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082908\Desktop\2025 Drupal site documents\Grantee Reporting Forms\Adult SA\"/>
    </mc:Choice>
  </mc:AlternateContent>
  <xr:revisionPtr revIDLastSave="0" documentId="13_ncr:1_{A9D87664-4D43-4D9F-9ACE-C6545BB15602}" xr6:coauthVersionLast="47" xr6:coauthVersionMax="47" xr10:uidLastSave="{00000000-0000-0000-0000-000000000000}"/>
  <bookViews>
    <workbookView xWindow="1425" yWindow="1425" windowWidth="18000" windowHeight="9270" xr2:uid="{00000000-000D-0000-FFFF-FFFF00000000}"/>
  </bookViews>
  <sheets>
    <sheet name="INSTRUCTIONS " sheetId="1" r:id="rId1"/>
    <sheet name="GRANTEE SET UP INFO &amp; DATE " sheetId="2" r:id="rId2"/>
    <sheet name="REFERRAL ONLY" sheetId="3" r:id="rId3"/>
    <sheet name="refer admin discharge" sheetId="4" r:id="rId4"/>
    <sheet name="NOMS PRE ADM POST DISC" sheetId="5" r:id="rId5"/>
    <sheet name="TRAINING" sheetId="6" r:id="rId6"/>
    <sheet name="Naloxone Training Distribution" sheetId="7" r:id="rId7"/>
    <sheet name="ACTIVITIES MEETINGS EVENTS " sheetId="8" r:id="rId8"/>
    <sheet name="CONSUMER FEEDBACK" sheetId="9" r:id="rId9"/>
    <sheet name="SUMMARY" sheetId="10" r:id="rId10"/>
    <sheet name="Sheet1" sheetId="11" r:id="rId11"/>
    <sheet name="Drop-Down Boxes " sheetId="12" r:id="rId12"/>
    <sheet name=" Scratch"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tf/aIkc8iDfm0Nndnt+taxrLHG/Au8uyYp4UFyYArPs="/>
    </ext>
  </extLst>
</workbook>
</file>

<file path=xl/calcChain.xml><?xml version="1.0" encoding="utf-8"?>
<calcChain xmlns="http://schemas.openxmlformats.org/spreadsheetml/2006/main">
  <c r="AV176" i="13" l="1"/>
  <c r="AT176" i="13"/>
  <c r="AR176" i="13"/>
  <c r="AP176" i="13"/>
  <c r="AN176" i="13"/>
  <c r="AL176" i="13"/>
  <c r="AJ176" i="13"/>
  <c r="AH176" i="13"/>
  <c r="AF176" i="13"/>
  <c r="V176" i="13"/>
  <c r="T176" i="13"/>
  <c r="R176" i="13"/>
  <c r="P176" i="13"/>
  <c r="N176" i="13"/>
  <c r="L176" i="13"/>
  <c r="J176" i="13"/>
  <c r="H176" i="13"/>
  <c r="F176" i="13"/>
  <c r="AV175" i="13"/>
  <c r="AT175" i="13"/>
  <c r="AR175" i="13"/>
  <c r="AP175" i="13"/>
  <c r="AN175" i="13"/>
  <c r="AL175" i="13"/>
  <c r="AJ175" i="13"/>
  <c r="AH175" i="13"/>
  <c r="AF175" i="13"/>
  <c r="V175" i="13"/>
  <c r="T175" i="13"/>
  <c r="R175" i="13"/>
  <c r="P175" i="13"/>
  <c r="N175" i="13"/>
  <c r="L175" i="13"/>
  <c r="J175" i="13"/>
  <c r="H175" i="13"/>
  <c r="F175" i="13"/>
  <c r="AV174" i="13"/>
  <c r="AT174" i="13"/>
  <c r="AR174" i="13"/>
  <c r="AP174" i="13"/>
  <c r="AN174" i="13"/>
  <c r="AL174" i="13"/>
  <c r="AJ174" i="13"/>
  <c r="AH174" i="13"/>
  <c r="AF174" i="13"/>
  <c r="V174" i="13"/>
  <c r="T174" i="13"/>
  <c r="R174" i="13"/>
  <c r="P174" i="13"/>
  <c r="N174" i="13"/>
  <c r="L174" i="13"/>
  <c r="J174" i="13"/>
  <c r="H174" i="13"/>
  <c r="F174" i="13"/>
  <c r="AV173" i="13"/>
  <c r="AT173" i="13"/>
  <c r="AR173" i="13"/>
  <c r="AP173" i="13"/>
  <c r="AN173" i="13"/>
  <c r="AL173" i="13"/>
  <c r="AJ173" i="13"/>
  <c r="AH173" i="13"/>
  <c r="AF173" i="13"/>
  <c r="V173" i="13"/>
  <c r="T173" i="13"/>
  <c r="R173" i="13"/>
  <c r="P173" i="13"/>
  <c r="N173" i="13"/>
  <c r="L173" i="13"/>
  <c r="J173" i="13"/>
  <c r="H173" i="13"/>
  <c r="F173" i="13"/>
  <c r="AV172" i="13"/>
  <c r="AT172" i="13"/>
  <c r="AR172" i="13"/>
  <c r="AP172" i="13"/>
  <c r="AN172" i="13"/>
  <c r="AL172" i="13"/>
  <c r="AJ172" i="13"/>
  <c r="AH172" i="13"/>
  <c r="AF172" i="13"/>
  <c r="V172" i="13"/>
  <c r="T172" i="13"/>
  <c r="R172" i="13"/>
  <c r="P172" i="13"/>
  <c r="N172" i="13"/>
  <c r="L172" i="13"/>
  <c r="J172" i="13"/>
  <c r="H172" i="13"/>
  <c r="F172" i="13"/>
  <c r="AF161" i="13"/>
  <c r="Z161" i="13"/>
  <c r="Y161" i="13"/>
  <c r="U161" i="13"/>
  <c r="S161" i="13"/>
  <c r="Q161" i="13"/>
  <c r="P161" i="13"/>
  <c r="L161" i="13"/>
  <c r="K161" i="13"/>
  <c r="I161" i="13"/>
  <c r="H161" i="13"/>
  <c r="AF160" i="13"/>
  <c r="AD160" i="13"/>
  <c r="Z160" i="13"/>
  <c r="Y160" i="13"/>
  <c r="X160" i="13"/>
  <c r="W160" i="13"/>
  <c r="V160" i="13"/>
  <c r="U160" i="13"/>
  <c r="S160" i="13"/>
  <c r="R160" i="13"/>
  <c r="Q160" i="13"/>
  <c r="P160" i="13"/>
  <c r="O160" i="13"/>
  <c r="N160" i="13"/>
  <c r="M160" i="13"/>
  <c r="L160" i="13"/>
  <c r="K160" i="13"/>
  <c r="J160" i="13"/>
  <c r="I160" i="13"/>
  <c r="H160" i="13"/>
  <c r="G160" i="13"/>
  <c r="F160" i="13"/>
  <c r="Z159" i="13"/>
  <c r="Y159" i="13"/>
  <c r="X159" i="13"/>
  <c r="W159" i="13"/>
  <c r="V159" i="13"/>
  <c r="U159" i="13"/>
  <c r="AF159" i="13" s="1"/>
  <c r="S159" i="13"/>
  <c r="R159" i="13"/>
  <c r="Q159" i="13"/>
  <c r="P159" i="13"/>
  <c r="O159" i="13"/>
  <c r="N159" i="13"/>
  <c r="M159" i="13"/>
  <c r="L159" i="13"/>
  <c r="K159" i="13"/>
  <c r="J159" i="13"/>
  <c r="I159" i="13"/>
  <c r="H159" i="13"/>
  <c r="G159" i="13"/>
  <c r="F159" i="13"/>
  <c r="AD159" i="13" s="1"/>
  <c r="AF158" i="13"/>
  <c r="Z158" i="13"/>
  <c r="Y158" i="13"/>
  <c r="X158" i="13"/>
  <c r="X161" i="13" s="1"/>
  <c r="W158" i="13"/>
  <c r="W161" i="13" s="1"/>
  <c r="V158" i="13"/>
  <c r="V161" i="13" s="1"/>
  <c r="U158" i="13"/>
  <c r="S158" i="13"/>
  <c r="R158" i="13"/>
  <c r="R161" i="13" s="1"/>
  <c r="Q158" i="13"/>
  <c r="P158" i="13"/>
  <c r="O158" i="13"/>
  <c r="O161" i="13" s="1"/>
  <c r="N158" i="13"/>
  <c r="N161" i="13" s="1"/>
  <c r="M158" i="13"/>
  <c r="M161" i="13" s="1"/>
  <c r="L158" i="13"/>
  <c r="K158" i="13"/>
  <c r="J158" i="13"/>
  <c r="J161" i="13" s="1"/>
  <c r="I158" i="13"/>
  <c r="H158" i="13"/>
  <c r="G158" i="13"/>
  <c r="G161" i="13" s="1"/>
  <c r="F158" i="13"/>
  <c r="F161" i="13" s="1"/>
  <c r="AD161" i="13" s="1"/>
  <c r="AF156" i="13"/>
  <c r="AD156" i="13"/>
  <c r="Z156" i="13"/>
  <c r="Y156" i="13"/>
  <c r="X156" i="13"/>
  <c r="W156" i="13"/>
  <c r="V156" i="13"/>
  <c r="U156" i="13"/>
  <c r="S156" i="13"/>
  <c r="R156" i="13"/>
  <c r="Q156" i="13"/>
  <c r="P156" i="13"/>
  <c r="O156" i="13"/>
  <c r="N156" i="13"/>
  <c r="M156" i="13"/>
  <c r="L156" i="13"/>
  <c r="K156" i="13"/>
  <c r="J156" i="13"/>
  <c r="I156" i="13"/>
  <c r="H156" i="13"/>
  <c r="G156" i="13"/>
  <c r="F156" i="13"/>
  <c r="AF155" i="13"/>
  <c r="AD155" i="13"/>
  <c r="Z155" i="13"/>
  <c r="X155" i="13"/>
  <c r="V155" i="13"/>
  <c r="S155" i="13"/>
  <c r="Q155" i="13"/>
  <c r="O155" i="13"/>
  <c r="M155" i="13"/>
  <c r="K155" i="13"/>
  <c r="I155" i="13"/>
  <c r="G155" i="13"/>
  <c r="AD154" i="13"/>
  <c r="Z154" i="13"/>
  <c r="X154" i="13"/>
  <c r="V154" i="13"/>
  <c r="AF154" i="13" s="1"/>
  <c r="S154" i="13"/>
  <c r="Q154" i="13"/>
  <c r="O154" i="13"/>
  <c r="M154" i="13"/>
  <c r="K154" i="13"/>
  <c r="I154" i="13"/>
  <c r="G154" i="13"/>
  <c r="AM150" i="13"/>
  <c r="X150" i="13"/>
  <c r="S150" i="13"/>
  <c r="J150" i="13"/>
  <c r="AF149" i="13"/>
  <c r="AD149" i="13"/>
  <c r="Z149" i="13"/>
  <c r="Y149" i="13"/>
  <c r="X149" i="13"/>
  <c r="W149" i="13"/>
  <c r="V149" i="13"/>
  <c r="U149" i="13"/>
  <c r="S149" i="13"/>
  <c r="R149" i="13"/>
  <c r="Q149" i="13"/>
  <c r="P149" i="13"/>
  <c r="O149" i="13"/>
  <c r="N149" i="13"/>
  <c r="M149" i="13"/>
  <c r="L149" i="13"/>
  <c r="K149" i="13"/>
  <c r="J149" i="13"/>
  <c r="I149" i="13"/>
  <c r="H149" i="13"/>
  <c r="G149" i="13"/>
  <c r="F149" i="13"/>
  <c r="D149" i="13"/>
  <c r="AD148" i="13"/>
  <c r="Z148" i="13"/>
  <c r="Y148" i="13"/>
  <c r="X148" i="13"/>
  <c r="W148" i="13"/>
  <c r="V148" i="13"/>
  <c r="U148" i="13"/>
  <c r="AF148" i="13" s="1"/>
  <c r="S148" i="13"/>
  <c r="R148" i="13"/>
  <c r="Q148" i="13"/>
  <c r="P148" i="13"/>
  <c r="O148" i="13"/>
  <c r="N148" i="13"/>
  <c r="M148" i="13"/>
  <c r="L148" i="13"/>
  <c r="K148" i="13"/>
  <c r="J148" i="13"/>
  <c r="I148" i="13"/>
  <c r="H148" i="13"/>
  <c r="G148" i="13"/>
  <c r="F148" i="13"/>
  <c r="D148" i="13"/>
  <c r="Z147" i="13"/>
  <c r="Y147" i="13"/>
  <c r="X147" i="13"/>
  <c r="W147" i="13"/>
  <c r="V147" i="13"/>
  <c r="U147" i="13"/>
  <c r="AF147" i="13" s="1"/>
  <c r="S147" i="13"/>
  <c r="R147" i="13"/>
  <c r="Q147" i="13"/>
  <c r="P147" i="13"/>
  <c r="O147" i="13"/>
  <c r="N147" i="13"/>
  <c r="M147" i="13"/>
  <c r="L147" i="13"/>
  <c r="K147" i="13"/>
  <c r="J147" i="13"/>
  <c r="I147" i="13"/>
  <c r="H147" i="13"/>
  <c r="G147" i="13"/>
  <c r="F147" i="13"/>
  <c r="AD147" i="13" s="1"/>
  <c r="D147" i="13"/>
  <c r="AF146" i="13"/>
  <c r="Z146" i="13"/>
  <c r="Y146" i="13"/>
  <c r="X146" i="13"/>
  <c r="W146" i="13"/>
  <c r="V146" i="13"/>
  <c r="U146" i="13"/>
  <c r="S146" i="13"/>
  <c r="R146" i="13"/>
  <c r="Q146" i="13"/>
  <c r="P146" i="13"/>
  <c r="O146" i="13"/>
  <c r="N146" i="13"/>
  <c r="M146" i="13"/>
  <c r="L146" i="13"/>
  <c r="K146" i="13"/>
  <c r="J146" i="13"/>
  <c r="I146" i="13"/>
  <c r="H146" i="13"/>
  <c r="G146" i="13"/>
  <c r="F146" i="13"/>
  <c r="AD146" i="13" s="1"/>
  <c r="D146" i="13"/>
  <c r="AF145" i="13"/>
  <c r="AD145" i="13"/>
  <c r="Z145" i="13"/>
  <c r="Y145" i="13"/>
  <c r="X145" i="13"/>
  <c r="W145" i="13"/>
  <c r="V145" i="13"/>
  <c r="U145" i="13"/>
  <c r="S145" i="13"/>
  <c r="R145" i="13"/>
  <c r="Q145" i="13"/>
  <c r="P145" i="13"/>
  <c r="O145" i="13"/>
  <c r="N145" i="13"/>
  <c r="M145" i="13"/>
  <c r="L145" i="13"/>
  <c r="K145" i="13"/>
  <c r="J145" i="13"/>
  <c r="I145" i="13"/>
  <c r="H145" i="13"/>
  <c r="G145" i="13"/>
  <c r="F145" i="13"/>
  <c r="D145" i="13"/>
  <c r="Z144" i="13"/>
  <c r="Y144" i="13"/>
  <c r="X144" i="13"/>
  <c r="W144" i="13"/>
  <c r="V144" i="13"/>
  <c r="U144" i="13"/>
  <c r="AF144" i="13" s="1"/>
  <c r="S144" i="13"/>
  <c r="R144" i="13"/>
  <c r="Q144" i="13"/>
  <c r="P144" i="13"/>
  <c r="O144" i="13"/>
  <c r="N144" i="13"/>
  <c r="M144" i="13"/>
  <c r="L144" i="13"/>
  <c r="K144" i="13"/>
  <c r="J144" i="13"/>
  <c r="I144" i="13"/>
  <c r="H144" i="13"/>
  <c r="G144" i="13"/>
  <c r="F144" i="13"/>
  <c r="AD144" i="13" s="1"/>
  <c r="D144" i="13"/>
  <c r="AF143" i="13"/>
  <c r="AD143" i="13"/>
  <c r="Z143" i="13"/>
  <c r="Y143" i="13"/>
  <c r="X143" i="13"/>
  <c r="W143" i="13"/>
  <c r="V143" i="13"/>
  <c r="U143" i="13"/>
  <c r="S143" i="13"/>
  <c r="R143" i="13"/>
  <c r="Q143" i="13"/>
  <c r="P143" i="13"/>
  <c r="O143" i="13"/>
  <c r="N143" i="13"/>
  <c r="M143" i="13"/>
  <c r="L143" i="13"/>
  <c r="K143" i="13"/>
  <c r="J143" i="13"/>
  <c r="I143" i="13"/>
  <c r="H143" i="13"/>
  <c r="G143" i="13"/>
  <c r="F143" i="13"/>
  <c r="D143" i="13"/>
  <c r="AF142" i="13"/>
  <c r="AD142" i="13"/>
  <c r="Z142" i="13"/>
  <c r="Z150" i="13" s="1"/>
  <c r="Y142" i="13"/>
  <c r="Y150" i="13" s="1"/>
  <c r="X142" i="13"/>
  <c r="W142" i="13"/>
  <c r="W150" i="13" s="1"/>
  <c r="V142" i="13"/>
  <c r="V150" i="13" s="1"/>
  <c r="U142" i="13"/>
  <c r="U150" i="13" s="1"/>
  <c r="AF150" i="13" s="1"/>
  <c r="S142" i="13"/>
  <c r="R142" i="13"/>
  <c r="R150" i="13" s="1"/>
  <c r="Q142" i="13"/>
  <c r="Q150" i="13" s="1"/>
  <c r="P142" i="13"/>
  <c r="P150" i="13" s="1"/>
  <c r="O142" i="13"/>
  <c r="O150" i="13" s="1"/>
  <c r="N142" i="13"/>
  <c r="N150" i="13" s="1"/>
  <c r="M142" i="13"/>
  <c r="M150" i="13" s="1"/>
  <c r="L142" i="13"/>
  <c r="L150" i="13" s="1"/>
  <c r="K142" i="13"/>
  <c r="K150" i="13" s="1"/>
  <c r="J142" i="13"/>
  <c r="I142" i="13"/>
  <c r="I150" i="13" s="1"/>
  <c r="H142" i="13"/>
  <c r="H150" i="13" s="1"/>
  <c r="G142" i="13"/>
  <c r="G150" i="13" s="1"/>
  <c r="F142" i="13"/>
  <c r="F150" i="13" s="1"/>
  <c r="AD150" i="13" s="1"/>
  <c r="D142" i="13"/>
  <c r="D150" i="13" s="1"/>
  <c r="AF135" i="13"/>
  <c r="AD135" i="13"/>
  <c r="Z135" i="13"/>
  <c r="X135" i="13"/>
  <c r="V135" i="13"/>
  <c r="S135" i="13"/>
  <c r="Q135" i="13"/>
  <c r="O135" i="13"/>
  <c r="M135" i="13"/>
  <c r="K135" i="13"/>
  <c r="I135" i="13"/>
  <c r="G135" i="13"/>
  <c r="AD134" i="13"/>
  <c r="Z134" i="13"/>
  <c r="X134" i="13"/>
  <c r="V134" i="13"/>
  <c r="AF134" i="13" s="1"/>
  <c r="S134" i="13"/>
  <c r="Q134" i="13"/>
  <c r="O134" i="13"/>
  <c r="M134" i="13"/>
  <c r="K134" i="13"/>
  <c r="I134" i="13"/>
  <c r="G134" i="13"/>
  <c r="AF133" i="13"/>
  <c r="AD133" i="13"/>
  <c r="Z133" i="13"/>
  <c r="X133" i="13"/>
  <c r="V133" i="13"/>
  <c r="S133" i="13"/>
  <c r="Q133" i="13"/>
  <c r="O133" i="13"/>
  <c r="M133" i="13"/>
  <c r="K133" i="13"/>
  <c r="I133" i="13"/>
  <c r="G133" i="13"/>
  <c r="AF131" i="13"/>
  <c r="Z131" i="13"/>
  <c r="Y131" i="13"/>
  <c r="X131" i="13"/>
  <c r="W131" i="13"/>
  <c r="V131" i="13"/>
  <c r="U131" i="13"/>
  <c r="S131" i="13"/>
  <c r="R131" i="13"/>
  <c r="Q131" i="13"/>
  <c r="P131" i="13"/>
  <c r="O131" i="13"/>
  <c r="N131" i="13"/>
  <c r="M131" i="13"/>
  <c r="L131" i="13"/>
  <c r="K131" i="13"/>
  <c r="J131" i="13"/>
  <c r="I131" i="13"/>
  <c r="H131" i="13"/>
  <c r="G131" i="13"/>
  <c r="F131" i="13"/>
  <c r="AD131" i="13" s="1"/>
  <c r="AD130" i="13"/>
  <c r="Z130" i="13"/>
  <c r="Y130" i="13"/>
  <c r="X130" i="13"/>
  <c r="W130" i="13"/>
  <c r="V130" i="13"/>
  <c r="U130" i="13"/>
  <c r="AF130" i="13" s="1"/>
  <c r="S130" i="13"/>
  <c r="R130" i="13"/>
  <c r="Q130" i="13"/>
  <c r="P130" i="13"/>
  <c r="O130" i="13"/>
  <c r="N130" i="13"/>
  <c r="M130" i="13"/>
  <c r="L130" i="13"/>
  <c r="K130" i="13"/>
  <c r="J130" i="13"/>
  <c r="I130" i="13"/>
  <c r="H130" i="13"/>
  <c r="G130" i="13"/>
  <c r="F130" i="13"/>
  <c r="AF129" i="13"/>
  <c r="AD129" i="13"/>
  <c r="Z129" i="13"/>
  <c r="Y129" i="13"/>
  <c r="X129" i="13"/>
  <c r="W129" i="13"/>
  <c r="V129" i="13"/>
  <c r="U129" i="13"/>
  <c r="S129" i="13"/>
  <c r="R129" i="13"/>
  <c r="Q129" i="13"/>
  <c r="P129" i="13"/>
  <c r="O129" i="13"/>
  <c r="N129" i="13"/>
  <c r="M129" i="13"/>
  <c r="L129" i="13"/>
  <c r="K129" i="13"/>
  <c r="J129" i="13"/>
  <c r="I129" i="13"/>
  <c r="H129" i="13"/>
  <c r="G129" i="13"/>
  <c r="F129" i="13"/>
  <c r="N121" i="13"/>
  <c r="N120" i="13"/>
  <c r="N119" i="13"/>
  <c r="N122" i="13" s="1"/>
  <c r="N116" i="13"/>
  <c r="N115" i="13"/>
  <c r="N114" i="13"/>
  <c r="N113" i="13"/>
  <c r="N112" i="13"/>
  <c r="N111" i="13"/>
  <c r="D111" i="13"/>
  <c r="N110" i="13"/>
  <c r="D110" i="13"/>
  <c r="N109" i="13"/>
  <c r="D109" i="13"/>
  <c r="AI107" i="13"/>
  <c r="V105" i="13"/>
  <c r="Q105" i="13"/>
  <c r="H105" i="13"/>
  <c r="AF104" i="13"/>
  <c r="Z104" i="13"/>
  <c r="Y104" i="13"/>
  <c r="X104" i="13"/>
  <c r="W104" i="13"/>
  <c r="V104" i="13"/>
  <c r="U104" i="13"/>
  <c r="S104" i="13"/>
  <c r="R104" i="13"/>
  <c r="Q104" i="13"/>
  <c r="P104" i="13"/>
  <c r="O104" i="13"/>
  <c r="N104" i="13"/>
  <c r="M104" i="13"/>
  <c r="L104" i="13"/>
  <c r="K104" i="13"/>
  <c r="J104" i="13"/>
  <c r="I104" i="13"/>
  <c r="H104" i="13"/>
  <c r="G104" i="13"/>
  <c r="F104" i="13"/>
  <c r="AD104" i="13" s="1"/>
  <c r="Z103" i="13"/>
  <c r="Y103" i="13"/>
  <c r="X103" i="13"/>
  <c r="W103" i="13"/>
  <c r="V103" i="13"/>
  <c r="U103" i="13"/>
  <c r="AF103" i="13" s="1"/>
  <c r="S103" i="13"/>
  <c r="R103" i="13"/>
  <c r="Q103" i="13"/>
  <c r="P103" i="13"/>
  <c r="O103" i="13"/>
  <c r="N103" i="13"/>
  <c r="M103" i="13"/>
  <c r="L103" i="13"/>
  <c r="K103" i="13"/>
  <c r="J103" i="13"/>
  <c r="I103" i="13"/>
  <c r="H103" i="13"/>
  <c r="G103" i="13"/>
  <c r="F103" i="13"/>
  <c r="AD103" i="13" s="1"/>
  <c r="AF102" i="13"/>
  <c r="AD102" i="13"/>
  <c r="Z102" i="13"/>
  <c r="Y102" i="13"/>
  <c r="X102" i="13"/>
  <c r="W102" i="13"/>
  <c r="V102" i="13"/>
  <c r="U102" i="13"/>
  <c r="S102" i="13"/>
  <c r="R102" i="13"/>
  <c r="Q102" i="13"/>
  <c r="P102" i="13"/>
  <c r="O102" i="13"/>
  <c r="N102" i="13"/>
  <c r="M102" i="13"/>
  <c r="L102" i="13"/>
  <c r="K102" i="13"/>
  <c r="J102" i="13"/>
  <c r="I102" i="13"/>
  <c r="H102" i="13"/>
  <c r="G102" i="13"/>
  <c r="F102" i="13"/>
  <c r="AD101" i="13"/>
  <c r="Z101" i="13"/>
  <c r="Y101" i="13"/>
  <c r="X101" i="13"/>
  <c r="W101" i="13"/>
  <c r="V101" i="13"/>
  <c r="U101" i="13"/>
  <c r="AF101" i="13" s="1"/>
  <c r="S101" i="13"/>
  <c r="R101" i="13"/>
  <c r="Q101" i="13"/>
  <c r="P101" i="13"/>
  <c r="O101" i="13"/>
  <c r="N101" i="13"/>
  <c r="M101" i="13"/>
  <c r="L101" i="13"/>
  <c r="K101" i="13"/>
  <c r="J101" i="13"/>
  <c r="I101" i="13"/>
  <c r="H101" i="13"/>
  <c r="G101" i="13"/>
  <c r="F101" i="13"/>
  <c r="AF100" i="13"/>
  <c r="Z100" i="13"/>
  <c r="Y100" i="13"/>
  <c r="X100" i="13"/>
  <c r="W100" i="13"/>
  <c r="V100" i="13"/>
  <c r="U100" i="13"/>
  <c r="S100" i="13"/>
  <c r="R100" i="13"/>
  <c r="Q100" i="13"/>
  <c r="P100" i="13"/>
  <c r="O100" i="13"/>
  <c r="N100" i="13"/>
  <c r="M100" i="13"/>
  <c r="L100" i="13"/>
  <c r="K100" i="13"/>
  <c r="J100" i="13"/>
  <c r="I100" i="13"/>
  <c r="H100" i="13"/>
  <c r="G100" i="13"/>
  <c r="F100" i="13"/>
  <c r="AD100" i="13" s="1"/>
  <c r="Z99" i="13"/>
  <c r="Y99" i="13"/>
  <c r="X99" i="13"/>
  <c r="W99" i="13"/>
  <c r="V99" i="13"/>
  <c r="U99" i="13"/>
  <c r="AF99" i="13" s="1"/>
  <c r="S99" i="13"/>
  <c r="R99" i="13"/>
  <c r="Q99" i="13"/>
  <c r="P99" i="13"/>
  <c r="O99" i="13"/>
  <c r="N99" i="13"/>
  <c r="M99" i="13"/>
  <c r="L99" i="13"/>
  <c r="K99" i="13"/>
  <c r="J99" i="13"/>
  <c r="I99" i="13"/>
  <c r="H99" i="13"/>
  <c r="G99" i="13"/>
  <c r="F99" i="13"/>
  <c r="AD99" i="13" s="1"/>
  <c r="AF98" i="13"/>
  <c r="AD98" i="13"/>
  <c r="Z98" i="13"/>
  <c r="Y98" i="13"/>
  <c r="X98" i="13"/>
  <c r="W98" i="13"/>
  <c r="V98" i="13"/>
  <c r="U98" i="13"/>
  <c r="S98" i="13"/>
  <c r="R98" i="13"/>
  <c r="Q98" i="13"/>
  <c r="P98" i="13"/>
  <c r="O98" i="13"/>
  <c r="N98" i="13"/>
  <c r="M98" i="13"/>
  <c r="L98" i="13"/>
  <c r="K98" i="13"/>
  <c r="J98" i="13"/>
  <c r="I98" i="13"/>
  <c r="H98" i="13"/>
  <c r="G98" i="13"/>
  <c r="F98" i="13"/>
  <c r="AD97" i="13"/>
  <c r="Z97" i="13"/>
  <c r="Z105" i="13" s="1"/>
  <c r="Y97" i="13"/>
  <c r="Y105" i="13" s="1"/>
  <c r="X97" i="13"/>
  <c r="X105" i="13" s="1"/>
  <c r="W97" i="13"/>
  <c r="W105" i="13" s="1"/>
  <c r="V97" i="13"/>
  <c r="U97" i="13"/>
  <c r="U105" i="13" s="1"/>
  <c r="AF105" i="13" s="1"/>
  <c r="S97" i="13"/>
  <c r="S105" i="13" s="1"/>
  <c r="R97" i="13"/>
  <c r="R105" i="13" s="1"/>
  <c r="Q97" i="13"/>
  <c r="P97" i="13"/>
  <c r="P105" i="13" s="1"/>
  <c r="O97" i="13"/>
  <c r="O105" i="13" s="1"/>
  <c r="N97" i="13"/>
  <c r="N105" i="13" s="1"/>
  <c r="M97" i="13"/>
  <c r="M105" i="13" s="1"/>
  <c r="L97" i="13"/>
  <c r="L105" i="13" s="1"/>
  <c r="K97" i="13"/>
  <c r="K105" i="13" s="1"/>
  <c r="J97" i="13"/>
  <c r="J105" i="13" s="1"/>
  <c r="I97" i="13"/>
  <c r="I105" i="13" s="1"/>
  <c r="H97" i="13"/>
  <c r="G97" i="13"/>
  <c r="G105" i="13" s="1"/>
  <c r="F97" i="13"/>
  <c r="F105" i="13" s="1"/>
  <c r="AD105" i="13" s="1"/>
  <c r="Y95" i="13"/>
  <c r="X95" i="13"/>
  <c r="W95" i="13"/>
  <c r="V95" i="13"/>
  <c r="S95" i="13"/>
  <c r="P95" i="13"/>
  <c r="O95" i="13"/>
  <c r="N95" i="13"/>
  <c r="M95" i="13"/>
  <c r="K95" i="13"/>
  <c r="H95" i="13"/>
  <c r="F95" i="13"/>
  <c r="AD95" i="13" s="1"/>
  <c r="AF94" i="13"/>
  <c r="AK94" i="13" s="1"/>
  <c r="Z94" i="13"/>
  <c r="Y94" i="13"/>
  <c r="X94" i="13"/>
  <c r="W94" i="13"/>
  <c r="V94" i="13"/>
  <c r="U94" i="13"/>
  <c r="S94" i="13"/>
  <c r="R94" i="13"/>
  <c r="Q94" i="13"/>
  <c r="P94" i="13"/>
  <c r="O94" i="13"/>
  <c r="N94" i="13"/>
  <c r="M94" i="13"/>
  <c r="L94" i="13"/>
  <c r="K94" i="13"/>
  <c r="J94" i="13"/>
  <c r="I94" i="13"/>
  <c r="H94" i="13"/>
  <c r="G94" i="13"/>
  <c r="F94" i="13"/>
  <c r="AD94" i="13" s="1"/>
  <c r="Z93" i="13"/>
  <c r="Y93" i="13"/>
  <c r="X93" i="13"/>
  <c r="W93" i="13"/>
  <c r="V93" i="13"/>
  <c r="U93" i="13"/>
  <c r="AF93" i="13" s="1"/>
  <c r="AK93" i="13" s="1"/>
  <c r="S93" i="13"/>
  <c r="R93" i="13"/>
  <c r="Q93" i="13"/>
  <c r="P93" i="13"/>
  <c r="O93" i="13"/>
  <c r="N93" i="13"/>
  <c r="M93" i="13"/>
  <c r="L93" i="13"/>
  <c r="K93" i="13"/>
  <c r="J93" i="13"/>
  <c r="I93" i="13"/>
  <c r="H93" i="13"/>
  <c r="G93" i="13"/>
  <c r="F93" i="13"/>
  <c r="AD93" i="13" s="1"/>
  <c r="AF92" i="13"/>
  <c r="AK92" i="13" s="1"/>
  <c r="AD92" i="13"/>
  <c r="Z92" i="13"/>
  <c r="Y92" i="13"/>
  <c r="X92" i="13"/>
  <c r="W92" i="13"/>
  <c r="V92" i="13"/>
  <c r="U92" i="13"/>
  <c r="S92" i="13"/>
  <c r="R92" i="13"/>
  <c r="Q92" i="13"/>
  <c r="P92" i="13"/>
  <c r="O92" i="13"/>
  <c r="N92" i="13"/>
  <c r="M92" i="13"/>
  <c r="L92" i="13"/>
  <c r="K92" i="13"/>
  <c r="J92" i="13"/>
  <c r="I92" i="13"/>
  <c r="H92" i="13"/>
  <c r="G92" i="13"/>
  <c r="F92" i="13"/>
  <c r="AF91" i="13"/>
  <c r="AK91" i="13" s="1"/>
  <c r="AK107" i="13" s="1"/>
  <c r="AD91" i="13"/>
  <c r="Z91" i="13"/>
  <c r="Z95" i="13" s="1"/>
  <c r="Y91" i="13"/>
  <c r="X91" i="13"/>
  <c r="W91" i="13"/>
  <c r="V91" i="13"/>
  <c r="U91" i="13"/>
  <c r="U95" i="13" s="1"/>
  <c r="AF95" i="13" s="1"/>
  <c r="S91" i="13"/>
  <c r="R91" i="13"/>
  <c r="R95" i="13" s="1"/>
  <c r="Q91" i="13"/>
  <c r="Q95" i="13" s="1"/>
  <c r="P91" i="13"/>
  <c r="O91" i="13"/>
  <c r="N91" i="13"/>
  <c r="M91" i="13"/>
  <c r="L91" i="13"/>
  <c r="L95" i="13" s="1"/>
  <c r="K91" i="13"/>
  <c r="J91" i="13"/>
  <c r="J95" i="13" s="1"/>
  <c r="I91" i="13"/>
  <c r="I95" i="13" s="1"/>
  <c r="H91" i="13"/>
  <c r="G91" i="13"/>
  <c r="G95" i="13" s="1"/>
  <c r="F91" i="13"/>
  <c r="AD87" i="13"/>
  <c r="Z87" i="13"/>
  <c r="Y87" i="13"/>
  <c r="X87" i="13"/>
  <c r="W87" i="13"/>
  <c r="V87" i="13"/>
  <c r="U87" i="13"/>
  <c r="AF87" i="13" s="1"/>
  <c r="S87" i="13"/>
  <c r="R87" i="13"/>
  <c r="Q87" i="13"/>
  <c r="P87" i="13"/>
  <c r="O87" i="13"/>
  <c r="N87" i="13"/>
  <c r="M87" i="13"/>
  <c r="L87" i="13"/>
  <c r="K87" i="13"/>
  <c r="J87" i="13"/>
  <c r="I87" i="13"/>
  <c r="H87" i="13"/>
  <c r="G87" i="13"/>
  <c r="F87" i="13"/>
  <c r="AF86" i="13"/>
  <c r="Z86" i="13"/>
  <c r="Y86" i="13"/>
  <c r="X86" i="13"/>
  <c r="W86" i="13"/>
  <c r="V86" i="13"/>
  <c r="U86" i="13"/>
  <c r="S86" i="13"/>
  <c r="R86" i="13"/>
  <c r="Q86" i="13"/>
  <c r="P86" i="13"/>
  <c r="O86" i="13"/>
  <c r="N86" i="13"/>
  <c r="M86" i="13"/>
  <c r="L86" i="13"/>
  <c r="K86" i="13"/>
  <c r="J86" i="13"/>
  <c r="I86" i="13"/>
  <c r="H86" i="13"/>
  <c r="G86" i="13"/>
  <c r="F86" i="13"/>
  <c r="AD86" i="13" s="1"/>
  <c r="Z85" i="13"/>
  <c r="Y85" i="13"/>
  <c r="X85" i="13"/>
  <c r="W85" i="13"/>
  <c r="V85" i="13"/>
  <c r="U85" i="13"/>
  <c r="AF85" i="13" s="1"/>
  <c r="S85" i="13"/>
  <c r="R85" i="13"/>
  <c r="Q85" i="13"/>
  <c r="P85" i="13"/>
  <c r="O85" i="13"/>
  <c r="N85" i="13"/>
  <c r="M85" i="13"/>
  <c r="L85" i="13"/>
  <c r="K85" i="13"/>
  <c r="J85" i="13"/>
  <c r="I85" i="13"/>
  <c r="H85" i="13"/>
  <c r="G85" i="13"/>
  <c r="F85" i="13"/>
  <c r="AD85" i="13" s="1"/>
  <c r="AF84" i="13"/>
  <c r="AD84" i="13"/>
  <c r="Z84" i="13"/>
  <c r="Y84" i="13"/>
  <c r="X84" i="13"/>
  <c r="W84" i="13"/>
  <c r="V84" i="13"/>
  <c r="U84" i="13"/>
  <c r="S84" i="13"/>
  <c r="R84" i="13"/>
  <c r="Q84" i="13"/>
  <c r="P84" i="13"/>
  <c r="O84" i="13"/>
  <c r="N84" i="13"/>
  <c r="M84" i="13"/>
  <c r="L84" i="13"/>
  <c r="K84" i="13"/>
  <c r="J84" i="13"/>
  <c r="I84" i="13"/>
  <c r="H84" i="13"/>
  <c r="G84" i="13"/>
  <c r="F84" i="13"/>
  <c r="AD83" i="13"/>
  <c r="Z83" i="13"/>
  <c r="Y83" i="13"/>
  <c r="X83" i="13"/>
  <c r="W83" i="13"/>
  <c r="V83" i="13"/>
  <c r="U83" i="13"/>
  <c r="AF83" i="13" s="1"/>
  <c r="S83" i="13"/>
  <c r="R83" i="13"/>
  <c r="Q83" i="13"/>
  <c r="P83" i="13"/>
  <c r="O83" i="13"/>
  <c r="N83" i="13"/>
  <c r="M83" i="13"/>
  <c r="L83" i="13"/>
  <c r="K83" i="13"/>
  <c r="J83" i="13"/>
  <c r="I83" i="13"/>
  <c r="H83" i="13"/>
  <c r="G83" i="13"/>
  <c r="F83" i="13"/>
  <c r="AF82" i="13"/>
  <c r="Z82" i="13"/>
  <c r="Y82" i="13"/>
  <c r="X82" i="13"/>
  <c r="W82" i="13"/>
  <c r="V82" i="13"/>
  <c r="U82" i="13"/>
  <c r="S82" i="13"/>
  <c r="R82" i="13"/>
  <c r="Q82" i="13"/>
  <c r="P82" i="13"/>
  <c r="O82" i="13"/>
  <c r="N82" i="13"/>
  <c r="M82" i="13"/>
  <c r="L82" i="13"/>
  <c r="K82" i="13"/>
  <c r="J82" i="13"/>
  <c r="I82" i="13"/>
  <c r="H82" i="13"/>
  <c r="G82" i="13"/>
  <c r="F82" i="13"/>
  <c r="AD82" i="13" s="1"/>
  <c r="Z81" i="13"/>
  <c r="AF81" i="13" s="1"/>
  <c r="X81" i="13"/>
  <c r="V81" i="13"/>
  <c r="S81" i="13"/>
  <c r="Q81" i="13"/>
  <c r="O81" i="13"/>
  <c r="M81" i="13"/>
  <c r="K81" i="13"/>
  <c r="I81" i="13"/>
  <c r="AD81" i="13" s="1"/>
  <c r="G81" i="13"/>
  <c r="Z80" i="13"/>
  <c r="X80" i="13"/>
  <c r="V80" i="13"/>
  <c r="S80" i="13"/>
  <c r="Q80" i="13"/>
  <c r="O80" i="13"/>
  <c r="M80" i="13"/>
  <c r="K80" i="13"/>
  <c r="I80" i="13"/>
  <c r="G80" i="13"/>
  <c r="AH78" i="13"/>
  <c r="J76" i="13"/>
  <c r="Z75" i="13"/>
  <c r="Y75" i="13"/>
  <c r="X75" i="13"/>
  <c r="W75" i="13"/>
  <c r="V75" i="13"/>
  <c r="U75" i="13"/>
  <c r="AF75" i="13" s="1"/>
  <c r="S75" i="13"/>
  <c r="R75" i="13"/>
  <c r="Q75" i="13"/>
  <c r="P75" i="13"/>
  <c r="O75" i="13"/>
  <c r="N75" i="13"/>
  <c r="M75" i="13"/>
  <c r="L75" i="13"/>
  <c r="K75" i="13"/>
  <c r="J75" i="13"/>
  <c r="I75" i="13"/>
  <c r="H75" i="13"/>
  <c r="G75" i="13"/>
  <c r="F75" i="13"/>
  <c r="AD75" i="13" s="1"/>
  <c r="D75" i="13"/>
  <c r="AF74" i="13"/>
  <c r="AD74" i="13"/>
  <c r="Z74" i="13"/>
  <c r="Y74" i="13"/>
  <c r="X74" i="13"/>
  <c r="W74" i="13"/>
  <c r="V74" i="13"/>
  <c r="U74" i="13"/>
  <c r="S74" i="13"/>
  <c r="R74" i="13"/>
  <c r="Q74" i="13"/>
  <c r="P74" i="13"/>
  <c r="O74" i="13"/>
  <c r="N74" i="13"/>
  <c r="M74" i="13"/>
  <c r="L74" i="13"/>
  <c r="K74" i="13"/>
  <c r="J74" i="13"/>
  <c r="I74" i="13"/>
  <c r="H74" i="13"/>
  <c r="G74" i="13"/>
  <c r="F74" i="13"/>
  <c r="D74" i="13"/>
  <c r="AF73" i="13"/>
  <c r="AD73" i="13"/>
  <c r="Z73" i="13"/>
  <c r="Y73" i="13"/>
  <c r="X73" i="13"/>
  <c r="W73" i="13"/>
  <c r="V73" i="13"/>
  <c r="U73" i="13"/>
  <c r="S73" i="13"/>
  <c r="R73" i="13"/>
  <c r="Q73" i="13"/>
  <c r="P73" i="13"/>
  <c r="O73" i="13"/>
  <c r="N73" i="13"/>
  <c r="M73" i="13"/>
  <c r="L73" i="13"/>
  <c r="K73" i="13"/>
  <c r="J73" i="13"/>
  <c r="I73" i="13"/>
  <c r="H73" i="13"/>
  <c r="G73" i="13"/>
  <c r="F73" i="13"/>
  <c r="D73" i="13"/>
  <c r="AF72" i="13"/>
  <c r="Z72" i="13"/>
  <c r="Y72" i="13"/>
  <c r="X72" i="13"/>
  <c r="W72" i="13"/>
  <c r="V72" i="13"/>
  <c r="U72" i="13"/>
  <c r="S72" i="13"/>
  <c r="R72" i="13"/>
  <c r="Q72" i="13"/>
  <c r="P72" i="13"/>
  <c r="O72" i="13"/>
  <c r="N72" i="13"/>
  <c r="M72" i="13"/>
  <c r="L72" i="13"/>
  <c r="K72" i="13"/>
  <c r="J72" i="13"/>
  <c r="I72" i="13"/>
  <c r="H72" i="13"/>
  <c r="G72" i="13"/>
  <c r="F72" i="13"/>
  <c r="AD72" i="13" s="1"/>
  <c r="D72" i="13"/>
  <c r="AD71" i="13"/>
  <c r="Z71" i="13"/>
  <c r="Y71" i="13"/>
  <c r="X71" i="13"/>
  <c r="W71" i="13"/>
  <c r="V71" i="13"/>
  <c r="U71" i="13"/>
  <c r="AF71" i="13" s="1"/>
  <c r="S71" i="13"/>
  <c r="R71" i="13"/>
  <c r="Q71" i="13"/>
  <c r="P71" i="13"/>
  <c r="O71" i="13"/>
  <c r="N71" i="13"/>
  <c r="M71" i="13"/>
  <c r="L71" i="13"/>
  <c r="K71" i="13"/>
  <c r="J71" i="13"/>
  <c r="I71" i="13"/>
  <c r="H71" i="13"/>
  <c r="G71" i="13"/>
  <c r="F71" i="13"/>
  <c r="D71" i="13"/>
  <c r="Z70" i="13"/>
  <c r="Y70" i="13"/>
  <c r="X70" i="13"/>
  <c r="W70" i="13"/>
  <c r="V70" i="13"/>
  <c r="U70" i="13"/>
  <c r="AF70" i="13" s="1"/>
  <c r="S70" i="13"/>
  <c r="R70" i="13"/>
  <c r="Q70" i="13"/>
  <c r="P70" i="13"/>
  <c r="O70" i="13"/>
  <c r="N70" i="13"/>
  <c r="M70" i="13"/>
  <c r="L70" i="13"/>
  <c r="K70" i="13"/>
  <c r="J70" i="13"/>
  <c r="I70" i="13"/>
  <c r="H70" i="13"/>
  <c r="G70" i="13"/>
  <c r="F70" i="13"/>
  <c r="AD70" i="13" s="1"/>
  <c r="D70" i="13"/>
  <c r="AF69" i="13"/>
  <c r="Z69" i="13"/>
  <c r="Y69" i="13"/>
  <c r="X69" i="13"/>
  <c r="W69" i="13"/>
  <c r="V69" i="13"/>
  <c r="U69" i="13"/>
  <c r="S69" i="13"/>
  <c r="R69" i="13"/>
  <c r="Q69" i="13"/>
  <c r="P69" i="13"/>
  <c r="O69" i="13"/>
  <c r="N69" i="13"/>
  <c r="M69" i="13"/>
  <c r="L69" i="13"/>
  <c r="K69" i="13"/>
  <c r="J69" i="13"/>
  <c r="I69" i="13"/>
  <c r="H69" i="13"/>
  <c r="G69" i="13"/>
  <c r="F69" i="13"/>
  <c r="AD69" i="13" s="1"/>
  <c r="D69" i="13"/>
  <c r="AF68" i="13"/>
  <c r="Z68" i="13"/>
  <c r="Z76" i="13" s="1"/>
  <c r="Y68" i="13"/>
  <c r="Y76" i="13" s="1"/>
  <c r="X68" i="13"/>
  <c r="X76" i="13" s="1"/>
  <c r="W68" i="13"/>
  <c r="W76" i="13" s="1"/>
  <c r="V68" i="13"/>
  <c r="V76" i="13" s="1"/>
  <c r="U68" i="13"/>
  <c r="U76" i="13" s="1"/>
  <c r="AF76" i="13" s="1"/>
  <c r="S68" i="13"/>
  <c r="S76" i="13" s="1"/>
  <c r="R68" i="13"/>
  <c r="R76" i="13" s="1"/>
  <c r="Q68" i="13"/>
  <c r="Q76" i="13" s="1"/>
  <c r="P68" i="13"/>
  <c r="P76" i="13" s="1"/>
  <c r="O68" i="13"/>
  <c r="O76" i="13" s="1"/>
  <c r="N68" i="13"/>
  <c r="N76" i="13" s="1"/>
  <c r="M68" i="13"/>
  <c r="M76" i="13" s="1"/>
  <c r="L68" i="13"/>
  <c r="L76" i="13" s="1"/>
  <c r="K68" i="13"/>
  <c r="K76" i="13" s="1"/>
  <c r="J68" i="13"/>
  <c r="I68" i="13"/>
  <c r="I76" i="13" s="1"/>
  <c r="H68" i="13"/>
  <c r="H76" i="13" s="1"/>
  <c r="G68" i="13"/>
  <c r="G76" i="13" s="1"/>
  <c r="F68" i="13"/>
  <c r="AD68" i="13" s="1"/>
  <c r="D68" i="13"/>
  <c r="D76" i="13" s="1"/>
  <c r="P62" i="13"/>
  <c r="P61" i="13"/>
  <c r="P60" i="13"/>
  <c r="P59" i="13"/>
  <c r="P56" i="13"/>
  <c r="P55" i="13"/>
  <c r="P54" i="13"/>
  <c r="P53" i="13"/>
  <c r="P50" i="13"/>
  <c r="P49" i="13"/>
  <c r="P48" i="13"/>
  <c r="P47" i="13"/>
  <c r="P44" i="13"/>
  <c r="P43" i="13"/>
  <c r="P42" i="13"/>
  <c r="P41" i="13"/>
  <c r="P38" i="13"/>
  <c r="P37" i="13"/>
  <c r="P36" i="13"/>
  <c r="P35" i="13"/>
  <c r="P32" i="13"/>
  <c r="P31" i="13"/>
  <c r="P30" i="13"/>
  <c r="P29" i="13"/>
  <c r="P27" i="13"/>
  <c r="P26" i="13"/>
  <c r="P25" i="13"/>
  <c r="P24" i="13"/>
  <c r="P20" i="13"/>
  <c r="P18" i="13"/>
  <c r="P17" i="13"/>
  <c r="P16" i="13"/>
  <c r="P15" i="13"/>
  <c r="P19" i="13" s="1"/>
  <c r="P14" i="13"/>
  <c r="U8" i="13"/>
  <c r="N8" i="13"/>
  <c r="F8" i="13"/>
  <c r="U7" i="13"/>
  <c r="U6" i="13"/>
  <c r="F6" i="13"/>
  <c r="U5" i="13"/>
  <c r="F5" i="13"/>
  <c r="U4" i="13"/>
  <c r="AI87" i="11"/>
  <c r="BC85" i="11"/>
  <c r="R85" i="11"/>
  <c r="M85" i="11"/>
  <c r="I85" i="11"/>
  <c r="BC84" i="11"/>
  <c r="R84" i="11"/>
  <c r="M84" i="11"/>
  <c r="I84" i="11"/>
  <c r="BC83" i="11"/>
  <c r="R83" i="11"/>
  <c r="M83" i="11"/>
  <c r="I83" i="11"/>
  <c r="BC82" i="11"/>
  <c r="R82" i="11"/>
  <c r="M82" i="11"/>
  <c r="I82" i="11"/>
  <c r="BC81" i="11"/>
  <c r="R81" i="11"/>
  <c r="M81" i="11"/>
  <c r="I81" i="11"/>
  <c r="BC80" i="11"/>
  <c r="R80" i="11"/>
  <c r="M80" i="11"/>
  <c r="I80" i="11"/>
  <c r="BC79" i="11"/>
  <c r="R79" i="11"/>
  <c r="M79" i="11"/>
  <c r="I79" i="11"/>
  <c r="R78" i="11"/>
  <c r="M78" i="11"/>
  <c r="I78" i="11"/>
  <c r="R77" i="11"/>
  <c r="M77" i="11"/>
  <c r="I77" i="11"/>
  <c r="R76" i="11"/>
  <c r="M76" i="11"/>
  <c r="I76" i="11"/>
  <c r="R75" i="11"/>
  <c r="M75" i="11"/>
  <c r="I75" i="11"/>
  <c r="R74" i="11"/>
  <c r="M74" i="11"/>
  <c r="I74" i="11"/>
  <c r="BC69" i="11"/>
  <c r="AY69" i="11"/>
  <c r="W69" i="11"/>
  <c r="BS67" i="11"/>
  <c r="BS85" i="11" s="1"/>
  <c r="BO67" i="11"/>
  <c r="BK67" i="11"/>
  <c r="BG67" i="11"/>
  <c r="BC67" i="11"/>
  <c r="AY67" i="11"/>
  <c r="AU67" i="11"/>
  <c r="AQ67" i="11"/>
  <c r="AM67" i="11"/>
  <c r="AI67" i="11"/>
  <c r="AE67" i="11"/>
  <c r="AA67" i="11"/>
  <c r="W67" i="11"/>
  <c r="R67" i="11"/>
  <c r="M67" i="11"/>
  <c r="I67" i="11"/>
  <c r="BS66" i="11"/>
  <c r="BS84" i="11" s="1"/>
  <c r="BO66" i="11"/>
  <c r="BK66" i="11"/>
  <c r="BG66" i="11"/>
  <c r="BC66" i="11"/>
  <c r="AY66" i="11"/>
  <c r="AU66" i="11"/>
  <c r="AQ66" i="11"/>
  <c r="AM66" i="11"/>
  <c r="AI66" i="11"/>
  <c r="AE66" i="11"/>
  <c r="AA66" i="11"/>
  <c r="W66" i="11"/>
  <c r="R66" i="11"/>
  <c r="M66" i="11"/>
  <c r="I66" i="11"/>
  <c r="BS65" i="11"/>
  <c r="BS83" i="11" s="1"/>
  <c r="BO65" i="11"/>
  <c r="BK65" i="11"/>
  <c r="BG65" i="11"/>
  <c r="BC65" i="11"/>
  <c r="AY65" i="11"/>
  <c r="AU65" i="11"/>
  <c r="AQ65" i="11"/>
  <c r="AM65" i="11"/>
  <c r="AI65" i="11"/>
  <c r="AE65" i="11"/>
  <c r="AA65" i="11"/>
  <c r="W65" i="11"/>
  <c r="R65" i="11"/>
  <c r="M65" i="11"/>
  <c r="I65" i="11"/>
  <c r="BS64" i="11"/>
  <c r="BS82" i="11" s="1"/>
  <c r="BO64" i="11"/>
  <c r="BK64" i="11"/>
  <c r="BG64" i="11"/>
  <c r="BC64" i="11"/>
  <c r="AY64" i="11"/>
  <c r="AU64" i="11"/>
  <c r="AQ64" i="11"/>
  <c r="AM64" i="11"/>
  <c r="AI64" i="11"/>
  <c r="AE64" i="11"/>
  <c r="AA64" i="11"/>
  <c r="W64" i="11"/>
  <c r="R64" i="11"/>
  <c r="M64" i="11"/>
  <c r="I64" i="11"/>
  <c r="BS63" i="11"/>
  <c r="BS81" i="11" s="1"/>
  <c r="BO63" i="11"/>
  <c r="BK63" i="11"/>
  <c r="BG63" i="11"/>
  <c r="BC63" i="11"/>
  <c r="AY63" i="11"/>
  <c r="AU63" i="11"/>
  <c r="AQ63" i="11"/>
  <c r="AM63" i="11"/>
  <c r="AI63" i="11"/>
  <c r="AE63" i="11"/>
  <c r="AA63" i="11"/>
  <c r="W63" i="11"/>
  <c r="R63" i="11"/>
  <c r="M63" i="11"/>
  <c r="I63" i="11"/>
  <c r="BS62" i="11"/>
  <c r="BS80" i="11" s="1"/>
  <c r="BO62" i="11"/>
  <c r="BK62" i="11"/>
  <c r="BG62" i="11"/>
  <c r="BC62" i="11"/>
  <c r="AY62" i="11"/>
  <c r="AU62" i="11"/>
  <c r="AQ62" i="11"/>
  <c r="AM62" i="11"/>
  <c r="AI62" i="11"/>
  <c r="AE62" i="11"/>
  <c r="AA62" i="11"/>
  <c r="W62" i="11"/>
  <c r="R62" i="11"/>
  <c r="M62" i="11"/>
  <c r="I62" i="11"/>
  <c r="BS61" i="11"/>
  <c r="BO61" i="11"/>
  <c r="BK61" i="11"/>
  <c r="BG61" i="11"/>
  <c r="BC61" i="11"/>
  <c r="AY61" i="11"/>
  <c r="AU61" i="11"/>
  <c r="AQ61" i="11"/>
  <c r="AM61" i="11"/>
  <c r="AI61" i="11"/>
  <c r="AE61" i="11"/>
  <c r="AA61" i="11"/>
  <c r="W61" i="11"/>
  <c r="R61" i="11"/>
  <c r="M61" i="11"/>
  <c r="I61" i="11"/>
  <c r="BS60" i="11"/>
  <c r="BO60" i="11"/>
  <c r="BK60" i="11"/>
  <c r="BG60" i="11"/>
  <c r="BC60" i="11"/>
  <c r="AY60" i="11"/>
  <c r="AU60" i="11"/>
  <c r="AQ60" i="11"/>
  <c r="AM60" i="11"/>
  <c r="AI60" i="11"/>
  <c r="AE60" i="11"/>
  <c r="AA60" i="11"/>
  <c r="W60" i="11"/>
  <c r="R60" i="11"/>
  <c r="M60" i="11"/>
  <c r="I60" i="11"/>
  <c r="BS59" i="11"/>
  <c r="BO59" i="11"/>
  <c r="BK59" i="11"/>
  <c r="BG59" i="11"/>
  <c r="BC59" i="11"/>
  <c r="AY59" i="11"/>
  <c r="AU59" i="11"/>
  <c r="AQ59" i="11"/>
  <c r="AM59" i="11"/>
  <c r="AI59" i="11"/>
  <c r="AE59" i="11"/>
  <c r="AA59" i="11"/>
  <c r="W59" i="11"/>
  <c r="R59" i="11"/>
  <c r="M59" i="11"/>
  <c r="I59" i="11"/>
  <c r="BS58" i="11"/>
  <c r="BO58" i="11"/>
  <c r="BK58" i="11"/>
  <c r="BG58" i="11"/>
  <c r="BC58" i="11"/>
  <c r="AY58" i="11"/>
  <c r="AU58" i="11"/>
  <c r="AQ58" i="11"/>
  <c r="AM58" i="11"/>
  <c r="AI58" i="11"/>
  <c r="AE58" i="11"/>
  <c r="AA58" i="11"/>
  <c r="W58" i="11"/>
  <c r="R58" i="11"/>
  <c r="M58" i="11"/>
  <c r="I58" i="11"/>
  <c r="BS57" i="11"/>
  <c r="BO57" i="11"/>
  <c r="BK57" i="11"/>
  <c r="BG57" i="11"/>
  <c r="BC57" i="11"/>
  <c r="AY57" i="11"/>
  <c r="AU57" i="11"/>
  <c r="AQ57" i="11"/>
  <c r="AM57" i="11"/>
  <c r="AI57" i="11"/>
  <c r="AE57" i="11"/>
  <c r="AA57" i="11"/>
  <c r="W57" i="11"/>
  <c r="R57" i="11"/>
  <c r="M57" i="11"/>
  <c r="I57" i="11"/>
  <c r="BS56" i="11"/>
  <c r="BS69" i="11" s="1"/>
  <c r="BO56" i="11"/>
  <c r="BO69" i="11" s="1"/>
  <c r="BK56" i="11"/>
  <c r="BK69" i="11" s="1"/>
  <c r="BG56" i="11"/>
  <c r="BG69" i="11" s="1"/>
  <c r="BC56" i="11"/>
  <c r="AY56" i="11"/>
  <c r="AU56" i="11"/>
  <c r="AU69" i="11" s="1"/>
  <c r="AQ56" i="11"/>
  <c r="AQ69" i="11" s="1"/>
  <c r="AM56" i="11"/>
  <c r="AM69" i="11" s="1"/>
  <c r="AI56" i="11"/>
  <c r="AI69" i="11" s="1"/>
  <c r="AE56" i="11"/>
  <c r="AE69" i="11" s="1"/>
  <c r="AA56" i="11"/>
  <c r="AA69" i="11" s="1"/>
  <c r="W56" i="11"/>
  <c r="R56" i="11"/>
  <c r="M56" i="11"/>
  <c r="I56" i="11"/>
  <c r="BS52" i="11"/>
  <c r="BG52" i="11"/>
  <c r="AQ52" i="11"/>
  <c r="AM52" i="11"/>
  <c r="BS50" i="11"/>
  <c r="BO50" i="11"/>
  <c r="BK50" i="11"/>
  <c r="BG50" i="11"/>
  <c r="BC50" i="11"/>
  <c r="AY50" i="11"/>
  <c r="AU50" i="11"/>
  <c r="AQ50" i="11"/>
  <c r="AM50" i="11"/>
  <c r="AI50" i="11"/>
  <c r="AE50" i="11"/>
  <c r="AA50" i="11"/>
  <c r="W50" i="11"/>
  <c r="R50" i="11"/>
  <c r="M50" i="11"/>
  <c r="I50" i="11"/>
  <c r="BS49" i="11"/>
  <c r="BO49" i="11"/>
  <c r="BK49" i="11"/>
  <c r="BG49" i="11"/>
  <c r="BC49" i="11"/>
  <c r="AY49" i="11"/>
  <c r="AU49" i="11"/>
  <c r="AQ49" i="11"/>
  <c r="AM49" i="11"/>
  <c r="AI49" i="11"/>
  <c r="AE49" i="11"/>
  <c r="AA49" i="11"/>
  <c r="W49" i="11"/>
  <c r="R49" i="11"/>
  <c r="M49" i="11"/>
  <c r="I49" i="11"/>
  <c r="BS48" i="11"/>
  <c r="BO48" i="11"/>
  <c r="BK48" i="11"/>
  <c r="BG48" i="11"/>
  <c r="BC48" i="11"/>
  <c r="AY48" i="11"/>
  <c r="AU48" i="11"/>
  <c r="AQ48" i="11"/>
  <c r="AM48" i="11"/>
  <c r="AI48" i="11"/>
  <c r="AE48" i="11"/>
  <c r="AA48" i="11"/>
  <c r="W48" i="11"/>
  <c r="R48" i="11"/>
  <c r="M48" i="11"/>
  <c r="I48" i="11"/>
  <c r="BS47" i="11"/>
  <c r="BO47" i="11"/>
  <c r="BK47" i="11"/>
  <c r="BG47" i="11"/>
  <c r="BC47" i="11"/>
  <c r="AY47" i="11"/>
  <c r="AU47" i="11"/>
  <c r="AQ47" i="11"/>
  <c r="AM47" i="11"/>
  <c r="AI47" i="11"/>
  <c r="AE47" i="11"/>
  <c r="AA47" i="11"/>
  <c r="W47" i="11"/>
  <c r="R47" i="11"/>
  <c r="M47" i="11"/>
  <c r="I47" i="11"/>
  <c r="BS46" i="11"/>
  <c r="BO46" i="11"/>
  <c r="BK46" i="11"/>
  <c r="BG46" i="11"/>
  <c r="BC46" i="11"/>
  <c r="AY46" i="11"/>
  <c r="AU46" i="11"/>
  <c r="AQ46" i="11"/>
  <c r="AM46" i="11"/>
  <c r="AI46" i="11"/>
  <c r="AE46" i="11"/>
  <c r="AA46" i="11"/>
  <c r="W46" i="11"/>
  <c r="R46" i="11"/>
  <c r="M46" i="11"/>
  <c r="I46" i="11"/>
  <c r="BS45" i="11"/>
  <c r="BO45" i="11"/>
  <c r="BK45" i="11"/>
  <c r="BG45" i="11"/>
  <c r="BC45" i="11"/>
  <c r="AY45" i="11"/>
  <c r="AU45" i="11"/>
  <c r="AQ45" i="11"/>
  <c r="AM45" i="11"/>
  <c r="AI45" i="11"/>
  <c r="AE45" i="11"/>
  <c r="AA45" i="11"/>
  <c r="W45" i="11"/>
  <c r="R45" i="11"/>
  <c r="M45" i="11"/>
  <c r="I45" i="11"/>
  <c r="BS44" i="11"/>
  <c r="BO44" i="11"/>
  <c r="BK44" i="11"/>
  <c r="BG44" i="11"/>
  <c r="BC44" i="11"/>
  <c r="AY44" i="11"/>
  <c r="AU44" i="11"/>
  <c r="AQ44" i="11"/>
  <c r="AM44" i="11"/>
  <c r="AI44" i="11"/>
  <c r="AE44" i="11"/>
  <c r="AA44" i="11"/>
  <c r="W44" i="11"/>
  <c r="R44" i="11"/>
  <c r="M44" i="11"/>
  <c r="I44" i="11"/>
  <c r="BS43" i="11"/>
  <c r="BO43" i="11"/>
  <c r="BK43" i="11"/>
  <c r="BG43" i="11"/>
  <c r="BC43" i="11"/>
  <c r="AY43" i="11"/>
  <c r="AU43" i="11"/>
  <c r="AQ43" i="11"/>
  <c r="AM43" i="11"/>
  <c r="AI43" i="11"/>
  <c r="AE43" i="11"/>
  <c r="AA43" i="11"/>
  <c r="W43" i="11"/>
  <c r="R43" i="11"/>
  <c r="M43" i="11"/>
  <c r="I43" i="11"/>
  <c r="BS42" i="11"/>
  <c r="BO42" i="11"/>
  <c r="BK42" i="11"/>
  <c r="BG42" i="11"/>
  <c r="BC42" i="11"/>
  <c r="AY42" i="11"/>
  <c r="AU42" i="11"/>
  <c r="AQ42" i="11"/>
  <c r="AM42" i="11"/>
  <c r="AI42" i="11"/>
  <c r="AE42" i="11"/>
  <c r="AA42" i="11"/>
  <c r="W42" i="11"/>
  <c r="R42" i="11"/>
  <c r="M42" i="11"/>
  <c r="I42" i="11"/>
  <c r="BS41" i="11"/>
  <c r="BO41" i="11"/>
  <c r="BK41" i="11"/>
  <c r="BG41" i="11"/>
  <c r="BC41" i="11"/>
  <c r="AY41" i="11"/>
  <c r="AU41" i="11"/>
  <c r="AQ41" i="11"/>
  <c r="AM41" i="11"/>
  <c r="AI41" i="11"/>
  <c r="AE41" i="11"/>
  <c r="AA41" i="11"/>
  <c r="W41" i="11"/>
  <c r="R41" i="11"/>
  <c r="M41" i="11"/>
  <c r="I41" i="11"/>
  <c r="BS40" i="11"/>
  <c r="BO40" i="11"/>
  <c r="BK40" i="11"/>
  <c r="BG40" i="11"/>
  <c r="BC40" i="11"/>
  <c r="AY40" i="11"/>
  <c r="AU40" i="11"/>
  <c r="AQ40" i="11"/>
  <c r="AM40" i="11"/>
  <c r="AI40" i="11"/>
  <c r="AE40" i="11"/>
  <c r="AA40" i="11"/>
  <c r="W40" i="11"/>
  <c r="R40" i="11"/>
  <c r="M40" i="11"/>
  <c r="I40" i="11"/>
  <c r="BS39" i="11"/>
  <c r="BO39" i="11"/>
  <c r="BO52" i="11" s="1"/>
  <c r="BK39" i="11"/>
  <c r="BK52" i="11" s="1"/>
  <c r="BG39" i="11"/>
  <c r="BC39" i="11"/>
  <c r="BC52" i="11" s="1"/>
  <c r="AY39" i="11"/>
  <c r="AY52" i="11" s="1"/>
  <c r="AU39" i="11"/>
  <c r="AU52" i="11" s="1"/>
  <c r="AQ39" i="11"/>
  <c r="AM39" i="11"/>
  <c r="AI39" i="11"/>
  <c r="AI52" i="11" s="1"/>
  <c r="AE39" i="11"/>
  <c r="AE52" i="11" s="1"/>
  <c r="AA39" i="11"/>
  <c r="AA52" i="11" s="1"/>
  <c r="W39" i="11"/>
  <c r="W52" i="11" s="1"/>
  <c r="R39" i="11"/>
  <c r="M39" i="11"/>
  <c r="I39" i="11"/>
  <c r="BK35" i="11"/>
  <c r="BG35" i="11"/>
  <c r="AE35" i="11"/>
  <c r="AA35" i="11"/>
  <c r="BS33" i="11"/>
  <c r="BO33" i="11"/>
  <c r="BK33" i="11"/>
  <c r="BG33" i="11"/>
  <c r="BC33" i="11"/>
  <c r="AY33" i="11"/>
  <c r="AY85" i="11" s="1"/>
  <c r="AU33" i="11"/>
  <c r="AQ33" i="11"/>
  <c r="AM33" i="11"/>
  <c r="AI33" i="11"/>
  <c r="AE33" i="11"/>
  <c r="AA33" i="11"/>
  <c r="W33" i="11"/>
  <c r="R33" i="11"/>
  <c r="M33" i="11"/>
  <c r="I33" i="11"/>
  <c r="BS32" i="11"/>
  <c r="BO32" i="11"/>
  <c r="BK32" i="11"/>
  <c r="BG32" i="11"/>
  <c r="BC32" i="11"/>
  <c r="AY32" i="11"/>
  <c r="AY84" i="11" s="1"/>
  <c r="AU32" i="11"/>
  <c r="AQ32" i="11"/>
  <c r="AM32" i="11"/>
  <c r="AI32" i="11"/>
  <c r="AE32" i="11"/>
  <c r="AA32" i="11"/>
  <c r="W32" i="11"/>
  <c r="R32" i="11"/>
  <c r="M32" i="11"/>
  <c r="I32" i="11"/>
  <c r="BS31" i="11"/>
  <c r="BO31" i="11"/>
  <c r="BK31" i="11"/>
  <c r="BG31" i="11"/>
  <c r="BC31" i="11"/>
  <c r="AY31" i="11"/>
  <c r="AY83" i="11" s="1"/>
  <c r="AU31" i="11"/>
  <c r="AQ31" i="11"/>
  <c r="AM31" i="11"/>
  <c r="AI31" i="11"/>
  <c r="AE31" i="11"/>
  <c r="AA31" i="11"/>
  <c r="W31" i="11"/>
  <c r="R31" i="11"/>
  <c r="M31" i="11"/>
  <c r="I31" i="11"/>
  <c r="BS30" i="11"/>
  <c r="BO30" i="11"/>
  <c r="BK30" i="11"/>
  <c r="BG30" i="11"/>
  <c r="BC30" i="11"/>
  <c r="AY30" i="11"/>
  <c r="AY82" i="11" s="1"/>
  <c r="AU30" i="11"/>
  <c r="AQ30" i="11"/>
  <c r="AM30" i="11"/>
  <c r="AI30" i="11"/>
  <c r="AE30" i="11"/>
  <c r="AA30" i="11"/>
  <c r="W30" i="11"/>
  <c r="R30" i="11"/>
  <c r="M30" i="11"/>
  <c r="I30" i="11"/>
  <c r="BS29" i="11"/>
  <c r="BO29" i="11"/>
  <c r="BK29" i="11"/>
  <c r="BG29" i="11"/>
  <c r="BC29" i="11"/>
  <c r="AY29" i="11"/>
  <c r="AY81" i="11" s="1"/>
  <c r="AU29" i="11"/>
  <c r="AQ29" i="11"/>
  <c r="AM29" i="11"/>
  <c r="AI29" i="11"/>
  <c r="AE29" i="11"/>
  <c r="AA29" i="11"/>
  <c r="W29" i="11"/>
  <c r="R29" i="11"/>
  <c r="M29" i="11"/>
  <c r="I29" i="11"/>
  <c r="BS28" i="11"/>
  <c r="BO28" i="11"/>
  <c r="BK28" i="11"/>
  <c r="BG28" i="11"/>
  <c r="BC28" i="11"/>
  <c r="AY28" i="11"/>
  <c r="AY80" i="11" s="1"/>
  <c r="AU28" i="11"/>
  <c r="AQ28" i="11"/>
  <c r="AM28" i="11"/>
  <c r="AI28" i="11"/>
  <c r="AE28" i="11"/>
  <c r="AA28" i="11"/>
  <c r="W28" i="11"/>
  <c r="R28" i="11"/>
  <c r="M28" i="11"/>
  <c r="I28" i="11"/>
  <c r="BS27" i="11"/>
  <c r="BO27" i="11"/>
  <c r="BK27" i="11"/>
  <c r="BG27" i="11"/>
  <c r="BC27" i="11"/>
  <c r="AY27" i="11"/>
  <c r="AY79" i="11" s="1"/>
  <c r="AU27" i="11"/>
  <c r="AQ27" i="11"/>
  <c r="AM27" i="11"/>
  <c r="AI27" i="11"/>
  <c r="AE27" i="11"/>
  <c r="AA27" i="11"/>
  <c r="W27" i="11"/>
  <c r="R27" i="11"/>
  <c r="M27" i="11"/>
  <c r="I27" i="11"/>
  <c r="BS26" i="11"/>
  <c r="BO26" i="11"/>
  <c r="BK26" i="11"/>
  <c r="BG26" i="11"/>
  <c r="BC26" i="11"/>
  <c r="AY26" i="11"/>
  <c r="AY78" i="11" s="1"/>
  <c r="AU26" i="11"/>
  <c r="AQ26" i="11"/>
  <c r="AM26" i="11"/>
  <c r="AI26" i="11"/>
  <c r="AE26" i="11"/>
  <c r="AA26" i="11"/>
  <c r="W26" i="11"/>
  <c r="R26" i="11"/>
  <c r="M26" i="11"/>
  <c r="I26" i="11"/>
  <c r="BS25" i="11"/>
  <c r="BO25" i="11"/>
  <c r="BK25" i="11"/>
  <c r="BG25" i="11"/>
  <c r="BC25" i="11"/>
  <c r="AY25" i="11"/>
  <c r="AY77" i="11" s="1"/>
  <c r="AU25" i="11"/>
  <c r="AQ25" i="11"/>
  <c r="AM25" i="11"/>
  <c r="AI25" i="11"/>
  <c r="AE25" i="11"/>
  <c r="AA25" i="11"/>
  <c r="W25" i="11"/>
  <c r="R25" i="11"/>
  <c r="M25" i="11"/>
  <c r="I25" i="11"/>
  <c r="BS24" i="11"/>
  <c r="BO24" i="11"/>
  <c r="BK24" i="11"/>
  <c r="BG24" i="11"/>
  <c r="BC24" i="11"/>
  <c r="AY24" i="11"/>
  <c r="AY76" i="11" s="1"/>
  <c r="AU24" i="11"/>
  <c r="AQ24" i="11"/>
  <c r="AM24" i="11"/>
  <c r="AI24" i="11"/>
  <c r="AE24" i="11"/>
  <c r="AA24" i="11"/>
  <c r="W24" i="11"/>
  <c r="R24" i="11"/>
  <c r="M24" i="11"/>
  <c r="I24" i="11"/>
  <c r="BS23" i="11"/>
  <c r="BO23" i="11"/>
  <c r="BK23" i="11"/>
  <c r="BG23" i="11"/>
  <c r="BC23" i="11"/>
  <c r="AY23" i="11"/>
  <c r="AY75" i="11" s="1"/>
  <c r="AU23" i="11"/>
  <c r="AQ23" i="11"/>
  <c r="AM23" i="11"/>
  <c r="AI23" i="11"/>
  <c r="AE23" i="11"/>
  <c r="AA23" i="11"/>
  <c r="W23" i="11"/>
  <c r="R23" i="11"/>
  <c r="M23" i="11"/>
  <c r="I23" i="11"/>
  <c r="BS22" i="11"/>
  <c r="BS35" i="11" s="1"/>
  <c r="BO22" i="11"/>
  <c r="BO35" i="11" s="1"/>
  <c r="BK22" i="11"/>
  <c r="BG22" i="11"/>
  <c r="BC22" i="11"/>
  <c r="BC35" i="11" s="1"/>
  <c r="AY22" i="11"/>
  <c r="AY35" i="11" s="1"/>
  <c r="AU22" i="11"/>
  <c r="AU35" i="11" s="1"/>
  <c r="AQ22" i="11"/>
  <c r="AQ35" i="11" s="1"/>
  <c r="AM22" i="11"/>
  <c r="AM35" i="11" s="1"/>
  <c r="AI22" i="11"/>
  <c r="AI35" i="11" s="1"/>
  <c r="AE22" i="11"/>
  <c r="AA22" i="11"/>
  <c r="W22" i="11"/>
  <c r="W35" i="11" s="1"/>
  <c r="R22" i="11"/>
  <c r="M22" i="11"/>
  <c r="I22" i="11"/>
  <c r="AY18" i="11"/>
  <c r="AU18" i="11"/>
  <c r="BS16" i="11"/>
  <c r="BO16" i="11"/>
  <c r="BO85" i="11" s="1"/>
  <c r="BK16" i="11"/>
  <c r="BK85" i="11" s="1"/>
  <c r="BG16" i="11"/>
  <c r="BG85" i="11" s="1"/>
  <c r="BC16" i="11"/>
  <c r="AY16" i="11"/>
  <c r="AU16" i="11"/>
  <c r="AQ16" i="11"/>
  <c r="AQ85" i="11" s="1"/>
  <c r="AM16" i="11"/>
  <c r="AM85" i="11" s="1"/>
  <c r="AI16" i="11"/>
  <c r="AI85" i="11" s="1"/>
  <c r="AE16" i="11"/>
  <c r="AE85" i="11" s="1"/>
  <c r="AA16" i="11"/>
  <c r="AA85" i="11" s="1"/>
  <c r="W16" i="11"/>
  <c r="W85" i="11" s="1"/>
  <c r="R16" i="11"/>
  <c r="M16" i="11"/>
  <c r="I16" i="11"/>
  <c r="BS15" i="11"/>
  <c r="BO15" i="11"/>
  <c r="BO84" i="11" s="1"/>
  <c r="BK15" i="11"/>
  <c r="BK84" i="11" s="1"/>
  <c r="BG15" i="11"/>
  <c r="BG84" i="11" s="1"/>
  <c r="BC15" i="11"/>
  <c r="AY15" i="11"/>
  <c r="AU15" i="11"/>
  <c r="AQ15" i="11"/>
  <c r="AQ84" i="11" s="1"/>
  <c r="AM15" i="11"/>
  <c r="AM84" i="11" s="1"/>
  <c r="AI15" i="11"/>
  <c r="AI84" i="11" s="1"/>
  <c r="AE15" i="11"/>
  <c r="AE84" i="11" s="1"/>
  <c r="AA15" i="11"/>
  <c r="AA84" i="11" s="1"/>
  <c r="W15" i="11"/>
  <c r="W84" i="11" s="1"/>
  <c r="R15" i="11"/>
  <c r="M15" i="11"/>
  <c r="I15" i="11"/>
  <c r="BS14" i="11"/>
  <c r="BO14" i="11"/>
  <c r="BO83" i="11" s="1"/>
  <c r="BK14" i="11"/>
  <c r="BK83" i="11" s="1"/>
  <c r="BG14" i="11"/>
  <c r="BG83" i="11" s="1"/>
  <c r="BC14" i="11"/>
  <c r="AY14" i="11"/>
  <c r="AU14" i="11"/>
  <c r="AQ14" i="11"/>
  <c r="AM14" i="11"/>
  <c r="AM83" i="11" s="1"/>
  <c r="AI14" i="11"/>
  <c r="AI83" i="11" s="1"/>
  <c r="AE14" i="11"/>
  <c r="AE83" i="11" s="1"/>
  <c r="AA14" i="11"/>
  <c r="AA83" i="11" s="1"/>
  <c r="W14" i="11"/>
  <c r="W83" i="11" s="1"/>
  <c r="R14" i="11"/>
  <c r="M14" i="11"/>
  <c r="I14" i="11"/>
  <c r="BS13" i="11"/>
  <c r="BO13" i="11"/>
  <c r="BO82" i="11" s="1"/>
  <c r="BK13" i="11"/>
  <c r="BK82" i="11" s="1"/>
  <c r="BG13" i="11"/>
  <c r="BG82" i="11" s="1"/>
  <c r="BC13" i="11"/>
  <c r="AY13" i="11"/>
  <c r="AU13" i="11"/>
  <c r="AQ13" i="11"/>
  <c r="AM13" i="11"/>
  <c r="AM82" i="11" s="1"/>
  <c r="AI13" i="11"/>
  <c r="AI82" i="11" s="1"/>
  <c r="AE13" i="11"/>
  <c r="AE82" i="11" s="1"/>
  <c r="AA13" i="11"/>
  <c r="AA82" i="11" s="1"/>
  <c r="W13" i="11"/>
  <c r="W82" i="11" s="1"/>
  <c r="R13" i="11"/>
  <c r="M13" i="11"/>
  <c r="I13" i="11"/>
  <c r="BS12" i="11"/>
  <c r="BO12" i="11"/>
  <c r="BO81" i="11" s="1"/>
  <c r="BK12" i="11"/>
  <c r="BK81" i="11" s="1"/>
  <c r="BG12" i="11"/>
  <c r="BG81" i="11" s="1"/>
  <c r="BC12" i="11"/>
  <c r="AY12" i="11"/>
  <c r="AU12" i="11"/>
  <c r="AQ12" i="11"/>
  <c r="AM12" i="11"/>
  <c r="AM81" i="11" s="1"/>
  <c r="AI12" i="11"/>
  <c r="AI81" i="11" s="1"/>
  <c r="AE12" i="11"/>
  <c r="AE81" i="11" s="1"/>
  <c r="AA12" i="11"/>
  <c r="AA81" i="11" s="1"/>
  <c r="W12" i="11"/>
  <c r="W81" i="11" s="1"/>
  <c r="R12" i="11"/>
  <c r="M12" i="11"/>
  <c r="I12" i="11"/>
  <c r="BS11" i="11"/>
  <c r="BO11" i="11"/>
  <c r="BO80" i="11" s="1"/>
  <c r="BK11" i="11"/>
  <c r="BK80" i="11" s="1"/>
  <c r="BG11" i="11"/>
  <c r="BG80" i="11" s="1"/>
  <c r="BC11" i="11"/>
  <c r="AY11" i="11"/>
  <c r="AU11" i="11"/>
  <c r="AQ11" i="11"/>
  <c r="AM11" i="11"/>
  <c r="AM80" i="11" s="1"/>
  <c r="AI11" i="11"/>
  <c r="AI80" i="11" s="1"/>
  <c r="AE11" i="11"/>
  <c r="AE80" i="11" s="1"/>
  <c r="AA11" i="11"/>
  <c r="AA80" i="11" s="1"/>
  <c r="W11" i="11"/>
  <c r="W80" i="11" s="1"/>
  <c r="R11" i="11"/>
  <c r="M11" i="11"/>
  <c r="I11" i="11"/>
  <c r="BS10" i="11"/>
  <c r="BS79" i="11" s="1"/>
  <c r="BO10" i="11"/>
  <c r="BO79" i="11" s="1"/>
  <c r="BK10" i="11"/>
  <c r="BK79" i="11" s="1"/>
  <c r="BG10" i="11"/>
  <c r="BG79" i="11" s="1"/>
  <c r="BC10" i="11"/>
  <c r="AY10" i="11"/>
  <c r="AU10" i="11"/>
  <c r="AQ10" i="11"/>
  <c r="AM10" i="11"/>
  <c r="AM79" i="11" s="1"/>
  <c r="AI10" i="11"/>
  <c r="AI79" i="11" s="1"/>
  <c r="AE10" i="11"/>
  <c r="AE79" i="11" s="1"/>
  <c r="AA10" i="11"/>
  <c r="AA79" i="11" s="1"/>
  <c r="W10" i="11"/>
  <c r="W79" i="11" s="1"/>
  <c r="R10" i="11"/>
  <c r="M10" i="11"/>
  <c r="I10" i="11"/>
  <c r="BS9" i="11"/>
  <c r="BS78" i="11" s="1"/>
  <c r="BO9" i="11"/>
  <c r="BO78" i="11" s="1"/>
  <c r="BK9" i="11"/>
  <c r="BK78" i="11" s="1"/>
  <c r="BG9" i="11"/>
  <c r="BG78" i="11" s="1"/>
  <c r="BC9" i="11"/>
  <c r="BC78" i="11" s="1"/>
  <c r="AY9" i="11"/>
  <c r="AU9" i="11"/>
  <c r="AQ9" i="11"/>
  <c r="AM9" i="11"/>
  <c r="AM78" i="11" s="1"/>
  <c r="AI9" i="11"/>
  <c r="AI78" i="11" s="1"/>
  <c r="AE9" i="11"/>
  <c r="AE78" i="11" s="1"/>
  <c r="AA9" i="11"/>
  <c r="AA78" i="11" s="1"/>
  <c r="W9" i="11"/>
  <c r="W78" i="11" s="1"/>
  <c r="R9" i="11"/>
  <c r="M9" i="11"/>
  <c r="I9" i="11"/>
  <c r="BS8" i="11"/>
  <c r="BS77" i="11" s="1"/>
  <c r="BO8" i="11"/>
  <c r="BO77" i="11" s="1"/>
  <c r="BK8" i="11"/>
  <c r="BK77" i="11" s="1"/>
  <c r="BG8" i="11"/>
  <c r="BG77" i="11" s="1"/>
  <c r="BC8" i="11"/>
  <c r="BC77" i="11" s="1"/>
  <c r="AY8" i="11"/>
  <c r="AU8" i="11"/>
  <c r="AQ8" i="11"/>
  <c r="AM8" i="11"/>
  <c r="AM77" i="11" s="1"/>
  <c r="AI8" i="11"/>
  <c r="AI77" i="11" s="1"/>
  <c r="AE8" i="11"/>
  <c r="AE77" i="11" s="1"/>
  <c r="AA8" i="11"/>
  <c r="AA77" i="11" s="1"/>
  <c r="W8" i="11"/>
  <c r="W77" i="11" s="1"/>
  <c r="R8" i="11"/>
  <c r="M8" i="11"/>
  <c r="I8" i="11"/>
  <c r="BS7" i="11"/>
  <c r="BS76" i="11" s="1"/>
  <c r="BO7" i="11"/>
  <c r="BO76" i="11" s="1"/>
  <c r="BK7" i="11"/>
  <c r="BK76" i="11" s="1"/>
  <c r="BG7" i="11"/>
  <c r="BG76" i="11" s="1"/>
  <c r="BC7" i="11"/>
  <c r="BC76" i="11" s="1"/>
  <c r="AY7" i="11"/>
  <c r="AU7" i="11"/>
  <c r="AQ7" i="11"/>
  <c r="AM7" i="11"/>
  <c r="AM76" i="11" s="1"/>
  <c r="AI7" i="11"/>
  <c r="AI76" i="11" s="1"/>
  <c r="AE7" i="11"/>
  <c r="AE76" i="11" s="1"/>
  <c r="AA7" i="11"/>
  <c r="AA76" i="11" s="1"/>
  <c r="W7" i="11"/>
  <c r="W76" i="11" s="1"/>
  <c r="R7" i="11"/>
  <c r="M7" i="11"/>
  <c r="I7" i="11"/>
  <c r="BS6" i="11"/>
  <c r="BS75" i="11" s="1"/>
  <c r="BO6" i="11"/>
  <c r="BO75" i="11" s="1"/>
  <c r="BK6" i="11"/>
  <c r="BK75" i="11" s="1"/>
  <c r="BG6" i="11"/>
  <c r="BG75" i="11" s="1"/>
  <c r="BC6" i="11"/>
  <c r="BC75" i="11" s="1"/>
  <c r="AY6" i="11"/>
  <c r="AU6" i="11"/>
  <c r="AQ6" i="11"/>
  <c r="AM6" i="11"/>
  <c r="AM75" i="11" s="1"/>
  <c r="AI6" i="11"/>
  <c r="AI75" i="11" s="1"/>
  <c r="AE6" i="11"/>
  <c r="AE75" i="11" s="1"/>
  <c r="AA6" i="11"/>
  <c r="AA75" i="11" s="1"/>
  <c r="W6" i="11"/>
  <c r="W75" i="11" s="1"/>
  <c r="R6" i="11"/>
  <c r="M6" i="11"/>
  <c r="I6" i="11"/>
  <c r="BS5" i="11"/>
  <c r="BS18" i="11" s="1"/>
  <c r="BO5" i="11"/>
  <c r="BO74" i="11" s="1"/>
  <c r="BO87" i="11" s="1"/>
  <c r="BK5" i="11"/>
  <c r="BK18" i="11" s="1"/>
  <c r="BG5" i="11"/>
  <c r="BG74" i="11" s="1"/>
  <c r="BG87" i="11" s="1"/>
  <c r="BC5" i="11"/>
  <c r="BC18" i="11" s="1"/>
  <c r="AY5" i="11"/>
  <c r="AU5" i="11"/>
  <c r="AQ5" i="11"/>
  <c r="AQ18" i="11" s="1"/>
  <c r="AM5" i="11"/>
  <c r="AM18" i="11" s="1"/>
  <c r="AI5" i="11"/>
  <c r="AI74" i="11" s="1"/>
  <c r="AE5" i="11"/>
  <c r="AE18" i="11" s="1"/>
  <c r="AA5" i="11"/>
  <c r="AA74" i="11" s="1"/>
  <c r="AA87" i="11" s="1"/>
  <c r="W5" i="11"/>
  <c r="W18" i="11" s="1"/>
  <c r="R5" i="11"/>
  <c r="M5" i="11"/>
  <c r="I5" i="11"/>
  <c r="K197" i="10"/>
  <c r="K196" i="10"/>
  <c r="K195" i="10"/>
  <c r="K194" i="10"/>
  <c r="K199" i="10" s="1"/>
  <c r="AV186" i="10"/>
  <c r="AM186" i="10"/>
  <c r="AD186" i="10"/>
  <c r="AV185" i="10"/>
  <c r="AM185" i="10"/>
  <c r="AD185" i="10"/>
  <c r="AV184" i="10"/>
  <c r="AM184" i="10"/>
  <c r="AD184" i="10"/>
  <c r="AV183" i="10"/>
  <c r="AM183" i="10"/>
  <c r="AD183" i="10"/>
  <c r="AV182" i="10"/>
  <c r="AM182" i="10"/>
  <c r="AD182" i="10"/>
  <c r="AV181" i="10"/>
  <c r="AM181" i="10"/>
  <c r="AD181" i="10"/>
  <c r="AV180" i="10"/>
  <c r="AM180" i="10"/>
  <c r="AD180" i="10"/>
  <c r="AV179" i="10"/>
  <c r="AM179" i="10"/>
  <c r="AD179" i="10"/>
  <c r="AV178" i="10"/>
  <c r="AM178" i="10"/>
  <c r="AD178" i="10"/>
  <c r="AQ171" i="10"/>
  <c r="W171" i="10"/>
  <c r="R171" i="10"/>
  <c r="M171" i="10"/>
  <c r="I171" i="10"/>
  <c r="AQ170" i="10"/>
  <c r="W170" i="10"/>
  <c r="R170" i="10"/>
  <c r="M170" i="10"/>
  <c r="I170" i="10"/>
  <c r="AQ169" i="10"/>
  <c r="W169" i="10"/>
  <c r="R169" i="10"/>
  <c r="M169" i="10"/>
  <c r="I169" i="10"/>
  <c r="BK168" i="10"/>
  <c r="AQ168" i="10"/>
  <c r="W168" i="10"/>
  <c r="R168" i="10"/>
  <c r="M168" i="10"/>
  <c r="I168" i="10"/>
  <c r="BK167" i="10"/>
  <c r="AQ167" i="10"/>
  <c r="W167" i="10"/>
  <c r="R167" i="10"/>
  <c r="M167" i="10"/>
  <c r="I167" i="10"/>
  <c r="BK166" i="10"/>
  <c r="AQ166" i="10"/>
  <c r="W166" i="10"/>
  <c r="R166" i="10"/>
  <c r="M166" i="10"/>
  <c r="I166" i="10"/>
  <c r="BK165" i="10"/>
  <c r="AQ165" i="10"/>
  <c r="W165" i="10"/>
  <c r="R165" i="10"/>
  <c r="M165" i="10"/>
  <c r="I165" i="10"/>
  <c r="BK164" i="10"/>
  <c r="AQ164" i="10"/>
  <c r="W164" i="10"/>
  <c r="R164" i="10"/>
  <c r="M164" i="10"/>
  <c r="I164" i="10"/>
  <c r="BK163" i="10"/>
  <c r="AQ163" i="10"/>
  <c r="W163" i="10"/>
  <c r="R163" i="10"/>
  <c r="M163" i="10"/>
  <c r="I163" i="10"/>
  <c r="BK162" i="10"/>
  <c r="AQ162" i="10"/>
  <c r="W162" i="10"/>
  <c r="R162" i="10"/>
  <c r="M162" i="10"/>
  <c r="I162" i="10"/>
  <c r="BK161" i="10"/>
  <c r="AQ161" i="10"/>
  <c r="AQ173" i="10" s="1"/>
  <c r="W161" i="10"/>
  <c r="R161" i="10"/>
  <c r="M161" i="10"/>
  <c r="I161" i="10"/>
  <c r="BK160" i="10"/>
  <c r="AQ160" i="10"/>
  <c r="W160" i="10"/>
  <c r="W173" i="10" s="1"/>
  <c r="R160" i="10"/>
  <c r="M160" i="10"/>
  <c r="I160" i="10"/>
  <c r="AF155" i="10"/>
  <c r="BC152" i="10"/>
  <c r="BC155" i="10" s="1"/>
  <c r="AF152" i="10"/>
  <c r="I152" i="10"/>
  <c r="I155" i="10" s="1"/>
  <c r="AF148" i="10"/>
  <c r="AF146" i="10"/>
  <c r="I146" i="10"/>
  <c r="AF145" i="10"/>
  <c r="I145" i="10"/>
  <c r="AO139" i="10"/>
  <c r="BS137" i="10"/>
  <c r="BM137" i="10"/>
  <c r="BG137" i="10"/>
  <c r="BA137" i="10"/>
  <c r="AU137" i="10"/>
  <c r="AO137" i="10"/>
  <c r="AI137" i="10"/>
  <c r="AC137" i="10"/>
  <c r="W137" i="10"/>
  <c r="BS136" i="10"/>
  <c r="BM136" i="10"/>
  <c r="BG136" i="10"/>
  <c r="BA136" i="10"/>
  <c r="AU136" i="10"/>
  <c r="AO136" i="10"/>
  <c r="AI136" i="10"/>
  <c r="AC136" i="10"/>
  <c r="W136" i="10"/>
  <c r="BS135" i="10"/>
  <c r="BM135" i="10"/>
  <c r="BG135" i="10"/>
  <c r="BG139" i="10" s="1"/>
  <c r="BA135" i="10"/>
  <c r="AU135" i="10"/>
  <c r="AO135" i="10"/>
  <c r="AI135" i="10"/>
  <c r="AC135" i="10"/>
  <c r="AC139" i="10" s="1"/>
  <c r="W135" i="10"/>
  <c r="BS134" i="10"/>
  <c r="BM134" i="10"/>
  <c r="BM139" i="10" s="1"/>
  <c r="BG134" i="10"/>
  <c r="BA134" i="10"/>
  <c r="AU134" i="10"/>
  <c r="AU139" i="10" s="1"/>
  <c r="AO134" i="10"/>
  <c r="AI134" i="10"/>
  <c r="AI139" i="10" s="1"/>
  <c r="AC134" i="10"/>
  <c r="W134" i="10"/>
  <c r="AO130" i="10"/>
  <c r="CK128" i="10"/>
  <c r="CE128" i="10"/>
  <c r="BY128" i="10"/>
  <c r="BS128" i="10"/>
  <c r="BM128" i="10"/>
  <c r="BG128" i="10"/>
  <c r="BA128" i="10"/>
  <c r="AU128" i="10"/>
  <c r="AO128" i="10"/>
  <c r="AI128" i="10"/>
  <c r="AC128" i="10"/>
  <c r="W128" i="10"/>
  <c r="CK127" i="10"/>
  <c r="CE127" i="10"/>
  <c r="BY127" i="10"/>
  <c r="BS127" i="10"/>
  <c r="BM127" i="10"/>
  <c r="BG127" i="10"/>
  <c r="BA127" i="10"/>
  <c r="AU127" i="10"/>
  <c r="AO127" i="10"/>
  <c r="AI127" i="10"/>
  <c r="AC127" i="10"/>
  <c r="W127" i="10"/>
  <c r="CK126" i="10"/>
  <c r="CE126" i="10"/>
  <c r="BY126" i="10"/>
  <c r="BS126" i="10"/>
  <c r="BM126" i="10"/>
  <c r="BG126" i="10"/>
  <c r="BA126" i="10"/>
  <c r="AU126" i="10"/>
  <c r="AO126" i="10"/>
  <c r="AI126" i="10"/>
  <c r="AC126" i="10"/>
  <c r="W126" i="10"/>
  <c r="CK125" i="10"/>
  <c r="CK130" i="10" s="1"/>
  <c r="CE125" i="10"/>
  <c r="BY125" i="10"/>
  <c r="BY130" i="10" s="1"/>
  <c r="BS125" i="10"/>
  <c r="BS130" i="10" s="1"/>
  <c r="BM125" i="10"/>
  <c r="BM130" i="10" s="1"/>
  <c r="BG125" i="10"/>
  <c r="BG130" i="10" s="1"/>
  <c r="BA125" i="10"/>
  <c r="BA130" i="10" s="1"/>
  <c r="AU125" i="10"/>
  <c r="AU130" i="10" s="1"/>
  <c r="AO125" i="10"/>
  <c r="AI125" i="10"/>
  <c r="AC125" i="10"/>
  <c r="AC130" i="10" s="1"/>
  <c r="W125" i="10"/>
  <c r="W130" i="10" s="1"/>
  <c r="AF115" i="10"/>
  <c r="AS114" i="10"/>
  <c r="AF114" i="10"/>
  <c r="W114" i="10"/>
  <c r="AS113" i="10"/>
  <c r="AF113" i="10"/>
  <c r="W113" i="10"/>
  <c r="AS112" i="10"/>
  <c r="AS115" i="10" s="1"/>
  <c r="AF112" i="10"/>
  <c r="W112" i="10"/>
  <c r="AS111" i="10"/>
  <c r="AF111" i="10"/>
  <c r="W111" i="10"/>
  <c r="U103" i="10"/>
  <c r="BW102" i="10"/>
  <c r="BQ102" i="10"/>
  <c r="BK102" i="10"/>
  <c r="BE102" i="10"/>
  <c r="AY102" i="10"/>
  <c r="AS102" i="10"/>
  <c r="AS103" i="10" s="1"/>
  <c r="AM102" i="10"/>
  <c r="AG102" i="10"/>
  <c r="AA102" i="10"/>
  <c r="U102" i="10"/>
  <c r="O102" i="10"/>
  <c r="I102" i="10"/>
  <c r="BW101" i="10"/>
  <c r="BW103" i="10" s="1"/>
  <c r="BQ101" i="10"/>
  <c r="BQ103" i="10" s="1"/>
  <c r="BK101" i="10"/>
  <c r="BK103" i="10" s="1"/>
  <c r="BE101" i="10"/>
  <c r="BE103" i="10" s="1"/>
  <c r="AY101" i="10"/>
  <c r="AY103" i="10" s="1"/>
  <c r="AS101" i="10"/>
  <c r="AM101" i="10"/>
  <c r="AG101" i="10"/>
  <c r="AG103" i="10" s="1"/>
  <c r="AA101" i="10"/>
  <c r="AA103" i="10" s="1"/>
  <c r="U101" i="10"/>
  <c r="O101" i="10"/>
  <c r="O103" i="10" s="1"/>
  <c r="I101" i="10"/>
  <c r="I103" i="10" s="1"/>
  <c r="Q97" i="10"/>
  <c r="M97" i="10"/>
  <c r="Q96" i="10"/>
  <c r="M96" i="10"/>
  <c r="Q95" i="10"/>
  <c r="M95" i="10"/>
  <c r="Q94" i="10"/>
  <c r="M94" i="10"/>
  <c r="Q93" i="10"/>
  <c r="M93" i="10"/>
  <c r="Q92" i="10"/>
  <c r="M92" i="10"/>
  <c r="Q91" i="10"/>
  <c r="M91" i="10"/>
  <c r="K87" i="10"/>
  <c r="K86" i="10"/>
  <c r="K85" i="10"/>
  <c r="K84" i="10"/>
  <c r="K83" i="10"/>
  <c r="V79" i="10"/>
  <c r="V78" i="10"/>
  <c r="V77" i="10"/>
  <c r="V76" i="10"/>
  <c r="V75" i="10"/>
  <c r="V74" i="10"/>
  <c r="V73" i="10"/>
  <c r="AU72" i="10"/>
  <c r="V72" i="10"/>
  <c r="V80" i="10" s="1"/>
  <c r="AU71" i="10"/>
  <c r="AU74" i="10" s="1"/>
  <c r="V70" i="10"/>
  <c r="V69" i="10"/>
  <c r="V68" i="10"/>
  <c r="V67" i="10"/>
  <c r="V66" i="10"/>
  <c r="V65" i="10"/>
  <c r="AU64" i="10"/>
  <c r="V64" i="10"/>
  <c r="AU63" i="10"/>
  <c r="AU66" i="10" s="1"/>
  <c r="V63" i="10"/>
  <c r="Q56" i="10"/>
  <c r="Q55" i="10"/>
  <c r="Q54" i="10"/>
  <c r="Q57" i="10" s="1"/>
  <c r="K50" i="10"/>
  <c r="U46" i="10"/>
  <c r="BB45" i="10"/>
  <c r="AX45" i="10"/>
  <c r="AT45" i="10"/>
  <c r="AK45" i="10"/>
  <c r="AG45" i="10"/>
  <c r="AC45" i="10"/>
  <c r="Y45" i="10"/>
  <c r="U45" i="10"/>
  <c r="Q45" i="10"/>
  <c r="M45" i="10"/>
  <c r="BB44" i="10"/>
  <c r="AX44" i="10"/>
  <c r="AT44" i="10"/>
  <c r="AK44" i="10"/>
  <c r="AG44" i="10"/>
  <c r="AC44" i="10"/>
  <c r="Y44" i="10"/>
  <c r="U44" i="10"/>
  <c r="Q44" i="10"/>
  <c r="M44" i="10"/>
  <c r="BB43" i="10"/>
  <c r="AX43" i="10"/>
  <c r="AT43" i="10"/>
  <c r="BF43" i="10" s="1"/>
  <c r="AK43" i="10"/>
  <c r="AG43" i="10"/>
  <c r="AC43" i="10"/>
  <c r="Y43" i="10"/>
  <c r="U43" i="10"/>
  <c r="Q43" i="10"/>
  <c r="M43" i="10"/>
  <c r="BB42" i="10"/>
  <c r="AX42" i="10"/>
  <c r="AT42" i="10"/>
  <c r="BF42" i="10" s="1"/>
  <c r="AK42" i="10"/>
  <c r="AG42" i="10"/>
  <c r="AC42" i="10"/>
  <c r="Y42" i="10"/>
  <c r="U42" i="10"/>
  <c r="Q42" i="10"/>
  <c r="M42" i="10"/>
  <c r="BB41" i="10"/>
  <c r="AX41" i="10"/>
  <c r="AT41" i="10"/>
  <c r="AK41" i="10"/>
  <c r="AG41" i="10"/>
  <c r="AC41" i="10"/>
  <c r="Y41" i="10"/>
  <c r="U41" i="10"/>
  <c r="Q41" i="10"/>
  <c r="M41" i="10"/>
  <c r="BB40" i="10"/>
  <c r="AX40" i="10"/>
  <c r="AT40" i="10"/>
  <c r="AK40" i="10"/>
  <c r="AG40" i="10"/>
  <c r="AC40" i="10"/>
  <c r="Y40" i="10"/>
  <c r="U40" i="10"/>
  <c r="Q40" i="10"/>
  <c r="M40" i="10"/>
  <c r="BB39" i="10"/>
  <c r="AX39" i="10"/>
  <c r="AT39" i="10"/>
  <c r="BF39" i="10" s="1"/>
  <c r="AK39" i="10"/>
  <c r="AG39" i="10"/>
  <c r="AC39" i="10"/>
  <c r="Y39" i="10"/>
  <c r="U39" i="10"/>
  <c r="Q39" i="10"/>
  <c r="M39" i="10"/>
  <c r="BB38" i="10"/>
  <c r="BB46" i="10" s="1"/>
  <c r="AX38" i="10"/>
  <c r="AX46" i="10" s="1"/>
  <c r="AT38" i="10"/>
  <c r="BF38" i="10" s="1"/>
  <c r="AK38" i="10"/>
  <c r="AK46" i="10" s="1"/>
  <c r="AG38" i="10"/>
  <c r="AC38" i="10"/>
  <c r="AC46" i="10" s="1"/>
  <c r="Y38" i="10"/>
  <c r="Y46" i="10" s="1"/>
  <c r="U38" i="10"/>
  <c r="Q38" i="10"/>
  <c r="Q46" i="10" s="1"/>
  <c r="M38" i="10"/>
  <c r="M46" i="10" s="1"/>
  <c r="BB32" i="10"/>
  <c r="AZ32" i="10"/>
  <c r="AX32" i="10"/>
  <c r="BF32" i="10" s="1"/>
  <c r="AV32" i="10"/>
  <c r="AT32" i="10"/>
  <c r="AR32" i="10"/>
  <c r="BD32" i="10" s="1"/>
  <c r="AK32" i="10"/>
  <c r="AI32" i="10"/>
  <c r="AG32" i="10"/>
  <c r="AE32" i="10"/>
  <c r="AC32" i="10"/>
  <c r="AA32" i="10"/>
  <c r="Y32" i="10"/>
  <c r="W32" i="10"/>
  <c r="U32" i="10"/>
  <c r="S32" i="10"/>
  <c r="Q32" i="10"/>
  <c r="AO32" i="10" s="1"/>
  <c r="O32" i="10"/>
  <c r="M32" i="10"/>
  <c r="K32" i="10"/>
  <c r="AM32" i="10" s="1"/>
  <c r="BD31" i="10"/>
  <c r="BB31" i="10"/>
  <c r="AZ31" i="10"/>
  <c r="AX31" i="10"/>
  <c r="BF31" i="10" s="1"/>
  <c r="AV31" i="10"/>
  <c r="AT31" i="10"/>
  <c r="AR31" i="10"/>
  <c r="AK31" i="10"/>
  <c r="AI31" i="10"/>
  <c r="AG31" i="10"/>
  <c r="AE31" i="10"/>
  <c r="AC31" i="10"/>
  <c r="AA31" i="10"/>
  <c r="Y31" i="10"/>
  <c r="W31" i="10"/>
  <c r="U31" i="10"/>
  <c r="S31" i="10"/>
  <c r="Q31" i="10"/>
  <c r="AO31" i="10" s="1"/>
  <c r="O31" i="10"/>
  <c r="M31" i="10"/>
  <c r="K31" i="10"/>
  <c r="AM31" i="10" s="1"/>
  <c r="BB30" i="10"/>
  <c r="AZ30" i="10"/>
  <c r="AX30" i="10"/>
  <c r="BF30" i="10" s="1"/>
  <c r="AV30" i="10"/>
  <c r="AT30" i="10"/>
  <c r="AR30" i="10"/>
  <c r="BD30" i="10" s="1"/>
  <c r="AK30" i="10"/>
  <c r="AI30" i="10"/>
  <c r="AG30" i="10"/>
  <c r="AE30" i="10"/>
  <c r="AC30" i="10"/>
  <c r="AA30" i="10"/>
  <c r="Y30" i="10"/>
  <c r="W30" i="10"/>
  <c r="AM30" i="10" s="1"/>
  <c r="U30" i="10"/>
  <c r="S30" i="10"/>
  <c r="Q30" i="10"/>
  <c r="O30" i="10"/>
  <c r="M30" i="10"/>
  <c r="K30" i="10"/>
  <c r="BD29" i="10"/>
  <c r="BB29" i="10"/>
  <c r="AZ29" i="10"/>
  <c r="AX29" i="10"/>
  <c r="AV29" i="10"/>
  <c r="AT29" i="10"/>
  <c r="AR29" i="10"/>
  <c r="AK29" i="10"/>
  <c r="AI29" i="10"/>
  <c r="AG29" i="10"/>
  <c r="AE29" i="10"/>
  <c r="AC29" i="10"/>
  <c r="AA29" i="10"/>
  <c r="Y29" i="10"/>
  <c r="W29" i="10"/>
  <c r="U29" i="10"/>
  <c r="S29" i="10"/>
  <c r="AM29" i="10" s="1"/>
  <c r="Q29" i="10"/>
  <c r="O29" i="10"/>
  <c r="M29" i="10"/>
  <c r="AO29" i="10" s="1"/>
  <c r="K29" i="10"/>
  <c r="BB28" i="10"/>
  <c r="AZ28" i="10"/>
  <c r="AZ33" i="10" s="1"/>
  <c r="AX28" i="10"/>
  <c r="AV28" i="10"/>
  <c r="AT28" i="10"/>
  <c r="AR28" i="10"/>
  <c r="BD28" i="10" s="1"/>
  <c r="AK28" i="10"/>
  <c r="AI28" i="10"/>
  <c r="AG28" i="10"/>
  <c r="AG33" i="10" s="1"/>
  <c r="AE28" i="10"/>
  <c r="AC28" i="10"/>
  <c r="AA28" i="10"/>
  <c r="Y28" i="10"/>
  <c r="W28" i="10"/>
  <c r="U28" i="10"/>
  <c r="S28" i="10"/>
  <c r="Q28" i="10"/>
  <c r="O28" i="10"/>
  <c r="M28" i="10"/>
  <c r="K28" i="10"/>
  <c r="AM28" i="10" s="1"/>
  <c r="BD27" i="10"/>
  <c r="BB27" i="10"/>
  <c r="AZ27" i="10"/>
  <c r="AX27" i="10"/>
  <c r="AV27" i="10"/>
  <c r="AT27" i="10"/>
  <c r="BF27" i="10" s="1"/>
  <c r="AR27" i="10"/>
  <c r="AK27" i="10"/>
  <c r="AI27" i="10"/>
  <c r="AG27" i="10"/>
  <c r="AE27" i="10"/>
  <c r="AC27" i="10"/>
  <c r="AA27" i="10"/>
  <c r="AA33" i="10" s="1"/>
  <c r="Y27" i="10"/>
  <c r="W27" i="10"/>
  <c r="U27" i="10"/>
  <c r="S27" i="10"/>
  <c r="Q27" i="10"/>
  <c r="O27" i="10"/>
  <c r="M27" i="10"/>
  <c r="AO27" i="10" s="1"/>
  <c r="K27" i="10"/>
  <c r="AM27" i="10" s="1"/>
  <c r="BB26" i="10"/>
  <c r="AZ26" i="10"/>
  <c r="AX26" i="10"/>
  <c r="AV26" i="10"/>
  <c r="AT26" i="10"/>
  <c r="BF26" i="10" s="1"/>
  <c r="AR26" i="10"/>
  <c r="BD26" i="10" s="1"/>
  <c r="AK26" i="10"/>
  <c r="AI26" i="10"/>
  <c r="AG26" i="10"/>
  <c r="AE26" i="10"/>
  <c r="AC26" i="10"/>
  <c r="AA26" i="10"/>
  <c r="Y26" i="10"/>
  <c r="W26" i="10"/>
  <c r="AM26" i="10" s="1"/>
  <c r="U26" i="10"/>
  <c r="S26" i="10"/>
  <c r="Q26" i="10"/>
  <c r="Q33" i="10" s="1"/>
  <c r="O26" i="10"/>
  <c r="M26" i="10"/>
  <c r="K26" i="10"/>
  <c r="BD25" i="10"/>
  <c r="BB25" i="10"/>
  <c r="BB33" i="10" s="1"/>
  <c r="AZ25" i="10"/>
  <c r="AX25" i="10"/>
  <c r="AX33" i="10" s="1"/>
  <c r="AV25" i="10"/>
  <c r="AV33" i="10" s="1"/>
  <c r="AT25" i="10"/>
  <c r="AR25" i="10"/>
  <c r="AR33" i="10" s="1"/>
  <c r="AK25" i="10"/>
  <c r="AK33" i="10" s="1"/>
  <c r="AI25" i="10"/>
  <c r="AI33" i="10" s="1"/>
  <c r="AG25" i="10"/>
  <c r="AE25" i="10"/>
  <c r="AE33" i="10" s="1"/>
  <c r="AC25" i="10"/>
  <c r="AA25" i="10"/>
  <c r="Y25" i="10"/>
  <c r="Y33" i="10" s="1"/>
  <c r="W25" i="10"/>
  <c r="W33" i="10" s="1"/>
  <c r="U25" i="10"/>
  <c r="U33" i="10" s="1"/>
  <c r="S25" i="10"/>
  <c r="S33" i="10" s="1"/>
  <c r="Q25" i="10"/>
  <c r="O25" i="10"/>
  <c r="M25" i="10"/>
  <c r="K25" i="10"/>
  <c r="K33" i="10" s="1"/>
  <c r="X16" i="10"/>
  <c r="X15" i="10"/>
  <c r="X14" i="10"/>
  <c r="X13" i="10"/>
  <c r="X18" i="10" s="1"/>
  <c r="X19" i="10" s="1"/>
  <c r="AF8" i="10"/>
  <c r="S8" i="10"/>
  <c r="K8" i="10"/>
  <c r="AF7" i="10"/>
  <c r="AF6" i="10"/>
  <c r="K6" i="10"/>
  <c r="AF5" i="10"/>
  <c r="K5" i="10"/>
  <c r="AF4" i="10"/>
  <c r="K4" i="10"/>
  <c r="A2" i="10"/>
  <c r="A1" i="10"/>
  <c r="A512" i="9"/>
  <c r="A511" i="9"/>
  <c r="A510" i="9"/>
  <c r="A509" i="9"/>
  <c r="A508" i="9"/>
  <c r="A507" i="9"/>
  <c r="A506" i="9"/>
  <c r="A505" i="9"/>
  <c r="A504" i="9"/>
  <c r="A503" i="9"/>
  <c r="A502" i="9"/>
  <c r="A501" i="9"/>
  <c r="A500" i="9"/>
  <c r="A499" i="9"/>
  <c r="A498" i="9"/>
  <c r="A497" i="9"/>
  <c r="A496" i="9"/>
  <c r="A495" i="9"/>
  <c r="A494" i="9"/>
  <c r="A493" i="9"/>
  <c r="A492" i="9"/>
  <c r="A491" i="9"/>
  <c r="A490" i="9"/>
  <c r="A489" i="9"/>
  <c r="A488" i="9"/>
  <c r="A487" i="9"/>
  <c r="A486" i="9"/>
  <c r="A485" i="9"/>
  <c r="A484" i="9"/>
  <c r="A483" i="9"/>
  <c r="A482" i="9"/>
  <c r="A481" i="9"/>
  <c r="A480" i="9"/>
  <c r="A479" i="9"/>
  <c r="A478" i="9"/>
  <c r="A477" i="9"/>
  <c r="A476" i="9"/>
  <c r="A475" i="9"/>
  <c r="A474" i="9"/>
  <c r="A473" i="9"/>
  <c r="A472" i="9"/>
  <c r="A471" i="9"/>
  <c r="A470" i="9"/>
  <c r="A469" i="9"/>
  <c r="A468" i="9"/>
  <c r="A467" i="9"/>
  <c r="A466" i="9"/>
  <c r="A465" i="9"/>
  <c r="A464" i="9"/>
  <c r="A463" i="9"/>
  <c r="A462" i="9"/>
  <c r="A461" i="9"/>
  <c r="A460" i="9"/>
  <c r="A459" i="9"/>
  <c r="A458" i="9"/>
  <c r="A457" i="9"/>
  <c r="A456" i="9"/>
  <c r="A455" i="9"/>
  <c r="A454" i="9"/>
  <c r="A453" i="9"/>
  <c r="A452" i="9"/>
  <c r="A451" i="9"/>
  <c r="A450" i="9"/>
  <c r="A449" i="9"/>
  <c r="A448" i="9"/>
  <c r="A447" i="9"/>
  <c r="A446" i="9"/>
  <c r="A445" i="9"/>
  <c r="A444" i="9"/>
  <c r="A443" i="9"/>
  <c r="A442" i="9"/>
  <c r="A441" i="9"/>
  <c r="A440" i="9"/>
  <c r="A439" i="9"/>
  <c r="A438" i="9"/>
  <c r="A437" i="9"/>
  <c r="A436" i="9"/>
  <c r="A435" i="9"/>
  <c r="A434" i="9"/>
  <c r="A433" i="9"/>
  <c r="A432" i="9"/>
  <c r="A431" i="9"/>
  <c r="A430" i="9"/>
  <c r="A429" i="9"/>
  <c r="A428" i="9"/>
  <c r="A427" i="9"/>
  <c r="A426" i="9"/>
  <c r="A425" i="9"/>
  <c r="A424" i="9"/>
  <c r="A423" i="9"/>
  <c r="A422" i="9"/>
  <c r="A421" i="9"/>
  <c r="A420" i="9"/>
  <c r="A419" i="9"/>
  <c r="A418" i="9"/>
  <c r="A417" i="9"/>
  <c r="A416" i="9"/>
  <c r="A415" i="9"/>
  <c r="A414" i="9"/>
  <c r="A413" i="9"/>
  <c r="A412" i="9"/>
  <c r="A411" i="9"/>
  <c r="A410" i="9"/>
  <c r="A409" i="9"/>
  <c r="A408" i="9"/>
  <c r="A407" i="9"/>
  <c r="A406" i="9"/>
  <c r="A405" i="9"/>
  <c r="A404" i="9"/>
  <c r="A403" i="9"/>
  <c r="A402" i="9"/>
  <c r="A401" i="9"/>
  <c r="A400" i="9"/>
  <c r="A399" i="9"/>
  <c r="A398" i="9"/>
  <c r="A397" i="9"/>
  <c r="A396" i="9"/>
  <c r="A395" i="9"/>
  <c r="A394" i="9"/>
  <c r="A393" i="9"/>
  <c r="A392" i="9"/>
  <c r="A391" i="9"/>
  <c r="A390" i="9"/>
  <c r="A389" i="9"/>
  <c r="A388" i="9"/>
  <c r="A387" i="9"/>
  <c r="A386" i="9"/>
  <c r="A385" i="9"/>
  <c r="A384" i="9"/>
  <c r="A383" i="9"/>
  <c r="A382" i="9"/>
  <c r="A381" i="9"/>
  <c r="A380" i="9"/>
  <c r="A379" i="9"/>
  <c r="A378" i="9"/>
  <c r="A377" i="9"/>
  <c r="A376" i="9"/>
  <c r="A375" i="9"/>
  <c r="A374" i="9"/>
  <c r="A373" i="9"/>
  <c r="A372" i="9"/>
  <c r="A371" i="9"/>
  <c r="A370" i="9"/>
  <c r="A369" i="9"/>
  <c r="A368" i="9"/>
  <c r="A367" i="9"/>
  <c r="A366" i="9"/>
  <c r="A365" i="9"/>
  <c r="A364" i="9"/>
  <c r="A363" i="9"/>
  <c r="A362" i="9"/>
  <c r="A361" i="9"/>
  <c r="A360" i="9"/>
  <c r="A359" i="9"/>
  <c r="A358" i="9"/>
  <c r="A357" i="9"/>
  <c r="A356" i="9"/>
  <c r="A355" i="9"/>
  <c r="A354" i="9"/>
  <c r="A353" i="9"/>
  <c r="A352" i="9"/>
  <c r="A351" i="9"/>
  <c r="A350" i="9"/>
  <c r="A349" i="9"/>
  <c r="A348" i="9"/>
  <c r="A347" i="9"/>
  <c r="A346"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X9" i="9"/>
  <c r="N9" i="9"/>
  <c r="F9" i="9"/>
  <c r="X8" i="9"/>
  <c r="X7" i="9"/>
  <c r="F7" i="9"/>
  <c r="X6" i="9"/>
  <c r="F6" i="9"/>
  <c r="X5" i="9"/>
  <c r="F5" i="9"/>
  <c r="A3" i="9"/>
  <c r="A2" i="9"/>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Z9" i="8"/>
  <c r="P9" i="8"/>
  <c r="H9" i="8"/>
  <c r="Z8" i="8"/>
  <c r="Z7" i="8"/>
  <c r="H7" i="8"/>
  <c r="Z6" i="8"/>
  <c r="H6" i="8"/>
  <c r="Z5" i="8"/>
  <c r="H5" i="8"/>
  <c r="A3" i="8"/>
  <c r="A2" i="8"/>
  <c r="A514" i="7"/>
  <c r="A513" i="7"/>
  <c r="A512" i="7"/>
  <c r="A511" i="7"/>
  <c r="A510" i="7"/>
  <c r="A509" i="7"/>
  <c r="A508" i="7"/>
  <c r="A507" i="7"/>
  <c r="A506" i="7"/>
  <c r="A505" i="7"/>
  <c r="A504" i="7"/>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I14" i="7"/>
  <c r="AH14" i="7"/>
  <c r="AG14" i="7"/>
  <c r="AF14" i="7"/>
  <c r="AE14" i="7"/>
  <c r="AD14" i="7"/>
  <c r="AC14" i="7"/>
  <c r="AB14" i="7"/>
  <c r="AA14" i="7"/>
  <c r="Z14" i="7"/>
  <c r="Y14" i="7"/>
  <c r="X14" i="7"/>
  <c r="Z9" i="7"/>
  <c r="P9" i="7"/>
  <c r="H9" i="7"/>
  <c r="Z8" i="7"/>
  <c r="Z7" i="7"/>
  <c r="H7" i="7"/>
  <c r="Z6" i="7"/>
  <c r="H6" i="7"/>
  <c r="Z5" i="7"/>
  <c r="H5" i="7"/>
  <c r="A3" i="7"/>
  <c r="A2" i="7"/>
  <c r="A534" i="6"/>
  <c r="A533" i="6"/>
  <c r="A532" i="6"/>
  <c r="A531" i="6"/>
  <c r="A530" i="6"/>
  <c r="A529" i="6"/>
  <c r="A528" i="6"/>
  <c r="A527" i="6"/>
  <c r="A526" i="6"/>
  <c r="A525" i="6"/>
  <c r="A524" i="6"/>
  <c r="A523" i="6"/>
  <c r="A522" i="6"/>
  <c r="A521" i="6"/>
  <c r="A520" i="6"/>
  <c r="A519" i="6"/>
  <c r="A518" i="6"/>
  <c r="A517" i="6"/>
  <c r="A516" i="6"/>
  <c r="A515" i="6"/>
  <c r="A514" i="6"/>
  <c r="A513" i="6"/>
  <c r="A512" i="6"/>
  <c r="A511" i="6"/>
  <c r="A510" i="6"/>
  <c r="A509" i="6"/>
  <c r="A508" i="6"/>
  <c r="A507" i="6"/>
  <c r="A506" i="6"/>
  <c r="A505" i="6"/>
  <c r="A504" i="6"/>
  <c r="A503" i="6"/>
  <c r="A502" i="6"/>
  <c r="A501" i="6"/>
  <c r="A500" i="6"/>
  <c r="A499" i="6"/>
  <c r="A498" i="6"/>
  <c r="A497" i="6"/>
  <c r="A496" i="6"/>
  <c r="A495" i="6"/>
  <c r="A494" i="6"/>
  <c r="A493" i="6"/>
  <c r="A492" i="6"/>
  <c r="A491" i="6"/>
  <c r="A490" i="6"/>
  <c r="A489" i="6"/>
  <c r="A488" i="6"/>
  <c r="A487" i="6"/>
  <c r="A486" i="6"/>
  <c r="A485" i="6"/>
  <c r="A484" i="6"/>
  <c r="A483" i="6"/>
  <c r="A482" i="6"/>
  <c r="A481" i="6"/>
  <c r="A480" i="6"/>
  <c r="A479" i="6"/>
  <c r="A478" i="6"/>
  <c r="A477" i="6"/>
  <c r="A476" i="6"/>
  <c r="A475" i="6"/>
  <c r="A474" i="6"/>
  <c r="A473" i="6"/>
  <c r="A472" i="6"/>
  <c r="A471" i="6"/>
  <c r="A470" i="6"/>
  <c r="A469" i="6"/>
  <c r="A468" i="6"/>
  <c r="A467" i="6"/>
  <c r="A466" i="6"/>
  <c r="A465" i="6"/>
  <c r="A464" i="6"/>
  <c r="A463" i="6"/>
  <c r="A462" i="6"/>
  <c r="A461" i="6"/>
  <c r="A460" i="6"/>
  <c r="A459" i="6"/>
  <c r="A458" i="6"/>
  <c r="A457" i="6"/>
  <c r="A456" i="6"/>
  <c r="A455" i="6"/>
  <c r="A454" i="6"/>
  <c r="A453" i="6"/>
  <c r="A452" i="6"/>
  <c r="A451" i="6"/>
  <c r="A450" i="6"/>
  <c r="A449" i="6"/>
  <c r="A448" i="6"/>
  <c r="A447" i="6"/>
  <c r="A446" i="6"/>
  <c r="A445" i="6"/>
  <c r="A444" i="6"/>
  <c r="A443" i="6"/>
  <c r="A442" i="6"/>
  <c r="A441" i="6"/>
  <c r="A440" i="6"/>
  <c r="A439" i="6"/>
  <c r="A438" i="6"/>
  <c r="A437" i="6"/>
  <c r="A436" i="6"/>
  <c r="A435" i="6"/>
  <c r="A434" i="6"/>
  <c r="A433" i="6"/>
  <c r="A432" i="6"/>
  <c r="A431" i="6"/>
  <c r="A430" i="6"/>
  <c r="A429" i="6"/>
  <c r="A428" i="6"/>
  <c r="A427" i="6"/>
  <c r="A426" i="6"/>
  <c r="A425" i="6"/>
  <c r="A424" i="6"/>
  <c r="A423" i="6"/>
  <c r="A422" i="6"/>
  <c r="A421" i="6"/>
  <c r="A420" i="6"/>
  <c r="A419" i="6"/>
  <c r="A418" i="6"/>
  <c r="A417" i="6"/>
  <c r="A416" i="6"/>
  <c r="A415" i="6"/>
  <c r="A414" i="6"/>
  <c r="A413" i="6"/>
  <c r="A412" i="6"/>
  <c r="A411" i="6"/>
  <c r="A410" i="6"/>
  <c r="A409" i="6"/>
  <c r="A408" i="6"/>
  <c r="A407" i="6"/>
  <c r="A406" i="6"/>
  <c r="A405" i="6"/>
  <c r="A404" i="6"/>
  <c r="A403" i="6"/>
  <c r="A402" i="6"/>
  <c r="A401" i="6"/>
  <c r="A400" i="6"/>
  <c r="A399" i="6"/>
  <c r="A398" i="6"/>
  <c r="A397" i="6"/>
  <c r="A396" i="6"/>
  <c r="A395" i="6"/>
  <c r="A394" i="6"/>
  <c r="A393" i="6"/>
  <c r="A392" i="6"/>
  <c r="A391" i="6"/>
  <c r="A390" i="6"/>
  <c r="A389" i="6"/>
  <c r="A388" i="6"/>
  <c r="A387" i="6"/>
  <c r="A386" i="6"/>
  <c r="A385" i="6"/>
  <c r="A384" i="6"/>
  <c r="A383" i="6"/>
  <c r="A382" i="6"/>
  <c r="A381" i="6"/>
  <c r="A380" i="6"/>
  <c r="A379" i="6"/>
  <c r="A378" i="6"/>
  <c r="A377" i="6"/>
  <c r="A376" i="6"/>
  <c r="A375" i="6"/>
  <c r="A374" i="6"/>
  <c r="A373" i="6"/>
  <c r="A372" i="6"/>
  <c r="A371" i="6"/>
  <c r="A370" i="6"/>
  <c r="A369" i="6"/>
  <c r="A368" i="6"/>
  <c r="A367" i="6"/>
  <c r="A366" i="6"/>
  <c r="A365" i="6"/>
  <c r="A364" i="6"/>
  <c r="A363" i="6"/>
  <c r="A362" i="6"/>
  <c r="A361" i="6"/>
  <c r="A360" i="6"/>
  <c r="A359" i="6"/>
  <c r="A358" i="6"/>
  <c r="A357" i="6"/>
  <c r="A356" i="6"/>
  <c r="A355" i="6"/>
  <c r="A354" i="6"/>
  <c r="A353" i="6"/>
  <c r="A352" i="6"/>
  <c r="A351" i="6"/>
  <c r="A350" i="6"/>
  <c r="A349" i="6"/>
  <c r="A348" i="6"/>
  <c r="A347" i="6"/>
  <c r="A346" i="6"/>
  <c r="A345" i="6"/>
  <c r="A344" i="6"/>
  <c r="A343" i="6"/>
  <c r="A342" i="6"/>
  <c r="A341" i="6"/>
  <c r="A340" i="6"/>
  <c r="A339" i="6"/>
  <c r="A338" i="6"/>
  <c r="A337" i="6"/>
  <c r="A336" i="6"/>
  <c r="A335" i="6"/>
  <c r="A334" i="6"/>
  <c r="A333" i="6"/>
  <c r="A332" i="6"/>
  <c r="A331" i="6"/>
  <c r="A330" i="6"/>
  <c r="A329" i="6"/>
  <c r="A328" i="6"/>
  <c r="A327" i="6"/>
  <c r="A326" i="6"/>
  <c r="A325" i="6"/>
  <c r="A324" i="6"/>
  <c r="A323" i="6"/>
  <c r="A322" i="6"/>
  <c r="A321" i="6"/>
  <c r="A320" i="6"/>
  <c r="A319" i="6"/>
  <c r="A318" i="6"/>
  <c r="A317" i="6"/>
  <c r="A316" i="6"/>
  <c r="A315" i="6"/>
  <c r="A314" i="6"/>
  <c r="A313" i="6"/>
  <c r="A312" i="6"/>
  <c r="A311" i="6"/>
  <c r="A310" i="6"/>
  <c r="A309" i="6"/>
  <c r="A308" i="6"/>
  <c r="A307" i="6"/>
  <c r="A306" i="6"/>
  <c r="A305" i="6"/>
  <c r="A304" i="6"/>
  <c r="A303" i="6"/>
  <c r="A302" i="6"/>
  <c r="A301" i="6"/>
  <c r="A300" i="6"/>
  <c r="A299" i="6"/>
  <c r="A298" i="6"/>
  <c r="A297" i="6"/>
  <c r="A296" i="6"/>
  <c r="A295" i="6"/>
  <c r="A294" i="6"/>
  <c r="A293" i="6"/>
  <c r="A292" i="6"/>
  <c r="A291" i="6"/>
  <c r="A290" i="6"/>
  <c r="A289" i="6"/>
  <c r="A288" i="6"/>
  <c r="A287" i="6"/>
  <c r="A286" i="6"/>
  <c r="A285" i="6"/>
  <c r="A284" i="6"/>
  <c r="A283" i="6"/>
  <c r="A282" i="6"/>
  <c r="A281" i="6"/>
  <c r="A280" i="6"/>
  <c r="A279" i="6"/>
  <c r="A278" i="6"/>
  <c r="A277" i="6"/>
  <c r="A276" i="6"/>
  <c r="A275" i="6"/>
  <c r="A274" i="6"/>
  <c r="A273" i="6"/>
  <c r="A272" i="6"/>
  <c r="A271" i="6"/>
  <c r="A270" i="6"/>
  <c r="A269" i="6"/>
  <c r="A268" i="6"/>
  <c r="A267" i="6"/>
  <c r="A266" i="6"/>
  <c r="A265" i="6"/>
  <c r="A264" i="6"/>
  <c r="A263" i="6"/>
  <c r="A262" i="6"/>
  <c r="A261" i="6"/>
  <c r="A260" i="6"/>
  <c r="A259" i="6"/>
  <c r="A258" i="6"/>
  <c r="A257" i="6"/>
  <c r="A256" i="6"/>
  <c r="A255" i="6"/>
  <c r="A254" i="6"/>
  <c r="A253" i="6"/>
  <c r="A252" i="6"/>
  <c r="A251" i="6"/>
  <c r="A250" i="6"/>
  <c r="A249" i="6"/>
  <c r="A248" i="6"/>
  <c r="A247" i="6"/>
  <c r="A246" i="6"/>
  <c r="A245" i="6"/>
  <c r="A244" i="6"/>
  <c r="A243" i="6"/>
  <c r="A242" i="6"/>
  <c r="A241" i="6"/>
  <c r="A240" i="6"/>
  <c r="A239" i="6"/>
  <c r="A238" i="6"/>
  <c r="A237" i="6"/>
  <c r="A236" i="6"/>
  <c r="A235" i="6"/>
  <c r="A234" i="6"/>
  <c r="A233" i="6"/>
  <c r="A232" i="6"/>
  <c r="A231" i="6"/>
  <c r="A230" i="6"/>
  <c r="A229" i="6"/>
  <c r="A228" i="6"/>
  <c r="A227" i="6"/>
  <c r="A226" i="6"/>
  <c r="A225" i="6"/>
  <c r="A224" i="6"/>
  <c r="A223" i="6"/>
  <c r="A222" i="6"/>
  <c r="A221" i="6"/>
  <c r="A220" i="6"/>
  <c r="A219" i="6"/>
  <c r="A218" i="6"/>
  <c r="A217" i="6"/>
  <c r="A216" i="6"/>
  <c r="A215" i="6"/>
  <c r="A214" i="6"/>
  <c r="A213" i="6"/>
  <c r="A212" i="6"/>
  <c r="A211" i="6"/>
  <c r="A210" i="6"/>
  <c r="A209" i="6"/>
  <c r="A208" i="6"/>
  <c r="A207" i="6"/>
  <c r="A206" i="6"/>
  <c r="A205" i="6"/>
  <c r="A204" i="6"/>
  <c r="A203" i="6"/>
  <c r="A202" i="6"/>
  <c r="A201" i="6"/>
  <c r="A200" i="6"/>
  <c r="A199" i="6"/>
  <c r="A198" i="6"/>
  <c r="A197" i="6"/>
  <c r="A196" i="6"/>
  <c r="A195" i="6"/>
  <c r="A194" i="6"/>
  <c r="A193" i="6"/>
  <c r="A192" i="6"/>
  <c r="A191" i="6"/>
  <c r="A190" i="6"/>
  <c r="A189" i="6"/>
  <c r="A188" i="6"/>
  <c r="A187" i="6"/>
  <c r="A186" i="6"/>
  <c r="A185" i="6"/>
  <c r="A184" i="6"/>
  <c r="A183" i="6"/>
  <c r="A182" i="6"/>
  <c r="A181" i="6"/>
  <c r="A180" i="6"/>
  <c r="A179" i="6"/>
  <c r="A178" i="6"/>
  <c r="A177" i="6"/>
  <c r="A176" i="6"/>
  <c r="A175" i="6"/>
  <c r="A174" i="6"/>
  <c r="A173" i="6"/>
  <c r="A172" i="6"/>
  <c r="A171" i="6"/>
  <c r="A170" i="6"/>
  <c r="A169" i="6"/>
  <c r="A168" i="6"/>
  <c r="A167" i="6"/>
  <c r="A166" i="6"/>
  <c r="A165" i="6"/>
  <c r="A164" i="6"/>
  <c r="A163" i="6"/>
  <c r="A162" i="6"/>
  <c r="A161" i="6"/>
  <c r="A160" i="6"/>
  <c r="A159" i="6"/>
  <c r="A158" i="6"/>
  <c r="A157" i="6"/>
  <c r="A156" i="6"/>
  <c r="A155" i="6"/>
  <c r="A154" i="6"/>
  <c r="A153" i="6"/>
  <c r="A152" i="6"/>
  <c r="A151" i="6"/>
  <c r="A150" i="6"/>
  <c r="A149" i="6"/>
  <c r="A148" i="6"/>
  <c r="A147" i="6"/>
  <c r="A146" i="6"/>
  <c r="A145" i="6"/>
  <c r="A144" i="6"/>
  <c r="A143" i="6"/>
  <c r="A142" i="6"/>
  <c r="A141" i="6"/>
  <c r="A140" i="6"/>
  <c r="A139" i="6"/>
  <c r="A138" i="6"/>
  <c r="A137" i="6"/>
  <c r="A136" i="6"/>
  <c r="A135" i="6"/>
  <c r="A134" i="6"/>
  <c r="A133" i="6"/>
  <c r="A132" i="6"/>
  <c r="A131" i="6"/>
  <c r="A130" i="6"/>
  <c r="A129" i="6"/>
  <c r="A128" i="6"/>
  <c r="A127" i="6"/>
  <c r="A126" i="6"/>
  <c r="A125" i="6"/>
  <c r="A124" i="6"/>
  <c r="A123" i="6"/>
  <c r="A122" i="6"/>
  <c r="A121" i="6"/>
  <c r="A120" i="6"/>
  <c r="A119" i="6"/>
  <c r="A118" i="6"/>
  <c r="A117" i="6"/>
  <c r="A116" i="6"/>
  <c r="A115" i="6"/>
  <c r="A114" i="6"/>
  <c r="A113" i="6"/>
  <c r="A112" i="6"/>
  <c r="A111" i="6"/>
  <c r="A110" i="6"/>
  <c r="A109" i="6"/>
  <c r="A108" i="6"/>
  <c r="A107" i="6"/>
  <c r="A106" i="6"/>
  <c r="A105" i="6"/>
  <c r="A104" i="6"/>
  <c r="A103" i="6"/>
  <c r="A102" i="6"/>
  <c r="A101" i="6"/>
  <c r="A100" i="6"/>
  <c r="A99" i="6"/>
  <c r="A98" i="6"/>
  <c r="A97" i="6"/>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Y14" i="6"/>
  <c r="AX14" i="6"/>
  <c r="AW14" i="6"/>
  <c r="AV14" i="6"/>
  <c r="AU14" i="6"/>
  <c r="AT14" i="6"/>
  <c r="AS14" i="6"/>
  <c r="AR14" i="6"/>
  <c r="AQ14" i="6"/>
  <c r="AP14" i="6"/>
  <c r="AO14" i="6"/>
  <c r="AN14" i="6"/>
  <c r="AO9" i="6"/>
  <c r="Z9" i="6"/>
  <c r="K9" i="6"/>
  <c r="AO8" i="6"/>
  <c r="AO7" i="6"/>
  <c r="K7" i="6"/>
  <c r="AO6" i="6"/>
  <c r="K6" i="6"/>
  <c r="AO5" i="6"/>
  <c r="K5" i="6"/>
  <c r="A3" i="6"/>
  <c r="A2" i="6"/>
  <c r="V1613" i="5"/>
  <c r="F1613" i="5"/>
  <c r="D1613" i="5"/>
  <c r="B1613" i="5"/>
  <c r="A1613" i="5"/>
  <c r="V1612" i="5"/>
  <c r="F1612" i="5"/>
  <c r="D1612" i="5"/>
  <c r="B1612" i="5"/>
  <c r="A1612" i="5"/>
  <c r="V1611" i="5"/>
  <c r="F1611" i="5"/>
  <c r="D1611" i="5"/>
  <c r="B1611" i="5"/>
  <c r="A1611" i="5"/>
  <c r="V1610" i="5"/>
  <c r="F1610" i="5"/>
  <c r="D1610" i="5"/>
  <c r="B1610" i="5"/>
  <c r="A1610" i="5"/>
  <c r="V1609" i="5"/>
  <c r="F1609" i="5"/>
  <c r="D1609" i="5"/>
  <c r="B1609" i="5"/>
  <c r="A1609" i="5"/>
  <c r="V1608" i="5"/>
  <c r="F1608" i="5"/>
  <c r="D1608" i="5"/>
  <c r="B1608" i="5"/>
  <c r="A1608" i="5"/>
  <c r="V1607" i="5"/>
  <c r="F1607" i="5"/>
  <c r="D1607" i="5"/>
  <c r="B1607" i="5"/>
  <c r="A1607" i="5"/>
  <c r="V1606" i="5"/>
  <c r="F1606" i="5"/>
  <c r="D1606" i="5"/>
  <c r="B1606" i="5"/>
  <c r="A1606" i="5"/>
  <c r="V1605" i="5"/>
  <c r="F1605" i="5"/>
  <c r="D1605" i="5"/>
  <c r="B1605" i="5"/>
  <c r="A1605" i="5"/>
  <c r="V1604" i="5"/>
  <c r="F1604" i="5"/>
  <c r="D1604" i="5"/>
  <c r="B1604" i="5"/>
  <c r="A1604" i="5"/>
  <c r="V1603" i="5"/>
  <c r="F1603" i="5"/>
  <c r="D1603" i="5"/>
  <c r="B1603" i="5"/>
  <c r="A1603" i="5"/>
  <c r="V1602" i="5"/>
  <c r="F1602" i="5"/>
  <c r="D1602" i="5"/>
  <c r="B1602" i="5"/>
  <c r="A1602" i="5"/>
  <c r="V1601" i="5"/>
  <c r="F1601" i="5"/>
  <c r="D1601" i="5"/>
  <c r="B1601" i="5"/>
  <c r="A1601" i="5"/>
  <c r="V1600" i="5"/>
  <c r="F1600" i="5"/>
  <c r="D1600" i="5"/>
  <c r="B1600" i="5"/>
  <c r="A1600" i="5"/>
  <c r="V1599" i="5"/>
  <c r="F1599" i="5"/>
  <c r="D1599" i="5"/>
  <c r="B1599" i="5"/>
  <c r="A1599" i="5"/>
  <c r="V1598" i="5"/>
  <c r="F1598" i="5"/>
  <c r="D1598" i="5"/>
  <c r="B1598" i="5"/>
  <c r="A1598" i="5"/>
  <c r="V1597" i="5"/>
  <c r="F1597" i="5"/>
  <c r="D1597" i="5"/>
  <c r="B1597" i="5"/>
  <c r="A1597" i="5"/>
  <c r="V1596" i="5"/>
  <c r="F1596" i="5"/>
  <c r="D1596" i="5"/>
  <c r="B1596" i="5"/>
  <c r="A1596" i="5"/>
  <c r="V1595" i="5"/>
  <c r="F1595" i="5"/>
  <c r="D1595" i="5"/>
  <c r="B1595" i="5"/>
  <c r="A1595" i="5"/>
  <c r="V1594" i="5"/>
  <c r="F1594" i="5"/>
  <c r="D1594" i="5"/>
  <c r="B1594" i="5"/>
  <c r="A1594" i="5"/>
  <c r="V1593" i="5"/>
  <c r="F1593" i="5"/>
  <c r="D1593" i="5"/>
  <c r="B1593" i="5"/>
  <c r="A1593" i="5"/>
  <c r="V1592" i="5"/>
  <c r="F1592" i="5"/>
  <c r="D1592" i="5"/>
  <c r="B1592" i="5"/>
  <c r="A1592" i="5"/>
  <c r="V1591" i="5"/>
  <c r="F1591" i="5"/>
  <c r="D1591" i="5"/>
  <c r="B1591" i="5"/>
  <c r="A1591" i="5"/>
  <c r="V1590" i="5"/>
  <c r="F1590" i="5"/>
  <c r="D1590" i="5"/>
  <c r="B1590" i="5"/>
  <c r="A1590" i="5"/>
  <c r="V1589" i="5"/>
  <c r="F1589" i="5"/>
  <c r="D1589" i="5"/>
  <c r="B1589" i="5"/>
  <c r="A1589" i="5"/>
  <c r="V1588" i="5"/>
  <c r="F1588" i="5"/>
  <c r="D1588" i="5"/>
  <c r="B1588" i="5"/>
  <c r="A1588" i="5"/>
  <c r="V1587" i="5"/>
  <c r="F1587" i="5"/>
  <c r="D1587" i="5"/>
  <c r="B1587" i="5"/>
  <c r="A1587" i="5"/>
  <c r="V1586" i="5"/>
  <c r="F1586" i="5"/>
  <c r="D1586" i="5"/>
  <c r="B1586" i="5"/>
  <c r="A1586" i="5"/>
  <c r="V1585" i="5"/>
  <c r="F1585" i="5"/>
  <c r="D1585" i="5"/>
  <c r="B1585" i="5"/>
  <c r="A1585" i="5"/>
  <c r="V1584" i="5"/>
  <c r="F1584" i="5"/>
  <c r="D1584" i="5"/>
  <c r="B1584" i="5"/>
  <c r="A1584" i="5"/>
  <c r="V1583" i="5"/>
  <c r="F1583" i="5"/>
  <c r="D1583" i="5"/>
  <c r="B1583" i="5"/>
  <c r="A1583" i="5"/>
  <c r="V1582" i="5"/>
  <c r="F1582" i="5"/>
  <c r="D1582" i="5"/>
  <c r="B1582" i="5"/>
  <c r="A1582" i="5"/>
  <c r="V1581" i="5"/>
  <c r="F1581" i="5"/>
  <c r="D1581" i="5"/>
  <c r="B1581" i="5"/>
  <c r="A1581" i="5"/>
  <c r="V1580" i="5"/>
  <c r="F1580" i="5"/>
  <c r="D1580" i="5"/>
  <c r="B1580" i="5"/>
  <c r="A1580" i="5"/>
  <c r="V1579" i="5"/>
  <c r="F1579" i="5"/>
  <c r="D1579" i="5"/>
  <c r="B1579" i="5"/>
  <c r="A1579" i="5"/>
  <c r="V1578" i="5"/>
  <c r="F1578" i="5"/>
  <c r="D1578" i="5"/>
  <c r="B1578" i="5"/>
  <c r="A1578" i="5"/>
  <c r="V1577" i="5"/>
  <c r="F1577" i="5"/>
  <c r="D1577" i="5"/>
  <c r="B1577" i="5"/>
  <c r="A1577" i="5"/>
  <c r="V1576" i="5"/>
  <c r="F1576" i="5"/>
  <c r="D1576" i="5"/>
  <c r="B1576" i="5"/>
  <c r="A1576" i="5"/>
  <c r="V1575" i="5"/>
  <c r="F1575" i="5"/>
  <c r="D1575" i="5"/>
  <c r="B1575" i="5"/>
  <c r="A1575" i="5"/>
  <c r="V1574" i="5"/>
  <c r="F1574" i="5"/>
  <c r="D1574" i="5"/>
  <c r="B1574" i="5"/>
  <c r="A1574" i="5"/>
  <c r="V1573" i="5"/>
  <c r="F1573" i="5"/>
  <c r="D1573" i="5"/>
  <c r="B1573" i="5"/>
  <c r="A1573" i="5"/>
  <c r="V1572" i="5"/>
  <c r="F1572" i="5"/>
  <c r="D1572" i="5"/>
  <c r="B1572" i="5"/>
  <c r="A1572" i="5"/>
  <c r="V1571" i="5"/>
  <c r="F1571" i="5"/>
  <c r="D1571" i="5"/>
  <c r="B1571" i="5"/>
  <c r="A1571" i="5"/>
  <c r="V1570" i="5"/>
  <c r="F1570" i="5"/>
  <c r="D1570" i="5"/>
  <c r="B1570" i="5"/>
  <c r="A1570" i="5"/>
  <c r="V1569" i="5"/>
  <c r="F1569" i="5"/>
  <c r="D1569" i="5"/>
  <c r="B1569" i="5"/>
  <c r="A1569" i="5"/>
  <c r="V1568" i="5"/>
  <c r="F1568" i="5"/>
  <c r="D1568" i="5"/>
  <c r="B1568" i="5"/>
  <c r="A1568" i="5"/>
  <c r="V1567" i="5"/>
  <c r="F1567" i="5"/>
  <c r="D1567" i="5"/>
  <c r="B1567" i="5"/>
  <c r="A1567" i="5"/>
  <c r="V1566" i="5"/>
  <c r="F1566" i="5"/>
  <c r="D1566" i="5"/>
  <c r="B1566" i="5"/>
  <c r="A1566" i="5"/>
  <c r="V1565" i="5"/>
  <c r="F1565" i="5"/>
  <c r="D1565" i="5"/>
  <c r="B1565" i="5"/>
  <c r="A1565" i="5"/>
  <c r="V1564" i="5"/>
  <c r="F1564" i="5"/>
  <c r="D1564" i="5"/>
  <c r="B1564" i="5"/>
  <c r="A1564" i="5"/>
  <c r="V1563" i="5"/>
  <c r="F1563" i="5"/>
  <c r="D1563" i="5"/>
  <c r="B1563" i="5"/>
  <c r="A1563" i="5"/>
  <c r="V1562" i="5"/>
  <c r="F1562" i="5"/>
  <c r="D1562" i="5"/>
  <c r="B1562" i="5"/>
  <c r="A1562" i="5"/>
  <c r="V1561" i="5"/>
  <c r="F1561" i="5"/>
  <c r="D1561" i="5"/>
  <c r="B1561" i="5"/>
  <c r="A1561" i="5"/>
  <c r="V1560" i="5"/>
  <c r="F1560" i="5"/>
  <c r="D1560" i="5"/>
  <c r="B1560" i="5"/>
  <c r="A1560" i="5"/>
  <c r="V1559" i="5"/>
  <c r="F1559" i="5"/>
  <c r="D1559" i="5"/>
  <c r="B1559" i="5"/>
  <c r="A1559" i="5"/>
  <c r="V1558" i="5"/>
  <c r="F1558" i="5"/>
  <c r="D1558" i="5"/>
  <c r="B1558" i="5"/>
  <c r="A1558" i="5"/>
  <c r="V1557" i="5"/>
  <c r="F1557" i="5"/>
  <c r="D1557" i="5"/>
  <c r="B1557" i="5"/>
  <c r="A1557" i="5"/>
  <c r="V1556" i="5"/>
  <c r="F1556" i="5"/>
  <c r="D1556" i="5"/>
  <c r="B1556" i="5"/>
  <c r="A1556" i="5"/>
  <c r="V1555" i="5"/>
  <c r="F1555" i="5"/>
  <c r="D1555" i="5"/>
  <c r="B1555" i="5"/>
  <c r="A1555" i="5"/>
  <c r="V1554" i="5"/>
  <c r="F1554" i="5"/>
  <c r="D1554" i="5"/>
  <c r="B1554" i="5"/>
  <c r="A1554" i="5"/>
  <c r="V1553" i="5"/>
  <c r="F1553" i="5"/>
  <c r="D1553" i="5"/>
  <c r="B1553" i="5"/>
  <c r="A1553" i="5"/>
  <c r="V1552" i="5"/>
  <c r="F1552" i="5"/>
  <c r="D1552" i="5"/>
  <c r="B1552" i="5"/>
  <c r="A1552" i="5"/>
  <c r="V1551" i="5"/>
  <c r="F1551" i="5"/>
  <c r="D1551" i="5"/>
  <c r="B1551" i="5"/>
  <c r="A1551" i="5"/>
  <c r="V1550" i="5"/>
  <c r="F1550" i="5"/>
  <c r="D1550" i="5"/>
  <c r="B1550" i="5"/>
  <c r="A1550" i="5"/>
  <c r="V1549" i="5"/>
  <c r="F1549" i="5"/>
  <c r="D1549" i="5"/>
  <c r="B1549" i="5"/>
  <c r="A1549" i="5"/>
  <c r="V1548" i="5"/>
  <c r="F1548" i="5"/>
  <c r="D1548" i="5"/>
  <c r="B1548" i="5"/>
  <c r="A1548" i="5"/>
  <c r="V1547" i="5"/>
  <c r="F1547" i="5"/>
  <c r="D1547" i="5"/>
  <c r="B1547" i="5"/>
  <c r="A1547" i="5"/>
  <c r="V1546" i="5"/>
  <c r="F1546" i="5"/>
  <c r="D1546" i="5"/>
  <c r="B1546" i="5"/>
  <c r="A1546" i="5"/>
  <c r="V1545" i="5"/>
  <c r="F1545" i="5"/>
  <c r="D1545" i="5"/>
  <c r="B1545" i="5"/>
  <c r="A1545" i="5"/>
  <c r="V1544" i="5"/>
  <c r="F1544" i="5"/>
  <c r="D1544" i="5"/>
  <c r="B1544" i="5"/>
  <c r="A1544" i="5"/>
  <c r="V1543" i="5"/>
  <c r="F1543" i="5"/>
  <c r="D1543" i="5"/>
  <c r="B1543" i="5"/>
  <c r="A1543" i="5"/>
  <c r="V1542" i="5"/>
  <c r="F1542" i="5"/>
  <c r="D1542" i="5"/>
  <c r="B1542" i="5"/>
  <c r="A1542" i="5"/>
  <c r="V1541" i="5"/>
  <c r="F1541" i="5"/>
  <c r="D1541" i="5"/>
  <c r="B1541" i="5"/>
  <c r="A1541" i="5"/>
  <c r="V1540" i="5"/>
  <c r="F1540" i="5"/>
  <c r="D1540" i="5"/>
  <c r="B1540" i="5"/>
  <c r="A1540" i="5"/>
  <c r="V1539" i="5"/>
  <c r="F1539" i="5"/>
  <c r="D1539" i="5"/>
  <c r="B1539" i="5"/>
  <c r="A1539" i="5"/>
  <c r="V1538" i="5"/>
  <c r="F1538" i="5"/>
  <c r="D1538" i="5"/>
  <c r="B1538" i="5"/>
  <c r="A1538" i="5"/>
  <c r="V1537" i="5"/>
  <c r="F1537" i="5"/>
  <c r="D1537" i="5"/>
  <c r="B1537" i="5"/>
  <c r="A1537" i="5"/>
  <c r="V1536" i="5"/>
  <c r="F1536" i="5"/>
  <c r="D1536" i="5"/>
  <c r="B1536" i="5"/>
  <c r="A1536" i="5"/>
  <c r="V1535" i="5"/>
  <c r="F1535" i="5"/>
  <c r="D1535" i="5"/>
  <c r="B1535" i="5"/>
  <c r="A1535" i="5"/>
  <c r="V1534" i="5"/>
  <c r="F1534" i="5"/>
  <c r="D1534" i="5"/>
  <c r="B1534" i="5"/>
  <c r="A1534" i="5"/>
  <c r="V1533" i="5"/>
  <c r="F1533" i="5"/>
  <c r="D1533" i="5"/>
  <c r="B1533" i="5"/>
  <c r="A1533" i="5"/>
  <c r="V1532" i="5"/>
  <c r="F1532" i="5"/>
  <c r="D1532" i="5"/>
  <c r="B1532" i="5"/>
  <c r="A1532" i="5"/>
  <c r="V1531" i="5"/>
  <c r="F1531" i="5"/>
  <c r="D1531" i="5"/>
  <c r="B1531" i="5"/>
  <c r="A1531" i="5"/>
  <c r="V1530" i="5"/>
  <c r="F1530" i="5"/>
  <c r="D1530" i="5"/>
  <c r="B1530" i="5"/>
  <c r="A1530" i="5"/>
  <c r="V1529" i="5"/>
  <c r="F1529" i="5"/>
  <c r="D1529" i="5"/>
  <c r="B1529" i="5"/>
  <c r="A1529" i="5"/>
  <c r="V1528" i="5"/>
  <c r="F1528" i="5"/>
  <c r="D1528" i="5"/>
  <c r="B1528" i="5"/>
  <c r="A1528" i="5"/>
  <c r="V1527" i="5"/>
  <c r="F1527" i="5"/>
  <c r="D1527" i="5"/>
  <c r="B1527" i="5"/>
  <c r="A1527" i="5"/>
  <c r="V1526" i="5"/>
  <c r="F1526" i="5"/>
  <c r="D1526" i="5"/>
  <c r="B1526" i="5"/>
  <c r="A1526" i="5"/>
  <c r="V1525" i="5"/>
  <c r="F1525" i="5"/>
  <c r="D1525" i="5"/>
  <c r="B1525" i="5"/>
  <c r="A1525" i="5"/>
  <c r="V1524" i="5"/>
  <c r="F1524" i="5"/>
  <c r="D1524" i="5"/>
  <c r="B1524" i="5"/>
  <c r="A1524" i="5"/>
  <c r="V1523" i="5"/>
  <c r="F1523" i="5"/>
  <c r="D1523" i="5"/>
  <c r="B1523" i="5"/>
  <c r="A1523" i="5"/>
  <c r="V1522" i="5"/>
  <c r="F1522" i="5"/>
  <c r="D1522" i="5"/>
  <c r="B1522" i="5"/>
  <c r="A1522" i="5"/>
  <c r="V1521" i="5"/>
  <c r="F1521" i="5"/>
  <c r="D1521" i="5"/>
  <c r="B1521" i="5"/>
  <c r="A1521" i="5"/>
  <c r="V1520" i="5"/>
  <c r="F1520" i="5"/>
  <c r="D1520" i="5"/>
  <c r="B1520" i="5"/>
  <c r="A1520" i="5"/>
  <c r="V1519" i="5"/>
  <c r="F1519" i="5"/>
  <c r="D1519" i="5"/>
  <c r="B1519" i="5"/>
  <c r="A1519" i="5"/>
  <c r="V1518" i="5"/>
  <c r="F1518" i="5"/>
  <c r="D1518" i="5"/>
  <c r="B1518" i="5"/>
  <c r="A1518" i="5"/>
  <c r="V1517" i="5"/>
  <c r="F1517" i="5"/>
  <c r="D1517" i="5"/>
  <c r="B1517" i="5"/>
  <c r="A1517" i="5"/>
  <c r="V1516" i="5"/>
  <c r="F1516" i="5"/>
  <c r="D1516" i="5"/>
  <c r="B1516" i="5"/>
  <c r="A1516" i="5"/>
  <c r="V1515" i="5"/>
  <c r="F1515" i="5"/>
  <c r="D1515" i="5"/>
  <c r="B1515" i="5"/>
  <c r="A1515" i="5"/>
  <c r="V1514" i="5"/>
  <c r="F1514" i="5"/>
  <c r="D1514" i="5"/>
  <c r="B1514" i="5"/>
  <c r="A1514" i="5"/>
  <c r="V1513" i="5"/>
  <c r="F1513" i="5"/>
  <c r="D1513" i="5"/>
  <c r="B1513" i="5"/>
  <c r="A1513" i="5"/>
  <c r="V1512" i="5"/>
  <c r="F1512" i="5"/>
  <c r="D1512" i="5"/>
  <c r="B1512" i="5"/>
  <c r="A1512" i="5"/>
  <c r="V1511" i="5"/>
  <c r="F1511" i="5"/>
  <c r="D1511" i="5"/>
  <c r="B1511" i="5"/>
  <c r="A1511" i="5"/>
  <c r="V1510" i="5"/>
  <c r="F1510" i="5"/>
  <c r="D1510" i="5"/>
  <c r="B1510" i="5"/>
  <c r="A1510" i="5"/>
  <c r="V1509" i="5"/>
  <c r="F1509" i="5"/>
  <c r="D1509" i="5"/>
  <c r="B1509" i="5"/>
  <c r="A1509" i="5"/>
  <c r="V1508" i="5"/>
  <c r="F1508" i="5"/>
  <c r="D1508" i="5"/>
  <c r="B1508" i="5"/>
  <c r="A1508" i="5"/>
  <c r="V1507" i="5"/>
  <c r="F1507" i="5"/>
  <c r="D1507" i="5"/>
  <c r="B1507" i="5"/>
  <c r="A1507" i="5"/>
  <c r="V1506" i="5"/>
  <c r="F1506" i="5"/>
  <c r="D1506" i="5"/>
  <c r="B1506" i="5"/>
  <c r="A1506" i="5"/>
  <c r="V1505" i="5"/>
  <c r="F1505" i="5"/>
  <c r="D1505" i="5"/>
  <c r="B1505" i="5"/>
  <c r="A1505" i="5"/>
  <c r="V1504" i="5"/>
  <c r="F1504" i="5"/>
  <c r="D1504" i="5"/>
  <c r="B1504" i="5"/>
  <c r="A1504" i="5"/>
  <c r="V1503" i="5"/>
  <c r="F1503" i="5"/>
  <c r="D1503" i="5"/>
  <c r="B1503" i="5"/>
  <c r="A1503" i="5"/>
  <c r="V1502" i="5"/>
  <c r="F1502" i="5"/>
  <c r="D1502" i="5"/>
  <c r="B1502" i="5"/>
  <c r="A1502" i="5"/>
  <c r="V1501" i="5"/>
  <c r="F1501" i="5"/>
  <c r="D1501" i="5"/>
  <c r="B1501" i="5"/>
  <c r="A1501" i="5"/>
  <c r="V1500" i="5"/>
  <c r="F1500" i="5"/>
  <c r="D1500" i="5"/>
  <c r="B1500" i="5"/>
  <c r="A1500" i="5"/>
  <c r="V1499" i="5"/>
  <c r="F1499" i="5"/>
  <c r="D1499" i="5"/>
  <c r="B1499" i="5"/>
  <c r="A1499" i="5"/>
  <c r="V1498" i="5"/>
  <c r="F1498" i="5"/>
  <c r="D1498" i="5"/>
  <c r="B1498" i="5"/>
  <c r="A1498" i="5"/>
  <c r="V1497" i="5"/>
  <c r="F1497" i="5"/>
  <c r="D1497" i="5"/>
  <c r="B1497" i="5"/>
  <c r="A1497" i="5"/>
  <c r="V1496" i="5"/>
  <c r="F1496" i="5"/>
  <c r="D1496" i="5"/>
  <c r="B1496" i="5"/>
  <c r="A1496" i="5"/>
  <c r="V1495" i="5"/>
  <c r="F1495" i="5"/>
  <c r="D1495" i="5"/>
  <c r="B1495" i="5"/>
  <c r="A1495" i="5"/>
  <c r="V1494" i="5"/>
  <c r="F1494" i="5"/>
  <c r="D1494" i="5"/>
  <c r="B1494" i="5"/>
  <c r="A1494" i="5"/>
  <c r="V1493" i="5"/>
  <c r="F1493" i="5"/>
  <c r="D1493" i="5"/>
  <c r="B1493" i="5"/>
  <c r="A1493" i="5"/>
  <c r="V1492" i="5"/>
  <c r="F1492" i="5"/>
  <c r="D1492" i="5"/>
  <c r="B1492" i="5"/>
  <c r="A1492" i="5"/>
  <c r="V1491" i="5"/>
  <c r="F1491" i="5"/>
  <c r="D1491" i="5"/>
  <c r="B1491" i="5"/>
  <c r="A1491" i="5"/>
  <c r="V1490" i="5"/>
  <c r="F1490" i="5"/>
  <c r="D1490" i="5"/>
  <c r="B1490" i="5"/>
  <c r="A1490" i="5"/>
  <c r="V1489" i="5"/>
  <c r="F1489" i="5"/>
  <c r="D1489" i="5"/>
  <c r="B1489" i="5"/>
  <c r="A1489" i="5"/>
  <c r="V1488" i="5"/>
  <c r="F1488" i="5"/>
  <c r="D1488" i="5"/>
  <c r="B1488" i="5"/>
  <c r="A1488" i="5"/>
  <c r="V1487" i="5"/>
  <c r="F1487" i="5"/>
  <c r="D1487" i="5"/>
  <c r="B1487" i="5"/>
  <c r="A1487" i="5"/>
  <c r="V1486" i="5"/>
  <c r="F1486" i="5"/>
  <c r="D1486" i="5"/>
  <c r="B1486" i="5"/>
  <c r="A1486" i="5"/>
  <c r="V1485" i="5"/>
  <c r="F1485" i="5"/>
  <c r="D1485" i="5"/>
  <c r="B1485" i="5"/>
  <c r="A1485" i="5"/>
  <c r="V1484" i="5"/>
  <c r="F1484" i="5"/>
  <c r="D1484" i="5"/>
  <c r="B1484" i="5"/>
  <c r="A1484" i="5"/>
  <c r="V1483" i="5"/>
  <c r="F1483" i="5"/>
  <c r="D1483" i="5"/>
  <c r="B1483" i="5"/>
  <c r="A1483" i="5"/>
  <c r="V1482" i="5"/>
  <c r="F1482" i="5"/>
  <c r="D1482" i="5"/>
  <c r="B1482" i="5"/>
  <c r="A1482" i="5"/>
  <c r="V1481" i="5"/>
  <c r="F1481" i="5"/>
  <c r="D1481" i="5"/>
  <c r="B1481" i="5"/>
  <c r="A1481" i="5"/>
  <c r="V1480" i="5"/>
  <c r="F1480" i="5"/>
  <c r="D1480" i="5"/>
  <c r="B1480" i="5"/>
  <c r="A1480" i="5"/>
  <c r="V1479" i="5"/>
  <c r="F1479" i="5"/>
  <c r="D1479" i="5"/>
  <c r="B1479" i="5"/>
  <c r="A1479" i="5"/>
  <c r="V1478" i="5"/>
  <c r="F1478" i="5"/>
  <c r="D1478" i="5"/>
  <c r="B1478" i="5"/>
  <c r="A1478" i="5"/>
  <c r="V1477" i="5"/>
  <c r="F1477" i="5"/>
  <c r="D1477" i="5"/>
  <c r="B1477" i="5"/>
  <c r="A1477" i="5"/>
  <c r="V1476" i="5"/>
  <c r="F1476" i="5"/>
  <c r="D1476" i="5"/>
  <c r="B1476" i="5"/>
  <c r="A1476" i="5"/>
  <c r="V1475" i="5"/>
  <c r="F1475" i="5"/>
  <c r="D1475" i="5"/>
  <c r="B1475" i="5"/>
  <c r="A1475" i="5"/>
  <c r="V1474" i="5"/>
  <c r="F1474" i="5"/>
  <c r="D1474" i="5"/>
  <c r="B1474" i="5"/>
  <c r="A1474" i="5"/>
  <c r="V1473" i="5"/>
  <c r="F1473" i="5"/>
  <c r="D1473" i="5"/>
  <c r="B1473" i="5"/>
  <c r="A1473" i="5"/>
  <c r="V1472" i="5"/>
  <c r="F1472" i="5"/>
  <c r="D1472" i="5"/>
  <c r="B1472" i="5"/>
  <c r="A1472" i="5"/>
  <c r="V1471" i="5"/>
  <c r="F1471" i="5"/>
  <c r="D1471" i="5"/>
  <c r="B1471" i="5"/>
  <c r="A1471" i="5"/>
  <c r="V1470" i="5"/>
  <c r="F1470" i="5"/>
  <c r="D1470" i="5"/>
  <c r="B1470" i="5"/>
  <c r="A1470" i="5"/>
  <c r="V1469" i="5"/>
  <c r="F1469" i="5"/>
  <c r="D1469" i="5"/>
  <c r="B1469" i="5"/>
  <c r="A1469" i="5"/>
  <c r="V1468" i="5"/>
  <c r="F1468" i="5"/>
  <c r="D1468" i="5"/>
  <c r="B1468" i="5"/>
  <c r="A1468" i="5"/>
  <c r="V1467" i="5"/>
  <c r="F1467" i="5"/>
  <c r="D1467" i="5"/>
  <c r="B1467" i="5"/>
  <c r="A1467" i="5"/>
  <c r="V1466" i="5"/>
  <c r="F1466" i="5"/>
  <c r="D1466" i="5"/>
  <c r="B1466" i="5"/>
  <c r="A1466" i="5"/>
  <c r="V1465" i="5"/>
  <c r="F1465" i="5"/>
  <c r="D1465" i="5"/>
  <c r="B1465" i="5"/>
  <c r="A1465" i="5"/>
  <c r="V1464" i="5"/>
  <c r="F1464" i="5"/>
  <c r="D1464" i="5"/>
  <c r="B1464" i="5"/>
  <c r="A1464" i="5"/>
  <c r="V1463" i="5"/>
  <c r="F1463" i="5"/>
  <c r="D1463" i="5"/>
  <c r="B1463" i="5"/>
  <c r="A1463" i="5"/>
  <c r="V1462" i="5"/>
  <c r="F1462" i="5"/>
  <c r="D1462" i="5"/>
  <c r="B1462" i="5"/>
  <c r="A1462" i="5"/>
  <c r="V1461" i="5"/>
  <c r="F1461" i="5"/>
  <c r="D1461" i="5"/>
  <c r="B1461" i="5"/>
  <c r="A1461" i="5"/>
  <c r="V1460" i="5"/>
  <c r="F1460" i="5"/>
  <c r="D1460" i="5"/>
  <c r="B1460" i="5"/>
  <c r="A1460" i="5"/>
  <c r="V1459" i="5"/>
  <c r="F1459" i="5"/>
  <c r="D1459" i="5"/>
  <c r="B1459" i="5"/>
  <c r="A1459" i="5"/>
  <c r="V1458" i="5"/>
  <c r="F1458" i="5"/>
  <c r="D1458" i="5"/>
  <c r="B1458" i="5"/>
  <c r="A1458" i="5"/>
  <c r="V1457" i="5"/>
  <c r="F1457" i="5"/>
  <c r="D1457" i="5"/>
  <c r="B1457" i="5"/>
  <c r="A1457" i="5"/>
  <c r="V1456" i="5"/>
  <c r="F1456" i="5"/>
  <c r="D1456" i="5"/>
  <c r="B1456" i="5"/>
  <c r="A1456" i="5"/>
  <c r="V1455" i="5"/>
  <c r="F1455" i="5"/>
  <c r="D1455" i="5"/>
  <c r="B1455" i="5"/>
  <c r="A1455" i="5"/>
  <c r="V1454" i="5"/>
  <c r="F1454" i="5"/>
  <c r="D1454" i="5"/>
  <c r="B1454" i="5"/>
  <c r="A1454" i="5"/>
  <c r="V1453" i="5"/>
  <c r="F1453" i="5"/>
  <c r="D1453" i="5"/>
  <c r="B1453" i="5"/>
  <c r="A1453" i="5"/>
  <c r="V1452" i="5"/>
  <c r="F1452" i="5"/>
  <c r="D1452" i="5"/>
  <c r="B1452" i="5"/>
  <c r="A1452" i="5"/>
  <c r="V1451" i="5"/>
  <c r="F1451" i="5"/>
  <c r="D1451" i="5"/>
  <c r="B1451" i="5"/>
  <c r="A1451" i="5"/>
  <c r="V1450" i="5"/>
  <c r="F1450" i="5"/>
  <c r="D1450" i="5"/>
  <c r="B1450" i="5"/>
  <c r="A1450" i="5"/>
  <c r="V1449" i="5"/>
  <c r="F1449" i="5"/>
  <c r="D1449" i="5"/>
  <c r="B1449" i="5"/>
  <c r="A1449" i="5"/>
  <c r="V1448" i="5"/>
  <c r="F1448" i="5"/>
  <c r="D1448" i="5"/>
  <c r="B1448" i="5"/>
  <c r="A1448" i="5"/>
  <c r="V1447" i="5"/>
  <c r="F1447" i="5"/>
  <c r="D1447" i="5"/>
  <c r="B1447" i="5"/>
  <c r="A1447" i="5"/>
  <c r="V1446" i="5"/>
  <c r="F1446" i="5"/>
  <c r="D1446" i="5"/>
  <c r="B1446" i="5"/>
  <c r="A1446" i="5"/>
  <c r="V1445" i="5"/>
  <c r="F1445" i="5"/>
  <c r="D1445" i="5"/>
  <c r="B1445" i="5"/>
  <c r="A1445" i="5"/>
  <c r="V1444" i="5"/>
  <c r="F1444" i="5"/>
  <c r="D1444" i="5"/>
  <c r="B1444" i="5"/>
  <c r="A1444" i="5"/>
  <c r="V1443" i="5"/>
  <c r="F1443" i="5"/>
  <c r="D1443" i="5"/>
  <c r="B1443" i="5"/>
  <c r="A1443" i="5"/>
  <c r="V1442" i="5"/>
  <c r="F1442" i="5"/>
  <c r="D1442" i="5"/>
  <c r="B1442" i="5"/>
  <c r="A1442" i="5"/>
  <c r="V1441" i="5"/>
  <c r="F1441" i="5"/>
  <c r="D1441" i="5"/>
  <c r="B1441" i="5"/>
  <c r="A1441" i="5"/>
  <c r="V1440" i="5"/>
  <c r="F1440" i="5"/>
  <c r="D1440" i="5"/>
  <c r="B1440" i="5"/>
  <c r="A1440" i="5"/>
  <c r="V1439" i="5"/>
  <c r="F1439" i="5"/>
  <c r="D1439" i="5"/>
  <c r="B1439" i="5"/>
  <c r="A1439" i="5"/>
  <c r="V1438" i="5"/>
  <c r="F1438" i="5"/>
  <c r="D1438" i="5"/>
  <c r="B1438" i="5"/>
  <c r="A1438" i="5"/>
  <c r="V1437" i="5"/>
  <c r="F1437" i="5"/>
  <c r="D1437" i="5"/>
  <c r="B1437" i="5"/>
  <c r="A1437" i="5"/>
  <c r="V1436" i="5"/>
  <c r="F1436" i="5"/>
  <c r="D1436" i="5"/>
  <c r="B1436" i="5"/>
  <c r="A1436" i="5"/>
  <c r="V1435" i="5"/>
  <c r="F1435" i="5"/>
  <c r="D1435" i="5"/>
  <c r="B1435" i="5"/>
  <c r="A1435" i="5"/>
  <c r="V1434" i="5"/>
  <c r="F1434" i="5"/>
  <c r="D1434" i="5"/>
  <c r="B1434" i="5"/>
  <c r="A1434" i="5"/>
  <c r="V1433" i="5"/>
  <c r="F1433" i="5"/>
  <c r="D1433" i="5"/>
  <c r="B1433" i="5"/>
  <c r="A1433" i="5"/>
  <c r="V1432" i="5"/>
  <c r="F1432" i="5"/>
  <c r="D1432" i="5"/>
  <c r="B1432" i="5"/>
  <c r="A1432" i="5"/>
  <c r="V1431" i="5"/>
  <c r="F1431" i="5"/>
  <c r="D1431" i="5"/>
  <c r="B1431" i="5"/>
  <c r="A1431" i="5"/>
  <c r="V1430" i="5"/>
  <c r="F1430" i="5"/>
  <c r="D1430" i="5"/>
  <c r="B1430" i="5"/>
  <c r="A1430" i="5"/>
  <c r="V1429" i="5"/>
  <c r="F1429" i="5"/>
  <c r="D1429" i="5"/>
  <c r="B1429" i="5"/>
  <c r="A1429" i="5"/>
  <c r="V1428" i="5"/>
  <c r="F1428" i="5"/>
  <c r="D1428" i="5"/>
  <c r="B1428" i="5"/>
  <c r="A1428" i="5"/>
  <c r="V1427" i="5"/>
  <c r="F1427" i="5"/>
  <c r="D1427" i="5"/>
  <c r="B1427" i="5"/>
  <c r="A1427" i="5"/>
  <c r="V1426" i="5"/>
  <c r="F1426" i="5"/>
  <c r="D1426" i="5"/>
  <c r="B1426" i="5"/>
  <c r="A1426" i="5"/>
  <c r="V1425" i="5"/>
  <c r="F1425" i="5"/>
  <c r="D1425" i="5"/>
  <c r="B1425" i="5"/>
  <c r="A1425" i="5"/>
  <c r="V1424" i="5"/>
  <c r="F1424" i="5"/>
  <c r="D1424" i="5"/>
  <c r="B1424" i="5"/>
  <c r="A1424" i="5"/>
  <c r="V1423" i="5"/>
  <c r="F1423" i="5"/>
  <c r="D1423" i="5"/>
  <c r="B1423" i="5"/>
  <c r="A1423" i="5"/>
  <c r="V1422" i="5"/>
  <c r="F1422" i="5"/>
  <c r="D1422" i="5"/>
  <c r="B1422" i="5"/>
  <c r="A1422" i="5"/>
  <c r="V1421" i="5"/>
  <c r="F1421" i="5"/>
  <c r="D1421" i="5"/>
  <c r="B1421" i="5"/>
  <c r="A1421" i="5"/>
  <c r="V1420" i="5"/>
  <c r="F1420" i="5"/>
  <c r="D1420" i="5"/>
  <c r="B1420" i="5"/>
  <c r="A1420" i="5"/>
  <c r="V1419" i="5"/>
  <c r="F1419" i="5"/>
  <c r="D1419" i="5"/>
  <c r="B1419" i="5"/>
  <c r="A1419" i="5"/>
  <c r="V1418" i="5"/>
  <c r="F1418" i="5"/>
  <c r="D1418" i="5"/>
  <c r="B1418" i="5"/>
  <c r="A1418" i="5"/>
  <c r="V1417" i="5"/>
  <c r="F1417" i="5"/>
  <c r="D1417" i="5"/>
  <c r="B1417" i="5"/>
  <c r="A1417" i="5"/>
  <c r="V1416" i="5"/>
  <c r="F1416" i="5"/>
  <c r="D1416" i="5"/>
  <c r="B1416" i="5"/>
  <c r="A1416" i="5"/>
  <c r="V1415" i="5"/>
  <c r="F1415" i="5"/>
  <c r="D1415" i="5"/>
  <c r="B1415" i="5"/>
  <c r="A1415" i="5"/>
  <c r="V1414" i="5"/>
  <c r="F1414" i="5"/>
  <c r="D1414" i="5"/>
  <c r="B1414" i="5"/>
  <c r="A1414" i="5"/>
  <c r="V1413" i="5"/>
  <c r="F1413" i="5"/>
  <c r="D1413" i="5"/>
  <c r="B1413" i="5"/>
  <c r="A1413" i="5"/>
  <c r="V1412" i="5"/>
  <c r="F1412" i="5"/>
  <c r="D1412" i="5"/>
  <c r="B1412" i="5"/>
  <c r="A1412" i="5"/>
  <c r="V1411" i="5"/>
  <c r="F1411" i="5"/>
  <c r="D1411" i="5"/>
  <c r="B1411" i="5"/>
  <c r="A1411" i="5"/>
  <c r="V1410" i="5"/>
  <c r="F1410" i="5"/>
  <c r="D1410" i="5"/>
  <c r="B1410" i="5"/>
  <c r="A1410" i="5"/>
  <c r="V1409" i="5"/>
  <c r="F1409" i="5"/>
  <c r="D1409" i="5"/>
  <c r="B1409" i="5"/>
  <c r="A1409" i="5"/>
  <c r="V1408" i="5"/>
  <c r="F1408" i="5"/>
  <c r="D1408" i="5"/>
  <c r="B1408" i="5"/>
  <c r="A1408" i="5"/>
  <c r="V1407" i="5"/>
  <c r="F1407" i="5"/>
  <c r="D1407" i="5"/>
  <c r="B1407" i="5"/>
  <c r="A1407" i="5"/>
  <c r="V1406" i="5"/>
  <c r="F1406" i="5"/>
  <c r="D1406" i="5"/>
  <c r="B1406" i="5"/>
  <c r="A1406" i="5"/>
  <c r="V1405" i="5"/>
  <c r="F1405" i="5"/>
  <c r="D1405" i="5"/>
  <c r="B1405" i="5"/>
  <c r="A1405" i="5"/>
  <c r="V1404" i="5"/>
  <c r="F1404" i="5"/>
  <c r="D1404" i="5"/>
  <c r="B1404" i="5"/>
  <c r="A1404" i="5"/>
  <c r="V1403" i="5"/>
  <c r="F1403" i="5"/>
  <c r="D1403" i="5"/>
  <c r="B1403" i="5"/>
  <c r="A1403" i="5"/>
  <c r="V1402" i="5"/>
  <c r="F1402" i="5"/>
  <c r="D1402" i="5"/>
  <c r="B1402" i="5"/>
  <c r="A1402" i="5"/>
  <c r="V1401" i="5"/>
  <c r="F1401" i="5"/>
  <c r="D1401" i="5"/>
  <c r="B1401" i="5"/>
  <c r="A1401" i="5"/>
  <c r="V1400" i="5"/>
  <c r="F1400" i="5"/>
  <c r="D1400" i="5"/>
  <c r="B1400" i="5"/>
  <c r="A1400" i="5"/>
  <c r="V1399" i="5"/>
  <c r="F1399" i="5"/>
  <c r="D1399" i="5"/>
  <c r="B1399" i="5"/>
  <c r="A1399" i="5"/>
  <c r="V1398" i="5"/>
  <c r="F1398" i="5"/>
  <c r="D1398" i="5"/>
  <c r="B1398" i="5"/>
  <c r="A1398" i="5"/>
  <c r="V1397" i="5"/>
  <c r="F1397" i="5"/>
  <c r="D1397" i="5"/>
  <c r="B1397" i="5"/>
  <c r="A1397" i="5"/>
  <c r="V1396" i="5"/>
  <c r="F1396" i="5"/>
  <c r="D1396" i="5"/>
  <c r="B1396" i="5"/>
  <c r="A1396" i="5"/>
  <c r="V1395" i="5"/>
  <c r="F1395" i="5"/>
  <c r="D1395" i="5"/>
  <c r="B1395" i="5"/>
  <c r="A1395" i="5"/>
  <c r="V1394" i="5"/>
  <c r="F1394" i="5"/>
  <c r="D1394" i="5"/>
  <c r="B1394" i="5"/>
  <c r="A1394" i="5"/>
  <c r="V1393" i="5"/>
  <c r="F1393" i="5"/>
  <c r="D1393" i="5"/>
  <c r="B1393" i="5"/>
  <c r="A1393" i="5"/>
  <c r="V1392" i="5"/>
  <c r="F1392" i="5"/>
  <c r="D1392" i="5"/>
  <c r="B1392" i="5"/>
  <c r="A1392" i="5"/>
  <c r="V1391" i="5"/>
  <c r="F1391" i="5"/>
  <c r="D1391" i="5"/>
  <c r="B1391" i="5"/>
  <c r="A1391" i="5"/>
  <c r="V1390" i="5"/>
  <c r="F1390" i="5"/>
  <c r="D1390" i="5"/>
  <c r="B1390" i="5"/>
  <c r="A1390" i="5"/>
  <c r="V1389" i="5"/>
  <c r="F1389" i="5"/>
  <c r="D1389" i="5"/>
  <c r="B1389" i="5"/>
  <c r="A1389" i="5"/>
  <c r="V1388" i="5"/>
  <c r="F1388" i="5"/>
  <c r="D1388" i="5"/>
  <c r="B1388" i="5"/>
  <c r="A1388" i="5"/>
  <c r="V1387" i="5"/>
  <c r="F1387" i="5"/>
  <c r="D1387" i="5"/>
  <c r="B1387" i="5"/>
  <c r="A1387" i="5"/>
  <c r="V1386" i="5"/>
  <c r="F1386" i="5"/>
  <c r="D1386" i="5"/>
  <c r="B1386" i="5"/>
  <c r="A1386" i="5"/>
  <c r="V1385" i="5"/>
  <c r="F1385" i="5"/>
  <c r="D1385" i="5"/>
  <c r="B1385" i="5"/>
  <c r="A1385" i="5"/>
  <c r="V1384" i="5"/>
  <c r="F1384" i="5"/>
  <c r="D1384" i="5"/>
  <c r="B1384" i="5"/>
  <c r="A1384" i="5"/>
  <c r="V1383" i="5"/>
  <c r="F1383" i="5"/>
  <c r="D1383" i="5"/>
  <c r="B1383" i="5"/>
  <c r="A1383" i="5"/>
  <c r="V1382" i="5"/>
  <c r="F1382" i="5"/>
  <c r="D1382" i="5"/>
  <c r="B1382" i="5"/>
  <c r="A1382" i="5"/>
  <c r="V1381" i="5"/>
  <c r="F1381" i="5"/>
  <c r="D1381" i="5"/>
  <c r="B1381" i="5"/>
  <c r="A1381" i="5"/>
  <c r="V1380" i="5"/>
  <c r="F1380" i="5"/>
  <c r="D1380" i="5"/>
  <c r="B1380" i="5"/>
  <c r="A1380" i="5"/>
  <c r="V1379" i="5"/>
  <c r="F1379" i="5"/>
  <c r="D1379" i="5"/>
  <c r="B1379" i="5"/>
  <c r="A1379" i="5"/>
  <c r="V1378" i="5"/>
  <c r="F1378" i="5"/>
  <c r="D1378" i="5"/>
  <c r="B1378" i="5"/>
  <c r="A1378" i="5"/>
  <c r="V1377" i="5"/>
  <c r="F1377" i="5"/>
  <c r="D1377" i="5"/>
  <c r="B1377" i="5"/>
  <c r="A1377" i="5"/>
  <c r="V1376" i="5"/>
  <c r="F1376" i="5"/>
  <c r="D1376" i="5"/>
  <c r="B1376" i="5"/>
  <c r="A1376" i="5"/>
  <c r="V1375" i="5"/>
  <c r="F1375" i="5"/>
  <c r="D1375" i="5"/>
  <c r="B1375" i="5"/>
  <c r="A1375" i="5"/>
  <c r="V1374" i="5"/>
  <c r="F1374" i="5"/>
  <c r="D1374" i="5"/>
  <c r="B1374" i="5"/>
  <c r="A1374" i="5"/>
  <c r="V1373" i="5"/>
  <c r="F1373" i="5"/>
  <c r="D1373" i="5"/>
  <c r="B1373" i="5"/>
  <c r="A1373" i="5"/>
  <c r="V1372" i="5"/>
  <c r="F1372" i="5"/>
  <c r="D1372" i="5"/>
  <c r="B1372" i="5"/>
  <c r="A1372" i="5"/>
  <c r="V1371" i="5"/>
  <c r="F1371" i="5"/>
  <c r="D1371" i="5"/>
  <c r="B1371" i="5"/>
  <c r="A1371" i="5"/>
  <c r="V1370" i="5"/>
  <c r="F1370" i="5"/>
  <c r="D1370" i="5"/>
  <c r="B1370" i="5"/>
  <c r="A1370" i="5"/>
  <c r="V1369" i="5"/>
  <c r="F1369" i="5"/>
  <c r="D1369" i="5"/>
  <c r="B1369" i="5"/>
  <c r="A1369" i="5"/>
  <c r="V1368" i="5"/>
  <c r="F1368" i="5"/>
  <c r="D1368" i="5"/>
  <c r="B1368" i="5"/>
  <c r="A1368" i="5"/>
  <c r="V1367" i="5"/>
  <c r="F1367" i="5"/>
  <c r="D1367" i="5"/>
  <c r="B1367" i="5"/>
  <c r="A1367" i="5"/>
  <c r="V1366" i="5"/>
  <c r="F1366" i="5"/>
  <c r="D1366" i="5"/>
  <c r="B1366" i="5"/>
  <c r="A1366" i="5"/>
  <c r="V1365" i="5"/>
  <c r="F1365" i="5"/>
  <c r="D1365" i="5"/>
  <c r="B1365" i="5"/>
  <c r="A1365" i="5"/>
  <c r="V1364" i="5"/>
  <c r="F1364" i="5"/>
  <c r="D1364" i="5"/>
  <c r="B1364" i="5"/>
  <c r="A1364" i="5"/>
  <c r="V1363" i="5"/>
  <c r="F1363" i="5"/>
  <c r="D1363" i="5"/>
  <c r="B1363" i="5"/>
  <c r="A1363" i="5"/>
  <c r="V1362" i="5"/>
  <c r="F1362" i="5"/>
  <c r="D1362" i="5"/>
  <c r="B1362" i="5"/>
  <c r="A1362" i="5"/>
  <c r="V1361" i="5"/>
  <c r="F1361" i="5"/>
  <c r="D1361" i="5"/>
  <c r="B1361" i="5"/>
  <c r="A1361" i="5"/>
  <c r="V1360" i="5"/>
  <c r="F1360" i="5"/>
  <c r="D1360" i="5"/>
  <c r="B1360" i="5"/>
  <c r="A1360" i="5"/>
  <c r="V1359" i="5"/>
  <c r="F1359" i="5"/>
  <c r="D1359" i="5"/>
  <c r="B1359" i="5"/>
  <c r="A1359" i="5"/>
  <c r="V1358" i="5"/>
  <c r="F1358" i="5"/>
  <c r="D1358" i="5"/>
  <c r="B1358" i="5"/>
  <c r="A1358" i="5"/>
  <c r="V1357" i="5"/>
  <c r="F1357" i="5"/>
  <c r="D1357" i="5"/>
  <c r="B1357" i="5"/>
  <c r="A1357" i="5"/>
  <c r="V1356" i="5"/>
  <c r="F1356" i="5"/>
  <c r="D1356" i="5"/>
  <c r="B1356" i="5"/>
  <c r="A1356" i="5"/>
  <c r="V1355" i="5"/>
  <c r="F1355" i="5"/>
  <c r="D1355" i="5"/>
  <c r="B1355" i="5"/>
  <c r="A1355" i="5"/>
  <c r="V1354" i="5"/>
  <c r="F1354" i="5"/>
  <c r="D1354" i="5"/>
  <c r="B1354" i="5"/>
  <c r="A1354" i="5"/>
  <c r="V1353" i="5"/>
  <c r="F1353" i="5"/>
  <c r="D1353" i="5"/>
  <c r="B1353" i="5"/>
  <c r="A1353" i="5"/>
  <c r="V1352" i="5"/>
  <c r="F1352" i="5"/>
  <c r="D1352" i="5"/>
  <c r="B1352" i="5"/>
  <c r="A1352" i="5"/>
  <c r="V1351" i="5"/>
  <c r="F1351" i="5"/>
  <c r="D1351" i="5"/>
  <c r="B1351" i="5"/>
  <c r="A1351" i="5"/>
  <c r="V1350" i="5"/>
  <c r="F1350" i="5"/>
  <c r="D1350" i="5"/>
  <c r="B1350" i="5"/>
  <c r="A1350" i="5"/>
  <c r="V1349" i="5"/>
  <c r="F1349" i="5"/>
  <c r="D1349" i="5"/>
  <c r="B1349" i="5"/>
  <c r="A1349" i="5"/>
  <c r="V1348" i="5"/>
  <c r="F1348" i="5"/>
  <c r="D1348" i="5"/>
  <c r="B1348" i="5"/>
  <c r="A1348" i="5"/>
  <c r="V1347" i="5"/>
  <c r="F1347" i="5"/>
  <c r="D1347" i="5"/>
  <c r="B1347" i="5"/>
  <c r="A1347" i="5"/>
  <c r="V1346" i="5"/>
  <c r="F1346" i="5"/>
  <c r="D1346" i="5"/>
  <c r="B1346" i="5"/>
  <c r="A1346" i="5"/>
  <c r="V1345" i="5"/>
  <c r="F1345" i="5"/>
  <c r="D1345" i="5"/>
  <c r="B1345" i="5"/>
  <c r="A1345" i="5"/>
  <c r="V1344" i="5"/>
  <c r="F1344" i="5"/>
  <c r="D1344" i="5"/>
  <c r="B1344" i="5"/>
  <c r="A1344" i="5"/>
  <c r="V1343" i="5"/>
  <c r="F1343" i="5"/>
  <c r="D1343" i="5"/>
  <c r="B1343" i="5"/>
  <c r="A1343" i="5"/>
  <c r="V1342" i="5"/>
  <c r="F1342" i="5"/>
  <c r="D1342" i="5"/>
  <c r="B1342" i="5"/>
  <c r="A1342" i="5"/>
  <c r="V1341" i="5"/>
  <c r="F1341" i="5"/>
  <c r="D1341" i="5"/>
  <c r="B1341" i="5"/>
  <c r="A1341" i="5"/>
  <c r="V1340" i="5"/>
  <c r="F1340" i="5"/>
  <c r="D1340" i="5"/>
  <c r="B1340" i="5"/>
  <c r="A1340" i="5"/>
  <c r="V1339" i="5"/>
  <c r="F1339" i="5"/>
  <c r="D1339" i="5"/>
  <c r="B1339" i="5"/>
  <c r="A1339" i="5"/>
  <c r="V1338" i="5"/>
  <c r="F1338" i="5"/>
  <c r="D1338" i="5"/>
  <c r="B1338" i="5"/>
  <c r="A1338" i="5"/>
  <c r="V1337" i="5"/>
  <c r="F1337" i="5"/>
  <c r="D1337" i="5"/>
  <c r="B1337" i="5"/>
  <c r="A1337" i="5"/>
  <c r="V1336" i="5"/>
  <c r="F1336" i="5"/>
  <c r="D1336" i="5"/>
  <c r="B1336" i="5"/>
  <c r="A1336" i="5"/>
  <c r="V1335" i="5"/>
  <c r="F1335" i="5"/>
  <c r="D1335" i="5"/>
  <c r="B1335" i="5"/>
  <c r="A1335" i="5"/>
  <c r="V1334" i="5"/>
  <c r="F1334" i="5"/>
  <c r="D1334" i="5"/>
  <c r="B1334" i="5"/>
  <c r="A1334" i="5"/>
  <c r="V1333" i="5"/>
  <c r="F1333" i="5"/>
  <c r="D1333" i="5"/>
  <c r="B1333" i="5"/>
  <c r="A1333" i="5"/>
  <c r="V1332" i="5"/>
  <c r="F1332" i="5"/>
  <c r="D1332" i="5"/>
  <c r="B1332" i="5"/>
  <c r="A1332" i="5"/>
  <c r="V1331" i="5"/>
  <c r="F1331" i="5"/>
  <c r="D1331" i="5"/>
  <c r="B1331" i="5"/>
  <c r="A1331" i="5"/>
  <c r="V1330" i="5"/>
  <c r="F1330" i="5"/>
  <c r="D1330" i="5"/>
  <c r="B1330" i="5"/>
  <c r="A1330" i="5"/>
  <c r="V1329" i="5"/>
  <c r="F1329" i="5"/>
  <c r="D1329" i="5"/>
  <c r="B1329" i="5"/>
  <c r="A1329" i="5"/>
  <c r="V1328" i="5"/>
  <c r="F1328" i="5"/>
  <c r="D1328" i="5"/>
  <c r="B1328" i="5"/>
  <c r="A1328" i="5"/>
  <c r="V1327" i="5"/>
  <c r="F1327" i="5"/>
  <c r="D1327" i="5"/>
  <c r="B1327" i="5"/>
  <c r="A1327" i="5"/>
  <c r="V1326" i="5"/>
  <c r="F1326" i="5"/>
  <c r="D1326" i="5"/>
  <c r="B1326" i="5"/>
  <c r="A1326" i="5"/>
  <c r="V1325" i="5"/>
  <c r="F1325" i="5"/>
  <c r="D1325" i="5"/>
  <c r="B1325" i="5"/>
  <c r="A1325" i="5"/>
  <c r="V1324" i="5"/>
  <c r="F1324" i="5"/>
  <c r="D1324" i="5"/>
  <c r="B1324" i="5"/>
  <c r="A1324" i="5"/>
  <c r="V1323" i="5"/>
  <c r="F1323" i="5"/>
  <c r="D1323" i="5"/>
  <c r="B1323" i="5"/>
  <c r="A1323" i="5"/>
  <c r="V1322" i="5"/>
  <c r="F1322" i="5"/>
  <c r="D1322" i="5"/>
  <c r="B1322" i="5"/>
  <c r="A1322" i="5"/>
  <c r="V1321" i="5"/>
  <c r="F1321" i="5"/>
  <c r="D1321" i="5"/>
  <c r="B1321" i="5"/>
  <c r="A1321" i="5"/>
  <c r="V1320" i="5"/>
  <c r="F1320" i="5"/>
  <c r="D1320" i="5"/>
  <c r="B1320" i="5"/>
  <c r="A1320" i="5"/>
  <c r="V1319" i="5"/>
  <c r="F1319" i="5"/>
  <c r="D1319" i="5"/>
  <c r="B1319" i="5"/>
  <c r="A1319" i="5"/>
  <c r="V1318" i="5"/>
  <c r="F1318" i="5"/>
  <c r="D1318" i="5"/>
  <c r="B1318" i="5"/>
  <c r="A1318" i="5"/>
  <c r="V1317" i="5"/>
  <c r="F1317" i="5"/>
  <c r="D1317" i="5"/>
  <c r="B1317" i="5"/>
  <c r="A1317" i="5"/>
  <c r="V1316" i="5"/>
  <c r="F1316" i="5"/>
  <c r="D1316" i="5"/>
  <c r="B1316" i="5"/>
  <c r="A1316" i="5"/>
  <c r="V1315" i="5"/>
  <c r="F1315" i="5"/>
  <c r="D1315" i="5"/>
  <c r="B1315" i="5"/>
  <c r="A1315" i="5"/>
  <c r="V1314" i="5"/>
  <c r="F1314" i="5"/>
  <c r="D1314" i="5"/>
  <c r="B1314" i="5"/>
  <c r="A1314" i="5"/>
  <c r="V1313" i="5"/>
  <c r="F1313" i="5"/>
  <c r="D1313" i="5"/>
  <c r="B1313" i="5"/>
  <c r="A1313" i="5"/>
  <c r="V1312" i="5"/>
  <c r="F1312" i="5"/>
  <c r="D1312" i="5"/>
  <c r="B1312" i="5"/>
  <c r="A1312" i="5"/>
  <c r="V1311" i="5"/>
  <c r="F1311" i="5"/>
  <c r="D1311" i="5"/>
  <c r="B1311" i="5"/>
  <c r="A1311" i="5"/>
  <c r="V1310" i="5"/>
  <c r="F1310" i="5"/>
  <c r="D1310" i="5"/>
  <c r="B1310" i="5"/>
  <c r="A1310" i="5"/>
  <c r="V1309" i="5"/>
  <c r="F1309" i="5"/>
  <c r="D1309" i="5"/>
  <c r="B1309" i="5"/>
  <c r="A1309" i="5"/>
  <c r="V1308" i="5"/>
  <c r="F1308" i="5"/>
  <c r="D1308" i="5"/>
  <c r="B1308" i="5"/>
  <c r="A1308" i="5"/>
  <c r="V1307" i="5"/>
  <c r="F1307" i="5"/>
  <c r="D1307" i="5"/>
  <c r="B1307" i="5"/>
  <c r="A1307" i="5"/>
  <c r="V1306" i="5"/>
  <c r="F1306" i="5"/>
  <c r="D1306" i="5"/>
  <c r="B1306" i="5"/>
  <c r="A1306" i="5"/>
  <c r="V1305" i="5"/>
  <c r="F1305" i="5"/>
  <c r="D1305" i="5"/>
  <c r="B1305" i="5"/>
  <c r="A1305" i="5"/>
  <c r="V1304" i="5"/>
  <c r="F1304" i="5"/>
  <c r="D1304" i="5"/>
  <c r="B1304" i="5"/>
  <c r="A1304" i="5"/>
  <c r="V1303" i="5"/>
  <c r="F1303" i="5"/>
  <c r="D1303" i="5"/>
  <c r="B1303" i="5"/>
  <c r="A1303" i="5"/>
  <c r="V1302" i="5"/>
  <c r="F1302" i="5"/>
  <c r="D1302" i="5"/>
  <c r="B1302" i="5"/>
  <c r="A1302" i="5"/>
  <c r="V1301" i="5"/>
  <c r="F1301" i="5"/>
  <c r="D1301" i="5"/>
  <c r="B1301" i="5"/>
  <c r="A1301" i="5"/>
  <c r="V1300" i="5"/>
  <c r="F1300" i="5"/>
  <c r="D1300" i="5"/>
  <c r="B1300" i="5"/>
  <c r="A1300" i="5"/>
  <c r="V1299" i="5"/>
  <c r="F1299" i="5"/>
  <c r="D1299" i="5"/>
  <c r="B1299" i="5"/>
  <c r="A1299" i="5"/>
  <c r="V1298" i="5"/>
  <c r="F1298" i="5"/>
  <c r="D1298" i="5"/>
  <c r="B1298" i="5"/>
  <c r="A1298" i="5"/>
  <c r="V1297" i="5"/>
  <c r="F1297" i="5"/>
  <c r="D1297" i="5"/>
  <c r="B1297" i="5"/>
  <c r="A1297" i="5"/>
  <c r="V1296" i="5"/>
  <c r="F1296" i="5"/>
  <c r="D1296" i="5"/>
  <c r="B1296" i="5"/>
  <c r="A1296" i="5"/>
  <c r="V1295" i="5"/>
  <c r="F1295" i="5"/>
  <c r="D1295" i="5"/>
  <c r="B1295" i="5"/>
  <c r="A1295" i="5"/>
  <c r="V1294" i="5"/>
  <c r="F1294" i="5"/>
  <c r="D1294" i="5"/>
  <c r="B1294" i="5"/>
  <c r="A1294" i="5"/>
  <c r="V1293" i="5"/>
  <c r="F1293" i="5"/>
  <c r="D1293" i="5"/>
  <c r="B1293" i="5"/>
  <c r="A1293" i="5"/>
  <c r="V1292" i="5"/>
  <c r="F1292" i="5"/>
  <c r="D1292" i="5"/>
  <c r="B1292" i="5"/>
  <c r="A1292" i="5"/>
  <c r="V1291" i="5"/>
  <c r="F1291" i="5"/>
  <c r="D1291" i="5"/>
  <c r="B1291" i="5"/>
  <c r="A1291" i="5"/>
  <c r="V1290" i="5"/>
  <c r="F1290" i="5"/>
  <c r="D1290" i="5"/>
  <c r="B1290" i="5"/>
  <c r="A1290" i="5"/>
  <c r="V1289" i="5"/>
  <c r="F1289" i="5"/>
  <c r="D1289" i="5"/>
  <c r="B1289" i="5"/>
  <c r="A1289" i="5"/>
  <c r="V1288" i="5"/>
  <c r="F1288" i="5"/>
  <c r="D1288" i="5"/>
  <c r="B1288" i="5"/>
  <c r="A1288" i="5"/>
  <c r="V1287" i="5"/>
  <c r="F1287" i="5"/>
  <c r="D1287" i="5"/>
  <c r="B1287" i="5"/>
  <c r="A1287" i="5"/>
  <c r="V1286" i="5"/>
  <c r="F1286" i="5"/>
  <c r="D1286" i="5"/>
  <c r="B1286" i="5"/>
  <c r="A1286" i="5"/>
  <c r="V1285" i="5"/>
  <c r="F1285" i="5"/>
  <c r="D1285" i="5"/>
  <c r="B1285" i="5"/>
  <c r="A1285" i="5"/>
  <c r="V1284" i="5"/>
  <c r="F1284" i="5"/>
  <c r="D1284" i="5"/>
  <c r="B1284" i="5"/>
  <c r="A1284" i="5"/>
  <c r="V1283" i="5"/>
  <c r="F1283" i="5"/>
  <c r="D1283" i="5"/>
  <c r="B1283" i="5"/>
  <c r="A1283" i="5"/>
  <c r="V1282" i="5"/>
  <c r="F1282" i="5"/>
  <c r="D1282" i="5"/>
  <c r="B1282" i="5"/>
  <c r="A1282" i="5"/>
  <c r="V1281" i="5"/>
  <c r="F1281" i="5"/>
  <c r="D1281" i="5"/>
  <c r="B1281" i="5"/>
  <c r="A1281" i="5"/>
  <c r="V1280" i="5"/>
  <c r="F1280" i="5"/>
  <c r="D1280" i="5"/>
  <c r="B1280" i="5"/>
  <c r="A1280" i="5"/>
  <c r="V1279" i="5"/>
  <c r="F1279" i="5"/>
  <c r="D1279" i="5"/>
  <c r="B1279" i="5"/>
  <c r="A1279" i="5"/>
  <c r="V1278" i="5"/>
  <c r="F1278" i="5"/>
  <c r="D1278" i="5"/>
  <c r="B1278" i="5"/>
  <c r="A1278" i="5"/>
  <c r="V1277" i="5"/>
  <c r="F1277" i="5"/>
  <c r="D1277" i="5"/>
  <c r="B1277" i="5"/>
  <c r="A1277" i="5"/>
  <c r="V1276" i="5"/>
  <c r="F1276" i="5"/>
  <c r="D1276" i="5"/>
  <c r="B1276" i="5"/>
  <c r="A1276" i="5"/>
  <c r="V1275" i="5"/>
  <c r="F1275" i="5"/>
  <c r="D1275" i="5"/>
  <c r="B1275" i="5"/>
  <c r="A1275" i="5"/>
  <c r="V1274" i="5"/>
  <c r="F1274" i="5"/>
  <c r="D1274" i="5"/>
  <c r="B1274" i="5"/>
  <c r="A1274" i="5"/>
  <c r="V1273" i="5"/>
  <c r="F1273" i="5"/>
  <c r="D1273" i="5"/>
  <c r="B1273" i="5"/>
  <c r="A1273" i="5"/>
  <c r="V1272" i="5"/>
  <c r="F1272" i="5"/>
  <c r="D1272" i="5"/>
  <c r="B1272" i="5"/>
  <c r="A1272" i="5"/>
  <c r="V1271" i="5"/>
  <c r="F1271" i="5"/>
  <c r="D1271" i="5"/>
  <c r="B1271" i="5"/>
  <c r="A1271" i="5"/>
  <c r="V1270" i="5"/>
  <c r="F1270" i="5"/>
  <c r="D1270" i="5"/>
  <c r="B1270" i="5"/>
  <c r="A1270" i="5"/>
  <c r="V1269" i="5"/>
  <c r="F1269" i="5"/>
  <c r="D1269" i="5"/>
  <c r="B1269" i="5"/>
  <c r="A1269" i="5"/>
  <c r="V1268" i="5"/>
  <c r="F1268" i="5"/>
  <c r="D1268" i="5"/>
  <c r="B1268" i="5"/>
  <c r="A1268" i="5"/>
  <c r="V1267" i="5"/>
  <c r="F1267" i="5"/>
  <c r="D1267" i="5"/>
  <c r="B1267" i="5"/>
  <c r="A1267" i="5"/>
  <c r="V1266" i="5"/>
  <c r="F1266" i="5"/>
  <c r="D1266" i="5"/>
  <c r="B1266" i="5"/>
  <c r="A1266" i="5"/>
  <c r="V1265" i="5"/>
  <c r="F1265" i="5"/>
  <c r="D1265" i="5"/>
  <c r="B1265" i="5"/>
  <c r="A1265" i="5"/>
  <c r="V1264" i="5"/>
  <c r="F1264" i="5"/>
  <c r="D1264" i="5"/>
  <c r="B1264" i="5"/>
  <c r="A1264" i="5"/>
  <c r="V1263" i="5"/>
  <c r="F1263" i="5"/>
  <c r="D1263" i="5"/>
  <c r="B1263" i="5"/>
  <c r="A1263" i="5"/>
  <c r="V1262" i="5"/>
  <c r="F1262" i="5"/>
  <c r="D1262" i="5"/>
  <c r="B1262" i="5"/>
  <c r="A1262" i="5"/>
  <c r="V1261" i="5"/>
  <c r="F1261" i="5"/>
  <c r="D1261" i="5"/>
  <c r="B1261" i="5"/>
  <c r="A1261" i="5"/>
  <c r="V1260" i="5"/>
  <c r="F1260" i="5"/>
  <c r="D1260" i="5"/>
  <c r="B1260" i="5"/>
  <c r="A1260" i="5"/>
  <c r="V1259" i="5"/>
  <c r="F1259" i="5"/>
  <c r="D1259" i="5"/>
  <c r="B1259" i="5"/>
  <c r="A1259" i="5"/>
  <c r="V1258" i="5"/>
  <c r="F1258" i="5"/>
  <c r="D1258" i="5"/>
  <c r="B1258" i="5"/>
  <c r="A1258" i="5"/>
  <c r="V1257" i="5"/>
  <c r="F1257" i="5"/>
  <c r="D1257" i="5"/>
  <c r="B1257" i="5"/>
  <c r="A1257" i="5"/>
  <c r="V1256" i="5"/>
  <c r="F1256" i="5"/>
  <c r="D1256" i="5"/>
  <c r="B1256" i="5"/>
  <c r="A1256" i="5"/>
  <c r="V1255" i="5"/>
  <c r="F1255" i="5"/>
  <c r="D1255" i="5"/>
  <c r="B1255" i="5"/>
  <c r="A1255" i="5"/>
  <c r="V1254" i="5"/>
  <c r="F1254" i="5"/>
  <c r="D1254" i="5"/>
  <c r="B1254" i="5"/>
  <c r="A1254" i="5"/>
  <c r="V1253" i="5"/>
  <c r="F1253" i="5"/>
  <c r="D1253" i="5"/>
  <c r="B1253" i="5"/>
  <c r="A1253" i="5"/>
  <c r="V1252" i="5"/>
  <c r="F1252" i="5"/>
  <c r="D1252" i="5"/>
  <c r="B1252" i="5"/>
  <c r="A1252" i="5"/>
  <c r="V1251" i="5"/>
  <c r="F1251" i="5"/>
  <c r="D1251" i="5"/>
  <c r="B1251" i="5"/>
  <c r="A1251" i="5"/>
  <c r="V1250" i="5"/>
  <c r="F1250" i="5"/>
  <c r="D1250" i="5"/>
  <c r="B1250" i="5"/>
  <c r="A1250" i="5"/>
  <c r="V1249" i="5"/>
  <c r="F1249" i="5"/>
  <c r="D1249" i="5"/>
  <c r="B1249" i="5"/>
  <c r="A1249" i="5"/>
  <c r="V1248" i="5"/>
  <c r="F1248" i="5"/>
  <c r="D1248" i="5"/>
  <c r="B1248" i="5"/>
  <c r="A1248" i="5"/>
  <c r="V1247" i="5"/>
  <c r="F1247" i="5"/>
  <c r="D1247" i="5"/>
  <c r="B1247" i="5"/>
  <c r="A1247" i="5"/>
  <c r="V1246" i="5"/>
  <c r="F1246" i="5"/>
  <c r="D1246" i="5"/>
  <c r="B1246" i="5"/>
  <c r="A1246" i="5"/>
  <c r="V1245" i="5"/>
  <c r="F1245" i="5"/>
  <c r="D1245" i="5"/>
  <c r="B1245" i="5"/>
  <c r="A1245" i="5"/>
  <c r="V1244" i="5"/>
  <c r="F1244" i="5"/>
  <c r="D1244" i="5"/>
  <c r="B1244" i="5"/>
  <c r="A1244" i="5"/>
  <c r="V1243" i="5"/>
  <c r="F1243" i="5"/>
  <c r="D1243" i="5"/>
  <c r="B1243" i="5"/>
  <c r="A1243" i="5"/>
  <c r="V1242" i="5"/>
  <c r="F1242" i="5"/>
  <c r="D1242" i="5"/>
  <c r="B1242" i="5"/>
  <c r="A1242" i="5"/>
  <c r="V1241" i="5"/>
  <c r="F1241" i="5"/>
  <c r="D1241" i="5"/>
  <c r="B1241" i="5"/>
  <c r="A1241" i="5"/>
  <c r="V1240" i="5"/>
  <c r="F1240" i="5"/>
  <c r="D1240" i="5"/>
  <c r="B1240" i="5"/>
  <c r="A1240" i="5"/>
  <c r="V1239" i="5"/>
  <c r="F1239" i="5"/>
  <c r="D1239" i="5"/>
  <c r="B1239" i="5"/>
  <c r="A1239" i="5"/>
  <c r="V1238" i="5"/>
  <c r="F1238" i="5"/>
  <c r="D1238" i="5"/>
  <c r="B1238" i="5"/>
  <c r="A1238" i="5"/>
  <c r="V1237" i="5"/>
  <c r="F1237" i="5"/>
  <c r="D1237" i="5"/>
  <c r="B1237" i="5"/>
  <c r="A1237" i="5"/>
  <c r="V1236" i="5"/>
  <c r="F1236" i="5"/>
  <c r="D1236" i="5"/>
  <c r="B1236" i="5"/>
  <c r="A1236" i="5"/>
  <c r="V1235" i="5"/>
  <c r="F1235" i="5"/>
  <c r="D1235" i="5"/>
  <c r="B1235" i="5"/>
  <c r="A1235" i="5"/>
  <c r="V1234" i="5"/>
  <c r="F1234" i="5"/>
  <c r="D1234" i="5"/>
  <c r="B1234" i="5"/>
  <c r="A1234" i="5"/>
  <c r="V1233" i="5"/>
  <c r="F1233" i="5"/>
  <c r="D1233" i="5"/>
  <c r="B1233" i="5"/>
  <c r="A1233" i="5"/>
  <c r="V1232" i="5"/>
  <c r="F1232" i="5"/>
  <c r="D1232" i="5"/>
  <c r="B1232" i="5"/>
  <c r="A1232" i="5"/>
  <c r="V1231" i="5"/>
  <c r="F1231" i="5"/>
  <c r="D1231" i="5"/>
  <c r="B1231" i="5"/>
  <c r="A1231" i="5"/>
  <c r="V1230" i="5"/>
  <c r="F1230" i="5"/>
  <c r="D1230" i="5"/>
  <c r="B1230" i="5"/>
  <c r="A1230" i="5"/>
  <c r="V1229" i="5"/>
  <c r="F1229" i="5"/>
  <c r="D1229" i="5"/>
  <c r="B1229" i="5"/>
  <c r="A1229" i="5"/>
  <c r="V1228" i="5"/>
  <c r="F1228" i="5"/>
  <c r="D1228" i="5"/>
  <c r="B1228" i="5"/>
  <c r="A1228" i="5"/>
  <c r="V1227" i="5"/>
  <c r="F1227" i="5"/>
  <c r="D1227" i="5"/>
  <c r="B1227" i="5"/>
  <c r="A1227" i="5"/>
  <c r="V1226" i="5"/>
  <c r="F1226" i="5"/>
  <c r="D1226" i="5"/>
  <c r="B1226" i="5"/>
  <c r="A1226" i="5"/>
  <c r="V1225" i="5"/>
  <c r="F1225" i="5"/>
  <c r="D1225" i="5"/>
  <c r="B1225" i="5"/>
  <c r="A1225" i="5"/>
  <c r="V1224" i="5"/>
  <c r="F1224" i="5"/>
  <c r="D1224" i="5"/>
  <c r="B1224" i="5"/>
  <c r="A1224" i="5"/>
  <c r="V1223" i="5"/>
  <c r="F1223" i="5"/>
  <c r="D1223" i="5"/>
  <c r="B1223" i="5"/>
  <c r="A1223" i="5"/>
  <c r="V1222" i="5"/>
  <c r="F1222" i="5"/>
  <c r="D1222" i="5"/>
  <c r="B1222" i="5"/>
  <c r="A1222" i="5"/>
  <c r="V1221" i="5"/>
  <c r="F1221" i="5"/>
  <c r="D1221" i="5"/>
  <c r="B1221" i="5"/>
  <c r="A1221" i="5"/>
  <c r="V1220" i="5"/>
  <c r="F1220" i="5"/>
  <c r="D1220" i="5"/>
  <c r="B1220" i="5"/>
  <c r="A1220" i="5"/>
  <c r="V1219" i="5"/>
  <c r="F1219" i="5"/>
  <c r="D1219" i="5"/>
  <c r="B1219" i="5"/>
  <c r="A1219" i="5"/>
  <c r="V1218" i="5"/>
  <c r="F1218" i="5"/>
  <c r="D1218" i="5"/>
  <c r="B1218" i="5"/>
  <c r="A1218" i="5"/>
  <c r="V1217" i="5"/>
  <c r="F1217" i="5"/>
  <c r="D1217" i="5"/>
  <c r="B1217" i="5"/>
  <c r="A1217" i="5"/>
  <c r="V1216" i="5"/>
  <c r="F1216" i="5"/>
  <c r="D1216" i="5"/>
  <c r="B1216" i="5"/>
  <c r="A1216" i="5"/>
  <c r="V1215" i="5"/>
  <c r="F1215" i="5"/>
  <c r="D1215" i="5"/>
  <c r="B1215" i="5"/>
  <c r="A1215" i="5"/>
  <c r="V1214" i="5"/>
  <c r="F1214" i="5"/>
  <c r="D1214" i="5"/>
  <c r="B1214" i="5"/>
  <c r="A1214" i="5"/>
  <c r="V1213" i="5"/>
  <c r="F1213" i="5"/>
  <c r="D1213" i="5"/>
  <c r="B1213" i="5"/>
  <c r="A1213" i="5"/>
  <c r="V1212" i="5"/>
  <c r="F1212" i="5"/>
  <c r="D1212" i="5"/>
  <c r="B1212" i="5"/>
  <c r="A1212" i="5"/>
  <c r="V1211" i="5"/>
  <c r="F1211" i="5"/>
  <c r="D1211" i="5"/>
  <c r="B1211" i="5"/>
  <c r="A1211" i="5"/>
  <c r="V1210" i="5"/>
  <c r="F1210" i="5"/>
  <c r="D1210" i="5"/>
  <c r="B1210" i="5"/>
  <c r="A1210" i="5"/>
  <c r="V1209" i="5"/>
  <c r="F1209" i="5"/>
  <c r="D1209" i="5"/>
  <c r="B1209" i="5"/>
  <c r="A1209" i="5"/>
  <c r="V1208" i="5"/>
  <c r="F1208" i="5"/>
  <c r="D1208" i="5"/>
  <c r="B1208" i="5"/>
  <c r="A1208" i="5"/>
  <c r="V1207" i="5"/>
  <c r="F1207" i="5"/>
  <c r="D1207" i="5"/>
  <c r="B1207" i="5"/>
  <c r="A1207" i="5"/>
  <c r="V1206" i="5"/>
  <c r="F1206" i="5"/>
  <c r="D1206" i="5"/>
  <c r="B1206" i="5"/>
  <c r="A1206" i="5"/>
  <c r="V1205" i="5"/>
  <c r="F1205" i="5"/>
  <c r="D1205" i="5"/>
  <c r="B1205" i="5"/>
  <c r="A1205" i="5"/>
  <c r="V1204" i="5"/>
  <c r="F1204" i="5"/>
  <c r="D1204" i="5"/>
  <c r="B1204" i="5"/>
  <c r="A1204" i="5"/>
  <c r="V1203" i="5"/>
  <c r="F1203" i="5"/>
  <c r="D1203" i="5"/>
  <c r="B1203" i="5"/>
  <c r="A1203" i="5"/>
  <c r="V1202" i="5"/>
  <c r="F1202" i="5"/>
  <c r="D1202" i="5"/>
  <c r="B1202" i="5"/>
  <c r="A1202" i="5"/>
  <c r="V1201" i="5"/>
  <c r="F1201" i="5"/>
  <c r="D1201" i="5"/>
  <c r="B1201" i="5"/>
  <c r="A1201" i="5"/>
  <c r="V1200" i="5"/>
  <c r="F1200" i="5"/>
  <c r="D1200" i="5"/>
  <c r="B1200" i="5"/>
  <c r="A1200" i="5"/>
  <c r="V1199" i="5"/>
  <c r="F1199" i="5"/>
  <c r="D1199" i="5"/>
  <c r="B1199" i="5"/>
  <c r="A1199" i="5"/>
  <c r="V1198" i="5"/>
  <c r="F1198" i="5"/>
  <c r="D1198" i="5"/>
  <c r="B1198" i="5"/>
  <c r="A1198" i="5"/>
  <c r="V1197" i="5"/>
  <c r="F1197" i="5"/>
  <c r="D1197" i="5"/>
  <c r="B1197" i="5"/>
  <c r="A1197" i="5"/>
  <c r="V1196" i="5"/>
  <c r="F1196" i="5"/>
  <c r="D1196" i="5"/>
  <c r="B1196" i="5"/>
  <c r="A1196" i="5"/>
  <c r="V1195" i="5"/>
  <c r="F1195" i="5"/>
  <c r="D1195" i="5"/>
  <c r="B1195" i="5"/>
  <c r="A1195" i="5"/>
  <c r="V1194" i="5"/>
  <c r="F1194" i="5"/>
  <c r="D1194" i="5"/>
  <c r="B1194" i="5"/>
  <c r="A1194" i="5"/>
  <c r="V1193" i="5"/>
  <c r="F1193" i="5"/>
  <c r="D1193" i="5"/>
  <c r="B1193" i="5"/>
  <c r="A1193" i="5"/>
  <c r="V1192" i="5"/>
  <c r="F1192" i="5"/>
  <c r="D1192" i="5"/>
  <c r="B1192" i="5"/>
  <c r="A1192" i="5"/>
  <c r="V1191" i="5"/>
  <c r="F1191" i="5"/>
  <c r="D1191" i="5"/>
  <c r="B1191" i="5"/>
  <c r="A1191" i="5"/>
  <c r="V1190" i="5"/>
  <c r="F1190" i="5"/>
  <c r="D1190" i="5"/>
  <c r="B1190" i="5"/>
  <c r="A1190" i="5"/>
  <c r="V1189" i="5"/>
  <c r="F1189" i="5"/>
  <c r="D1189" i="5"/>
  <c r="B1189" i="5"/>
  <c r="A1189" i="5"/>
  <c r="V1188" i="5"/>
  <c r="F1188" i="5"/>
  <c r="D1188" i="5"/>
  <c r="B1188" i="5"/>
  <c r="A1188" i="5"/>
  <c r="V1187" i="5"/>
  <c r="F1187" i="5"/>
  <c r="D1187" i="5"/>
  <c r="B1187" i="5"/>
  <c r="A1187" i="5"/>
  <c r="V1186" i="5"/>
  <c r="F1186" i="5"/>
  <c r="D1186" i="5"/>
  <c r="B1186" i="5"/>
  <c r="A1186" i="5"/>
  <c r="V1185" i="5"/>
  <c r="F1185" i="5"/>
  <c r="D1185" i="5"/>
  <c r="B1185" i="5"/>
  <c r="A1185" i="5"/>
  <c r="V1184" i="5"/>
  <c r="F1184" i="5"/>
  <c r="D1184" i="5"/>
  <c r="B1184" i="5"/>
  <c r="A1184" i="5"/>
  <c r="V1183" i="5"/>
  <c r="F1183" i="5"/>
  <c r="D1183" i="5"/>
  <c r="B1183" i="5"/>
  <c r="A1183" i="5"/>
  <c r="V1182" i="5"/>
  <c r="F1182" i="5"/>
  <c r="D1182" i="5"/>
  <c r="B1182" i="5"/>
  <c r="A1182" i="5"/>
  <c r="V1181" i="5"/>
  <c r="F1181" i="5"/>
  <c r="D1181" i="5"/>
  <c r="B1181" i="5"/>
  <c r="A1181" i="5"/>
  <c r="V1180" i="5"/>
  <c r="F1180" i="5"/>
  <c r="D1180" i="5"/>
  <c r="B1180" i="5"/>
  <c r="A1180" i="5"/>
  <c r="V1179" i="5"/>
  <c r="F1179" i="5"/>
  <c r="D1179" i="5"/>
  <c r="B1179" i="5"/>
  <c r="A1179" i="5"/>
  <c r="V1178" i="5"/>
  <c r="F1178" i="5"/>
  <c r="D1178" i="5"/>
  <c r="B1178" i="5"/>
  <c r="A1178" i="5"/>
  <c r="V1177" i="5"/>
  <c r="F1177" i="5"/>
  <c r="D1177" i="5"/>
  <c r="B1177" i="5"/>
  <c r="A1177" i="5"/>
  <c r="V1176" i="5"/>
  <c r="F1176" i="5"/>
  <c r="D1176" i="5"/>
  <c r="B1176" i="5"/>
  <c r="A1176" i="5"/>
  <c r="V1175" i="5"/>
  <c r="F1175" i="5"/>
  <c r="D1175" i="5"/>
  <c r="B1175" i="5"/>
  <c r="A1175" i="5"/>
  <c r="V1174" i="5"/>
  <c r="F1174" i="5"/>
  <c r="D1174" i="5"/>
  <c r="B1174" i="5"/>
  <c r="A1174" i="5"/>
  <c r="V1173" i="5"/>
  <c r="F1173" i="5"/>
  <c r="D1173" i="5"/>
  <c r="B1173" i="5"/>
  <c r="A1173" i="5"/>
  <c r="V1172" i="5"/>
  <c r="F1172" i="5"/>
  <c r="D1172" i="5"/>
  <c r="B1172" i="5"/>
  <c r="A1172" i="5"/>
  <c r="V1171" i="5"/>
  <c r="F1171" i="5"/>
  <c r="D1171" i="5"/>
  <c r="B1171" i="5"/>
  <c r="A1171" i="5"/>
  <c r="V1170" i="5"/>
  <c r="F1170" i="5"/>
  <c r="D1170" i="5"/>
  <c r="B1170" i="5"/>
  <c r="A1170" i="5"/>
  <c r="V1169" i="5"/>
  <c r="F1169" i="5"/>
  <c r="D1169" i="5"/>
  <c r="B1169" i="5"/>
  <c r="A1169" i="5"/>
  <c r="V1168" i="5"/>
  <c r="F1168" i="5"/>
  <c r="D1168" i="5"/>
  <c r="B1168" i="5"/>
  <c r="A1168" i="5"/>
  <c r="V1167" i="5"/>
  <c r="F1167" i="5"/>
  <c r="D1167" i="5"/>
  <c r="B1167" i="5"/>
  <c r="A1167" i="5"/>
  <c r="V1166" i="5"/>
  <c r="F1166" i="5"/>
  <c r="D1166" i="5"/>
  <c r="B1166" i="5"/>
  <c r="A1166" i="5"/>
  <c r="V1165" i="5"/>
  <c r="F1165" i="5"/>
  <c r="D1165" i="5"/>
  <c r="B1165" i="5"/>
  <c r="A1165" i="5"/>
  <c r="V1164" i="5"/>
  <c r="F1164" i="5"/>
  <c r="D1164" i="5"/>
  <c r="B1164" i="5"/>
  <c r="A1164" i="5"/>
  <c r="V1163" i="5"/>
  <c r="F1163" i="5"/>
  <c r="D1163" i="5"/>
  <c r="B1163" i="5"/>
  <c r="A1163" i="5"/>
  <c r="V1162" i="5"/>
  <c r="F1162" i="5"/>
  <c r="D1162" i="5"/>
  <c r="B1162" i="5"/>
  <c r="A1162" i="5"/>
  <c r="V1161" i="5"/>
  <c r="F1161" i="5"/>
  <c r="D1161" i="5"/>
  <c r="B1161" i="5"/>
  <c r="A1161" i="5"/>
  <c r="V1160" i="5"/>
  <c r="F1160" i="5"/>
  <c r="D1160" i="5"/>
  <c r="B1160" i="5"/>
  <c r="A1160" i="5"/>
  <c r="V1159" i="5"/>
  <c r="F1159" i="5"/>
  <c r="D1159" i="5"/>
  <c r="B1159" i="5"/>
  <c r="A1159" i="5"/>
  <c r="V1158" i="5"/>
  <c r="F1158" i="5"/>
  <c r="D1158" i="5"/>
  <c r="B1158" i="5"/>
  <c r="A1158" i="5"/>
  <c r="V1157" i="5"/>
  <c r="F1157" i="5"/>
  <c r="D1157" i="5"/>
  <c r="B1157" i="5"/>
  <c r="A1157" i="5"/>
  <c r="V1156" i="5"/>
  <c r="F1156" i="5"/>
  <c r="D1156" i="5"/>
  <c r="B1156" i="5"/>
  <c r="A1156" i="5"/>
  <c r="V1155" i="5"/>
  <c r="F1155" i="5"/>
  <c r="D1155" i="5"/>
  <c r="B1155" i="5"/>
  <c r="A1155" i="5"/>
  <c r="V1154" i="5"/>
  <c r="F1154" i="5"/>
  <c r="D1154" i="5"/>
  <c r="B1154" i="5"/>
  <c r="A1154" i="5"/>
  <c r="V1153" i="5"/>
  <c r="F1153" i="5"/>
  <c r="D1153" i="5"/>
  <c r="B1153" i="5"/>
  <c r="A1153" i="5"/>
  <c r="V1152" i="5"/>
  <c r="F1152" i="5"/>
  <c r="D1152" i="5"/>
  <c r="B1152" i="5"/>
  <c r="A1152" i="5"/>
  <c r="V1151" i="5"/>
  <c r="F1151" i="5"/>
  <c r="D1151" i="5"/>
  <c r="B1151" i="5"/>
  <c r="A1151" i="5"/>
  <c r="V1150" i="5"/>
  <c r="F1150" i="5"/>
  <c r="D1150" i="5"/>
  <c r="B1150" i="5"/>
  <c r="A1150" i="5"/>
  <c r="V1149" i="5"/>
  <c r="F1149" i="5"/>
  <c r="D1149" i="5"/>
  <c r="B1149" i="5"/>
  <c r="A1149" i="5"/>
  <c r="V1148" i="5"/>
  <c r="F1148" i="5"/>
  <c r="D1148" i="5"/>
  <c r="B1148" i="5"/>
  <c r="A1148" i="5"/>
  <c r="V1147" i="5"/>
  <c r="F1147" i="5"/>
  <c r="D1147" i="5"/>
  <c r="B1147" i="5"/>
  <c r="A1147" i="5"/>
  <c r="V1146" i="5"/>
  <c r="F1146" i="5"/>
  <c r="D1146" i="5"/>
  <c r="B1146" i="5"/>
  <c r="A1146" i="5"/>
  <c r="V1145" i="5"/>
  <c r="F1145" i="5"/>
  <c r="D1145" i="5"/>
  <c r="B1145" i="5"/>
  <c r="A1145" i="5"/>
  <c r="V1144" i="5"/>
  <c r="F1144" i="5"/>
  <c r="D1144" i="5"/>
  <c r="B1144" i="5"/>
  <c r="A1144" i="5"/>
  <c r="V1143" i="5"/>
  <c r="F1143" i="5"/>
  <c r="D1143" i="5"/>
  <c r="B1143" i="5"/>
  <c r="A1143" i="5"/>
  <c r="V1142" i="5"/>
  <c r="F1142" i="5"/>
  <c r="D1142" i="5"/>
  <c r="B1142" i="5"/>
  <c r="A1142" i="5"/>
  <c r="V1141" i="5"/>
  <c r="F1141" i="5"/>
  <c r="D1141" i="5"/>
  <c r="B1141" i="5"/>
  <c r="A1141" i="5"/>
  <c r="V1140" i="5"/>
  <c r="F1140" i="5"/>
  <c r="D1140" i="5"/>
  <c r="B1140" i="5"/>
  <c r="A1140" i="5"/>
  <c r="V1139" i="5"/>
  <c r="F1139" i="5"/>
  <c r="D1139" i="5"/>
  <c r="B1139" i="5"/>
  <c r="A1139" i="5"/>
  <c r="V1138" i="5"/>
  <c r="F1138" i="5"/>
  <c r="D1138" i="5"/>
  <c r="B1138" i="5"/>
  <c r="A1138" i="5"/>
  <c r="V1137" i="5"/>
  <c r="F1137" i="5"/>
  <c r="D1137" i="5"/>
  <c r="B1137" i="5"/>
  <c r="A1137" i="5"/>
  <c r="V1136" i="5"/>
  <c r="F1136" i="5"/>
  <c r="D1136" i="5"/>
  <c r="B1136" i="5"/>
  <c r="A1136" i="5"/>
  <c r="V1135" i="5"/>
  <c r="F1135" i="5"/>
  <c r="D1135" i="5"/>
  <c r="B1135" i="5"/>
  <c r="A1135" i="5"/>
  <c r="V1134" i="5"/>
  <c r="F1134" i="5"/>
  <c r="D1134" i="5"/>
  <c r="B1134" i="5"/>
  <c r="A1134" i="5"/>
  <c r="V1133" i="5"/>
  <c r="F1133" i="5"/>
  <c r="D1133" i="5"/>
  <c r="B1133" i="5"/>
  <c r="A1133" i="5"/>
  <c r="V1132" i="5"/>
  <c r="F1132" i="5"/>
  <c r="D1132" i="5"/>
  <c r="B1132" i="5"/>
  <c r="A1132" i="5"/>
  <c r="V1131" i="5"/>
  <c r="F1131" i="5"/>
  <c r="D1131" i="5"/>
  <c r="B1131" i="5"/>
  <c r="A1131" i="5"/>
  <c r="V1130" i="5"/>
  <c r="F1130" i="5"/>
  <c r="D1130" i="5"/>
  <c r="B1130" i="5"/>
  <c r="A1130" i="5"/>
  <c r="V1129" i="5"/>
  <c r="F1129" i="5"/>
  <c r="D1129" i="5"/>
  <c r="B1129" i="5"/>
  <c r="A1129" i="5"/>
  <c r="V1128" i="5"/>
  <c r="F1128" i="5"/>
  <c r="D1128" i="5"/>
  <c r="B1128" i="5"/>
  <c r="A1128" i="5"/>
  <c r="V1127" i="5"/>
  <c r="F1127" i="5"/>
  <c r="D1127" i="5"/>
  <c r="B1127" i="5"/>
  <c r="A1127" i="5"/>
  <c r="V1126" i="5"/>
  <c r="F1126" i="5"/>
  <c r="D1126" i="5"/>
  <c r="B1126" i="5"/>
  <c r="A1126" i="5"/>
  <c r="V1125" i="5"/>
  <c r="F1125" i="5"/>
  <c r="D1125" i="5"/>
  <c r="B1125" i="5"/>
  <c r="A1125" i="5"/>
  <c r="V1124" i="5"/>
  <c r="F1124" i="5"/>
  <c r="D1124" i="5"/>
  <c r="B1124" i="5"/>
  <c r="A1124" i="5"/>
  <c r="V1123" i="5"/>
  <c r="F1123" i="5"/>
  <c r="D1123" i="5"/>
  <c r="B1123" i="5"/>
  <c r="A1123" i="5"/>
  <c r="V1122" i="5"/>
  <c r="F1122" i="5"/>
  <c r="D1122" i="5"/>
  <c r="B1122" i="5"/>
  <c r="A1122" i="5"/>
  <c r="V1121" i="5"/>
  <c r="F1121" i="5"/>
  <c r="D1121" i="5"/>
  <c r="B1121" i="5"/>
  <c r="A1121" i="5"/>
  <c r="V1120" i="5"/>
  <c r="F1120" i="5"/>
  <c r="D1120" i="5"/>
  <c r="B1120" i="5"/>
  <c r="A1120" i="5"/>
  <c r="V1119" i="5"/>
  <c r="F1119" i="5"/>
  <c r="D1119" i="5"/>
  <c r="B1119" i="5"/>
  <c r="A1119" i="5"/>
  <c r="V1118" i="5"/>
  <c r="F1118" i="5"/>
  <c r="D1118" i="5"/>
  <c r="B1118" i="5"/>
  <c r="A1118" i="5"/>
  <c r="V1117" i="5"/>
  <c r="F1117" i="5"/>
  <c r="D1117" i="5"/>
  <c r="B1117" i="5"/>
  <c r="A1117" i="5"/>
  <c r="V1116" i="5"/>
  <c r="F1116" i="5"/>
  <c r="D1116" i="5"/>
  <c r="B1116" i="5"/>
  <c r="A1116" i="5"/>
  <c r="V1115" i="5"/>
  <c r="F1115" i="5"/>
  <c r="D1115" i="5"/>
  <c r="B1115" i="5"/>
  <c r="A1115" i="5"/>
  <c r="V1114" i="5"/>
  <c r="F1114" i="5"/>
  <c r="D1114" i="5"/>
  <c r="B1114" i="5"/>
  <c r="A1114" i="5"/>
  <c r="V1113" i="5"/>
  <c r="F1113" i="5"/>
  <c r="D1113" i="5"/>
  <c r="B1113" i="5"/>
  <c r="A1113" i="5"/>
  <c r="V1112" i="5"/>
  <c r="F1112" i="5"/>
  <c r="D1112" i="5"/>
  <c r="B1112" i="5"/>
  <c r="A1112" i="5"/>
  <c r="V1111" i="5"/>
  <c r="F1111" i="5"/>
  <c r="D1111" i="5"/>
  <c r="B1111" i="5"/>
  <c r="A1111" i="5"/>
  <c r="V1110" i="5"/>
  <c r="F1110" i="5"/>
  <c r="D1110" i="5"/>
  <c r="B1110" i="5"/>
  <c r="A1110" i="5"/>
  <c r="V1109" i="5"/>
  <c r="F1109" i="5"/>
  <c r="D1109" i="5"/>
  <c r="B1109" i="5"/>
  <c r="A1109" i="5"/>
  <c r="V1108" i="5"/>
  <c r="F1108" i="5"/>
  <c r="D1108" i="5"/>
  <c r="B1108" i="5"/>
  <c r="A1108" i="5"/>
  <c r="V1107" i="5"/>
  <c r="F1107" i="5"/>
  <c r="D1107" i="5"/>
  <c r="B1107" i="5"/>
  <c r="A1107" i="5"/>
  <c r="V1106" i="5"/>
  <c r="F1106" i="5"/>
  <c r="D1106" i="5"/>
  <c r="B1106" i="5"/>
  <c r="A1106" i="5"/>
  <c r="V1105" i="5"/>
  <c r="F1105" i="5"/>
  <c r="D1105" i="5"/>
  <c r="B1105" i="5"/>
  <c r="A1105" i="5"/>
  <c r="V1104" i="5"/>
  <c r="F1104" i="5"/>
  <c r="D1104" i="5"/>
  <c r="B1104" i="5"/>
  <c r="A1104" i="5"/>
  <c r="V1103" i="5"/>
  <c r="F1103" i="5"/>
  <c r="D1103" i="5"/>
  <c r="B1103" i="5"/>
  <c r="A1103" i="5"/>
  <c r="V1102" i="5"/>
  <c r="F1102" i="5"/>
  <c r="D1102" i="5"/>
  <c r="B1102" i="5"/>
  <c r="A1102" i="5"/>
  <c r="V1101" i="5"/>
  <c r="F1101" i="5"/>
  <c r="D1101" i="5"/>
  <c r="B1101" i="5"/>
  <c r="A1101" i="5"/>
  <c r="V1100" i="5"/>
  <c r="F1100" i="5"/>
  <c r="D1100" i="5"/>
  <c r="B1100" i="5"/>
  <c r="A1100" i="5"/>
  <c r="V1099" i="5"/>
  <c r="F1099" i="5"/>
  <c r="D1099" i="5"/>
  <c r="B1099" i="5"/>
  <c r="A1099" i="5"/>
  <c r="V1098" i="5"/>
  <c r="F1098" i="5"/>
  <c r="D1098" i="5"/>
  <c r="B1098" i="5"/>
  <c r="A1098" i="5"/>
  <c r="V1097" i="5"/>
  <c r="F1097" i="5"/>
  <c r="D1097" i="5"/>
  <c r="B1097" i="5"/>
  <c r="A1097" i="5"/>
  <c r="V1096" i="5"/>
  <c r="F1096" i="5"/>
  <c r="D1096" i="5"/>
  <c r="B1096" i="5"/>
  <c r="A1096" i="5"/>
  <c r="V1095" i="5"/>
  <c r="F1095" i="5"/>
  <c r="D1095" i="5"/>
  <c r="B1095" i="5"/>
  <c r="A1095" i="5"/>
  <c r="V1094" i="5"/>
  <c r="F1094" i="5"/>
  <c r="D1094" i="5"/>
  <c r="B1094" i="5"/>
  <c r="A1094" i="5"/>
  <c r="V1093" i="5"/>
  <c r="F1093" i="5"/>
  <c r="D1093" i="5"/>
  <c r="B1093" i="5"/>
  <c r="A1093" i="5"/>
  <c r="V1092" i="5"/>
  <c r="F1092" i="5"/>
  <c r="D1092" i="5"/>
  <c r="B1092" i="5"/>
  <c r="A1092" i="5"/>
  <c r="V1091" i="5"/>
  <c r="F1091" i="5"/>
  <c r="D1091" i="5"/>
  <c r="B1091" i="5"/>
  <c r="A1091" i="5"/>
  <c r="V1090" i="5"/>
  <c r="F1090" i="5"/>
  <c r="D1090" i="5"/>
  <c r="B1090" i="5"/>
  <c r="A1090" i="5"/>
  <c r="V1089" i="5"/>
  <c r="F1089" i="5"/>
  <c r="D1089" i="5"/>
  <c r="B1089" i="5"/>
  <c r="A1089" i="5"/>
  <c r="V1088" i="5"/>
  <c r="F1088" i="5"/>
  <c r="D1088" i="5"/>
  <c r="B1088" i="5"/>
  <c r="A1088" i="5"/>
  <c r="V1087" i="5"/>
  <c r="F1087" i="5"/>
  <c r="D1087" i="5"/>
  <c r="B1087" i="5"/>
  <c r="A1087" i="5"/>
  <c r="V1086" i="5"/>
  <c r="F1086" i="5"/>
  <c r="D1086" i="5"/>
  <c r="B1086" i="5"/>
  <c r="A1086" i="5"/>
  <c r="V1085" i="5"/>
  <c r="F1085" i="5"/>
  <c r="D1085" i="5"/>
  <c r="B1085" i="5"/>
  <c r="A1085" i="5"/>
  <c r="V1084" i="5"/>
  <c r="F1084" i="5"/>
  <c r="D1084" i="5"/>
  <c r="B1084" i="5"/>
  <c r="A1084" i="5"/>
  <c r="V1083" i="5"/>
  <c r="F1083" i="5"/>
  <c r="D1083" i="5"/>
  <c r="B1083" i="5"/>
  <c r="A1083" i="5"/>
  <c r="V1082" i="5"/>
  <c r="F1082" i="5"/>
  <c r="D1082" i="5"/>
  <c r="B1082" i="5"/>
  <c r="A1082" i="5"/>
  <c r="V1081" i="5"/>
  <c r="F1081" i="5"/>
  <c r="D1081" i="5"/>
  <c r="B1081" i="5"/>
  <c r="A1081" i="5"/>
  <c r="V1080" i="5"/>
  <c r="F1080" i="5"/>
  <c r="D1080" i="5"/>
  <c r="B1080" i="5"/>
  <c r="A1080" i="5"/>
  <c r="V1079" i="5"/>
  <c r="F1079" i="5"/>
  <c r="D1079" i="5"/>
  <c r="B1079" i="5"/>
  <c r="A1079" i="5"/>
  <c r="V1078" i="5"/>
  <c r="F1078" i="5"/>
  <c r="D1078" i="5"/>
  <c r="B1078" i="5"/>
  <c r="A1078" i="5"/>
  <c r="V1077" i="5"/>
  <c r="F1077" i="5"/>
  <c r="D1077" i="5"/>
  <c r="B1077" i="5"/>
  <c r="A1077" i="5"/>
  <c r="V1076" i="5"/>
  <c r="F1076" i="5"/>
  <c r="D1076" i="5"/>
  <c r="B1076" i="5"/>
  <c r="A1076" i="5"/>
  <c r="V1075" i="5"/>
  <c r="F1075" i="5"/>
  <c r="D1075" i="5"/>
  <c r="B1075" i="5"/>
  <c r="A1075" i="5"/>
  <c r="V1074" i="5"/>
  <c r="F1074" i="5"/>
  <c r="D1074" i="5"/>
  <c r="B1074" i="5"/>
  <c r="A1074" i="5"/>
  <c r="V1073" i="5"/>
  <c r="F1073" i="5"/>
  <c r="D1073" i="5"/>
  <c r="B1073" i="5"/>
  <c r="A1073" i="5"/>
  <c r="V1072" i="5"/>
  <c r="F1072" i="5"/>
  <c r="D1072" i="5"/>
  <c r="B1072" i="5"/>
  <c r="A1072" i="5"/>
  <c r="V1071" i="5"/>
  <c r="F1071" i="5"/>
  <c r="D1071" i="5"/>
  <c r="B1071" i="5"/>
  <c r="A1071" i="5"/>
  <c r="V1070" i="5"/>
  <c r="F1070" i="5"/>
  <c r="D1070" i="5"/>
  <c r="B1070" i="5"/>
  <c r="A1070" i="5"/>
  <c r="V1069" i="5"/>
  <c r="F1069" i="5"/>
  <c r="D1069" i="5"/>
  <c r="B1069" i="5"/>
  <c r="A1069" i="5"/>
  <c r="V1068" i="5"/>
  <c r="F1068" i="5"/>
  <c r="D1068" i="5"/>
  <c r="B1068" i="5"/>
  <c r="A1068" i="5"/>
  <c r="V1067" i="5"/>
  <c r="F1067" i="5"/>
  <c r="D1067" i="5"/>
  <c r="B1067" i="5"/>
  <c r="A1067" i="5"/>
  <c r="V1066" i="5"/>
  <c r="F1066" i="5"/>
  <c r="D1066" i="5"/>
  <c r="B1066" i="5"/>
  <c r="A1066" i="5"/>
  <c r="V1065" i="5"/>
  <c r="F1065" i="5"/>
  <c r="D1065" i="5"/>
  <c r="B1065" i="5"/>
  <c r="A1065" i="5"/>
  <c r="V1064" i="5"/>
  <c r="F1064" i="5"/>
  <c r="D1064" i="5"/>
  <c r="B1064" i="5"/>
  <c r="A1064" i="5"/>
  <c r="V1063" i="5"/>
  <c r="F1063" i="5"/>
  <c r="D1063" i="5"/>
  <c r="B1063" i="5"/>
  <c r="A1063" i="5"/>
  <c r="V1062" i="5"/>
  <c r="F1062" i="5"/>
  <c r="D1062" i="5"/>
  <c r="B1062" i="5"/>
  <c r="A1062" i="5"/>
  <c r="V1061" i="5"/>
  <c r="F1061" i="5"/>
  <c r="D1061" i="5"/>
  <c r="B1061" i="5"/>
  <c r="A1061" i="5"/>
  <c r="V1060" i="5"/>
  <c r="F1060" i="5"/>
  <c r="D1060" i="5"/>
  <c r="B1060" i="5"/>
  <c r="A1060" i="5"/>
  <c r="V1059" i="5"/>
  <c r="F1059" i="5"/>
  <c r="D1059" i="5"/>
  <c r="B1059" i="5"/>
  <c r="A1059" i="5"/>
  <c r="V1058" i="5"/>
  <c r="F1058" i="5"/>
  <c r="D1058" i="5"/>
  <c r="B1058" i="5"/>
  <c r="A1058" i="5"/>
  <c r="V1057" i="5"/>
  <c r="F1057" i="5"/>
  <c r="D1057" i="5"/>
  <c r="B1057" i="5"/>
  <c r="A1057" i="5"/>
  <c r="V1056" i="5"/>
  <c r="F1056" i="5"/>
  <c r="D1056" i="5"/>
  <c r="B1056" i="5"/>
  <c r="A1056" i="5"/>
  <c r="V1055" i="5"/>
  <c r="F1055" i="5"/>
  <c r="D1055" i="5"/>
  <c r="B1055" i="5"/>
  <c r="A1055" i="5"/>
  <c r="V1054" i="5"/>
  <c r="F1054" i="5"/>
  <c r="D1054" i="5"/>
  <c r="B1054" i="5"/>
  <c r="A1054" i="5"/>
  <c r="V1053" i="5"/>
  <c r="F1053" i="5"/>
  <c r="D1053" i="5"/>
  <c r="B1053" i="5"/>
  <c r="A1053" i="5"/>
  <c r="V1052" i="5"/>
  <c r="F1052" i="5"/>
  <c r="D1052" i="5"/>
  <c r="B1052" i="5"/>
  <c r="A1052" i="5"/>
  <c r="V1051" i="5"/>
  <c r="F1051" i="5"/>
  <c r="D1051" i="5"/>
  <c r="B1051" i="5"/>
  <c r="A1051" i="5"/>
  <c r="V1050" i="5"/>
  <c r="F1050" i="5"/>
  <c r="D1050" i="5"/>
  <c r="B1050" i="5"/>
  <c r="A1050" i="5"/>
  <c r="V1049" i="5"/>
  <c r="F1049" i="5"/>
  <c r="D1049" i="5"/>
  <c r="B1049" i="5"/>
  <c r="A1049" i="5"/>
  <c r="V1048" i="5"/>
  <c r="F1048" i="5"/>
  <c r="D1048" i="5"/>
  <c r="B1048" i="5"/>
  <c r="A1048" i="5"/>
  <c r="V1047" i="5"/>
  <c r="F1047" i="5"/>
  <c r="D1047" i="5"/>
  <c r="B1047" i="5"/>
  <c r="A1047" i="5"/>
  <c r="V1046" i="5"/>
  <c r="F1046" i="5"/>
  <c r="D1046" i="5"/>
  <c r="B1046" i="5"/>
  <c r="A1046" i="5"/>
  <c r="V1045" i="5"/>
  <c r="F1045" i="5"/>
  <c r="D1045" i="5"/>
  <c r="B1045" i="5"/>
  <c r="A1045" i="5"/>
  <c r="V1044" i="5"/>
  <c r="F1044" i="5"/>
  <c r="D1044" i="5"/>
  <c r="B1044" i="5"/>
  <c r="A1044" i="5"/>
  <c r="V1043" i="5"/>
  <c r="F1043" i="5"/>
  <c r="D1043" i="5"/>
  <c r="B1043" i="5"/>
  <c r="A1043" i="5"/>
  <c r="V1042" i="5"/>
  <c r="F1042" i="5"/>
  <c r="D1042" i="5"/>
  <c r="B1042" i="5"/>
  <c r="A1042" i="5"/>
  <c r="V1041" i="5"/>
  <c r="F1041" i="5"/>
  <c r="D1041" i="5"/>
  <c r="B1041" i="5"/>
  <c r="A1041" i="5"/>
  <c r="V1040" i="5"/>
  <c r="F1040" i="5"/>
  <c r="D1040" i="5"/>
  <c r="B1040" i="5"/>
  <c r="A1040" i="5"/>
  <c r="V1039" i="5"/>
  <c r="F1039" i="5"/>
  <c r="D1039" i="5"/>
  <c r="B1039" i="5"/>
  <c r="A1039" i="5"/>
  <c r="V1038" i="5"/>
  <c r="F1038" i="5"/>
  <c r="D1038" i="5"/>
  <c r="B1038" i="5"/>
  <c r="A1038" i="5"/>
  <c r="V1037" i="5"/>
  <c r="F1037" i="5"/>
  <c r="D1037" i="5"/>
  <c r="B1037" i="5"/>
  <c r="A1037" i="5"/>
  <c r="V1036" i="5"/>
  <c r="F1036" i="5"/>
  <c r="D1036" i="5"/>
  <c r="B1036" i="5"/>
  <c r="A1036" i="5"/>
  <c r="V1035" i="5"/>
  <c r="F1035" i="5"/>
  <c r="D1035" i="5"/>
  <c r="B1035" i="5"/>
  <c r="A1035" i="5"/>
  <c r="V1034" i="5"/>
  <c r="F1034" i="5"/>
  <c r="D1034" i="5"/>
  <c r="B1034" i="5"/>
  <c r="A1034" i="5"/>
  <c r="V1033" i="5"/>
  <c r="F1033" i="5"/>
  <c r="D1033" i="5"/>
  <c r="B1033" i="5"/>
  <c r="A1033" i="5"/>
  <c r="V1032" i="5"/>
  <c r="F1032" i="5"/>
  <c r="D1032" i="5"/>
  <c r="B1032" i="5"/>
  <c r="A1032" i="5"/>
  <c r="V1031" i="5"/>
  <c r="F1031" i="5"/>
  <c r="D1031" i="5"/>
  <c r="B1031" i="5"/>
  <c r="A1031" i="5"/>
  <c r="V1030" i="5"/>
  <c r="F1030" i="5"/>
  <c r="D1030" i="5"/>
  <c r="B1030" i="5"/>
  <c r="A1030" i="5"/>
  <c r="V1029" i="5"/>
  <c r="F1029" i="5"/>
  <c r="D1029" i="5"/>
  <c r="B1029" i="5"/>
  <c r="A1029" i="5"/>
  <c r="V1028" i="5"/>
  <c r="F1028" i="5"/>
  <c r="D1028" i="5"/>
  <c r="B1028" i="5"/>
  <c r="A1028" i="5"/>
  <c r="V1027" i="5"/>
  <c r="F1027" i="5"/>
  <c r="D1027" i="5"/>
  <c r="B1027" i="5"/>
  <c r="A1027" i="5"/>
  <c r="V1026" i="5"/>
  <c r="F1026" i="5"/>
  <c r="D1026" i="5"/>
  <c r="B1026" i="5"/>
  <c r="A1026" i="5"/>
  <c r="V1025" i="5"/>
  <c r="F1025" i="5"/>
  <c r="D1025" i="5"/>
  <c r="B1025" i="5"/>
  <c r="A1025" i="5"/>
  <c r="V1024" i="5"/>
  <c r="F1024" i="5"/>
  <c r="D1024" i="5"/>
  <c r="B1024" i="5"/>
  <c r="A1024" i="5"/>
  <c r="V1023" i="5"/>
  <c r="F1023" i="5"/>
  <c r="D1023" i="5"/>
  <c r="B1023" i="5"/>
  <c r="A1023" i="5"/>
  <c r="V1022" i="5"/>
  <c r="F1022" i="5"/>
  <c r="D1022" i="5"/>
  <c r="B1022" i="5"/>
  <c r="A1022" i="5"/>
  <c r="V1021" i="5"/>
  <c r="F1021" i="5"/>
  <c r="D1021" i="5"/>
  <c r="B1021" i="5"/>
  <c r="A1021" i="5"/>
  <c r="V1020" i="5"/>
  <c r="F1020" i="5"/>
  <c r="D1020" i="5"/>
  <c r="B1020" i="5"/>
  <c r="A1020" i="5"/>
  <c r="V1019" i="5"/>
  <c r="F1019" i="5"/>
  <c r="D1019" i="5"/>
  <c r="B1019" i="5"/>
  <c r="A1019" i="5"/>
  <c r="V1018" i="5"/>
  <c r="F1018" i="5"/>
  <c r="D1018" i="5"/>
  <c r="B1018" i="5"/>
  <c r="A1018" i="5"/>
  <c r="V1017" i="5"/>
  <c r="F1017" i="5"/>
  <c r="D1017" i="5"/>
  <c r="B1017" i="5"/>
  <c r="A1017" i="5"/>
  <c r="V1016" i="5"/>
  <c r="F1016" i="5"/>
  <c r="D1016" i="5"/>
  <c r="B1016" i="5"/>
  <c r="A1016" i="5"/>
  <c r="V1015" i="5"/>
  <c r="F1015" i="5"/>
  <c r="D1015" i="5"/>
  <c r="B1015" i="5"/>
  <c r="A1015" i="5"/>
  <c r="V1014" i="5"/>
  <c r="F1014" i="5"/>
  <c r="D1014" i="5"/>
  <c r="B1014" i="5"/>
  <c r="A1014" i="5"/>
  <c r="V1013" i="5"/>
  <c r="F1013" i="5"/>
  <c r="D1013" i="5"/>
  <c r="B1013" i="5"/>
  <c r="A1013" i="5"/>
  <c r="V1012" i="5"/>
  <c r="F1012" i="5"/>
  <c r="D1012" i="5"/>
  <c r="B1012" i="5"/>
  <c r="A1012" i="5"/>
  <c r="V1011" i="5"/>
  <c r="F1011" i="5"/>
  <c r="D1011" i="5"/>
  <c r="B1011" i="5"/>
  <c r="A1011" i="5"/>
  <c r="V1010" i="5"/>
  <c r="F1010" i="5"/>
  <c r="D1010" i="5"/>
  <c r="B1010" i="5"/>
  <c r="A1010" i="5"/>
  <c r="V1009" i="5"/>
  <c r="F1009" i="5"/>
  <c r="D1009" i="5"/>
  <c r="B1009" i="5"/>
  <c r="A1009" i="5"/>
  <c r="V1008" i="5"/>
  <c r="F1008" i="5"/>
  <c r="D1008" i="5"/>
  <c r="B1008" i="5"/>
  <c r="A1008" i="5"/>
  <c r="V1007" i="5"/>
  <c r="F1007" i="5"/>
  <c r="D1007" i="5"/>
  <c r="B1007" i="5"/>
  <c r="A1007" i="5"/>
  <c r="V1006" i="5"/>
  <c r="F1006" i="5"/>
  <c r="D1006" i="5"/>
  <c r="B1006" i="5"/>
  <c r="A1006" i="5"/>
  <c r="V1005" i="5"/>
  <c r="F1005" i="5"/>
  <c r="D1005" i="5"/>
  <c r="B1005" i="5"/>
  <c r="A1005" i="5"/>
  <c r="V1004" i="5"/>
  <c r="F1004" i="5"/>
  <c r="D1004" i="5"/>
  <c r="B1004" i="5"/>
  <c r="A1004" i="5"/>
  <c r="V1003" i="5"/>
  <c r="F1003" i="5"/>
  <c r="D1003" i="5"/>
  <c r="B1003" i="5"/>
  <c r="A1003" i="5"/>
  <c r="V1002" i="5"/>
  <c r="F1002" i="5"/>
  <c r="D1002" i="5"/>
  <c r="B1002" i="5"/>
  <c r="A1002" i="5"/>
  <c r="V1001" i="5"/>
  <c r="F1001" i="5"/>
  <c r="D1001" i="5"/>
  <c r="B1001" i="5"/>
  <c r="A1001" i="5"/>
  <c r="V1000" i="5"/>
  <c r="F1000" i="5"/>
  <c r="D1000" i="5"/>
  <c r="B1000" i="5"/>
  <c r="A1000" i="5"/>
  <c r="V999" i="5"/>
  <c r="F999" i="5"/>
  <c r="D999" i="5"/>
  <c r="B999" i="5"/>
  <c r="A999" i="5"/>
  <c r="V998" i="5"/>
  <c r="F998" i="5"/>
  <c r="D998" i="5"/>
  <c r="B998" i="5"/>
  <c r="A998" i="5"/>
  <c r="V997" i="5"/>
  <c r="F997" i="5"/>
  <c r="D997" i="5"/>
  <c r="B997" i="5"/>
  <c r="A997" i="5"/>
  <c r="V996" i="5"/>
  <c r="F996" i="5"/>
  <c r="D996" i="5"/>
  <c r="B996" i="5"/>
  <c r="A996" i="5"/>
  <c r="V995" i="5"/>
  <c r="F995" i="5"/>
  <c r="D995" i="5"/>
  <c r="B995" i="5"/>
  <c r="A995" i="5"/>
  <c r="V994" i="5"/>
  <c r="F994" i="5"/>
  <c r="D994" i="5"/>
  <c r="B994" i="5"/>
  <c r="A994" i="5"/>
  <c r="V993" i="5"/>
  <c r="F993" i="5"/>
  <c r="D993" i="5"/>
  <c r="B993" i="5"/>
  <c r="A993" i="5"/>
  <c r="V992" i="5"/>
  <c r="F992" i="5"/>
  <c r="D992" i="5"/>
  <c r="B992" i="5"/>
  <c r="A992" i="5"/>
  <c r="V991" i="5"/>
  <c r="F991" i="5"/>
  <c r="D991" i="5"/>
  <c r="B991" i="5"/>
  <c r="A991" i="5"/>
  <c r="V990" i="5"/>
  <c r="F990" i="5"/>
  <c r="D990" i="5"/>
  <c r="B990" i="5"/>
  <c r="A990" i="5"/>
  <c r="V989" i="5"/>
  <c r="F989" i="5"/>
  <c r="D989" i="5"/>
  <c r="B989" i="5"/>
  <c r="A989" i="5"/>
  <c r="V988" i="5"/>
  <c r="F988" i="5"/>
  <c r="D988" i="5"/>
  <c r="B988" i="5"/>
  <c r="A988" i="5"/>
  <c r="V987" i="5"/>
  <c r="F987" i="5"/>
  <c r="D987" i="5"/>
  <c r="B987" i="5"/>
  <c r="A987" i="5"/>
  <c r="V986" i="5"/>
  <c r="F986" i="5"/>
  <c r="D986" i="5"/>
  <c r="B986" i="5"/>
  <c r="A986" i="5"/>
  <c r="V985" i="5"/>
  <c r="F985" i="5"/>
  <c r="D985" i="5"/>
  <c r="B985" i="5"/>
  <c r="A985" i="5"/>
  <c r="V984" i="5"/>
  <c r="F984" i="5"/>
  <c r="D984" i="5"/>
  <c r="B984" i="5"/>
  <c r="A984" i="5"/>
  <c r="V983" i="5"/>
  <c r="F983" i="5"/>
  <c r="D983" i="5"/>
  <c r="B983" i="5"/>
  <c r="A983" i="5"/>
  <c r="V982" i="5"/>
  <c r="F982" i="5"/>
  <c r="D982" i="5"/>
  <c r="B982" i="5"/>
  <c r="A982" i="5"/>
  <c r="V981" i="5"/>
  <c r="F981" i="5"/>
  <c r="D981" i="5"/>
  <c r="B981" i="5"/>
  <c r="A981" i="5"/>
  <c r="V980" i="5"/>
  <c r="F980" i="5"/>
  <c r="D980" i="5"/>
  <c r="B980" i="5"/>
  <c r="A980" i="5"/>
  <c r="V979" i="5"/>
  <c r="F979" i="5"/>
  <c r="D979" i="5"/>
  <c r="B979" i="5"/>
  <c r="A979" i="5"/>
  <c r="V978" i="5"/>
  <c r="F978" i="5"/>
  <c r="D978" i="5"/>
  <c r="B978" i="5"/>
  <c r="A978" i="5"/>
  <c r="V977" i="5"/>
  <c r="F977" i="5"/>
  <c r="D977" i="5"/>
  <c r="B977" i="5"/>
  <c r="A977" i="5"/>
  <c r="V976" i="5"/>
  <c r="F976" i="5"/>
  <c r="D976" i="5"/>
  <c r="B976" i="5"/>
  <c r="A976" i="5"/>
  <c r="V975" i="5"/>
  <c r="F975" i="5"/>
  <c r="D975" i="5"/>
  <c r="B975" i="5"/>
  <c r="A975" i="5"/>
  <c r="V974" i="5"/>
  <c r="F974" i="5"/>
  <c r="D974" i="5"/>
  <c r="B974" i="5"/>
  <c r="A974" i="5"/>
  <c r="V973" i="5"/>
  <c r="F973" i="5"/>
  <c r="D973" i="5"/>
  <c r="B973" i="5"/>
  <c r="A973" i="5"/>
  <c r="V972" i="5"/>
  <c r="F972" i="5"/>
  <c r="D972" i="5"/>
  <c r="B972" i="5"/>
  <c r="A972" i="5"/>
  <c r="V971" i="5"/>
  <c r="F971" i="5"/>
  <c r="D971" i="5"/>
  <c r="B971" i="5"/>
  <c r="A971" i="5"/>
  <c r="V970" i="5"/>
  <c r="F970" i="5"/>
  <c r="D970" i="5"/>
  <c r="B970" i="5"/>
  <c r="A970" i="5"/>
  <c r="V969" i="5"/>
  <c r="F969" i="5"/>
  <c r="D969" i="5"/>
  <c r="B969" i="5"/>
  <c r="A969" i="5"/>
  <c r="V968" i="5"/>
  <c r="F968" i="5"/>
  <c r="D968" i="5"/>
  <c r="B968" i="5"/>
  <c r="A968" i="5"/>
  <c r="V967" i="5"/>
  <c r="F967" i="5"/>
  <c r="D967" i="5"/>
  <c r="B967" i="5"/>
  <c r="A967" i="5"/>
  <c r="V966" i="5"/>
  <c r="F966" i="5"/>
  <c r="D966" i="5"/>
  <c r="B966" i="5"/>
  <c r="A966" i="5"/>
  <c r="V965" i="5"/>
  <c r="F965" i="5"/>
  <c r="D965" i="5"/>
  <c r="B965" i="5"/>
  <c r="A965" i="5"/>
  <c r="V964" i="5"/>
  <c r="F964" i="5"/>
  <c r="D964" i="5"/>
  <c r="B964" i="5"/>
  <c r="A964" i="5"/>
  <c r="V963" i="5"/>
  <c r="F963" i="5"/>
  <c r="D963" i="5"/>
  <c r="B963" i="5"/>
  <c r="A963" i="5"/>
  <c r="V962" i="5"/>
  <c r="F962" i="5"/>
  <c r="D962" i="5"/>
  <c r="B962" i="5"/>
  <c r="A962" i="5"/>
  <c r="V961" i="5"/>
  <c r="F961" i="5"/>
  <c r="D961" i="5"/>
  <c r="B961" i="5"/>
  <c r="A961" i="5"/>
  <c r="V960" i="5"/>
  <c r="F960" i="5"/>
  <c r="D960" i="5"/>
  <c r="B960" i="5"/>
  <c r="A960" i="5"/>
  <c r="V959" i="5"/>
  <c r="F959" i="5"/>
  <c r="D959" i="5"/>
  <c r="B959" i="5"/>
  <c r="A959" i="5"/>
  <c r="V958" i="5"/>
  <c r="F958" i="5"/>
  <c r="D958" i="5"/>
  <c r="B958" i="5"/>
  <c r="A958" i="5"/>
  <c r="V957" i="5"/>
  <c r="F957" i="5"/>
  <c r="D957" i="5"/>
  <c r="B957" i="5"/>
  <c r="A957" i="5"/>
  <c r="V956" i="5"/>
  <c r="F956" i="5"/>
  <c r="D956" i="5"/>
  <c r="B956" i="5"/>
  <c r="A956" i="5"/>
  <c r="V955" i="5"/>
  <c r="F955" i="5"/>
  <c r="D955" i="5"/>
  <c r="B955" i="5"/>
  <c r="A955" i="5"/>
  <c r="V954" i="5"/>
  <c r="F954" i="5"/>
  <c r="D954" i="5"/>
  <c r="B954" i="5"/>
  <c r="A954" i="5"/>
  <c r="V953" i="5"/>
  <c r="F953" i="5"/>
  <c r="D953" i="5"/>
  <c r="B953" i="5"/>
  <c r="A953" i="5"/>
  <c r="V952" i="5"/>
  <c r="F952" i="5"/>
  <c r="D952" i="5"/>
  <c r="B952" i="5"/>
  <c r="A952" i="5"/>
  <c r="V951" i="5"/>
  <c r="F951" i="5"/>
  <c r="D951" i="5"/>
  <c r="B951" i="5"/>
  <c r="A951" i="5"/>
  <c r="V950" i="5"/>
  <c r="F950" i="5"/>
  <c r="D950" i="5"/>
  <c r="B950" i="5"/>
  <c r="A950" i="5"/>
  <c r="V949" i="5"/>
  <c r="F949" i="5"/>
  <c r="D949" i="5"/>
  <c r="B949" i="5"/>
  <c r="A949" i="5"/>
  <c r="V948" i="5"/>
  <c r="F948" i="5"/>
  <c r="D948" i="5"/>
  <c r="B948" i="5"/>
  <c r="A948" i="5"/>
  <c r="V947" i="5"/>
  <c r="F947" i="5"/>
  <c r="D947" i="5"/>
  <c r="B947" i="5"/>
  <c r="A947" i="5"/>
  <c r="V946" i="5"/>
  <c r="F946" i="5"/>
  <c r="D946" i="5"/>
  <c r="B946" i="5"/>
  <c r="A946" i="5"/>
  <c r="V945" i="5"/>
  <c r="F945" i="5"/>
  <c r="D945" i="5"/>
  <c r="B945" i="5"/>
  <c r="A945" i="5"/>
  <c r="V944" i="5"/>
  <c r="F944" i="5"/>
  <c r="D944" i="5"/>
  <c r="B944" i="5"/>
  <c r="A944" i="5"/>
  <c r="V943" i="5"/>
  <c r="F943" i="5"/>
  <c r="D943" i="5"/>
  <c r="B943" i="5"/>
  <c r="A943" i="5"/>
  <c r="V942" i="5"/>
  <c r="F942" i="5"/>
  <c r="D942" i="5"/>
  <c r="B942" i="5"/>
  <c r="A942" i="5"/>
  <c r="V941" i="5"/>
  <c r="F941" i="5"/>
  <c r="D941" i="5"/>
  <c r="B941" i="5"/>
  <c r="A941" i="5"/>
  <c r="V940" i="5"/>
  <c r="F940" i="5"/>
  <c r="D940" i="5"/>
  <c r="B940" i="5"/>
  <c r="A940" i="5"/>
  <c r="V939" i="5"/>
  <c r="F939" i="5"/>
  <c r="D939" i="5"/>
  <c r="B939" i="5"/>
  <c r="A939" i="5"/>
  <c r="V938" i="5"/>
  <c r="F938" i="5"/>
  <c r="D938" i="5"/>
  <c r="B938" i="5"/>
  <c r="A938" i="5"/>
  <c r="V937" i="5"/>
  <c r="F937" i="5"/>
  <c r="D937" i="5"/>
  <c r="B937" i="5"/>
  <c r="A937" i="5"/>
  <c r="V936" i="5"/>
  <c r="F936" i="5"/>
  <c r="D936" i="5"/>
  <c r="B936" i="5"/>
  <c r="A936" i="5"/>
  <c r="V935" i="5"/>
  <c r="F935" i="5"/>
  <c r="D935" i="5"/>
  <c r="B935" i="5"/>
  <c r="A935" i="5"/>
  <c r="V934" i="5"/>
  <c r="F934" i="5"/>
  <c r="D934" i="5"/>
  <c r="B934" i="5"/>
  <c r="A934" i="5"/>
  <c r="V933" i="5"/>
  <c r="F933" i="5"/>
  <c r="D933" i="5"/>
  <c r="B933" i="5"/>
  <c r="A933" i="5"/>
  <c r="V932" i="5"/>
  <c r="F932" i="5"/>
  <c r="D932" i="5"/>
  <c r="B932" i="5"/>
  <c r="A932" i="5"/>
  <c r="V931" i="5"/>
  <c r="F931" i="5"/>
  <c r="D931" i="5"/>
  <c r="B931" i="5"/>
  <c r="A931" i="5"/>
  <c r="V930" i="5"/>
  <c r="F930" i="5"/>
  <c r="D930" i="5"/>
  <c r="B930" i="5"/>
  <c r="A930" i="5"/>
  <c r="V929" i="5"/>
  <c r="F929" i="5"/>
  <c r="D929" i="5"/>
  <c r="B929" i="5"/>
  <c r="A929" i="5"/>
  <c r="V928" i="5"/>
  <c r="F928" i="5"/>
  <c r="D928" i="5"/>
  <c r="B928" i="5"/>
  <c r="A928" i="5"/>
  <c r="V927" i="5"/>
  <c r="F927" i="5"/>
  <c r="D927" i="5"/>
  <c r="B927" i="5"/>
  <c r="A927" i="5"/>
  <c r="V926" i="5"/>
  <c r="F926" i="5"/>
  <c r="D926" i="5"/>
  <c r="B926" i="5"/>
  <c r="A926" i="5"/>
  <c r="V925" i="5"/>
  <c r="F925" i="5"/>
  <c r="D925" i="5"/>
  <c r="B925" i="5"/>
  <c r="A925" i="5"/>
  <c r="V924" i="5"/>
  <c r="F924" i="5"/>
  <c r="D924" i="5"/>
  <c r="B924" i="5"/>
  <c r="A924" i="5"/>
  <c r="V923" i="5"/>
  <c r="F923" i="5"/>
  <c r="D923" i="5"/>
  <c r="B923" i="5"/>
  <c r="A923" i="5"/>
  <c r="V922" i="5"/>
  <c r="F922" i="5"/>
  <c r="D922" i="5"/>
  <c r="B922" i="5"/>
  <c r="A922" i="5"/>
  <c r="V921" i="5"/>
  <c r="F921" i="5"/>
  <c r="D921" i="5"/>
  <c r="B921" i="5"/>
  <c r="A921" i="5"/>
  <c r="V920" i="5"/>
  <c r="F920" i="5"/>
  <c r="D920" i="5"/>
  <c r="B920" i="5"/>
  <c r="A920" i="5"/>
  <c r="V919" i="5"/>
  <c r="F919" i="5"/>
  <c r="D919" i="5"/>
  <c r="B919" i="5"/>
  <c r="A919" i="5"/>
  <c r="V918" i="5"/>
  <c r="F918" i="5"/>
  <c r="D918" i="5"/>
  <c r="B918" i="5"/>
  <c r="A918" i="5"/>
  <c r="V917" i="5"/>
  <c r="F917" i="5"/>
  <c r="D917" i="5"/>
  <c r="B917" i="5"/>
  <c r="A917" i="5"/>
  <c r="V916" i="5"/>
  <c r="F916" i="5"/>
  <c r="D916" i="5"/>
  <c r="B916" i="5"/>
  <c r="A916" i="5"/>
  <c r="V915" i="5"/>
  <c r="F915" i="5"/>
  <c r="D915" i="5"/>
  <c r="B915" i="5"/>
  <c r="A915" i="5"/>
  <c r="V914" i="5"/>
  <c r="F914" i="5"/>
  <c r="D914" i="5"/>
  <c r="B914" i="5"/>
  <c r="A914" i="5"/>
  <c r="V913" i="5"/>
  <c r="F913" i="5"/>
  <c r="D913" i="5"/>
  <c r="B913" i="5"/>
  <c r="A913" i="5"/>
  <c r="V912" i="5"/>
  <c r="F912" i="5"/>
  <c r="D912" i="5"/>
  <c r="B912" i="5"/>
  <c r="A912" i="5"/>
  <c r="V911" i="5"/>
  <c r="F911" i="5"/>
  <c r="D911" i="5"/>
  <c r="B911" i="5"/>
  <c r="A911" i="5"/>
  <c r="V910" i="5"/>
  <c r="F910" i="5"/>
  <c r="D910" i="5"/>
  <c r="B910" i="5"/>
  <c r="A910" i="5"/>
  <c r="V909" i="5"/>
  <c r="F909" i="5"/>
  <c r="D909" i="5"/>
  <c r="B909" i="5"/>
  <c r="A909" i="5"/>
  <c r="V908" i="5"/>
  <c r="F908" i="5"/>
  <c r="D908" i="5"/>
  <c r="B908" i="5"/>
  <c r="A908" i="5"/>
  <c r="V907" i="5"/>
  <c r="F907" i="5"/>
  <c r="D907" i="5"/>
  <c r="B907" i="5"/>
  <c r="A907" i="5"/>
  <c r="V906" i="5"/>
  <c r="F906" i="5"/>
  <c r="D906" i="5"/>
  <c r="B906" i="5"/>
  <c r="A906" i="5"/>
  <c r="V905" i="5"/>
  <c r="F905" i="5"/>
  <c r="D905" i="5"/>
  <c r="B905" i="5"/>
  <c r="A905" i="5"/>
  <c r="V904" i="5"/>
  <c r="F904" i="5"/>
  <c r="D904" i="5"/>
  <c r="B904" i="5"/>
  <c r="A904" i="5"/>
  <c r="V903" i="5"/>
  <c r="F903" i="5"/>
  <c r="D903" i="5"/>
  <c r="B903" i="5"/>
  <c r="A903" i="5"/>
  <c r="V902" i="5"/>
  <c r="F902" i="5"/>
  <c r="D902" i="5"/>
  <c r="B902" i="5"/>
  <c r="A902" i="5"/>
  <c r="V901" i="5"/>
  <c r="F901" i="5"/>
  <c r="D901" i="5"/>
  <c r="B901" i="5"/>
  <c r="A901" i="5"/>
  <c r="V900" i="5"/>
  <c r="F900" i="5"/>
  <c r="D900" i="5"/>
  <c r="B900" i="5"/>
  <c r="A900" i="5"/>
  <c r="V899" i="5"/>
  <c r="F899" i="5"/>
  <c r="D899" i="5"/>
  <c r="B899" i="5"/>
  <c r="A899" i="5"/>
  <c r="V898" i="5"/>
  <c r="F898" i="5"/>
  <c r="D898" i="5"/>
  <c r="B898" i="5"/>
  <c r="A898" i="5"/>
  <c r="V897" i="5"/>
  <c r="F897" i="5"/>
  <c r="D897" i="5"/>
  <c r="B897" i="5"/>
  <c r="A897" i="5"/>
  <c r="V896" i="5"/>
  <c r="F896" i="5"/>
  <c r="D896" i="5"/>
  <c r="B896" i="5"/>
  <c r="A896" i="5"/>
  <c r="V895" i="5"/>
  <c r="F895" i="5"/>
  <c r="D895" i="5"/>
  <c r="B895" i="5"/>
  <c r="A895" i="5"/>
  <c r="V894" i="5"/>
  <c r="F894" i="5"/>
  <c r="D894" i="5"/>
  <c r="B894" i="5"/>
  <c r="A894" i="5"/>
  <c r="V893" i="5"/>
  <c r="F893" i="5"/>
  <c r="D893" i="5"/>
  <c r="B893" i="5"/>
  <c r="A893" i="5"/>
  <c r="V892" i="5"/>
  <c r="F892" i="5"/>
  <c r="D892" i="5"/>
  <c r="B892" i="5"/>
  <c r="A892" i="5"/>
  <c r="V891" i="5"/>
  <c r="F891" i="5"/>
  <c r="D891" i="5"/>
  <c r="B891" i="5"/>
  <c r="A891" i="5"/>
  <c r="V890" i="5"/>
  <c r="F890" i="5"/>
  <c r="D890" i="5"/>
  <c r="B890" i="5"/>
  <c r="A890" i="5"/>
  <c r="V889" i="5"/>
  <c r="F889" i="5"/>
  <c r="D889" i="5"/>
  <c r="B889" i="5"/>
  <c r="A889" i="5"/>
  <c r="V888" i="5"/>
  <c r="F888" i="5"/>
  <c r="D888" i="5"/>
  <c r="B888" i="5"/>
  <c r="A888" i="5"/>
  <c r="V887" i="5"/>
  <c r="F887" i="5"/>
  <c r="D887" i="5"/>
  <c r="B887" i="5"/>
  <c r="A887" i="5"/>
  <c r="V886" i="5"/>
  <c r="F886" i="5"/>
  <c r="D886" i="5"/>
  <c r="B886" i="5"/>
  <c r="A886" i="5"/>
  <c r="V885" i="5"/>
  <c r="F885" i="5"/>
  <c r="D885" i="5"/>
  <c r="B885" i="5"/>
  <c r="A885" i="5"/>
  <c r="V884" i="5"/>
  <c r="F884" i="5"/>
  <c r="D884" i="5"/>
  <c r="B884" i="5"/>
  <c r="A884" i="5"/>
  <c r="V883" i="5"/>
  <c r="F883" i="5"/>
  <c r="D883" i="5"/>
  <c r="B883" i="5"/>
  <c r="A883" i="5"/>
  <c r="V882" i="5"/>
  <c r="F882" i="5"/>
  <c r="D882" i="5"/>
  <c r="B882" i="5"/>
  <c r="A882" i="5"/>
  <c r="V881" i="5"/>
  <c r="F881" i="5"/>
  <c r="D881" i="5"/>
  <c r="B881" i="5"/>
  <c r="A881" i="5"/>
  <c r="V880" i="5"/>
  <c r="F880" i="5"/>
  <c r="D880" i="5"/>
  <c r="B880" i="5"/>
  <c r="A880" i="5"/>
  <c r="V879" i="5"/>
  <c r="F879" i="5"/>
  <c r="D879" i="5"/>
  <c r="B879" i="5"/>
  <c r="A879" i="5"/>
  <c r="V878" i="5"/>
  <c r="F878" i="5"/>
  <c r="D878" i="5"/>
  <c r="B878" i="5"/>
  <c r="A878" i="5"/>
  <c r="V877" i="5"/>
  <c r="F877" i="5"/>
  <c r="D877" i="5"/>
  <c r="B877" i="5"/>
  <c r="A877" i="5"/>
  <c r="V876" i="5"/>
  <c r="F876" i="5"/>
  <c r="D876" i="5"/>
  <c r="B876" i="5"/>
  <c r="A876" i="5"/>
  <c r="V875" i="5"/>
  <c r="F875" i="5"/>
  <c r="D875" i="5"/>
  <c r="B875" i="5"/>
  <c r="A875" i="5"/>
  <c r="V874" i="5"/>
  <c r="F874" i="5"/>
  <c r="D874" i="5"/>
  <c r="B874" i="5"/>
  <c r="A874" i="5"/>
  <c r="V873" i="5"/>
  <c r="F873" i="5"/>
  <c r="D873" i="5"/>
  <c r="B873" i="5"/>
  <c r="A873" i="5"/>
  <c r="V872" i="5"/>
  <c r="F872" i="5"/>
  <c r="D872" i="5"/>
  <c r="B872" i="5"/>
  <c r="A872" i="5"/>
  <c r="V871" i="5"/>
  <c r="F871" i="5"/>
  <c r="D871" i="5"/>
  <c r="B871" i="5"/>
  <c r="A871" i="5"/>
  <c r="V870" i="5"/>
  <c r="F870" i="5"/>
  <c r="D870" i="5"/>
  <c r="B870" i="5"/>
  <c r="A870" i="5"/>
  <c r="V869" i="5"/>
  <c r="F869" i="5"/>
  <c r="D869" i="5"/>
  <c r="B869" i="5"/>
  <c r="A869" i="5"/>
  <c r="V868" i="5"/>
  <c r="F868" i="5"/>
  <c r="D868" i="5"/>
  <c r="B868" i="5"/>
  <c r="A868" i="5"/>
  <c r="V867" i="5"/>
  <c r="F867" i="5"/>
  <c r="D867" i="5"/>
  <c r="B867" i="5"/>
  <c r="A867" i="5"/>
  <c r="V866" i="5"/>
  <c r="F866" i="5"/>
  <c r="D866" i="5"/>
  <c r="B866" i="5"/>
  <c r="A866" i="5"/>
  <c r="V865" i="5"/>
  <c r="F865" i="5"/>
  <c r="D865" i="5"/>
  <c r="B865" i="5"/>
  <c r="A865" i="5"/>
  <c r="V864" i="5"/>
  <c r="F864" i="5"/>
  <c r="D864" i="5"/>
  <c r="B864" i="5"/>
  <c r="A864" i="5"/>
  <c r="V863" i="5"/>
  <c r="F863" i="5"/>
  <c r="D863" i="5"/>
  <c r="B863" i="5"/>
  <c r="A863" i="5"/>
  <c r="V862" i="5"/>
  <c r="F862" i="5"/>
  <c r="D862" i="5"/>
  <c r="B862" i="5"/>
  <c r="A862" i="5"/>
  <c r="V861" i="5"/>
  <c r="F861" i="5"/>
  <c r="D861" i="5"/>
  <c r="B861" i="5"/>
  <c r="A861" i="5"/>
  <c r="V860" i="5"/>
  <c r="F860" i="5"/>
  <c r="D860" i="5"/>
  <c r="B860" i="5"/>
  <c r="A860" i="5"/>
  <c r="V859" i="5"/>
  <c r="F859" i="5"/>
  <c r="D859" i="5"/>
  <c r="B859" i="5"/>
  <c r="A859" i="5"/>
  <c r="V858" i="5"/>
  <c r="F858" i="5"/>
  <c r="D858" i="5"/>
  <c r="B858" i="5"/>
  <c r="A858" i="5"/>
  <c r="V857" i="5"/>
  <c r="F857" i="5"/>
  <c r="D857" i="5"/>
  <c r="B857" i="5"/>
  <c r="A857" i="5"/>
  <c r="V856" i="5"/>
  <c r="F856" i="5"/>
  <c r="D856" i="5"/>
  <c r="B856" i="5"/>
  <c r="A856" i="5"/>
  <c r="V855" i="5"/>
  <c r="F855" i="5"/>
  <c r="D855" i="5"/>
  <c r="B855" i="5"/>
  <c r="A855" i="5"/>
  <c r="V854" i="5"/>
  <c r="F854" i="5"/>
  <c r="D854" i="5"/>
  <c r="B854" i="5"/>
  <c r="A854" i="5"/>
  <c r="V853" i="5"/>
  <c r="F853" i="5"/>
  <c r="D853" i="5"/>
  <c r="B853" i="5"/>
  <c r="A853" i="5"/>
  <c r="V852" i="5"/>
  <c r="F852" i="5"/>
  <c r="D852" i="5"/>
  <c r="B852" i="5"/>
  <c r="A852" i="5"/>
  <c r="V851" i="5"/>
  <c r="F851" i="5"/>
  <c r="D851" i="5"/>
  <c r="B851" i="5"/>
  <c r="A851" i="5"/>
  <c r="V850" i="5"/>
  <c r="F850" i="5"/>
  <c r="D850" i="5"/>
  <c r="B850" i="5"/>
  <c r="A850" i="5"/>
  <c r="V849" i="5"/>
  <c r="F849" i="5"/>
  <c r="D849" i="5"/>
  <c r="B849" i="5"/>
  <c r="A849" i="5"/>
  <c r="V848" i="5"/>
  <c r="F848" i="5"/>
  <c r="D848" i="5"/>
  <c r="B848" i="5"/>
  <c r="A848" i="5"/>
  <c r="V847" i="5"/>
  <c r="F847" i="5"/>
  <c r="D847" i="5"/>
  <c r="B847" i="5"/>
  <c r="A847" i="5"/>
  <c r="V846" i="5"/>
  <c r="F846" i="5"/>
  <c r="D846" i="5"/>
  <c r="B846" i="5"/>
  <c r="A846" i="5"/>
  <c r="V845" i="5"/>
  <c r="F845" i="5"/>
  <c r="D845" i="5"/>
  <c r="B845" i="5"/>
  <c r="A845" i="5"/>
  <c r="V844" i="5"/>
  <c r="F844" i="5"/>
  <c r="D844" i="5"/>
  <c r="B844" i="5"/>
  <c r="A844" i="5"/>
  <c r="V843" i="5"/>
  <c r="F843" i="5"/>
  <c r="D843" i="5"/>
  <c r="B843" i="5"/>
  <c r="A843" i="5"/>
  <c r="V842" i="5"/>
  <c r="F842" i="5"/>
  <c r="D842" i="5"/>
  <c r="B842" i="5"/>
  <c r="A842" i="5"/>
  <c r="V841" i="5"/>
  <c r="F841" i="5"/>
  <c r="D841" i="5"/>
  <c r="B841" i="5"/>
  <c r="A841" i="5"/>
  <c r="V840" i="5"/>
  <c r="F840" i="5"/>
  <c r="D840" i="5"/>
  <c r="B840" i="5"/>
  <c r="A840" i="5"/>
  <c r="V839" i="5"/>
  <c r="F839" i="5"/>
  <c r="D839" i="5"/>
  <c r="B839" i="5"/>
  <c r="A839" i="5"/>
  <c r="V838" i="5"/>
  <c r="F838" i="5"/>
  <c r="D838" i="5"/>
  <c r="B838" i="5"/>
  <c r="A838" i="5"/>
  <c r="V837" i="5"/>
  <c r="F837" i="5"/>
  <c r="D837" i="5"/>
  <c r="B837" i="5"/>
  <c r="A837" i="5"/>
  <c r="V836" i="5"/>
  <c r="F836" i="5"/>
  <c r="D836" i="5"/>
  <c r="B836" i="5"/>
  <c r="A836" i="5"/>
  <c r="V835" i="5"/>
  <c r="F835" i="5"/>
  <c r="D835" i="5"/>
  <c r="B835" i="5"/>
  <c r="A835" i="5"/>
  <c r="V834" i="5"/>
  <c r="F834" i="5"/>
  <c r="D834" i="5"/>
  <c r="B834" i="5"/>
  <c r="A834" i="5"/>
  <c r="V833" i="5"/>
  <c r="F833" i="5"/>
  <c r="D833" i="5"/>
  <c r="B833" i="5"/>
  <c r="A833" i="5"/>
  <c r="V832" i="5"/>
  <c r="F832" i="5"/>
  <c r="D832" i="5"/>
  <c r="B832" i="5"/>
  <c r="A832" i="5"/>
  <c r="V831" i="5"/>
  <c r="F831" i="5"/>
  <c r="D831" i="5"/>
  <c r="B831" i="5"/>
  <c r="A831" i="5"/>
  <c r="V830" i="5"/>
  <c r="F830" i="5"/>
  <c r="D830" i="5"/>
  <c r="B830" i="5"/>
  <c r="A830" i="5"/>
  <c r="V829" i="5"/>
  <c r="F829" i="5"/>
  <c r="D829" i="5"/>
  <c r="B829" i="5"/>
  <c r="A829" i="5"/>
  <c r="V828" i="5"/>
  <c r="F828" i="5"/>
  <c r="D828" i="5"/>
  <c r="B828" i="5"/>
  <c r="A828" i="5"/>
  <c r="V827" i="5"/>
  <c r="F827" i="5"/>
  <c r="D827" i="5"/>
  <c r="B827" i="5"/>
  <c r="A827" i="5"/>
  <c r="V826" i="5"/>
  <c r="F826" i="5"/>
  <c r="D826" i="5"/>
  <c r="B826" i="5"/>
  <c r="A826" i="5"/>
  <c r="V825" i="5"/>
  <c r="F825" i="5"/>
  <c r="D825" i="5"/>
  <c r="B825" i="5"/>
  <c r="A825" i="5"/>
  <c r="V824" i="5"/>
  <c r="F824" i="5"/>
  <c r="D824" i="5"/>
  <c r="B824" i="5"/>
  <c r="A824" i="5"/>
  <c r="V823" i="5"/>
  <c r="F823" i="5"/>
  <c r="D823" i="5"/>
  <c r="B823" i="5"/>
  <c r="A823" i="5"/>
  <c r="V822" i="5"/>
  <c r="F822" i="5"/>
  <c r="D822" i="5"/>
  <c r="B822" i="5"/>
  <c r="A822" i="5"/>
  <c r="V821" i="5"/>
  <c r="F821" i="5"/>
  <c r="D821" i="5"/>
  <c r="B821" i="5"/>
  <c r="A821" i="5"/>
  <c r="V820" i="5"/>
  <c r="F820" i="5"/>
  <c r="D820" i="5"/>
  <c r="B820" i="5"/>
  <c r="A820" i="5"/>
  <c r="V819" i="5"/>
  <c r="F819" i="5"/>
  <c r="D819" i="5"/>
  <c r="B819" i="5"/>
  <c r="A819" i="5"/>
  <c r="V818" i="5"/>
  <c r="F818" i="5"/>
  <c r="D818" i="5"/>
  <c r="B818" i="5"/>
  <c r="A818" i="5"/>
  <c r="V817" i="5"/>
  <c r="F817" i="5"/>
  <c r="D817" i="5"/>
  <c r="B817" i="5"/>
  <c r="A817" i="5"/>
  <c r="V816" i="5"/>
  <c r="F816" i="5"/>
  <c r="D816" i="5"/>
  <c r="B816" i="5"/>
  <c r="A816" i="5"/>
  <c r="V815" i="5"/>
  <c r="F815" i="5"/>
  <c r="D815" i="5"/>
  <c r="B815" i="5"/>
  <c r="A815" i="5"/>
  <c r="V814" i="5"/>
  <c r="F814" i="5"/>
  <c r="D814" i="5"/>
  <c r="B814" i="5"/>
  <c r="A814" i="5"/>
  <c r="V813" i="5"/>
  <c r="F813" i="5"/>
  <c r="D813" i="5"/>
  <c r="B813" i="5"/>
  <c r="A813" i="5"/>
  <c r="V812" i="5"/>
  <c r="F812" i="5"/>
  <c r="D812" i="5"/>
  <c r="B812" i="5"/>
  <c r="A812" i="5"/>
  <c r="V811" i="5"/>
  <c r="F811" i="5"/>
  <c r="D811" i="5"/>
  <c r="B811" i="5"/>
  <c r="A811" i="5"/>
  <c r="V810" i="5"/>
  <c r="F810" i="5"/>
  <c r="D810" i="5"/>
  <c r="B810" i="5"/>
  <c r="A810" i="5"/>
  <c r="V809" i="5"/>
  <c r="F809" i="5"/>
  <c r="D809" i="5"/>
  <c r="B809" i="5"/>
  <c r="A809" i="5"/>
  <c r="V808" i="5"/>
  <c r="F808" i="5"/>
  <c r="D808" i="5"/>
  <c r="B808" i="5"/>
  <c r="A808" i="5"/>
  <c r="V807" i="5"/>
  <c r="F807" i="5"/>
  <c r="D807" i="5"/>
  <c r="B807" i="5"/>
  <c r="A807" i="5"/>
  <c r="V806" i="5"/>
  <c r="F806" i="5"/>
  <c r="D806" i="5"/>
  <c r="B806" i="5"/>
  <c r="A806" i="5"/>
  <c r="V805" i="5"/>
  <c r="F805" i="5"/>
  <c r="D805" i="5"/>
  <c r="B805" i="5"/>
  <c r="A805" i="5"/>
  <c r="V804" i="5"/>
  <c r="F804" i="5"/>
  <c r="D804" i="5"/>
  <c r="B804" i="5"/>
  <c r="A804" i="5"/>
  <c r="V803" i="5"/>
  <c r="F803" i="5"/>
  <c r="D803" i="5"/>
  <c r="B803" i="5"/>
  <c r="A803" i="5"/>
  <c r="V802" i="5"/>
  <c r="F802" i="5"/>
  <c r="D802" i="5"/>
  <c r="B802" i="5"/>
  <c r="A802" i="5"/>
  <c r="V801" i="5"/>
  <c r="F801" i="5"/>
  <c r="D801" i="5"/>
  <c r="B801" i="5"/>
  <c r="A801" i="5"/>
  <c r="V800" i="5"/>
  <c r="F800" i="5"/>
  <c r="D800" i="5"/>
  <c r="B800" i="5"/>
  <c r="A800" i="5"/>
  <c r="V799" i="5"/>
  <c r="F799" i="5"/>
  <c r="D799" i="5"/>
  <c r="B799" i="5"/>
  <c r="A799" i="5"/>
  <c r="V798" i="5"/>
  <c r="F798" i="5"/>
  <c r="D798" i="5"/>
  <c r="B798" i="5"/>
  <c r="A798" i="5"/>
  <c r="V797" i="5"/>
  <c r="F797" i="5"/>
  <c r="D797" i="5"/>
  <c r="B797" i="5"/>
  <c r="A797" i="5"/>
  <c r="V796" i="5"/>
  <c r="F796" i="5"/>
  <c r="D796" i="5"/>
  <c r="B796" i="5"/>
  <c r="A796" i="5"/>
  <c r="V795" i="5"/>
  <c r="F795" i="5"/>
  <c r="D795" i="5"/>
  <c r="B795" i="5"/>
  <c r="A795" i="5"/>
  <c r="V794" i="5"/>
  <c r="F794" i="5"/>
  <c r="D794" i="5"/>
  <c r="B794" i="5"/>
  <c r="A794" i="5"/>
  <c r="V793" i="5"/>
  <c r="F793" i="5"/>
  <c r="D793" i="5"/>
  <c r="B793" i="5"/>
  <c r="A793" i="5"/>
  <c r="V792" i="5"/>
  <c r="F792" i="5"/>
  <c r="D792" i="5"/>
  <c r="B792" i="5"/>
  <c r="A792" i="5"/>
  <c r="V791" i="5"/>
  <c r="F791" i="5"/>
  <c r="D791" i="5"/>
  <c r="B791" i="5"/>
  <c r="A791" i="5"/>
  <c r="V790" i="5"/>
  <c r="F790" i="5"/>
  <c r="D790" i="5"/>
  <c r="B790" i="5"/>
  <c r="A790" i="5"/>
  <c r="V789" i="5"/>
  <c r="F789" i="5"/>
  <c r="D789" i="5"/>
  <c r="B789" i="5"/>
  <c r="A789" i="5"/>
  <c r="V788" i="5"/>
  <c r="F788" i="5"/>
  <c r="D788" i="5"/>
  <c r="B788" i="5"/>
  <c r="A788" i="5"/>
  <c r="V787" i="5"/>
  <c r="F787" i="5"/>
  <c r="D787" i="5"/>
  <c r="B787" i="5"/>
  <c r="A787" i="5"/>
  <c r="V786" i="5"/>
  <c r="F786" i="5"/>
  <c r="D786" i="5"/>
  <c r="B786" i="5"/>
  <c r="A786" i="5"/>
  <c r="V785" i="5"/>
  <c r="F785" i="5"/>
  <c r="D785" i="5"/>
  <c r="B785" i="5"/>
  <c r="A785" i="5"/>
  <c r="V784" i="5"/>
  <c r="F784" i="5"/>
  <c r="D784" i="5"/>
  <c r="B784" i="5"/>
  <c r="A784" i="5"/>
  <c r="V783" i="5"/>
  <c r="F783" i="5"/>
  <c r="D783" i="5"/>
  <c r="B783" i="5"/>
  <c r="A783" i="5"/>
  <c r="V782" i="5"/>
  <c r="F782" i="5"/>
  <c r="D782" i="5"/>
  <c r="B782" i="5"/>
  <c r="A782" i="5"/>
  <c r="V781" i="5"/>
  <c r="F781" i="5"/>
  <c r="D781" i="5"/>
  <c r="B781" i="5"/>
  <c r="A781" i="5"/>
  <c r="V780" i="5"/>
  <c r="F780" i="5"/>
  <c r="D780" i="5"/>
  <c r="B780" i="5"/>
  <c r="A780" i="5"/>
  <c r="V779" i="5"/>
  <c r="F779" i="5"/>
  <c r="D779" i="5"/>
  <c r="B779" i="5"/>
  <c r="A779" i="5"/>
  <c r="V778" i="5"/>
  <c r="F778" i="5"/>
  <c r="D778" i="5"/>
  <c r="B778" i="5"/>
  <c r="A778" i="5"/>
  <c r="V777" i="5"/>
  <c r="F777" i="5"/>
  <c r="D777" i="5"/>
  <c r="B777" i="5"/>
  <c r="A777" i="5"/>
  <c r="V776" i="5"/>
  <c r="F776" i="5"/>
  <c r="D776" i="5"/>
  <c r="B776" i="5"/>
  <c r="A776" i="5"/>
  <c r="V775" i="5"/>
  <c r="F775" i="5"/>
  <c r="D775" i="5"/>
  <c r="B775" i="5"/>
  <c r="A775" i="5"/>
  <c r="V774" i="5"/>
  <c r="F774" i="5"/>
  <c r="D774" i="5"/>
  <c r="B774" i="5"/>
  <c r="A774" i="5"/>
  <c r="V773" i="5"/>
  <c r="F773" i="5"/>
  <c r="D773" i="5"/>
  <c r="B773" i="5"/>
  <c r="A773" i="5"/>
  <c r="V772" i="5"/>
  <c r="F772" i="5"/>
  <c r="D772" i="5"/>
  <c r="B772" i="5"/>
  <c r="A772" i="5"/>
  <c r="V771" i="5"/>
  <c r="F771" i="5"/>
  <c r="D771" i="5"/>
  <c r="B771" i="5"/>
  <c r="A771" i="5"/>
  <c r="V770" i="5"/>
  <c r="F770" i="5"/>
  <c r="D770" i="5"/>
  <c r="B770" i="5"/>
  <c r="A770" i="5"/>
  <c r="V769" i="5"/>
  <c r="F769" i="5"/>
  <c r="D769" i="5"/>
  <c r="B769" i="5"/>
  <c r="A769" i="5"/>
  <c r="V768" i="5"/>
  <c r="F768" i="5"/>
  <c r="D768" i="5"/>
  <c r="B768" i="5"/>
  <c r="A768" i="5"/>
  <c r="V767" i="5"/>
  <c r="F767" i="5"/>
  <c r="D767" i="5"/>
  <c r="B767" i="5"/>
  <c r="A767" i="5"/>
  <c r="V766" i="5"/>
  <c r="F766" i="5"/>
  <c r="D766" i="5"/>
  <c r="B766" i="5"/>
  <c r="A766" i="5"/>
  <c r="V765" i="5"/>
  <c r="F765" i="5"/>
  <c r="D765" i="5"/>
  <c r="B765" i="5"/>
  <c r="A765" i="5"/>
  <c r="V764" i="5"/>
  <c r="F764" i="5"/>
  <c r="D764" i="5"/>
  <c r="B764" i="5"/>
  <c r="A764" i="5"/>
  <c r="V763" i="5"/>
  <c r="F763" i="5"/>
  <c r="D763" i="5"/>
  <c r="B763" i="5"/>
  <c r="A763" i="5"/>
  <c r="V762" i="5"/>
  <c r="F762" i="5"/>
  <c r="D762" i="5"/>
  <c r="B762" i="5"/>
  <c r="A762" i="5"/>
  <c r="V761" i="5"/>
  <c r="F761" i="5"/>
  <c r="D761" i="5"/>
  <c r="B761" i="5"/>
  <c r="A761" i="5"/>
  <c r="V760" i="5"/>
  <c r="F760" i="5"/>
  <c r="D760" i="5"/>
  <c r="B760" i="5"/>
  <c r="A760" i="5"/>
  <c r="V759" i="5"/>
  <c r="F759" i="5"/>
  <c r="D759" i="5"/>
  <c r="B759" i="5"/>
  <c r="A759" i="5"/>
  <c r="V758" i="5"/>
  <c r="F758" i="5"/>
  <c r="D758" i="5"/>
  <c r="B758" i="5"/>
  <c r="A758" i="5"/>
  <c r="V757" i="5"/>
  <c r="F757" i="5"/>
  <c r="D757" i="5"/>
  <c r="B757" i="5"/>
  <c r="A757" i="5"/>
  <c r="V756" i="5"/>
  <c r="F756" i="5"/>
  <c r="D756" i="5"/>
  <c r="B756" i="5"/>
  <c r="A756" i="5"/>
  <c r="V755" i="5"/>
  <c r="F755" i="5"/>
  <c r="D755" i="5"/>
  <c r="B755" i="5"/>
  <c r="A755" i="5"/>
  <c r="V754" i="5"/>
  <c r="F754" i="5"/>
  <c r="D754" i="5"/>
  <c r="B754" i="5"/>
  <c r="A754" i="5"/>
  <c r="V753" i="5"/>
  <c r="F753" i="5"/>
  <c r="D753" i="5"/>
  <c r="B753" i="5"/>
  <c r="A753" i="5"/>
  <c r="V752" i="5"/>
  <c r="F752" i="5"/>
  <c r="D752" i="5"/>
  <c r="B752" i="5"/>
  <c r="A752" i="5"/>
  <c r="V751" i="5"/>
  <c r="F751" i="5"/>
  <c r="D751" i="5"/>
  <c r="B751" i="5"/>
  <c r="A751" i="5"/>
  <c r="V750" i="5"/>
  <c r="F750" i="5"/>
  <c r="D750" i="5"/>
  <c r="B750" i="5"/>
  <c r="A750" i="5"/>
  <c r="V749" i="5"/>
  <c r="F749" i="5"/>
  <c r="D749" i="5"/>
  <c r="B749" i="5"/>
  <c r="A749" i="5"/>
  <c r="V748" i="5"/>
  <c r="F748" i="5"/>
  <c r="D748" i="5"/>
  <c r="B748" i="5"/>
  <c r="A748" i="5"/>
  <c r="V747" i="5"/>
  <c r="F747" i="5"/>
  <c r="D747" i="5"/>
  <c r="B747" i="5"/>
  <c r="A747" i="5"/>
  <c r="V746" i="5"/>
  <c r="F746" i="5"/>
  <c r="D746" i="5"/>
  <c r="B746" i="5"/>
  <c r="A746" i="5"/>
  <c r="V745" i="5"/>
  <c r="F745" i="5"/>
  <c r="D745" i="5"/>
  <c r="B745" i="5"/>
  <c r="A745" i="5"/>
  <c r="V744" i="5"/>
  <c r="F744" i="5"/>
  <c r="D744" i="5"/>
  <c r="B744" i="5"/>
  <c r="A744" i="5"/>
  <c r="V743" i="5"/>
  <c r="F743" i="5"/>
  <c r="D743" i="5"/>
  <c r="B743" i="5"/>
  <c r="A743" i="5"/>
  <c r="V742" i="5"/>
  <c r="F742" i="5"/>
  <c r="D742" i="5"/>
  <c r="B742" i="5"/>
  <c r="A742" i="5"/>
  <c r="V741" i="5"/>
  <c r="F741" i="5"/>
  <c r="D741" i="5"/>
  <c r="B741" i="5"/>
  <c r="A741" i="5"/>
  <c r="V740" i="5"/>
  <c r="F740" i="5"/>
  <c r="D740" i="5"/>
  <c r="B740" i="5"/>
  <c r="A740" i="5"/>
  <c r="V739" i="5"/>
  <c r="F739" i="5"/>
  <c r="D739" i="5"/>
  <c r="B739" i="5"/>
  <c r="A739" i="5"/>
  <c r="V738" i="5"/>
  <c r="F738" i="5"/>
  <c r="D738" i="5"/>
  <c r="B738" i="5"/>
  <c r="A738" i="5"/>
  <c r="V737" i="5"/>
  <c r="F737" i="5"/>
  <c r="D737" i="5"/>
  <c r="B737" i="5"/>
  <c r="A737" i="5"/>
  <c r="V736" i="5"/>
  <c r="F736" i="5"/>
  <c r="D736" i="5"/>
  <c r="B736" i="5"/>
  <c r="A736" i="5"/>
  <c r="V735" i="5"/>
  <c r="F735" i="5"/>
  <c r="D735" i="5"/>
  <c r="B735" i="5"/>
  <c r="A735" i="5"/>
  <c r="V734" i="5"/>
  <c r="F734" i="5"/>
  <c r="D734" i="5"/>
  <c r="B734" i="5"/>
  <c r="A734" i="5"/>
  <c r="V733" i="5"/>
  <c r="F733" i="5"/>
  <c r="D733" i="5"/>
  <c r="B733" i="5"/>
  <c r="A733" i="5"/>
  <c r="V732" i="5"/>
  <c r="F732" i="5"/>
  <c r="D732" i="5"/>
  <c r="B732" i="5"/>
  <c r="A732" i="5"/>
  <c r="V731" i="5"/>
  <c r="F731" i="5"/>
  <c r="D731" i="5"/>
  <c r="B731" i="5"/>
  <c r="A731" i="5"/>
  <c r="V730" i="5"/>
  <c r="F730" i="5"/>
  <c r="D730" i="5"/>
  <c r="B730" i="5"/>
  <c r="A730" i="5"/>
  <c r="V729" i="5"/>
  <c r="F729" i="5"/>
  <c r="D729" i="5"/>
  <c r="B729" i="5"/>
  <c r="A729" i="5"/>
  <c r="V728" i="5"/>
  <c r="F728" i="5"/>
  <c r="D728" i="5"/>
  <c r="B728" i="5"/>
  <c r="A728" i="5"/>
  <c r="V727" i="5"/>
  <c r="F727" i="5"/>
  <c r="D727" i="5"/>
  <c r="B727" i="5"/>
  <c r="A727" i="5"/>
  <c r="V726" i="5"/>
  <c r="F726" i="5"/>
  <c r="D726" i="5"/>
  <c r="B726" i="5"/>
  <c r="A726" i="5"/>
  <c r="V725" i="5"/>
  <c r="F725" i="5"/>
  <c r="D725" i="5"/>
  <c r="B725" i="5"/>
  <c r="A725" i="5"/>
  <c r="V724" i="5"/>
  <c r="F724" i="5"/>
  <c r="D724" i="5"/>
  <c r="B724" i="5"/>
  <c r="A724" i="5"/>
  <c r="V723" i="5"/>
  <c r="F723" i="5"/>
  <c r="D723" i="5"/>
  <c r="B723" i="5"/>
  <c r="A723" i="5"/>
  <c r="V722" i="5"/>
  <c r="F722" i="5"/>
  <c r="D722" i="5"/>
  <c r="B722" i="5"/>
  <c r="A722" i="5"/>
  <c r="V721" i="5"/>
  <c r="F721" i="5"/>
  <c r="D721" i="5"/>
  <c r="B721" i="5"/>
  <c r="A721" i="5"/>
  <c r="V720" i="5"/>
  <c r="F720" i="5"/>
  <c r="D720" i="5"/>
  <c r="B720" i="5"/>
  <c r="A720" i="5"/>
  <c r="V719" i="5"/>
  <c r="F719" i="5"/>
  <c r="D719" i="5"/>
  <c r="B719" i="5"/>
  <c r="A719" i="5"/>
  <c r="V718" i="5"/>
  <c r="F718" i="5"/>
  <c r="D718" i="5"/>
  <c r="B718" i="5"/>
  <c r="A718" i="5"/>
  <c r="V717" i="5"/>
  <c r="F717" i="5"/>
  <c r="D717" i="5"/>
  <c r="B717" i="5"/>
  <c r="A717" i="5"/>
  <c r="V716" i="5"/>
  <c r="F716" i="5"/>
  <c r="D716" i="5"/>
  <c r="B716" i="5"/>
  <c r="A716" i="5"/>
  <c r="V715" i="5"/>
  <c r="F715" i="5"/>
  <c r="D715" i="5"/>
  <c r="B715" i="5"/>
  <c r="A715" i="5"/>
  <c r="V714" i="5"/>
  <c r="F714" i="5"/>
  <c r="D714" i="5"/>
  <c r="B714" i="5"/>
  <c r="A714" i="5"/>
  <c r="V713" i="5"/>
  <c r="F713" i="5"/>
  <c r="D713" i="5"/>
  <c r="B713" i="5"/>
  <c r="A713" i="5"/>
  <c r="V712" i="5"/>
  <c r="F712" i="5"/>
  <c r="D712" i="5"/>
  <c r="B712" i="5"/>
  <c r="A712" i="5"/>
  <c r="V711" i="5"/>
  <c r="F711" i="5"/>
  <c r="D711" i="5"/>
  <c r="B711" i="5"/>
  <c r="A711" i="5"/>
  <c r="V710" i="5"/>
  <c r="F710" i="5"/>
  <c r="D710" i="5"/>
  <c r="B710" i="5"/>
  <c r="A710" i="5"/>
  <c r="V709" i="5"/>
  <c r="F709" i="5"/>
  <c r="D709" i="5"/>
  <c r="B709" i="5"/>
  <c r="A709" i="5"/>
  <c r="V708" i="5"/>
  <c r="F708" i="5"/>
  <c r="D708" i="5"/>
  <c r="B708" i="5"/>
  <c r="A708" i="5"/>
  <c r="V707" i="5"/>
  <c r="F707" i="5"/>
  <c r="D707" i="5"/>
  <c r="B707" i="5"/>
  <c r="A707" i="5"/>
  <c r="V706" i="5"/>
  <c r="F706" i="5"/>
  <c r="D706" i="5"/>
  <c r="B706" i="5"/>
  <c r="A706" i="5"/>
  <c r="V705" i="5"/>
  <c r="F705" i="5"/>
  <c r="D705" i="5"/>
  <c r="B705" i="5"/>
  <c r="A705" i="5"/>
  <c r="V704" i="5"/>
  <c r="F704" i="5"/>
  <c r="D704" i="5"/>
  <c r="B704" i="5"/>
  <c r="A704" i="5"/>
  <c r="V703" i="5"/>
  <c r="F703" i="5"/>
  <c r="D703" i="5"/>
  <c r="B703" i="5"/>
  <c r="A703" i="5"/>
  <c r="V702" i="5"/>
  <c r="F702" i="5"/>
  <c r="D702" i="5"/>
  <c r="B702" i="5"/>
  <c r="A702" i="5"/>
  <c r="V701" i="5"/>
  <c r="F701" i="5"/>
  <c r="D701" i="5"/>
  <c r="B701" i="5"/>
  <c r="A701" i="5"/>
  <c r="V700" i="5"/>
  <c r="F700" i="5"/>
  <c r="D700" i="5"/>
  <c r="B700" i="5"/>
  <c r="A700" i="5"/>
  <c r="V699" i="5"/>
  <c r="F699" i="5"/>
  <c r="D699" i="5"/>
  <c r="B699" i="5"/>
  <c r="A699" i="5"/>
  <c r="V698" i="5"/>
  <c r="F698" i="5"/>
  <c r="D698" i="5"/>
  <c r="B698" i="5"/>
  <c r="A698" i="5"/>
  <c r="V697" i="5"/>
  <c r="F697" i="5"/>
  <c r="D697" i="5"/>
  <c r="B697" i="5"/>
  <c r="A697" i="5"/>
  <c r="V696" i="5"/>
  <c r="F696" i="5"/>
  <c r="D696" i="5"/>
  <c r="B696" i="5"/>
  <c r="A696" i="5"/>
  <c r="V695" i="5"/>
  <c r="F695" i="5"/>
  <c r="D695" i="5"/>
  <c r="B695" i="5"/>
  <c r="A695" i="5"/>
  <c r="V694" i="5"/>
  <c r="F694" i="5"/>
  <c r="D694" i="5"/>
  <c r="B694" i="5"/>
  <c r="A694" i="5"/>
  <c r="V693" i="5"/>
  <c r="F693" i="5"/>
  <c r="D693" i="5"/>
  <c r="B693" i="5"/>
  <c r="A693" i="5"/>
  <c r="V692" i="5"/>
  <c r="F692" i="5"/>
  <c r="D692" i="5"/>
  <c r="B692" i="5"/>
  <c r="A692" i="5"/>
  <c r="V691" i="5"/>
  <c r="F691" i="5"/>
  <c r="D691" i="5"/>
  <c r="B691" i="5"/>
  <c r="A691" i="5"/>
  <c r="V690" i="5"/>
  <c r="F690" i="5"/>
  <c r="D690" i="5"/>
  <c r="B690" i="5"/>
  <c r="A690" i="5"/>
  <c r="V689" i="5"/>
  <c r="F689" i="5"/>
  <c r="D689" i="5"/>
  <c r="B689" i="5"/>
  <c r="A689" i="5"/>
  <c r="V688" i="5"/>
  <c r="F688" i="5"/>
  <c r="D688" i="5"/>
  <c r="B688" i="5"/>
  <c r="A688" i="5"/>
  <c r="V687" i="5"/>
  <c r="F687" i="5"/>
  <c r="D687" i="5"/>
  <c r="B687" i="5"/>
  <c r="A687" i="5"/>
  <c r="V686" i="5"/>
  <c r="F686" i="5"/>
  <c r="D686" i="5"/>
  <c r="B686" i="5"/>
  <c r="A686" i="5"/>
  <c r="V685" i="5"/>
  <c r="F685" i="5"/>
  <c r="D685" i="5"/>
  <c r="B685" i="5"/>
  <c r="A685" i="5"/>
  <c r="V684" i="5"/>
  <c r="F684" i="5"/>
  <c r="D684" i="5"/>
  <c r="B684" i="5"/>
  <c r="A684" i="5"/>
  <c r="V683" i="5"/>
  <c r="F683" i="5"/>
  <c r="D683" i="5"/>
  <c r="B683" i="5"/>
  <c r="A683" i="5"/>
  <c r="V682" i="5"/>
  <c r="F682" i="5"/>
  <c r="D682" i="5"/>
  <c r="B682" i="5"/>
  <c r="A682" i="5"/>
  <c r="V681" i="5"/>
  <c r="F681" i="5"/>
  <c r="D681" i="5"/>
  <c r="B681" i="5"/>
  <c r="A681" i="5"/>
  <c r="V680" i="5"/>
  <c r="F680" i="5"/>
  <c r="D680" i="5"/>
  <c r="B680" i="5"/>
  <c r="A680" i="5"/>
  <c r="V679" i="5"/>
  <c r="F679" i="5"/>
  <c r="D679" i="5"/>
  <c r="B679" i="5"/>
  <c r="A679" i="5"/>
  <c r="V678" i="5"/>
  <c r="F678" i="5"/>
  <c r="D678" i="5"/>
  <c r="B678" i="5"/>
  <c r="A678" i="5"/>
  <c r="V677" i="5"/>
  <c r="F677" i="5"/>
  <c r="D677" i="5"/>
  <c r="B677" i="5"/>
  <c r="A677" i="5"/>
  <c r="V676" i="5"/>
  <c r="F676" i="5"/>
  <c r="D676" i="5"/>
  <c r="B676" i="5"/>
  <c r="A676" i="5"/>
  <c r="V675" i="5"/>
  <c r="F675" i="5"/>
  <c r="D675" i="5"/>
  <c r="B675" i="5"/>
  <c r="A675" i="5"/>
  <c r="V674" i="5"/>
  <c r="F674" i="5"/>
  <c r="D674" i="5"/>
  <c r="B674" i="5"/>
  <c r="A674" i="5"/>
  <c r="V673" i="5"/>
  <c r="F673" i="5"/>
  <c r="D673" i="5"/>
  <c r="B673" i="5"/>
  <c r="A673" i="5"/>
  <c r="V672" i="5"/>
  <c r="F672" i="5"/>
  <c r="D672" i="5"/>
  <c r="B672" i="5"/>
  <c r="A672" i="5"/>
  <c r="V671" i="5"/>
  <c r="F671" i="5"/>
  <c r="D671" i="5"/>
  <c r="B671" i="5"/>
  <c r="A671" i="5"/>
  <c r="V670" i="5"/>
  <c r="F670" i="5"/>
  <c r="D670" i="5"/>
  <c r="B670" i="5"/>
  <c r="A670" i="5"/>
  <c r="V669" i="5"/>
  <c r="F669" i="5"/>
  <c r="D669" i="5"/>
  <c r="B669" i="5"/>
  <c r="A669" i="5"/>
  <c r="V668" i="5"/>
  <c r="F668" i="5"/>
  <c r="D668" i="5"/>
  <c r="B668" i="5"/>
  <c r="A668" i="5"/>
  <c r="V667" i="5"/>
  <c r="F667" i="5"/>
  <c r="D667" i="5"/>
  <c r="B667" i="5"/>
  <c r="A667" i="5"/>
  <c r="V666" i="5"/>
  <c r="F666" i="5"/>
  <c r="D666" i="5"/>
  <c r="B666" i="5"/>
  <c r="A666" i="5"/>
  <c r="V665" i="5"/>
  <c r="F665" i="5"/>
  <c r="D665" i="5"/>
  <c r="B665" i="5"/>
  <c r="A665" i="5"/>
  <c r="V664" i="5"/>
  <c r="F664" i="5"/>
  <c r="D664" i="5"/>
  <c r="B664" i="5"/>
  <c r="A664" i="5"/>
  <c r="V663" i="5"/>
  <c r="F663" i="5"/>
  <c r="D663" i="5"/>
  <c r="B663" i="5"/>
  <c r="A663" i="5"/>
  <c r="V662" i="5"/>
  <c r="F662" i="5"/>
  <c r="D662" i="5"/>
  <c r="B662" i="5"/>
  <c r="A662" i="5"/>
  <c r="V661" i="5"/>
  <c r="F661" i="5"/>
  <c r="D661" i="5"/>
  <c r="B661" i="5"/>
  <c r="A661" i="5"/>
  <c r="V660" i="5"/>
  <c r="F660" i="5"/>
  <c r="D660" i="5"/>
  <c r="B660" i="5"/>
  <c r="A660" i="5"/>
  <c r="V659" i="5"/>
  <c r="F659" i="5"/>
  <c r="D659" i="5"/>
  <c r="B659" i="5"/>
  <c r="A659" i="5"/>
  <c r="V658" i="5"/>
  <c r="F658" i="5"/>
  <c r="D658" i="5"/>
  <c r="B658" i="5"/>
  <c r="A658" i="5"/>
  <c r="V657" i="5"/>
  <c r="F657" i="5"/>
  <c r="D657" i="5"/>
  <c r="B657" i="5"/>
  <c r="A657" i="5"/>
  <c r="V656" i="5"/>
  <c r="F656" i="5"/>
  <c r="D656" i="5"/>
  <c r="B656" i="5"/>
  <c r="A656" i="5"/>
  <c r="V655" i="5"/>
  <c r="F655" i="5"/>
  <c r="D655" i="5"/>
  <c r="B655" i="5"/>
  <c r="A655" i="5"/>
  <c r="V654" i="5"/>
  <c r="F654" i="5"/>
  <c r="D654" i="5"/>
  <c r="B654" i="5"/>
  <c r="A654" i="5"/>
  <c r="V653" i="5"/>
  <c r="F653" i="5"/>
  <c r="D653" i="5"/>
  <c r="B653" i="5"/>
  <c r="A653" i="5"/>
  <c r="V652" i="5"/>
  <c r="F652" i="5"/>
  <c r="D652" i="5"/>
  <c r="B652" i="5"/>
  <c r="A652" i="5"/>
  <c r="V651" i="5"/>
  <c r="F651" i="5"/>
  <c r="D651" i="5"/>
  <c r="B651" i="5"/>
  <c r="A651" i="5"/>
  <c r="V650" i="5"/>
  <c r="F650" i="5"/>
  <c r="D650" i="5"/>
  <c r="B650" i="5"/>
  <c r="A650" i="5"/>
  <c r="V649" i="5"/>
  <c r="F649" i="5"/>
  <c r="D649" i="5"/>
  <c r="B649" i="5"/>
  <c r="A649" i="5"/>
  <c r="V648" i="5"/>
  <c r="F648" i="5"/>
  <c r="D648" i="5"/>
  <c r="B648" i="5"/>
  <c r="A648" i="5"/>
  <c r="V647" i="5"/>
  <c r="F647" i="5"/>
  <c r="D647" i="5"/>
  <c r="B647" i="5"/>
  <c r="A647" i="5"/>
  <c r="V646" i="5"/>
  <c r="F646" i="5"/>
  <c r="D646" i="5"/>
  <c r="B646" i="5"/>
  <c r="A646" i="5"/>
  <c r="V645" i="5"/>
  <c r="F645" i="5"/>
  <c r="D645" i="5"/>
  <c r="B645" i="5"/>
  <c r="A645" i="5"/>
  <c r="V644" i="5"/>
  <c r="F644" i="5"/>
  <c r="D644" i="5"/>
  <c r="B644" i="5"/>
  <c r="A644" i="5"/>
  <c r="V643" i="5"/>
  <c r="F643" i="5"/>
  <c r="D643" i="5"/>
  <c r="B643" i="5"/>
  <c r="A643" i="5"/>
  <c r="V642" i="5"/>
  <c r="F642" i="5"/>
  <c r="D642" i="5"/>
  <c r="B642" i="5"/>
  <c r="A642" i="5"/>
  <c r="V641" i="5"/>
  <c r="F641" i="5"/>
  <c r="D641" i="5"/>
  <c r="B641" i="5"/>
  <c r="A641" i="5"/>
  <c r="V640" i="5"/>
  <c r="F640" i="5"/>
  <c r="D640" i="5"/>
  <c r="B640" i="5"/>
  <c r="A640" i="5"/>
  <c r="V639" i="5"/>
  <c r="F639" i="5"/>
  <c r="D639" i="5"/>
  <c r="B639" i="5"/>
  <c r="A639" i="5"/>
  <c r="V638" i="5"/>
  <c r="F638" i="5"/>
  <c r="D638" i="5"/>
  <c r="B638" i="5"/>
  <c r="A638" i="5"/>
  <c r="V637" i="5"/>
  <c r="F637" i="5"/>
  <c r="D637" i="5"/>
  <c r="B637" i="5"/>
  <c r="A637" i="5"/>
  <c r="V636" i="5"/>
  <c r="F636" i="5"/>
  <c r="D636" i="5"/>
  <c r="B636" i="5"/>
  <c r="A636" i="5"/>
  <c r="V635" i="5"/>
  <c r="F635" i="5"/>
  <c r="D635" i="5"/>
  <c r="B635" i="5"/>
  <c r="A635" i="5"/>
  <c r="V634" i="5"/>
  <c r="F634" i="5"/>
  <c r="D634" i="5"/>
  <c r="B634" i="5"/>
  <c r="A634" i="5"/>
  <c r="V633" i="5"/>
  <c r="F633" i="5"/>
  <c r="D633" i="5"/>
  <c r="B633" i="5"/>
  <c r="A633" i="5"/>
  <c r="V632" i="5"/>
  <c r="F632" i="5"/>
  <c r="D632" i="5"/>
  <c r="B632" i="5"/>
  <c r="A632" i="5"/>
  <c r="V631" i="5"/>
  <c r="F631" i="5"/>
  <c r="D631" i="5"/>
  <c r="B631" i="5"/>
  <c r="A631" i="5"/>
  <c r="V630" i="5"/>
  <c r="F630" i="5"/>
  <c r="D630" i="5"/>
  <c r="B630" i="5"/>
  <c r="A630" i="5"/>
  <c r="V629" i="5"/>
  <c r="F629" i="5"/>
  <c r="D629" i="5"/>
  <c r="B629" i="5"/>
  <c r="A629" i="5"/>
  <c r="V628" i="5"/>
  <c r="F628" i="5"/>
  <c r="D628" i="5"/>
  <c r="B628" i="5"/>
  <c r="A628" i="5"/>
  <c r="V627" i="5"/>
  <c r="F627" i="5"/>
  <c r="D627" i="5"/>
  <c r="B627" i="5"/>
  <c r="A627" i="5"/>
  <c r="V626" i="5"/>
  <c r="F626" i="5"/>
  <c r="D626" i="5"/>
  <c r="B626" i="5"/>
  <c r="A626" i="5"/>
  <c r="V625" i="5"/>
  <c r="F625" i="5"/>
  <c r="D625" i="5"/>
  <c r="B625" i="5"/>
  <c r="A625" i="5"/>
  <c r="V624" i="5"/>
  <c r="F624" i="5"/>
  <c r="D624" i="5"/>
  <c r="B624" i="5"/>
  <c r="A624" i="5"/>
  <c r="V623" i="5"/>
  <c r="F623" i="5"/>
  <c r="D623" i="5"/>
  <c r="B623" i="5"/>
  <c r="A623" i="5"/>
  <c r="V622" i="5"/>
  <c r="F622" i="5"/>
  <c r="D622" i="5"/>
  <c r="B622" i="5"/>
  <c r="A622" i="5"/>
  <c r="V621" i="5"/>
  <c r="F621" i="5"/>
  <c r="D621" i="5"/>
  <c r="B621" i="5"/>
  <c r="A621" i="5"/>
  <c r="V620" i="5"/>
  <c r="F620" i="5"/>
  <c r="D620" i="5"/>
  <c r="B620" i="5"/>
  <c r="A620" i="5"/>
  <c r="V619" i="5"/>
  <c r="F619" i="5"/>
  <c r="D619" i="5"/>
  <c r="B619" i="5"/>
  <c r="A619" i="5"/>
  <c r="V618" i="5"/>
  <c r="F618" i="5"/>
  <c r="D618" i="5"/>
  <c r="B618" i="5"/>
  <c r="A618" i="5"/>
  <c r="V617" i="5"/>
  <c r="F617" i="5"/>
  <c r="D617" i="5"/>
  <c r="B617" i="5"/>
  <c r="A617" i="5"/>
  <c r="V616" i="5"/>
  <c r="F616" i="5"/>
  <c r="D616" i="5"/>
  <c r="B616" i="5"/>
  <c r="A616" i="5"/>
  <c r="V615" i="5"/>
  <c r="F615" i="5"/>
  <c r="D615" i="5"/>
  <c r="B615" i="5"/>
  <c r="A615" i="5"/>
  <c r="V614" i="5"/>
  <c r="F614" i="5"/>
  <c r="D614" i="5"/>
  <c r="B614" i="5"/>
  <c r="A614" i="5"/>
  <c r="V613" i="5"/>
  <c r="F613" i="5"/>
  <c r="D613" i="5"/>
  <c r="B613" i="5"/>
  <c r="A613" i="5"/>
  <c r="V612" i="5"/>
  <c r="F612" i="5"/>
  <c r="D612" i="5"/>
  <c r="B612" i="5"/>
  <c r="A612" i="5"/>
  <c r="V611" i="5"/>
  <c r="F611" i="5"/>
  <c r="D611" i="5"/>
  <c r="B611" i="5"/>
  <c r="A611" i="5"/>
  <c r="V610" i="5"/>
  <c r="F610" i="5"/>
  <c r="D610" i="5"/>
  <c r="B610" i="5"/>
  <c r="A610" i="5"/>
  <c r="V609" i="5"/>
  <c r="F609" i="5"/>
  <c r="D609" i="5"/>
  <c r="B609" i="5"/>
  <c r="A609" i="5"/>
  <c r="V608" i="5"/>
  <c r="F608" i="5"/>
  <c r="D608" i="5"/>
  <c r="B608" i="5"/>
  <c r="A608" i="5"/>
  <c r="V607" i="5"/>
  <c r="F607" i="5"/>
  <c r="D607" i="5"/>
  <c r="B607" i="5"/>
  <c r="A607" i="5"/>
  <c r="V606" i="5"/>
  <c r="F606" i="5"/>
  <c r="D606" i="5"/>
  <c r="B606" i="5"/>
  <c r="A606" i="5"/>
  <c r="V605" i="5"/>
  <c r="F605" i="5"/>
  <c r="D605" i="5"/>
  <c r="B605" i="5"/>
  <c r="A605" i="5"/>
  <c r="V604" i="5"/>
  <c r="F604" i="5"/>
  <c r="D604" i="5"/>
  <c r="B604" i="5"/>
  <c r="A604" i="5"/>
  <c r="V603" i="5"/>
  <c r="F603" i="5"/>
  <c r="D603" i="5"/>
  <c r="B603" i="5"/>
  <c r="A603" i="5"/>
  <c r="V602" i="5"/>
  <c r="F602" i="5"/>
  <c r="D602" i="5"/>
  <c r="B602" i="5"/>
  <c r="A602" i="5"/>
  <c r="V601" i="5"/>
  <c r="F601" i="5"/>
  <c r="D601" i="5"/>
  <c r="B601" i="5"/>
  <c r="A601" i="5"/>
  <c r="V600" i="5"/>
  <c r="F600" i="5"/>
  <c r="D600" i="5"/>
  <c r="B600" i="5"/>
  <c r="A600" i="5"/>
  <c r="V599" i="5"/>
  <c r="F599" i="5"/>
  <c r="D599" i="5"/>
  <c r="B599" i="5"/>
  <c r="A599" i="5"/>
  <c r="V598" i="5"/>
  <c r="F598" i="5"/>
  <c r="D598" i="5"/>
  <c r="B598" i="5"/>
  <c r="A598" i="5"/>
  <c r="V597" i="5"/>
  <c r="F597" i="5"/>
  <c r="D597" i="5"/>
  <c r="B597" i="5"/>
  <c r="A597" i="5"/>
  <c r="V596" i="5"/>
  <c r="F596" i="5"/>
  <c r="D596" i="5"/>
  <c r="B596" i="5"/>
  <c r="A596" i="5"/>
  <c r="V595" i="5"/>
  <c r="F595" i="5"/>
  <c r="D595" i="5"/>
  <c r="B595" i="5"/>
  <c r="A595" i="5"/>
  <c r="V594" i="5"/>
  <c r="F594" i="5"/>
  <c r="D594" i="5"/>
  <c r="B594" i="5"/>
  <c r="A594" i="5"/>
  <c r="V593" i="5"/>
  <c r="F593" i="5"/>
  <c r="D593" i="5"/>
  <c r="B593" i="5"/>
  <c r="A593" i="5"/>
  <c r="V592" i="5"/>
  <c r="F592" i="5"/>
  <c r="D592" i="5"/>
  <c r="B592" i="5"/>
  <c r="A592" i="5"/>
  <c r="V591" i="5"/>
  <c r="F591" i="5"/>
  <c r="D591" i="5"/>
  <c r="B591" i="5"/>
  <c r="A591" i="5"/>
  <c r="V590" i="5"/>
  <c r="F590" i="5"/>
  <c r="D590" i="5"/>
  <c r="B590" i="5"/>
  <c r="A590" i="5"/>
  <c r="V589" i="5"/>
  <c r="F589" i="5"/>
  <c r="D589" i="5"/>
  <c r="B589" i="5"/>
  <c r="A589" i="5"/>
  <c r="V588" i="5"/>
  <c r="F588" i="5"/>
  <c r="D588" i="5"/>
  <c r="B588" i="5"/>
  <c r="A588" i="5"/>
  <c r="V587" i="5"/>
  <c r="F587" i="5"/>
  <c r="D587" i="5"/>
  <c r="B587" i="5"/>
  <c r="A587" i="5"/>
  <c r="V586" i="5"/>
  <c r="F586" i="5"/>
  <c r="D586" i="5"/>
  <c r="B586" i="5"/>
  <c r="A586" i="5"/>
  <c r="V585" i="5"/>
  <c r="F585" i="5"/>
  <c r="D585" i="5"/>
  <c r="B585" i="5"/>
  <c r="A585" i="5"/>
  <c r="V584" i="5"/>
  <c r="F584" i="5"/>
  <c r="D584" i="5"/>
  <c r="B584" i="5"/>
  <c r="A584" i="5"/>
  <c r="V583" i="5"/>
  <c r="F583" i="5"/>
  <c r="D583" i="5"/>
  <c r="B583" i="5"/>
  <c r="A583" i="5"/>
  <c r="V582" i="5"/>
  <c r="F582" i="5"/>
  <c r="D582" i="5"/>
  <c r="B582" i="5"/>
  <c r="A582" i="5"/>
  <c r="V581" i="5"/>
  <c r="F581" i="5"/>
  <c r="D581" i="5"/>
  <c r="B581" i="5"/>
  <c r="A581" i="5"/>
  <c r="V580" i="5"/>
  <c r="F580" i="5"/>
  <c r="D580" i="5"/>
  <c r="B580" i="5"/>
  <c r="A580" i="5"/>
  <c r="V579" i="5"/>
  <c r="F579" i="5"/>
  <c r="D579" i="5"/>
  <c r="B579" i="5"/>
  <c r="A579" i="5"/>
  <c r="V578" i="5"/>
  <c r="F578" i="5"/>
  <c r="D578" i="5"/>
  <c r="B578" i="5"/>
  <c r="A578" i="5"/>
  <c r="V577" i="5"/>
  <c r="F577" i="5"/>
  <c r="D577" i="5"/>
  <c r="B577" i="5"/>
  <c r="A577" i="5"/>
  <c r="V576" i="5"/>
  <c r="F576" i="5"/>
  <c r="D576" i="5"/>
  <c r="B576" i="5"/>
  <c r="A576" i="5"/>
  <c r="V575" i="5"/>
  <c r="F575" i="5"/>
  <c r="D575" i="5"/>
  <c r="B575" i="5"/>
  <c r="A575" i="5"/>
  <c r="V574" i="5"/>
  <c r="F574" i="5"/>
  <c r="D574" i="5"/>
  <c r="B574" i="5"/>
  <c r="A574" i="5"/>
  <c r="V573" i="5"/>
  <c r="F573" i="5"/>
  <c r="D573" i="5"/>
  <c r="B573" i="5"/>
  <c r="A573" i="5"/>
  <c r="V572" i="5"/>
  <c r="F572" i="5"/>
  <c r="D572" i="5"/>
  <c r="B572" i="5"/>
  <c r="A572" i="5"/>
  <c r="V571" i="5"/>
  <c r="F571" i="5"/>
  <c r="D571" i="5"/>
  <c r="B571" i="5"/>
  <c r="A571" i="5"/>
  <c r="V570" i="5"/>
  <c r="F570" i="5"/>
  <c r="D570" i="5"/>
  <c r="B570" i="5"/>
  <c r="A570" i="5"/>
  <c r="V569" i="5"/>
  <c r="F569" i="5"/>
  <c r="D569" i="5"/>
  <c r="B569" i="5"/>
  <c r="A569" i="5"/>
  <c r="V568" i="5"/>
  <c r="F568" i="5"/>
  <c r="D568" i="5"/>
  <c r="B568" i="5"/>
  <c r="A568" i="5"/>
  <c r="V567" i="5"/>
  <c r="F567" i="5"/>
  <c r="D567" i="5"/>
  <c r="B567" i="5"/>
  <c r="A567" i="5"/>
  <c r="V566" i="5"/>
  <c r="F566" i="5"/>
  <c r="D566" i="5"/>
  <c r="B566" i="5"/>
  <c r="A566" i="5"/>
  <c r="V565" i="5"/>
  <c r="F565" i="5"/>
  <c r="D565" i="5"/>
  <c r="B565" i="5"/>
  <c r="A565" i="5"/>
  <c r="V564" i="5"/>
  <c r="F564" i="5"/>
  <c r="D564" i="5"/>
  <c r="B564" i="5"/>
  <c r="A564" i="5"/>
  <c r="V563" i="5"/>
  <c r="F563" i="5"/>
  <c r="D563" i="5"/>
  <c r="B563" i="5"/>
  <c r="A563" i="5"/>
  <c r="V562" i="5"/>
  <c r="F562" i="5"/>
  <c r="D562" i="5"/>
  <c r="B562" i="5"/>
  <c r="A562" i="5"/>
  <c r="V561" i="5"/>
  <c r="F561" i="5"/>
  <c r="D561" i="5"/>
  <c r="B561" i="5"/>
  <c r="A561" i="5"/>
  <c r="V560" i="5"/>
  <c r="F560" i="5"/>
  <c r="D560" i="5"/>
  <c r="B560" i="5"/>
  <c r="A560" i="5"/>
  <c r="V559" i="5"/>
  <c r="F559" i="5"/>
  <c r="D559" i="5"/>
  <c r="B559" i="5"/>
  <c r="A559" i="5"/>
  <c r="V558" i="5"/>
  <c r="F558" i="5"/>
  <c r="D558" i="5"/>
  <c r="B558" i="5"/>
  <c r="A558" i="5"/>
  <c r="V557" i="5"/>
  <c r="F557" i="5"/>
  <c r="D557" i="5"/>
  <c r="B557" i="5"/>
  <c r="A557" i="5"/>
  <c r="V556" i="5"/>
  <c r="F556" i="5"/>
  <c r="D556" i="5"/>
  <c r="B556" i="5"/>
  <c r="A556" i="5"/>
  <c r="V555" i="5"/>
  <c r="F555" i="5"/>
  <c r="D555" i="5"/>
  <c r="B555" i="5"/>
  <c r="A555" i="5"/>
  <c r="V554" i="5"/>
  <c r="F554" i="5"/>
  <c r="D554" i="5"/>
  <c r="B554" i="5"/>
  <c r="A554" i="5"/>
  <c r="V553" i="5"/>
  <c r="F553" i="5"/>
  <c r="D553" i="5"/>
  <c r="B553" i="5"/>
  <c r="A553" i="5"/>
  <c r="V552" i="5"/>
  <c r="F552" i="5"/>
  <c r="D552" i="5"/>
  <c r="B552" i="5"/>
  <c r="A552" i="5"/>
  <c r="V551" i="5"/>
  <c r="F551" i="5"/>
  <c r="D551" i="5"/>
  <c r="B551" i="5"/>
  <c r="A551" i="5"/>
  <c r="V550" i="5"/>
  <c r="F550" i="5"/>
  <c r="D550" i="5"/>
  <c r="B550" i="5"/>
  <c r="A550" i="5"/>
  <c r="V549" i="5"/>
  <c r="F549" i="5"/>
  <c r="D549" i="5"/>
  <c r="B549" i="5"/>
  <c r="A549" i="5"/>
  <c r="V548" i="5"/>
  <c r="F548" i="5"/>
  <c r="D548" i="5"/>
  <c r="B548" i="5"/>
  <c r="A548" i="5"/>
  <c r="V547" i="5"/>
  <c r="F547" i="5"/>
  <c r="D547" i="5"/>
  <c r="B547" i="5"/>
  <c r="A547" i="5"/>
  <c r="V546" i="5"/>
  <c r="F546" i="5"/>
  <c r="D546" i="5"/>
  <c r="B546" i="5"/>
  <c r="A546" i="5"/>
  <c r="V545" i="5"/>
  <c r="F545" i="5"/>
  <c r="D545" i="5"/>
  <c r="B545" i="5"/>
  <c r="A545" i="5"/>
  <c r="V544" i="5"/>
  <c r="F544" i="5"/>
  <c r="D544" i="5"/>
  <c r="B544" i="5"/>
  <c r="A544" i="5"/>
  <c r="V543" i="5"/>
  <c r="F543" i="5"/>
  <c r="D543" i="5"/>
  <c r="B543" i="5"/>
  <c r="A543" i="5"/>
  <c r="V542" i="5"/>
  <c r="F542" i="5"/>
  <c r="D542" i="5"/>
  <c r="B542" i="5"/>
  <c r="A542" i="5"/>
  <c r="V541" i="5"/>
  <c r="F541" i="5"/>
  <c r="D541" i="5"/>
  <c r="B541" i="5"/>
  <c r="A541" i="5"/>
  <c r="V540" i="5"/>
  <c r="F540" i="5"/>
  <c r="D540" i="5"/>
  <c r="B540" i="5"/>
  <c r="A540" i="5"/>
  <c r="V539" i="5"/>
  <c r="F539" i="5"/>
  <c r="D539" i="5"/>
  <c r="B539" i="5"/>
  <c r="A539" i="5"/>
  <c r="V538" i="5"/>
  <c r="F538" i="5"/>
  <c r="D538" i="5"/>
  <c r="B538" i="5"/>
  <c r="A538" i="5"/>
  <c r="V537" i="5"/>
  <c r="F537" i="5"/>
  <c r="D537" i="5"/>
  <c r="B537" i="5"/>
  <c r="A537" i="5"/>
  <c r="V536" i="5"/>
  <c r="F536" i="5"/>
  <c r="D536" i="5"/>
  <c r="B536" i="5"/>
  <c r="A536" i="5"/>
  <c r="V535" i="5"/>
  <c r="F535" i="5"/>
  <c r="D535" i="5"/>
  <c r="B535" i="5"/>
  <c r="A535" i="5"/>
  <c r="V534" i="5"/>
  <c r="F534" i="5"/>
  <c r="D534" i="5"/>
  <c r="B534" i="5"/>
  <c r="A534" i="5"/>
  <c r="V533" i="5"/>
  <c r="F533" i="5"/>
  <c r="D533" i="5"/>
  <c r="B533" i="5"/>
  <c r="A533" i="5"/>
  <c r="V532" i="5"/>
  <c r="F532" i="5"/>
  <c r="D532" i="5"/>
  <c r="B532" i="5"/>
  <c r="A532" i="5"/>
  <c r="V531" i="5"/>
  <c r="F531" i="5"/>
  <c r="D531" i="5"/>
  <c r="B531" i="5"/>
  <c r="A531" i="5"/>
  <c r="V530" i="5"/>
  <c r="F530" i="5"/>
  <c r="D530" i="5"/>
  <c r="B530" i="5"/>
  <c r="A530" i="5"/>
  <c r="V529" i="5"/>
  <c r="F529" i="5"/>
  <c r="D529" i="5"/>
  <c r="B529" i="5"/>
  <c r="A529" i="5"/>
  <c r="V528" i="5"/>
  <c r="F528" i="5"/>
  <c r="D528" i="5"/>
  <c r="B528" i="5"/>
  <c r="A528" i="5"/>
  <c r="V527" i="5"/>
  <c r="F527" i="5"/>
  <c r="D527" i="5"/>
  <c r="B527" i="5"/>
  <c r="A527" i="5"/>
  <c r="V526" i="5"/>
  <c r="F526" i="5"/>
  <c r="D526" i="5"/>
  <c r="B526" i="5"/>
  <c r="A526" i="5"/>
  <c r="V525" i="5"/>
  <c r="F525" i="5"/>
  <c r="D525" i="5"/>
  <c r="B525" i="5"/>
  <c r="A525" i="5"/>
  <c r="V524" i="5"/>
  <c r="F524" i="5"/>
  <c r="D524" i="5"/>
  <c r="B524" i="5"/>
  <c r="A524" i="5"/>
  <c r="V523" i="5"/>
  <c r="F523" i="5"/>
  <c r="D523" i="5"/>
  <c r="B523" i="5"/>
  <c r="A523" i="5"/>
  <c r="V522" i="5"/>
  <c r="F522" i="5"/>
  <c r="D522" i="5"/>
  <c r="B522" i="5"/>
  <c r="A522" i="5"/>
  <c r="V521" i="5"/>
  <c r="F521" i="5"/>
  <c r="D521" i="5"/>
  <c r="B521" i="5"/>
  <c r="A521" i="5"/>
  <c r="V520" i="5"/>
  <c r="F520" i="5"/>
  <c r="D520" i="5"/>
  <c r="B520" i="5"/>
  <c r="A520" i="5"/>
  <c r="V519" i="5"/>
  <c r="F519" i="5"/>
  <c r="D519" i="5"/>
  <c r="B519" i="5"/>
  <c r="A519" i="5"/>
  <c r="V518" i="5"/>
  <c r="F518" i="5"/>
  <c r="D518" i="5"/>
  <c r="B518" i="5"/>
  <c r="A518" i="5"/>
  <c r="V517" i="5"/>
  <c r="F517" i="5"/>
  <c r="D517" i="5"/>
  <c r="B517" i="5"/>
  <c r="A517" i="5"/>
  <c r="V516" i="5"/>
  <c r="F516" i="5"/>
  <c r="D516" i="5"/>
  <c r="B516" i="5"/>
  <c r="A516" i="5"/>
  <c r="V515" i="5"/>
  <c r="F515" i="5"/>
  <c r="D515" i="5"/>
  <c r="B515" i="5"/>
  <c r="A515" i="5"/>
  <c r="V514" i="5"/>
  <c r="F514" i="5"/>
  <c r="D514" i="5"/>
  <c r="B514" i="5"/>
  <c r="A514" i="5"/>
  <c r="V513" i="5"/>
  <c r="F513" i="5"/>
  <c r="D513" i="5"/>
  <c r="B513" i="5"/>
  <c r="A513" i="5"/>
  <c r="V512" i="5"/>
  <c r="F512" i="5"/>
  <c r="D512" i="5"/>
  <c r="B512" i="5"/>
  <c r="A512" i="5"/>
  <c r="V511" i="5"/>
  <c r="F511" i="5"/>
  <c r="D511" i="5"/>
  <c r="B511" i="5"/>
  <c r="A511" i="5"/>
  <c r="V510" i="5"/>
  <c r="F510" i="5"/>
  <c r="D510" i="5"/>
  <c r="B510" i="5"/>
  <c r="A510" i="5"/>
  <c r="V509" i="5"/>
  <c r="F509" i="5"/>
  <c r="D509" i="5"/>
  <c r="B509" i="5"/>
  <c r="A509" i="5"/>
  <c r="V508" i="5"/>
  <c r="F508" i="5"/>
  <c r="D508" i="5"/>
  <c r="B508" i="5"/>
  <c r="A508" i="5"/>
  <c r="V507" i="5"/>
  <c r="F507" i="5"/>
  <c r="D507" i="5"/>
  <c r="B507" i="5"/>
  <c r="A507" i="5"/>
  <c r="V506" i="5"/>
  <c r="F506" i="5"/>
  <c r="D506" i="5"/>
  <c r="B506" i="5"/>
  <c r="A506" i="5"/>
  <c r="V505" i="5"/>
  <c r="F505" i="5"/>
  <c r="D505" i="5"/>
  <c r="B505" i="5"/>
  <c r="A505" i="5"/>
  <c r="V504" i="5"/>
  <c r="F504" i="5"/>
  <c r="D504" i="5"/>
  <c r="B504" i="5"/>
  <c r="A504" i="5"/>
  <c r="V503" i="5"/>
  <c r="F503" i="5"/>
  <c r="D503" i="5"/>
  <c r="B503" i="5"/>
  <c r="A503" i="5"/>
  <c r="V502" i="5"/>
  <c r="F502" i="5"/>
  <c r="D502" i="5"/>
  <c r="B502" i="5"/>
  <c r="A502" i="5"/>
  <c r="V501" i="5"/>
  <c r="F501" i="5"/>
  <c r="D501" i="5"/>
  <c r="B501" i="5"/>
  <c r="A501" i="5"/>
  <c r="V500" i="5"/>
  <c r="F500" i="5"/>
  <c r="D500" i="5"/>
  <c r="B500" i="5"/>
  <c r="A500" i="5"/>
  <c r="V499" i="5"/>
  <c r="F499" i="5"/>
  <c r="D499" i="5"/>
  <c r="B499" i="5"/>
  <c r="A499" i="5"/>
  <c r="V498" i="5"/>
  <c r="F498" i="5"/>
  <c r="D498" i="5"/>
  <c r="B498" i="5"/>
  <c r="A498" i="5"/>
  <c r="V497" i="5"/>
  <c r="F497" i="5"/>
  <c r="D497" i="5"/>
  <c r="B497" i="5"/>
  <c r="A497" i="5"/>
  <c r="V496" i="5"/>
  <c r="F496" i="5"/>
  <c r="D496" i="5"/>
  <c r="B496" i="5"/>
  <c r="A496" i="5"/>
  <c r="V495" i="5"/>
  <c r="F495" i="5"/>
  <c r="D495" i="5"/>
  <c r="B495" i="5"/>
  <c r="A495" i="5"/>
  <c r="V494" i="5"/>
  <c r="F494" i="5"/>
  <c r="D494" i="5"/>
  <c r="B494" i="5"/>
  <c r="A494" i="5"/>
  <c r="V493" i="5"/>
  <c r="F493" i="5"/>
  <c r="D493" i="5"/>
  <c r="B493" i="5"/>
  <c r="A493" i="5"/>
  <c r="V492" i="5"/>
  <c r="F492" i="5"/>
  <c r="D492" i="5"/>
  <c r="B492" i="5"/>
  <c r="A492" i="5"/>
  <c r="V491" i="5"/>
  <c r="F491" i="5"/>
  <c r="D491" i="5"/>
  <c r="B491" i="5"/>
  <c r="A491" i="5"/>
  <c r="V490" i="5"/>
  <c r="F490" i="5"/>
  <c r="D490" i="5"/>
  <c r="B490" i="5"/>
  <c r="A490" i="5"/>
  <c r="V489" i="5"/>
  <c r="F489" i="5"/>
  <c r="D489" i="5"/>
  <c r="B489" i="5"/>
  <c r="A489" i="5"/>
  <c r="V488" i="5"/>
  <c r="F488" i="5"/>
  <c r="D488" i="5"/>
  <c r="B488" i="5"/>
  <c r="A488" i="5"/>
  <c r="V487" i="5"/>
  <c r="F487" i="5"/>
  <c r="D487" i="5"/>
  <c r="B487" i="5"/>
  <c r="A487" i="5"/>
  <c r="V486" i="5"/>
  <c r="F486" i="5"/>
  <c r="D486" i="5"/>
  <c r="B486" i="5"/>
  <c r="A486" i="5"/>
  <c r="V485" i="5"/>
  <c r="F485" i="5"/>
  <c r="D485" i="5"/>
  <c r="B485" i="5"/>
  <c r="A485" i="5"/>
  <c r="V484" i="5"/>
  <c r="F484" i="5"/>
  <c r="D484" i="5"/>
  <c r="B484" i="5"/>
  <c r="A484" i="5"/>
  <c r="V483" i="5"/>
  <c r="F483" i="5"/>
  <c r="D483" i="5"/>
  <c r="B483" i="5"/>
  <c r="A483" i="5"/>
  <c r="V482" i="5"/>
  <c r="F482" i="5"/>
  <c r="D482" i="5"/>
  <c r="B482" i="5"/>
  <c r="A482" i="5"/>
  <c r="V481" i="5"/>
  <c r="F481" i="5"/>
  <c r="D481" i="5"/>
  <c r="B481" i="5"/>
  <c r="A481" i="5"/>
  <c r="V480" i="5"/>
  <c r="F480" i="5"/>
  <c r="D480" i="5"/>
  <c r="B480" i="5"/>
  <c r="A480" i="5"/>
  <c r="V479" i="5"/>
  <c r="F479" i="5"/>
  <c r="D479" i="5"/>
  <c r="B479" i="5"/>
  <c r="A479" i="5"/>
  <c r="V478" i="5"/>
  <c r="F478" i="5"/>
  <c r="D478" i="5"/>
  <c r="B478" i="5"/>
  <c r="A478" i="5"/>
  <c r="V477" i="5"/>
  <c r="F477" i="5"/>
  <c r="D477" i="5"/>
  <c r="B477" i="5"/>
  <c r="A477" i="5"/>
  <c r="V476" i="5"/>
  <c r="F476" i="5"/>
  <c r="D476" i="5"/>
  <c r="B476" i="5"/>
  <c r="A476" i="5"/>
  <c r="V475" i="5"/>
  <c r="F475" i="5"/>
  <c r="D475" i="5"/>
  <c r="B475" i="5"/>
  <c r="A475" i="5"/>
  <c r="V474" i="5"/>
  <c r="F474" i="5"/>
  <c r="D474" i="5"/>
  <c r="B474" i="5"/>
  <c r="A474" i="5"/>
  <c r="V473" i="5"/>
  <c r="F473" i="5"/>
  <c r="D473" i="5"/>
  <c r="B473" i="5"/>
  <c r="A473" i="5"/>
  <c r="V472" i="5"/>
  <c r="F472" i="5"/>
  <c r="D472" i="5"/>
  <c r="B472" i="5"/>
  <c r="A472" i="5"/>
  <c r="V471" i="5"/>
  <c r="F471" i="5"/>
  <c r="D471" i="5"/>
  <c r="B471" i="5"/>
  <c r="A471" i="5"/>
  <c r="V470" i="5"/>
  <c r="F470" i="5"/>
  <c r="D470" i="5"/>
  <c r="B470" i="5"/>
  <c r="A470" i="5"/>
  <c r="V469" i="5"/>
  <c r="F469" i="5"/>
  <c r="D469" i="5"/>
  <c r="B469" i="5"/>
  <c r="A469" i="5"/>
  <c r="V468" i="5"/>
  <c r="F468" i="5"/>
  <c r="D468" i="5"/>
  <c r="B468" i="5"/>
  <c r="A468" i="5"/>
  <c r="V467" i="5"/>
  <c r="F467" i="5"/>
  <c r="D467" i="5"/>
  <c r="B467" i="5"/>
  <c r="A467" i="5"/>
  <c r="V466" i="5"/>
  <c r="F466" i="5"/>
  <c r="D466" i="5"/>
  <c r="B466" i="5"/>
  <c r="A466" i="5"/>
  <c r="V465" i="5"/>
  <c r="F465" i="5"/>
  <c r="D465" i="5"/>
  <c r="B465" i="5"/>
  <c r="A465" i="5"/>
  <c r="V464" i="5"/>
  <c r="F464" i="5"/>
  <c r="D464" i="5"/>
  <c r="B464" i="5"/>
  <c r="A464" i="5"/>
  <c r="V463" i="5"/>
  <c r="F463" i="5"/>
  <c r="D463" i="5"/>
  <c r="B463" i="5"/>
  <c r="A463" i="5"/>
  <c r="V462" i="5"/>
  <c r="F462" i="5"/>
  <c r="D462" i="5"/>
  <c r="B462" i="5"/>
  <c r="A462" i="5"/>
  <c r="V461" i="5"/>
  <c r="F461" i="5"/>
  <c r="D461" i="5"/>
  <c r="B461" i="5"/>
  <c r="A461" i="5"/>
  <c r="V460" i="5"/>
  <c r="F460" i="5"/>
  <c r="D460" i="5"/>
  <c r="B460" i="5"/>
  <c r="A460" i="5"/>
  <c r="V459" i="5"/>
  <c r="F459" i="5"/>
  <c r="D459" i="5"/>
  <c r="B459" i="5"/>
  <c r="A459" i="5"/>
  <c r="V458" i="5"/>
  <c r="F458" i="5"/>
  <c r="D458" i="5"/>
  <c r="B458" i="5"/>
  <c r="A458" i="5"/>
  <c r="V457" i="5"/>
  <c r="F457" i="5"/>
  <c r="D457" i="5"/>
  <c r="B457" i="5"/>
  <c r="A457" i="5"/>
  <c r="V456" i="5"/>
  <c r="F456" i="5"/>
  <c r="D456" i="5"/>
  <c r="B456" i="5"/>
  <c r="A456" i="5"/>
  <c r="V455" i="5"/>
  <c r="F455" i="5"/>
  <c r="D455" i="5"/>
  <c r="B455" i="5"/>
  <c r="A455" i="5"/>
  <c r="V454" i="5"/>
  <c r="F454" i="5"/>
  <c r="D454" i="5"/>
  <c r="B454" i="5"/>
  <c r="A454" i="5"/>
  <c r="V453" i="5"/>
  <c r="F453" i="5"/>
  <c r="D453" i="5"/>
  <c r="B453" i="5"/>
  <c r="A453" i="5"/>
  <c r="V452" i="5"/>
  <c r="F452" i="5"/>
  <c r="D452" i="5"/>
  <c r="B452" i="5"/>
  <c r="A452" i="5"/>
  <c r="V451" i="5"/>
  <c r="F451" i="5"/>
  <c r="D451" i="5"/>
  <c r="B451" i="5"/>
  <c r="A451" i="5"/>
  <c r="V450" i="5"/>
  <c r="F450" i="5"/>
  <c r="D450" i="5"/>
  <c r="B450" i="5"/>
  <c r="A450" i="5"/>
  <c r="V449" i="5"/>
  <c r="F449" i="5"/>
  <c r="D449" i="5"/>
  <c r="B449" i="5"/>
  <c r="A449" i="5"/>
  <c r="V448" i="5"/>
  <c r="F448" i="5"/>
  <c r="D448" i="5"/>
  <c r="B448" i="5"/>
  <c r="A448" i="5"/>
  <c r="V447" i="5"/>
  <c r="F447" i="5"/>
  <c r="D447" i="5"/>
  <c r="B447" i="5"/>
  <c r="A447" i="5"/>
  <c r="V446" i="5"/>
  <c r="F446" i="5"/>
  <c r="D446" i="5"/>
  <c r="B446" i="5"/>
  <c r="A446" i="5"/>
  <c r="V445" i="5"/>
  <c r="F445" i="5"/>
  <c r="D445" i="5"/>
  <c r="B445" i="5"/>
  <c r="A445" i="5"/>
  <c r="V444" i="5"/>
  <c r="F444" i="5"/>
  <c r="D444" i="5"/>
  <c r="B444" i="5"/>
  <c r="A444" i="5"/>
  <c r="V443" i="5"/>
  <c r="F443" i="5"/>
  <c r="D443" i="5"/>
  <c r="B443" i="5"/>
  <c r="A443" i="5"/>
  <c r="V442" i="5"/>
  <c r="F442" i="5"/>
  <c r="D442" i="5"/>
  <c r="B442" i="5"/>
  <c r="A442" i="5"/>
  <c r="V441" i="5"/>
  <c r="F441" i="5"/>
  <c r="D441" i="5"/>
  <c r="B441" i="5"/>
  <c r="A441" i="5"/>
  <c r="V440" i="5"/>
  <c r="F440" i="5"/>
  <c r="D440" i="5"/>
  <c r="B440" i="5"/>
  <c r="A440" i="5"/>
  <c r="V439" i="5"/>
  <c r="F439" i="5"/>
  <c r="D439" i="5"/>
  <c r="B439" i="5"/>
  <c r="A439" i="5"/>
  <c r="V438" i="5"/>
  <c r="F438" i="5"/>
  <c r="D438" i="5"/>
  <c r="B438" i="5"/>
  <c r="A438" i="5"/>
  <c r="V437" i="5"/>
  <c r="F437" i="5"/>
  <c r="D437" i="5"/>
  <c r="B437" i="5"/>
  <c r="A437" i="5"/>
  <c r="V436" i="5"/>
  <c r="F436" i="5"/>
  <c r="D436" i="5"/>
  <c r="B436" i="5"/>
  <c r="A436" i="5"/>
  <c r="V435" i="5"/>
  <c r="F435" i="5"/>
  <c r="D435" i="5"/>
  <c r="B435" i="5"/>
  <c r="A435" i="5"/>
  <c r="V434" i="5"/>
  <c r="F434" i="5"/>
  <c r="D434" i="5"/>
  <c r="B434" i="5"/>
  <c r="A434" i="5"/>
  <c r="V433" i="5"/>
  <c r="F433" i="5"/>
  <c r="D433" i="5"/>
  <c r="B433" i="5"/>
  <c r="A433" i="5"/>
  <c r="V432" i="5"/>
  <c r="F432" i="5"/>
  <c r="D432" i="5"/>
  <c r="B432" i="5"/>
  <c r="A432" i="5"/>
  <c r="V431" i="5"/>
  <c r="F431" i="5"/>
  <c r="D431" i="5"/>
  <c r="B431" i="5"/>
  <c r="A431" i="5"/>
  <c r="V430" i="5"/>
  <c r="F430" i="5"/>
  <c r="D430" i="5"/>
  <c r="B430" i="5"/>
  <c r="A430" i="5"/>
  <c r="V429" i="5"/>
  <c r="F429" i="5"/>
  <c r="D429" i="5"/>
  <c r="B429" i="5"/>
  <c r="A429" i="5"/>
  <c r="V428" i="5"/>
  <c r="F428" i="5"/>
  <c r="D428" i="5"/>
  <c r="B428" i="5"/>
  <c r="A428" i="5"/>
  <c r="V427" i="5"/>
  <c r="F427" i="5"/>
  <c r="D427" i="5"/>
  <c r="B427" i="5"/>
  <c r="A427" i="5"/>
  <c r="V426" i="5"/>
  <c r="F426" i="5"/>
  <c r="D426" i="5"/>
  <c r="B426" i="5"/>
  <c r="A426" i="5"/>
  <c r="V425" i="5"/>
  <c r="F425" i="5"/>
  <c r="D425" i="5"/>
  <c r="B425" i="5"/>
  <c r="A425" i="5"/>
  <c r="V424" i="5"/>
  <c r="F424" i="5"/>
  <c r="D424" i="5"/>
  <c r="B424" i="5"/>
  <c r="A424" i="5"/>
  <c r="V423" i="5"/>
  <c r="F423" i="5"/>
  <c r="D423" i="5"/>
  <c r="B423" i="5"/>
  <c r="A423" i="5"/>
  <c r="V422" i="5"/>
  <c r="F422" i="5"/>
  <c r="D422" i="5"/>
  <c r="B422" i="5"/>
  <c r="A422" i="5"/>
  <c r="V421" i="5"/>
  <c r="F421" i="5"/>
  <c r="D421" i="5"/>
  <c r="B421" i="5"/>
  <c r="A421" i="5"/>
  <c r="V420" i="5"/>
  <c r="F420" i="5"/>
  <c r="D420" i="5"/>
  <c r="B420" i="5"/>
  <c r="A420" i="5"/>
  <c r="V419" i="5"/>
  <c r="F419" i="5"/>
  <c r="D419" i="5"/>
  <c r="B419" i="5"/>
  <c r="A419" i="5"/>
  <c r="V418" i="5"/>
  <c r="F418" i="5"/>
  <c r="D418" i="5"/>
  <c r="B418" i="5"/>
  <c r="A418" i="5"/>
  <c r="V417" i="5"/>
  <c r="F417" i="5"/>
  <c r="D417" i="5"/>
  <c r="B417" i="5"/>
  <c r="A417" i="5"/>
  <c r="V416" i="5"/>
  <c r="F416" i="5"/>
  <c r="D416" i="5"/>
  <c r="B416" i="5"/>
  <c r="A416" i="5"/>
  <c r="V415" i="5"/>
  <c r="F415" i="5"/>
  <c r="D415" i="5"/>
  <c r="B415" i="5"/>
  <c r="A415" i="5"/>
  <c r="V414" i="5"/>
  <c r="F414" i="5"/>
  <c r="D414" i="5"/>
  <c r="B414" i="5"/>
  <c r="A414" i="5"/>
  <c r="V413" i="5"/>
  <c r="F413" i="5"/>
  <c r="D413" i="5"/>
  <c r="B413" i="5"/>
  <c r="A413" i="5"/>
  <c r="V412" i="5"/>
  <c r="F412" i="5"/>
  <c r="D412" i="5"/>
  <c r="B412" i="5"/>
  <c r="A412" i="5"/>
  <c r="V411" i="5"/>
  <c r="F411" i="5"/>
  <c r="D411" i="5"/>
  <c r="B411" i="5"/>
  <c r="A411" i="5"/>
  <c r="V410" i="5"/>
  <c r="F410" i="5"/>
  <c r="D410" i="5"/>
  <c r="B410" i="5"/>
  <c r="A410" i="5"/>
  <c r="V409" i="5"/>
  <c r="F409" i="5"/>
  <c r="D409" i="5"/>
  <c r="B409" i="5"/>
  <c r="A409" i="5"/>
  <c r="V408" i="5"/>
  <c r="F408" i="5"/>
  <c r="D408" i="5"/>
  <c r="B408" i="5"/>
  <c r="A408" i="5"/>
  <c r="V407" i="5"/>
  <c r="F407" i="5"/>
  <c r="D407" i="5"/>
  <c r="B407" i="5"/>
  <c r="A407" i="5"/>
  <c r="V406" i="5"/>
  <c r="F406" i="5"/>
  <c r="D406" i="5"/>
  <c r="B406" i="5"/>
  <c r="A406" i="5"/>
  <c r="V405" i="5"/>
  <c r="F405" i="5"/>
  <c r="D405" i="5"/>
  <c r="B405" i="5"/>
  <c r="A405" i="5"/>
  <c r="V404" i="5"/>
  <c r="F404" i="5"/>
  <c r="D404" i="5"/>
  <c r="B404" i="5"/>
  <c r="A404" i="5"/>
  <c r="V403" i="5"/>
  <c r="F403" i="5"/>
  <c r="D403" i="5"/>
  <c r="B403" i="5"/>
  <c r="A403" i="5"/>
  <c r="V402" i="5"/>
  <c r="F402" i="5"/>
  <c r="D402" i="5"/>
  <c r="B402" i="5"/>
  <c r="A402" i="5"/>
  <c r="V401" i="5"/>
  <c r="F401" i="5"/>
  <c r="D401" i="5"/>
  <c r="B401" i="5"/>
  <c r="A401" i="5"/>
  <c r="V400" i="5"/>
  <c r="F400" i="5"/>
  <c r="D400" i="5"/>
  <c r="B400" i="5"/>
  <c r="A400" i="5"/>
  <c r="V399" i="5"/>
  <c r="F399" i="5"/>
  <c r="D399" i="5"/>
  <c r="B399" i="5"/>
  <c r="A399" i="5"/>
  <c r="V398" i="5"/>
  <c r="F398" i="5"/>
  <c r="D398" i="5"/>
  <c r="B398" i="5"/>
  <c r="A398" i="5"/>
  <c r="V397" i="5"/>
  <c r="F397" i="5"/>
  <c r="D397" i="5"/>
  <c r="B397" i="5"/>
  <c r="A397" i="5"/>
  <c r="V396" i="5"/>
  <c r="F396" i="5"/>
  <c r="D396" i="5"/>
  <c r="B396" i="5"/>
  <c r="A396" i="5"/>
  <c r="V395" i="5"/>
  <c r="F395" i="5"/>
  <c r="D395" i="5"/>
  <c r="B395" i="5"/>
  <c r="A395" i="5"/>
  <c r="V394" i="5"/>
  <c r="F394" i="5"/>
  <c r="D394" i="5"/>
  <c r="B394" i="5"/>
  <c r="A394" i="5"/>
  <c r="V393" i="5"/>
  <c r="F393" i="5"/>
  <c r="D393" i="5"/>
  <c r="B393" i="5"/>
  <c r="A393" i="5"/>
  <c r="V392" i="5"/>
  <c r="F392" i="5"/>
  <c r="D392" i="5"/>
  <c r="B392" i="5"/>
  <c r="A392" i="5"/>
  <c r="V391" i="5"/>
  <c r="F391" i="5"/>
  <c r="D391" i="5"/>
  <c r="B391" i="5"/>
  <c r="A391" i="5"/>
  <c r="V390" i="5"/>
  <c r="F390" i="5"/>
  <c r="D390" i="5"/>
  <c r="B390" i="5"/>
  <c r="A390" i="5"/>
  <c r="V389" i="5"/>
  <c r="F389" i="5"/>
  <c r="D389" i="5"/>
  <c r="B389" i="5"/>
  <c r="A389" i="5"/>
  <c r="V388" i="5"/>
  <c r="F388" i="5"/>
  <c r="D388" i="5"/>
  <c r="B388" i="5"/>
  <c r="A388" i="5"/>
  <c r="V387" i="5"/>
  <c r="F387" i="5"/>
  <c r="D387" i="5"/>
  <c r="B387" i="5"/>
  <c r="A387" i="5"/>
  <c r="V386" i="5"/>
  <c r="F386" i="5"/>
  <c r="D386" i="5"/>
  <c r="B386" i="5"/>
  <c r="A386" i="5"/>
  <c r="V385" i="5"/>
  <c r="F385" i="5"/>
  <c r="D385" i="5"/>
  <c r="B385" i="5"/>
  <c r="A385" i="5"/>
  <c r="V384" i="5"/>
  <c r="F384" i="5"/>
  <c r="D384" i="5"/>
  <c r="B384" i="5"/>
  <c r="A384" i="5"/>
  <c r="V383" i="5"/>
  <c r="F383" i="5"/>
  <c r="D383" i="5"/>
  <c r="B383" i="5"/>
  <c r="A383" i="5"/>
  <c r="V382" i="5"/>
  <c r="F382" i="5"/>
  <c r="D382" i="5"/>
  <c r="B382" i="5"/>
  <c r="A382" i="5"/>
  <c r="V381" i="5"/>
  <c r="F381" i="5"/>
  <c r="D381" i="5"/>
  <c r="B381" i="5"/>
  <c r="A381" i="5"/>
  <c r="V380" i="5"/>
  <c r="F380" i="5"/>
  <c r="D380" i="5"/>
  <c r="B380" i="5"/>
  <c r="A380" i="5"/>
  <c r="V379" i="5"/>
  <c r="F379" i="5"/>
  <c r="D379" i="5"/>
  <c r="B379" i="5"/>
  <c r="A379" i="5"/>
  <c r="V378" i="5"/>
  <c r="F378" i="5"/>
  <c r="D378" i="5"/>
  <c r="B378" i="5"/>
  <c r="A378" i="5"/>
  <c r="V377" i="5"/>
  <c r="F377" i="5"/>
  <c r="D377" i="5"/>
  <c r="B377" i="5"/>
  <c r="A377" i="5"/>
  <c r="V376" i="5"/>
  <c r="F376" i="5"/>
  <c r="D376" i="5"/>
  <c r="B376" i="5"/>
  <c r="A376" i="5"/>
  <c r="V375" i="5"/>
  <c r="F375" i="5"/>
  <c r="D375" i="5"/>
  <c r="B375" i="5"/>
  <c r="A375" i="5"/>
  <c r="V374" i="5"/>
  <c r="F374" i="5"/>
  <c r="D374" i="5"/>
  <c r="B374" i="5"/>
  <c r="A374" i="5"/>
  <c r="V373" i="5"/>
  <c r="F373" i="5"/>
  <c r="D373" i="5"/>
  <c r="B373" i="5"/>
  <c r="A373" i="5"/>
  <c r="V372" i="5"/>
  <c r="F372" i="5"/>
  <c r="D372" i="5"/>
  <c r="B372" i="5"/>
  <c r="A372" i="5"/>
  <c r="V371" i="5"/>
  <c r="F371" i="5"/>
  <c r="D371" i="5"/>
  <c r="B371" i="5"/>
  <c r="A371" i="5"/>
  <c r="V370" i="5"/>
  <c r="F370" i="5"/>
  <c r="D370" i="5"/>
  <c r="B370" i="5"/>
  <c r="A370" i="5"/>
  <c r="V369" i="5"/>
  <c r="F369" i="5"/>
  <c r="D369" i="5"/>
  <c r="B369" i="5"/>
  <c r="A369" i="5"/>
  <c r="V368" i="5"/>
  <c r="F368" i="5"/>
  <c r="D368" i="5"/>
  <c r="B368" i="5"/>
  <c r="A368" i="5"/>
  <c r="V367" i="5"/>
  <c r="F367" i="5"/>
  <c r="D367" i="5"/>
  <c r="B367" i="5"/>
  <c r="A367" i="5"/>
  <c r="V366" i="5"/>
  <c r="F366" i="5"/>
  <c r="D366" i="5"/>
  <c r="B366" i="5"/>
  <c r="A366" i="5"/>
  <c r="V365" i="5"/>
  <c r="F365" i="5"/>
  <c r="D365" i="5"/>
  <c r="B365" i="5"/>
  <c r="A365" i="5"/>
  <c r="V364" i="5"/>
  <c r="F364" i="5"/>
  <c r="D364" i="5"/>
  <c r="B364" i="5"/>
  <c r="A364" i="5"/>
  <c r="V363" i="5"/>
  <c r="F363" i="5"/>
  <c r="D363" i="5"/>
  <c r="B363" i="5"/>
  <c r="A363" i="5"/>
  <c r="V362" i="5"/>
  <c r="F362" i="5"/>
  <c r="D362" i="5"/>
  <c r="B362" i="5"/>
  <c r="A362" i="5"/>
  <c r="V361" i="5"/>
  <c r="F361" i="5"/>
  <c r="D361" i="5"/>
  <c r="B361" i="5"/>
  <c r="A361" i="5"/>
  <c r="V360" i="5"/>
  <c r="F360" i="5"/>
  <c r="D360" i="5"/>
  <c r="B360" i="5"/>
  <c r="A360" i="5"/>
  <c r="V359" i="5"/>
  <c r="F359" i="5"/>
  <c r="D359" i="5"/>
  <c r="B359" i="5"/>
  <c r="A359" i="5"/>
  <c r="V358" i="5"/>
  <c r="F358" i="5"/>
  <c r="D358" i="5"/>
  <c r="B358" i="5"/>
  <c r="A358" i="5"/>
  <c r="V357" i="5"/>
  <c r="F357" i="5"/>
  <c r="D357" i="5"/>
  <c r="B357" i="5"/>
  <c r="A357" i="5"/>
  <c r="V356" i="5"/>
  <c r="F356" i="5"/>
  <c r="D356" i="5"/>
  <c r="B356" i="5"/>
  <c r="A356" i="5"/>
  <c r="V355" i="5"/>
  <c r="F355" i="5"/>
  <c r="D355" i="5"/>
  <c r="B355" i="5"/>
  <c r="A355" i="5"/>
  <c r="V354" i="5"/>
  <c r="F354" i="5"/>
  <c r="D354" i="5"/>
  <c r="B354" i="5"/>
  <c r="A354" i="5"/>
  <c r="V353" i="5"/>
  <c r="F353" i="5"/>
  <c r="D353" i="5"/>
  <c r="B353" i="5"/>
  <c r="A353" i="5"/>
  <c r="V352" i="5"/>
  <c r="F352" i="5"/>
  <c r="D352" i="5"/>
  <c r="B352" i="5"/>
  <c r="A352" i="5"/>
  <c r="V351" i="5"/>
  <c r="F351" i="5"/>
  <c r="D351" i="5"/>
  <c r="B351" i="5"/>
  <c r="A351" i="5"/>
  <c r="V350" i="5"/>
  <c r="F350" i="5"/>
  <c r="D350" i="5"/>
  <c r="B350" i="5"/>
  <c r="A350" i="5"/>
  <c r="V349" i="5"/>
  <c r="F349" i="5"/>
  <c r="D349" i="5"/>
  <c r="B349" i="5"/>
  <c r="A349" i="5"/>
  <c r="V348" i="5"/>
  <c r="F348" i="5"/>
  <c r="D348" i="5"/>
  <c r="B348" i="5"/>
  <c r="A348" i="5"/>
  <c r="V347" i="5"/>
  <c r="F347" i="5"/>
  <c r="D347" i="5"/>
  <c r="B347" i="5"/>
  <c r="A347" i="5"/>
  <c r="V346" i="5"/>
  <c r="F346" i="5"/>
  <c r="D346" i="5"/>
  <c r="B346" i="5"/>
  <c r="A346" i="5"/>
  <c r="V345" i="5"/>
  <c r="F345" i="5"/>
  <c r="D345" i="5"/>
  <c r="B345" i="5"/>
  <c r="A345" i="5"/>
  <c r="V344" i="5"/>
  <c r="F344" i="5"/>
  <c r="D344" i="5"/>
  <c r="B344" i="5"/>
  <c r="A344" i="5"/>
  <c r="V343" i="5"/>
  <c r="F343" i="5"/>
  <c r="D343" i="5"/>
  <c r="B343" i="5"/>
  <c r="A343" i="5"/>
  <c r="V342" i="5"/>
  <c r="F342" i="5"/>
  <c r="D342" i="5"/>
  <c r="B342" i="5"/>
  <c r="A342" i="5"/>
  <c r="V341" i="5"/>
  <c r="F341" i="5"/>
  <c r="D341" i="5"/>
  <c r="B341" i="5"/>
  <c r="A341" i="5"/>
  <c r="V340" i="5"/>
  <c r="F340" i="5"/>
  <c r="D340" i="5"/>
  <c r="B340" i="5"/>
  <c r="A340" i="5"/>
  <c r="V339" i="5"/>
  <c r="F339" i="5"/>
  <c r="D339" i="5"/>
  <c r="B339" i="5"/>
  <c r="A339" i="5"/>
  <c r="V338" i="5"/>
  <c r="F338" i="5"/>
  <c r="D338" i="5"/>
  <c r="B338" i="5"/>
  <c r="A338" i="5"/>
  <c r="V337" i="5"/>
  <c r="F337" i="5"/>
  <c r="D337" i="5"/>
  <c r="B337" i="5"/>
  <c r="A337" i="5"/>
  <c r="V336" i="5"/>
  <c r="F336" i="5"/>
  <c r="D336" i="5"/>
  <c r="B336" i="5"/>
  <c r="A336" i="5"/>
  <c r="V335" i="5"/>
  <c r="F335" i="5"/>
  <c r="D335" i="5"/>
  <c r="B335" i="5"/>
  <c r="A335" i="5"/>
  <c r="V334" i="5"/>
  <c r="F334" i="5"/>
  <c r="D334" i="5"/>
  <c r="B334" i="5"/>
  <c r="A334" i="5"/>
  <c r="V333" i="5"/>
  <c r="F333" i="5"/>
  <c r="D333" i="5"/>
  <c r="B333" i="5"/>
  <c r="A333" i="5"/>
  <c r="V332" i="5"/>
  <c r="F332" i="5"/>
  <c r="D332" i="5"/>
  <c r="B332" i="5"/>
  <c r="A332" i="5"/>
  <c r="V331" i="5"/>
  <c r="F331" i="5"/>
  <c r="D331" i="5"/>
  <c r="B331" i="5"/>
  <c r="A331" i="5"/>
  <c r="V330" i="5"/>
  <c r="F330" i="5"/>
  <c r="D330" i="5"/>
  <c r="B330" i="5"/>
  <c r="A330" i="5"/>
  <c r="V329" i="5"/>
  <c r="F329" i="5"/>
  <c r="D329" i="5"/>
  <c r="B329" i="5"/>
  <c r="A329" i="5"/>
  <c r="V328" i="5"/>
  <c r="F328" i="5"/>
  <c r="D328" i="5"/>
  <c r="B328" i="5"/>
  <c r="A328" i="5"/>
  <c r="V327" i="5"/>
  <c r="F327" i="5"/>
  <c r="D327" i="5"/>
  <c r="B327" i="5"/>
  <c r="A327" i="5"/>
  <c r="V326" i="5"/>
  <c r="F326" i="5"/>
  <c r="D326" i="5"/>
  <c r="B326" i="5"/>
  <c r="A326" i="5"/>
  <c r="V325" i="5"/>
  <c r="F325" i="5"/>
  <c r="D325" i="5"/>
  <c r="B325" i="5"/>
  <c r="A325" i="5"/>
  <c r="V324" i="5"/>
  <c r="F324" i="5"/>
  <c r="D324" i="5"/>
  <c r="B324" i="5"/>
  <c r="A324" i="5"/>
  <c r="V323" i="5"/>
  <c r="F323" i="5"/>
  <c r="D323" i="5"/>
  <c r="B323" i="5"/>
  <c r="A323" i="5"/>
  <c r="V322" i="5"/>
  <c r="F322" i="5"/>
  <c r="D322" i="5"/>
  <c r="B322" i="5"/>
  <c r="A322" i="5"/>
  <c r="V321" i="5"/>
  <c r="F321" i="5"/>
  <c r="D321" i="5"/>
  <c r="B321" i="5"/>
  <c r="A321" i="5"/>
  <c r="V320" i="5"/>
  <c r="F320" i="5"/>
  <c r="D320" i="5"/>
  <c r="B320" i="5"/>
  <c r="A320" i="5"/>
  <c r="V319" i="5"/>
  <c r="F319" i="5"/>
  <c r="D319" i="5"/>
  <c r="B319" i="5"/>
  <c r="A319" i="5"/>
  <c r="V318" i="5"/>
  <c r="F318" i="5"/>
  <c r="D318" i="5"/>
  <c r="B318" i="5"/>
  <c r="A318" i="5"/>
  <c r="V317" i="5"/>
  <c r="F317" i="5"/>
  <c r="D317" i="5"/>
  <c r="B317" i="5"/>
  <c r="A317" i="5"/>
  <c r="V316" i="5"/>
  <c r="F316" i="5"/>
  <c r="D316" i="5"/>
  <c r="B316" i="5"/>
  <c r="A316" i="5"/>
  <c r="V315" i="5"/>
  <c r="F315" i="5"/>
  <c r="D315" i="5"/>
  <c r="B315" i="5"/>
  <c r="A315" i="5"/>
  <c r="V314" i="5"/>
  <c r="F314" i="5"/>
  <c r="D314" i="5"/>
  <c r="B314" i="5"/>
  <c r="A314" i="5"/>
  <c r="V313" i="5"/>
  <c r="F313" i="5"/>
  <c r="D313" i="5"/>
  <c r="B313" i="5"/>
  <c r="A313" i="5"/>
  <c r="V312" i="5"/>
  <c r="F312" i="5"/>
  <c r="D312" i="5"/>
  <c r="B312" i="5"/>
  <c r="A312" i="5"/>
  <c r="V311" i="5"/>
  <c r="F311" i="5"/>
  <c r="D311" i="5"/>
  <c r="B311" i="5"/>
  <c r="A311" i="5"/>
  <c r="V310" i="5"/>
  <c r="F310" i="5"/>
  <c r="D310" i="5"/>
  <c r="B310" i="5"/>
  <c r="A310" i="5"/>
  <c r="V309" i="5"/>
  <c r="F309" i="5"/>
  <c r="D309" i="5"/>
  <c r="B309" i="5"/>
  <c r="A309" i="5"/>
  <c r="V308" i="5"/>
  <c r="F308" i="5"/>
  <c r="D308" i="5"/>
  <c r="B308" i="5"/>
  <c r="A308" i="5"/>
  <c r="V307" i="5"/>
  <c r="F307" i="5"/>
  <c r="D307" i="5"/>
  <c r="B307" i="5"/>
  <c r="A307" i="5"/>
  <c r="V306" i="5"/>
  <c r="F306" i="5"/>
  <c r="D306" i="5"/>
  <c r="B306" i="5"/>
  <c r="A306" i="5"/>
  <c r="V305" i="5"/>
  <c r="F305" i="5"/>
  <c r="D305" i="5"/>
  <c r="B305" i="5"/>
  <c r="A305" i="5"/>
  <c r="V304" i="5"/>
  <c r="F304" i="5"/>
  <c r="D304" i="5"/>
  <c r="B304" i="5"/>
  <c r="A304" i="5"/>
  <c r="V303" i="5"/>
  <c r="F303" i="5"/>
  <c r="D303" i="5"/>
  <c r="B303" i="5"/>
  <c r="A303" i="5"/>
  <c r="V302" i="5"/>
  <c r="F302" i="5"/>
  <c r="D302" i="5"/>
  <c r="B302" i="5"/>
  <c r="A302" i="5"/>
  <c r="V301" i="5"/>
  <c r="F301" i="5"/>
  <c r="D301" i="5"/>
  <c r="B301" i="5"/>
  <c r="A301" i="5"/>
  <c r="V300" i="5"/>
  <c r="F300" i="5"/>
  <c r="D300" i="5"/>
  <c r="B300" i="5"/>
  <c r="A300" i="5"/>
  <c r="V299" i="5"/>
  <c r="F299" i="5"/>
  <c r="D299" i="5"/>
  <c r="B299" i="5"/>
  <c r="A299" i="5"/>
  <c r="V298" i="5"/>
  <c r="F298" i="5"/>
  <c r="D298" i="5"/>
  <c r="B298" i="5"/>
  <c r="A298" i="5"/>
  <c r="V297" i="5"/>
  <c r="F297" i="5"/>
  <c r="D297" i="5"/>
  <c r="B297" i="5"/>
  <c r="A297" i="5"/>
  <c r="V296" i="5"/>
  <c r="F296" i="5"/>
  <c r="D296" i="5"/>
  <c r="B296" i="5"/>
  <c r="A296" i="5"/>
  <c r="V295" i="5"/>
  <c r="F295" i="5"/>
  <c r="D295" i="5"/>
  <c r="B295" i="5"/>
  <c r="A295" i="5"/>
  <c r="V294" i="5"/>
  <c r="F294" i="5"/>
  <c r="D294" i="5"/>
  <c r="B294" i="5"/>
  <c r="A294" i="5"/>
  <c r="V293" i="5"/>
  <c r="F293" i="5"/>
  <c r="D293" i="5"/>
  <c r="B293" i="5"/>
  <c r="A293" i="5"/>
  <c r="V292" i="5"/>
  <c r="F292" i="5"/>
  <c r="D292" i="5"/>
  <c r="B292" i="5"/>
  <c r="A292" i="5"/>
  <c r="V291" i="5"/>
  <c r="F291" i="5"/>
  <c r="D291" i="5"/>
  <c r="B291" i="5"/>
  <c r="A291" i="5"/>
  <c r="V290" i="5"/>
  <c r="F290" i="5"/>
  <c r="D290" i="5"/>
  <c r="B290" i="5"/>
  <c r="A290" i="5"/>
  <c r="V289" i="5"/>
  <c r="F289" i="5"/>
  <c r="D289" i="5"/>
  <c r="B289" i="5"/>
  <c r="A289" i="5"/>
  <c r="V288" i="5"/>
  <c r="F288" i="5"/>
  <c r="D288" i="5"/>
  <c r="B288" i="5"/>
  <c r="A288" i="5"/>
  <c r="V287" i="5"/>
  <c r="F287" i="5"/>
  <c r="D287" i="5"/>
  <c r="B287" i="5"/>
  <c r="A287" i="5"/>
  <c r="V286" i="5"/>
  <c r="F286" i="5"/>
  <c r="D286" i="5"/>
  <c r="B286" i="5"/>
  <c r="A286" i="5"/>
  <c r="V285" i="5"/>
  <c r="F285" i="5"/>
  <c r="D285" i="5"/>
  <c r="B285" i="5"/>
  <c r="A285" i="5"/>
  <c r="V284" i="5"/>
  <c r="F284" i="5"/>
  <c r="D284" i="5"/>
  <c r="B284" i="5"/>
  <c r="A284" i="5"/>
  <c r="V283" i="5"/>
  <c r="F283" i="5"/>
  <c r="D283" i="5"/>
  <c r="B283" i="5"/>
  <c r="A283" i="5"/>
  <c r="V282" i="5"/>
  <c r="F282" i="5"/>
  <c r="D282" i="5"/>
  <c r="B282" i="5"/>
  <c r="A282" i="5"/>
  <c r="V281" i="5"/>
  <c r="F281" i="5"/>
  <c r="D281" i="5"/>
  <c r="B281" i="5"/>
  <c r="A281" i="5"/>
  <c r="V280" i="5"/>
  <c r="F280" i="5"/>
  <c r="D280" i="5"/>
  <c r="B280" i="5"/>
  <c r="A280" i="5"/>
  <c r="V279" i="5"/>
  <c r="F279" i="5"/>
  <c r="D279" i="5"/>
  <c r="B279" i="5"/>
  <c r="A279" i="5"/>
  <c r="V278" i="5"/>
  <c r="F278" i="5"/>
  <c r="D278" i="5"/>
  <c r="B278" i="5"/>
  <c r="A278" i="5"/>
  <c r="V277" i="5"/>
  <c r="F277" i="5"/>
  <c r="D277" i="5"/>
  <c r="B277" i="5"/>
  <c r="A277" i="5"/>
  <c r="V276" i="5"/>
  <c r="F276" i="5"/>
  <c r="D276" i="5"/>
  <c r="B276" i="5"/>
  <c r="A276" i="5"/>
  <c r="V275" i="5"/>
  <c r="F275" i="5"/>
  <c r="D275" i="5"/>
  <c r="B275" i="5"/>
  <c r="A275" i="5"/>
  <c r="V274" i="5"/>
  <c r="F274" i="5"/>
  <c r="D274" i="5"/>
  <c r="B274" i="5"/>
  <c r="A274" i="5"/>
  <c r="V273" i="5"/>
  <c r="F273" i="5"/>
  <c r="D273" i="5"/>
  <c r="B273" i="5"/>
  <c r="A273" i="5"/>
  <c r="V272" i="5"/>
  <c r="F272" i="5"/>
  <c r="D272" i="5"/>
  <c r="B272" i="5"/>
  <c r="A272" i="5"/>
  <c r="V271" i="5"/>
  <c r="F271" i="5"/>
  <c r="D271" i="5"/>
  <c r="B271" i="5"/>
  <c r="A271" i="5"/>
  <c r="V270" i="5"/>
  <c r="F270" i="5"/>
  <c r="D270" i="5"/>
  <c r="B270" i="5"/>
  <c r="A270" i="5"/>
  <c r="V269" i="5"/>
  <c r="F269" i="5"/>
  <c r="D269" i="5"/>
  <c r="B269" i="5"/>
  <c r="A269" i="5"/>
  <c r="V268" i="5"/>
  <c r="F268" i="5"/>
  <c r="D268" i="5"/>
  <c r="B268" i="5"/>
  <c r="A268" i="5"/>
  <c r="V267" i="5"/>
  <c r="F267" i="5"/>
  <c r="D267" i="5"/>
  <c r="B267" i="5"/>
  <c r="A267" i="5"/>
  <c r="V266" i="5"/>
  <c r="F266" i="5"/>
  <c r="D266" i="5"/>
  <c r="B266" i="5"/>
  <c r="A266" i="5"/>
  <c r="V265" i="5"/>
  <c r="F265" i="5"/>
  <c r="D265" i="5"/>
  <c r="B265" i="5"/>
  <c r="A265" i="5"/>
  <c r="V264" i="5"/>
  <c r="F264" i="5"/>
  <c r="D264" i="5"/>
  <c r="B264" i="5"/>
  <c r="A264" i="5"/>
  <c r="V263" i="5"/>
  <c r="F263" i="5"/>
  <c r="D263" i="5"/>
  <c r="B263" i="5"/>
  <c r="A263" i="5"/>
  <c r="V262" i="5"/>
  <c r="F262" i="5"/>
  <c r="D262" i="5"/>
  <c r="B262" i="5"/>
  <c r="A262" i="5"/>
  <c r="V261" i="5"/>
  <c r="F261" i="5"/>
  <c r="D261" i="5"/>
  <c r="B261" i="5"/>
  <c r="A261" i="5"/>
  <c r="V260" i="5"/>
  <c r="F260" i="5"/>
  <c r="D260" i="5"/>
  <c r="B260" i="5"/>
  <c r="A260" i="5"/>
  <c r="V259" i="5"/>
  <c r="F259" i="5"/>
  <c r="D259" i="5"/>
  <c r="B259" i="5"/>
  <c r="A259" i="5"/>
  <c r="V258" i="5"/>
  <c r="F258" i="5"/>
  <c r="D258" i="5"/>
  <c r="B258" i="5"/>
  <c r="A258" i="5"/>
  <c r="V257" i="5"/>
  <c r="F257" i="5"/>
  <c r="D257" i="5"/>
  <c r="B257" i="5"/>
  <c r="A257" i="5"/>
  <c r="V256" i="5"/>
  <c r="F256" i="5"/>
  <c r="D256" i="5"/>
  <c r="B256" i="5"/>
  <c r="A256" i="5"/>
  <c r="V255" i="5"/>
  <c r="F255" i="5"/>
  <c r="D255" i="5"/>
  <c r="B255" i="5"/>
  <c r="A255" i="5"/>
  <c r="V254" i="5"/>
  <c r="F254" i="5"/>
  <c r="D254" i="5"/>
  <c r="B254" i="5"/>
  <c r="A254" i="5"/>
  <c r="V253" i="5"/>
  <c r="F253" i="5"/>
  <c r="D253" i="5"/>
  <c r="B253" i="5"/>
  <c r="A253" i="5"/>
  <c r="V252" i="5"/>
  <c r="F252" i="5"/>
  <c r="D252" i="5"/>
  <c r="B252" i="5"/>
  <c r="A252" i="5"/>
  <c r="V251" i="5"/>
  <c r="F251" i="5"/>
  <c r="D251" i="5"/>
  <c r="B251" i="5"/>
  <c r="A251" i="5"/>
  <c r="V250" i="5"/>
  <c r="F250" i="5"/>
  <c r="D250" i="5"/>
  <c r="B250" i="5"/>
  <c r="A250" i="5"/>
  <c r="V249" i="5"/>
  <c r="F249" i="5"/>
  <c r="D249" i="5"/>
  <c r="B249" i="5"/>
  <c r="A249" i="5"/>
  <c r="V248" i="5"/>
  <c r="F248" i="5"/>
  <c r="D248" i="5"/>
  <c r="B248" i="5"/>
  <c r="A248" i="5"/>
  <c r="V247" i="5"/>
  <c r="F247" i="5"/>
  <c r="D247" i="5"/>
  <c r="B247" i="5"/>
  <c r="A247" i="5"/>
  <c r="V246" i="5"/>
  <c r="F246" i="5"/>
  <c r="D246" i="5"/>
  <c r="B246" i="5"/>
  <c r="A246" i="5"/>
  <c r="V245" i="5"/>
  <c r="F245" i="5"/>
  <c r="D245" i="5"/>
  <c r="B245" i="5"/>
  <c r="A245" i="5"/>
  <c r="V244" i="5"/>
  <c r="F244" i="5"/>
  <c r="D244" i="5"/>
  <c r="B244" i="5"/>
  <c r="A244" i="5"/>
  <c r="V243" i="5"/>
  <c r="F243" i="5"/>
  <c r="D243" i="5"/>
  <c r="B243" i="5"/>
  <c r="A243" i="5"/>
  <c r="V242" i="5"/>
  <c r="F242" i="5"/>
  <c r="D242" i="5"/>
  <c r="B242" i="5"/>
  <c r="A242" i="5"/>
  <c r="V241" i="5"/>
  <c r="F241" i="5"/>
  <c r="D241" i="5"/>
  <c r="B241" i="5"/>
  <c r="A241" i="5"/>
  <c r="V240" i="5"/>
  <c r="F240" i="5"/>
  <c r="D240" i="5"/>
  <c r="B240" i="5"/>
  <c r="A240" i="5"/>
  <c r="V239" i="5"/>
  <c r="F239" i="5"/>
  <c r="D239" i="5"/>
  <c r="B239" i="5"/>
  <c r="A239" i="5"/>
  <c r="V238" i="5"/>
  <c r="F238" i="5"/>
  <c r="D238" i="5"/>
  <c r="B238" i="5"/>
  <c r="A238" i="5"/>
  <c r="V237" i="5"/>
  <c r="F237" i="5"/>
  <c r="D237" i="5"/>
  <c r="B237" i="5"/>
  <c r="A237" i="5"/>
  <c r="V236" i="5"/>
  <c r="F236" i="5"/>
  <c r="D236" i="5"/>
  <c r="B236" i="5"/>
  <c r="A236" i="5"/>
  <c r="V235" i="5"/>
  <c r="F235" i="5"/>
  <c r="D235" i="5"/>
  <c r="B235" i="5"/>
  <c r="A235" i="5"/>
  <c r="V234" i="5"/>
  <c r="F234" i="5"/>
  <c r="D234" i="5"/>
  <c r="B234" i="5"/>
  <c r="A234" i="5"/>
  <c r="V233" i="5"/>
  <c r="F233" i="5"/>
  <c r="D233" i="5"/>
  <c r="B233" i="5"/>
  <c r="A233" i="5"/>
  <c r="V232" i="5"/>
  <c r="F232" i="5"/>
  <c r="D232" i="5"/>
  <c r="B232" i="5"/>
  <c r="A232" i="5"/>
  <c r="V231" i="5"/>
  <c r="F231" i="5"/>
  <c r="D231" i="5"/>
  <c r="B231" i="5"/>
  <c r="A231" i="5"/>
  <c r="V230" i="5"/>
  <c r="F230" i="5"/>
  <c r="D230" i="5"/>
  <c r="B230" i="5"/>
  <c r="A230" i="5"/>
  <c r="V229" i="5"/>
  <c r="F229" i="5"/>
  <c r="D229" i="5"/>
  <c r="B229" i="5"/>
  <c r="A229" i="5"/>
  <c r="V228" i="5"/>
  <c r="F228" i="5"/>
  <c r="D228" i="5"/>
  <c r="B228" i="5"/>
  <c r="A228" i="5"/>
  <c r="V227" i="5"/>
  <c r="F227" i="5"/>
  <c r="D227" i="5"/>
  <c r="B227" i="5"/>
  <c r="A227" i="5"/>
  <c r="V226" i="5"/>
  <c r="F226" i="5"/>
  <c r="D226" i="5"/>
  <c r="B226" i="5"/>
  <c r="A226" i="5"/>
  <c r="V225" i="5"/>
  <c r="F225" i="5"/>
  <c r="D225" i="5"/>
  <c r="B225" i="5"/>
  <c r="A225" i="5"/>
  <c r="V224" i="5"/>
  <c r="F224" i="5"/>
  <c r="D224" i="5"/>
  <c r="B224" i="5"/>
  <c r="A224" i="5"/>
  <c r="V223" i="5"/>
  <c r="F223" i="5"/>
  <c r="D223" i="5"/>
  <c r="B223" i="5"/>
  <c r="A223" i="5"/>
  <c r="V222" i="5"/>
  <c r="F222" i="5"/>
  <c r="D222" i="5"/>
  <c r="B222" i="5"/>
  <c r="A222" i="5"/>
  <c r="V221" i="5"/>
  <c r="F221" i="5"/>
  <c r="D221" i="5"/>
  <c r="B221" i="5"/>
  <c r="A221" i="5"/>
  <c r="V220" i="5"/>
  <c r="F220" i="5"/>
  <c r="D220" i="5"/>
  <c r="B220" i="5"/>
  <c r="A220" i="5"/>
  <c r="V219" i="5"/>
  <c r="F219" i="5"/>
  <c r="D219" i="5"/>
  <c r="B219" i="5"/>
  <c r="A219" i="5"/>
  <c r="V218" i="5"/>
  <c r="F218" i="5"/>
  <c r="D218" i="5"/>
  <c r="B218" i="5"/>
  <c r="A218" i="5"/>
  <c r="V217" i="5"/>
  <c r="F217" i="5"/>
  <c r="D217" i="5"/>
  <c r="B217" i="5"/>
  <c r="A217" i="5"/>
  <c r="V216" i="5"/>
  <c r="F216" i="5"/>
  <c r="D216" i="5"/>
  <c r="B216" i="5"/>
  <c r="A216" i="5"/>
  <c r="V215" i="5"/>
  <c r="F215" i="5"/>
  <c r="D215" i="5"/>
  <c r="B215" i="5"/>
  <c r="A215" i="5"/>
  <c r="V214" i="5"/>
  <c r="F214" i="5"/>
  <c r="D214" i="5"/>
  <c r="B214" i="5"/>
  <c r="A214" i="5"/>
  <c r="V213" i="5"/>
  <c r="F213" i="5"/>
  <c r="D213" i="5"/>
  <c r="B213" i="5"/>
  <c r="A213" i="5"/>
  <c r="V212" i="5"/>
  <c r="F212" i="5"/>
  <c r="D212" i="5"/>
  <c r="B212" i="5"/>
  <c r="A212" i="5"/>
  <c r="V211" i="5"/>
  <c r="F211" i="5"/>
  <c r="D211" i="5"/>
  <c r="B211" i="5"/>
  <c r="A211" i="5"/>
  <c r="V210" i="5"/>
  <c r="F210" i="5"/>
  <c r="D210" i="5"/>
  <c r="B210" i="5"/>
  <c r="A210" i="5"/>
  <c r="V209" i="5"/>
  <c r="F209" i="5"/>
  <c r="D209" i="5"/>
  <c r="B209" i="5"/>
  <c r="A209" i="5"/>
  <c r="V208" i="5"/>
  <c r="F208" i="5"/>
  <c r="D208" i="5"/>
  <c r="B208" i="5"/>
  <c r="A208" i="5"/>
  <c r="V207" i="5"/>
  <c r="F207" i="5"/>
  <c r="D207" i="5"/>
  <c r="B207" i="5"/>
  <c r="A207" i="5"/>
  <c r="V206" i="5"/>
  <c r="F206" i="5"/>
  <c r="D206" i="5"/>
  <c r="B206" i="5"/>
  <c r="A206" i="5"/>
  <c r="V205" i="5"/>
  <c r="F205" i="5"/>
  <c r="D205" i="5"/>
  <c r="B205" i="5"/>
  <c r="A205" i="5"/>
  <c r="V204" i="5"/>
  <c r="F204" i="5"/>
  <c r="D204" i="5"/>
  <c r="B204" i="5"/>
  <c r="A204" i="5"/>
  <c r="V203" i="5"/>
  <c r="F203" i="5"/>
  <c r="D203" i="5"/>
  <c r="B203" i="5"/>
  <c r="A203" i="5"/>
  <c r="V202" i="5"/>
  <c r="F202" i="5"/>
  <c r="D202" i="5"/>
  <c r="B202" i="5"/>
  <c r="A202" i="5"/>
  <c r="V201" i="5"/>
  <c r="F201" i="5"/>
  <c r="D201" i="5"/>
  <c r="B201" i="5"/>
  <c r="A201" i="5"/>
  <c r="V200" i="5"/>
  <c r="F200" i="5"/>
  <c r="D200" i="5"/>
  <c r="B200" i="5"/>
  <c r="A200" i="5"/>
  <c r="V199" i="5"/>
  <c r="F199" i="5"/>
  <c r="D199" i="5"/>
  <c r="B199" i="5"/>
  <c r="A199" i="5"/>
  <c r="V198" i="5"/>
  <c r="F198" i="5"/>
  <c r="D198" i="5"/>
  <c r="B198" i="5"/>
  <c r="A198" i="5"/>
  <c r="V197" i="5"/>
  <c r="F197" i="5"/>
  <c r="D197" i="5"/>
  <c r="B197" i="5"/>
  <c r="A197" i="5"/>
  <c r="V196" i="5"/>
  <c r="F196" i="5"/>
  <c r="D196" i="5"/>
  <c r="B196" i="5"/>
  <c r="A196" i="5"/>
  <c r="V195" i="5"/>
  <c r="F195" i="5"/>
  <c r="D195" i="5"/>
  <c r="B195" i="5"/>
  <c r="A195" i="5"/>
  <c r="V194" i="5"/>
  <c r="F194" i="5"/>
  <c r="D194" i="5"/>
  <c r="B194" i="5"/>
  <c r="A194" i="5"/>
  <c r="V193" i="5"/>
  <c r="F193" i="5"/>
  <c r="D193" i="5"/>
  <c r="B193" i="5"/>
  <c r="A193" i="5"/>
  <c r="V192" i="5"/>
  <c r="F192" i="5"/>
  <c r="D192" i="5"/>
  <c r="B192" i="5"/>
  <c r="A192" i="5"/>
  <c r="V191" i="5"/>
  <c r="F191" i="5"/>
  <c r="D191" i="5"/>
  <c r="B191" i="5"/>
  <c r="A191" i="5"/>
  <c r="V190" i="5"/>
  <c r="F190" i="5"/>
  <c r="D190" i="5"/>
  <c r="B190" i="5"/>
  <c r="A190" i="5"/>
  <c r="V189" i="5"/>
  <c r="F189" i="5"/>
  <c r="D189" i="5"/>
  <c r="B189" i="5"/>
  <c r="A189" i="5"/>
  <c r="V188" i="5"/>
  <c r="F188" i="5"/>
  <c r="D188" i="5"/>
  <c r="B188" i="5"/>
  <c r="A188" i="5"/>
  <c r="V187" i="5"/>
  <c r="F187" i="5"/>
  <c r="D187" i="5"/>
  <c r="B187" i="5"/>
  <c r="A187" i="5"/>
  <c r="V186" i="5"/>
  <c r="F186" i="5"/>
  <c r="D186" i="5"/>
  <c r="B186" i="5"/>
  <c r="A186" i="5"/>
  <c r="V185" i="5"/>
  <c r="F185" i="5"/>
  <c r="D185" i="5"/>
  <c r="B185" i="5"/>
  <c r="A185" i="5"/>
  <c r="V184" i="5"/>
  <c r="F184" i="5"/>
  <c r="D184" i="5"/>
  <c r="B184" i="5"/>
  <c r="A184" i="5"/>
  <c r="V183" i="5"/>
  <c r="F183" i="5"/>
  <c r="D183" i="5"/>
  <c r="B183" i="5"/>
  <c r="A183" i="5"/>
  <c r="V182" i="5"/>
  <c r="F182" i="5"/>
  <c r="D182" i="5"/>
  <c r="B182" i="5"/>
  <c r="A182" i="5"/>
  <c r="V181" i="5"/>
  <c r="F181" i="5"/>
  <c r="D181" i="5"/>
  <c r="B181" i="5"/>
  <c r="A181" i="5"/>
  <c r="V180" i="5"/>
  <c r="F180" i="5"/>
  <c r="D180" i="5"/>
  <c r="B180" i="5"/>
  <c r="A180" i="5"/>
  <c r="V179" i="5"/>
  <c r="F179" i="5"/>
  <c r="D179" i="5"/>
  <c r="B179" i="5"/>
  <c r="A179" i="5"/>
  <c r="V178" i="5"/>
  <c r="F178" i="5"/>
  <c r="D178" i="5"/>
  <c r="B178" i="5"/>
  <c r="A178" i="5"/>
  <c r="V177" i="5"/>
  <c r="F177" i="5"/>
  <c r="D177" i="5"/>
  <c r="B177" i="5"/>
  <c r="A177" i="5"/>
  <c r="V176" i="5"/>
  <c r="F176" i="5"/>
  <c r="D176" i="5"/>
  <c r="B176" i="5"/>
  <c r="A176" i="5"/>
  <c r="V175" i="5"/>
  <c r="F175" i="5"/>
  <c r="D175" i="5"/>
  <c r="B175" i="5"/>
  <c r="A175" i="5"/>
  <c r="V174" i="5"/>
  <c r="F174" i="5"/>
  <c r="D174" i="5"/>
  <c r="B174" i="5"/>
  <c r="A174" i="5"/>
  <c r="V173" i="5"/>
  <c r="F173" i="5"/>
  <c r="D173" i="5"/>
  <c r="B173" i="5"/>
  <c r="A173" i="5"/>
  <c r="V172" i="5"/>
  <c r="F172" i="5"/>
  <c r="D172" i="5"/>
  <c r="B172" i="5"/>
  <c r="A172" i="5"/>
  <c r="V171" i="5"/>
  <c r="F171" i="5"/>
  <c r="D171" i="5"/>
  <c r="B171" i="5"/>
  <c r="A171" i="5"/>
  <c r="V170" i="5"/>
  <c r="F170" i="5"/>
  <c r="D170" i="5"/>
  <c r="B170" i="5"/>
  <c r="A170" i="5"/>
  <c r="V169" i="5"/>
  <c r="F169" i="5"/>
  <c r="D169" i="5"/>
  <c r="B169" i="5"/>
  <c r="A169" i="5"/>
  <c r="V168" i="5"/>
  <c r="F168" i="5"/>
  <c r="D168" i="5"/>
  <c r="B168" i="5"/>
  <c r="A168" i="5"/>
  <c r="V167" i="5"/>
  <c r="F167" i="5"/>
  <c r="D167" i="5"/>
  <c r="B167" i="5"/>
  <c r="A167" i="5"/>
  <c r="V166" i="5"/>
  <c r="F166" i="5"/>
  <c r="D166" i="5"/>
  <c r="B166" i="5"/>
  <c r="A166" i="5"/>
  <c r="V165" i="5"/>
  <c r="F165" i="5"/>
  <c r="D165" i="5"/>
  <c r="B165" i="5"/>
  <c r="A165" i="5"/>
  <c r="V164" i="5"/>
  <c r="F164" i="5"/>
  <c r="D164" i="5"/>
  <c r="B164" i="5"/>
  <c r="A164" i="5"/>
  <c r="V163" i="5"/>
  <c r="F163" i="5"/>
  <c r="D163" i="5"/>
  <c r="B163" i="5"/>
  <c r="A163" i="5"/>
  <c r="V162" i="5"/>
  <c r="F162" i="5"/>
  <c r="D162" i="5"/>
  <c r="B162" i="5"/>
  <c r="A162" i="5"/>
  <c r="V161" i="5"/>
  <c r="F161" i="5"/>
  <c r="D161" i="5"/>
  <c r="B161" i="5"/>
  <c r="A161" i="5"/>
  <c r="V160" i="5"/>
  <c r="F160" i="5"/>
  <c r="D160" i="5"/>
  <c r="B160" i="5"/>
  <c r="A160" i="5"/>
  <c r="V159" i="5"/>
  <c r="F159" i="5"/>
  <c r="D159" i="5"/>
  <c r="B159" i="5"/>
  <c r="A159" i="5"/>
  <c r="V158" i="5"/>
  <c r="F158" i="5"/>
  <c r="D158" i="5"/>
  <c r="B158" i="5"/>
  <c r="A158" i="5"/>
  <c r="V157" i="5"/>
  <c r="F157" i="5"/>
  <c r="D157" i="5"/>
  <c r="B157" i="5"/>
  <c r="A157" i="5"/>
  <c r="V156" i="5"/>
  <c r="F156" i="5"/>
  <c r="D156" i="5"/>
  <c r="B156" i="5"/>
  <c r="A156" i="5"/>
  <c r="V155" i="5"/>
  <c r="F155" i="5"/>
  <c r="D155" i="5"/>
  <c r="B155" i="5"/>
  <c r="A155" i="5"/>
  <c r="V154" i="5"/>
  <c r="F154" i="5"/>
  <c r="D154" i="5"/>
  <c r="B154" i="5"/>
  <c r="A154" i="5"/>
  <c r="V153" i="5"/>
  <c r="F153" i="5"/>
  <c r="D153" i="5"/>
  <c r="B153" i="5"/>
  <c r="A153" i="5"/>
  <c r="V152" i="5"/>
  <c r="F152" i="5"/>
  <c r="D152" i="5"/>
  <c r="B152" i="5"/>
  <c r="A152" i="5"/>
  <c r="V151" i="5"/>
  <c r="F151" i="5"/>
  <c r="D151" i="5"/>
  <c r="B151" i="5"/>
  <c r="A151" i="5"/>
  <c r="V150" i="5"/>
  <c r="F150" i="5"/>
  <c r="D150" i="5"/>
  <c r="B150" i="5"/>
  <c r="A150" i="5"/>
  <c r="V149" i="5"/>
  <c r="F149" i="5"/>
  <c r="D149" i="5"/>
  <c r="B149" i="5"/>
  <c r="A149" i="5"/>
  <c r="V148" i="5"/>
  <c r="F148" i="5"/>
  <c r="D148" i="5"/>
  <c r="B148" i="5"/>
  <c r="A148" i="5"/>
  <c r="V147" i="5"/>
  <c r="F147" i="5"/>
  <c r="D147" i="5"/>
  <c r="B147" i="5"/>
  <c r="A147" i="5"/>
  <c r="V146" i="5"/>
  <c r="F146" i="5"/>
  <c r="D146" i="5"/>
  <c r="B146" i="5"/>
  <c r="A146" i="5"/>
  <c r="V145" i="5"/>
  <c r="F145" i="5"/>
  <c r="D145" i="5"/>
  <c r="B145" i="5"/>
  <c r="A145" i="5"/>
  <c r="V144" i="5"/>
  <c r="F144" i="5"/>
  <c r="D144" i="5"/>
  <c r="B144" i="5"/>
  <c r="A144" i="5"/>
  <c r="V143" i="5"/>
  <c r="F143" i="5"/>
  <c r="D143" i="5"/>
  <c r="B143" i="5"/>
  <c r="A143" i="5"/>
  <c r="V142" i="5"/>
  <c r="F142" i="5"/>
  <c r="D142" i="5"/>
  <c r="B142" i="5"/>
  <c r="A142" i="5"/>
  <c r="V141" i="5"/>
  <c r="F141" i="5"/>
  <c r="D141" i="5"/>
  <c r="B141" i="5"/>
  <c r="A141" i="5"/>
  <c r="V140" i="5"/>
  <c r="F140" i="5"/>
  <c r="D140" i="5"/>
  <c r="B140" i="5"/>
  <c r="A140" i="5"/>
  <c r="V139" i="5"/>
  <c r="F139" i="5"/>
  <c r="D139" i="5"/>
  <c r="B139" i="5"/>
  <c r="A139" i="5"/>
  <c r="V138" i="5"/>
  <c r="F138" i="5"/>
  <c r="D138" i="5"/>
  <c r="B138" i="5"/>
  <c r="A138" i="5"/>
  <c r="V137" i="5"/>
  <c r="F137" i="5"/>
  <c r="D137" i="5"/>
  <c r="B137" i="5"/>
  <c r="A137" i="5"/>
  <c r="V136" i="5"/>
  <c r="F136" i="5"/>
  <c r="D136" i="5"/>
  <c r="B136" i="5"/>
  <c r="A136" i="5"/>
  <c r="V135" i="5"/>
  <c r="F135" i="5"/>
  <c r="D135" i="5"/>
  <c r="B135" i="5"/>
  <c r="A135" i="5"/>
  <c r="V134" i="5"/>
  <c r="F134" i="5"/>
  <c r="D134" i="5"/>
  <c r="B134" i="5"/>
  <c r="A134" i="5"/>
  <c r="V133" i="5"/>
  <c r="F133" i="5"/>
  <c r="D133" i="5"/>
  <c r="B133" i="5"/>
  <c r="A133" i="5"/>
  <c r="V132" i="5"/>
  <c r="F132" i="5"/>
  <c r="D132" i="5"/>
  <c r="B132" i="5"/>
  <c r="A132" i="5"/>
  <c r="V131" i="5"/>
  <c r="F131" i="5"/>
  <c r="D131" i="5"/>
  <c r="B131" i="5"/>
  <c r="A131" i="5"/>
  <c r="V130" i="5"/>
  <c r="F130" i="5"/>
  <c r="D130" i="5"/>
  <c r="B130" i="5"/>
  <c r="A130" i="5"/>
  <c r="V129" i="5"/>
  <c r="F129" i="5"/>
  <c r="D129" i="5"/>
  <c r="B129" i="5"/>
  <c r="A129" i="5"/>
  <c r="V128" i="5"/>
  <c r="F128" i="5"/>
  <c r="D128" i="5"/>
  <c r="B128" i="5"/>
  <c r="A128" i="5"/>
  <c r="V127" i="5"/>
  <c r="F127" i="5"/>
  <c r="D127" i="5"/>
  <c r="B127" i="5"/>
  <c r="A127" i="5"/>
  <c r="V126" i="5"/>
  <c r="F126" i="5"/>
  <c r="D126" i="5"/>
  <c r="B126" i="5"/>
  <c r="A126" i="5"/>
  <c r="V125" i="5"/>
  <c r="F125" i="5"/>
  <c r="D125" i="5"/>
  <c r="B125" i="5"/>
  <c r="A125" i="5"/>
  <c r="V124" i="5"/>
  <c r="F124" i="5"/>
  <c r="D124" i="5"/>
  <c r="B124" i="5"/>
  <c r="A124" i="5"/>
  <c r="V123" i="5"/>
  <c r="F123" i="5"/>
  <c r="D123" i="5"/>
  <c r="B123" i="5"/>
  <c r="A123" i="5"/>
  <c r="V122" i="5"/>
  <c r="F122" i="5"/>
  <c r="D122" i="5"/>
  <c r="B122" i="5"/>
  <c r="A122" i="5"/>
  <c r="V121" i="5"/>
  <c r="F121" i="5"/>
  <c r="D121" i="5"/>
  <c r="B121" i="5"/>
  <c r="A121" i="5"/>
  <c r="V120" i="5"/>
  <c r="F120" i="5"/>
  <c r="D120" i="5"/>
  <c r="B120" i="5"/>
  <c r="A120" i="5"/>
  <c r="V119" i="5"/>
  <c r="F119" i="5"/>
  <c r="D119" i="5"/>
  <c r="B119" i="5"/>
  <c r="A119" i="5"/>
  <c r="V118" i="5"/>
  <c r="F118" i="5"/>
  <c r="D118" i="5"/>
  <c r="B118" i="5"/>
  <c r="A118" i="5"/>
  <c r="V117" i="5"/>
  <c r="F117" i="5"/>
  <c r="D117" i="5"/>
  <c r="B117" i="5"/>
  <c r="A117" i="5"/>
  <c r="V116" i="5"/>
  <c r="F116" i="5"/>
  <c r="D116" i="5"/>
  <c r="B116" i="5"/>
  <c r="A116" i="5"/>
  <c r="V115" i="5"/>
  <c r="F115" i="5"/>
  <c r="D115" i="5"/>
  <c r="B115" i="5"/>
  <c r="A115" i="5"/>
  <c r="V114" i="5"/>
  <c r="F114" i="5"/>
  <c r="D114" i="5"/>
  <c r="B114" i="5"/>
  <c r="A114" i="5"/>
  <c r="V113" i="5"/>
  <c r="F113" i="5"/>
  <c r="D113" i="5"/>
  <c r="B113" i="5"/>
  <c r="A113" i="5"/>
  <c r="V112" i="5"/>
  <c r="F112" i="5"/>
  <c r="D112" i="5"/>
  <c r="B112" i="5"/>
  <c r="A112" i="5"/>
  <c r="V111" i="5"/>
  <c r="F111" i="5"/>
  <c r="D111" i="5"/>
  <c r="B111" i="5"/>
  <c r="A111" i="5"/>
  <c r="V110" i="5"/>
  <c r="F110" i="5"/>
  <c r="D110" i="5"/>
  <c r="B110" i="5"/>
  <c r="A110" i="5"/>
  <c r="V109" i="5"/>
  <c r="F109" i="5"/>
  <c r="D109" i="5"/>
  <c r="B109" i="5"/>
  <c r="A109" i="5"/>
  <c r="V108" i="5"/>
  <c r="F108" i="5"/>
  <c r="D108" i="5"/>
  <c r="B108" i="5"/>
  <c r="A108" i="5"/>
  <c r="V107" i="5"/>
  <c r="F107" i="5"/>
  <c r="D107" i="5"/>
  <c r="B107" i="5"/>
  <c r="A107" i="5"/>
  <c r="V106" i="5"/>
  <c r="F106" i="5"/>
  <c r="D106" i="5"/>
  <c r="B106" i="5"/>
  <c r="A106" i="5"/>
  <c r="V105" i="5"/>
  <c r="F105" i="5"/>
  <c r="D105" i="5"/>
  <c r="B105" i="5"/>
  <c r="A105" i="5"/>
  <c r="V104" i="5"/>
  <c r="F104" i="5"/>
  <c r="D104" i="5"/>
  <c r="B104" i="5"/>
  <c r="A104" i="5"/>
  <c r="V103" i="5"/>
  <c r="F103" i="5"/>
  <c r="D103" i="5"/>
  <c r="B103" i="5"/>
  <c r="A103" i="5"/>
  <c r="V102" i="5"/>
  <c r="F102" i="5"/>
  <c r="D102" i="5"/>
  <c r="B102" i="5"/>
  <c r="A102" i="5"/>
  <c r="V101" i="5"/>
  <c r="F101" i="5"/>
  <c r="D101" i="5"/>
  <c r="B101" i="5"/>
  <c r="A101" i="5"/>
  <c r="V100" i="5"/>
  <c r="F100" i="5"/>
  <c r="D100" i="5"/>
  <c r="B100" i="5"/>
  <c r="A100" i="5"/>
  <c r="V99" i="5"/>
  <c r="F99" i="5"/>
  <c r="D99" i="5"/>
  <c r="B99" i="5"/>
  <c r="A99" i="5"/>
  <c r="V98" i="5"/>
  <c r="F98" i="5"/>
  <c r="D98" i="5"/>
  <c r="B98" i="5"/>
  <c r="A98" i="5"/>
  <c r="V97" i="5"/>
  <c r="F97" i="5"/>
  <c r="D97" i="5"/>
  <c r="B97" i="5"/>
  <c r="A97" i="5"/>
  <c r="V96" i="5"/>
  <c r="F96" i="5"/>
  <c r="D96" i="5"/>
  <c r="B96" i="5"/>
  <c r="A96" i="5"/>
  <c r="V95" i="5"/>
  <c r="F95" i="5"/>
  <c r="D95" i="5"/>
  <c r="B95" i="5"/>
  <c r="A95" i="5"/>
  <c r="V94" i="5"/>
  <c r="F94" i="5"/>
  <c r="D94" i="5"/>
  <c r="B94" i="5"/>
  <c r="A94" i="5"/>
  <c r="V93" i="5"/>
  <c r="F93" i="5"/>
  <c r="D93" i="5"/>
  <c r="B93" i="5"/>
  <c r="A93" i="5"/>
  <c r="V92" i="5"/>
  <c r="F92" i="5"/>
  <c r="D92" i="5"/>
  <c r="B92" i="5"/>
  <c r="A92" i="5"/>
  <c r="V91" i="5"/>
  <c r="F91" i="5"/>
  <c r="D91" i="5"/>
  <c r="B91" i="5"/>
  <c r="A91" i="5"/>
  <c r="V90" i="5"/>
  <c r="F90" i="5"/>
  <c r="D90" i="5"/>
  <c r="B90" i="5"/>
  <c r="A90" i="5"/>
  <c r="V89" i="5"/>
  <c r="F89" i="5"/>
  <c r="D89" i="5"/>
  <c r="B89" i="5"/>
  <c r="A89" i="5"/>
  <c r="V88" i="5"/>
  <c r="F88" i="5"/>
  <c r="D88" i="5"/>
  <c r="B88" i="5"/>
  <c r="A88" i="5"/>
  <c r="V87" i="5"/>
  <c r="F87" i="5"/>
  <c r="D87" i="5"/>
  <c r="B87" i="5"/>
  <c r="A87" i="5"/>
  <c r="V86" i="5"/>
  <c r="F86" i="5"/>
  <c r="D86" i="5"/>
  <c r="B86" i="5"/>
  <c r="A86" i="5"/>
  <c r="V85" i="5"/>
  <c r="F85" i="5"/>
  <c r="D85" i="5"/>
  <c r="B85" i="5"/>
  <c r="A85" i="5"/>
  <c r="V84" i="5"/>
  <c r="F84" i="5"/>
  <c r="D84" i="5"/>
  <c r="B84" i="5"/>
  <c r="A84" i="5"/>
  <c r="V83" i="5"/>
  <c r="F83" i="5"/>
  <c r="D83" i="5"/>
  <c r="B83" i="5"/>
  <c r="A83" i="5"/>
  <c r="V82" i="5"/>
  <c r="F82" i="5"/>
  <c r="D82" i="5"/>
  <c r="B82" i="5"/>
  <c r="A82" i="5"/>
  <c r="V81" i="5"/>
  <c r="F81" i="5"/>
  <c r="D81" i="5"/>
  <c r="B81" i="5"/>
  <c r="A81" i="5"/>
  <c r="V80" i="5"/>
  <c r="F80" i="5"/>
  <c r="D80" i="5"/>
  <c r="B80" i="5"/>
  <c r="A80" i="5"/>
  <c r="V79" i="5"/>
  <c r="F79" i="5"/>
  <c r="D79" i="5"/>
  <c r="B79" i="5"/>
  <c r="A79" i="5"/>
  <c r="V78" i="5"/>
  <c r="F78" i="5"/>
  <c r="D78" i="5"/>
  <c r="B78" i="5"/>
  <c r="A78" i="5"/>
  <c r="V77" i="5"/>
  <c r="F77" i="5"/>
  <c r="D77" i="5"/>
  <c r="B77" i="5"/>
  <c r="A77" i="5"/>
  <c r="V76" i="5"/>
  <c r="F76" i="5"/>
  <c r="D76" i="5"/>
  <c r="B76" i="5"/>
  <c r="A76" i="5"/>
  <c r="V75" i="5"/>
  <c r="F75" i="5"/>
  <c r="D75" i="5"/>
  <c r="B75" i="5"/>
  <c r="A75" i="5"/>
  <c r="V74" i="5"/>
  <c r="F74" i="5"/>
  <c r="D74" i="5"/>
  <c r="B74" i="5"/>
  <c r="A74" i="5"/>
  <c r="V73" i="5"/>
  <c r="F73" i="5"/>
  <c r="D73" i="5"/>
  <c r="B73" i="5"/>
  <c r="A73" i="5"/>
  <c r="V72" i="5"/>
  <c r="F72" i="5"/>
  <c r="D72" i="5"/>
  <c r="B72" i="5"/>
  <c r="A72" i="5"/>
  <c r="V71" i="5"/>
  <c r="F71" i="5"/>
  <c r="D71" i="5"/>
  <c r="B71" i="5"/>
  <c r="A71" i="5"/>
  <c r="V70" i="5"/>
  <c r="F70" i="5"/>
  <c r="D70" i="5"/>
  <c r="B70" i="5"/>
  <c r="A70" i="5"/>
  <c r="V69" i="5"/>
  <c r="F69" i="5"/>
  <c r="D69" i="5"/>
  <c r="B69" i="5"/>
  <c r="A69" i="5"/>
  <c r="V68" i="5"/>
  <c r="F68" i="5"/>
  <c r="D68" i="5"/>
  <c r="B68" i="5"/>
  <c r="A68" i="5"/>
  <c r="V67" i="5"/>
  <c r="F67" i="5"/>
  <c r="D67" i="5"/>
  <c r="B67" i="5"/>
  <c r="A67" i="5"/>
  <c r="V66" i="5"/>
  <c r="F66" i="5"/>
  <c r="D66" i="5"/>
  <c r="B66" i="5"/>
  <c r="A66" i="5"/>
  <c r="V65" i="5"/>
  <c r="F65" i="5"/>
  <c r="D65" i="5"/>
  <c r="B65" i="5"/>
  <c r="A65" i="5"/>
  <c r="V64" i="5"/>
  <c r="F64" i="5"/>
  <c r="D64" i="5"/>
  <c r="B64" i="5"/>
  <c r="A64" i="5"/>
  <c r="V63" i="5"/>
  <c r="F63" i="5"/>
  <c r="D63" i="5"/>
  <c r="B63" i="5"/>
  <c r="A63" i="5"/>
  <c r="V62" i="5"/>
  <c r="F62" i="5"/>
  <c r="D62" i="5"/>
  <c r="B62" i="5"/>
  <c r="A62" i="5"/>
  <c r="V61" i="5"/>
  <c r="F61" i="5"/>
  <c r="D61" i="5"/>
  <c r="B61" i="5"/>
  <c r="A61" i="5"/>
  <c r="V60" i="5"/>
  <c r="F60" i="5"/>
  <c r="D60" i="5"/>
  <c r="B60" i="5"/>
  <c r="A60" i="5"/>
  <c r="V59" i="5"/>
  <c r="F59" i="5"/>
  <c r="D59" i="5"/>
  <c r="B59" i="5"/>
  <c r="A59" i="5"/>
  <c r="V58" i="5"/>
  <c r="F58" i="5"/>
  <c r="D58" i="5"/>
  <c r="B58" i="5"/>
  <c r="A58" i="5"/>
  <c r="V57" i="5"/>
  <c r="F57" i="5"/>
  <c r="D57" i="5"/>
  <c r="B57" i="5"/>
  <c r="A57" i="5"/>
  <c r="V56" i="5"/>
  <c r="F56" i="5"/>
  <c r="D56" i="5"/>
  <c r="B56" i="5"/>
  <c r="A56" i="5"/>
  <c r="V55" i="5"/>
  <c r="F55" i="5"/>
  <c r="D55" i="5"/>
  <c r="B55" i="5"/>
  <c r="A55" i="5"/>
  <c r="V54" i="5"/>
  <c r="F54" i="5"/>
  <c r="D54" i="5"/>
  <c r="B54" i="5"/>
  <c r="A54" i="5"/>
  <c r="V53" i="5"/>
  <c r="F53" i="5"/>
  <c r="D53" i="5"/>
  <c r="B53" i="5"/>
  <c r="A53" i="5"/>
  <c r="V52" i="5"/>
  <c r="F52" i="5"/>
  <c r="D52" i="5"/>
  <c r="B52" i="5"/>
  <c r="A52" i="5"/>
  <c r="V51" i="5"/>
  <c r="F51" i="5"/>
  <c r="D51" i="5"/>
  <c r="B51" i="5"/>
  <c r="A51" i="5"/>
  <c r="V50" i="5"/>
  <c r="F50" i="5"/>
  <c r="D50" i="5"/>
  <c r="B50" i="5"/>
  <c r="A50" i="5"/>
  <c r="V49" i="5"/>
  <c r="F49" i="5"/>
  <c r="D49" i="5"/>
  <c r="B49" i="5"/>
  <c r="A49" i="5"/>
  <c r="V48" i="5"/>
  <c r="F48" i="5"/>
  <c r="D48" i="5"/>
  <c r="B48" i="5"/>
  <c r="A48" i="5"/>
  <c r="V47" i="5"/>
  <c r="F47" i="5"/>
  <c r="D47" i="5"/>
  <c r="B47" i="5"/>
  <c r="A47" i="5"/>
  <c r="V46" i="5"/>
  <c r="F46" i="5"/>
  <c r="D46" i="5"/>
  <c r="B46" i="5"/>
  <c r="A46" i="5"/>
  <c r="V45" i="5"/>
  <c r="F45" i="5"/>
  <c r="D45" i="5"/>
  <c r="B45" i="5"/>
  <c r="A45" i="5"/>
  <c r="V44" i="5"/>
  <c r="F44" i="5"/>
  <c r="D44" i="5"/>
  <c r="B44" i="5"/>
  <c r="A44" i="5"/>
  <c r="V43" i="5"/>
  <c r="F43" i="5"/>
  <c r="D43" i="5"/>
  <c r="B43" i="5"/>
  <c r="A43" i="5"/>
  <c r="V42" i="5"/>
  <c r="F42" i="5"/>
  <c r="D42" i="5"/>
  <c r="B42" i="5"/>
  <c r="A42" i="5"/>
  <c r="V41" i="5"/>
  <c r="F41" i="5"/>
  <c r="D41" i="5"/>
  <c r="B41" i="5"/>
  <c r="A41" i="5"/>
  <c r="V40" i="5"/>
  <c r="F40" i="5"/>
  <c r="D40" i="5"/>
  <c r="B40" i="5"/>
  <c r="A40" i="5"/>
  <c r="V39" i="5"/>
  <c r="F39" i="5"/>
  <c r="D39" i="5"/>
  <c r="B39" i="5"/>
  <c r="A39" i="5"/>
  <c r="V38" i="5"/>
  <c r="F38" i="5"/>
  <c r="D38" i="5"/>
  <c r="B38" i="5"/>
  <c r="A38" i="5"/>
  <c r="V37" i="5"/>
  <c r="F37" i="5"/>
  <c r="D37" i="5"/>
  <c r="B37" i="5"/>
  <c r="A37" i="5"/>
  <c r="V36" i="5"/>
  <c r="F36" i="5"/>
  <c r="D36" i="5"/>
  <c r="B36" i="5"/>
  <c r="A36" i="5"/>
  <c r="V35" i="5"/>
  <c r="F35" i="5"/>
  <c r="D35" i="5"/>
  <c r="B35" i="5"/>
  <c r="A35" i="5"/>
  <c r="V34" i="5"/>
  <c r="F34" i="5"/>
  <c r="D34" i="5"/>
  <c r="B34" i="5"/>
  <c r="A34" i="5"/>
  <c r="V33" i="5"/>
  <c r="F33" i="5"/>
  <c r="D33" i="5"/>
  <c r="B33" i="5"/>
  <c r="A33" i="5"/>
  <c r="V32" i="5"/>
  <c r="F32" i="5"/>
  <c r="D32" i="5"/>
  <c r="B32" i="5"/>
  <c r="A32" i="5"/>
  <c r="V31" i="5"/>
  <c r="F31" i="5"/>
  <c r="D31" i="5"/>
  <c r="B31" i="5"/>
  <c r="A31" i="5"/>
  <c r="V30" i="5"/>
  <c r="F30" i="5"/>
  <c r="D30" i="5"/>
  <c r="B30" i="5"/>
  <c r="A30" i="5"/>
  <c r="V29" i="5"/>
  <c r="F29" i="5"/>
  <c r="D29" i="5"/>
  <c r="B29" i="5"/>
  <c r="A29" i="5"/>
  <c r="V28" i="5"/>
  <c r="F28" i="5"/>
  <c r="D28" i="5"/>
  <c r="B28" i="5"/>
  <c r="A28" i="5"/>
  <c r="V27" i="5"/>
  <c r="F27" i="5"/>
  <c r="D27" i="5"/>
  <c r="B27" i="5"/>
  <c r="A27" i="5"/>
  <c r="V26" i="5"/>
  <c r="F26" i="5"/>
  <c r="D26" i="5"/>
  <c r="B26" i="5"/>
  <c r="A26" i="5"/>
  <c r="V25" i="5"/>
  <c r="F25" i="5"/>
  <c r="D25" i="5"/>
  <c r="B25" i="5"/>
  <c r="A25" i="5"/>
  <c r="V24" i="5"/>
  <c r="F24" i="5"/>
  <c r="D24" i="5"/>
  <c r="B24" i="5"/>
  <c r="A24" i="5"/>
  <c r="V23" i="5"/>
  <c r="F23" i="5"/>
  <c r="D23" i="5"/>
  <c r="B23" i="5"/>
  <c r="A23" i="5"/>
  <c r="V22" i="5"/>
  <c r="F22" i="5"/>
  <c r="D22" i="5"/>
  <c r="B22" i="5"/>
  <c r="A22" i="5"/>
  <c r="V21" i="5"/>
  <c r="F21" i="5"/>
  <c r="D21" i="5"/>
  <c r="B21" i="5"/>
  <c r="A21" i="5"/>
  <c r="V20" i="5"/>
  <c r="F20" i="5"/>
  <c r="D20" i="5"/>
  <c r="B20" i="5"/>
  <c r="A20" i="5"/>
  <c r="V19" i="5"/>
  <c r="F19" i="5"/>
  <c r="D19" i="5"/>
  <c r="B19" i="5"/>
  <c r="A19" i="5"/>
  <c r="V18" i="5"/>
  <c r="F18" i="5"/>
  <c r="D18" i="5"/>
  <c r="B18" i="5"/>
  <c r="A18" i="5"/>
  <c r="V17" i="5"/>
  <c r="F17" i="5"/>
  <c r="D17" i="5"/>
  <c r="B17" i="5"/>
  <c r="A17" i="5"/>
  <c r="V16" i="5"/>
  <c r="F16" i="5"/>
  <c r="D16" i="5"/>
  <c r="B16" i="5"/>
  <c r="A16" i="5"/>
  <c r="V15" i="5"/>
  <c r="F15" i="5"/>
  <c r="D15" i="5"/>
  <c r="B15" i="5"/>
  <c r="A15" i="5"/>
  <c r="V14" i="5"/>
  <c r="F14" i="5"/>
  <c r="D14" i="5"/>
  <c r="B14" i="5"/>
  <c r="A14" i="5"/>
  <c r="AO9" i="5"/>
  <c r="U9" i="5"/>
  <c r="L9" i="5"/>
  <c r="AO8" i="5"/>
  <c r="AO7" i="5"/>
  <c r="L7" i="5"/>
  <c r="AO6" i="5"/>
  <c r="L6" i="5"/>
  <c r="AO5" i="5"/>
  <c r="L5" i="5"/>
  <c r="A3" i="5"/>
  <c r="A2" i="5"/>
  <c r="A1614" i="4"/>
  <c r="A1613" i="4"/>
  <c r="A1612" i="4"/>
  <c r="A1611" i="4"/>
  <c r="A1610" i="4"/>
  <c r="A1609" i="4"/>
  <c r="A1608" i="4"/>
  <c r="A1607" i="4"/>
  <c r="A1606" i="4"/>
  <c r="A1605" i="4"/>
  <c r="A1604" i="4"/>
  <c r="A1603" i="4"/>
  <c r="A1602" i="4"/>
  <c r="A1601" i="4"/>
  <c r="A1600" i="4"/>
  <c r="A1599" i="4"/>
  <c r="A1598" i="4"/>
  <c r="A1597" i="4"/>
  <c r="A1596" i="4"/>
  <c r="A1595" i="4"/>
  <c r="A1594" i="4"/>
  <c r="A1593" i="4"/>
  <c r="A1592" i="4"/>
  <c r="A1591" i="4"/>
  <c r="A1590" i="4"/>
  <c r="A1589" i="4"/>
  <c r="A1588" i="4"/>
  <c r="A1587" i="4"/>
  <c r="A1586" i="4"/>
  <c r="A1585" i="4"/>
  <c r="A1584" i="4"/>
  <c r="A1583" i="4"/>
  <c r="A1582" i="4"/>
  <c r="A1581" i="4"/>
  <c r="A1580" i="4"/>
  <c r="A1579" i="4"/>
  <c r="A1578" i="4"/>
  <c r="A1577" i="4"/>
  <c r="A1576" i="4"/>
  <c r="A1575" i="4"/>
  <c r="A1574" i="4"/>
  <c r="A1573" i="4"/>
  <c r="A1572" i="4"/>
  <c r="A1571" i="4"/>
  <c r="A1570" i="4"/>
  <c r="A1569" i="4"/>
  <c r="A1568" i="4"/>
  <c r="A1567" i="4"/>
  <c r="A1566" i="4"/>
  <c r="A1565" i="4"/>
  <c r="A1564" i="4"/>
  <c r="A1563" i="4"/>
  <c r="A1562" i="4"/>
  <c r="A1561" i="4"/>
  <c r="A1560" i="4"/>
  <c r="A1559" i="4"/>
  <c r="A1558" i="4"/>
  <c r="A1557" i="4"/>
  <c r="A1556" i="4"/>
  <c r="A1555" i="4"/>
  <c r="A1554" i="4"/>
  <c r="A1553" i="4"/>
  <c r="A1552" i="4"/>
  <c r="A1551" i="4"/>
  <c r="A1550" i="4"/>
  <c r="A1549" i="4"/>
  <c r="A1548" i="4"/>
  <c r="A1547" i="4"/>
  <c r="A1546" i="4"/>
  <c r="A1545" i="4"/>
  <c r="A1544" i="4"/>
  <c r="A1543" i="4"/>
  <c r="A1542" i="4"/>
  <c r="A1541" i="4"/>
  <c r="A1540" i="4"/>
  <c r="A1539" i="4"/>
  <c r="A1538" i="4"/>
  <c r="A1537" i="4"/>
  <c r="A1536" i="4"/>
  <c r="A1535" i="4"/>
  <c r="A1534" i="4"/>
  <c r="A1533" i="4"/>
  <c r="A1532" i="4"/>
  <c r="A1531" i="4"/>
  <c r="A1530" i="4"/>
  <c r="A1529" i="4"/>
  <c r="A1528" i="4"/>
  <c r="A1527" i="4"/>
  <c r="A1526" i="4"/>
  <c r="A1525" i="4"/>
  <c r="A1524" i="4"/>
  <c r="A1523" i="4"/>
  <c r="A1522" i="4"/>
  <c r="A1521" i="4"/>
  <c r="A1520" i="4"/>
  <c r="A1519" i="4"/>
  <c r="A1518" i="4"/>
  <c r="A1517" i="4"/>
  <c r="A1516" i="4"/>
  <c r="A1515" i="4"/>
  <c r="A1514" i="4"/>
  <c r="A1513" i="4"/>
  <c r="A1512" i="4"/>
  <c r="A1511" i="4"/>
  <c r="A1510" i="4"/>
  <c r="A1509" i="4"/>
  <c r="A1508" i="4"/>
  <c r="A1507" i="4"/>
  <c r="A1506" i="4"/>
  <c r="A1505" i="4"/>
  <c r="A1504" i="4"/>
  <c r="A1503" i="4"/>
  <c r="A1502" i="4"/>
  <c r="A1501" i="4"/>
  <c r="A1500" i="4"/>
  <c r="A1499" i="4"/>
  <c r="A1498" i="4"/>
  <c r="A1497" i="4"/>
  <c r="A1496" i="4"/>
  <c r="A1495" i="4"/>
  <c r="A1494" i="4"/>
  <c r="A1493" i="4"/>
  <c r="A1492" i="4"/>
  <c r="A1491" i="4"/>
  <c r="A1490" i="4"/>
  <c r="A1489" i="4"/>
  <c r="A1488" i="4"/>
  <c r="A1487" i="4"/>
  <c r="A1486" i="4"/>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C10" i="4"/>
  <c r="R10" i="4"/>
  <c r="H10" i="4"/>
  <c r="AC9" i="4"/>
  <c r="AC8" i="4"/>
  <c r="H8" i="4"/>
  <c r="AC7" i="4"/>
  <c r="H7" i="4"/>
  <c r="AC6" i="4"/>
  <c r="H6" i="4"/>
  <c r="A3" i="4"/>
  <c r="A2" i="4"/>
  <c r="A1514" i="3"/>
  <c r="A1513" i="3"/>
  <c r="A1512" i="3"/>
  <c r="A1511" i="3"/>
  <c r="A1510" i="3"/>
  <c r="A1509" i="3"/>
  <c r="A1508" i="3"/>
  <c r="A1507" i="3"/>
  <c r="A1506" i="3"/>
  <c r="A1505" i="3"/>
  <c r="A1504" i="3"/>
  <c r="A1503" i="3"/>
  <c r="A1502" i="3"/>
  <c r="A1501" i="3"/>
  <c r="A1500" i="3"/>
  <c r="A1499" i="3"/>
  <c r="A1498" i="3"/>
  <c r="A1497" i="3"/>
  <c r="A1496" i="3"/>
  <c r="A1495" i="3"/>
  <c r="A1494" i="3"/>
  <c r="A1493" i="3"/>
  <c r="A1492" i="3"/>
  <c r="A1491" i="3"/>
  <c r="A1490" i="3"/>
  <c r="A1489" i="3"/>
  <c r="A1488" i="3"/>
  <c r="A1487" i="3"/>
  <c r="A1486" i="3"/>
  <c r="A1485" i="3"/>
  <c r="A1484" i="3"/>
  <c r="A1483" i="3"/>
  <c r="A1482" i="3"/>
  <c r="A1481" i="3"/>
  <c r="A1480" i="3"/>
  <c r="A1479" i="3"/>
  <c r="A1478" i="3"/>
  <c r="A1477" i="3"/>
  <c r="A1476" i="3"/>
  <c r="A1475" i="3"/>
  <c r="A1474" i="3"/>
  <c r="A1473" i="3"/>
  <c r="A1472" i="3"/>
  <c r="A1471" i="3"/>
  <c r="A1470" i="3"/>
  <c r="A1469" i="3"/>
  <c r="A1468" i="3"/>
  <c r="A1467" i="3"/>
  <c r="A1466" i="3"/>
  <c r="A1465" i="3"/>
  <c r="A1464" i="3"/>
  <c r="A1463" i="3"/>
  <c r="A1462" i="3"/>
  <c r="A1461" i="3"/>
  <c r="A1460" i="3"/>
  <c r="A1459" i="3"/>
  <c r="A1458" i="3"/>
  <c r="A1457" i="3"/>
  <c r="A1456" i="3"/>
  <c r="A1455" i="3"/>
  <c r="A1454" i="3"/>
  <c r="A1453" i="3"/>
  <c r="A1452" i="3"/>
  <c r="A1451" i="3"/>
  <c r="A1450" i="3"/>
  <c r="A1449" i="3"/>
  <c r="A1448" i="3"/>
  <c r="A1447" i="3"/>
  <c r="A1446" i="3"/>
  <c r="A1445" i="3"/>
  <c r="A1444" i="3"/>
  <c r="A1443" i="3"/>
  <c r="A1442" i="3"/>
  <c r="A1441" i="3"/>
  <c r="A1440" i="3"/>
  <c r="A1439" i="3"/>
  <c r="A1438" i="3"/>
  <c r="A1437" i="3"/>
  <c r="A1436" i="3"/>
  <c r="A1435" i="3"/>
  <c r="A1434" i="3"/>
  <c r="A1433" i="3"/>
  <c r="A1432" i="3"/>
  <c r="A1431" i="3"/>
  <c r="A1430" i="3"/>
  <c r="A1429" i="3"/>
  <c r="A1428" i="3"/>
  <c r="A1427" i="3"/>
  <c r="A1426" i="3"/>
  <c r="A1425" i="3"/>
  <c r="A1424" i="3"/>
  <c r="A1423" i="3"/>
  <c r="A1422" i="3"/>
  <c r="A1421" i="3"/>
  <c r="A1420" i="3"/>
  <c r="A1419" i="3"/>
  <c r="A1418" i="3"/>
  <c r="A1417" i="3"/>
  <c r="A1416" i="3"/>
  <c r="A1415" i="3"/>
  <c r="A1414" i="3"/>
  <c r="A1413" i="3"/>
  <c r="A1412" i="3"/>
  <c r="A1411" i="3"/>
  <c r="A1410" i="3"/>
  <c r="A1409" i="3"/>
  <c r="A1408" i="3"/>
  <c r="A1407" i="3"/>
  <c r="A1406" i="3"/>
  <c r="A1405" i="3"/>
  <c r="A1404" i="3"/>
  <c r="A1403" i="3"/>
  <c r="A1402" i="3"/>
  <c r="A1401" i="3"/>
  <c r="A1400" i="3"/>
  <c r="A1399" i="3"/>
  <c r="A1398" i="3"/>
  <c r="A1397" i="3"/>
  <c r="A1396" i="3"/>
  <c r="A1395" i="3"/>
  <c r="A1394" i="3"/>
  <c r="A1393" i="3"/>
  <c r="A1392" i="3"/>
  <c r="A1391" i="3"/>
  <c r="A1390" i="3"/>
  <c r="A1389" i="3"/>
  <c r="A1388" i="3"/>
  <c r="A1387" i="3"/>
  <c r="A1386" i="3"/>
  <c r="A1385" i="3"/>
  <c r="A1384" i="3"/>
  <c r="A1383" i="3"/>
  <c r="A1382" i="3"/>
  <c r="A1381" i="3"/>
  <c r="A1380" i="3"/>
  <c r="A1379" i="3"/>
  <c r="A1378" i="3"/>
  <c r="A1377" i="3"/>
  <c r="A1376" i="3"/>
  <c r="A1375" i="3"/>
  <c r="A1374" i="3"/>
  <c r="A1373" i="3"/>
  <c r="A1372" i="3"/>
  <c r="A1371" i="3"/>
  <c r="A1370" i="3"/>
  <c r="A1369" i="3"/>
  <c r="A1368" i="3"/>
  <c r="A1367" i="3"/>
  <c r="A1366" i="3"/>
  <c r="A1365" i="3"/>
  <c r="A1364" i="3"/>
  <c r="A1363" i="3"/>
  <c r="A1362" i="3"/>
  <c r="A1361" i="3"/>
  <c r="A1360" i="3"/>
  <c r="A1359" i="3"/>
  <c r="A1358" i="3"/>
  <c r="A1357" i="3"/>
  <c r="A1356" i="3"/>
  <c r="A1355" i="3"/>
  <c r="A1354" i="3"/>
  <c r="A1353" i="3"/>
  <c r="A1352" i="3"/>
  <c r="A1351" i="3"/>
  <c r="A1350" i="3"/>
  <c r="A1349" i="3"/>
  <c r="A1348" i="3"/>
  <c r="A1347" i="3"/>
  <c r="A1346" i="3"/>
  <c r="A1345" i="3"/>
  <c r="A1344" i="3"/>
  <c r="A1343" i="3"/>
  <c r="A1342" i="3"/>
  <c r="A1341" i="3"/>
  <c r="A1340" i="3"/>
  <c r="A1339" i="3"/>
  <c r="A1338" i="3"/>
  <c r="A1337" i="3"/>
  <c r="A1336" i="3"/>
  <c r="A1335" i="3"/>
  <c r="A1334" i="3"/>
  <c r="A1333" i="3"/>
  <c r="A1332" i="3"/>
  <c r="A1331" i="3"/>
  <c r="A1330" i="3"/>
  <c r="A1329" i="3"/>
  <c r="A1328" i="3"/>
  <c r="A1327" i="3"/>
  <c r="A1326" i="3"/>
  <c r="A1325" i="3"/>
  <c r="A1324" i="3"/>
  <c r="A1323" i="3"/>
  <c r="A1322" i="3"/>
  <c r="A1321" i="3"/>
  <c r="A1320" i="3"/>
  <c r="A1319" i="3"/>
  <c r="A1318" i="3"/>
  <c r="A1317" i="3"/>
  <c r="A1316" i="3"/>
  <c r="A1315" i="3"/>
  <c r="A1314" i="3"/>
  <c r="A1313" i="3"/>
  <c r="A1312" i="3"/>
  <c r="A1311" i="3"/>
  <c r="A1310" i="3"/>
  <c r="A1309" i="3"/>
  <c r="A1308" i="3"/>
  <c r="A1307" i="3"/>
  <c r="A1306" i="3"/>
  <c r="A1305" i="3"/>
  <c r="A1304" i="3"/>
  <c r="A1303" i="3"/>
  <c r="A1302" i="3"/>
  <c r="A1301" i="3"/>
  <c r="A1300" i="3"/>
  <c r="A1299" i="3"/>
  <c r="A1298" i="3"/>
  <c r="A1297" i="3"/>
  <c r="A1296" i="3"/>
  <c r="A1295" i="3"/>
  <c r="A1294" i="3"/>
  <c r="A1293" i="3"/>
  <c r="A1292" i="3"/>
  <c r="A1291" i="3"/>
  <c r="A1290" i="3"/>
  <c r="A1289" i="3"/>
  <c r="A1288" i="3"/>
  <c r="A1287" i="3"/>
  <c r="A1286" i="3"/>
  <c r="A1285" i="3"/>
  <c r="A1284" i="3"/>
  <c r="A1283" i="3"/>
  <c r="A1282" i="3"/>
  <c r="A1281" i="3"/>
  <c r="A1280" i="3"/>
  <c r="A1279" i="3"/>
  <c r="A1278" i="3"/>
  <c r="A1277" i="3"/>
  <c r="A1276" i="3"/>
  <c r="A1275" i="3"/>
  <c r="A1274" i="3"/>
  <c r="A1273" i="3"/>
  <c r="A1272" i="3"/>
  <c r="A1271" i="3"/>
  <c r="A1270" i="3"/>
  <c r="A1269" i="3"/>
  <c r="A1268" i="3"/>
  <c r="A1267" i="3"/>
  <c r="A1266" i="3"/>
  <c r="A1265" i="3"/>
  <c r="A1264" i="3"/>
  <c r="A1263" i="3"/>
  <c r="A1262" i="3"/>
  <c r="A1261" i="3"/>
  <c r="A1260" i="3"/>
  <c r="A1259" i="3"/>
  <c r="A1258" i="3"/>
  <c r="A1257" i="3"/>
  <c r="A1256" i="3"/>
  <c r="A1255" i="3"/>
  <c r="A1254" i="3"/>
  <c r="A1253" i="3"/>
  <c r="A1252" i="3"/>
  <c r="A1251" i="3"/>
  <c r="A1250" i="3"/>
  <c r="A1249" i="3"/>
  <c r="A1248" i="3"/>
  <c r="A1247" i="3"/>
  <c r="A1246" i="3"/>
  <c r="A1245" i="3"/>
  <c r="A1244" i="3"/>
  <c r="A1243" i="3"/>
  <c r="A1242" i="3"/>
  <c r="A1241" i="3"/>
  <c r="A1240" i="3"/>
  <c r="A1239" i="3"/>
  <c r="A1238" i="3"/>
  <c r="A1237" i="3"/>
  <c r="A1236" i="3"/>
  <c r="A1235" i="3"/>
  <c r="A1234" i="3"/>
  <c r="A1233" i="3"/>
  <c r="A1232" i="3"/>
  <c r="A1231" i="3"/>
  <c r="A1230" i="3"/>
  <c r="A1229" i="3"/>
  <c r="A1228" i="3"/>
  <c r="A1227" i="3"/>
  <c r="A1226" i="3"/>
  <c r="A1225" i="3"/>
  <c r="A1224" i="3"/>
  <c r="A1223" i="3"/>
  <c r="A1222" i="3"/>
  <c r="A1221" i="3"/>
  <c r="A1220" i="3"/>
  <c r="A1219" i="3"/>
  <c r="A1218" i="3"/>
  <c r="A1217" i="3"/>
  <c r="A1216" i="3"/>
  <c r="A1215" i="3"/>
  <c r="A1214" i="3"/>
  <c r="A1213" i="3"/>
  <c r="A1212" i="3"/>
  <c r="A1211" i="3"/>
  <c r="A1210" i="3"/>
  <c r="A1209" i="3"/>
  <c r="A1208" i="3"/>
  <c r="A1207" i="3"/>
  <c r="A1206" i="3"/>
  <c r="A1205" i="3"/>
  <c r="A1204" i="3"/>
  <c r="A1203" i="3"/>
  <c r="A1202" i="3"/>
  <c r="A1201" i="3"/>
  <c r="A1200" i="3"/>
  <c r="A1199" i="3"/>
  <c r="A1198" i="3"/>
  <c r="A1197" i="3"/>
  <c r="A1196" i="3"/>
  <c r="A1195" i="3"/>
  <c r="A1194" i="3"/>
  <c r="A1193" i="3"/>
  <c r="A1192" i="3"/>
  <c r="A1191" i="3"/>
  <c r="A1190" i="3"/>
  <c r="A1189" i="3"/>
  <c r="A1188" i="3"/>
  <c r="A1187" i="3"/>
  <c r="A1186" i="3"/>
  <c r="A1185" i="3"/>
  <c r="A1184" i="3"/>
  <c r="A1183" i="3"/>
  <c r="A1182" i="3"/>
  <c r="A1181" i="3"/>
  <c r="A1180" i="3"/>
  <c r="A1179" i="3"/>
  <c r="A1178" i="3"/>
  <c r="A1177" i="3"/>
  <c r="A1176" i="3"/>
  <c r="A1175" i="3"/>
  <c r="A1174" i="3"/>
  <c r="A1173" i="3"/>
  <c r="A1172" i="3"/>
  <c r="A1171" i="3"/>
  <c r="A1170" i="3"/>
  <c r="A1169" i="3"/>
  <c r="A1168" i="3"/>
  <c r="A1167" i="3"/>
  <c r="A1166" i="3"/>
  <c r="A1165" i="3"/>
  <c r="A1164" i="3"/>
  <c r="A1163" i="3"/>
  <c r="A1162" i="3"/>
  <c r="A1161" i="3"/>
  <c r="A1160" i="3"/>
  <c r="A1159" i="3"/>
  <c r="A1158" i="3"/>
  <c r="A1157" i="3"/>
  <c r="A1156" i="3"/>
  <c r="A1155" i="3"/>
  <c r="A1154" i="3"/>
  <c r="A1153" i="3"/>
  <c r="A1152" i="3"/>
  <c r="A1151" i="3"/>
  <c r="A1150" i="3"/>
  <c r="A1149" i="3"/>
  <c r="A1148" i="3"/>
  <c r="A1147" i="3"/>
  <c r="A1146" i="3"/>
  <c r="A1145" i="3"/>
  <c r="A1144" i="3"/>
  <c r="A1143" i="3"/>
  <c r="A1142" i="3"/>
  <c r="A1141" i="3"/>
  <c r="A1140" i="3"/>
  <c r="A1139" i="3"/>
  <c r="A1138" i="3"/>
  <c r="A1137" i="3"/>
  <c r="A1136" i="3"/>
  <c r="A1135" i="3"/>
  <c r="A1134" i="3"/>
  <c r="A1133" i="3"/>
  <c r="A1132" i="3"/>
  <c r="A1131" i="3"/>
  <c r="A1130" i="3"/>
  <c r="A1129" i="3"/>
  <c r="A1128" i="3"/>
  <c r="A1127" i="3"/>
  <c r="A1126" i="3"/>
  <c r="A1125" i="3"/>
  <c r="A1124" i="3"/>
  <c r="A1123" i="3"/>
  <c r="A1122" i="3"/>
  <c r="A1121" i="3"/>
  <c r="A1120" i="3"/>
  <c r="A1119" i="3"/>
  <c r="A1118" i="3"/>
  <c r="A1117" i="3"/>
  <c r="A1116" i="3"/>
  <c r="A1115" i="3"/>
  <c r="A1114" i="3"/>
  <c r="A1113" i="3"/>
  <c r="A1112" i="3"/>
  <c r="A1111" i="3"/>
  <c r="A1110" i="3"/>
  <c r="A1109" i="3"/>
  <c r="A1108" i="3"/>
  <c r="A1107" i="3"/>
  <c r="A1106" i="3"/>
  <c r="A1105" i="3"/>
  <c r="A1104" i="3"/>
  <c r="A1103" i="3"/>
  <c r="A1102" i="3"/>
  <c r="A1101" i="3"/>
  <c r="A1100" i="3"/>
  <c r="A1099" i="3"/>
  <c r="A1098" i="3"/>
  <c r="A1097" i="3"/>
  <c r="A1096" i="3"/>
  <c r="A1095" i="3"/>
  <c r="A1094" i="3"/>
  <c r="A1093" i="3"/>
  <c r="A1092" i="3"/>
  <c r="A1091" i="3"/>
  <c r="A1090" i="3"/>
  <c r="A1089" i="3"/>
  <c r="A1088" i="3"/>
  <c r="A1087" i="3"/>
  <c r="A1086" i="3"/>
  <c r="A1085" i="3"/>
  <c r="A1084" i="3"/>
  <c r="A1083" i="3"/>
  <c r="A1082" i="3"/>
  <c r="A1081" i="3"/>
  <c r="A1080" i="3"/>
  <c r="A1079" i="3"/>
  <c r="A1078" i="3"/>
  <c r="A1077" i="3"/>
  <c r="A1076" i="3"/>
  <c r="A1075" i="3"/>
  <c r="A1074" i="3"/>
  <c r="A1073" i="3"/>
  <c r="A1072" i="3"/>
  <c r="A1071" i="3"/>
  <c r="A1070" i="3"/>
  <c r="A1069" i="3"/>
  <c r="A1068" i="3"/>
  <c r="A1067" i="3"/>
  <c r="A1066" i="3"/>
  <c r="A1065" i="3"/>
  <c r="A1064" i="3"/>
  <c r="A1063" i="3"/>
  <c r="A1062" i="3"/>
  <c r="A1061" i="3"/>
  <c r="A1060" i="3"/>
  <c r="A1059" i="3"/>
  <c r="A1058" i="3"/>
  <c r="A1057" i="3"/>
  <c r="A1056" i="3"/>
  <c r="A1055" i="3"/>
  <c r="A1054" i="3"/>
  <c r="A1053" i="3"/>
  <c r="A1052" i="3"/>
  <c r="A1051" i="3"/>
  <c r="A1050" i="3"/>
  <c r="A1049" i="3"/>
  <c r="A1048" i="3"/>
  <c r="A1047" i="3"/>
  <c r="A1046" i="3"/>
  <c r="A1045" i="3"/>
  <c r="A1044" i="3"/>
  <c r="A1043" i="3"/>
  <c r="A1042" i="3"/>
  <c r="A1041" i="3"/>
  <c r="A1040" i="3"/>
  <c r="A1039" i="3"/>
  <c r="A1038" i="3"/>
  <c r="A1037" i="3"/>
  <c r="A1036" i="3"/>
  <c r="A1035" i="3"/>
  <c r="A1034" i="3"/>
  <c r="A1033" i="3"/>
  <c r="A1032" i="3"/>
  <c r="A1031" i="3"/>
  <c r="A1030" i="3"/>
  <c r="A1029" i="3"/>
  <c r="A1028" i="3"/>
  <c r="A1027" i="3"/>
  <c r="A1026" i="3"/>
  <c r="A1025" i="3"/>
  <c r="A1024" i="3"/>
  <c r="A1023" i="3"/>
  <c r="A1022" i="3"/>
  <c r="A1021" i="3"/>
  <c r="A1020" i="3"/>
  <c r="A1019" i="3"/>
  <c r="A1018" i="3"/>
  <c r="A1017" i="3"/>
  <c r="A1016" i="3"/>
  <c r="A1015" i="3"/>
  <c r="A1014" i="3"/>
  <c r="A1013" i="3"/>
  <c r="A1012" i="3"/>
  <c r="A1011" i="3"/>
  <c r="A1010" i="3"/>
  <c r="A1009" i="3"/>
  <c r="A1008" i="3"/>
  <c r="A1007" i="3"/>
  <c r="A1006" i="3"/>
  <c r="A1005" i="3"/>
  <c r="A1004" i="3"/>
  <c r="A1003" i="3"/>
  <c r="A1002" i="3"/>
  <c r="A1001" i="3"/>
  <c r="A1000" i="3"/>
  <c r="A999" i="3"/>
  <c r="A998" i="3"/>
  <c r="A997" i="3"/>
  <c r="A996" i="3"/>
  <c r="A995" i="3"/>
  <c r="A994" i="3"/>
  <c r="A993" i="3"/>
  <c r="A992" i="3"/>
  <c r="A991" i="3"/>
  <c r="A990" i="3"/>
  <c r="A989" i="3"/>
  <c r="A988" i="3"/>
  <c r="A987" i="3"/>
  <c r="A986" i="3"/>
  <c r="A985" i="3"/>
  <c r="A984" i="3"/>
  <c r="A983" i="3"/>
  <c r="A982" i="3"/>
  <c r="A981" i="3"/>
  <c r="A980" i="3"/>
  <c r="A979" i="3"/>
  <c r="A978" i="3"/>
  <c r="A977" i="3"/>
  <c r="A976" i="3"/>
  <c r="A975" i="3"/>
  <c r="A974" i="3"/>
  <c r="A973" i="3"/>
  <c r="A972" i="3"/>
  <c r="A971" i="3"/>
  <c r="A970" i="3"/>
  <c r="A969" i="3"/>
  <c r="A968" i="3"/>
  <c r="A967" i="3"/>
  <c r="A966" i="3"/>
  <c r="A965" i="3"/>
  <c r="A964" i="3"/>
  <c r="A963" i="3"/>
  <c r="A962" i="3"/>
  <c r="A961" i="3"/>
  <c r="A960" i="3"/>
  <c r="A959" i="3"/>
  <c r="A958" i="3"/>
  <c r="A957" i="3"/>
  <c r="A956" i="3"/>
  <c r="A955" i="3"/>
  <c r="A954" i="3"/>
  <c r="A953" i="3"/>
  <c r="A952" i="3"/>
  <c r="A951" i="3"/>
  <c r="A950" i="3"/>
  <c r="A949" i="3"/>
  <c r="A948" i="3"/>
  <c r="A947" i="3"/>
  <c r="A946" i="3"/>
  <c r="A945" i="3"/>
  <c r="A944" i="3"/>
  <c r="A943" i="3"/>
  <c r="A942" i="3"/>
  <c r="A941" i="3"/>
  <c r="A940" i="3"/>
  <c r="A939" i="3"/>
  <c r="A938" i="3"/>
  <c r="A937" i="3"/>
  <c r="A936" i="3"/>
  <c r="A935" i="3"/>
  <c r="A934" i="3"/>
  <c r="A933" i="3"/>
  <c r="A932" i="3"/>
  <c r="A931" i="3"/>
  <c r="A930" i="3"/>
  <c r="A929" i="3"/>
  <c r="A928" i="3"/>
  <c r="A927" i="3"/>
  <c r="A926" i="3"/>
  <c r="A925" i="3"/>
  <c r="A924" i="3"/>
  <c r="A923" i="3"/>
  <c r="A922" i="3"/>
  <c r="A921" i="3"/>
  <c r="A920" i="3"/>
  <c r="A919" i="3"/>
  <c r="A918" i="3"/>
  <c r="A917" i="3"/>
  <c r="A916" i="3"/>
  <c r="A915" i="3"/>
  <c r="A914" i="3"/>
  <c r="A913" i="3"/>
  <c r="A912" i="3"/>
  <c r="A911" i="3"/>
  <c r="A910" i="3"/>
  <c r="A909" i="3"/>
  <c r="A908" i="3"/>
  <c r="A907" i="3"/>
  <c r="A906" i="3"/>
  <c r="A905" i="3"/>
  <c r="A904" i="3"/>
  <c r="A903" i="3"/>
  <c r="A902" i="3"/>
  <c r="A901" i="3"/>
  <c r="A900" i="3"/>
  <c r="A899" i="3"/>
  <c r="A898" i="3"/>
  <c r="A897" i="3"/>
  <c r="A896" i="3"/>
  <c r="A895" i="3"/>
  <c r="A894" i="3"/>
  <c r="A893" i="3"/>
  <c r="A892" i="3"/>
  <c r="A891" i="3"/>
  <c r="A890" i="3"/>
  <c r="A889" i="3"/>
  <c r="A888" i="3"/>
  <c r="A887" i="3"/>
  <c r="A886" i="3"/>
  <c r="A885" i="3"/>
  <c r="A884" i="3"/>
  <c r="A883" i="3"/>
  <c r="A882" i="3"/>
  <c r="A881" i="3"/>
  <c r="A880" i="3"/>
  <c r="A879" i="3"/>
  <c r="A878" i="3"/>
  <c r="A877" i="3"/>
  <c r="A876" i="3"/>
  <c r="A875" i="3"/>
  <c r="A874" i="3"/>
  <c r="A873" i="3"/>
  <c r="A872" i="3"/>
  <c r="A871" i="3"/>
  <c r="A870" i="3"/>
  <c r="A869" i="3"/>
  <c r="A868" i="3"/>
  <c r="A867" i="3"/>
  <c r="A866" i="3"/>
  <c r="A865" i="3"/>
  <c r="A864" i="3"/>
  <c r="A863" i="3"/>
  <c r="A862" i="3"/>
  <c r="A861" i="3"/>
  <c r="A860" i="3"/>
  <c r="A859" i="3"/>
  <c r="A858" i="3"/>
  <c r="A857" i="3"/>
  <c r="A856" i="3"/>
  <c r="A855" i="3"/>
  <c r="A854" i="3"/>
  <c r="A853" i="3"/>
  <c r="A852" i="3"/>
  <c r="A851" i="3"/>
  <c r="A850" i="3"/>
  <c r="A849" i="3"/>
  <c r="A848" i="3"/>
  <c r="A847" i="3"/>
  <c r="A846" i="3"/>
  <c r="A845" i="3"/>
  <c r="A844" i="3"/>
  <c r="A843" i="3"/>
  <c r="A842" i="3"/>
  <c r="A841" i="3"/>
  <c r="A840" i="3"/>
  <c r="A839" i="3"/>
  <c r="A838" i="3"/>
  <c r="A837" i="3"/>
  <c r="A836" i="3"/>
  <c r="A835" i="3"/>
  <c r="A834" i="3"/>
  <c r="A833" i="3"/>
  <c r="A832" i="3"/>
  <c r="A831" i="3"/>
  <c r="A830" i="3"/>
  <c r="A829" i="3"/>
  <c r="A828" i="3"/>
  <c r="A827" i="3"/>
  <c r="A826" i="3"/>
  <c r="A825" i="3"/>
  <c r="A824" i="3"/>
  <c r="A823" i="3"/>
  <c r="A822" i="3"/>
  <c r="A821" i="3"/>
  <c r="A820" i="3"/>
  <c r="A819" i="3"/>
  <c r="A818" i="3"/>
  <c r="A817" i="3"/>
  <c r="A816" i="3"/>
  <c r="A815" i="3"/>
  <c r="A814" i="3"/>
  <c r="A813" i="3"/>
  <c r="A812" i="3"/>
  <c r="A811" i="3"/>
  <c r="A810" i="3"/>
  <c r="A809" i="3"/>
  <c r="A808" i="3"/>
  <c r="A807" i="3"/>
  <c r="A806" i="3"/>
  <c r="A805" i="3"/>
  <c r="A804" i="3"/>
  <c r="A803" i="3"/>
  <c r="A802" i="3"/>
  <c r="A801" i="3"/>
  <c r="A800" i="3"/>
  <c r="A799" i="3"/>
  <c r="A798" i="3"/>
  <c r="A797" i="3"/>
  <c r="A796" i="3"/>
  <c r="A795" i="3"/>
  <c r="A794" i="3"/>
  <c r="A793" i="3"/>
  <c r="A792" i="3"/>
  <c r="A791" i="3"/>
  <c r="A790" i="3"/>
  <c r="A789" i="3"/>
  <c r="A788" i="3"/>
  <c r="A787" i="3"/>
  <c r="A786" i="3"/>
  <c r="A785" i="3"/>
  <c r="A784" i="3"/>
  <c r="A783" i="3"/>
  <c r="A782" i="3"/>
  <c r="A781" i="3"/>
  <c r="A780" i="3"/>
  <c r="A779" i="3"/>
  <c r="A778" i="3"/>
  <c r="A777" i="3"/>
  <c r="A776" i="3"/>
  <c r="A775" i="3"/>
  <c r="A774" i="3"/>
  <c r="A773" i="3"/>
  <c r="A772" i="3"/>
  <c r="A771" i="3"/>
  <c r="A770" i="3"/>
  <c r="A769" i="3"/>
  <c r="A768" i="3"/>
  <c r="A767" i="3"/>
  <c r="A766" i="3"/>
  <c r="A765" i="3"/>
  <c r="A764" i="3"/>
  <c r="A763" i="3"/>
  <c r="A762" i="3"/>
  <c r="A761" i="3"/>
  <c r="A760" i="3"/>
  <c r="A759" i="3"/>
  <c r="A758" i="3"/>
  <c r="A757" i="3"/>
  <c r="A756" i="3"/>
  <c r="A755" i="3"/>
  <c r="A754" i="3"/>
  <c r="A753" i="3"/>
  <c r="A752" i="3"/>
  <c r="A751" i="3"/>
  <c r="A750" i="3"/>
  <c r="A749" i="3"/>
  <c r="A748" i="3"/>
  <c r="A747" i="3"/>
  <c r="A746" i="3"/>
  <c r="A745" i="3"/>
  <c r="A744" i="3"/>
  <c r="A743" i="3"/>
  <c r="A742" i="3"/>
  <c r="A741" i="3"/>
  <c r="A740" i="3"/>
  <c r="A739" i="3"/>
  <c r="A738" i="3"/>
  <c r="A737" i="3"/>
  <c r="A736" i="3"/>
  <c r="A735" i="3"/>
  <c r="A734" i="3"/>
  <c r="A733" i="3"/>
  <c r="A732" i="3"/>
  <c r="A731" i="3"/>
  <c r="A730" i="3"/>
  <c r="A729" i="3"/>
  <c r="A728" i="3"/>
  <c r="A727" i="3"/>
  <c r="A726" i="3"/>
  <c r="A725" i="3"/>
  <c r="A724" i="3"/>
  <c r="A723" i="3"/>
  <c r="A722" i="3"/>
  <c r="A721" i="3"/>
  <c r="A720" i="3"/>
  <c r="A719" i="3"/>
  <c r="A718" i="3"/>
  <c r="A717" i="3"/>
  <c r="A716" i="3"/>
  <c r="A715" i="3"/>
  <c r="A714" i="3"/>
  <c r="A713" i="3"/>
  <c r="A712" i="3"/>
  <c r="A711" i="3"/>
  <c r="A710" i="3"/>
  <c r="A709" i="3"/>
  <c r="A708" i="3"/>
  <c r="A707" i="3"/>
  <c r="A706" i="3"/>
  <c r="A705" i="3"/>
  <c r="A704" i="3"/>
  <c r="A703" i="3"/>
  <c r="A702" i="3"/>
  <c r="A701" i="3"/>
  <c r="A700" i="3"/>
  <c r="A699" i="3"/>
  <c r="A698" i="3"/>
  <c r="A697" i="3"/>
  <c r="A696" i="3"/>
  <c r="A695" i="3"/>
  <c r="A694" i="3"/>
  <c r="A693" i="3"/>
  <c r="A692" i="3"/>
  <c r="A691" i="3"/>
  <c r="A690" i="3"/>
  <c r="A689" i="3"/>
  <c r="A688" i="3"/>
  <c r="A687" i="3"/>
  <c r="A686" i="3"/>
  <c r="A685" i="3"/>
  <c r="A684" i="3"/>
  <c r="A683" i="3"/>
  <c r="A682" i="3"/>
  <c r="A681" i="3"/>
  <c r="A680" i="3"/>
  <c r="A679" i="3"/>
  <c r="A678" i="3"/>
  <c r="A677" i="3"/>
  <c r="A676" i="3"/>
  <c r="A675" i="3"/>
  <c r="A674" i="3"/>
  <c r="A673" i="3"/>
  <c r="A672" i="3"/>
  <c r="A671" i="3"/>
  <c r="A670" i="3"/>
  <c r="A669" i="3"/>
  <c r="A668" i="3"/>
  <c r="A667" i="3"/>
  <c r="A666" i="3"/>
  <c r="A665" i="3"/>
  <c r="A664" i="3"/>
  <c r="A663" i="3"/>
  <c r="A662" i="3"/>
  <c r="A661" i="3"/>
  <c r="A660" i="3"/>
  <c r="A659" i="3"/>
  <c r="A658" i="3"/>
  <c r="A657" i="3"/>
  <c r="A656" i="3"/>
  <c r="A655" i="3"/>
  <c r="A654" i="3"/>
  <c r="A653" i="3"/>
  <c r="A652" i="3"/>
  <c r="A651" i="3"/>
  <c r="A650" i="3"/>
  <c r="A649" i="3"/>
  <c r="A648" i="3"/>
  <c r="A647" i="3"/>
  <c r="A646" i="3"/>
  <c r="A645" i="3"/>
  <c r="A644" i="3"/>
  <c r="A643" i="3"/>
  <c r="A642" i="3"/>
  <c r="A641" i="3"/>
  <c r="A640" i="3"/>
  <c r="A639" i="3"/>
  <c r="A638" i="3"/>
  <c r="A637" i="3"/>
  <c r="A636" i="3"/>
  <c r="A635" i="3"/>
  <c r="A634" i="3"/>
  <c r="A633" i="3"/>
  <c r="A632" i="3"/>
  <c r="A631" i="3"/>
  <c r="A630" i="3"/>
  <c r="A629" i="3"/>
  <c r="A628" i="3"/>
  <c r="A627" i="3"/>
  <c r="A626" i="3"/>
  <c r="A625" i="3"/>
  <c r="A624" i="3"/>
  <c r="A623" i="3"/>
  <c r="A622" i="3"/>
  <c r="A621" i="3"/>
  <c r="A620" i="3"/>
  <c r="A619" i="3"/>
  <c r="A618" i="3"/>
  <c r="A617" i="3"/>
  <c r="A616" i="3"/>
  <c r="A615" i="3"/>
  <c r="A614" i="3"/>
  <c r="A613" i="3"/>
  <c r="A612" i="3"/>
  <c r="A611" i="3"/>
  <c r="A610" i="3"/>
  <c r="A609" i="3"/>
  <c r="A608" i="3"/>
  <c r="A607" i="3"/>
  <c r="A606" i="3"/>
  <c r="A605" i="3"/>
  <c r="A604" i="3"/>
  <c r="A603" i="3"/>
  <c r="A602" i="3"/>
  <c r="A601" i="3"/>
  <c r="A600" i="3"/>
  <c r="A599" i="3"/>
  <c r="A598" i="3"/>
  <c r="A597" i="3"/>
  <c r="A596" i="3"/>
  <c r="A595" i="3"/>
  <c r="A594" i="3"/>
  <c r="A593" i="3"/>
  <c r="A592" i="3"/>
  <c r="A591" i="3"/>
  <c r="A590" i="3"/>
  <c r="A589" i="3"/>
  <c r="A588" i="3"/>
  <c r="A587" i="3"/>
  <c r="A586" i="3"/>
  <c r="A585" i="3"/>
  <c r="A584" i="3"/>
  <c r="A583" i="3"/>
  <c r="A582" i="3"/>
  <c r="A581" i="3"/>
  <c r="A580" i="3"/>
  <c r="A579" i="3"/>
  <c r="A578" i="3"/>
  <c r="A577" i="3"/>
  <c r="A576" i="3"/>
  <c r="A575" i="3"/>
  <c r="A574" i="3"/>
  <c r="A573" i="3"/>
  <c r="A572" i="3"/>
  <c r="A571" i="3"/>
  <c r="A570" i="3"/>
  <c r="A569" i="3"/>
  <c r="A568" i="3"/>
  <c r="A567" i="3"/>
  <c r="A566" i="3"/>
  <c r="A565" i="3"/>
  <c r="A564" i="3"/>
  <c r="A563" i="3"/>
  <c r="A562" i="3"/>
  <c r="A561" i="3"/>
  <c r="A560" i="3"/>
  <c r="A559" i="3"/>
  <c r="A558" i="3"/>
  <c r="A557" i="3"/>
  <c r="A556" i="3"/>
  <c r="A555" i="3"/>
  <c r="A554" i="3"/>
  <c r="A553" i="3"/>
  <c r="A552" i="3"/>
  <c r="A551" i="3"/>
  <c r="A550" i="3"/>
  <c r="A549" i="3"/>
  <c r="A548" i="3"/>
  <c r="A547" i="3"/>
  <c r="A546" i="3"/>
  <c r="A545" i="3"/>
  <c r="A544" i="3"/>
  <c r="A543" i="3"/>
  <c r="A542" i="3"/>
  <c r="A541" i="3"/>
  <c r="A540" i="3"/>
  <c r="A539" i="3"/>
  <c r="A538" i="3"/>
  <c r="A537" i="3"/>
  <c r="A536" i="3"/>
  <c r="A535" i="3"/>
  <c r="A534" i="3"/>
  <c r="A533" i="3"/>
  <c r="A532" i="3"/>
  <c r="A531" i="3"/>
  <c r="A530" i="3"/>
  <c r="A529" i="3"/>
  <c r="A528" i="3"/>
  <c r="A527" i="3"/>
  <c r="A526" i="3"/>
  <c r="A525" i="3"/>
  <c r="A524" i="3"/>
  <c r="A523" i="3"/>
  <c r="A522" i="3"/>
  <c r="A521" i="3"/>
  <c r="A520" i="3"/>
  <c r="A519" i="3"/>
  <c r="A518" i="3"/>
  <c r="A517" i="3"/>
  <c r="A516" i="3"/>
  <c r="A515" i="3"/>
  <c r="A514" i="3"/>
  <c r="A513" i="3"/>
  <c r="A512" i="3"/>
  <c r="A511" i="3"/>
  <c r="A510" i="3"/>
  <c r="A509" i="3"/>
  <c r="A508" i="3"/>
  <c r="A507" i="3"/>
  <c r="A506" i="3"/>
  <c r="A505" i="3"/>
  <c r="A504" i="3"/>
  <c r="A503" i="3"/>
  <c r="A502" i="3"/>
  <c r="A501" i="3"/>
  <c r="A500" i="3"/>
  <c r="A499" i="3"/>
  <c r="A498" i="3"/>
  <c r="A497" i="3"/>
  <c r="A496" i="3"/>
  <c r="A495" i="3"/>
  <c r="A494" i="3"/>
  <c r="A493" i="3"/>
  <c r="A492" i="3"/>
  <c r="A491" i="3"/>
  <c r="A490" i="3"/>
  <c r="A489" i="3"/>
  <c r="A488" i="3"/>
  <c r="A487" i="3"/>
  <c r="A486" i="3"/>
  <c r="A485" i="3"/>
  <c r="A484" i="3"/>
  <c r="A483" i="3"/>
  <c r="A482" i="3"/>
  <c r="A481" i="3"/>
  <c r="A480" i="3"/>
  <c r="A479" i="3"/>
  <c r="A478" i="3"/>
  <c r="A477" i="3"/>
  <c r="A476" i="3"/>
  <c r="A475" i="3"/>
  <c r="A474" i="3"/>
  <c r="A473" i="3"/>
  <c r="A472" i="3"/>
  <c r="A471" i="3"/>
  <c r="A470" i="3"/>
  <c r="A469" i="3"/>
  <c r="A468" i="3"/>
  <c r="A467" i="3"/>
  <c r="A466" i="3"/>
  <c r="A465" i="3"/>
  <c r="A464" i="3"/>
  <c r="A463" i="3"/>
  <c r="A462" i="3"/>
  <c r="A461" i="3"/>
  <c r="A460" i="3"/>
  <c r="A459" i="3"/>
  <c r="A458" i="3"/>
  <c r="A457" i="3"/>
  <c r="A456" i="3"/>
  <c r="A455" i="3"/>
  <c r="A454" i="3"/>
  <c r="A453" i="3"/>
  <c r="A452" i="3"/>
  <c r="A451" i="3"/>
  <c r="A450" i="3"/>
  <c r="A449" i="3"/>
  <c r="A448" i="3"/>
  <c r="A447" i="3"/>
  <c r="A446" i="3"/>
  <c r="A445" i="3"/>
  <c r="A444" i="3"/>
  <c r="A443" i="3"/>
  <c r="A442" i="3"/>
  <c r="A441" i="3"/>
  <c r="A440" i="3"/>
  <c r="A439" i="3"/>
  <c r="A438" i="3"/>
  <c r="A437" i="3"/>
  <c r="A436" i="3"/>
  <c r="A435" i="3"/>
  <c r="A434" i="3"/>
  <c r="A433" i="3"/>
  <c r="A432" i="3"/>
  <c r="A431" i="3"/>
  <c r="A430" i="3"/>
  <c r="A429" i="3"/>
  <c r="A428" i="3"/>
  <c r="A427" i="3"/>
  <c r="A426" i="3"/>
  <c r="A425" i="3"/>
  <c r="A424" i="3"/>
  <c r="A423" i="3"/>
  <c r="A422" i="3"/>
  <c r="A421" i="3"/>
  <c r="A420" i="3"/>
  <c r="A419" i="3"/>
  <c r="A418" i="3"/>
  <c r="A417" i="3"/>
  <c r="A416" i="3"/>
  <c r="A415" i="3"/>
  <c r="A414" i="3"/>
  <c r="A413" i="3"/>
  <c r="A412" i="3"/>
  <c r="A411" i="3"/>
  <c r="A410" i="3"/>
  <c r="A409" i="3"/>
  <c r="A408" i="3"/>
  <c r="A407" i="3"/>
  <c r="A406" i="3"/>
  <c r="A405" i="3"/>
  <c r="A404" i="3"/>
  <c r="A403" i="3"/>
  <c r="A402" i="3"/>
  <c r="A401" i="3"/>
  <c r="A400" i="3"/>
  <c r="A399" i="3"/>
  <c r="A398" i="3"/>
  <c r="A397" i="3"/>
  <c r="A396" i="3"/>
  <c r="A395" i="3"/>
  <c r="A394" i="3"/>
  <c r="A393" i="3"/>
  <c r="A392" i="3"/>
  <c r="A391" i="3"/>
  <c r="A390" i="3"/>
  <c r="A389" i="3"/>
  <c r="A388" i="3"/>
  <c r="A387" i="3"/>
  <c r="A386" i="3"/>
  <c r="A385" i="3"/>
  <c r="A384" i="3"/>
  <c r="A383" i="3"/>
  <c r="A382" i="3"/>
  <c r="A381" i="3"/>
  <c r="A380" i="3"/>
  <c r="A379" i="3"/>
  <c r="A378" i="3"/>
  <c r="A377" i="3"/>
  <c r="A376" i="3"/>
  <c r="A375" i="3"/>
  <c r="A374" i="3"/>
  <c r="A373" i="3"/>
  <c r="A372" i="3"/>
  <c r="A371" i="3"/>
  <c r="A370" i="3"/>
  <c r="A369" i="3"/>
  <c r="A368" i="3"/>
  <c r="A367" i="3"/>
  <c r="A366" i="3"/>
  <c r="A365" i="3"/>
  <c r="A364" i="3"/>
  <c r="A363" i="3"/>
  <c r="A362" i="3"/>
  <c r="A361" i="3"/>
  <c r="A360" i="3"/>
  <c r="A359" i="3"/>
  <c r="A358" i="3"/>
  <c r="A357" i="3"/>
  <c r="A356" i="3"/>
  <c r="A355" i="3"/>
  <c r="A354" i="3"/>
  <c r="A353" i="3"/>
  <c r="A352" i="3"/>
  <c r="A351" i="3"/>
  <c r="A350" i="3"/>
  <c r="A349" i="3"/>
  <c r="A348" i="3"/>
  <c r="A347" i="3"/>
  <c r="A346" i="3"/>
  <c r="A345" i="3"/>
  <c r="A344" i="3"/>
  <c r="A343" i="3"/>
  <c r="A342" i="3"/>
  <c r="A341" i="3"/>
  <c r="A340" i="3"/>
  <c r="A339" i="3"/>
  <c r="A338" i="3"/>
  <c r="A337" i="3"/>
  <c r="A336" i="3"/>
  <c r="A335" i="3"/>
  <c r="A334" i="3"/>
  <c r="A333" i="3"/>
  <c r="A332" i="3"/>
  <c r="A331" i="3"/>
  <c r="A330" i="3"/>
  <c r="A329" i="3"/>
  <c r="A328" i="3"/>
  <c r="A327" i="3"/>
  <c r="A326" i="3"/>
  <c r="A325" i="3"/>
  <c r="A324" i="3"/>
  <c r="A323" i="3"/>
  <c r="A322" i="3"/>
  <c r="A321" i="3"/>
  <c r="A320" i="3"/>
  <c r="A319" i="3"/>
  <c r="A318" i="3"/>
  <c r="A317" i="3"/>
  <c r="A316" i="3"/>
  <c r="A315"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K9" i="3"/>
  <c r="Z9" i="3"/>
  <c r="P9" i="3"/>
  <c r="AK8" i="3"/>
  <c r="AK7" i="3"/>
  <c r="P7" i="3"/>
  <c r="AK6" i="3"/>
  <c r="P6" i="3"/>
  <c r="AK5" i="3"/>
  <c r="P5" i="3"/>
  <c r="A3" i="3"/>
  <c r="A2" i="3"/>
  <c r="BD33" i="10" l="1"/>
  <c r="AO28" i="10"/>
  <c r="AO41" i="10"/>
  <c r="AO45" i="10"/>
  <c r="BO18" i="11"/>
  <c r="AO42" i="10"/>
  <c r="X17" i="10"/>
  <c r="AM25" i="10"/>
  <c r="AM33" i="10" s="1"/>
  <c r="W74" i="11"/>
  <c r="W87" i="11" s="1"/>
  <c r="AO26" i="10"/>
  <c r="AO30" i="10"/>
  <c r="AO39" i="10"/>
  <c r="AO43" i="10"/>
  <c r="BA139" i="10"/>
  <c r="BK173" i="10"/>
  <c r="AM74" i="11"/>
  <c r="AM87" i="11" s="1"/>
  <c r="P21" i="13"/>
  <c r="F76" i="13"/>
  <c r="AD76" i="13" s="1"/>
  <c r="AF80" i="13"/>
  <c r="AT33" i="10"/>
  <c r="BF25" i="10"/>
  <c r="BF29" i="10"/>
  <c r="BF40" i="10"/>
  <c r="BF46" i="10" s="1"/>
  <c r="BD47" i="10" s="1"/>
  <c r="BF44" i="10"/>
  <c r="AM103" i="10"/>
  <c r="W115" i="10"/>
  <c r="AI130" i="10"/>
  <c r="CE130" i="10"/>
  <c r="AD188" i="10"/>
  <c r="AQ75" i="11"/>
  <c r="AQ76" i="11"/>
  <c r="AQ77" i="11"/>
  <c r="AQ78" i="11"/>
  <c r="AQ79" i="11"/>
  <c r="AQ80" i="11"/>
  <c r="AQ81" i="11"/>
  <c r="AQ82" i="11"/>
  <c r="AQ83" i="11"/>
  <c r="AI18" i="11"/>
  <c r="AY74" i="11"/>
  <c r="AY87" i="11" s="1"/>
  <c r="AD80" i="13"/>
  <c r="M33" i="10"/>
  <c r="AO25" i="10"/>
  <c r="AO33" i="10" s="1"/>
  <c r="AC33" i="10"/>
  <c r="AO40" i="10"/>
  <c r="AO44" i="10"/>
  <c r="I148" i="10"/>
  <c r="AM188" i="10"/>
  <c r="AU74" i="11"/>
  <c r="AU75" i="11"/>
  <c r="AU76" i="11"/>
  <c r="AU77" i="11"/>
  <c r="AU78" i="11"/>
  <c r="AU79" i="11"/>
  <c r="AU80" i="11"/>
  <c r="AU81" i="11"/>
  <c r="AU82" i="11"/>
  <c r="AU83" i="11"/>
  <c r="AU84" i="11"/>
  <c r="AU85" i="11"/>
  <c r="BC74" i="11"/>
  <c r="BC87" i="11" s="1"/>
  <c r="O33" i="10"/>
  <c r="BF28" i="10"/>
  <c r="AG46" i="10"/>
  <c r="BF41" i="10"/>
  <c r="BF45" i="10"/>
  <c r="V71" i="10"/>
  <c r="W139" i="10"/>
  <c r="BS139" i="10"/>
  <c r="AV188" i="10"/>
  <c r="BS74" i="11"/>
  <c r="BS87" i="11" s="1"/>
  <c r="AD158" i="13"/>
  <c r="AA18" i="11"/>
  <c r="BG18" i="11"/>
  <c r="AE74" i="11"/>
  <c r="AE87" i="11" s="1"/>
  <c r="BK74" i="11"/>
  <c r="BK87" i="11" s="1"/>
  <c r="AF97" i="13"/>
  <c r="AO38" i="10"/>
  <c r="AO46" i="10" s="1"/>
  <c r="AM47" i="10" s="1"/>
  <c r="AQ74" i="11"/>
  <c r="AT46" i="10"/>
  <c r="BF33" i="10" l="1"/>
  <c r="BD34" i="10" s="1"/>
  <c r="BD48" i="10" s="1"/>
  <c r="AQ87" i="11"/>
  <c r="AU87" i="11"/>
  <c r="AM34" i="10"/>
  <c r="AM48" i="10" s="1"/>
</calcChain>
</file>

<file path=xl/sharedStrings.xml><?xml version="1.0" encoding="utf-8"?>
<sst xmlns="http://schemas.openxmlformats.org/spreadsheetml/2006/main" count="35971" uniqueCount="1068">
  <si>
    <r>
      <rPr>
        <b/>
        <sz val="20"/>
        <color theme="0"/>
        <rFont val="Calibri"/>
      </rPr>
      <t xml:space="preserve">This form is designed to be used for the </t>
    </r>
    <r>
      <rPr>
        <b/>
        <u/>
        <sz val="20"/>
        <color theme="0"/>
        <rFont val="Calibri"/>
      </rPr>
      <t>entire</t>
    </r>
    <r>
      <rPr>
        <b/>
        <sz val="20"/>
        <color theme="0"/>
        <rFont val="Calibri"/>
      </rPr>
      <t xml:space="preserve"> fiscal year.                                                                                                                                                                                                                                                                                                                                                                                                                                                                                                                                                                                                                                                   </t>
    </r>
  </si>
  <si>
    <t>Please note:  "Month Being Reported" is from 1st -30th (or 31st) of each month.  The report for the "Month Being Reported" is due by the 25th of the following month. Examples:</t>
  </si>
  <si>
    <t>July 1 - 31</t>
  </si>
  <si>
    <t>due August 25</t>
  </si>
  <si>
    <t>Oct. 1 - 31</t>
  </si>
  <si>
    <t>due Nov. 25</t>
  </si>
  <si>
    <t>Jan. 1- 31</t>
  </si>
  <si>
    <t>due Feb. 25</t>
  </si>
  <si>
    <t>April 1 - 30</t>
  </si>
  <si>
    <t>due May 25</t>
  </si>
  <si>
    <t>August 1 - 31</t>
  </si>
  <si>
    <t>due Sept. 25</t>
  </si>
  <si>
    <t>Nov. 1 - 30</t>
  </si>
  <si>
    <t>due Dec. 25</t>
  </si>
  <si>
    <t>Feb. 1-28 or 29</t>
  </si>
  <si>
    <t>due March 25</t>
  </si>
  <si>
    <t>May 1 - 31</t>
  </si>
  <si>
    <t>due June 25</t>
  </si>
  <si>
    <t>Sept 1 - 30</t>
  </si>
  <si>
    <t>due Oct. 25</t>
  </si>
  <si>
    <t>Dec. 1 - 31</t>
  </si>
  <si>
    <t>due Jan. 25</t>
  </si>
  <si>
    <t>March 1 - 31</t>
  </si>
  <si>
    <t>due April 25</t>
  </si>
  <si>
    <t>June 1-30</t>
  </si>
  <si>
    <t>due July 25</t>
  </si>
  <si>
    <r>
      <rPr>
        <b/>
        <sz val="22"/>
        <color theme="1"/>
        <rFont val="Calibri"/>
      </rPr>
      <t xml:space="preserve">GRANTEE SET UP INFO &amp; DATE  </t>
    </r>
    <r>
      <rPr>
        <sz val="22"/>
        <color theme="1"/>
        <rFont val="Calibri"/>
      </rPr>
      <t xml:space="preserve"> </t>
    </r>
  </si>
  <si>
    <r>
      <rPr>
        <b/>
        <sz val="11"/>
        <color theme="1"/>
        <rFont val="Calibri"/>
      </rPr>
      <t>1.A</t>
    </r>
    <r>
      <rPr>
        <sz val="11"/>
        <color theme="1"/>
        <rFont val="Calibri"/>
      </rPr>
      <t xml:space="preserve"> Lines 3 - 8:  Complete all information, including updating the date each month on this tab: This will populate to other tabs </t>
    </r>
  </si>
  <si>
    <t>1A:  Grantee - Program Information: ON LINES 3- 8 ALL INFORMATION WILL NEED TO BE INITALLY ENTERED AND CHANGES WILL NEED TO BE MADE  (INCLUDING THE DATE)  ON THE GRANTEE SET UP INFO &amp; DATE TAB - INFORMATION WILL POPULATE TO OTHER TABS</t>
  </si>
  <si>
    <r>
      <rPr>
        <sz val="11"/>
        <color theme="1"/>
        <rFont val="Calibri"/>
      </rPr>
      <t xml:space="preserve">Program Name:  </t>
    </r>
    <r>
      <rPr>
        <sz val="8"/>
        <color theme="1"/>
        <rFont val="Calibri"/>
      </rPr>
      <t xml:space="preserve">(same as on Statement of Work): </t>
    </r>
  </si>
  <si>
    <t xml:space="preserve">Name of Program (Should be the same as the Statement of Work) </t>
  </si>
  <si>
    <t>Grantee Name:</t>
  </si>
  <si>
    <t>Formal Name of Agency used in the Grant Agreement</t>
  </si>
  <si>
    <r>
      <rPr>
        <sz val="11"/>
        <color theme="1"/>
        <rFont val="Calibri"/>
      </rPr>
      <t xml:space="preserve">Name of Program </t>
    </r>
    <r>
      <rPr>
        <sz val="8"/>
        <color theme="1"/>
        <rFont val="Calibri"/>
      </rPr>
      <t>(given by Grantee):</t>
    </r>
  </si>
  <si>
    <t xml:space="preserve">Name of Program (Grantee may have a different name for the program) </t>
  </si>
  <si>
    <t>Contact Name(s):</t>
  </si>
  <si>
    <t xml:space="preserve">Names of Persons to contact regarding the program </t>
  </si>
  <si>
    <t xml:space="preserve">Physical Address of Program: </t>
  </si>
  <si>
    <t xml:space="preserve">Physical Address of the Program </t>
  </si>
  <si>
    <t xml:space="preserve">Contact Phone(s): </t>
  </si>
  <si>
    <t>Phone numbers of Contact Persons</t>
  </si>
  <si>
    <t>Grant Number:</t>
  </si>
  <si>
    <t>Grant Number will be located on the Grant agreement or Targeted Fund Budget (TFB)</t>
  </si>
  <si>
    <r>
      <rPr>
        <b/>
        <sz val="11"/>
        <color theme="1"/>
        <rFont val="Calibri"/>
      </rPr>
      <t xml:space="preserve">Month Being Reported </t>
    </r>
    <r>
      <rPr>
        <sz val="8"/>
        <color theme="1"/>
        <rFont val="Calibri"/>
      </rPr>
      <t>(Month/Year)</t>
    </r>
    <r>
      <rPr>
        <sz val="11"/>
        <color theme="1"/>
        <rFont val="Calibri"/>
      </rPr>
      <t>:</t>
    </r>
  </si>
  <si>
    <t>October 1 - 31</t>
  </si>
  <si>
    <t>Program Code :</t>
  </si>
  <si>
    <t>Program Code will located in SOW or TFB</t>
  </si>
  <si>
    <t>Line 1</t>
  </si>
  <si>
    <t xml:space="preserve">Will have the Name of the Form and the Version of the Form - Please check to see that you are using the most recent version - Note If the form has "working draft" it is not the correct version.  </t>
  </si>
  <si>
    <t>Line 2</t>
  </si>
  <si>
    <t xml:space="preserve">Reminder that the forms need to be submitted electronically to DHHRBBHReporting@wv.gov .  You can certainly cc other individuals; however, it is critical that all forms be sent to this e-mail address. </t>
  </si>
  <si>
    <t>1A:  Lines 3 - 8</t>
  </si>
  <si>
    <r>
      <rPr>
        <b/>
        <sz val="11"/>
        <color theme="1"/>
        <rFont val="Calibri"/>
      </rPr>
      <t>Grantee - Program Information:</t>
    </r>
    <r>
      <rPr>
        <sz val="11"/>
        <color theme="1"/>
        <rFont val="Calibri"/>
      </rPr>
      <t xml:space="preserve"> ON LINES 4 - 8 ALL INFORMATION WILL NEED TO BE INITALLY ENTERED AND CHANGES WILL NEED TO BE MADE (INCLUDING THE DATE)  ON THE GRANTEE SET UP INFO &amp; DATE TAB - INFORMATION WILL POPULATE TO OTHER TABS</t>
    </r>
  </si>
  <si>
    <t>1B: Lines 9 - 18</t>
  </si>
  <si>
    <r>
      <rPr>
        <b/>
        <sz val="11"/>
        <color theme="1"/>
        <rFont val="Calibri"/>
      </rPr>
      <t xml:space="preserve">Staff funded by the Grant: </t>
    </r>
    <r>
      <rPr>
        <sz val="11"/>
        <color theme="1"/>
        <rFont val="Calibri"/>
      </rPr>
      <t xml:space="preserve">  List the initials of the staff, the date they started employment for the grant and if applicable the date they ended employment for the grant.  Use Month/Day/Year (00/00/0000).  The initials placed in Columns C-G and W-Y  will populate to the  Evidence Based Training Tab Line 14 Columns AN through AY and the Naloxone Training Distribution Tab Line 14 Columns X through AI. </t>
    </r>
  </si>
  <si>
    <t>1C: Lines - 19 &gt;</t>
  </si>
  <si>
    <r>
      <rPr>
        <b/>
        <sz val="11"/>
        <color theme="1"/>
        <rFont val="Calibri"/>
      </rPr>
      <t xml:space="preserve">THIS SECTION IS REQUIRED:  </t>
    </r>
    <r>
      <rPr>
        <sz val="11"/>
        <color theme="1"/>
        <rFont val="Calibri"/>
      </rPr>
      <t xml:space="preserve">This space is for a narrative about the program in order to provide a description of  activities / accomplishments related to measurable outcomes.   Sections are divided into months. This section provides invaluable information about the program. </t>
    </r>
  </si>
  <si>
    <r>
      <rPr>
        <b/>
        <sz val="24"/>
        <color theme="0"/>
        <rFont val="Calibri"/>
      </rPr>
      <t xml:space="preserve">REFERRAL ONLY  </t>
    </r>
    <r>
      <rPr>
        <b/>
        <sz val="16"/>
        <color theme="0"/>
        <rFont val="Calibri"/>
      </rPr>
      <t xml:space="preserve">(TO THE PEER RECOVERY SUPPORT SPECIALIST PROGRAM WITHIN THE FACILITY) </t>
    </r>
  </si>
  <si>
    <r>
      <rPr>
        <b/>
        <sz val="11"/>
        <color theme="1"/>
        <rFont val="Calibri"/>
      </rPr>
      <t xml:space="preserve">2.A: Lines 5 -9:  </t>
    </r>
    <r>
      <rPr>
        <b/>
        <sz val="11"/>
        <color rgb="FFFF0000"/>
        <rFont val="Calibri"/>
      </rPr>
      <t xml:space="preserve">Any changes need to be made on GRANTEE INFO SET UP &amp; DATE TAB: </t>
    </r>
  </si>
  <si>
    <r>
      <rPr>
        <b/>
        <sz val="11"/>
        <color theme="1"/>
        <rFont val="Calibri"/>
      </rPr>
      <t>2.B: Client Demographics  - Other Information  -</t>
    </r>
    <r>
      <rPr>
        <b/>
        <sz val="11"/>
        <color rgb="FFFF0000"/>
        <rFont val="Calibri"/>
      </rPr>
      <t xml:space="preserve"> (Include all clients referred under the SOR Grant) </t>
    </r>
  </si>
  <si>
    <t xml:space="preserve">This line can be locked by going to View, Freeze Panes, Freeze Top Row;  As the Lines get longer, this may be helpful in completing the form </t>
  </si>
  <si>
    <t xml:space="preserve">Name of program with the version of the form; please make sure you are using the most up-to-date form. Note If the form has "working draft" it is not the correct version.  </t>
  </si>
  <si>
    <t>Line 3</t>
  </si>
  <si>
    <t xml:space="preserve">Reminder that Program reports need to be submitted electronically, via e-mail to  DHHRBBHReporting@wv.gov   within 25 calendar days of the end of each month   You can certainly cc other individuals; however, it is critical that all forms be sent to this e-mail address. </t>
  </si>
  <si>
    <t>Line 5-9</t>
  </si>
  <si>
    <t>Grantee - Program Information: ON LINES 5 - 9 ALL INFORMATION WILL NEED TO BE INITALLY ENTERED AND CHANGES WILL NEED TO BE MADE (INCLUDING THE DATE)  ON THE GRANTEE SET UP INFO &amp; DATE TAB - INFORMATION WILL POPULATE TO OTHER TABS</t>
  </si>
  <si>
    <t>Column A</t>
  </si>
  <si>
    <r>
      <rPr>
        <sz val="11"/>
        <color theme="1"/>
        <rFont val="Calibri"/>
      </rPr>
      <t xml:space="preserve">Automatically numbers the Lines - </t>
    </r>
    <r>
      <rPr>
        <b/>
        <sz val="11"/>
        <color theme="1"/>
        <rFont val="Calibri"/>
      </rPr>
      <t>There are approximately 1000 lines for input of client data.</t>
    </r>
    <r>
      <rPr>
        <sz val="11"/>
        <color theme="1"/>
        <rFont val="Calibri"/>
      </rPr>
      <t xml:space="preserve">  Each client will have their own unique line.  In the event a client is discharged and returns use a "new" line with the same internal client I.D.  </t>
    </r>
  </si>
  <si>
    <t>Line 14&gt; Column B-C</t>
  </si>
  <si>
    <t xml:space="preserve">Internal Space for Grantee - For your own use; some grantees choose to use 'first name, initials of clients, etc.)  Full names and other information that that could I.D. the client cannot be used when submitting reports. </t>
  </si>
  <si>
    <t>Line 14&gt; Column D-E</t>
  </si>
  <si>
    <t>The Client ID is a unique client identifier determined by the project. The program uses the same unique ID each time, even if the client has more than one episode of care. For confidentiality reasons, do not use any part of the client’s date of birth or Social Security number in the Client ID.</t>
  </si>
  <si>
    <t>Line 14&gt; Column F-G</t>
  </si>
  <si>
    <t xml:space="preserve">Date Individual was  Referred to the  - Enter date  Month/Day/Year 00/00/0000 </t>
  </si>
  <si>
    <t>Line 14&gt; Column H-J</t>
  </si>
  <si>
    <t xml:space="preserve">Disposition of the Referral - Select from the Drop-down box </t>
  </si>
  <si>
    <t>Line 14&gt; Column K-M</t>
  </si>
  <si>
    <t>If Admitted to program - date of Admission / Enrollment into Program - Enter date  Month/Day/Year 00/00/0000</t>
  </si>
  <si>
    <t>Line 14&gt; Column N-U</t>
  </si>
  <si>
    <t xml:space="preserve">NOTES:  Space for a narrative for any specifics required from the drop-down box;  or other narrative information the grantee may want to share </t>
  </si>
  <si>
    <r>
      <rPr>
        <b/>
        <sz val="24"/>
        <color theme="0"/>
        <rFont val="Calibri"/>
      </rPr>
      <t xml:space="preserve">Refer - Admission Stay - Discharge </t>
    </r>
    <r>
      <rPr>
        <b/>
        <sz val="16"/>
        <color theme="0"/>
        <rFont val="Calibri"/>
      </rPr>
      <t>(TO THE PEER RECOVERY SUPPORT SPECIALIST PROGRAM WITHIN THE FACILITY)</t>
    </r>
  </si>
  <si>
    <t>Line 5-10</t>
  </si>
  <si>
    <t>A: Grantee - Program Information: ON LINES 5 - 9 ALL INFORMATION WILL NEED TO BE INITALLY ENTERED AND CHANGES WILL NEED TO BE MADE (INCLUDING THE DATE)  ON THE GRANTEE SET UP INFO &amp; DATE TAB - INFORMATION WILL POPULATE TO OTHER TABS</t>
  </si>
  <si>
    <t>Line 14&gt; Column A</t>
  </si>
  <si>
    <r>
      <rPr>
        <sz val="11"/>
        <color theme="1"/>
        <rFont val="Calibri"/>
      </rPr>
      <t xml:space="preserve">Automatically numbers the Lines - </t>
    </r>
    <r>
      <rPr>
        <b/>
        <sz val="11"/>
        <color theme="1"/>
        <rFont val="Calibri"/>
      </rPr>
      <t>There are approximately 1000 lines for input of client data.</t>
    </r>
    <r>
      <rPr>
        <sz val="11"/>
        <color theme="1"/>
        <rFont val="Calibri"/>
      </rPr>
      <t xml:space="preserve">  Each client will have their own unique line.  In the event a client is discharged and returns use a "new" line with the same internal client I.D.  </t>
    </r>
  </si>
  <si>
    <t>Internal Space for Grantee - For your own use; some grantees choose to use ( first name, initials of clients, etc.)  Full names or other information that could  I.D. the client cannot be used when submitting reports. Will Populate TO RECOVERY CONTACT HISTORY TAB</t>
  </si>
  <si>
    <t>Date Individual was  Referred to the program  - Enter Date - Month/Day/Year   00/00/0000 - Will Populate TO  RECOVERY CONTACT HISTORY TAB</t>
  </si>
  <si>
    <t>Line 14&gt; Column H-I</t>
  </si>
  <si>
    <t xml:space="preserve">Date of Admission / Enrollment into program  - Date client formally admitted/enrolled into the program) Enter Date - Month/Day/Year   00/00/0000  </t>
  </si>
  <si>
    <t>Line 14&gt; Column J-K</t>
  </si>
  <si>
    <t xml:space="preserve">Has individual been readmitted to the program - Select from Drop-down box </t>
  </si>
  <si>
    <t>Line 14&gt; Column L-M</t>
  </si>
  <si>
    <t>Place the initials of the Peer Recovery Support Specialist  - Use the same initials from the Grantee Set Up Info &amp; Date tab - Lines 11-18, Column C-E and Lines 11-18, Column W-Y</t>
  </si>
  <si>
    <t>Line 14&gt; Column N</t>
  </si>
  <si>
    <t xml:space="preserve">Age - Use Number - DO NOT use alphabet </t>
  </si>
  <si>
    <t>Line 14&gt; Column O</t>
  </si>
  <si>
    <t xml:space="preserve">Gender - Select from Drop-down box </t>
  </si>
  <si>
    <t>Line 14&gt; Column P-Q</t>
  </si>
  <si>
    <t xml:space="preserve">Race - Select from Drop-down box </t>
  </si>
  <si>
    <t>Line 14&gt; Column R-S</t>
  </si>
  <si>
    <t xml:space="preserve">Ethnicity - Hispanic Latino Origin - Select from Drop-down box </t>
  </si>
  <si>
    <t>Line 14&gt; Column T-U</t>
  </si>
  <si>
    <t xml:space="preserve">Veteran - Select from Drop-down box </t>
  </si>
  <si>
    <t>Line 14&gt; Column V-W</t>
  </si>
  <si>
    <t xml:space="preserve">Assisted (help the client) with enrollment into the Medicaid program </t>
  </si>
  <si>
    <t>Line 14&gt; Column X-AA</t>
  </si>
  <si>
    <r>
      <rPr>
        <sz val="11"/>
        <color theme="1"/>
        <rFont val="Calibri"/>
      </rPr>
      <t xml:space="preserve">Resources </t>
    </r>
    <r>
      <rPr>
        <b/>
        <sz val="11"/>
        <color theme="1"/>
        <rFont val="Calibri"/>
      </rPr>
      <t xml:space="preserve">REFERRED </t>
    </r>
    <r>
      <rPr>
        <sz val="11"/>
        <color theme="1"/>
        <rFont val="Calibri"/>
      </rPr>
      <t>(not offered - referred elsewhere)</t>
    </r>
    <r>
      <rPr>
        <b/>
        <sz val="11"/>
        <color theme="1"/>
        <rFont val="Calibri"/>
      </rPr>
      <t xml:space="preserve"> </t>
    </r>
    <r>
      <rPr>
        <sz val="11"/>
        <color theme="1"/>
        <rFont val="Calibri"/>
      </rPr>
      <t xml:space="preserve"> by grantee to support recovery by type - Enter from List Row 13 - Columns V-AC-  Use number beside the resource - You do not have to write the referral out. There may be more than one resource </t>
    </r>
  </si>
  <si>
    <t>Line 14&gt; Column AB-AE</t>
  </si>
  <si>
    <r>
      <rPr>
        <sz val="11"/>
        <color theme="1"/>
        <rFont val="Calibri"/>
      </rPr>
      <t xml:space="preserve">Resources </t>
    </r>
    <r>
      <rPr>
        <b/>
        <sz val="11"/>
        <color theme="1"/>
        <rFont val="Calibri"/>
      </rPr>
      <t>OFFERED</t>
    </r>
    <r>
      <rPr>
        <sz val="11"/>
        <color theme="1"/>
        <rFont val="Calibri"/>
      </rPr>
      <t xml:space="preserve"> by grantee to support recovery by type -  Enter from List Row 13 - Columns V-AC-  Use number beside the resource - You do not have to write the referral out. There may be more than one resource </t>
    </r>
  </si>
  <si>
    <t>Line 14&gt; Column AF-AG</t>
  </si>
  <si>
    <t xml:space="preserve">Individual has a Recovery Plan.  Choose from the Drop-down box (YES/NO) </t>
  </si>
  <si>
    <t>Line 14&gt; Column AH-AI</t>
  </si>
  <si>
    <t xml:space="preserve">Diagnostic Information:  Client is able to state that they have a known  Substance Use Disorder.  Choose from the Drop-down box (YES/NO) </t>
  </si>
  <si>
    <t>Line 14&gt; Column AJ-AK</t>
  </si>
  <si>
    <r>
      <rPr>
        <sz val="11"/>
        <color theme="1"/>
        <rFont val="Calibri"/>
      </rPr>
      <t xml:space="preserve">Client Pregnant at Admission or During Stay  - Select from Drop-down box   IF FEMALE MUST </t>
    </r>
    <r>
      <rPr>
        <sz val="11"/>
        <color rgb="FFFF0000"/>
        <rFont val="Calibri"/>
      </rPr>
      <t xml:space="preserve">CHOOSE "YES" OR "NO" IN ORDER FOR DATA TO SUMMARIZE CORRECTLY </t>
    </r>
  </si>
  <si>
    <t>Line 14&gt; Column AL-AM</t>
  </si>
  <si>
    <t>If pregnant what is the due date - Enter Date - Month/Day/Year   00/00/0000</t>
  </si>
  <si>
    <t>Line 14&gt; Column AN-AO</t>
  </si>
  <si>
    <t>Delivery date of the baby - Enter Date - Month/Day/Year   00/00/0000</t>
  </si>
  <si>
    <t>Line 14&gt; Column AP-AQ</t>
  </si>
  <si>
    <t xml:space="preserve">Client  on MAT at time of admission - Select from Drop-down box (Verify if the client is on MAT upon admission to the program ) </t>
  </si>
  <si>
    <t>Line 14&gt; Column AR-AS</t>
  </si>
  <si>
    <t xml:space="preserve">Client referred  for MAT at admission or during stay - Select from Drop-down box </t>
  </si>
  <si>
    <t>Line 14&gt; Column AT-AU</t>
  </si>
  <si>
    <t xml:space="preserve">admitted to MAT while in program- Select from Drop-down box </t>
  </si>
  <si>
    <t>Line 14&gt; Column AX-AZ</t>
  </si>
  <si>
    <t xml:space="preserve">Type of MAT Utilized by Client - Select from Drop-down box  (Must Choose one - "Not Receiving MAT" Included, or if the individual has switched from one type to another "CHANGED MAT (Specify in Notes)" included) In Notes include MAT type client was taking when they changed the type and time frame. </t>
  </si>
  <si>
    <t>Line 14&gt; Column BA-BB</t>
  </si>
  <si>
    <t xml:space="preserve">remained on the following type of MAT during stay - Select from Drop-down box </t>
  </si>
  <si>
    <t>Line 14&gt; Column BC</t>
  </si>
  <si>
    <t xml:space="preserve">Was client Discharged - Select from Drop-down box   If yes is selected line will turn a "grayish" color; to indicate the individual has been discharged. </t>
  </si>
  <si>
    <t>Line 14&gt; Column BD-BE</t>
  </si>
  <si>
    <t>Date of Discharge - Enter Date - Month/Day/Year   00/00/0000</t>
  </si>
  <si>
    <t>Line 14&gt; Column BF-BI</t>
  </si>
  <si>
    <t xml:space="preserve">Reason for Discharge - Select from Drop-down box </t>
  </si>
  <si>
    <t>Line 14&gt; Column BJ-BM</t>
  </si>
  <si>
    <t xml:space="preserve">Discharged to: (geographic location where client will be living and proposed services that the client was linked to...)  Provide a brief narrative </t>
  </si>
  <si>
    <t>Line 14&gt; Column BN-BV</t>
  </si>
  <si>
    <r>
      <rPr>
        <b/>
        <sz val="22"/>
        <color theme="0"/>
        <rFont val="Calibri"/>
      </rPr>
      <t xml:space="preserve">NOMS PRE ADMISSION - POST DISCHARGE </t>
    </r>
    <r>
      <rPr>
        <b/>
        <sz val="16"/>
        <color theme="0"/>
        <rFont val="Calibri"/>
      </rPr>
      <t>(WITHIN THE  PEER RECOVERY SUPPORT SPECIALIST PROGRAM WITHIN THE FACILITY)</t>
    </r>
  </si>
  <si>
    <t xml:space="preserve">Name of program with the version of the form; please make sure you are using the most up-to-date form </t>
  </si>
  <si>
    <t xml:space="preserve">Reminder that the forms need to be submitted electronically to DHHRBBHReporting@wv.gov.  You can certainly cc other individuals; however, it is critical that all forms be sent to this e-mail address. </t>
  </si>
  <si>
    <t>Grantee - Program Information: ON LINES 5 - 9 ALL INFORMATION WILL NEED TO BE INITALLY  ENTERED AND CHANGES WILL NEED TO BE MADE (INCLUDING THE DATE)  ON THE GRANTEE SET UP INFO &amp; DATE TAB - INFORMATION WILL POPULATE TO OTHER TABS</t>
  </si>
  <si>
    <r>
      <rPr>
        <sz val="11"/>
        <color theme="1"/>
        <rFont val="Calibri"/>
      </rPr>
      <t xml:space="preserve">Automatically numbers the Lines - </t>
    </r>
    <r>
      <rPr>
        <b/>
        <sz val="11"/>
        <color theme="1"/>
        <rFont val="Calibri"/>
      </rPr>
      <t>There are approximately 1000 lines for input of client data.</t>
    </r>
    <r>
      <rPr>
        <sz val="11"/>
        <color theme="1"/>
        <rFont val="Calibri"/>
      </rPr>
      <t xml:space="preserve">  Each client will have their own unique line.  In the event a client is discharged and returns use a "new" line with the same internal client I.D.</t>
    </r>
  </si>
  <si>
    <t>Lines 15&gt; Column B-C</t>
  </si>
  <si>
    <t xml:space="preserve">Internal Space for Grantee - Will Populate from Admission Stay Discharge Tab </t>
  </si>
  <si>
    <t>Lines 15&gt; Column D-E</t>
  </si>
  <si>
    <t xml:space="preserve">Internal Unique Client I.D.  Grantee - Will Populate from Admission Stay Discharge Tab </t>
  </si>
  <si>
    <t>Lines 15&gt; Column F-G</t>
  </si>
  <si>
    <t xml:space="preserve">Date Referred to Program  - Will Populate from Admission Stay Discharge Tab </t>
  </si>
  <si>
    <t>Lines 15&gt; Column H -I</t>
  </si>
  <si>
    <t xml:space="preserve">30 DAYS BEFORE ADMISSION - Was Individual Employed (Part time or full time) - If so Indicate by using the Numeral (1) - Use the Number (1) Do not use alphabet. </t>
  </si>
  <si>
    <t>Lines 15&gt; Column J-K</t>
  </si>
  <si>
    <t xml:space="preserve">30 DAYS BEFORE ADMISSION - Was Individual a Student (Part time or full time)  - If so Indicate by using the Numeral (1) - Use the Number (1) Do not use alphabet. </t>
  </si>
  <si>
    <t>Lines 15&gt; Column L-M</t>
  </si>
  <si>
    <t xml:space="preserve">30 DAYS BEFORE ADMISSION - Did the individual have a Stable Living Situation  - If so Indicate by using the Numeral (1) - Use the Number (1) Do not use alphabet. </t>
  </si>
  <si>
    <t>Lines 15&gt; Column N-O</t>
  </si>
  <si>
    <t xml:space="preserve">30 DAYS BEFORE ADMISSION - Did the Individual have any involvement with the Legal System (arrest) - If so Indicate by using the Numeral (1) - Use the Number (1) Do not use alphabet. </t>
  </si>
  <si>
    <t>Lines 15&gt; Column P-Q</t>
  </si>
  <si>
    <t xml:space="preserve">30 DAYS BEFORE ADMISSION - Did the individual use Alcohol- If so Indicate by using the Numeral (1) - Use the Number (1) Do not use alphabet. </t>
  </si>
  <si>
    <t>Lines 15&gt; Column R-S</t>
  </si>
  <si>
    <t xml:space="preserve">30 DAYS BEFORE ADMISSION - Did the Individual use Illegal Drugs  - If so Indicate by using the Numeral (1) - Use the Number (1) Do not use alphabet. </t>
  </si>
  <si>
    <t>Lines 15&gt; Column T-U</t>
  </si>
  <si>
    <t xml:space="preserve">30 DAYS BEFORE ADMISSION - Did the individual participate in self help groups such as AA or NA - If so Indicate by using the Numeral (1) - Use the Number (1) Do not use alphabet. </t>
  </si>
  <si>
    <t>Lines 15&gt; Column X-Y</t>
  </si>
  <si>
    <t xml:space="preserve">30 DAYS POST DISCHARGE - Was Individual Employed (Part time or full time) - If so Indicate by using the Numeral (1) - Use the Number (1) Do not use alphabet. </t>
  </si>
  <si>
    <t>Lines 15&gt; Column Z-AA</t>
  </si>
  <si>
    <t xml:space="preserve">30 DAYS POST DISCHARGE - Was Individual a Student (Part time or full time)  - If so Indicate by using the Numeral (1) - Use the Number (1) Do not use alphabet. </t>
  </si>
  <si>
    <t>Lines 15&gt; Column AB-AC</t>
  </si>
  <si>
    <t xml:space="preserve">30 DAYS POST DISCHARGE - Did the individual have a Stable Living Situation  - If so Indicate by using the Numeral (1) - Use the Number (1) Do not use alphabet. </t>
  </si>
  <si>
    <t>Lines 15&gt; Column AD-AE</t>
  </si>
  <si>
    <t xml:space="preserve">30 DAYS POST DISCHARGE - Did the Individual have any involvement with the Legal System (arrest) - If so Indicate by using the Numeral (1) - Use the Number (1) Do not use alphabet. </t>
  </si>
  <si>
    <t>Lines 15&gt; Column AF-AG</t>
  </si>
  <si>
    <t xml:space="preserve">30 DAYS POST DISCHARGE- Did the individual use Alcohol- If so Indicate by using the Numeral (1) - Use the Number (1) Do not use alphabet. </t>
  </si>
  <si>
    <t xml:space="preserve">30 DAYS POST DISCHARGE - Did the Individual use Illegal Drugs  - If so Indicate by using the Numeral (1) - Use the Number (1) Do not use alphabet. </t>
  </si>
  <si>
    <t>Lines 15&gt; Column AJ-AK</t>
  </si>
  <si>
    <t xml:space="preserve">30 DAYS POST DISCHARGE - Did the individual participate in self help groups such as AA or NA - If so Indicate by using the Numeral (1) - Use the Number (1) Do not use alphabet. </t>
  </si>
  <si>
    <t>Lines 15&gt; Column AL-BB</t>
  </si>
  <si>
    <r>
      <rPr>
        <sz val="22"/>
        <color theme="1"/>
        <rFont val="Calibri"/>
      </rPr>
      <t xml:space="preserve">TRAINING </t>
    </r>
    <r>
      <rPr>
        <sz val="16"/>
        <color theme="1"/>
        <rFont val="Calibri"/>
      </rPr>
      <t>(INVOLVING THE PEER RECOVERY SUPPORT SPECIALIST PROGRAM WITHIN THE FACILITY)</t>
    </r>
  </si>
  <si>
    <t>A. Grantee - Program Information: ON LINES 5 - 9 ALL INFORMATION WILL NEED TO BE INITALLY  ENTERED AND CHANGES WILL NEED TO BE MADE (INCLUDING THE DATE)  ON THE GRANTEE SET UP INFO &amp; DATE TAB - INFORMATION WILL POPULATE TO OTHER TABS</t>
  </si>
  <si>
    <r>
      <rPr>
        <sz val="11"/>
        <color theme="1"/>
        <rFont val="Calibri"/>
      </rPr>
      <t xml:space="preserve">Automatically numbers the Lines - </t>
    </r>
    <r>
      <rPr>
        <b/>
        <sz val="11"/>
        <color theme="1"/>
        <rFont val="Calibri"/>
      </rPr>
      <t>There are approximately 500 lines for input of training data.</t>
    </r>
    <r>
      <rPr>
        <sz val="11"/>
        <color theme="1"/>
        <rFont val="Calibri"/>
      </rPr>
      <t xml:space="preserve">  </t>
    </r>
  </si>
  <si>
    <t>Lines 15&gt;Column B-C</t>
  </si>
  <si>
    <t>Date of Training  Enter Date - Month/Day/Year   00/00/0000</t>
  </si>
  <si>
    <t>Lines 15&gt;Column D-K</t>
  </si>
  <si>
    <t xml:space="preserve">Type of Training - Choose from the Drop - down box  - Examples of trainings listed below: </t>
  </si>
  <si>
    <t xml:space="preserve">Examples of Training </t>
  </si>
  <si>
    <r>
      <rPr>
        <b/>
        <u/>
        <sz val="8"/>
        <color theme="1"/>
        <rFont val="Calibri"/>
      </rPr>
      <t xml:space="preserve">Evidence Based Training -  EXAMPLES OF EVIDENCE BASED TRAINING INCLUDE: </t>
    </r>
    <r>
      <rPr>
        <sz val="8"/>
        <color theme="1"/>
        <rFont val="Calibri"/>
      </rPr>
      <t xml:space="preserve">      </t>
    </r>
    <r>
      <rPr>
        <b/>
        <u/>
        <sz val="8"/>
        <color theme="1"/>
        <rFont val="Calibri"/>
      </rPr>
      <t xml:space="preserve">                                                                                                                                                                                                                                                                                                                                        </t>
    </r>
    <r>
      <rPr>
        <sz val="8"/>
        <color theme="1"/>
        <rFont val="Calibri"/>
      </rPr>
      <t xml:space="preserve">•	 Motivational Interviewing – directive, client centered counseling style for eliciting behavior change by helping clients explore and resolve ambivalence
•	 SBIRT – Screening, Brief Intervention, Referral to Treatment
•	 Cognitive-Behavioral Therapy (CBT)
•	 Dialectical Behavioral Therapy (DBT) – therapist and client work with acceptance and change-oriented strategies
•	 Contingency Management Interventions/Motivational Incentives – uses rewards to reinforce behaviors that support person’s individual recovery
•	 Motivational Enhancement Therapy (MET) – brief, understanding resistance, encouraging self-efficacy
•	 The Matrix Model – designed for stimulant substances such as Methamphetamine and Cocaine – is intensive outpatient treatment, integrative, structured, and time-limited
•	 Medication-Assisted Treatment (MAT) – this includes Buprenorphine (Suboxone), Naltrexone (or Vivitrol), Methadone
•	 12-Step Facilitation Therapy
•	 Family Behavior Therapy (FBT)
•	 Seeking Safety (for Trauma/PTSD and Addiction)
•	 Relapse Prevention Therapy
•	 Client-Centered/Shared Decision Making                                                                                                                                                                                                                                                                                                                                                                                                    </t>
    </r>
    <r>
      <rPr>
        <b/>
        <u/>
        <sz val="8"/>
        <color theme="1"/>
        <rFont val="Calibri"/>
      </rPr>
      <t xml:space="preserve">Mandatory Training -  EXAMPLES OF MANDATORY TRAINING INCLUDE:   </t>
    </r>
    <r>
      <rPr>
        <sz val="8"/>
        <color theme="1"/>
        <rFont val="Calibri"/>
      </rPr>
      <t xml:space="preserve">                                                                                                                                                                                                                                                                                                                                                                                                                                                                                                                                                                                                                                                                                                                                                                                                                                                                                       •              Confidentiality  Health Insurance Portability and Accountability Act (HIPAA)
•	Complicate
•	 First Aid
•	Infection Control 
•	Cardio-Pulmonary Resuscitation (CPT)
•	Crisis Intervention
•	Mental Health First Aide 
•	Cultural Competency
•	Motivational Interviewing
•	Suicide Prevention
•	Trauma-Informed Care
•	Person-Centered Care 
       </t>
    </r>
  </si>
  <si>
    <t>Lines 15&gt;Column L-O</t>
  </si>
  <si>
    <t xml:space="preserve">Description of the Training </t>
  </si>
  <si>
    <t>Lines 15&gt;Column P-S</t>
  </si>
  <si>
    <t xml:space="preserve">Purpose of Training </t>
  </si>
  <si>
    <t>Lines 15&gt;Column T-W</t>
  </si>
  <si>
    <t xml:space="preserve">Entity Providing Training:  Name of Organization, Company, Agency, etc. </t>
  </si>
  <si>
    <t>Lines 15&gt;Column X-AA</t>
  </si>
  <si>
    <t xml:space="preserve">Location of Training:  At the very least include City and County </t>
  </si>
  <si>
    <t>Lines 15&gt;Column AB-AD</t>
  </si>
  <si>
    <t>Person(s) Providing the Training - Give Name(s) of the Person(s)</t>
  </si>
  <si>
    <t>Lines 15&gt;Column AE-AG</t>
  </si>
  <si>
    <t xml:space="preserve">Credentials of Person(s) Providing Training  (degrees, certifications, etc.) </t>
  </si>
  <si>
    <t>Lines 15&gt;Column AH-AJ</t>
  </si>
  <si>
    <t xml:space="preserve">Was the training funded  wholly or in part by the grant - Select from Drop-down Box (YES/NO)  </t>
  </si>
  <si>
    <t>Lines 15&gt;Column AK-AM</t>
  </si>
  <si>
    <t xml:space="preserve">Was training done to fulfil the SOR Statement of Work (SOW)  - Select from Drop-down Box </t>
  </si>
  <si>
    <t xml:space="preserve">Lines 15&gt; Columns AN - through AY  </t>
  </si>
  <si>
    <t xml:space="preserve">INTERNAL STAFF FUNDED BY THE GRANT - This will include only the Internal Staff funded by the Grant.  For the state of West Virginia this will only include the Peer Recovery Support Specialist.  There are twelve (12) spaces in Line 15&gt; for initials of the staff that should be adequate for turnover.  The initials will populate from the GRANTEE SET UP INFO &amp; DATE TAB  (LINES 11-18).  Select from Drop-down Box (YES/NO) </t>
  </si>
  <si>
    <t>Lines 15&gt; Columns AZ - through BH</t>
  </si>
  <si>
    <t>INTERNAL AND EXTERNAL INDIVIDUALS NOT FUNDED BY THE GRANT BY OCCUPATION/DISCLIPLINE.  USE NUMBERS ONLY - DO NOT USE ALPHABET</t>
  </si>
  <si>
    <t>Lines 15&gt;Column BI-BV</t>
  </si>
  <si>
    <r>
      <rPr>
        <sz val="22"/>
        <color theme="0"/>
        <rFont val="Calibri"/>
      </rPr>
      <t xml:space="preserve">Naloxone Training Distribution </t>
    </r>
    <r>
      <rPr>
        <sz val="16"/>
        <color theme="0"/>
        <rFont val="Calibri"/>
      </rPr>
      <t xml:space="preserve"> (INVOLVING THE PEER RECOVERY SUPPORT SPECIALIST PROGRAM WITHIN THE FACILITY)</t>
    </r>
  </si>
  <si>
    <r>
      <rPr>
        <sz val="11"/>
        <color theme="1"/>
        <rFont val="Calibri"/>
      </rPr>
      <t xml:space="preserve">Automatically numbers the Lines - </t>
    </r>
    <r>
      <rPr>
        <b/>
        <sz val="11"/>
        <color theme="1"/>
        <rFont val="Calibri"/>
      </rPr>
      <t>There are approximately 500 lines for input of Naloxone Training events.</t>
    </r>
    <r>
      <rPr>
        <sz val="11"/>
        <color theme="1"/>
        <rFont val="Calibri"/>
      </rPr>
      <t xml:space="preserve">  </t>
    </r>
  </si>
  <si>
    <t>Lines 15&gt;Column D-G</t>
  </si>
  <si>
    <t>Lines 15&gt;Column H-K</t>
  </si>
  <si>
    <t xml:space="preserve">Location of Naloxone Training:  At the very least include City and County </t>
  </si>
  <si>
    <t>Lines 15&gt;Column L-M</t>
  </si>
  <si>
    <t>Lines 15&gt;Column O-Q</t>
  </si>
  <si>
    <t xml:space="preserve">Credentials of Person(s) Providing Training,  (degrees, certifications, etc.) </t>
  </si>
  <si>
    <t>Lines 15&gt;Column R-T</t>
  </si>
  <si>
    <t xml:space="preserve">Funded Wholly or in Part by  SOR grant - Select from Drop-down Box   </t>
  </si>
  <si>
    <t>Lines 15&gt;Column U-W</t>
  </si>
  <si>
    <t>Funded Generally - Not by the grant.  Select from Drop-down Box -  (In note section briefly describe funding source)</t>
  </si>
  <si>
    <t xml:space="preserve">Lines 15&gt;Column X through AI </t>
  </si>
  <si>
    <t xml:space="preserve">INTERNAL STAFF FUNDED BY THE GRANT - This will include only the Internal Staff funded by the Grant.  For the state of West Virginia this will only include the Peer Recovery Support Specialist.  There are twelve (12) spaces in Line 15&gt; for initials of the staff that should be adequate for turnover.  The initials will populate from the GRANTEE SET UP INFO &amp; DATE TAB  (LINES 11-18). Select from Drop-down Box (YES/NO) </t>
  </si>
  <si>
    <t>Lines 15&gt;Column AJ through AR</t>
  </si>
  <si>
    <t>Lines 15&gt;Column AS-AY</t>
  </si>
  <si>
    <t xml:space="preserve">Notes - A space for Specification required with Drop-down boxes - Narrative </t>
  </si>
  <si>
    <t>Lines 15&gt;Column BB-BC</t>
  </si>
  <si>
    <t>Date of Naloxone Distribution - This may or may not be tied to training</t>
  </si>
  <si>
    <t>Lines 15&gt;Column BD-BF</t>
  </si>
  <si>
    <t xml:space="preserve">Total # of Naloxone overdose reversal kits distributed - This may or may not be tied to training </t>
  </si>
  <si>
    <t>Lines 15&gt;Column BG-BJ</t>
  </si>
  <si>
    <t xml:space="preserve">Location(s) Naloxone Kits Distributed; include at least the City and County </t>
  </si>
  <si>
    <t>Lines 15&gt;Column BK-BM</t>
  </si>
  <si>
    <t xml:space="preserve">Naloxone Kits funded wholly or in part by SOR - Select from Drop-down Box </t>
  </si>
  <si>
    <t>Lines 15&gt;Column BP-BR</t>
  </si>
  <si>
    <t xml:space="preserve">Date Aware of Overdose Reversal - (Does not necessarily have to tie to training) </t>
  </si>
  <si>
    <t>Lines 15&gt;Column BS-BU</t>
  </si>
  <si>
    <t xml:space="preserve">Number of Overdose Reversals - (Does not necessarily have to tie to training) </t>
  </si>
  <si>
    <r>
      <rPr>
        <b/>
        <sz val="22"/>
        <color theme="0"/>
        <rFont val="Calibri"/>
      </rPr>
      <t xml:space="preserve">ACTVITIES - MEETINGS - EVENTS  </t>
    </r>
    <r>
      <rPr>
        <b/>
        <sz val="14"/>
        <color theme="0"/>
        <rFont val="Calibri"/>
      </rPr>
      <t>(EXCLUDES TRAINING - TRAINING NEEDS )</t>
    </r>
    <r>
      <rPr>
        <b/>
        <sz val="22"/>
        <color theme="0"/>
        <rFont val="Calibri"/>
      </rPr>
      <t xml:space="preserve">  </t>
    </r>
    <r>
      <rPr>
        <b/>
        <sz val="16"/>
        <color theme="0"/>
        <rFont val="Calibri"/>
      </rPr>
      <t>(INVOLVING THE PEER RECOVERY SUPPORT SPECIALIST PROGRAM WITHIN THE FACILITY)</t>
    </r>
  </si>
  <si>
    <t>Lines 12&gt; Column  A</t>
  </si>
  <si>
    <t>Numbering of the Lines of Activities, Meetings and Events</t>
  </si>
  <si>
    <t>Lines 12&gt; Column  B-C</t>
  </si>
  <si>
    <t>Date of Activity - Meeting - Event   - -  Use Month/Day/ Year (00/00/0000)</t>
  </si>
  <si>
    <t>Lines 12&gt; Column  D-H</t>
  </si>
  <si>
    <t xml:space="preserve">Type of Activity  - Meeting - Event  - -  Select from Drop-down box   If materials distributed is selected, give the total items distributed and what was distributed in the note section. </t>
  </si>
  <si>
    <t>Lines 12&gt; Column  I-P</t>
  </si>
  <si>
    <r>
      <rPr>
        <sz val="11"/>
        <color theme="1"/>
        <rFont val="Calibri"/>
      </rPr>
      <t xml:space="preserve">Name of the Activity - Meeting - Event ; Examples include                                                                                                                                                                                                                                                                                                                                                                   </t>
    </r>
    <r>
      <rPr>
        <sz val="8"/>
        <color theme="1"/>
        <rFont val="Calibri"/>
      </rPr>
      <t xml:space="preserve">• Regional Substance Abuse Lead Prevention Organization's monthly meeting ,                                                                                                                                                                                                                                                                                                                                                                                                                                                                                                                                                                                                                                                                                                                                                                                                                                                                                                                                                                                                                                                                                                                                                                                                                                                                                     • Family Resource Network (FRNs) Meetings,                                                                                                                                                                                                                                                                                                                                                                                                                                                                                                                                                                                                                                               • BBH Required Events                                                                                                                                                                                                                                                                                                                                                                                                                                                                                                </t>
    </r>
    <r>
      <rPr>
        <sz val="11"/>
        <color theme="1"/>
        <rFont val="Calibri"/>
      </rPr>
      <t xml:space="preserve"> </t>
    </r>
    <r>
      <rPr>
        <sz val="8"/>
        <color theme="1"/>
        <rFont val="Calibri"/>
      </rPr>
      <t xml:space="preserve">  • Activities/ efforts to reach high-risk populations (Homeless, Veterans, men aged 35-54, pregnant/parenting women, those involved with the criminal justice system, blue-collar professions) </t>
    </r>
  </si>
  <si>
    <t>Lines 12&gt; Column  Q-X</t>
  </si>
  <si>
    <t>Purpose of the Activity - Meeting - Event</t>
  </si>
  <si>
    <t>Lines 12&gt; Column  Y-Z</t>
  </si>
  <si>
    <t>Number of individuals attending - participating the  Activity - Meeting Event - USE NUMBERS ONLY - DO NOT USE ALPHABET</t>
  </si>
  <si>
    <t>Lines 12&gt; Column AA-AD</t>
  </si>
  <si>
    <t xml:space="preserve">Entity, Organization, Agency, Company providing / leading Activity - Meeting - Event - Formal name of the Entity </t>
  </si>
  <si>
    <t>Lines 12&gt; Column AE-AG</t>
  </si>
  <si>
    <t xml:space="preserve">Name of Person(s) Providing / Leading Activity  - Meeting - Event </t>
  </si>
  <si>
    <t>Lines 12&gt; Column AH-AJ</t>
  </si>
  <si>
    <t xml:space="preserve">Credentials of Person(s) Providing / Leading  Activity - Meeting - Event - (Degree, Certification, etc.) </t>
  </si>
  <si>
    <t>Lines 12&gt; Column AK-AN</t>
  </si>
  <si>
    <t xml:space="preserve">Physical Location of Activity - Meeting - Event -  (Include at least City, County) </t>
  </si>
  <si>
    <t>Lines 12&gt; Column AO-AV</t>
  </si>
  <si>
    <t xml:space="preserve">System(s) Organization(s) Represented at the Activity  (Organizations, Companies, Agencies, Groups, etc.) </t>
  </si>
  <si>
    <t>Lines 12&gt; Column AW-AY</t>
  </si>
  <si>
    <t xml:space="preserve">Was the Activity - Meeting - Event done to fulfil the SOR SOW? - Select from Drop-down box (YES/NO) </t>
  </si>
  <si>
    <t>Lines 12&gt; Column AZ-BO</t>
  </si>
  <si>
    <r>
      <rPr>
        <sz val="22"/>
        <color theme="1"/>
        <rFont val="Calibri"/>
      </rPr>
      <t xml:space="preserve">CONSUMER FEEDBACK - SATISFACTION RESULTS   </t>
    </r>
    <r>
      <rPr>
        <sz val="16"/>
        <color theme="1"/>
        <rFont val="Calibri"/>
      </rPr>
      <t>(INVOLVING THE PEER RECOVERY SUPPORT SPECIALIST PROGRAM WITHIN THE FACILITY)</t>
    </r>
  </si>
  <si>
    <t>Lines 12&gt; Column A</t>
  </si>
  <si>
    <t xml:space="preserve">Numbering of the Lines for Consumer Feedback - </t>
  </si>
  <si>
    <t>Lines 12&gt; Column B-D</t>
  </si>
  <si>
    <t>Date of Consumer Feedback Activity - Date Focus Group- Key-Informant Interview, Survey, etc.  Took place - -  Use Month/Day/ Year (00/00/0000)</t>
  </si>
  <si>
    <t>Lines 12&gt; Column E-G</t>
  </si>
  <si>
    <t>Type of Consumer Feedback Activity - Select from Drop-down box</t>
  </si>
  <si>
    <t>Lines 12&gt; Column H-K</t>
  </si>
  <si>
    <t xml:space="preserve">What was the Consumer Feedback Activity Completed for? </t>
  </si>
  <si>
    <t>Lines 12&gt; Column L-P</t>
  </si>
  <si>
    <t xml:space="preserve">Did the feedback indicate that the Service / Activity was accessible to individuals?   </t>
  </si>
  <si>
    <t>Lines 12&gt; Column Q-Z</t>
  </si>
  <si>
    <t>What were the Aggregated results of the feedback. Give a brief narrative of if the information obtained can lead to improvement of service delivery.</t>
  </si>
  <si>
    <t>Lines 12&gt; Column AA-AQ</t>
  </si>
  <si>
    <t xml:space="preserve">NOTES:  Space for a narrative for any specifics required from the drop-down box; or other narrative information the grantee may want to share. </t>
  </si>
  <si>
    <t>SUMMARY   (PEER RECOVERY SUPPORT SPECIALIST PROGRAM WITHIN THE FACILITY)</t>
  </si>
  <si>
    <t xml:space="preserve">SUMMARY OF DATA FROM ALL TABS </t>
  </si>
  <si>
    <t>WV Bureau for Behavioral Healh - Peer Recovery Support Services  V 20200110</t>
  </si>
  <si>
    <r>
      <rPr>
        <b/>
        <sz val="11"/>
        <color rgb="FFFFDDFF"/>
        <rFont val="Calibri"/>
      </rPr>
      <t xml:space="preserve">A:  Grantee - Program Information ALL ENTRIES - CHANGES NEED TO BE MADE ON THIS TAB - </t>
    </r>
    <r>
      <rPr>
        <b/>
        <sz val="11"/>
        <color rgb="FFFF0000"/>
        <rFont val="Calibri"/>
      </rPr>
      <t>INFORMATION ON LINES 4 - 8 WILL POPULATE TO ALL THE OTHER TABS</t>
    </r>
  </si>
  <si>
    <r>
      <rPr>
        <sz val="11"/>
        <color theme="1"/>
        <rFont val="Calibri"/>
      </rPr>
      <t xml:space="preserve">Program Name:  </t>
    </r>
    <r>
      <rPr>
        <sz val="8"/>
        <color theme="1"/>
        <rFont val="Calibri"/>
      </rPr>
      <t xml:space="preserve">(same as on Statement of Work): </t>
    </r>
  </si>
  <si>
    <t xml:space="preserve">SA Peer Recovery Support Specialist </t>
  </si>
  <si>
    <t xml:space="preserve">Grantee formal Name (name on grant agreement) </t>
  </si>
  <si>
    <r>
      <rPr>
        <sz val="11"/>
        <color theme="1"/>
        <rFont val="Calibri"/>
      </rPr>
      <t xml:space="preserve">Name of Program </t>
    </r>
    <r>
      <rPr>
        <sz val="8"/>
        <color theme="1"/>
        <rFont val="Calibri"/>
      </rPr>
      <t>(given by Grantee):</t>
    </r>
  </si>
  <si>
    <t xml:space="preserve"> SA Peer Recovery Support Specialist </t>
  </si>
  <si>
    <t>Contact Name (s)</t>
  </si>
  <si>
    <t>Names of Contact(s):</t>
  </si>
  <si>
    <t>123 Any Street, Any City, WV 12345</t>
  </si>
  <si>
    <t>Phone numbers for contacts</t>
  </si>
  <si>
    <t xml:space="preserve">number on grant agreement or TFB </t>
  </si>
  <si>
    <r>
      <rPr>
        <b/>
        <sz val="11"/>
        <color theme="1"/>
        <rFont val="Calibri"/>
      </rPr>
      <t xml:space="preserve">Month Being Reported </t>
    </r>
    <r>
      <rPr>
        <sz val="8"/>
        <color theme="1"/>
        <rFont val="Calibri"/>
      </rPr>
      <t>(Month/Year)</t>
    </r>
    <r>
      <rPr>
        <sz val="11"/>
        <color theme="1"/>
        <rFont val="Calibri"/>
      </rPr>
      <t>:</t>
    </r>
  </si>
  <si>
    <t>program code can locate on SOW or  TFB</t>
  </si>
  <si>
    <t xml:space="preserve">B:  Staff funded by the Grant (Initials will populate to Evidence Based Training Tab  and Naloxone Training Distribution Tab </t>
  </si>
  <si>
    <t>#</t>
  </si>
  <si>
    <r>
      <rPr>
        <sz val="11"/>
        <color theme="1"/>
        <rFont val="Calibri"/>
      </rPr>
      <t xml:space="preserve">Initials of Staff </t>
    </r>
    <r>
      <rPr>
        <sz val="8"/>
        <color theme="1"/>
        <rFont val="Calibri"/>
      </rPr>
      <t xml:space="preserve">(will populate to Training &amp; Other Tabs) </t>
    </r>
  </si>
  <si>
    <t>Date Started Employment for Grant 00/00/0000</t>
  </si>
  <si>
    <t>End Date for Employment for Grant 00/00/0000</t>
  </si>
  <si>
    <t>Date Obtained Peer WV Specialist Certification</t>
  </si>
  <si>
    <r>
      <rPr>
        <sz val="11"/>
        <color theme="1"/>
        <rFont val="Calibri"/>
      </rPr>
      <t xml:space="preserve">Initials of Staff </t>
    </r>
    <r>
      <rPr>
        <sz val="8"/>
        <color theme="1"/>
        <rFont val="Calibri"/>
      </rPr>
      <t xml:space="preserve">(will populate to Training &amp; Other Tabs) </t>
    </r>
  </si>
  <si>
    <t xml:space="preserve">C: Pertinent Information / Service Delivery Interruptions:  </t>
  </si>
  <si>
    <t>Pertinent Information  / Service Delivery Interruptions - Updates - Highlights [ Provide a description of 3 Major Activities / Accomplishments related to measurable outcomes - Provide a description of barriers, how they were addressed, as well as remaining barriers]</t>
  </si>
  <si>
    <t xml:space="preserve">PRIOR TO OCTOBER 2019 </t>
  </si>
  <si>
    <t>x</t>
  </si>
  <si>
    <t xml:space="preserve">OCTOBER </t>
  </si>
  <si>
    <t>November</t>
  </si>
  <si>
    <t>December</t>
  </si>
  <si>
    <t>xx</t>
  </si>
  <si>
    <t>2020</t>
  </si>
  <si>
    <t>January</t>
  </si>
  <si>
    <t>February</t>
  </si>
  <si>
    <t>March</t>
  </si>
  <si>
    <t>April</t>
  </si>
  <si>
    <t>May</t>
  </si>
  <si>
    <t>June</t>
  </si>
  <si>
    <t>July</t>
  </si>
  <si>
    <t>August</t>
  </si>
  <si>
    <t>September</t>
  </si>
  <si>
    <t>2021</t>
  </si>
  <si>
    <t>Internal Space for Grantee</t>
  </si>
  <si>
    <t xml:space="preserve">Internal Unique Client I.D </t>
  </si>
  <si>
    <t xml:space="preserve">Date Referred to Program </t>
  </si>
  <si>
    <t xml:space="preserve">Disposition of Referral </t>
  </si>
  <si>
    <t>Date of Admission / Enrollment into Program</t>
  </si>
  <si>
    <t>NOTES</t>
  </si>
  <si>
    <t>A: Grantee - Program Information  (ANY CHANGES INCLUDING THE DATE ON Rows 4 - 9 will need to be changed on GRANTEE SET UP &amp; INFO TAB [an earlier tab])</t>
  </si>
  <si>
    <r>
      <rPr>
        <sz val="11"/>
        <color theme="1"/>
        <rFont val="Calibri"/>
      </rPr>
      <t xml:space="preserve">Program Name:  </t>
    </r>
    <r>
      <rPr>
        <sz val="8"/>
        <color theme="1"/>
        <rFont val="Calibri"/>
      </rPr>
      <t xml:space="preserve">(same as on Statement of Work): </t>
    </r>
  </si>
  <si>
    <r>
      <rPr>
        <sz val="11"/>
        <color theme="1"/>
        <rFont val="Calibri"/>
      </rPr>
      <t xml:space="preserve">Name of Program </t>
    </r>
    <r>
      <rPr>
        <sz val="8"/>
        <color theme="1"/>
        <rFont val="Calibri"/>
      </rPr>
      <t>(given by Grantee):</t>
    </r>
  </si>
  <si>
    <t>Contact Name (s):</t>
  </si>
  <si>
    <r>
      <rPr>
        <b/>
        <sz val="11"/>
        <color rgb="FFFF0000"/>
        <rFont val="Calibri"/>
      </rPr>
      <t xml:space="preserve">Month Being Reported </t>
    </r>
    <r>
      <rPr>
        <sz val="8"/>
        <color rgb="FFFF0000"/>
        <rFont val="Calibri"/>
      </rPr>
      <t>(Month/Year)</t>
    </r>
    <r>
      <rPr>
        <sz val="11"/>
        <color rgb="FFFF0000"/>
        <rFont val="Calibri"/>
      </rPr>
      <t>:</t>
    </r>
  </si>
  <si>
    <r>
      <rPr>
        <b/>
        <sz val="11"/>
        <color theme="0"/>
        <rFont val="Calibri"/>
      </rPr>
      <t xml:space="preserve">The above Information on ROWS 5,6,7,8,and 9  will populate to the other tabs  - Any changes on the above information will need to be made on the GRANTEE SET UP INFO &amp; DATE tab-                                                                                                                                                                                                                                                                                                                                                                  THIS SAME FORM IS DESIGNED TO BE USED FOR THE ENTIRE FISCAL YEAR </t>
    </r>
    <r>
      <rPr>
        <b/>
        <sz val="11"/>
        <color rgb="FFFABF8F"/>
        <rFont val="Calibri"/>
      </rPr>
      <t xml:space="preserve"> BROWN FONT INDICATES DROP-DOWN BOX        </t>
    </r>
    <r>
      <rPr>
        <b/>
        <sz val="11"/>
        <color theme="0"/>
        <rFont val="Calibri"/>
      </rPr>
      <t xml:space="preserve">                                                                                                                                                                                                                                                                </t>
    </r>
  </si>
  <si>
    <t>B Referrals Received -   INFORMATION FROM THIS TAB WILL NOT POPULATE TO OTHER TABS</t>
  </si>
  <si>
    <t xml:space="preserve">CLIENT IDENTIFIER </t>
  </si>
  <si>
    <t xml:space="preserve">COMPLETE AT TIME OF REFERRAL  - ADMISSION / ENROLLMENT INTO THE PROGRAM </t>
  </si>
  <si>
    <t>00/00/0000</t>
  </si>
  <si>
    <t>e</t>
  </si>
  <si>
    <t>k</t>
  </si>
  <si>
    <t>j</t>
  </si>
  <si>
    <t>m</t>
  </si>
  <si>
    <t>l</t>
  </si>
  <si>
    <t>b</t>
  </si>
  <si>
    <t>h</t>
  </si>
  <si>
    <t>f</t>
  </si>
  <si>
    <t>c</t>
  </si>
  <si>
    <t>I</t>
  </si>
  <si>
    <t xml:space="preserve">Date Referred to PRSS Program </t>
  </si>
  <si>
    <t>Date of Admission / Enrollment into PRSS Program</t>
  </si>
  <si>
    <t xml:space="preserve">Readmitted to PRSS program while funded by grant </t>
  </si>
  <si>
    <r>
      <rPr>
        <b/>
        <sz val="9"/>
        <color rgb="FF974806"/>
        <rFont val="Calibri"/>
      </rPr>
      <t>Initials of Peer Recovery Support Specialist</t>
    </r>
    <r>
      <rPr>
        <b/>
        <sz val="8"/>
        <color rgb="FF974806"/>
        <rFont val="Calibri"/>
      </rPr>
      <t xml:space="preserve"> *</t>
    </r>
  </si>
  <si>
    <t>Age</t>
  </si>
  <si>
    <t>Gender</t>
  </si>
  <si>
    <t>Race</t>
  </si>
  <si>
    <t>Hispanic Latino Origin</t>
  </si>
  <si>
    <t>Veteran</t>
  </si>
  <si>
    <t>Assisted with Enrollment into Medicaid</t>
  </si>
  <si>
    <r>
      <rPr>
        <sz val="8"/>
        <color theme="1"/>
        <rFont val="Calibri"/>
      </rPr>
      <t xml:space="preserve">Resources </t>
    </r>
    <r>
      <rPr>
        <u/>
        <sz val="8"/>
        <color theme="1"/>
        <rFont val="Calibri"/>
      </rPr>
      <t>referred</t>
    </r>
    <r>
      <rPr>
        <sz val="8"/>
        <color theme="1"/>
        <rFont val="Calibri"/>
      </rPr>
      <t xml:space="preserve"> by grantee to support recovery by type (Select from Line 13; Column V-AC) Use # beside resource</t>
    </r>
  </si>
  <si>
    <r>
      <rPr>
        <sz val="8"/>
        <color theme="1"/>
        <rFont val="Calibri"/>
      </rPr>
      <t xml:space="preserve">Resources </t>
    </r>
    <r>
      <rPr>
        <u/>
        <sz val="8"/>
        <color theme="1"/>
        <rFont val="Calibri"/>
      </rPr>
      <t>offered</t>
    </r>
    <r>
      <rPr>
        <sz val="8"/>
        <color theme="1"/>
        <rFont val="Calibri"/>
      </rPr>
      <t xml:space="preserve"> by grantee to support recovery by type (Select from Line 13; Column V-AC Use # beside resource </t>
    </r>
  </si>
  <si>
    <t xml:space="preserve">Client has Recovery Plan </t>
  </si>
  <si>
    <t xml:space="preserve">Does Client have a known history of a Substance Use Disorder </t>
  </si>
  <si>
    <t>Client Pregnant at admission or during stay IF FEMALE MUST CHOOSE YES/NO</t>
  </si>
  <si>
    <t>If Pregnant, Due Date</t>
  </si>
  <si>
    <t>Actual Delivery Date</t>
  </si>
  <si>
    <t>Client on MAT at time of admission to PRSS program (need to verify)</t>
  </si>
  <si>
    <t xml:space="preserve"> Client referred for MAT at admission or during stay  to PRSS program </t>
  </si>
  <si>
    <r>
      <rPr>
        <sz val="8"/>
        <color rgb="FF974806"/>
        <rFont val="Calibri"/>
      </rPr>
      <t>admitted to MAT</t>
    </r>
    <r>
      <rPr>
        <u/>
        <sz val="8"/>
        <color rgb="FF974806"/>
        <rFont val="Calibri"/>
      </rPr>
      <t xml:space="preserve"> while in</t>
    </r>
    <r>
      <rPr>
        <sz val="8"/>
        <color rgb="FF974806"/>
        <rFont val="Calibri"/>
      </rPr>
      <t xml:space="preserve"> PRSS program</t>
    </r>
  </si>
  <si>
    <t xml:space="preserve">Date Admitted / Started MAT </t>
  </si>
  <si>
    <t>Type of MAT Utilized by Client (Must Choose one - None Included)</t>
  </si>
  <si>
    <t xml:space="preserve"> remained on the following MAT during stay I PRSS program </t>
  </si>
  <si>
    <t>Was client Discharged</t>
  </si>
  <si>
    <t>Date of Discharge</t>
  </si>
  <si>
    <t xml:space="preserve">Reason for Discharge </t>
  </si>
  <si>
    <t xml:space="preserve">Discharged to: (physical location and proposed services) </t>
  </si>
  <si>
    <t>A:  Grantee - Program Information  (ANY CHANGES INCLUDING THE DATE ON Rows6- 9 will need to be changed on GRANTEE SET UP &amp; INFO TAB [an earlier tab])</t>
  </si>
  <si>
    <r>
      <rPr>
        <sz val="11"/>
        <color theme="1"/>
        <rFont val="Calibri"/>
      </rPr>
      <t xml:space="preserve">Program Name:  </t>
    </r>
    <r>
      <rPr>
        <sz val="8"/>
        <color theme="1"/>
        <rFont val="Calibri"/>
      </rPr>
      <t xml:space="preserve">(same as on Statement of Work): </t>
    </r>
  </si>
  <si>
    <r>
      <rPr>
        <sz val="11"/>
        <color theme="1"/>
        <rFont val="Calibri"/>
      </rPr>
      <t xml:space="preserve">Name of Program </t>
    </r>
    <r>
      <rPr>
        <sz val="8"/>
        <color theme="1"/>
        <rFont val="Calibri"/>
      </rPr>
      <t>(given by Grantee):;</t>
    </r>
  </si>
  <si>
    <t>Contact Phone(s)</t>
  </si>
  <si>
    <t>Grantee Number :</t>
  </si>
  <si>
    <r>
      <rPr>
        <b/>
        <sz val="11"/>
        <color rgb="FFFF0000"/>
        <rFont val="Calibri"/>
      </rPr>
      <t xml:space="preserve">Month Being Reported </t>
    </r>
    <r>
      <rPr>
        <sz val="8"/>
        <color rgb="FFFF0000"/>
        <rFont val="Calibri"/>
      </rPr>
      <t>(Month/Year)</t>
    </r>
    <r>
      <rPr>
        <sz val="11"/>
        <color rgb="FFFF0000"/>
        <rFont val="Calibri"/>
      </rPr>
      <t>:</t>
    </r>
  </si>
  <si>
    <t xml:space="preserve">Program Code: </t>
  </si>
  <si>
    <r>
      <rPr>
        <b/>
        <sz val="11"/>
        <color theme="0"/>
        <rFont val="Calibri"/>
      </rPr>
      <t xml:space="preserve">The above Information on ROWS ,6,7,8,9 and 10  will populate to the other tabs  - Any changes on the above information will need to be made on the GRANTEE SET UP INFO &amp; DATE tab-                                                                                                                                                                                                                                    THIS SAME FORM IS DESIGNED TO BE USED FOR THE ENTIRE YEAR </t>
    </r>
    <r>
      <rPr>
        <b/>
        <sz val="11"/>
        <color rgb="FFFABF8F"/>
        <rFont val="Calibri"/>
      </rPr>
      <t xml:space="preserve"> BROWN FONT INDICATES DROP-DOWN BOX        </t>
    </r>
    <r>
      <rPr>
        <b/>
        <sz val="11"/>
        <color theme="0"/>
        <rFont val="Calibri"/>
      </rPr>
      <t xml:space="preserve">                                                                                                                                                                                                                                                                </t>
    </r>
  </si>
  <si>
    <r>
      <rPr>
        <b/>
        <sz val="14"/>
        <color theme="0"/>
        <rFont val="Calibri"/>
      </rPr>
      <t xml:space="preserve">B Client Demographics  - Other Information    </t>
    </r>
    <r>
      <rPr>
        <b/>
        <sz val="11"/>
        <color theme="0"/>
        <rFont val="Calibri"/>
      </rPr>
      <t xml:space="preserve">FOR INDIVIDUALS ADMITTED TO THE PROGRAM UNDER THE SOR GRANT  </t>
    </r>
    <r>
      <rPr>
        <b/>
        <sz val="14"/>
        <color theme="0"/>
        <rFont val="Calibri"/>
      </rPr>
      <t xml:space="preserve"> COLUMNS WITH BLUE FONT WILL POPULATE TO OTHER TABS</t>
    </r>
  </si>
  <si>
    <r>
      <rPr>
        <b/>
        <sz val="14"/>
        <color rgb="FF0070C0"/>
        <rFont val="Calibri"/>
      </rPr>
      <t xml:space="preserve">COMPLETE AT TIME OF  INTIAL CONTACT  -  ADMISSION / ENROLLMENT INTO THE PROGRAM                                                                                                                                                        </t>
    </r>
    <r>
      <rPr>
        <b/>
        <sz val="10"/>
        <color rgb="FF0070C0"/>
        <rFont val="Calibri"/>
      </rPr>
      <t xml:space="preserve">     (An individual may have an initial contact before being formally admitted / enrolled in the program) </t>
    </r>
  </si>
  <si>
    <t xml:space="preserve">(1) Housing,                                                                                                                                                                            (2) Employment,                                                                      (3) Educational,                                                                       (4) Medical,                                                                                  (5)  MH Counseling,                                                                  (6) Childcare,                                                                                               (7) Transportation,          </t>
  </si>
  <si>
    <t>(8) Support Group,           (9) Relapse Prevention, (10) Crisis Support,             (11) HIV Testing,                      (12) Hepatitis B Testing , (13) Hepatitis C Testing, (14) Other (Specify)</t>
  </si>
  <si>
    <t>Recovery Plan</t>
  </si>
  <si>
    <t>Diagnostic Information</t>
  </si>
  <si>
    <t xml:space="preserve">PREGNANCY STATUS </t>
  </si>
  <si>
    <t xml:space="preserve">Medication Assisted Treatment (MAT) </t>
  </si>
  <si>
    <t xml:space="preserve">Complete at Discharge from the PRSS Program </t>
  </si>
  <si>
    <r>
      <rPr>
        <b/>
        <sz val="9"/>
        <color rgb="FF974806"/>
        <rFont val="Calibri"/>
      </rPr>
      <t>Initials of Peer Recovery Support Specialist</t>
    </r>
    <r>
      <rPr>
        <b/>
        <sz val="8"/>
        <color rgb="FF974806"/>
        <rFont val="Calibri"/>
      </rPr>
      <t xml:space="preserve"> *</t>
    </r>
  </si>
  <si>
    <r>
      <rPr>
        <b/>
        <sz val="10"/>
        <color theme="1"/>
        <rFont val="Calibri"/>
      </rPr>
      <t xml:space="preserve">Resources </t>
    </r>
    <r>
      <rPr>
        <b/>
        <u/>
        <sz val="10"/>
        <color theme="1"/>
        <rFont val="Calibri"/>
      </rPr>
      <t>referred</t>
    </r>
    <r>
      <rPr>
        <b/>
        <sz val="10"/>
        <color theme="1"/>
        <rFont val="Calibri"/>
      </rPr>
      <t xml:space="preserve"> by grantee to support recovery by type</t>
    </r>
    <r>
      <rPr>
        <b/>
        <sz val="8"/>
        <color theme="1"/>
        <rFont val="Calibri"/>
      </rPr>
      <t xml:space="preserve">  (Select from Line 13; Column V-AC) Use # beside resource</t>
    </r>
  </si>
  <si>
    <r>
      <rPr>
        <b/>
        <sz val="10"/>
        <color theme="1"/>
        <rFont val="Calibri"/>
      </rPr>
      <t xml:space="preserve">Resources </t>
    </r>
    <r>
      <rPr>
        <b/>
        <u/>
        <sz val="10"/>
        <color theme="1"/>
        <rFont val="Calibri"/>
      </rPr>
      <t>offered</t>
    </r>
    <r>
      <rPr>
        <b/>
        <sz val="10"/>
        <color theme="1"/>
        <rFont val="Calibri"/>
      </rPr>
      <t xml:space="preserve"> by grantee to support recovery by type </t>
    </r>
    <r>
      <rPr>
        <b/>
        <sz val="8"/>
        <color theme="1"/>
        <rFont val="Calibri"/>
      </rPr>
      <t xml:space="preserve"> (Select from Line 13; Column V-AC) Use # beside resource</t>
    </r>
  </si>
  <si>
    <t>Client  on MAT at time of admission to PRSS program (need to verify)</t>
  </si>
  <si>
    <t xml:space="preserve"> Client referred for MAT at admission or during stay to PRSS program  </t>
  </si>
  <si>
    <r>
      <rPr>
        <sz val="10"/>
        <color rgb="FF974806"/>
        <rFont val="Calibri"/>
      </rPr>
      <t>admitted to MAT</t>
    </r>
    <r>
      <rPr>
        <b/>
        <u/>
        <sz val="10"/>
        <color rgb="FF974806"/>
        <rFont val="Calibri"/>
      </rPr>
      <t xml:space="preserve"> while in</t>
    </r>
    <r>
      <rPr>
        <sz val="10"/>
        <color rgb="FF974806"/>
        <rFont val="Calibri"/>
      </rPr>
      <t xml:space="preserve"> PRSS program</t>
    </r>
  </si>
  <si>
    <t xml:space="preserve">Date  Started MAT </t>
  </si>
  <si>
    <r>
      <rPr>
        <sz val="11"/>
        <color rgb="FF974806"/>
        <rFont val="Calibri"/>
      </rPr>
      <t>Type of MAT Utilized by Client</t>
    </r>
    <r>
      <rPr>
        <b/>
        <sz val="11"/>
        <color rgb="FF974806"/>
        <rFont val="Calibri"/>
      </rPr>
      <t xml:space="preserve"> </t>
    </r>
    <r>
      <rPr>
        <b/>
        <sz val="9"/>
        <color rgb="FF974806"/>
        <rFont val="Calibri"/>
      </rPr>
      <t>(Must Choose one - None Included)</t>
    </r>
  </si>
  <si>
    <t xml:space="preserve"> remained on the following MAT during stay in PRSS program </t>
  </si>
  <si>
    <t xml:space="preserve">Discharged to: (Physical location and proposed services) </t>
  </si>
  <si>
    <t>00/00/000</t>
  </si>
  <si>
    <t xml:space="preserve">Internal Client I.D </t>
  </si>
  <si>
    <r>
      <rPr>
        <b/>
        <sz val="10"/>
        <color rgb="FF0070C0"/>
        <rFont val="Calibri"/>
      </rPr>
      <t xml:space="preserve">Date of Admission </t>
    </r>
    <r>
      <rPr>
        <b/>
        <sz val="8"/>
        <color rgb="FF0070C0"/>
        <rFont val="Calibri"/>
      </rPr>
      <t>(will auto populate)                              00/00/0000</t>
    </r>
  </si>
  <si>
    <r>
      <rPr>
        <sz val="8"/>
        <color theme="1"/>
        <rFont val="Calibri"/>
      </rPr>
      <t>Employment</t>
    </r>
    <r>
      <rPr>
        <sz val="6"/>
        <color theme="1"/>
        <rFont val="Calibri"/>
      </rPr>
      <t xml:space="preserve">  (use numeral (1) if applicable)</t>
    </r>
  </si>
  <si>
    <r>
      <rPr>
        <sz val="8"/>
        <color theme="1"/>
        <rFont val="Calibri"/>
      </rPr>
      <t xml:space="preserve">Student </t>
    </r>
    <r>
      <rPr>
        <sz val="6"/>
        <color theme="1"/>
        <rFont val="Calibri"/>
      </rPr>
      <t>(use numeral (1) if applicable)</t>
    </r>
  </si>
  <si>
    <r>
      <rPr>
        <sz val="8"/>
        <color theme="1"/>
        <rFont val="Calibri"/>
      </rPr>
      <t xml:space="preserve">Stable Living Situation </t>
    </r>
    <r>
      <rPr>
        <sz val="6"/>
        <color theme="1"/>
        <rFont val="Calibri"/>
      </rPr>
      <t>(use numeral (1) if applicable)</t>
    </r>
  </si>
  <si>
    <r>
      <rPr>
        <sz val="8"/>
        <color theme="1"/>
        <rFont val="Calibri"/>
      </rPr>
      <t>LEGAL - Arrest</t>
    </r>
    <r>
      <rPr>
        <sz val="6"/>
        <color theme="1"/>
        <rFont val="Calibri"/>
      </rPr>
      <t xml:space="preserve"> (use numeral (1) if applicable)</t>
    </r>
  </si>
  <si>
    <r>
      <rPr>
        <sz val="8"/>
        <color theme="1"/>
        <rFont val="Calibri"/>
      </rPr>
      <t xml:space="preserve">Alcohol Use </t>
    </r>
    <r>
      <rPr>
        <sz val="6"/>
        <color theme="1"/>
        <rFont val="Calibri"/>
      </rPr>
      <t>(use numeral (1) if applicable)</t>
    </r>
  </si>
  <si>
    <r>
      <rPr>
        <sz val="8"/>
        <color theme="1"/>
        <rFont val="Calibri"/>
      </rPr>
      <t xml:space="preserve">Illegal drugs used </t>
    </r>
    <r>
      <rPr>
        <sz val="6"/>
        <color theme="1"/>
        <rFont val="Calibri"/>
      </rPr>
      <t>(use numeral (1) if applicable)</t>
    </r>
  </si>
  <si>
    <r>
      <rPr>
        <sz val="8"/>
        <color theme="1"/>
        <rFont val="Calibri"/>
      </rPr>
      <t xml:space="preserve">self-help groups (AA, NA, etc.) </t>
    </r>
    <r>
      <rPr>
        <sz val="6"/>
        <color theme="1"/>
        <rFont val="Calibri"/>
      </rPr>
      <t>(use numeral (1) if applicable)</t>
    </r>
  </si>
  <si>
    <r>
      <rPr>
        <b/>
        <sz val="10"/>
        <color rgb="FF0070C0"/>
        <rFont val="Calibri"/>
      </rPr>
      <t xml:space="preserve">Date of Admission </t>
    </r>
    <r>
      <rPr>
        <b/>
        <sz val="8"/>
        <color rgb="FF0070C0"/>
        <rFont val="Calibri"/>
      </rPr>
      <t>(will auto populate)                              00/00/0000</t>
    </r>
  </si>
  <si>
    <r>
      <rPr>
        <sz val="8"/>
        <color theme="1"/>
        <rFont val="Calibri"/>
      </rPr>
      <t>Employment</t>
    </r>
    <r>
      <rPr>
        <sz val="6"/>
        <color theme="1"/>
        <rFont val="Calibri"/>
      </rPr>
      <t xml:space="preserve">  (use numeral (1) if applicable)</t>
    </r>
  </si>
  <si>
    <r>
      <rPr>
        <sz val="8"/>
        <color theme="1"/>
        <rFont val="Calibri"/>
      </rPr>
      <t xml:space="preserve">Student </t>
    </r>
    <r>
      <rPr>
        <sz val="6"/>
        <color theme="1"/>
        <rFont val="Calibri"/>
      </rPr>
      <t>(use numeral (1) if applicable)</t>
    </r>
  </si>
  <si>
    <r>
      <rPr>
        <sz val="8"/>
        <color theme="1"/>
        <rFont val="Calibri"/>
      </rPr>
      <t xml:space="preserve">Stable Living Situation </t>
    </r>
    <r>
      <rPr>
        <sz val="6"/>
        <color theme="1"/>
        <rFont val="Calibri"/>
      </rPr>
      <t>(use numeral (1) if applicable)</t>
    </r>
  </si>
  <si>
    <r>
      <rPr>
        <sz val="8"/>
        <color theme="1"/>
        <rFont val="Calibri"/>
      </rPr>
      <t>LEGAL - Arrest</t>
    </r>
    <r>
      <rPr>
        <sz val="6"/>
        <color theme="1"/>
        <rFont val="Calibri"/>
      </rPr>
      <t xml:space="preserve"> (use numeral (1) if applicable)</t>
    </r>
  </si>
  <si>
    <r>
      <rPr>
        <sz val="8"/>
        <color theme="1"/>
        <rFont val="Calibri"/>
      </rPr>
      <t xml:space="preserve">Alcohol Use </t>
    </r>
    <r>
      <rPr>
        <sz val="6"/>
        <color theme="1"/>
        <rFont val="Calibri"/>
      </rPr>
      <t>(use numeral (1) if applicable)</t>
    </r>
  </si>
  <si>
    <r>
      <rPr>
        <sz val="8"/>
        <color theme="1"/>
        <rFont val="Calibri"/>
      </rPr>
      <t xml:space="preserve">Illegal drugs used </t>
    </r>
    <r>
      <rPr>
        <sz val="6"/>
        <color theme="1"/>
        <rFont val="Calibri"/>
      </rPr>
      <t>(use numeral (1) if applicable)</t>
    </r>
  </si>
  <si>
    <r>
      <rPr>
        <sz val="8"/>
        <color theme="1"/>
        <rFont val="Calibri"/>
      </rPr>
      <t xml:space="preserve">self-help groups (AA, NA, etc.) </t>
    </r>
    <r>
      <rPr>
        <sz val="6"/>
        <color theme="1"/>
        <rFont val="Calibri"/>
      </rPr>
      <t>(use numeral (1) if applicable)</t>
    </r>
  </si>
  <si>
    <t xml:space="preserve">A:  Grantee - Program Information </t>
  </si>
  <si>
    <r>
      <rPr>
        <sz val="11"/>
        <color theme="1"/>
        <rFont val="Calibri"/>
      </rPr>
      <t xml:space="preserve">Program Name:  </t>
    </r>
    <r>
      <rPr>
        <sz val="8"/>
        <color theme="1"/>
        <rFont val="Calibri"/>
      </rPr>
      <t xml:space="preserve">(same as on Statement of Work): </t>
    </r>
  </si>
  <si>
    <r>
      <rPr>
        <sz val="11"/>
        <color theme="1"/>
        <rFont val="Calibri"/>
      </rPr>
      <t xml:space="preserve">Name of Program </t>
    </r>
    <r>
      <rPr>
        <sz val="8"/>
        <color theme="1"/>
        <rFont val="Calibri"/>
      </rPr>
      <t>(given by Grantee):</t>
    </r>
  </si>
  <si>
    <r>
      <rPr>
        <b/>
        <sz val="11"/>
        <color rgb="FFFF0000"/>
        <rFont val="Calibri"/>
      </rPr>
      <t xml:space="preserve">Month Being Reported </t>
    </r>
    <r>
      <rPr>
        <sz val="8"/>
        <color rgb="FFFF0000"/>
        <rFont val="Calibri"/>
      </rPr>
      <t>(Month/Year)</t>
    </r>
    <r>
      <rPr>
        <sz val="11"/>
        <color rgb="FFFF0000"/>
        <rFont val="Calibri"/>
      </rPr>
      <t>:</t>
    </r>
  </si>
  <si>
    <r>
      <rPr>
        <b/>
        <sz val="11"/>
        <color theme="0"/>
        <rFont val="Calibri"/>
      </rPr>
      <t xml:space="preserve">The above Information on ROWS 5,6,7,8,9 and 10  will populate to the other tabs  - Any changes (including the date) on the above information will need to be made on the tab (GRANTEE SET UP  INFO &amp; DATE)  -                                                                                                                                                                                                                           THIS SAME FORM IS DESIGNED TO BE USED FOR THE ENTIRE YEAR </t>
    </r>
    <r>
      <rPr>
        <b/>
        <sz val="11"/>
        <color rgb="FFFABF8F"/>
        <rFont val="Calibri"/>
      </rPr>
      <t xml:space="preserve"> BROWN FONT INDICATES DROP-DOWN BOX        </t>
    </r>
    <r>
      <rPr>
        <b/>
        <sz val="11"/>
        <color theme="0"/>
        <rFont val="Calibri"/>
      </rPr>
      <t xml:space="preserve">                                                                                                                                                                                                                                                                </t>
    </r>
  </si>
  <si>
    <r>
      <rPr>
        <b/>
        <sz val="11"/>
        <color theme="1"/>
        <rFont val="Calibri"/>
      </rPr>
      <t xml:space="preserve">CLIENT INFORMATION </t>
    </r>
    <r>
      <rPr>
        <sz val="9"/>
        <color theme="1"/>
        <rFont val="Calibri"/>
      </rPr>
      <t xml:space="preserve">                           (will auto populate)</t>
    </r>
  </si>
  <si>
    <t>30 DAYS BEFORE ADMISSION  (Use numeral (1) if applicable)</t>
  </si>
  <si>
    <t>POST 30 DAYS AFTER DISCHARGE   (Use numeral (1) if applicable)</t>
  </si>
  <si>
    <r>
      <rPr>
        <b/>
        <sz val="10"/>
        <color rgb="FF0070C0"/>
        <rFont val="Calibri"/>
      </rPr>
      <t xml:space="preserve">Date of Admission </t>
    </r>
    <r>
      <rPr>
        <b/>
        <sz val="8"/>
        <color rgb="FF0070C0"/>
        <rFont val="Calibri"/>
      </rPr>
      <t>(will auto populate)                              00/00/0000</t>
    </r>
  </si>
  <si>
    <r>
      <rPr>
        <sz val="8"/>
        <color theme="1"/>
        <rFont val="Calibri"/>
      </rPr>
      <t>Employment</t>
    </r>
    <r>
      <rPr>
        <sz val="6"/>
        <color theme="1"/>
        <rFont val="Calibri"/>
      </rPr>
      <t xml:space="preserve">  (use numeral (1) if applicable)</t>
    </r>
  </si>
  <si>
    <r>
      <rPr>
        <sz val="8"/>
        <color theme="1"/>
        <rFont val="Calibri"/>
      </rPr>
      <t xml:space="preserve">Student </t>
    </r>
    <r>
      <rPr>
        <sz val="6"/>
        <color theme="1"/>
        <rFont val="Calibri"/>
      </rPr>
      <t>(use numeral (1) if applicable)</t>
    </r>
  </si>
  <si>
    <r>
      <rPr>
        <sz val="8"/>
        <color theme="1"/>
        <rFont val="Calibri"/>
      </rPr>
      <t xml:space="preserve">Stable Living Situation </t>
    </r>
    <r>
      <rPr>
        <sz val="6"/>
        <color theme="1"/>
        <rFont val="Calibri"/>
      </rPr>
      <t>(use numeral (1) if applicable)</t>
    </r>
  </si>
  <si>
    <r>
      <rPr>
        <sz val="8"/>
        <color theme="1"/>
        <rFont val="Calibri"/>
      </rPr>
      <t>LEGAL - Arrest</t>
    </r>
    <r>
      <rPr>
        <sz val="6"/>
        <color theme="1"/>
        <rFont val="Calibri"/>
      </rPr>
      <t xml:space="preserve"> (use numeral (1) if applicable)</t>
    </r>
  </si>
  <si>
    <r>
      <rPr>
        <sz val="8"/>
        <color theme="1"/>
        <rFont val="Calibri"/>
      </rPr>
      <t xml:space="preserve">Alcohol Use </t>
    </r>
    <r>
      <rPr>
        <sz val="6"/>
        <color theme="1"/>
        <rFont val="Calibri"/>
      </rPr>
      <t>(use numeral (1) if applicable)</t>
    </r>
  </si>
  <si>
    <r>
      <rPr>
        <sz val="8"/>
        <color theme="1"/>
        <rFont val="Calibri"/>
      </rPr>
      <t xml:space="preserve">Illegal drugs used </t>
    </r>
    <r>
      <rPr>
        <sz val="6"/>
        <color theme="1"/>
        <rFont val="Calibri"/>
      </rPr>
      <t>(use numeral (1) if applicable)</t>
    </r>
  </si>
  <si>
    <r>
      <rPr>
        <sz val="8"/>
        <color theme="1"/>
        <rFont val="Calibri"/>
      </rPr>
      <t xml:space="preserve">self-help groups (AA, NA, etc.) </t>
    </r>
    <r>
      <rPr>
        <sz val="6"/>
        <color theme="1"/>
        <rFont val="Calibri"/>
      </rPr>
      <t>(use numeral (1) if applicable)</t>
    </r>
  </si>
  <si>
    <r>
      <rPr>
        <b/>
        <sz val="10"/>
        <color rgb="FF0070C0"/>
        <rFont val="Calibri"/>
      </rPr>
      <t xml:space="preserve">Date of Admission </t>
    </r>
    <r>
      <rPr>
        <b/>
        <sz val="8"/>
        <color rgb="FF0070C0"/>
        <rFont val="Calibri"/>
      </rPr>
      <t>(will auto populate)                              00/00/0000</t>
    </r>
  </si>
  <si>
    <r>
      <rPr>
        <sz val="8"/>
        <color theme="1"/>
        <rFont val="Calibri"/>
      </rPr>
      <t>Employment</t>
    </r>
    <r>
      <rPr>
        <sz val="6"/>
        <color theme="1"/>
        <rFont val="Calibri"/>
      </rPr>
      <t xml:space="preserve">  (use numeral (1) if applicable)</t>
    </r>
  </si>
  <si>
    <r>
      <rPr>
        <sz val="8"/>
        <color theme="1"/>
        <rFont val="Calibri"/>
      </rPr>
      <t xml:space="preserve">Student </t>
    </r>
    <r>
      <rPr>
        <sz val="6"/>
        <color theme="1"/>
        <rFont val="Calibri"/>
      </rPr>
      <t>(use numeral (1) if applicable)</t>
    </r>
  </si>
  <si>
    <r>
      <rPr>
        <sz val="8"/>
        <color theme="1"/>
        <rFont val="Calibri"/>
      </rPr>
      <t xml:space="preserve">Stable Living Situation </t>
    </r>
    <r>
      <rPr>
        <sz val="6"/>
        <color theme="1"/>
        <rFont val="Calibri"/>
      </rPr>
      <t>(use numeral (1) if applicable)</t>
    </r>
  </si>
  <si>
    <r>
      <rPr>
        <sz val="8"/>
        <color theme="1"/>
        <rFont val="Calibri"/>
      </rPr>
      <t>LEGAL - Arrest</t>
    </r>
    <r>
      <rPr>
        <sz val="6"/>
        <color theme="1"/>
        <rFont val="Calibri"/>
      </rPr>
      <t xml:space="preserve"> (use numeral (1) if applicable)</t>
    </r>
  </si>
  <si>
    <r>
      <rPr>
        <sz val="8"/>
        <color theme="1"/>
        <rFont val="Calibri"/>
      </rPr>
      <t xml:space="preserve">Alcohol Use </t>
    </r>
    <r>
      <rPr>
        <sz val="6"/>
        <color theme="1"/>
        <rFont val="Calibri"/>
      </rPr>
      <t>(use numeral (1) if applicable)</t>
    </r>
  </si>
  <si>
    <r>
      <rPr>
        <sz val="8"/>
        <color theme="1"/>
        <rFont val="Calibri"/>
      </rPr>
      <t xml:space="preserve">Illegal drugs used </t>
    </r>
    <r>
      <rPr>
        <sz val="6"/>
        <color theme="1"/>
        <rFont val="Calibri"/>
      </rPr>
      <t>(use numeral (1) if applicable)</t>
    </r>
  </si>
  <si>
    <r>
      <rPr>
        <sz val="8"/>
        <color theme="1"/>
        <rFont val="Calibri"/>
      </rPr>
      <t xml:space="preserve">self-help groups (AA, NA, etc.) </t>
    </r>
    <r>
      <rPr>
        <sz val="6"/>
        <color theme="1"/>
        <rFont val="Calibri"/>
      </rPr>
      <t>(use numeral (1) if applicable)</t>
    </r>
  </si>
  <si>
    <t>Date of Training</t>
  </si>
  <si>
    <t xml:space="preserve">TYPE OF TRAINING </t>
  </si>
  <si>
    <t>Description of Training</t>
  </si>
  <si>
    <t>Purpose of Training</t>
  </si>
  <si>
    <t>Entity  Providing Training</t>
  </si>
  <si>
    <t>Location of Training (include city, county)</t>
  </si>
  <si>
    <t>Person(s) Providing Training</t>
  </si>
  <si>
    <t>Credentials of Person(s) Providing Training</t>
  </si>
  <si>
    <t>Was training Funded wholly or in part by SOR funds? (YES/NO)</t>
  </si>
  <si>
    <t xml:space="preserve">Was training done to full the SOR SOW ?(YES/NO) </t>
  </si>
  <si>
    <t>PRSS 1</t>
  </si>
  <si>
    <t>PRSS 2</t>
  </si>
  <si>
    <t>PRSS 3</t>
  </si>
  <si>
    <t>PRSS 4</t>
  </si>
  <si>
    <t>PRSS 5</t>
  </si>
  <si>
    <t>PRSS 6</t>
  </si>
  <si>
    <t>PRSS 7</t>
  </si>
  <si>
    <t>PRSS 8</t>
  </si>
  <si>
    <t>PRSS 9</t>
  </si>
  <si>
    <t>PRSS 10</t>
  </si>
  <si>
    <t>PRSS 11</t>
  </si>
  <si>
    <t>PRSS 12</t>
  </si>
  <si>
    <t>Peer Recovery Support Positions</t>
  </si>
  <si>
    <t>Physicians</t>
  </si>
  <si>
    <t>Physician Assistants</t>
  </si>
  <si>
    <t>Nurse Practitioners</t>
  </si>
  <si>
    <t>Nurse (RN, LPN)</t>
  </si>
  <si>
    <t>Social Workers</t>
  </si>
  <si>
    <t>Addiction Counselors</t>
  </si>
  <si>
    <t>Prevention</t>
  </si>
  <si>
    <t xml:space="preserve">Other (Describe in notes) </t>
  </si>
  <si>
    <t xml:space="preserve">A:  Grantee - Program Information  </t>
  </si>
  <si>
    <r>
      <rPr>
        <sz val="11"/>
        <color theme="1"/>
        <rFont val="Calibri"/>
      </rPr>
      <t xml:space="preserve">Program Name:  </t>
    </r>
    <r>
      <rPr>
        <sz val="8"/>
        <color theme="1"/>
        <rFont val="Calibri"/>
      </rPr>
      <t xml:space="preserve">(same as on Statement of Work): </t>
    </r>
  </si>
  <si>
    <r>
      <rPr>
        <sz val="11"/>
        <color theme="1"/>
        <rFont val="Calibri"/>
      </rPr>
      <t xml:space="preserve">Name of Program </t>
    </r>
    <r>
      <rPr>
        <sz val="8"/>
        <color theme="1"/>
        <rFont val="Calibri"/>
      </rPr>
      <t>(given by Grantee):</t>
    </r>
  </si>
  <si>
    <r>
      <rPr>
        <b/>
        <sz val="11"/>
        <color rgb="FFFF0000"/>
        <rFont val="Calibri"/>
      </rPr>
      <t xml:space="preserve">Month Being Reported </t>
    </r>
    <r>
      <rPr>
        <sz val="8"/>
        <color rgb="FFFF0000"/>
        <rFont val="Calibri"/>
      </rPr>
      <t>(Month/Year)</t>
    </r>
    <r>
      <rPr>
        <sz val="11"/>
        <color rgb="FFFF0000"/>
        <rFont val="Calibri"/>
      </rPr>
      <t>:</t>
    </r>
  </si>
  <si>
    <r>
      <rPr>
        <b/>
        <sz val="11"/>
        <color theme="0"/>
        <rFont val="Calibri"/>
      </rPr>
      <t xml:space="preserve">The above Information on ROWS 5,6,7,8,and 9  will populate to the other tabs  - Any changes on the above information will need to be made on the GRANTEE SET UP INFO &amp; DATE tab-                                                                                                                                                                                                                                                              THIS SAME FORM IS DESIGNED TO BE USED FOR THE ENTIRE YEAR........ </t>
    </r>
    <r>
      <rPr>
        <b/>
        <sz val="11"/>
        <color rgb="FFFABF8F"/>
        <rFont val="Calibri"/>
      </rPr>
      <t xml:space="preserve"> BROWN FONT INDICATES A DROP-DOWN BOX        </t>
    </r>
    <r>
      <rPr>
        <b/>
        <sz val="11"/>
        <color theme="0"/>
        <rFont val="Calibri"/>
      </rPr>
      <t xml:space="preserve">                                                                                                                                                                                                                                                                </t>
    </r>
  </si>
  <si>
    <t xml:space="preserve">B:  EVIDENCE BASED TRAINING </t>
  </si>
  <si>
    <t xml:space="preserve">TRAINING </t>
  </si>
  <si>
    <r>
      <rPr>
        <sz val="10"/>
        <color theme="1"/>
        <rFont val="Calibri"/>
      </rPr>
      <t xml:space="preserve">TRAINING FOR Peer Recovery Support Specialist </t>
    </r>
    <r>
      <rPr>
        <b/>
        <sz val="10"/>
        <color theme="1"/>
        <rFont val="Calibri"/>
      </rPr>
      <t xml:space="preserve"> </t>
    </r>
    <r>
      <rPr>
        <b/>
        <sz val="10"/>
        <color rgb="FFFF0000"/>
        <rFont val="Calibri"/>
      </rPr>
      <t>(FUNDED BY GRANT</t>
    </r>
    <r>
      <rPr>
        <sz val="10"/>
        <color rgb="FFFF0000"/>
        <rFont val="Calibri"/>
      </rPr>
      <t>)</t>
    </r>
    <r>
      <rPr>
        <sz val="10"/>
        <color theme="1"/>
        <rFont val="Calibri"/>
      </rPr>
      <t xml:space="preserve"> PARTICIPATING BY DISCIPLINE  (Line 14 - initials will populate from Grantee Set Up Info &amp; Date Tab) </t>
    </r>
  </si>
  <si>
    <r>
      <rPr>
        <sz val="10"/>
        <color theme="1"/>
        <rFont val="Calibri"/>
      </rPr>
      <t xml:space="preserve">NUMBER OF </t>
    </r>
    <r>
      <rPr>
        <b/>
        <sz val="10"/>
        <color theme="1"/>
        <rFont val="Calibri"/>
      </rPr>
      <t>INTERNAL/EXTERNAL</t>
    </r>
    <r>
      <rPr>
        <sz val="10"/>
        <color theme="1"/>
        <rFont val="Calibri"/>
      </rPr>
      <t xml:space="preserve"> INDIVIDUALS</t>
    </r>
    <r>
      <rPr>
        <b/>
        <sz val="10"/>
        <color theme="1"/>
        <rFont val="Calibri"/>
      </rPr>
      <t xml:space="preserve"> </t>
    </r>
    <r>
      <rPr>
        <sz val="10"/>
        <color rgb="FFFF0000"/>
        <rFont val="Calibri"/>
      </rPr>
      <t>(</t>
    </r>
    <r>
      <rPr>
        <b/>
        <sz val="10"/>
        <color rgb="FFFF0000"/>
        <rFont val="Calibri"/>
      </rPr>
      <t xml:space="preserve">NOT </t>
    </r>
    <r>
      <rPr>
        <sz val="10"/>
        <color rgb="FFFF0000"/>
        <rFont val="Calibri"/>
      </rPr>
      <t xml:space="preserve">FUNDED BY  GRANT) </t>
    </r>
    <r>
      <rPr>
        <sz val="10"/>
        <color theme="1"/>
        <rFont val="Calibri"/>
      </rPr>
      <t>PARTICIPATING  BY DISCIPLINE  (USE NUMBER -DO NOT USE ALPHABET)</t>
    </r>
  </si>
  <si>
    <t xml:space="preserve">Was training done to fulfil the SOR SOW? (YES/NO) </t>
  </si>
  <si>
    <t xml:space="preserve">Date of Naloxone Training </t>
  </si>
  <si>
    <t>Location of Training</t>
  </si>
  <si>
    <t>funded wholly or in part by SOR</t>
  </si>
  <si>
    <t>Funded Generally (NOT BY GRANT) List Funding Source under NOTES</t>
  </si>
  <si>
    <t>Date of Naloxone Distribution</t>
  </si>
  <si>
    <t xml:space="preserve">Total # of Naloxone overdose reversal kits distributed </t>
  </si>
  <si>
    <t>Location(s) Naloxone Kits Distributed  (include city, county)</t>
  </si>
  <si>
    <t>Naloxone Kits funded wholly or in part by SOR</t>
  </si>
  <si>
    <t xml:space="preserve">Date  Aware of Overdose Reversals </t>
  </si>
  <si>
    <t xml:space="preserve">Number of Overdose Reversals </t>
  </si>
  <si>
    <t xml:space="preserve">A:  Grantee - Program Information   </t>
  </si>
  <si>
    <r>
      <rPr>
        <sz val="11"/>
        <color theme="1"/>
        <rFont val="Calibri"/>
      </rPr>
      <t xml:space="preserve">Program Name:  </t>
    </r>
    <r>
      <rPr>
        <sz val="8"/>
        <color theme="1"/>
        <rFont val="Calibri"/>
      </rPr>
      <t xml:space="preserve">(same as on SOW): </t>
    </r>
  </si>
  <si>
    <r>
      <rPr>
        <sz val="11"/>
        <color theme="1"/>
        <rFont val="Calibri"/>
      </rPr>
      <t xml:space="preserve">Name of Program </t>
    </r>
    <r>
      <rPr>
        <sz val="8"/>
        <color theme="1"/>
        <rFont val="Calibri"/>
      </rPr>
      <t>(given by Grantee):</t>
    </r>
  </si>
  <si>
    <r>
      <rPr>
        <b/>
        <sz val="11"/>
        <color rgb="FFFF0000"/>
        <rFont val="Calibri"/>
      </rPr>
      <t xml:space="preserve">Month Being Reported </t>
    </r>
    <r>
      <rPr>
        <sz val="8"/>
        <color rgb="FFFF0000"/>
        <rFont val="Calibri"/>
      </rPr>
      <t>(Month/Year)</t>
    </r>
    <r>
      <rPr>
        <sz val="11"/>
        <color rgb="FFFF0000"/>
        <rFont val="Calibri"/>
      </rPr>
      <t>:</t>
    </r>
  </si>
  <si>
    <r>
      <rPr>
        <b/>
        <sz val="11"/>
        <color theme="0"/>
        <rFont val="Calibri"/>
      </rPr>
      <t xml:space="preserve">The above Information on ROWS 5,6,7,8,and 9  will populate to the other tabs  - Any changes on the above information will need to be made on the GRANTEE SET UP INFO &amp; DATE tab-                                                                                                                                                                                                                             THIS SAME FORM IS DESIGNED TO BE USED FOR THE ENTIRE YEAR </t>
    </r>
    <r>
      <rPr>
        <b/>
        <sz val="11"/>
        <color rgb="FFFABF8F"/>
        <rFont val="Calibri"/>
      </rPr>
      <t xml:space="preserve"> BROWN FONT INDICATES A DROP-DOWN BOX        </t>
    </r>
    <r>
      <rPr>
        <b/>
        <sz val="11"/>
        <color theme="0"/>
        <rFont val="Calibri"/>
      </rPr>
      <t xml:space="preserve">                                                                                                                                                                                                                                                                </t>
    </r>
  </si>
  <si>
    <t xml:space="preserve">B:  Naloxone Training and Naloxone Distribution </t>
  </si>
  <si>
    <t xml:space="preserve">Naloxone Training </t>
  </si>
  <si>
    <t xml:space="preserve">Naloxone TRAINING FOR Peer Recovery Support Specialist  (FUNDED BY GRANT) PARTICIPATING BY DISCIPLINE  (Line 14 - initials will populate from Grantee Set Up Info &amp; Date Tab) </t>
  </si>
  <si>
    <r>
      <rPr>
        <sz val="10"/>
        <color theme="1"/>
        <rFont val="Calibri"/>
      </rPr>
      <t xml:space="preserve">NUMBER OF </t>
    </r>
    <r>
      <rPr>
        <b/>
        <sz val="10"/>
        <color theme="1"/>
        <rFont val="Calibri"/>
      </rPr>
      <t>INTERNAL/EXTERNAL</t>
    </r>
    <r>
      <rPr>
        <sz val="10"/>
        <color theme="1"/>
        <rFont val="Calibri"/>
      </rPr>
      <t xml:space="preserve"> STAFF</t>
    </r>
    <r>
      <rPr>
        <b/>
        <sz val="10"/>
        <color theme="1"/>
        <rFont val="Calibri"/>
      </rPr>
      <t xml:space="preserve">  BY DISCIPLINE</t>
    </r>
    <r>
      <rPr>
        <sz val="10"/>
        <color theme="1"/>
        <rFont val="Calibri"/>
      </rPr>
      <t xml:space="preserve"> </t>
    </r>
    <r>
      <rPr>
        <sz val="10"/>
        <color rgb="FFFF0000"/>
        <rFont val="Calibri"/>
      </rPr>
      <t>(</t>
    </r>
    <r>
      <rPr>
        <b/>
        <sz val="10"/>
        <color rgb="FFFF0000"/>
        <rFont val="Calibri"/>
      </rPr>
      <t xml:space="preserve">NOT </t>
    </r>
    <r>
      <rPr>
        <sz val="10"/>
        <color rgb="FFFF0000"/>
        <rFont val="Calibri"/>
      </rPr>
      <t xml:space="preserve">FUNDED BY  GRANT) </t>
    </r>
    <r>
      <rPr>
        <sz val="10"/>
        <color theme="1"/>
        <rFont val="Calibri"/>
      </rPr>
      <t xml:space="preserve">RECEIVING NALOXONE TRAINING ( USE A NUMBER - NOT ALPHABET) </t>
    </r>
  </si>
  <si>
    <r>
      <rPr>
        <sz val="18"/>
        <color theme="1"/>
        <rFont val="Calibri"/>
      </rPr>
      <t xml:space="preserve">NALOXONE DISTRIBUTION                             </t>
    </r>
    <r>
      <rPr>
        <sz val="11"/>
        <color theme="1"/>
        <rFont val="Calibri"/>
      </rPr>
      <t xml:space="preserve">(Does not necessarily have to tie to training)  </t>
    </r>
  </si>
  <si>
    <r>
      <rPr>
        <sz val="14"/>
        <color theme="1"/>
        <rFont val="Calibri"/>
      </rPr>
      <t xml:space="preserve">OVERDOSE REVERSALS                                  </t>
    </r>
    <r>
      <rPr>
        <sz val="10"/>
        <color theme="1"/>
        <rFont val="Calibri"/>
      </rPr>
      <t xml:space="preserve">(Does not necessarily have to tie to training)  </t>
    </r>
  </si>
  <si>
    <t>Date Aware of Overdose Reversals</t>
  </si>
  <si>
    <t xml:space="preserve">Number of Overdose Reversals                    </t>
  </si>
  <si>
    <t>YES</t>
  </si>
  <si>
    <t>Date of Activity 00/00/0000</t>
  </si>
  <si>
    <t xml:space="preserve">Type of Activity (Cross Planning Initiative, Service Activities implemented with other entity, Other) </t>
  </si>
  <si>
    <t>Name of Activity</t>
  </si>
  <si>
    <t xml:space="preserve">Purpose of Activity - Meeting - Event </t>
  </si>
  <si>
    <t># Attending / Participating</t>
  </si>
  <si>
    <t xml:space="preserve">Entity  Providing/Leading  Activity - Meeting - Event </t>
  </si>
  <si>
    <t xml:space="preserve">Person(s) Providing / Leading Activity </t>
  </si>
  <si>
    <t>Credentials of Person(s) Providing / Leading  Activity</t>
  </si>
  <si>
    <t>Location of Activity (City/County)</t>
  </si>
  <si>
    <t xml:space="preserve">System(s) - Organization(s) Represented at the Activity </t>
  </si>
  <si>
    <t xml:space="preserve">Was Activity done to fulfil the SOW (YES/NO) </t>
  </si>
  <si>
    <t>A:  Grantee - Program Information  (ANY CHANGES INCLUDING THE DATE ON Rows 5 - 9 will need to be changed on GRANTEE SET UP &amp; INFO TAB [an earlier tab])</t>
  </si>
  <si>
    <r>
      <rPr>
        <sz val="11"/>
        <color theme="1"/>
        <rFont val="Calibri"/>
      </rPr>
      <t xml:space="preserve">Program Name:  </t>
    </r>
    <r>
      <rPr>
        <sz val="8"/>
        <color theme="1"/>
        <rFont val="Calibri"/>
      </rPr>
      <t xml:space="preserve">(same as on SOW): </t>
    </r>
  </si>
  <si>
    <r>
      <rPr>
        <sz val="11"/>
        <color theme="1"/>
        <rFont val="Calibri"/>
      </rPr>
      <t xml:space="preserve">Name of Program </t>
    </r>
    <r>
      <rPr>
        <sz val="8"/>
        <color theme="1"/>
        <rFont val="Calibri"/>
      </rPr>
      <t>(given by Grantee):</t>
    </r>
  </si>
  <si>
    <r>
      <rPr>
        <b/>
        <sz val="11"/>
        <color rgb="FFFF0000"/>
        <rFont val="Calibri"/>
      </rPr>
      <t xml:space="preserve">Month Being Reported </t>
    </r>
    <r>
      <rPr>
        <sz val="8"/>
        <color rgb="FFFF0000"/>
        <rFont val="Calibri"/>
      </rPr>
      <t>(Month/Year)</t>
    </r>
    <r>
      <rPr>
        <sz val="11"/>
        <color rgb="FFFF0000"/>
        <rFont val="Calibri"/>
      </rPr>
      <t>:</t>
    </r>
  </si>
  <si>
    <r>
      <rPr>
        <b/>
        <sz val="11"/>
        <color theme="0"/>
        <rFont val="Calibri"/>
      </rPr>
      <t xml:space="preserve">The above Information on ROWS 5,6,7,8,and 9  will populate to the other tabs  - Any changes on the above information will need to be made on the GRANTEE SET UP INFO &amp; DATE tab-                                                                                                                                                                                                                           THIS SAME FORM IS DESIGNED TO BE USED FOR THE ENTIRE YEAR........ </t>
    </r>
    <r>
      <rPr>
        <b/>
        <sz val="11"/>
        <color rgb="FFFABF8F"/>
        <rFont val="Calibri"/>
      </rPr>
      <t xml:space="preserve"> BROWN FONT INDICATES A DROP-DOWN BOX        </t>
    </r>
    <r>
      <rPr>
        <b/>
        <sz val="11"/>
        <color theme="0"/>
        <rFont val="Calibri"/>
      </rPr>
      <t xml:space="preserve">                                                                                                                                                                                                                                                                </t>
    </r>
  </si>
  <si>
    <t xml:space="preserve">B:  ACTIVITIES MEETINGS EVENTS </t>
  </si>
  <si>
    <t>Date of Activity - Meeting - Event  00/00/0000</t>
  </si>
  <si>
    <t xml:space="preserve">Type of Activity (Cross Planning Initiative,  Service Activities implemented with other entity, Other) </t>
  </si>
  <si>
    <t xml:space="preserve">Name of Activity - Meeting - Event </t>
  </si>
  <si>
    <t xml:space="preserve">Person(s) Providing / Leading Activity - Meeting - Event </t>
  </si>
  <si>
    <t>Location of Activity - Meeting - Event  (City/County)</t>
  </si>
  <si>
    <t xml:space="preserve">System(s) - Organization(s) Represented at the Activity - Meeting - Event </t>
  </si>
  <si>
    <t xml:space="preserve">Was Activity - Meeting - Event done to fulfil the SOW (YES/NO) </t>
  </si>
  <si>
    <t>Date of Consumer Feedback Activity  00/00/0000</t>
  </si>
  <si>
    <t xml:space="preserve">Type of Consumer Feedback Activity </t>
  </si>
  <si>
    <t xml:space="preserve">Survey Completed for: </t>
  </si>
  <si>
    <t>Did the feedback indicate that the Service / Activity was accessible to  individuals?</t>
  </si>
  <si>
    <t>Aggregate Results (example: What information was learned that can lead to improvement of service delivery?)</t>
  </si>
  <si>
    <t>A:  Grantee - Program Information  (ANY CHANGES INCLUDING THE DATE ON Rows6 - 9 will need to be changed on GRANTEE SET UP &amp; INFO TAB [an earlier tab])</t>
  </si>
  <si>
    <r>
      <rPr>
        <sz val="11"/>
        <color theme="1"/>
        <rFont val="Calibri"/>
      </rPr>
      <t xml:space="preserve">Program </t>
    </r>
    <r>
      <rPr>
        <sz val="8"/>
        <color theme="1"/>
        <rFont val="Calibri"/>
      </rPr>
      <t xml:space="preserve">(same as on Statement of Work): </t>
    </r>
  </si>
  <si>
    <t>Agency Name:</t>
  </si>
  <si>
    <r>
      <rPr>
        <sz val="11"/>
        <color theme="1"/>
        <rFont val="Calibri"/>
      </rPr>
      <t xml:space="preserve">Name of Program </t>
    </r>
    <r>
      <rPr>
        <sz val="8"/>
        <color theme="1"/>
        <rFont val="Calibri"/>
      </rPr>
      <t>(given by Agency):</t>
    </r>
  </si>
  <si>
    <t xml:space="preserve">Contact Phone: </t>
  </si>
  <si>
    <r>
      <rPr>
        <b/>
        <sz val="11"/>
        <color rgb="FFFF0000"/>
        <rFont val="Calibri"/>
      </rPr>
      <t>Month Being Reported</t>
    </r>
    <r>
      <rPr>
        <sz val="11"/>
        <color rgb="FFFF0000"/>
        <rFont val="Calibri"/>
      </rPr>
      <t xml:space="preserve"> </t>
    </r>
    <r>
      <rPr>
        <sz val="8"/>
        <color rgb="FFFF0000"/>
        <rFont val="Calibri"/>
      </rPr>
      <t>(Month/Year)</t>
    </r>
    <r>
      <rPr>
        <sz val="11"/>
        <color rgb="FFFF0000"/>
        <rFont val="Calibri"/>
      </rPr>
      <t>:</t>
    </r>
  </si>
  <si>
    <t>Program Code:</t>
  </si>
  <si>
    <t xml:space="preserve">The above Information on ROWS 5,6,7,8,and 9  will populate to the other tabs  - Any changes on the above information will need to be made on the GRANTEE SET UP INFO &amp; DATE tab-                                                                                                                                                              Remember, THIS SAME FORM IS DESIGNED TO BE USED FOR THE ENTIRE YEAR </t>
  </si>
  <si>
    <t xml:space="preserve">B: Client Satisfaction Information </t>
  </si>
  <si>
    <t>8.A:  Grantee - Program Information  (ANY CHANGES INCLUDING THE DATE ON Rows 4 - 9 will need to be changed on GRANTEE SET UP &amp; INFO TAB [an earlier tab])</t>
  </si>
  <si>
    <r>
      <rPr>
        <sz val="11"/>
        <color theme="1"/>
        <rFont val="Calibri"/>
      </rPr>
      <t xml:space="preserve">Program </t>
    </r>
    <r>
      <rPr>
        <sz val="8"/>
        <color theme="1"/>
        <rFont val="Calibri"/>
      </rPr>
      <t xml:space="preserve">(same as on Statement of Work): </t>
    </r>
  </si>
  <si>
    <r>
      <rPr>
        <sz val="11"/>
        <color theme="1"/>
        <rFont val="Calibri"/>
      </rPr>
      <t xml:space="preserve">Name of Program </t>
    </r>
    <r>
      <rPr>
        <sz val="8"/>
        <color theme="1"/>
        <rFont val="Calibri"/>
      </rPr>
      <t>(given by Agency):</t>
    </r>
  </si>
  <si>
    <r>
      <rPr>
        <b/>
        <sz val="11"/>
        <color rgb="FFFF0000"/>
        <rFont val="Calibri"/>
      </rPr>
      <t>Month Being Reported</t>
    </r>
    <r>
      <rPr>
        <sz val="11"/>
        <color rgb="FFFF0000"/>
        <rFont val="Calibri"/>
      </rPr>
      <t xml:space="preserve"> </t>
    </r>
    <r>
      <rPr>
        <sz val="8"/>
        <color rgb="FFFF0000"/>
        <rFont val="Calibri"/>
      </rPr>
      <t>(Month/Year)</t>
    </r>
    <r>
      <rPr>
        <sz val="11"/>
        <color rgb="FFFF0000"/>
        <rFont val="Calibri"/>
      </rPr>
      <t>:</t>
    </r>
  </si>
  <si>
    <t xml:space="preserve">The above Information on ROWS 4,5,6, and 8  will populate to the other tabs  - Any changes on the above information will need to be made on the GRANTEE SET UP INFO &amp; DATE tab-                                                                                Remember, THIS SAME FORM IS DESIGNED TO BE USED FOR THE ENTIRE YEAR </t>
  </si>
  <si>
    <t>8.B: SUMMARY</t>
  </si>
  <si>
    <t>PROFILE OF PROGRAM</t>
  </si>
  <si>
    <t>TOTAL YEAR TO DATE</t>
  </si>
  <si>
    <t xml:space="preserve">Individuals Admitted to the Program between 07/01/2010 and 09/30/2019  </t>
  </si>
  <si>
    <t>Individuals Admitted to the Program during the fiscal year:</t>
  </si>
  <si>
    <t>Individuals re-admitted to the program in the past year</t>
  </si>
  <si>
    <t>Individuals Discharged/Transferred from the Program during the Fiscal year:</t>
  </si>
  <si>
    <t xml:space="preserve">Individuals Currently in the Program year to date: </t>
  </si>
  <si>
    <t xml:space="preserve">Total Number of Clients Served by the Program During Fiscal Year: </t>
  </si>
  <si>
    <t>Total Number of Unduplicated Clients Served by Program During Fiscal Year</t>
  </si>
  <si>
    <t xml:space="preserve">REFERRAL INFORMATION </t>
  </si>
  <si>
    <t>DEMOGRAPHICS</t>
  </si>
  <si>
    <t>AGE - NON PREGNANT CLIENTS</t>
  </si>
  <si>
    <t>White</t>
  </si>
  <si>
    <t>Black or African American</t>
  </si>
  <si>
    <t>Native Hawaiian / Other Pacific Islander</t>
  </si>
  <si>
    <t>Asian</t>
  </si>
  <si>
    <t>American Indian / Alaska Native</t>
  </si>
  <si>
    <t xml:space="preserve">More than One Race Reported </t>
  </si>
  <si>
    <t xml:space="preserve">Unknown </t>
  </si>
  <si>
    <t xml:space="preserve">TOTAL </t>
  </si>
  <si>
    <t>Not Hispanic or Latino</t>
  </si>
  <si>
    <t>Hispanic or Latino</t>
  </si>
  <si>
    <t>Male</t>
  </si>
  <si>
    <t>Female</t>
  </si>
  <si>
    <t>non pregnant - Age 12 and under</t>
  </si>
  <si>
    <t>non pregnant - Age 13-17</t>
  </si>
  <si>
    <t>non pregnant - Age 18-20</t>
  </si>
  <si>
    <t>non pregnant - ages 21-24</t>
  </si>
  <si>
    <t>non pregnant - Ages 25-44</t>
  </si>
  <si>
    <t>non pregnant - Ages 45-64</t>
  </si>
  <si>
    <t>non pregnant - Ages 65-74</t>
  </si>
  <si>
    <t>non pregnant - Ages 75 and over</t>
  </si>
  <si>
    <t>TOTAL</t>
  </si>
  <si>
    <t>AGE - PREGNANT CLIENTS</t>
  </si>
  <si>
    <t>pregnant women - Age 12 and under</t>
  </si>
  <si>
    <t>pregnant women -  Age 13-17</t>
  </si>
  <si>
    <t>pregnant women - Age 18-20</t>
  </si>
  <si>
    <t>pregnant women - ages 21-24</t>
  </si>
  <si>
    <t>pregnant women - Ages 25-44</t>
  </si>
  <si>
    <t>pregnant women - Ages 45-64</t>
  </si>
  <si>
    <t>pregnant women - Ages 65-74</t>
  </si>
  <si>
    <t>pregnant women - Ages 75 and over</t>
  </si>
  <si>
    <t xml:space="preserve">TOTAL   NON PREGNANT &amp; PREGNANT </t>
  </si>
  <si>
    <t>VETERAN STATUS</t>
  </si>
  <si>
    <t>Veterans</t>
  </si>
  <si>
    <t>Assisted with HI enrollment for the eligible uninsured</t>
  </si>
  <si>
    <t>NO</t>
  </si>
  <si>
    <t>N/A</t>
  </si>
  <si>
    <t xml:space="preserve">STATUS: MEDICATION ASSISTED TREATMENT </t>
  </si>
  <si>
    <t xml:space="preserve">CLIENT HAS RECOVERY PLAN </t>
  </si>
  <si>
    <t xml:space="preserve">SUMMARY OF MAT ACTIVITY </t>
  </si>
  <si>
    <t xml:space="preserve">Client has individualized change/recovery plan </t>
  </si>
  <si>
    <t xml:space="preserve">Pregnant - Already on MAT upon Admission to program </t>
  </si>
  <si>
    <t xml:space="preserve">Pregnant -- Referred to MAT while in Program </t>
  </si>
  <si>
    <t xml:space="preserve">Pregnant - Admitted to MAT while in Program </t>
  </si>
  <si>
    <t xml:space="preserve">Pregnant - Remained on MAT while in Program </t>
  </si>
  <si>
    <t xml:space="preserve">Not Pregnant - Already on MAT upon Admission to program </t>
  </si>
  <si>
    <t xml:space="preserve">Not Pregnant  -- Referred to MAT while in Program </t>
  </si>
  <si>
    <t xml:space="preserve">Not Pregnant - Admitted to MAT while in Program </t>
  </si>
  <si>
    <t xml:space="preserve">DIAGNOSES - HISTORY OF SUBSTANCE USE DISORDER </t>
  </si>
  <si>
    <t xml:space="preserve">Not Pregnant - Remained on MAT while in Program </t>
  </si>
  <si>
    <t>History of Substance Use Disorder</t>
  </si>
  <si>
    <t>TYPE OF MAT UTILZIED</t>
  </si>
  <si>
    <t>Methadone</t>
  </si>
  <si>
    <t>Buprenorphine Oral</t>
  </si>
  <si>
    <t>Buprenorphine - Injectable</t>
  </si>
  <si>
    <t>Buprenorphine Implant</t>
  </si>
  <si>
    <t>Naltrexone - Oral</t>
  </si>
  <si>
    <t xml:space="preserve">Naltrexone - Injectable </t>
  </si>
  <si>
    <t xml:space="preserve">Did not Use Medicaid Assisted Treatment (MAT) </t>
  </si>
  <si>
    <t xml:space="preserve">Changed Type of MAT (Switched from one type to another) </t>
  </si>
  <si>
    <t>STATUS:  DISCHARGE</t>
  </si>
  <si>
    <t>REASONS FOR DISCHARGE</t>
  </si>
  <si>
    <t>Referred to another PRSS</t>
  </si>
  <si>
    <t>mutually agreed cessation of PRSS</t>
  </si>
  <si>
    <t xml:space="preserve">Withdrew from / DECLINED </t>
  </si>
  <si>
    <t>Other (SPECIFY)</t>
  </si>
  <si>
    <t>NOMS PRE ADMISSION - POST DISCHARGE</t>
  </si>
  <si>
    <t xml:space="preserve">STATUS OF  CLIENTS :  PRE ADMISSION - POST REFERAL  </t>
  </si>
  <si>
    <t>30 Days Prior</t>
  </si>
  <si>
    <t xml:space="preserve">30 Days Post </t>
  </si>
  <si>
    <t>Employment</t>
  </si>
  <si>
    <t>Student</t>
  </si>
  <si>
    <t>Stable Living Environment</t>
  </si>
  <si>
    <t>Legal - Arrest</t>
  </si>
  <si>
    <t xml:space="preserve">Alcohol Use </t>
  </si>
  <si>
    <t>Illegal Drugs Used</t>
  </si>
  <si>
    <t>Self Help Group------  N/A - AA</t>
  </si>
  <si>
    <t xml:space="preserve">Caseload per Recovery Specialist </t>
  </si>
  <si>
    <t xml:space="preserve">Caseload size </t>
  </si>
  <si>
    <t>TOTAL:</t>
  </si>
  <si>
    <t xml:space="preserve">value for Line 102 needs to be same as Line 101 - formula on line 102 needs adjusted for this. </t>
  </si>
  <si>
    <t xml:space="preserve">TRAINING                                                                                                                                                                                                                                                                                                                                        TRAINING                                                                                                                                                                                                                                                                                                                      </t>
  </si>
  <si>
    <t>TRAINING</t>
  </si>
  <si>
    <t># of Trainings</t>
  </si>
  <si>
    <t>Training done to fulfil the SOW</t>
  </si>
  <si>
    <t>Training funded wholly or in part by Grant</t>
  </si>
  <si>
    <t>Mandatory</t>
  </si>
  <si>
    <t>Evidence Based</t>
  </si>
  <si>
    <t>Both Mandatory and Evidence Based Training</t>
  </si>
  <si>
    <t>Other (Specify in Notes)</t>
  </si>
  <si>
    <t>Other (Specify in Notes) HAND COUNT</t>
  </si>
  <si>
    <r>
      <rPr>
        <b/>
        <sz val="16"/>
        <color theme="1"/>
        <rFont val="Calibri"/>
      </rPr>
      <t xml:space="preserve">TRAINING FOR STAFF </t>
    </r>
    <r>
      <rPr>
        <b/>
        <u/>
        <sz val="16"/>
        <color theme="1"/>
        <rFont val="Calibri"/>
      </rPr>
      <t xml:space="preserve"> </t>
    </r>
    <r>
      <rPr>
        <b/>
        <sz val="16"/>
        <color theme="1"/>
        <rFont val="Calibri"/>
      </rPr>
      <t xml:space="preserve">FUNDED BY GRANT </t>
    </r>
  </si>
  <si>
    <r>
      <rPr>
        <b/>
        <sz val="18"/>
        <color theme="1"/>
        <rFont val="Calibri"/>
      </rPr>
      <t xml:space="preserve">TRAINING FOR STAFF </t>
    </r>
    <r>
      <rPr>
        <b/>
        <u/>
        <sz val="18"/>
        <color theme="1"/>
        <rFont val="Calibri"/>
      </rPr>
      <t xml:space="preserve">NOT </t>
    </r>
    <r>
      <rPr>
        <b/>
        <sz val="18"/>
        <color theme="1"/>
        <rFont val="Calibri"/>
      </rPr>
      <t xml:space="preserve">FUNDED BY GRANT </t>
    </r>
  </si>
  <si>
    <t>Peer Recovery Support</t>
  </si>
  <si>
    <t xml:space="preserve">Other (Describe in Notes) </t>
  </si>
  <si>
    <t xml:space="preserve">NALOXONE TRAINING   DISTRIBUTION                                                                                                                                                       NALOXONE TRAINING   DISTRIBUTION                                                                                                        NALOXONE TRAINING   DISTRIBUTION                                                                                                                                                                                                                                                                                                                                                                                                                                                            </t>
  </si>
  <si>
    <r>
      <rPr>
        <sz val="16"/>
        <color theme="0"/>
        <rFont val="Calibri"/>
      </rPr>
      <t xml:space="preserve">Funded Generally </t>
    </r>
    <r>
      <rPr>
        <sz val="8"/>
        <color theme="0"/>
        <rFont val="Calibri"/>
      </rPr>
      <t>(NOT BY GRANT) List Funding Source under NOTES</t>
    </r>
  </si>
  <si>
    <t>Funding</t>
  </si>
  <si>
    <t xml:space="preserve">NALOXONE KIT DISTRIBUTIONS      </t>
  </si>
  <si>
    <t xml:space="preserve">NALOXONE  DISTRIBUTION FUNDED BY GRANT </t>
  </si>
  <si>
    <t xml:space="preserve">NUMBER OF OVER DOSE REVERSALS </t>
  </si>
  <si>
    <t xml:space="preserve">Naloxone Kits Distributed </t>
  </si>
  <si>
    <t xml:space="preserve">Reversals </t>
  </si>
  <si>
    <t xml:space="preserve">Kits Distributed </t>
  </si>
  <si>
    <t xml:space="preserve">  Peer Recovery Support Specialist  (FUNDED BY GRANT) </t>
  </si>
  <si>
    <t xml:space="preserve">NUMBER OF STAFF FUNDED BY  GRANT RECEIVING NALOXONE TRAINING </t>
  </si>
  <si>
    <t xml:space="preserve">NUMBER OF INTERNAL/EXTERNAL STAFF  BY DISCIPLINE (NOT FUNDED BY  GRANT) RECEIVING NALOXONE TRAINING </t>
  </si>
  <si>
    <t xml:space="preserve">Peer Recovery Support Specialist </t>
  </si>
  <si>
    <t>Initials</t>
  </si>
  <si>
    <t xml:space="preserve">Beginning  Date </t>
  </si>
  <si>
    <t>Employment End date</t>
  </si>
  <si>
    <t>Date Peer Certification Obtained</t>
  </si>
  <si>
    <t>Peer Recovery Support Specialist  1</t>
  </si>
  <si>
    <t>Peer Recovery Support Specialist  2</t>
  </si>
  <si>
    <t>Peer Recovery Support Specialist  3</t>
  </si>
  <si>
    <t>Peer Recovery Support Specialist  4</t>
  </si>
  <si>
    <t>Peer Recovery Support Specialist  5</t>
  </si>
  <si>
    <t>Peer Recovery Support Specialist  6</t>
  </si>
  <si>
    <t>Peer Recovery Support Specialist  7</t>
  </si>
  <si>
    <t>Peer Recovery Support Specialist  8</t>
  </si>
  <si>
    <t>Peer Recovery Support Specialist  9</t>
  </si>
  <si>
    <t>Peer Recovery Support Specialist  10</t>
  </si>
  <si>
    <t>Peer Recovery Support Specialist  11</t>
  </si>
  <si>
    <t>Peer Recovery Support Specialist  12</t>
  </si>
  <si>
    <t>TOTAL PEER CERTIFICATIONS OBTAINED :</t>
  </si>
  <si>
    <t xml:space="preserve">ACTIVITIES MEETINGS EVENTS                                                                                                                   ACTIVITIES MEETINGS EVENTS                                                                                                  ACTIVITIES MEETINGS EVENTS                                                                                                                      </t>
  </si>
  <si>
    <t xml:space="preserve">TYPE OF ACTIVITY - MEETING - EVENT </t>
  </si>
  <si>
    <t xml:space="preserve">#  of Events </t>
  </si>
  <si>
    <t>#  Participants</t>
  </si>
  <si>
    <t>Activity Completed  to fulfil the SOW</t>
  </si>
  <si>
    <t>Cross Planning Initiatives</t>
  </si>
  <si>
    <t>Service Activity Implemented with other sectors</t>
  </si>
  <si>
    <t xml:space="preserve">Meeting Attended </t>
  </si>
  <si>
    <t>Specific Activities with goal  to Reach High-Risk Populations (Specify Population in Notes)</t>
  </si>
  <si>
    <t>Peer Reviews</t>
  </si>
  <si>
    <t>Peer Support Groups</t>
  </si>
  <si>
    <t>Coalitions</t>
  </si>
  <si>
    <t xml:space="preserve">Materials Distributed (specify kind &amp; amount in notes) </t>
  </si>
  <si>
    <t xml:space="preserve">Other (Specify in Notes) </t>
  </si>
  <si>
    <t xml:space="preserve">CONSUMER FEEDBACK                                                                  CONSUMER FEEDBACK                                                                              CONSUMER FEEDBACK                                                                                                                   </t>
  </si>
  <si>
    <t xml:space="preserve">Type of Feedback </t>
  </si>
  <si>
    <t>Focus group</t>
  </si>
  <si>
    <t>Key-informant interview</t>
  </si>
  <si>
    <t>Survey</t>
  </si>
  <si>
    <t xml:space="preserve">Other (specify in Note Section) </t>
  </si>
  <si>
    <t xml:space="preserve">STAFF FUNDED BY THE GRANT  - MANDATORY TRAINING </t>
  </si>
  <si>
    <t xml:space="preserve">MANDATORY </t>
  </si>
  <si>
    <t>Prior to 09/30/2019</t>
  </si>
  <si>
    <t>1st Quarter  10/01/2019 - 12/31/2019</t>
  </si>
  <si>
    <t>2nd Quarter 01/01/2020 - 03/31/2020</t>
  </si>
  <si>
    <t>3rd quarter 04/01/2020 - 06/30/2020</t>
  </si>
  <si>
    <t>4th Quarter  07/01/2020 - 09/30/2020</t>
  </si>
  <si>
    <t>1st Quarter 10/01/2020 -21/31/2020</t>
  </si>
  <si>
    <t>2nd Quarter 01/01/2021 - 03/31/2021</t>
  </si>
  <si>
    <t>3rd quarter 04/01/2021 - 06/30/2021</t>
  </si>
  <si>
    <t>4th Quarter 07/01/2021 - 09/30/2021</t>
  </si>
  <si>
    <t>1st Quarter  10/01/2021 - 12/31/2021</t>
  </si>
  <si>
    <t>2nd Quarter 01/01/2022 - 03/31/2022</t>
  </si>
  <si>
    <t>3rd quarter 04/01/2022 - 06/30/2022</t>
  </si>
  <si>
    <t>4th Quarter  07/01/2022 - 09/30/2022</t>
  </si>
  <si>
    <t xml:space="preserve">STAFF FUNDED BY THE GRANT - EVIDENCE BASED TRAINING </t>
  </si>
  <si>
    <t xml:space="preserve">EVIDENCE BASED </t>
  </si>
  <si>
    <t xml:space="preserve">STAFF FUNDED BY THE GRANT - Both Mandatory and Evidenced Based Training (EBT) Training </t>
  </si>
  <si>
    <t xml:space="preserve">Both Mandatory and Evidenced Based Training (EBT) Training </t>
  </si>
  <si>
    <t xml:space="preserve">STAFF FUNDED BY THE GRANT - Other (Specify in Notes) Training </t>
  </si>
  <si>
    <t xml:space="preserve">TOTAL ALL TRAINING (Mandatory, Evidence Based, Both Mandatory and Evidenced Based Training (EBT), Other (Specify in Notes)                                     TOTAL ALL TRAINING (Mandatory, Evidence Based, Both Mandatory and Evidenced Based Training (EBT), Other (Specify in Notes)    </t>
  </si>
  <si>
    <t>TOTAL ALL TRAINING (Mandatory, Evidence Based, Both Mandatory and Evidenced Based Training (EBT), Other (Specify in Notes)</t>
  </si>
  <si>
    <t xml:space="preserve">                                               TOTAL                 TOTAL                        TOTAL                   TOTAL </t>
  </si>
  <si>
    <t xml:space="preserve">TOTAL   ALL TRAINING </t>
  </si>
  <si>
    <t xml:space="preserve">TOTAL ALL TRAINING (Mandatory, Evidence Based, Both Mandatory and Evidenced Based Training (EBT), Other (Specify in Notes)                                        TOTAL ALL TRAINING (Mandatory, Evidence Based, Both Mandatory and Evidenced Based Training (EBT), Other (Specify in Notes)      </t>
  </si>
  <si>
    <t>RACE</t>
  </si>
  <si>
    <t>MONTH</t>
  </si>
  <si>
    <t>African American /Black</t>
  </si>
  <si>
    <t>accepted</t>
  </si>
  <si>
    <t>wait list (give anticipated time)</t>
  </si>
  <si>
    <t>September 1 - 30</t>
  </si>
  <si>
    <t xml:space="preserve">denied (give reason) </t>
  </si>
  <si>
    <t>October</t>
  </si>
  <si>
    <t>More than one race reported</t>
  </si>
  <si>
    <t>November 1 - 30</t>
  </si>
  <si>
    <t>December 1 - 31</t>
  </si>
  <si>
    <t>Unknown</t>
  </si>
  <si>
    <t>January 1 - 31</t>
  </si>
  <si>
    <t>February 1 - 28/29</t>
  </si>
  <si>
    <t>Type of Event  (Training Received,  Cross Planning Initiative,  Outreach Activity, Other etc.)</t>
  </si>
  <si>
    <t xml:space="preserve">Hispanic-Latino </t>
  </si>
  <si>
    <t xml:space="preserve">May </t>
  </si>
  <si>
    <t>June 1 - 30</t>
  </si>
  <si>
    <t>GENDER</t>
  </si>
  <si>
    <t>Training Received Through Employer</t>
  </si>
  <si>
    <t>Private Residence</t>
  </si>
  <si>
    <t>using drugs or alcohol</t>
  </si>
  <si>
    <t xml:space="preserve">Training Received externally (not through employer) </t>
  </si>
  <si>
    <t xml:space="preserve">Homeless </t>
  </si>
  <si>
    <t>using cell phone</t>
  </si>
  <si>
    <t>Cross Planning Initiative</t>
  </si>
  <si>
    <t>Residential Care</t>
  </si>
  <si>
    <t>driving a car</t>
  </si>
  <si>
    <t>Outreach Activity</t>
  </si>
  <si>
    <t xml:space="preserve">COUNTY </t>
  </si>
  <si>
    <t>REGION</t>
  </si>
  <si>
    <t>Crisis Residence</t>
  </si>
  <si>
    <t>violence</t>
  </si>
  <si>
    <t xml:space="preserve">Other (List) </t>
  </si>
  <si>
    <t>Barbour</t>
  </si>
  <si>
    <t>Institutional Setting</t>
  </si>
  <si>
    <t>sexual overtones</t>
  </si>
  <si>
    <t>Berkeley</t>
  </si>
  <si>
    <t>Jail/Correction Facility</t>
  </si>
  <si>
    <t>racial overtones</t>
  </si>
  <si>
    <t>Boone</t>
  </si>
  <si>
    <t>Foster Home/Foster Care (under 18)</t>
  </si>
  <si>
    <t>Braxton</t>
  </si>
  <si>
    <t xml:space="preserve">Other (Detail in Notes) </t>
  </si>
  <si>
    <t>Brooke</t>
  </si>
  <si>
    <t>Cabell</t>
  </si>
  <si>
    <t>Calhoun</t>
  </si>
  <si>
    <t>Clay</t>
  </si>
  <si>
    <t>Doddridge</t>
  </si>
  <si>
    <t>Fayette</t>
  </si>
  <si>
    <t>Gilmer</t>
  </si>
  <si>
    <t>Grant</t>
  </si>
  <si>
    <t>Medicaid Only</t>
  </si>
  <si>
    <t>Medicaid only</t>
  </si>
  <si>
    <t>Greenbrier</t>
  </si>
  <si>
    <t>Non-Medicaid Sources only</t>
  </si>
  <si>
    <t>Non-Medicaid only</t>
  </si>
  <si>
    <t>Hampshire</t>
  </si>
  <si>
    <t xml:space="preserve">Both Medicaid and Non-Medicaid </t>
  </si>
  <si>
    <t>Both Medicaid and Non--Medicaid</t>
  </si>
  <si>
    <t>Hancock</t>
  </si>
  <si>
    <t xml:space="preserve">Not known </t>
  </si>
  <si>
    <t>Not known</t>
  </si>
  <si>
    <t>Hardy</t>
  </si>
  <si>
    <t>Harrison</t>
  </si>
  <si>
    <t>Jackson</t>
  </si>
  <si>
    <t>Jefferson</t>
  </si>
  <si>
    <t>Kanawha</t>
  </si>
  <si>
    <t>Lewis</t>
  </si>
  <si>
    <t>Lincoln</t>
  </si>
  <si>
    <t>Clinically referred out</t>
  </si>
  <si>
    <t>Logan</t>
  </si>
  <si>
    <t>Owned or rented Home</t>
  </si>
  <si>
    <t>Housing</t>
  </si>
  <si>
    <t>mutually agreed cessation of T</t>
  </si>
  <si>
    <t>Marion</t>
  </si>
  <si>
    <t>Someone else's home</t>
  </si>
  <si>
    <t>Withdrew from / DECLINED TX</t>
  </si>
  <si>
    <t>Marshall</t>
  </si>
  <si>
    <t>Homeless</t>
  </si>
  <si>
    <t>Educational</t>
  </si>
  <si>
    <t>No contact within 90 days of last encounter</t>
  </si>
  <si>
    <t>Mason</t>
  </si>
  <si>
    <t>Residential SA TX</t>
  </si>
  <si>
    <t>Medical</t>
  </si>
  <si>
    <t>Expulsion from program</t>
  </si>
  <si>
    <t>McDowell</t>
  </si>
  <si>
    <t>Detox (Inpatient, Residential)</t>
  </si>
  <si>
    <t>MH Counseling</t>
  </si>
  <si>
    <t>Incarcerated</t>
  </si>
  <si>
    <t>Mercer</t>
  </si>
  <si>
    <t xml:space="preserve">Correctional Facility </t>
  </si>
  <si>
    <t>Childcare</t>
  </si>
  <si>
    <t>Death (EXPLAIN)</t>
  </si>
  <si>
    <t>Mineral</t>
  </si>
  <si>
    <t>Hospital (Medical)</t>
  </si>
  <si>
    <t xml:space="preserve">Not Receiving MAT </t>
  </si>
  <si>
    <t>Transportation</t>
  </si>
  <si>
    <t>Mingo</t>
  </si>
  <si>
    <t>Hospital (Psychiatric)</t>
  </si>
  <si>
    <t xml:space="preserve">Changed MAT (Specify in Notes) </t>
  </si>
  <si>
    <t>Support Group</t>
  </si>
  <si>
    <t>Monongalia</t>
  </si>
  <si>
    <t xml:space="preserve">Other (Specify) </t>
  </si>
  <si>
    <t>Relapse Prevention</t>
  </si>
  <si>
    <t>Monroe</t>
  </si>
  <si>
    <t>Crisis Support</t>
  </si>
  <si>
    <t xml:space="preserve">When "yes is selected will darken the row </t>
  </si>
  <si>
    <t>Morgan</t>
  </si>
  <si>
    <t>Medicare Only</t>
  </si>
  <si>
    <t>HIV / Hepatitis B &amp; C Testing</t>
  </si>
  <si>
    <t>Nicholas</t>
  </si>
  <si>
    <t>Medicare + Supplement</t>
  </si>
  <si>
    <t xml:space="preserve">Other (Specify in Note Section) </t>
  </si>
  <si>
    <t>Ohio</t>
  </si>
  <si>
    <t>Both Medicaid and Medicare</t>
  </si>
  <si>
    <t>Pendleton</t>
  </si>
  <si>
    <t>Private Insurance</t>
  </si>
  <si>
    <t>Pleasants</t>
  </si>
  <si>
    <t>No Insurance</t>
  </si>
  <si>
    <t>Pocahontas</t>
  </si>
  <si>
    <t>Preston</t>
  </si>
  <si>
    <t>Putnam</t>
  </si>
  <si>
    <t>Raleigh</t>
  </si>
  <si>
    <t>Randolph</t>
  </si>
  <si>
    <t>Ritchie</t>
  </si>
  <si>
    <t>Roane</t>
  </si>
  <si>
    <t>24 hours</t>
  </si>
  <si>
    <t>Phone</t>
  </si>
  <si>
    <t>Summers</t>
  </si>
  <si>
    <t>48 hours</t>
  </si>
  <si>
    <t>Face to Face</t>
  </si>
  <si>
    <t>Taylor</t>
  </si>
  <si>
    <t>72 hours</t>
  </si>
  <si>
    <t>Tucker</t>
  </si>
  <si>
    <t>96 hours</t>
  </si>
  <si>
    <t>Tyler</t>
  </si>
  <si>
    <t>5 days</t>
  </si>
  <si>
    <t>Upshur</t>
  </si>
  <si>
    <t>6+ days</t>
  </si>
  <si>
    <t>Wayne</t>
  </si>
  <si>
    <t>Webster</t>
  </si>
  <si>
    <t>Wetzel</t>
  </si>
  <si>
    <t>Wirt</t>
  </si>
  <si>
    <t>Wood</t>
  </si>
  <si>
    <t>Wyoming</t>
  </si>
  <si>
    <t>30 days of admission</t>
  </si>
  <si>
    <t>employed</t>
  </si>
  <si>
    <t>Unemployed</t>
  </si>
  <si>
    <t>Not in Labor Force</t>
  </si>
  <si>
    <t xml:space="preserve">Referred to another PRSS </t>
  </si>
  <si>
    <t xml:space="preserve">Not Available </t>
  </si>
  <si>
    <t>30 days of discharge</t>
  </si>
  <si>
    <t xml:space="preserve">Declined program </t>
  </si>
  <si>
    <t>at both admission and discharge</t>
  </si>
  <si>
    <t xml:space="preserve">N/A On MAT at Admission </t>
  </si>
  <si>
    <t>N/A Already on MAT</t>
  </si>
  <si>
    <t>Evidence Based Training (EBT)</t>
  </si>
  <si>
    <t>Both Mandatory and EBT</t>
  </si>
  <si>
    <t>WV Bureau for Behavioral Health and Health Facilities  - Behavioral Health - State Fiscal Year</t>
  </si>
  <si>
    <t xml:space="preserve">Program reports need to be submitted electronically, via e-mail to DHHR. BHHFReporting@wv.gov </t>
  </si>
  <si>
    <r>
      <rPr>
        <b/>
        <sz val="11"/>
        <color rgb="FFFFDDFF"/>
        <rFont val="Calibri"/>
      </rPr>
      <t xml:space="preserve">1A:  Grantee - Program Information  </t>
    </r>
    <r>
      <rPr>
        <b/>
        <sz val="11"/>
        <color rgb="FFFF0000"/>
        <rFont val="Calibri"/>
      </rPr>
      <t>(Rows 4- 9 need to changed on GRANTEE INFO SET-UP &amp; DATE TAB)</t>
    </r>
  </si>
  <si>
    <r>
      <rPr>
        <sz val="11"/>
        <color theme="1"/>
        <rFont val="Calibri"/>
      </rPr>
      <t xml:space="preserve">Program </t>
    </r>
    <r>
      <rPr>
        <sz val="8"/>
        <color theme="1"/>
        <rFont val="Calibri"/>
      </rPr>
      <t xml:space="preserve">(same as on Statement of Work): </t>
    </r>
  </si>
  <si>
    <r>
      <rPr>
        <sz val="11"/>
        <color theme="1"/>
        <rFont val="Calibri"/>
      </rPr>
      <t xml:space="preserve">Name of Program </t>
    </r>
    <r>
      <rPr>
        <sz val="8"/>
        <color theme="1"/>
        <rFont val="Calibri"/>
      </rPr>
      <t>(given by Agency):</t>
    </r>
  </si>
  <si>
    <r>
      <rPr>
        <b/>
        <sz val="11"/>
        <color rgb="FFFF0000"/>
        <rFont val="Calibri"/>
      </rPr>
      <t>Month Being Reported</t>
    </r>
    <r>
      <rPr>
        <sz val="11"/>
        <color rgb="FFFF0000"/>
        <rFont val="Calibri"/>
      </rPr>
      <t xml:space="preserve"> </t>
    </r>
    <r>
      <rPr>
        <sz val="8"/>
        <color rgb="FFFF0000"/>
        <rFont val="Calibri"/>
      </rPr>
      <t>(Month/Year)</t>
    </r>
    <r>
      <rPr>
        <sz val="11"/>
        <color rgb="FFFF0000"/>
        <rFont val="Calibri"/>
      </rPr>
      <t>:</t>
    </r>
  </si>
  <si>
    <t xml:space="preserve">Information on ROWS 4, 5, 6, 7 and  8 will populate from BaseInformationSEPTUP - Any changes, including month being reported, will need to be made on the tab (GRANTEE INFO SET UP &amp; DATE)  - Remember, THIS SAME FORM IS DESIGNED TO BE USED FOR THE ENTIRE YEAR </t>
  </si>
  <si>
    <t xml:space="preserve">CLIENT ADMISSION STAY - CLIENT DISCHARGES </t>
  </si>
  <si>
    <t xml:space="preserve"> Outcomes</t>
  </si>
  <si>
    <t xml:space="preserve">Profile of Program </t>
  </si>
  <si>
    <t>TOTAL TO DATE</t>
  </si>
  <si>
    <t xml:space="preserve">Individuals in the Program at beginning of the fiscal year:  </t>
  </si>
  <si>
    <t>Individuals Admitted to the Program during the 2018/2019 fiscal year:</t>
  </si>
  <si>
    <t>Individuals Discharged/Transferred from the Program during the 2018/2019 Fiscal year:</t>
  </si>
  <si>
    <t>P15   P16</t>
  </si>
  <si>
    <t xml:space="preserve">Total Number of Days Client spent in Program during their stay </t>
  </si>
  <si>
    <t>Average Length of Stay in program</t>
  </si>
  <si>
    <t>Individual Outcomes at time of  admission &amp; discharge</t>
  </si>
  <si>
    <t>(1) Employment Status</t>
  </si>
  <si>
    <t>For discharges this month, enter the total number with an employment status at both admission and discharge:</t>
  </si>
  <si>
    <t>L-AB</t>
  </si>
  <si>
    <t>Of those, how many were employed (full- or part-time) (prior 30 days) 30 days at admission?</t>
  </si>
  <si>
    <t>L</t>
  </si>
  <si>
    <t>Of those, how many were employed  (full- or part-time) in the past 30 days of when they were discharged?</t>
  </si>
  <si>
    <t>AB</t>
  </si>
  <si>
    <t xml:space="preserve">Of those, how many were employed (full- or part-time) 30 DAYS POST DISCHARGE </t>
  </si>
  <si>
    <t>AJ</t>
  </si>
  <si>
    <t>(1)Education Status</t>
  </si>
  <si>
    <t>For discharges this month, enter the total number with an education status at both admission and discharge:</t>
  </si>
  <si>
    <t>N-AD</t>
  </si>
  <si>
    <t>Of those, how many were students (full- or part-time) (prior 30 days) 30 days at admission?</t>
  </si>
  <si>
    <t>N</t>
  </si>
  <si>
    <t>Of those, how many were students (full- or part-time) in the past 30 days of when they were discharged?</t>
  </si>
  <si>
    <t>AD</t>
  </si>
  <si>
    <t xml:space="preserve">Of those, how many were Students (full- or part-time) 30 DAYS POST DISCHARGE </t>
  </si>
  <si>
    <t>AL</t>
  </si>
  <si>
    <t>(2) Stability of Housing</t>
  </si>
  <si>
    <t>For discharges this month, enter the total number with a housing status at both admission and discharge:</t>
  </si>
  <si>
    <t>O-AE</t>
  </si>
  <si>
    <t>Of those, how many were in a stable living situation in the past 30 days of when they were admitted?</t>
  </si>
  <si>
    <t>O</t>
  </si>
  <si>
    <t>Of those, how many were in a stable living situation in the past 30 days of when they were discharged?</t>
  </si>
  <si>
    <t>AE</t>
  </si>
  <si>
    <t xml:space="preserve">Of those, how many were in a stable living situation 30 DAYS POST DISCHARGE </t>
  </si>
  <si>
    <t>AM</t>
  </si>
  <si>
    <t>(3) Criminal Justice Involvement</t>
  </si>
  <si>
    <t>For discharges this month, enter the total number with a criminal justice involvement status at both admission and discharge:</t>
  </si>
  <si>
    <t>P-AF</t>
  </si>
  <si>
    <r>
      <rPr>
        <sz val="8"/>
        <color theme="1"/>
        <rFont val="Calibri"/>
      </rPr>
      <t xml:space="preserve">Of those, how many had </t>
    </r>
    <r>
      <rPr>
        <b/>
        <u/>
        <sz val="8"/>
        <color theme="1"/>
        <rFont val="Calibri"/>
      </rPr>
      <t>no</t>
    </r>
    <r>
      <rPr>
        <u/>
        <sz val="8"/>
        <color theme="1"/>
        <rFont val="Calibri"/>
      </rPr>
      <t xml:space="preserve"> arrests </t>
    </r>
    <r>
      <rPr>
        <sz val="8"/>
        <color theme="1"/>
        <rFont val="Calibri"/>
      </rPr>
      <t>(prior 30 days) 30 days at admission?</t>
    </r>
  </si>
  <si>
    <t>P</t>
  </si>
  <si>
    <r>
      <rPr>
        <sz val="8"/>
        <color theme="1"/>
        <rFont val="Calibri"/>
      </rPr>
      <t xml:space="preserve">Of those, how many had </t>
    </r>
    <r>
      <rPr>
        <u/>
        <sz val="8"/>
        <color theme="1"/>
        <rFont val="Calibri"/>
      </rPr>
      <t xml:space="preserve">no arrests </t>
    </r>
    <r>
      <rPr>
        <sz val="8"/>
        <color theme="1"/>
        <rFont val="Calibri"/>
      </rPr>
      <t>in the past 30 days of when they were discharged?</t>
    </r>
  </si>
  <si>
    <t>AF</t>
  </si>
  <si>
    <r>
      <rPr>
        <sz val="8"/>
        <color theme="1"/>
        <rFont val="Calibri"/>
      </rPr>
      <t xml:space="preserve">Of those, how many had </t>
    </r>
    <r>
      <rPr>
        <u/>
        <sz val="8"/>
        <color theme="1"/>
        <rFont val="Calibri"/>
      </rPr>
      <t>no arrest</t>
    </r>
    <r>
      <rPr>
        <sz val="8"/>
        <color theme="1"/>
        <rFont val="Calibri"/>
      </rPr>
      <t xml:space="preserve">  30 DAYS POST DISCHARGE </t>
    </r>
  </si>
  <si>
    <t>AN</t>
  </si>
  <si>
    <t>(4) Alcohol Use</t>
  </si>
  <si>
    <t>For discharges this month, enter the total number with an alcohol use status at both admission and discharge:</t>
  </si>
  <si>
    <t>Q-AG</t>
  </si>
  <si>
    <r>
      <rPr>
        <sz val="8"/>
        <color theme="1"/>
        <rFont val="Calibri"/>
      </rPr>
      <t xml:space="preserve">Of those, how many </t>
    </r>
    <r>
      <rPr>
        <u/>
        <sz val="8"/>
        <color theme="1"/>
        <rFont val="Calibri"/>
      </rPr>
      <t>had not</t>
    </r>
    <r>
      <rPr>
        <sz val="8"/>
        <color theme="1"/>
        <rFont val="Calibri"/>
      </rPr>
      <t xml:space="preserve"> consumed alcohol at admission?</t>
    </r>
  </si>
  <si>
    <t>Q</t>
  </si>
  <si>
    <r>
      <rPr>
        <sz val="8"/>
        <color theme="1"/>
        <rFont val="Calibri"/>
      </rPr>
      <t xml:space="preserve">Of those, how many </t>
    </r>
    <r>
      <rPr>
        <u/>
        <sz val="8"/>
        <color theme="1"/>
        <rFont val="Calibri"/>
      </rPr>
      <t>had not</t>
    </r>
    <r>
      <rPr>
        <sz val="8"/>
        <color theme="1"/>
        <rFont val="Calibri"/>
      </rPr>
      <t xml:space="preserve"> consumed alcohol in the past 30 days of when they were discharged?</t>
    </r>
  </si>
  <si>
    <t>AG</t>
  </si>
  <si>
    <r>
      <rPr>
        <sz val="8"/>
        <color theme="1"/>
        <rFont val="Calibri"/>
      </rPr>
      <t xml:space="preserve">Of those, how many </t>
    </r>
    <r>
      <rPr>
        <u/>
        <sz val="8"/>
        <color theme="1"/>
        <rFont val="Calibri"/>
      </rPr>
      <t xml:space="preserve">had not </t>
    </r>
    <r>
      <rPr>
        <sz val="8"/>
        <color theme="1"/>
        <rFont val="Calibri"/>
      </rPr>
      <t xml:space="preserve">consumed alcohol 30 DAYS POST DISCHARGE </t>
    </r>
  </si>
  <si>
    <t>AO</t>
  </si>
  <si>
    <t>(5) Illegal Drug Use</t>
  </si>
  <si>
    <t>For discharges this month, enter the total number with an illegal drug use status at both admission and discharge:</t>
  </si>
  <si>
    <t>R-AH</t>
  </si>
  <si>
    <r>
      <rPr>
        <sz val="8"/>
        <color theme="1"/>
        <rFont val="Calibri"/>
      </rPr>
      <t>Of those, how many</t>
    </r>
    <r>
      <rPr>
        <u/>
        <sz val="8"/>
        <color theme="1"/>
        <rFont val="Calibri"/>
      </rPr>
      <t xml:space="preserve"> had not </t>
    </r>
    <r>
      <rPr>
        <sz val="8"/>
        <color theme="1"/>
        <rFont val="Calibri"/>
      </rPr>
      <t>used illegal drugs at admission?</t>
    </r>
  </si>
  <si>
    <t>R</t>
  </si>
  <si>
    <r>
      <rPr>
        <sz val="8"/>
        <color theme="1"/>
        <rFont val="Calibri"/>
      </rPr>
      <t xml:space="preserve">Of those, how many </t>
    </r>
    <r>
      <rPr>
        <u/>
        <sz val="8"/>
        <color theme="1"/>
        <rFont val="Calibri"/>
      </rPr>
      <t>had not</t>
    </r>
    <r>
      <rPr>
        <sz val="8"/>
        <color theme="1"/>
        <rFont val="Calibri"/>
      </rPr>
      <t xml:space="preserve"> used illegal drugs in the past 30 days of when they were discharged?</t>
    </r>
  </si>
  <si>
    <t>AH</t>
  </si>
  <si>
    <r>
      <rPr>
        <sz val="8"/>
        <color theme="1"/>
        <rFont val="Calibri"/>
      </rPr>
      <t xml:space="preserve">Of those, how many </t>
    </r>
    <r>
      <rPr>
        <u/>
        <sz val="8"/>
        <color theme="1"/>
        <rFont val="Calibri"/>
      </rPr>
      <t>had not</t>
    </r>
    <r>
      <rPr>
        <sz val="8"/>
        <color theme="1"/>
        <rFont val="Calibri"/>
      </rPr>
      <t xml:space="preserve"> used illegal drugs 30 DAYS POST DISCHARGE </t>
    </r>
  </si>
  <si>
    <t>AP</t>
  </si>
  <si>
    <t xml:space="preserve">(6) Social Support/Recovery </t>
  </si>
  <si>
    <t>For discharges this month, enter the total number with a social support status at both admission and discharge:</t>
  </si>
  <si>
    <t>S-AI</t>
  </si>
  <si>
    <t>Of those, how many had participated in self-help groups (AA, NA, etc.) in the past 30 days of when they were admitted?</t>
  </si>
  <si>
    <t>S</t>
  </si>
  <si>
    <t>Of those, how many had participated in self-help groups (AA, NA, etc.) in the past 30 days of when they were discharged?</t>
  </si>
  <si>
    <t>AI</t>
  </si>
  <si>
    <t xml:space="preserve">Of those, how many had participated in self-help groups (AA, NA, etc.) 30 DAYS POST DISCHARGE </t>
  </si>
  <si>
    <t>AQ</t>
  </si>
  <si>
    <t xml:space="preserve">DEMOGRAPHICS AT ADMISSION - CONTINUING STAY </t>
  </si>
  <si>
    <t xml:space="preserve">WILL AUTOMATICALLY POPULATE PREVIOUSLY ENTERED DATA - </t>
  </si>
  <si>
    <t>ETHNICITY</t>
  </si>
  <si>
    <t xml:space="preserve">ETHNICITY </t>
  </si>
  <si>
    <t xml:space="preserve">YEAR TO DATE </t>
  </si>
  <si>
    <t>Native Hawaiian/ Pacific Islander</t>
  </si>
  <si>
    <t>American Indian/ Alaskan Native</t>
  </si>
  <si>
    <t>More than One Race Reported</t>
  </si>
  <si>
    <t>Origin Unknown</t>
  </si>
  <si>
    <t>Ages</t>
  </si>
  <si>
    <t>M</t>
  </si>
  <si>
    <t>F</t>
  </si>
  <si>
    <t>Age 12 and under</t>
  </si>
  <si>
    <t>Age 13-17</t>
  </si>
  <si>
    <t>Age 18 -20</t>
  </si>
  <si>
    <t>Age 21-24</t>
  </si>
  <si>
    <t>Age 25-44</t>
  </si>
  <si>
    <t>Age 45-64</t>
  </si>
  <si>
    <t>Age 65 -74</t>
  </si>
  <si>
    <t>Age 75 and older</t>
  </si>
  <si>
    <t>Total Individuals</t>
  </si>
  <si>
    <t>PROGRAM INFORMATION AT ADMISSION - CONTINUING STAY</t>
  </si>
  <si>
    <t xml:space="preserve">PREGNANT WOMEN AT ADMISSION </t>
  </si>
  <si>
    <t>V</t>
  </si>
  <si>
    <t>Pregnant Women - TOTAL</t>
  </si>
  <si>
    <t xml:space="preserve">V = Pregnant </t>
  </si>
  <si>
    <t xml:space="preserve">PREGNANT WOMEN IV USING AT ADMISSION </t>
  </si>
  <si>
    <t>W</t>
  </si>
  <si>
    <t xml:space="preserve">W= IV Using </t>
  </si>
  <si>
    <t>IV USING AT ADMSSION</t>
  </si>
  <si>
    <t>IV Using -                    TOTAL</t>
  </si>
  <si>
    <t>Orientation Provided</t>
  </si>
  <si>
    <t>AK</t>
  </si>
  <si>
    <t>Orientation Provided -                    TOTAL</t>
  </si>
  <si>
    <t>Peer Coach Provided</t>
  </si>
  <si>
    <t>Peer Coach Provided -                    TOTAL</t>
  </si>
  <si>
    <t>Screening for Co-occurring</t>
  </si>
  <si>
    <t>Screening for Co-occurring -                    TOTAL</t>
  </si>
  <si>
    <t>If yes for Co-occurring Screening referred</t>
  </si>
  <si>
    <r>
      <rPr>
        <b/>
        <sz val="8"/>
        <color theme="0"/>
        <rFont val="Calibri"/>
      </rPr>
      <t xml:space="preserve">If yes for Co-occurring Screening referred </t>
    </r>
    <r>
      <rPr>
        <b/>
        <sz val="9"/>
        <color theme="0"/>
        <rFont val="Calibri"/>
      </rPr>
      <t>-                    TOTAL</t>
    </r>
  </si>
  <si>
    <t xml:space="preserve">DX of SMI </t>
  </si>
  <si>
    <t>DX of SMI -                    TOTAL</t>
  </si>
  <si>
    <t>MEDICAL INSURANCE AT ADMISSION- CONTINUING STAY</t>
  </si>
  <si>
    <t>MEDICAL INSURANCE AT ADMISSION - CONTINUED STAY</t>
  </si>
  <si>
    <t>LIVING SITUATION AT ADMISSION - CONTINUING STAY</t>
  </si>
  <si>
    <t>LIVING SITUATIOON AT ADMISSION - CONTINUING STAY</t>
  </si>
  <si>
    <t>aB</t>
  </si>
  <si>
    <t>African American / Black</t>
  </si>
  <si>
    <t>American Indian Alaskan Native</t>
  </si>
  <si>
    <t xml:space="preserve">Asian </t>
  </si>
  <si>
    <t>Native Hawaiian/Pacific</t>
  </si>
  <si>
    <t>White - Caucasian</t>
  </si>
  <si>
    <t>Hispanic/Latino Origin</t>
  </si>
  <si>
    <t>MEDICATION ASSISTED TREATMENT INFORMATION - COLLECTED AT DISCHARGE</t>
  </si>
  <si>
    <t>NON - PREGNANT CLIENTS REFERRED TO MAT DURING PROGRAM FROM DISCHARGE INFORMATION</t>
  </si>
  <si>
    <t>NON - PREGNANT CLIENTS REFERRED TO MAT</t>
  </si>
  <si>
    <t>Client Referred to MAT</t>
  </si>
  <si>
    <t>VW</t>
  </si>
  <si>
    <t>If Referred, Admitted to MAT</t>
  </si>
  <si>
    <t>XY</t>
  </si>
  <si>
    <t xml:space="preserve">Remained on MAT DURING STAY </t>
  </si>
  <si>
    <t>ZAA</t>
  </si>
  <si>
    <t xml:space="preserve">PREGNANT CLIENTS REFERRED TO MATDURING PROGRAM FROM DISCHARGE INFORMATION </t>
  </si>
  <si>
    <t>PREGNANT CLIENTS REFERRED TO MAT</t>
  </si>
  <si>
    <t>6.D. REFERRAL INFORMATION</t>
  </si>
  <si>
    <t xml:space="preserve">DEMOGRAPHICS AT REFERRAL </t>
  </si>
  <si>
    <t xml:space="preserve">REFERRALS </t>
  </si>
  <si>
    <t>age O</t>
  </si>
  <si>
    <t>Gender P</t>
  </si>
  <si>
    <t>Pregnant Q</t>
  </si>
  <si>
    <t>IV User R</t>
  </si>
  <si>
    <t>Race S</t>
  </si>
  <si>
    <t>Ethnicity U</t>
  </si>
  <si>
    <t xml:space="preserve">IV USERS AT TIME OF REFERRAL </t>
  </si>
  <si>
    <t>PREGNANT WOMEN</t>
  </si>
  <si>
    <t>PREGNANT WOMEN TOTAL</t>
  </si>
  <si>
    <t>PREGANT WOMEN IV USING</t>
  </si>
  <si>
    <t>PREGNANT WOMEN IV USER</t>
  </si>
  <si>
    <t>IV USING ALL</t>
  </si>
  <si>
    <t>IV USING ALL TOTAL</t>
  </si>
  <si>
    <t>Disposition of Referral</t>
  </si>
  <si>
    <t>K</t>
  </si>
  <si>
    <t>accepted TOTAL</t>
  </si>
  <si>
    <t xml:space="preserve">wait list (give anticipated time) TOTAL </t>
  </si>
  <si>
    <t xml:space="preserve">denied (give reason) TOTAL </t>
  </si>
  <si>
    <t>TRAINING AND OTHER EVENTS</t>
  </si>
  <si>
    <t>RECOVERY HOUSE PROGRAM STAFF</t>
  </si>
  <si>
    <t xml:space="preserve">NON PROGRAM STAFF (INTERNAL AND EXTERAL) </t>
  </si>
  <si>
    <t>X</t>
  </si>
  <si>
    <t>Y</t>
  </si>
  <si>
    <t>Z</t>
  </si>
  <si>
    <t>AA</t>
  </si>
  <si>
    <t>AC</t>
  </si>
  <si>
    <t>Training Received externally (not through employer)</t>
  </si>
  <si>
    <t>Training Received externally from employer</t>
  </si>
  <si>
    <t xml:space="preserve">Program reports need to be submitted electronically, via e-mail to BBHReporting@wv.gov within 25 calendar days of the end of each month </t>
  </si>
  <si>
    <r>
      <t xml:space="preserve">Program reports need to be submitted electronically, via e-mail to </t>
    </r>
    <r>
      <rPr>
        <sz val="12"/>
        <color theme="1"/>
        <rFont val="Calibri"/>
      </rPr>
      <t xml:space="preserve">BBHReporting@wv.gov </t>
    </r>
    <r>
      <rPr>
        <i/>
        <sz val="12"/>
        <color theme="1"/>
        <rFont val="Calibri"/>
      </rPr>
      <t>within 25 calendar days of the end of each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</si>
</sst>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111" x14ac:knownFonts="1">
    <font>
      <sz val="11"/>
      <color theme="1"/>
      <name val="Calibri"/>
      <scheme val="minor"/>
    </font>
    <font>
      <b/>
      <sz val="20"/>
      <color theme="0"/>
      <name val="Calibri"/>
    </font>
    <font>
      <sz val="11"/>
      <name val="Calibri"/>
    </font>
    <font>
      <b/>
      <sz val="12"/>
      <color theme="1"/>
      <name val="Calibri"/>
    </font>
    <font>
      <sz val="10"/>
      <color theme="1"/>
      <name val="Calibri"/>
    </font>
    <font>
      <b/>
      <sz val="18"/>
      <color theme="0"/>
      <name val="Calibri"/>
    </font>
    <font>
      <sz val="22"/>
      <color theme="1"/>
      <name val="Calibri"/>
    </font>
    <font>
      <sz val="11"/>
      <color theme="1"/>
      <name val="Calibri"/>
    </font>
    <font>
      <b/>
      <sz val="11"/>
      <color theme="1"/>
      <name val="Calibri"/>
    </font>
    <font>
      <sz val="9"/>
      <color theme="1"/>
      <name val="Calibri"/>
    </font>
    <font>
      <b/>
      <sz val="12"/>
      <color rgb="FF974806"/>
      <name val="Calibri"/>
    </font>
    <font>
      <b/>
      <sz val="24"/>
      <color theme="0"/>
      <name val="Calibri"/>
    </font>
    <font>
      <b/>
      <sz val="22"/>
      <color theme="0"/>
      <name val="Calibri"/>
    </font>
    <font>
      <sz val="8"/>
      <color theme="1"/>
      <name val="Calibri"/>
    </font>
    <font>
      <sz val="22"/>
      <color theme="0"/>
      <name val="Calibri"/>
    </font>
    <font>
      <b/>
      <sz val="14"/>
      <color theme="1"/>
      <name val="Calibri"/>
    </font>
    <font>
      <i/>
      <sz val="12"/>
      <color theme="1"/>
      <name val="Calibri"/>
    </font>
    <font>
      <b/>
      <sz val="11"/>
      <color rgb="FFFFDDFF"/>
      <name val="Calibri"/>
    </font>
    <font>
      <b/>
      <sz val="12"/>
      <color rgb="FFFF0000"/>
      <name val="Calibri"/>
    </font>
    <font>
      <sz val="12"/>
      <color theme="1"/>
      <name val="Calibri"/>
    </font>
    <font>
      <b/>
      <sz val="11"/>
      <color theme="0"/>
      <name val="Calibri"/>
    </font>
    <font>
      <b/>
      <sz val="11"/>
      <color rgb="FFFBD4B4"/>
      <name val="Calibri"/>
    </font>
    <font>
      <b/>
      <sz val="8"/>
      <color theme="1"/>
      <name val="Calibri"/>
    </font>
    <font>
      <sz val="8"/>
      <color rgb="FF974806"/>
      <name val="Calibri"/>
    </font>
    <font>
      <b/>
      <sz val="14"/>
      <color theme="0"/>
      <name val="Calibri"/>
    </font>
    <font>
      <sz val="11"/>
      <color rgb="FFFF0000"/>
      <name val="Calibri"/>
    </font>
    <font>
      <b/>
      <sz val="14"/>
      <color rgb="FF0070C0"/>
      <name val="Calibri"/>
    </font>
    <font>
      <sz val="14"/>
      <color theme="1"/>
      <name val="Calibri"/>
    </font>
    <font>
      <b/>
      <sz val="9"/>
      <color theme="1"/>
      <name val="Calibri"/>
    </font>
    <font>
      <b/>
      <sz val="9"/>
      <color rgb="FF974806"/>
      <name val="Calibri"/>
    </font>
    <font>
      <b/>
      <sz val="10"/>
      <color theme="1"/>
      <name val="Calibri"/>
    </font>
    <font>
      <sz val="11"/>
      <color rgb="FF974806"/>
      <name val="Calibri"/>
    </font>
    <font>
      <sz val="8"/>
      <color rgb="FF0070C0"/>
      <name val="Calibri"/>
    </font>
    <font>
      <b/>
      <sz val="11"/>
      <color rgb="FF974806"/>
      <name val="Calibri"/>
    </font>
    <font>
      <b/>
      <sz val="8"/>
      <color rgb="FF974806"/>
      <name val="Calibri"/>
    </font>
    <font>
      <sz val="8"/>
      <color rgb="FFFF0000"/>
      <name val="Calibri"/>
    </font>
    <font>
      <sz val="16"/>
      <color theme="1"/>
      <name val="Calibri"/>
    </font>
    <font>
      <sz val="12"/>
      <color theme="0"/>
      <name val="Calibri"/>
    </font>
    <font>
      <b/>
      <sz val="16"/>
      <color theme="1"/>
      <name val="Calibri"/>
    </font>
    <font>
      <b/>
      <sz val="9"/>
      <color rgb="FF0070C0"/>
      <name val="Calibri"/>
    </font>
    <font>
      <b/>
      <sz val="11"/>
      <color rgb="FF0070C0"/>
      <name val="Calibri"/>
    </font>
    <font>
      <sz val="9"/>
      <color rgb="FF974806"/>
      <name val="Calibri"/>
    </font>
    <font>
      <sz val="10"/>
      <color rgb="FF974806"/>
      <name val="Calibri"/>
    </font>
    <font>
      <sz val="9"/>
      <color rgb="FFFF0000"/>
      <name val="Calibri"/>
    </font>
    <font>
      <b/>
      <sz val="10"/>
      <color rgb="FF974806"/>
      <name val="Calibri"/>
    </font>
    <font>
      <sz val="6"/>
      <color theme="1"/>
      <name val="Calibri"/>
    </font>
    <font>
      <b/>
      <sz val="11"/>
      <color rgb="FFFF0000"/>
      <name val="Calibri"/>
    </font>
    <font>
      <b/>
      <sz val="11"/>
      <color rgb="FFFF00FF"/>
      <name val="Calibri"/>
    </font>
    <font>
      <b/>
      <sz val="14"/>
      <color rgb="FFFFDDFF"/>
      <name val="Calibri"/>
    </font>
    <font>
      <b/>
      <sz val="20"/>
      <color theme="1"/>
      <name val="Calibri"/>
    </font>
    <font>
      <sz val="18"/>
      <color theme="1"/>
      <name val="Calibri"/>
    </font>
    <font>
      <b/>
      <sz val="10"/>
      <color rgb="FF632423"/>
      <name val="Calibri"/>
    </font>
    <font>
      <b/>
      <sz val="8"/>
      <color theme="0"/>
      <name val="Calibri"/>
    </font>
    <font>
      <sz val="16"/>
      <color theme="0"/>
      <name val="Calibri"/>
    </font>
    <font>
      <sz val="10"/>
      <color theme="0"/>
      <name val="Calibri"/>
    </font>
    <font>
      <sz val="11"/>
      <color theme="0"/>
      <name val="Calibri"/>
    </font>
    <font>
      <sz val="14"/>
      <color rgb="FFFFDDFF"/>
      <name val="Calibri"/>
    </font>
    <font>
      <b/>
      <i/>
      <sz val="11"/>
      <color theme="1"/>
      <name val="Calibri"/>
    </font>
    <font>
      <sz val="11"/>
      <color rgb="FFFABF8F"/>
      <name val="Calibri"/>
    </font>
    <font>
      <sz val="16"/>
      <color rgb="FFFABF8F"/>
      <name val="Calibri"/>
    </font>
    <font>
      <b/>
      <sz val="16"/>
      <color theme="0"/>
      <name val="Calibri"/>
    </font>
    <font>
      <sz val="10"/>
      <color rgb="FF0070C0"/>
      <name val="Calibri"/>
    </font>
    <font>
      <b/>
      <sz val="10"/>
      <color rgb="FF0070C0"/>
      <name val="Calibri"/>
    </font>
    <font>
      <b/>
      <sz val="11"/>
      <color rgb="FF002060"/>
      <name val="Calibri"/>
    </font>
    <font>
      <sz val="14"/>
      <color theme="0"/>
      <name val="Calibri"/>
    </font>
    <font>
      <b/>
      <sz val="16"/>
      <color rgb="FFFF0000"/>
      <name val="Calibri"/>
    </font>
    <font>
      <sz val="16"/>
      <color rgb="FFFF0000"/>
      <name val="Calibri"/>
    </font>
    <font>
      <b/>
      <sz val="14"/>
      <color rgb="FFE36C09"/>
      <name val="Calibri"/>
    </font>
    <font>
      <sz val="14"/>
      <color rgb="FFE36C09"/>
      <name val="Calibri"/>
    </font>
    <font>
      <sz val="16"/>
      <color rgb="FFDAEEF3"/>
      <name val="Calibri"/>
    </font>
    <font>
      <sz val="11"/>
      <color rgb="FFDAEEF3"/>
      <name val="Calibri"/>
    </font>
    <font>
      <i/>
      <sz val="20"/>
      <color theme="1"/>
      <name val="Calibri"/>
    </font>
    <font>
      <i/>
      <sz val="11"/>
      <color rgb="FFFF0000"/>
      <name val="Calibri"/>
    </font>
    <font>
      <sz val="14"/>
      <color rgb="FFF2F2F2"/>
      <name val="Calibri"/>
    </font>
    <font>
      <b/>
      <sz val="18"/>
      <color theme="1"/>
      <name val="Calibri"/>
    </font>
    <font>
      <b/>
      <sz val="14"/>
      <color rgb="FFF2F2F2"/>
      <name val="Calibri"/>
    </font>
    <font>
      <b/>
      <sz val="12"/>
      <color theme="0"/>
      <name val="Calibri"/>
    </font>
    <font>
      <b/>
      <sz val="10"/>
      <color theme="0"/>
      <name val="Calibri"/>
    </font>
    <font>
      <sz val="11"/>
      <color theme="1"/>
      <name val="Calibri"/>
      <scheme val="minor"/>
    </font>
    <font>
      <b/>
      <sz val="24"/>
      <color rgb="FFFF0000"/>
      <name val="Calibri"/>
    </font>
    <font>
      <b/>
      <sz val="20"/>
      <color rgb="FFFF0000"/>
      <name val="Calibri"/>
    </font>
    <font>
      <sz val="9"/>
      <color theme="0"/>
      <name val="Calibri"/>
    </font>
    <font>
      <b/>
      <sz val="11"/>
      <color rgb="FFBFBFBF"/>
      <name val="Calibri"/>
    </font>
    <font>
      <b/>
      <i/>
      <sz val="11"/>
      <color rgb="FFFF0000"/>
      <name val="Calibri"/>
    </font>
    <font>
      <sz val="8"/>
      <color rgb="FFD8D8D8"/>
      <name val="Calibri"/>
    </font>
    <font>
      <b/>
      <sz val="18"/>
      <color rgb="FFFF0000"/>
      <name val="Calibri"/>
    </font>
    <font>
      <sz val="11"/>
      <color rgb="FFBFBFBF"/>
      <name val="Calibri"/>
    </font>
    <font>
      <b/>
      <sz val="10"/>
      <color rgb="FFFF0000"/>
      <name val="Calibri"/>
    </font>
    <font>
      <b/>
      <sz val="9"/>
      <color rgb="FFFF0000"/>
      <name val="Calibri"/>
    </font>
    <font>
      <sz val="7"/>
      <color theme="1"/>
      <name val="Calibri"/>
    </font>
    <font>
      <sz val="8"/>
      <color rgb="FF002060"/>
      <name val="Calibri"/>
    </font>
    <font>
      <b/>
      <sz val="10"/>
      <color rgb="FF002060"/>
      <name val="Calibri"/>
    </font>
    <font>
      <b/>
      <i/>
      <sz val="9"/>
      <color rgb="FF0070C0"/>
      <name val="Calibri"/>
    </font>
    <font>
      <sz val="11"/>
      <color rgb="FFA5A5A5"/>
      <name val="Calibri"/>
    </font>
    <font>
      <b/>
      <sz val="9"/>
      <color theme="0"/>
      <name val="Calibri"/>
    </font>
    <font>
      <sz val="11"/>
      <color rgb="FF7F7F7F"/>
      <name val="Calibri"/>
    </font>
    <font>
      <sz val="20"/>
      <color theme="0"/>
      <name val="Calibri"/>
    </font>
    <font>
      <sz val="11"/>
      <color rgb="FFD8D8D8"/>
      <name val="Calibri"/>
    </font>
    <font>
      <b/>
      <u/>
      <sz val="20"/>
      <color theme="0"/>
      <name val="Calibri"/>
    </font>
    <font>
      <b/>
      <sz val="22"/>
      <color theme="1"/>
      <name val="Calibri"/>
    </font>
    <font>
      <b/>
      <u/>
      <sz val="8"/>
      <color theme="1"/>
      <name val="Calibri"/>
    </font>
    <font>
      <b/>
      <sz val="11"/>
      <color rgb="FFFABF8F"/>
      <name val="Calibri"/>
    </font>
    <font>
      <u/>
      <sz val="8"/>
      <color theme="1"/>
      <name val="Calibri"/>
    </font>
    <font>
      <u/>
      <sz val="8"/>
      <color rgb="FF974806"/>
      <name val="Calibri"/>
    </font>
    <font>
      <b/>
      <u/>
      <sz val="10"/>
      <color theme="1"/>
      <name val="Calibri"/>
    </font>
    <font>
      <b/>
      <u/>
      <sz val="10"/>
      <color rgb="FF974806"/>
      <name val="Calibri"/>
    </font>
    <font>
      <b/>
      <sz val="8"/>
      <color rgb="FF0070C0"/>
      <name val="Calibri"/>
    </font>
    <font>
      <sz val="10"/>
      <color rgb="FFFF0000"/>
      <name val="Calibri"/>
    </font>
    <font>
      <b/>
      <u/>
      <sz val="16"/>
      <color theme="1"/>
      <name val="Calibri"/>
    </font>
    <font>
      <b/>
      <u/>
      <sz val="18"/>
      <color theme="1"/>
      <name val="Calibri"/>
    </font>
    <font>
      <sz val="8"/>
      <color theme="0"/>
      <name val="Calibri"/>
    </font>
  </fonts>
  <fills count="74">
    <fill>
      <patternFill patternType="none"/>
    </fill>
    <fill>
      <patternFill patternType="gray125"/>
    </fill>
    <fill>
      <patternFill patternType="solid">
        <fgColor theme="1"/>
        <bgColor theme="1"/>
      </patternFill>
    </fill>
    <fill>
      <patternFill patternType="solid">
        <fgColor rgb="FFFFFFCC"/>
        <bgColor rgb="FFFFFFCC"/>
      </patternFill>
    </fill>
    <fill>
      <patternFill patternType="solid">
        <fgColor rgb="FFFFFF99"/>
        <bgColor rgb="FFFFFF99"/>
      </patternFill>
    </fill>
    <fill>
      <patternFill patternType="solid">
        <fgColor rgb="FFFFC000"/>
        <bgColor rgb="FFFFC000"/>
      </patternFill>
    </fill>
    <fill>
      <patternFill patternType="solid">
        <fgColor rgb="FFFFF3CD"/>
        <bgColor rgb="FFFFF3CD"/>
      </patternFill>
    </fill>
    <fill>
      <patternFill patternType="solid">
        <fgColor rgb="FFFFCC29"/>
        <bgColor rgb="FFFFCC29"/>
      </patternFill>
    </fill>
    <fill>
      <patternFill patternType="solid">
        <fgColor rgb="FFFFDD71"/>
        <bgColor rgb="FFFFDD71"/>
      </patternFill>
    </fill>
    <fill>
      <patternFill patternType="solid">
        <fgColor rgb="FFF4FEBA"/>
        <bgColor rgb="FFF4FEBA"/>
      </patternFill>
    </fill>
    <fill>
      <patternFill patternType="solid">
        <fgColor rgb="FFFFFF85"/>
        <bgColor rgb="FFFFFF85"/>
      </patternFill>
    </fill>
    <fill>
      <patternFill patternType="solid">
        <fgColor rgb="FF974806"/>
        <bgColor rgb="FF974806"/>
      </patternFill>
    </fill>
    <fill>
      <patternFill patternType="solid">
        <fgColor rgb="FFFABF8F"/>
        <bgColor rgb="FFFABF8F"/>
      </patternFill>
    </fill>
    <fill>
      <patternFill patternType="solid">
        <fgColor rgb="FFFBD4B4"/>
        <bgColor rgb="FFFBD4B4"/>
      </patternFill>
    </fill>
    <fill>
      <patternFill patternType="solid">
        <fgColor rgb="FF00B050"/>
        <bgColor rgb="FF00B050"/>
      </patternFill>
    </fill>
    <fill>
      <patternFill patternType="solid">
        <fgColor rgb="FFEAF1DD"/>
        <bgColor rgb="FFEAF1DD"/>
      </patternFill>
    </fill>
    <fill>
      <patternFill patternType="solid">
        <fgColor rgb="FFD6E3BC"/>
        <bgColor rgb="FFD6E3BC"/>
      </patternFill>
    </fill>
    <fill>
      <patternFill patternType="solid">
        <fgColor rgb="FFFF0000"/>
        <bgColor rgb="FFFF0000"/>
      </patternFill>
    </fill>
    <fill>
      <patternFill patternType="solid">
        <fgColor rgb="FFFF81FF"/>
        <bgColor rgb="FFFF81FF"/>
      </patternFill>
    </fill>
    <fill>
      <patternFill patternType="solid">
        <fgColor rgb="FFFFC9FF"/>
        <bgColor rgb="FFFFC9FF"/>
      </patternFill>
    </fill>
    <fill>
      <patternFill patternType="solid">
        <fgColor rgb="FFA5A5A5"/>
        <bgColor rgb="FFA5A5A5"/>
      </patternFill>
    </fill>
    <fill>
      <patternFill patternType="solid">
        <fgColor rgb="FFD8D8D8"/>
        <bgColor rgb="FFD8D8D8"/>
      </patternFill>
    </fill>
    <fill>
      <patternFill patternType="solid">
        <fgColor rgb="FFBFBFBF"/>
        <bgColor rgb="FFBFBFBF"/>
      </patternFill>
    </fill>
    <fill>
      <patternFill patternType="solid">
        <fgColor rgb="FFDAEEF3"/>
        <bgColor rgb="FFDAEEF3"/>
      </patternFill>
    </fill>
    <fill>
      <patternFill patternType="solid">
        <fgColor rgb="FF632423"/>
        <bgColor rgb="FF632423"/>
      </patternFill>
    </fill>
    <fill>
      <patternFill patternType="solid">
        <fgColor rgb="FFB6DDE8"/>
        <bgColor rgb="FFB6DDE8"/>
      </patternFill>
    </fill>
    <fill>
      <patternFill patternType="solid">
        <fgColor rgb="FF31859B"/>
        <bgColor rgb="FF31859B"/>
      </patternFill>
    </fill>
    <fill>
      <patternFill patternType="solid">
        <fgColor rgb="FFE36C09"/>
        <bgColor rgb="FFE36C09"/>
      </patternFill>
    </fill>
    <fill>
      <patternFill patternType="solid">
        <fgColor rgb="FFFDE9D9"/>
        <bgColor rgb="FFFDE9D9"/>
      </patternFill>
    </fill>
    <fill>
      <patternFill patternType="solid">
        <fgColor rgb="FF3F3151"/>
        <bgColor rgb="FF3F3151"/>
      </patternFill>
    </fill>
    <fill>
      <patternFill patternType="solid">
        <fgColor rgb="FFE5DFEC"/>
        <bgColor rgb="FFE5DFEC"/>
      </patternFill>
    </fill>
    <fill>
      <patternFill patternType="solid">
        <fgColor rgb="FFCCC0D9"/>
        <bgColor rgb="FFCCC0D9"/>
      </patternFill>
    </fill>
    <fill>
      <patternFill patternType="solid">
        <fgColor rgb="FF002060"/>
        <bgColor rgb="FF002060"/>
      </patternFill>
    </fill>
    <fill>
      <patternFill patternType="solid">
        <fgColor rgb="FFFFFF66"/>
        <bgColor rgb="FFFFFF66"/>
      </patternFill>
    </fill>
    <fill>
      <patternFill patternType="solid">
        <fgColor rgb="FF92CDDC"/>
        <bgColor rgb="FF92CDDC"/>
      </patternFill>
    </fill>
    <fill>
      <patternFill patternType="solid">
        <fgColor rgb="FFF2F2F2"/>
        <bgColor rgb="FFF2F2F2"/>
      </patternFill>
    </fill>
    <fill>
      <patternFill patternType="solid">
        <fgColor rgb="FF93CDDD"/>
        <bgColor rgb="FF93CDDD"/>
      </patternFill>
    </fill>
    <fill>
      <patternFill patternType="solid">
        <fgColor rgb="FFC2D69B"/>
        <bgColor rgb="FFC2D69B"/>
      </patternFill>
    </fill>
    <fill>
      <patternFill patternType="solid">
        <fgColor rgb="FFA7D6E3"/>
        <bgColor rgb="FFA7D6E3"/>
      </patternFill>
    </fill>
    <fill>
      <patternFill patternType="solid">
        <fgColor rgb="FF6DBCD1"/>
        <bgColor rgb="FF6DBCD1"/>
      </patternFill>
    </fill>
    <fill>
      <patternFill patternType="solid">
        <fgColor rgb="FF99D0DF"/>
        <bgColor rgb="FF99D0DF"/>
      </patternFill>
    </fill>
    <fill>
      <patternFill patternType="solid">
        <fgColor rgb="FFFFDDFF"/>
        <bgColor rgb="FFFFDDFF"/>
      </patternFill>
    </fill>
    <fill>
      <patternFill patternType="solid">
        <fgColor rgb="FFFFCDFF"/>
        <bgColor rgb="FFFFCDFF"/>
      </patternFill>
    </fill>
    <fill>
      <patternFill patternType="solid">
        <fgColor rgb="FFB5CD81"/>
        <bgColor rgb="FFB5CD81"/>
      </patternFill>
    </fill>
    <fill>
      <patternFill patternType="solid">
        <fgColor rgb="FFC5D79D"/>
        <bgColor rgb="FFC5D79D"/>
      </patternFill>
    </fill>
    <fill>
      <patternFill patternType="solid">
        <fgColor rgb="FFFFC5FF"/>
        <bgColor rgb="FFFFC5FF"/>
      </patternFill>
    </fill>
    <fill>
      <patternFill patternType="solid">
        <fgColor rgb="FFFFABFF"/>
        <bgColor rgb="FFFFABFF"/>
      </patternFill>
    </fill>
    <fill>
      <patternFill patternType="solid">
        <fgColor rgb="FFD99594"/>
        <bgColor rgb="FFD99594"/>
      </patternFill>
    </fill>
    <fill>
      <patternFill patternType="solid">
        <fgColor rgb="FFE5B8B7"/>
        <bgColor rgb="FFE5B8B7"/>
      </patternFill>
    </fill>
    <fill>
      <patternFill patternType="solid">
        <fgColor rgb="FFF2DBDB"/>
        <bgColor rgb="FFF2DBDB"/>
      </patternFill>
    </fill>
    <fill>
      <patternFill patternType="solid">
        <fgColor rgb="FFFFFFA3"/>
        <bgColor rgb="FFFFFFA3"/>
      </patternFill>
    </fill>
    <fill>
      <patternFill patternType="solid">
        <fgColor rgb="FF5F497A"/>
        <bgColor rgb="FF5F497A"/>
      </patternFill>
    </fill>
    <fill>
      <patternFill patternType="solid">
        <fgColor rgb="FF76923C"/>
        <bgColor rgb="FF76923C"/>
      </patternFill>
    </fill>
    <fill>
      <patternFill patternType="solid">
        <fgColor rgb="FF39471D"/>
        <bgColor rgb="FF39471D"/>
      </patternFill>
    </fill>
    <fill>
      <patternFill patternType="solid">
        <fgColor rgb="FF205867"/>
        <bgColor rgb="FF205867"/>
      </patternFill>
    </fill>
    <fill>
      <patternFill patternType="solid">
        <fgColor rgb="FF4F6128"/>
        <bgColor rgb="FF4F6128"/>
      </patternFill>
    </fill>
    <fill>
      <patternFill patternType="solid">
        <fgColor rgb="FF143840"/>
        <bgColor rgb="FF143840"/>
      </patternFill>
    </fill>
    <fill>
      <patternFill patternType="solid">
        <fgColor rgb="FFFF8BFF"/>
        <bgColor rgb="FFFF8BFF"/>
      </patternFill>
    </fill>
    <fill>
      <patternFill patternType="solid">
        <fgColor rgb="FFFFD5FF"/>
        <bgColor rgb="FFFFD5FF"/>
      </patternFill>
    </fill>
    <fill>
      <patternFill patternType="solid">
        <fgColor rgb="FFFFA3FF"/>
        <bgColor rgb="FFFFA3FF"/>
      </patternFill>
    </fill>
    <fill>
      <patternFill patternType="solid">
        <fgColor rgb="FFD3817F"/>
        <bgColor rgb="FFD3817F"/>
      </patternFill>
    </fill>
    <fill>
      <patternFill patternType="solid">
        <fgColor rgb="FFEBC9C7"/>
        <bgColor rgb="FFEBC9C7"/>
      </patternFill>
    </fill>
    <fill>
      <patternFill patternType="solid">
        <fgColor rgb="FF7030A0"/>
        <bgColor rgb="FF7030A0"/>
      </patternFill>
    </fill>
    <fill>
      <patternFill patternType="solid">
        <fgColor rgb="FF953734"/>
        <bgColor rgb="FF953734"/>
      </patternFill>
    </fill>
    <fill>
      <patternFill patternType="solid">
        <fgColor rgb="FFF8A968"/>
        <bgColor rgb="FFF8A968"/>
      </patternFill>
    </fill>
    <fill>
      <patternFill patternType="solid">
        <fgColor rgb="FFBD4441"/>
        <bgColor rgb="FFBD4441"/>
      </patternFill>
    </fill>
    <fill>
      <patternFill patternType="solid">
        <fgColor rgb="FFFFFF00"/>
        <bgColor rgb="FFFFFF00"/>
      </patternFill>
    </fill>
    <fill>
      <patternFill patternType="solid">
        <fgColor rgb="FFCAE7EE"/>
        <bgColor rgb="FFCAE7EE"/>
      </patternFill>
    </fill>
    <fill>
      <patternFill patternType="solid">
        <fgColor rgb="FFB2A1C7"/>
        <bgColor rgb="FFB2A1C7"/>
      </patternFill>
    </fill>
    <fill>
      <patternFill patternType="solid">
        <fgColor theme="0"/>
        <bgColor theme="0"/>
      </patternFill>
    </fill>
    <fill>
      <patternFill patternType="solid">
        <fgColor rgb="FFBADFE8"/>
        <bgColor rgb="FFBADFE8"/>
      </patternFill>
    </fill>
    <fill>
      <patternFill patternType="solid">
        <fgColor rgb="FFFF9F9F"/>
        <bgColor rgb="FFFF9F9F"/>
      </patternFill>
    </fill>
    <fill>
      <patternFill patternType="solid">
        <fgColor rgb="FF0070C0"/>
        <bgColor rgb="FF0070C0"/>
      </patternFill>
    </fill>
    <fill>
      <patternFill patternType="solid">
        <fgColor rgb="FF95B3D7"/>
        <bgColor rgb="FF95B3D7"/>
      </patternFill>
    </fill>
  </fills>
  <borders count="108">
    <border>
      <left/>
      <right/>
      <top/>
      <bottom/>
      <diagonal/>
    </border>
    <border>
      <left/>
      <right/>
      <top/>
      <bottom/>
      <diagonal/>
    </border>
    <border>
      <left/>
      <right/>
      <top/>
      <bottom/>
      <diagonal/>
    </border>
    <border>
      <left/>
      <right/>
      <top/>
      <bottom/>
      <diagonal/>
    </border>
    <border>
      <left style="thin">
        <color rgb="FF000000"/>
      </left>
      <right/>
      <top/>
      <bottom style="double">
        <color rgb="FF000000"/>
      </bottom>
      <diagonal/>
    </border>
    <border>
      <left/>
      <right/>
      <top/>
      <bottom style="double">
        <color rgb="FF000000"/>
      </bottom>
      <diagonal/>
    </border>
    <border>
      <left/>
      <right/>
      <top/>
      <bottom style="double">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right/>
      <top style="double">
        <color rgb="FF000000"/>
      </top>
      <bottom style="double">
        <color rgb="FF000000"/>
      </bottom>
      <diagonal/>
    </border>
    <border>
      <left style="double">
        <color rgb="FF000000"/>
      </left>
      <right style="double">
        <color rgb="FF000000"/>
      </right>
      <top style="double">
        <color rgb="FF000000"/>
      </top>
      <bottom style="double">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thin">
        <color rgb="FF000000"/>
      </top>
      <bottom/>
      <diagonal/>
    </border>
    <border>
      <left style="double">
        <color rgb="FF000000"/>
      </left>
      <right/>
      <top/>
      <bottom/>
      <diagonal/>
    </border>
    <border>
      <left/>
      <right style="double">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right/>
      <top/>
      <bottom style="double">
        <color rgb="FF000000"/>
      </bottom>
      <diagonal/>
    </border>
    <border>
      <left/>
      <right/>
      <top/>
      <bottom style="double">
        <color rgb="FF000000"/>
      </bottom>
      <diagonal/>
    </border>
    <border>
      <left/>
      <right/>
      <top/>
      <bottom style="double">
        <color rgb="FF000000"/>
      </bottom>
      <diagonal/>
    </border>
    <border>
      <left/>
      <right/>
      <top style="thin">
        <color rgb="FF000000"/>
      </top>
      <bottom/>
      <diagonal/>
    </border>
    <border>
      <left/>
      <right/>
      <top style="thin">
        <color rgb="FF000000"/>
      </top>
      <bottom/>
      <diagonal/>
    </border>
    <border>
      <left/>
      <right/>
      <top style="thin">
        <color rgb="FF000000"/>
      </top>
      <bottom style="thin">
        <color rgb="FFA5A5A5"/>
      </bottom>
      <diagonal/>
    </border>
    <border>
      <left/>
      <right/>
      <top style="thin">
        <color rgb="FF000000"/>
      </top>
      <bottom style="thin">
        <color rgb="FFA5A5A5"/>
      </bottom>
      <diagonal/>
    </border>
    <border>
      <left/>
      <right/>
      <top style="thin">
        <color rgb="FF000000"/>
      </top>
      <bottom style="thin">
        <color rgb="FFA5A5A5"/>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uble">
        <color rgb="FF000000"/>
      </bottom>
      <diagonal/>
    </border>
    <border>
      <left/>
      <right/>
      <top style="thin">
        <color rgb="FFA5A5A5"/>
      </top>
      <bottom/>
      <diagonal/>
    </border>
    <border>
      <left/>
      <right/>
      <top style="thin">
        <color rgb="FFA5A5A5"/>
      </top>
      <bottom/>
      <diagonal/>
    </border>
    <border>
      <left/>
      <right/>
      <top style="thin">
        <color rgb="FFA5A5A5"/>
      </top>
      <bottom/>
      <diagonal/>
    </border>
    <border>
      <left/>
      <right style="double">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theme="0"/>
      </top>
      <bottom style="thin">
        <color rgb="FF000000"/>
      </bottom>
      <diagonal/>
    </border>
    <border>
      <left/>
      <right/>
      <top style="thin">
        <color theme="0"/>
      </top>
      <bottom style="thin">
        <color rgb="FF000000"/>
      </bottom>
      <diagonal/>
    </border>
    <border>
      <left/>
      <right/>
      <top style="thin">
        <color theme="0"/>
      </top>
      <bottom style="thin">
        <color rgb="FF00000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bottom/>
      <diagonal/>
    </border>
    <border>
      <left style="thick">
        <color rgb="FF000000"/>
      </left>
      <right/>
      <top/>
      <bottom/>
      <diagonal/>
    </border>
    <border>
      <left style="thick">
        <color rgb="FF000000"/>
      </left>
      <right/>
      <top style="thin">
        <color rgb="FF000000"/>
      </top>
      <bottom/>
      <diagonal/>
    </border>
    <border>
      <left style="thick">
        <color rgb="FF000000"/>
      </left>
      <right/>
      <top/>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right style="thick">
        <color rgb="FF000000"/>
      </right>
      <top style="thin">
        <color rgb="FF000000"/>
      </top>
      <bottom style="thick">
        <color rgb="FF000000"/>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1053">
    <xf numFmtId="0" fontId="0" fillId="0" borderId="0" xfId="0"/>
    <xf numFmtId="0" fontId="4" fillId="3" borderId="10" xfId="0" applyFont="1" applyFill="1" applyBorder="1"/>
    <xf numFmtId="0" fontId="7" fillId="6" borderId="19" xfId="0" applyFont="1" applyFill="1" applyBorder="1"/>
    <xf numFmtId="0" fontId="7" fillId="5" borderId="19" xfId="0" applyFont="1" applyFill="1" applyBorder="1" applyAlignment="1">
      <alignment horizontal="center" vertical="center"/>
    </xf>
    <xf numFmtId="0" fontId="7" fillId="2" borderId="29" xfId="0" applyFont="1" applyFill="1" applyBorder="1"/>
    <xf numFmtId="0" fontId="7" fillId="2" borderId="33" xfId="0" applyFont="1" applyFill="1" applyBorder="1"/>
    <xf numFmtId="0" fontId="7" fillId="12" borderId="19" xfId="0" applyFont="1" applyFill="1" applyBorder="1"/>
    <xf numFmtId="0" fontId="7" fillId="12" borderId="40" xfId="0" applyFont="1" applyFill="1" applyBorder="1"/>
    <xf numFmtId="0" fontId="7" fillId="32" borderId="19" xfId="0" applyFont="1" applyFill="1" applyBorder="1"/>
    <xf numFmtId="0" fontId="7" fillId="2" borderId="19" xfId="0" applyFont="1" applyFill="1" applyBorder="1"/>
    <xf numFmtId="0" fontId="13" fillId="23" borderId="33" xfId="0" applyFont="1" applyFill="1" applyBorder="1" applyAlignment="1">
      <alignment horizontal="center" vertical="center"/>
    </xf>
    <xf numFmtId="0" fontId="8" fillId="23" borderId="33" xfId="0" applyFont="1" applyFill="1" applyBorder="1" applyAlignment="1">
      <alignment horizontal="center" vertical="center"/>
    </xf>
    <xf numFmtId="0" fontId="13" fillId="37" borderId="33" xfId="0" applyFont="1" applyFill="1" applyBorder="1" applyAlignment="1">
      <alignment horizontal="center" vertical="center" wrapText="1"/>
    </xf>
    <xf numFmtId="0" fontId="23" fillId="15" borderId="33" xfId="0" applyFont="1" applyFill="1" applyBorder="1" applyAlignment="1">
      <alignment horizontal="center" vertical="center" textRotation="90" wrapText="1"/>
    </xf>
    <xf numFmtId="0" fontId="35" fillId="41" borderId="33" xfId="0" applyFont="1" applyFill="1" applyBorder="1" applyAlignment="1">
      <alignment vertical="center" textRotation="90" wrapText="1"/>
    </xf>
    <xf numFmtId="0" fontId="16" fillId="25" borderId="19" xfId="0" applyFont="1" applyFill="1" applyBorder="1" applyAlignment="1">
      <alignment horizontal="center" vertical="center" wrapText="1"/>
    </xf>
    <xf numFmtId="0" fontId="20" fillId="2" borderId="19" xfId="0" applyFont="1" applyFill="1" applyBorder="1" applyAlignment="1">
      <alignment vertical="center" wrapText="1"/>
    </xf>
    <xf numFmtId="0" fontId="28" fillId="37" borderId="33" xfId="0" applyFont="1" applyFill="1" applyBorder="1" applyAlignment="1">
      <alignment horizontal="center" vertical="center" wrapText="1"/>
    </xf>
    <xf numFmtId="0" fontId="29" fillId="16" borderId="33" xfId="0" applyFont="1" applyFill="1" applyBorder="1" applyAlignment="1">
      <alignment horizontal="center" vertical="center" textRotation="90" wrapText="1"/>
    </xf>
    <xf numFmtId="0" fontId="43" fillId="41" borderId="29" xfId="0" applyFont="1" applyFill="1" applyBorder="1" applyAlignment="1">
      <alignment vertical="center" textRotation="90" wrapText="1"/>
    </xf>
    <xf numFmtId="0" fontId="9" fillId="37" borderId="33" xfId="0" applyFont="1" applyFill="1" applyBorder="1" applyAlignment="1">
      <alignment horizontal="center" vertical="center" wrapText="1"/>
    </xf>
    <xf numFmtId="0" fontId="23" fillId="16" borderId="33" xfId="0" applyFont="1" applyFill="1" applyBorder="1" applyAlignment="1">
      <alignment horizontal="center" vertical="center" textRotation="90" wrapText="1"/>
    </xf>
    <xf numFmtId="0" fontId="31" fillId="41" borderId="33" xfId="0" applyFont="1" applyFill="1" applyBorder="1" applyAlignment="1">
      <alignment vertical="center"/>
    </xf>
    <xf numFmtId="0" fontId="9" fillId="43" borderId="33" xfId="0" applyFont="1" applyFill="1" applyBorder="1" applyAlignment="1">
      <alignment horizontal="center" vertical="center" wrapText="1"/>
    </xf>
    <xf numFmtId="0" fontId="23" fillId="44" borderId="33" xfId="0" applyFont="1" applyFill="1" applyBorder="1" applyAlignment="1">
      <alignment horizontal="center" vertical="center" textRotation="90" wrapText="1"/>
    </xf>
    <xf numFmtId="0" fontId="31" fillId="45" borderId="33" xfId="0" applyFont="1" applyFill="1" applyBorder="1" applyAlignment="1">
      <alignment vertical="center"/>
    </xf>
    <xf numFmtId="49" fontId="31" fillId="39" borderId="64" xfId="0" applyNumberFormat="1" applyFont="1" applyFill="1" applyBorder="1" applyAlignment="1">
      <alignment vertical="center" wrapText="1"/>
    </xf>
    <xf numFmtId="49" fontId="31" fillId="39" borderId="65" xfId="0" applyNumberFormat="1" applyFont="1" applyFill="1" applyBorder="1" applyAlignment="1">
      <alignment vertical="center" wrapText="1"/>
    </xf>
    <xf numFmtId="0" fontId="9" fillId="0" borderId="0" xfId="0" applyFont="1"/>
    <xf numFmtId="0" fontId="15" fillId="25" borderId="19" xfId="0" applyFont="1" applyFill="1" applyBorder="1" applyAlignment="1">
      <alignment horizontal="center" vertical="center"/>
    </xf>
    <xf numFmtId="0" fontId="25" fillId="32" borderId="19" xfId="0" applyFont="1" applyFill="1" applyBorder="1"/>
    <xf numFmtId="0" fontId="13" fillId="23" borderId="19" xfId="0" applyFont="1" applyFill="1" applyBorder="1" applyAlignment="1">
      <alignment vertical="center"/>
    </xf>
    <xf numFmtId="0" fontId="34" fillId="23" borderId="29" xfId="0" applyFont="1" applyFill="1" applyBorder="1" applyAlignment="1">
      <alignment vertical="center" textRotation="90" wrapText="1"/>
    </xf>
    <xf numFmtId="0" fontId="34" fillId="25" borderId="29" xfId="0" applyFont="1" applyFill="1" applyBorder="1" applyAlignment="1">
      <alignment vertical="center" textRotation="90" wrapText="1"/>
    </xf>
    <xf numFmtId="0" fontId="34" fillId="12" borderId="33" xfId="0" applyFont="1" applyFill="1" applyBorder="1" applyAlignment="1">
      <alignment vertical="center" textRotation="90" wrapText="1"/>
    </xf>
    <xf numFmtId="0" fontId="34" fillId="13" borderId="33" xfId="0" applyFont="1" applyFill="1" applyBorder="1" applyAlignment="1">
      <alignment vertical="center" textRotation="90" wrapText="1"/>
    </xf>
    <xf numFmtId="0" fontId="7" fillId="23" borderId="33" xfId="0" applyFont="1" applyFill="1" applyBorder="1"/>
    <xf numFmtId="0" fontId="10" fillId="0" borderId="74" xfId="0" applyFont="1" applyBorder="1" applyAlignment="1">
      <alignment vertical="center" wrapText="1"/>
    </xf>
    <xf numFmtId="0" fontId="10" fillId="25" borderId="29" xfId="0" applyFont="1" applyFill="1" applyBorder="1" applyAlignment="1">
      <alignment vertical="center" wrapText="1"/>
    </xf>
    <xf numFmtId="0" fontId="10" fillId="23" borderId="29" xfId="0" applyFont="1" applyFill="1" applyBorder="1" applyAlignment="1">
      <alignment vertical="center" wrapText="1"/>
    </xf>
    <xf numFmtId="14" fontId="10" fillId="23" borderId="29" xfId="0" applyNumberFormat="1" applyFont="1" applyFill="1" applyBorder="1" applyAlignment="1">
      <alignment vertical="center" wrapText="1"/>
    </xf>
    <xf numFmtId="0" fontId="7" fillId="23" borderId="33" xfId="0" applyFont="1" applyFill="1" applyBorder="1" applyAlignment="1">
      <alignment horizontal="center" vertical="center"/>
    </xf>
    <xf numFmtId="14" fontId="9" fillId="25" borderId="33" xfId="0" applyNumberFormat="1" applyFont="1" applyFill="1" applyBorder="1"/>
    <xf numFmtId="0" fontId="9" fillId="25" borderId="33" xfId="0" applyFont="1" applyFill="1" applyBorder="1"/>
    <xf numFmtId="0" fontId="41" fillId="23" borderId="33" xfId="0" applyFont="1" applyFill="1" applyBorder="1" applyAlignment="1">
      <alignment horizontal="center" vertical="center"/>
    </xf>
    <xf numFmtId="0" fontId="41" fillId="25" borderId="33" xfId="0" applyFont="1" applyFill="1" applyBorder="1" applyAlignment="1">
      <alignment horizontal="center" vertical="center"/>
    </xf>
    <xf numFmtId="0" fontId="31" fillId="12" borderId="33" xfId="0" applyFont="1" applyFill="1" applyBorder="1" applyAlignment="1">
      <alignment horizontal="center" vertical="center"/>
    </xf>
    <xf numFmtId="0" fontId="31" fillId="13" borderId="33" xfId="0" applyFont="1" applyFill="1" applyBorder="1" applyAlignment="1">
      <alignment horizontal="center" vertical="center"/>
    </xf>
    <xf numFmtId="0" fontId="31" fillId="12" borderId="33" xfId="0" applyFont="1" applyFill="1" applyBorder="1" applyAlignment="1">
      <alignment vertical="center"/>
    </xf>
    <xf numFmtId="0" fontId="9" fillId="23" borderId="33" xfId="0" applyFont="1" applyFill="1" applyBorder="1" applyAlignment="1">
      <alignment horizontal="center" vertical="center"/>
    </xf>
    <xf numFmtId="0" fontId="7" fillId="12" borderId="33" xfId="0" applyFont="1" applyFill="1" applyBorder="1"/>
    <xf numFmtId="0" fontId="7" fillId="34" borderId="19" xfId="0" applyFont="1" applyFill="1" applyBorder="1"/>
    <xf numFmtId="0" fontId="23" fillId="23" borderId="29" xfId="0" applyFont="1" applyFill="1" applyBorder="1" applyAlignment="1">
      <alignment vertical="center" textRotation="90" wrapText="1"/>
    </xf>
    <xf numFmtId="0" fontId="23" fillId="25" borderId="29" xfId="0" applyFont="1" applyFill="1" applyBorder="1" applyAlignment="1">
      <alignment vertical="center" textRotation="90" wrapText="1"/>
    </xf>
    <xf numFmtId="0" fontId="7" fillId="2" borderId="65" xfId="0" applyFont="1" applyFill="1" applyBorder="1" applyAlignment="1">
      <alignment horizontal="center" vertical="center"/>
    </xf>
    <xf numFmtId="0" fontId="30" fillId="2" borderId="33" xfId="0" applyFont="1" applyFill="1" applyBorder="1" applyAlignment="1">
      <alignment vertical="center" wrapText="1"/>
    </xf>
    <xf numFmtId="0" fontId="7" fillId="25" borderId="19" xfId="0" applyFont="1" applyFill="1" applyBorder="1"/>
    <xf numFmtId="0" fontId="7" fillId="34" borderId="33" xfId="0" applyFont="1" applyFill="1" applyBorder="1"/>
    <xf numFmtId="0" fontId="7" fillId="2" borderId="19" xfId="0" applyFont="1" applyFill="1" applyBorder="1" applyAlignment="1">
      <alignment horizontal="center" vertical="center" wrapText="1"/>
    </xf>
    <xf numFmtId="0" fontId="50" fillId="2" borderId="75" xfId="0" applyFont="1" applyFill="1" applyBorder="1" applyAlignment="1">
      <alignment horizontal="center" vertical="center"/>
    </xf>
    <xf numFmtId="0" fontId="13" fillId="23" borderId="29" xfId="0" applyFont="1" applyFill="1" applyBorder="1" applyAlignment="1">
      <alignment vertical="center" textRotation="90" wrapText="1"/>
    </xf>
    <xf numFmtId="0" fontId="13" fillId="25" borderId="29" xfId="0" applyFont="1" applyFill="1" applyBorder="1" applyAlignment="1">
      <alignment vertical="center" textRotation="90" wrapText="1"/>
    </xf>
    <xf numFmtId="0" fontId="13" fillId="23" borderId="29" xfId="0" applyFont="1" applyFill="1" applyBorder="1" applyAlignment="1">
      <alignment horizontal="center" vertical="center" wrapText="1"/>
    </xf>
    <xf numFmtId="0" fontId="13" fillId="25" borderId="29" xfId="0" applyFont="1" applyFill="1" applyBorder="1" applyAlignment="1">
      <alignment horizontal="center" vertical="center" wrapText="1"/>
    </xf>
    <xf numFmtId="0" fontId="30" fillId="2" borderId="65" xfId="0" applyFont="1" applyFill="1" applyBorder="1" applyAlignment="1">
      <alignment vertical="center" wrapText="1"/>
    </xf>
    <xf numFmtId="0" fontId="7" fillId="34" borderId="33" xfId="0" applyFont="1" applyFill="1" applyBorder="1" applyAlignment="1">
      <alignment horizontal="center" vertical="center"/>
    </xf>
    <xf numFmtId="0" fontId="31" fillId="23" borderId="33" xfId="0" applyFont="1" applyFill="1" applyBorder="1"/>
    <xf numFmtId="0" fontId="31" fillId="25" borderId="33" xfId="0" applyFont="1" applyFill="1" applyBorder="1"/>
    <xf numFmtId="0" fontId="31" fillId="12" borderId="33" xfId="0" applyFont="1" applyFill="1" applyBorder="1"/>
    <xf numFmtId="0" fontId="31" fillId="13" borderId="33" xfId="0" applyFont="1" applyFill="1" applyBorder="1"/>
    <xf numFmtId="0" fontId="13" fillId="2" borderId="65" xfId="0" applyFont="1" applyFill="1" applyBorder="1" applyAlignment="1">
      <alignment horizontal="left" vertical="center" wrapText="1"/>
    </xf>
    <xf numFmtId="0" fontId="13" fillId="2" borderId="65" xfId="0" applyFont="1" applyFill="1" applyBorder="1" applyAlignment="1">
      <alignment vertical="center" wrapText="1"/>
    </xf>
    <xf numFmtId="0" fontId="13" fillId="2" borderId="76" xfId="0" applyFont="1" applyFill="1" applyBorder="1" applyAlignment="1">
      <alignment horizontal="left" vertical="center" wrapText="1"/>
    </xf>
    <xf numFmtId="0" fontId="13" fillId="2" borderId="76" xfId="0" applyFont="1" applyFill="1" applyBorder="1" applyAlignment="1">
      <alignment vertical="center" wrapText="1"/>
    </xf>
    <xf numFmtId="0" fontId="7" fillId="0" borderId="35" xfId="0" applyFont="1" applyBorder="1"/>
    <xf numFmtId="0" fontId="13" fillId="0" borderId="35" xfId="0" applyFont="1" applyBorder="1" applyAlignment="1">
      <alignment horizontal="left" vertical="center" wrapText="1"/>
    </xf>
    <xf numFmtId="14" fontId="9" fillId="0" borderId="35" xfId="0" applyNumberFormat="1" applyFont="1" applyBorder="1"/>
    <xf numFmtId="0" fontId="9" fillId="0" borderId="35" xfId="0" applyFont="1" applyBorder="1"/>
    <xf numFmtId="0" fontId="13" fillId="0" borderId="35" xfId="0" applyFont="1" applyBorder="1" applyAlignment="1">
      <alignment vertical="center" wrapText="1"/>
    </xf>
    <xf numFmtId="0" fontId="13" fillId="0" borderId="0" xfId="0" applyFont="1" applyAlignment="1">
      <alignment horizontal="left" vertical="center" wrapText="1"/>
    </xf>
    <xf numFmtId="14" fontId="9" fillId="0" borderId="0" xfId="0" applyNumberFormat="1" applyFont="1" applyAlignment="1">
      <alignment horizontal="left"/>
    </xf>
    <xf numFmtId="0" fontId="9" fillId="0" borderId="0" xfId="0" applyFont="1" applyAlignment="1">
      <alignment horizontal="left"/>
    </xf>
    <xf numFmtId="0" fontId="13" fillId="0" borderId="0" xfId="0" applyFont="1" applyAlignment="1">
      <alignment vertical="center" wrapText="1"/>
    </xf>
    <xf numFmtId="14" fontId="9" fillId="0" borderId="0" xfId="0" applyNumberFormat="1" applyFont="1"/>
    <xf numFmtId="0" fontId="7" fillId="2" borderId="19" xfId="0" applyFont="1" applyFill="1" applyBorder="1" applyAlignment="1">
      <alignment vertical="center"/>
    </xf>
    <xf numFmtId="0" fontId="7" fillId="2" borderId="19" xfId="0" applyFont="1" applyFill="1" applyBorder="1" applyAlignment="1">
      <alignment horizontal="left" vertical="top"/>
    </xf>
    <xf numFmtId="0" fontId="7" fillId="2" borderId="19" xfId="0" applyFont="1" applyFill="1" applyBorder="1" applyAlignment="1">
      <alignment horizontal="left"/>
    </xf>
    <xf numFmtId="0" fontId="7" fillId="0" borderId="33" xfId="0" applyFont="1" applyBorder="1"/>
    <xf numFmtId="0" fontId="13" fillId="0" borderId="33" xfId="0" applyFont="1" applyBorder="1" applyAlignment="1">
      <alignment vertical="center"/>
    </xf>
    <xf numFmtId="0" fontId="24" fillId="0" borderId="0" xfId="0" applyFont="1" applyAlignment="1">
      <alignment vertical="center" wrapText="1"/>
    </xf>
    <xf numFmtId="0" fontId="53" fillId="32" borderId="19" xfId="0" applyFont="1" applyFill="1" applyBorder="1"/>
    <xf numFmtId="0" fontId="54" fillId="32" borderId="19" xfId="0" applyFont="1" applyFill="1" applyBorder="1"/>
    <xf numFmtId="0" fontId="7" fillId="0" borderId="41" xfId="0" applyFont="1" applyBorder="1"/>
    <xf numFmtId="0" fontId="55" fillId="2" borderId="19" xfId="0" applyFont="1" applyFill="1" applyBorder="1"/>
    <xf numFmtId="0" fontId="36" fillId="0" borderId="0" xfId="0" applyFont="1" applyAlignment="1">
      <alignment horizontal="center" vertical="center"/>
    </xf>
    <xf numFmtId="0" fontId="3" fillId="0" borderId="0" xfId="0" applyFont="1" applyAlignment="1">
      <alignment horizontal="center" vertical="center"/>
    </xf>
    <xf numFmtId="0" fontId="46"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xf numFmtId="0" fontId="4" fillId="0" borderId="0" xfId="0" applyFont="1"/>
    <xf numFmtId="0" fontId="13" fillId="0" borderId="0" xfId="0" applyFont="1" applyAlignment="1">
      <alignment horizontal="center" vertical="center"/>
    </xf>
    <xf numFmtId="0" fontId="8" fillId="0" borderId="0" xfId="0" applyFont="1" applyAlignment="1">
      <alignment vertical="top"/>
    </xf>
    <xf numFmtId="0" fontId="57" fillId="0" borderId="0" xfId="0" applyFont="1" applyAlignment="1">
      <alignment vertical="top"/>
    </xf>
    <xf numFmtId="0" fontId="27" fillId="0" borderId="0" xfId="0" applyFont="1" applyAlignment="1">
      <alignment horizontal="right" vertical="center"/>
    </xf>
    <xf numFmtId="0" fontId="27" fillId="0" borderId="0" xfId="0" applyFont="1" applyAlignment="1">
      <alignment vertical="center" wrapText="1"/>
    </xf>
    <xf numFmtId="0" fontId="53" fillId="0" borderId="0" xfId="0" applyFont="1" applyAlignment="1">
      <alignment horizontal="center" vertical="center"/>
    </xf>
    <xf numFmtId="0" fontId="24" fillId="2" borderId="64" xfId="0" applyFont="1" applyFill="1" applyBorder="1" applyAlignment="1">
      <alignment horizontal="right"/>
    </xf>
    <xf numFmtId="0" fontId="24" fillId="2" borderId="77" xfId="0" applyFont="1" applyFill="1" applyBorder="1" applyAlignment="1">
      <alignment horizontal="right"/>
    </xf>
    <xf numFmtId="0" fontId="24" fillId="2" borderId="77" xfId="0" applyFont="1" applyFill="1" applyBorder="1" applyAlignment="1">
      <alignment horizontal="center" vertical="center"/>
    </xf>
    <xf numFmtId="0" fontId="24" fillId="2" borderId="65" xfId="0" applyFont="1" applyFill="1" applyBorder="1" applyAlignment="1">
      <alignment horizontal="right"/>
    </xf>
    <xf numFmtId="0" fontId="24" fillId="2" borderId="33" xfId="0" applyFont="1" applyFill="1" applyBorder="1" applyAlignment="1">
      <alignment horizontal="center"/>
    </xf>
    <xf numFmtId="0" fontId="64" fillId="2" borderId="33" xfId="0" applyFont="1" applyFill="1" applyBorder="1" applyAlignment="1">
      <alignment horizontal="right"/>
    </xf>
    <xf numFmtId="0" fontId="64" fillId="2" borderId="33" xfId="0" applyFont="1" applyFill="1" applyBorder="1" applyAlignment="1">
      <alignment horizontal="center"/>
    </xf>
    <xf numFmtId="0" fontId="66" fillId="0" borderId="0" xfId="0" applyFont="1" applyAlignment="1">
      <alignment horizontal="center" vertical="center"/>
    </xf>
    <xf numFmtId="0" fontId="67" fillId="56" borderId="77" xfId="0" applyFont="1" applyFill="1" applyBorder="1" applyAlignment="1">
      <alignment horizontal="right"/>
    </xf>
    <xf numFmtId="0" fontId="67" fillId="0" borderId="0" xfId="0" applyFont="1" applyAlignment="1">
      <alignment horizontal="right"/>
    </xf>
    <xf numFmtId="0" fontId="67" fillId="0" borderId="0" xfId="0" applyFont="1" applyAlignment="1">
      <alignment horizontal="center"/>
    </xf>
    <xf numFmtId="0" fontId="68" fillId="0" borderId="0" xfId="0" applyFont="1" applyAlignment="1">
      <alignment horizontal="right"/>
    </xf>
    <xf numFmtId="0" fontId="68" fillId="0" borderId="0" xfId="0" applyFont="1" applyAlignment="1">
      <alignment horizontal="center"/>
    </xf>
    <xf numFmtId="0" fontId="3" fillId="34" borderId="78" xfId="0" applyFont="1" applyFill="1" applyBorder="1" applyAlignment="1">
      <alignment horizontal="left" wrapText="1"/>
    </xf>
    <xf numFmtId="0" fontId="3" fillId="34" borderId="19" xfId="0" applyFont="1" applyFill="1" applyBorder="1" applyAlignment="1">
      <alignment horizontal="left" wrapText="1"/>
    </xf>
    <xf numFmtId="0" fontId="3" fillId="34" borderId="19" xfId="0" applyFont="1" applyFill="1" applyBorder="1" applyAlignment="1">
      <alignment horizontal="center" vertical="center" wrapText="1"/>
    </xf>
    <xf numFmtId="0" fontId="7" fillId="0" borderId="0" xfId="0" applyFont="1" applyAlignment="1">
      <alignment vertical="center" wrapText="1"/>
    </xf>
    <xf numFmtId="0" fontId="8" fillId="2" borderId="19" xfId="0" applyFont="1" applyFill="1" applyBorder="1" applyAlignment="1">
      <alignment horizontal="left" vertical="center" wrapText="1"/>
    </xf>
    <xf numFmtId="0" fontId="24" fillId="2" borderId="75" xfId="0" applyFont="1" applyFill="1" applyBorder="1" applyAlignment="1">
      <alignment horizontal="left" vertical="center" wrapText="1"/>
    </xf>
    <xf numFmtId="0" fontId="24" fillId="2" borderId="75" xfId="0" applyFont="1" applyFill="1" applyBorder="1" applyAlignment="1">
      <alignment horizontal="center" vertical="center" wrapText="1"/>
    </xf>
    <xf numFmtId="0" fontId="8" fillId="0" borderId="0" xfId="0" applyFont="1" applyAlignment="1">
      <alignment horizontal="left" vertical="center" wrapText="1"/>
    </xf>
    <xf numFmtId="0" fontId="8" fillId="2" borderId="7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79" xfId="0" applyFont="1" applyFill="1" applyBorder="1" applyAlignment="1">
      <alignment horizontal="center" vertical="center" wrapText="1"/>
    </xf>
    <xf numFmtId="0" fontId="8" fillId="2" borderId="80" xfId="0" applyFont="1" applyFill="1" applyBorder="1" applyAlignment="1">
      <alignment horizontal="center" vertical="center" wrapText="1"/>
    </xf>
    <xf numFmtId="0" fontId="8" fillId="2" borderId="75"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7" fillId="2" borderId="19" xfId="0" applyFont="1" applyFill="1" applyBorder="1" applyAlignment="1">
      <alignment horizontal="center" vertical="center"/>
    </xf>
    <xf numFmtId="0" fontId="69" fillId="0" borderId="0" xfId="0" applyFont="1" applyAlignment="1">
      <alignment horizontal="center" vertical="center"/>
    </xf>
    <xf numFmtId="0" fontId="7" fillId="54" borderId="64" xfId="0" applyFont="1" applyFill="1" applyBorder="1"/>
    <xf numFmtId="0" fontId="7" fillId="54" borderId="77" xfId="0" applyFont="1" applyFill="1" applyBorder="1"/>
    <xf numFmtId="0" fontId="7" fillId="54" borderId="65" xfId="0" applyFont="1" applyFill="1" applyBorder="1"/>
    <xf numFmtId="0" fontId="69" fillId="2" borderId="19" xfId="0" applyFont="1" applyFill="1" applyBorder="1" applyAlignment="1">
      <alignment horizontal="center" vertical="center"/>
    </xf>
    <xf numFmtId="0" fontId="55" fillId="54" borderId="19" xfId="0" applyFont="1" applyFill="1" applyBorder="1"/>
    <xf numFmtId="0" fontId="53" fillId="54" borderId="19" xfId="0" applyFont="1" applyFill="1" applyBorder="1" applyAlignment="1">
      <alignment horizontal="center" vertical="center"/>
    </xf>
    <xf numFmtId="0" fontId="7" fillId="26" borderId="19" xfId="0" applyFont="1" applyFill="1" applyBorder="1"/>
    <xf numFmtId="0" fontId="7" fillId="25" borderId="64" xfId="0" applyFont="1" applyFill="1" applyBorder="1"/>
    <xf numFmtId="0" fontId="7" fillId="25" borderId="77" xfId="0" applyFont="1" applyFill="1" applyBorder="1"/>
    <xf numFmtId="0" fontId="7" fillId="25" borderId="77" xfId="0" applyFont="1" applyFill="1" applyBorder="1" applyAlignment="1">
      <alignment horizontal="center" vertical="center"/>
    </xf>
    <xf numFmtId="0" fontId="7" fillId="25" borderId="65" xfId="0" applyFont="1" applyFill="1" applyBorder="1"/>
    <xf numFmtId="0" fontId="13" fillId="0" borderId="0" xfId="0" applyFont="1"/>
    <xf numFmtId="0" fontId="70" fillId="0" borderId="0" xfId="0" applyFont="1" applyAlignment="1">
      <alignment vertical="center" wrapText="1"/>
    </xf>
    <xf numFmtId="0" fontId="19" fillId="0" borderId="0" xfId="0" applyFont="1" applyAlignment="1">
      <alignment horizontal="center" vertical="center" wrapText="1"/>
    </xf>
    <xf numFmtId="0" fontId="25" fillId="0" borderId="0" xfId="0" applyFont="1"/>
    <xf numFmtId="0" fontId="19" fillId="0" borderId="0" xfId="0" applyFont="1" applyAlignment="1">
      <alignment horizontal="center" vertical="center"/>
    </xf>
    <xf numFmtId="0" fontId="72" fillId="0" borderId="0" xfId="0" applyFont="1"/>
    <xf numFmtId="0" fontId="7" fillId="0" borderId="41" xfId="0" applyFont="1" applyBorder="1" applyAlignment="1">
      <alignment horizontal="center" vertical="center" wrapText="1"/>
    </xf>
    <xf numFmtId="0" fontId="7" fillId="0" borderId="41" xfId="0" applyFont="1" applyBorder="1" applyAlignment="1">
      <alignment horizontal="center" vertical="center"/>
    </xf>
    <xf numFmtId="0" fontId="3" fillId="0" borderId="41" xfId="0" applyFont="1" applyBorder="1" applyAlignment="1">
      <alignment horizontal="center"/>
    </xf>
    <xf numFmtId="0" fontId="3" fillId="0" borderId="0" xfId="0" applyFont="1" applyAlignment="1">
      <alignment horizontal="center"/>
    </xf>
    <xf numFmtId="0" fontId="73" fillId="0" borderId="0" xfId="0" applyFont="1"/>
    <xf numFmtId="0" fontId="73" fillId="0" borderId="0" xfId="0" applyFont="1" applyAlignment="1">
      <alignment horizontal="center" vertical="center"/>
    </xf>
    <xf numFmtId="0" fontId="55" fillId="26" borderId="19" xfId="0" applyFont="1" applyFill="1" applyBorder="1"/>
    <xf numFmtId="0" fontId="76" fillId="26" borderId="19" xfId="0" applyFont="1" applyFill="1" applyBorder="1" applyAlignment="1">
      <alignment horizontal="center" vertical="center"/>
    </xf>
    <xf numFmtId="0" fontId="76" fillId="0" borderId="0" xfId="0" applyFont="1" applyAlignment="1">
      <alignment horizontal="center" vertical="center"/>
    </xf>
    <xf numFmtId="0" fontId="7" fillId="54" borderId="19" xfId="0" applyFont="1" applyFill="1" applyBorder="1"/>
    <xf numFmtId="0" fontId="8" fillId="54" borderId="78" xfId="0" applyFont="1" applyFill="1" applyBorder="1" applyAlignment="1">
      <alignment horizontal="center" vertical="center"/>
    </xf>
    <xf numFmtId="0" fontId="7" fillId="54" borderId="19" xfId="0" applyFont="1" applyFill="1" applyBorder="1" applyAlignment="1">
      <alignment horizontal="center" vertical="center"/>
    </xf>
    <xf numFmtId="0" fontId="15" fillId="34" borderId="77" xfId="0" applyFont="1" applyFill="1" applyBorder="1" applyAlignment="1">
      <alignment horizontal="left" vertical="center"/>
    </xf>
    <xf numFmtId="0" fontId="15" fillId="34" borderId="77" xfId="0" applyFont="1" applyFill="1" applyBorder="1" applyAlignment="1">
      <alignment horizontal="center" vertical="center"/>
    </xf>
    <xf numFmtId="0" fontId="15" fillId="34" borderId="65" xfId="0" applyFont="1" applyFill="1" applyBorder="1" applyAlignment="1">
      <alignment horizontal="center" vertical="center"/>
    </xf>
    <xf numFmtId="0" fontId="55" fillId="2" borderId="19" xfId="0" applyFont="1" applyFill="1" applyBorder="1" applyAlignment="1">
      <alignment vertical="center" textRotation="90" wrapText="1"/>
    </xf>
    <xf numFmtId="0" fontId="7" fillId="66" borderId="19" xfId="0" applyFont="1" applyFill="1" applyBorder="1"/>
    <xf numFmtId="0" fontId="78" fillId="0" borderId="0" xfId="0" applyFont="1"/>
    <xf numFmtId="0" fontId="13" fillId="0" borderId="0" xfId="0" applyFont="1" applyAlignment="1">
      <alignment horizontal="left" vertical="top"/>
    </xf>
    <xf numFmtId="0" fontId="13" fillId="0" borderId="0" xfId="0" applyFont="1" applyAlignment="1">
      <alignment horizontal="center" vertical="top"/>
    </xf>
    <xf numFmtId="0" fontId="13" fillId="0" borderId="0" xfId="0" applyFont="1" applyAlignment="1">
      <alignment vertical="top"/>
    </xf>
    <xf numFmtId="0" fontId="13" fillId="66" borderId="19" xfId="0" applyFont="1" applyFill="1" applyBorder="1" applyAlignment="1">
      <alignment horizontal="left" vertical="top"/>
    </xf>
    <xf numFmtId="0" fontId="7" fillId="0" borderId="0" xfId="0" applyFont="1"/>
    <xf numFmtId="0" fontId="55" fillId="2" borderId="33" xfId="0" applyFont="1" applyFill="1" applyBorder="1"/>
    <xf numFmtId="0" fontId="81" fillId="0" borderId="0" xfId="0" applyFont="1" applyAlignment="1">
      <alignment horizontal="center" vertical="center" wrapText="1"/>
    </xf>
    <xf numFmtId="0" fontId="82" fillId="2" borderId="33" xfId="0" applyFont="1" applyFill="1" applyBorder="1" applyAlignment="1">
      <alignment horizontal="center" vertical="center"/>
    </xf>
    <xf numFmtId="0" fontId="8" fillId="0" borderId="0" xfId="0" applyFont="1" applyAlignment="1">
      <alignment horizontal="center" vertical="center"/>
    </xf>
    <xf numFmtId="0" fontId="13" fillId="0" borderId="0" xfId="0" applyFont="1" applyAlignment="1">
      <alignment horizontal="center" vertical="center" wrapText="1"/>
    </xf>
    <xf numFmtId="0" fontId="85" fillId="2" borderId="19" xfId="0" applyFont="1" applyFill="1" applyBorder="1"/>
    <xf numFmtId="0" fontId="50" fillId="2" borderId="19" xfId="0" applyFont="1" applyFill="1" applyBorder="1" applyAlignment="1">
      <alignment horizontal="center" vertical="center" wrapText="1"/>
    </xf>
    <xf numFmtId="0" fontId="86" fillId="2" borderId="33" xfId="0" applyFont="1" applyFill="1" applyBorder="1"/>
    <xf numFmtId="0" fontId="87" fillId="0" borderId="0" xfId="0" applyFont="1"/>
    <xf numFmtId="0" fontId="88" fillId="0" borderId="0" xfId="0" applyFont="1"/>
    <xf numFmtId="0" fontId="89" fillId="0" borderId="0" xfId="0" applyFont="1" applyAlignment="1">
      <alignment horizontal="center" vertical="center" wrapText="1"/>
    </xf>
    <xf numFmtId="0" fontId="55" fillId="0" borderId="0" xfId="0" applyFont="1"/>
    <xf numFmtId="0" fontId="55" fillId="0" borderId="0" xfId="0" applyFont="1" applyAlignment="1">
      <alignment horizontal="center" vertical="center"/>
    </xf>
    <xf numFmtId="0" fontId="55" fillId="0" borderId="0" xfId="0" applyFont="1" applyAlignment="1">
      <alignment horizontal="left"/>
    </xf>
    <xf numFmtId="0" fontId="30" fillId="0" borderId="0" xfId="0" applyFont="1" applyAlignment="1">
      <alignment horizontal="center" vertical="center"/>
    </xf>
    <xf numFmtId="0" fontId="86" fillId="2" borderId="29" xfId="0" applyFont="1" applyFill="1" applyBorder="1"/>
    <xf numFmtId="0" fontId="54" fillId="0" borderId="0" xfId="0" applyFont="1" applyAlignment="1">
      <alignment horizontal="center" vertical="center"/>
    </xf>
    <xf numFmtId="0" fontId="31" fillId="0" borderId="0" xfId="0" applyFont="1" applyAlignment="1">
      <alignment horizontal="center" vertical="center"/>
    </xf>
    <xf numFmtId="0" fontId="44" fillId="0" borderId="0" xfId="0" applyFont="1" applyAlignment="1">
      <alignment horizontal="center" vertical="center"/>
    </xf>
    <xf numFmtId="0" fontId="20" fillId="2" borderId="19" xfId="0" applyFont="1" applyFill="1" applyBorder="1"/>
    <xf numFmtId="0" fontId="55" fillId="54" borderId="19" xfId="0" applyFont="1" applyFill="1" applyBorder="1" applyAlignment="1">
      <alignment horizontal="center"/>
    </xf>
    <xf numFmtId="0" fontId="20" fillId="25" borderId="19" xfId="0" applyFont="1" applyFill="1" applyBorder="1" applyAlignment="1">
      <alignment horizontal="center" vertical="center"/>
    </xf>
    <xf numFmtId="0" fontId="20" fillId="2" borderId="77" xfId="0" applyFont="1" applyFill="1" applyBorder="1" applyAlignment="1">
      <alignment horizontal="center" vertical="center"/>
    </xf>
    <xf numFmtId="0" fontId="20" fillId="26" borderId="19" xfId="0" applyFont="1" applyFill="1" applyBorder="1" applyAlignment="1">
      <alignment horizontal="center" vertical="center"/>
    </xf>
    <xf numFmtId="0" fontId="55" fillId="2" borderId="33" xfId="0" applyFont="1" applyFill="1" applyBorder="1" applyAlignment="1">
      <alignment horizontal="center"/>
    </xf>
    <xf numFmtId="0" fontId="13" fillId="2" borderId="33" xfId="0" applyFont="1" applyFill="1" applyBorder="1" applyAlignment="1">
      <alignment vertical="center" wrapText="1"/>
    </xf>
    <xf numFmtId="0" fontId="19" fillId="23" borderId="33" xfId="0" applyFont="1" applyFill="1" applyBorder="1" applyAlignment="1">
      <alignment horizontal="center"/>
    </xf>
    <xf numFmtId="0" fontId="19" fillId="25" borderId="33" xfId="0" applyFont="1" applyFill="1" applyBorder="1" applyAlignment="1">
      <alignment horizontal="center"/>
    </xf>
    <xf numFmtId="0" fontId="19" fillId="30" borderId="33" xfId="0" applyFont="1" applyFill="1" applyBorder="1" applyAlignment="1">
      <alignment horizontal="center"/>
    </xf>
    <xf numFmtId="0" fontId="19" fillId="68" borderId="33" xfId="0" applyFont="1" applyFill="1" applyBorder="1" applyAlignment="1">
      <alignment horizontal="center"/>
    </xf>
    <xf numFmtId="0" fontId="19" fillId="23" borderId="33" xfId="0" applyFont="1" applyFill="1" applyBorder="1" applyAlignment="1">
      <alignment horizontal="center" vertical="center"/>
    </xf>
    <xf numFmtId="0" fontId="19" fillId="25" borderId="33" xfId="0" applyFont="1" applyFill="1" applyBorder="1" applyAlignment="1">
      <alignment horizontal="center" vertical="center"/>
    </xf>
    <xf numFmtId="0" fontId="19" fillId="30" borderId="33" xfId="0" applyFont="1" applyFill="1" applyBorder="1" applyAlignment="1">
      <alignment horizontal="center" vertical="center"/>
    </xf>
    <xf numFmtId="0" fontId="19" fillId="31" borderId="33" xfId="0" applyFont="1" applyFill="1" applyBorder="1" applyAlignment="1">
      <alignment horizontal="center" vertical="center"/>
    </xf>
    <xf numFmtId="0" fontId="7" fillId="25" borderId="33" xfId="0" applyFont="1" applyFill="1" applyBorder="1" applyAlignment="1">
      <alignment horizontal="center"/>
    </xf>
    <xf numFmtId="0" fontId="7" fillId="31" borderId="33" xfId="0" applyFont="1" applyFill="1" applyBorder="1" applyAlignment="1">
      <alignment horizontal="center"/>
    </xf>
    <xf numFmtId="0" fontId="93" fillId="0" borderId="0" xfId="0" applyFont="1"/>
    <xf numFmtId="0" fontId="19" fillId="70" borderId="33" xfId="0" applyFont="1" applyFill="1" applyBorder="1" applyAlignment="1">
      <alignment horizontal="center" vertical="center"/>
    </xf>
    <xf numFmtId="0" fontId="19" fillId="36" borderId="33" xfId="0" applyFont="1" applyFill="1" applyBorder="1" applyAlignment="1">
      <alignment horizontal="center" vertical="center"/>
    </xf>
    <xf numFmtId="0" fontId="19" fillId="68" borderId="33" xfId="0" applyFont="1" applyFill="1" applyBorder="1" applyAlignment="1">
      <alignment horizontal="center" vertical="center"/>
    </xf>
    <xf numFmtId="0" fontId="7" fillId="70" borderId="33" xfId="0" applyFont="1" applyFill="1" applyBorder="1" applyAlignment="1">
      <alignment horizontal="center" vertical="center"/>
    </xf>
    <xf numFmtId="0" fontId="7" fillId="36" borderId="33" xfId="0" applyFont="1" applyFill="1" applyBorder="1" applyAlignment="1">
      <alignment horizontal="center" vertical="center"/>
    </xf>
    <xf numFmtId="0" fontId="7" fillId="31" borderId="33" xfId="0" applyFont="1" applyFill="1" applyBorder="1" applyAlignment="1">
      <alignment horizontal="center" vertical="center"/>
    </xf>
    <xf numFmtId="0" fontId="7" fillId="68" borderId="33" xfId="0" applyFont="1" applyFill="1" applyBorder="1" applyAlignment="1">
      <alignment horizontal="center" vertical="center"/>
    </xf>
    <xf numFmtId="0" fontId="7" fillId="25" borderId="33" xfId="0" applyFont="1" applyFill="1" applyBorder="1" applyAlignment="1">
      <alignment horizontal="center" vertical="center"/>
    </xf>
    <xf numFmtId="0" fontId="7" fillId="30" borderId="33" xfId="0" applyFont="1" applyFill="1" applyBorder="1" applyAlignment="1">
      <alignment horizontal="center" vertical="center"/>
    </xf>
    <xf numFmtId="0" fontId="8" fillId="13" borderId="33" xfId="0" applyFont="1" applyFill="1" applyBorder="1" applyAlignment="1">
      <alignment horizontal="center" vertical="center"/>
    </xf>
    <xf numFmtId="0" fontId="8" fillId="27" borderId="33" xfId="0" applyFont="1" applyFill="1" applyBorder="1" applyAlignment="1">
      <alignment horizontal="center" vertical="center"/>
    </xf>
    <xf numFmtId="0" fontId="8" fillId="2" borderId="33" xfId="0" applyFont="1" applyFill="1" applyBorder="1"/>
    <xf numFmtId="0" fontId="8" fillId="30" borderId="33" xfId="0" applyFont="1" applyFill="1" applyBorder="1" applyAlignment="1">
      <alignment horizontal="center" vertical="center"/>
    </xf>
    <xf numFmtId="0" fontId="8" fillId="31" borderId="33" xfId="0" applyFont="1" applyFill="1" applyBorder="1" applyAlignment="1">
      <alignment horizontal="center" vertical="center"/>
    </xf>
    <xf numFmtId="0" fontId="55" fillId="29" borderId="19" xfId="0" applyFont="1" applyFill="1" applyBorder="1" applyAlignment="1">
      <alignment horizontal="center"/>
    </xf>
    <xf numFmtId="0" fontId="8" fillId="2" borderId="33" xfId="0" applyFont="1" applyFill="1" applyBorder="1" applyAlignment="1">
      <alignment horizontal="center" vertical="center"/>
    </xf>
    <xf numFmtId="0" fontId="55" fillId="2" borderId="19" xfId="0" applyFont="1" applyFill="1" applyBorder="1" applyAlignment="1">
      <alignment horizontal="center"/>
    </xf>
    <xf numFmtId="0" fontId="46" fillId="69" borderId="75" xfId="0" applyFont="1" applyFill="1" applyBorder="1" applyAlignment="1">
      <alignment horizontal="center" vertical="center"/>
    </xf>
    <xf numFmtId="0" fontId="46" fillId="69" borderId="81" xfId="0" applyFont="1" applyFill="1" applyBorder="1" applyAlignment="1">
      <alignment horizontal="center" vertical="center"/>
    </xf>
    <xf numFmtId="0" fontId="8" fillId="17" borderId="33" xfId="0" applyFont="1" applyFill="1" applyBorder="1" applyAlignment="1">
      <alignment horizontal="center" vertical="center"/>
    </xf>
    <xf numFmtId="0" fontId="8" fillId="17" borderId="64" xfId="0" applyFont="1" applyFill="1" applyBorder="1" applyAlignment="1">
      <alignment horizontal="center" vertical="center"/>
    </xf>
    <xf numFmtId="0" fontId="55" fillId="17" borderId="105" xfId="0" applyFont="1" applyFill="1" applyBorder="1" applyAlignment="1">
      <alignment horizontal="center" vertical="center"/>
    </xf>
    <xf numFmtId="0" fontId="86" fillId="0" borderId="0" xfId="0" applyFont="1"/>
    <xf numFmtId="0" fontId="8" fillId="71" borderId="33" xfId="0" applyFont="1" applyFill="1" applyBorder="1" applyAlignment="1">
      <alignment horizontal="center" vertical="center"/>
    </xf>
    <xf numFmtId="0" fontId="8" fillId="71" borderId="64" xfId="0" applyFont="1" applyFill="1" applyBorder="1" applyAlignment="1">
      <alignment horizontal="center" vertical="center"/>
    </xf>
    <xf numFmtId="0" fontId="55" fillId="71" borderId="105" xfId="0" applyFont="1" applyFill="1" applyBorder="1" applyAlignment="1">
      <alignment horizontal="center" vertical="center"/>
    </xf>
    <xf numFmtId="0" fontId="8" fillId="73" borderId="33" xfId="0" applyFont="1" applyFill="1" applyBorder="1" applyAlignment="1">
      <alignment horizontal="center" vertical="center"/>
    </xf>
    <xf numFmtId="0" fontId="8" fillId="72" borderId="33" xfId="0" applyFont="1" applyFill="1" applyBorder="1" applyAlignment="1">
      <alignment horizontal="center" vertical="center"/>
    </xf>
    <xf numFmtId="0" fontId="8" fillId="72" borderId="64" xfId="0" applyFont="1" applyFill="1" applyBorder="1" applyAlignment="1">
      <alignment horizontal="center" vertical="center"/>
    </xf>
    <xf numFmtId="0" fontId="55" fillId="72" borderId="105" xfId="0" applyFont="1" applyFill="1" applyBorder="1" applyAlignment="1">
      <alignment horizontal="center" vertical="center"/>
    </xf>
    <xf numFmtId="0" fontId="8" fillId="37" borderId="33" xfId="0" applyFont="1" applyFill="1" applyBorder="1" applyAlignment="1">
      <alignment horizontal="center" vertical="center"/>
    </xf>
    <xf numFmtId="0" fontId="8" fillId="52" borderId="33" xfId="0" applyFont="1" applyFill="1" applyBorder="1" applyAlignment="1">
      <alignment horizontal="center" vertical="center"/>
    </xf>
    <xf numFmtId="0" fontId="8" fillId="52" borderId="64" xfId="0" applyFont="1" applyFill="1" applyBorder="1" applyAlignment="1">
      <alignment horizontal="center" vertical="center"/>
    </xf>
    <xf numFmtId="0" fontId="55" fillId="52" borderId="105" xfId="0" applyFont="1" applyFill="1" applyBorder="1" applyAlignment="1">
      <alignment horizontal="center" vertical="center"/>
    </xf>
    <xf numFmtId="0" fontId="8" fillId="47" borderId="33" xfId="0" applyFont="1" applyFill="1" applyBorder="1" applyAlignment="1">
      <alignment horizontal="center" vertical="center"/>
    </xf>
    <xf numFmtId="0" fontId="8" fillId="63" borderId="33" xfId="0" applyFont="1" applyFill="1" applyBorder="1" applyAlignment="1">
      <alignment horizontal="center" vertical="center"/>
    </xf>
    <xf numFmtId="0" fontId="8" fillId="63" borderId="64" xfId="0" applyFont="1" applyFill="1" applyBorder="1" applyAlignment="1">
      <alignment horizontal="center" vertical="center"/>
    </xf>
    <xf numFmtId="0" fontId="55" fillId="63" borderId="105" xfId="0" applyFont="1" applyFill="1" applyBorder="1" applyAlignment="1">
      <alignment horizontal="center" vertical="center"/>
    </xf>
    <xf numFmtId="0" fontId="8" fillId="68" borderId="33" xfId="0" applyFont="1" applyFill="1" applyBorder="1" applyAlignment="1">
      <alignment horizontal="center" vertical="center"/>
    </xf>
    <xf numFmtId="0" fontId="8" fillId="51" borderId="33" xfId="0" applyFont="1" applyFill="1" applyBorder="1" applyAlignment="1">
      <alignment horizontal="center" vertical="center"/>
    </xf>
    <xf numFmtId="0" fontId="8" fillId="51" borderId="64" xfId="0" applyFont="1" applyFill="1" applyBorder="1" applyAlignment="1">
      <alignment horizontal="center" vertical="center"/>
    </xf>
    <xf numFmtId="0" fontId="55" fillId="51" borderId="105" xfId="0" applyFont="1" applyFill="1" applyBorder="1" applyAlignment="1">
      <alignment horizontal="center" vertical="center"/>
    </xf>
    <xf numFmtId="0" fontId="8" fillId="12" borderId="33" xfId="0" applyFont="1" applyFill="1" applyBorder="1" applyAlignment="1">
      <alignment horizontal="center" vertical="center"/>
    </xf>
    <xf numFmtId="0" fontId="8" fillId="27" borderId="64" xfId="0" applyFont="1" applyFill="1" applyBorder="1" applyAlignment="1">
      <alignment horizontal="center" vertical="center"/>
    </xf>
    <xf numFmtId="0" fontId="55" fillId="27" borderId="105" xfId="0" applyFont="1" applyFill="1" applyBorder="1" applyAlignment="1">
      <alignment horizontal="center" vertical="center"/>
    </xf>
    <xf numFmtId="0" fontId="8" fillId="21" borderId="33" xfId="0" applyFont="1" applyFill="1" applyBorder="1" applyAlignment="1">
      <alignment horizontal="center" vertical="center"/>
    </xf>
    <xf numFmtId="0" fontId="8" fillId="20" borderId="33" xfId="0" applyFont="1" applyFill="1" applyBorder="1" applyAlignment="1">
      <alignment horizontal="center" vertical="center"/>
    </xf>
    <xf numFmtId="0" fontId="8" fillId="20" borderId="64" xfId="0" applyFont="1" applyFill="1" applyBorder="1" applyAlignment="1">
      <alignment horizontal="center" vertical="center"/>
    </xf>
    <xf numFmtId="0" fontId="55" fillId="20" borderId="105" xfId="0" applyFont="1" applyFill="1" applyBorder="1" applyAlignment="1">
      <alignment horizontal="center" vertical="center"/>
    </xf>
    <xf numFmtId="0" fontId="20" fillId="2" borderId="106" xfId="0" applyFont="1" applyFill="1" applyBorder="1" applyAlignment="1">
      <alignment horizontal="center" vertical="center" wrapText="1"/>
    </xf>
    <xf numFmtId="0" fontId="8" fillId="2" borderId="19" xfId="0" applyFont="1" applyFill="1" applyBorder="1" applyAlignment="1">
      <alignment horizontal="center" vertical="center"/>
    </xf>
    <xf numFmtId="0" fontId="55" fillId="2" borderId="19" xfId="0" applyFont="1" applyFill="1" applyBorder="1" applyAlignment="1">
      <alignment horizontal="center" vertical="center"/>
    </xf>
    <xf numFmtId="0" fontId="46" fillId="34" borderId="75" xfId="0" applyFont="1" applyFill="1" applyBorder="1" applyAlignment="1">
      <alignment horizontal="center" vertical="center"/>
    </xf>
    <xf numFmtId="0" fontId="46" fillId="34" borderId="81" xfId="0" applyFont="1" applyFill="1" applyBorder="1" applyAlignment="1">
      <alignment horizontal="center" vertical="center"/>
    </xf>
    <xf numFmtId="0" fontId="19" fillId="31" borderId="33" xfId="0" applyFont="1" applyFill="1" applyBorder="1" applyAlignment="1">
      <alignment horizontal="center"/>
    </xf>
    <xf numFmtId="0" fontId="7" fillId="2" borderId="33" xfId="0" applyFont="1" applyFill="1" applyBorder="1" applyAlignment="1">
      <alignment horizontal="center" vertical="center"/>
    </xf>
    <xf numFmtId="0" fontId="7" fillId="30" borderId="33" xfId="0" applyFont="1" applyFill="1" applyBorder="1"/>
    <xf numFmtId="0" fontId="7" fillId="31" borderId="33" xfId="0" applyFont="1" applyFill="1" applyBorder="1"/>
    <xf numFmtId="0" fontId="13" fillId="54" borderId="19" xfId="0" applyFont="1" applyFill="1" applyBorder="1" applyAlignment="1">
      <alignment vertical="center" wrapText="1"/>
    </xf>
    <xf numFmtId="0" fontId="7" fillId="54" borderId="19" xfId="0" applyFont="1" applyFill="1" applyBorder="1" applyAlignment="1">
      <alignment horizontal="center"/>
    </xf>
    <xf numFmtId="0" fontId="55" fillId="54" borderId="33" xfId="0" applyFont="1" applyFill="1" applyBorder="1" applyAlignment="1">
      <alignment horizontal="center" vertical="center"/>
    </xf>
    <xf numFmtId="0" fontId="94" fillId="2" borderId="19" xfId="0" applyFont="1" applyFill="1" applyBorder="1" applyAlignment="1">
      <alignment horizontal="left" vertical="center" wrapText="1"/>
    </xf>
    <xf numFmtId="0" fontId="7" fillId="15" borderId="33" xfId="0" applyFont="1" applyFill="1" applyBorder="1" applyAlignment="1">
      <alignment horizontal="center" vertical="center"/>
    </xf>
    <xf numFmtId="0" fontId="7" fillId="15" borderId="33" xfId="0" applyFont="1" applyFill="1" applyBorder="1"/>
    <xf numFmtId="0" fontId="7" fillId="16" borderId="33" xfId="0" applyFont="1" applyFill="1" applyBorder="1" applyAlignment="1">
      <alignment horizontal="center" vertical="center"/>
    </xf>
    <xf numFmtId="0" fontId="7" fillId="16" borderId="33" xfId="0" applyFont="1" applyFill="1" applyBorder="1"/>
    <xf numFmtId="0" fontId="13" fillId="55" borderId="19" xfId="0" applyFont="1" applyFill="1" applyBorder="1" applyAlignment="1">
      <alignment vertical="center" wrapText="1"/>
    </xf>
    <xf numFmtId="0" fontId="7" fillId="55" borderId="19" xfId="0" applyFont="1" applyFill="1" applyBorder="1" applyAlignment="1">
      <alignment horizontal="center"/>
    </xf>
    <xf numFmtId="0" fontId="55" fillId="55" borderId="33" xfId="0" applyFont="1" applyFill="1" applyBorder="1" applyAlignment="1">
      <alignment horizontal="center" vertical="center"/>
    </xf>
    <xf numFmtId="0" fontId="55" fillId="52" borderId="19" xfId="0" applyFont="1" applyFill="1" applyBorder="1"/>
    <xf numFmtId="0" fontId="7" fillId="0" borderId="0" xfId="0" applyFont="1" applyAlignment="1">
      <alignment horizontal="center"/>
    </xf>
    <xf numFmtId="0" fontId="55" fillId="0" borderId="0" xfId="0" applyFont="1" applyAlignment="1">
      <alignment vertical="center" wrapText="1"/>
    </xf>
    <xf numFmtId="0" fontId="8" fillId="2" borderId="64" xfId="0" applyFont="1" applyFill="1" applyBorder="1" applyAlignment="1">
      <alignment horizontal="center" vertical="center"/>
    </xf>
    <xf numFmtId="0" fontId="7" fillId="24" borderId="19" xfId="0" applyFont="1" applyFill="1" applyBorder="1"/>
    <xf numFmtId="0" fontId="55" fillId="24" borderId="19" xfId="0" applyFont="1" applyFill="1" applyBorder="1" applyAlignment="1">
      <alignment horizontal="center"/>
    </xf>
    <xf numFmtId="0" fontId="19" fillId="49" borderId="33" xfId="0" applyFont="1" applyFill="1" applyBorder="1" applyAlignment="1">
      <alignment horizontal="center"/>
    </xf>
    <xf numFmtId="0" fontId="19" fillId="48" borderId="33" xfId="0" applyFont="1" applyFill="1" applyBorder="1" applyAlignment="1">
      <alignment horizontal="center"/>
    </xf>
    <xf numFmtId="0" fontId="20" fillId="24" borderId="19" xfId="0" applyFont="1" applyFill="1" applyBorder="1"/>
    <xf numFmtId="0" fontId="55" fillId="24" borderId="19" xfId="0" applyFont="1" applyFill="1" applyBorder="1" applyAlignment="1">
      <alignment horizontal="center" vertical="center"/>
    </xf>
    <xf numFmtId="0" fontId="7" fillId="49" borderId="33" xfId="0" applyFont="1" applyFill="1" applyBorder="1" applyAlignment="1">
      <alignment horizontal="center" vertical="center"/>
    </xf>
    <xf numFmtId="0" fontId="7" fillId="49" borderId="33" xfId="0" applyFont="1" applyFill="1" applyBorder="1"/>
    <xf numFmtId="0" fontId="7" fillId="48" borderId="33" xfId="0" applyFont="1" applyFill="1" applyBorder="1" applyAlignment="1">
      <alignment horizontal="center" vertical="center"/>
    </xf>
    <xf numFmtId="0" fontId="7" fillId="48" borderId="33" xfId="0" applyFont="1" applyFill="1" applyBorder="1"/>
    <xf numFmtId="0" fontId="20" fillId="24" borderId="77" xfId="0" applyFont="1" applyFill="1" applyBorder="1" applyAlignment="1">
      <alignment horizontal="center" vertical="center"/>
    </xf>
    <xf numFmtId="0" fontId="55" fillId="20" borderId="19" xfId="0" applyFont="1" applyFill="1" applyBorder="1" applyAlignment="1">
      <alignment horizontal="center" vertical="center"/>
    </xf>
    <xf numFmtId="0" fontId="20" fillId="25" borderId="64" xfId="0" applyFont="1" applyFill="1" applyBorder="1" applyAlignment="1">
      <alignment horizontal="center" vertical="center"/>
    </xf>
    <xf numFmtId="0" fontId="20" fillId="25" borderId="77" xfId="0" applyFont="1" applyFill="1" applyBorder="1" applyAlignment="1">
      <alignment horizontal="center" vertical="center"/>
    </xf>
    <xf numFmtId="0" fontId="20" fillId="25" borderId="65" xfId="0" applyFont="1" applyFill="1" applyBorder="1" applyAlignment="1">
      <alignment horizontal="center" vertical="center"/>
    </xf>
    <xf numFmtId="0" fontId="20" fillId="0" borderId="0" xfId="0" applyFont="1" applyAlignment="1">
      <alignment horizontal="center" vertical="center"/>
    </xf>
    <xf numFmtId="0" fontId="55" fillId="0" borderId="0" xfId="0" applyFont="1" applyAlignment="1">
      <alignment horizontal="center"/>
    </xf>
    <xf numFmtId="0" fontId="7" fillId="23" borderId="33" xfId="0" applyFont="1" applyFill="1" applyBorder="1" applyAlignment="1">
      <alignment horizontal="center"/>
    </xf>
    <xf numFmtId="0" fontId="7" fillId="30" borderId="33" xfId="0" applyFont="1" applyFill="1" applyBorder="1" applyAlignment="1">
      <alignment horizontal="center"/>
    </xf>
    <xf numFmtId="0" fontId="7" fillId="34" borderId="33" xfId="0" applyFont="1" applyFill="1" applyBorder="1" applyAlignment="1">
      <alignment horizontal="center"/>
    </xf>
    <xf numFmtId="0" fontId="7" fillId="68" borderId="33" xfId="0" applyFont="1" applyFill="1" applyBorder="1" applyAlignment="1">
      <alignment horizontal="center"/>
    </xf>
    <xf numFmtId="0" fontId="46" fillId="13" borderId="33" xfId="0" applyFont="1" applyFill="1" applyBorder="1" applyAlignment="1">
      <alignment horizontal="center" vertical="center"/>
    </xf>
    <xf numFmtId="0" fontId="7" fillId="27" borderId="19" xfId="0" applyFont="1" applyFill="1" applyBorder="1"/>
    <xf numFmtId="0" fontId="55" fillId="11" borderId="19" xfId="0" applyFont="1" applyFill="1" applyBorder="1" applyAlignment="1">
      <alignment horizontal="center"/>
    </xf>
    <xf numFmtId="0" fontId="46" fillId="25" borderId="75" xfId="0" applyFont="1" applyFill="1" applyBorder="1" applyAlignment="1">
      <alignment horizontal="center" vertical="center"/>
    </xf>
    <xf numFmtId="0" fontId="46" fillId="25" borderId="81" xfId="0" applyFont="1" applyFill="1" applyBorder="1" applyAlignment="1">
      <alignment horizontal="center" vertical="center"/>
    </xf>
    <xf numFmtId="0" fontId="19" fillId="25" borderId="107" xfId="0" applyFont="1" applyFill="1" applyBorder="1" applyAlignment="1">
      <alignment horizontal="center"/>
    </xf>
    <xf numFmtId="0" fontId="7" fillId="17" borderId="33" xfId="0" applyFont="1" applyFill="1" applyBorder="1" applyAlignment="1">
      <alignment horizontal="center" vertical="center"/>
    </xf>
    <xf numFmtId="0" fontId="7" fillId="17" borderId="33" xfId="0" applyFont="1" applyFill="1" applyBorder="1"/>
    <xf numFmtId="0" fontId="7" fillId="17" borderId="19" xfId="0" applyFont="1" applyFill="1" applyBorder="1"/>
    <xf numFmtId="0" fontId="7" fillId="71" borderId="33" xfId="0" applyFont="1" applyFill="1" applyBorder="1" applyAlignment="1">
      <alignment horizontal="center" vertical="center"/>
    </xf>
    <xf numFmtId="0" fontId="7" fillId="71" borderId="33" xfId="0" applyFont="1" applyFill="1" applyBorder="1"/>
    <xf numFmtId="0" fontId="7" fillId="71" borderId="19" xfId="0" applyFont="1" applyFill="1" applyBorder="1"/>
    <xf numFmtId="0" fontId="7" fillId="72" borderId="33" xfId="0" applyFont="1" applyFill="1" applyBorder="1" applyAlignment="1">
      <alignment horizontal="center" vertical="center"/>
    </xf>
    <xf numFmtId="0" fontId="7" fillId="72" borderId="33" xfId="0" applyFont="1" applyFill="1" applyBorder="1"/>
    <xf numFmtId="0" fontId="7" fillId="72" borderId="19" xfId="0" applyFont="1" applyFill="1" applyBorder="1"/>
    <xf numFmtId="0" fontId="97" fillId="0" borderId="0" xfId="0" applyFont="1"/>
    <xf numFmtId="0" fontId="4" fillId="0" borderId="0" xfId="0" applyFont="1" applyAlignment="1">
      <alignment vertical="center" wrapText="1"/>
    </xf>
    <xf numFmtId="0" fontId="41" fillId="0" borderId="0" xfId="0" applyFont="1" applyAlignment="1">
      <alignment vertical="center"/>
    </xf>
    <xf numFmtId="0" fontId="7" fillId="25" borderId="30" xfId="0" applyFont="1" applyFill="1" applyBorder="1" applyAlignment="1">
      <alignment vertical="center" wrapText="1"/>
    </xf>
    <xf numFmtId="0" fontId="2" fillId="0" borderId="31" xfId="0" applyFont="1" applyBorder="1"/>
    <xf numFmtId="0" fontId="2" fillId="0" borderId="32" xfId="0" applyFont="1" applyBorder="1"/>
    <xf numFmtId="0" fontId="7" fillId="0" borderId="30" xfId="0" applyFont="1" applyBorder="1" applyAlignment="1">
      <alignment vertical="center" wrapText="1"/>
    </xf>
    <xf numFmtId="0" fontId="7" fillId="19" borderId="30" xfId="0" applyFont="1" applyFill="1" applyBorder="1" applyAlignment="1">
      <alignment vertical="center" wrapText="1"/>
    </xf>
    <xf numFmtId="0" fontId="7" fillId="18" borderId="30" xfId="0" applyFont="1" applyFill="1" applyBorder="1" applyAlignment="1">
      <alignment vertical="center" wrapText="1"/>
    </xf>
    <xf numFmtId="0" fontId="6" fillId="20" borderId="34" xfId="0" applyFont="1" applyFill="1" applyBorder="1" applyAlignment="1">
      <alignment horizontal="left" vertical="center"/>
    </xf>
    <xf numFmtId="0" fontId="2" fillId="0" borderId="35" xfId="0" applyFont="1" applyBorder="1"/>
    <xf numFmtId="0" fontId="2" fillId="0" borderId="36" xfId="0" applyFont="1" applyBorder="1"/>
    <xf numFmtId="0" fontId="2" fillId="0" borderId="41" xfId="0" applyFont="1" applyBorder="1"/>
    <xf numFmtId="0" fontId="0" fillId="0" borderId="0" xfId="0"/>
    <xf numFmtId="0" fontId="2" fillId="0" borderId="42" xfId="0" applyFont="1" applyBorder="1"/>
    <xf numFmtId="0" fontId="2" fillId="0" borderId="26" xfId="0" applyFont="1" applyBorder="1"/>
    <xf numFmtId="0" fontId="2" fillId="0" borderId="27" xfId="0" applyFont="1" applyBorder="1"/>
    <xf numFmtId="0" fontId="2" fillId="0" borderId="28" xfId="0" applyFont="1" applyBorder="1"/>
    <xf numFmtId="0" fontId="7" fillId="21" borderId="30" xfId="0" applyFont="1" applyFill="1" applyBorder="1" applyAlignment="1">
      <alignment vertical="center" wrapText="1"/>
    </xf>
    <xf numFmtId="0" fontId="7" fillId="22" borderId="30" xfId="0" applyFont="1" applyFill="1" applyBorder="1" applyAlignment="1">
      <alignment vertical="center" wrapText="1"/>
    </xf>
    <xf numFmtId="0" fontId="7" fillId="23" borderId="30" xfId="0" applyFont="1" applyFill="1" applyBorder="1" applyAlignment="1">
      <alignment vertical="center" wrapText="1"/>
    </xf>
    <xf numFmtId="0" fontId="7" fillId="23" borderId="43" xfId="0" applyFont="1" applyFill="1" applyBorder="1" applyAlignment="1">
      <alignment vertical="center" wrapText="1"/>
    </xf>
    <xf numFmtId="0" fontId="2" fillId="0" borderId="44" xfId="0" applyFont="1" applyBorder="1"/>
    <xf numFmtId="0" fontId="2" fillId="0" borderId="45" xfId="0" applyFont="1" applyBorder="1"/>
    <xf numFmtId="0" fontId="7" fillId="23" borderId="46" xfId="0" applyFont="1" applyFill="1" applyBorder="1" applyAlignment="1">
      <alignment vertical="center" wrapText="1"/>
    </xf>
    <xf numFmtId="0" fontId="2" fillId="0" borderId="2" xfId="0" applyFont="1" applyBorder="1"/>
    <xf numFmtId="0" fontId="2" fillId="0" borderId="47" xfId="0" applyFont="1" applyBorder="1"/>
    <xf numFmtId="0" fontId="13" fillId="23" borderId="23" xfId="0" applyFont="1" applyFill="1" applyBorder="1" applyAlignment="1">
      <alignment vertical="center" wrapText="1"/>
    </xf>
    <xf numFmtId="0" fontId="2" fillId="0" borderId="24" xfId="0" applyFont="1" applyBorder="1"/>
    <xf numFmtId="0" fontId="2" fillId="0" borderId="25" xfId="0" applyFont="1" applyBorder="1"/>
    <xf numFmtId="0" fontId="14" fillId="24" borderId="34" xfId="0" applyFont="1" applyFill="1" applyBorder="1" applyAlignment="1">
      <alignment horizontal="left" vertical="center"/>
    </xf>
    <xf numFmtId="0" fontId="8" fillId="12" borderId="1" xfId="0" applyFont="1" applyFill="1" applyBorder="1"/>
    <xf numFmtId="0" fontId="2" fillId="0" borderId="3" xfId="0" applyFont="1" applyBorder="1"/>
    <xf numFmtId="0" fontId="8" fillId="12" borderId="39" xfId="0" applyFont="1" applyFill="1" applyBorder="1"/>
    <xf numFmtId="0" fontId="7" fillId="25" borderId="30" xfId="0" applyFont="1" applyFill="1" applyBorder="1" applyAlignment="1">
      <alignment horizontal="left" vertical="center" wrapText="1"/>
    </xf>
    <xf numFmtId="0" fontId="12" fillId="26" borderId="48" xfId="0" applyFont="1" applyFill="1" applyBorder="1" applyAlignment="1">
      <alignment horizontal="left" vertical="center"/>
    </xf>
    <xf numFmtId="0" fontId="2" fillId="0" borderId="49" xfId="0" applyFont="1" applyBorder="1"/>
    <xf numFmtId="0" fontId="1" fillId="2" borderId="1" xfId="0" applyFont="1" applyFill="1" applyBorder="1" applyAlignment="1">
      <alignment horizontal="center" vertical="center" wrapText="1"/>
    </xf>
    <xf numFmtId="0" fontId="3" fillId="3" borderId="4" xfId="0" applyFont="1" applyFill="1" applyBorder="1" applyAlignment="1">
      <alignment vertical="center" wrapText="1"/>
    </xf>
    <xf numFmtId="0" fontId="2" fillId="0" borderId="5" xfId="0" applyFont="1" applyBorder="1"/>
    <xf numFmtId="0" fontId="2" fillId="0" borderId="6" xfId="0" applyFont="1" applyBorder="1"/>
    <xf numFmtId="0" fontId="4" fillId="4" borderId="7" xfId="0" applyFont="1" applyFill="1" applyBorder="1"/>
    <xf numFmtId="0" fontId="2" fillId="0" borderId="8" xfId="0" applyFont="1" applyBorder="1"/>
    <xf numFmtId="0" fontId="2" fillId="0" borderId="9" xfId="0" applyFont="1" applyBorder="1"/>
    <xf numFmtId="0" fontId="4" fillId="3" borderId="7" xfId="0" applyFont="1" applyFill="1" applyBorder="1"/>
    <xf numFmtId="0" fontId="5" fillId="2"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6" fillId="5" borderId="11" xfId="0" applyFont="1" applyFill="1" applyBorder="1" applyAlignment="1">
      <alignment horizontal="left" vertical="center"/>
    </xf>
    <xf numFmtId="0" fontId="8" fillId="7" borderId="20" xfId="0" applyFont="1" applyFill="1" applyBorder="1" applyAlignment="1">
      <alignment vertical="center" wrapText="1"/>
    </xf>
    <xf numFmtId="0" fontId="2" fillId="0" borderId="21" xfId="0" applyFont="1" applyBorder="1"/>
    <xf numFmtId="0" fontId="2" fillId="0" borderId="22" xfId="0" applyFont="1" applyBorder="1"/>
    <xf numFmtId="0" fontId="7" fillId="8" borderId="23" xfId="0" applyFont="1" applyFill="1" applyBorder="1"/>
    <xf numFmtId="0" fontId="7" fillId="0" borderId="26" xfId="0" applyFont="1" applyBorder="1"/>
    <xf numFmtId="0" fontId="7" fillId="0" borderId="30" xfId="0" applyFont="1" applyBorder="1"/>
    <xf numFmtId="0" fontId="7" fillId="0" borderId="30" xfId="0" applyFont="1" applyBorder="1" applyAlignment="1">
      <alignment horizontal="left" vertical="top"/>
    </xf>
    <xf numFmtId="0" fontId="7" fillId="9" borderId="30" xfId="0" applyFont="1" applyFill="1" applyBorder="1" applyAlignment="1">
      <alignment vertical="center" wrapText="1"/>
    </xf>
    <xf numFmtId="0" fontId="7" fillId="8" borderId="30" xfId="0" applyFont="1" applyFill="1" applyBorder="1" applyAlignment="1">
      <alignment horizontal="left" vertical="top"/>
    </xf>
    <xf numFmtId="0" fontId="7" fillId="8" borderId="30" xfId="0" applyFont="1" applyFill="1" applyBorder="1"/>
    <xf numFmtId="0" fontId="9" fillId="0" borderId="30" xfId="0" applyFont="1" applyBorder="1"/>
    <xf numFmtId="0" fontId="7" fillId="8" borderId="30" xfId="0" applyFont="1" applyFill="1" applyBorder="1" applyAlignment="1">
      <alignment horizontal="left"/>
    </xf>
    <xf numFmtId="49" fontId="7" fillId="0" borderId="30" xfId="0" applyNumberFormat="1" applyFont="1" applyBorder="1" applyAlignment="1">
      <alignment horizontal="left"/>
    </xf>
    <xf numFmtId="0" fontId="7" fillId="8" borderId="34" xfId="0" applyFont="1" applyFill="1" applyBorder="1" applyAlignment="1">
      <alignment vertical="center"/>
    </xf>
    <xf numFmtId="0" fontId="7" fillId="0" borderId="34" xfId="0" applyFont="1" applyBorder="1" applyAlignment="1">
      <alignment vertical="center" wrapText="1"/>
    </xf>
    <xf numFmtId="0" fontId="7" fillId="8" borderId="30" xfId="0" applyFont="1" applyFill="1" applyBorder="1" applyAlignment="1">
      <alignment vertical="center"/>
    </xf>
    <xf numFmtId="0" fontId="10" fillId="0" borderId="30" xfId="0" applyFont="1" applyBorder="1" applyAlignment="1">
      <alignment vertical="center" wrapText="1"/>
    </xf>
    <xf numFmtId="0" fontId="7" fillId="16" borderId="30" xfId="0" applyFont="1" applyFill="1" applyBorder="1" applyAlignment="1">
      <alignment vertical="center" wrapText="1"/>
    </xf>
    <xf numFmtId="0" fontId="7" fillId="13" borderId="30" xfId="0" applyFont="1" applyFill="1" applyBorder="1" applyAlignment="1">
      <alignment vertical="center" wrapText="1"/>
    </xf>
    <xf numFmtId="0" fontId="7" fillId="10" borderId="30" xfId="0" applyFont="1" applyFill="1" applyBorder="1" applyAlignment="1">
      <alignment vertical="center" wrapText="1"/>
    </xf>
    <xf numFmtId="0" fontId="11" fillId="11" borderId="37" xfId="0" applyFont="1" applyFill="1" applyBorder="1" applyAlignment="1">
      <alignment horizontal="left" vertical="center"/>
    </xf>
    <xf numFmtId="0" fontId="2" fillId="0" borderId="38" xfId="0" applyFont="1" applyBorder="1"/>
    <xf numFmtId="0" fontId="7" fillId="15" borderId="30" xfId="0" applyFont="1" applyFill="1" applyBorder="1" applyAlignment="1">
      <alignment vertical="center" wrapText="1"/>
    </xf>
    <xf numFmtId="0" fontId="7" fillId="13" borderId="30" xfId="0" applyFont="1" applyFill="1" applyBorder="1" applyAlignment="1">
      <alignment horizontal="left" vertical="center" wrapText="1"/>
    </xf>
    <xf numFmtId="0" fontId="11" fillId="14" borderId="37" xfId="0" applyFont="1" applyFill="1" applyBorder="1" applyAlignment="1">
      <alignment horizontal="left" vertical="center"/>
    </xf>
    <xf numFmtId="0" fontId="12" fillId="17" borderId="11" xfId="0" applyFont="1" applyFill="1" applyBorder="1" applyAlignment="1">
      <alignment horizontal="left" vertical="center"/>
    </xf>
    <xf numFmtId="0" fontId="7" fillId="31" borderId="30" xfId="0" applyFont="1" applyFill="1" applyBorder="1" applyAlignment="1">
      <alignment vertical="center" wrapText="1"/>
    </xf>
    <xf numFmtId="0" fontId="7" fillId="28" borderId="30" xfId="0" applyFont="1" applyFill="1" applyBorder="1" applyAlignment="1">
      <alignment vertical="center" wrapText="1"/>
    </xf>
    <xf numFmtId="0" fontId="7" fillId="28" borderId="30" xfId="0" applyFont="1" applyFill="1" applyBorder="1" applyAlignment="1">
      <alignment vertical="center"/>
    </xf>
    <xf numFmtId="0" fontId="7" fillId="13" borderId="30" xfId="0" applyFont="1" applyFill="1" applyBorder="1" applyAlignment="1">
      <alignment vertical="center"/>
    </xf>
    <xf numFmtId="0" fontId="7" fillId="23" borderId="48" xfId="0" applyFont="1" applyFill="1" applyBorder="1" applyAlignment="1">
      <alignment vertical="center" wrapText="1"/>
    </xf>
    <xf numFmtId="0" fontId="7" fillId="25" borderId="30" xfId="0" applyFont="1" applyFill="1" applyBorder="1"/>
    <xf numFmtId="0" fontId="2" fillId="0" borderId="50" xfId="0" applyFont="1" applyBorder="1"/>
    <xf numFmtId="0" fontId="7" fillId="25" borderId="30" xfId="0" applyFont="1" applyFill="1" applyBorder="1" applyAlignment="1">
      <alignment vertical="center"/>
    </xf>
    <xf numFmtId="0" fontId="6" fillId="27" borderId="34" xfId="0" applyFont="1" applyFill="1" applyBorder="1" applyAlignment="1">
      <alignment horizontal="left" vertical="center"/>
    </xf>
    <xf numFmtId="0" fontId="7" fillId="28" borderId="30" xfId="0" applyFont="1" applyFill="1" applyBorder="1"/>
    <xf numFmtId="0" fontId="7" fillId="13" borderId="30" xfId="0" applyFont="1" applyFill="1" applyBorder="1"/>
    <xf numFmtId="0" fontId="14" fillId="29" borderId="34" xfId="0" applyFont="1" applyFill="1" applyBorder="1" applyAlignment="1">
      <alignment horizontal="left" vertical="center"/>
    </xf>
    <xf numFmtId="0" fontId="7" fillId="30" borderId="30" xfId="0" applyFont="1" applyFill="1" applyBorder="1" applyAlignment="1">
      <alignment vertical="center" wrapText="1"/>
    </xf>
    <xf numFmtId="14" fontId="19" fillId="35" borderId="30" xfId="0" applyNumberFormat="1" applyFont="1" applyFill="1" applyBorder="1" applyAlignment="1">
      <alignment vertical="center" wrapText="1"/>
    </xf>
    <xf numFmtId="14" fontId="7" fillId="0" borderId="30" xfId="0" applyNumberFormat="1" applyFont="1" applyBorder="1"/>
    <xf numFmtId="0" fontId="18" fillId="34" borderId="30" xfId="0" applyFont="1" applyFill="1" applyBorder="1" applyAlignment="1">
      <alignment horizontal="center" vertical="center"/>
    </xf>
    <xf numFmtId="49" fontId="8" fillId="23" borderId="46" xfId="0" applyNumberFormat="1" applyFont="1" applyFill="1" applyBorder="1" applyAlignment="1">
      <alignment horizontal="center" vertical="center"/>
    </xf>
    <xf numFmtId="0" fontId="21" fillId="32" borderId="1" xfId="0" applyFont="1" applyFill="1" applyBorder="1" applyAlignment="1">
      <alignment horizontal="left" vertical="center" wrapText="1"/>
    </xf>
    <xf numFmtId="0" fontId="8" fillId="23" borderId="51" xfId="0" applyFont="1" applyFill="1" applyBorder="1" applyAlignment="1">
      <alignment horizontal="center" vertical="center"/>
    </xf>
    <xf numFmtId="0" fontId="2" fillId="0" borderId="52" xfId="0" applyFont="1" applyBorder="1"/>
    <xf numFmtId="0" fontId="2" fillId="0" borderId="53" xfId="0" applyFont="1" applyBorder="1"/>
    <xf numFmtId="0" fontId="2" fillId="0" borderId="54" xfId="0" applyFont="1" applyBorder="1"/>
    <xf numFmtId="0" fontId="22" fillId="30" borderId="11" xfId="0" applyFont="1" applyFill="1" applyBorder="1" applyAlignment="1">
      <alignment horizontal="left" vertical="center" wrapText="1"/>
    </xf>
    <xf numFmtId="0" fontId="2" fillId="0" borderId="55" xfId="0" applyFont="1" applyBorder="1"/>
    <xf numFmtId="0" fontId="2" fillId="0" borderId="56" xfId="0" applyFont="1" applyBorder="1"/>
    <xf numFmtId="0" fontId="2" fillId="0" borderId="57" xfId="0" applyFont="1" applyBorder="1"/>
    <xf numFmtId="49" fontId="8" fillId="25" borderId="46" xfId="0" applyNumberFormat="1" applyFont="1" applyFill="1" applyBorder="1" applyAlignment="1">
      <alignment horizontal="center" vertical="center"/>
    </xf>
    <xf numFmtId="0" fontId="8" fillId="25" borderId="51" xfId="0" applyFont="1" applyFill="1" applyBorder="1" applyAlignment="1">
      <alignment horizontal="center" vertical="center"/>
    </xf>
    <xf numFmtId="0" fontId="22" fillId="25" borderId="11" xfId="0" applyFont="1" applyFill="1" applyBorder="1" applyAlignment="1">
      <alignment horizontal="left" vertical="center" wrapText="1"/>
    </xf>
    <xf numFmtId="0" fontId="8" fillId="30" borderId="51" xfId="0" applyFont="1" applyFill="1" applyBorder="1" applyAlignment="1">
      <alignment horizontal="center" vertical="center"/>
    </xf>
    <xf numFmtId="0" fontId="15" fillId="25" borderId="1" xfId="0" applyFont="1" applyFill="1" applyBorder="1" applyAlignment="1">
      <alignment horizontal="center" vertical="center"/>
    </xf>
    <xf numFmtId="0" fontId="16" fillId="25" borderId="1" xfId="0" applyFont="1" applyFill="1" applyBorder="1" applyAlignment="1">
      <alignment horizontal="center" vertical="center" wrapText="1"/>
    </xf>
    <xf numFmtId="0" fontId="17" fillId="32" borderId="20" xfId="0" applyFont="1" applyFill="1" applyBorder="1" applyAlignment="1">
      <alignment vertical="center" wrapText="1"/>
    </xf>
    <xf numFmtId="0" fontId="7" fillId="25" borderId="23" xfId="0" applyFont="1" applyFill="1" applyBorder="1"/>
    <xf numFmtId="0" fontId="7" fillId="25" borderId="30" xfId="0" applyFont="1" applyFill="1" applyBorder="1" applyAlignment="1">
      <alignment horizontal="left"/>
    </xf>
    <xf numFmtId="0" fontId="7" fillId="25" borderId="30" xfId="0" applyFont="1" applyFill="1" applyBorder="1" applyAlignment="1">
      <alignment horizontal="left" vertical="top"/>
    </xf>
    <xf numFmtId="0" fontId="9" fillId="34" borderId="30" xfId="0" applyFont="1" applyFill="1" applyBorder="1" applyAlignment="1">
      <alignment vertical="center" wrapText="1"/>
    </xf>
    <xf numFmtId="0" fontId="7" fillId="34" borderId="30" xfId="0" applyFont="1" applyFill="1" applyBorder="1" applyAlignment="1">
      <alignment vertical="center" wrapText="1"/>
    </xf>
    <xf numFmtId="0" fontId="18" fillId="26" borderId="30" xfId="0" applyFont="1" applyFill="1" applyBorder="1" applyAlignment="1">
      <alignment horizontal="center" vertical="center" wrapText="1"/>
    </xf>
    <xf numFmtId="0" fontId="7" fillId="26" borderId="30" xfId="0" applyFont="1" applyFill="1" applyBorder="1" applyAlignment="1">
      <alignment horizontal="center" vertical="center" wrapText="1"/>
    </xf>
    <xf numFmtId="0" fontId="7" fillId="25" borderId="34" xfId="0" applyFont="1" applyFill="1" applyBorder="1" applyAlignment="1">
      <alignment vertical="center"/>
    </xf>
    <xf numFmtId="0" fontId="18" fillId="33" borderId="30" xfId="0" applyFont="1" applyFill="1" applyBorder="1" applyAlignment="1">
      <alignment vertical="center" wrapText="1"/>
    </xf>
    <xf numFmtId="14" fontId="20" fillId="32" borderId="1" xfId="0" applyNumberFormat="1" applyFont="1" applyFill="1" applyBorder="1" applyAlignment="1">
      <alignment horizontal="left" vertical="center"/>
    </xf>
    <xf numFmtId="49" fontId="8" fillId="34" borderId="46" xfId="0" applyNumberFormat="1" applyFont="1" applyFill="1" applyBorder="1" applyAlignment="1">
      <alignment horizontal="center" vertical="center"/>
    </xf>
    <xf numFmtId="0" fontId="8" fillId="34" borderId="51" xfId="0" applyFont="1" applyFill="1" applyBorder="1" applyAlignment="1">
      <alignment horizontal="center" vertical="center" wrapText="1"/>
    </xf>
    <xf numFmtId="0" fontId="22" fillId="34" borderId="11" xfId="0" applyFont="1" applyFill="1" applyBorder="1" applyAlignment="1">
      <alignment horizontal="left" vertical="center" wrapText="1"/>
    </xf>
    <xf numFmtId="0" fontId="22" fillId="23" borderId="11" xfId="0" applyFont="1" applyFill="1" applyBorder="1" applyAlignment="1">
      <alignment horizontal="left" vertical="center" wrapText="1"/>
    </xf>
    <xf numFmtId="0" fontId="13" fillId="25" borderId="30" xfId="0" applyFont="1" applyFill="1" applyBorder="1" applyAlignment="1">
      <alignment horizontal="center" vertical="center" wrapText="1"/>
    </xf>
    <xf numFmtId="0" fontId="13" fillId="36" borderId="30" xfId="0" applyFont="1" applyFill="1" applyBorder="1" applyAlignment="1">
      <alignment vertical="center" wrapText="1"/>
    </xf>
    <xf numFmtId="0" fontId="13" fillId="25" borderId="30" xfId="0" applyFont="1" applyFill="1" applyBorder="1" applyAlignment="1">
      <alignment vertical="center" wrapText="1"/>
    </xf>
    <xf numFmtId="0" fontId="23" fillId="36" borderId="30" xfId="0" applyFont="1" applyFill="1" applyBorder="1" applyAlignment="1">
      <alignment horizontal="center" vertical="center" wrapText="1"/>
    </xf>
    <xf numFmtId="0" fontId="7" fillId="36" borderId="46" xfId="0" applyFont="1" applyFill="1" applyBorder="1" applyAlignment="1">
      <alignment horizontal="center" vertical="center"/>
    </xf>
    <xf numFmtId="0" fontId="7" fillId="34" borderId="30" xfId="0" applyFont="1" applyFill="1" applyBorder="1" applyAlignment="1">
      <alignment vertical="center"/>
    </xf>
    <xf numFmtId="0" fontId="7" fillId="34" borderId="30" xfId="0" applyFont="1" applyFill="1" applyBorder="1" applyAlignment="1">
      <alignment horizontal="left" vertical="top"/>
    </xf>
    <xf numFmtId="0" fontId="7" fillId="34" borderId="30" xfId="0" applyFont="1" applyFill="1" applyBorder="1"/>
    <xf numFmtId="0" fontId="7" fillId="34" borderId="30" xfId="0" applyFont="1" applyFill="1" applyBorder="1" applyAlignment="1">
      <alignment horizontal="left"/>
    </xf>
    <xf numFmtId="49" fontId="7" fillId="0" borderId="30" xfId="0" applyNumberFormat="1" applyFont="1" applyBorder="1"/>
    <xf numFmtId="0" fontId="24" fillId="32" borderId="39" xfId="0" applyFont="1" applyFill="1" applyBorder="1" applyAlignment="1">
      <alignment vertical="center" wrapText="1"/>
    </xf>
    <xf numFmtId="0" fontId="7" fillId="34" borderId="23" xfId="0" applyFont="1" applyFill="1" applyBorder="1" applyAlignment="1">
      <alignment vertical="center" wrapText="1"/>
    </xf>
    <xf numFmtId="0" fontId="7" fillId="0" borderId="26" xfId="0" applyFont="1" applyBorder="1" applyAlignment="1">
      <alignment vertical="center"/>
    </xf>
    <xf numFmtId="0" fontId="7" fillId="0" borderId="30" xfId="0" applyFont="1" applyBorder="1" applyAlignment="1">
      <alignment vertical="center"/>
    </xf>
    <xf numFmtId="0" fontId="7" fillId="34" borderId="43" xfId="0" applyFont="1" applyFill="1" applyBorder="1" applyAlignment="1">
      <alignment vertical="center"/>
    </xf>
    <xf numFmtId="0" fontId="7" fillId="0" borderId="34" xfId="0" applyFont="1" applyBorder="1" applyAlignment="1">
      <alignment horizontal="left" vertical="center" wrapText="1"/>
    </xf>
    <xf numFmtId="0" fontId="7" fillId="34" borderId="23" xfId="0" applyFont="1" applyFill="1" applyBorder="1" applyAlignment="1">
      <alignment vertical="center"/>
    </xf>
    <xf numFmtId="0" fontId="25" fillId="25" borderId="30" xfId="0" applyFont="1" applyFill="1" applyBorder="1" applyAlignment="1">
      <alignment vertical="center"/>
    </xf>
    <xf numFmtId="0" fontId="30" fillId="25" borderId="30" xfId="0" applyFont="1" applyFill="1" applyBorder="1" applyAlignment="1">
      <alignment vertical="center" wrapText="1"/>
    </xf>
    <xf numFmtId="0" fontId="7" fillId="36" borderId="30" xfId="0" applyFont="1" applyFill="1" applyBorder="1" applyAlignment="1">
      <alignment horizontal="center" vertical="center"/>
    </xf>
    <xf numFmtId="0" fontId="20" fillId="2" borderId="58" xfId="0" applyFont="1" applyFill="1" applyBorder="1" applyAlignment="1">
      <alignment vertical="center" wrapText="1"/>
    </xf>
    <xf numFmtId="0" fontId="2" fillId="0" borderId="59" xfId="0" applyFont="1" applyBorder="1"/>
    <xf numFmtId="0" fontId="24" fillId="32" borderId="1" xfId="0" applyFont="1" applyFill="1" applyBorder="1" applyAlignment="1">
      <alignment vertical="center" wrapText="1"/>
    </xf>
    <xf numFmtId="0" fontId="15" fillId="36" borderId="34" xfId="0" applyFont="1" applyFill="1" applyBorder="1" applyAlignment="1">
      <alignment horizontal="center" vertical="center" wrapText="1"/>
    </xf>
    <xf numFmtId="0" fontId="26" fillId="37" borderId="34" xfId="0" applyFont="1" applyFill="1" applyBorder="1" applyAlignment="1">
      <alignment horizontal="center" vertical="center" wrapText="1"/>
    </xf>
    <xf numFmtId="0" fontId="27" fillId="36" borderId="34" xfId="0" applyFont="1" applyFill="1" applyBorder="1" applyAlignment="1">
      <alignment horizontal="center" vertical="center"/>
    </xf>
    <xf numFmtId="0" fontId="28" fillId="25" borderId="30" xfId="0" applyFont="1" applyFill="1" applyBorder="1" applyAlignment="1">
      <alignment horizontal="center" vertical="center" wrapText="1"/>
    </xf>
    <xf numFmtId="0" fontId="8" fillId="36" borderId="30" xfId="0" applyFont="1" applyFill="1" applyBorder="1" applyAlignment="1">
      <alignment vertical="center" wrapText="1"/>
    </xf>
    <xf numFmtId="0" fontId="8" fillId="25" borderId="30" xfId="0" applyFont="1" applyFill="1" applyBorder="1" applyAlignment="1">
      <alignment vertical="center" wrapText="1"/>
    </xf>
    <xf numFmtId="0" fontId="29" fillId="34" borderId="30" xfId="0" applyFont="1" applyFill="1" applyBorder="1" applyAlignment="1">
      <alignment horizontal="center" vertical="center" wrapText="1"/>
    </xf>
    <xf numFmtId="0" fontId="9" fillId="25" borderId="30" xfId="0" applyFont="1" applyFill="1" applyBorder="1" applyAlignment="1">
      <alignment horizontal="left" vertical="center" wrapText="1"/>
    </xf>
    <xf numFmtId="0" fontId="9" fillId="34" borderId="30" xfId="0" applyFont="1" applyFill="1" applyBorder="1" applyAlignment="1">
      <alignment horizontal="left" vertical="center" wrapText="1"/>
    </xf>
    <xf numFmtId="14" fontId="7" fillId="25" borderId="30" xfId="0" applyNumberFormat="1" applyFont="1" applyFill="1" applyBorder="1" applyAlignment="1">
      <alignment horizontal="left" vertical="center" wrapText="1"/>
    </xf>
    <xf numFmtId="14" fontId="31" fillId="34" borderId="30" xfId="0" applyNumberFormat="1" applyFont="1" applyFill="1" applyBorder="1" applyAlignment="1">
      <alignment horizontal="left" vertical="center" wrapText="1"/>
    </xf>
    <xf numFmtId="0" fontId="9" fillId="38" borderId="30" xfId="0" applyFont="1" applyFill="1" applyBorder="1" applyAlignment="1">
      <alignment horizontal="left" vertical="center" wrapText="1"/>
    </xf>
    <xf numFmtId="0" fontId="9" fillId="39" borderId="30" xfId="0" applyFont="1" applyFill="1" applyBorder="1" applyAlignment="1">
      <alignment horizontal="left" vertical="center" wrapText="1"/>
    </xf>
    <xf numFmtId="14" fontId="31" fillId="39" borderId="30" xfId="0" applyNumberFormat="1" applyFont="1" applyFill="1" applyBorder="1" applyAlignment="1">
      <alignment horizontal="left" vertical="center" wrapText="1"/>
    </xf>
    <xf numFmtId="0" fontId="7" fillId="39" borderId="30" xfId="0" applyFont="1" applyFill="1" applyBorder="1" applyAlignment="1">
      <alignment vertical="center" wrapText="1"/>
    </xf>
    <xf numFmtId="0" fontId="26" fillId="36" borderId="30" xfId="0" applyFont="1" applyFill="1" applyBorder="1" applyAlignment="1">
      <alignment horizontal="center" vertical="center" wrapText="1"/>
    </xf>
    <xf numFmtId="0" fontId="26" fillId="37" borderId="30" xfId="0" applyFont="1" applyFill="1" applyBorder="1" applyAlignment="1">
      <alignment horizontal="center" vertical="center" wrapText="1"/>
    </xf>
    <xf numFmtId="0" fontId="22" fillId="34" borderId="30" xfId="0" applyFont="1" applyFill="1" applyBorder="1" applyAlignment="1">
      <alignment horizontal="left" vertical="center" wrapText="1"/>
    </xf>
    <xf numFmtId="0" fontId="22" fillId="34" borderId="63" xfId="0" applyFont="1" applyFill="1" applyBorder="1" applyAlignment="1">
      <alignment horizontal="left" vertical="center" wrapText="1"/>
    </xf>
    <xf numFmtId="0" fontId="7" fillId="40" borderId="46" xfId="0" applyFont="1" applyFill="1" applyBorder="1" applyAlignment="1">
      <alignment vertical="center" wrapText="1"/>
    </xf>
    <xf numFmtId="0" fontId="7" fillId="40" borderId="30" xfId="0" applyFont="1" applyFill="1" applyBorder="1" applyAlignment="1">
      <alignment vertical="center" wrapText="1"/>
    </xf>
    <xf numFmtId="0" fontId="38" fillId="34" borderId="30" xfId="0" applyFont="1" applyFill="1" applyBorder="1" applyAlignment="1">
      <alignment horizontal="center" vertical="center" wrapText="1"/>
    </xf>
    <xf numFmtId="0" fontId="7" fillId="42" borderId="23" xfId="0" applyFont="1" applyFill="1" applyBorder="1" applyAlignment="1">
      <alignment vertical="center" wrapText="1"/>
    </xf>
    <xf numFmtId="0" fontId="44" fillId="34" borderId="23" xfId="0" applyFont="1" applyFill="1" applyBorder="1" applyAlignment="1">
      <alignment horizontal="center" vertical="center" wrapText="1"/>
    </xf>
    <xf numFmtId="0" fontId="4" fillId="34" borderId="30" xfId="0" applyFont="1" applyFill="1" applyBorder="1" applyAlignment="1">
      <alignment vertical="center" wrapText="1"/>
    </xf>
    <xf numFmtId="0" fontId="23" fillId="25" borderId="30" xfId="0" applyFont="1" applyFill="1" applyBorder="1" applyAlignment="1">
      <alignment vertical="center" wrapText="1"/>
    </xf>
    <xf numFmtId="0" fontId="41" fillId="34" borderId="30" xfId="0" applyFont="1" applyFill="1" applyBorder="1" applyAlignment="1">
      <alignment vertical="center" wrapText="1"/>
    </xf>
    <xf numFmtId="0" fontId="42" fillId="25" borderId="30" xfId="0" applyFont="1" applyFill="1" applyBorder="1" applyAlignment="1">
      <alignment vertical="center" wrapText="1"/>
    </xf>
    <xf numFmtId="0" fontId="31" fillId="25" borderId="30" xfId="0" applyFont="1" applyFill="1" applyBorder="1" applyAlignment="1">
      <alignment horizontal="center" vertical="center" wrapText="1"/>
    </xf>
    <xf numFmtId="0" fontId="41" fillId="34" borderId="30" xfId="0" applyFont="1" applyFill="1" applyBorder="1" applyAlignment="1">
      <alignment horizontal="center" vertical="center" wrapText="1"/>
    </xf>
    <xf numFmtId="0" fontId="30" fillId="25" borderId="23" xfId="0" applyFont="1" applyFill="1" applyBorder="1" applyAlignment="1">
      <alignment horizontal="center" vertical="center" wrapText="1"/>
    </xf>
    <xf numFmtId="0" fontId="36" fillId="3" borderId="30" xfId="0" applyFont="1" applyFill="1" applyBorder="1" applyAlignment="1">
      <alignment horizontal="center" vertical="center"/>
    </xf>
    <xf numFmtId="0" fontId="39" fillId="25" borderId="30" xfId="0" applyFont="1" applyFill="1" applyBorder="1" applyAlignment="1">
      <alignment horizontal="center" vertical="center" wrapText="1"/>
    </xf>
    <xf numFmtId="0" fontId="40" fillId="36" borderId="30" xfId="0" applyFont="1" applyFill="1" applyBorder="1" applyAlignment="1">
      <alignment vertical="center" wrapText="1"/>
    </xf>
    <xf numFmtId="0" fontId="29" fillId="15" borderId="30" xfId="0" applyFont="1" applyFill="1" applyBorder="1" applyAlignment="1">
      <alignment vertical="center" wrapText="1"/>
    </xf>
    <xf numFmtId="0" fontId="29" fillId="37" borderId="30" xfId="0" applyFont="1" applyFill="1" applyBorder="1" applyAlignment="1">
      <alignment horizontal="center" vertical="center" wrapText="1"/>
    </xf>
    <xf numFmtId="0" fontId="34" fillId="34" borderId="30" xfId="0" applyFont="1" applyFill="1" applyBorder="1" applyAlignment="1">
      <alignment vertical="center" wrapText="1"/>
    </xf>
    <xf numFmtId="0" fontId="4" fillId="25" borderId="30" xfId="0" applyFont="1" applyFill="1" applyBorder="1" applyAlignment="1">
      <alignment vertical="center" wrapText="1"/>
    </xf>
    <xf numFmtId="0" fontId="33" fillId="16" borderId="30" xfId="0" applyFont="1" applyFill="1" applyBorder="1" applyAlignment="1">
      <alignment horizontal="center" vertical="center" wrapText="1"/>
    </xf>
    <xf numFmtId="0" fontId="29" fillId="37" borderId="30" xfId="0" applyFont="1" applyFill="1" applyBorder="1" applyAlignment="1">
      <alignment vertical="center" wrapText="1"/>
    </xf>
    <xf numFmtId="0" fontId="23" fillId="15" borderId="30" xfId="0" applyFont="1" applyFill="1" applyBorder="1" applyAlignment="1">
      <alignment vertical="center" wrapText="1"/>
    </xf>
    <xf numFmtId="0" fontId="30" fillId="34" borderId="30" xfId="0" applyFont="1" applyFill="1" applyBorder="1" applyAlignment="1">
      <alignment vertical="center" wrapText="1"/>
    </xf>
    <xf numFmtId="0" fontId="33" fillId="40" borderId="30" xfId="0" applyFont="1" applyFill="1" applyBorder="1" applyAlignment="1">
      <alignment vertical="center" wrapText="1"/>
    </xf>
    <xf numFmtId="0" fontId="34" fillId="40" borderId="30" xfId="0" applyFont="1" applyFill="1" applyBorder="1" applyAlignment="1">
      <alignment vertical="center" wrapText="1"/>
    </xf>
    <xf numFmtId="0" fontId="23" fillId="16" borderId="30" xfId="0" applyFont="1" applyFill="1" applyBorder="1" applyAlignment="1">
      <alignment horizontal="center" vertical="center" wrapText="1"/>
    </xf>
    <xf numFmtId="41" fontId="31" fillId="37" borderId="30" xfId="0" applyNumberFormat="1" applyFont="1" applyFill="1" applyBorder="1" applyAlignment="1">
      <alignment vertical="center" wrapText="1"/>
    </xf>
    <xf numFmtId="14" fontId="23" fillId="16" borderId="30" xfId="0" applyNumberFormat="1" applyFont="1" applyFill="1" applyBorder="1" applyAlignment="1">
      <alignment horizontal="center" vertical="center" wrapText="1"/>
    </xf>
    <xf numFmtId="0" fontId="9" fillId="25" borderId="30" xfId="0" applyFont="1" applyFill="1" applyBorder="1" applyAlignment="1">
      <alignment vertical="center" wrapText="1"/>
    </xf>
    <xf numFmtId="0" fontId="29" fillId="25" borderId="30" xfId="0" applyFont="1" applyFill="1" applyBorder="1" applyAlignment="1">
      <alignment vertical="center" wrapText="1"/>
    </xf>
    <xf numFmtId="0" fontId="41" fillId="25" borderId="30" xfId="0" applyFont="1" applyFill="1" applyBorder="1" applyAlignment="1">
      <alignment vertical="center" wrapText="1"/>
    </xf>
    <xf numFmtId="0" fontId="32" fillId="25" borderId="30" xfId="0" applyFont="1" applyFill="1" applyBorder="1" applyAlignment="1">
      <alignment horizontal="center" vertical="center" wrapText="1"/>
    </xf>
    <xf numFmtId="0" fontId="32" fillId="36" borderId="30" xfId="0" applyFont="1" applyFill="1" applyBorder="1" applyAlignment="1">
      <alignment vertical="center" wrapText="1"/>
    </xf>
    <xf numFmtId="0" fontId="23" fillId="37" borderId="30" xfId="0" applyFont="1" applyFill="1" applyBorder="1" applyAlignment="1">
      <alignment horizontal="center" vertical="center" wrapText="1"/>
    </xf>
    <xf numFmtId="0" fontId="23" fillId="37" borderId="30" xfId="0" applyFont="1" applyFill="1" applyBorder="1" applyAlignment="1">
      <alignment vertical="center" wrapText="1"/>
    </xf>
    <xf numFmtId="0" fontId="13" fillId="34" borderId="30" xfId="0" applyFont="1" applyFill="1" applyBorder="1" applyAlignment="1">
      <alignment vertical="center" wrapText="1"/>
    </xf>
    <xf numFmtId="0" fontId="23" fillId="34" borderId="30" xfId="0" applyFont="1" applyFill="1" applyBorder="1" applyAlignment="1">
      <alignment vertical="center" wrapText="1"/>
    </xf>
    <xf numFmtId="0" fontId="37" fillId="32" borderId="34" xfId="0" applyFont="1" applyFill="1" applyBorder="1" applyAlignment="1">
      <alignment horizontal="center" vertical="center" wrapText="1"/>
    </xf>
    <xf numFmtId="0" fontId="23" fillId="25" borderId="30" xfId="0" applyFont="1" applyFill="1" applyBorder="1" applyAlignment="1">
      <alignment horizontal="center" vertical="center" wrapText="1"/>
    </xf>
    <xf numFmtId="0" fontId="23" fillId="34" borderId="30" xfId="0" applyFont="1" applyFill="1" applyBorder="1" applyAlignment="1">
      <alignment horizontal="center" vertical="center" wrapText="1"/>
    </xf>
    <xf numFmtId="0" fontId="13" fillId="42" borderId="30" xfId="0" applyFont="1" applyFill="1" applyBorder="1" applyAlignment="1">
      <alignment vertical="center" wrapText="1"/>
    </xf>
    <xf numFmtId="0" fontId="20" fillId="2" borderId="60" xfId="0" applyFont="1" applyFill="1" applyBorder="1" applyAlignment="1">
      <alignment vertical="center" wrapText="1"/>
    </xf>
    <xf numFmtId="0" fontId="2" fillId="0" borderId="61" xfId="0" applyFont="1" applyBorder="1"/>
    <xf numFmtId="0" fontId="2" fillId="0" borderId="62" xfId="0" applyFont="1" applyBorder="1"/>
    <xf numFmtId="0" fontId="38" fillId="3" borderId="30" xfId="0" applyFont="1" applyFill="1" applyBorder="1" applyAlignment="1">
      <alignment horizontal="center" vertical="center"/>
    </xf>
    <xf numFmtId="41" fontId="31" fillId="34" borderId="30" xfId="0" applyNumberFormat="1" applyFont="1" applyFill="1" applyBorder="1" applyAlignment="1">
      <alignment vertical="center" wrapText="1"/>
    </xf>
    <xf numFmtId="41" fontId="9" fillId="38" borderId="30" xfId="0" applyNumberFormat="1" applyFont="1" applyFill="1" applyBorder="1" applyAlignment="1">
      <alignment vertical="center" wrapText="1"/>
    </xf>
    <xf numFmtId="0" fontId="23" fillId="44" borderId="30" xfId="0" applyFont="1" applyFill="1" applyBorder="1" applyAlignment="1">
      <alignment horizontal="center" vertical="center" wrapText="1"/>
    </xf>
    <xf numFmtId="41" fontId="31" fillId="43" borderId="30" xfId="0" applyNumberFormat="1" applyFont="1" applyFill="1" applyBorder="1" applyAlignment="1">
      <alignment vertical="center" wrapText="1"/>
    </xf>
    <xf numFmtId="14" fontId="23" fillId="44" borderId="30" xfId="0" applyNumberFormat="1" applyFont="1" applyFill="1" applyBorder="1" applyAlignment="1">
      <alignment horizontal="center" vertical="center" wrapText="1"/>
    </xf>
    <xf numFmtId="0" fontId="9" fillId="39" borderId="30" xfId="0" applyFont="1" applyFill="1" applyBorder="1" applyAlignment="1">
      <alignment vertical="center" wrapText="1"/>
    </xf>
    <xf numFmtId="0" fontId="9" fillId="38" borderId="30" xfId="0" applyFont="1" applyFill="1" applyBorder="1" applyAlignment="1">
      <alignment vertical="center" wrapText="1"/>
    </xf>
    <xf numFmtId="0" fontId="29" fillId="38" borderId="30" xfId="0" applyFont="1" applyFill="1" applyBorder="1" applyAlignment="1">
      <alignment vertical="center" wrapText="1"/>
    </xf>
    <xf numFmtId="14" fontId="43" fillId="46" borderId="30" xfId="0" applyNumberFormat="1" applyFont="1" applyFill="1" applyBorder="1" applyAlignment="1">
      <alignment horizontal="center" vertical="center"/>
    </xf>
    <xf numFmtId="0" fontId="44" fillId="39" borderId="30" xfId="0" applyFont="1" applyFill="1" applyBorder="1" applyAlignment="1">
      <alignment vertical="center" wrapText="1"/>
    </xf>
    <xf numFmtId="41" fontId="9" fillId="39" borderId="30" xfId="0" applyNumberFormat="1" applyFont="1" applyFill="1" applyBorder="1" applyAlignment="1">
      <alignment vertical="center" wrapText="1"/>
    </xf>
    <xf numFmtId="41" fontId="31" fillId="38" borderId="30" xfId="0" applyNumberFormat="1" applyFont="1" applyFill="1" applyBorder="1" applyAlignment="1">
      <alignment vertical="center" wrapText="1"/>
    </xf>
    <xf numFmtId="41" fontId="41" fillId="39" borderId="30" xfId="0" applyNumberFormat="1" applyFont="1" applyFill="1" applyBorder="1" applyAlignment="1">
      <alignment vertical="center" wrapText="1"/>
    </xf>
    <xf numFmtId="41" fontId="41" fillId="25" borderId="30" xfId="0" applyNumberFormat="1" applyFont="1" applyFill="1" applyBorder="1" applyAlignment="1">
      <alignment vertical="center" wrapText="1"/>
    </xf>
    <xf numFmtId="41" fontId="31" fillId="39" borderId="30" xfId="0" applyNumberFormat="1" applyFont="1" applyFill="1" applyBorder="1" applyAlignment="1">
      <alignment vertical="center" wrapText="1"/>
    </xf>
    <xf numFmtId="14" fontId="43" fillId="42" borderId="30" xfId="0" applyNumberFormat="1" applyFont="1" applyFill="1" applyBorder="1" applyAlignment="1">
      <alignment horizontal="center" vertical="center"/>
    </xf>
    <xf numFmtId="0" fontId="44" fillId="34" borderId="30" xfId="0" applyFont="1" applyFill="1" applyBorder="1" applyAlignment="1">
      <alignment vertical="center" wrapText="1"/>
    </xf>
    <xf numFmtId="41" fontId="9" fillId="34" borderId="30" xfId="0" applyNumberFormat="1" applyFont="1" applyFill="1" applyBorder="1" applyAlignment="1">
      <alignment vertical="center" wrapText="1"/>
    </xf>
    <xf numFmtId="41" fontId="31" fillId="25" borderId="30" xfId="0" applyNumberFormat="1" applyFont="1" applyFill="1" applyBorder="1" applyAlignment="1">
      <alignment vertical="center" wrapText="1"/>
    </xf>
    <xf numFmtId="41" fontId="41" fillId="34" borderId="30" xfId="0" applyNumberFormat="1" applyFont="1" applyFill="1" applyBorder="1" applyAlignment="1">
      <alignment vertical="center" wrapText="1"/>
    </xf>
    <xf numFmtId="41" fontId="9" fillId="25" borderId="30" xfId="0" applyNumberFormat="1" applyFont="1" applyFill="1" applyBorder="1" applyAlignment="1">
      <alignment vertical="center" wrapText="1"/>
    </xf>
    <xf numFmtId="0" fontId="13" fillId="38" borderId="30" xfId="0" applyFont="1" applyFill="1" applyBorder="1" applyAlignment="1">
      <alignment vertical="center" wrapText="1"/>
    </xf>
    <xf numFmtId="0" fontId="7" fillId="3" borderId="30" xfId="0" applyFont="1" applyFill="1" applyBorder="1" applyAlignment="1">
      <alignment vertical="center" wrapText="1"/>
    </xf>
    <xf numFmtId="0" fontId="32" fillId="38" borderId="30" xfId="0" applyFont="1" applyFill="1" applyBorder="1" applyAlignment="1">
      <alignment horizontal="left" vertical="center" wrapText="1"/>
    </xf>
    <xf numFmtId="0" fontId="32" fillId="39" borderId="30" xfId="0" applyFont="1" applyFill="1" applyBorder="1" applyAlignment="1">
      <alignment horizontal="left" vertical="center" wrapText="1"/>
    </xf>
    <xf numFmtId="14" fontId="9" fillId="39" borderId="30" xfId="0" applyNumberFormat="1" applyFont="1" applyFill="1" applyBorder="1" applyAlignment="1">
      <alignment vertical="center" wrapText="1"/>
    </xf>
    <xf numFmtId="49" fontId="31" fillId="39" borderId="30" xfId="0" applyNumberFormat="1" applyFont="1" applyFill="1" applyBorder="1" applyAlignment="1">
      <alignment vertical="center" wrapText="1"/>
    </xf>
    <xf numFmtId="0" fontId="23" fillId="43" borderId="30" xfId="0" applyFont="1" applyFill="1" applyBorder="1" applyAlignment="1">
      <alignment horizontal="center" vertical="center" wrapText="1"/>
    </xf>
    <xf numFmtId="0" fontId="32" fillId="25" borderId="30" xfId="0" applyFont="1" applyFill="1" applyBorder="1" applyAlignment="1">
      <alignment horizontal="left" vertical="center" wrapText="1"/>
    </xf>
    <xf numFmtId="0" fontId="32" fillId="34" borderId="30" xfId="0" applyFont="1" applyFill="1" applyBorder="1" applyAlignment="1">
      <alignment horizontal="left" vertical="center" wrapText="1"/>
    </xf>
    <xf numFmtId="14" fontId="9" fillId="34" borderId="30" xfId="0" applyNumberFormat="1" applyFont="1" applyFill="1" applyBorder="1" applyAlignment="1">
      <alignment vertical="center" wrapText="1"/>
    </xf>
    <xf numFmtId="49" fontId="31" fillId="34" borderId="30" xfId="0" applyNumberFormat="1" applyFont="1" applyFill="1" applyBorder="1" applyAlignment="1">
      <alignment vertical="center" wrapText="1"/>
    </xf>
    <xf numFmtId="41" fontId="41" fillId="38" borderId="30" xfId="0" applyNumberFormat="1" applyFont="1" applyFill="1" applyBorder="1" applyAlignment="1">
      <alignment vertical="center" wrapText="1"/>
    </xf>
    <xf numFmtId="0" fontId="31" fillId="34" borderId="30" xfId="0" applyFont="1" applyFill="1" applyBorder="1" applyAlignment="1">
      <alignment vertical="center" wrapText="1"/>
    </xf>
    <xf numFmtId="0" fontId="39" fillId="23" borderId="30" xfId="0" applyFont="1" applyFill="1" applyBorder="1" applyAlignment="1">
      <alignment horizontal="center" vertical="center" wrapText="1"/>
    </xf>
    <xf numFmtId="0" fontId="40" fillId="37" borderId="30" xfId="0" applyFont="1" applyFill="1" applyBorder="1" applyAlignment="1">
      <alignment vertical="center" wrapText="1"/>
    </xf>
    <xf numFmtId="0" fontId="45" fillId="15" borderId="30" xfId="0" applyFont="1" applyFill="1" applyBorder="1" applyAlignment="1">
      <alignment vertical="center" wrapText="1"/>
    </xf>
    <xf numFmtId="0" fontId="13" fillId="37" borderId="30" xfId="0" applyFont="1" applyFill="1" applyBorder="1" applyAlignment="1">
      <alignment horizontal="center" vertical="center" wrapText="1"/>
    </xf>
    <xf numFmtId="0" fontId="13" fillId="15" borderId="30" xfId="0" applyFont="1" applyFill="1" applyBorder="1" applyAlignment="1">
      <alignment vertical="center" wrapText="1"/>
    </xf>
    <xf numFmtId="0" fontId="13" fillId="37" borderId="30" xfId="0" applyFont="1" applyFill="1" applyBorder="1" applyAlignment="1">
      <alignment vertical="center" wrapText="1"/>
    </xf>
    <xf numFmtId="0" fontId="13" fillId="47" borderId="30" xfId="0" applyFont="1" applyFill="1" applyBorder="1" applyAlignment="1">
      <alignment vertical="center" wrapText="1"/>
    </xf>
    <xf numFmtId="0" fontId="13" fillId="48" borderId="30" xfId="0" applyFont="1" applyFill="1" applyBorder="1" applyAlignment="1">
      <alignment vertical="center" wrapText="1"/>
    </xf>
    <xf numFmtId="0" fontId="8" fillId="10" borderId="30" xfId="0" applyFont="1" applyFill="1" applyBorder="1" applyAlignment="1">
      <alignment horizontal="center" vertical="center" wrapText="1"/>
    </xf>
    <xf numFmtId="0" fontId="40" fillId="47" borderId="30" xfId="0" applyFont="1" applyFill="1" applyBorder="1" applyAlignment="1">
      <alignment vertical="center" wrapText="1"/>
    </xf>
    <xf numFmtId="0" fontId="45" fillId="48" borderId="30" xfId="0" applyFont="1" applyFill="1" applyBorder="1" applyAlignment="1">
      <alignment vertical="center" wrapText="1"/>
    </xf>
    <xf numFmtId="0" fontId="13" fillId="47" borderId="30" xfId="0" applyFont="1" applyFill="1" applyBorder="1" applyAlignment="1">
      <alignment horizontal="center" vertical="center" wrapText="1"/>
    </xf>
    <xf numFmtId="0" fontId="16" fillId="25" borderId="66" xfId="0" applyFont="1" applyFill="1" applyBorder="1" applyAlignment="1">
      <alignment horizontal="center" vertical="center" wrapText="1"/>
    </xf>
    <xf numFmtId="0" fontId="7" fillId="0" borderId="27" xfId="0" applyFont="1" applyBorder="1" applyAlignment="1">
      <alignment vertical="center"/>
    </xf>
    <xf numFmtId="0" fontId="7" fillId="0" borderId="31" xfId="0" applyFont="1" applyBorder="1"/>
    <xf numFmtId="0" fontId="7" fillId="0" borderId="35" xfId="0" applyFont="1" applyBorder="1" applyAlignment="1">
      <alignment horizontal="left" vertical="center" wrapText="1"/>
    </xf>
    <xf numFmtId="0" fontId="46" fillId="33" borderId="63" xfId="0" applyFont="1" applyFill="1" applyBorder="1"/>
    <xf numFmtId="0" fontId="47" fillId="32" borderId="67" xfId="0" applyFont="1" applyFill="1" applyBorder="1" applyAlignment="1">
      <alignment vertical="center" wrapText="1"/>
    </xf>
    <xf numFmtId="0" fontId="2" fillId="0" borderId="68" xfId="0" applyFont="1" applyBorder="1"/>
    <xf numFmtId="0" fontId="2" fillId="0" borderId="69" xfId="0" applyFont="1" applyBorder="1"/>
    <xf numFmtId="0" fontId="7" fillId="25" borderId="58" xfId="0" applyFont="1" applyFill="1" applyBorder="1" applyAlignment="1">
      <alignment horizontal="center" vertical="center" wrapText="1"/>
    </xf>
    <xf numFmtId="0" fontId="15" fillId="37" borderId="46" xfId="0" applyFont="1" applyFill="1" applyBorder="1" applyAlignment="1">
      <alignment horizontal="center" vertical="center" wrapText="1"/>
    </xf>
    <xf numFmtId="0" fontId="15" fillId="47" borderId="43" xfId="0" applyFont="1" applyFill="1" applyBorder="1" applyAlignment="1">
      <alignment horizontal="center" vertical="center" wrapText="1"/>
    </xf>
    <xf numFmtId="0" fontId="15" fillId="10" borderId="30" xfId="0" applyFont="1" applyFill="1" applyBorder="1" applyAlignment="1">
      <alignment horizontal="center" vertical="center" wrapText="1"/>
    </xf>
    <xf numFmtId="0" fontId="13" fillId="16" borderId="30" xfId="0" applyFont="1" applyFill="1" applyBorder="1" applyAlignment="1">
      <alignment vertical="center" wrapText="1"/>
    </xf>
    <xf numFmtId="14" fontId="40" fillId="48" borderId="30" xfId="0" applyNumberFormat="1" applyFont="1" applyFill="1" applyBorder="1" applyAlignment="1">
      <alignment vertical="center" wrapText="1"/>
    </xf>
    <xf numFmtId="0" fontId="13" fillId="49" borderId="30" xfId="0" applyFont="1" applyFill="1" applyBorder="1" applyAlignment="1">
      <alignment vertical="center" wrapText="1"/>
    </xf>
    <xf numFmtId="0" fontId="13" fillId="48" borderId="30" xfId="0" applyFont="1" applyFill="1" applyBorder="1" applyAlignment="1">
      <alignment horizontal="center" vertical="center"/>
    </xf>
    <xf numFmtId="0" fontId="7" fillId="3" borderId="30" xfId="0" applyFont="1" applyFill="1" applyBorder="1"/>
    <xf numFmtId="0" fontId="40" fillId="25" borderId="30" xfId="0" applyFont="1" applyFill="1" applyBorder="1" applyAlignment="1">
      <alignment vertical="center" wrapText="1"/>
    </xf>
    <xf numFmtId="14" fontId="40" fillId="16" borderId="30" xfId="0" applyNumberFormat="1" applyFont="1" applyFill="1" applyBorder="1" applyAlignment="1">
      <alignment vertical="center" wrapText="1"/>
    </xf>
    <xf numFmtId="0" fontId="13" fillId="16" borderId="30" xfId="0" applyFont="1" applyFill="1" applyBorder="1" applyAlignment="1">
      <alignment horizontal="center" vertical="center"/>
    </xf>
    <xf numFmtId="0" fontId="7" fillId="50" borderId="30" xfId="0" applyFont="1" applyFill="1" applyBorder="1"/>
    <xf numFmtId="14" fontId="40" fillId="47" borderId="30" xfId="0" applyNumberFormat="1" applyFont="1" applyFill="1" applyBorder="1" applyAlignment="1">
      <alignment vertical="center" wrapText="1"/>
    </xf>
    <xf numFmtId="0" fontId="13" fillId="47" borderId="30" xfId="0" applyFont="1" applyFill="1" applyBorder="1" applyAlignment="1">
      <alignment horizontal="center" vertical="center"/>
    </xf>
    <xf numFmtId="0" fontId="13" fillId="37" borderId="30" xfId="0" applyFont="1" applyFill="1" applyBorder="1" applyAlignment="1">
      <alignment horizontal="center" vertical="center"/>
    </xf>
    <xf numFmtId="14" fontId="40" fillId="37" borderId="30" xfId="0" applyNumberFormat="1" applyFont="1" applyFill="1" applyBorder="1" applyAlignment="1">
      <alignment vertical="center" wrapText="1"/>
    </xf>
    <xf numFmtId="0" fontId="23" fillId="23" borderId="30" xfId="0" applyFont="1" applyFill="1" applyBorder="1" applyAlignment="1">
      <alignment vertical="center" wrapText="1"/>
    </xf>
    <xf numFmtId="0" fontId="13" fillId="25" borderId="63" xfId="0" applyFont="1" applyFill="1" applyBorder="1" applyAlignment="1">
      <alignment wrapText="1"/>
    </xf>
    <xf numFmtId="0" fontId="41" fillId="34" borderId="30" xfId="0" applyFont="1" applyFill="1" applyBorder="1" applyAlignment="1">
      <alignment vertical="center"/>
    </xf>
    <xf numFmtId="0" fontId="41" fillId="25" borderId="30" xfId="0" applyFont="1" applyFill="1" applyBorder="1" applyAlignment="1">
      <alignment vertical="center"/>
    </xf>
    <xf numFmtId="0" fontId="13" fillId="25" borderId="23" xfId="0" applyFont="1" applyFill="1" applyBorder="1" applyAlignment="1">
      <alignment vertical="center" wrapText="1"/>
    </xf>
    <xf numFmtId="0" fontId="23" fillId="34" borderId="23" xfId="0" applyFont="1" applyFill="1" applyBorder="1" applyAlignment="1">
      <alignment vertical="center" wrapText="1"/>
    </xf>
    <xf numFmtId="0" fontId="13" fillId="34" borderId="23" xfId="0" applyFont="1" applyFill="1" applyBorder="1" applyAlignment="1">
      <alignment vertical="center" wrapText="1"/>
    </xf>
    <xf numFmtId="0" fontId="23" fillId="23" borderId="23" xfId="0" applyFont="1" applyFill="1" applyBorder="1" applyAlignment="1">
      <alignment vertical="center" wrapText="1"/>
    </xf>
    <xf numFmtId="0" fontId="23" fillId="25" borderId="23" xfId="0" applyFont="1" applyFill="1" applyBorder="1" applyAlignment="1">
      <alignment vertical="center" wrapText="1"/>
    </xf>
    <xf numFmtId="0" fontId="22" fillId="25" borderId="23" xfId="0" applyFont="1" applyFill="1" applyBorder="1" applyAlignment="1">
      <alignment horizontal="center" vertical="center"/>
    </xf>
    <xf numFmtId="0" fontId="7" fillId="0" borderId="26" xfId="0" applyFont="1" applyBorder="1" applyAlignment="1">
      <alignment horizontal="left" vertical="top"/>
    </xf>
    <xf numFmtId="0" fontId="7" fillId="0" borderId="34" xfId="0" applyFont="1" applyBorder="1" applyAlignment="1">
      <alignment horizontal="left" vertical="top" wrapText="1"/>
    </xf>
    <xf numFmtId="0" fontId="46" fillId="33" borderId="30" xfId="0" applyFont="1" applyFill="1" applyBorder="1"/>
    <xf numFmtId="0" fontId="20" fillId="2" borderId="1" xfId="0" applyFont="1" applyFill="1" applyBorder="1" applyAlignment="1">
      <alignment vertical="center" wrapText="1"/>
    </xf>
    <xf numFmtId="0" fontId="48" fillId="32" borderId="39" xfId="0" applyFont="1" applyFill="1" applyBorder="1" applyAlignment="1">
      <alignment vertical="center" wrapText="1"/>
    </xf>
    <xf numFmtId="0" fontId="2" fillId="0" borderId="70" xfId="0" applyFont="1" applyBorder="1"/>
    <xf numFmtId="0" fontId="8" fillId="25" borderId="34" xfId="0" applyFont="1" applyFill="1" applyBorder="1" applyAlignment="1">
      <alignment vertical="center" wrapText="1"/>
    </xf>
    <xf numFmtId="0" fontId="8" fillId="34" borderId="34" xfId="0" applyFont="1" applyFill="1" applyBorder="1" applyAlignment="1">
      <alignment vertical="center" wrapText="1"/>
    </xf>
    <xf numFmtId="0" fontId="33" fillId="23" borderId="34" xfId="0" applyFont="1" applyFill="1" applyBorder="1" applyAlignment="1">
      <alignment vertical="center" wrapText="1"/>
    </xf>
    <xf numFmtId="0" fontId="33" fillId="25" borderId="34" xfId="0" applyFont="1" applyFill="1" applyBorder="1" applyAlignment="1">
      <alignment vertical="center" wrapText="1"/>
    </xf>
    <xf numFmtId="0" fontId="22" fillId="12" borderId="72" xfId="0" applyFont="1" applyFill="1" applyBorder="1" applyAlignment="1">
      <alignment vertical="center" textRotation="90" wrapText="1"/>
    </xf>
    <xf numFmtId="0" fontId="2" fillId="0" borderId="74" xfId="0" applyFont="1" applyBorder="1"/>
    <xf numFmtId="0" fontId="22" fillId="13" borderId="72" xfId="0" applyFont="1" applyFill="1" applyBorder="1" applyAlignment="1">
      <alignment vertical="center" textRotation="90" wrapText="1"/>
    </xf>
    <xf numFmtId="0" fontId="38" fillId="25" borderId="51" xfId="0" applyFont="1" applyFill="1" applyBorder="1" applyAlignment="1">
      <alignment horizontal="center" vertical="center"/>
    </xf>
    <xf numFmtId="0" fontId="30" fillId="34" borderId="30" xfId="0" applyFont="1" applyFill="1" applyBorder="1" applyAlignment="1">
      <alignment horizontal="center" vertical="center" wrapText="1"/>
    </xf>
    <xf numFmtId="0" fontId="4" fillId="25" borderId="23" xfId="0" applyFont="1" applyFill="1" applyBorder="1" applyAlignment="1">
      <alignment horizontal="center" vertical="center" wrapText="1"/>
    </xf>
    <xf numFmtId="0" fontId="4" fillId="12" borderId="48" xfId="0" applyFont="1" applyFill="1" applyBorder="1" applyAlignment="1">
      <alignment horizontal="center" vertical="center" wrapText="1"/>
    </xf>
    <xf numFmtId="0" fontId="7" fillId="25" borderId="43" xfId="0" applyFont="1" applyFill="1" applyBorder="1"/>
    <xf numFmtId="0" fontId="7" fillId="23" borderId="71" xfId="0" applyFont="1" applyFill="1" applyBorder="1"/>
    <xf numFmtId="0" fontId="2" fillId="0" borderId="73" xfId="0" applyFont="1" applyBorder="1"/>
    <xf numFmtId="0" fontId="30" fillId="25" borderId="34" xfId="0" applyFont="1" applyFill="1" applyBorder="1" applyAlignment="1">
      <alignment vertical="center" wrapText="1"/>
    </xf>
    <xf numFmtId="0" fontId="33" fillId="34" borderId="34" xfId="0" applyFont="1" applyFill="1" applyBorder="1" applyAlignment="1">
      <alignment vertical="center" wrapText="1"/>
    </xf>
    <xf numFmtId="14" fontId="9" fillId="23" borderId="30" xfId="0" applyNumberFormat="1" applyFont="1" applyFill="1" applyBorder="1" applyAlignment="1">
      <alignment horizontal="left" vertical="center"/>
    </xf>
    <xf numFmtId="0" fontId="9" fillId="34" borderId="30" xfId="0" applyFont="1" applyFill="1" applyBorder="1" applyAlignment="1">
      <alignment vertical="center"/>
    </xf>
    <xf numFmtId="0" fontId="9" fillId="25" borderId="30" xfId="0" applyFont="1" applyFill="1" applyBorder="1" applyAlignment="1">
      <alignment vertical="center"/>
    </xf>
    <xf numFmtId="0" fontId="13" fillId="25" borderId="30" xfId="0" applyFont="1" applyFill="1" applyBorder="1" applyAlignment="1">
      <alignment horizontal="left" vertical="center" wrapText="1"/>
    </xf>
    <xf numFmtId="14" fontId="9" fillId="30" borderId="30" xfId="0" applyNumberFormat="1" applyFont="1" applyFill="1" applyBorder="1"/>
    <xf numFmtId="14" fontId="9" fillId="30" borderId="30" xfId="0" applyNumberFormat="1" applyFont="1" applyFill="1" applyBorder="1" applyAlignment="1">
      <alignment horizontal="left"/>
    </xf>
    <xf numFmtId="0" fontId="7" fillId="31" borderId="30" xfId="0" applyFont="1" applyFill="1" applyBorder="1"/>
    <xf numFmtId="0" fontId="7" fillId="30" borderId="30" xfId="0" applyFont="1" applyFill="1" applyBorder="1"/>
    <xf numFmtId="0" fontId="23" fillId="31" borderId="30" xfId="0" applyFont="1" applyFill="1" applyBorder="1" applyAlignment="1">
      <alignment vertical="center" wrapText="1"/>
    </xf>
    <xf numFmtId="0" fontId="7" fillId="31" borderId="43" xfId="0" applyFont="1" applyFill="1" applyBorder="1"/>
    <xf numFmtId="0" fontId="7" fillId="30" borderId="43" xfId="0" applyFont="1" applyFill="1" applyBorder="1"/>
    <xf numFmtId="0" fontId="23" fillId="31" borderId="43" xfId="0" applyFont="1" applyFill="1" applyBorder="1" applyAlignment="1">
      <alignment vertical="center" wrapText="1"/>
    </xf>
    <xf numFmtId="0" fontId="13" fillId="25" borderId="43" xfId="0" applyFont="1" applyFill="1" applyBorder="1" applyAlignment="1">
      <alignment horizontal="left" vertical="center" wrapText="1"/>
    </xf>
    <xf numFmtId="0" fontId="4" fillId="31" borderId="30" xfId="0" applyFont="1" applyFill="1" applyBorder="1" applyAlignment="1">
      <alignment vertical="center" wrapText="1"/>
    </xf>
    <xf numFmtId="0" fontId="4" fillId="30" borderId="30" xfId="0" applyFont="1" applyFill="1" applyBorder="1" applyAlignment="1">
      <alignment vertical="center" wrapText="1"/>
    </xf>
    <xf numFmtId="0" fontId="44" fillId="31" borderId="30" xfId="0" applyFont="1" applyFill="1" applyBorder="1" applyAlignment="1">
      <alignment vertical="center" wrapText="1"/>
    </xf>
    <xf numFmtId="0" fontId="7" fillId="31" borderId="46" xfId="0" applyFont="1" applyFill="1" applyBorder="1" applyAlignment="1">
      <alignment vertical="center" wrapText="1"/>
    </xf>
    <xf numFmtId="0" fontId="49" fillId="34" borderId="30" xfId="0" applyFont="1" applyFill="1" applyBorder="1" applyAlignment="1">
      <alignment horizontal="center" vertical="center" wrapText="1"/>
    </xf>
    <xf numFmtId="0" fontId="42" fillId="25" borderId="23" xfId="0" applyFont="1" applyFill="1" applyBorder="1" applyAlignment="1">
      <alignment horizontal="center" vertical="center" wrapText="1"/>
    </xf>
    <xf numFmtId="0" fontId="7" fillId="34" borderId="46" xfId="0" applyFont="1" applyFill="1" applyBorder="1" applyAlignment="1">
      <alignment horizontal="center" vertical="center" wrapText="1"/>
    </xf>
    <xf numFmtId="0" fontId="10" fillId="33" borderId="30" xfId="0" applyFont="1" applyFill="1" applyBorder="1" applyAlignment="1">
      <alignment vertical="center" wrapText="1"/>
    </xf>
    <xf numFmtId="0" fontId="30" fillId="23" borderId="23" xfId="0" applyFont="1" applyFill="1" applyBorder="1" applyAlignment="1">
      <alignment vertical="center" wrapText="1"/>
    </xf>
    <xf numFmtId="0" fontId="30" fillId="34" borderId="23" xfId="0" applyFont="1" applyFill="1" applyBorder="1" applyAlignment="1">
      <alignment vertical="center" wrapText="1"/>
    </xf>
    <xf numFmtId="0" fontId="30" fillId="25" borderId="23" xfId="0" applyFont="1" applyFill="1" applyBorder="1" applyAlignment="1">
      <alignment vertical="center" wrapText="1"/>
    </xf>
    <xf numFmtId="0" fontId="7" fillId="25" borderId="30" xfId="0" applyFont="1" applyFill="1" applyBorder="1" applyAlignment="1">
      <alignment horizontal="center" vertical="center"/>
    </xf>
    <xf numFmtId="0" fontId="30" fillId="30" borderId="30" xfId="0" applyFont="1" applyFill="1" applyBorder="1" applyAlignment="1">
      <alignment vertical="center" wrapText="1"/>
    </xf>
    <xf numFmtId="0" fontId="30" fillId="34" borderId="34" xfId="0" applyFont="1" applyFill="1" applyBorder="1" applyAlignment="1">
      <alignment vertical="center" wrapText="1"/>
    </xf>
    <xf numFmtId="0" fontId="44" fillId="34" borderId="34" xfId="0" applyFont="1" applyFill="1" applyBorder="1" applyAlignment="1">
      <alignment vertical="center" wrapText="1"/>
    </xf>
    <xf numFmtId="0" fontId="44" fillId="25" borderId="34" xfId="0" applyFont="1" applyFill="1" applyBorder="1" applyAlignment="1">
      <alignment horizontal="center" vertical="center" wrapText="1"/>
    </xf>
    <xf numFmtId="0" fontId="34" fillId="12" borderId="72" xfId="0" applyFont="1" applyFill="1" applyBorder="1" applyAlignment="1">
      <alignment vertical="center" textRotation="90" wrapText="1"/>
    </xf>
    <xf numFmtId="0" fontId="34" fillId="13" borderId="72" xfId="0" applyFont="1" applyFill="1" applyBorder="1" applyAlignment="1">
      <alignment vertical="center" textRotation="90" wrapText="1"/>
    </xf>
    <xf numFmtId="0" fontId="4" fillId="31" borderId="34" xfId="0" applyFont="1" applyFill="1" applyBorder="1" applyAlignment="1">
      <alignment vertical="center" wrapText="1"/>
    </xf>
    <xf numFmtId="0" fontId="4" fillId="30" borderId="34" xfId="0" applyFont="1" applyFill="1" applyBorder="1" applyAlignment="1">
      <alignment vertical="center" wrapText="1"/>
    </xf>
    <xf numFmtId="0" fontId="44" fillId="31" borderId="34" xfId="0" applyFont="1" applyFill="1" applyBorder="1" applyAlignment="1">
      <alignment vertical="center" wrapText="1"/>
    </xf>
    <xf numFmtId="0" fontId="7" fillId="30" borderId="34" xfId="0" applyFont="1" applyFill="1" applyBorder="1" applyAlignment="1">
      <alignment vertical="center" wrapText="1"/>
    </xf>
    <xf numFmtId="0" fontId="7" fillId="25" borderId="23" xfId="0" applyFont="1" applyFill="1" applyBorder="1" applyAlignment="1">
      <alignment vertical="center" wrapText="1"/>
    </xf>
    <xf numFmtId="0" fontId="7" fillId="25" borderId="30" xfId="0" applyFont="1" applyFill="1" applyBorder="1" applyAlignment="1">
      <alignment horizontal="left" vertical="center"/>
    </xf>
    <xf numFmtId="0" fontId="50" fillId="51" borderId="48" xfId="0" applyFont="1" applyFill="1" applyBorder="1" applyAlignment="1">
      <alignment horizontal="center" vertical="center" wrapText="1"/>
    </xf>
    <xf numFmtId="0" fontId="27" fillId="51" borderId="48" xfId="0" applyFont="1" applyFill="1" applyBorder="1" applyAlignment="1">
      <alignment horizontal="center" vertical="center" wrapText="1"/>
    </xf>
    <xf numFmtId="49" fontId="7" fillId="0" borderId="30" xfId="0" applyNumberFormat="1" applyFont="1" applyBorder="1" applyAlignment="1">
      <alignment vertical="center"/>
    </xf>
    <xf numFmtId="0" fontId="7" fillId="34" borderId="71" xfId="0" applyFont="1" applyFill="1" applyBorder="1"/>
    <xf numFmtId="0" fontId="30" fillId="23" borderId="34" xfId="0" applyFont="1" applyFill="1" applyBorder="1" applyAlignment="1">
      <alignment vertical="center" wrapText="1"/>
    </xf>
    <xf numFmtId="0" fontId="30" fillId="34" borderId="34" xfId="0" applyFont="1" applyFill="1" applyBorder="1" applyAlignment="1">
      <alignment horizontal="center" vertical="center" wrapText="1"/>
    </xf>
    <xf numFmtId="0" fontId="30" fillId="30" borderId="34" xfId="0" applyFont="1" applyFill="1" applyBorder="1" applyAlignment="1">
      <alignment vertical="center" wrapText="1"/>
    </xf>
    <xf numFmtId="0" fontId="7" fillId="25" borderId="34" xfId="0" applyFont="1" applyFill="1" applyBorder="1" applyAlignment="1">
      <alignment horizontal="center" vertical="center"/>
    </xf>
    <xf numFmtId="0" fontId="30" fillId="25" borderId="34" xfId="0" applyFont="1" applyFill="1" applyBorder="1" applyAlignment="1">
      <alignment horizontal="center" vertical="center" wrapText="1"/>
    </xf>
    <xf numFmtId="0" fontId="31" fillId="25" borderId="30" xfId="0" applyFont="1" applyFill="1" applyBorder="1"/>
    <xf numFmtId="0" fontId="31" fillId="0" borderId="30" xfId="0" applyFont="1" applyBorder="1"/>
    <xf numFmtId="0" fontId="41" fillId="0" borderId="30" xfId="0" applyFont="1" applyBorder="1" applyAlignment="1">
      <alignment vertical="center" wrapText="1"/>
    </xf>
    <xf numFmtId="0" fontId="9" fillId="25" borderId="30" xfId="0" applyFont="1" applyFill="1" applyBorder="1"/>
    <xf numFmtId="0" fontId="34" fillId="25" borderId="30" xfId="0" applyFont="1" applyFill="1" applyBorder="1" applyAlignment="1">
      <alignment vertical="center" wrapText="1"/>
    </xf>
    <xf numFmtId="0" fontId="13" fillId="34" borderId="30" xfId="0" applyFont="1" applyFill="1" applyBorder="1" applyAlignment="1">
      <alignment horizontal="center" vertical="center"/>
    </xf>
    <xf numFmtId="0" fontId="29" fillId="34" borderId="30" xfId="0" applyFont="1" applyFill="1" applyBorder="1" applyAlignment="1">
      <alignment vertical="center" wrapText="1"/>
    </xf>
    <xf numFmtId="0" fontId="8" fillId="34" borderId="30" xfId="0" applyFont="1" applyFill="1" applyBorder="1" applyAlignment="1">
      <alignment vertical="center" wrapText="1"/>
    </xf>
    <xf numFmtId="0" fontId="51" fillId="25" borderId="30" xfId="0" applyFont="1" applyFill="1" applyBorder="1" applyAlignment="1">
      <alignment vertical="center" wrapText="1"/>
    </xf>
    <xf numFmtId="0" fontId="15" fillId="34" borderId="30" xfId="0" applyFont="1" applyFill="1" applyBorder="1" applyAlignment="1">
      <alignment horizontal="center" vertical="center"/>
    </xf>
    <xf numFmtId="0" fontId="28" fillId="25" borderId="30" xfId="0" applyFont="1" applyFill="1" applyBorder="1" applyAlignment="1">
      <alignment vertical="center" wrapText="1"/>
    </xf>
    <xf numFmtId="0" fontId="22" fillId="25" borderId="30" xfId="0" applyFont="1" applyFill="1" applyBorder="1" applyAlignment="1">
      <alignment vertical="center" wrapText="1"/>
    </xf>
    <xf numFmtId="0" fontId="31" fillId="25" borderId="30" xfId="0" applyFont="1" applyFill="1" applyBorder="1" applyAlignment="1">
      <alignment vertical="center" wrapText="1"/>
    </xf>
    <xf numFmtId="0" fontId="31" fillId="0" borderId="30" xfId="0" applyFont="1" applyBorder="1" applyAlignment="1">
      <alignment vertical="center" wrapText="1"/>
    </xf>
    <xf numFmtId="0" fontId="13" fillId="0" borderId="30" xfId="0" applyFont="1" applyBorder="1" applyAlignment="1">
      <alignment vertical="center" wrapText="1"/>
    </xf>
    <xf numFmtId="0" fontId="44" fillId="0" borderId="30" xfId="0" applyFont="1" applyBorder="1" applyAlignment="1">
      <alignment vertical="center" wrapText="1"/>
    </xf>
    <xf numFmtId="0" fontId="51" fillId="0" borderId="30" xfId="0" applyFont="1" applyBorder="1" applyAlignment="1">
      <alignment vertical="center" wrapText="1"/>
    </xf>
    <xf numFmtId="0" fontId="4" fillId="0" borderId="30" xfId="0" applyFont="1" applyBorder="1" applyAlignment="1">
      <alignment vertical="center" wrapText="1"/>
    </xf>
    <xf numFmtId="0" fontId="13" fillId="0" borderId="30" xfId="0" applyFont="1" applyBorder="1" applyAlignment="1">
      <alignment horizontal="center" vertical="center"/>
    </xf>
    <xf numFmtId="0" fontId="15" fillId="25" borderId="67" xfId="0" applyFont="1" applyFill="1" applyBorder="1" applyAlignment="1">
      <alignment horizontal="center" vertical="center"/>
    </xf>
    <xf numFmtId="0" fontId="7" fillId="0" borderId="30" xfId="0" applyFont="1" applyBorder="1" applyAlignment="1">
      <alignment wrapText="1"/>
    </xf>
    <xf numFmtId="0" fontId="7" fillId="25" borderId="30" xfId="0" applyFont="1" applyFill="1" applyBorder="1" applyAlignment="1">
      <alignment horizontal="left" vertical="top" wrapText="1"/>
    </xf>
    <xf numFmtId="0" fontId="7" fillId="0" borderId="30" xfId="0" applyFont="1" applyBorder="1" applyAlignment="1">
      <alignment horizontal="center" vertical="center"/>
    </xf>
    <xf numFmtId="0" fontId="7" fillId="25" borderId="34" xfId="0" applyFont="1" applyFill="1" applyBorder="1" applyAlignment="1">
      <alignment vertical="center" wrapText="1"/>
    </xf>
    <xf numFmtId="0" fontId="25" fillId="25" borderId="30" xfId="0" applyFont="1" applyFill="1" applyBorder="1" applyAlignment="1">
      <alignment vertical="center" wrapText="1"/>
    </xf>
    <xf numFmtId="0" fontId="33" fillId="0" borderId="30" xfId="0" applyFont="1" applyBorder="1" applyAlignment="1">
      <alignment vertical="center" wrapText="1"/>
    </xf>
    <xf numFmtId="0" fontId="52" fillId="2" borderId="58" xfId="0" applyFont="1" applyFill="1" applyBorder="1" applyAlignment="1">
      <alignment vertical="center" wrapText="1"/>
    </xf>
    <xf numFmtId="0" fontId="9" fillId="0" borderId="30" xfId="0" applyFont="1" applyBorder="1" applyAlignment="1">
      <alignment vertical="center" wrapText="1"/>
    </xf>
    <xf numFmtId="0" fontId="7" fillId="0" borderId="30" xfId="0" applyFont="1" applyBorder="1" applyAlignment="1">
      <alignment horizontal="center"/>
    </xf>
    <xf numFmtId="0" fontId="3" fillId="12" borderId="30" xfId="0" applyFont="1" applyFill="1" applyBorder="1" applyAlignment="1">
      <alignment horizontal="center" vertical="center"/>
    </xf>
    <xf numFmtId="0" fontId="7" fillId="12" borderId="30" xfId="0" applyFont="1" applyFill="1" applyBorder="1" applyAlignment="1">
      <alignment horizontal="center"/>
    </xf>
    <xf numFmtId="0" fontId="3" fillId="12" borderId="30" xfId="0" applyFont="1" applyFill="1" applyBorder="1" applyAlignment="1">
      <alignment horizontal="center"/>
    </xf>
    <xf numFmtId="0" fontId="75" fillId="63" borderId="1" xfId="0" applyFont="1" applyFill="1" applyBorder="1"/>
    <xf numFmtId="0" fontId="3" fillId="34" borderId="30" xfId="0" applyFont="1" applyFill="1" applyBorder="1" applyAlignment="1">
      <alignment horizontal="center"/>
    </xf>
    <xf numFmtId="0" fontId="3" fillId="34" borderId="30" xfId="0" applyFont="1" applyFill="1" applyBorder="1" applyAlignment="1">
      <alignment horizontal="center" vertical="center"/>
    </xf>
    <xf numFmtId="0" fontId="8" fillId="34" borderId="30" xfId="0" applyFont="1" applyFill="1" applyBorder="1" applyAlignment="1">
      <alignment horizontal="right"/>
    </xf>
    <xf numFmtId="0" fontId="7" fillId="34" borderId="30" xfId="0" applyFont="1" applyFill="1" applyBorder="1" applyAlignment="1">
      <alignment horizontal="center"/>
    </xf>
    <xf numFmtId="0" fontId="8" fillId="12" borderId="30" xfId="0" applyFont="1" applyFill="1" applyBorder="1" applyAlignment="1">
      <alignment horizontal="center" vertical="center" wrapText="1"/>
    </xf>
    <xf numFmtId="0" fontId="8" fillId="12" borderId="30" xfId="0" applyFont="1" applyFill="1" applyBorder="1" applyAlignment="1">
      <alignment vertical="center" wrapText="1"/>
    </xf>
    <xf numFmtId="0" fontId="74" fillId="12" borderId="30" xfId="0" applyFont="1" applyFill="1" applyBorder="1" applyAlignment="1">
      <alignment vertical="center"/>
    </xf>
    <xf numFmtId="0" fontId="76" fillId="26" borderId="30" xfId="0" applyFont="1" applyFill="1" applyBorder="1" applyAlignment="1">
      <alignment horizontal="center" vertical="center"/>
    </xf>
    <xf numFmtId="0" fontId="53" fillId="63" borderId="1" xfId="0" applyFont="1" applyFill="1" applyBorder="1" applyAlignment="1">
      <alignment horizontal="center" vertical="center"/>
    </xf>
    <xf numFmtId="0" fontId="55" fillId="54" borderId="48" xfId="0" applyFont="1" applyFill="1" applyBorder="1"/>
    <xf numFmtId="0" fontId="73" fillId="62" borderId="1" xfId="0" applyFont="1" applyFill="1" applyBorder="1"/>
    <xf numFmtId="0" fontId="7" fillId="34" borderId="30" xfId="0" applyFont="1" applyFill="1" applyBorder="1" applyAlignment="1">
      <alignment horizontal="center" vertical="center"/>
    </xf>
    <xf numFmtId="0" fontId="76" fillId="63" borderId="48" xfId="0" applyFont="1" applyFill="1" applyBorder="1" applyAlignment="1">
      <alignment vertical="center" wrapText="1"/>
    </xf>
    <xf numFmtId="0" fontId="19" fillId="12" borderId="48" xfId="0" applyFont="1" applyFill="1" applyBorder="1" applyAlignment="1">
      <alignment vertical="center" wrapText="1"/>
    </xf>
    <xf numFmtId="0" fontId="24" fillId="63" borderId="58" xfId="0" applyFont="1" applyFill="1" applyBorder="1"/>
    <xf numFmtId="0" fontId="7" fillId="23" borderId="30" xfId="0" applyFont="1" applyFill="1" applyBorder="1" applyAlignment="1">
      <alignment horizontal="center" vertical="center"/>
    </xf>
    <xf numFmtId="14" fontId="7" fillId="23" borderId="30" xfId="0" applyNumberFormat="1" applyFont="1" applyFill="1" applyBorder="1" applyAlignment="1">
      <alignment horizontal="right" vertical="center"/>
    </xf>
    <xf numFmtId="14" fontId="7" fillId="23" borderId="30" xfId="0" applyNumberFormat="1" applyFont="1" applyFill="1" applyBorder="1"/>
    <xf numFmtId="0" fontId="60" fillId="55" borderId="1" xfId="0" applyFont="1" applyFill="1" applyBorder="1" applyAlignment="1">
      <alignment horizontal="center" vertical="center"/>
    </xf>
    <xf numFmtId="0" fontId="20" fillId="55" borderId="30" xfId="0" applyFont="1" applyFill="1" applyBorder="1" applyAlignment="1">
      <alignment horizontal="center" vertical="center"/>
    </xf>
    <xf numFmtId="0" fontId="77" fillId="55" borderId="30" xfId="0" applyFont="1" applyFill="1" applyBorder="1" applyAlignment="1">
      <alignment horizontal="center" vertical="center"/>
    </xf>
    <xf numFmtId="0" fontId="8" fillId="12" borderId="30" xfId="0" applyFont="1" applyFill="1" applyBorder="1" applyAlignment="1">
      <alignment horizontal="right"/>
    </xf>
    <xf numFmtId="0" fontId="52" fillId="55" borderId="30" xfId="0" applyFont="1" applyFill="1" applyBorder="1" applyAlignment="1">
      <alignment horizontal="center" vertical="center" wrapText="1"/>
    </xf>
    <xf numFmtId="0" fontId="20" fillId="55" borderId="46" xfId="0" applyFont="1" applyFill="1" applyBorder="1" applyAlignment="1">
      <alignment vertical="center" wrapText="1"/>
    </xf>
    <xf numFmtId="0" fontId="37" fillId="26" borderId="48" xfId="0" applyFont="1" applyFill="1" applyBorder="1" applyAlignment="1">
      <alignment vertical="center" wrapText="1"/>
    </xf>
    <xf numFmtId="0" fontId="64" fillId="55" borderId="30" xfId="0" applyFont="1" applyFill="1" applyBorder="1" applyAlignment="1">
      <alignment horizontal="right" vertical="top"/>
    </xf>
    <xf numFmtId="0" fontId="24" fillId="55" borderId="43" xfId="0" applyFont="1" applyFill="1" applyBorder="1"/>
    <xf numFmtId="0" fontId="64" fillId="63" borderId="58" xfId="0" applyFont="1" applyFill="1" applyBorder="1"/>
    <xf numFmtId="0" fontId="7" fillId="23" borderId="30" xfId="0" applyFont="1" applyFill="1" applyBorder="1"/>
    <xf numFmtId="49" fontId="7" fillId="23" borderId="30" xfId="0" applyNumberFormat="1" applyFont="1" applyFill="1" applyBorder="1" applyAlignment="1">
      <alignment horizontal="right" vertical="center"/>
    </xf>
    <xf numFmtId="49" fontId="7" fillId="23" borderId="30" xfId="0" applyNumberFormat="1" applyFont="1" applyFill="1" applyBorder="1" applyAlignment="1">
      <alignment horizontal="right"/>
    </xf>
    <xf numFmtId="0" fontId="19" fillId="0" borderId="30" xfId="0" applyFont="1" applyBorder="1" applyAlignment="1">
      <alignment horizontal="center"/>
    </xf>
    <xf numFmtId="0" fontId="8" fillId="0" borderId="30" xfId="0" applyFont="1" applyBorder="1" applyAlignment="1">
      <alignment horizontal="left" vertical="center" wrapText="1"/>
    </xf>
    <xf numFmtId="0" fontId="8" fillId="16" borderId="30" xfId="0" applyFont="1" applyFill="1" applyBorder="1" applyAlignment="1">
      <alignment horizontal="left" vertical="center" wrapText="1"/>
    </xf>
    <xf numFmtId="0" fontId="40" fillId="16" borderId="30" xfId="0" applyFont="1" applyFill="1" applyBorder="1" applyAlignment="1">
      <alignment horizontal="left" vertical="center" wrapText="1"/>
    </xf>
    <xf numFmtId="0" fontId="8" fillId="34" borderId="30" xfId="0" applyFont="1" applyFill="1" applyBorder="1" applyAlignment="1">
      <alignment horizontal="left" vertical="center" wrapText="1"/>
    </xf>
    <xf numFmtId="0" fontId="8" fillId="25" borderId="30" xfId="0" applyFont="1" applyFill="1" applyBorder="1" applyAlignment="1">
      <alignment horizontal="left" vertical="center" wrapText="1"/>
    </xf>
    <xf numFmtId="0" fontId="40" fillId="25" borderId="30" xfId="0" applyFont="1" applyFill="1" applyBorder="1" applyAlignment="1">
      <alignment horizontal="left" vertical="center" wrapText="1"/>
    </xf>
    <xf numFmtId="0" fontId="8" fillId="0" borderId="30" xfId="0" applyFont="1" applyBorder="1" applyAlignment="1">
      <alignment horizontal="center" vertical="center" wrapText="1"/>
    </xf>
    <xf numFmtId="0" fontId="63" fillId="0" borderId="30" xfId="0" applyFont="1" applyBorder="1" applyAlignment="1">
      <alignment horizontal="center" vertical="center" wrapText="1"/>
    </xf>
    <xf numFmtId="0" fontId="7" fillId="0" borderId="41" xfId="0" applyFont="1" applyBorder="1"/>
    <xf numFmtId="0" fontId="7" fillId="34" borderId="34" xfId="0" applyFont="1" applyFill="1" applyBorder="1" applyAlignment="1">
      <alignment vertical="center"/>
    </xf>
    <xf numFmtId="0" fontId="25" fillId="34" borderId="30" xfId="0" applyFont="1" applyFill="1" applyBorder="1" applyAlignment="1">
      <alignment vertical="center"/>
    </xf>
    <xf numFmtId="0" fontId="33" fillId="33" borderId="30" xfId="0" applyFont="1" applyFill="1" applyBorder="1" applyAlignment="1">
      <alignment vertical="center" wrapText="1"/>
    </xf>
    <xf numFmtId="0" fontId="7" fillId="0" borderId="41" xfId="0" applyFont="1" applyBorder="1" applyAlignment="1">
      <alignment horizontal="left" vertical="top"/>
    </xf>
    <xf numFmtId="49" fontId="7" fillId="0" borderId="41" xfId="0" applyNumberFormat="1" applyFont="1" applyBorder="1" applyAlignment="1">
      <alignment horizontal="left"/>
    </xf>
    <xf numFmtId="0" fontId="24" fillId="32" borderId="1" xfId="0" applyFont="1" applyFill="1" applyBorder="1" applyAlignment="1">
      <alignment horizontal="left" vertical="center"/>
    </xf>
    <xf numFmtId="0" fontId="36" fillId="14" borderId="1" xfId="0" applyFont="1" applyFill="1" applyBorder="1" applyAlignment="1">
      <alignment horizontal="center" vertical="center"/>
    </xf>
    <xf numFmtId="0" fontId="48" fillId="52" borderId="30" xfId="0" applyFont="1" applyFill="1" applyBorder="1"/>
    <xf numFmtId="0" fontId="56" fillId="52" borderId="30" xfId="0" applyFont="1" applyFill="1" applyBorder="1" applyAlignment="1">
      <alignment horizontal="center" vertical="center"/>
    </xf>
    <xf numFmtId="0" fontId="27" fillId="37" borderId="30" xfId="0" applyFont="1" applyFill="1" applyBorder="1" applyAlignment="1">
      <alignment horizontal="center" vertical="center"/>
    </xf>
    <xf numFmtId="0" fontId="8" fillId="37" borderId="30" xfId="0" applyFont="1" applyFill="1" applyBorder="1"/>
    <xf numFmtId="0" fontId="8" fillId="16" borderId="30" xfId="0" applyFont="1" applyFill="1" applyBorder="1" applyAlignment="1">
      <alignment vertical="top"/>
    </xf>
    <xf numFmtId="0" fontId="36" fillId="16" borderId="30" xfId="0" applyFont="1" applyFill="1" applyBorder="1" applyAlignment="1">
      <alignment horizontal="center" vertical="center"/>
    </xf>
    <xf numFmtId="0" fontId="57" fillId="37" borderId="30" xfId="0" applyFont="1" applyFill="1" applyBorder="1" applyAlignment="1">
      <alignment vertical="top"/>
    </xf>
    <xf numFmtId="0" fontId="36" fillId="37" borderId="30" xfId="0" applyFont="1" applyFill="1" applyBorder="1" applyAlignment="1">
      <alignment horizontal="center" vertical="center"/>
    </xf>
    <xf numFmtId="0" fontId="8" fillId="37" borderId="30" xfId="0" applyFont="1" applyFill="1" applyBorder="1" applyAlignment="1">
      <alignment vertical="top"/>
    </xf>
    <xf numFmtId="0" fontId="55" fillId="53" borderId="30" xfId="0" applyFont="1" applyFill="1" applyBorder="1" applyAlignment="1">
      <alignment horizontal="left" vertical="center"/>
    </xf>
    <xf numFmtId="0" fontId="53" fillId="53" borderId="30" xfId="0" applyFont="1" applyFill="1" applyBorder="1" applyAlignment="1">
      <alignment horizontal="center" vertical="center"/>
    </xf>
    <xf numFmtId="0" fontId="58" fillId="53" borderId="30" xfId="0" applyFont="1" applyFill="1" applyBorder="1" applyAlignment="1">
      <alignment horizontal="left" vertical="center"/>
    </xf>
    <xf numFmtId="0" fontId="59" fillId="53" borderId="30" xfId="0" applyFont="1" applyFill="1" applyBorder="1" applyAlignment="1">
      <alignment horizontal="center" vertical="center"/>
    </xf>
    <xf numFmtId="0" fontId="7" fillId="23" borderId="30" xfId="0" applyFont="1" applyFill="1" applyBorder="1" applyAlignment="1">
      <alignment horizontal="center" vertical="center" wrapText="1"/>
    </xf>
    <xf numFmtId="0" fontId="7" fillId="16" borderId="30" xfId="0" applyFont="1" applyFill="1" applyBorder="1" applyAlignment="1">
      <alignment horizontal="center" vertical="center" wrapText="1"/>
    </xf>
    <xf numFmtId="0" fontId="4" fillId="23" borderId="30" xfId="0" applyFont="1" applyFill="1" applyBorder="1" applyAlignment="1">
      <alignment vertical="center" wrapText="1"/>
    </xf>
    <xf numFmtId="0" fontId="61" fillId="23" borderId="30" xfId="0" applyFont="1" applyFill="1" applyBorder="1" applyAlignment="1">
      <alignment vertical="center" wrapText="1"/>
    </xf>
    <xf numFmtId="0" fontId="30" fillId="23" borderId="30" xfId="0" applyFont="1" applyFill="1" applyBorder="1" applyAlignment="1">
      <alignment vertical="center" wrapText="1"/>
    </xf>
    <xf numFmtId="0" fontId="62" fillId="23" borderId="30" xfId="0" applyFont="1" applyFill="1" applyBorder="1" applyAlignment="1">
      <alignment vertical="center" wrapText="1"/>
    </xf>
    <xf numFmtId="0" fontId="4" fillId="16" borderId="30" xfId="0" applyFont="1" applyFill="1" applyBorder="1" applyAlignment="1">
      <alignment vertical="center" wrapText="1"/>
    </xf>
    <xf numFmtId="0" fontId="61" fillId="16" borderId="30" xfId="0" applyFont="1" applyFill="1" applyBorder="1" applyAlignment="1">
      <alignment vertical="center" wrapText="1"/>
    </xf>
    <xf numFmtId="0" fontId="38" fillId="23" borderId="30" xfId="0" applyFont="1" applyFill="1" applyBorder="1" applyAlignment="1">
      <alignment horizontal="center" vertical="center" wrapText="1"/>
    </xf>
    <xf numFmtId="0" fontId="8" fillId="37" borderId="30" xfId="0" applyFont="1" applyFill="1" applyBorder="1" applyAlignment="1">
      <alignment vertical="center" wrapText="1"/>
    </xf>
    <xf numFmtId="0" fontId="53" fillId="11" borderId="1" xfId="0" applyFont="1" applyFill="1" applyBorder="1" applyAlignment="1">
      <alignment horizontal="center" vertical="center"/>
    </xf>
    <xf numFmtId="0" fontId="60" fillId="2" borderId="34" xfId="0" applyFont="1" applyFill="1" applyBorder="1" applyAlignment="1">
      <alignment horizontal="center" vertical="center" wrapText="1"/>
    </xf>
    <xf numFmtId="0" fontId="38" fillId="37" borderId="30" xfId="0" applyFont="1" applyFill="1" applyBorder="1" applyAlignment="1">
      <alignment horizontal="center" vertical="center" wrapText="1"/>
    </xf>
    <xf numFmtId="0" fontId="24" fillId="54" borderId="30" xfId="0" applyFont="1" applyFill="1" applyBorder="1" applyAlignment="1">
      <alignment horizontal="right"/>
    </xf>
    <xf numFmtId="0" fontId="24" fillId="54" borderId="30" xfId="0" applyFont="1" applyFill="1" applyBorder="1" applyAlignment="1">
      <alignment horizontal="center"/>
    </xf>
    <xf numFmtId="0" fontId="64" fillId="55" borderId="30" xfId="0" applyFont="1" applyFill="1" applyBorder="1" applyAlignment="1">
      <alignment horizontal="right"/>
    </xf>
    <xf numFmtId="0" fontId="64" fillId="55" borderId="30" xfId="0" applyFont="1" applyFill="1" applyBorder="1" applyAlignment="1">
      <alignment horizontal="center"/>
    </xf>
    <xf numFmtId="0" fontId="8" fillId="34" borderId="30" xfId="0" applyFont="1" applyFill="1" applyBorder="1" applyAlignment="1">
      <alignment horizontal="right" vertical="center" wrapText="1"/>
    </xf>
    <xf numFmtId="0" fontId="46" fillId="2" borderId="30" xfId="0" applyFont="1" applyFill="1" applyBorder="1" applyAlignment="1">
      <alignment horizontal="center" vertical="center" wrapText="1"/>
    </xf>
    <xf numFmtId="0" fontId="46" fillId="2" borderId="30" xfId="0" applyFont="1" applyFill="1" applyBorder="1" applyAlignment="1">
      <alignment horizontal="left" vertical="center" wrapText="1"/>
    </xf>
    <xf numFmtId="0" fontId="46" fillId="16" borderId="30" xfId="0" applyFont="1" applyFill="1" applyBorder="1" applyAlignment="1">
      <alignment horizontal="left" vertical="center" wrapText="1"/>
    </xf>
    <xf numFmtId="0" fontId="46" fillId="53" borderId="30" xfId="0" applyFont="1" applyFill="1" applyBorder="1" applyAlignment="1">
      <alignment horizontal="left" vertical="center" wrapText="1"/>
    </xf>
    <xf numFmtId="0" fontId="25" fillId="23" borderId="30" xfId="0" applyFont="1" applyFill="1" applyBorder="1" applyAlignment="1">
      <alignment horizontal="center" vertical="center" wrapText="1"/>
    </xf>
    <xf numFmtId="0" fontId="65" fillId="23" borderId="30" xfId="0" applyFont="1" applyFill="1" applyBorder="1" applyAlignment="1">
      <alignment horizontal="center" vertical="center" wrapText="1"/>
    </xf>
    <xf numFmtId="0" fontId="25" fillId="16" borderId="30" xfId="0" applyFont="1" applyFill="1" applyBorder="1" applyAlignment="1">
      <alignment horizontal="center" vertical="center" wrapText="1"/>
    </xf>
    <xf numFmtId="0" fontId="65" fillId="37" borderId="30" xfId="0" applyFont="1" applyFill="1" applyBorder="1" applyAlignment="1">
      <alignment horizontal="center" vertical="center" wrapText="1"/>
    </xf>
    <xf numFmtId="0" fontId="4" fillId="2" borderId="30" xfId="0" applyFont="1" applyFill="1" applyBorder="1" applyAlignment="1">
      <alignment vertical="center" wrapText="1"/>
    </xf>
    <xf numFmtId="0" fontId="8" fillId="53" borderId="30" xfId="0" applyFont="1" applyFill="1" applyBorder="1" applyAlignment="1">
      <alignment vertical="center" wrapText="1"/>
    </xf>
    <xf numFmtId="0" fontId="30" fillId="2" borderId="30" xfId="0" applyFont="1" applyFill="1" applyBorder="1" applyAlignment="1">
      <alignment vertical="center" wrapText="1"/>
    </xf>
    <xf numFmtId="0" fontId="61" fillId="25" borderId="30" xfId="0" applyFont="1" applyFill="1" applyBorder="1" applyAlignment="1">
      <alignment vertical="center" wrapText="1"/>
    </xf>
    <xf numFmtId="0" fontId="40" fillId="25" borderId="30" xfId="0" applyFont="1" applyFill="1" applyBorder="1" applyAlignment="1">
      <alignment horizontal="center" vertical="center" wrapText="1"/>
    </xf>
    <xf numFmtId="0" fontId="40" fillId="2" borderId="30" xfId="0" applyFont="1" applyFill="1" applyBorder="1" applyAlignment="1">
      <alignment horizontal="center" vertical="center" wrapText="1"/>
    </xf>
    <xf numFmtId="0" fontId="65" fillId="2" borderId="34" xfId="0" applyFont="1" applyFill="1" applyBorder="1" applyAlignment="1">
      <alignment horizontal="center" vertical="center" wrapText="1"/>
    </xf>
    <xf numFmtId="0" fontId="46" fillId="0" borderId="30" xfId="0" applyFont="1" applyBorder="1" applyAlignment="1">
      <alignment horizontal="left" vertical="center" wrapText="1"/>
    </xf>
    <xf numFmtId="0" fontId="46" fillId="34" borderId="30" xfId="0" applyFont="1" applyFill="1" applyBorder="1" applyAlignment="1">
      <alignment horizontal="left" vertical="center" wrapText="1"/>
    </xf>
    <xf numFmtId="0" fontId="63" fillId="2" borderId="30" xfId="0" applyFont="1" applyFill="1" applyBorder="1" applyAlignment="1">
      <alignment horizontal="center" vertical="center" wrapText="1"/>
    </xf>
    <xf numFmtId="0" fontId="8" fillId="2" borderId="30" xfId="0" applyFont="1" applyFill="1" applyBorder="1" applyAlignment="1">
      <alignment horizontal="left" vertical="center" wrapText="1"/>
    </xf>
    <xf numFmtId="0" fontId="8" fillId="53" borderId="30" xfId="0" applyFont="1" applyFill="1" applyBorder="1" applyAlignment="1">
      <alignment horizontal="left" vertical="center" wrapText="1"/>
    </xf>
    <xf numFmtId="0" fontId="63" fillId="2" borderId="30" xfId="0" applyFont="1" applyFill="1" applyBorder="1" applyAlignment="1">
      <alignment horizontal="left" vertical="center" wrapText="1"/>
    </xf>
    <xf numFmtId="0" fontId="67" fillId="56" borderId="43" xfId="0" applyFont="1" applyFill="1" applyBorder="1" applyAlignment="1">
      <alignment horizontal="center"/>
    </xf>
    <xf numFmtId="0" fontId="67" fillId="53" borderId="43" xfId="0" applyFont="1" applyFill="1" applyBorder="1" applyAlignment="1">
      <alignment horizontal="right"/>
    </xf>
    <xf numFmtId="0" fontId="67" fillId="53" borderId="43" xfId="0" applyFont="1" applyFill="1" applyBorder="1" applyAlignment="1">
      <alignment horizontal="center"/>
    </xf>
    <xf numFmtId="0" fontId="67" fillId="56" borderId="43" xfId="0" applyFont="1" applyFill="1" applyBorder="1" applyAlignment="1">
      <alignment horizontal="right"/>
    </xf>
    <xf numFmtId="0" fontId="3" fillId="47" borderId="30" xfId="0" applyFont="1" applyFill="1" applyBorder="1" applyAlignment="1">
      <alignment horizontal="center" vertical="center" wrapText="1"/>
    </xf>
    <xf numFmtId="0" fontId="3" fillId="60" borderId="30" xfId="0" applyFont="1" applyFill="1" applyBorder="1" applyAlignment="1">
      <alignment horizontal="center" vertical="center" wrapText="1"/>
    </xf>
    <xf numFmtId="0" fontId="3" fillId="48" borderId="30" xfId="0" applyFont="1" applyFill="1" applyBorder="1" applyAlignment="1">
      <alignment horizontal="left"/>
    </xf>
    <xf numFmtId="0" fontId="3" fillId="48" borderId="30" xfId="0" applyFont="1" applyFill="1" applyBorder="1" applyAlignment="1">
      <alignment horizontal="center" vertical="center"/>
    </xf>
    <xf numFmtId="0" fontId="3" fillId="61" borderId="30" xfId="0" applyFont="1" applyFill="1" applyBorder="1" applyAlignment="1">
      <alignment horizontal="center" vertical="center"/>
    </xf>
    <xf numFmtId="0" fontId="3" fillId="47" borderId="30" xfId="0" applyFont="1" applyFill="1" applyBorder="1" applyAlignment="1">
      <alignment vertical="center" wrapText="1"/>
    </xf>
    <xf numFmtId="0" fontId="3" fillId="48" borderId="30" xfId="0" applyFont="1" applyFill="1" applyBorder="1" applyAlignment="1">
      <alignment vertical="center" wrapText="1"/>
    </xf>
    <xf numFmtId="0" fontId="3" fillId="48" borderId="30" xfId="0" applyFont="1" applyFill="1" applyBorder="1" applyAlignment="1">
      <alignment horizontal="center" vertical="center" wrapText="1"/>
    </xf>
    <xf numFmtId="0" fontId="3" fillId="61" borderId="30" xfId="0" applyFont="1" applyFill="1" applyBorder="1" applyAlignment="1">
      <alignment horizontal="center" vertical="center" wrapText="1"/>
    </xf>
    <xf numFmtId="0" fontId="3" fillId="47" borderId="30" xfId="0" applyFont="1" applyFill="1" applyBorder="1" applyAlignment="1">
      <alignment horizontal="left" vertical="center"/>
    </xf>
    <xf numFmtId="0" fontId="3" fillId="47" borderId="30" xfId="0" applyFont="1" applyFill="1" applyBorder="1" applyAlignment="1">
      <alignment horizontal="center" vertical="center"/>
    </xf>
    <xf numFmtId="0" fontId="3" fillId="60" borderId="30" xfId="0" applyFont="1" applyFill="1" applyBorder="1" applyAlignment="1">
      <alignment horizontal="center" vertical="center"/>
    </xf>
    <xf numFmtId="0" fontId="15" fillId="34" borderId="30" xfId="0" applyFont="1" applyFill="1" applyBorder="1" applyAlignment="1">
      <alignment horizontal="center" vertical="center" wrapText="1"/>
    </xf>
    <xf numFmtId="0" fontId="38" fillId="34" borderId="30" xfId="0" applyFont="1" applyFill="1" applyBorder="1" applyAlignment="1">
      <alignment horizontal="center" vertical="center"/>
    </xf>
    <xf numFmtId="0" fontId="36" fillId="34" borderId="30" xfId="0" applyFont="1" applyFill="1" applyBorder="1" applyAlignment="1">
      <alignment horizontal="center"/>
    </xf>
    <xf numFmtId="0" fontId="38" fillId="34" borderId="30" xfId="0" applyFont="1" applyFill="1" applyBorder="1" applyAlignment="1">
      <alignment horizontal="center"/>
    </xf>
    <xf numFmtId="0" fontId="50" fillId="34" borderId="30" xfId="0" applyFont="1" applyFill="1" applyBorder="1" applyAlignment="1">
      <alignment horizontal="right"/>
    </xf>
    <xf numFmtId="0" fontId="7" fillId="34" borderId="30" xfId="0" applyFont="1" applyFill="1" applyBorder="1" applyAlignment="1">
      <alignment horizontal="center" vertical="center" wrapText="1"/>
    </xf>
    <xf numFmtId="0" fontId="38" fillId="34" borderId="30" xfId="0" applyFont="1" applyFill="1" applyBorder="1" applyAlignment="1">
      <alignment vertical="center"/>
    </xf>
    <xf numFmtId="0" fontId="24" fillId="56" borderId="30" xfId="0" applyFont="1" applyFill="1" applyBorder="1" applyAlignment="1">
      <alignment horizontal="center"/>
    </xf>
    <xf numFmtId="0" fontId="38" fillId="34" borderId="30" xfId="0" applyFont="1" applyFill="1" applyBorder="1" applyAlignment="1">
      <alignment horizontal="left" wrapText="1"/>
    </xf>
    <xf numFmtId="0" fontId="3" fillId="25" borderId="30" xfId="0" applyFont="1" applyFill="1" applyBorder="1" applyAlignment="1">
      <alignment horizontal="center" vertical="center" wrapText="1"/>
    </xf>
    <xf numFmtId="0" fontId="53" fillId="2" borderId="46" xfId="0" applyFont="1" applyFill="1" applyBorder="1" applyAlignment="1">
      <alignment horizontal="left" vertical="center" wrapText="1"/>
    </xf>
    <xf numFmtId="0" fontId="3" fillId="34" borderId="30" xfId="0" applyFont="1" applyFill="1" applyBorder="1" applyAlignment="1">
      <alignment horizontal="left" wrapText="1"/>
    </xf>
    <xf numFmtId="0" fontId="67" fillId="56" borderId="30" xfId="0" applyFont="1" applyFill="1" applyBorder="1" applyAlignment="1">
      <alignment horizontal="right" vertical="center" wrapText="1"/>
    </xf>
    <xf numFmtId="0" fontId="67" fillId="56" borderId="30" xfId="0" applyFont="1" applyFill="1" applyBorder="1" applyAlignment="1">
      <alignment horizontal="center" vertical="center" wrapText="1"/>
    </xf>
    <xf numFmtId="0" fontId="53" fillId="17" borderId="1" xfId="0" applyFont="1" applyFill="1" applyBorder="1" applyAlignment="1">
      <alignment horizontal="center" vertical="center"/>
    </xf>
    <xf numFmtId="0" fontId="3" fillId="26" borderId="30" xfId="0" applyFont="1" applyFill="1" applyBorder="1" applyAlignment="1">
      <alignment horizontal="center" vertical="center"/>
    </xf>
    <xf numFmtId="0" fontId="69" fillId="17" borderId="1" xfId="0" applyFont="1" applyFill="1" applyBorder="1" applyAlignment="1">
      <alignment horizontal="center" vertical="center"/>
    </xf>
    <xf numFmtId="0" fontId="20" fillId="54" borderId="30" xfId="0" applyFont="1" applyFill="1" applyBorder="1" applyAlignment="1">
      <alignment horizontal="center"/>
    </xf>
    <xf numFmtId="0" fontId="7" fillId="48" borderId="30" xfId="0" applyFont="1" applyFill="1" applyBorder="1"/>
    <xf numFmtId="0" fontId="7" fillId="48" borderId="30" xfId="0" applyFont="1" applyFill="1" applyBorder="1" applyAlignment="1">
      <alignment horizontal="center" vertical="center"/>
    </xf>
    <xf numFmtId="0" fontId="7" fillId="49" borderId="30" xfId="0" applyFont="1" applyFill="1" applyBorder="1" applyAlignment="1">
      <alignment horizontal="center" vertical="center"/>
    </xf>
    <xf numFmtId="0" fontId="7" fillId="49" borderId="30" xfId="0" applyFont="1" applyFill="1" applyBorder="1"/>
    <xf numFmtId="0" fontId="7" fillId="54" borderId="30" xfId="0" applyFont="1" applyFill="1" applyBorder="1" applyAlignment="1">
      <alignment horizontal="center"/>
    </xf>
    <xf numFmtId="0" fontId="67" fillId="56" borderId="58" xfId="0" applyFont="1" applyFill="1" applyBorder="1" applyAlignment="1">
      <alignment horizontal="right"/>
    </xf>
    <xf numFmtId="0" fontId="67" fillId="56" borderId="58" xfId="0" applyFont="1" applyFill="1" applyBorder="1" applyAlignment="1">
      <alignment horizontal="center" vertical="center"/>
    </xf>
    <xf numFmtId="0" fontId="7" fillId="57" borderId="30" xfId="0" applyFont="1" applyFill="1" applyBorder="1" applyAlignment="1">
      <alignment horizontal="center" vertical="center"/>
    </xf>
    <xf numFmtId="0" fontId="36" fillId="58" borderId="30" xfId="0" applyFont="1" applyFill="1" applyBorder="1" applyAlignment="1">
      <alignment horizontal="center" vertical="center"/>
    </xf>
    <xf numFmtId="0" fontId="19" fillId="58" borderId="30" xfId="0" applyFont="1" applyFill="1" applyBorder="1"/>
    <xf numFmtId="0" fontId="19" fillId="19" borderId="30" xfId="0" applyFont="1" applyFill="1" applyBorder="1"/>
    <xf numFmtId="0" fontId="36" fillId="19" borderId="30" xfId="0" applyFont="1" applyFill="1" applyBorder="1" applyAlignment="1">
      <alignment horizontal="center" vertical="center"/>
    </xf>
    <xf numFmtId="0" fontId="15" fillId="59" borderId="30" xfId="0" applyFont="1" applyFill="1" applyBorder="1" applyAlignment="1">
      <alignment horizontal="right"/>
    </xf>
    <xf numFmtId="0" fontId="38" fillId="59" borderId="30" xfId="0" applyFont="1" applyFill="1" applyBorder="1" applyAlignment="1">
      <alignment horizontal="center" vertical="center"/>
    </xf>
    <xf numFmtId="0" fontId="36" fillId="17" borderId="1" xfId="0" applyFont="1" applyFill="1" applyBorder="1" applyAlignment="1">
      <alignment horizontal="center" vertical="center"/>
    </xf>
    <xf numFmtId="0" fontId="53" fillId="2" borderId="82" xfId="0" applyFont="1" applyFill="1" applyBorder="1" applyAlignment="1">
      <alignment horizontal="center" vertical="center" wrapText="1"/>
    </xf>
    <xf numFmtId="0" fontId="2" fillId="0" borderId="83" xfId="0" applyFont="1" applyBorder="1"/>
    <xf numFmtId="0" fontId="2" fillId="0" borderId="84" xfId="0" applyFont="1" applyBorder="1"/>
    <xf numFmtId="0" fontId="70" fillId="2" borderId="85" xfId="0" applyFont="1" applyFill="1" applyBorder="1" applyAlignment="1">
      <alignment horizontal="center" vertical="center" wrapText="1"/>
    </xf>
    <xf numFmtId="0" fontId="2" fillId="0" borderId="86" xfId="0" applyFont="1" applyBorder="1"/>
    <xf numFmtId="0" fontId="2" fillId="0" borderId="87" xfId="0" applyFont="1" applyBorder="1"/>
    <xf numFmtId="0" fontId="71" fillId="0" borderId="30" xfId="0" applyFont="1" applyBorder="1" applyAlignment="1">
      <alignment horizontal="center" vertical="center"/>
    </xf>
    <xf numFmtId="0" fontId="7" fillId="47" borderId="30" xfId="0" applyFont="1" applyFill="1" applyBorder="1" applyAlignment="1">
      <alignment horizontal="center" vertical="center"/>
    </xf>
    <xf numFmtId="0" fontId="19" fillId="34" borderId="30" xfId="0" applyFont="1" applyFill="1" applyBorder="1" applyAlignment="1">
      <alignment horizontal="center" vertical="center"/>
    </xf>
    <xf numFmtId="0" fontId="7" fillId="23" borderId="30" xfId="0" applyFont="1" applyFill="1" applyBorder="1" applyAlignment="1">
      <alignment horizontal="center"/>
    </xf>
    <xf numFmtId="0" fontId="7" fillId="13" borderId="30" xfId="0" applyFont="1" applyFill="1" applyBorder="1" applyAlignment="1">
      <alignment horizontal="center"/>
    </xf>
    <xf numFmtId="0" fontId="7" fillId="28" borderId="30" xfId="0" applyFont="1" applyFill="1" applyBorder="1" applyAlignment="1">
      <alignment horizontal="center" vertical="center"/>
    </xf>
    <xf numFmtId="0" fontId="7" fillId="48" borderId="30" xfId="0" applyFont="1" applyFill="1" applyBorder="1" applyAlignment="1">
      <alignment horizontal="center"/>
    </xf>
    <xf numFmtId="0" fontId="7" fillId="37" borderId="30" xfId="0" applyFont="1" applyFill="1" applyBorder="1" applyAlignment="1">
      <alignment horizontal="center"/>
    </xf>
    <xf numFmtId="0" fontId="7" fillId="34" borderId="30" xfId="0" applyFont="1" applyFill="1" applyBorder="1" applyAlignment="1">
      <alignment horizontal="center" vertical="top"/>
    </xf>
    <xf numFmtId="0" fontId="7" fillId="47" borderId="30" xfId="0" applyFont="1" applyFill="1" applyBorder="1"/>
    <xf numFmtId="0" fontId="19" fillId="34" borderId="30" xfId="0" applyFont="1" applyFill="1" applyBorder="1"/>
    <xf numFmtId="0" fontId="30" fillId="47" borderId="30" xfId="0" applyFont="1" applyFill="1" applyBorder="1" applyAlignment="1">
      <alignment horizontal="center" vertical="center" wrapText="1"/>
    </xf>
    <xf numFmtId="0" fontId="30" fillId="48" borderId="30" xfId="0" applyFont="1" applyFill="1" applyBorder="1" applyAlignment="1">
      <alignment horizontal="center" vertical="center" wrapText="1"/>
    </xf>
    <xf numFmtId="0" fontId="15" fillId="34" borderId="30" xfId="0" applyFont="1" applyFill="1" applyBorder="1" applyAlignment="1">
      <alignment horizontal="left" vertical="center"/>
    </xf>
    <xf numFmtId="0" fontId="8" fillId="34" borderId="30" xfId="0" applyFont="1" applyFill="1" applyBorder="1" applyAlignment="1">
      <alignment horizontal="center" vertical="center"/>
    </xf>
    <xf numFmtId="0" fontId="30" fillId="34" borderId="30" xfId="0" applyFont="1" applyFill="1" applyBorder="1" applyAlignment="1">
      <alignment horizontal="center" vertical="center"/>
    </xf>
    <xf numFmtId="0" fontId="22" fillId="34" borderId="30" xfId="0" applyFont="1" applyFill="1" applyBorder="1" applyAlignment="1">
      <alignment horizontal="center" vertical="center" wrapText="1"/>
    </xf>
    <xf numFmtId="0" fontId="30" fillId="37" borderId="30" xfId="0" applyFont="1" applyFill="1" applyBorder="1" applyAlignment="1">
      <alignment horizontal="center" vertical="center" wrapText="1"/>
    </xf>
    <xf numFmtId="0" fontId="3" fillId="64" borderId="30" xfId="0" applyFont="1" applyFill="1" applyBorder="1" applyAlignment="1">
      <alignment horizontal="center" vertical="center"/>
    </xf>
    <xf numFmtId="0" fontId="7" fillId="65" borderId="30" xfId="0" applyFont="1" applyFill="1" applyBorder="1" applyAlignment="1">
      <alignment horizontal="center" vertical="center"/>
    </xf>
    <xf numFmtId="0" fontId="3" fillId="65" borderId="30" xfId="0" applyFont="1" applyFill="1" applyBorder="1" applyAlignment="1">
      <alignment horizontal="center" vertical="center"/>
    </xf>
    <xf numFmtId="0" fontId="3" fillId="47" borderId="30" xfId="0" applyFont="1" applyFill="1" applyBorder="1" applyAlignment="1">
      <alignment horizontal="center"/>
    </xf>
    <xf numFmtId="0" fontId="3" fillId="34" borderId="30" xfId="0" applyFont="1" applyFill="1" applyBorder="1" applyAlignment="1">
      <alignment horizontal="right" vertical="top"/>
    </xf>
    <xf numFmtId="0" fontId="3" fillId="52" borderId="30" xfId="0" applyFont="1" applyFill="1" applyBorder="1" applyAlignment="1">
      <alignment horizontal="center"/>
    </xf>
    <xf numFmtId="0" fontId="30" fillId="23" borderId="30" xfId="0" applyFont="1" applyFill="1" applyBorder="1" applyAlignment="1">
      <alignment horizontal="center" vertical="center" wrapText="1"/>
    </xf>
    <xf numFmtId="0" fontId="30" fillId="13" borderId="30" xfId="0" applyFont="1" applyFill="1" applyBorder="1" applyAlignment="1">
      <alignment horizontal="center" vertical="center" wrapText="1"/>
    </xf>
    <xf numFmtId="0" fontId="30" fillId="28" borderId="30" xfId="0" applyFont="1" applyFill="1" applyBorder="1" applyAlignment="1">
      <alignment horizontal="center" vertical="center" wrapText="1"/>
    </xf>
    <xf numFmtId="0" fontId="3" fillId="63" borderId="30" xfId="0" applyFont="1" applyFill="1" applyBorder="1" applyAlignment="1">
      <alignment horizontal="center" vertical="center"/>
    </xf>
    <xf numFmtId="0" fontId="3" fillId="26" borderId="30" xfId="0" applyFont="1" applyFill="1" applyBorder="1" applyAlignment="1">
      <alignment horizontal="center"/>
    </xf>
    <xf numFmtId="0" fontId="3" fillId="26" borderId="30" xfId="0" applyFont="1" applyFill="1" applyBorder="1"/>
    <xf numFmtId="0" fontId="7" fillId="37" borderId="30" xfId="0" applyFont="1" applyFill="1" applyBorder="1"/>
    <xf numFmtId="0" fontId="7" fillId="37" borderId="30" xfId="0" applyFont="1" applyFill="1" applyBorder="1" applyAlignment="1">
      <alignment horizontal="center" vertical="center"/>
    </xf>
    <xf numFmtId="0" fontId="74" fillId="34" borderId="88" xfId="0" applyFont="1" applyFill="1" applyBorder="1" applyAlignment="1">
      <alignment horizontal="left" vertical="center"/>
    </xf>
    <xf numFmtId="0" fontId="2" fillId="0" borderId="89" xfId="0" applyFont="1" applyBorder="1"/>
    <xf numFmtId="0" fontId="2" fillId="0" borderId="90" xfId="0" applyFont="1" applyBorder="1"/>
    <xf numFmtId="0" fontId="8" fillId="34" borderId="91" xfId="0" applyFont="1" applyFill="1" applyBorder="1" applyAlignment="1">
      <alignment horizontal="center" vertical="center"/>
    </xf>
    <xf numFmtId="0" fontId="2" fillId="0" borderId="92" xfId="0" applyFont="1" applyBorder="1"/>
    <xf numFmtId="0" fontId="7" fillId="13" borderId="30" xfId="0" applyFont="1" applyFill="1" applyBorder="1" applyAlignment="1">
      <alignment horizontal="center" vertical="center"/>
    </xf>
    <xf numFmtId="0" fontId="7" fillId="0" borderId="91" xfId="0" applyFont="1" applyBorder="1" applyAlignment="1">
      <alignment horizontal="left" vertical="top"/>
    </xf>
    <xf numFmtId="14" fontId="7" fillId="23" borderId="30" xfId="0" applyNumberFormat="1" applyFont="1" applyFill="1" applyBorder="1" applyAlignment="1">
      <alignment horizontal="right"/>
    </xf>
    <xf numFmtId="0" fontId="3" fillId="12" borderId="100" xfId="0" applyFont="1" applyFill="1" applyBorder="1" applyAlignment="1">
      <alignment horizontal="center" vertical="center"/>
    </xf>
    <xf numFmtId="0" fontId="2" fillId="0" borderId="98" xfId="0" applyFont="1" applyBorder="1"/>
    <xf numFmtId="0" fontId="2" fillId="0" borderId="99" xfId="0" applyFont="1" applyBorder="1"/>
    <xf numFmtId="0" fontId="3" fillId="64" borderId="100" xfId="0" applyFont="1" applyFill="1" applyBorder="1" applyAlignment="1">
      <alignment horizontal="center" vertical="center"/>
    </xf>
    <xf numFmtId="0" fontId="3" fillId="63" borderId="100" xfId="0" applyFont="1" applyFill="1" applyBorder="1" applyAlignment="1">
      <alignment horizontal="center" vertical="center"/>
    </xf>
    <xf numFmtId="0" fontId="3" fillId="47" borderId="100" xfId="0" applyFont="1" applyFill="1" applyBorder="1" applyAlignment="1">
      <alignment horizontal="center" vertical="center"/>
    </xf>
    <xf numFmtId="0" fontId="28" fillId="28" borderId="30" xfId="0" applyFont="1" applyFill="1" applyBorder="1" applyAlignment="1">
      <alignment horizontal="center" vertical="center"/>
    </xf>
    <xf numFmtId="0" fontId="7" fillId="23" borderId="95" xfId="0" applyFont="1" applyFill="1" applyBorder="1"/>
    <xf numFmtId="0" fontId="7" fillId="23" borderId="43" xfId="0" applyFont="1" applyFill="1" applyBorder="1" applyAlignment="1">
      <alignment horizontal="center" vertical="center"/>
    </xf>
    <xf numFmtId="0" fontId="7" fillId="23" borderId="43" xfId="0" applyFont="1" applyFill="1" applyBorder="1"/>
    <xf numFmtId="0" fontId="19" fillId="34" borderId="30" xfId="0" applyFont="1" applyFill="1" applyBorder="1" applyAlignment="1">
      <alignment horizontal="center"/>
    </xf>
    <xf numFmtId="0" fontId="28" fillId="23" borderId="30" xfId="0" applyFont="1" applyFill="1" applyBorder="1" applyAlignment="1">
      <alignment horizontal="center" vertical="center"/>
    </xf>
    <xf numFmtId="0" fontId="3" fillId="47" borderId="100" xfId="0" applyFont="1" applyFill="1" applyBorder="1" applyAlignment="1">
      <alignment horizontal="center"/>
    </xf>
    <xf numFmtId="0" fontId="2" fillId="0" borderId="101" xfId="0" applyFont="1" applyBorder="1"/>
    <xf numFmtId="0" fontId="8" fillId="34" borderId="97" xfId="0" applyFont="1" applyFill="1" applyBorder="1" applyAlignment="1">
      <alignment horizontal="right"/>
    </xf>
    <xf numFmtId="0" fontId="3" fillId="52" borderId="100" xfId="0" applyFont="1" applyFill="1" applyBorder="1" applyAlignment="1">
      <alignment horizontal="center"/>
    </xf>
    <xf numFmtId="0" fontId="3" fillId="26" borderId="100" xfId="0" applyFont="1" applyFill="1" applyBorder="1" applyAlignment="1">
      <alignment horizontal="center"/>
    </xf>
    <xf numFmtId="0" fontId="3" fillId="34" borderId="100" xfId="0" applyFont="1" applyFill="1" applyBorder="1" applyAlignment="1">
      <alignment horizontal="center" vertical="center"/>
    </xf>
    <xf numFmtId="0" fontId="3" fillId="26" borderId="100" xfId="0" applyFont="1" applyFill="1" applyBorder="1" applyAlignment="1">
      <alignment horizontal="center" vertical="center"/>
    </xf>
    <xf numFmtId="0" fontId="55" fillId="2" borderId="1" xfId="0" applyFont="1" applyFill="1" applyBorder="1"/>
    <xf numFmtId="0" fontId="64" fillId="2" borderId="93" xfId="0" applyFont="1" applyFill="1" applyBorder="1" applyAlignment="1">
      <alignment vertical="center" textRotation="90" wrapText="1"/>
    </xf>
    <xf numFmtId="0" fontId="2" fillId="0" borderId="94" xfId="0" applyFont="1" applyBorder="1"/>
    <xf numFmtId="0" fontId="2" fillId="0" borderId="96" xfId="0" applyFont="1" applyBorder="1"/>
    <xf numFmtId="0" fontId="3" fillId="12" borderId="30" xfId="0" applyFont="1" applyFill="1" applyBorder="1"/>
    <xf numFmtId="0" fontId="3" fillId="64" borderId="30" xfId="0" applyFont="1" applyFill="1" applyBorder="1"/>
    <xf numFmtId="0" fontId="3" fillId="63" borderId="30" xfId="0" applyFont="1" applyFill="1" applyBorder="1"/>
    <xf numFmtId="0" fontId="3" fillId="47" borderId="30" xfId="0" applyFont="1" applyFill="1" applyBorder="1"/>
    <xf numFmtId="0" fontId="3" fillId="34" borderId="30" xfId="0" applyFont="1" applyFill="1" applyBorder="1"/>
    <xf numFmtId="0" fontId="13" fillId="23" borderId="46" xfId="0" applyFont="1" applyFill="1" applyBorder="1" applyAlignment="1">
      <alignment vertical="center" wrapText="1"/>
    </xf>
    <xf numFmtId="0" fontId="13" fillId="23" borderId="43" xfId="0" applyFont="1" applyFill="1" applyBorder="1" applyAlignment="1">
      <alignment vertical="center" wrapText="1"/>
    </xf>
    <xf numFmtId="0" fontId="7" fillId="70" borderId="30" xfId="0" applyFont="1" applyFill="1" applyBorder="1" applyAlignment="1">
      <alignment horizontal="center" vertical="center"/>
    </xf>
    <xf numFmtId="0" fontId="92" fillId="70" borderId="30" xfId="0" applyFont="1" applyFill="1" applyBorder="1"/>
    <xf numFmtId="0" fontId="92" fillId="23" borderId="30" xfId="0" applyFont="1" applyFill="1" applyBorder="1"/>
    <xf numFmtId="0" fontId="13" fillId="0" borderId="30" xfId="0" applyFont="1" applyBorder="1" applyAlignment="1">
      <alignment horizontal="center" vertical="center" wrapText="1"/>
    </xf>
    <xf numFmtId="0" fontId="20" fillId="11" borderId="30" xfId="0" applyFont="1" applyFill="1" applyBorder="1" applyAlignment="1">
      <alignment horizontal="center" vertical="center"/>
    </xf>
    <xf numFmtId="0" fontId="46" fillId="69" borderId="48" xfId="0" applyFont="1" applyFill="1" applyBorder="1" applyAlignment="1">
      <alignment horizontal="center" vertical="center"/>
    </xf>
    <xf numFmtId="0" fontId="52" fillId="2" borderId="30" xfId="0" applyFont="1" applyFill="1" applyBorder="1" applyAlignment="1">
      <alignment horizontal="left" vertical="center" wrapText="1"/>
    </xf>
    <xf numFmtId="0" fontId="94" fillId="2" borderId="102" xfId="0" applyFont="1" applyFill="1" applyBorder="1" applyAlignment="1">
      <alignment horizontal="left" vertical="center" wrapText="1"/>
    </xf>
    <xf numFmtId="0" fontId="2" fillId="0" borderId="103" xfId="0" applyFont="1" applyBorder="1"/>
    <xf numFmtId="0" fontId="2" fillId="0" borderId="104" xfId="0" applyFont="1" applyBorder="1"/>
    <xf numFmtId="0" fontId="52" fillId="17" borderId="30" xfId="0" applyFont="1" applyFill="1" applyBorder="1" applyAlignment="1">
      <alignment horizontal="center" vertical="center" wrapText="1"/>
    </xf>
    <xf numFmtId="0" fontId="86" fillId="23" borderId="30" xfId="0" applyFont="1" applyFill="1" applyBorder="1" applyAlignment="1">
      <alignment horizontal="center" vertical="center"/>
    </xf>
    <xf numFmtId="0" fontId="52" fillId="71" borderId="30" xfId="0" applyFont="1" applyFill="1" applyBorder="1" applyAlignment="1">
      <alignment horizontal="center" vertical="center" wrapText="1"/>
    </xf>
    <xf numFmtId="0" fontId="20" fillId="72" borderId="30" xfId="0" applyFont="1" applyFill="1" applyBorder="1" applyAlignment="1">
      <alignment horizontal="center" vertical="center" wrapText="1"/>
    </xf>
    <xf numFmtId="0" fontId="52" fillId="27" borderId="30" xfId="0" applyFont="1" applyFill="1" applyBorder="1" applyAlignment="1">
      <alignment horizontal="center" vertical="center" wrapText="1"/>
    </xf>
    <xf numFmtId="0" fontId="20" fillId="20" borderId="30" xfId="0" applyFont="1" applyFill="1" applyBorder="1" applyAlignment="1">
      <alignment horizontal="center" vertical="center" wrapText="1"/>
    </xf>
    <xf numFmtId="0" fontId="20" fillId="52" borderId="30" xfId="0" applyFont="1" applyFill="1" applyBorder="1" applyAlignment="1">
      <alignment horizontal="center" vertical="center" wrapText="1"/>
    </xf>
    <xf numFmtId="0" fontId="20" fillId="63" borderId="30" xfId="0" applyFont="1" applyFill="1" applyBorder="1" applyAlignment="1">
      <alignment horizontal="center" vertical="center" wrapText="1"/>
    </xf>
    <xf numFmtId="0" fontId="20" fillId="51" borderId="30" xfId="0" applyFont="1" applyFill="1" applyBorder="1" applyAlignment="1">
      <alignment horizontal="center" vertical="center" wrapText="1"/>
    </xf>
    <xf numFmtId="0" fontId="13" fillId="23" borderId="30" xfId="0" applyFont="1" applyFill="1" applyBorder="1" applyAlignment="1">
      <alignment vertical="center" wrapText="1"/>
    </xf>
    <xf numFmtId="0" fontId="86" fillId="34" borderId="30" xfId="0" applyFont="1" applyFill="1" applyBorder="1" applyAlignment="1">
      <alignment horizontal="center"/>
    </xf>
    <xf numFmtId="0" fontId="86" fillId="23" borderId="30" xfId="0" applyFont="1" applyFill="1" applyBorder="1" applyAlignment="1">
      <alignment horizontal="center"/>
    </xf>
    <xf numFmtId="0" fontId="20" fillId="2" borderId="58" xfId="0" applyFont="1" applyFill="1" applyBorder="1" applyAlignment="1">
      <alignment horizontal="center" vertical="center"/>
    </xf>
    <xf numFmtId="0" fontId="20" fillId="2" borderId="48" xfId="0" applyFont="1" applyFill="1" applyBorder="1" applyAlignment="1">
      <alignment horizontal="center" vertical="center"/>
    </xf>
    <xf numFmtId="0" fontId="13" fillId="68" borderId="30" xfId="0" applyFont="1" applyFill="1" applyBorder="1" applyAlignment="1">
      <alignment horizontal="center" vertical="center" wrapText="1"/>
    </xf>
    <xf numFmtId="0" fontId="13" fillId="15" borderId="30" xfId="0" applyFont="1" applyFill="1" applyBorder="1" applyAlignment="1">
      <alignment horizontal="left" vertical="center" wrapText="1"/>
    </xf>
    <xf numFmtId="0" fontId="86" fillId="15" borderId="30" xfId="0" applyFont="1" applyFill="1" applyBorder="1" applyAlignment="1">
      <alignment horizontal="center"/>
    </xf>
    <xf numFmtId="0" fontId="86" fillId="16" borderId="30" xfId="0" applyFont="1" applyFill="1" applyBorder="1" applyAlignment="1">
      <alignment horizontal="center"/>
    </xf>
    <xf numFmtId="0" fontId="55" fillId="54" borderId="58" xfId="0" applyFont="1" applyFill="1" applyBorder="1" applyAlignment="1">
      <alignment vertical="center" wrapText="1"/>
    </xf>
    <xf numFmtId="0" fontId="55" fillId="55" borderId="58" xfId="0" applyFont="1" applyFill="1" applyBorder="1" applyAlignment="1">
      <alignment vertical="center" wrapText="1"/>
    </xf>
    <xf numFmtId="0" fontId="8" fillId="25" borderId="30" xfId="0" applyFont="1" applyFill="1" applyBorder="1" applyAlignment="1">
      <alignment horizontal="center"/>
    </xf>
    <xf numFmtId="49" fontId="7" fillId="25" borderId="30" xfId="0" applyNumberFormat="1" applyFont="1" applyFill="1" applyBorder="1" applyAlignment="1">
      <alignment horizontal="left"/>
    </xf>
    <xf numFmtId="0" fontId="8" fillId="0" borderId="0" xfId="0" applyFont="1" applyAlignment="1">
      <alignment horizontal="center" vertical="center"/>
    </xf>
    <xf numFmtId="0" fontId="8" fillId="23" borderId="30" xfId="0" applyFont="1" applyFill="1" applyBorder="1" applyAlignment="1">
      <alignment horizontal="center" vertical="center"/>
    </xf>
    <xf numFmtId="0" fontId="81" fillId="2" borderId="30" xfId="0" applyFont="1" applyFill="1" applyBorder="1" applyAlignment="1">
      <alignment horizontal="center" vertical="center" wrapText="1"/>
    </xf>
    <xf numFmtId="0" fontId="84" fillId="0" borderId="41" xfId="0" applyFont="1" applyBorder="1" applyAlignment="1">
      <alignment horizontal="center" vertical="center" wrapText="1"/>
    </xf>
    <xf numFmtId="0" fontId="54" fillId="2" borderId="30" xfId="0" applyFont="1" applyFill="1" applyBorder="1" applyAlignment="1">
      <alignment horizontal="center" vertical="center"/>
    </xf>
    <xf numFmtId="0" fontId="55" fillId="2" borderId="30" xfId="0" applyFont="1" applyFill="1" applyBorder="1"/>
    <xf numFmtId="0" fontId="91" fillId="23" borderId="30" xfId="0" applyFont="1" applyFill="1" applyBorder="1" applyAlignment="1">
      <alignment horizontal="center" vertical="center"/>
    </xf>
    <xf numFmtId="0" fontId="7" fillId="0" borderId="34" xfId="0" applyFont="1" applyBorder="1" applyAlignment="1">
      <alignment vertical="center"/>
    </xf>
    <xf numFmtId="0" fontId="25" fillId="0" borderId="30" xfId="0" applyFont="1" applyBorder="1" applyAlignment="1">
      <alignment vertical="center"/>
    </xf>
    <xf numFmtId="0" fontId="33" fillId="25" borderId="30" xfId="0" applyFont="1" applyFill="1" applyBorder="1" applyAlignment="1">
      <alignment vertical="center" wrapText="1"/>
    </xf>
    <xf numFmtId="0" fontId="79" fillId="32" borderId="11" xfId="0" applyFont="1" applyFill="1" applyBorder="1" applyAlignment="1">
      <alignment horizontal="left" vertical="center"/>
    </xf>
    <xf numFmtId="0" fontId="80" fillId="2" borderId="1" xfId="0" applyFont="1" applyFill="1" applyBorder="1" applyAlignment="1">
      <alignment vertical="top"/>
    </xf>
    <xf numFmtId="0" fontId="55" fillId="54" borderId="30" xfId="0" applyFont="1" applyFill="1" applyBorder="1" applyAlignment="1">
      <alignment horizontal="center"/>
    </xf>
    <xf numFmtId="0" fontId="7" fillId="0" borderId="0" xfId="0" applyFont="1"/>
    <xf numFmtId="0" fontId="65" fillId="2" borderId="1" xfId="0" applyFont="1" applyFill="1" applyBorder="1" applyAlignment="1">
      <alignment horizontal="left" vertical="center"/>
    </xf>
    <xf numFmtId="0" fontId="81" fillId="0" borderId="0" xfId="0" applyFont="1" applyAlignment="1">
      <alignment horizontal="center" vertical="center" wrapText="1"/>
    </xf>
    <xf numFmtId="0" fontId="46" fillId="0" borderId="0" xfId="0" applyFont="1" applyAlignment="1">
      <alignment horizontal="center" vertical="center" wrapText="1"/>
    </xf>
    <xf numFmtId="0" fontId="46" fillId="25" borderId="30" xfId="0" applyFont="1" applyFill="1" applyBorder="1" applyAlignment="1">
      <alignment horizontal="center" vertical="center" wrapText="1"/>
    </xf>
    <xf numFmtId="0" fontId="83" fillId="25" borderId="30" xfId="0" applyFont="1" applyFill="1" applyBorder="1" applyAlignment="1">
      <alignment horizontal="center" vertical="center" wrapText="1"/>
    </xf>
    <xf numFmtId="0" fontId="30" fillId="23" borderId="30" xfId="0" applyFont="1" applyFill="1" applyBorder="1" applyAlignment="1">
      <alignment horizontal="center" vertical="center"/>
    </xf>
    <xf numFmtId="0" fontId="44" fillId="34" borderId="30" xfId="0" applyFont="1" applyFill="1" applyBorder="1" applyAlignment="1">
      <alignment horizontal="center" vertical="center"/>
    </xf>
    <xf numFmtId="0" fontId="30" fillId="13" borderId="30" xfId="0" applyFont="1" applyFill="1" applyBorder="1" applyAlignment="1">
      <alignment horizontal="center" vertical="center"/>
    </xf>
    <xf numFmtId="0" fontId="30" fillId="26" borderId="30" xfId="0" applyFont="1" applyFill="1" applyBorder="1" applyAlignment="1">
      <alignment horizontal="center" vertical="center"/>
    </xf>
    <xf numFmtId="0" fontId="55" fillId="2" borderId="1" xfId="0" applyFont="1" applyFill="1" applyBorder="1" applyAlignment="1">
      <alignment horizontal="left"/>
    </xf>
    <xf numFmtId="0" fontId="13" fillId="13" borderId="30" xfId="0" applyFont="1" applyFill="1" applyBorder="1" applyAlignment="1">
      <alignment vertical="center" wrapText="1"/>
    </xf>
    <xf numFmtId="0" fontId="13" fillId="26" borderId="30" xfId="0" applyFont="1" applyFill="1" applyBorder="1" applyAlignment="1">
      <alignment vertical="center" wrapText="1"/>
    </xf>
    <xf numFmtId="0" fontId="46" fillId="25" borderId="1" xfId="0" applyFont="1" applyFill="1" applyBorder="1"/>
    <xf numFmtId="0" fontId="8" fillId="23" borderId="1" xfId="0" applyFont="1" applyFill="1" applyBorder="1" applyAlignment="1">
      <alignment vertical="top"/>
    </xf>
    <xf numFmtId="0" fontId="57" fillId="23" borderId="1" xfId="0" applyFont="1" applyFill="1" applyBorder="1" applyAlignment="1">
      <alignment vertical="top"/>
    </xf>
    <xf numFmtId="0" fontId="8" fillId="25" borderId="1" xfId="0" applyFont="1" applyFill="1" applyBorder="1" applyAlignment="1">
      <alignment vertical="top"/>
    </xf>
    <xf numFmtId="0" fontId="7" fillId="23" borderId="1" xfId="0" applyFont="1" applyFill="1" applyBorder="1" applyAlignment="1">
      <alignment vertical="top"/>
    </xf>
    <xf numFmtId="0" fontId="7" fillId="25" borderId="1" xfId="0" applyFont="1" applyFill="1" applyBorder="1" applyAlignment="1">
      <alignment vertical="top"/>
    </xf>
    <xf numFmtId="0" fontId="30" fillId="67" borderId="30" xfId="0" applyFont="1" applyFill="1" applyBorder="1" applyAlignment="1">
      <alignment horizontal="center" vertical="center"/>
    </xf>
    <xf numFmtId="0" fontId="55" fillId="2" borderId="23" xfId="0" applyFont="1" applyFill="1" applyBorder="1"/>
    <xf numFmtId="0" fontId="30" fillId="25" borderId="30" xfId="0" applyFont="1" applyFill="1" applyBorder="1" applyAlignment="1">
      <alignment horizontal="center" vertical="center"/>
    </xf>
    <xf numFmtId="0" fontId="90" fillId="23" borderId="30" xfId="0" applyFont="1" applyFill="1" applyBorder="1"/>
    <xf numFmtId="0" fontId="13" fillId="25" borderId="30" xfId="0" applyFont="1" applyFill="1" applyBorder="1"/>
    <xf numFmtId="0" fontId="13" fillId="13" borderId="30" xfId="0" applyFont="1" applyFill="1" applyBorder="1"/>
    <xf numFmtId="0" fontId="20" fillId="2" borderId="1" xfId="0" applyFont="1" applyFill="1" applyBorder="1" applyAlignment="1">
      <alignment horizontal="center" vertical="center"/>
    </xf>
    <xf numFmtId="0" fontId="20" fillId="17" borderId="1" xfId="0" applyFont="1" applyFill="1" applyBorder="1" applyAlignment="1">
      <alignment horizontal="center" vertical="center"/>
    </xf>
    <xf numFmtId="0" fontId="8" fillId="25" borderId="30" xfId="0" applyFont="1" applyFill="1" applyBorder="1" applyAlignment="1">
      <alignment horizontal="center" vertical="center"/>
    </xf>
    <xf numFmtId="0" fontId="8" fillId="68" borderId="63" xfId="0" applyFont="1" applyFill="1" applyBorder="1" applyAlignment="1">
      <alignment horizontal="center" vertical="center"/>
    </xf>
    <xf numFmtId="0" fontId="46" fillId="69" borderId="30" xfId="0" applyFont="1" applyFill="1" applyBorder="1" applyAlignment="1">
      <alignment horizontal="center" vertical="center"/>
    </xf>
    <xf numFmtId="0" fontId="13" fillId="0" borderId="31" xfId="0" applyFont="1" applyBorder="1" applyAlignment="1">
      <alignment horizontal="center" vertical="center" wrapText="1"/>
    </xf>
    <xf numFmtId="0" fontId="40" fillId="34" borderId="23" xfId="0" applyFont="1" applyFill="1" applyBorder="1" applyAlignment="1">
      <alignment horizontal="center" vertical="center"/>
    </xf>
    <xf numFmtId="0" fontId="92" fillId="23" borderId="30" xfId="0" applyFont="1" applyFill="1" applyBorder="1" applyAlignment="1">
      <alignment horizontal="left" vertical="center"/>
    </xf>
    <xf numFmtId="0" fontId="13" fillId="16" borderId="30" xfId="0" applyFont="1" applyFill="1" applyBorder="1" applyAlignment="1">
      <alignment horizontal="left" vertical="center" wrapText="1"/>
    </xf>
    <xf numFmtId="0" fontId="20" fillId="27" borderId="30" xfId="0" applyFont="1" applyFill="1" applyBorder="1" applyAlignment="1">
      <alignment horizontal="center" vertical="center"/>
    </xf>
    <xf numFmtId="0" fontId="20" fillId="2" borderId="63" xfId="0" applyFont="1" applyFill="1" applyBorder="1" applyAlignment="1">
      <alignment horizontal="center" vertical="center"/>
    </xf>
    <xf numFmtId="0" fontId="20" fillId="54" borderId="58" xfId="0" applyFont="1" applyFill="1" applyBorder="1" applyAlignment="1">
      <alignment horizontal="right"/>
    </xf>
    <xf numFmtId="0" fontId="55" fillId="54" borderId="58" xfId="0" applyFont="1" applyFill="1" applyBorder="1"/>
    <xf numFmtId="0" fontId="7" fillId="2" borderId="1" xfId="0" applyFont="1" applyFill="1" applyBorder="1"/>
    <xf numFmtId="0" fontId="96" fillId="2" borderId="1" xfId="0" applyFont="1" applyFill="1" applyBorder="1" applyAlignment="1">
      <alignment horizontal="left" vertical="center"/>
    </xf>
    <xf numFmtId="0" fontId="20" fillId="17" borderId="30" xfId="0" applyFont="1" applyFill="1" applyBorder="1" applyAlignment="1">
      <alignment horizontal="center" vertical="center" wrapText="1"/>
    </xf>
    <xf numFmtId="0" fontId="7" fillId="12" borderId="30" xfId="0" applyFont="1" applyFill="1" applyBorder="1" applyAlignment="1">
      <alignment horizontal="center" vertical="center"/>
    </xf>
    <xf numFmtId="0" fontId="28" fillId="71" borderId="30" xfId="0" applyFont="1" applyFill="1" applyBorder="1" applyAlignment="1">
      <alignment horizontal="center" vertical="center" wrapText="1"/>
    </xf>
    <xf numFmtId="0" fontId="13" fillId="12" borderId="30" xfId="0" applyFont="1" applyFill="1" applyBorder="1" applyAlignment="1">
      <alignment vertical="center" wrapText="1"/>
    </xf>
    <xf numFmtId="0" fontId="13" fillId="28" borderId="30" xfId="0" applyFont="1" applyFill="1" applyBorder="1" applyAlignment="1">
      <alignment vertical="center" wrapText="1"/>
    </xf>
    <xf numFmtId="0" fontId="9" fillId="71" borderId="30" xfId="0" applyFont="1" applyFill="1" applyBorder="1" applyAlignment="1">
      <alignment horizontal="center" vertical="center" wrapText="1"/>
    </xf>
    <xf numFmtId="0" fontId="9" fillId="72" borderId="30" xfId="0" applyFont="1" applyFill="1" applyBorder="1" applyAlignment="1">
      <alignment horizontal="center" vertical="center" wrapText="1"/>
    </xf>
    <xf numFmtId="0" fontId="9" fillId="17" borderId="30" xfId="0" applyFont="1" applyFill="1" applyBorder="1" applyAlignment="1">
      <alignment horizontal="center" vertical="center" wrapText="1"/>
    </xf>
    <xf numFmtId="0" fontId="4" fillId="28" borderId="30" xfId="0" applyFont="1" applyFill="1" applyBorder="1" applyAlignment="1">
      <alignment vertical="center" wrapText="1"/>
    </xf>
    <xf numFmtId="0" fontId="7" fillId="12" borderId="30" xfId="0" applyFont="1" applyFill="1" applyBorder="1"/>
    <xf numFmtId="0" fontId="20" fillId="24" borderId="63" xfId="0" applyFont="1" applyFill="1" applyBorder="1" applyAlignment="1">
      <alignment horizontal="center" vertical="center"/>
    </xf>
    <xf numFmtId="0" fontId="20" fillId="24" borderId="48" xfId="0" applyFont="1" applyFill="1" applyBorder="1" applyAlignment="1">
      <alignment horizontal="center" vertical="center"/>
    </xf>
    <xf numFmtId="0" fontId="86" fillId="49" borderId="30" xfId="0" applyFont="1" applyFill="1" applyBorder="1" applyAlignment="1">
      <alignment horizontal="center"/>
    </xf>
    <xf numFmtId="0" fontId="7" fillId="23" borderId="1" xfId="0" applyFont="1" applyFill="1" applyBorder="1" applyAlignment="1">
      <alignment horizontal="center" vertical="center"/>
    </xf>
    <xf numFmtId="0" fontId="7" fillId="28" borderId="1" xfId="0" applyFont="1" applyFill="1" applyBorder="1" applyAlignment="1">
      <alignment horizontal="center"/>
    </xf>
    <xf numFmtId="0" fontId="95" fillId="48" borderId="30" xfId="0" applyFont="1" applyFill="1" applyBorder="1" applyAlignment="1">
      <alignment horizontal="center"/>
    </xf>
    <xf numFmtId="0" fontId="95" fillId="49" borderId="30" xfId="0" applyFont="1" applyFill="1" applyBorder="1" applyAlignment="1">
      <alignment horizontal="center"/>
    </xf>
    <xf numFmtId="0" fontId="20" fillId="24" borderId="30" xfId="0" applyFont="1" applyFill="1" applyBorder="1" applyAlignment="1">
      <alignment horizontal="center" vertical="center"/>
    </xf>
    <xf numFmtId="0" fontId="74" fillId="25" borderId="34" xfId="0" applyFont="1" applyFill="1" applyBorder="1" applyAlignment="1">
      <alignment horizontal="center" vertical="center"/>
    </xf>
    <xf numFmtId="0" fontId="8" fillId="31" borderId="63" xfId="0" applyFont="1" applyFill="1" applyBorder="1" applyAlignment="1">
      <alignment horizontal="center" vertical="center"/>
    </xf>
    <xf numFmtId="0" fontId="13" fillId="23" borderId="30" xfId="0" applyFont="1" applyFill="1" applyBorder="1"/>
    <xf numFmtId="0" fontId="77" fillId="54" borderId="30" xfId="0" applyFont="1" applyFill="1" applyBorder="1" applyAlignment="1">
      <alignment horizontal="right"/>
    </xf>
    <xf numFmtId="0" fontId="7" fillId="2" borderId="30" xfId="0" applyFont="1" applyFill="1" applyBorder="1"/>
    <xf numFmtId="0" fontId="7" fillId="2" borderId="30" xfId="0" applyFont="1" applyFill="1" applyBorder="1" applyAlignment="1">
      <alignment horizontal="center"/>
    </xf>
    <xf numFmtId="0" fontId="20" fillId="2" borderId="63" xfId="0" applyFont="1" applyFill="1" applyBorder="1" applyAlignment="1">
      <alignment horizontal="center" vertical="center" wrapText="1"/>
    </xf>
  </cellXfs>
  <cellStyles count="1">
    <cellStyle name="Normal" xfId="0" builtinId="0"/>
  </cellStyles>
  <dxfs count="20">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7F7F7F"/>
          <bgColor rgb="FF7F7F7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L1000"/>
  <sheetViews>
    <sheetView tabSelected="1" topLeftCell="A6" workbookViewId="0">
      <selection activeCell="AA18" sqref="AA18:AL18"/>
    </sheetView>
  </sheetViews>
  <sheetFormatPr defaultColWidth="14.42578125" defaultRowHeight="15" customHeight="1" x14ac:dyDescent="0.25"/>
  <cols>
    <col min="1" max="2" width="5.7109375" customWidth="1"/>
    <col min="3" max="3" width="12.28515625" customWidth="1"/>
    <col min="4" max="38" width="5.7109375" customWidth="1"/>
  </cols>
  <sheetData>
    <row r="1" spans="1:38" ht="45" customHeight="1" x14ac:dyDescent="0.25">
      <c r="A1" s="359" t="s">
        <v>0</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54"/>
    </row>
    <row r="2" spans="1:38" ht="30" customHeight="1" x14ac:dyDescent="0.25">
      <c r="A2" s="360" t="s">
        <v>1</v>
      </c>
      <c r="B2" s="361"/>
      <c r="C2" s="361"/>
      <c r="D2" s="361"/>
      <c r="E2" s="361"/>
      <c r="F2" s="361"/>
      <c r="G2" s="361"/>
      <c r="H2" s="361"/>
      <c r="I2" s="361"/>
      <c r="J2" s="361"/>
      <c r="K2" s="361"/>
      <c r="L2" s="361"/>
      <c r="M2" s="361"/>
      <c r="N2" s="361"/>
      <c r="O2" s="361"/>
      <c r="P2" s="361"/>
      <c r="Q2" s="361"/>
      <c r="R2" s="361"/>
      <c r="S2" s="361"/>
      <c r="T2" s="361"/>
      <c r="U2" s="361"/>
      <c r="V2" s="362"/>
    </row>
    <row r="3" spans="1:38" x14ac:dyDescent="0.25">
      <c r="A3" s="363" t="s">
        <v>2</v>
      </c>
      <c r="B3" s="364"/>
      <c r="C3" s="363" t="s">
        <v>3</v>
      </c>
      <c r="D3" s="365"/>
      <c r="E3" s="364"/>
      <c r="F3" s="366" t="s">
        <v>4</v>
      </c>
      <c r="G3" s="364"/>
      <c r="H3" s="366" t="s">
        <v>5</v>
      </c>
      <c r="I3" s="365"/>
      <c r="J3" s="364"/>
      <c r="K3" s="363" t="s">
        <v>6</v>
      </c>
      <c r="L3" s="365"/>
      <c r="M3" s="365"/>
      <c r="N3" s="364"/>
      <c r="O3" s="363" t="s">
        <v>7</v>
      </c>
      <c r="P3" s="365"/>
      <c r="Q3" s="364"/>
      <c r="R3" s="1" t="s">
        <v>8</v>
      </c>
      <c r="S3" s="1"/>
      <c r="T3" s="366" t="s">
        <v>9</v>
      </c>
      <c r="U3" s="365"/>
      <c r="V3" s="364"/>
    </row>
    <row r="4" spans="1:38" x14ac:dyDescent="0.25">
      <c r="A4" s="363" t="s">
        <v>10</v>
      </c>
      <c r="B4" s="364"/>
      <c r="C4" s="363" t="s">
        <v>11</v>
      </c>
      <c r="D4" s="365"/>
      <c r="E4" s="364"/>
      <c r="F4" s="366" t="s">
        <v>12</v>
      </c>
      <c r="G4" s="364"/>
      <c r="H4" s="366" t="s">
        <v>13</v>
      </c>
      <c r="I4" s="365"/>
      <c r="J4" s="364"/>
      <c r="K4" s="363" t="s">
        <v>14</v>
      </c>
      <c r="L4" s="365"/>
      <c r="M4" s="365"/>
      <c r="N4" s="364"/>
      <c r="O4" s="363" t="s">
        <v>15</v>
      </c>
      <c r="P4" s="365"/>
      <c r="Q4" s="364"/>
      <c r="R4" s="1" t="s">
        <v>16</v>
      </c>
      <c r="S4" s="1"/>
      <c r="T4" s="366" t="s">
        <v>17</v>
      </c>
      <c r="U4" s="365"/>
      <c r="V4" s="364"/>
    </row>
    <row r="5" spans="1:38" x14ac:dyDescent="0.25">
      <c r="A5" s="363" t="s">
        <v>18</v>
      </c>
      <c r="B5" s="364"/>
      <c r="C5" s="363" t="s">
        <v>19</v>
      </c>
      <c r="D5" s="365"/>
      <c r="E5" s="364"/>
      <c r="F5" s="366" t="s">
        <v>20</v>
      </c>
      <c r="G5" s="364"/>
      <c r="H5" s="366" t="s">
        <v>21</v>
      </c>
      <c r="I5" s="365"/>
      <c r="J5" s="364"/>
      <c r="K5" s="363" t="s">
        <v>22</v>
      </c>
      <c r="L5" s="365"/>
      <c r="M5" s="365"/>
      <c r="N5" s="364"/>
      <c r="O5" s="363" t="s">
        <v>23</v>
      </c>
      <c r="P5" s="365"/>
      <c r="Q5" s="364"/>
      <c r="R5" s="1" t="s">
        <v>24</v>
      </c>
      <c r="S5" s="1"/>
      <c r="T5" s="366" t="s">
        <v>25</v>
      </c>
      <c r="U5" s="365"/>
      <c r="V5" s="364"/>
    </row>
    <row r="6" spans="1:38" ht="15.75" customHeight="1" x14ac:dyDescent="0.25">
      <c r="A6" s="367" t="s">
        <v>1066</v>
      </c>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9"/>
    </row>
    <row r="7" spans="1:38" ht="15" customHeight="1" x14ac:dyDescent="0.25">
      <c r="A7" s="370"/>
      <c r="B7" s="335"/>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71"/>
    </row>
    <row r="8" spans="1:38" ht="18.75" customHeight="1" x14ac:dyDescent="0.25">
      <c r="A8" s="372"/>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4"/>
    </row>
    <row r="9" spans="1:38" ht="18.75" customHeight="1" x14ac:dyDescent="0.25">
      <c r="A9" s="375" t="s">
        <v>26</v>
      </c>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9"/>
    </row>
    <row r="10" spans="1:38" ht="18.75" customHeight="1" x14ac:dyDescent="0.25">
      <c r="A10" s="370"/>
      <c r="B10" s="335"/>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71"/>
    </row>
    <row r="11" spans="1:38" x14ac:dyDescent="0.25">
      <c r="A11" s="372"/>
      <c r="B11" s="373"/>
      <c r="C11" s="373"/>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74"/>
    </row>
    <row r="12" spans="1:38" x14ac:dyDescent="0.25">
      <c r="A12" s="2" t="s">
        <v>27</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1:38" ht="34.5" customHeight="1" x14ac:dyDescent="0.25">
      <c r="A13" s="3">
        <v>3</v>
      </c>
      <c r="B13" s="376" t="s">
        <v>28</v>
      </c>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8"/>
    </row>
    <row r="14" spans="1:38" x14ac:dyDescent="0.25">
      <c r="A14" s="3">
        <v>4</v>
      </c>
      <c r="B14" s="379" t="s">
        <v>29</v>
      </c>
      <c r="C14" s="350"/>
      <c r="D14" s="350"/>
      <c r="E14" s="350"/>
      <c r="F14" s="350"/>
      <c r="G14" s="350"/>
      <c r="H14" s="351"/>
      <c r="I14" s="380" t="s">
        <v>30</v>
      </c>
      <c r="J14" s="338"/>
      <c r="K14" s="338"/>
      <c r="L14" s="338"/>
      <c r="M14" s="338"/>
      <c r="N14" s="338"/>
      <c r="O14" s="338"/>
      <c r="P14" s="338"/>
      <c r="Q14" s="338"/>
      <c r="R14" s="338"/>
      <c r="S14" s="338"/>
      <c r="T14" s="339"/>
      <c r="U14" s="4"/>
      <c r="V14" s="379" t="s">
        <v>31</v>
      </c>
      <c r="W14" s="350"/>
      <c r="X14" s="350"/>
      <c r="Y14" s="350"/>
      <c r="Z14" s="351"/>
      <c r="AA14" s="380" t="s">
        <v>32</v>
      </c>
      <c r="AB14" s="338"/>
      <c r="AC14" s="338"/>
      <c r="AD14" s="338"/>
      <c r="AE14" s="338"/>
      <c r="AF14" s="338"/>
      <c r="AG14" s="338"/>
      <c r="AH14" s="338"/>
      <c r="AI14" s="338"/>
      <c r="AJ14" s="338"/>
      <c r="AK14" s="338"/>
      <c r="AL14" s="339"/>
    </row>
    <row r="15" spans="1:38" x14ac:dyDescent="0.25">
      <c r="A15" s="3">
        <v>5</v>
      </c>
      <c r="B15" s="385" t="s">
        <v>33</v>
      </c>
      <c r="C15" s="326"/>
      <c r="D15" s="326"/>
      <c r="E15" s="326"/>
      <c r="F15" s="326"/>
      <c r="G15" s="326"/>
      <c r="H15" s="327"/>
      <c r="I15" s="381" t="s">
        <v>34</v>
      </c>
      <c r="J15" s="326"/>
      <c r="K15" s="326"/>
      <c r="L15" s="326"/>
      <c r="M15" s="326"/>
      <c r="N15" s="326"/>
      <c r="O15" s="326"/>
      <c r="P15" s="326"/>
      <c r="Q15" s="326"/>
      <c r="R15" s="326"/>
      <c r="S15" s="326"/>
      <c r="T15" s="327"/>
      <c r="U15" s="5"/>
      <c r="V15" s="384" t="s">
        <v>35</v>
      </c>
      <c r="W15" s="326"/>
      <c r="X15" s="326"/>
      <c r="Y15" s="326"/>
      <c r="Z15" s="327"/>
      <c r="AA15" s="382" t="s">
        <v>36</v>
      </c>
      <c r="AB15" s="326"/>
      <c r="AC15" s="326"/>
      <c r="AD15" s="326"/>
      <c r="AE15" s="326"/>
      <c r="AF15" s="326"/>
      <c r="AG15" s="326"/>
      <c r="AH15" s="326"/>
      <c r="AI15" s="326"/>
      <c r="AJ15" s="326"/>
      <c r="AK15" s="326"/>
      <c r="AL15" s="327"/>
    </row>
    <row r="16" spans="1:38" x14ac:dyDescent="0.25">
      <c r="A16" s="3">
        <v>6</v>
      </c>
      <c r="B16" s="389" t="s">
        <v>37</v>
      </c>
      <c r="C16" s="332"/>
      <c r="D16" s="332"/>
      <c r="E16" s="332"/>
      <c r="F16" s="332"/>
      <c r="G16" s="332"/>
      <c r="H16" s="333"/>
      <c r="I16" s="390" t="s">
        <v>38</v>
      </c>
      <c r="J16" s="332"/>
      <c r="K16" s="332"/>
      <c r="L16" s="332"/>
      <c r="M16" s="332"/>
      <c r="N16" s="332"/>
      <c r="O16" s="332"/>
      <c r="P16" s="332"/>
      <c r="Q16" s="332"/>
      <c r="R16" s="332"/>
      <c r="S16" s="332"/>
      <c r="T16" s="333"/>
      <c r="U16" s="5"/>
      <c r="V16" s="385" t="s">
        <v>39</v>
      </c>
      <c r="W16" s="326"/>
      <c r="X16" s="326"/>
      <c r="Y16" s="326"/>
      <c r="Z16" s="327"/>
      <c r="AA16" s="381" t="s">
        <v>40</v>
      </c>
      <c r="AB16" s="326"/>
      <c r="AC16" s="326"/>
      <c r="AD16" s="326"/>
      <c r="AE16" s="326"/>
      <c r="AF16" s="326"/>
      <c r="AG16" s="326"/>
      <c r="AH16" s="326"/>
      <c r="AI16" s="326"/>
      <c r="AJ16" s="326"/>
      <c r="AK16" s="326"/>
      <c r="AL16" s="327"/>
    </row>
    <row r="17" spans="1:38" x14ac:dyDescent="0.25">
      <c r="A17" s="3">
        <v>7</v>
      </c>
      <c r="B17" s="337"/>
      <c r="C17" s="338"/>
      <c r="D17" s="338"/>
      <c r="E17" s="338"/>
      <c r="F17" s="338"/>
      <c r="G17" s="338"/>
      <c r="H17" s="339"/>
      <c r="I17" s="337"/>
      <c r="J17" s="338"/>
      <c r="K17" s="338"/>
      <c r="L17" s="338"/>
      <c r="M17" s="338"/>
      <c r="N17" s="338"/>
      <c r="O17" s="338"/>
      <c r="P17" s="338"/>
      <c r="Q17" s="338"/>
      <c r="R17" s="338"/>
      <c r="S17" s="338"/>
      <c r="T17" s="339"/>
      <c r="U17" s="5"/>
      <c r="V17" s="385" t="s">
        <v>41</v>
      </c>
      <c r="W17" s="326"/>
      <c r="X17" s="326"/>
      <c r="Y17" s="326"/>
      <c r="Z17" s="327"/>
      <c r="AA17" s="386" t="s">
        <v>42</v>
      </c>
      <c r="AB17" s="326"/>
      <c r="AC17" s="326"/>
      <c r="AD17" s="326"/>
      <c r="AE17" s="326"/>
      <c r="AF17" s="326"/>
      <c r="AG17" s="326"/>
      <c r="AH17" s="326"/>
      <c r="AI17" s="326"/>
      <c r="AJ17" s="326"/>
      <c r="AK17" s="326"/>
      <c r="AL17" s="327"/>
    </row>
    <row r="18" spans="1:38" x14ac:dyDescent="0.25">
      <c r="A18" s="3">
        <v>8</v>
      </c>
      <c r="B18" s="391" t="s">
        <v>43</v>
      </c>
      <c r="C18" s="326"/>
      <c r="D18" s="326"/>
      <c r="E18" s="326"/>
      <c r="F18" s="326"/>
      <c r="G18" s="326"/>
      <c r="H18" s="327"/>
      <c r="I18" s="392" t="s">
        <v>44</v>
      </c>
      <c r="J18" s="326"/>
      <c r="K18" s="326"/>
      <c r="L18" s="326"/>
      <c r="M18" s="326"/>
      <c r="N18" s="326"/>
      <c r="O18" s="326"/>
      <c r="P18" s="327"/>
      <c r="Q18" s="392">
        <v>2018</v>
      </c>
      <c r="R18" s="326"/>
      <c r="S18" s="326"/>
      <c r="T18" s="327"/>
      <c r="U18" s="5"/>
      <c r="V18" s="387" t="s">
        <v>45</v>
      </c>
      <c r="W18" s="326"/>
      <c r="X18" s="326"/>
      <c r="Y18" s="326"/>
      <c r="Z18" s="327"/>
      <c r="AA18" s="388" t="s">
        <v>46</v>
      </c>
      <c r="AB18" s="326"/>
      <c r="AC18" s="326"/>
      <c r="AD18" s="326"/>
      <c r="AE18" s="326"/>
      <c r="AF18" s="326"/>
      <c r="AG18" s="326"/>
      <c r="AH18" s="326"/>
      <c r="AI18" s="326"/>
      <c r="AJ18" s="326"/>
      <c r="AK18" s="326"/>
      <c r="AL18" s="327"/>
    </row>
    <row r="19" spans="1:38" ht="18" customHeight="1" x14ac:dyDescent="0.25">
      <c r="A19" s="383" t="s">
        <v>47</v>
      </c>
      <c r="B19" s="326"/>
      <c r="C19" s="327"/>
      <c r="D19" s="383" t="s">
        <v>48</v>
      </c>
      <c r="E19" s="326"/>
      <c r="F19" s="326"/>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7"/>
    </row>
    <row r="20" spans="1:38" ht="18" customHeight="1" x14ac:dyDescent="0.25">
      <c r="A20" s="383" t="s">
        <v>49</v>
      </c>
      <c r="B20" s="326"/>
      <c r="C20" s="327"/>
      <c r="D20" s="383" t="s">
        <v>50</v>
      </c>
      <c r="E20" s="326"/>
      <c r="F20" s="326"/>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7"/>
    </row>
    <row r="21" spans="1:38" ht="30" customHeight="1" x14ac:dyDescent="0.25">
      <c r="A21" s="395" t="s">
        <v>51</v>
      </c>
      <c r="B21" s="326"/>
      <c r="C21" s="327"/>
      <c r="D21" s="395" t="s">
        <v>52</v>
      </c>
      <c r="E21" s="326"/>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7"/>
    </row>
    <row r="22" spans="1:38" ht="30" customHeight="1" x14ac:dyDescent="0.25">
      <c r="A22" s="395" t="s">
        <v>53</v>
      </c>
      <c r="B22" s="326"/>
      <c r="C22" s="327"/>
      <c r="D22" s="395" t="s">
        <v>54</v>
      </c>
      <c r="E22" s="326"/>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7"/>
    </row>
    <row r="23" spans="1:38" ht="39.75" customHeight="1" x14ac:dyDescent="0.25">
      <c r="A23" s="383" t="s">
        <v>55</v>
      </c>
      <c r="B23" s="326"/>
      <c r="C23" s="327"/>
      <c r="D23" s="383" t="s">
        <v>56</v>
      </c>
      <c r="E23" s="326"/>
      <c r="F23" s="326"/>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7"/>
    </row>
    <row r="24" spans="1:38" ht="15.75" customHeight="1" x14ac:dyDescent="0.25">
      <c r="A24" s="396" t="s">
        <v>57</v>
      </c>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97"/>
    </row>
    <row r="25" spans="1:38" ht="15.75" customHeight="1" x14ac:dyDescent="0.25">
      <c r="A25" s="370"/>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335"/>
      <c r="AF25" s="335"/>
      <c r="AG25" s="335"/>
      <c r="AH25" s="335"/>
      <c r="AI25" s="335"/>
      <c r="AJ25" s="335"/>
      <c r="AK25" s="335"/>
      <c r="AL25" s="371"/>
    </row>
    <row r="26" spans="1:38" ht="15.75" customHeight="1" x14ac:dyDescent="0.25">
      <c r="A26" s="372"/>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4"/>
    </row>
    <row r="27" spans="1:38" ht="15.75" customHeight="1" x14ac:dyDescent="0.25">
      <c r="A27" s="353" t="s">
        <v>58</v>
      </c>
      <c r="B27" s="347"/>
      <c r="C27" s="347"/>
      <c r="D27" s="347"/>
      <c r="E27" s="347"/>
      <c r="F27" s="347"/>
      <c r="G27" s="347"/>
      <c r="H27" s="347"/>
      <c r="I27" s="347"/>
      <c r="J27" s="347"/>
      <c r="K27" s="347"/>
      <c r="L27" s="347"/>
      <c r="M27" s="347"/>
      <c r="N27" s="347"/>
      <c r="O27" s="347"/>
      <c r="P27" s="347"/>
      <c r="Q27" s="347"/>
      <c r="R27" s="347"/>
      <c r="S27" s="347"/>
      <c r="T27" s="347"/>
      <c r="U27" s="347"/>
      <c r="V27" s="347"/>
      <c r="W27" s="347"/>
      <c r="X27" s="347"/>
      <c r="Y27" s="347"/>
      <c r="Z27" s="347"/>
      <c r="AA27" s="347"/>
      <c r="AB27" s="347"/>
      <c r="AC27" s="347"/>
      <c r="AD27" s="347"/>
      <c r="AE27" s="347"/>
      <c r="AF27" s="347"/>
      <c r="AG27" s="347"/>
      <c r="AH27" s="347"/>
      <c r="AI27" s="347"/>
      <c r="AJ27" s="347"/>
      <c r="AK27" s="347"/>
      <c r="AL27" s="354"/>
    </row>
    <row r="28" spans="1:38" ht="15.75" customHeight="1" x14ac:dyDescent="0.25">
      <c r="A28" s="355" t="s">
        <v>59</v>
      </c>
      <c r="B28" s="347"/>
      <c r="C28" s="347"/>
      <c r="D28" s="347"/>
      <c r="E28" s="347"/>
      <c r="F28" s="347"/>
      <c r="G28" s="347"/>
      <c r="H28" s="347"/>
      <c r="I28" s="347"/>
      <c r="J28" s="347"/>
      <c r="K28" s="347"/>
      <c r="L28" s="347"/>
      <c r="M28" s="347"/>
      <c r="N28" s="347"/>
      <c r="O28" s="347"/>
      <c r="P28" s="347"/>
      <c r="Q28" s="347"/>
      <c r="R28" s="347"/>
      <c r="S28" s="347"/>
      <c r="T28" s="347"/>
      <c r="U28" s="347"/>
      <c r="V28" s="347"/>
      <c r="W28" s="347"/>
      <c r="X28" s="354"/>
      <c r="Y28" s="6"/>
      <c r="Z28" s="6"/>
      <c r="AA28" s="6"/>
      <c r="AB28" s="6"/>
      <c r="AC28" s="6"/>
      <c r="AD28" s="6"/>
      <c r="AE28" s="6"/>
      <c r="AF28" s="6"/>
      <c r="AG28" s="6"/>
      <c r="AH28" s="6"/>
      <c r="AI28" s="6"/>
      <c r="AJ28" s="6"/>
      <c r="AK28" s="6"/>
      <c r="AL28" s="7"/>
    </row>
    <row r="29" spans="1:38" ht="15.75" customHeight="1" x14ac:dyDescent="0.25">
      <c r="A29" s="394" t="s">
        <v>47</v>
      </c>
      <c r="B29" s="326"/>
      <c r="C29" s="327"/>
      <c r="D29" s="394" t="s">
        <v>60</v>
      </c>
      <c r="E29" s="326"/>
      <c r="F29" s="326"/>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6"/>
      <c r="AK29" s="326"/>
      <c r="AL29" s="327"/>
    </row>
    <row r="30" spans="1:38" ht="15.75" customHeight="1" x14ac:dyDescent="0.25">
      <c r="A30" s="394" t="s">
        <v>49</v>
      </c>
      <c r="B30" s="326"/>
      <c r="C30" s="327"/>
      <c r="D30" s="394" t="s">
        <v>61</v>
      </c>
      <c r="E30" s="326"/>
      <c r="F30" s="326"/>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6"/>
      <c r="AL30" s="327"/>
    </row>
    <row r="31" spans="1:38" ht="34.5" customHeight="1" x14ac:dyDescent="0.25">
      <c r="A31" s="394" t="s">
        <v>62</v>
      </c>
      <c r="B31" s="326"/>
      <c r="C31" s="327"/>
      <c r="D31" s="394" t="s">
        <v>63</v>
      </c>
      <c r="E31" s="326"/>
      <c r="F31" s="326"/>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7"/>
    </row>
    <row r="32" spans="1:38" ht="31.5" customHeight="1" x14ac:dyDescent="0.25">
      <c r="A32" s="394" t="s">
        <v>64</v>
      </c>
      <c r="B32" s="326"/>
      <c r="C32" s="327"/>
      <c r="D32" s="394" t="s">
        <v>65</v>
      </c>
      <c r="E32" s="326"/>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7"/>
    </row>
    <row r="33" spans="1:38" ht="30" customHeight="1" x14ac:dyDescent="0.25">
      <c r="A33" s="394" t="s">
        <v>66</v>
      </c>
      <c r="B33" s="326"/>
      <c r="C33" s="327"/>
      <c r="D33" s="394" t="s">
        <v>67</v>
      </c>
      <c r="E33" s="326"/>
      <c r="F33" s="326"/>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7"/>
    </row>
    <row r="34" spans="1:38" ht="15.75" customHeight="1" x14ac:dyDescent="0.25">
      <c r="A34" s="394" t="s">
        <v>68</v>
      </c>
      <c r="B34" s="326"/>
      <c r="C34" s="327"/>
      <c r="D34" s="394" t="s">
        <v>69</v>
      </c>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7"/>
    </row>
    <row r="35" spans="1:38" ht="30" customHeight="1" x14ac:dyDescent="0.25">
      <c r="A35" s="394" t="s">
        <v>70</v>
      </c>
      <c r="B35" s="326"/>
      <c r="C35" s="327"/>
      <c r="D35" s="394" t="s">
        <v>71</v>
      </c>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7"/>
    </row>
    <row r="36" spans="1:38" ht="15.75" customHeight="1" x14ac:dyDescent="0.25">
      <c r="A36" s="394" t="s">
        <v>72</v>
      </c>
      <c r="B36" s="326"/>
      <c r="C36" s="327"/>
      <c r="D36" s="394" t="s">
        <v>73</v>
      </c>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7"/>
    </row>
    <row r="37" spans="1:38" ht="15.75" customHeight="1" x14ac:dyDescent="0.25">
      <c r="A37" s="394" t="s">
        <v>74</v>
      </c>
      <c r="B37" s="326"/>
      <c r="C37" s="327"/>
      <c r="D37" s="399" t="s">
        <v>75</v>
      </c>
      <c r="E37" s="326"/>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7"/>
    </row>
    <row r="38" spans="1:38" ht="15.75" customHeight="1" x14ac:dyDescent="0.25">
      <c r="A38" s="394" t="s">
        <v>76</v>
      </c>
      <c r="B38" s="326"/>
      <c r="C38" s="327"/>
      <c r="D38" s="394" t="s">
        <v>77</v>
      </c>
      <c r="E38" s="326"/>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7"/>
    </row>
    <row r="39" spans="1:38" ht="15.75" customHeight="1" x14ac:dyDescent="0.25">
      <c r="A39" s="394" t="s">
        <v>78</v>
      </c>
      <c r="B39" s="326"/>
      <c r="C39" s="327"/>
      <c r="D39" s="394" t="s">
        <v>79</v>
      </c>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7"/>
    </row>
    <row r="40" spans="1:38" ht="15" customHeight="1" x14ac:dyDescent="0.25">
      <c r="A40" s="400" t="s">
        <v>80</v>
      </c>
      <c r="B40" s="332"/>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97"/>
    </row>
    <row r="41" spans="1:38" ht="15" customHeight="1" x14ac:dyDescent="0.25">
      <c r="A41" s="370"/>
      <c r="B41" s="335"/>
      <c r="C41" s="335"/>
      <c r="D41" s="33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c r="AK41" s="335"/>
      <c r="AL41" s="371"/>
    </row>
    <row r="42" spans="1:38" ht="15" customHeight="1" x14ac:dyDescent="0.25">
      <c r="A42" s="372"/>
      <c r="B42" s="373"/>
      <c r="C42" s="373"/>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4"/>
    </row>
    <row r="43" spans="1:38" ht="15" customHeight="1" x14ac:dyDescent="0.25">
      <c r="A43" s="398" t="s">
        <v>47</v>
      </c>
      <c r="B43" s="326"/>
      <c r="C43" s="327"/>
      <c r="D43" s="398" t="s">
        <v>60</v>
      </c>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7"/>
    </row>
    <row r="44" spans="1:38" ht="15" customHeight="1" x14ac:dyDescent="0.25">
      <c r="A44" s="393" t="s">
        <v>49</v>
      </c>
      <c r="B44" s="326"/>
      <c r="C44" s="327"/>
      <c r="D44" s="393" t="s">
        <v>61</v>
      </c>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c r="AL44" s="327"/>
    </row>
    <row r="45" spans="1:38" ht="15" customHeight="1" x14ac:dyDescent="0.25">
      <c r="A45" s="398" t="s">
        <v>62</v>
      </c>
      <c r="B45" s="326"/>
      <c r="C45" s="327"/>
      <c r="D45" s="398" t="s">
        <v>63</v>
      </c>
      <c r="E45" s="326"/>
      <c r="F45" s="326"/>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6"/>
      <c r="AJ45" s="326"/>
      <c r="AK45" s="326"/>
      <c r="AL45" s="327"/>
    </row>
    <row r="46" spans="1:38" ht="30" customHeight="1" x14ac:dyDescent="0.25">
      <c r="A46" s="393" t="s">
        <v>81</v>
      </c>
      <c r="B46" s="326"/>
      <c r="C46" s="327"/>
      <c r="D46" s="393" t="s">
        <v>82</v>
      </c>
      <c r="E46" s="326"/>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7"/>
    </row>
    <row r="47" spans="1:38" ht="30" customHeight="1" x14ac:dyDescent="0.25">
      <c r="A47" s="393" t="s">
        <v>83</v>
      </c>
      <c r="B47" s="326"/>
      <c r="C47" s="327"/>
      <c r="D47" s="393" t="s">
        <v>84</v>
      </c>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7"/>
    </row>
    <row r="48" spans="1:38" ht="30" customHeight="1" x14ac:dyDescent="0.25">
      <c r="A48" s="398" t="s">
        <v>68</v>
      </c>
      <c r="B48" s="326"/>
      <c r="C48" s="327"/>
      <c r="D48" s="398" t="s">
        <v>85</v>
      </c>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7"/>
    </row>
    <row r="49" spans="1:38" ht="45" customHeight="1" x14ac:dyDescent="0.25">
      <c r="A49" s="398" t="s">
        <v>70</v>
      </c>
      <c r="B49" s="326"/>
      <c r="C49" s="327"/>
      <c r="D49" s="398" t="s">
        <v>71</v>
      </c>
      <c r="E49" s="326"/>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327"/>
    </row>
    <row r="50" spans="1:38" ht="15.75" customHeight="1" x14ac:dyDescent="0.25">
      <c r="A50" s="398" t="s">
        <v>72</v>
      </c>
      <c r="B50" s="326"/>
      <c r="C50" s="327"/>
      <c r="D50" s="398" t="s">
        <v>86</v>
      </c>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7"/>
    </row>
    <row r="51" spans="1:38" ht="15.75" customHeight="1" x14ac:dyDescent="0.25">
      <c r="A51" s="398" t="s">
        <v>87</v>
      </c>
      <c r="B51" s="326"/>
      <c r="C51" s="327"/>
      <c r="D51" s="398" t="s">
        <v>88</v>
      </c>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7"/>
    </row>
    <row r="52" spans="1:38" ht="15.75" customHeight="1" x14ac:dyDescent="0.25">
      <c r="A52" s="398" t="s">
        <v>89</v>
      </c>
      <c r="B52" s="326"/>
      <c r="C52" s="327"/>
      <c r="D52" s="398" t="s">
        <v>90</v>
      </c>
      <c r="E52" s="326"/>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c r="AL52" s="327"/>
    </row>
    <row r="53" spans="1:38" ht="15.75" customHeight="1" x14ac:dyDescent="0.25">
      <c r="A53" s="398" t="s">
        <v>91</v>
      </c>
      <c r="B53" s="326"/>
      <c r="C53" s="327"/>
      <c r="D53" s="398" t="s">
        <v>92</v>
      </c>
      <c r="E53" s="32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327"/>
    </row>
    <row r="54" spans="1:38" ht="15.75" customHeight="1" x14ac:dyDescent="0.25">
      <c r="A54" s="398" t="s">
        <v>93</v>
      </c>
      <c r="B54" s="326"/>
      <c r="C54" s="327"/>
      <c r="D54" s="398" t="s">
        <v>94</v>
      </c>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7"/>
    </row>
    <row r="55" spans="1:38" ht="15.75" customHeight="1" x14ac:dyDescent="0.25">
      <c r="A55" s="398" t="s">
        <v>95</v>
      </c>
      <c r="B55" s="326"/>
      <c r="C55" s="327"/>
      <c r="D55" s="398" t="s">
        <v>96</v>
      </c>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7"/>
    </row>
    <row r="56" spans="1:38" ht="15" customHeight="1" x14ac:dyDescent="0.25">
      <c r="A56" s="398" t="s">
        <v>97</v>
      </c>
      <c r="B56" s="326"/>
      <c r="C56" s="327"/>
      <c r="D56" s="398" t="s">
        <v>98</v>
      </c>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7"/>
    </row>
    <row r="57" spans="1:38" ht="15" customHeight="1" x14ac:dyDescent="0.25">
      <c r="A57" s="398" t="s">
        <v>99</v>
      </c>
      <c r="B57" s="326"/>
      <c r="C57" s="327"/>
      <c r="D57" s="398" t="s">
        <v>100</v>
      </c>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6"/>
      <c r="AL57" s="327"/>
    </row>
    <row r="58" spans="1:38" ht="15.75" customHeight="1" x14ac:dyDescent="0.25">
      <c r="A58" s="398" t="s">
        <v>101</v>
      </c>
      <c r="B58" s="326"/>
      <c r="C58" s="327"/>
      <c r="D58" s="398" t="s">
        <v>102</v>
      </c>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K58" s="326"/>
      <c r="AL58" s="327"/>
    </row>
    <row r="59" spans="1:38" ht="15.75" customHeight="1" x14ac:dyDescent="0.25">
      <c r="A59" s="398" t="s">
        <v>103</v>
      </c>
      <c r="B59" s="326"/>
      <c r="C59" s="327"/>
      <c r="D59" s="398" t="s">
        <v>104</v>
      </c>
      <c r="E59" s="326"/>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c r="AF59" s="326"/>
      <c r="AG59" s="326"/>
      <c r="AH59" s="326"/>
      <c r="AI59" s="326"/>
      <c r="AJ59" s="326"/>
      <c r="AK59" s="326"/>
      <c r="AL59" s="327"/>
    </row>
    <row r="60" spans="1:38" ht="34.5" customHeight="1" x14ac:dyDescent="0.25">
      <c r="A60" s="398" t="s">
        <v>105</v>
      </c>
      <c r="B60" s="326"/>
      <c r="C60" s="327"/>
      <c r="D60" s="398" t="s">
        <v>106</v>
      </c>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c r="AE60" s="326"/>
      <c r="AF60" s="326"/>
      <c r="AG60" s="326"/>
      <c r="AH60" s="326"/>
      <c r="AI60" s="326"/>
      <c r="AJ60" s="326"/>
      <c r="AK60" s="326"/>
      <c r="AL60" s="327"/>
    </row>
    <row r="61" spans="1:38" ht="34.5" customHeight="1" x14ac:dyDescent="0.25">
      <c r="A61" s="398" t="s">
        <v>107</v>
      </c>
      <c r="B61" s="326"/>
      <c r="C61" s="327"/>
      <c r="D61" s="398" t="s">
        <v>108</v>
      </c>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326"/>
      <c r="AK61" s="326"/>
      <c r="AL61" s="327"/>
    </row>
    <row r="62" spans="1:38" ht="19.5" customHeight="1" x14ac:dyDescent="0.25">
      <c r="A62" s="398" t="s">
        <v>109</v>
      </c>
      <c r="B62" s="326"/>
      <c r="C62" s="327"/>
      <c r="D62" s="398" t="s">
        <v>110</v>
      </c>
      <c r="E62" s="326"/>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c r="AI62" s="326"/>
      <c r="AJ62" s="326"/>
      <c r="AK62" s="326"/>
      <c r="AL62" s="327"/>
    </row>
    <row r="63" spans="1:38" ht="19.5" customHeight="1" x14ac:dyDescent="0.25">
      <c r="A63" s="398" t="s">
        <v>111</v>
      </c>
      <c r="B63" s="326"/>
      <c r="C63" s="327"/>
      <c r="D63" s="398" t="s">
        <v>112</v>
      </c>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7"/>
    </row>
    <row r="64" spans="1:38" ht="15.75" customHeight="1" x14ac:dyDescent="0.25">
      <c r="A64" s="398" t="s">
        <v>113</v>
      </c>
      <c r="B64" s="326"/>
      <c r="C64" s="327"/>
      <c r="D64" s="398" t="s">
        <v>114</v>
      </c>
      <c r="E64" s="326"/>
      <c r="F64" s="326"/>
      <c r="G64" s="326"/>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6"/>
      <c r="AL64" s="327"/>
    </row>
    <row r="65" spans="1:38" ht="15" customHeight="1" x14ac:dyDescent="0.25">
      <c r="A65" s="398" t="s">
        <v>115</v>
      </c>
      <c r="B65" s="326"/>
      <c r="C65" s="327"/>
      <c r="D65" s="398" t="s">
        <v>116</v>
      </c>
      <c r="E65" s="326"/>
      <c r="F65" s="326"/>
      <c r="G65" s="326"/>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6"/>
      <c r="AL65" s="327"/>
    </row>
    <row r="66" spans="1:38" ht="15.75" customHeight="1" x14ac:dyDescent="0.25">
      <c r="A66" s="398" t="s">
        <v>117</v>
      </c>
      <c r="B66" s="326"/>
      <c r="C66" s="327"/>
      <c r="D66" s="398" t="s">
        <v>118</v>
      </c>
      <c r="E66" s="326"/>
      <c r="F66" s="326"/>
      <c r="G66" s="326"/>
      <c r="H66" s="326"/>
      <c r="I66" s="326"/>
      <c r="J66" s="326"/>
      <c r="K66" s="326"/>
      <c r="L66" s="326"/>
      <c r="M66" s="326"/>
      <c r="N66" s="326"/>
      <c r="O66" s="326"/>
      <c r="P66" s="326"/>
      <c r="Q66" s="326"/>
      <c r="R66" s="326"/>
      <c r="S66" s="326"/>
      <c r="T66" s="326"/>
      <c r="U66" s="326"/>
      <c r="V66" s="326"/>
      <c r="W66" s="326"/>
      <c r="X66" s="326"/>
      <c r="Y66" s="326"/>
      <c r="Z66" s="326"/>
      <c r="AA66" s="326"/>
      <c r="AB66" s="326"/>
      <c r="AC66" s="326"/>
      <c r="AD66" s="326"/>
      <c r="AE66" s="326"/>
      <c r="AF66" s="326"/>
      <c r="AG66" s="326"/>
      <c r="AH66" s="326"/>
      <c r="AI66" s="326"/>
      <c r="AJ66" s="326"/>
      <c r="AK66" s="326"/>
      <c r="AL66" s="327"/>
    </row>
    <row r="67" spans="1:38" ht="15.75" customHeight="1" x14ac:dyDescent="0.25">
      <c r="A67" s="398" t="s">
        <v>119</v>
      </c>
      <c r="B67" s="326"/>
      <c r="C67" s="327"/>
      <c r="D67" s="398" t="s">
        <v>120</v>
      </c>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7"/>
    </row>
    <row r="68" spans="1:38" ht="15.75" customHeight="1" x14ac:dyDescent="0.25">
      <c r="A68" s="398" t="s">
        <v>121</v>
      </c>
      <c r="B68" s="326"/>
      <c r="C68" s="327"/>
      <c r="D68" s="398" t="s">
        <v>122</v>
      </c>
      <c r="E68" s="326"/>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6"/>
      <c r="AH68" s="326"/>
      <c r="AI68" s="326"/>
      <c r="AJ68" s="326"/>
      <c r="AK68" s="326"/>
      <c r="AL68" s="327"/>
    </row>
    <row r="69" spans="1:38" ht="15.75" customHeight="1" x14ac:dyDescent="0.25">
      <c r="A69" s="398" t="s">
        <v>123</v>
      </c>
      <c r="B69" s="326"/>
      <c r="C69" s="327"/>
      <c r="D69" s="398" t="s">
        <v>124</v>
      </c>
      <c r="E69" s="326"/>
      <c r="F69" s="326"/>
      <c r="G69" s="326"/>
      <c r="H69" s="326"/>
      <c r="I69" s="326"/>
      <c r="J69" s="326"/>
      <c r="K69" s="326"/>
      <c r="L69" s="326"/>
      <c r="M69" s="326"/>
      <c r="N69" s="326"/>
      <c r="O69" s="326"/>
      <c r="P69" s="326"/>
      <c r="Q69" s="326"/>
      <c r="R69" s="326"/>
      <c r="S69" s="326"/>
      <c r="T69" s="326"/>
      <c r="U69" s="326"/>
      <c r="V69" s="326"/>
      <c r="W69" s="326"/>
      <c r="X69" s="326"/>
      <c r="Y69" s="326"/>
      <c r="Z69" s="326"/>
      <c r="AA69" s="326"/>
      <c r="AB69" s="326"/>
      <c r="AC69" s="326"/>
      <c r="AD69" s="326"/>
      <c r="AE69" s="326"/>
      <c r="AF69" s="326"/>
      <c r="AG69" s="326"/>
      <c r="AH69" s="326"/>
      <c r="AI69" s="326"/>
      <c r="AJ69" s="326"/>
      <c r="AK69" s="326"/>
      <c r="AL69" s="327"/>
    </row>
    <row r="70" spans="1:38" ht="30" customHeight="1" x14ac:dyDescent="0.25">
      <c r="A70" s="398" t="s">
        <v>125</v>
      </c>
      <c r="B70" s="326"/>
      <c r="C70" s="327"/>
      <c r="D70" s="398" t="s">
        <v>126</v>
      </c>
      <c r="E70" s="326"/>
      <c r="F70" s="326"/>
      <c r="G70" s="326"/>
      <c r="H70" s="326"/>
      <c r="I70" s="326"/>
      <c r="J70" s="326"/>
      <c r="K70" s="326"/>
      <c r="L70" s="326"/>
      <c r="M70" s="326"/>
      <c r="N70" s="326"/>
      <c r="O70" s="326"/>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7"/>
    </row>
    <row r="71" spans="1:38" ht="15" customHeight="1" x14ac:dyDescent="0.25">
      <c r="A71" s="398" t="s">
        <v>127</v>
      </c>
      <c r="B71" s="326"/>
      <c r="C71" s="327"/>
      <c r="D71" s="398" t="s">
        <v>128</v>
      </c>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7"/>
    </row>
    <row r="72" spans="1:38" ht="15.75" customHeight="1" x14ac:dyDescent="0.25">
      <c r="A72" s="398" t="s">
        <v>129</v>
      </c>
      <c r="B72" s="326"/>
      <c r="C72" s="327"/>
      <c r="D72" s="398" t="s">
        <v>130</v>
      </c>
      <c r="E72" s="326"/>
      <c r="F72" s="326"/>
      <c r="G72" s="326"/>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F72" s="326"/>
      <c r="AG72" s="326"/>
      <c r="AH72" s="326"/>
      <c r="AI72" s="326"/>
      <c r="AJ72" s="326"/>
      <c r="AK72" s="326"/>
      <c r="AL72" s="327"/>
    </row>
    <row r="73" spans="1:38" ht="15.75" customHeight="1" x14ac:dyDescent="0.25">
      <c r="A73" s="398" t="s">
        <v>131</v>
      </c>
      <c r="B73" s="326"/>
      <c r="C73" s="327"/>
      <c r="D73" s="398" t="s">
        <v>132</v>
      </c>
      <c r="E73" s="326"/>
      <c r="F73" s="326"/>
      <c r="G73" s="326"/>
      <c r="H73" s="326"/>
      <c r="I73" s="326"/>
      <c r="J73" s="326"/>
      <c r="K73" s="326"/>
      <c r="L73" s="326"/>
      <c r="M73" s="326"/>
      <c r="N73" s="326"/>
      <c r="O73" s="326"/>
      <c r="P73" s="326"/>
      <c r="Q73" s="326"/>
      <c r="R73" s="326"/>
      <c r="S73" s="326"/>
      <c r="T73" s="326"/>
      <c r="U73" s="326"/>
      <c r="V73" s="326"/>
      <c r="W73" s="326"/>
      <c r="X73" s="326"/>
      <c r="Y73" s="326"/>
      <c r="Z73" s="326"/>
      <c r="AA73" s="326"/>
      <c r="AB73" s="326"/>
      <c r="AC73" s="326"/>
      <c r="AD73" s="326"/>
      <c r="AE73" s="326"/>
      <c r="AF73" s="326"/>
      <c r="AG73" s="326"/>
      <c r="AH73" s="326"/>
      <c r="AI73" s="326"/>
      <c r="AJ73" s="326"/>
      <c r="AK73" s="326"/>
      <c r="AL73" s="327"/>
    </row>
    <row r="74" spans="1:38" ht="15.75" customHeight="1" x14ac:dyDescent="0.25">
      <c r="A74" s="398" t="s">
        <v>133</v>
      </c>
      <c r="B74" s="326"/>
      <c r="C74" s="327"/>
      <c r="D74" s="398" t="s">
        <v>134</v>
      </c>
      <c r="E74" s="326"/>
      <c r="F74" s="326"/>
      <c r="G74" s="326"/>
      <c r="H74" s="326"/>
      <c r="I74" s="326"/>
      <c r="J74" s="326"/>
      <c r="K74" s="326"/>
      <c r="L74" s="326"/>
      <c r="M74" s="326"/>
      <c r="N74" s="326"/>
      <c r="O74" s="326"/>
      <c r="P74" s="326"/>
      <c r="Q74" s="326"/>
      <c r="R74" s="326"/>
      <c r="S74" s="326"/>
      <c r="T74" s="326"/>
      <c r="U74" s="326"/>
      <c r="V74" s="326"/>
      <c r="W74" s="326"/>
      <c r="X74" s="326"/>
      <c r="Y74" s="326"/>
      <c r="Z74" s="326"/>
      <c r="AA74" s="326"/>
      <c r="AB74" s="326"/>
      <c r="AC74" s="326"/>
      <c r="AD74" s="326"/>
      <c r="AE74" s="326"/>
      <c r="AF74" s="326"/>
      <c r="AG74" s="326"/>
      <c r="AH74" s="326"/>
      <c r="AI74" s="326"/>
      <c r="AJ74" s="326"/>
      <c r="AK74" s="326"/>
      <c r="AL74" s="327"/>
    </row>
    <row r="75" spans="1:38" ht="15.75" customHeight="1" x14ac:dyDescent="0.25">
      <c r="A75" s="398" t="s">
        <v>135</v>
      </c>
      <c r="B75" s="326"/>
      <c r="C75" s="327"/>
      <c r="D75" s="398" t="s">
        <v>136</v>
      </c>
      <c r="E75" s="326"/>
      <c r="F75" s="326"/>
      <c r="G75" s="326"/>
      <c r="H75" s="326"/>
      <c r="I75" s="326"/>
      <c r="J75" s="326"/>
      <c r="K75" s="326"/>
      <c r="L75" s="326"/>
      <c r="M75" s="326"/>
      <c r="N75" s="326"/>
      <c r="O75" s="326"/>
      <c r="P75" s="326"/>
      <c r="Q75" s="326"/>
      <c r="R75" s="326"/>
      <c r="S75" s="326"/>
      <c r="T75" s="326"/>
      <c r="U75" s="326"/>
      <c r="V75" s="326"/>
      <c r="W75" s="326"/>
      <c r="X75" s="326"/>
      <c r="Y75" s="326"/>
      <c r="Z75" s="326"/>
      <c r="AA75" s="326"/>
      <c r="AB75" s="326"/>
      <c r="AC75" s="326"/>
      <c r="AD75" s="326"/>
      <c r="AE75" s="326"/>
      <c r="AF75" s="326"/>
      <c r="AG75" s="326"/>
      <c r="AH75" s="326"/>
      <c r="AI75" s="326"/>
      <c r="AJ75" s="326"/>
      <c r="AK75" s="326"/>
      <c r="AL75" s="327"/>
    </row>
    <row r="76" spans="1:38" ht="15.75" customHeight="1" x14ac:dyDescent="0.25">
      <c r="A76" s="398" t="s">
        <v>137</v>
      </c>
      <c r="B76" s="326"/>
      <c r="C76" s="327"/>
      <c r="D76" s="398" t="s">
        <v>79</v>
      </c>
      <c r="E76" s="326"/>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c r="AE76" s="326"/>
      <c r="AF76" s="326"/>
      <c r="AG76" s="326"/>
      <c r="AH76" s="326"/>
      <c r="AI76" s="326"/>
      <c r="AJ76" s="326"/>
      <c r="AK76" s="326"/>
      <c r="AL76" s="327"/>
    </row>
    <row r="77" spans="1:38" ht="15.75" customHeight="1" x14ac:dyDescent="0.25">
      <c r="A77" s="401" t="s">
        <v>138</v>
      </c>
      <c r="B77" s="368"/>
      <c r="C77" s="368"/>
      <c r="D77" s="368"/>
      <c r="E77" s="368"/>
      <c r="F77" s="368"/>
      <c r="G77" s="368"/>
      <c r="H77" s="368"/>
      <c r="I77" s="368"/>
      <c r="J77" s="368"/>
      <c r="K77" s="368"/>
      <c r="L77" s="368"/>
      <c r="M77" s="368"/>
      <c r="N77" s="368"/>
      <c r="O77" s="368"/>
      <c r="P77" s="368"/>
      <c r="Q77" s="368"/>
      <c r="R77" s="368"/>
      <c r="S77" s="368"/>
      <c r="T77" s="368"/>
      <c r="U77" s="368"/>
      <c r="V77" s="368"/>
      <c r="W77" s="368"/>
      <c r="X77" s="368"/>
      <c r="Y77" s="368"/>
      <c r="Z77" s="368"/>
      <c r="AA77" s="368"/>
      <c r="AB77" s="368"/>
      <c r="AC77" s="368"/>
      <c r="AD77" s="368"/>
      <c r="AE77" s="368"/>
      <c r="AF77" s="368"/>
      <c r="AG77" s="368"/>
      <c r="AH77" s="368"/>
      <c r="AI77" s="368"/>
      <c r="AJ77" s="368"/>
      <c r="AK77" s="368"/>
      <c r="AL77" s="369"/>
    </row>
    <row r="78" spans="1:38" ht="15.75" customHeight="1" x14ac:dyDescent="0.25">
      <c r="A78" s="370"/>
      <c r="B78" s="335"/>
      <c r="C78" s="335"/>
      <c r="D78" s="335"/>
      <c r="E78" s="335"/>
      <c r="F78" s="335"/>
      <c r="G78" s="335"/>
      <c r="H78" s="335"/>
      <c r="I78" s="335"/>
      <c r="J78" s="335"/>
      <c r="K78" s="335"/>
      <c r="L78" s="335"/>
      <c r="M78" s="335"/>
      <c r="N78" s="335"/>
      <c r="O78" s="335"/>
      <c r="P78" s="335"/>
      <c r="Q78" s="335"/>
      <c r="R78" s="335"/>
      <c r="S78" s="335"/>
      <c r="T78" s="335"/>
      <c r="U78" s="335"/>
      <c r="V78" s="335"/>
      <c r="W78" s="335"/>
      <c r="X78" s="335"/>
      <c r="Y78" s="335"/>
      <c r="Z78" s="335"/>
      <c r="AA78" s="335"/>
      <c r="AB78" s="335"/>
      <c r="AC78" s="335"/>
      <c r="AD78" s="335"/>
      <c r="AE78" s="335"/>
      <c r="AF78" s="335"/>
      <c r="AG78" s="335"/>
      <c r="AH78" s="335"/>
      <c r="AI78" s="335"/>
      <c r="AJ78" s="335"/>
      <c r="AK78" s="335"/>
      <c r="AL78" s="371"/>
    </row>
    <row r="79" spans="1:38" ht="15.75" customHeight="1" x14ac:dyDescent="0.25">
      <c r="A79" s="372"/>
      <c r="B79" s="373"/>
      <c r="C79" s="373"/>
      <c r="D79" s="373"/>
      <c r="E79" s="373"/>
      <c r="F79" s="373"/>
      <c r="G79" s="373"/>
      <c r="H79" s="373"/>
      <c r="I79" s="373"/>
      <c r="J79" s="373"/>
      <c r="K79" s="373"/>
      <c r="L79" s="373"/>
      <c r="M79" s="373"/>
      <c r="N79" s="373"/>
      <c r="O79" s="373"/>
      <c r="P79" s="373"/>
      <c r="Q79" s="373"/>
      <c r="R79" s="373"/>
      <c r="S79" s="373"/>
      <c r="T79" s="373"/>
      <c r="U79" s="373"/>
      <c r="V79" s="373"/>
      <c r="W79" s="373"/>
      <c r="X79" s="373"/>
      <c r="Y79" s="373"/>
      <c r="Z79" s="373"/>
      <c r="AA79" s="373"/>
      <c r="AB79" s="373"/>
      <c r="AC79" s="373"/>
      <c r="AD79" s="373"/>
      <c r="AE79" s="373"/>
      <c r="AF79" s="373"/>
      <c r="AG79" s="373"/>
      <c r="AH79" s="373"/>
      <c r="AI79" s="373"/>
      <c r="AJ79" s="373"/>
      <c r="AK79" s="373"/>
      <c r="AL79" s="374"/>
    </row>
    <row r="80" spans="1:38" ht="15" customHeight="1" x14ac:dyDescent="0.25">
      <c r="A80" s="330" t="s">
        <v>47</v>
      </c>
      <c r="B80" s="326"/>
      <c r="C80" s="327"/>
      <c r="D80" s="330" t="s">
        <v>60</v>
      </c>
      <c r="E80" s="326"/>
      <c r="F80" s="326"/>
      <c r="G80" s="326"/>
      <c r="H80" s="326"/>
      <c r="I80" s="326"/>
      <c r="J80" s="326"/>
      <c r="K80" s="326"/>
      <c r="L80" s="326"/>
      <c r="M80" s="326"/>
      <c r="N80" s="326"/>
      <c r="O80" s="326"/>
      <c r="P80" s="326"/>
      <c r="Q80" s="326"/>
      <c r="R80" s="326"/>
      <c r="S80" s="326"/>
      <c r="T80" s="326"/>
      <c r="U80" s="326"/>
      <c r="V80" s="326"/>
      <c r="W80" s="326"/>
      <c r="X80" s="326"/>
      <c r="Y80" s="326"/>
      <c r="Z80" s="326"/>
      <c r="AA80" s="326"/>
      <c r="AB80" s="326"/>
      <c r="AC80" s="326"/>
      <c r="AD80" s="326"/>
      <c r="AE80" s="326"/>
      <c r="AF80" s="326"/>
      <c r="AG80" s="326"/>
      <c r="AH80" s="326"/>
      <c r="AI80" s="326"/>
      <c r="AJ80" s="326"/>
      <c r="AK80" s="326"/>
      <c r="AL80" s="327"/>
    </row>
    <row r="81" spans="1:38" ht="15" customHeight="1" x14ac:dyDescent="0.25">
      <c r="A81" s="330" t="s">
        <v>49</v>
      </c>
      <c r="B81" s="326"/>
      <c r="C81" s="327"/>
      <c r="D81" s="330" t="s">
        <v>139</v>
      </c>
      <c r="E81" s="326"/>
      <c r="F81" s="326"/>
      <c r="G81" s="326"/>
      <c r="H81" s="326"/>
      <c r="I81" s="326"/>
      <c r="J81" s="326"/>
      <c r="K81" s="326"/>
      <c r="L81" s="326"/>
      <c r="M81" s="326"/>
      <c r="N81" s="326"/>
      <c r="O81" s="326"/>
      <c r="P81" s="326"/>
      <c r="Q81" s="326"/>
      <c r="R81" s="326"/>
      <c r="S81" s="326"/>
      <c r="T81" s="326"/>
      <c r="U81" s="326"/>
      <c r="V81" s="326"/>
      <c r="W81" s="326"/>
      <c r="X81" s="326"/>
      <c r="Y81" s="326"/>
      <c r="Z81" s="326"/>
      <c r="AA81" s="326"/>
      <c r="AB81" s="326"/>
      <c r="AC81" s="326"/>
      <c r="AD81" s="326"/>
      <c r="AE81" s="326"/>
      <c r="AF81" s="326"/>
      <c r="AG81" s="326"/>
      <c r="AH81" s="326"/>
      <c r="AI81" s="326"/>
      <c r="AJ81" s="326"/>
      <c r="AK81" s="326"/>
      <c r="AL81" s="327"/>
    </row>
    <row r="82" spans="1:38" ht="15.75" customHeight="1" x14ac:dyDescent="0.25">
      <c r="A82" s="330" t="s">
        <v>62</v>
      </c>
      <c r="B82" s="326"/>
      <c r="C82" s="327"/>
      <c r="D82" s="330" t="s">
        <v>140</v>
      </c>
      <c r="E82" s="326"/>
      <c r="F82" s="326"/>
      <c r="G82" s="326"/>
      <c r="H82" s="326"/>
      <c r="I82" s="326"/>
      <c r="J82" s="326"/>
      <c r="K82" s="326"/>
      <c r="L82" s="326"/>
      <c r="M82" s="326"/>
      <c r="N82" s="326"/>
      <c r="O82" s="326"/>
      <c r="P82" s="326"/>
      <c r="Q82" s="326"/>
      <c r="R82" s="326"/>
      <c r="S82" s="326"/>
      <c r="T82" s="326"/>
      <c r="U82" s="326"/>
      <c r="V82" s="326"/>
      <c r="W82" s="326"/>
      <c r="X82" s="326"/>
      <c r="Y82" s="326"/>
      <c r="Z82" s="326"/>
      <c r="AA82" s="326"/>
      <c r="AB82" s="326"/>
      <c r="AC82" s="326"/>
      <c r="AD82" s="326"/>
      <c r="AE82" s="326"/>
      <c r="AF82" s="326"/>
      <c r="AG82" s="326"/>
      <c r="AH82" s="326"/>
      <c r="AI82" s="326"/>
      <c r="AJ82" s="326"/>
      <c r="AK82" s="326"/>
      <c r="AL82" s="327"/>
    </row>
    <row r="83" spans="1:38" ht="30" customHeight="1" x14ac:dyDescent="0.25">
      <c r="A83" s="330" t="s">
        <v>64</v>
      </c>
      <c r="B83" s="326"/>
      <c r="C83" s="327"/>
      <c r="D83" s="330" t="s">
        <v>141</v>
      </c>
      <c r="E83" s="326"/>
      <c r="F83" s="326"/>
      <c r="G83" s="326"/>
      <c r="H83" s="326"/>
      <c r="I83" s="326"/>
      <c r="J83" s="326"/>
      <c r="K83" s="326"/>
      <c r="L83" s="326"/>
      <c r="M83" s="326"/>
      <c r="N83" s="326"/>
      <c r="O83" s="326"/>
      <c r="P83" s="326"/>
      <c r="Q83" s="326"/>
      <c r="R83" s="326"/>
      <c r="S83" s="326"/>
      <c r="T83" s="326"/>
      <c r="U83" s="326"/>
      <c r="V83" s="326"/>
      <c r="W83" s="326"/>
      <c r="X83" s="326"/>
      <c r="Y83" s="326"/>
      <c r="Z83" s="326"/>
      <c r="AA83" s="326"/>
      <c r="AB83" s="326"/>
      <c r="AC83" s="326"/>
      <c r="AD83" s="326"/>
      <c r="AE83" s="326"/>
      <c r="AF83" s="326"/>
      <c r="AG83" s="326"/>
      <c r="AH83" s="326"/>
      <c r="AI83" s="326"/>
      <c r="AJ83" s="326"/>
      <c r="AK83" s="326"/>
      <c r="AL83" s="327"/>
    </row>
    <row r="84" spans="1:38" ht="30" customHeight="1" x14ac:dyDescent="0.25">
      <c r="A84" s="330" t="s">
        <v>66</v>
      </c>
      <c r="B84" s="326"/>
      <c r="C84" s="327"/>
      <c r="D84" s="330" t="s">
        <v>142</v>
      </c>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c r="AH84" s="326"/>
      <c r="AI84" s="326"/>
      <c r="AJ84" s="326"/>
      <c r="AK84" s="326"/>
      <c r="AL84" s="327"/>
    </row>
    <row r="85" spans="1:38" ht="15.75" customHeight="1" x14ac:dyDescent="0.25">
      <c r="A85" s="330" t="s">
        <v>143</v>
      </c>
      <c r="B85" s="326"/>
      <c r="C85" s="327"/>
      <c r="D85" s="330" t="s">
        <v>144</v>
      </c>
      <c r="E85" s="326"/>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327"/>
    </row>
    <row r="86" spans="1:38" ht="15.75" customHeight="1" x14ac:dyDescent="0.25">
      <c r="A86" s="330" t="s">
        <v>145</v>
      </c>
      <c r="B86" s="326"/>
      <c r="C86" s="327"/>
      <c r="D86" s="330" t="s">
        <v>146</v>
      </c>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326"/>
      <c r="AJ86" s="326"/>
      <c r="AK86" s="326"/>
      <c r="AL86" s="327"/>
    </row>
    <row r="87" spans="1:38" ht="15.75" customHeight="1" x14ac:dyDescent="0.25">
      <c r="A87" s="330" t="s">
        <v>147</v>
      </c>
      <c r="B87" s="326"/>
      <c r="C87" s="327"/>
      <c r="D87" s="330" t="s">
        <v>148</v>
      </c>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c r="AH87" s="326"/>
      <c r="AI87" s="326"/>
      <c r="AJ87" s="326"/>
      <c r="AK87" s="326"/>
      <c r="AL87" s="327"/>
    </row>
    <row r="88" spans="1:38" ht="15" customHeight="1" x14ac:dyDescent="0.25">
      <c r="A88" s="329" t="s">
        <v>149</v>
      </c>
      <c r="B88" s="326"/>
      <c r="C88" s="327"/>
      <c r="D88" s="329" t="s">
        <v>150</v>
      </c>
      <c r="E88" s="326"/>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7"/>
    </row>
    <row r="89" spans="1:38" ht="15" customHeight="1" x14ac:dyDescent="0.25">
      <c r="A89" s="329" t="s">
        <v>151</v>
      </c>
      <c r="B89" s="326"/>
      <c r="C89" s="327"/>
      <c r="D89" s="329" t="s">
        <v>152</v>
      </c>
      <c r="E89" s="326"/>
      <c r="F89" s="326"/>
      <c r="G89" s="326"/>
      <c r="H89" s="326"/>
      <c r="I89" s="326"/>
      <c r="J89" s="326"/>
      <c r="K89" s="326"/>
      <c r="L89" s="326"/>
      <c r="M89" s="326"/>
      <c r="N89" s="326"/>
      <c r="O89" s="326"/>
      <c r="P89" s="326"/>
      <c r="Q89" s="326"/>
      <c r="R89" s="326"/>
      <c r="S89" s="326"/>
      <c r="T89" s="326"/>
      <c r="U89" s="326"/>
      <c r="V89" s="326"/>
      <c r="W89" s="326"/>
      <c r="X89" s="326"/>
      <c r="Y89" s="326"/>
      <c r="Z89" s="326"/>
      <c r="AA89" s="326"/>
      <c r="AB89" s="326"/>
      <c r="AC89" s="326"/>
      <c r="AD89" s="326"/>
      <c r="AE89" s="326"/>
      <c r="AF89" s="326"/>
      <c r="AG89" s="326"/>
      <c r="AH89" s="326"/>
      <c r="AI89" s="326"/>
      <c r="AJ89" s="326"/>
      <c r="AK89" s="326"/>
      <c r="AL89" s="327"/>
    </row>
    <row r="90" spans="1:38" ht="15" customHeight="1" x14ac:dyDescent="0.25">
      <c r="A90" s="329" t="s">
        <v>153</v>
      </c>
      <c r="B90" s="326"/>
      <c r="C90" s="327"/>
      <c r="D90" s="329" t="s">
        <v>154</v>
      </c>
      <c r="E90" s="326"/>
      <c r="F90" s="326"/>
      <c r="G90" s="326"/>
      <c r="H90" s="326"/>
      <c r="I90" s="326"/>
      <c r="J90" s="326"/>
      <c r="K90" s="326"/>
      <c r="L90" s="326"/>
      <c r="M90" s="326"/>
      <c r="N90" s="326"/>
      <c r="O90" s="326"/>
      <c r="P90" s="326"/>
      <c r="Q90" s="326"/>
      <c r="R90" s="326"/>
      <c r="S90" s="326"/>
      <c r="T90" s="326"/>
      <c r="U90" s="326"/>
      <c r="V90" s="326"/>
      <c r="W90" s="326"/>
      <c r="X90" s="326"/>
      <c r="Y90" s="326"/>
      <c r="Z90" s="326"/>
      <c r="AA90" s="326"/>
      <c r="AB90" s="326"/>
      <c r="AC90" s="326"/>
      <c r="AD90" s="326"/>
      <c r="AE90" s="326"/>
      <c r="AF90" s="326"/>
      <c r="AG90" s="326"/>
      <c r="AH90" s="326"/>
      <c r="AI90" s="326"/>
      <c r="AJ90" s="326"/>
      <c r="AK90" s="326"/>
      <c r="AL90" s="327"/>
    </row>
    <row r="91" spans="1:38" ht="15" customHeight="1" x14ac:dyDescent="0.25">
      <c r="A91" s="329" t="s">
        <v>155</v>
      </c>
      <c r="B91" s="326"/>
      <c r="C91" s="327"/>
      <c r="D91" s="329" t="s">
        <v>156</v>
      </c>
      <c r="E91" s="326"/>
      <c r="F91" s="326"/>
      <c r="G91" s="326"/>
      <c r="H91" s="326"/>
      <c r="I91" s="326"/>
      <c r="J91" s="326"/>
      <c r="K91" s="326"/>
      <c r="L91" s="326"/>
      <c r="M91" s="326"/>
      <c r="N91" s="326"/>
      <c r="O91" s="326"/>
      <c r="P91" s="326"/>
      <c r="Q91" s="326"/>
      <c r="R91" s="326"/>
      <c r="S91" s="326"/>
      <c r="T91" s="326"/>
      <c r="U91" s="326"/>
      <c r="V91" s="326"/>
      <c r="W91" s="326"/>
      <c r="X91" s="326"/>
      <c r="Y91" s="326"/>
      <c r="Z91" s="326"/>
      <c r="AA91" s="326"/>
      <c r="AB91" s="326"/>
      <c r="AC91" s="326"/>
      <c r="AD91" s="326"/>
      <c r="AE91" s="326"/>
      <c r="AF91" s="326"/>
      <c r="AG91" s="326"/>
      <c r="AH91" s="326"/>
      <c r="AI91" s="326"/>
      <c r="AJ91" s="326"/>
      <c r="AK91" s="326"/>
      <c r="AL91" s="327"/>
    </row>
    <row r="92" spans="1:38" ht="15" customHeight="1" x14ac:dyDescent="0.25">
      <c r="A92" s="329" t="s">
        <v>157</v>
      </c>
      <c r="B92" s="326"/>
      <c r="C92" s="327"/>
      <c r="D92" s="329" t="s">
        <v>158</v>
      </c>
      <c r="E92" s="326"/>
      <c r="F92" s="326"/>
      <c r="G92" s="326"/>
      <c r="H92" s="326"/>
      <c r="I92" s="326"/>
      <c r="J92" s="326"/>
      <c r="K92" s="326"/>
      <c r="L92" s="326"/>
      <c r="M92" s="326"/>
      <c r="N92" s="326"/>
      <c r="O92" s="326"/>
      <c r="P92" s="326"/>
      <c r="Q92" s="326"/>
      <c r="R92" s="326"/>
      <c r="S92" s="326"/>
      <c r="T92" s="326"/>
      <c r="U92" s="326"/>
      <c r="V92" s="326"/>
      <c r="W92" s="326"/>
      <c r="X92" s="326"/>
      <c r="Y92" s="326"/>
      <c r="Z92" s="326"/>
      <c r="AA92" s="326"/>
      <c r="AB92" s="326"/>
      <c r="AC92" s="326"/>
      <c r="AD92" s="326"/>
      <c r="AE92" s="326"/>
      <c r="AF92" s="326"/>
      <c r="AG92" s="326"/>
      <c r="AH92" s="326"/>
      <c r="AI92" s="326"/>
      <c r="AJ92" s="326"/>
      <c r="AK92" s="326"/>
      <c r="AL92" s="327"/>
    </row>
    <row r="93" spans="1:38" ht="15" customHeight="1" x14ac:dyDescent="0.25">
      <c r="A93" s="329" t="s">
        <v>159</v>
      </c>
      <c r="B93" s="326"/>
      <c r="C93" s="327"/>
      <c r="D93" s="329" t="s">
        <v>160</v>
      </c>
      <c r="E93" s="326"/>
      <c r="F93" s="326"/>
      <c r="G93" s="326"/>
      <c r="H93" s="326"/>
      <c r="I93" s="326"/>
      <c r="J93" s="326"/>
      <c r="K93" s="326"/>
      <c r="L93" s="326"/>
      <c r="M93" s="326"/>
      <c r="N93" s="326"/>
      <c r="O93" s="326"/>
      <c r="P93" s="326"/>
      <c r="Q93" s="326"/>
      <c r="R93" s="326"/>
      <c r="S93" s="326"/>
      <c r="T93" s="326"/>
      <c r="U93" s="326"/>
      <c r="V93" s="326"/>
      <c r="W93" s="326"/>
      <c r="X93" s="326"/>
      <c r="Y93" s="326"/>
      <c r="Z93" s="326"/>
      <c r="AA93" s="326"/>
      <c r="AB93" s="326"/>
      <c r="AC93" s="326"/>
      <c r="AD93" s="326"/>
      <c r="AE93" s="326"/>
      <c r="AF93" s="326"/>
      <c r="AG93" s="326"/>
      <c r="AH93" s="326"/>
      <c r="AI93" s="326"/>
      <c r="AJ93" s="326"/>
      <c r="AK93" s="326"/>
      <c r="AL93" s="327"/>
    </row>
    <row r="94" spans="1:38" ht="15" customHeight="1" x14ac:dyDescent="0.25">
      <c r="A94" s="329" t="s">
        <v>161</v>
      </c>
      <c r="B94" s="326"/>
      <c r="C94" s="327"/>
      <c r="D94" s="329" t="s">
        <v>162</v>
      </c>
      <c r="E94" s="326"/>
      <c r="F94" s="326"/>
      <c r="G94" s="326"/>
      <c r="H94" s="326"/>
      <c r="I94" s="326"/>
      <c r="J94" s="326"/>
      <c r="K94" s="326"/>
      <c r="L94" s="326"/>
      <c r="M94" s="326"/>
      <c r="N94" s="326"/>
      <c r="O94" s="326"/>
      <c r="P94" s="326"/>
      <c r="Q94" s="326"/>
      <c r="R94" s="326"/>
      <c r="S94" s="326"/>
      <c r="T94" s="326"/>
      <c r="U94" s="326"/>
      <c r="V94" s="326"/>
      <c r="W94" s="326"/>
      <c r="X94" s="326"/>
      <c r="Y94" s="326"/>
      <c r="Z94" s="326"/>
      <c r="AA94" s="326"/>
      <c r="AB94" s="326"/>
      <c r="AC94" s="326"/>
      <c r="AD94" s="326"/>
      <c r="AE94" s="326"/>
      <c r="AF94" s="326"/>
      <c r="AG94" s="326"/>
      <c r="AH94" s="326"/>
      <c r="AI94" s="326"/>
      <c r="AJ94" s="326"/>
      <c r="AK94" s="326"/>
      <c r="AL94" s="327"/>
    </row>
    <row r="95" spans="1:38" ht="15" customHeight="1" x14ac:dyDescent="0.25">
      <c r="A95" s="330" t="s">
        <v>163</v>
      </c>
      <c r="B95" s="326"/>
      <c r="C95" s="327"/>
      <c r="D95" s="330" t="s">
        <v>164</v>
      </c>
      <c r="E95" s="326"/>
      <c r="F95" s="326"/>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c r="AF95" s="326"/>
      <c r="AG95" s="326"/>
      <c r="AH95" s="326"/>
      <c r="AI95" s="326"/>
      <c r="AJ95" s="326"/>
      <c r="AK95" s="326"/>
      <c r="AL95" s="327"/>
    </row>
    <row r="96" spans="1:38" ht="15" customHeight="1" x14ac:dyDescent="0.25">
      <c r="A96" s="330" t="s">
        <v>165</v>
      </c>
      <c r="B96" s="326"/>
      <c r="C96" s="327"/>
      <c r="D96" s="330" t="s">
        <v>166</v>
      </c>
      <c r="E96" s="326"/>
      <c r="F96" s="326"/>
      <c r="G96" s="326"/>
      <c r="H96" s="326"/>
      <c r="I96" s="326"/>
      <c r="J96" s="326"/>
      <c r="K96" s="326"/>
      <c r="L96" s="326"/>
      <c r="M96" s="326"/>
      <c r="N96" s="326"/>
      <c r="O96" s="326"/>
      <c r="P96" s="326"/>
      <c r="Q96" s="326"/>
      <c r="R96" s="326"/>
      <c r="S96" s="326"/>
      <c r="T96" s="326"/>
      <c r="U96" s="326"/>
      <c r="V96" s="326"/>
      <c r="W96" s="326"/>
      <c r="X96" s="326"/>
      <c r="Y96" s="326"/>
      <c r="Z96" s="326"/>
      <c r="AA96" s="326"/>
      <c r="AB96" s="326"/>
      <c r="AC96" s="326"/>
      <c r="AD96" s="326"/>
      <c r="AE96" s="326"/>
      <c r="AF96" s="326"/>
      <c r="AG96" s="326"/>
      <c r="AH96" s="326"/>
      <c r="AI96" s="326"/>
      <c r="AJ96" s="326"/>
      <c r="AK96" s="326"/>
      <c r="AL96" s="327"/>
    </row>
    <row r="97" spans="1:38" ht="15" customHeight="1" x14ac:dyDescent="0.25">
      <c r="A97" s="330" t="s">
        <v>167</v>
      </c>
      <c r="B97" s="326"/>
      <c r="C97" s="327"/>
      <c r="D97" s="330" t="s">
        <v>168</v>
      </c>
      <c r="E97" s="326"/>
      <c r="F97" s="326"/>
      <c r="G97" s="326"/>
      <c r="H97" s="326"/>
      <c r="I97" s="326"/>
      <c r="J97" s="326"/>
      <c r="K97" s="326"/>
      <c r="L97" s="326"/>
      <c r="M97" s="326"/>
      <c r="N97" s="326"/>
      <c r="O97" s="326"/>
      <c r="P97" s="326"/>
      <c r="Q97" s="326"/>
      <c r="R97" s="326"/>
      <c r="S97" s="326"/>
      <c r="T97" s="326"/>
      <c r="U97" s="326"/>
      <c r="V97" s="326"/>
      <c r="W97" s="326"/>
      <c r="X97" s="326"/>
      <c r="Y97" s="326"/>
      <c r="Z97" s="326"/>
      <c r="AA97" s="326"/>
      <c r="AB97" s="326"/>
      <c r="AC97" s="326"/>
      <c r="AD97" s="326"/>
      <c r="AE97" s="326"/>
      <c r="AF97" s="326"/>
      <c r="AG97" s="326"/>
      <c r="AH97" s="326"/>
      <c r="AI97" s="326"/>
      <c r="AJ97" s="326"/>
      <c r="AK97" s="326"/>
      <c r="AL97" s="327"/>
    </row>
    <row r="98" spans="1:38" ht="15" customHeight="1" x14ac:dyDescent="0.25">
      <c r="A98" s="330" t="s">
        <v>169</v>
      </c>
      <c r="B98" s="326"/>
      <c r="C98" s="327"/>
      <c r="D98" s="330" t="s">
        <v>170</v>
      </c>
      <c r="E98" s="326"/>
      <c r="F98" s="326"/>
      <c r="G98" s="326"/>
      <c r="H98" s="326"/>
      <c r="I98" s="326"/>
      <c r="J98" s="326"/>
      <c r="K98" s="326"/>
      <c r="L98" s="326"/>
      <c r="M98" s="326"/>
      <c r="N98" s="326"/>
      <c r="O98" s="326"/>
      <c r="P98" s="326"/>
      <c r="Q98" s="326"/>
      <c r="R98" s="326"/>
      <c r="S98" s="326"/>
      <c r="T98" s="326"/>
      <c r="U98" s="326"/>
      <c r="V98" s="326"/>
      <c r="W98" s="326"/>
      <c r="X98" s="326"/>
      <c r="Y98" s="326"/>
      <c r="Z98" s="326"/>
      <c r="AA98" s="326"/>
      <c r="AB98" s="326"/>
      <c r="AC98" s="326"/>
      <c r="AD98" s="326"/>
      <c r="AE98" s="326"/>
      <c r="AF98" s="326"/>
      <c r="AG98" s="326"/>
      <c r="AH98" s="326"/>
      <c r="AI98" s="326"/>
      <c r="AJ98" s="326"/>
      <c r="AK98" s="326"/>
      <c r="AL98" s="327"/>
    </row>
    <row r="99" spans="1:38" ht="15" customHeight="1" x14ac:dyDescent="0.25">
      <c r="A99" s="330" t="s">
        <v>171</v>
      </c>
      <c r="B99" s="326"/>
      <c r="C99" s="327"/>
      <c r="D99" s="330" t="s">
        <v>172</v>
      </c>
      <c r="E99" s="326"/>
      <c r="F99" s="326"/>
      <c r="G99" s="326"/>
      <c r="H99" s="326"/>
      <c r="I99" s="326"/>
      <c r="J99" s="326"/>
      <c r="K99" s="326"/>
      <c r="L99" s="326"/>
      <c r="M99" s="326"/>
      <c r="N99" s="326"/>
      <c r="O99" s="326"/>
      <c r="P99" s="326"/>
      <c r="Q99" s="326"/>
      <c r="R99" s="326"/>
      <c r="S99" s="326"/>
      <c r="T99" s="326"/>
      <c r="U99" s="326"/>
      <c r="V99" s="326"/>
      <c r="W99" s="326"/>
      <c r="X99" s="326"/>
      <c r="Y99" s="326"/>
      <c r="Z99" s="326"/>
      <c r="AA99" s="326"/>
      <c r="AB99" s="326"/>
      <c r="AC99" s="326"/>
      <c r="AD99" s="326"/>
      <c r="AE99" s="326"/>
      <c r="AF99" s="326"/>
      <c r="AG99" s="326"/>
      <c r="AH99" s="326"/>
      <c r="AI99" s="326"/>
      <c r="AJ99" s="326"/>
      <c r="AK99" s="326"/>
      <c r="AL99" s="327"/>
    </row>
    <row r="100" spans="1:38" ht="15.75" customHeight="1" x14ac:dyDescent="0.25">
      <c r="A100" s="330" t="s">
        <v>171</v>
      </c>
      <c r="B100" s="326"/>
      <c r="C100" s="327"/>
      <c r="D100" s="330" t="s">
        <v>173</v>
      </c>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7"/>
    </row>
    <row r="101" spans="1:38" ht="15" customHeight="1" x14ac:dyDescent="0.25">
      <c r="A101" s="330" t="s">
        <v>174</v>
      </c>
      <c r="B101" s="326"/>
      <c r="C101" s="327"/>
      <c r="D101" s="330" t="s">
        <v>175</v>
      </c>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26"/>
      <c r="AI101" s="326"/>
      <c r="AJ101" s="326"/>
      <c r="AK101" s="326"/>
      <c r="AL101" s="327"/>
    </row>
    <row r="102" spans="1:38" ht="19.5" customHeight="1" x14ac:dyDescent="0.25">
      <c r="A102" s="329" t="s">
        <v>176</v>
      </c>
      <c r="B102" s="326"/>
      <c r="C102" s="327"/>
      <c r="D102" s="329" t="s">
        <v>79</v>
      </c>
      <c r="E102" s="326"/>
      <c r="F102" s="326"/>
      <c r="G102" s="326"/>
      <c r="H102" s="326"/>
      <c r="I102" s="326"/>
      <c r="J102" s="326"/>
      <c r="K102" s="326"/>
      <c r="L102" s="326"/>
      <c r="M102" s="326"/>
      <c r="N102" s="326"/>
      <c r="O102" s="326"/>
      <c r="P102" s="326"/>
      <c r="Q102" s="326"/>
      <c r="R102" s="326"/>
      <c r="S102" s="326"/>
      <c r="T102" s="326"/>
      <c r="U102" s="326"/>
      <c r="V102" s="326"/>
      <c r="W102" s="326"/>
      <c r="X102" s="326"/>
      <c r="Y102" s="326"/>
      <c r="Z102" s="326"/>
      <c r="AA102" s="326"/>
      <c r="AB102" s="326"/>
      <c r="AC102" s="326"/>
      <c r="AD102" s="326"/>
      <c r="AE102" s="326"/>
      <c r="AF102" s="326"/>
      <c r="AG102" s="326"/>
      <c r="AH102" s="326"/>
      <c r="AI102" s="326"/>
      <c r="AJ102" s="326"/>
      <c r="AK102" s="326"/>
      <c r="AL102" s="327"/>
    </row>
    <row r="103" spans="1:38" ht="15.75" customHeight="1" x14ac:dyDescent="0.25">
      <c r="A103" s="331" t="s">
        <v>177</v>
      </c>
      <c r="B103" s="332"/>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3"/>
    </row>
    <row r="104" spans="1:38" ht="15.75" customHeight="1" x14ac:dyDescent="0.25">
      <c r="A104" s="334"/>
      <c r="B104" s="335"/>
      <c r="C104" s="335"/>
      <c r="D104" s="335"/>
      <c r="E104" s="335"/>
      <c r="F104" s="335"/>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6"/>
    </row>
    <row r="105" spans="1:38" ht="15.75" customHeight="1" x14ac:dyDescent="0.25">
      <c r="A105" s="337"/>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8"/>
      <c r="AD105" s="338"/>
      <c r="AE105" s="338"/>
      <c r="AF105" s="338"/>
      <c r="AG105" s="338"/>
      <c r="AH105" s="338"/>
      <c r="AI105" s="338"/>
      <c r="AJ105" s="338"/>
      <c r="AK105" s="338"/>
      <c r="AL105" s="339"/>
    </row>
    <row r="106" spans="1:38" ht="15.75" customHeight="1" x14ac:dyDescent="0.25">
      <c r="A106" s="340" t="s">
        <v>47</v>
      </c>
      <c r="B106" s="326"/>
      <c r="C106" s="327"/>
      <c r="D106" s="340" t="s">
        <v>60</v>
      </c>
      <c r="E106" s="326"/>
      <c r="F106" s="326"/>
      <c r="G106" s="326"/>
      <c r="H106" s="326"/>
      <c r="I106" s="326"/>
      <c r="J106" s="326"/>
      <c r="K106" s="326"/>
      <c r="L106" s="326"/>
      <c r="M106" s="326"/>
      <c r="N106" s="326"/>
      <c r="O106" s="326"/>
      <c r="P106" s="326"/>
      <c r="Q106" s="326"/>
      <c r="R106" s="326"/>
      <c r="S106" s="326"/>
      <c r="T106" s="326"/>
      <c r="U106" s="326"/>
      <c r="V106" s="326"/>
      <c r="W106" s="326"/>
      <c r="X106" s="326"/>
      <c r="Y106" s="326"/>
      <c r="Z106" s="326"/>
      <c r="AA106" s="326"/>
      <c r="AB106" s="326"/>
      <c r="AC106" s="326"/>
      <c r="AD106" s="326"/>
      <c r="AE106" s="326"/>
      <c r="AF106" s="326"/>
      <c r="AG106" s="326"/>
      <c r="AH106" s="326"/>
      <c r="AI106" s="326"/>
      <c r="AJ106" s="326"/>
      <c r="AK106" s="326"/>
      <c r="AL106" s="327"/>
    </row>
    <row r="107" spans="1:38" ht="15.75" customHeight="1" x14ac:dyDescent="0.25">
      <c r="A107" s="341" t="s">
        <v>49</v>
      </c>
      <c r="B107" s="326"/>
      <c r="C107" s="327"/>
      <c r="D107" s="341" t="s">
        <v>139</v>
      </c>
      <c r="E107" s="326"/>
      <c r="F107" s="326"/>
      <c r="G107" s="326"/>
      <c r="H107" s="326"/>
      <c r="I107" s="326"/>
      <c r="J107" s="326"/>
      <c r="K107" s="326"/>
      <c r="L107" s="326"/>
      <c r="M107" s="326"/>
      <c r="N107" s="326"/>
      <c r="O107" s="326"/>
      <c r="P107" s="326"/>
      <c r="Q107" s="326"/>
      <c r="R107" s="326"/>
      <c r="S107" s="326"/>
      <c r="T107" s="326"/>
      <c r="U107" s="326"/>
      <c r="V107" s="326"/>
      <c r="W107" s="326"/>
      <c r="X107" s="326"/>
      <c r="Y107" s="326"/>
      <c r="Z107" s="326"/>
      <c r="AA107" s="326"/>
      <c r="AB107" s="326"/>
      <c r="AC107" s="326"/>
      <c r="AD107" s="326"/>
      <c r="AE107" s="326"/>
      <c r="AF107" s="326"/>
      <c r="AG107" s="326"/>
      <c r="AH107" s="326"/>
      <c r="AI107" s="326"/>
      <c r="AJ107" s="326"/>
      <c r="AK107" s="326"/>
      <c r="AL107" s="327"/>
    </row>
    <row r="108" spans="1:38" ht="15.75" customHeight="1" x14ac:dyDescent="0.25">
      <c r="A108" s="340" t="s">
        <v>62</v>
      </c>
      <c r="B108" s="326"/>
      <c r="C108" s="327"/>
      <c r="D108" s="340" t="s">
        <v>140</v>
      </c>
      <c r="E108" s="326"/>
      <c r="F108" s="326"/>
      <c r="G108" s="326"/>
      <c r="H108" s="326"/>
      <c r="I108" s="326"/>
      <c r="J108" s="326"/>
      <c r="K108" s="326"/>
      <c r="L108" s="326"/>
      <c r="M108" s="326"/>
      <c r="N108" s="326"/>
      <c r="O108" s="326"/>
      <c r="P108" s="326"/>
      <c r="Q108" s="326"/>
      <c r="R108" s="326"/>
      <c r="S108" s="326"/>
      <c r="T108" s="326"/>
      <c r="U108" s="326"/>
      <c r="V108" s="326"/>
      <c r="W108" s="326"/>
      <c r="X108" s="326"/>
      <c r="Y108" s="326"/>
      <c r="Z108" s="326"/>
      <c r="AA108" s="326"/>
      <c r="AB108" s="326"/>
      <c r="AC108" s="326"/>
      <c r="AD108" s="326"/>
      <c r="AE108" s="326"/>
      <c r="AF108" s="326"/>
      <c r="AG108" s="326"/>
      <c r="AH108" s="326"/>
      <c r="AI108" s="326"/>
      <c r="AJ108" s="326"/>
      <c r="AK108" s="326"/>
      <c r="AL108" s="327"/>
    </row>
    <row r="109" spans="1:38" ht="15.75" customHeight="1" x14ac:dyDescent="0.25">
      <c r="A109" s="341" t="s">
        <v>64</v>
      </c>
      <c r="B109" s="326"/>
      <c r="C109" s="327"/>
      <c r="D109" s="341" t="s">
        <v>178</v>
      </c>
      <c r="E109" s="326"/>
      <c r="F109" s="326"/>
      <c r="G109" s="326"/>
      <c r="H109" s="326"/>
      <c r="I109" s="326"/>
      <c r="J109" s="326"/>
      <c r="K109" s="326"/>
      <c r="L109" s="326"/>
      <c r="M109" s="326"/>
      <c r="N109" s="326"/>
      <c r="O109" s="326"/>
      <c r="P109" s="326"/>
      <c r="Q109" s="326"/>
      <c r="R109" s="326"/>
      <c r="S109" s="326"/>
      <c r="T109" s="326"/>
      <c r="U109" s="326"/>
      <c r="V109" s="326"/>
      <c r="W109" s="326"/>
      <c r="X109" s="326"/>
      <c r="Y109" s="326"/>
      <c r="Z109" s="326"/>
      <c r="AA109" s="326"/>
      <c r="AB109" s="326"/>
      <c r="AC109" s="326"/>
      <c r="AD109" s="326"/>
      <c r="AE109" s="326"/>
      <c r="AF109" s="326"/>
      <c r="AG109" s="326"/>
      <c r="AH109" s="326"/>
      <c r="AI109" s="326"/>
      <c r="AJ109" s="326"/>
      <c r="AK109" s="326"/>
      <c r="AL109" s="327"/>
    </row>
    <row r="110" spans="1:38" ht="15.75" customHeight="1" x14ac:dyDescent="0.25">
      <c r="A110" s="340" t="s">
        <v>66</v>
      </c>
      <c r="B110" s="326"/>
      <c r="C110" s="327"/>
      <c r="D110" s="340" t="s">
        <v>179</v>
      </c>
      <c r="E110" s="326"/>
      <c r="F110" s="326"/>
      <c r="G110" s="326"/>
      <c r="H110" s="326"/>
      <c r="I110" s="326"/>
      <c r="J110" s="326"/>
      <c r="K110" s="326"/>
      <c r="L110" s="326"/>
      <c r="M110" s="326"/>
      <c r="N110" s="326"/>
      <c r="O110" s="326"/>
      <c r="P110" s="326"/>
      <c r="Q110" s="326"/>
      <c r="R110" s="326"/>
      <c r="S110" s="326"/>
      <c r="T110" s="326"/>
      <c r="U110" s="326"/>
      <c r="V110" s="326"/>
      <c r="W110" s="326"/>
      <c r="X110" s="326"/>
      <c r="Y110" s="326"/>
      <c r="Z110" s="326"/>
      <c r="AA110" s="326"/>
      <c r="AB110" s="326"/>
      <c r="AC110" s="326"/>
      <c r="AD110" s="326"/>
      <c r="AE110" s="326"/>
      <c r="AF110" s="326"/>
      <c r="AG110" s="326"/>
      <c r="AH110" s="326"/>
      <c r="AI110" s="326"/>
      <c r="AJ110" s="326"/>
      <c r="AK110" s="326"/>
      <c r="AL110" s="327"/>
    </row>
    <row r="111" spans="1:38" ht="15.75" customHeight="1" x14ac:dyDescent="0.25">
      <c r="A111" s="342" t="s">
        <v>180</v>
      </c>
      <c r="B111" s="326"/>
      <c r="C111" s="327"/>
      <c r="D111" s="342" t="s">
        <v>181</v>
      </c>
      <c r="E111" s="326"/>
      <c r="F111" s="326"/>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326"/>
      <c r="AL111" s="327"/>
    </row>
    <row r="112" spans="1:38" ht="15.75" customHeight="1" x14ac:dyDescent="0.25">
      <c r="A112" s="343" t="s">
        <v>182</v>
      </c>
      <c r="B112" s="344"/>
      <c r="C112" s="345"/>
      <c r="D112" s="343" t="s">
        <v>183</v>
      </c>
      <c r="E112" s="344"/>
      <c r="F112" s="344"/>
      <c r="G112" s="344"/>
      <c r="H112" s="344"/>
      <c r="I112" s="344"/>
      <c r="J112" s="344"/>
      <c r="K112" s="344"/>
      <c r="L112" s="344"/>
      <c r="M112" s="344"/>
      <c r="N112" s="344"/>
      <c r="O112" s="344"/>
      <c r="P112" s="344"/>
      <c r="Q112" s="344"/>
      <c r="R112" s="344"/>
      <c r="S112" s="344"/>
      <c r="T112" s="344"/>
      <c r="U112" s="344"/>
      <c r="V112" s="344"/>
      <c r="W112" s="344"/>
      <c r="X112" s="344"/>
      <c r="Y112" s="344"/>
      <c r="Z112" s="344"/>
      <c r="AA112" s="344"/>
      <c r="AB112" s="344"/>
      <c r="AC112" s="344"/>
      <c r="AD112" s="344"/>
      <c r="AE112" s="344"/>
      <c r="AF112" s="344"/>
      <c r="AG112" s="344"/>
      <c r="AH112" s="344"/>
      <c r="AI112" s="344"/>
      <c r="AJ112" s="344"/>
      <c r="AK112" s="344"/>
      <c r="AL112" s="345"/>
    </row>
    <row r="113" spans="1:38" ht="15.75" customHeight="1" x14ac:dyDescent="0.25">
      <c r="A113" s="346"/>
      <c r="B113" s="347"/>
      <c r="C113" s="348"/>
      <c r="D113" s="346" t="s">
        <v>184</v>
      </c>
      <c r="E113" s="347"/>
      <c r="F113" s="347"/>
      <c r="G113" s="347"/>
      <c r="H113" s="347"/>
      <c r="I113" s="347"/>
      <c r="J113" s="347"/>
      <c r="K113" s="347"/>
      <c r="L113" s="347"/>
      <c r="M113" s="347"/>
      <c r="N113" s="347"/>
      <c r="O113" s="347"/>
      <c r="P113" s="347"/>
      <c r="Q113" s="347"/>
      <c r="R113" s="347"/>
      <c r="S113" s="347"/>
      <c r="T113" s="347"/>
      <c r="U113" s="347"/>
      <c r="V113" s="347"/>
      <c r="W113" s="347"/>
      <c r="X113" s="347"/>
      <c r="Y113" s="347"/>
      <c r="Z113" s="347"/>
      <c r="AA113" s="347"/>
      <c r="AB113" s="347"/>
      <c r="AC113" s="347"/>
      <c r="AD113" s="347"/>
      <c r="AE113" s="347"/>
      <c r="AF113" s="347"/>
      <c r="AG113" s="347"/>
      <c r="AH113" s="347"/>
      <c r="AI113" s="347"/>
      <c r="AJ113" s="347"/>
      <c r="AK113" s="347"/>
      <c r="AL113" s="348"/>
    </row>
    <row r="114" spans="1:38" ht="324.75" customHeight="1" x14ac:dyDescent="0.25">
      <c r="A114" s="406"/>
      <c r="B114" s="350"/>
      <c r="C114" s="351"/>
      <c r="D114" s="349" t="s">
        <v>185</v>
      </c>
      <c r="E114" s="350"/>
      <c r="F114" s="350"/>
      <c r="G114" s="350"/>
      <c r="H114" s="350"/>
      <c r="I114" s="350"/>
      <c r="J114" s="350"/>
      <c r="K114" s="350"/>
      <c r="L114" s="350"/>
      <c r="M114" s="350"/>
      <c r="N114" s="350"/>
      <c r="O114" s="350"/>
      <c r="P114" s="350"/>
      <c r="Q114" s="350"/>
      <c r="R114" s="350"/>
      <c r="S114" s="350"/>
      <c r="T114" s="350"/>
      <c r="U114" s="350"/>
      <c r="V114" s="350"/>
      <c r="W114" s="350"/>
      <c r="X114" s="350"/>
      <c r="Y114" s="350"/>
      <c r="Z114" s="350"/>
      <c r="AA114" s="350"/>
      <c r="AB114" s="350"/>
      <c r="AC114" s="350"/>
      <c r="AD114" s="350"/>
      <c r="AE114" s="350"/>
      <c r="AF114" s="350"/>
      <c r="AG114" s="350"/>
      <c r="AH114" s="350"/>
      <c r="AI114" s="350"/>
      <c r="AJ114" s="350"/>
      <c r="AK114" s="350"/>
      <c r="AL114" s="351"/>
    </row>
    <row r="115" spans="1:38" ht="15.75" customHeight="1" x14ac:dyDescent="0.25">
      <c r="A115" s="342" t="s">
        <v>186</v>
      </c>
      <c r="B115" s="326"/>
      <c r="C115" s="327"/>
      <c r="D115" s="342" t="s">
        <v>187</v>
      </c>
      <c r="E115" s="326"/>
      <c r="F115" s="326"/>
      <c r="G115" s="326"/>
      <c r="H115" s="326"/>
      <c r="I115" s="326"/>
      <c r="J115" s="326"/>
      <c r="K115" s="326"/>
      <c r="L115" s="326"/>
      <c r="M115" s="326"/>
      <c r="N115" s="326"/>
      <c r="O115" s="326"/>
      <c r="P115" s="326"/>
      <c r="Q115" s="326"/>
      <c r="R115" s="326"/>
      <c r="S115" s="326"/>
      <c r="T115" s="326"/>
      <c r="U115" s="326"/>
      <c r="V115" s="326"/>
      <c r="W115" s="326"/>
      <c r="X115" s="326"/>
      <c r="Y115" s="326"/>
      <c r="Z115" s="326"/>
      <c r="AA115" s="326"/>
      <c r="AB115" s="326"/>
      <c r="AC115" s="326"/>
      <c r="AD115" s="326"/>
      <c r="AE115" s="326"/>
      <c r="AF115" s="326"/>
      <c r="AG115" s="326"/>
      <c r="AH115" s="326"/>
      <c r="AI115" s="326"/>
      <c r="AJ115" s="326"/>
      <c r="AK115" s="326"/>
      <c r="AL115" s="327"/>
    </row>
    <row r="116" spans="1:38" ht="15.75" customHeight="1" x14ac:dyDescent="0.25">
      <c r="A116" s="342" t="s">
        <v>188</v>
      </c>
      <c r="B116" s="326"/>
      <c r="C116" s="327"/>
      <c r="D116" s="342" t="s">
        <v>189</v>
      </c>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26"/>
      <c r="AI116" s="326"/>
      <c r="AJ116" s="326"/>
      <c r="AK116" s="326"/>
      <c r="AL116" s="327"/>
    </row>
    <row r="117" spans="1:38" ht="15.75" customHeight="1" x14ac:dyDescent="0.25">
      <c r="A117" s="342" t="s">
        <v>190</v>
      </c>
      <c r="B117" s="326"/>
      <c r="C117" s="327"/>
      <c r="D117" s="342" t="s">
        <v>191</v>
      </c>
      <c r="E117" s="326"/>
      <c r="F117" s="326"/>
      <c r="G117" s="326"/>
      <c r="H117" s="326"/>
      <c r="I117" s="326"/>
      <c r="J117" s="326"/>
      <c r="K117" s="326"/>
      <c r="L117" s="326"/>
      <c r="M117" s="326"/>
      <c r="N117" s="326"/>
      <c r="O117" s="326"/>
      <c r="P117" s="326"/>
      <c r="Q117" s="326"/>
      <c r="R117" s="326"/>
      <c r="S117" s="326"/>
      <c r="T117" s="326"/>
      <c r="U117" s="326"/>
      <c r="V117" s="326"/>
      <c r="W117" s="326"/>
      <c r="X117" s="326"/>
      <c r="Y117" s="326"/>
      <c r="Z117" s="326"/>
      <c r="AA117" s="326"/>
      <c r="AB117" s="326"/>
      <c r="AC117" s="326"/>
      <c r="AD117" s="326"/>
      <c r="AE117" s="326"/>
      <c r="AF117" s="326"/>
      <c r="AG117" s="326"/>
      <c r="AH117" s="326"/>
      <c r="AI117" s="326"/>
      <c r="AJ117" s="326"/>
      <c r="AK117" s="326"/>
      <c r="AL117" s="327"/>
    </row>
    <row r="118" spans="1:38" ht="15.75" customHeight="1" x14ac:dyDescent="0.25">
      <c r="A118" s="342" t="s">
        <v>192</v>
      </c>
      <c r="B118" s="326"/>
      <c r="C118" s="327"/>
      <c r="D118" s="342" t="s">
        <v>193</v>
      </c>
      <c r="E118" s="326"/>
      <c r="F118" s="326"/>
      <c r="G118" s="326"/>
      <c r="H118" s="326"/>
      <c r="I118" s="326"/>
      <c r="J118" s="326"/>
      <c r="K118" s="326"/>
      <c r="L118" s="326"/>
      <c r="M118" s="326"/>
      <c r="N118" s="326"/>
      <c r="O118" s="326"/>
      <c r="P118" s="326"/>
      <c r="Q118" s="326"/>
      <c r="R118" s="326"/>
      <c r="S118" s="326"/>
      <c r="T118" s="326"/>
      <c r="U118" s="326"/>
      <c r="V118" s="326"/>
      <c r="W118" s="326"/>
      <c r="X118" s="326"/>
      <c r="Y118" s="326"/>
      <c r="Z118" s="326"/>
      <c r="AA118" s="326"/>
      <c r="AB118" s="326"/>
      <c r="AC118" s="326"/>
      <c r="AD118" s="326"/>
      <c r="AE118" s="326"/>
      <c r="AF118" s="326"/>
      <c r="AG118" s="326"/>
      <c r="AH118" s="326"/>
      <c r="AI118" s="326"/>
      <c r="AJ118" s="326"/>
      <c r="AK118" s="326"/>
      <c r="AL118" s="327"/>
    </row>
    <row r="119" spans="1:38" ht="15.75" customHeight="1" x14ac:dyDescent="0.25">
      <c r="A119" s="342" t="s">
        <v>194</v>
      </c>
      <c r="B119" s="326"/>
      <c r="C119" s="327"/>
      <c r="D119" s="342" t="s">
        <v>195</v>
      </c>
      <c r="E119" s="326"/>
      <c r="F119" s="326"/>
      <c r="G119" s="326"/>
      <c r="H119" s="326"/>
      <c r="I119" s="326"/>
      <c r="J119" s="326"/>
      <c r="K119" s="326"/>
      <c r="L119" s="326"/>
      <c r="M119" s="326"/>
      <c r="N119" s="326"/>
      <c r="O119" s="326"/>
      <c r="P119" s="326"/>
      <c r="Q119" s="326"/>
      <c r="R119" s="326"/>
      <c r="S119" s="326"/>
      <c r="T119" s="326"/>
      <c r="U119" s="326"/>
      <c r="V119" s="326"/>
      <c r="W119" s="326"/>
      <c r="X119" s="326"/>
      <c r="Y119" s="326"/>
      <c r="Z119" s="326"/>
      <c r="AA119" s="326"/>
      <c r="AB119" s="326"/>
      <c r="AC119" s="326"/>
      <c r="AD119" s="326"/>
      <c r="AE119" s="326"/>
      <c r="AF119" s="326"/>
      <c r="AG119" s="326"/>
      <c r="AH119" s="326"/>
      <c r="AI119" s="326"/>
      <c r="AJ119" s="326"/>
      <c r="AK119" s="326"/>
      <c r="AL119" s="327"/>
    </row>
    <row r="120" spans="1:38" ht="15.75" customHeight="1" x14ac:dyDescent="0.25">
      <c r="A120" s="342" t="s">
        <v>196</v>
      </c>
      <c r="B120" s="326"/>
      <c r="C120" s="327"/>
      <c r="D120" s="342" t="s">
        <v>197</v>
      </c>
      <c r="E120" s="326"/>
      <c r="F120" s="326"/>
      <c r="G120" s="326"/>
      <c r="H120" s="326"/>
      <c r="I120" s="326"/>
      <c r="J120" s="326"/>
      <c r="K120" s="326"/>
      <c r="L120" s="326"/>
      <c r="M120" s="326"/>
      <c r="N120" s="326"/>
      <c r="O120" s="326"/>
      <c r="P120" s="326"/>
      <c r="Q120" s="326"/>
      <c r="R120" s="326"/>
      <c r="S120" s="326"/>
      <c r="T120" s="326"/>
      <c r="U120" s="326"/>
      <c r="V120" s="326"/>
      <c r="W120" s="326"/>
      <c r="X120" s="326"/>
      <c r="Y120" s="326"/>
      <c r="Z120" s="326"/>
      <c r="AA120" s="326"/>
      <c r="AB120" s="326"/>
      <c r="AC120" s="326"/>
      <c r="AD120" s="326"/>
      <c r="AE120" s="326"/>
      <c r="AF120" s="326"/>
      <c r="AG120" s="326"/>
      <c r="AH120" s="326"/>
      <c r="AI120" s="326"/>
      <c r="AJ120" s="326"/>
      <c r="AK120" s="326"/>
      <c r="AL120" s="327"/>
    </row>
    <row r="121" spans="1:38" ht="15.75" customHeight="1" x14ac:dyDescent="0.25">
      <c r="A121" s="342" t="s">
        <v>198</v>
      </c>
      <c r="B121" s="326"/>
      <c r="C121" s="327"/>
      <c r="D121" s="342" t="s">
        <v>199</v>
      </c>
      <c r="E121" s="326"/>
      <c r="F121" s="326"/>
      <c r="G121" s="326"/>
      <c r="H121" s="326"/>
      <c r="I121" s="326"/>
      <c r="J121" s="326"/>
      <c r="K121" s="326"/>
      <c r="L121" s="326"/>
      <c r="M121" s="326"/>
      <c r="N121" s="326"/>
      <c r="O121" s="326"/>
      <c r="P121" s="326"/>
      <c r="Q121" s="326"/>
      <c r="R121" s="326"/>
      <c r="S121" s="326"/>
      <c r="T121" s="326"/>
      <c r="U121" s="326"/>
      <c r="V121" s="326"/>
      <c r="W121" s="326"/>
      <c r="X121" s="326"/>
      <c r="Y121" s="326"/>
      <c r="Z121" s="326"/>
      <c r="AA121" s="326"/>
      <c r="AB121" s="326"/>
      <c r="AC121" s="326"/>
      <c r="AD121" s="326"/>
      <c r="AE121" s="326"/>
      <c r="AF121" s="326"/>
      <c r="AG121" s="326"/>
      <c r="AH121" s="326"/>
      <c r="AI121" s="326"/>
      <c r="AJ121" s="326"/>
      <c r="AK121" s="326"/>
      <c r="AL121" s="327"/>
    </row>
    <row r="122" spans="1:38" ht="15.75" customHeight="1" x14ac:dyDescent="0.25">
      <c r="A122" s="342" t="s">
        <v>200</v>
      </c>
      <c r="B122" s="326"/>
      <c r="C122" s="327"/>
      <c r="D122" s="342" t="s">
        <v>201</v>
      </c>
      <c r="E122" s="326"/>
      <c r="F122" s="326"/>
      <c r="G122" s="326"/>
      <c r="H122" s="326"/>
      <c r="I122" s="326"/>
      <c r="J122" s="326"/>
      <c r="K122" s="326"/>
      <c r="L122" s="326"/>
      <c r="M122" s="326"/>
      <c r="N122" s="326"/>
      <c r="O122" s="326"/>
      <c r="P122" s="326"/>
      <c r="Q122" s="326"/>
      <c r="R122" s="326"/>
      <c r="S122" s="326"/>
      <c r="T122" s="326"/>
      <c r="U122" s="326"/>
      <c r="V122" s="326"/>
      <c r="W122" s="326"/>
      <c r="X122" s="326"/>
      <c r="Y122" s="326"/>
      <c r="Z122" s="326"/>
      <c r="AA122" s="326"/>
      <c r="AB122" s="326"/>
      <c r="AC122" s="326"/>
      <c r="AD122" s="326"/>
      <c r="AE122" s="326"/>
      <c r="AF122" s="326"/>
      <c r="AG122" s="326"/>
      <c r="AH122" s="326"/>
      <c r="AI122" s="326"/>
      <c r="AJ122" s="326"/>
      <c r="AK122" s="326"/>
      <c r="AL122" s="327"/>
    </row>
    <row r="123" spans="1:38" ht="30" customHeight="1" x14ac:dyDescent="0.25">
      <c r="A123" s="342" t="s">
        <v>202</v>
      </c>
      <c r="B123" s="326"/>
      <c r="C123" s="327"/>
      <c r="D123" s="342" t="s">
        <v>203</v>
      </c>
      <c r="E123" s="326"/>
      <c r="F123" s="326"/>
      <c r="G123" s="326"/>
      <c r="H123" s="326"/>
      <c r="I123" s="326"/>
      <c r="J123" s="326"/>
      <c r="K123" s="326"/>
      <c r="L123" s="326"/>
      <c r="M123" s="326"/>
      <c r="N123" s="326"/>
      <c r="O123" s="326"/>
      <c r="P123" s="326"/>
      <c r="Q123" s="326"/>
      <c r="R123" s="326"/>
      <c r="S123" s="326"/>
      <c r="T123" s="326"/>
      <c r="U123" s="326"/>
      <c r="V123" s="326"/>
      <c r="W123" s="326"/>
      <c r="X123" s="326"/>
      <c r="Y123" s="326"/>
      <c r="Z123" s="326"/>
      <c r="AA123" s="326"/>
      <c r="AB123" s="326"/>
      <c r="AC123" s="326"/>
      <c r="AD123" s="326"/>
      <c r="AE123" s="326"/>
      <c r="AF123" s="326"/>
      <c r="AG123" s="326"/>
      <c r="AH123" s="326"/>
      <c r="AI123" s="326"/>
      <c r="AJ123" s="326"/>
      <c r="AK123" s="326"/>
      <c r="AL123" s="327"/>
    </row>
    <row r="124" spans="1:38" ht="30" customHeight="1" x14ac:dyDescent="0.25">
      <c r="A124" s="342" t="s">
        <v>204</v>
      </c>
      <c r="B124" s="326"/>
      <c r="C124" s="327"/>
      <c r="D124" s="342" t="s">
        <v>205</v>
      </c>
      <c r="E124" s="326"/>
      <c r="F124" s="326"/>
      <c r="G124" s="326"/>
      <c r="H124" s="326"/>
      <c r="I124" s="326"/>
      <c r="J124" s="326"/>
      <c r="K124" s="326"/>
      <c r="L124" s="326"/>
      <c r="M124" s="326"/>
      <c r="N124" s="326"/>
      <c r="O124" s="326"/>
      <c r="P124" s="326"/>
      <c r="Q124" s="326"/>
      <c r="R124" s="326"/>
      <c r="S124" s="326"/>
      <c r="T124" s="326"/>
      <c r="U124" s="326"/>
      <c r="V124" s="326"/>
      <c r="W124" s="326"/>
      <c r="X124" s="326"/>
      <c r="Y124" s="326"/>
      <c r="Z124" s="326"/>
      <c r="AA124" s="326"/>
      <c r="AB124" s="326"/>
      <c r="AC124" s="326"/>
      <c r="AD124" s="326"/>
      <c r="AE124" s="326"/>
      <c r="AF124" s="326"/>
      <c r="AG124" s="326"/>
      <c r="AH124" s="326"/>
      <c r="AI124" s="326"/>
      <c r="AJ124" s="326"/>
      <c r="AK124" s="326"/>
      <c r="AL124" s="327"/>
    </row>
    <row r="125" spans="1:38" ht="15.75" customHeight="1" x14ac:dyDescent="0.25">
      <c r="A125" s="342" t="s">
        <v>206</v>
      </c>
      <c r="B125" s="326"/>
      <c r="C125" s="327"/>
      <c r="D125" s="342" t="s">
        <v>79</v>
      </c>
      <c r="E125" s="326"/>
      <c r="F125" s="326"/>
      <c r="G125" s="326"/>
      <c r="H125" s="326"/>
      <c r="I125" s="326"/>
      <c r="J125" s="326"/>
      <c r="K125" s="326"/>
      <c r="L125" s="326"/>
      <c r="M125" s="326"/>
      <c r="N125" s="326"/>
      <c r="O125" s="326"/>
      <c r="P125" s="326"/>
      <c r="Q125" s="326"/>
      <c r="R125" s="326"/>
      <c r="S125" s="326"/>
      <c r="T125" s="326"/>
      <c r="U125" s="326"/>
      <c r="V125" s="326"/>
      <c r="W125" s="326"/>
      <c r="X125" s="326"/>
      <c r="Y125" s="326"/>
      <c r="Z125" s="326"/>
      <c r="AA125" s="326"/>
      <c r="AB125" s="326"/>
      <c r="AC125" s="326"/>
      <c r="AD125" s="326"/>
      <c r="AE125" s="326"/>
      <c r="AF125" s="326"/>
      <c r="AG125" s="326"/>
      <c r="AH125" s="326"/>
      <c r="AI125" s="326"/>
      <c r="AJ125" s="326"/>
      <c r="AK125" s="326"/>
      <c r="AL125" s="327"/>
    </row>
    <row r="126" spans="1:38" ht="15.75" customHeight="1" x14ac:dyDescent="0.25">
      <c r="A126" s="352" t="s">
        <v>207</v>
      </c>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3"/>
    </row>
    <row r="127" spans="1:38" ht="15.75" customHeight="1" x14ac:dyDescent="0.25">
      <c r="A127" s="334"/>
      <c r="B127" s="335"/>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c r="AJ127" s="335"/>
      <c r="AK127" s="335"/>
      <c r="AL127" s="336"/>
    </row>
    <row r="128" spans="1:38" ht="15.75" customHeight="1" x14ac:dyDescent="0.25">
      <c r="A128" s="337"/>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8"/>
      <c r="AD128" s="338"/>
      <c r="AE128" s="338"/>
      <c r="AF128" s="338"/>
      <c r="AG128" s="338"/>
      <c r="AH128" s="338"/>
      <c r="AI128" s="338"/>
      <c r="AJ128" s="338"/>
      <c r="AK128" s="338"/>
      <c r="AL128" s="339"/>
    </row>
    <row r="129" spans="1:38" ht="15.75" customHeight="1" x14ac:dyDescent="0.25">
      <c r="A129" s="342" t="s">
        <v>47</v>
      </c>
      <c r="B129" s="326"/>
      <c r="C129" s="327"/>
      <c r="D129" s="342" t="s">
        <v>60</v>
      </c>
      <c r="E129" s="326"/>
      <c r="F129" s="326"/>
      <c r="G129" s="326"/>
      <c r="H129" s="326"/>
      <c r="I129" s="326"/>
      <c r="J129" s="326"/>
      <c r="K129" s="326"/>
      <c r="L129" s="326"/>
      <c r="M129" s="326"/>
      <c r="N129" s="326"/>
      <c r="O129" s="326"/>
      <c r="P129" s="326"/>
      <c r="Q129" s="326"/>
      <c r="R129" s="326"/>
      <c r="S129" s="326"/>
      <c r="T129" s="326"/>
      <c r="U129" s="326"/>
      <c r="V129" s="326"/>
      <c r="W129" s="326"/>
      <c r="X129" s="326"/>
      <c r="Y129" s="326"/>
      <c r="Z129" s="326"/>
      <c r="AA129" s="326"/>
      <c r="AB129" s="326"/>
      <c r="AC129" s="326"/>
      <c r="AD129" s="326"/>
      <c r="AE129" s="326"/>
      <c r="AF129" s="326"/>
      <c r="AG129" s="326"/>
      <c r="AH129" s="326"/>
      <c r="AI129" s="326"/>
      <c r="AJ129" s="326"/>
      <c r="AK129" s="326"/>
      <c r="AL129" s="327"/>
    </row>
    <row r="130" spans="1:38" ht="15.75" customHeight="1" x14ac:dyDescent="0.25">
      <c r="A130" s="325" t="s">
        <v>49</v>
      </c>
      <c r="B130" s="326"/>
      <c r="C130" s="327"/>
      <c r="D130" s="325" t="s">
        <v>139</v>
      </c>
      <c r="E130" s="326"/>
      <c r="F130" s="326"/>
      <c r="G130" s="326"/>
      <c r="H130" s="326"/>
      <c r="I130" s="326"/>
      <c r="J130" s="326"/>
      <c r="K130" s="326"/>
      <c r="L130" s="326"/>
      <c r="M130" s="326"/>
      <c r="N130" s="326"/>
      <c r="O130" s="326"/>
      <c r="P130" s="326"/>
      <c r="Q130" s="326"/>
      <c r="R130" s="326"/>
      <c r="S130" s="326"/>
      <c r="T130" s="326"/>
      <c r="U130" s="326"/>
      <c r="V130" s="326"/>
      <c r="W130" s="326"/>
      <c r="X130" s="326"/>
      <c r="Y130" s="326"/>
      <c r="Z130" s="326"/>
      <c r="AA130" s="326"/>
      <c r="AB130" s="326"/>
      <c r="AC130" s="326"/>
      <c r="AD130" s="326"/>
      <c r="AE130" s="326"/>
      <c r="AF130" s="326"/>
      <c r="AG130" s="326"/>
      <c r="AH130" s="326"/>
      <c r="AI130" s="326"/>
      <c r="AJ130" s="326"/>
      <c r="AK130" s="326"/>
      <c r="AL130" s="327"/>
    </row>
    <row r="131" spans="1:38" ht="15.75" customHeight="1" x14ac:dyDescent="0.25">
      <c r="A131" s="342" t="s">
        <v>62</v>
      </c>
      <c r="B131" s="326"/>
      <c r="C131" s="327"/>
      <c r="D131" s="342" t="s">
        <v>140</v>
      </c>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26"/>
      <c r="AI131" s="326"/>
      <c r="AJ131" s="326"/>
      <c r="AK131" s="326"/>
      <c r="AL131" s="327"/>
    </row>
    <row r="132" spans="1:38" ht="15.75" customHeight="1" x14ac:dyDescent="0.25">
      <c r="A132" s="325" t="s">
        <v>64</v>
      </c>
      <c r="B132" s="326"/>
      <c r="C132" s="327"/>
      <c r="D132" s="325" t="s">
        <v>178</v>
      </c>
      <c r="E132" s="326"/>
      <c r="F132" s="326"/>
      <c r="G132" s="326"/>
      <c r="H132" s="326"/>
      <c r="I132" s="326"/>
      <c r="J132" s="326"/>
      <c r="K132" s="326"/>
      <c r="L132" s="326"/>
      <c r="M132" s="326"/>
      <c r="N132" s="326"/>
      <c r="O132" s="326"/>
      <c r="P132" s="326"/>
      <c r="Q132" s="326"/>
      <c r="R132" s="326"/>
      <c r="S132" s="326"/>
      <c r="T132" s="326"/>
      <c r="U132" s="326"/>
      <c r="V132" s="326"/>
      <c r="W132" s="326"/>
      <c r="X132" s="326"/>
      <c r="Y132" s="326"/>
      <c r="Z132" s="326"/>
      <c r="AA132" s="326"/>
      <c r="AB132" s="326"/>
      <c r="AC132" s="326"/>
      <c r="AD132" s="326"/>
      <c r="AE132" s="326"/>
      <c r="AF132" s="326"/>
      <c r="AG132" s="326"/>
      <c r="AH132" s="326"/>
      <c r="AI132" s="326"/>
      <c r="AJ132" s="326"/>
      <c r="AK132" s="326"/>
      <c r="AL132" s="327"/>
    </row>
    <row r="133" spans="1:38" ht="15.75" customHeight="1" x14ac:dyDescent="0.25">
      <c r="A133" s="342" t="s">
        <v>66</v>
      </c>
      <c r="B133" s="326"/>
      <c r="C133" s="327"/>
      <c r="D133" s="342" t="s">
        <v>208</v>
      </c>
      <c r="E133" s="326"/>
      <c r="F133" s="326"/>
      <c r="G133" s="326"/>
      <c r="H133" s="326"/>
      <c r="I133" s="326"/>
      <c r="J133" s="326"/>
      <c r="K133" s="326"/>
      <c r="L133" s="326"/>
      <c r="M133" s="326"/>
      <c r="N133" s="326"/>
      <c r="O133" s="326"/>
      <c r="P133" s="326"/>
      <c r="Q133" s="326"/>
      <c r="R133" s="326"/>
      <c r="S133" s="326"/>
      <c r="T133" s="326"/>
      <c r="U133" s="326"/>
      <c r="V133" s="326"/>
      <c r="W133" s="326"/>
      <c r="X133" s="326"/>
      <c r="Y133" s="326"/>
      <c r="Z133" s="326"/>
      <c r="AA133" s="326"/>
      <c r="AB133" s="326"/>
      <c r="AC133" s="326"/>
      <c r="AD133" s="326"/>
      <c r="AE133" s="326"/>
      <c r="AF133" s="326"/>
      <c r="AG133" s="326"/>
      <c r="AH133" s="326"/>
      <c r="AI133" s="326"/>
      <c r="AJ133" s="326"/>
      <c r="AK133" s="326"/>
      <c r="AL133" s="327"/>
    </row>
    <row r="134" spans="1:38" ht="15" customHeight="1" x14ac:dyDescent="0.25">
      <c r="A134" s="325" t="s">
        <v>180</v>
      </c>
      <c r="B134" s="326"/>
      <c r="C134" s="327"/>
      <c r="D134" s="356" t="s">
        <v>181</v>
      </c>
      <c r="E134" s="326"/>
      <c r="F134" s="326"/>
      <c r="G134" s="326"/>
      <c r="H134" s="326"/>
      <c r="I134" s="326"/>
      <c r="J134" s="326"/>
      <c r="K134" s="326"/>
      <c r="L134" s="326"/>
      <c r="M134" s="326"/>
      <c r="N134" s="326"/>
      <c r="O134" s="326"/>
      <c r="P134" s="326"/>
      <c r="Q134" s="326"/>
      <c r="R134" s="326"/>
      <c r="S134" s="326"/>
      <c r="T134" s="326"/>
      <c r="U134" s="326"/>
      <c r="V134" s="326"/>
      <c r="W134" s="326"/>
      <c r="X134" s="326"/>
      <c r="Y134" s="326"/>
      <c r="Z134" s="326"/>
      <c r="AA134" s="326"/>
      <c r="AB134" s="326"/>
      <c r="AC134" s="326"/>
      <c r="AD134" s="326"/>
      <c r="AE134" s="326"/>
      <c r="AF134" s="326"/>
      <c r="AG134" s="326"/>
      <c r="AH134" s="326"/>
      <c r="AI134" s="326"/>
      <c r="AJ134" s="326"/>
      <c r="AK134" s="326"/>
      <c r="AL134" s="327"/>
    </row>
    <row r="135" spans="1:38" ht="15.75" customHeight="1" x14ac:dyDescent="0.25">
      <c r="A135" s="325" t="s">
        <v>209</v>
      </c>
      <c r="B135" s="326"/>
      <c r="C135" s="327"/>
      <c r="D135" s="325" t="s">
        <v>191</v>
      </c>
      <c r="E135" s="326"/>
      <c r="F135" s="326"/>
      <c r="G135" s="326"/>
      <c r="H135" s="326"/>
      <c r="I135" s="326"/>
      <c r="J135" s="326"/>
      <c r="K135" s="326"/>
      <c r="L135" s="326"/>
      <c r="M135" s="326"/>
      <c r="N135" s="326"/>
      <c r="O135" s="326"/>
      <c r="P135" s="326"/>
      <c r="Q135" s="326"/>
      <c r="R135" s="326"/>
      <c r="S135" s="326"/>
      <c r="T135" s="326"/>
      <c r="U135" s="326"/>
      <c r="V135" s="326"/>
      <c r="W135" s="326"/>
      <c r="X135" s="326"/>
      <c r="Y135" s="326"/>
      <c r="Z135" s="326"/>
      <c r="AA135" s="326"/>
      <c r="AB135" s="326"/>
      <c r="AC135" s="326"/>
      <c r="AD135" s="326"/>
      <c r="AE135" s="326"/>
      <c r="AF135" s="326"/>
      <c r="AG135" s="326"/>
      <c r="AH135" s="326"/>
      <c r="AI135" s="326"/>
      <c r="AJ135" s="326"/>
      <c r="AK135" s="326"/>
      <c r="AL135" s="327"/>
    </row>
    <row r="136" spans="1:38" ht="15.75" customHeight="1" x14ac:dyDescent="0.25">
      <c r="A136" s="325" t="s">
        <v>210</v>
      </c>
      <c r="B136" s="326"/>
      <c r="C136" s="327"/>
      <c r="D136" s="325" t="s">
        <v>211</v>
      </c>
      <c r="E136" s="326"/>
      <c r="F136" s="326"/>
      <c r="G136" s="326"/>
      <c r="H136" s="326"/>
      <c r="I136" s="326"/>
      <c r="J136" s="326"/>
      <c r="K136" s="326"/>
      <c r="L136" s="326"/>
      <c r="M136" s="326"/>
      <c r="N136" s="326"/>
      <c r="O136" s="326"/>
      <c r="P136" s="326"/>
      <c r="Q136" s="326"/>
      <c r="R136" s="326"/>
      <c r="S136" s="326"/>
      <c r="T136" s="326"/>
      <c r="U136" s="326"/>
      <c r="V136" s="326"/>
      <c r="W136" s="326"/>
      <c r="X136" s="326"/>
      <c r="Y136" s="326"/>
      <c r="Z136" s="326"/>
      <c r="AA136" s="326"/>
      <c r="AB136" s="326"/>
      <c r="AC136" s="326"/>
      <c r="AD136" s="326"/>
      <c r="AE136" s="326"/>
      <c r="AF136" s="326"/>
      <c r="AG136" s="326"/>
      <c r="AH136" s="326"/>
      <c r="AI136" s="326"/>
      <c r="AJ136" s="326"/>
      <c r="AK136" s="326"/>
      <c r="AL136" s="327"/>
    </row>
    <row r="137" spans="1:38" ht="15.75" customHeight="1" x14ac:dyDescent="0.25">
      <c r="A137" s="325" t="s">
        <v>212</v>
      </c>
      <c r="B137" s="326"/>
      <c r="C137" s="327"/>
      <c r="D137" s="325" t="s">
        <v>195</v>
      </c>
      <c r="E137" s="326"/>
      <c r="F137" s="326"/>
      <c r="G137" s="326"/>
      <c r="H137" s="326"/>
      <c r="I137" s="326"/>
      <c r="J137" s="326"/>
      <c r="K137" s="326"/>
      <c r="L137" s="326"/>
      <c r="M137" s="326"/>
      <c r="N137" s="326"/>
      <c r="O137" s="326"/>
      <c r="P137" s="326"/>
      <c r="Q137" s="326"/>
      <c r="R137" s="326"/>
      <c r="S137" s="326"/>
      <c r="T137" s="326"/>
      <c r="U137" s="326"/>
      <c r="V137" s="326"/>
      <c r="W137" s="326"/>
      <c r="X137" s="326"/>
      <c r="Y137" s="326"/>
      <c r="Z137" s="326"/>
      <c r="AA137" s="326"/>
      <c r="AB137" s="326"/>
      <c r="AC137" s="326"/>
      <c r="AD137" s="326"/>
      <c r="AE137" s="326"/>
      <c r="AF137" s="326"/>
      <c r="AG137" s="326"/>
      <c r="AH137" s="326"/>
      <c r="AI137" s="326"/>
      <c r="AJ137" s="326"/>
      <c r="AK137" s="326"/>
      <c r="AL137" s="327"/>
    </row>
    <row r="138" spans="1:38" ht="15.75" customHeight="1" x14ac:dyDescent="0.25">
      <c r="A138" s="325" t="s">
        <v>213</v>
      </c>
      <c r="B138" s="326"/>
      <c r="C138" s="327"/>
      <c r="D138" s="325" t="s">
        <v>214</v>
      </c>
      <c r="E138" s="326"/>
      <c r="F138" s="326"/>
      <c r="G138" s="326"/>
      <c r="H138" s="326"/>
      <c r="I138" s="326"/>
      <c r="J138" s="326"/>
      <c r="K138" s="326"/>
      <c r="L138" s="326"/>
      <c r="M138" s="326"/>
      <c r="N138" s="326"/>
      <c r="O138" s="326"/>
      <c r="P138" s="326"/>
      <c r="Q138" s="326"/>
      <c r="R138" s="326"/>
      <c r="S138" s="326"/>
      <c r="T138" s="326"/>
      <c r="U138" s="326"/>
      <c r="V138" s="326"/>
      <c r="W138" s="326"/>
      <c r="X138" s="326"/>
      <c r="Y138" s="326"/>
      <c r="Z138" s="326"/>
      <c r="AA138" s="326"/>
      <c r="AB138" s="326"/>
      <c r="AC138" s="326"/>
      <c r="AD138" s="326"/>
      <c r="AE138" s="326"/>
      <c r="AF138" s="326"/>
      <c r="AG138" s="326"/>
      <c r="AH138" s="326"/>
      <c r="AI138" s="326"/>
      <c r="AJ138" s="326"/>
      <c r="AK138" s="326"/>
      <c r="AL138" s="327"/>
    </row>
    <row r="139" spans="1:38" ht="15.75" customHeight="1" x14ac:dyDescent="0.25">
      <c r="A139" s="325" t="s">
        <v>215</v>
      </c>
      <c r="B139" s="326"/>
      <c r="C139" s="327"/>
      <c r="D139" s="325" t="s">
        <v>216</v>
      </c>
      <c r="E139" s="326"/>
      <c r="F139" s="326"/>
      <c r="G139" s="326"/>
      <c r="H139" s="326"/>
      <c r="I139" s="326"/>
      <c r="J139" s="326"/>
      <c r="K139" s="326"/>
      <c r="L139" s="326"/>
      <c r="M139" s="326"/>
      <c r="N139" s="326"/>
      <c r="O139" s="326"/>
      <c r="P139" s="326"/>
      <c r="Q139" s="326"/>
      <c r="R139" s="326"/>
      <c r="S139" s="326"/>
      <c r="T139" s="326"/>
      <c r="U139" s="326"/>
      <c r="V139" s="326"/>
      <c r="W139" s="326"/>
      <c r="X139" s="326"/>
      <c r="Y139" s="326"/>
      <c r="Z139" s="326"/>
      <c r="AA139" s="326"/>
      <c r="AB139" s="326"/>
      <c r="AC139" s="326"/>
      <c r="AD139" s="326"/>
      <c r="AE139" s="326"/>
      <c r="AF139" s="326"/>
      <c r="AG139" s="326"/>
      <c r="AH139" s="326"/>
      <c r="AI139" s="326"/>
      <c r="AJ139" s="326"/>
      <c r="AK139" s="326"/>
      <c r="AL139" s="327"/>
    </row>
    <row r="140" spans="1:38" ht="15.75" customHeight="1" x14ac:dyDescent="0.25">
      <c r="A140" s="325" t="s">
        <v>217</v>
      </c>
      <c r="B140" s="326"/>
      <c r="C140" s="327"/>
      <c r="D140" s="325" t="s">
        <v>218</v>
      </c>
      <c r="E140" s="326"/>
      <c r="F140" s="326"/>
      <c r="G140" s="326"/>
      <c r="H140" s="326"/>
      <c r="I140" s="326"/>
      <c r="J140" s="326"/>
      <c r="K140" s="326"/>
      <c r="L140" s="326"/>
      <c r="M140" s="326"/>
      <c r="N140" s="326"/>
      <c r="O140" s="326"/>
      <c r="P140" s="326"/>
      <c r="Q140" s="326"/>
      <c r="R140" s="326"/>
      <c r="S140" s="326"/>
      <c r="T140" s="326"/>
      <c r="U140" s="326"/>
      <c r="V140" s="326"/>
      <c r="W140" s="326"/>
      <c r="X140" s="326"/>
      <c r="Y140" s="326"/>
      <c r="Z140" s="326"/>
      <c r="AA140" s="326"/>
      <c r="AB140" s="326"/>
      <c r="AC140" s="326"/>
      <c r="AD140" s="326"/>
      <c r="AE140" s="326"/>
      <c r="AF140" s="326"/>
      <c r="AG140" s="326"/>
      <c r="AH140" s="326"/>
      <c r="AI140" s="326"/>
      <c r="AJ140" s="326"/>
      <c r="AK140" s="326"/>
      <c r="AL140" s="327"/>
    </row>
    <row r="141" spans="1:38" ht="39.75" customHeight="1" x14ac:dyDescent="0.25">
      <c r="A141" s="325" t="s">
        <v>219</v>
      </c>
      <c r="B141" s="326"/>
      <c r="C141" s="327"/>
      <c r="D141" s="325" t="s">
        <v>220</v>
      </c>
      <c r="E141" s="326"/>
      <c r="F141" s="326"/>
      <c r="G141" s="326"/>
      <c r="H141" s="326"/>
      <c r="I141" s="326"/>
      <c r="J141" s="326"/>
      <c r="K141" s="326"/>
      <c r="L141" s="326"/>
      <c r="M141" s="326"/>
      <c r="N141" s="326"/>
      <c r="O141" s="326"/>
      <c r="P141" s="326"/>
      <c r="Q141" s="326"/>
      <c r="R141" s="326"/>
      <c r="S141" s="326"/>
      <c r="T141" s="326"/>
      <c r="U141" s="326"/>
      <c r="V141" s="326"/>
      <c r="W141" s="326"/>
      <c r="X141" s="326"/>
      <c r="Y141" s="326"/>
      <c r="Z141" s="326"/>
      <c r="AA141" s="326"/>
      <c r="AB141" s="326"/>
      <c r="AC141" s="326"/>
      <c r="AD141" s="326"/>
      <c r="AE141" s="326"/>
      <c r="AF141" s="326"/>
      <c r="AG141" s="326"/>
      <c r="AH141" s="326"/>
      <c r="AI141" s="326"/>
      <c r="AJ141" s="326"/>
      <c r="AK141" s="326"/>
      <c r="AL141" s="327"/>
    </row>
    <row r="142" spans="1:38" ht="30" customHeight="1" x14ac:dyDescent="0.25">
      <c r="A142" s="325" t="s">
        <v>221</v>
      </c>
      <c r="B142" s="326"/>
      <c r="C142" s="327"/>
      <c r="D142" s="325" t="s">
        <v>205</v>
      </c>
      <c r="E142" s="326"/>
      <c r="F142" s="326"/>
      <c r="G142" s="326"/>
      <c r="H142" s="326"/>
      <c r="I142" s="326"/>
      <c r="J142" s="326"/>
      <c r="K142" s="326"/>
      <c r="L142" s="326"/>
      <c r="M142" s="326"/>
      <c r="N142" s="326"/>
      <c r="O142" s="326"/>
      <c r="P142" s="326"/>
      <c r="Q142" s="326"/>
      <c r="R142" s="326"/>
      <c r="S142" s="326"/>
      <c r="T142" s="326"/>
      <c r="U142" s="326"/>
      <c r="V142" s="326"/>
      <c r="W142" s="326"/>
      <c r="X142" s="326"/>
      <c r="Y142" s="326"/>
      <c r="Z142" s="326"/>
      <c r="AA142" s="326"/>
      <c r="AB142" s="326"/>
      <c r="AC142" s="326"/>
      <c r="AD142" s="326"/>
      <c r="AE142" s="326"/>
      <c r="AF142" s="326"/>
      <c r="AG142" s="326"/>
      <c r="AH142" s="326"/>
      <c r="AI142" s="326"/>
      <c r="AJ142" s="326"/>
      <c r="AK142" s="326"/>
      <c r="AL142" s="327"/>
    </row>
    <row r="143" spans="1:38" ht="15.75" customHeight="1" x14ac:dyDescent="0.25">
      <c r="A143" s="325" t="s">
        <v>222</v>
      </c>
      <c r="B143" s="326"/>
      <c r="C143" s="327"/>
      <c r="D143" s="325" t="s">
        <v>223</v>
      </c>
      <c r="E143" s="326"/>
      <c r="F143" s="326"/>
      <c r="G143" s="326"/>
      <c r="H143" s="326"/>
      <c r="I143" s="326"/>
      <c r="J143" s="326"/>
      <c r="K143" s="326"/>
      <c r="L143" s="326"/>
      <c r="M143" s="326"/>
      <c r="N143" s="326"/>
      <c r="O143" s="326"/>
      <c r="P143" s="326"/>
      <c r="Q143" s="326"/>
      <c r="R143" s="326"/>
      <c r="S143" s="326"/>
      <c r="T143" s="326"/>
      <c r="U143" s="326"/>
      <c r="V143" s="326"/>
      <c r="W143" s="326"/>
      <c r="X143" s="326"/>
      <c r="Y143" s="326"/>
      <c r="Z143" s="326"/>
      <c r="AA143" s="326"/>
      <c r="AB143" s="326"/>
      <c r="AC143" s="326"/>
      <c r="AD143" s="326"/>
      <c r="AE143" s="326"/>
      <c r="AF143" s="326"/>
      <c r="AG143" s="326"/>
      <c r="AH143" s="326"/>
      <c r="AI143" s="326"/>
      <c r="AJ143" s="326"/>
      <c r="AK143" s="326"/>
      <c r="AL143" s="327"/>
    </row>
    <row r="144" spans="1:38" ht="15.75" customHeight="1" x14ac:dyDescent="0.25">
      <c r="A144" s="328" t="s">
        <v>224</v>
      </c>
      <c r="B144" s="326"/>
      <c r="C144" s="327"/>
      <c r="D144" s="328" t="s">
        <v>225</v>
      </c>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326"/>
      <c r="AF144" s="326"/>
      <c r="AG144" s="326"/>
      <c r="AH144" s="326"/>
      <c r="AI144" s="326"/>
      <c r="AJ144" s="326"/>
      <c r="AK144" s="326"/>
      <c r="AL144" s="327"/>
    </row>
    <row r="145" spans="1:38" ht="15.75" customHeight="1" x14ac:dyDescent="0.25">
      <c r="A145" s="328" t="s">
        <v>226</v>
      </c>
      <c r="B145" s="326"/>
      <c r="C145" s="327"/>
      <c r="D145" s="328" t="s">
        <v>227</v>
      </c>
      <c r="E145" s="326"/>
      <c r="F145" s="326"/>
      <c r="G145" s="326"/>
      <c r="H145" s="326"/>
      <c r="I145" s="326"/>
      <c r="J145" s="326"/>
      <c r="K145" s="326"/>
      <c r="L145" s="326"/>
      <c r="M145" s="326"/>
      <c r="N145" s="326"/>
      <c r="O145" s="326"/>
      <c r="P145" s="326"/>
      <c r="Q145" s="326"/>
      <c r="R145" s="326"/>
      <c r="S145" s="326"/>
      <c r="T145" s="326"/>
      <c r="U145" s="326"/>
      <c r="V145" s="326"/>
      <c r="W145" s="326"/>
      <c r="X145" s="326"/>
      <c r="Y145" s="326"/>
      <c r="Z145" s="326"/>
      <c r="AA145" s="326"/>
      <c r="AB145" s="326"/>
      <c r="AC145" s="326"/>
      <c r="AD145" s="326"/>
      <c r="AE145" s="326"/>
      <c r="AF145" s="326"/>
      <c r="AG145" s="326"/>
      <c r="AH145" s="326"/>
      <c r="AI145" s="326"/>
      <c r="AJ145" s="326"/>
      <c r="AK145" s="326"/>
      <c r="AL145" s="327"/>
    </row>
    <row r="146" spans="1:38" ht="15.75" customHeight="1" x14ac:dyDescent="0.25">
      <c r="A146" s="328" t="s">
        <v>228</v>
      </c>
      <c r="B146" s="326"/>
      <c r="C146" s="327"/>
      <c r="D146" s="328" t="s">
        <v>229</v>
      </c>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26"/>
      <c r="AI146" s="326"/>
      <c r="AJ146" s="326"/>
      <c r="AK146" s="326"/>
      <c r="AL146" s="327"/>
    </row>
    <row r="147" spans="1:38" ht="15.75" customHeight="1" x14ac:dyDescent="0.25">
      <c r="A147" s="328" t="s">
        <v>230</v>
      </c>
      <c r="B147" s="326"/>
      <c r="C147" s="327"/>
      <c r="D147" s="328" t="s">
        <v>231</v>
      </c>
      <c r="E147" s="326"/>
      <c r="F147" s="326"/>
      <c r="G147" s="326"/>
      <c r="H147" s="326"/>
      <c r="I147" s="326"/>
      <c r="J147" s="326"/>
      <c r="K147" s="326"/>
      <c r="L147" s="326"/>
      <c r="M147" s="326"/>
      <c r="N147" s="326"/>
      <c r="O147" s="326"/>
      <c r="P147" s="326"/>
      <c r="Q147" s="326"/>
      <c r="R147" s="326"/>
      <c r="S147" s="326"/>
      <c r="T147" s="326"/>
      <c r="U147" s="326"/>
      <c r="V147" s="326"/>
      <c r="W147" s="326"/>
      <c r="X147" s="326"/>
      <c r="Y147" s="326"/>
      <c r="Z147" s="326"/>
      <c r="AA147" s="326"/>
      <c r="AB147" s="326"/>
      <c r="AC147" s="326"/>
      <c r="AD147" s="326"/>
      <c r="AE147" s="326"/>
      <c r="AF147" s="326"/>
      <c r="AG147" s="326"/>
      <c r="AH147" s="326"/>
      <c r="AI147" s="326"/>
      <c r="AJ147" s="326"/>
      <c r="AK147" s="326"/>
      <c r="AL147" s="327"/>
    </row>
    <row r="148" spans="1:38" ht="15.75" customHeight="1" x14ac:dyDescent="0.25">
      <c r="A148" s="328" t="s">
        <v>232</v>
      </c>
      <c r="B148" s="326"/>
      <c r="C148" s="327"/>
      <c r="D148" s="328" t="s">
        <v>233</v>
      </c>
      <c r="E148" s="326"/>
      <c r="F148" s="326"/>
      <c r="G148" s="326"/>
      <c r="H148" s="326"/>
      <c r="I148" s="326"/>
      <c r="J148" s="326"/>
      <c r="K148" s="326"/>
      <c r="L148" s="326"/>
      <c r="M148" s="326"/>
      <c r="N148" s="326"/>
      <c r="O148" s="326"/>
      <c r="P148" s="326"/>
      <c r="Q148" s="326"/>
      <c r="R148" s="326"/>
      <c r="S148" s="326"/>
      <c r="T148" s="326"/>
      <c r="U148" s="326"/>
      <c r="V148" s="326"/>
      <c r="W148" s="326"/>
      <c r="X148" s="326"/>
      <c r="Y148" s="326"/>
      <c r="Z148" s="326"/>
      <c r="AA148" s="326"/>
      <c r="AB148" s="326"/>
      <c r="AC148" s="326"/>
      <c r="AD148" s="326"/>
      <c r="AE148" s="326"/>
      <c r="AF148" s="326"/>
      <c r="AG148" s="326"/>
      <c r="AH148" s="326"/>
      <c r="AI148" s="326"/>
      <c r="AJ148" s="326"/>
      <c r="AK148" s="326"/>
      <c r="AL148" s="327"/>
    </row>
    <row r="149" spans="1:38" ht="15.75" customHeight="1" x14ac:dyDescent="0.25">
      <c r="A149" s="328" t="s">
        <v>234</v>
      </c>
      <c r="B149" s="326"/>
      <c r="C149" s="327"/>
      <c r="D149" s="328" t="s">
        <v>235</v>
      </c>
      <c r="E149" s="326"/>
      <c r="F149" s="326"/>
      <c r="G149" s="326"/>
      <c r="H149" s="326"/>
      <c r="I149" s="326"/>
      <c r="J149" s="326"/>
      <c r="K149" s="326"/>
      <c r="L149" s="326"/>
      <c r="M149" s="326"/>
      <c r="N149" s="326"/>
      <c r="O149" s="326"/>
      <c r="P149" s="326"/>
      <c r="Q149" s="326"/>
      <c r="R149" s="326"/>
      <c r="S149" s="326"/>
      <c r="T149" s="326"/>
      <c r="U149" s="326"/>
      <c r="V149" s="326"/>
      <c r="W149" s="326"/>
      <c r="X149" s="326"/>
      <c r="Y149" s="326"/>
      <c r="Z149" s="326"/>
      <c r="AA149" s="326"/>
      <c r="AB149" s="326"/>
      <c r="AC149" s="326"/>
      <c r="AD149" s="326"/>
      <c r="AE149" s="326"/>
      <c r="AF149" s="326"/>
      <c r="AG149" s="326"/>
      <c r="AH149" s="326"/>
      <c r="AI149" s="326"/>
      <c r="AJ149" s="326"/>
      <c r="AK149" s="326"/>
      <c r="AL149" s="327"/>
    </row>
    <row r="150" spans="1:38" ht="15.75" customHeight="1" x14ac:dyDescent="0.25">
      <c r="A150" s="357" t="s">
        <v>236</v>
      </c>
      <c r="B150" s="350"/>
      <c r="C150" s="350"/>
      <c r="D150" s="350"/>
      <c r="E150" s="350"/>
      <c r="F150" s="350"/>
      <c r="G150" s="350"/>
      <c r="H150" s="350"/>
      <c r="I150" s="350"/>
      <c r="J150" s="350"/>
      <c r="K150" s="350"/>
      <c r="L150" s="350"/>
      <c r="M150" s="350"/>
      <c r="N150" s="350"/>
      <c r="O150" s="350"/>
      <c r="P150" s="350"/>
      <c r="Q150" s="350"/>
      <c r="R150" s="350"/>
      <c r="S150" s="350"/>
      <c r="T150" s="350"/>
      <c r="U150" s="350"/>
      <c r="V150" s="350"/>
      <c r="W150" s="350"/>
      <c r="X150" s="350"/>
      <c r="Y150" s="350"/>
      <c r="Z150" s="350"/>
      <c r="AA150" s="350"/>
      <c r="AB150" s="350"/>
      <c r="AC150" s="350"/>
      <c r="AD150" s="350"/>
      <c r="AE150" s="350"/>
      <c r="AF150" s="350"/>
      <c r="AG150" s="350"/>
      <c r="AH150" s="350"/>
      <c r="AI150" s="350"/>
      <c r="AJ150" s="350"/>
      <c r="AK150" s="350"/>
      <c r="AL150" s="358"/>
    </row>
    <row r="151" spans="1:38" ht="15.75" customHeight="1" x14ac:dyDescent="0.25">
      <c r="A151" s="342" t="s">
        <v>47</v>
      </c>
      <c r="B151" s="326"/>
      <c r="C151" s="327"/>
      <c r="D151" s="342" t="s">
        <v>60</v>
      </c>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c r="AB151" s="326"/>
      <c r="AC151" s="326"/>
      <c r="AD151" s="326"/>
      <c r="AE151" s="326"/>
      <c r="AF151" s="326"/>
      <c r="AG151" s="326"/>
      <c r="AH151" s="326"/>
      <c r="AI151" s="326"/>
      <c r="AJ151" s="326"/>
      <c r="AK151" s="326"/>
      <c r="AL151" s="327"/>
    </row>
    <row r="152" spans="1:38" ht="15.75" customHeight="1" x14ac:dyDescent="0.25">
      <c r="A152" s="325" t="s">
        <v>49</v>
      </c>
      <c r="B152" s="326"/>
      <c r="C152" s="327"/>
      <c r="D152" s="325" t="s">
        <v>139</v>
      </c>
      <c r="E152" s="326"/>
      <c r="F152" s="326"/>
      <c r="G152" s="326"/>
      <c r="H152" s="326"/>
      <c r="I152" s="326"/>
      <c r="J152" s="326"/>
      <c r="K152" s="326"/>
      <c r="L152" s="326"/>
      <c r="M152" s="326"/>
      <c r="N152" s="326"/>
      <c r="O152" s="326"/>
      <c r="P152" s="326"/>
      <c r="Q152" s="326"/>
      <c r="R152" s="326"/>
      <c r="S152" s="326"/>
      <c r="T152" s="326"/>
      <c r="U152" s="326"/>
      <c r="V152" s="326"/>
      <c r="W152" s="326"/>
      <c r="X152" s="326"/>
      <c r="Y152" s="326"/>
      <c r="Z152" s="326"/>
      <c r="AA152" s="326"/>
      <c r="AB152" s="326"/>
      <c r="AC152" s="326"/>
      <c r="AD152" s="326"/>
      <c r="AE152" s="326"/>
      <c r="AF152" s="326"/>
      <c r="AG152" s="326"/>
      <c r="AH152" s="326"/>
      <c r="AI152" s="326"/>
      <c r="AJ152" s="326"/>
      <c r="AK152" s="326"/>
      <c r="AL152" s="327"/>
    </row>
    <row r="153" spans="1:38" ht="15.75" customHeight="1" x14ac:dyDescent="0.25">
      <c r="A153" s="342" t="s">
        <v>62</v>
      </c>
      <c r="B153" s="326"/>
      <c r="C153" s="327"/>
      <c r="D153" s="342" t="s">
        <v>140</v>
      </c>
      <c r="E153" s="326"/>
      <c r="F153" s="326"/>
      <c r="G153" s="326"/>
      <c r="H153" s="326"/>
      <c r="I153" s="326"/>
      <c r="J153" s="326"/>
      <c r="K153" s="326"/>
      <c r="L153" s="326"/>
      <c r="M153" s="326"/>
      <c r="N153" s="326"/>
      <c r="O153" s="326"/>
      <c r="P153" s="326"/>
      <c r="Q153" s="326"/>
      <c r="R153" s="326"/>
      <c r="S153" s="326"/>
      <c r="T153" s="326"/>
      <c r="U153" s="326"/>
      <c r="V153" s="326"/>
      <c r="W153" s="326"/>
      <c r="X153" s="326"/>
      <c r="Y153" s="326"/>
      <c r="Z153" s="326"/>
      <c r="AA153" s="326"/>
      <c r="AB153" s="326"/>
      <c r="AC153" s="326"/>
      <c r="AD153" s="326"/>
      <c r="AE153" s="326"/>
      <c r="AF153" s="326"/>
      <c r="AG153" s="326"/>
      <c r="AH153" s="326"/>
      <c r="AI153" s="326"/>
      <c r="AJ153" s="326"/>
      <c r="AK153" s="326"/>
      <c r="AL153" s="327"/>
    </row>
    <row r="154" spans="1:38" ht="15" customHeight="1" x14ac:dyDescent="0.25">
      <c r="A154" s="325" t="s">
        <v>64</v>
      </c>
      <c r="B154" s="326"/>
      <c r="C154" s="327"/>
      <c r="D154" s="325" t="s">
        <v>178</v>
      </c>
      <c r="E154" s="326"/>
      <c r="F154" s="326"/>
      <c r="G154" s="326"/>
      <c r="H154" s="326"/>
      <c r="I154" s="326"/>
      <c r="J154" s="326"/>
      <c r="K154" s="326"/>
      <c r="L154" s="326"/>
      <c r="M154" s="326"/>
      <c r="N154" s="326"/>
      <c r="O154" s="326"/>
      <c r="P154" s="326"/>
      <c r="Q154" s="326"/>
      <c r="R154" s="326"/>
      <c r="S154" s="326"/>
      <c r="T154" s="326"/>
      <c r="U154" s="326"/>
      <c r="V154" s="326"/>
      <c r="W154" s="326"/>
      <c r="X154" s="326"/>
      <c r="Y154" s="326"/>
      <c r="Z154" s="326"/>
      <c r="AA154" s="326"/>
      <c r="AB154" s="326"/>
      <c r="AC154" s="326"/>
      <c r="AD154" s="326"/>
      <c r="AE154" s="326"/>
      <c r="AF154" s="326"/>
      <c r="AG154" s="326"/>
      <c r="AH154" s="326"/>
      <c r="AI154" s="326"/>
      <c r="AJ154" s="326"/>
      <c r="AK154" s="326"/>
      <c r="AL154" s="327"/>
    </row>
    <row r="155" spans="1:38" ht="15.75" customHeight="1" x14ac:dyDescent="0.25">
      <c r="A155" s="407" t="s">
        <v>237</v>
      </c>
      <c r="B155" s="326"/>
      <c r="C155" s="408"/>
      <c r="D155" s="407" t="s">
        <v>238</v>
      </c>
      <c r="E155" s="326"/>
      <c r="F155" s="326"/>
      <c r="G155" s="326"/>
      <c r="H155" s="326"/>
      <c r="I155" s="326"/>
      <c r="J155" s="326"/>
      <c r="K155" s="326"/>
      <c r="L155" s="326"/>
      <c r="M155" s="326"/>
      <c r="N155" s="326"/>
      <c r="O155" s="326"/>
      <c r="P155" s="326"/>
      <c r="Q155" s="326"/>
      <c r="R155" s="326"/>
      <c r="S155" s="326"/>
      <c r="T155" s="326"/>
      <c r="U155" s="326"/>
      <c r="V155" s="326"/>
      <c r="W155" s="326"/>
      <c r="X155" s="326"/>
      <c r="Y155" s="326"/>
      <c r="Z155" s="326"/>
      <c r="AA155" s="326"/>
      <c r="AB155" s="326"/>
      <c r="AC155" s="326"/>
      <c r="AD155" s="326"/>
      <c r="AE155" s="326"/>
      <c r="AF155" s="326"/>
      <c r="AG155" s="326"/>
      <c r="AH155" s="326"/>
      <c r="AI155" s="326"/>
      <c r="AJ155" s="326"/>
      <c r="AK155" s="326"/>
      <c r="AL155" s="327"/>
    </row>
    <row r="156" spans="1:38" ht="15.75" customHeight="1" x14ac:dyDescent="0.25">
      <c r="A156" s="407" t="s">
        <v>239</v>
      </c>
      <c r="B156" s="326"/>
      <c r="C156" s="408"/>
      <c r="D156" s="407" t="s">
        <v>240</v>
      </c>
      <c r="E156" s="326"/>
      <c r="F156" s="326"/>
      <c r="G156" s="326"/>
      <c r="H156" s="326"/>
      <c r="I156" s="326"/>
      <c r="J156" s="326"/>
      <c r="K156" s="326"/>
      <c r="L156" s="326"/>
      <c r="M156" s="326"/>
      <c r="N156" s="326"/>
      <c r="O156" s="326"/>
      <c r="P156" s="326"/>
      <c r="Q156" s="326"/>
      <c r="R156" s="326"/>
      <c r="S156" s="326"/>
      <c r="T156" s="326"/>
      <c r="U156" s="326"/>
      <c r="V156" s="326"/>
      <c r="W156" s="326"/>
      <c r="X156" s="326"/>
      <c r="Y156" s="326"/>
      <c r="Z156" s="326"/>
      <c r="AA156" s="326"/>
      <c r="AB156" s="326"/>
      <c r="AC156" s="326"/>
      <c r="AD156" s="326"/>
      <c r="AE156" s="326"/>
      <c r="AF156" s="326"/>
      <c r="AG156" s="326"/>
      <c r="AH156" s="326"/>
      <c r="AI156" s="326"/>
      <c r="AJ156" s="326"/>
      <c r="AK156" s="326"/>
      <c r="AL156" s="327"/>
    </row>
    <row r="157" spans="1:38" ht="15" customHeight="1" x14ac:dyDescent="0.25">
      <c r="A157" s="407" t="s">
        <v>241</v>
      </c>
      <c r="B157" s="326"/>
      <c r="C157" s="408"/>
      <c r="D157" s="325" t="s">
        <v>242</v>
      </c>
      <c r="E157" s="326"/>
      <c r="F157" s="326"/>
      <c r="G157" s="326"/>
      <c r="H157" s="326"/>
      <c r="I157" s="326"/>
      <c r="J157" s="326"/>
      <c r="K157" s="326"/>
      <c r="L157" s="326"/>
      <c r="M157" s="326"/>
      <c r="N157" s="326"/>
      <c r="O157" s="326"/>
      <c r="P157" s="326"/>
      <c r="Q157" s="326"/>
      <c r="R157" s="326"/>
      <c r="S157" s="326"/>
      <c r="T157" s="326"/>
      <c r="U157" s="326"/>
      <c r="V157" s="326"/>
      <c r="W157" s="326"/>
      <c r="X157" s="326"/>
      <c r="Y157" s="326"/>
      <c r="Z157" s="326"/>
      <c r="AA157" s="326"/>
      <c r="AB157" s="326"/>
      <c r="AC157" s="326"/>
      <c r="AD157" s="326"/>
      <c r="AE157" s="326"/>
      <c r="AF157" s="326"/>
      <c r="AG157" s="326"/>
      <c r="AH157" s="326"/>
      <c r="AI157" s="326"/>
      <c r="AJ157" s="326"/>
      <c r="AK157" s="326"/>
      <c r="AL157" s="327"/>
    </row>
    <row r="158" spans="1:38" ht="79.5" customHeight="1" x14ac:dyDescent="0.25">
      <c r="A158" s="409" t="s">
        <v>243</v>
      </c>
      <c r="B158" s="326"/>
      <c r="C158" s="408"/>
      <c r="D158" s="356" t="s">
        <v>244</v>
      </c>
      <c r="E158" s="326"/>
      <c r="F158" s="326"/>
      <c r="G158" s="326"/>
      <c r="H158" s="326"/>
      <c r="I158" s="326"/>
      <c r="J158" s="326"/>
      <c r="K158" s="326"/>
      <c r="L158" s="326"/>
      <c r="M158" s="326"/>
      <c r="N158" s="326"/>
      <c r="O158" s="326"/>
      <c r="P158" s="326"/>
      <c r="Q158" s="326"/>
      <c r="R158" s="326"/>
      <c r="S158" s="326"/>
      <c r="T158" s="326"/>
      <c r="U158" s="326"/>
      <c r="V158" s="326"/>
      <c r="W158" s="326"/>
      <c r="X158" s="326"/>
      <c r="Y158" s="326"/>
      <c r="Z158" s="326"/>
      <c r="AA158" s="326"/>
      <c r="AB158" s="326"/>
      <c r="AC158" s="326"/>
      <c r="AD158" s="326"/>
      <c r="AE158" s="326"/>
      <c r="AF158" s="326"/>
      <c r="AG158" s="326"/>
      <c r="AH158" s="326"/>
      <c r="AI158" s="326"/>
      <c r="AJ158" s="326"/>
      <c r="AK158" s="326"/>
      <c r="AL158" s="327"/>
    </row>
    <row r="159" spans="1:38" ht="15.75" customHeight="1" x14ac:dyDescent="0.25">
      <c r="A159" s="407" t="s">
        <v>245</v>
      </c>
      <c r="B159" s="326"/>
      <c r="C159" s="408"/>
      <c r="D159" s="407" t="s">
        <v>246</v>
      </c>
      <c r="E159" s="326"/>
      <c r="F159" s="326"/>
      <c r="G159" s="326"/>
      <c r="H159" s="326"/>
      <c r="I159" s="326"/>
      <c r="J159" s="326"/>
      <c r="K159" s="326"/>
      <c r="L159" s="326"/>
      <c r="M159" s="326"/>
      <c r="N159" s="326"/>
      <c r="O159" s="326"/>
      <c r="P159" s="326"/>
      <c r="Q159" s="326"/>
      <c r="R159" s="326"/>
      <c r="S159" s="326"/>
      <c r="T159" s="326"/>
      <c r="U159" s="326"/>
      <c r="V159" s="326"/>
      <c r="W159" s="326"/>
      <c r="X159" s="326"/>
      <c r="Y159" s="326"/>
      <c r="Z159" s="326"/>
      <c r="AA159" s="326"/>
      <c r="AB159" s="326"/>
      <c r="AC159" s="326"/>
      <c r="AD159" s="326"/>
      <c r="AE159" s="326"/>
      <c r="AF159" s="326"/>
      <c r="AG159" s="326"/>
      <c r="AH159" s="326"/>
      <c r="AI159" s="326"/>
      <c r="AJ159" s="326"/>
      <c r="AK159" s="326"/>
      <c r="AL159" s="327"/>
    </row>
    <row r="160" spans="1:38" ht="15.75" customHeight="1" x14ac:dyDescent="0.25">
      <c r="A160" s="407" t="s">
        <v>247</v>
      </c>
      <c r="B160" s="326"/>
      <c r="C160" s="408"/>
      <c r="D160" s="407" t="s">
        <v>248</v>
      </c>
      <c r="E160" s="326"/>
      <c r="F160" s="326"/>
      <c r="G160" s="326"/>
      <c r="H160" s="326"/>
      <c r="I160" s="326"/>
      <c r="J160" s="326"/>
      <c r="K160" s="326"/>
      <c r="L160" s="326"/>
      <c r="M160" s="326"/>
      <c r="N160" s="326"/>
      <c r="O160" s="326"/>
      <c r="P160" s="326"/>
      <c r="Q160" s="326"/>
      <c r="R160" s="326"/>
      <c r="S160" s="326"/>
      <c r="T160" s="326"/>
      <c r="U160" s="326"/>
      <c r="V160" s="326"/>
      <c r="W160" s="326"/>
      <c r="X160" s="326"/>
      <c r="Y160" s="326"/>
      <c r="Z160" s="326"/>
      <c r="AA160" s="326"/>
      <c r="AB160" s="326"/>
      <c r="AC160" s="326"/>
      <c r="AD160" s="326"/>
      <c r="AE160" s="326"/>
      <c r="AF160" s="326"/>
      <c r="AG160" s="326"/>
      <c r="AH160" s="326"/>
      <c r="AI160" s="326"/>
      <c r="AJ160" s="326"/>
      <c r="AK160" s="326"/>
      <c r="AL160" s="327"/>
    </row>
    <row r="161" spans="1:38" ht="15.75" customHeight="1" x14ac:dyDescent="0.25">
      <c r="A161" s="407" t="s">
        <v>249</v>
      </c>
      <c r="B161" s="326"/>
      <c r="C161" s="408"/>
      <c r="D161" s="407" t="s">
        <v>250</v>
      </c>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26"/>
      <c r="AI161" s="326"/>
      <c r="AJ161" s="326"/>
      <c r="AK161" s="326"/>
      <c r="AL161" s="327"/>
    </row>
    <row r="162" spans="1:38" ht="15.75" customHeight="1" x14ac:dyDescent="0.25">
      <c r="A162" s="407" t="s">
        <v>251</v>
      </c>
      <c r="B162" s="326"/>
      <c r="C162" s="408"/>
      <c r="D162" s="407" t="s">
        <v>252</v>
      </c>
      <c r="E162" s="326"/>
      <c r="F162" s="326"/>
      <c r="G162" s="326"/>
      <c r="H162" s="326"/>
      <c r="I162" s="326"/>
      <c r="J162" s="326"/>
      <c r="K162" s="326"/>
      <c r="L162" s="326"/>
      <c r="M162" s="326"/>
      <c r="N162" s="326"/>
      <c r="O162" s="326"/>
      <c r="P162" s="326"/>
      <c r="Q162" s="326"/>
      <c r="R162" s="326"/>
      <c r="S162" s="326"/>
      <c r="T162" s="326"/>
      <c r="U162" s="326"/>
      <c r="V162" s="326"/>
      <c r="W162" s="326"/>
      <c r="X162" s="326"/>
      <c r="Y162" s="326"/>
      <c r="Z162" s="326"/>
      <c r="AA162" s="326"/>
      <c r="AB162" s="326"/>
      <c r="AC162" s="326"/>
      <c r="AD162" s="326"/>
      <c r="AE162" s="326"/>
      <c r="AF162" s="326"/>
      <c r="AG162" s="326"/>
      <c r="AH162" s="326"/>
      <c r="AI162" s="326"/>
      <c r="AJ162" s="326"/>
      <c r="AK162" s="326"/>
      <c r="AL162" s="327"/>
    </row>
    <row r="163" spans="1:38" ht="15.75" customHeight="1" x14ac:dyDescent="0.25">
      <c r="A163" s="407" t="s">
        <v>253</v>
      </c>
      <c r="B163" s="326"/>
      <c r="C163" s="408"/>
      <c r="D163" s="407" t="s">
        <v>254</v>
      </c>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7"/>
    </row>
    <row r="164" spans="1:38" ht="15.75" customHeight="1" x14ac:dyDescent="0.25">
      <c r="A164" s="407" t="s">
        <v>255</v>
      </c>
      <c r="B164" s="326"/>
      <c r="C164" s="408"/>
      <c r="D164" s="407" t="s">
        <v>256</v>
      </c>
      <c r="E164" s="326"/>
      <c r="F164" s="326"/>
      <c r="G164" s="326"/>
      <c r="H164" s="326"/>
      <c r="I164" s="326"/>
      <c r="J164" s="326"/>
      <c r="K164" s="326"/>
      <c r="L164" s="326"/>
      <c r="M164" s="326"/>
      <c r="N164" s="326"/>
      <c r="O164" s="326"/>
      <c r="P164" s="326"/>
      <c r="Q164" s="326"/>
      <c r="R164" s="326"/>
      <c r="S164" s="326"/>
      <c r="T164" s="326"/>
      <c r="U164" s="326"/>
      <c r="V164" s="326"/>
      <c r="W164" s="326"/>
      <c r="X164" s="326"/>
      <c r="Y164" s="326"/>
      <c r="Z164" s="326"/>
      <c r="AA164" s="326"/>
      <c r="AB164" s="326"/>
      <c r="AC164" s="326"/>
      <c r="AD164" s="326"/>
      <c r="AE164" s="326"/>
      <c r="AF164" s="326"/>
      <c r="AG164" s="326"/>
      <c r="AH164" s="326"/>
      <c r="AI164" s="326"/>
      <c r="AJ164" s="326"/>
      <c r="AK164" s="326"/>
      <c r="AL164" s="327"/>
    </row>
    <row r="165" spans="1:38" ht="15.75" customHeight="1" x14ac:dyDescent="0.25">
      <c r="A165" s="407" t="s">
        <v>257</v>
      </c>
      <c r="B165" s="326"/>
      <c r="C165" s="408"/>
      <c r="D165" s="407" t="s">
        <v>258</v>
      </c>
      <c r="E165" s="326"/>
      <c r="F165" s="326"/>
      <c r="G165" s="326"/>
      <c r="H165" s="326"/>
      <c r="I165" s="326"/>
      <c r="J165" s="326"/>
      <c r="K165" s="326"/>
      <c r="L165" s="326"/>
      <c r="M165" s="326"/>
      <c r="N165" s="326"/>
      <c r="O165" s="326"/>
      <c r="P165" s="326"/>
      <c r="Q165" s="326"/>
      <c r="R165" s="326"/>
      <c r="S165" s="326"/>
      <c r="T165" s="326"/>
      <c r="U165" s="326"/>
      <c r="V165" s="326"/>
      <c r="W165" s="326"/>
      <c r="X165" s="326"/>
      <c r="Y165" s="326"/>
      <c r="Z165" s="326"/>
      <c r="AA165" s="326"/>
      <c r="AB165" s="326"/>
      <c r="AC165" s="326"/>
      <c r="AD165" s="326"/>
      <c r="AE165" s="326"/>
      <c r="AF165" s="326"/>
      <c r="AG165" s="326"/>
      <c r="AH165" s="326"/>
      <c r="AI165" s="326"/>
      <c r="AJ165" s="326"/>
      <c r="AK165" s="326"/>
      <c r="AL165" s="327"/>
    </row>
    <row r="166" spans="1:38" ht="15.75" customHeight="1" x14ac:dyDescent="0.25">
      <c r="A166" s="407" t="s">
        <v>259</v>
      </c>
      <c r="B166" s="326"/>
      <c r="C166" s="408"/>
      <c r="D166" s="407" t="s">
        <v>260</v>
      </c>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c r="AB166" s="326"/>
      <c r="AC166" s="326"/>
      <c r="AD166" s="326"/>
      <c r="AE166" s="326"/>
      <c r="AF166" s="326"/>
      <c r="AG166" s="326"/>
      <c r="AH166" s="326"/>
      <c r="AI166" s="326"/>
      <c r="AJ166" s="326"/>
      <c r="AK166" s="326"/>
      <c r="AL166" s="327"/>
    </row>
    <row r="167" spans="1:38" ht="15.75" customHeight="1" x14ac:dyDescent="0.25">
      <c r="A167" s="407" t="s">
        <v>261</v>
      </c>
      <c r="B167" s="326"/>
      <c r="C167" s="408"/>
      <c r="D167" s="407" t="s">
        <v>79</v>
      </c>
      <c r="E167" s="326"/>
      <c r="F167" s="326"/>
      <c r="G167" s="326"/>
      <c r="H167" s="326"/>
      <c r="I167" s="326"/>
      <c r="J167" s="326"/>
      <c r="K167" s="326"/>
      <c r="L167" s="326"/>
      <c r="M167" s="326"/>
      <c r="N167" s="326"/>
      <c r="O167" s="326"/>
      <c r="P167" s="326"/>
      <c r="Q167" s="326"/>
      <c r="R167" s="326"/>
      <c r="S167" s="326"/>
      <c r="T167" s="326"/>
      <c r="U167" s="326"/>
      <c r="V167" s="326"/>
      <c r="W167" s="326"/>
      <c r="X167" s="326"/>
      <c r="Y167" s="326"/>
      <c r="Z167" s="326"/>
      <c r="AA167" s="326"/>
      <c r="AB167" s="326"/>
      <c r="AC167" s="326"/>
      <c r="AD167" s="326"/>
      <c r="AE167" s="326"/>
      <c r="AF167" s="326"/>
      <c r="AG167" s="326"/>
      <c r="AH167" s="326"/>
      <c r="AI167" s="326"/>
      <c r="AJ167" s="326"/>
      <c r="AK167" s="326"/>
      <c r="AL167" s="327"/>
    </row>
    <row r="168" spans="1:38" ht="15" customHeight="1" x14ac:dyDescent="0.25">
      <c r="A168" s="410" t="s">
        <v>262</v>
      </c>
      <c r="B168" s="332"/>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3"/>
    </row>
    <row r="169" spans="1:38" ht="15" customHeight="1" x14ac:dyDescent="0.25">
      <c r="A169" s="334"/>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6"/>
    </row>
    <row r="170" spans="1:38" ht="15" customHeight="1" x14ac:dyDescent="0.25">
      <c r="A170" s="337"/>
      <c r="B170" s="338"/>
      <c r="C170" s="338"/>
      <c r="D170" s="338"/>
      <c r="E170" s="338"/>
      <c r="F170" s="338"/>
      <c r="G170" s="338"/>
      <c r="H170" s="338"/>
      <c r="I170" s="338"/>
      <c r="J170" s="338"/>
      <c r="K170" s="338"/>
      <c r="L170" s="338"/>
      <c r="M170" s="338"/>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9"/>
    </row>
    <row r="171" spans="1:38" ht="15.75" customHeight="1" x14ac:dyDescent="0.25">
      <c r="A171" s="403" t="s">
        <v>47</v>
      </c>
      <c r="B171" s="326"/>
      <c r="C171" s="327"/>
      <c r="D171" s="403" t="s">
        <v>60</v>
      </c>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c r="AB171" s="326"/>
      <c r="AC171" s="326"/>
      <c r="AD171" s="326"/>
      <c r="AE171" s="326"/>
      <c r="AF171" s="326"/>
      <c r="AG171" s="326"/>
      <c r="AH171" s="326"/>
      <c r="AI171" s="326"/>
      <c r="AJ171" s="326"/>
      <c r="AK171" s="326"/>
      <c r="AL171" s="327"/>
    </row>
    <row r="172" spans="1:38" ht="15.75" customHeight="1" x14ac:dyDescent="0.25">
      <c r="A172" s="394" t="s">
        <v>49</v>
      </c>
      <c r="B172" s="326"/>
      <c r="C172" s="327"/>
      <c r="D172" s="394" t="s">
        <v>139</v>
      </c>
      <c r="E172" s="326"/>
      <c r="F172" s="326"/>
      <c r="G172" s="326"/>
      <c r="H172" s="326"/>
      <c r="I172" s="326"/>
      <c r="J172" s="326"/>
      <c r="K172" s="326"/>
      <c r="L172" s="326"/>
      <c r="M172" s="326"/>
      <c r="N172" s="326"/>
      <c r="O172" s="326"/>
      <c r="P172" s="326"/>
      <c r="Q172" s="326"/>
      <c r="R172" s="326"/>
      <c r="S172" s="326"/>
      <c r="T172" s="326"/>
      <c r="U172" s="326"/>
      <c r="V172" s="326"/>
      <c r="W172" s="326"/>
      <c r="X172" s="326"/>
      <c r="Y172" s="326"/>
      <c r="Z172" s="326"/>
      <c r="AA172" s="326"/>
      <c r="AB172" s="326"/>
      <c r="AC172" s="326"/>
      <c r="AD172" s="326"/>
      <c r="AE172" s="326"/>
      <c r="AF172" s="326"/>
      <c r="AG172" s="326"/>
      <c r="AH172" s="326"/>
      <c r="AI172" s="326"/>
      <c r="AJ172" s="326"/>
      <c r="AK172" s="326"/>
      <c r="AL172" s="327"/>
    </row>
    <row r="173" spans="1:38" ht="15" customHeight="1" x14ac:dyDescent="0.25">
      <c r="A173" s="403" t="s">
        <v>62</v>
      </c>
      <c r="B173" s="326"/>
      <c r="C173" s="327"/>
      <c r="D173" s="403" t="s">
        <v>140</v>
      </c>
      <c r="E173" s="326"/>
      <c r="F173" s="326"/>
      <c r="G173" s="326"/>
      <c r="H173" s="326"/>
      <c r="I173" s="326"/>
      <c r="J173" s="326"/>
      <c r="K173" s="326"/>
      <c r="L173" s="326"/>
      <c r="M173" s="326"/>
      <c r="N173" s="326"/>
      <c r="O173" s="326"/>
      <c r="P173" s="326"/>
      <c r="Q173" s="326"/>
      <c r="R173" s="326"/>
      <c r="S173" s="326"/>
      <c r="T173" s="326"/>
      <c r="U173" s="326"/>
      <c r="V173" s="326"/>
      <c r="W173" s="326"/>
      <c r="X173" s="326"/>
      <c r="Y173" s="326"/>
      <c r="Z173" s="326"/>
      <c r="AA173" s="326"/>
      <c r="AB173" s="326"/>
      <c r="AC173" s="326"/>
      <c r="AD173" s="326"/>
      <c r="AE173" s="326"/>
      <c r="AF173" s="326"/>
      <c r="AG173" s="326"/>
      <c r="AH173" s="326"/>
      <c r="AI173" s="326"/>
      <c r="AJ173" s="326"/>
      <c r="AK173" s="326"/>
      <c r="AL173" s="327"/>
    </row>
    <row r="174" spans="1:38" ht="30" customHeight="1" x14ac:dyDescent="0.25">
      <c r="A174" s="394" t="s">
        <v>64</v>
      </c>
      <c r="B174" s="326"/>
      <c r="C174" s="327"/>
      <c r="D174" s="394" t="s">
        <v>178</v>
      </c>
      <c r="E174" s="326"/>
      <c r="F174" s="326"/>
      <c r="G174" s="326"/>
      <c r="H174" s="326"/>
      <c r="I174" s="326"/>
      <c r="J174" s="326"/>
      <c r="K174" s="326"/>
      <c r="L174" s="326"/>
      <c r="M174" s="326"/>
      <c r="N174" s="326"/>
      <c r="O174" s="326"/>
      <c r="P174" s="326"/>
      <c r="Q174" s="326"/>
      <c r="R174" s="326"/>
      <c r="S174" s="326"/>
      <c r="T174" s="326"/>
      <c r="U174" s="326"/>
      <c r="V174" s="326"/>
      <c r="W174" s="326"/>
      <c r="X174" s="326"/>
      <c r="Y174" s="326"/>
      <c r="Z174" s="326"/>
      <c r="AA174" s="326"/>
      <c r="AB174" s="326"/>
      <c r="AC174" s="326"/>
      <c r="AD174" s="326"/>
      <c r="AE174" s="326"/>
      <c r="AF174" s="326"/>
      <c r="AG174" s="326"/>
      <c r="AH174" s="326"/>
      <c r="AI174" s="326"/>
      <c r="AJ174" s="326"/>
      <c r="AK174" s="326"/>
      <c r="AL174" s="327"/>
    </row>
    <row r="175" spans="1:38" ht="15" customHeight="1" x14ac:dyDescent="0.25">
      <c r="A175" s="404" t="s">
        <v>263</v>
      </c>
      <c r="B175" s="326"/>
      <c r="C175" s="327"/>
      <c r="D175" s="403" t="s">
        <v>264</v>
      </c>
      <c r="E175" s="326"/>
      <c r="F175" s="326"/>
      <c r="G175" s="326"/>
      <c r="H175" s="326"/>
      <c r="I175" s="326"/>
      <c r="J175" s="326"/>
      <c r="K175" s="326"/>
      <c r="L175" s="326"/>
      <c r="M175" s="326"/>
      <c r="N175" s="326"/>
      <c r="O175" s="326"/>
      <c r="P175" s="326"/>
      <c r="Q175" s="326"/>
      <c r="R175" s="326"/>
      <c r="S175" s="326"/>
      <c r="T175" s="326"/>
      <c r="U175" s="326"/>
      <c r="V175" s="326"/>
      <c r="W175" s="326"/>
      <c r="X175" s="326"/>
      <c r="Y175" s="326"/>
      <c r="Z175" s="326"/>
      <c r="AA175" s="326"/>
      <c r="AB175" s="326"/>
      <c r="AC175" s="326"/>
      <c r="AD175" s="326"/>
      <c r="AE175" s="326"/>
      <c r="AF175" s="326"/>
      <c r="AG175" s="326"/>
      <c r="AH175" s="326"/>
      <c r="AI175" s="326"/>
      <c r="AJ175" s="326"/>
      <c r="AK175" s="326"/>
      <c r="AL175" s="327"/>
    </row>
    <row r="176" spans="1:38" ht="15" customHeight="1" x14ac:dyDescent="0.25">
      <c r="A176" s="405" t="s">
        <v>265</v>
      </c>
      <c r="B176" s="326"/>
      <c r="C176" s="327"/>
      <c r="D176" s="412" t="s">
        <v>266</v>
      </c>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26"/>
      <c r="AI176" s="326"/>
      <c r="AJ176" s="326"/>
      <c r="AK176" s="326"/>
      <c r="AL176" s="327"/>
    </row>
    <row r="177" spans="1:38" ht="15" customHeight="1" x14ac:dyDescent="0.25">
      <c r="A177" s="404" t="s">
        <v>267</v>
      </c>
      <c r="B177" s="326"/>
      <c r="C177" s="327"/>
      <c r="D177" s="411" t="s">
        <v>268</v>
      </c>
      <c r="E177" s="326"/>
      <c r="F177" s="326"/>
      <c r="G177" s="326"/>
      <c r="H177" s="326"/>
      <c r="I177" s="326"/>
      <c r="J177" s="326"/>
      <c r="K177" s="326"/>
      <c r="L177" s="326"/>
      <c r="M177" s="326"/>
      <c r="N177" s="326"/>
      <c r="O177" s="326"/>
      <c r="P177" s="326"/>
      <c r="Q177" s="326"/>
      <c r="R177" s="326"/>
      <c r="S177" s="326"/>
      <c r="T177" s="326"/>
      <c r="U177" s="326"/>
      <c r="V177" s="326"/>
      <c r="W177" s="326"/>
      <c r="X177" s="326"/>
      <c r="Y177" s="326"/>
      <c r="Z177" s="326"/>
      <c r="AA177" s="326"/>
      <c r="AB177" s="326"/>
      <c r="AC177" s="326"/>
      <c r="AD177" s="326"/>
      <c r="AE177" s="326"/>
      <c r="AF177" s="326"/>
      <c r="AG177" s="326"/>
      <c r="AH177" s="326"/>
      <c r="AI177" s="326"/>
      <c r="AJ177" s="326"/>
      <c r="AK177" s="326"/>
      <c r="AL177" s="327"/>
    </row>
    <row r="178" spans="1:38" ht="15" customHeight="1" x14ac:dyDescent="0.25">
      <c r="A178" s="405" t="s">
        <v>269</v>
      </c>
      <c r="B178" s="326"/>
      <c r="C178" s="327"/>
      <c r="D178" s="412" t="s">
        <v>270</v>
      </c>
      <c r="E178" s="326"/>
      <c r="F178" s="326"/>
      <c r="G178" s="326"/>
      <c r="H178" s="326"/>
      <c r="I178" s="326"/>
      <c r="J178" s="326"/>
      <c r="K178" s="326"/>
      <c r="L178" s="326"/>
      <c r="M178" s="326"/>
      <c r="N178" s="326"/>
      <c r="O178" s="326"/>
      <c r="P178" s="326"/>
      <c r="Q178" s="326"/>
      <c r="R178" s="326"/>
      <c r="S178" s="326"/>
      <c r="T178" s="326"/>
      <c r="U178" s="326"/>
      <c r="V178" s="326"/>
      <c r="W178" s="326"/>
      <c r="X178" s="326"/>
      <c r="Y178" s="326"/>
      <c r="Z178" s="326"/>
      <c r="AA178" s="326"/>
      <c r="AB178" s="326"/>
      <c r="AC178" s="326"/>
      <c r="AD178" s="326"/>
      <c r="AE178" s="326"/>
      <c r="AF178" s="326"/>
      <c r="AG178" s="326"/>
      <c r="AH178" s="326"/>
      <c r="AI178" s="326"/>
      <c r="AJ178" s="326"/>
      <c r="AK178" s="326"/>
      <c r="AL178" s="327"/>
    </row>
    <row r="179" spans="1:38" ht="15.75" customHeight="1" x14ac:dyDescent="0.25">
      <c r="A179" s="404" t="s">
        <v>271</v>
      </c>
      <c r="B179" s="326"/>
      <c r="C179" s="327"/>
      <c r="D179" s="411" t="s">
        <v>272</v>
      </c>
      <c r="E179" s="326"/>
      <c r="F179" s="326"/>
      <c r="G179" s="326"/>
      <c r="H179" s="326"/>
      <c r="I179" s="326"/>
      <c r="J179" s="326"/>
      <c r="K179" s="326"/>
      <c r="L179" s="326"/>
      <c r="M179" s="326"/>
      <c r="N179" s="326"/>
      <c r="O179" s="326"/>
      <c r="P179" s="326"/>
      <c r="Q179" s="326"/>
      <c r="R179" s="326"/>
      <c r="S179" s="326"/>
      <c r="T179" s="326"/>
      <c r="U179" s="326"/>
      <c r="V179" s="326"/>
      <c r="W179" s="326"/>
      <c r="X179" s="326"/>
      <c r="Y179" s="326"/>
      <c r="Z179" s="326"/>
      <c r="AA179" s="326"/>
      <c r="AB179" s="326"/>
      <c r="AC179" s="326"/>
      <c r="AD179" s="326"/>
      <c r="AE179" s="326"/>
      <c r="AF179" s="326"/>
      <c r="AG179" s="326"/>
      <c r="AH179" s="326"/>
      <c r="AI179" s="326"/>
      <c r="AJ179" s="326"/>
      <c r="AK179" s="326"/>
      <c r="AL179" s="327"/>
    </row>
    <row r="180" spans="1:38" ht="15.75" customHeight="1" x14ac:dyDescent="0.25">
      <c r="A180" s="405" t="s">
        <v>273</v>
      </c>
      <c r="B180" s="326"/>
      <c r="C180" s="327"/>
      <c r="D180" s="412" t="s">
        <v>274</v>
      </c>
      <c r="E180" s="326"/>
      <c r="F180" s="326"/>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6"/>
      <c r="AD180" s="326"/>
      <c r="AE180" s="326"/>
      <c r="AF180" s="326"/>
      <c r="AG180" s="326"/>
      <c r="AH180" s="326"/>
      <c r="AI180" s="326"/>
      <c r="AJ180" s="326"/>
      <c r="AK180" s="326"/>
      <c r="AL180" s="327"/>
    </row>
    <row r="181" spans="1:38" ht="15.75" customHeight="1" x14ac:dyDescent="0.25">
      <c r="A181" s="404" t="s">
        <v>275</v>
      </c>
      <c r="B181" s="326"/>
      <c r="C181" s="327"/>
      <c r="D181" s="411" t="s">
        <v>276</v>
      </c>
      <c r="E181" s="326"/>
      <c r="F181" s="326"/>
      <c r="G181" s="326"/>
      <c r="H181" s="326"/>
      <c r="I181" s="326"/>
      <c r="J181" s="326"/>
      <c r="K181" s="326"/>
      <c r="L181" s="326"/>
      <c r="M181" s="326"/>
      <c r="N181" s="326"/>
      <c r="O181" s="326"/>
      <c r="P181" s="326"/>
      <c r="Q181" s="326"/>
      <c r="R181" s="326"/>
      <c r="S181" s="326"/>
      <c r="T181" s="326"/>
      <c r="U181" s="326"/>
      <c r="V181" s="326"/>
      <c r="W181" s="326"/>
      <c r="X181" s="326"/>
      <c r="Y181" s="326"/>
      <c r="Z181" s="326"/>
      <c r="AA181" s="326"/>
      <c r="AB181" s="326"/>
      <c r="AC181" s="326"/>
      <c r="AD181" s="326"/>
      <c r="AE181" s="326"/>
      <c r="AF181" s="326"/>
      <c r="AG181" s="326"/>
      <c r="AH181" s="326"/>
      <c r="AI181" s="326"/>
      <c r="AJ181" s="326"/>
      <c r="AK181" s="326"/>
      <c r="AL181" s="327"/>
    </row>
    <row r="182" spans="1:38" ht="15.75" customHeight="1" x14ac:dyDescent="0.25">
      <c r="A182" s="413" t="s">
        <v>277</v>
      </c>
      <c r="B182" s="332"/>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3"/>
    </row>
    <row r="183" spans="1:38" ht="15.75" customHeight="1" x14ac:dyDescent="0.25">
      <c r="A183" s="334"/>
      <c r="B183" s="335"/>
      <c r="C183" s="335"/>
      <c r="D183" s="335"/>
      <c r="E183" s="335"/>
      <c r="F183" s="335"/>
      <c r="G183" s="335"/>
      <c r="H183" s="335"/>
      <c r="I183" s="335"/>
      <c r="J183" s="335"/>
      <c r="K183" s="335"/>
      <c r="L183" s="335"/>
      <c r="M183" s="335"/>
      <c r="N183" s="335"/>
      <c r="O183" s="335"/>
      <c r="P183" s="335"/>
      <c r="Q183" s="335"/>
      <c r="R183" s="335"/>
      <c r="S183" s="335"/>
      <c r="T183" s="335"/>
      <c r="U183" s="335"/>
      <c r="V183" s="335"/>
      <c r="W183" s="335"/>
      <c r="X183" s="335"/>
      <c r="Y183" s="335"/>
      <c r="Z183" s="335"/>
      <c r="AA183" s="335"/>
      <c r="AB183" s="335"/>
      <c r="AC183" s="335"/>
      <c r="AD183" s="335"/>
      <c r="AE183" s="335"/>
      <c r="AF183" s="335"/>
      <c r="AG183" s="335"/>
      <c r="AH183" s="335"/>
      <c r="AI183" s="335"/>
      <c r="AJ183" s="335"/>
      <c r="AK183" s="335"/>
      <c r="AL183" s="336"/>
    </row>
    <row r="184" spans="1:38" ht="15.75" customHeight="1" x14ac:dyDescent="0.25">
      <c r="A184" s="337"/>
      <c r="B184" s="338"/>
      <c r="C184" s="338"/>
      <c r="D184" s="338"/>
      <c r="E184" s="338"/>
      <c r="F184" s="338"/>
      <c r="G184" s="338"/>
      <c r="H184" s="338"/>
      <c r="I184" s="338"/>
      <c r="J184" s="338"/>
      <c r="K184" s="338"/>
      <c r="L184" s="338"/>
      <c r="M184" s="338"/>
      <c r="N184" s="338"/>
      <c r="O184" s="338"/>
      <c r="P184" s="338"/>
      <c r="Q184" s="338"/>
      <c r="R184" s="338"/>
      <c r="S184" s="338"/>
      <c r="T184" s="338"/>
      <c r="U184" s="338"/>
      <c r="V184" s="338"/>
      <c r="W184" s="338"/>
      <c r="X184" s="338"/>
      <c r="Y184" s="338"/>
      <c r="Z184" s="338"/>
      <c r="AA184" s="338"/>
      <c r="AB184" s="338"/>
      <c r="AC184" s="338"/>
      <c r="AD184" s="338"/>
      <c r="AE184" s="338"/>
      <c r="AF184" s="338"/>
      <c r="AG184" s="338"/>
      <c r="AH184" s="338"/>
      <c r="AI184" s="338"/>
      <c r="AJ184" s="338"/>
      <c r="AK184" s="338"/>
      <c r="AL184" s="339"/>
    </row>
    <row r="185" spans="1:38" ht="15.75" customHeight="1" x14ac:dyDescent="0.25">
      <c r="A185" s="414" t="s">
        <v>47</v>
      </c>
      <c r="B185" s="326"/>
      <c r="C185" s="327"/>
      <c r="D185" s="414" t="s">
        <v>60</v>
      </c>
      <c r="E185" s="326"/>
      <c r="F185" s="326"/>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6"/>
      <c r="AD185" s="326"/>
      <c r="AE185" s="326"/>
      <c r="AF185" s="326"/>
      <c r="AG185" s="326"/>
      <c r="AH185" s="326"/>
      <c r="AI185" s="326"/>
      <c r="AJ185" s="326"/>
      <c r="AK185" s="326"/>
      <c r="AL185" s="327"/>
    </row>
    <row r="186" spans="1:38" ht="15.75" customHeight="1" x14ac:dyDescent="0.25">
      <c r="A186" s="402" t="s">
        <v>49</v>
      </c>
      <c r="B186" s="326"/>
      <c r="C186" s="327"/>
      <c r="D186" s="402" t="s">
        <v>139</v>
      </c>
      <c r="E186" s="326"/>
      <c r="F186" s="326"/>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6"/>
      <c r="AD186" s="326"/>
      <c r="AE186" s="326"/>
      <c r="AF186" s="326"/>
      <c r="AG186" s="326"/>
      <c r="AH186" s="326"/>
      <c r="AI186" s="326"/>
      <c r="AJ186" s="326"/>
      <c r="AK186" s="326"/>
      <c r="AL186" s="327"/>
    </row>
    <row r="187" spans="1:38" ht="15.75" customHeight="1" x14ac:dyDescent="0.25">
      <c r="A187" s="414" t="s">
        <v>62</v>
      </c>
      <c r="B187" s="326"/>
      <c r="C187" s="327"/>
      <c r="D187" s="414" t="s">
        <v>140</v>
      </c>
      <c r="E187" s="326"/>
      <c r="F187" s="326"/>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26"/>
      <c r="AC187" s="326"/>
      <c r="AD187" s="326"/>
      <c r="AE187" s="326"/>
      <c r="AF187" s="326"/>
      <c r="AG187" s="326"/>
      <c r="AH187" s="326"/>
      <c r="AI187" s="326"/>
      <c r="AJ187" s="326"/>
      <c r="AK187" s="326"/>
      <c r="AL187" s="327"/>
    </row>
    <row r="188" spans="1:38" ht="15.75" customHeight="1" x14ac:dyDescent="0.25">
      <c r="A188" s="402" t="s">
        <v>64</v>
      </c>
      <c r="B188" s="326"/>
      <c r="C188" s="327"/>
      <c r="D188" s="402" t="s">
        <v>178</v>
      </c>
      <c r="E188" s="326"/>
      <c r="F188" s="326"/>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7"/>
    </row>
    <row r="189" spans="1:38" ht="15.75" customHeight="1" x14ac:dyDescent="0.25">
      <c r="A189" s="402"/>
      <c r="B189" s="326"/>
      <c r="C189" s="327"/>
      <c r="D189" s="402" t="s">
        <v>278</v>
      </c>
      <c r="E189" s="326"/>
      <c r="F189" s="326"/>
      <c r="G189" s="326"/>
      <c r="H189" s="326"/>
      <c r="I189" s="326"/>
      <c r="J189" s="326"/>
      <c r="K189" s="326"/>
      <c r="L189" s="326"/>
      <c r="M189" s="326"/>
      <c r="N189" s="326"/>
      <c r="O189" s="326"/>
      <c r="P189" s="326"/>
      <c r="Q189" s="326"/>
      <c r="R189" s="326"/>
      <c r="S189" s="326"/>
      <c r="T189" s="326"/>
      <c r="U189" s="326"/>
      <c r="V189" s="326"/>
      <c r="W189" s="326"/>
      <c r="X189" s="326"/>
      <c r="Y189" s="326"/>
      <c r="Z189" s="326"/>
      <c r="AA189" s="326"/>
      <c r="AB189" s="326"/>
      <c r="AC189" s="326"/>
      <c r="AD189" s="326"/>
      <c r="AE189" s="326"/>
      <c r="AF189" s="326"/>
      <c r="AG189" s="326"/>
      <c r="AH189" s="326"/>
      <c r="AI189" s="326"/>
      <c r="AJ189" s="326"/>
      <c r="AK189" s="326"/>
      <c r="AL189" s="327"/>
    </row>
    <row r="190" spans="1:38" ht="15.75" customHeight="1" x14ac:dyDescent="0.25">
      <c r="A190" s="402"/>
      <c r="B190" s="326"/>
      <c r="C190" s="327"/>
      <c r="D190" s="402"/>
      <c r="E190" s="326"/>
      <c r="F190" s="326"/>
      <c r="G190" s="326"/>
      <c r="H190" s="326"/>
      <c r="I190" s="326"/>
      <c r="J190" s="326"/>
      <c r="K190" s="326"/>
      <c r="L190" s="326"/>
      <c r="M190" s="326"/>
      <c r="N190" s="326"/>
      <c r="O190" s="326"/>
      <c r="P190" s="326"/>
      <c r="Q190" s="326"/>
      <c r="R190" s="326"/>
      <c r="S190" s="326"/>
      <c r="T190" s="326"/>
      <c r="U190" s="326"/>
      <c r="V190" s="326"/>
      <c r="W190" s="326"/>
      <c r="X190" s="326"/>
      <c r="Y190" s="326"/>
      <c r="Z190" s="326"/>
      <c r="AA190" s="326"/>
      <c r="AB190" s="326"/>
      <c r="AC190" s="326"/>
      <c r="AD190" s="326"/>
      <c r="AE190" s="326"/>
      <c r="AF190" s="326"/>
      <c r="AG190" s="326"/>
      <c r="AH190" s="326"/>
      <c r="AI190" s="326"/>
      <c r="AJ190" s="326"/>
      <c r="AK190" s="326"/>
      <c r="AL190" s="327"/>
    </row>
    <row r="191" spans="1:38" ht="15.75" customHeight="1" x14ac:dyDescent="0.25"/>
    <row r="192" spans="1:38"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51">
    <mergeCell ref="D190:AL190"/>
    <mergeCell ref="D179:AL179"/>
    <mergeCell ref="D180:AL180"/>
    <mergeCell ref="D181:AL181"/>
    <mergeCell ref="A182:AL184"/>
    <mergeCell ref="D185:AL185"/>
    <mergeCell ref="D186:AL186"/>
    <mergeCell ref="D187:AL187"/>
    <mergeCell ref="D172:AL172"/>
    <mergeCell ref="D173:AL173"/>
    <mergeCell ref="D174:AL174"/>
    <mergeCell ref="D175:AL175"/>
    <mergeCell ref="D176:AL176"/>
    <mergeCell ref="D177:AL177"/>
    <mergeCell ref="D178:AL178"/>
    <mergeCell ref="D188:AL188"/>
    <mergeCell ref="D189:AL189"/>
    <mergeCell ref="A172:C172"/>
    <mergeCell ref="A180:C180"/>
    <mergeCell ref="A181:C181"/>
    <mergeCell ref="A185:C185"/>
    <mergeCell ref="A186:C186"/>
    <mergeCell ref="A187:C187"/>
    <mergeCell ref="A188:C188"/>
    <mergeCell ref="D161:AL161"/>
    <mergeCell ref="D162:AL162"/>
    <mergeCell ref="D163:AL163"/>
    <mergeCell ref="D164:AL164"/>
    <mergeCell ref="D165:AL165"/>
    <mergeCell ref="D166:AL166"/>
    <mergeCell ref="D167:AL167"/>
    <mergeCell ref="A168:AL170"/>
    <mergeCell ref="D171:AL171"/>
    <mergeCell ref="A161:C161"/>
    <mergeCell ref="A162:C162"/>
    <mergeCell ref="A163:C163"/>
    <mergeCell ref="A164:C164"/>
    <mergeCell ref="A165:C165"/>
    <mergeCell ref="A166:C166"/>
    <mergeCell ref="A167:C167"/>
    <mergeCell ref="A171:C171"/>
    <mergeCell ref="A130:C130"/>
    <mergeCell ref="A131:C131"/>
    <mergeCell ref="A132:C132"/>
    <mergeCell ref="A133:C133"/>
    <mergeCell ref="D156:AL156"/>
    <mergeCell ref="D157:AL157"/>
    <mergeCell ref="D158:AL158"/>
    <mergeCell ref="D159:AL159"/>
    <mergeCell ref="D160:AL160"/>
    <mergeCell ref="A160:C160"/>
    <mergeCell ref="A151:C151"/>
    <mergeCell ref="A152:C152"/>
    <mergeCell ref="A153:C153"/>
    <mergeCell ref="A154:C154"/>
    <mergeCell ref="A155:C155"/>
    <mergeCell ref="A156:C156"/>
    <mergeCell ref="A157:C157"/>
    <mergeCell ref="A158:C158"/>
    <mergeCell ref="A159:C159"/>
    <mergeCell ref="D153:AL153"/>
    <mergeCell ref="D154:AL154"/>
    <mergeCell ref="D155:AL155"/>
    <mergeCell ref="D151:AL151"/>
    <mergeCell ref="D152:AL152"/>
    <mergeCell ref="A117:C117"/>
    <mergeCell ref="A118:C118"/>
    <mergeCell ref="A119:C119"/>
    <mergeCell ref="A120:C120"/>
    <mergeCell ref="A121:C121"/>
    <mergeCell ref="A122:C122"/>
    <mergeCell ref="A123:C123"/>
    <mergeCell ref="A124:C124"/>
    <mergeCell ref="A125:C125"/>
    <mergeCell ref="A108:C108"/>
    <mergeCell ref="A109:C109"/>
    <mergeCell ref="A110:C110"/>
    <mergeCell ref="A111:C111"/>
    <mergeCell ref="A112:C112"/>
    <mergeCell ref="A113:C113"/>
    <mergeCell ref="A114:C114"/>
    <mergeCell ref="A115:C115"/>
    <mergeCell ref="A116:C116"/>
    <mergeCell ref="A96:C96"/>
    <mergeCell ref="A97:C97"/>
    <mergeCell ref="A98:C98"/>
    <mergeCell ref="A99:C99"/>
    <mergeCell ref="A100:C100"/>
    <mergeCell ref="A101:C101"/>
    <mergeCell ref="A102:C102"/>
    <mergeCell ref="A106:C106"/>
    <mergeCell ref="A107:C107"/>
    <mergeCell ref="A189:C189"/>
    <mergeCell ref="A190:C190"/>
    <mergeCell ref="A173:C173"/>
    <mergeCell ref="A174:C174"/>
    <mergeCell ref="A175:C175"/>
    <mergeCell ref="A176:C176"/>
    <mergeCell ref="A177:C177"/>
    <mergeCell ref="A178:C178"/>
    <mergeCell ref="A179:C179"/>
    <mergeCell ref="D81:AL81"/>
    <mergeCell ref="D82:AL82"/>
    <mergeCell ref="D83:AL83"/>
    <mergeCell ref="D84:AL84"/>
    <mergeCell ref="D85:AL85"/>
    <mergeCell ref="D86:AL86"/>
    <mergeCell ref="D87:AL87"/>
    <mergeCell ref="D88:AL88"/>
    <mergeCell ref="A134:C134"/>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D76:AL76"/>
    <mergeCell ref="A77:AL79"/>
    <mergeCell ref="D80:AL80"/>
    <mergeCell ref="A76:C76"/>
    <mergeCell ref="A80:C80"/>
    <mergeCell ref="A75:C75"/>
    <mergeCell ref="A70:C70"/>
    <mergeCell ref="A71:C71"/>
    <mergeCell ref="A72:C72"/>
    <mergeCell ref="A73:C73"/>
    <mergeCell ref="A74:C74"/>
    <mergeCell ref="D67:AL67"/>
    <mergeCell ref="D68:AL68"/>
    <mergeCell ref="D69:AL69"/>
    <mergeCell ref="D70:AL70"/>
    <mergeCell ref="D71:AL71"/>
    <mergeCell ref="D72:AL72"/>
    <mergeCell ref="D73:AL73"/>
    <mergeCell ref="D74:AL74"/>
    <mergeCell ref="D75:AL75"/>
    <mergeCell ref="D36:AL36"/>
    <mergeCell ref="D37:AL37"/>
    <mergeCell ref="D38:AL38"/>
    <mergeCell ref="D39:AL39"/>
    <mergeCell ref="A40:AL42"/>
    <mergeCell ref="D43:AL43"/>
    <mergeCell ref="D44:AL44"/>
    <mergeCell ref="D45:AL45"/>
    <mergeCell ref="D46:AL46"/>
    <mergeCell ref="A36:C36"/>
    <mergeCell ref="A37:C37"/>
    <mergeCell ref="A38:C38"/>
    <mergeCell ref="A39:C39"/>
    <mergeCell ref="A43:C43"/>
    <mergeCell ref="A44:C44"/>
    <mergeCell ref="A45:C45"/>
    <mergeCell ref="A46:C46"/>
    <mergeCell ref="D47:AL47"/>
    <mergeCell ref="D48:AL48"/>
    <mergeCell ref="D49:AL49"/>
    <mergeCell ref="D50:AL50"/>
    <mergeCell ref="D51:AL51"/>
    <mergeCell ref="D52:AL52"/>
    <mergeCell ref="D53:AL53"/>
    <mergeCell ref="D54:AL54"/>
    <mergeCell ref="D55:AL55"/>
    <mergeCell ref="D56:AL56"/>
    <mergeCell ref="D57:AL57"/>
    <mergeCell ref="D58:AL58"/>
    <mergeCell ref="D59:AL59"/>
    <mergeCell ref="D60:AL60"/>
    <mergeCell ref="A66:C66"/>
    <mergeCell ref="A67:C67"/>
    <mergeCell ref="A68:C68"/>
    <mergeCell ref="A69:C69"/>
    <mergeCell ref="A57:C57"/>
    <mergeCell ref="A58:C58"/>
    <mergeCell ref="A59:C59"/>
    <mergeCell ref="A60:C60"/>
    <mergeCell ref="A61:C61"/>
    <mergeCell ref="A62:C62"/>
    <mergeCell ref="A63:C63"/>
    <mergeCell ref="A64:C64"/>
    <mergeCell ref="A65:C65"/>
    <mergeCell ref="D61:AL61"/>
    <mergeCell ref="D62:AL62"/>
    <mergeCell ref="D63:AL63"/>
    <mergeCell ref="D64:AL64"/>
    <mergeCell ref="D65:AL65"/>
    <mergeCell ref="D66:AL66"/>
    <mergeCell ref="A48:C48"/>
    <mergeCell ref="A49:C49"/>
    <mergeCell ref="A50:C50"/>
    <mergeCell ref="A51:C51"/>
    <mergeCell ref="A52:C52"/>
    <mergeCell ref="A53:C53"/>
    <mergeCell ref="A54:C54"/>
    <mergeCell ref="A55:C55"/>
    <mergeCell ref="A56:C56"/>
    <mergeCell ref="A47:C47"/>
    <mergeCell ref="D29:AL29"/>
    <mergeCell ref="D30:AL30"/>
    <mergeCell ref="D31:AL31"/>
    <mergeCell ref="D32:AL32"/>
    <mergeCell ref="D33:AL33"/>
    <mergeCell ref="D34:AL34"/>
    <mergeCell ref="D35:AL35"/>
    <mergeCell ref="A19:C19"/>
    <mergeCell ref="A20:C20"/>
    <mergeCell ref="A21:C21"/>
    <mergeCell ref="A22:C22"/>
    <mergeCell ref="A23:C23"/>
    <mergeCell ref="A29:C29"/>
    <mergeCell ref="A30:C30"/>
    <mergeCell ref="A31:C31"/>
    <mergeCell ref="A32:C32"/>
    <mergeCell ref="A33:C33"/>
    <mergeCell ref="A34:C34"/>
    <mergeCell ref="A35:C35"/>
    <mergeCell ref="D21:AL21"/>
    <mergeCell ref="D22:AL22"/>
    <mergeCell ref="D23:AL23"/>
    <mergeCell ref="A24:AL26"/>
    <mergeCell ref="A6:AL8"/>
    <mergeCell ref="A9:AL11"/>
    <mergeCell ref="B13:AL13"/>
    <mergeCell ref="B14:H14"/>
    <mergeCell ref="I14:T14"/>
    <mergeCell ref="AA14:AL14"/>
    <mergeCell ref="I15:T15"/>
    <mergeCell ref="AA15:AL15"/>
    <mergeCell ref="D20:AL20"/>
    <mergeCell ref="V14:Z14"/>
    <mergeCell ref="V15:Z15"/>
    <mergeCell ref="V16:Z16"/>
    <mergeCell ref="AA16:AL16"/>
    <mergeCell ref="V17:Z17"/>
    <mergeCell ref="AA17:AL17"/>
    <mergeCell ref="V18:Z18"/>
    <mergeCell ref="AA18:AL18"/>
    <mergeCell ref="B15:H15"/>
    <mergeCell ref="B16:H17"/>
    <mergeCell ref="I16:T17"/>
    <mergeCell ref="B18:H18"/>
    <mergeCell ref="I18:P18"/>
    <mergeCell ref="Q18:T18"/>
    <mergeCell ref="D19:AL19"/>
    <mergeCell ref="T5:V5"/>
    <mergeCell ref="O3:Q3"/>
    <mergeCell ref="A4:B4"/>
    <mergeCell ref="C4:E4"/>
    <mergeCell ref="F4:G4"/>
    <mergeCell ref="H4:J4"/>
    <mergeCell ref="K4:N4"/>
    <mergeCell ref="O4:Q4"/>
    <mergeCell ref="A5:B5"/>
    <mergeCell ref="C5:E5"/>
    <mergeCell ref="F5:G5"/>
    <mergeCell ref="H5:J5"/>
    <mergeCell ref="K5:N5"/>
    <mergeCell ref="O5:Q5"/>
    <mergeCell ref="A1:AL1"/>
    <mergeCell ref="A2:V2"/>
    <mergeCell ref="A3:B3"/>
    <mergeCell ref="C3:E3"/>
    <mergeCell ref="F3:G3"/>
    <mergeCell ref="H3:J3"/>
    <mergeCell ref="K3:N3"/>
    <mergeCell ref="T3:V3"/>
    <mergeCell ref="T4:V4"/>
    <mergeCell ref="A27:AL27"/>
    <mergeCell ref="A28:X28"/>
    <mergeCell ref="D130:AL130"/>
    <mergeCell ref="D131:AL131"/>
    <mergeCell ref="D132:AL132"/>
    <mergeCell ref="D133:AL133"/>
    <mergeCell ref="D134:AL134"/>
    <mergeCell ref="D149:AL149"/>
    <mergeCell ref="A150:AL150"/>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D119:AL119"/>
    <mergeCell ref="D120:AL120"/>
    <mergeCell ref="D121:AL121"/>
    <mergeCell ref="D122:AL122"/>
    <mergeCell ref="D123:AL123"/>
    <mergeCell ref="D124:AL124"/>
    <mergeCell ref="D125:AL125"/>
    <mergeCell ref="A126:AL128"/>
    <mergeCell ref="D129:AL129"/>
    <mergeCell ref="A129:C129"/>
    <mergeCell ref="D110:AL110"/>
    <mergeCell ref="D111:AL111"/>
    <mergeCell ref="D112:AL112"/>
    <mergeCell ref="D113:AL113"/>
    <mergeCell ref="D114:AL114"/>
    <mergeCell ref="D115:AL115"/>
    <mergeCell ref="D116:AL116"/>
    <mergeCell ref="D117:AL117"/>
    <mergeCell ref="D118:AL118"/>
    <mergeCell ref="D144:AL144"/>
    <mergeCell ref="D145:AL145"/>
    <mergeCell ref="D146:AL146"/>
    <mergeCell ref="D147:AL147"/>
    <mergeCell ref="D148:AL148"/>
    <mergeCell ref="D89:AL89"/>
    <mergeCell ref="D90:AL90"/>
    <mergeCell ref="D91:AL91"/>
    <mergeCell ref="D92:AL92"/>
    <mergeCell ref="D93:AL93"/>
    <mergeCell ref="D94:AL94"/>
    <mergeCell ref="D95:AL95"/>
    <mergeCell ref="D96:AL96"/>
    <mergeCell ref="D97:AL97"/>
    <mergeCell ref="D98:AL98"/>
    <mergeCell ref="D99:AL99"/>
    <mergeCell ref="D100:AL100"/>
    <mergeCell ref="D101:AL101"/>
    <mergeCell ref="D102:AL102"/>
    <mergeCell ref="A103:AL105"/>
    <mergeCell ref="D106:AL106"/>
    <mergeCell ref="D107:AL107"/>
    <mergeCell ref="D108:AL108"/>
    <mergeCell ref="D109:AL109"/>
    <mergeCell ref="D135:AL135"/>
    <mergeCell ref="D136:AL136"/>
    <mergeCell ref="D137:AL137"/>
    <mergeCell ref="D138:AL138"/>
    <mergeCell ref="D139:AL139"/>
    <mergeCell ref="D140:AL140"/>
    <mergeCell ref="D141:AL141"/>
    <mergeCell ref="D142:AL142"/>
    <mergeCell ref="D143:AL143"/>
  </mergeCells>
  <pageMargins left="0.25" right="0.25" top="0.75" bottom="0.75" header="0" footer="0"/>
  <pageSetup paperSize="5" fitToHeight="0"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'Drop-Down Boxes '!$H$3:$H$11</xm:f>
          </x14:formula1>
          <xm:sqref>Q18</xm:sqref>
        </x14:dataValidation>
        <x14:dataValidation type="list" allowBlank="1" showErrorMessage="1" xr:uid="{00000000-0002-0000-0000-000001000000}">
          <x14:formula1>
            <xm:f>'Drop-Down Boxes '!$D$3:$D$14</xm:f>
          </x14:formula1>
          <xm:sqref>I18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F497A"/>
  </sheetPr>
  <dimension ref="A1:CV1000"/>
  <sheetViews>
    <sheetView workbookViewId="0"/>
  </sheetViews>
  <sheetFormatPr defaultColWidth="14.42578125" defaultRowHeight="15" customHeight="1" x14ac:dyDescent="0.25"/>
  <cols>
    <col min="1" max="14" width="4.7109375" customWidth="1"/>
    <col min="15" max="100" width="3.7109375" customWidth="1"/>
  </cols>
  <sheetData>
    <row r="1" spans="1:86" ht="18.75" x14ac:dyDescent="0.25">
      <c r="A1" s="432" t="str">
        <f>'GRANTEE SET UP INFO &amp; DATE '!A1</f>
        <v>WV Bureau for Behavioral Healh - Peer Recovery Support Services  V 20200110</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54"/>
    </row>
    <row r="2" spans="1:86" ht="16.5" customHeight="1" x14ac:dyDescent="0.25">
      <c r="A2" s="433" t="str">
        <f>'GRANTEE SET UP INFO &amp; DATE '!A2</f>
        <v>Program reports need to be submitted electronically, via e-mail to BBHReporting@wv.gov within 25 calendar days of the end of each month.</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54"/>
    </row>
    <row r="3" spans="1:86" ht="19.5" customHeight="1" x14ac:dyDescent="0.25">
      <c r="A3" s="459" t="s">
        <v>544</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54"/>
    </row>
    <row r="4" spans="1:86" x14ac:dyDescent="0.25">
      <c r="A4" s="456" t="s">
        <v>545</v>
      </c>
      <c r="B4" s="326"/>
      <c r="C4" s="326"/>
      <c r="D4" s="326"/>
      <c r="E4" s="326"/>
      <c r="F4" s="326"/>
      <c r="G4" s="326"/>
      <c r="H4" s="326"/>
      <c r="I4" s="326"/>
      <c r="J4" s="327"/>
      <c r="K4" s="381" t="str">
        <f>'GRANTEE SET UP INFO &amp; DATE '!H4</f>
        <v xml:space="preserve">SA Peer Recovery Support Specialist </v>
      </c>
      <c r="L4" s="326"/>
      <c r="M4" s="326"/>
      <c r="N4" s="326"/>
      <c r="O4" s="326"/>
      <c r="P4" s="326"/>
      <c r="Q4" s="326"/>
      <c r="R4" s="326"/>
      <c r="S4" s="326"/>
      <c r="T4" s="326"/>
      <c r="U4" s="327"/>
      <c r="V4" s="9"/>
      <c r="W4" s="456" t="s">
        <v>537</v>
      </c>
      <c r="X4" s="326"/>
      <c r="Y4" s="326"/>
      <c r="Z4" s="326"/>
      <c r="AA4" s="326"/>
      <c r="AB4" s="326"/>
      <c r="AC4" s="326"/>
      <c r="AD4" s="326"/>
      <c r="AE4" s="327"/>
      <c r="AF4" s="758" t="str">
        <f>'GRANTEE SET UP INFO &amp; DATE '!Z4</f>
        <v xml:space="preserve">Grantee formal Name (name on grant agreement) </v>
      </c>
      <c r="AG4" s="335"/>
      <c r="AH4" s="335"/>
      <c r="AI4" s="335"/>
      <c r="AJ4" s="335"/>
      <c r="AK4" s="335"/>
      <c r="AL4" s="335"/>
      <c r="AM4" s="335"/>
      <c r="AN4" s="335"/>
      <c r="AO4" s="335"/>
      <c r="AP4" s="335"/>
      <c r="AQ4" s="335"/>
      <c r="AR4" s="335"/>
      <c r="AS4" s="335"/>
      <c r="AT4" s="335"/>
      <c r="AU4" s="335"/>
    </row>
    <row r="5" spans="1:86" x14ac:dyDescent="0.25">
      <c r="A5" s="456" t="s">
        <v>546</v>
      </c>
      <c r="B5" s="326"/>
      <c r="C5" s="326"/>
      <c r="D5" s="326"/>
      <c r="E5" s="326"/>
      <c r="F5" s="326"/>
      <c r="G5" s="326"/>
      <c r="H5" s="326"/>
      <c r="I5" s="326"/>
      <c r="J5" s="327"/>
      <c r="K5" s="381" t="str">
        <f>'GRANTEE SET UP INFO &amp; DATE '!H5</f>
        <v xml:space="preserve"> SA Peer Recovery Support Specialist </v>
      </c>
      <c r="L5" s="326"/>
      <c r="M5" s="326"/>
      <c r="N5" s="326"/>
      <c r="O5" s="326"/>
      <c r="P5" s="326"/>
      <c r="Q5" s="326"/>
      <c r="R5" s="326"/>
      <c r="S5" s="326"/>
      <c r="T5" s="326"/>
      <c r="U5" s="327"/>
      <c r="V5" s="9"/>
      <c r="W5" s="456" t="s">
        <v>35</v>
      </c>
      <c r="X5" s="326"/>
      <c r="Y5" s="326"/>
      <c r="Z5" s="326"/>
      <c r="AA5" s="326"/>
      <c r="AB5" s="326"/>
      <c r="AC5" s="326"/>
      <c r="AD5" s="326"/>
      <c r="AE5" s="327"/>
      <c r="AF5" s="762" t="str">
        <f>'GRANTEE SET UP INFO &amp; DATE '!Z5</f>
        <v>Names of Contact(s):</v>
      </c>
      <c r="AG5" s="335"/>
      <c r="AH5" s="335"/>
      <c r="AI5" s="335"/>
      <c r="AJ5" s="335"/>
      <c r="AK5" s="335"/>
      <c r="AL5" s="335"/>
      <c r="AM5" s="335"/>
      <c r="AN5" s="335"/>
      <c r="AO5" s="335"/>
      <c r="AP5" s="335"/>
      <c r="AQ5" s="335"/>
      <c r="AR5" s="335"/>
      <c r="AS5" s="335"/>
      <c r="AT5" s="335"/>
      <c r="AU5" s="335"/>
    </row>
    <row r="6" spans="1:86" ht="14.25" customHeight="1" x14ac:dyDescent="0.25">
      <c r="A6" s="759" t="s">
        <v>37</v>
      </c>
      <c r="B6" s="332"/>
      <c r="C6" s="332"/>
      <c r="D6" s="332"/>
      <c r="E6" s="332"/>
      <c r="F6" s="332"/>
      <c r="G6" s="332"/>
      <c r="H6" s="332"/>
      <c r="I6" s="332"/>
      <c r="J6" s="333"/>
      <c r="K6" s="390" t="str">
        <f>'GRANTEE SET UP INFO &amp; DATE '!H6</f>
        <v>123 Any Street, Any City, WV 12345</v>
      </c>
      <c r="L6" s="332"/>
      <c r="M6" s="332"/>
      <c r="N6" s="332"/>
      <c r="O6" s="332"/>
      <c r="P6" s="332"/>
      <c r="Q6" s="332"/>
      <c r="R6" s="332"/>
      <c r="S6" s="332"/>
      <c r="T6" s="332"/>
      <c r="U6" s="333"/>
      <c r="V6" s="9"/>
      <c r="W6" s="456" t="s">
        <v>39</v>
      </c>
      <c r="X6" s="326"/>
      <c r="Y6" s="326"/>
      <c r="Z6" s="326"/>
      <c r="AA6" s="326"/>
      <c r="AB6" s="326"/>
      <c r="AC6" s="326"/>
      <c r="AD6" s="326"/>
      <c r="AE6" s="327"/>
      <c r="AF6" s="758" t="str">
        <f>'GRANTEE SET UP INFO &amp; DATE '!Z6</f>
        <v>Phone numbers for contacts</v>
      </c>
      <c r="AG6" s="335"/>
      <c r="AH6" s="335"/>
      <c r="AI6" s="335"/>
      <c r="AJ6" s="335"/>
      <c r="AK6" s="335"/>
      <c r="AL6" s="335"/>
      <c r="AM6" s="335"/>
      <c r="AN6" s="335"/>
      <c r="AO6" s="335"/>
      <c r="AP6" s="335"/>
      <c r="AQ6" s="335"/>
      <c r="AR6" s="335"/>
      <c r="AS6" s="335"/>
      <c r="AT6" s="335"/>
      <c r="AU6" s="335"/>
    </row>
    <row r="7" spans="1:86" x14ac:dyDescent="0.25">
      <c r="A7" s="337"/>
      <c r="B7" s="338"/>
      <c r="C7" s="338"/>
      <c r="D7" s="338"/>
      <c r="E7" s="338"/>
      <c r="F7" s="338"/>
      <c r="G7" s="338"/>
      <c r="H7" s="338"/>
      <c r="I7" s="338"/>
      <c r="J7" s="339"/>
      <c r="K7" s="337"/>
      <c r="L7" s="338"/>
      <c r="M7" s="338"/>
      <c r="N7" s="338"/>
      <c r="O7" s="338"/>
      <c r="P7" s="338"/>
      <c r="Q7" s="338"/>
      <c r="R7" s="338"/>
      <c r="S7" s="338"/>
      <c r="T7" s="338"/>
      <c r="U7" s="339"/>
      <c r="V7" s="9"/>
      <c r="W7" s="456" t="s">
        <v>41</v>
      </c>
      <c r="X7" s="326"/>
      <c r="Y7" s="326"/>
      <c r="Z7" s="326"/>
      <c r="AA7" s="326"/>
      <c r="AB7" s="326"/>
      <c r="AC7" s="326"/>
      <c r="AD7" s="326"/>
      <c r="AE7" s="327"/>
      <c r="AF7" s="758" t="str">
        <f>'GRANTEE SET UP INFO &amp; DATE '!Z7</f>
        <v xml:space="preserve">number on grant agreement or TFB </v>
      </c>
      <c r="AG7" s="335"/>
      <c r="AH7" s="335"/>
      <c r="AI7" s="335"/>
      <c r="AJ7" s="335"/>
      <c r="AK7" s="335"/>
      <c r="AL7" s="335"/>
      <c r="AM7" s="335"/>
      <c r="AN7" s="335"/>
      <c r="AO7" s="335"/>
      <c r="AP7" s="335"/>
      <c r="AQ7" s="335"/>
      <c r="AR7" s="335"/>
      <c r="AS7" s="335"/>
      <c r="AT7" s="335"/>
      <c r="AU7" s="335"/>
    </row>
    <row r="8" spans="1:86" ht="15" customHeight="1" x14ac:dyDescent="0.25">
      <c r="A8" s="760" t="s">
        <v>547</v>
      </c>
      <c r="B8" s="326"/>
      <c r="C8" s="326"/>
      <c r="D8" s="326"/>
      <c r="E8" s="326"/>
      <c r="F8" s="326"/>
      <c r="G8" s="326"/>
      <c r="H8" s="326"/>
      <c r="I8" s="326"/>
      <c r="J8" s="327"/>
      <c r="K8" s="761" t="str">
        <f>'GRANTEE SET UP INFO &amp; DATE '!H8</f>
        <v>October 1 - 31</v>
      </c>
      <c r="L8" s="326"/>
      <c r="M8" s="326"/>
      <c r="N8" s="326"/>
      <c r="O8" s="326"/>
      <c r="P8" s="326"/>
      <c r="Q8" s="326"/>
      <c r="R8" s="327"/>
      <c r="S8" s="761">
        <f>'GRANTEE SET UP INFO &amp; DATE '!P8</f>
        <v>2026</v>
      </c>
      <c r="T8" s="326"/>
      <c r="U8" s="327"/>
      <c r="V8" s="93"/>
      <c r="W8" s="456" t="s">
        <v>541</v>
      </c>
      <c r="X8" s="326"/>
      <c r="Y8" s="326"/>
      <c r="Z8" s="326"/>
      <c r="AA8" s="326"/>
      <c r="AB8" s="326"/>
      <c r="AC8" s="326"/>
      <c r="AD8" s="326"/>
      <c r="AE8" s="327"/>
      <c r="AF8" s="763" t="str">
        <f>'GRANTEE SET UP INFO &amp; DATE '!Z8</f>
        <v>program code can locate on SOW or  TFB</v>
      </c>
      <c r="AG8" s="335"/>
      <c r="AH8" s="335"/>
      <c r="AI8" s="335"/>
      <c r="AJ8" s="335"/>
      <c r="AK8" s="335"/>
      <c r="AL8" s="335"/>
      <c r="AM8" s="335"/>
      <c r="AN8" s="335"/>
      <c r="AO8" s="335"/>
      <c r="AP8" s="335"/>
      <c r="AQ8" s="335"/>
      <c r="AR8" s="335"/>
      <c r="AS8" s="335"/>
      <c r="AT8" s="335"/>
      <c r="AU8" s="335"/>
    </row>
    <row r="9" spans="1:86" ht="24.75" customHeight="1" x14ac:dyDescent="0.25">
      <c r="A9" s="711" t="s">
        <v>548</v>
      </c>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c r="AJ9" s="344"/>
      <c r="AK9" s="344"/>
      <c r="AL9" s="344"/>
      <c r="AM9" s="344"/>
      <c r="AN9" s="470"/>
      <c r="AO9" s="9"/>
      <c r="AP9" s="9"/>
      <c r="AQ9" s="9"/>
      <c r="AR9" s="9"/>
      <c r="AS9" s="9"/>
      <c r="AT9" s="9"/>
      <c r="AU9" s="9"/>
    </row>
    <row r="10" spans="1:86" ht="18.75" x14ac:dyDescent="0.25">
      <c r="A10" s="764" t="s">
        <v>549</v>
      </c>
      <c r="B10" s="347"/>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54"/>
    </row>
    <row r="11" spans="1:86" ht="21" x14ac:dyDescent="0.25">
      <c r="A11" s="765" t="s">
        <v>550</v>
      </c>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c r="BA11" s="347"/>
      <c r="BB11" s="347"/>
      <c r="BC11" s="347"/>
      <c r="BD11" s="347"/>
      <c r="BE11" s="347"/>
      <c r="BF11" s="347"/>
      <c r="BG11" s="354"/>
    </row>
    <row r="12" spans="1:86" ht="21" x14ac:dyDescent="0.3">
      <c r="A12" s="766" t="s">
        <v>550</v>
      </c>
      <c r="B12" s="326"/>
      <c r="C12" s="326"/>
      <c r="D12" s="326"/>
      <c r="E12" s="326"/>
      <c r="F12" s="326"/>
      <c r="G12" s="326"/>
      <c r="H12" s="326"/>
      <c r="I12" s="326"/>
      <c r="J12" s="326"/>
      <c r="K12" s="326"/>
      <c r="L12" s="326"/>
      <c r="M12" s="326"/>
      <c r="N12" s="326"/>
      <c r="O12" s="326"/>
      <c r="P12" s="326"/>
      <c r="Q12" s="326"/>
      <c r="R12" s="326"/>
      <c r="S12" s="326"/>
      <c r="T12" s="326"/>
      <c r="U12" s="326"/>
      <c r="V12" s="326"/>
      <c r="W12" s="327"/>
      <c r="X12" s="767" t="s">
        <v>551</v>
      </c>
      <c r="Y12" s="326"/>
      <c r="Z12" s="326"/>
      <c r="AA12" s="326"/>
      <c r="AB12" s="326"/>
      <c r="AC12" s="326"/>
      <c r="AD12" s="326"/>
      <c r="AE12" s="327"/>
      <c r="AF12" s="94"/>
      <c r="AG12" s="94"/>
      <c r="AH12" s="94"/>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row>
    <row r="13" spans="1:86" ht="21" x14ac:dyDescent="0.25">
      <c r="A13" s="769" t="s">
        <v>552</v>
      </c>
      <c r="B13" s="326"/>
      <c r="C13" s="326"/>
      <c r="D13" s="326"/>
      <c r="E13" s="326"/>
      <c r="F13" s="326"/>
      <c r="G13" s="326"/>
      <c r="H13" s="326"/>
      <c r="I13" s="326"/>
      <c r="J13" s="326"/>
      <c r="K13" s="326"/>
      <c r="L13" s="326"/>
      <c r="M13" s="326"/>
      <c r="N13" s="326"/>
      <c r="O13" s="326"/>
      <c r="P13" s="326"/>
      <c r="Q13" s="326"/>
      <c r="R13" s="326"/>
      <c r="S13" s="326"/>
      <c r="T13" s="326"/>
      <c r="U13" s="326"/>
      <c r="V13" s="326"/>
      <c r="W13" s="327"/>
      <c r="X13" s="768">
        <f>COUNTIFS('refer admin discharge'!H15:H2995,"&gt;=07/01/2015",'refer admin discharge'!H15:H2995,"&lt;=09/30/2019")</f>
        <v>0</v>
      </c>
      <c r="Y13" s="326"/>
      <c r="Z13" s="326"/>
      <c r="AA13" s="326"/>
      <c r="AB13" s="326"/>
      <c r="AC13" s="326"/>
      <c r="AD13" s="326"/>
      <c r="AE13" s="327"/>
      <c r="AF13" s="94"/>
      <c r="AG13" s="94"/>
      <c r="AH13" s="94"/>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row>
    <row r="14" spans="1:86" ht="21" x14ac:dyDescent="0.25">
      <c r="A14" s="770" t="s">
        <v>553</v>
      </c>
      <c r="B14" s="326"/>
      <c r="C14" s="326"/>
      <c r="D14" s="326"/>
      <c r="E14" s="326"/>
      <c r="F14" s="326"/>
      <c r="G14" s="326"/>
      <c r="H14" s="326"/>
      <c r="I14" s="326"/>
      <c r="J14" s="326"/>
      <c r="K14" s="326"/>
      <c r="L14" s="326"/>
      <c r="M14" s="326"/>
      <c r="N14" s="326"/>
      <c r="O14" s="326"/>
      <c r="P14" s="326"/>
      <c r="Q14" s="326"/>
      <c r="R14" s="326"/>
      <c r="S14" s="326"/>
      <c r="T14" s="326"/>
      <c r="U14" s="326"/>
      <c r="V14" s="326"/>
      <c r="W14" s="327"/>
      <c r="X14" s="771">
        <f>COUNTIFS('refer admin discharge'!H15:H2995,"&gt;=10/01/2019",'refer admin discharge'!H15:H2995,"&lt;=09/30/2022")</f>
        <v>0</v>
      </c>
      <c r="Y14" s="326"/>
      <c r="Z14" s="326"/>
      <c r="AA14" s="326"/>
      <c r="AB14" s="326"/>
      <c r="AC14" s="326"/>
      <c r="AD14" s="326"/>
      <c r="AE14" s="327"/>
      <c r="AF14" s="94"/>
      <c r="AG14" s="96"/>
      <c r="AH14" s="96"/>
      <c r="AK14" s="97"/>
      <c r="AL14" s="97"/>
      <c r="AM14" s="97"/>
      <c r="AN14" s="97"/>
      <c r="AO14" s="97"/>
      <c r="AP14" s="97"/>
      <c r="AQ14" s="97"/>
      <c r="AR14" s="97"/>
      <c r="AS14" s="98"/>
      <c r="AT14" s="98"/>
      <c r="AU14" s="98"/>
      <c r="AV14" s="98"/>
      <c r="AW14" s="98"/>
      <c r="AX14" s="98"/>
      <c r="AY14" s="98"/>
      <c r="AZ14" s="98"/>
      <c r="BA14" s="98"/>
      <c r="BB14" s="98"/>
      <c r="BC14" s="98"/>
      <c r="BD14" s="98"/>
      <c r="BE14" s="98"/>
      <c r="BF14" s="98"/>
      <c r="BG14" s="98"/>
      <c r="BJ14" s="97"/>
      <c r="BK14" s="97"/>
      <c r="BL14" s="97"/>
      <c r="BM14" s="97"/>
      <c r="BN14" s="97"/>
      <c r="BO14" s="97"/>
      <c r="BP14" s="97"/>
      <c r="BQ14" s="97"/>
      <c r="BR14" s="97"/>
      <c r="BS14" s="97"/>
      <c r="BT14" s="98"/>
      <c r="BU14" s="98"/>
      <c r="BV14" s="98"/>
      <c r="BW14" s="98"/>
      <c r="BX14" s="98"/>
      <c r="BY14" s="98"/>
      <c r="BZ14" s="98"/>
      <c r="CA14" s="98"/>
      <c r="CB14" s="98"/>
      <c r="CC14" s="98"/>
      <c r="CD14" s="98"/>
      <c r="CE14" s="98"/>
      <c r="CF14" s="98"/>
      <c r="CG14" s="98"/>
      <c r="CH14" s="98"/>
    </row>
    <row r="15" spans="1:86" ht="21" x14ac:dyDescent="0.25">
      <c r="A15" s="772" t="s">
        <v>554</v>
      </c>
      <c r="B15" s="326"/>
      <c r="C15" s="326"/>
      <c r="D15" s="326"/>
      <c r="E15" s="326"/>
      <c r="F15" s="326"/>
      <c r="G15" s="326"/>
      <c r="H15" s="326"/>
      <c r="I15" s="326"/>
      <c r="J15" s="326"/>
      <c r="K15" s="326"/>
      <c r="L15" s="326"/>
      <c r="M15" s="326"/>
      <c r="N15" s="326"/>
      <c r="O15" s="326"/>
      <c r="P15" s="326"/>
      <c r="Q15" s="326"/>
      <c r="R15" s="326"/>
      <c r="S15" s="326"/>
      <c r="T15" s="326"/>
      <c r="U15" s="326"/>
      <c r="V15" s="326"/>
      <c r="W15" s="327"/>
      <c r="X15" s="773">
        <f>COUNTIFS('refer admin discharge'!L15:L2995,"YES")</f>
        <v>0</v>
      </c>
      <c r="Y15" s="326"/>
      <c r="Z15" s="326"/>
      <c r="AA15" s="326"/>
      <c r="AB15" s="326"/>
      <c r="AC15" s="326"/>
      <c r="AD15" s="326"/>
      <c r="AE15" s="327"/>
      <c r="AF15" s="94"/>
      <c r="AG15" s="99"/>
      <c r="AH15" s="99"/>
      <c r="AK15" s="100"/>
      <c r="AL15" s="100"/>
      <c r="AM15" s="100"/>
      <c r="AN15" s="100"/>
      <c r="AO15" s="100"/>
      <c r="AP15" s="100"/>
      <c r="AQ15" s="100"/>
      <c r="AR15" s="100"/>
      <c r="AS15" s="94"/>
      <c r="AT15" s="94"/>
      <c r="AU15" s="94"/>
      <c r="AV15" s="94"/>
      <c r="AW15" s="94"/>
      <c r="AX15" s="94"/>
      <c r="AY15" s="94"/>
      <c r="AZ15" s="94"/>
      <c r="BA15" s="94"/>
      <c r="BB15" s="94"/>
      <c r="BC15" s="94"/>
      <c r="BD15" s="94"/>
      <c r="BE15" s="94"/>
      <c r="BF15" s="94"/>
      <c r="BG15" s="94"/>
      <c r="BJ15" s="100"/>
      <c r="BK15" s="100"/>
      <c r="BL15" s="100"/>
      <c r="BM15" s="100"/>
      <c r="BN15" s="100"/>
      <c r="BO15" s="100"/>
      <c r="BP15" s="100"/>
      <c r="BQ15" s="100"/>
      <c r="BR15" s="101"/>
      <c r="BS15" s="101"/>
      <c r="BT15" s="94"/>
      <c r="BU15" s="94"/>
      <c r="BV15" s="94"/>
      <c r="BW15" s="94"/>
      <c r="BX15" s="94"/>
      <c r="BY15" s="94"/>
      <c r="BZ15" s="94"/>
      <c r="CA15" s="94"/>
      <c r="CB15" s="94"/>
      <c r="CC15" s="94"/>
      <c r="CD15" s="94"/>
      <c r="CE15" s="94"/>
      <c r="CF15" s="94"/>
      <c r="CG15" s="94"/>
      <c r="CH15" s="94"/>
    </row>
    <row r="16" spans="1:86" ht="21" x14ac:dyDescent="0.25">
      <c r="A16" s="770" t="s">
        <v>555</v>
      </c>
      <c r="B16" s="326"/>
      <c r="C16" s="326"/>
      <c r="D16" s="326"/>
      <c r="E16" s="326"/>
      <c r="F16" s="326"/>
      <c r="G16" s="326"/>
      <c r="H16" s="326"/>
      <c r="I16" s="326"/>
      <c r="J16" s="326"/>
      <c r="K16" s="326"/>
      <c r="L16" s="326"/>
      <c r="M16" s="326"/>
      <c r="N16" s="326"/>
      <c r="O16" s="326"/>
      <c r="P16" s="326"/>
      <c r="Q16" s="326"/>
      <c r="R16" s="326"/>
      <c r="S16" s="326"/>
      <c r="T16" s="326"/>
      <c r="U16" s="326"/>
      <c r="V16" s="326"/>
      <c r="W16" s="327"/>
      <c r="X16" s="771">
        <f>COUNTIFS('refer admin discharge'!BC15:BC2995,"YES")</f>
        <v>0</v>
      </c>
      <c r="Y16" s="326"/>
      <c r="Z16" s="326"/>
      <c r="AA16" s="326"/>
      <c r="AB16" s="326"/>
      <c r="AC16" s="326"/>
      <c r="AD16" s="326"/>
      <c r="AE16" s="327"/>
      <c r="AF16" s="94"/>
      <c r="AG16" s="102"/>
      <c r="AH16" s="102"/>
      <c r="AK16" s="100"/>
      <c r="AL16" s="100"/>
      <c r="AM16" s="100"/>
      <c r="AN16" s="100"/>
      <c r="AO16" s="100"/>
      <c r="AP16" s="100"/>
      <c r="AQ16" s="100"/>
      <c r="AR16" s="100"/>
      <c r="AS16" s="94"/>
      <c r="AT16" s="94"/>
      <c r="AU16" s="94"/>
      <c r="AV16" s="94"/>
      <c r="AW16" s="94"/>
      <c r="AX16" s="94"/>
      <c r="AY16" s="94"/>
      <c r="AZ16" s="94"/>
      <c r="BA16" s="94"/>
      <c r="BB16" s="94"/>
      <c r="BC16" s="94"/>
      <c r="BD16" s="94"/>
      <c r="BE16" s="94"/>
      <c r="BF16" s="94"/>
      <c r="BG16" s="94"/>
      <c r="BJ16" s="100"/>
      <c r="BK16" s="100"/>
      <c r="BL16" s="100"/>
      <c r="BM16" s="100"/>
      <c r="BN16" s="100"/>
      <c r="BO16" s="100"/>
      <c r="BP16" s="100"/>
      <c r="BQ16" s="100"/>
      <c r="BR16" s="101"/>
      <c r="BS16" s="101"/>
      <c r="BT16" s="94"/>
      <c r="BU16" s="94"/>
      <c r="BV16" s="94"/>
      <c r="BW16" s="94"/>
      <c r="BX16" s="94"/>
      <c r="BY16" s="94"/>
      <c r="BZ16" s="94"/>
      <c r="CA16" s="94"/>
      <c r="CB16" s="94"/>
      <c r="CC16" s="94"/>
      <c r="CD16" s="94"/>
      <c r="CE16" s="94"/>
      <c r="CF16" s="94"/>
      <c r="CG16" s="94"/>
      <c r="CH16" s="94"/>
    </row>
    <row r="17" spans="1:86" ht="21" x14ac:dyDescent="0.25">
      <c r="A17" s="774" t="s">
        <v>556</v>
      </c>
      <c r="B17" s="326"/>
      <c r="C17" s="326"/>
      <c r="D17" s="326"/>
      <c r="E17" s="326"/>
      <c r="F17" s="326"/>
      <c r="G17" s="326"/>
      <c r="H17" s="326"/>
      <c r="I17" s="326"/>
      <c r="J17" s="326"/>
      <c r="K17" s="326"/>
      <c r="L17" s="326"/>
      <c r="M17" s="326"/>
      <c r="N17" s="326"/>
      <c r="O17" s="326"/>
      <c r="P17" s="326"/>
      <c r="Q17" s="326"/>
      <c r="R17" s="326"/>
      <c r="S17" s="326"/>
      <c r="T17" s="326"/>
      <c r="U17" s="326"/>
      <c r="V17" s="326"/>
      <c r="W17" s="327"/>
      <c r="X17" s="773">
        <f>X13+X14-X16</f>
        <v>0</v>
      </c>
      <c r="Y17" s="326"/>
      <c r="Z17" s="326"/>
      <c r="AA17" s="326"/>
      <c r="AB17" s="326"/>
      <c r="AC17" s="326"/>
      <c r="AD17" s="326"/>
      <c r="AE17" s="327"/>
      <c r="AF17" s="94"/>
      <c r="AG17" s="103"/>
      <c r="AH17" s="103"/>
      <c r="AK17" s="100"/>
      <c r="AL17" s="100"/>
      <c r="AM17" s="100"/>
      <c r="AN17" s="100"/>
      <c r="AO17" s="100"/>
      <c r="AP17" s="100"/>
      <c r="AQ17" s="100"/>
      <c r="AR17" s="100"/>
      <c r="AS17" s="94"/>
      <c r="AT17" s="94"/>
      <c r="AU17" s="94"/>
      <c r="AV17" s="94"/>
      <c r="AW17" s="94"/>
      <c r="AX17" s="94"/>
      <c r="AY17" s="94"/>
      <c r="AZ17" s="94"/>
      <c r="BA17" s="94"/>
      <c r="BB17" s="94"/>
      <c r="BC17" s="94"/>
      <c r="BD17" s="94"/>
      <c r="BE17" s="94"/>
      <c r="BF17" s="94"/>
      <c r="BG17" s="94"/>
      <c r="BJ17" s="100"/>
      <c r="BK17" s="100"/>
      <c r="BL17" s="100"/>
      <c r="BM17" s="100"/>
      <c r="BN17" s="100"/>
      <c r="BO17" s="100"/>
      <c r="BP17" s="100"/>
      <c r="BQ17" s="100"/>
      <c r="BR17" s="101"/>
      <c r="BS17" s="101"/>
      <c r="BT17" s="94"/>
      <c r="BU17" s="94"/>
      <c r="BV17" s="94"/>
      <c r="BW17" s="94"/>
      <c r="BX17" s="94"/>
      <c r="BY17" s="94"/>
      <c r="BZ17" s="94"/>
      <c r="CA17" s="94"/>
      <c r="CB17" s="94"/>
      <c r="CC17" s="94"/>
      <c r="CD17" s="94"/>
      <c r="CE17" s="94"/>
      <c r="CF17" s="94"/>
      <c r="CG17" s="94"/>
      <c r="CH17" s="94"/>
    </row>
    <row r="18" spans="1:86" ht="21" x14ac:dyDescent="0.25">
      <c r="A18" s="775" t="s">
        <v>557</v>
      </c>
      <c r="B18" s="326"/>
      <c r="C18" s="326"/>
      <c r="D18" s="326"/>
      <c r="E18" s="326"/>
      <c r="F18" s="326"/>
      <c r="G18" s="326"/>
      <c r="H18" s="326"/>
      <c r="I18" s="326"/>
      <c r="J18" s="326"/>
      <c r="K18" s="326"/>
      <c r="L18" s="326"/>
      <c r="M18" s="326"/>
      <c r="N18" s="326"/>
      <c r="O18" s="326"/>
      <c r="P18" s="326"/>
      <c r="Q18" s="326"/>
      <c r="R18" s="326"/>
      <c r="S18" s="326"/>
      <c r="T18" s="326"/>
      <c r="U18" s="326"/>
      <c r="V18" s="326"/>
      <c r="W18" s="327"/>
      <c r="X18" s="776">
        <f>X13+X14</f>
        <v>0</v>
      </c>
      <c r="Y18" s="326"/>
      <c r="Z18" s="326"/>
      <c r="AA18" s="326"/>
      <c r="AB18" s="326"/>
      <c r="AC18" s="326"/>
      <c r="AD18" s="326"/>
      <c r="AE18" s="327"/>
      <c r="AF18" s="94"/>
      <c r="AG18" s="102"/>
      <c r="AH18" s="102"/>
      <c r="AK18" s="104"/>
      <c r="AL18" s="104"/>
      <c r="AM18" s="104"/>
      <c r="AN18" s="104"/>
      <c r="AO18" s="104"/>
      <c r="AP18" s="104"/>
      <c r="AQ18" s="104"/>
      <c r="AR18" s="104"/>
      <c r="AS18" s="94"/>
      <c r="AT18" s="94"/>
      <c r="AU18" s="94"/>
      <c r="AV18" s="94"/>
      <c r="AW18" s="94"/>
      <c r="AX18" s="94"/>
      <c r="AY18" s="94"/>
      <c r="AZ18" s="94"/>
      <c r="BA18" s="94"/>
      <c r="BB18" s="94"/>
      <c r="BC18" s="94"/>
      <c r="BD18" s="94"/>
      <c r="BE18" s="94"/>
      <c r="BF18" s="94"/>
      <c r="BG18" s="94"/>
      <c r="BJ18" s="104"/>
      <c r="BK18" s="104"/>
      <c r="BL18" s="104"/>
      <c r="BM18" s="104"/>
      <c r="BN18" s="104"/>
      <c r="BO18" s="104"/>
      <c r="BP18" s="104"/>
      <c r="BQ18" s="104"/>
      <c r="BR18" s="105"/>
      <c r="BS18" s="105"/>
      <c r="BT18" s="94"/>
      <c r="BU18" s="94"/>
      <c r="BV18" s="94"/>
      <c r="BW18" s="94"/>
      <c r="BX18" s="94"/>
      <c r="BY18" s="94"/>
      <c r="BZ18" s="94"/>
      <c r="CA18" s="94"/>
      <c r="CB18" s="94"/>
      <c r="CC18" s="94"/>
      <c r="CD18" s="94"/>
      <c r="CE18" s="94"/>
      <c r="CF18" s="94"/>
      <c r="CG18" s="94"/>
      <c r="CH18" s="94"/>
    </row>
    <row r="19" spans="1:86" ht="21" x14ac:dyDescent="0.25">
      <c r="A19" s="777" t="s">
        <v>558</v>
      </c>
      <c r="B19" s="326"/>
      <c r="C19" s="326"/>
      <c r="D19" s="326"/>
      <c r="E19" s="326"/>
      <c r="F19" s="326"/>
      <c r="G19" s="326"/>
      <c r="H19" s="326"/>
      <c r="I19" s="326"/>
      <c r="J19" s="326"/>
      <c r="K19" s="326"/>
      <c r="L19" s="326"/>
      <c r="M19" s="326"/>
      <c r="N19" s="326"/>
      <c r="O19" s="326"/>
      <c r="P19" s="326"/>
      <c r="Q19" s="326"/>
      <c r="R19" s="326"/>
      <c r="S19" s="326"/>
      <c r="T19" s="326"/>
      <c r="U19" s="326"/>
      <c r="V19" s="326"/>
      <c r="W19" s="327"/>
      <c r="X19" s="778">
        <f>X18-X15</f>
        <v>0</v>
      </c>
      <c r="Y19" s="326"/>
      <c r="Z19" s="326"/>
      <c r="AA19" s="326"/>
      <c r="AB19" s="326"/>
      <c r="AC19" s="326"/>
      <c r="AD19" s="326"/>
      <c r="AE19" s="327"/>
      <c r="AF19" s="94"/>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94"/>
      <c r="BE19" s="94"/>
      <c r="BF19" s="94"/>
      <c r="BG19" s="94"/>
    </row>
    <row r="20" spans="1:86" ht="21" x14ac:dyDescent="0.25">
      <c r="A20" s="774"/>
      <c r="B20" s="326"/>
      <c r="C20" s="326"/>
      <c r="D20" s="326"/>
      <c r="E20" s="326"/>
      <c r="F20" s="326"/>
      <c r="G20" s="326"/>
      <c r="H20" s="326"/>
      <c r="I20" s="326"/>
      <c r="J20" s="326"/>
      <c r="K20" s="326"/>
      <c r="L20" s="326"/>
      <c r="M20" s="326"/>
      <c r="N20" s="326"/>
      <c r="O20" s="326"/>
      <c r="P20" s="326"/>
      <c r="Q20" s="326"/>
      <c r="R20" s="326"/>
      <c r="S20" s="326"/>
      <c r="T20" s="326"/>
      <c r="U20" s="326"/>
      <c r="V20" s="326"/>
      <c r="W20" s="327"/>
      <c r="X20" s="773"/>
      <c r="Y20" s="326"/>
      <c r="Z20" s="326"/>
      <c r="AA20" s="326"/>
      <c r="AB20" s="326"/>
      <c r="AC20" s="326"/>
      <c r="AD20" s="326"/>
      <c r="AE20" s="327"/>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row>
    <row r="21" spans="1:86" ht="15.75" customHeight="1" x14ac:dyDescent="0.25">
      <c r="A21" s="789" t="s">
        <v>559</v>
      </c>
      <c r="B21" s="347"/>
      <c r="C21" s="347"/>
      <c r="D21" s="347"/>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47"/>
      <c r="AO21" s="347"/>
      <c r="AP21" s="347"/>
      <c r="AQ21" s="347"/>
      <c r="AR21" s="347"/>
      <c r="AS21" s="347"/>
      <c r="AT21" s="347"/>
      <c r="AU21" s="347"/>
      <c r="AV21" s="347"/>
      <c r="AW21" s="347"/>
      <c r="AX21" s="347"/>
      <c r="AY21" s="347"/>
      <c r="AZ21" s="347"/>
      <c r="BA21" s="347"/>
      <c r="BB21" s="347"/>
      <c r="BC21" s="347"/>
      <c r="BD21" s="347"/>
      <c r="BE21" s="347"/>
      <c r="BF21" s="347"/>
      <c r="BG21" s="354"/>
      <c r="BH21" s="106"/>
      <c r="BI21" s="106"/>
      <c r="BJ21" s="106"/>
      <c r="BK21" s="106"/>
      <c r="BL21" s="106"/>
      <c r="BM21" s="106"/>
      <c r="BN21" s="106"/>
      <c r="BO21" s="106"/>
      <c r="BP21" s="106"/>
      <c r="BQ21" s="106"/>
    </row>
    <row r="22" spans="1:86" ht="15.75" customHeight="1" x14ac:dyDescent="0.25">
      <c r="A22" s="789" t="s">
        <v>560</v>
      </c>
      <c r="B22" s="347"/>
      <c r="C22" s="347"/>
      <c r="D22" s="347"/>
      <c r="E22" s="347"/>
      <c r="F22" s="347"/>
      <c r="G22" s="347"/>
      <c r="H22" s="347"/>
      <c r="I22" s="347"/>
      <c r="J22" s="347"/>
      <c r="K22" s="347"/>
      <c r="L22" s="347"/>
      <c r="M22" s="347"/>
      <c r="N22" s="347"/>
      <c r="O22" s="347"/>
      <c r="P22" s="347"/>
      <c r="Q22" s="347"/>
      <c r="R22" s="347"/>
      <c r="S22" s="347"/>
      <c r="T22" s="347"/>
      <c r="U22" s="347"/>
      <c r="V22" s="347"/>
      <c r="W22" s="347"/>
      <c r="X22" s="347"/>
      <c r="Y22" s="347"/>
      <c r="Z22" s="347"/>
      <c r="AA22" s="347"/>
      <c r="AB22" s="347"/>
      <c r="AC22" s="347"/>
      <c r="AD22" s="347"/>
      <c r="AE22" s="347"/>
      <c r="AF22" s="347"/>
      <c r="AG22" s="347"/>
      <c r="AH22" s="347"/>
      <c r="AI22" s="347"/>
      <c r="AJ22" s="347"/>
      <c r="AK22" s="347"/>
      <c r="AL22" s="347"/>
      <c r="AM22" s="347"/>
      <c r="AN22" s="347"/>
      <c r="AO22" s="347"/>
      <c r="AP22" s="347"/>
      <c r="AQ22" s="347"/>
      <c r="AR22" s="347"/>
      <c r="AS22" s="347"/>
      <c r="AT22" s="347"/>
      <c r="AU22" s="347"/>
      <c r="AV22" s="347"/>
      <c r="AW22" s="347"/>
      <c r="AX22" s="347"/>
      <c r="AY22" s="347"/>
      <c r="AZ22" s="347"/>
      <c r="BA22" s="347"/>
      <c r="BB22" s="347"/>
      <c r="BC22" s="347"/>
      <c r="BD22" s="347"/>
      <c r="BE22" s="347"/>
      <c r="BF22" s="347"/>
      <c r="BG22" s="354"/>
    </row>
    <row r="23" spans="1:86" ht="60" customHeight="1" x14ac:dyDescent="0.25">
      <c r="A23" s="790" t="s">
        <v>561</v>
      </c>
      <c r="B23" s="332"/>
      <c r="C23" s="332"/>
      <c r="D23" s="332"/>
      <c r="E23" s="332"/>
      <c r="F23" s="332"/>
      <c r="G23" s="332"/>
      <c r="H23" s="332"/>
      <c r="I23" s="332"/>
      <c r="J23" s="333"/>
      <c r="K23" s="779" t="s">
        <v>562</v>
      </c>
      <c r="L23" s="326"/>
      <c r="M23" s="326"/>
      <c r="N23" s="327"/>
      <c r="O23" s="779" t="s">
        <v>563</v>
      </c>
      <c r="P23" s="326"/>
      <c r="Q23" s="326"/>
      <c r="R23" s="327"/>
      <c r="S23" s="779" t="s">
        <v>564</v>
      </c>
      <c r="T23" s="326"/>
      <c r="U23" s="326"/>
      <c r="V23" s="327"/>
      <c r="W23" s="779" t="s">
        <v>565</v>
      </c>
      <c r="X23" s="326"/>
      <c r="Y23" s="326"/>
      <c r="Z23" s="327"/>
      <c r="AA23" s="779" t="s">
        <v>566</v>
      </c>
      <c r="AB23" s="326"/>
      <c r="AC23" s="326"/>
      <c r="AD23" s="327"/>
      <c r="AE23" s="779" t="s">
        <v>567</v>
      </c>
      <c r="AF23" s="326"/>
      <c r="AG23" s="326"/>
      <c r="AH23" s="327"/>
      <c r="AI23" s="779" t="s">
        <v>568</v>
      </c>
      <c r="AJ23" s="326"/>
      <c r="AK23" s="326"/>
      <c r="AL23" s="327"/>
      <c r="AM23" s="787" t="s">
        <v>569</v>
      </c>
      <c r="AN23" s="326"/>
      <c r="AO23" s="326"/>
      <c r="AP23" s="327"/>
      <c r="AQ23" s="9"/>
      <c r="AR23" s="780" t="s">
        <v>570</v>
      </c>
      <c r="AS23" s="326"/>
      <c r="AT23" s="326"/>
      <c r="AU23" s="327"/>
      <c r="AV23" s="780" t="s">
        <v>571</v>
      </c>
      <c r="AW23" s="326"/>
      <c r="AX23" s="326"/>
      <c r="AY23" s="327"/>
      <c r="AZ23" s="780" t="s">
        <v>568</v>
      </c>
      <c r="BA23" s="326"/>
      <c r="BB23" s="326"/>
      <c r="BC23" s="327"/>
      <c r="BD23" s="791" t="s">
        <v>569</v>
      </c>
      <c r="BE23" s="326"/>
      <c r="BF23" s="326"/>
      <c r="BG23" s="327"/>
    </row>
    <row r="24" spans="1:86" ht="15" customHeight="1" x14ac:dyDescent="0.25">
      <c r="A24" s="337"/>
      <c r="B24" s="338"/>
      <c r="C24" s="338"/>
      <c r="D24" s="338"/>
      <c r="E24" s="338"/>
      <c r="F24" s="338"/>
      <c r="G24" s="338"/>
      <c r="H24" s="338"/>
      <c r="I24" s="338"/>
      <c r="J24" s="339"/>
      <c r="K24" s="781" t="s">
        <v>572</v>
      </c>
      <c r="L24" s="327"/>
      <c r="M24" s="782" t="s">
        <v>573</v>
      </c>
      <c r="N24" s="327"/>
      <c r="O24" s="781" t="s">
        <v>572</v>
      </c>
      <c r="P24" s="327"/>
      <c r="Q24" s="782" t="s">
        <v>573</v>
      </c>
      <c r="R24" s="327"/>
      <c r="S24" s="781" t="s">
        <v>572</v>
      </c>
      <c r="T24" s="327"/>
      <c r="U24" s="782" t="s">
        <v>573</v>
      </c>
      <c r="V24" s="327"/>
      <c r="W24" s="781" t="s">
        <v>572</v>
      </c>
      <c r="X24" s="327"/>
      <c r="Y24" s="782" t="s">
        <v>573</v>
      </c>
      <c r="Z24" s="327"/>
      <c r="AA24" s="781" t="s">
        <v>572</v>
      </c>
      <c r="AB24" s="327"/>
      <c r="AC24" s="782" t="s">
        <v>573</v>
      </c>
      <c r="AD24" s="327"/>
      <c r="AE24" s="781" t="s">
        <v>572</v>
      </c>
      <c r="AF24" s="327"/>
      <c r="AG24" s="782" t="s">
        <v>573</v>
      </c>
      <c r="AH24" s="327"/>
      <c r="AI24" s="781" t="s">
        <v>572</v>
      </c>
      <c r="AJ24" s="327"/>
      <c r="AK24" s="782" t="s">
        <v>573</v>
      </c>
      <c r="AL24" s="327"/>
      <c r="AM24" s="783" t="s">
        <v>572</v>
      </c>
      <c r="AN24" s="327"/>
      <c r="AO24" s="784" t="s">
        <v>573</v>
      </c>
      <c r="AP24" s="327"/>
      <c r="AQ24" s="9"/>
      <c r="AR24" s="785" t="s">
        <v>572</v>
      </c>
      <c r="AS24" s="327"/>
      <c r="AT24" s="786" t="s">
        <v>573</v>
      </c>
      <c r="AU24" s="327"/>
      <c r="AV24" s="785" t="s">
        <v>572</v>
      </c>
      <c r="AW24" s="327"/>
      <c r="AX24" s="786" t="s">
        <v>573</v>
      </c>
      <c r="AY24" s="327"/>
      <c r="AZ24" s="785" t="s">
        <v>572</v>
      </c>
      <c r="BA24" s="327"/>
      <c r="BB24" s="786" t="s">
        <v>573</v>
      </c>
      <c r="BC24" s="327"/>
      <c r="BD24" s="788" t="s">
        <v>572</v>
      </c>
      <c r="BE24" s="327"/>
      <c r="BF24" s="788" t="s">
        <v>573</v>
      </c>
      <c r="BG24" s="327"/>
    </row>
    <row r="25" spans="1:86" ht="15.75" customHeight="1" x14ac:dyDescent="0.25">
      <c r="A25" s="753" t="s">
        <v>574</v>
      </c>
      <c r="B25" s="326"/>
      <c r="C25" s="326"/>
      <c r="D25" s="326"/>
      <c r="E25" s="326"/>
      <c r="F25" s="326"/>
      <c r="G25" s="326"/>
      <c r="H25" s="326"/>
      <c r="I25" s="326"/>
      <c r="J25" s="327"/>
      <c r="K25" s="754">
        <f>COUNTIFS('refer admin discharge'!N15:N2995,"&gt;=0",'refer admin discharge'!N15:N2995,"&lt;=12",'refer admin discharge'!O15:O2995,"Male",'refer admin discharge'!P15:P2995,"White")</f>
        <v>0</v>
      </c>
      <c r="L25" s="327"/>
      <c r="M25" s="755">
        <f>COUNTIFS('refer admin discharge'!N15:N2995,"&gt;=0",'refer admin discharge'!N15:N2995,"&lt;=12",'refer admin discharge'!O15:O2995,"Female",'refer admin discharge'!P15:P2995,"White",'refer admin discharge'!AJ15:AJ2995,"NO")</f>
        <v>0</v>
      </c>
      <c r="N25" s="327"/>
      <c r="O25" s="754">
        <f>COUNTIFS('refer admin discharge'!N15:N2995,"&gt;=0",'refer admin discharge'!N15:N2995,"&lt;=12",'refer admin discharge'!O15:O2995,"Male",'refer admin discharge'!P15:P2995,"African American /Black")</f>
        <v>0</v>
      </c>
      <c r="P25" s="327"/>
      <c r="Q25" s="755">
        <f>COUNTIFS('refer admin discharge'!N15:N2995,"&gt;=0",'refer admin discharge'!N15:N2995,"&lt;=12",'refer admin discharge'!O15:O2995,"Female",'refer admin discharge'!P15:P2995,"African American /Black",'refer admin discharge'!AJ15:AJ2995,"NO")</f>
        <v>0</v>
      </c>
      <c r="R25" s="327"/>
      <c r="S25" s="754">
        <f>COUNTIFS('refer admin discharge'!N15:N2995,"&gt;=0",'refer admin discharge'!N15:N2995,"&lt;=12",'refer admin discharge'!O15:O2995,"Male",'refer admin discharge'!P15:P2995,"Native Hawaiian / Other Pacific Islander")</f>
        <v>0</v>
      </c>
      <c r="T25" s="327"/>
      <c r="U25" s="755">
        <f>COUNTIFS('refer admin discharge'!N15:N2995,"&gt;=0",'refer admin discharge'!N15:N2995,"&lt;=12",'refer admin discharge'!O15:O2995,"Female",'refer admin discharge'!P15:P2995,"Native Hawaiian / Other Pacific Islander",'refer admin discharge'!AJ15:AJ2995,"NO")</f>
        <v>0</v>
      </c>
      <c r="V25" s="327"/>
      <c r="W25" s="754">
        <f>COUNTIFS('refer admin discharge'!N15:N2995,"&gt;=0",'refer admin discharge'!N15:N2995,"&lt;=12",'refer admin discharge'!O15:O2995,"Male",'refer admin discharge'!P15:P2995,"Asian")</f>
        <v>0</v>
      </c>
      <c r="X25" s="327"/>
      <c r="Y25" s="755">
        <f>COUNTIFS('refer admin discharge'!N15:N2995,"&gt;=0",'refer admin discharge'!N15:N2995,"&lt;=12",'refer admin discharge'!O15:O2995,"Female",'refer admin discharge'!P15:P2995,"Asian",'refer admin discharge'!AJ15:AJ2995,"NO")</f>
        <v>0</v>
      </c>
      <c r="Z25" s="327"/>
      <c r="AA25" s="754">
        <f>COUNTIFS('refer admin discharge'!N15:N2995,"&gt;=0",'refer admin discharge'!N15:N2995,"&lt;=12",'refer admin discharge'!O15:O2995,"Male",'refer admin discharge'!P15:P2995,"American Indian / Alaska Native")</f>
        <v>0</v>
      </c>
      <c r="AB25" s="327"/>
      <c r="AC25" s="755">
        <f>COUNTIFS('refer admin discharge'!N15:N2995,"&gt;=0",'refer admin discharge'!N15:N2995,"&lt;=12",'refer admin discharge'!O15:O2995,"Female",'refer admin discharge'!P15:P2995,"American Indian / Alaska Native",'refer admin discharge'!AJ15:AJ2995,"NO")</f>
        <v>0</v>
      </c>
      <c r="AD25" s="327"/>
      <c r="AE25" s="754">
        <f>COUNTIFS('refer admin discharge'!N15:N2995,"&gt;=0",'refer admin discharge'!N15:N2995,"&lt;=12",'refer admin discharge'!O15:O2995,"Male",'refer admin discharge'!P15:P2995,"More than one race reported")</f>
        <v>0</v>
      </c>
      <c r="AF25" s="327"/>
      <c r="AG25" s="755">
        <f>COUNTIFS('refer admin discharge'!N15:N2995,"&gt;=0",'refer admin discharge'!N15:N2995,"&lt;=12",'refer admin discharge'!O15:O2995,"Female",'refer admin discharge'!P15:P2995,"More than one race reported",'refer admin discharge'!AJ15:AJ2995,"NO")</f>
        <v>0</v>
      </c>
      <c r="AH25" s="327"/>
      <c r="AI25" s="754">
        <f>COUNTIFS('refer admin discharge'!N15:N2995,"&gt;=0",'refer admin discharge'!N15:N2995,"&lt;=12",'refer admin discharge'!O15:O2995,"Male",'refer admin discharge'!P15:P2995,"Unknown")</f>
        <v>0</v>
      </c>
      <c r="AJ25" s="327"/>
      <c r="AK25" s="755">
        <f>COUNTIFS('refer admin discharge'!N15:N2995,"&gt;=0",'refer admin discharge'!N15:N2995,"&lt;=12",'refer admin discharge'!O15:O2995,"Female",'refer admin discharge'!P15:P2995,"Unknown",'refer admin discharge'!AJ15:AJ2995,"NO")</f>
        <v>0</v>
      </c>
      <c r="AL25" s="327"/>
      <c r="AM25" s="756">
        <f t="shared" ref="AM25:AM32" si="0">K25+O25+S25+W25+AA25+AE25+AI25</f>
        <v>0</v>
      </c>
      <c r="AN25" s="327"/>
      <c r="AO25" s="757">
        <f t="shared" ref="AO25:AO32" si="1">M25+Q25+U25+Y25+AC25+AG25+AK25</f>
        <v>0</v>
      </c>
      <c r="AP25" s="327"/>
      <c r="AQ25" s="9"/>
      <c r="AR25" s="751">
        <f>COUNTIFS('refer admin discharge'!N15:N2995,"&gt;=0",'refer admin discharge'!N15:N2995,"&lt;=12",'refer admin discharge'!O15:O2995,"Male",'refer admin discharge'!R15:R2995,"Not Hispanic or Latino")</f>
        <v>0</v>
      </c>
      <c r="AS25" s="327"/>
      <c r="AT25" s="752">
        <f>COUNTIFS('refer admin discharge'!N15:N2995,"&gt;=0",'refer admin discharge'!N15:N2995,"&lt;=12",'refer admin discharge'!O15:O2995,"Female",'refer admin discharge'!R15:R2995,"Not Hispanic or Latino",'refer admin discharge'!AJ15:AJ2995,"NO")</f>
        <v>0</v>
      </c>
      <c r="AU25" s="327"/>
      <c r="AV25" s="751">
        <f>COUNTIFS('refer admin discharge'!N15:N2995,"&gt;=0",'refer admin discharge'!N15:N2995,"&lt;=12",'refer admin discharge'!O15:O2995,"Male",'refer admin discharge'!R15:R2995,"Hispanic-Latino ")</f>
        <v>0</v>
      </c>
      <c r="AW25" s="327"/>
      <c r="AX25" s="752">
        <f>COUNTIFS('refer admin discharge'!N15:N2995,"&gt;=0",'refer admin discharge'!N15:N2995,"&lt;=12",'refer admin discharge'!O15:O2995,"Female",'refer admin discharge'!R15:R2995,"Hispanic-Latino ",'refer admin discharge'!AJ15:AJ2995,"NO")</f>
        <v>0</v>
      </c>
      <c r="AY25" s="327"/>
      <c r="AZ25" s="751">
        <f>COUNTIFS('refer admin discharge'!N15:N2995,"&gt;=0",'refer admin discharge'!N15:N2995,"&lt;=12",'refer admin discharge'!O15:O2995,"Male",'refer admin discharge'!R15:R2995,"Unknown")</f>
        <v>0</v>
      </c>
      <c r="BA25" s="327"/>
      <c r="BB25" s="752">
        <f>COUNTIFS('refer admin discharge'!N15:N2995,"&gt;=0",'refer admin discharge'!N15:N2995,"&lt;=12",'refer admin discharge'!O15:O2995,"Female",'refer admin discharge'!R15:R2995,"Unknown",'refer admin discharge'!AJ15:AJ2995,"NO")</f>
        <v>0</v>
      </c>
      <c r="BC25" s="327"/>
      <c r="BD25" s="750">
        <f t="shared" ref="BD25:BD32" si="2">AR25+AV25+AZ25</f>
        <v>0</v>
      </c>
      <c r="BE25" s="327"/>
      <c r="BF25" s="750">
        <f t="shared" ref="BF25:BF32" si="3">AT25+AX25+BB25</f>
        <v>0</v>
      </c>
      <c r="BG25" s="327"/>
    </row>
    <row r="26" spans="1:86" ht="15.75" customHeight="1" x14ac:dyDescent="0.25">
      <c r="A26" s="753" t="s">
        <v>575</v>
      </c>
      <c r="B26" s="326"/>
      <c r="C26" s="326"/>
      <c r="D26" s="326"/>
      <c r="E26" s="326"/>
      <c r="F26" s="326"/>
      <c r="G26" s="326"/>
      <c r="H26" s="326"/>
      <c r="I26" s="326"/>
      <c r="J26" s="327"/>
      <c r="K26" s="754">
        <f>COUNTIFS('refer admin discharge'!N15:N2995,"&gt;=13",'refer admin discharge'!N15:N2995,"&lt;=17",'refer admin discharge'!O15:O2995,"Male",'refer admin discharge'!P15:P2995,"White")</f>
        <v>0</v>
      </c>
      <c r="L26" s="327"/>
      <c r="M26" s="755">
        <f>COUNTIFS('refer admin discharge'!N15:N2995,"&gt;=13",'refer admin discharge'!N15:N2995,"&lt;=17",'refer admin discharge'!O15:O2995,"Female",'refer admin discharge'!P15:P2995,"White",'refer admin discharge'!AJ15:AJ2995,"NO")</f>
        <v>0</v>
      </c>
      <c r="N26" s="327"/>
      <c r="O26" s="754">
        <f>COUNTIFS('refer admin discharge'!N15:N2995,"&gt;=13",'refer admin discharge'!N15:N2995,"&lt;=17",'refer admin discharge'!O15:O2995,"Male",'refer admin discharge'!P15:P2995,"African American /Black")</f>
        <v>0</v>
      </c>
      <c r="P26" s="327"/>
      <c r="Q26" s="755">
        <f>COUNTIFS('refer admin discharge'!N15:N2995,"&gt;=13",'refer admin discharge'!N15:N2995,"&lt;=17",'refer admin discharge'!O15:O2995,"Female",'refer admin discharge'!P15:P2995,"African American /Black",'refer admin discharge'!AJ15:AJ2995,"NO")</f>
        <v>0</v>
      </c>
      <c r="R26" s="327"/>
      <c r="S26" s="754">
        <f>COUNTIFS('refer admin discharge'!N15:N2995,"&gt;=13",'refer admin discharge'!N15:N2995,"&lt;=17",'refer admin discharge'!O15:O2995,"Male",'refer admin discharge'!P15:P2995,"Native Hawaiian / Other Pacific Islander")</f>
        <v>0</v>
      </c>
      <c r="T26" s="327"/>
      <c r="U26" s="755">
        <f>COUNTIFS('refer admin discharge'!N15:N2995,"&gt;=13",'refer admin discharge'!N15:N2995,"&lt;=17",'refer admin discharge'!O15:O2995,"Female",'refer admin discharge'!P15:P2995,"Native Hawaiian / Other Pacific Islander",'refer admin discharge'!AJ15:AJ2995,"NO")</f>
        <v>0</v>
      </c>
      <c r="V26" s="327"/>
      <c r="W26" s="754">
        <f>COUNTIFS('refer admin discharge'!N15:N2995,"&gt;=13",'refer admin discharge'!N15:N2995,"&lt;=17",'refer admin discharge'!O15:O2995,"Male",'refer admin discharge'!P15:P2995,"Asian")</f>
        <v>0</v>
      </c>
      <c r="X26" s="327"/>
      <c r="Y26" s="755">
        <f>COUNTIFS('refer admin discharge'!N15:N2995,"&gt;=13",'refer admin discharge'!N15:N2995,"&lt;=17",'refer admin discharge'!O15:O2995,"Female",'refer admin discharge'!P15:P2995,"Asian",'refer admin discharge'!AJ15:AJ2995,"NO")</f>
        <v>0</v>
      </c>
      <c r="Z26" s="327"/>
      <c r="AA26" s="754">
        <f>COUNTIFS('refer admin discharge'!N15:N2995,"&gt;=13",'refer admin discharge'!N15:N2995,"&lt;=17",'refer admin discharge'!O15:O2995,"Male",'refer admin discharge'!P15:P2995,"American Indian / Alaska Native")</f>
        <v>0</v>
      </c>
      <c r="AB26" s="327"/>
      <c r="AC26" s="755">
        <f>COUNTIFS('refer admin discharge'!N15:N2995,"&gt;=13",'refer admin discharge'!N15:N2995,"&lt;=17",'refer admin discharge'!O15:O2995,"Female",'refer admin discharge'!P15:P2995,"American Indian / Alaska Native",'refer admin discharge'!AJ15:AJ2995,"NO")</f>
        <v>0</v>
      </c>
      <c r="AD26" s="327"/>
      <c r="AE26" s="754">
        <f>COUNTIFS('refer admin discharge'!N15:N2995,"&gt;=13",'refer admin discharge'!N15:N2995,"&lt;=17",'refer admin discharge'!O15:O2995,"Male",'refer admin discharge'!P15:P2995,"More than one race reported")</f>
        <v>0</v>
      </c>
      <c r="AF26" s="327"/>
      <c r="AG26" s="755">
        <f>COUNTIFS('refer admin discharge'!N15:N2995,"&gt;=13",'refer admin discharge'!N15:N2995,"&lt;=17",'refer admin discharge'!O15:O2995,"Female",'refer admin discharge'!P15:P2995,"More than one race reported",'refer admin discharge'!AJ15:AJ2995,"NO")</f>
        <v>0</v>
      </c>
      <c r="AH26" s="327"/>
      <c r="AI26" s="754">
        <f>COUNTIFS('refer admin discharge'!N15:N2995,"&gt;=13",'refer admin discharge'!N15:N2995,"&lt;=17",'refer admin discharge'!O15:O2995,"Male",'refer admin discharge'!P15:P2995,"Unknown")</f>
        <v>0</v>
      </c>
      <c r="AJ26" s="327"/>
      <c r="AK26" s="755">
        <f>COUNTIFS('refer admin discharge'!N15:N2995,"&gt;=13",'refer admin discharge'!N15:N2995,"&lt;=17",'refer admin discharge'!O15:O2995,"Female",'refer admin discharge'!P15:P2995,"Unknown",'refer admin discharge'!AJ15:AJ2995,"NO")</f>
        <v>0</v>
      </c>
      <c r="AL26" s="327"/>
      <c r="AM26" s="756">
        <f t="shared" si="0"/>
        <v>0</v>
      </c>
      <c r="AN26" s="327"/>
      <c r="AO26" s="757">
        <f t="shared" si="1"/>
        <v>0</v>
      </c>
      <c r="AP26" s="327"/>
      <c r="AQ26" s="9"/>
      <c r="AR26" s="751">
        <f>COUNTIFS('refer admin discharge'!N15:N2995,"&gt;=13",'refer admin discharge'!N15:N2995,"&lt;=17",'refer admin discharge'!O15:O2995,"Male",'refer admin discharge'!R15:R2995,"Not Hispanic or Latino")</f>
        <v>0</v>
      </c>
      <c r="AS26" s="327"/>
      <c r="AT26" s="752">
        <f>COUNTIFS('refer admin discharge'!N15:N2995,"&gt;=13",'refer admin discharge'!N15:N2995,"&lt;=17",'refer admin discharge'!O15:O2995,"Female",'refer admin discharge'!R15:R2995,"Not Hispanic or Latino",'refer admin discharge'!AJ15:AJ2995,"NO")</f>
        <v>0</v>
      </c>
      <c r="AU26" s="327"/>
      <c r="AV26" s="751">
        <f>COUNTIFS('refer admin discharge'!N15:N1674,"&gt;=13",'refer admin discharge'!N15:N1674,"&lt;=17",'refer admin discharge'!O15:O1674,"Male",'refer admin discharge'!R15:R1674,"Hispanic-Latino ")</f>
        <v>0</v>
      </c>
      <c r="AW26" s="327"/>
      <c r="AX26" s="752">
        <f>COUNTIFS('refer admin discharge'!N15:N2995,"&gt;=13",'refer admin discharge'!N15:N2995,"&lt;=17",'refer admin discharge'!O15:O2995,"Female",'refer admin discharge'!R15:R2995,"Hispanic-Latino ",'refer admin discharge'!AJ15:AJ2995,"NO")</f>
        <v>0</v>
      </c>
      <c r="AY26" s="327"/>
      <c r="AZ26" s="751">
        <f>COUNTIFS('refer admin discharge'!N15:N2995,"&gt;=13",'refer admin discharge'!N15:N2995,"&lt;=17",'refer admin discharge'!O15:O2995,"Male",'refer admin discharge'!R15:R2995,"Unknown")</f>
        <v>0</v>
      </c>
      <c r="BA26" s="327"/>
      <c r="BB26" s="752">
        <f>COUNTIFS('refer admin discharge'!N15:N2995,"&gt;=13",'refer admin discharge'!N15:N2995,"&lt;=17",'refer admin discharge'!O15:O2995,"Female",'refer admin discharge'!R15:R2995,"Unknown",'refer admin discharge'!AJ15:AJ2995,"NO")</f>
        <v>0</v>
      </c>
      <c r="BC26" s="327"/>
      <c r="BD26" s="750">
        <f t="shared" si="2"/>
        <v>0</v>
      </c>
      <c r="BE26" s="327"/>
      <c r="BF26" s="750">
        <f t="shared" si="3"/>
        <v>0</v>
      </c>
      <c r="BG26" s="327"/>
    </row>
    <row r="27" spans="1:86" ht="15.75" customHeight="1" x14ac:dyDescent="0.25">
      <c r="A27" s="753" t="s">
        <v>576</v>
      </c>
      <c r="B27" s="326"/>
      <c r="C27" s="326"/>
      <c r="D27" s="326"/>
      <c r="E27" s="326"/>
      <c r="F27" s="326"/>
      <c r="G27" s="326"/>
      <c r="H27" s="326"/>
      <c r="I27" s="326"/>
      <c r="J27" s="327"/>
      <c r="K27" s="754">
        <f>COUNTIFS('refer admin discharge'!N15:N2995,"&gt;=18",'refer admin discharge'!N15:N2995,"&lt;=20",'refer admin discharge'!O15:O2995,"Male",'refer admin discharge'!P15:P2995,"White")</f>
        <v>0</v>
      </c>
      <c r="L27" s="327"/>
      <c r="M27" s="755">
        <f>COUNTIFS('refer admin discharge'!N15:N2995,"&gt;=18",'refer admin discharge'!N15:N2995,"&lt;=20",'refer admin discharge'!O15:O2995,"Female",'refer admin discharge'!P15:P2995,"White",'refer admin discharge'!AJ15:AJ2995,"NO")</f>
        <v>0</v>
      </c>
      <c r="N27" s="327"/>
      <c r="O27" s="754">
        <f>COUNTIFS('refer admin discharge'!N15:N2995,"&gt;=18",'refer admin discharge'!N15:N2995,"&lt;=20",'refer admin discharge'!O15:O2995,"Male",'refer admin discharge'!P15:P2995,"African American /Black")</f>
        <v>0</v>
      </c>
      <c r="P27" s="327"/>
      <c r="Q27" s="755">
        <f>COUNTIFS('refer admin discharge'!N15:N2995,"&gt;=18",'refer admin discharge'!N15:N2995,"&lt;=20",'refer admin discharge'!O15:O2995,"Female",'refer admin discharge'!P15:P2995,"African American /Black",'refer admin discharge'!AJ15:AJ2995,"NO")</f>
        <v>0</v>
      </c>
      <c r="R27" s="327"/>
      <c r="S27" s="754">
        <f>COUNTIFS('refer admin discharge'!N15:N2995,"&gt;=18",'refer admin discharge'!N15:N2995,"&lt;=20",'refer admin discharge'!O15:O2995,"Male",'refer admin discharge'!P15:P2995,"Native Hawaiian / Other Pacific Islander")</f>
        <v>0</v>
      </c>
      <c r="T27" s="327"/>
      <c r="U27" s="755">
        <f>COUNTIFS('refer admin discharge'!N15:N2995,"&gt;=18",'refer admin discharge'!N15:N2995,"&lt;=20",'refer admin discharge'!O15:O2995,"Female",'refer admin discharge'!P15:P2995,"Native Hawaiian / Other Pacific Islander",'refer admin discharge'!AJ15:AJ2995,"NO")</f>
        <v>0</v>
      </c>
      <c r="V27" s="327"/>
      <c r="W27" s="754">
        <f>COUNTIFS('refer admin discharge'!N15:N2995,"&gt;=18",'refer admin discharge'!N15:N2995,"&lt;=20",'refer admin discharge'!O15:O2995,"Male",'refer admin discharge'!P15:P2995,"Asian")</f>
        <v>0</v>
      </c>
      <c r="X27" s="327"/>
      <c r="Y27" s="755">
        <f>COUNTIFS('refer admin discharge'!N15:N2995,"&gt;=18",'refer admin discharge'!N15:N2995,"&lt;=20",'refer admin discharge'!O15:O2995,"Female",'refer admin discharge'!P15:P2995,"Asian",'refer admin discharge'!AJ15:AJ2995,"NO")</f>
        <v>0</v>
      </c>
      <c r="Z27" s="327"/>
      <c r="AA27" s="754">
        <f>COUNTIFS('refer admin discharge'!N15:N2995,"&gt;=18",'refer admin discharge'!N15:N2995,"&lt;=20",'refer admin discharge'!O15:O2995,"Male",'refer admin discharge'!P15:P2995,"American Indian / Alaska Native")</f>
        <v>0</v>
      </c>
      <c r="AB27" s="327"/>
      <c r="AC27" s="755">
        <f>COUNTIFS('refer admin discharge'!N15:N2995,"&gt;=18",'refer admin discharge'!N15:N2995,"&lt;=20",'refer admin discharge'!O15:O2995,"Female",'refer admin discharge'!P15:P2995,"American Indian / Alaska Native",'refer admin discharge'!AJ15:AJ2995,"NO")</f>
        <v>0</v>
      </c>
      <c r="AD27" s="327"/>
      <c r="AE27" s="754">
        <f>COUNTIFS('refer admin discharge'!N15:N2995,"&gt;=18",'refer admin discharge'!N15:N2995,"&lt;=20",'refer admin discharge'!O15:O2995,"Male",'refer admin discharge'!P15:P2995,"More than one race reported")</f>
        <v>0</v>
      </c>
      <c r="AF27" s="327"/>
      <c r="AG27" s="755">
        <f>COUNTIFS('refer admin discharge'!N15:N2995,"&gt;=18",'refer admin discharge'!N15:N2995,"&lt;=20",'refer admin discharge'!O15:O2995,"Female",'refer admin discharge'!P15:P2995,"More than one race reported",'refer admin discharge'!AJ15:AJ2995,"NO")</f>
        <v>0</v>
      </c>
      <c r="AH27" s="327"/>
      <c r="AI27" s="754">
        <f>COUNTIFS('refer admin discharge'!N15:N2995,"&gt;=18",'refer admin discharge'!N15:N2995,"&lt;=20",'refer admin discharge'!O15:O2995,"Male",'refer admin discharge'!P15:P2995,"Unknown")</f>
        <v>0</v>
      </c>
      <c r="AJ27" s="327"/>
      <c r="AK27" s="755">
        <f>COUNTIFS('refer admin discharge'!N15:N2995,"&gt;=18",'refer admin discharge'!N15:N2995,"&lt;=20",'refer admin discharge'!O15:O2995,"Female",'refer admin discharge'!P15:P2995,"Unknown",'refer admin discharge'!AJ15:AJ2995,"NO")</f>
        <v>0</v>
      </c>
      <c r="AL27" s="327"/>
      <c r="AM27" s="756">
        <f t="shared" si="0"/>
        <v>0</v>
      </c>
      <c r="AN27" s="327"/>
      <c r="AO27" s="757">
        <f t="shared" si="1"/>
        <v>0</v>
      </c>
      <c r="AP27" s="327"/>
      <c r="AQ27" s="9"/>
      <c r="AR27" s="751">
        <f>COUNTIFS('refer admin discharge'!N15:N2995,"&gt;=18",'refer admin discharge'!N15:N2995,"&lt;=20",'refer admin discharge'!O15:O2995,"Male",'refer admin discharge'!R15:R2995,"Not Hispanic or Latino")</f>
        <v>0</v>
      </c>
      <c r="AS27" s="327"/>
      <c r="AT27" s="752">
        <f>COUNTIFS('refer admin discharge'!N15:N2995,"&gt;=18",'refer admin discharge'!N15:N2995,"&lt;=20",'refer admin discharge'!O15:O2995,"Female",'refer admin discharge'!R15:R2995,"Not Hispanic or Latino",'refer admin discharge'!AJ15:AJ2995,"NO")</f>
        <v>0</v>
      </c>
      <c r="AU27" s="327"/>
      <c r="AV27" s="751">
        <f>COUNTIFS('refer admin discharge'!N15:N2995,"&gt;=18",'refer admin discharge'!N15:N2995,"&lt;=20",'refer admin discharge'!O15:O2995,"Male",'refer admin discharge'!R15:R2995,"Hispanic-Latino ")</f>
        <v>0</v>
      </c>
      <c r="AW27" s="327"/>
      <c r="AX27" s="752">
        <f>COUNTIFS('refer admin discharge'!N15:N2995,"&gt;=18",'refer admin discharge'!N15:N2995,"&lt;=20",'refer admin discharge'!O15:O2995,"Female",'refer admin discharge'!R15:R2995,"Hispanic-Latino ",'refer admin discharge'!AJ15:AJ2995,"NO")</f>
        <v>0</v>
      </c>
      <c r="AY27" s="327"/>
      <c r="AZ27" s="751">
        <f>COUNTIFS('refer admin discharge'!N15:N2995,"&gt;=18",'refer admin discharge'!N15:N2995,"&lt;=20",'refer admin discharge'!O15:O2995,"Male",'refer admin discharge'!R15:R2995,"Unknown")</f>
        <v>0</v>
      </c>
      <c r="BA27" s="327"/>
      <c r="BB27" s="752">
        <f>COUNTIFS('refer admin discharge'!N15:N2995,"&gt;=18",'refer admin discharge'!N15:N2995,"&lt;=20",'refer admin discharge'!O15:O2995,"Female",'refer admin discharge'!R15:R2995,"Unknown",'refer admin discharge'!AJ15:AJ2995,"NO")</f>
        <v>0</v>
      </c>
      <c r="BC27" s="327"/>
      <c r="BD27" s="750">
        <f t="shared" si="2"/>
        <v>0</v>
      </c>
      <c r="BE27" s="327"/>
      <c r="BF27" s="750">
        <f t="shared" si="3"/>
        <v>0</v>
      </c>
      <c r="BG27" s="327"/>
    </row>
    <row r="28" spans="1:86" ht="15.75" customHeight="1" x14ac:dyDescent="0.25">
      <c r="A28" s="753" t="s">
        <v>577</v>
      </c>
      <c r="B28" s="326"/>
      <c r="C28" s="326"/>
      <c r="D28" s="326"/>
      <c r="E28" s="326"/>
      <c r="F28" s="326"/>
      <c r="G28" s="326"/>
      <c r="H28" s="326"/>
      <c r="I28" s="326"/>
      <c r="J28" s="327"/>
      <c r="K28" s="754">
        <f>COUNTIFS('refer admin discharge'!N15:N2995,"&gt;=21",'refer admin discharge'!N15:N2995,"&lt;=24",'refer admin discharge'!O15:O2995,"Male",'refer admin discharge'!P15:P2995,"White")</f>
        <v>0</v>
      </c>
      <c r="L28" s="327"/>
      <c r="M28" s="755">
        <f>COUNTIFS('refer admin discharge'!N15:N2995,"&gt;=21",'refer admin discharge'!N15:N2995,"&lt;=24",'refer admin discharge'!O15:O2995,"Female",'refer admin discharge'!P15:P2995,"White",'refer admin discharge'!AJ15:AJ2995,"NO")</f>
        <v>0</v>
      </c>
      <c r="N28" s="327"/>
      <c r="O28" s="754">
        <f>COUNTIFS('refer admin discharge'!N15:N2995,"&gt;=21",'refer admin discharge'!N15:N2995,"&lt;=24",'refer admin discharge'!O15:O2995,"Male",'refer admin discharge'!P15:P2995,"African American /Black")</f>
        <v>0</v>
      </c>
      <c r="P28" s="327"/>
      <c r="Q28" s="755">
        <f>COUNTIFS('refer admin discharge'!N15:N2995,"&gt;=21",'refer admin discharge'!N15:N2995,"&lt;=24",'refer admin discharge'!O15:O2995,"Female",'refer admin discharge'!P15:P2995,"African American /Black",'refer admin discharge'!AJ15:AJ2995,"NO")</f>
        <v>0</v>
      </c>
      <c r="R28" s="327"/>
      <c r="S28" s="754">
        <f>COUNTIFS('refer admin discharge'!N15:N2995,"&gt;=21",'refer admin discharge'!N15:N2995,"&lt;=24",'refer admin discharge'!O15:O2995,"Male",'refer admin discharge'!P15:P2995,"Native Hawaiian / Other Pacific Islander")</f>
        <v>0</v>
      </c>
      <c r="T28" s="327"/>
      <c r="U28" s="755">
        <f>COUNTIFS('refer admin discharge'!N15:N2995,"&gt;=21",'refer admin discharge'!N15:N2995,"&lt;=24",'refer admin discharge'!O15:O2995,"Female",'refer admin discharge'!P15:P2995,"Native Hawaiian / Other Pacific Islander",'refer admin discharge'!AJ15:AJ2995,"NO")</f>
        <v>0</v>
      </c>
      <c r="V28" s="327"/>
      <c r="W28" s="754">
        <f>COUNTIFS('refer admin discharge'!N15:N2995,"&gt;=21",'refer admin discharge'!N15:N2995,"&lt;=24",'refer admin discharge'!O15:O2995,"Male",'refer admin discharge'!P15:P2995,"Asian")</f>
        <v>0</v>
      </c>
      <c r="X28" s="327"/>
      <c r="Y28" s="755">
        <f>COUNTIFS('refer admin discharge'!N15:N2995,"&gt;=21",'refer admin discharge'!N15:N2995,"&lt;=24",'refer admin discharge'!O15:O2995,"Female",'refer admin discharge'!P15:P2995,"Asian",'refer admin discharge'!AJ15:AJ2995,"NO")</f>
        <v>0</v>
      </c>
      <c r="Z28" s="327"/>
      <c r="AA28" s="754">
        <f>COUNTIFS('refer admin discharge'!N15:N2995,"&gt;=21",'refer admin discharge'!N15:N2995,"&lt;=24",'refer admin discharge'!O15:O2995,"Male",'refer admin discharge'!P15:P2995,"American Indian / Alaska Native")</f>
        <v>0</v>
      </c>
      <c r="AB28" s="327"/>
      <c r="AC28" s="755">
        <f>COUNTIFS('refer admin discharge'!N15:N2995,"&gt;=21",'refer admin discharge'!N15:N2995,"&lt;=24",'refer admin discharge'!O15:O2995,"Female",'refer admin discharge'!P15:P2995,"American Indian / Alaska Native",'refer admin discharge'!AJ15:AJ2995,"NO")</f>
        <v>0</v>
      </c>
      <c r="AD28" s="327"/>
      <c r="AE28" s="754">
        <f>COUNTIFS('refer admin discharge'!N15:N2995,"&gt;=21",'refer admin discharge'!N15:N2995,"&lt;=24",'refer admin discharge'!O15:O2995,"Male",'refer admin discharge'!P15:P2995,"More than one race reported")</f>
        <v>0</v>
      </c>
      <c r="AF28" s="327"/>
      <c r="AG28" s="755">
        <f>COUNTIFS('refer admin discharge'!N15:N2995,"&gt;=21",'refer admin discharge'!N15:N2995,"&lt;=24",'refer admin discharge'!O15:O2995,"Female",'refer admin discharge'!P15:P2995,"More than one race reported",'refer admin discharge'!AJ15:AJ2995,"NO")</f>
        <v>0</v>
      </c>
      <c r="AH28" s="327"/>
      <c r="AI28" s="754">
        <f>COUNTIFS('refer admin discharge'!N15:N2995,"&gt;=21",'refer admin discharge'!N15:N2995,"&lt;=24",'refer admin discharge'!O15:O2995,"Male",'refer admin discharge'!P15:P2995,"Unknown")</f>
        <v>0</v>
      </c>
      <c r="AJ28" s="327"/>
      <c r="AK28" s="755">
        <f>COUNTIFS('refer admin discharge'!N15:N2995,"&gt;=21",'refer admin discharge'!N15:N2995,"&lt;=24",'refer admin discharge'!O15:O2995,"Female",'refer admin discharge'!P15:P2995,"Unknown",'refer admin discharge'!AJ15:AJ2995,"NO")</f>
        <v>0</v>
      </c>
      <c r="AL28" s="327"/>
      <c r="AM28" s="756">
        <f t="shared" si="0"/>
        <v>0</v>
      </c>
      <c r="AN28" s="327"/>
      <c r="AO28" s="757">
        <f t="shared" si="1"/>
        <v>0</v>
      </c>
      <c r="AP28" s="327"/>
      <c r="AQ28" s="9"/>
      <c r="AR28" s="751">
        <f>COUNTIFS('refer admin discharge'!N15:N2995,"&gt;=21",'refer admin discharge'!N15:N2995,"&lt;=24",'refer admin discharge'!O15:O2995,"Male",'refer admin discharge'!R15:R2995,"Not Hispanic or Latino")</f>
        <v>0</v>
      </c>
      <c r="AS28" s="327"/>
      <c r="AT28" s="752">
        <f>COUNTIFS('refer admin discharge'!N15:N2995,"&gt;=21",'refer admin discharge'!N15:N2995,"&lt;=24",'refer admin discharge'!O15:O2995,"Female",'refer admin discharge'!R15:R2995,"Not Hispanic or Latino",'refer admin discharge'!AJ15:AJ2995,"NO")</f>
        <v>0</v>
      </c>
      <c r="AU28" s="327"/>
      <c r="AV28" s="751">
        <f>COUNTIFS('refer admin discharge'!N15:N2995,"&gt;=21",'refer admin discharge'!N15:N2995,"&lt;=24",'refer admin discharge'!O15:O2995,"Male",'refer admin discharge'!R15:R2995,"Hispanic-Latino ")</f>
        <v>0</v>
      </c>
      <c r="AW28" s="327"/>
      <c r="AX28" s="752">
        <f>COUNTIFS('refer admin discharge'!N15:N2995,"&gt;=21",'refer admin discharge'!N15:N2995,"&lt;=24",'refer admin discharge'!O15:O2995,"Female",'refer admin discharge'!R15:R2995,"Hispanic-Latino ",'refer admin discharge'!AJ15:AJ2995,"NO")</f>
        <v>0</v>
      </c>
      <c r="AY28" s="327"/>
      <c r="AZ28" s="751">
        <f>COUNTIFS('refer admin discharge'!N15:N2995,"&gt;=21",'refer admin discharge'!N15:N2995,"&lt;=24",'refer admin discharge'!O15:O2995,"Male",'refer admin discharge'!R15:R2995,"Unknown")</f>
        <v>0</v>
      </c>
      <c r="BA28" s="327"/>
      <c r="BB28" s="752">
        <f>COUNTIFS('refer admin discharge'!N15:N2995,"&gt;=21",'refer admin discharge'!N15:N2995,"&lt;=24",'refer admin discharge'!O15:O2995,"Female",'refer admin discharge'!R15:R2995,"Unknown",'refer admin discharge'!AJ15:AJ2995,"NO")</f>
        <v>0</v>
      </c>
      <c r="BC28" s="327"/>
      <c r="BD28" s="750">
        <f t="shared" si="2"/>
        <v>0</v>
      </c>
      <c r="BE28" s="327"/>
      <c r="BF28" s="750">
        <f t="shared" si="3"/>
        <v>0</v>
      </c>
      <c r="BG28" s="327"/>
    </row>
    <row r="29" spans="1:86" ht="15.75" customHeight="1" x14ac:dyDescent="0.25">
      <c r="A29" s="753" t="s">
        <v>578</v>
      </c>
      <c r="B29" s="326"/>
      <c r="C29" s="326"/>
      <c r="D29" s="326"/>
      <c r="E29" s="326"/>
      <c r="F29" s="326"/>
      <c r="G29" s="326"/>
      <c r="H29" s="326"/>
      <c r="I29" s="326"/>
      <c r="J29" s="327"/>
      <c r="K29" s="754">
        <f>COUNTIFS('refer admin discharge'!N15:N2995,"&gt;=25",'refer admin discharge'!N15:N2995,"&lt;=44",'refer admin discharge'!O15:O2995,"Male",'refer admin discharge'!P15:P2995,"White")</f>
        <v>0</v>
      </c>
      <c r="L29" s="327"/>
      <c r="M29" s="755">
        <f>COUNTIFS('refer admin discharge'!N15:N2995,"&gt;=25",'refer admin discharge'!N15:N2995,"&lt;=44",'refer admin discharge'!O15:O2995,"Female",'refer admin discharge'!P15:P2995,"White",'refer admin discharge'!AJ15:AJ2995,"NO")</f>
        <v>0</v>
      </c>
      <c r="N29" s="327"/>
      <c r="O29" s="754">
        <f>COUNTIFS('refer admin discharge'!N15:N2995,"&gt;=25",'refer admin discharge'!N15:N2995,"&lt;=44",'refer admin discharge'!O15:O2995,"Male",'refer admin discharge'!P15:P2995,"African American /Black")</f>
        <v>0</v>
      </c>
      <c r="P29" s="327"/>
      <c r="Q29" s="755">
        <f>COUNTIFS('refer admin discharge'!N15:N2995,"&gt;=25",'refer admin discharge'!N15:N2995,"&lt;=44",'refer admin discharge'!O15:O2995,"Female",'refer admin discharge'!P15:P2995,"African American /Black",'refer admin discharge'!AJ15:AJ2995,"NO")</f>
        <v>0</v>
      </c>
      <c r="R29" s="327"/>
      <c r="S29" s="754">
        <f>COUNTIFS('refer admin discharge'!N15:N2995,"&gt;=25",'refer admin discharge'!N15:N2995,"&lt;=44",'refer admin discharge'!O15:O2995,"Male",'refer admin discharge'!P15:P2995,"Native Hawaiian / Other Pacific Islander")</f>
        <v>0</v>
      </c>
      <c r="T29" s="327"/>
      <c r="U29" s="755">
        <f>COUNTIFS('refer admin discharge'!N15:N2995,"&gt;=25",'refer admin discharge'!N15:N2995,"&lt;=44",'refer admin discharge'!O15:O2995,"Female",'refer admin discharge'!P15:P2995,"Native Hawaiian / Other Pacific Islander",'refer admin discharge'!AJ15:AJ2995,"NO")</f>
        <v>0</v>
      </c>
      <c r="V29" s="327"/>
      <c r="W29" s="754">
        <f>COUNTIFS('refer admin discharge'!N15:N2995,"&gt;=25",'refer admin discharge'!N15:N2995,"&lt;=44",'refer admin discharge'!O15:O2995,"Male",'refer admin discharge'!P15:P2995,"Asian")</f>
        <v>0</v>
      </c>
      <c r="X29" s="327"/>
      <c r="Y29" s="755">
        <f>COUNTIFS('refer admin discharge'!N15:N2995,"&gt;=25",'refer admin discharge'!N15:N2995,"&lt;=44",'refer admin discharge'!O15:O2995,"Female",'refer admin discharge'!P15:P2995,"Asian",'refer admin discharge'!AJ15:AJ2995,"NO")</f>
        <v>0</v>
      </c>
      <c r="Z29" s="327"/>
      <c r="AA29" s="754">
        <f>COUNTIFS('refer admin discharge'!N15:N2995,"&gt;=25",'refer admin discharge'!N15:N2995,"&lt;=44",'refer admin discharge'!O15:O2995,"Male",'refer admin discharge'!P15:P2995,"American Indian / Alaska Native")</f>
        <v>0</v>
      </c>
      <c r="AB29" s="327"/>
      <c r="AC29" s="755">
        <f>COUNTIFS('refer admin discharge'!N15:N2995,"&gt;=25",'refer admin discharge'!N15:N2995,"&lt;=44",'refer admin discharge'!O15:O2995,"Female",'refer admin discharge'!P15:P2995,"American Indian / Alaska Native",'refer admin discharge'!AJ15:AJ2995,"NO")</f>
        <v>0</v>
      </c>
      <c r="AD29" s="327"/>
      <c r="AE29" s="754">
        <f>COUNTIFS('refer admin discharge'!N15:N2995,"&gt;=25",'refer admin discharge'!N15:N2995,"&lt;=44",'refer admin discharge'!O15:O2995,"Male",'refer admin discharge'!P15:P2995,"More than one race reported")</f>
        <v>0</v>
      </c>
      <c r="AF29" s="327"/>
      <c r="AG29" s="755">
        <f>COUNTIFS('refer admin discharge'!N15:N2995,"&gt;=25",'refer admin discharge'!N15:N2995,"&lt;=44",'refer admin discharge'!O15:O2995,"Female",'refer admin discharge'!P15:P2995,"More than one race reported",'refer admin discharge'!AJ15:AJ2995,"NO")</f>
        <v>0</v>
      </c>
      <c r="AH29" s="327"/>
      <c r="AI29" s="754">
        <f>COUNTIFS('refer admin discharge'!N15:N2995,"&gt;=25",'refer admin discharge'!N15:N2995,"&lt;=44",'refer admin discharge'!O15:O2995,"Male",'refer admin discharge'!P15:P2995,"Unknown")</f>
        <v>0</v>
      </c>
      <c r="AJ29" s="327"/>
      <c r="AK29" s="755">
        <f>COUNTIFS('refer admin discharge'!N15:N2995,"&gt;=25",'refer admin discharge'!N15:N2995,"&lt;=44",'refer admin discharge'!O15:O2995,"Female",'refer admin discharge'!P15:P2995,"Unknown",'refer admin discharge'!AJ15:AJ2995,"NO")</f>
        <v>0</v>
      </c>
      <c r="AL29" s="327"/>
      <c r="AM29" s="756">
        <f t="shared" si="0"/>
        <v>0</v>
      </c>
      <c r="AN29" s="327"/>
      <c r="AO29" s="757">
        <f t="shared" si="1"/>
        <v>0</v>
      </c>
      <c r="AP29" s="327"/>
      <c r="AQ29" s="9"/>
      <c r="AR29" s="751">
        <f>COUNTIFS('refer admin discharge'!N15:N2995,"&gt;=25",'refer admin discharge'!N15:N2995,"&lt;=44",'refer admin discharge'!O15:O2995,"Male",'refer admin discharge'!R15:R2995,"Not Hispanic or Latino")</f>
        <v>0</v>
      </c>
      <c r="AS29" s="327"/>
      <c r="AT29" s="752">
        <f>COUNTIFS('refer admin discharge'!N15:N2995,"&gt;=25",'refer admin discharge'!N15:N2995,"&lt;=44",'refer admin discharge'!O15:O2995,"Female",'refer admin discharge'!R15:R2995,"Not Hispanic or Latino",'refer admin discharge'!AJ15:AJ2995,"NO")</f>
        <v>0</v>
      </c>
      <c r="AU29" s="327"/>
      <c r="AV29" s="751">
        <f>COUNTIFS('refer admin discharge'!N15:N2995,"&gt;=25",'refer admin discharge'!N15:N2995,"&lt;=44",'refer admin discharge'!O15:O2995,"Male",'refer admin discharge'!R15:R2995,"Hispanic-Latino ")</f>
        <v>0</v>
      </c>
      <c r="AW29" s="327"/>
      <c r="AX29" s="752">
        <f>COUNTIFS('refer admin discharge'!N15:N2995,"&gt;=25",'refer admin discharge'!N15:N2995,"&lt;=44",'refer admin discharge'!O15:O2995,"Female",'refer admin discharge'!R15:R2995,"Hispanic-Latino ",'refer admin discharge'!AJ15:AJ2995,"NO")</f>
        <v>0</v>
      </c>
      <c r="AY29" s="327"/>
      <c r="AZ29" s="751">
        <f>COUNTIFS('refer admin discharge'!N15:N2995,"&gt;=25",'refer admin discharge'!N15:N2995,"&lt;=44",'refer admin discharge'!O15:O2995,"Male",'refer admin discharge'!R15:R2995,"Unknown")</f>
        <v>0</v>
      </c>
      <c r="BA29" s="327"/>
      <c r="BB29" s="752">
        <f>COUNTIFS('refer admin discharge'!N15:N2995,"&gt;=25",'refer admin discharge'!N15:N2995,"&lt;=44",'refer admin discharge'!O15:O2995,"Female",'refer admin discharge'!R15:R2995,"Unknown",'refer admin discharge'!AJ15:AJ2995,"NO")</f>
        <v>0</v>
      </c>
      <c r="BC29" s="327"/>
      <c r="BD29" s="750">
        <f t="shared" si="2"/>
        <v>0</v>
      </c>
      <c r="BE29" s="327"/>
      <c r="BF29" s="750">
        <f t="shared" si="3"/>
        <v>0</v>
      </c>
      <c r="BG29" s="327"/>
    </row>
    <row r="30" spans="1:86" ht="15.75" customHeight="1" x14ac:dyDescent="0.25">
      <c r="A30" s="753" t="s">
        <v>579</v>
      </c>
      <c r="B30" s="326"/>
      <c r="C30" s="326"/>
      <c r="D30" s="326"/>
      <c r="E30" s="326"/>
      <c r="F30" s="326"/>
      <c r="G30" s="326"/>
      <c r="H30" s="326"/>
      <c r="I30" s="326"/>
      <c r="J30" s="327"/>
      <c r="K30" s="754">
        <f>COUNTIFS('refer admin discharge'!N15:N2995,"&gt;=45",'refer admin discharge'!N15:N2995,"&lt;=64",'refer admin discharge'!O15:O2995,"Male",'refer admin discharge'!P15:P2995,"White")</f>
        <v>0</v>
      </c>
      <c r="L30" s="327"/>
      <c r="M30" s="755">
        <f>COUNTIFS('refer admin discharge'!N15:N2995,"&gt;=45",'refer admin discharge'!N15:N2995,"&lt;=64",'refer admin discharge'!O15:O2995,"Female",'refer admin discharge'!P15:P2995,"White",'refer admin discharge'!AJ15:AJ2995,"NO")</f>
        <v>0</v>
      </c>
      <c r="N30" s="327"/>
      <c r="O30" s="754">
        <f>COUNTIFS('refer admin discharge'!N15:N2995,"&gt;=45",'refer admin discharge'!N15:N2995,"&lt;=64",'refer admin discharge'!O15:O2995,"Male",'refer admin discharge'!P15:P2995,"African American /Black")</f>
        <v>0</v>
      </c>
      <c r="P30" s="327"/>
      <c r="Q30" s="755">
        <f>COUNTIFS('refer admin discharge'!N15:N2995,"&gt;=45",'refer admin discharge'!N15:N2995,"&lt;=64",'refer admin discharge'!O15:O2995,"Female",'refer admin discharge'!P15:P2995,"African American /Black",'refer admin discharge'!AJ15:AJ2995,"NO")</f>
        <v>0</v>
      </c>
      <c r="R30" s="327"/>
      <c r="S30" s="754">
        <f>COUNTIFS('refer admin discharge'!N15:N2995,"&gt;=45",'refer admin discharge'!N15:N2995,"&lt;=64",'refer admin discharge'!O15:O2995,"Male",'refer admin discharge'!P15:P2995,"Native Hawaiian / Other Pacific Islander")</f>
        <v>0</v>
      </c>
      <c r="T30" s="327"/>
      <c r="U30" s="755">
        <f>COUNTIFS('refer admin discharge'!N15:N2995,"&gt;=45",'refer admin discharge'!N15:N2995,"&lt;=64",'refer admin discharge'!O15:O2995,"Female",'refer admin discharge'!P15:P2995,"Native Hawaiian / Other Pacific Islander",'refer admin discharge'!AJ15:AJ2995,"NO")</f>
        <v>0</v>
      </c>
      <c r="V30" s="327"/>
      <c r="W30" s="754">
        <f>COUNTIFS('refer admin discharge'!N15:N2995,"&gt;=45",'refer admin discharge'!N15:N2995,"&lt;=64",'refer admin discharge'!O15:O2995,"Male",'refer admin discharge'!P15:P2995,"Asian")</f>
        <v>0</v>
      </c>
      <c r="X30" s="327"/>
      <c r="Y30" s="755">
        <f>COUNTIFS('refer admin discharge'!N15:N2995,"&gt;=45",'refer admin discharge'!N15:N2995,"&lt;=64",'refer admin discharge'!O15:O2995,"Female",'refer admin discharge'!P15:P2995,"Asian",'refer admin discharge'!AJ15:AJ2995,"NO")</f>
        <v>0</v>
      </c>
      <c r="Z30" s="327"/>
      <c r="AA30" s="754">
        <f>COUNTIFS('refer admin discharge'!N15:N2995,"&gt;=45",'refer admin discharge'!N15:N2995,"&lt;=64",'refer admin discharge'!O15:O2995,"Male",'refer admin discharge'!P15:P2995,"American Indian / Alaska Native")</f>
        <v>0</v>
      </c>
      <c r="AB30" s="327"/>
      <c r="AC30" s="755">
        <f>COUNTIFS('refer admin discharge'!N15:N2995,"&gt;=45",'refer admin discharge'!N15:N2995,"&lt;=64",'refer admin discharge'!O15:O2995,"Female",'refer admin discharge'!P15:P2995,"American Indian / Alaska Native",'refer admin discharge'!AJ15:AJ2995,"NO")</f>
        <v>0</v>
      </c>
      <c r="AD30" s="327"/>
      <c r="AE30" s="754">
        <f>COUNTIFS('refer admin discharge'!N15:N2995,"&gt;=45",'refer admin discharge'!N15:N2995,"&lt;=64",'refer admin discharge'!O15:O2995,"Male",'refer admin discharge'!P15:P2995,"More than one race reported")</f>
        <v>0</v>
      </c>
      <c r="AF30" s="327"/>
      <c r="AG30" s="755">
        <f>COUNTIFS('refer admin discharge'!N15:N2995,"&gt;=45",'refer admin discharge'!N15:N2995,"&lt;=64",'refer admin discharge'!O15:O2995,"Female",'refer admin discharge'!P15:P2995,"More than one race reported",'refer admin discharge'!AJ15:AJ2995,"NO")</f>
        <v>0</v>
      </c>
      <c r="AH30" s="327"/>
      <c r="AI30" s="754">
        <f>COUNTIFS('refer admin discharge'!N15:N2995,"&gt;=45",'refer admin discharge'!N15:N2995,"&lt;=64",'refer admin discharge'!O15:O2995,"Male",'refer admin discharge'!P15:P2995,"Unknown")</f>
        <v>0</v>
      </c>
      <c r="AJ30" s="327"/>
      <c r="AK30" s="755">
        <f>COUNTIFS('refer admin discharge'!N15:N2995,"&gt;=45",'refer admin discharge'!N15:N2995,"&lt;=64",'refer admin discharge'!O15:O2995,"Female",'refer admin discharge'!P15:P2995,"Unknown",'refer admin discharge'!AJ15:AJ2995,"NO")</f>
        <v>0</v>
      </c>
      <c r="AL30" s="327"/>
      <c r="AM30" s="756">
        <f t="shared" si="0"/>
        <v>0</v>
      </c>
      <c r="AN30" s="327"/>
      <c r="AO30" s="757">
        <f t="shared" si="1"/>
        <v>0</v>
      </c>
      <c r="AP30" s="327"/>
      <c r="AQ30" s="9"/>
      <c r="AR30" s="751">
        <f>COUNTIFS('refer admin discharge'!N15:N2995,"&gt;=45",'refer admin discharge'!N15:N2995,"&lt;=64",'refer admin discharge'!O15:O2995,"Male",'refer admin discharge'!R15:R2995,"Not Hispanic or Latino")</f>
        <v>0</v>
      </c>
      <c r="AS30" s="327"/>
      <c r="AT30" s="752">
        <f>COUNTIFS('refer admin discharge'!N15:N2995,"&gt;=45",'refer admin discharge'!N15:N2995,"&lt;=64",'refer admin discharge'!O15:O2995,"Female",'refer admin discharge'!R15:R2995,"Not Hispanic or Latino",'refer admin discharge'!AJ15:AJ2995,"NO")</f>
        <v>0</v>
      </c>
      <c r="AU30" s="327"/>
      <c r="AV30" s="751">
        <f>COUNTIFS('refer admin discharge'!N15:N2995,"&gt;=45",'refer admin discharge'!N15:N2995,"&lt;=64",'refer admin discharge'!O15:O2995,"Male",'refer admin discharge'!R15:R2995,"Hispanic-Latino ")</f>
        <v>0</v>
      </c>
      <c r="AW30" s="327"/>
      <c r="AX30" s="752">
        <f>COUNTIFS('refer admin discharge'!N15:N2995,"&gt;=45",'refer admin discharge'!N15:N2995,"&lt;=64",'refer admin discharge'!O15:O2995,"Female",'refer admin discharge'!R15:R2995,"Hispanic-Latino ",'refer admin discharge'!AJ15:AJ2995,"NO")</f>
        <v>0</v>
      </c>
      <c r="AY30" s="327"/>
      <c r="AZ30" s="751">
        <f>COUNTIFS('refer admin discharge'!N15:N2995,"&gt;=45",'refer admin discharge'!N15:N2995,"&lt;=64",'refer admin discharge'!O15:O2995,"Male",'refer admin discharge'!R15:R2995,"Unknown")</f>
        <v>0</v>
      </c>
      <c r="BA30" s="327"/>
      <c r="BB30" s="752">
        <f>COUNTIFS('refer admin discharge'!N15:N2995,"&gt;=45",'refer admin discharge'!N15:N2995,"&lt;=64",'refer admin discharge'!O15:O2995,"Female",'refer admin discharge'!R15:R2995,"Unknown",'refer admin discharge'!AJ15:AJ2995,"NO")</f>
        <v>0</v>
      </c>
      <c r="BC30" s="327"/>
      <c r="BD30" s="750">
        <f t="shared" si="2"/>
        <v>0</v>
      </c>
      <c r="BE30" s="327"/>
      <c r="BF30" s="750">
        <f t="shared" si="3"/>
        <v>0</v>
      </c>
      <c r="BG30" s="327"/>
    </row>
    <row r="31" spans="1:86" ht="15.75" customHeight="1" x14ac:dyDescent="0.25">
      <c r="A31" s="753" t="s">
        <v>580</v>
      </c>
      <c r="B31" s="326"/>
      <c r="C31" s="326"/>
      <c r="D31" s="326"/>
      <c r="E31" s="326"/>
      <c r="F31" s="326"/>
      <c r="G31" s="326"/>
      <c r="H31" s="326"/>
      <c r="I31" s="326"/>
      <c r="J31" s="327"/>
      <c r="K31" s="754">
        <f>COUNTIFS('refer admin discharge'!N15:N2995,"&gt;=65",'refer admin discharge'!N15:N2995,"&lt;=74",'refer admin discharge'!O15:O2995,"Male",'refer admin discharge'!P15:P2995,"White")</f>
        <v>0</v>
      </c>
      <c r="L31" s="327"/>
      <c r="M31" s="755">
        <f>COUNTIFS('refer admin discharge'!N15:N2995,"&gt;=65",'refer admin discharge'!N15:N2995,"&lt;=74",'refer admin discharge'!O15:O2995,"Female",'refer admin discharge'!P15:P2995,"White",'refer admin discharge'!AJ15:AJ2995,"NO")</f>
        <v>0</v>
      </c>
      <c r="N31" s="327"/>
      <c r="O31" s="754">
        <f>COUNTIFS('refer admin discharge'!N15:N2995,"&gt;=65",'refer admin discharge'!N15:N2995,"&lt;=74",'refer admin discharge'!O15:O2995,"Male",'refer admin discharge'!P15:P2995,"African American /Black")</f>
        <v>0</v>
      </c>
      <c r="P31" s="327"/>
      <c r="Q31" s="755">
        <f>COUNTIFS('refer admin discharge'!N15:N2995,"&gt;=65",'refer admin discharge'!N15:N2995,"&lt;=74",'refer admin discharge'!O15:O2995,"Female",'refer admin discharge'!P15:P2995,"African American /Black",'refer admin discharge'!AJ15:AJ2995,"NO")</f>
        <v>0</v>
      </c>
      <c r="R31" s="327"/>
      <c r="S31" s="754">
        <f>COUNTIFS('refer admin discharge'!N15:N2995,"&gt;=65",'refer admin discharge'!N15:N2995,"&lt;=74",'refer admin discharge'!O15:O2995,"Male",'refer admin discharge'!P15:P2995,"Native Hawaiian / Other Pacific Islander")</f>
        <v>0</v>
      </c>
      <c r="T31" s="327"/>
      <c r="U31" s="755">
        <f>COUNTIFS('refer admin discharge'!N15:N2995,"&gt;=65",'refer admin discharge'!N15:N2995,"&lt;=74",'refer admin discharge'!O15:O2995,"Female",'refer admin discharge'!P15:P2995,"Native Hawaiian / Other Pacific Islander",'refer admin discharge'!AJ15:AJ2995,"NO")</f>
        <v>0</v>
      </c>
      <c r="V31" s="327"/>
      <c r="W31" s="754">
        <f>COUNTIFS('refer admin discharge'!N15:N2995,"&gt;=65",'refer admin discharge'!N15:N2995,"&lt;=74",'refer admin discharge'!O15:O2995,"Male",'refer admin discharge'!P15:P2995,"Asian")</f>
        <v>0</v>
      </c>
      <c r="X31" s="327"/>
      <c r="Y31" s="755">
        <f>COUNTIFS('refer admin discharge'!N15:N2995,"&gt;=65",'refer admin discharge'!N15:N2995,"&lt;=74",'refer admin discharge'!O15:O2995,"Female",'refer admin discharge'!P15:P2995,"Asian",'refer admin discharge'!AJ15:AJ2995,"NO")</f>
        <v>0</v>
      </c>
      <c r="Z31" s="327"/>
      <c r="AA31" s="754">
        <f>COUNTIFS('refer admin discharge'!N15:N2995,"&gt;=65",'refer admin discharge'!N15:N2995,"&lt;=74",'refer admin discharge'!O15:O2995,"Male",'refer admin discharge'!P15:P2995,"American Indian / Alaska Native")</f>
        <v>0</v>
      </c>
      <c r="AB31" s="327"/>
      <c r="AC31" s="755">
        <f>COUNTIFS('refer admin discharge'!N15:N2995,"&gt;=65",'refer admin discharge'!N15:N2995,"&lt;=74",'refer admin discharge'!O15:O2995,"Female",'refer admin discharge'!P15:P2995,"American Indian / Alaska Native",'refer admin discharge'!AJ15:AJ2995,"NO")</f>
        <v>0</v>
      </c>
      <c r="AD31" s="327"/>
      <c r="AE31" s="754">
        <f>COUNTIFS('refer admin discharge'!N15:N2995,"&gt;=65",'refer admin discharge'!N15:N2995,"&lt;=74",'refer admin discharge'!O15:O2995,"Male",'refer admin discharge'!P15:P2995,"More than one race reported")</f>
        <v>0</v>
      </c>
      <c r="AF31" s="327"/>
      <c r="AG31" s="755">
        <f>COUNTIFS('refer admin discharge'!N15:N2995,"&gt;=65",'refer admin discharge'!N15:N2995,"&lt;=74",'refer admin discharge'!O15:O2995,"Female",'refer admin discharge'!P15:P2995,"More than one race reported",'refer admin discharge'!AJ15:AJ2995,"NO")</f>
        <v>0</v>
      </c>
      <c r="AH31" s="327"/>
      <c r="AI31" s="754">
        <f>COUNTIFS('refer admin discharge'!N15:N2995,"&gt;=65",'refer admin discharge'!N15:N2995,"&lt;=74",'refer admin discharge'!O15:O2995,"Male",'refer admin discharge'!P15:P2995,"Unknown")</f>
        <v>0</v>
      </c>
      <c r="AJ31" s="327"/>
      <c r="AK31" s="755">
        <f>COUNTIFS('refer admin discharge'!N15:N2995,"&gt;=65",'refer admin discharge'!N15:N2995,"&lt;=74",'refer admin discharge'!O15:O2995,"Female",'refer admin discharge'!P15:P2995,"Unknown",'refer admin discharge'!AJ15:AJ2995,"NO")</f>
        <v>0</v>
      </c>
      <c r="AL31" s="327"/>
      <c r="AM31" s="756">
        <f t="shared" si="0"/>
        <v>0</v>
      </c>
      <c r="AN31" s="327"/>
      <c r="AO31" s="757">
        <f t="shared" si="1"/>
        <v>0</v>
      </c>
      <c r="AP31" s="327"/>
      <c r="AQ31" s="9"/>
      <c r="AR31" s="751">
        <f>COUNTIFS('refer admin discharge'!N15:N2995,"&gt;=65",'refer admin discharge'!N15:N2995,"&lt;=74",'refer admin discharge'!O15:O2995,"Male",'refer admin discharge'!R15:R2995,"Not Hispanic or Latino")</f>
        <v>0</v>
      </c>
      <c r="AS31" s="327"/>
      <c r="AT31" s="752">
        <f>COUNTIFS('refer admin discharge'!N15:N2995,"&gt;=65",'refer admin discharge'!N15:N2995,"&lt;=74",'refer admin discharge'!O15:O2995,"Female",'refer admin discharge'!R15:R2995,"Not Hispanic or Latino",'refer admin discharge'!AJ15:AJ2995,"NO")</f>
        <v>0</v>
      </c>
      <c r="AU31" s="327"/>
      <c r="AV31" s="751">
        <f>COUNTIFS('refer admin discharge'!N15:N2995,"&gt;=65",'refer admin discharge'!N15:N2995,"&lt;=74",'refer admin discharge'!O15:O2995,"Male",'refer admin discharge'!R15:R2995,"Hispanic-Latino ")</f>
        <v>0</v>
      </c>
      <c r="AW31" s="327"/>
      <c r="AX31" s="752">
        <f>COUNTIFS('refer admin discharge'!N15:N2995,"&gt;=65",'refer admin discharge'!N15:N2995,"&lt;=74",'refer admin discharge'!O15:O2995,"Female",'refer admin discharge'!R15:R2995,"Hispanic-Latino ",'refer admin discharge'!AJ15:AJ2995,"NO")</f>
        <v>0</v>
      </c>
      <c r="AY31" s="327"/>
      <c r="AZ31" s="751">
        <f>COUNTIFS('refer admin discharge'!N15:N2995,"&gt;=65",'refer admin discharge'!N15:N2995,"&lt;=74",'refer admin discharge'!O15:O2995,"Male",'refer admin discharge'!R15:R2995,"Unknown")</f>
        <v>0</v>
      </c>
      <c r="BA31" s="327"/>
      <c r="BB31" s="752">
        <f>COUNTIFS('refer admin discharge'!N15:N2995,"&gt;=65",'refer admin discharge'!N15:N2995,"&lt;=74",'refer admin discharge'!O15:O2995,"Female",'refer admin discharge'!R15:R2995,"Unknown",'refer admin discharge'!AJ15:AJ2995,"NO")</f>
        <v>0</v>
      </c>
      <c r="BC31" s="327"/>
      <c r="BD31" s="750">
        <f t="shared" si="2"/>
        <v>0</v>
      </c>
      <c r="BE31" s="327"/>
      <c r="BF31" s="750">
        <f t="shared" si="3"/>
        <v>0</v>
      </c>
      <c r="BG31" s="327"/>
    </row>
    <row r="32" spans="1:86" ht="15.75" customHeight="1" x14ac:dyDescent="0.25">
      <c r="A32" s="753" t="s">
        <v>581</v>
      </c>
      <c r="B32" s="326"/>
      <c r="C32" s="326"/>
      <c r="D32" s="326"/>
      <c r="E32" s="326"/>
      <c r="F32" s="326"/>
      <c r="G32" s="326"/>
      <c r="H32" s="326"/>
      <c r="I32" s="326"/>
      <c r="J32" s="327"/>
      <c r="K32" s="754">
        <f>COUNTIFS('refer admin discharge'!N15:N2995,"&gt;=75",'refer admin discharge'!N15:N2995,"&lt;=150",'refer admin discharge'!O15:O2995,"Male",'refer admin discharge'!P15:P2995,"White")</f>
        <v>0</v>
      </c>
      <c r="L32" s="327"/>
      <c r="M32" s="755">
        <f>COUNTIFS('refer admin discharge'!N15:N2995,"&gt;=75",'refer admin discharge'!N15:N2995,"&lt;=150",'refer admin discharge'!O15:O2995,"FEmale",'refer admin discharge'!P15:P2995,"White",'refer admin discharge'!AJ15:AJ2995,"NO")</f>
        <v>0</v>
      </c>
      <c r="N32" s="327"/>
      <c r="O32" s="754">
        <f>COUNTIFS('refer admin discharge'!N15:N2995,"&gt;=75",'refer admin discharge'!N15:N2995,"&lt;=150",'refer admin discharge'!O15:O2995,"Male",'refer admin discharge'!P15:P2995,"African American /Black")</f>
        <v>0</v>
      </c>
      <c r="P32" s="327"/>
      <c r="Q32" s="755">
        <f>COUNTIFS('refer admin discharge'!N15:N2995,"&gt;=75",'refer admin discharge'!N15:N2995,"&lt;=150",'refer admin discharge'!O15:O2995,"FEmale",'refer admin discharge'!P15:P2995,"African American /Black",'refer admin discharge'!AJ15:AJ2995,"NO")</f>
        <v>0</v>
      </c>
      <c r="R32" s="327"/>
      <c r="S32" s="754">
        <f>COUNTIFS('refer admin discharge'!N15:N2995,"&gt;=75",'refer admin discharge'!N15:N2995,"&lt;=150",'refer admin discharge'!O15:O2995,"Male",'refer admin discharge'!P15:P2995,"Native Hawaiian / Other Pacific Islander")</f>
        <v>0</v>
      </c>
      <c r="T32" s="327"/>
      <c r="U32" s="755">
        <f>COUNTIFS('refer admin discharge'!N15:N2995,"&gt;=75",'refer admin discharge'!N15:N2995,"&lt;=150",'refer admin discharge'!O15:O2995,"FEmale",'refer admin discharge'!P15:P2995,"Native Hawaiian / Other Pacific Islander",'refer admin discharge'!AJ15:AJ2995,"NO")</f>
        <v>0</v>
      </c>
      <c r="V32" s="327"/>
      <c r="W32" s="754">
        <f>COUNTIFS('refer admin discharge'!N15:N2995,"&gt;=75",'refer admin discharge'!N15:N2995,"&lt;=150",'refer admin discharge'!O15:O2995,"Male",'refer admin discharge'!P15:P2995,"Asian")</f>
        <v>0</v>
      </c>
      <c r="X32" s="327"/>
      <c r="Y32" s="755">
        <f>COUNTIFS('refer admin discharge'!N15:N2995,"&gt;=75",'refer admin discharge'!N15:N2995,"&lt;=150",'refer admin discharge'!O15:O2995,"Female",'refer admin discharge'!P15:P2995,"Asian",'refer admin discharge'!AJ15:AJ2995,"NO")</f>
        <v>0</v>
      </c>
      <c r="Z32" s="327"/>
      <c r="AA32" s="754">
        <f>COUNTIFS('refer admin discharge'!N15:N2995,"&gt;=75",'refer admin discharge'!N15:N2995,"&lt;=150",'refer admin discharge'!O15:O2995,"Male",'refer admin discharge'!P15:P2995,"American Indian / Alaska Native")</f>
        <v>0</v>
      </c>
      <c r="AB32" s="327"/>
      <c r="AC32" s="755">
        <f>COUNTIFS('refer admin discharge'!N15:N2995,"&gt;=75",'refer admin discharge'!N15:N2995,"&lt;=150",'refer admin discharge'!O15:O2995,"Female",'refer admin discharge'!P15:P2995,"American Indian / Alaska Native",'refer admin discharge'!AJ15:AJ2995,"NO")</f>
        <v>0</v>
      </c>
      <c r="AD32" s="327"/>
      <c r="AE32" s="754">
        <f>COUNTIFS('refer admin discharge'!N15:N2995,"&gt;=75",'refer admin discharge'!N15:N2995,"&lt;=150",'refer admin discharge'!O15:O2995,"Male",'refer admin discharge'!P15:P2995,"More than one race reported")</f>
        <v>0</v>
      </c>
      <c r="AF32" s="327"/>
      <c r="AG32" s="755">
        <f>COUNTIFS('refer admin discharge'!N15:N2995,"&gt;=75",'refer admin discharge'!N15:N2995,"&lt;=150",'refer admin discharge'!O15:O2995,"Female",'refer admin discharge'!P15:P2995,"More than one race reported",'refer admin discharge'!AJ15:AJ2995,"NO")</f>
        <v>0</v>
      </c>
      <c r="AH32" s="327"/>
      <c r="AI32" s="754">
        <f>COUNTIFS('refer admin discharge'!N15:N2995,"&gt;=75",'refer admin discharge'!N15:N2995,"&lt;=150",'refer admin discharge'!O15:O2995,"Male",'refer admin discharge'!P15:P2995,"Unknown")</f>
        <v>0</v>
      </c>
      <c r="AJ32" s="327"/>
      <c r="AK32" s="755">
        <f>COUNTIFS('refer admin discharge'!N15:N2995,"&gt;=75",'refer admin discharge'!N15:N2995,"&lt;=150",'refer admin discharge'!O15:O2995,"Female",'refer admin discharge'!P15:P2995,"Unknown",'refer admin discharge'!AJ15:AJ2995,"NO")</f>
        <v>0</v>
      </c>
      <c r="AL32" s="327"/>
      <c r="AM32" s="756">
        <f t="shared" si="0"/>
        <v>0</v>
      </c>
      <c r="AN32" s="327"/>
      <c r="AO32" s="757">
        <f t="shared" si="1"/>
        <v>0</v>
      </c>
      <c r="AP32" s="327"/>
      <c r="AQ32" s="9"/>
      <c r="AR32" s="751">
        <f>COUNTIFS('refer admin discharge'!N15:N2995,"&gt;=75",'refer admin discharge'!N15:N2995,"&lt;=150",'refer admin discharge'!O15:O2995,"Male",'refer admin discharge'!R15:R2995,"Not Hispanic or Latino")</f>
        <v>0</v>
      </c>
      <c r="AS32" s="327"/>
      <c r="AT32" s="752">
        <f>COUNTIFS('refer admin discharge'!N15:N2995,"&gt;=75",'refer admin discharge'!N15:N2995,"&lt;=150",'refer admin discharge'!O15:O2995,"FEmale",'refer admin discharge'!R15:R2995,"Not Hispanic or Latino",'refer admin discharge'!AJ15:AJ2995,"NO")</f>
        <v>0</v>
      </c>
      <c r="AU32" s="327"/>
      <c r="AV32" s="751">
        <f>COUNTIFS('refer admin discharge'!N15:N2995,"&gt;=75",'refer admin discharge'!N15:N2995,"&lt;=150",'refer admin discharge'!O15:O2995,"Male",'refer admin discharge'!R15:R2995,"Hispanic-Latino ")</f>
        <v>0</v>
      </c>
      <c r="AW32" s="327"/>
      <c r="AX32" s="752">
        <f>COUNTIFS('refer admin discharge'!N15:N2995,"&gt;=75",'refer admin discharge'!N15:N2995,"&lt;=150",'refer admin discharge'!O15:O2995,"Female",'refer admin discharge'!R15:R2995,"Hispanic-Latino ",'refer admin discharge'!AJ15:AJ2995,"NO")</f>
        <v>0</v>
      </c>
      <c r="AY32" s="327"/>
      <c r="AZ32" s="751">
        <f>COUNTIFS('refer admin discharge'!N15:N2995,"&gt;=75",'refer admin discharge'!N15:N2995,"&lt;=150",'refer admin discharge'!O15:O2995,"Male",'refer admin discharge'!R15:R2995,"Unknown")</f>
        <v>0</v>
      </c>
      <c r="BA32" s="327"/>
      <c r="BB32" s="752">
        <f>COUNTIFS('refer admin discharge'!N15:N2995,"&gt;=75",'refer admin discharge'!N15:N2995,"&lt;=150",'refer admin discharge'!O15:O2995,"FEmale",'refer admin discharge'!R15:R2995,"Unknown",'refer admin discharge'!AJ15:AJ2995,"NO")</f>
        <v>0</v>
      </c>
      <c r="BC32" s="327"/>
      <c r="BD32" s="750">
        <f t="shared" si="2"/>
        <v>0</v>
      </c>
      <c r="BE32" s="327"/>
      <c r="BF32" s="750">
        <f t="shared" si="3"/>
        <v>0</v>
      </c>
      <c r="BG32" s="327"/>
    </row>
    <row r="33" spans="1:72" ht="15.75" customHeight="1" x14ac:dyDescent="0.25">
      <c r="A33" s="796" t="s">
        <v>569</v>
      </c>
      <c r="B33" s="326"/>
      <c r="C33" s="326"/>
      <c r="D33" s="326"/>
      <c r="E33" s="326"/>
      <c r="F33" s="326"/>
      <c r="G33" s="326"/>
      <c r="H33" s="326"/>
      <c r="I33" s="326"/>
      <c r="J33" s="327"/>
      <c r="K33" s="756">
        <f>SUM(K25:K32)</f>
        <v>0</v>
      </c>
      <c r="L33" s="327"/>
      <c r="M33" s="756">
        <f>SUM(M25:M32)</f>
        <v>0</v>
      </c>
      <c r="N33" s="327"/>
      <c r="O33" s="756">
        <f>SUM(O25:O32)</f>
        <v>0</v>
      </c>
      <c r="P33" s="327"/>
      <c r="Q33" s="756">
        <f>SUM(Q25:Q32)</f>
        <v>0</v>
      </c>
      <c r="R33" s="327"/>
      <c r="S33" s="756">
        <f>SUM(S25:S32)</f>
        <v>0</v>
      </c>
      <c r="T33" s="327"/>
      <c r="U33" s="756">
        <f>SUM(U25:U32)</f>
        <v>0</v>
      </c>
      <c r="V33" s="327"/>
      <c r="W33" s="756">
        <f>SUM(W25:W32)</f>
        <v>0</v>
      </c>
      <c r="X33" s="327"/>
      <c r="Y33" s="756">
        <f>SUM(Y25:Y32)</f>
        <v>0</v>
      </c>
      <c r="Z33" s="327"/>
      <c r="AA33" s="756">
        <f>SUM(AA25:AA32)</f>
        <v>0</v>
      </c>
      <c r="AB33" s="327"/>
      <c r="AC33" s="756">
        <f>SUM(AC25:AC32)</f>
        <v>0</v>
      </c>
      <c r="AD33" s="327"/>
      <c r="AE33" s="756">
        <f>SUM(AE25:AE32)</f>
        <v>0</v>
      </c>
      <c r="AF33" s="327"/>
      <c r="AG33" s="756">
        <f>SUM(AG25:AG32)</f>
        <v>0</v>
      </c>
      <c r="AH33" s="327"/>
      <c r="AI33" s="756">
        <f>SUM(AI25:AI32)</f>
        <v>0</v>
      </c>
      <c r="AJ33" s="327"/>
      <c r="AK33" s="756">
        <f>SUM(AK25:AK32)</f>
        <v>0</v>
      </c>
      <c r="AL33" s="327"/>
      <c r="AM33" s="756">
        <f>SUM(AM25:AM32)</f>
        <v>0</v>
      </c>
      <c r="AN33" s="327"/>
      <c r="AO33" s="757">
        <f>SUM(AO25:AO32)</f>
        <v>0</v>
      </c>
      <c r="AP33" s="327"/>
      <c r="AQ33" s="9"/>
      <c r="AR33" s="750">
        <f>SUM(AR25:AR32)</f>
        <v>0</v>
      </c>
      <c r="AS33" s="327"/>
      <c r="AT33" s="750">
        <f>SUM(AT25:AT32)</f>
        <v>0</v>
      </c>
      <c r="AU33" s="327"/>
      <c r="AV33" s="750">
        <f>SUM(AV25:AV32)</f>
        <v>0</v>
      </c>
      <c r="AW33" s="327"/>
      <c r="AX33" s="750">
        <f>SUM(AX25:AX32)</f>
        <v>0</v>
      </c>
      <c r="AY33" s="327"/>
      <c r="AZ33" s="750">
        <f>SUM(AZ25:AZ32)</f>
        <v>0</v>
      </c>
      <c r="BA33" s="327"/>
      <c r="BB33" s="750">
        <f>SUM(BB25:BB32)</f>
        <v>0</v>
      </c>
      <c r="BC33" s="327"/>
      <c r="BD33" s="750">
        <f>SUM(BD25:BD32)</f>
        <v>0</v>
      </c>
      <c r="BE33" s="327"/>
      <c r="BF33" s="750">
        <f>SUM(BF25:BF32)</f>
        <v>0</v>
      </c>
      <c r="BG33" s="327"/>
    </row>
    <row r="34" spans="1:72" ht="15.75" customHeight="1" x14ac:dyDescent="0.3">
      <c r="A34" s="792" t="s">
        <v>582</v>
      </c>
      <c r="B34" s="326"/>
      <c r="C34" s="326"/>
      <c r="D34" s="326"/>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7"/>
      <c r="AM34" s="793">
        <f>AM33+AO33</f>
        <v>0</v>
      </c>
      <c r="AN34" s="326"/>
      <c r="AO34" s="326"/>
      <c r="AP34" s="327"/>
      <c r="AQ34" s="9"/>
      <c r="AR34" s="794" t="s">
        <v>582</v>
      </c>
      <c r="AS34" s="326"/>
      <c r="AT34" s="326"/>
      <c r="AU34" s="326"/>
      <c r="AV34" s="326"/>
      <c r="AW34" s="326"/>
      <c r="AX34" s="326"/>
      <c r="AY34" s="326"/>
      <c r="AZ34" s="326"/>
      <c r="BA34" s="326"/>
      <c r="BB34" s="326"/>
      <c r="BC34" s="327"/>
      <c r="BD34" s="795">
        <f>BD33+BF33</f>
        <v>0</v>
      </c>
      <c r="BE34" s="326"/>
      <c r="BF34" s="326"/>
      <c r="BG34" s="327"/>
    </row>
    <row r="35" spans="1:72" ht="15.75" customHeight="1" x14ac:dyDescent="0.3">
      <c r="A35" s="107"/>
      <c r="B35" s="108"/>
      <c r="C35" s="108"/>
      <c r="D35" s="108"/>
      <c r="E35" s="108"/>
      <c r="F35" s="108"/>
      <c r="G35" s="108"/>
      <c r="H35" s="108"/>
      <c r="I35" s="109"/>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10"/>
      <c r="AM35" s="111"/>
      <c r="AN35" s="111"/>
      <c r="AO35" s="111"/>
      <c r="AP35" s="111"/>
      <c r="AQ35" s="9"/>
      <c r="AR35" s="112"/>
      <c r="AS35" s="112"/>
      <c r="AT35" s="112"/>
      <c r="AU35" s="112"/>
      <c r="AV35" s="112"/>
      <c r="AW35" s="112"/>
      <c r="AX35" s="112"/>
      <c r="AY35" s="112"/>
      <c r="AZ35" s="112"/>
      <c r="BA35" s="112"/>
      <c r="BB35" s="112"/>
      <c r="BC35" s="112"/>
      <c r="BD35" s="113"/>
      <c r="BE35" s="113"/>
      <c r="BF35" s="113"/>
      <c r="BG35" s="113"/>
    </row>
    <row r="36" spans="1:72" ht="60" customHeight="1" x14ac:dyDescent="0.25">
      <c r="A36" s="811" t="s">
        <v>583</v>
      </c>
      <c r="B36" s="332"/>
      <c r="C36" s="332"/>
      <c r="D36" s="332"/>
      <c r="E36" s="332"/>
      <c r="F36" s="332"/>
      <c r="G36" s="332"/>
      <c r="H36" s="332"/>
      <c r="I36" s="332"/>
      <c r="J36" s="333"/>
      <c r="K36" s="801" t="s">
        <v>562</v>
      </c>
      <c r="L36" s="326"/>
      <c r="M36" s="326"/>
      <c r="N36" s="327"/>
      <c r="O36" s="801" t="s">
        <v>563</v>
      </c>
      <c r="P36" s="326"/>
      <c r="Q36" s="326"/>
      <c r="R36" s="327"/>
      <c r="S36" s="801" t="s">
        <v>564</v>
      </c>
      <c r="T36" s="326"/>
      <c r="U36" s="326"/>
      <c r="V36" s="327"/>
      <c r="W36" s="801" t="s">
        <v>565</v>
      </c>
      <c r="X36" s="326"/>
      <c r="Y36" s="326"/>
      <c r="Z36" s="327"/>
      <c r="AA36" s="801" t="s">
        <v>566</v>
      </c>
      <c r="AB36" s="326"/>
      <c r="AC36" s="326"/>
      <c r="AD36" s="327"/>
      <c r="AE36" s="801" t="s">
        <v>567</v>
      </c>
      <c r="AF36" s="326"/>
      <c r="AG36" s="326"/>
      <c r="AH36" s="327"/>
      <c r="AI36" s="801" t="s">
        <v>568</v>
      </c>
      <c r="AJ36" s="326"/>
      <c r="AK36" s="326"/>
      <c r="AL36" s="327"/>
      <c r="AM36" s="802" t="s">
        <v>569</v>
      </c>
      <c r="AN36" s="326"/>
      <c r="AO36" s="326"/>
      <c r="AP36" s="327"/>
      <c r="AQ36" s="9"/>
      <c r="AR36" s="803" t="s">
        <v>570</v>
      </c>
      <c r="AS36" s="326"/>
      <c r="AT36" s="326"/>
      <c r="AU36" s="327"/>
      <c r="AV36" s="803" t="s">
        <v>571</v>
      </c>
      <c r="AW36" s="326"/>
      <c r="AX36" s="326"/>
      <c r="AY36" s="327"/>
      <c r="AZ36" s="803" t="s">
        <v>568</v>
      </c>
      <c r="BA36" s="326"/>
      <c r="BB36" s="326"/>
      <c r="BC36" s="327"/>
      <c r="BD36" s="804" t="s">
        <v>569</v>
      </c>
      <c r="BE36" s="326"/>
      <c r="BF36" s="326"/>
      <c r="BG36" s="327"/>
    </row>
    <row r="37" spans="1:72" ht="15.75" customHeight="1" x14ac:dyDescent="0.25">
      <c r="A37" s="337"/>
      <c r="B37" s="338"/>
      <c r="C37" s="338"/>
      <c r="D37" s="338"/>
      <c r="E37" s="338"/>
      <c r="F37" s="338"/>
      <c r="G37" s="338"/>
      <c r="H37" s="338"/>
      <c r="I37" s="338"/>
      <c r="J37" s="339"/>
      <c r="K37" s="805" t="s">
        <v>572</v>
      </c>
      <c r="L37" s="327"/>
      <c r="M37" s="782" t="s">
        <v>573</v>
      </c>
      <c r="N37" s="327"/>
      <c r="O37" s="805" t="s">
        <v>572</v>
      </c>
      <c r="P37" s="327"/>
      <c r="Q37" s="782" t="s">
        <v>573</v>
      </c>
      <c r="R37" s="327"/>
      <c r="S37" s="805" t="s">
        <v>572</v>
      </c>
      <c r="T37" s="327"/>
      <c r="U37" s="782" t="s">
        <v>573</v>
      </c>
      <c r="V37" s="327"/>
      <c r="W37" s="805" t="s">
        <v>572</v>
      </c>
      <c r="X37" s="327"/>
      <c r="Y37" s="782" t="s">
        <v>573</v>
      </c>
      <c r="Z37" s="327"/>
      <c r="AA37" s="805" t="s">
        <v>572</v>
      </c>
      <c r="AB37" s="327"/>
      <c r="AC37" s="808" t="s">
        <v>573</v>
      </c>
      <c r="AD37" s="327"/>
      <c r="AE37" s="805" t="s">
        <v>572</v>
      </c>
      <c r="AF37" s="327"/>
      <c r="AG37" s="782" t="s">
        <v>573</v>
      </c>
      <c r="AH37" s="327"/>
      <c r="AI37" s="805" t="s">
        <v>572</v>
      </c>
      <c r="AJ37" s="327"/>
      <c r="AK37" s="782" t="s">
        <v>573</v>
      </c>
      <c r="AL37" s="327"/>
      <c r="AM37" s="807" t="s">
        <v>572</v>
      </c>
      <c r="AN37" s="327"/>
      <c r="AO37" s="784" t="s">
        <v>573</v>
      </c>
      <c r="AP37" s="327"/>
      <c r="AQ37" s="9"/>
      <c r="AR37" s="805" t="s">
        <v>572</v>
      </c>
      <c r="AS37" s="327"/>
      <c r="AT37" s="786" t="s">
        <v>573</v>
      </c>
      <c r="AU37" s="327"/>
      <c r="AV37" s="805" t="s">
        <v>572</v>
      </c>
      <c r="AW37" s="327"/>
      <c r="AX37" s="786" t="s">
        <v>573</v>
      </c>
      <c r="AY37" s="327"/>
      <c r="AZ37" s="805" t="s">
        <v>572</v>
      </c>
      <c r="BA37" s="327"/>
      <c r="BB37" s="786" t="s">
        <v>573</v>
      </c>
      <c r="BC37" s="327"/>
      <c r="BD37" s="806" t="s">
        <v>572</v>
      </c>
      <c r="BE37" s="327"/>
      <c r="BF37" s="571" t="s">
        <v>573</v>
      </c>
      <c r="BG37" s="327"/>
      <c r="BI37" s="94"/>
      <c r="BJ37" s="94"/>
      <c r="BK37" s="114"/>
      <c r="BL37" s="94"/>
      <c r="BM37" s="94"/>
      <c r="BN37" s="94"/>
      <c r="BO37" s="114"/>
      <c r="BP37" s="94"/>
      <c r="BQ37" s="94"/>
      <c r="BR37" s="94"/>
      <c r="BS37" s="114"/>
      <c r="BT37" s="94"/>
    </row>
    <row r="38" spans="1:72" ht="15.75" customHeight="1" x14ac:dyDescent="0.25">
      <c r="A38" s="813" t="s">
        <v>584</v>
      </c>
      <c r="B38" s="326"/>
      <c r="C38" s="326"/>
      <c r="D38" s="326"/>
      <c r="E38" s="326"/>
      <c r="F38" s="326"/>
      <c r="G38" s="326"/>
      <c r="H38" s="326"/>
      <c r="I38" s="326"/>
      <c r="J38" s="327"/>
      <c r="K38" s="798"/>
      <c r="L38" s="327"/>
      <c r="M38" s="809">
        <f>COUNTIFS('refer admin discharge'!N15:N2995,"&gt;=0",'refer admin discharge'!N15:N2995,"&lt;=12",'refer admin discharge'!O15:O2995,"Female",'refer admin discharge'!P15:P2995,"White",'refer admin discharge'!AJ15:AJ2995,"YES")</f>
        <v>0</v>
      </c>
      <c r="N38" s="327"/>
      <c r="O38" s="810"/>
      <c r="P38" s="327"/>
      <c r="Q38" s="809">
        <f>COUNTIFS('refer admin discharge'!N15:N2995,"&gt;=0",'refer admin discharge'!N15:N2995,"&lt;=12",'refer admin discharge'!O15:O2995,"Female",'refer admin discharge'!P15:P2995,"African American /Black",'refer admin discharge'!AJ15:AJ2995,"YES")</f>
        <v>0</v>
      </c>
      <c r="R38" s="327"/>
      <c r="S38" s="810"/>
      <c r="T38" s="327"/>
      <c r="U38" s="809">
        <f>COUNTIFS('refer admin discharge'!N15:N2995,"&gt;=0",'refer admin discharge'!N15:N2995,"&lt;=12",'refer admin discharge'!O15:O2995,"Female",'refer admin discharge'!P15:P2995,"Native Hawaiian / Other Pacific Islander",'refer admin discharge'!AJ15:AJ2995,"YES")</f>
        <v>0</v>
      </c>
      <c r="V38" s="327"/>
      <c r="W38" s="810"/>
      <c r="X38" s="327"/>
      <c r="Y38" s="809">
        <f>COUNTIFS('refer admin discharge'!N15:N2995,"&gt;=0",'refer admin discharge'!N15:N2995,"&lt;=12",'refer admin discharge'!O15:O2995,"Female",'refer admin discharge'!P15:P2995,"Asian",'refer admin discharge'!AJ15:AJ2995,"YES")</f>
        <v>0</v>
      </c>
      <c r="Z38" s="327"/>
      <c r="AA38" s="810"/>
      <c r="AB38" s="327"/>
      <c r="AC38" s="809">
        <f>COUNTIFS('refer admin discharge'!N15:N2995,"&gt;=0",'refer admin discharge'!N15:N2995,"&lt;=12",'refer admin discharge'!O15:O2995,"Female",'refer admin discharge'!P15:P2995,"American Indian / Alaska Native",'refer admin discharge'!AJ15:AJ2995,"YES")</f>
        <v>0</v>
      </c>
      <c r="AD38" s="327"/>
      <c r="AE38" s="797"/>
      <c r="AF38" s="327"/>
      <c r="AG38" s="809">
        <f>COUNTIFS('refer admin discharge'!N15:N2995,"&gt;=0",'refer admin discharge'!N15:N2995,"&lt;=12",'refer admin discharge'!O15:O2995,"Female",'refer admin discharge'!P15:P2995,"More than one race reported",'refer admin discharge'!AJ15:AJ2995,"YES")</f>
        <v>0</v>
      </c>
      <c r="AH38" s="327"/>
      <c r="AI38" s="797"/>
      <c r="AJ38" s="327"/>
      <c r="AK38" s="809">
        <f>COUNTIFS('refer admin discharge'!N15:N2995,"&gt;=0",'refer admin discharge'!N15:N2995,"&lt;=12",'refer admin discharge'!O15:O2995,"Female",'refer admin discharge'!P15:P2995,"Unknown",'refer admin discharge'!AJ15:AJ2995,"YES")</f>
        <v>0</v>
      </c>
      <c r="AL38" s="327"/>
      <c r="AM38" s="798"/>
      <c r="AN38" s="327"/>
      <c r="AO38" s="757">
        <f t="shared" ref="AO38:AO45" si="4">M38+Q38+U38+Y38+AC38+AG38+AK38</f>
        <v>0</v>
      </c>
      <c r="AP38" s="327"/>
      <c r="AQ38" s="9"/>
      <c r="AR38" s="798"/>
      <c r="AS38" s="327"/>
      <c r="AT38" s="799">
        <f>COUNTIFS('refer admin discharge'!N15:N2995,"&gt;=0",'refer admin discharge'!N15:N2995,"&lt;=12",'refer admin discharge'!O15:O2995,"Female",'refer admin discharge'!R15:R2995,"Not Hispanic or Latino",'refer admin discharge'!AJ15:AJ2995,"YES")</f>
        <v>0</v>
      </c>
      <c r="AU38" s="327"/>
      <c r="AV38" s="798"/>
      <c r="AW38" s="327"/>
      <c r="AX38" s="799">
        <f>COUNTIFS('refer admin discharge'!N15:N2995,"&gt;=0",'refer admin discharge'!N15:N2995,"&lt;=12",'refer admin discharge'!O15:O2995,"Female",'refer admin discharge'!R15:R2995,"Hispanic-Latino ",'refer admin discharge'!AJ15:AJ2995,"YES")</f>
        <v>0</v>
      </c>
      <c r="AY38" s="327"/>
      <c r="AZ38" s="798"/>
      <c r="BA38" s="327"/>
      <c r="BB38" s="799">
        <f>COUNTIFS('refer admin discharge'!N15:N2995,"&gt;=0",'refer admin discharge'!N15:N2995,"&lt;=12",'refer admin discharge'!O15:O2995,"Female",'refer admin discharge'!R15:R2995,"Unknown",'refer admin discharge'!AJ15:AJ2995,"YES")</f>
        <v>0</v>
      </c>
      <c r="BC38" s="327"/>
      <c r="BD38" s="800"/>
      <c r="BE38" s="327"/>
      <c r="BF38" s="812">
        <f t="shared" ref="BF38:BF45" si="5">AT38+AX38+BB38</f>
        <v>0</v>
      </c>
      <c r="BG38" s="327"/>
    </row>
    <row r="39" spans="1:72" ht="15.75" customHeight="1" x14ac:dyDescent="0.25">
      <c r="A39" s="813" t="s">
        <v>585</v>
      </c>
      <c r="B39" s="326"/>
      <c r="C39" s="326"/>
      <c r="D39" s="326"/>
      <c r="E39" s="326"/>
      <c r="F39" s="326"/>
      <c r="G39" s="326"/>
      <c r="H39" s="326"/>
      <c r="I39" s="326"/>
      <c r="J39" s="327"/>
      <c r="K39" s="798"/>
      <c r="L39" s="327"/>
      <c r="M39" s="809">
        <f>COUNTIFS('refer admin discharge'!N15:N2995,"&gt;=13",'refer admin discharge'!N15:N2995,"&lt;=17",'refer admin discharge'!O15:O2995,"Female",'refer admin discharge'!P15:P2995,"White",'refer admin discharge'!AJ15:AJ2995,"YES")</f>
        <v>0</v>
      </c>
      <c r="N39" s="327"/>
      <c r="O39" s="810"/>
      <c r="P39" s="327"/>
      <c r="Q39" s="809">
        <f>COUNTIFS('refer admin discharge'!N15:N2995,"&gt;=13",'refer admin discharge'!N15:N2995,"&lt;=17",'refer admin discharge'!O15:O2995,"Female",'refer admin discharge'!P15:P2995,"African American /Black",'refer admin discharge'!AJ15:AJ2995,"YES")</f>
        <v>0</v>
      </c>
      <c r="R39" s="327"/>
      <c r="S39" s="810"/>
      <c r="T39" s="327"/>
      <c r="U39" s="809">
        <f>COUNTIFS('refer admin discharge'!N15:N2995,"&gt;=13",'refer admin discharge'!N15:N2995,"&lt;=17",'refer admin discharge'!O15:O2995,"Female",'refer admin discharge'!P15:P2995,"Native Hawaiian / Other Pacific Islander",'refer admin discharge'!AJ15:AJ2995,"YES")</f>
        <v>0</v>
      </c>
      <c r="V39" s="327"/>
      <c r="W39" s="810"/>
      <c r="X39" s="327"/>
      <c r="Y39" s="809">
        <f>COUNTIFS('refer admin discharge'!N15:N2995,"&gt;=13",'refer admin discharge'!N15:N2995,"&lt;=17",'refer admin discharge'!O15:O2995,"Female",'refer admin discharge'!P15:P2995,"Asian",'refer admin discharge'!AJ15:AJ2995,"YES")</f>
        <v>0</v>
      </c>
      <c r="Z39" s="327"/>
      <c r="AA39" s="810"/>
      <c r="AB39" s="327"/>
      <c r="AC39" s="809">
        <f>COUNTIFS('refer admin discharge'!N15:N2995,"&gt;=13",'refer admin discharge'!N15:N2995,"&lt;=17",'refer admin discharge'!O15:O2995,"Female",'refer admin discharge'!P15:P2995,"American Indian / Alaska Native",'refer admin discharge'!AJ15:AJ2995,"YES")</f>
        <v>0</v>
      </c>
      <c r="AD39" s="327"/>
      <c r="AE39" s="797"/>
      <c r="AF39" s="327"/>
      <c r="AG39" s="809">
        <f>COUNTIFS('refer admin discharge'!N15:N2995,"&gt;=13",'refer admin discharge'!N15:N2995,"&lt;=17",'refer admin discharge'!O15:O2995,"Female",'refer admin discharge'!P15:P2995,"More than one race reported",'refer admin discharge'!AJ15:AJ2995,"YES")</f>
        <v>0</v>
      </c>
      <c r="AH39" s="327"/>
      <c r="AI39" s="797"/>
      <c r="AJ39" s="327"/>
      <c r="AK39" s="809">
        <f>COUNTIFS('refer admin discharge'!N15:N2995,"&gt;=13",'refer admin discharge'!N15:N2995,"&lt;=17",'refer admin discharge'!O15:O2995,"Female",'refer admin discharge'!P15:P2995,"Unknown",'refer admin discharge'!AJ15:AJ2995,"YES")</f>
        <v>0</v>
      </c>
      <c r="AL39" s="327"/>
      <c r="AM39" s="798"/>
      <c r="AN39" s="327"/>
      <c r="AO39" s="757">
        <f t="shared" si="4"/>
        <v>0</v>
      </c>
      <c r="AP39" s="327"/>
      <c r="AQ39" s="9"/>
      <c r="AR39" s="798"/>
      <c r="AS39" s="327"/>
      <c r="AT39" s="799">
        <f>COUNTIFS('refer admin discharge'!N15:N2995,"&gt;=13",'refer admin discharge'!N15:N2995,"&lt;=17",'refer admin discharge'!O15:O2995,"Female",'refer admin discharge'!R15:R2995,"Not Hispanic or Latino",'refer admin discharge'!AJ15:AJ2995,"YES")</f>
        <v>0</v>
      </c>
      <c r="AU39" s="327"/>
      <c r="AV39" s="798"/>
      <c r="AW39" s="327"/>
      <c r="AX39" s="799">
        <f>COUNTIFS('refer admin discharge'!N15:N2995,"&gt;=13",'refer admin discharge'!N15:N2995,"&lt;=17",'refer admin discharge'!O15:O2995,"Female",'refer admin discharge'!R15:R2995,"Hispanic-Latino ",'refer admin discharge'!AJ15:AJ2995,"YES")</f>
        <v>0</v>
      </c>
      <c r="AY39" s="327"/>
      <c r="AZ39" s="798"/>
      <c r="BA39" s="327"/>
      <c r="BB39" s="799">
        <f>COUNTIFS('refer admin discharge'!N15:N2995,"&gt;=13",'refer admin discharge'!N15:N2995,"&lt;=17",'refer admin discharge'!O15:O2995,"Female",'refer admin discharge'!R15:R2995,"Unknown",'refer admin discharge'!AJ15:AJ2995,"YES")</f>
        <v>0</v>
      </c>
      <c r="BC39" s="327"/>
      <c r="BD39" s="800"/>
      <c r="BE39" s="327"/>
      <c r="BF39" s="812">
        <f t="shared" si="5"/>
        <v>0</v>
      </c>
      <c r="BG39" s="327"/>
    </row>
    <row r="40" spans="1:72" ht="15.75" customHeight="1" x14ac:dyDescent="0.25">
      <c r="A40" s="813" t="s">
        <v>586</v>
      </c>
      <c r="B40" s="326"/>
      <c r="C40" s="326"/>
      <c r="D40" s="326"/>
      <c r="E40" s="326"/>
      <c r="F40" s="326"/>
      <c r="G40" s="326"/>
      <c r="H40" s="326"/>
      <c r="I40" s="326"/>
      <c r="J40" s="327"/>
      <c r="K40" s="798"/>
      <c r="L40" s="327"/>
      <c r="M40" s="809">
        <f>COUNTIFS('refer admin discharge'!N15:N2995,"&gt;=18",'refer admin discharge'!N15:N2995,"&lt;=20",'refer admin discharge'!O15:O2995,"Female",'refer admin discharge'!P15:P2995,"White",'refer admin discharge'!AJ15:AJ2995,"YES")</f>
        <v>0</v>
      </c>
      <c r="N40" s="327"/>
      <c r="O40" s="810"/>
      <c r="P40" s="327"/>
      <c r="Q40" s="809">
        <f>COUNTIFS('refer admin discharge'!N15:N2995,"&gt;=18",'refer admin discharge'!N15:N2995,"&lt;=20",'refer admin discharge'!O15:O2995,"Female",'refer admin discharge'!P15:P2995,"African American /Black",'refer admin discharge'!AJ15:AJ2995,"YES")</f>
        <v>0</v>
      </c>
      <c r="R40" s="327"/>
      <c r="S40" s="810"/>
      <c r="T40" s="327"/>
      <c r="U40" s="809">
        <f>COUNTIFS('refer admin discharge'!N15:N2995,"&gt;=18",'refer admin discharge'!N15:N2995,"&lt;=20",'refer admin discharge'!O15:O2995,"Female",'refer admin discharge'!P15:P2995,"Native Hawaiian / Other Pacific Islander",'refer admin discharge'!AJ15:AJ2995,"YES")</f>
        <v>0</v>
      </c>
      <c r="V40" s="327"/>
      <c r="W40" s="810"/>
      <c r="X40" s="327"/>
      <c r="Y40" s="809">
        <f>COUNTIFS('refer admin discharge'!N15:N2995,"&gt;=18",'refer admin discharge'!N15:N2995,"&lt;=20",'refer admin discharge'!O15:O2995,"Female",'refer admin discharge'!P15:P2995,"Asian",'refer admin discharge'!AJ15:AJ2995,"YES")</f>
        <v>0</v>
      </c>
      <c r="Z40" s="327"/>
      <c r="AA40" s="810"/>
      <c r="AB40" s="327"/>
      <c r="AC40" s="809">
        <f>COUNTIFS('refer admin discharge'!N15:N2995,"&gt;=18",'refer admin discharge'!N15:N2995,"&lt;=20",'refer admin discharge'!O15:O2995,"Female",'refer admin discharge'!P15:P2995,"American Indian / Alaska Native",'refer admin discharge'!AJ15:AJ2995,"YES")</f>
        <v>0</v>
      </c>
      <c r="AD40" s="327"/>
      <c r="AE40" s="797"/>
      <c r="AF40" s="327"/>
      <c r="AG40" s="809">
        <f>COUNTIFS('refer admin discharge'!N15:N2995,"&gt;=18",'refer admin discharge'!N15:N2995,"&lt;=20",'refer admin discharge'!O15:O2995,"Female",'refer admin discharge'!P15:P2995,"More than one race reported",'refer admin discharge'!AJ15:AJ2995,"YES")</f>
        <v>0</v>
      </c>
      <c r="AH40" s="327"/>
      <c r="AI40" s="797"/>
      <c r="AJ40" s="327"/>
      <c r="AK40" s="809">
        <f>COUNTIFS('refer admin discharge'!N15:N2995,"&gt;=18",'refer admin discharge'!N15:N2995,"&lt;=20",'refer admin discharge'!O15:O2995,"Female",'refer admin discharge'!P15:P2995,"Unknown",'refer admin discharge'!AJ15:AJ2995,"YES")</f>
        <v>0</v>
      </c>
      <c r="AL40" s="327"/>
      <c r="AM40" s="798"/>
      <c r="AN40" s="327"/>
      <c r="AO40" s="757">
        <f t="shared" si="4"/>
        <v>0</v>
      </c>
      <c r="AP40" s="327"/>
      <c r="AQ40" s="9"/>
      <c r="AR40" s="798"/>
      <c r="AS40" s="327"/>
      <c r="AT40" s="799">
        <f>COUNTIFS('refer admin discharge'!N15:N2995,"&gt;=18",'refer admin discharge'!N15:N2995,"&lt;=20",'refer admin discharge'!O15:O2995,"Female",'refer admin discharge'!R15:R2995,"Not Hispanic or Latino",'refer admin discharge'!AJ15:AJ2995,"YES")</f>
        <v>0</v>
      </c>
      <c r="AU40" s="327"/>
      <c r="AV40" s="798"/>
      <c r="AW40" s="327"/>
      <c r="AX40" s="799">
        <f>COUNTIFS('refer admin discharge'!N15:N2995,"&gt;=18",'refer admin discharge'!N15:N2995,"&lt;=20",'refer admin discharge'!O15:O2995,"Female",'refer admin discharge'!R15:R2995,"Hispanic-Latino ",'refer admin discharge'!AJ15:AJ2995,"YES")</f>
        <v>0</v>
      </c>
      <c r="AY40" s="327"/>
      <c r="AZ40" s="798"/>
      <c r="BA40" s="327"/>
      <c r="BB40" s="799">
        <f>COUNTIFS('refer admin discharge'!N15:N2995,"&gt;=18",'refer admin discharge'!N15:N2995,"&lt;=20",'refer admin discharge'!O15:O2995,"Female",'refer admin discharge'!R15:R2995,"Unknown",'refer admin discharge'!AJ15:AJ2995,"YES")</f>
        <v>0</v>
      </c>
      <c r="BC40" s="327"/>
      <c r="BD40" s="800"/>
      <c r="BE40" s="327"/>
      <c r="BF40" s="812">
        <f t="shared" si="5"/>
        <v>0</v>
      </c>
      <c r="BG40" s="327"/>
    </row>
    <row r="41" spans="1:72" ht="15.75" customHeight="1" x14ac:dyDescent="0.25">
      <c r="A41" s="813" t="s">
        <v>587</v>
      </c>
      <c r="B41" s="326"/>
      <c r="C41" s="326"/>
      <c r="D41" s="326"/>
      <c r="E41" s="326"/>
      <c r="F41" s="326"/>
      <c r="G41" s="326"/>
      <c r="H41" s="326"/>
      <c r="I41" s="326"/>
      <c r="J41" s="327"/>
      <c r="K41" s="798"/>
      <c r="L41" s="327"/>
      <c r="M41" s="809">
        <f>COUNTIFS('refer admin discharge'!N15:N2995,"&gt;=21",'refer admin discharge'!N15:N2995,"&lt;=24",'refer admin discharge'!O15:O2995,"Female",'refer admin discharge'!P15:P2995,"White",'refer admin discharge'!AJ15:AJ2995,"YES")</f>
        <v>0</v>
      </c>
      <c r="N41" s="327"/>
      <c r="O41" s="810"/>
      <c r="P41" s="327"/>
      <c r="Q41" s="809">
        <f>COUNTIFS('refer admin discharge'!N15:N2995,"&gt;=21",'refer admin discharge'!N15:N2995,"&lt;=24",'refer admin discharge'!O15:O2995,"Female",'refer admin discharge'!P15:P2995,"African American /Black",'refer admin discharge'!AJ15:AJ2995,"YES")</f>
        <v>0</v>
      </c>
      <c r="R41" s="327"/>
      <c r="S41" s="810"/>
      <c r="T41" s="327"/>
      <c r="U41" s="809">
        <f>COUNTIFS('refer admin discharge'!N15:N2995,"&gt;=21",'refer admin discharge'!N15:N2995,"&lt;=24",'refer admin discharge'!O15:O2995,"Female",'refer admin discharge'!P15:P2995,"Native Hawaiian / Other Pacific Islander",'refer admin discharge'!AJ15:AJ2995,"YES")</f>
        <v>0</v>
      </c>
      <c r="V41" s="327"/>
      <c r="W41" s="810"/>
      <c r="X41" s="327"/>
      <c r="Y41" s="809">
        <f>COUNTIFS('refer admin discharge'!N15:N2995,"&gt;=21",'refer admin discharge'!N15:N2995,"&lt;=24",'refer admin discharge'!O15:O2995,"Female",'refer admin discharge'!P15:P2995,"Asian",'refer admin discharge'!AJ15:AJ2995,"YES")</f>
        <v>0</v>
      </c>
      <c r="Z41" s="327"/>
      <c r="AA41" s="810"/>
      <c r="AB41" s="327"/>
      <c r="AC41" s="809">
        <f>COUNTIFS('refer admin discharge'!N15:N2995,"&gt;=21",'refer admin discharge'!N15:N2995,"&lt;=24",'refer admin discharge'!O15:O2995,"Female",'refer admin discharge'!P15:P2995,"American Indian / Alaska Native",'refer admin discharge'!AJ15:AJ2995,"YES")</f>
        <v>0</v>
      </c>
      <c r="AD41" s="327"/>
      <c r="AE41" s="797"/>
      <c r="AF41" s="327"/>
      <c r="AG41" s="809">
        <f>COUNTIFS('refer admin discharge'!N15:N2995,"&gt;=21",'refer admin discharge'!N15:N2995,"&lt;=24",'refer admin discharge'!O15:O2995,"Female",'refer admin discharge'!P15:P2995,"More than one race reported",'refer admin discharge'!AJ15:AJ2995,"YES")</f>
        <v>0</v>
      </c>
      <c r="AH41" s="327"/>
      <c r="AI41" s="797"/>
      <c r="AJ41" s="327"/>
      <c r="AK41" s="809">
        <f>COUNTIFS('refer admin discharge'!N15:N2995,"&gt;=21",'refer admin discharge'!N15:N2995,"&lt;=24",'refer admin discharge'!O15:O2995,"Female",'refer admin discharge'!P15:P2995,"Unknown",'refer admin discharge'!AJ15:AJ2995,"YES")</f>
        <v>0</v>
      </c>
      <c r="AL41" s="327"/>
      <c r="AM41" s="798"/>
      <c r="AN41" s="327"/>
      <c r="AO41" s="757">
        <f t="shared" si="4"/>
        <v>0</v>
      </c>
      <c r="AP41" s="327"/>
      <c r="AQ41" s="9"/>
      <c r="AR41" s="798"/>
      <c r="AS41" s="327"/>
      <c r="AT41" s="799">
        <f>COUNTIFS('refer admin discharge'!N15:N2995,"&gt;=21",'refer admin discharge'!N15:N2995,"&lt;=24",'refer admin discharge'!O15:O2995,"Female",'refer admin discharge'!R15:R2995,"Not Hispanic or Latino",'refer admin discharge'!AJ15:AJ2995,"YES")</f>
        <v>0</v>
      </c>
      <c r="AU41" s="327"/>
      <c r="AV41" s="798"/>
      <c r="AW41" s="327"/>
      <c r="AX41" s="799">
        <f>COUNTIFS('refer admin discharge'!N15:N2995,"&gt;=21",'refer admin discharge'!N15:N2995,"&lt;=24",'refer admin discharge'!O15:O2995,"Female",'refer admin discharge'!R15:R2995,"Hispanic-Latino ",'refer admin discharge'!AJ15:AJ2995,"YES")</f>
        <v>0</v>
      </c>
      <c r="AY41" s="327"/>
      <c r="AZ41" s="798"/>
      <c r="BA41" s="327"/>
      <c r="BB41" s="799">
        <f>COUNTIFS('refer admin discharge'!N15:N2995,"&gt;=21",'refer admin discharge'!N15:N2995,"&lt;=24",'refer admin discharge'!O15:O2995,"Female",'refer admin discharge'!R15:R2995,"Unknown",'refer admin discharge'!AJ15:AJ2995,"YES")</f>
        <v>0</v>
      </c>
      <c r="BC41" s="327"/>
      <c r="BD41" s="800"/>
      <c r="BE41" s="327"/>
      <c r="BF41" s="812">
        <f t="shared" si="5"/>
        <v>0</v>
      </c>
      <c r="BG41" s="327"/>
    </row>
    <row r="42" spans="1:72" ht="15.75" customHeight="1" x14ac:dyDescent="0.25">
      <c r="A42" s="813" t="s">
        <v>588</v>
      </c>
      <c r="B42" s="326"/>
      <c r="C42" s="326"/>
      <c r="D42" s="326"/>
      <c r="E42" s="326"/>
      <c r="F42" s="326"/>
      <c r="G42" s="326"/>
      <c r="H42" s="326"/>
      <c r="I42" s="326"/>
      <c r="J42" s="327"/>
      <c r="K42" s="798"/>
      <c r="L42" s="327"/>
      <c r="M42" s="809">
        <f>COUNTIFS('refer admin discharge'!N15:N2995,"&gt;=25",'refer admin discharge'!N15:N2995,"&lt;=44",'refer admin discharge'!O15:O2995,"Female",'refer admin discharge'!P15:P2995,"White",'refer admin discharge'!AJ15:AJ2995,"YES")</f>
        <v>0</v>
      </c>
      <c r="N42" s="327"/>
      <c r="O42" s="810"/>
      <c r="P42" s="327"/>
      <c r="Q42" s="809">
        <f>COUNTIFS('refer admin discharge'!N15:N2995,"&gt;=25",'refer admin discharge'!N15:N2995,"&lt;=44",'refer admin discharge'!O15:O2995,"Female",'refer admin discharge'!P15:P2995,"African American /Black",'refer admin discharge'!AJ15:AJ2995,"YES")</f>
        <v>0</v>
      </c>
      <c r="R42" s="327"/>
      <c r="S42" s="810"/>
      <c r="T42" s="327"/>
      <c r="U42" s="809">
        <f>COUNTIFS('refer admin discharge'!N15:N2995,"&gt;=25",'refer admin discharge'!N15:N2995,"&lt;=44",'refer admin discharge'!O15:O2995,"Female",'refer admin discharge'!P15:P2995,"Native Hawaiian / Other Pacific Islander",'refer admin discharge'!AJ15:AJ2995,"YES")</f>
        <v>0</v>
      </c>
      <c r="V42" s="327"/>
      <c r="W42" s="810"/>
      <c r="X42" s="327"/>
      <c r="Y42" s="809">
        <f>COUNTIFS('refer admin discharge'!N15:N2995,"&gt;=25",'refer admin discharge'!N15:N2995,"&lt;=44",'refer admin discharge'!O15:O2995,"Female",'refer admin discharge'!P15:P2995,"Asian",'refer admin discharge'!AJ15:AJ2995,"YES")</f>
        <v>0</v>
      </c>
      <c r="Z42" s="327"/>
      <c r="AA42" s="810"/>
      <c r="AB42" s="327"/>
      <c r="AC42" s="809">
        <f>COUNTIFS('refer admin discharge'!N15:N2995,"&gt;=25",'refer admin discharge'!N15:N2995,"&lt;=44",'refer admin discharge'!O15:O2995,"Female",'refer admin discharge'!P15:P2995,"American Indian / Alaska Native",'refer admin discharge'!AJ15:AJ2995,"YES")</f>
        <v>0</v>
      </c>
      <c r="AD42" s="327"/>
      <c r="AE42" s="797"/>
      <c r="AF42" s="327"/>
      <c r="AG42" s="809">
        <f>COUNTIFS('refer admin discharge'!N15:N2995,"&gt;=25",'refer admin discharge'!N15:N2995,"&lt;=44",'refer admin discharge'!O15:O2995,"Female",'refer admin discharge'!P15:P2995,"More than one race reported",'refer admin discharge'!AJ15:AJ2995,"YES")</f>
        <v>0</v>
      </c>
      <c r="AH42" s="327"/>
      <c r="AI42" s="797"/>
      <c r="AJ42" s="327"/>
      <c r="AK42" s="809">
        <f>COUNTIFS('refer admin discharge'!N15:N2995,"&gt;=25",'refer admin discharge'!N15:N2995,"&lt;=44",'refer admin discharge'!O15:O2995,"Female",'refer admin discharge'!P15:P2995,"Unknown",'refer admin discharge'!AJ15:AJ2995,"YES")</f>
        <v>0</v>
      </c>
      <c r="AL42" s="327"/>
      <c r="AM42" s="798"/>
      <c r="AN42" s="327"/>
      <c r="AO42" s="757">
        <f t="shared" si="4"/>
        <v>0</v>
      </c>
      <c r="AP42" s="327"/>
      <c r="AQ42" s="9"/>
      <c r="AR42" s="798"/>
      <c r="AS42" s="327"/>
      <c r="AT42" s="799">
        <f>COUNTIFS('refer admin discharge'!N15:N2995,"&gt;=25",'refer admin discharge'!N15:N2995,"&lt;=44",'refer admin discharge'!O15:O2995,"Female",'refer admin discharge'!R15:R2995,"Not Hispanic or Latino",'refer admin discharge'!AJ15:AJ2995,"YES")</f>
        <v>0</v>
      </c>
      <c r="AU42" s="327"/>
      <c r="AV42" s="798"/>
      <c r="AW42" s="327"/>
      <c r="AX42" s="799">
        <f>COUNTIFS('refer admin discharge'!N15:N2995,"&gt;=25",'refer admin discharge'!N15:N2995,"&lt;=44",'refer admin discharge'!O15:O2995,"Female",'refer admin discharge'!R15:R2995,"Hispanic-Latino ",'refer admin discharge'!AJ15:AJ2995,"YES")</f>
        <v>0</v>
      </c>
      <c r="AY42" s="327"/>
      <c r="AZ42" s="798"/>
      <c r="BA42" s="327"/>
      <c r="BB42" s="799">
        <f>COUNTIFS('refer admin discharge'!N15:N2995,"&gt;=25",'refer admin discharge'!N15:N2995,"&lt;=44",'refer admin discharge'!O15:O2995,"Female",'refer admin discharge'!R15:R2995,"Unknown",'refer admin discharge'!AJ15:AJ2995,"YES")</f>
        <v>0</v>
      </c>
      <c r="BC42" s="327"/>
      <c r="BD42" s="800"/>
      <c r="BE42" s="327"/>
      <c r="BF42" s="812">
        <f t="shared" si="5"/>
        <v>0</v>
      </c>
      <c r="BG42" s="327"/>
    </row>
    <row r="43" spans="1:72" ht="15.75" customHeight="1" x14ac:dyDescent="0.25">
      <c r="A43" s="813" t="s">
        <v>589</v>
      </c>
      <c r="B43" s="326"/>
      <c r="C43" s="326"/>
      <c r="D43" s="326"/>
      <c r="E43" s="326"/>
      <c r="F43" s="326"/>
      <c r="G43" s="326"/>
      <c r="H43" s="326"/>
      <c r="I43" s="326"/>
      <c r="J43" s="327"/>
      <c r="K43" s="798"/>
      <c r="L43" s="327"/>
      <c r="M43" s="809">
        <f>COUNTIFS('refer admin discharge'!N15:N2995,"&gt;=45",'refer admin discharge'!N15:N2995,"&lt;=64",'refer admin discharge'!O15:O2995,"Female",'refer admin discharge'!P15:P2995,"White",'refer admin discharge'!AJ15:AJ2995,"YES")</f>
        <v>0</v>
      </c>
      <c r="N43" s="327"/>
      <c r="O43" s="810"/>
      <c r="P43" s="327"/>
      <c r="Q43" s="809">
        <f>COUNTIFS('refer admin discharge'!N15:N2995,"&gt;=45",'refer admin discharge'!N15:N2995,"&lt;=64",'refer admin discharge'!O15:O2995,"Female",'refer admin discharge'!P15:P2995,"African American /Black",'refer admin discharge'!AJ15:AJ2995,"YES")</f>
        <v>0</v>
      </c>
      <c r="R43" s="327"/>
      <c r="S43" s="810"/>
      <c r="T43" s="327"/>
      <c r="U43" s="809">
        <f>COUNTIFS('refer admin discharge'!N15:N2995,"&gt;=45",'refer admin discharge'!N15:N2995,"&lt;=64",'refer admin discharge'!O15:O2995,"Female",'refer admin discharge'!P15:P2995,"Native Hawaiian / Other Pacific Islander",'refer admin discharge'!AJ15:AJ2995,"YES")</f>
        <v>0</v>
      </c>
      <c r="V43" s="327"/>
      <c r="W43" s="810"/>
      <c r="X43" s="327"/>
      <c r="Y43" s="809">
        <f>COUNTIFS('refer admin discharge'!N15:N2995,"&gt;=45",'refer admin discharge'!N15:N2995,"&lt;=64",'refer admin discharge'!O15:O2995,"Female",'refer admin discharge'!P15:P2995,"Asian",'refer admin discharge'!AJ15:AJ2995,"YES")</f>
        <v>0</v>
      </c>
      <c r="Z43" s="327"/>
      <c r="AA43" s="810"/>
      <c r="AB43" s="327"/>
      <c r="AC43" s="809">
        <f>COUNTIFS('refer admin discharge'!N15:N2995,"&gt;=45",'refer admin discharge'!N15:N2995,"&lt;=64",'refer admin discharge'!O15:O2995,"Female",'refer admin discharge'!P15:P2995,"American Indian / Alaska Native",'refer admin discharge'!AJ15:AJ2995,"YES")</f>
        <v>0</v>
      </c>
      <c r="AD43" s="327"/>
      <c r="AE43" s="797"/>
      <c r="AF43" s="327"/>
      <c r="AG43" s="809">
        <f>COUNTIFS('refer admin discharge'!N15:N2995,"&gt;=45",'refer admin discharge'!N15:N2995,"&lt;=64",'refer admin discharge'!O15:O2995,"Female",'refer admin discharge'!P15:P2995,"More than one race reported",'refer admin discharge'!AJ15:AJ2995,"YES")</f>
        <v>0</v>
      </c>
      <c r="AH43" s="327"/>
      <c r="AI43" s="797"/>
      <c r="AJ43" s="327"/>
      <c r="AK43" s="809">
        <f>COUNTIFS('refer admin discharge'!N15:N2995,"&gt;=45",'refer admin discharge'!N15:N2995,"&lt;=64",'refer admin discharge'!O15:O2995,"Female",'refer admin discharge'!P15:P2995,"Unknown",'refer admin discharge'!AJ15:AJ2995,"YES")</f>
        <v>0</v>
      </c>
      <c r="AL43" s="327"/>
      <c r="AM43" s="798"/>
      <c r="AN43" s="327"/>
      <c r="AO43" s="757">
        <f t="shared" si="4"/>
        <v>0</v>
      </c>
      <c r="AP43" s="327"/>
      <c r="AQ43" s="9"/>
      <c r="AR43" s="798"/>
      <c r="AS43" s="327"/>
      <c r="AT43" s="799">
        <f>COUNTIFS('refer admin discharge'!N15:N2995,"&gt;=45",'refer admin discharge'!N15:N2995,"&lt;=64",'refer admin discharge'!O15:O2995,"Female",'refer admin discharge'!R15:R2995,"Not Hispanic or Latino",'refer admin discharge'!AJ15:AJ2995,"YES")</f>
        <v>0</v>
      </c>
      <c r="AU43" s="327"/>
      <c r="AV43" s="798"/>
      <c r="AW43" s="327"/>
      <c r="AX43" s="799">
        <f>COUNTIFS('refer admin discharge'!N15:N2995,"&gt;=45",'refer admin discharge'!N15:N2995,"&lt;=64",'refer admin discharge'!O15:O2995,"Female",'refer admin discharge'!R15:R2995,"Hispanic-Latino ",'refer admin discharge'!AJ15:AJ2995,"YES")</f>
        <v>0</v>
      </c>
      <c r="AY43" s="327"/>
      <c r="AZ43" s="798"/>
      <c r="BA43" s="327"/>
      <c r="BB43" s="799">
        <f>COUNTIFS('refer admin discharge'!N15:N2995,"&gt;=45",'refer admin discharge'!N15:N2995,"&lt;=64",'refer admin discharge'!O15:O2995,"Female",'refer admin discharge'!R15:R2995,"Unknown",'refer admin discharge'!AJ15:AJ2995,"YES")</f>
        <v>0</v>
      </c>
      <c r="BC43" s="327"/>
      <c r="BD43" s="800"/>
      <c r="BE43" s="327"/>
      <c r="BF43" s="812">
        <f t="shared" si="5"/>
        <v>0</v>
      </c>
      <c r="BG43" s="327"/>
    </row>
    <row r="44" spans="1:72" ht="15.75" customHeight="1" x14ac:dyDescent="0.25">
      <c r="A44" s="813" t="s">
        <v>590</v>
      </c>
      <c r="B44" s="326"/>
      <c r="C44" s="326"/>
      <c r="D44" s="326"/>
      <c r="E44" s="326"/>
      <c r="F44" s="326"/>
      <c r="G44" s="326"/>
      <c r="H44" s="326"/>
      <c r="I44" s="326"/>
      <c r="J44" s="327"/>
      <c r="K44" s="798"/>
      <c r="L44" s="327"/>
      <c r="M44" s="809">
        <f>COUNTIFS('refer admin discharge'!N15:N2995,"&gt;=65",'refer admin discharge'!N15:N2995,"&lt;=74",'refer admin discharge'!O15:O2995,"Female",'refer admin discharge'!P15:P2995,"White",'refer admin discharge'!AJ15:AJ2995,"YES")</f>
        <v>0</v>
      </c>
      <c r="N44" s="327"/>
      <c r="O44" s="810"/>
      <c r="P44" s="327"/>
      <c r="Q44" s="809">
        <f>COUNTIFS('refer admin discharge'!N15:N2995,"&gt;=65",'refer admin discharge'!N15:N2995,"&lt;=74",'refer admin discharge'!O15:O2995,"Female",'refer admin discharge'!P15:P2995,"African American /Black",'refer admin discharge'!AJ15:AJ2995,"YES")</f>
        <v>0</v>
      </c>
      <c r="R44" s="327"/>
      <c r="S44" s="810"/>
      <c r="T44" s="327"/>
      <c r="U44" s="809">
        <f>COUNTIFS('refer admin discharge'!N15:N2995,"&gt;=65",'refer admin discharge'!N15:N2995,"&lt;=74",'refer admin discharge'!O15:O2995,"Female",'refer admin discharge'!P15:P2995,"Native Hawaiian / Other Pacific Islander",'refer admin discharge'!AJ15:AJ2995,"YES")</f>
        <v>0</v>
      </c>
      <c r="V44" s="327"/>
      <c r="W44" s="810"/>
      <c r="X44" s="327"/>
      <c r="Y44" s="809">
        <f>COUNTIFS('refer admin discharge'!N15:N2995,"&gt;=65",'refer admin discharge'!N15:N2995,"&lt;=74",'refer admin discharge'!O15:O2995,"Female",'refer admin discharge'!P15:P2995,"Asian",'refer admin discharge'!AJ15:AJ2995,"YES")</f>
        <v>0</v>
      </c>
      <c r="Z44" s="327"/>
      <c r="AA44" s="810"/>
      <c r="AB44" s="327"/>
      <c r="AC44" s="809">
        <f>COUNTIFS('refer admin discharge'!N15:N2995,"&gt;=65",'refer admin discharge'!N15:N2995,"&lt;=74",'refer admin discharge'!O15:O2995,"Female",'refer admin discharge'!P15:P2995,"American Indian / Alaska Native",'refer admin discharge'!AJ15:AJ2995,"YES")</f>
        <v>0</v>
      </c>
      <c r="AD44" s="327"/>
      <c r="AE44" s="797"/>
      <c r="AF44" s="327"/>
      <c r="AG44" s="809">
        <f>COUNTIFS('refer admin discharge'!N15:N2995,"&gt;=65",'refer admin discharge'!N15:N2995,"&lt;=74",'refer admin discharge'!O15:O2995,"Female",'refer admin discharge'!P15:P2995,"More than one race reported",'refer admin discharge'!AJ15:AJ2995,"YES")</f>
        <v>0</v>
      </c>
      <c r="AH44" s="327"/>
      <c r="AI44" s="797"/>
      <c r="AJ44" s="327"/>
      <c r="AK44" s="809">
        <f>COUNTIFS('refer admin discharge'!N15:N2995,"&gt;=65",'refer admin discharge'!N15:N2995,"&lt;=74",'refer admin discharge'!O15:O2995,"Female",'refer admin discharge'!P15:P2995,"Unknown",'refer admin discharge'!AJ15:AJ2995,"YES")</f>
        <v>0</v>
      </c>
      <c r="AL44" s="327"/>
      <c r="AM44" s="798"/>
      <c r="AN44" s="327"/>
      <c r="AO44" s="757">
        <f t="shared" si="4"/>
        <v>0</v>
      </c>
      <c r="AP44" s="327"/>
      <c r="AQ44" s="9"/>
      <c r="AR44" s="798"/>
      <c r="AS44" s="327"/>
      <c r="AT44" s="799">
        <f>COUNTIFS('refer admin discharge'!N15:N2995,"&gt;=65",'refer admin discharge'!N15:N2995,"&lt;=74",'refer admin discharge'!O15:O2995,"Female",'refer admin discharge'!R15:R2995,"Not Hispanic or Latino",'refer admin discharge'!AJ15:AJ2995,"YES")</f>
        <v>0</v>
      </c>
      <c r="AU44" s="327"/>
      <c r="AV44" s="798"/>
      <c r="AW44" s="327"/>
      <c r="AX44" s="799">
        <f>COUNTIFS('refer admin discharge'!N15:N2995,"&gt;=65",'refer admin discharge'!N15:N2995,"&lt;=74",'refer admin discharge'!O15:O2995,"Female",'refer admin discharge'!R15:R2995,"Hispanic-Latino ",'refer admin discharge'!AJ15:AJ2995,"YES")</f>
        <v>0</v>
      </c>
      <c r="AY44" s="327"/>
      <c r="AZ44" s="798"/>
      <c r="BA44" s="327"/>
      <c r="BB44" s="799">
        <f>COUNTIFS('refer admin discharge'!N15:N2995,"&gt;=65",'refer admin discharge'!N15:N2995,"&lt;=74",'refer admin discharge'!O15:O2995,"Female",'refer admin discharge'!R15:R2995,"Unknown",'refer admin discharge'!AJ15:AJ2995,"YES")</f>
        <v>0</v>
      </c>
      <c r="BC44" s="327"/>
      <c r="BD44" s="800"/>
      <c r="BE44" s="327"/>
      <c r="BF44" s="812">
        <f t="shared" si="5"/>
        <v>0</v>
      </c>
      <c r="BG44" s="327"/>
    </row>
    <row r="45" spans="1:72" ht="15.75" customHeight="1" x14ac:dyDescent="0.25">
      <c r="A45" s="813" t="s">
        <v>591</v>
      </c>
      <c r="B45" s="326"/>
      <c r="C45" s="326"/>
      <c r="D45" s="326"/>
      <c r="E45" s="326"/>
      <c r="F45" s="326"/>
      <c r="G45" s="326"/>
      <c r="H45" s="326"/>
      <c r="I45" s="326"/>
      <c r="J45" s="327"/>
      <c r="K45" s="798"/>
      <c r="L45" s="327"/>
      <c r="M45" s="809">
        <f>COUNTIFS('refer admin discharge'!N15:N2995,"&gt;=75",'refer admin discharge'!N15:N2995,"&lt;=150",'refer admin discharge'!O15:O2995,"Female",'refer admin discharge'!P15:P2995,"White",'refer admin discharge'!AJ15:AJ2995,"YES")</f>
        <v>0</v>
      </c>
      <c r="N45" s="327"/>
      <c r="O45" s="810"/>
      <c r="P45" s="327"/>
      <c r="Q45" s="809">
        <f>COUNTIFS('refer admin discharge'!N15:N2995,"&gt;=75",'refer admin discharge'!N15:N2995,"&lt;=150",'refer admin discharge'!O15:O2995,"Female",'refer admin discharge'!P15:P2995,"African American /Black",'refer admin discharge'!AJ15:AJ2995,"YES")</f>
        <v>0</v>
      </c>
      <c r="R45" s="327"/>
      <c r="S45" s="810"/>
      <c r="T45" s="327"/>
      <c r="U45" s="809">
        <f>COUNTIFS('refer admin discharge'!N15:N2995,"&gt;=75",'refer admin discharge'!N15:N2995,"&lt;=150",'refer admin discharge'!O15:O2995,"Female",'refer admin discharge'!P15:P2995,"Native Hawaiian / Other Pacific Islander",'refer admin discharge'!AJ15:AJ2995,"YES")</f>
        <v>0</v>
      </c>
      <c r="V45" s="327"/>
      <c r="W45" s="810"/>
      <c r="X45" s="327"/>
      <c r="Y45" s="809">
        <f>COUNTIFS('refer admin discharge'!N15:N2995,"&gt;=75",'refer admin discharge'!N15:N2995,"&lt;=150",'refer admin discharge'!O15:O2995,"Female",'refer admin discharge'!P15:P2995,"Asian",'refer admin discharge'!AJ15:AJ2995,"YES")</f>
        <v>0</v>
      </c>
      <c r="Z45" s="327"/>
      <c r="AA45" s="810"/>
      <c r="AB45" s="327"/>
      <c r="AC45" s="809">
        <f>COUNTIFS('refer admin discharge'!N15:N2995,"&gt;=75",'refer admin discharge'!N15:N2995,"&lt;=150",'refer admin discharge'!O15:O2995,"Female",'refer admin discharge'!P15:P2995,"American Indian / Alaska Native",'refer admin discharge'!AJ15:AJ2995,"YES")</f>
        <v>0</v>
      </c>
      <c r="AD45" s="327"/>
      <c r="AE45" s="797"/>
      <c r="AF45" s="327"/>
      <c r="AG45" s="809">
        <f>COUNTIFS('refer admin discharge'!N15:N2995,"&gt;=75",'refer admin discharge'!N15:N2995,"&lt;=150",'refer admin discharge'!O15:O2995,"Female",'refer admin discharge'!P15:P2995,"More than one race reported",'refer admin discharge'!AJ15:AJ2995,"YES")</f>
        <v>0</v>
      </c>
      <c r="AH45" s="327"/>
      <c r="AI45" s="797"/>
      <c r="AJ45" s="327"/>
      <c r="AK45" s="809">
        <f>COUNTIFS('refer admin discharge'!N15:N2995,"&gt;=75",'refer admin discharge'!N15:N2995,"&lt;=150",'refer admin discharge'!O15:O2995,"Female",'refer admin discharge'!P15:P2995,"Unknown",'refer admin discharge'!AJ15:AJ2995,"YES")</f>
        <v>0</v>
      </c>
      <c r="AL45" s="327"/>
      <c r="AM45" s="798"/>
      <c r="AN45" s="327"/>
      <c r="AO45" s="757">
        <f t="shared" si="4"/>
        <v>0</v>
      </c>
      <c r="AP45" s="327"/>
      <c r="AQ45" s="9"/>
      <c r="AR45" s="798"/>
      <c r="AS45" s="327"/>
      <c r="AT45" s="799">
        <f>COUNTIFS('refer admin discharge'!N15:N2995,"&gt;=75",'refer admin discharge'!N15:N2995,"&lt;=150",'refer admin discharge'!O15:O2995,"Female",'refer admin discharge'!R15:R2995,"Not Hispanic or Latino",'refer admin discharge'!AJ15:AJ2995,"YES")</f>
        <v>0</v>
      </c>
      <c r="AU45" s="327"/>
      <c r="AV45" s="798"/>
      <c r="AW45" s="327"/>
      <c r="AX45" s="799">
        <f>COUNTIFS('refer admin discharge'!N15:N2995,"&gt;=75",'refer admin discharge'!N15:N2995,"&lt;=150",'refer admin discharge'!O15:O2995,"Female",'refer admin discharge'!R15:R2995,"Hispanic-Latino ",'refer admin discharge'!AJ15:AJ2995,"YES")</f>
        <v>0</v>
      </c>
      <c r="AY45" s="327"/>
      <c r="AZ45" s="798"/>
      <c r="BA45" s="327"/>
      <c r="BB45" s="799">
        <f>COUNTIFS('refer admin discharge'!N15:N2995,"&gt;=75",'refer admin discharge'!N15:N2995,"&lt;=150",'refer admin discharge'!O15:O2995,"Female",'refer admin discharge'!R15:R2995,"Unknown",'refer admin discharge'!AJ15:AJ2995,"YES")</f>
        <v>0</v>
      </c>
      <c r="BC45" s="327"/>
      <c r="BD45" s="800"/>
      <c r="BE45" s="327"/>
      <c r="BF45" s="812">
        <f t="shared" si="5"/>
        <v>0</v>
      </c>
      <c r="BG45" s="327"/>
    </row>
    <row r="46" spans="1:72" ht="15.75" customHeight="1" x14ac:dyDescent="0.25">
      <c r="A46" s="796" t="s">
        <v>569</v>
      </c>
      <c r="B46" s="326"/>
      <c r="C46" s="326"/>
      <c r="D46" s="326"/>
      <c r="E46" s="326"/>
      <c r="F46" s="326"/>
      <c r="G46" s="326"/>
      <c r="H46" s="326"/>
      <c r="I46" s="326"/>
      <c r="J46" s="327"/>
      <c r="K46" s="798"/>
      <c r="L46" s="327"/>
      <c r="M46" s="757">
        <f>SUM(M38:M45)</f>
        <v>0</v>
      </c>
      <c r="N46" s="327"/>
      <c r="O46" s="814"/>
      <c r="P46" s="327"/>
      <c r="Q46" s="757">
        <f>SUM(Q38:Q45)</f>
        <v>0</v>
      </c>
      <c r="R46" s="327"/>
      <c r="S46" s="814"/>
      <c r="T46" s="327"/>
      <c r="U46" s="757">
        <f>SUM(U38:U45)</f>
        <v>0</v>
      </c>
      <c r="V46" s="327"/>
      <c r="W46" s="814"/>
      <c r="X46" s="327"/>
      <c r="Y46" s="757">
        <f>SUM(Y38:Y45)</f>
        <v>0</v>
      </c>
      <c r="Z46" s="327"/>
      <c r="AA46" s="814"/>
      <c r="AB46" s="327"/>
      <c r="AC46" s="757">
        <f>SUM(AC38:AC45)</f>
        <v>0</v>
      </c>
      <c r="AD46" s="327"/>
      <c r="AE46" s="814"/>
      <c r="AF46" s="327"/>
      <c r="AG46" s="757">
        <f>SUM(AG38:AG45)</f>
        <v>0</v>
      </c>
      <c r="AH46" s="327"/>
      <c r="AI46" s="814"/>
      <c r="AJ46" s="327"/>
      <c r="AK46" s="757">
        <f>SUM(AK38:AK45)</f>
        <v>0</v>
      </c>
      <c r="AL46" s="327"/>
      <c r="AM46" s="817"/>
      <c r="AN46" s="327"/>
      <c r="AO46" s="757">
        <f>SUM(AO38:AO45)</f>
        <v>0</v>
      </c>
      <c r="AP46" s="327"/>
      <c r="AQ46" s="9"/>
      <c r="AR46" s="815"/>
      <c r="AS46" s="327"/>
      <c r="AT46" s="750">
        <f>SUM(AT38:AT45)</f>
        <v>0</v>
      </c>
      <c r="AU46" s="327"/>
      <c r="AV46" s="815"/>
      <c r="AW46" s="327"/>
      <c r="AX46" s="750">
        <f>SUM(AX38:AX45)</f>
        <v>0</v>
      </c>
      <c r="AY46" s="327"/>
      <c r="AZ46" s="815"/>
      <c r="BA46" s="327"/>
      <c r="BB46" s="750">
        <f>SUM(BB38:BB45)</f>
        <v>0</v>
      </c>
      <c r="BC46" s="327"/>
      <c r="BD46" s="816"/>
      <c r="BE46" s="327"/>
      <c r="BF46" s="750">
        <f>SUM(BF38:BF45)</f>
        <v>0</v>
      </c>
      <c r="BG46" s="327"/>
    </row>
    <row r="47" spans="1:72" ht="15.75" customHeight="1" x14ac:dyDescent="0.3">
      <c r="A47" s="792" t="s">
        <v>582</v>
      </c>
      <c r="B47" s="326"/>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7"/>
      <c r="AM47" s="793">
        <f>AO46</f>
        <v>0</v>
      </c>
      <c r="AN47" s="326"/>
      <c r="AO47" s="326"/>
      <c r="AP47" s="327"/>
      <c r="AQ47" s="9"/>
      <c r="AR47" s="794" t="s">
        <v>582</v>
      </c>
      <c r="AS47" s="326"/>
      <c r="AT47" s="326"/>
      <c r="AU47" s="326"/>
      <c r="AV47" s="326"/>
      <c r="AW47" s="326"/>
      <c r="AX47" s="326"/>
      <c r="AY47" s="326"/>
      <c r="AZ47" s="326"/>
      <c r="BA47" s="326"/>
      <c r="BB47" s="326"/>
      <c r="BC47" s="327"/>
      <c r="BD47" s="795">
        <f>BF46</f>
        <v>0</v>
      </c>
      <c r="BE47" s="326"/>
      <c r="BF47" s="326"/>
      <c r="BG47" s="327"/>
    </row>
    <row r="48" spans="1:72" ht="15.75" customHeight="1" x14ac:dyDescent="0.3">
      <c r="A48" s="821" t="s">
        <v>592</v>
      </c>
      <c r="B48" s="344"/>
      <c r="C48" s="344"/>
      <c r="D48" s="344"/>
      <c r="E48" s="344"/>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c r="AJ48" s="344"/>
      <c r="AK48" s="344"/>
      <c r="AL48" s="345"/>
      <c r="AM48" s="818">
        <f>AM34+AM47</f>
        <v>0</v>
      </c>
      <c r="AN48" s="344"/>
      <c r="AO48" s="344"/>
      <c r="AP48" s="345"/>
      <c r="AQ48" s="9"/>
      <c r="AR48" s="819" t="s">
        <v>592</v>
      </c>
      <c r="AS48" s="344"/>
      <c r="AT48" s="344"/>
      <c r="AU48" s="344"/>
      <c r="AV48" s="344"/>
      <c r="AW48" s="344"/>
      <c r="AX48" s="344"/>
      <c r="AY48" s="344"/>
      <c r="AZ48" s="344"/>
      <c r="BA48" s="344"/>
      <c r="BB48" s="344"/>
      <c r="BC48" s="345"/>
      <c r="BD48" s="820">
        <f>BD34+BD47</f>
        <v>0</v>
      </c>
      <c r="BE48" s="344"/>
      <c r="BF48" s="344"/>
      <c r="BG48" s="345"/>
    </row>
    <row r="49" spans="1:59" ht="15.75" customHeight="1" x14ac:dyDescent="0.3">
      <c r="A49" s="841" t="s">
        <v>593</v>
      </c>
      <c r="B49" s="326"/>
      <c r="C49" s="326"/>
      <c r="D49" s="326"/>
      <c r="E49" s="326"/>
      <c r="F49" s="326"/>
      <c r="G49" s="326"/>
      <c r="H49" s="326"/>
      <c r="I49" s="326"/>
      <c r="J49" s="326"/>
      <c r="K49" s="326"/>
      <c r="L49" s="408"/>
      <c r="M49" s="115"/>
      <c r="N49" s="115"/>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7"/>
      <c r="AN49" s="117"/>
      <c r="AO49" s="117"/>
      <c r="AP49" s="117"/>
      <c r="AR49" s="118"/>
      <c r="AS49" s="118"/>
      <c r="AT49" s="118"/>
      <c r="AU49" s="118"/>
      <c r="AV49" s="118"/>
      <c r="AW49" s="118"/>
      <c r="AX49" s="118"/>
      <c r="AY49" s="118"/>
      <c r="AZ49" s="118"/>
      <c r="BA49" s="118"/>
      <c r="BB49" s="118"/>
      <c r="BC49" s="118"/>
      <c r="BD49" s="119"/>
      <c r="BE49" s="119"/>
      <c r="BF49" s="119"/>
      <c r="BG49" s="119"/>
    </row>
    <row r="50" spans="1:59" ht="15.75" customHeight="1" x14ac:dyDescent="0.35">
      <c r="A50" s="842" t="s">
        <v>594</v>
      </c>
      <c r="B50" s="326"/>
      <c r="C50" s="326"/>
      <c r="D50" s="326"/>
      <c r="E50" s="326"/>
      <c r="F50" s="326"/>
      <c r="G50" s="326"/>
      <c r="H50" s="326"/>
      <c r="I50" s="326"/>
      <c r="J50" s="327"/>
      <c r="K50" s="843">
        <f>COUNTIFS('refer admin discharge'!T13:T2976,"YES")</f>
        <v>0</v>
      </c>
      <c r="L50" s="326"/>
      <c r="M50" s="326"/>
      <c r="N50" s="327"/>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7"/>
      <c r="AN50" s="117"/>
      <c r="AO50" s="117"/>
      <c r="AP50" s="117"/>
      <c r="AR50" s="118"/>
      <c r="AS50" s="118"/>
      <c r="AT50" s="118"/>
      <c r="AU50" s="118"/>
      <c r="AV50" s="118"/>
      <c r="AW50" s="118"/>
      <c r="AX50" s="118"/>
      <c r="AY50" s="118"/>
      <c r="AZ50" s="118"/>
      <c r="BA50" s="118"/>
      <c r="BB50" s="118"/>
      <c r="BC50" s="118"/>
      <c r="BD50" s="119"/>
      <c r="BE50" s="119"/>
      <c r="BF50" s="119"/>
      <c r="BG50" s="119"/>
    </row>
    <row r="51" spans="1:59" ht="15.75" customHeight="1" x14ac:dyDescent="0.3">
      <c r="A51" s="120"/>
      <c r="B51" s="121"/>
      <c r="C51" s="121"/>
      <c r="D51" s="121"/>
      <c r="E51" s="121"/>
      <c r="F51" s="121"/>
      <c r="G51" s="121"/>
      <c r="H51" s="121"/>
      <c r="I51" s="122"/>
      <c r="J51" s="121"/>
      <c r="K51" s="122"/>
      <c r="L51" s="122"/>
      <c r="M51" s="122"/>
      <c r="N51" s="122"/>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7"/>
      <c r="AN51" s="117"/>
      <c r="AO51" s="117"/>
      <c r="AP51" s="117"/>
      <c r="AR51" s="118"/>
      <c r="AS51" s="118"/>
      <c r="AT51" s="118"/>
      <c r="AU51" s="118"/>
      <c r="AV51" s="118"/>
      <c r="AW51" s="118"/>
      <c r="AX51" s="118"/>
      <c r="AY51" s="118"/>
      <c r="AZ51" s="118"/>
      <c r="BA51" s="118"/>
      <c r="BB51" s="118"/>
      <c r="BC51" s="118"/>
      <c r="BD51" s="119"/>
      <c r="BE51" s="119"/>
      <c r="BF51" s="119"/>
      <c r="BG51" s="119"/>
    </row>
    <row r="52" spans="1:59" ht="21" customHeight="1" x14ac:dyDescent="0.25">
      <c r="A52" s="844" t="s">
        <v>595</v>
      </c>
      <c r="B52" s="347"/>
      <c r="C52" s="347"/>
      <c r="D52" s="347"/>
      <c r="E52" s="347"/>
      <c r="F52" s="347"/>
      <c r="G52" s="347"/>
      <c r="H52" s="347"/>
      <c r="I52" s="347"/>
      <c r="J52" s="347"/>
      <c r="K52" s="347"/>
      <c r="L52" s="347"/>
      <c r="M52" s="347"/>
      <c r="N52" s="347"/>
      <c r="O52" s="347"/>
      <c r="P52" s="347"/>
      <c r="Q52" s="347"/>
      <c r="R52" s="347"/>
      <c r="S52" s="347"/>
      <c r="T52" s="354"/>
      <c r="AI52" s="123"/>
      <c r="AJ52" s="123"/>
      <c r="AK52" s="123"/>
      <c r="AL52" s="123"/>
      <c r="AM52" s="123"/>
      <c r="AN52" s="123"/>
      <c r="AO52" s="123"/>
      <c r="AP52" s="123"/>
      <c r="AR52" s="123"/>
      <c r="AS52" s="123"/>
      <c r="AT52" s="123"/>
      <c r="AU52" s="123"/>
      <c r="AV52" s="123"/>
      <c r="AW52" s="123"/>
      <c r="AX52" s="123"/>
      <c r="AY52" s="123"/>
      <c r="AZ52" s="123"/>
      <c r="BA52" s="123"/>
      <c r="BB52" s="123"/>
      <c r="BC52" s="123"/>
      <c r="BD52" s="123"/>
      <c r="BE52" s="123"/>
      <c r="BF52" s="123"/>
      <c r="BG52" s="123"/>
    </row>
    <row r="53" spans="1:59" ht="18.75" customHeight="1" x14ac:dyDescent="0.25">
      <c r="A53" s="124"/>
      <c r="B53" s="124"/>
      <c r="C53" s="124"/>
      <c r="D53" s="124"/>
      <c r="E53" s="124"/>
      <c r="F53" s="124"/>
      <c r="G53" s="125"/>
      <c r="H53" s="125"/>
      <c r="I53" s="126"/>
      <c r="J53" s="125"/>
      <c r="K53" s="125"/>
      <c r="L53" s="125"/>
      <c r="M53" s="125"/>
      <c r="N53" s="125"/>
      <c r="O53" s="125"/>
      <c r="P53" s="125"/>
      <c r="Q53" s="125"/>
      <c r="R53" s="125"/>
      <c r="S53" s="125"/>
      <c r="T53" s="125"/>
      <c r="AI53" s="127"/>
      <c r="AJ53" s="127"/>
      <c r="AK53" s="127"/>
      <c r="AL53" s="127"/>
      <c r="AM53" s="127"/>
      <c r="AN53" s="127"/>
      <c r="AO53" s="127"/>
      <c r="AP53" s="127"/>
      <c r="AR53" s="127"/>
      <c r="AS53" s="127"/>
      <c r="AT53" s="127"/>
      <c r="AU53" s="127"/>
      <c r="AV53" s="127"/>
      <c r="AW53" s="127"/>
      <c r="AX53" s="127"/>
      <c r="AY53" s="127"/>
      <c r="AZ53" s="127"/>
      <c r="BA53" s="127"/>
      <c r="BB53" s="127"/>
      <c r="BC53" s="127"/>
      <c r="BD53" s="127"/>
      <c r="BE53" s="127"/>
      <c r="BF53" s="127"/>
      <c r="BG53" s="127"/>
    </row>
    <row r="54" spans="1:59" ht="15.75" customHeight="1" x14ac:dyDescent="0.25">
      <c r="A54" s="124"/>
      <c r="B54" s="124"/>
      <c r="C54" s="124"/>
      <c r="D54" s="124"/>
      <c r="E54" s="124"/>
      <c r="F54" s="124"/>
      <c r="G54" s="845" t="s">
        <v>505</v>
      </c>
      <c r="H54" s="326"/>
      <c r="I54" s="326"/>
      <c r="J54" s="326"/>
      <c r="K54" s="326"/>
      <c r="L54" s="326"/>
      <c r="M54" s="326"/>
      <c r="N54" s="326"/>
      <c r="O54" s="326"/>
      <c r="P54" s="327"/>
      <c r="Q54" s="843">
        <f>COUNTIFS('refer admin discharge'!V15:V2976,"YES")</f>
        <v>0</v>
      </c>
      <c r="R54" s="326"/>
      <c r="S54" s="326"/>
      <c r="T54" s="327"/>
      <c r="AI54" s="127"/>
      <c r="AJ54" s="127"/>
      <c r="AK54" s="127"/>
      <c r="AL54" s="127"/>
      <c r="AM54" s="127"/>
      <c r="AN54" s="127"/>
      <c r="AO54" s="127"/>
      <c r="AP54" s="127"/>
      <c r="AR54" s="127"/>
      <c r="AS54" s="127"/>
      <c r="AT54" s="127"/>
      <c r="AU54" s="127"/>
      <c r="AV54" s="127"/>
      <c r="AW54" s="127"/>
      <c r="AX54" s="127"/>
      <c r="AY54" s="127"/>
      <c r="AZ54" s="127"/>
      <c r="BA54" s="127"/>
      <c r="BB54" s="127"/>
      <c r="BC54" s="127"/>
      <c r="BD54" s="127"/>
      <c r="BE54" s="127"/>
      <c r="BF54" s="127"/>
      <c r="BG54" s="127"/>
    </row>
    <row r="55" spans="1:59" ht="15.75" customHeight="1" x14ac:dyDescent="0.25">
      <c r="A55" s="124"/>
      <c r="B55" s="124"/>
      <c r="C55" s="124"/>
      <c r="D55" s="124"/>
      <c r="E55" s="124"/>
      <c r="F55" s="124"/>
      <c r="G55" s="845" t="s">
        <v>596</v>
      </c>
      <c r="H55" s="326"/>
      <c r="I55" s="326"/>
      <c r="J55" s="326"/>
      <c r="K55" s="326"/>
      <c r="L55" s="326"/>
      <c r="M55" s="326"/>
      <c r="N55" s="326"/>
      <c r="O55" s="326"/>
      <c r="P55" s="327"/>
      <c r="Q55" s="843">
        <f>COUNTIFS('refer admin discharge'!V15:V2976,"NO")</f>
        <v>0</v>
      </c>
      <c r="R55" s="326"/>
      <c r="S55" s="326"/>
      <c r="T55" s="327"/>
      <c r="AI55" s="127"/>
      <c r="AX55" s="127"/>
      <c r="AY55" s="127"/>
      <c r="AZ55" s="127"/>
      <c r="BA55" s="127"/>
      <c r="BB55" s="127"/>
      <c r="BC55" s="127"/>
      <c r="BD55" s="127"/>
      <c r="BE55" s="127"/>
      <c r="BF55" s="127"/>
      <c r="BG55" s="127"/>
    </row>
    <row r="56" spans="1:59" ht="15.75" customHeight="1" x14ac:dyDescent="0.25">
      <c r="A56" s="124"/>
      <c r="B56" s="124"/>
      <c r="C56" s="124"/>
      <c r="D56" s="124"/>
      <c r="E56" s="124"/>
      <c r="F56" s="124"/>
      <c r="G56" s="845" t="s">
        <v>597</v>
      </c>
      <c r="H56" s="326"/>
      <c r="I56" s="326"/>
      <c r="J56" s="326"/>
      <c r="K56" s="326"/>
      <c r="L56" s="326"/>
      <c r="M56" s="326"/>
      <c r="N56" s="326"/>
      <c r="O56" s="326"/>
      <c r="P56" s="327"/>
      <c r="Q56" s="843">
        <f>COUNTIFS('refer admin discharge'!V15:V2976,"N/A")</f>
        <v>0</v>
      </c>
      <c r="R56" s="326"/>
      <c r="S56" s="326"/>
      <c r="T56" s="327"/>
      <c r="AI56" s="127"/>
      <c r="AX56" s="127"/>
      <c r="AY56" s="127"/>
      <c r="AZ56" s="127"/>
      <c r="BA56" s="127"/>
      <c r="BB56" s="127"/>
      <c r="BC56" s="127"/>
      <c r="BD56" s="127"/>
      <c r="BE56" s="127"/>
      <c r="BF56" s="127"/>
      <c r="BG56" s="127"/>
    </row>
    <row r="57" spans="1:59" ht="15.75" customHeight="1" x14ac:dyDescent="0.25">
      <c r="A57" s="124"/>
      <c r="B57" s="124"/>
      <c r="C57" s="124"/>
      <c r="D57" s="124"/>
      <c r="E57" s="124"/>
      <c r="F57" s="124"/>
      <c r="G57" s="846" t="s">
        <v>569</v>
      </c>
      <c r="H57" s="326"/>
      <c r="I57" s="326"/>
      <c r="J57" s="326"/>
      <c r="K57" s="326"/>
      <c r="L57" s="326"/>
      <c r="M57" s="326"/>
      <c r="N57" s="326"/>
      <c r="O57" s="326"/>
      <c r="P57" s="327"/>
      <c r="Q57" s="847">
        <f>SUM(Q54:Q56)</f>
        <v>0</v>
      </c>
      <c r="R57" s="326"/>
      <c r="S57" s="326"/>
      <c r="T57" s="327"/>
      <c r="AI57" s="127"/>
      <c r="AX57" s="127"/>
      <c r="AY57" s="127"/>
      <c r="AZ57" s="127"/>
      <c r="BA57" s="127"/>
      <c r="BB57" s="127"/>
      <c r="BC57" s="127"/>
      <c r="BD57" s="127"/>
      <c r="BE57" s="127"/>
      <c r="BF57" s="127"/>
      <c r="BG57" s="127"/>
    </row>
    <row r="58" spans="1:59" ht="15.75" customHeight="1" x14ac:dyDescent="0.25">
      <c r="A58" s="124"/>
      <c r="B58" s="124"/>
      <c r="C58" s="124"/>
      <c r="D58" s="124"/>
      <c r="E58" s="124"/>
      <c r="F58" s="124"/>
      <c r="G58" s="128"/>
      <c r="H58" s="129"/>
      <c r="I58" s="129"/>
      <c r="J58" s="129"/>
      <c r="K58" s="129"/>
      <c r="L58" s="129"/>
      <c r="M58" s="129"/>
      <c r="N58" s="129"/>
      <c r="O58" s="129"/>
      <c r="P58" s="129"/>
      <c r="Q58" s="129"/>
      <c r="R58" s="129"/>
      <c r="S58" s="129"/>
      <c r="T58" s="130"/>
      <c r="AI58" s="127"/>
      <c r="AJ58" s="127"/>
      <c r="AK58" s="127"/>
      <c r="AL58" s="127"/>
      <c r="AM58" s="127"/>
      <c r="AN58" s="127"/>
      <c r="AO58" s="127"/>
      <c r="AP58" s="127"/>
      <c r="AR58" s="127"/>
      <c r="AS58" s="127"/>
      <c r="AT58" s="127"/>
      <c r="AU58" s="127"/>
      <c r="AV58" s="127"/>
      <c r="AW58" s="127"/>
      <c r="AX58" s="127"/>
      <c r="AY58" s="127"/>
      <c r="AZ58" s="127"/>
      <c r="BA58" s="127"/>
      <c r="BB58" s="127"/>
      <c r="BC58" s="127"/>
      <c r="BD58" s="127"/>
      <c r="BE58" s="127"/>
      <c r="BF58" s="127"/>
      <c r="BG58" s="127"/>
    </row>
    <row r="59" spans="1:59" ht="15.75" customHeight="1" x14ac:dyDescent="0.25">
      <c r="A59" s="124"/>
      <c r="B59" s="124"/>
      <c r="C59" s="124"/>
      <c r="D59" s="124"/>
      <c r="E59" s="124"/>
      <c r="F59" s="124"/>
      <c r="G59" s="131"/>
      <c r="H59" s="132"/>
      <c r="I59" s="132"/>
      <c r="J59" s="132"/>
      <c r="K59" s="132"/>
      <c r="L59" s="132"/>
      <c r="M59" s="132"/>
      <c r="N59" s="132"/>
      <c r="O59" s="132"/>
      <c r="P59" s="132"/>
      <c r="Q59" s="132"/>
      <c r="R59" s="132"/>
      <c r="S59" s="132"/>
      <c r="T59" s="133"/>
      <c r="AI59" s="127"/>
      <c r="AJ59" s="127"/>
      <c r="AK59" s="127"/>
      <c r="AL59" s="127"/>
      <c r="AM59" s="127"/>
      <c r="AN59" s="127"/>
      <c r="AO59" s="127"/>
      <c r="AP59" s="127"/>
      <c r="AR59" s="127"/>
      <c r="AS59" s="127"/>
      <c r="AT59" s="127"/>
      <c r="AU59" s="127"/>
      <c r="AV59" s="127"/>
      <c r="AW59" s="127"/>
      <c r="AX59" s="127"/>
      <c r="AY59" s="127"/>
      <c r="AZ59" s="127"/>
      <c r="BA59" s="127"/>
      <c r="BB59" s="127"/>
      <c r="BC59" s="127"/>
      <c r="BD59" s="127"/>
      <c r="BE59" s="127"/>
      <c r="BF59" s="127"/>
      <c r="BG59" s="127"/>
    </row>
    <row r="60" spans="1:59" ht="15.75" customHeight="1" x14ac:dyDescent="0.25">
      <c r="A60" s="124"/>
      <c r="B60" s="124"/>
      <c r="C60" s="124"/>
      <c r="D60" s="124"/>
      <c r="E60" s="124"/>
      <c r="F60" s="124"/>
      <c r="G60" s="9"/>
      <c r="H60" s="9"/>
      <c r="I60" s="134"/>
      <c r="J60" s="9"/>
      <c r="K60" s="9"/>
      <c r="L60" s="9"/>
      <c r="M60" s="9"/>
      <c r="N60" s="9"/>
      <c r="O60" s="9"/>
      <c r="P60" s="9"/>
      <c r="Q60" s="9"/>
      <c r="R60" s="9"/>
      <c r="S60" s="9"/>
      <c r="T60" s="9"/>
      <c r="AI60" s="127"/>
      <c r="AJ60" s="127"/>
      <c r="AK60" s="127"/>
      <c r="AL60" s="127"/>
      <c r="AM60" s="127"/>
      <c r="AN60" s="127"/>
      <c r="AO60" s="127"/>
      <c r="AP60" s="127"/>
      <c r="AR60" s="127"/>
      <c r="AS60" s="127"/>
      <c r="AT60" s="127"/>
      <c r="AU60" s="127"/>
      <c r="AV60" s="127"/>
      <c r="AW60" s="127"/>
      <c r="AX60" s="127"/>
      <c r="AY60" s="127"/>
      <c r="AZ60" s="127"/>
      <c r="BA60" s="127"/>
      <c r="BB60" s="127"/>
      <c r="BC60" s="127"/>
      <c r="BD60" s="127"/>
      <c r="BE60" s="127"/>
      <c r="BF60" s="127"/>
      <c r="BG60" s="127"/>
    </row>
    <row r="61" spans="1:59" ht="15.75" customHeight="1" x14ac:dyDescent="0.25">
      <c r="A61" s="850" t="s">
        <v>598</v>
      </c>
      <c r="B61" s="347"/>
      <c r="C61" s="347"/>
      <c r="D61" s="347"/>
      <c r="E61" s="347"/>
      <c r="F61" s="347"/>
      <c r="G61" s="347"/>
      <c r="H61" s="347"/>
      <c r="I61" s="347"/>
      <c r="J61" s="347"/>
      <c r="K61" s="347"/>
      <c r="L61" s="347"/>
      <c r="M61" s="347"/>
      <c r="N61" s="347"/>
      <c r="O61" s="347"/>
      <c r="P61" s="347"/>
      <c r="Q61" s="347"/>
      <c r="R61" s="347"/>
      <c r="S61" s="347"/>
      <c r="T61" s="347"/>
      <c r="U61" s="347"/>
      <c r="V61" s="347"/>
      <c r="W61" s="347"/>
      <c r="X61" s="347"/>
      <c r="Y61" s="347"/>
      <c r="Z61" s="347"/>
      <c r="AA61" s="347"/>
      <c r="AB61" s="347"/>
      <c r="AC61" s="354"/>
      <c r="AD61" s="135"/>
      <c r="AE61" s="135"/>
      <c r="AF61" s="135"/>
      <c r="AG61" s="135"/>
      <c r="AH61" s="135"/>
      <c r="AI61" s="135"/>
      <c r="AJ61" s="135"/>
      <c r="AK61" s="135"/>
      <c r="AL61" s="135"/>
      <c r="AM61" s="848" t="s">
        <v>599</v>
      </c>
      <c r="AN61" s="347"/>
      <c r="AO61" s="347"/>
      <c r="AP61" s="347"/>
      <c r="AQ61" s="347"/>
      <c r="AR61" s="347"/>
      <c r="AS61" s="347"/>
      <c r="AT61" s="347"/>
      <c r="AU61" s="347"/>
      <c r="AV61" s="347"/>
      <c r="AW61" s="347"/>
      <c r="AX61" s="347"/>
      <c r="AY61" s="347"/>
      <c r="AZ61" s="347"/>
      <c r="BA61" s="347"/>
      <c r="BB61" s="347"/>
      <c r="BC61" s="347"/>
      <c r="BD61" s="347"/>
      <c r="BE61" s="347"/>
      <c r="BF61" s="347"/>
      <c r="BG61" s="354"/>
    </row>
    <row r="62" spans="1:59" ht="15.75" customHeight="1" x14ac:dyDescent="0.25">
      <c r="A62" s="851" t="s">
        <v>600</v>
      </c>
      <c r="B62" s="326"/>
      <c r="C62" s="326"/>
      <c r="D62" s="326"/>
      <c r="E62" s="326"/>
      <c r="F62" s="326"/>
      <c r="G62" s="326"/>
      <c r="H62" s="326"/>
      <c r="I62" s="326"/>
      <c r="J62" s="326"/>
      <c r="K62" s="326"/>
      <c r="L62" s="326"/>
      <c r="M62" s="326"/>
      <c r="N62" s="326"/>
      <c r="O62" s="326"/>
      <c r="P62" s="326"/>
      <c r="Q62" s="326"/>
      <c r="R62" s="326"/>
      <c r="S62" s="326"/>
      <c r="T62" s="326"/>
      <c r="U62" s="327"/>
      <c r="V62" s="136"/>
      <c r="W62" s="137"/>
      <c r="X62" s="137"/>
      <c r="Y62" s="137"/>
      <c r="Z62" s="138"/>
      <c r="AA62" s="139"/>
      <c r="AB62" s="139"/>
      <c r="AC62" s="139"/>
      <c r="AM62" s="140"/>
      <c r="AN62" s="140" t="s">
        <v>601</v>
      </c>
      <c r="AO62" s="140"/>
      <c r="AP62" s="140"/>
      <c r="AQ62" s="140"/>
      <c r="AR62" s="140"/>
      <c r="AS62" s="141"/>
      <c r="AT62" s="141"/>
      <c r="AU62" s="141"/>
      <c r="AV62" s="141"/>
      <c r="AW62" s="141"/>
      <c r="AX62" s="141"/>
      <c r="AY62" s="141"/>
      <c r="AZ62" s="141"/>
      <c r="BA62" s="141"/>
      <c r="BB62" s="141"/>
      <c r="BC62" s="141"/>
      <c r="BD62" s="141"/>
      <c r="BE62" s="141"/>
      <c r="BF62" s="141"/>
      <c r="BG62" s="141"/>
    </row>
    <row r="63" spans="1:59" ht="15.75" customHeight="1" x14ac:dyDescent="0.25">
      <c r="A63" s="852" t="s">
        <v>602</v>
      </c>
      <c r="B63" s="326"/>
      <c r="C63" s="326"/>
      <c r="D63" s="326"/>
      <c r="E63" s="326"/>
      <c r="F63" s="326"/>
      <c r="G63" s="326"/>
      <c r="H63" s="326"/>
      <c r="I63" s="326"/>
      <c r="J63" s="326"/>
      <c r="K63" s="326"/>
      <c r="L63" s="326"/>
      <c r="M63" s="326"/>
      <c r="N63" s="326"/>
      <c r="O63" s="326"/>
      <c r="P63" s="326"/>
      <c r="Q63" s="326"/>
      <c r="R63" s="326"/>
      <c r="S63" s="326"/>
      <c r="T63" s="326"/>
      <c r="U63" s="327"/>
      <c r="V63" s="853">
        <f>COUNTIFS('refer admin discharge'!O15:O2976,"Female",'refer admin discharge'!AJ15:AJ2976,"YES",'refer admin discharge'!AP15:AP2976,"YES")</f>
        <v>0</v>
      </c>
      <c r="W63" s="326"/>
      <c r="X63" s="326"/>
      <c r="Y63" s="326"/>
      <c r="Z63" s="327"/>
      <c r="AA63" s="9"/>
      <c r="AB63" s="9"/>
      <c r="AC63" s="9"/>
      <c r="AM63" s="663" t="s">
        <v>505</v>
      </c>
      <c r="AN63" s="326"/>
      <c r="AO63" s="326"/>
      <c r="AP63" s="326"/>
      <c r="AQ63" s="326"/>
      <c r="AR63" s="326"/>
      <c r="AS63" s="326"/>
      <c r="AT63" s="327"/>
      <c r="AU63" s="707">
        <f>COUNTIFS('refer admin discharge'!AF15:AF2976,"YES")</f>
        <v>0</v>
      </c>
      <c r="AV63" s="326"/>
      <c r="AW63" s="326"/>
      <c r="AX63" s="326"/>
      <c r="AY63" s="326"/>
      <c r="AZ63" s="326"/>
      <c r="BA63" s="327"/>
      <c r="BB63" s="142"/>
      <c r="BC63" s="142"/>
      <c r="BD63" s="142"/>
      <c r="BE63" s="142"/>
      <c r="BF63" s="142"/>
      <c r="BG63" s="142"/>
    </row>
    <row r="64" spans="1:59" ht="15.75" customHeight="1" x14ac:dyDescent="0.25">
      <c r="A64" s="855" t="s">
        <v>603</v>
      </c>
      <c r="B64" s="326"/>
      <c r="C64" s="326"/>
      <c r="D64" s="326"/>
      <c r="E64" s="326"/>
      <c r="F64" s="326"/>
      <c r="G64" s="326"/>
      <c r="H64" s="326"/>
      <c r="I64" s="326"/>
      <c r="J64" s="326"/>
      <c r="K64" s="326"/>
      <c r="L64" s="326"/>
      <c r="M64" s="326"/>
      <c r="N64" s="326"/>
      <c r="O64" s="326"/>
      <c r="P64" s="326"/>
      <c r="Q64" s="326"/>
      <c r="R64" s="326"/>
      <c r="S64" s="326"/>
      <c r="T64" s="326"/>
      <c r="U64" s="327"/>
      <c r="V64" s="854">
        <f>COUNTIFS('refer admin discharge'!O15:O2976,"Female",'refer admin discharge'!AJ15:AJ2976,"YES",'refer admin discharge'!AR15:AR2976,"YES")</f>
        <v>0</v>
      </c>
      <c r="W64" s="326"/>
      <c r="X64" s="326"/>
      <c r="Y64" s="326"/>
      <c r="Z64" s="327"/>
      <c r="AA64" s="9"/>
      <c r="AB64" s="9"/>
      <c r="AC64" s="9"/>
      <c r="AM64" s="663" t="s">
        <v>596</v>
      </c>
      <c r="AN64" s="326"/>
      <c r="AO64" s="326"/>
      <c r="AP64" s="326"/>
      <c r="AQ64" s="326"/>
      <c r="AR64" s="326"/>
      <c r="AS64" s="326"/>
      <c r="AT64" s="327"/>
      <c r="AU64" s="707">
        <f>COUNTIFS('refer admin discharge'!AF15:AF2976,"NO")</f>
        <v>0</v>
      </c>
      <c r="AV64" s="326"/>
      <c r="AW64" s="326"/>
      <c r="AX64" s="326"/>
      <c r="AY64" s="326"/>
      <c r="AZ64" s="326"/>
      <c r="BA64" s="327"/>
      <c r="BB64" s="142"/>
      <c r="BC64" s="142"/>
      <c r="BD64" s="142"/>
      <c r="BE64" s="142"/>
      <c r="BF64" s="142"/>
      <c r="BG64" s="142"/>
    </row>
    <row r="65" spans="1:59" ht="15.75" customHeight="1" x14ac:dyDescent="0.25">
      <c r="A65" s="852" t="s">
        <v>604</v>
      </c>
      <c r="B65" s="326"/>
      <c r="C65" s="326"/>
      <c r="D65" s="326"/>
      <c r="E65" s="326"/>
      <c r="F65" s="326"/>
      <c r="G65" s="326"/>
      <c r="H65" s="326"/>
      <c r="I65" s="326"/>
      <c r="J65" s="326"/>
      <c r="K65" s="326"/>
      <c r="L65" s="326"/>
      <c r="M65" s="326"/>
      <c r="N65" s="326"/>
      <c r="O65" s="326"/>
      <c r="P65" s="326"/>
      <c r="Q65" s="326"/>
      <c r="R65" s="326"/>
      <c r="S65" s="326"/>
      <c r="T65" s="326"/>
      <c r="U65" s="327"/>
      <c r="V65" s="853">
        <f>COUNTIFS('refer admin discharge'!O15:O2976,"Female",'refer admin discharge'!AJ15:AJ2976,"YES",'refer admin discharge'!AT15:AT2976,"YES")</f>
        <v>0</v>
      </c>
      <c r="W65" s="326"/>
      <c r="X65" s="326"/>
      <c r="Y65" s="326"/>
      <c r="Z65" s="327"/>
      <c r="AA65" s="9"/>
      <c r="AB65" s="9"/>
      <c r="AC65" s="9"/>
      <c r="AM65" s="663"/>
      <c r="AN65" s="326"/>
      <c r="AO65" s="326"/>
      <c r="AP65" s="326"/>
      <c r="AQ65" s="326"/>
      <c r="AR65" s="326"/>
      <c r="AS65" s="326"/>
      <c r="AT65" s="327"/>
      <c r="AU65" s="707"/>
      <c r="AV65" s="326"/>
      <c r="AW65" s="326"/>
      <c r="AX65" s="326"/>
      <c r="AY65" s="326"/>
      <c r="AZ65" s="326"/>
      <c r="BA65" s="327"/>
      <c r="BB65" s="142"/>
      <c r="BC65" s="142"/>
      <c r="BD65" s="142"/>
      <c r="BE65" s="142"/>
      <c r="BF65" s="142"/>
      <c r="BG65" s="142"/>
    </row>
    <row r="66" spans="1:59" ht="15.75" customHeight="1" x14ac:dyDescent="0.25">
      <c r="A66" s="855" t="s">
        <v>605</v>
      </c>
      <c r="B66" s="326"/>
      <c r="C66" s="326"/>
      <c r="D66" s="326"/>
      <c r="E66" s="326"/>
      <c r="F66" s="326"/>
      <c r="G66" s="326"/>
      <c r="H66" s="326"/>
      <c r="I66" s="326"/>
      <c r="J66" s="326"/>
      <c r="K66" s="326"/>
      <c r="L66" s="326"/>
      <c r="M66" s="326"/>
      <c r="N66" s="326"/>
      <c r="O66" s="326"/>
      <c r="P66" s="326"/>
      <c r="Q66" s="326"/>
      <c r="R66" s="326"/>
      <c r="S66" s="326"/>
      <c r="T66" s="326"/>
      <c r="U66" s="327"/>
      <c r="V66" s="854">
        <f>COUNTIFS('refer admin discharge'!O15:O2976,"Female",'refer admin discharge'!AJ15:AJ2976,"YES",'refer admin discharge'!BA15:BA2976,"YES")</f>
        <v>0</v>
      </c>
      <c r="W66" s="326"/>
      <c r="X66" s="326"/>
      <c r="Y66" s="326"/>
      <c r="Z66" s="327"/>
      <c r="AA66" s="9"/>
      <c r="AB66" s="9"/>
      <c r="AC66" s="9"/>
      <c r="AM66" s="849" t="s">
        <v>569</v>
      </c>
      <c r="AN66" s="326"/>
      <c r="AO66" s="326"/>
      <c r="AP66" s="326"/>
      <c r="AQ66" s="326"/>
      <c r="AR66" s="326"/>
      <c r="AS66" s="326"/>
      <c r="AT66" s="327"/>
      <c r="AU66" s="849">
        <f>SUM(AU63:AU65)</f>
        <v>0</v>
      </c>
      <c r="AV66" s="326"/>
      <c r="AW66" s="326"/>
      <c r="AX66" s="326"/>
      <c r="AY66" s="326"/>
      <c r="AZ66" s="326"/>
      <c r="BA66" s="327"/>
      <c r="BB66" s="142"/>
      <c r="BC66" s="142"/>
      <c r="BD66" s="142"/>
      <c r="BE66" s="142"/>
      <c r="BF66" s="142"/>
      <c r="BG66" s="142"/>
    </row>
    <row r="67" spans="1:59" ht="15.75" customHeight="1" x14ac:dyDescent="0.25">
      <c r="A67" s="456" t="s">
        <v>606</v>
      </c>
      <c r="B67" s="326"/>
      <c r="C67" s="326"/>
      <c r="D67" s="326"/>
      <c r="E67" s="326"/>
      <c r="F67" s="326"/>
      <c r="G67" s="326"/>
      <c r="H67" s="326"/>
      <c r="I67" s="326"/>
      <c r="J67" s="326"/>
      <c r="K67" s="326"/>
      <c r="L67" s="326"/>
      <c r="M67" s="326"/>
      <c r="N67" s="326"/>
      <c r="O67" s="326"/>
      <c r="P67" s="326"/>
      <c r="Q67" s="326"/>
      <c r="R67" s="326"/>
      <c r="S67" s="326"/>
      <c r="T67" s="326"/>
      <c r="U67" s="327"/>
      <c r="V67" s="729">
        <f>COUNTIFS('refer admin discharge'!AJ15:AJ2976,"NO",'refer admin discharge'!AP15:AP2976,"YES")</f>
        <v>0</v>
      </c>
      <c r="W67" s="326"/>
      <c r="X67" s="326"/>
      <c r="Y67" s="326"/>
      <c r="Z67" s="327"/>
      <c r="AA67" s="9"/>
      <c r="AB67" s="9"/>
      <c r="AC67" s="9"/>
    </row>
    <row r="68" spans="1:59" ht="15.75" customHeight="1" x14ac:dyDescent="0.25">
      <c r="A68" s="407" t="s">
        <v>607</v>
      </c>
      <c r="B68" s="326"/>
      <c r="C68" s="326"/>
      <c r="D68" s="326"/>
      <c r="E68" s="326"/>
      <c r="F68" s="326"/>
      <c r="G68" s="326"/>
      <c r="H68" s="326"/>
      <c r="I68" s="326"/>
      <c r="J68" s="326"/>
      <c r="K68" s="326"/>
      <c r="L68" s="326"/>
      <c r="M68" s="326"/>
      <c r="N68" s="326"/>
      <c r="O68" s="326"/>
      <c r="P68" s="326"/>
      <c r="Q68" s="326"/>
      <c r="R68" s="326"/>
      <c r="S68" s="326"/>
      <c r="T68" s="326"/>
      <c r="U68" s="327"/>
      <c r="V68" s="663">
        <f>COUNTIFS('refer admin discharge'!AJ15:AJ2976,"NO",'refer admin discharge'!AR15:AR2976,"YES")</f>
        <v>0</v>
      </c>
      <c r="W68" s="326"/>
      <c r="X68" s="326"/>
      <c r="Y68" s="326"/>
      <c r="Z68" s="327"/>
      <c r="AA68" s="9"/>
      <c r="AB68" s="9"/>
      <c r="AC68" s="9"/>
    </row>
    <row r="69" spans="1:59" ht="15.75" customHeight="1" x14ac:dyDescent="0.25">
      <c r="A69" s="456" t="s">
        <v>608</v>
      </c>
      <c r="B69" s="326"/>
      <c r="C69" s="326"/>
      <c r="D69" s="326"/>
      <c r="E69" s="326"/>
      <c r="F69" s="326"/>
      <c r="G69" s="326"/>
      <c r="H69" s="326"/>
      <c r="I69" s="326"/>
      <c r="J69" s="326"/>
      <c r="K69" s="326"/>
      <c r="L69" s="326"/>
      <c r="M69" s="326"/>
      <c r="N69" s="326"/>
      <c r="O69" s="326"/>
      <c r="P69" s="326"/>
      <c r="Q69" s="326"/>
      <c r="R69" s="326"/>
      <c r="S69" s="326"/>
      <c r="T69" s="326"/>
      <c r="U69" s="327"/>
      <c r="V69" s="729">
        <f>COUNTIFS('refer admin discharge'!AJ15:AJ2976,"NO",'refer admin discharge'!AT15:AT2976,"YES")</f>
        <v>0</v>
      </c>
      <c r="W69" s="326"/>
      <c r="X69" s="326"/>
      <c r="Y69" s="326"/>
      <c r="Z69" s="327"/>
      <c r="AA69" s="9"/>
      <c r="AB69" s="9"/>
      <c r="AC69" s="9"/>
      <c r="AM69" s="848" t="s">
        <v>609</v>
      </c>
      <c r="AN69" s="347"/>
      <c r="AO69" s="347"/>
      <c r="AP69" s="347"/>
      <c r="AQ69" s="347"/>
      <c r="AR69" s="347"/>
      <c r="AS69" s="347"/>
      <c r="AT69" s="347"/>
      <c r="AU69" s="347"/>
      <c r="AV69" s="347"/>
      <c r="AW69" s="347"/>
      <c r="AX69" s="347"/>
      <c r="AY69" s="347"/>
      <c r="AZ69" s="347"/>
      <c r="BA69" s="347"/>
      <c r="BB69" s="347"/>
      <c r="BC69" s="347"/>
      <c r="BD69" s="347"/>
      <c r="BE69" s="347"/>
      <c r="BF69" s="347"/>
      <c r="BG69" s="354"/>
    </row>
    <row r="70" spans="1:59" ht="15.75" customHeight="1" x14ac:dyDescent="0.25">
      <c r="A70" s="407" t="s">
        <v>610</v>
      </c>
      <c r="B70" s="326"/>
      <c r="C70" s="326"/>
      <c r="D70" s="326"/>
      <c r="E70" s="326"/>
      <c r="F70" s="326"/>
      <c r="G70" s="326"/>
      <c r="H70" s="326"/>
      <c r="I70" s="326"/>
      <c r="J70" s="326"/>
      <c r="K70" s="326"/>
      <c r="L70" s="326"/>
      <c r="M70" s="326"/>
      <c r="N70" s="326"/>
      <c r="O70" s="326"/>
      <c r="P70" s="326"/>
      <c r="Q70" s="326"/>
      <c r="R70" s="326"/>
      <c r="S70" s="326"/>
      <c r="T70" s="326"/>
      <c r="U70" s="327"/>
      <c r="V70" s="663">
        <f>COUNTIFS('refer admin discharge'!AJ15:AJ2976,"NO",'refer admin discharge'!BA15:BA2976,"YES")</f>
        <v>0</v>
      </c>
      <c r="W70" s="326"/>
      <c r="X70" s="326"/>
      <c r="Y70" s="326"/>
      <c r="Z70" s="327"/>
      <c r="AA70" s="9"/>
      <c r="AB70" s="9"/>
      <c r="AC70" s="9"/>
      <c r="AM70" s="140"/>
      <c r="AN70" s="140" t="s">
        <v>611</v>
      </c>
      <c r="AO70" s="140"/>
      <c r="AP70" s="140"/>
      <c r="AQ70" s="140"/>
      <c r="AR70" s="140"/>
      <c r="AS70" s="141"/>
      <c r="AT70" s="141"/>
      <c r="AU70" s="141"/>
      <c r="AV70" s="141"/>
      <c r="AW70" s="141"/>
      <c r="AX70" s="141"/>
      <c r="AY70" s="141"/>
      <c r="AZ70" s="141"/>
      <c r="BA70" s="141"/>
      <c r="BB70" s="141"/>
      <c r="BC70" s="141"/>
      <c r="BD70" s="141"/>
      <c r="BE70" s="141"/>
      <c r="BF70" s="141"/>
      <c r="BG70" s="141"/>
    </row>
    <row r="71" spans="1:59" ht="15.75" customHeight="1" x14ac:dyDescent="0.25">
      <c r="A71" s="851" t="s">
        <v>612</v>
      </c>
      <c r="B71" s="326"/>
      <c r="C71" s="326"/>
      <c r="D71" s="326"/>
      <c r="E71" s="326"/>
      <c r="F71" s="326"/>
      <c r="G71" s="326"/>
      <c r="H71" s="326"/>
      <c r="I71" s="326"/>
      <c r="J71" s="326"/>
      <c r="K71" s="326"/>
      <c r="L71" s="326"/>
      <c r="M71" s="326"/>
      <c r="N71" s="326"/>
      <c r="O71" s="326"/>
      <c r="P71" s="326"/>
      <c r="Q71" s="326"/>
      <c r="R71" s="326"/>
      <c r="S71" s="326"/>
      <c r="T71" s="326"/>
      <c r="U71" s="327"/>
      <c r="V71" s="856">
        <f>SUM(V63:V70)</f>
        <v>0</v>
      </c>
      <c r="W71" s="326"/>
      <c r="X71" s="326"/>
      <c r="Y71" s="326"/>
      <c r="Z71" s="327"/>
      <c r="AA71" s="9"/>
      <c r="AB71" s="9"/>
      <c r="AC71" s="9"/>
      <c r="AM71" s="663" t="s">
        <v>505</v>
      </c>
      <c r="AN71" s="326"/>
      <c r="AO71" s="326"/>
      <c r="AP71" s="326"/>
      <c r="AQ71" s="326"/>
      <c r="AR71" s="326"/>
      <c r="AS71" s="326"/>
      <c r="AT71" s="327"/>
      <c r="AU71" s="707">
        <f>COUNTIFS('refer admin discharge'!AH15:AH2984,"YES")</f>
        <v>0</v>
      </c>
      <c r="AV71" s="326"/>
      <c r="AW71" s="326"/>
      <c r="AX71" s="326"/>
      <c r="AY71" s="326"/>
      <c r="AZ71" s="326"/>
      <c r="BA71" s="327"/>
      <c r="BB71" s="142"/>
      <c r="BC71" s="142"/>
      <c r="BD71" s="142"/>
      <c r="BE71" s="142"/>
      <c r="BF71" s="142"/>
      <c r="BG71" s="142"/>
    </row>
    <row r="72" spans="1:59" ht="15.75" customHeight="1" x14ac:dyDescent="0.25">
      <c r="A72" s="456" t="s">
        <v>613</v>
      </c>
      <c r="B72" s="326"/>
      <c r="C72" s="326"/>
      <c r="D72" s="326"/>
      <c r="E72" s="326"/>
      <c r="F72" s="326"/>
      <c r="G72" s="326"/>
      <c r="H72" s="326"/>
      <c r="I72" s="326"/>
      <c r="J72" s="326"/>
      <c r="K72" s="326"/>
      <c r="L72" s="326"/>
      <c r="M72" s="326"/>
      <c r="N72" s="326"/>
      <c r="O72" s="326"/>
      <c r="P72" s="326"/>
      <c r="Q72" s="326"/>
      <c r="R72" s="326"/>
      <c r="S72" s="326"/>
      <c r="T72" s="326"/>
      <c r="U72" s="327"/>
      <c r="V72" s="729">
        <f>COUNTIFS('refer admin discharge'!AX15:AX2976,"Methadone")</f>
        <v>0</v>
      </c>
      <c r="W72" s="326"/>
      <c r="X72" s="326"/>
      <c r="Y72" s="326"/>
      <c r="Z72" s="327"/>
      <c r="AA72" s="9"/>
      <c r="AB72" s="9"/>
      <c r="AC72" s="9"/>
      <c r="AM72" s="663" t="s">
        <v>596</v>
      </c>
      <c r="AN72" s="326"/>
      <c r="AO72" s="326"/>
      <c r="AP72" s="326"/>
      <c r="AQ72" s="326"/>
      <c r="AR72" s="326"/>
      <c r="AS72" s="326"/>
      <c r="AT72" s="327"/>
      <c r="AU72" s="707">
        <f>COUNTIFS('refer admin discharge'!AH15:AH2984,"NO")</f>
        <v>0</v>
      </c>
      <c r="AV72" s="326"/>
      <c r="AW72" s="326"/>
      <c r="AX72" s="326"/>
      <c r="AY72" s="326"/>
      <c r="AZ72" s="326"/>
      <c r="BA72" s="327"/>
      <c r="BB72" s="142"/>
      <c r="BC72" s="142"/>
      <c r="BD72" s="142"/>
      <c r="BE72" s="142"/>
      <c r="BF72" s="142"/>
      <c r="BG72" s="142"/>
    </row>
    <row r="73" spans="1:59" ht="15.75" customHeight="1" x14ac:dyDescent="0.25">
      <c r="A73" s="407" t="s">
        <v>614</v>
      </c>
      <c r="B73" s="326"/>
      <c r="C73" s="326"/>
      <c r="D73" s="326"/>
      <c r="E73" s="326"/>
      <c r="F73" s="326"/>
      <c r="G73" s="326"/>
      <c r="H73" s="326"/>
      <c r="I73" s="326"/>
      <c r="J73" s="326"/>
      <c r="K73" s="326"/>
      <c r="L73" s="326"/>
      <c r="M73" s="326"/>
      <c r="N73" s="326"/>
      <c r="O73" s="326"/>
      <c r="P73" s="326"/>
      <c r="Q73" s="326"/>
      <c r="R73" s="326"/>
      <c r="S73" s="326"/>
      <c r="T73" s="326"/>
      <c r="U73" s="327"/>
      <c r="V73" s="663">
        <f>COUNTIFS('refer admin discharge'!AX15:AX2976,"Buprenorphine Oral")</f>
        <v>0</v>
      </c>
      <c r="W73" s="326"/>
      <c r="X73" s="326"/>
      <c r="Y73" s="326"/>
      <c r="Z73" s="327"/>
      <c r="AA73" s="9"/>
      <c r="AB73" s="9"/>
      <c r="AC73" s="9"/>
      <c r="AM73" s="663"/>
      <c r="AN73" s="326"/>
      <c r="AO73" s="326"/>
      <c r="AP73" s="326"/>
      <c r="AQ73" s="326"/>
      <c r="AR73" s="326"/>
      <c r="AS73" s="326"/>
      <c r="AT73" s="327"/>
      <c r="AU73" s="707"/>
      <c r="AV73" s="326"/>
      <c r="AW73" s="326"/>
      <c r="AX73" s="326"/>
      <c r="AY73" s="326"/>
      <c r="AZ73" s="326"/>
      <c r="BA73" s="327"/>
      <c r="BB73" s="142"/>
      <c r="BC73" s="142"/>
      <c r="BD73" s="142"/>
      <c r="BE73" s="142"/>
      <c r="BF73" s="142"/>
      <c r="BG73" s="142"/>
    </row>
    <row r="74" spans="1:59" ht="15.75" customHeight="1" x14ac:dyDescent="0.25">
      <c r="A74" s="456" t="s">
        <v>615</v>
      </c>
      <c r="B74" s="326"/>
      <c r="C74" s="326"/>
      <c r="D74" s="326"/>
      <c r="E74" s="326"/>
      <c r="F74" s="326"/>
      <c r="G74" s="326"/>
      <c r="H74" s="326"/>
      <c r="I74" s="326"/>
      <c r="J74" s="326"/>
      <c r="K74" s="326"/>
      <c r="L74" s="326"/>
      <c r="M74" s="326"/>
      <c r="N74" s="326"/>
      <c r="O74" s="326"/>
      <c r="P74" s="326"/>
      <c r="Q74" s="326"/>
      <c r="R74" s="326"/>
      <c r="S74" s="326"/>
      <c r="T74" s="326"/>
      <c r="U74" s="327"/>
      <c r="V74" s="729">
        <f>COUNTIFS('refer admin discharge'!AX15:AX2976,"Buprenorphine - Injectable")</f>
        <v>0</v>
      </c>
      <c r="W74" s="326"/>
      <c r="X74" s="326"/>
      <c r="Y74" s="326"/>
      <c r="Z74" s="327"/>
      <c r="AA74" s="9"/>
      <c r="AB74" s="9"/>
      <c r="AC74" s="9"/>
      <c r="AM74" s="849" t="s">
        <v>569</v>
      </c>
      <c r="AN74" s="326"/>
      <c r="AO74" s="326"/>
      <c r="AP74" s="326"/>
      <c r="AQ74" s="326"/>
      <c r="AR74" s="326"/>
      <c r="AS74" s="326"/>
      <c r="AT74" s="327"/>
      <c r="AU74" s="849">
        <f>SUM(AU71:AU73)</f>
        <v>0</v>
      </c>
      <c r="AV74" s="326"/>
      <c r="AW74" s="326"/>
      <c r="AX74" s="326"/>
      <c r="AY74" s="326"/>
      <c r="AZ74" s="326"/>
      <c r="BA74" s="327"/>
      <c r="BB74" s="142"/>
      <c r="BC74" s="142"/>
      <c r="BD74" s="142"/>
      <c r="BE74" s="142"/>
      <c r="BF74" s="142"/>
      <c r="BG74" s="142"/>
    </row>
    <row r="75" spans="1:59" ht="15.75" customHeight="1" x14ac:dyDescent="0.25">
      <c r="A75" s="407" t="s">
        <v>616</v>
      </c>
      <c r="B75" s="326"/>
      <c r="C75" s="326"/>
      <c r="D75" s="326"/>
      <c r="E75" s="326"/>
      <c r="F75" s="326"/>
      <c r="G75" s="326"/>
      <c r="H75" s="326"/>
      <c r="I75" s="326"/>
      <c r="J75" s="326"/>
      <c r="K75" s="326"/>
      <c r="L75" s="326"/>
      <c r="M75" s="326"/>
      <c r="N75" s="326"/>
      <c r="O75" s="326"/>
      <c r="P75" s="326"/>
      <c r="Q75" s="326"/>
      <c r="R75" s="326"/>
      <c r="S75" s="326"/>
      <c r="T75" s="326"/>
      <c r="U75" s="327"/>
      <c r="V75" s="663">
        <f>COUNTIFS('refer admin discharge'!AX15:AX2976,"Buprenorphine Implant")</f>
        <v>0</v>
      </c>
      <c r="W75" s="326"/>
      <c r="X75" s="326"/>
      <c r="Y75" s="326"/>
      <c r="Z75" s="327"/>
      <c r="AA75" s="9"/>
      <c r="AB75" s="9"/>
      <c r="AC75" s="9"/>
    </row>
    <row r="76" spans="1:59" ht="15.75" customHeight="1" x14ac:dyDescent="0.25">
      <c r="A76" s="456" t="s">
        <v>617</v>
      </c>
      <c r="B76" s="326"/>
      <c r="C76" s="326"/>
      <c r="D76" s="326"/>
      <c r="E76" s="326"/>
      <c r="F76" s="326"/>
      <c r="G76" s="326"/>
      <c r="H76" s="326"/>
      <c r="I76" s="326"/>
      <c r="J76" s="326"/>
      <c r="K76" s="326"/>
      <c r="L76" s="326"/>
      <c r="M76" s="326"/>
      <c r="N76" s="326"/>
      <c r="O76" s="326"/>
      <c r="P76" s="326"/>
      <c r="Q76" s="326"/>
      <c r="R76" s="326"/>
      <c r="S76" s="326"/>
      <c r="T76" s="326"/>
      <c r="U76" s="327"/>
      <c r="V76" s="729">
        <f>COUNTIFS('refer admin discharge'!AX15:AX2976,"Naltrexone - Oral")</f>
        <v>0</v>
      </c>
      <c r="W76" s="326"/>
      <c r="X76" s="326"/>
      <c r="Y76" s="326"/>
      <c r="Z76" s="327"/>
      <c r="AA76" s="9"/>
      <c r="AB76" s="9"/>
      <c r="AC76" s="9"/>
    </row>
    <row r="77" spans="1:59" ht="15.75" customHeight="1" x14ac:dyDescent="0.25">
      <c r="A77" s="143" t="s">
        <v>618</v>
      </c>
      <c r="B77" s="144"/>
      <c r="C77" s="144"/>
      <c r="D77" s="144"/>
      <c r="E77" s="144"/>
      <c r="F77" s="144"/>
      <c r="G77" s="144"/>
      <c r="H77" s="144"/>
      <c r="I77" s="145"/>
      <c r="J77" s="144"/>
      <c r="K77" s="144"/>
      <c r="L77" s="144"/>
      <c r="M77" s="144"/>
      <c r="N77" s="144"/>
      <c r="O77" s="144"/>
      <c r="P77" s="144"/>
      <c r="Q77" s="144"/>
      <c r="R77" s="144"/>
      <c r="S77" s="144"/>
      <c r="T77" s="144"/>
      <c r="U77" s="146"/>
      <c r="V77" s="663">
        <f>COUNTIFS('refer admin discharge'!AX15:AX2976,"Naltrexone - Injectable ")</f>
        <v>0</v>
      </c>
      <c r="W77" s="326"/>
      <c r="X77" s="326"/>
      <c r="Y77" s="326"/>
      <c r="Z77" s="327"/>
      <c r="AA77" s="9"/>
      <c r="AB77" s="9"/>
      <c r="AC77" s="9"/>
    </row>
    <row r="78" spans="1:59" ht="15.75" customHeight="1" x14ac:dyDescent="0.25">
      <c r="A78" s="456" t="s">
        <v>619</v>
      </c>
      <c r="B78" s="326"/>
      <c r="C78" s="326"/>
      <c r="D78" s="326"/>
      <c r="E78" s="326"/>
      <c r="F78" s="326"/>
      <c r="G78" s="326"/>
      <c r="H78" s="326"/>
      <c r="I78" s="326"/>
      <c r="J78" s="326"/>
      <c r="K78" s="326"/>
      <c r="L78" s="326"/>
      <c r="M78" s="326"/>
      <c r="N78" s="326"/>
      <c r="O78" s="326"/>
      <c r="P78" s="326"/>
      <c r="Q78" s="326"/>
      <c r="R78" s="326"/>
      <c r="S78" s="326"/>
      <c r="T78" s="326"/>
      <c r="U78" s="327"/>
      <c r="V78" s="729">
        <f>COUNTIFS('refer admin discharge'!AX15:AX2976,"Not Receiving MAT ")</f>
        <v>0</v>
      </c>
      <c r="W78" s="326"/>
      <c r="X78" s="326"/>
      <c r="Y78" s="326"/>
      <c r="Z78" s="327"/>
      <c r="AA78" s="9"/>
      <c r="AB78" s="9"/>
      <c r="AC78" s="9"/>
    </row>
    <row r="79" spans="1:59" ht="15.75" customHeight="1" x14ac:dyDescent="0.25">
      <c r="A79" s="456" t="s">
        <v>620</v>
      </c>
      <c r="B79" s="326"/>
      <c r="C79" s="326"/>
      <c r="D79" s="326"/>
      <c r="E79" s="326"/>
      <c r="F79" s="326"/>
      <c r="G79" s="326"/>
      <c r="H79" s="326"/>
      <c r="I79" s="326"/>
      <c r="J79" s="326"/>
      <c r="K79" s="326"/>
      <c r="L79" s="326"/>
      <c r="M79" s="326"/>
      <c r="N79" s="326"/>
      <c r="O79" s="326"/>
      <c r="P79" s="326"/>
      <c r="Q79" s="326"/>
      <c r="R79" s="326"/>
      <c r="S79" s="326"/>
      <c r="T79" s="326"/>
      <c r="U79" s="327"/>
      <c r="V79" s="729">
        <f>COUNTIFS('refer admin discharge'!AX15:AX2976,"Changed MAT (Specify in Notes) ")</f>
        <v>0</v>
      </c>
      <c r="W79" s="326"/>
      <c r="X79" s="326"/>
      <c r="Y79" s="326"/>
      <c r="Z79" s="327"/>
      <c r="AA79" s="9"/>
      <c r="AB79" s="9"/>
      <c r="AC79" s="9"/>
    </row>
    <row r="80" spans="1:59" ht="15.75" customHeight="1" x14ac:dyDescent="0.3">
      <c r="A80" s="857" t="s">
        <v>582</v>
      </c>
      <c r="B80" s="344"/>
      <c r="C80" s="344"/>
      <c r="D80" s="344"/>
      <c r="E80" s="344"/>
      <c r="F80" s="344"/>
      <c r="G80" s="344"/>
      <c r="H80" s="344"/>
      <c r="I80" s="344"/>
      <c r="J80" s="344"/>
      <c r="K80" s="344"/>
      <c r="L80" s="344"/>
      <c r="M80" s="344"/>
      <c r="N80" s="344"/>
      <c r="O80" s="344"/>
      <c r="P80" s="344"/>
      <c r="Q80" s="344"/>
      <c r="R80" s="344"/>
      <c r="S80" s="344"/>
      <c r="T80" s="344"/>
      <c r="U80" s="470"/>
      <c r="V80" s="858">
        <f>SUM(V72:V79)</f>
        <v>0</v>
      </c>
      <c r="W80" s="344"/>
      <c r="X80" s="344"/>
      <c r="Y80" s="344"/>
      <c r="Z80" s="470"/>
      <c r="AA80" s="9"/>
      <c r="AB80" s="9"/>
      <c r="AC80" s="9"/>
    </row>
    <row r="81" spans="1:59" ht="15.75" customHeight="1" x14ac:dyDescent="0.25">
      <c r="A81" s="848" t="s">
        <v>621</v>
      </c>
      <c r="B81" s="347"/>
      <c r="C81" s="347"/>
      <c r="D81" s="347"/>
      <c r="E81" s="347"/>
      <c r="F81" s="347"/>
      <c r="G81" s="347"/>
      <c r="H81" s="347"/>
      <c r="I81" s="347"/>
      <c r="J81" s="347"/>
      <c r="K81" s="347"/>
      <c r="L81" s="347"/>
      <c r="M81" s="347"/>
      <c r="N81" s="347"/>
      <c r="O81" s="347"/>
      <c r="P81" s="347"/>
      <c r="Q81" s="347"/>
      <c r="R81" s="347"/>
      <c r="S81" s="347"/>
      <c r="T81" s="347"/>
      <c r="U81" s="347"/>
      <c r="V81" s="347"/>
      <c r="W81" s="347"/>
      <c r="X81" s="347"/>
      <c r="Y81" s="347"/>
      <c r="Z81" s="347"/>
      <c r="AA81" s="347"/>
      <c r="AB81" s="347"/>
      <c r="AC81" s="347"/>
      <c r="AD81" s="347"/>
      <c r="AE81" s="347"/>
      <c r="AF81" s="347"/>
      <c r="AG81" s="347"/>
      <c r="AH81" s="347"/>
      <c r="AI81" s="347"/>
      <c r="AJ81" s="347"/>
      <c r="AK81" s="347"/>
      <c r="AL81" s="347"/>
      <c r="AM81" s="347"/>
      <c r="AN81" s="347"/>
      <c r="AO81" s="347"/>
      <c r="AP81" s="347"/>
      <c r="AQ81" s="347"/>
      <c r="AR81" s="347"/>
      <c r="AS81" s="347"/>
      <c r="AT81" s="347"/>
      <c r="AU81" s="347"/>
      <c r="AV81" s="347"/>
      <c r="AW81" s="347"/>
      <c r="AX81" s="347"/>
      <c r="AY81" s="347"/>
      <c r="AZ81" s="347"/>
      <c r="BA81" s="347"/>
      <c r="BB81" s="347"/>
      <c r="BC81" s="347"/>
      <c r="BD81" s="347"/>
      <c r="BE81" s="347"/>
      <c r="BF81" s="347"/>
      <c r="BG81" s="354"/>
    </row>
    <row r="82" spans="1:59" ht="15.75" customHeight="1" x14ac:dyDescent="0.25">
      <c r="A82" s="859" t="s">
        <v>622</v>
      </c>
      <c r="B82" s="326"/>
      <c r="C82" s="326"/>
      <c r="D82" s="326"/>
      <c r="E82" s="326"/>
      <c r="F82" s="326"/>
      <c r="G82" s="326"/>
      <c r="H82" s="326"/>
      <c r="I82" s="326"/>
      <c r="J82" s="326"/>
      <c r="K82" s="326"/>
      <c r="L82" s="326"/>
      <c r="M82" s="326"/>
      <c r="N82" s="326"/>
      <c r="O82" s="327"/>
      <c r="P82" s="94"/>
      <c r="Q82" s="94"/>
      <c r="R82" s="94"/>
      <c r="S82" s="94"/>
      <c r="T82" s="94"/>
      <c r="U82" s="147"/>
      <c r="V82" s="147"/>
      <c r="W82" s="147"/>
      <c r="X82" s="94"/>
      <c r="Y82" s="94"/>
      <c r="Z82" s="94"/>
      <c r="AA82" s="94"/>
      <c r="AB82" s="94"/>
      <c r="AC82" s="94"/>
      <c r="AD82" s="94"/>
      <c r="AE82" s="94"/>
      <c r="AF82" s="94"/>
      <c r="AG82" s="94"/>
      <c r="AH82" s="94"/>
      <c r="AI82" s="94"/>
      <c r="AJ82" s="94"/>
      <c r="AK82" s="94"/>
      <c r="AL82" s="94"/>
      <c r="AM82" s="94"/>
      <c r="AN82" s="94"/>
      <c r="AO82" s="94"/>
      <c r="AP82" s="94"/>
      <c r="AQ82" s="94"/>
      <c r="AR82" s="94"/>
      <c r="AS82" s="94"/>
      <c r="AT82" s="94"/>
      <c r="AU82" s="94"/>
      <c r="AV82" s="94"/>
      <c r="AW82" s="94"/>
      <c r="AX82" s="94"/>
      <c r="AY82" s="94"/>
      <c r="AZ82" s="94"/>
      <c r="BA82" s="94"/>
      <c r="BB82" s="94"/>
      <c r="BC82" s="94"/>
      <c r="BD82" s="94"/>
      <c r="BE82" s="94"/>
      <c r="BF82" s="94"/>
      <c r="BG82" s="94"/>
    </row>
    <row r="83" spans="1:59" ht="15.75" customHeight="1" x14ac:dyDescent="0.25">
      <c r="A83" s="861" t="s">
        <v>623</v>
      </c>
      <c r="B83" s="326"/>
      <c r="C83" s="326"/>
      <c r="D83" s="326"/>
      <c r="E83" s="326"/>
      <c r="F83" s="326"/>
      <c r="G83" s="326"/>
      <c r="H83" s="326"/>
      <c r="I83" s="326"/>
      <c r="J83" s="327"/>
      <c r="K83" s="860">
        <f>COUNTIFS('refer admin discharge'!BF15:BF2976,"Referred to another PRSS ")</f>
        <v>0</v>
      </c>
      <c r="L83" s="326"/>
      <c r="M83" s="326"/>
      <c r="N83" s="326"/>
      <c r="O83" s="327"/>
      <c r="P83" s="94"/>
      <c r="Q83" s="94"/>
      <c r="R83" s="94"/>
      <c r="T83" s="147"/>
      <c r="AH83" s="94"/>
      <c r="AI83" s="94"/>
      <c r="AJ83" s="94"/>
      <c r="AK83" s="94"/>
      <c r="AL83" s="94"/>
      <c r="AM83" s="94"/>
      <c r="AN83" s="94"/>
      <c r="AO83" s="94"/>
      <c r="AP83" s="94"/>
      <c r="AQ83" s="94"/>
      <c r="AR83" s="94"/>
      <c r="AS83" s="94"/>
      <c r="AT83" s="94"/>
      <c r="AU83" s="94"/>
      <c r="AV83" s="94"/>
      <c r="AW83" s="94"/>
      <c r="AX83" s="94"/>
      <c r="AY83" s="94"/>
      <c r="AZ83" s="94"/>
      <c r="BA83" s="94"/>
      <c r="BB83" s="94"/>
      <c r="BC83" s="94"/>
      <c r="BD83" s="94"/>
      <c r="BE83" s="94"/>
      <c r="BF83" s="94"/>
      <c r="BG83" s="94"/>
    </row>
    <row r="84" spans="1:59" ht="15.75" customHeight="1" x14ac:dyDescent="0.25">
      <c r="A84" s="862" t="s">
        <v>624</v>
      </c>
      <c r="B84" s="326"/>
      <c r="C84" s="326"/>
      <c r="D84" s="326"/>
      <c r="E84" s="326"/>
      <c r="F84" s="326"/>
      <c r="G84" s="326"/>
      <c r="H84" s="326"/>
      <c r="I84" s="326"/>
      <c r="J84" s="327"/>
      <c r="K84" s="863">
        <f>COUNTIFS('refer admin discharge'!BF15:BF2976,"mutually agreed cessation of PRSS")</f>
        <v>0</v>
      </c>
      <c r="L84" s="326"/>
      <c r="M84" s="326"/>
      <c r="N84" s="326"/>
      <c r="O84" s="327"/>
      <c r="P84" s="94"/>
      <c r="Q84" s="94"/>
      <c r="R84" s="94"/>
      <c r="T84" s="147"/>
      <c r="AH84" s="94"/>
      <c r="AI84" s="94"/>
      <c r="AJ84" s="94"/>
      <c r="AK84" s="94"/>
      <c r="AL84" s="94"/>
      <c r="AM84" s="94"/>
      <c r="AN84" s="94"/>
      <c r="AO84" s="94"/>
      <c r="AP84" s="94"/>
      <c r="AQ84" s="94"/>
      <c r="AR84" s="94"/>
      <c r="AS84" s="94"/>
      <c r="AT84" s="94"/>
      <c r="AU84" s="94"/>
      <c r="AV84" s="94"/>
      <c r="AW84" s="94"/>
      <c r="AX84" s="94"/>
      <c r="AY84" s="94"/>
      <c r="AZ84" s="94"/>
      <c r="BA84" s="94"/>
      <c r="BB84" s="94"/>
      <c r="BC84" s="94"/>
      <c r="BD84" s="94"/>
      <c r="BE84" s="94"/>
      <c r="BF84" s="94"/>
      <c r="BG84" s="94"/>
    </row>
    <row r="85" spans="1:59" ht="15.75" customHeight="1" x14ac:dyDescent="0.25">
      <c r="A85" s="861" t="s">
        <v>625</v>
      </c>
      <c r="B85" s="326"/>
      <c r="C85" s="326"/>
      <c r="D85" s="326"/>
      <c r="E85" s="326"/>
      <c r="F85" s="326"/>
      <c r="G85" s="326"/>
      <c r="H85" s="326"/>
      <c r="I85" s="326"/>
      <c r="J85" s="327"/>
      <c r="K85" s="860">
        <f>COUNTIFS('refer admin discharge'!BF15:BF2976,"Withdrew from / DECLINED ")</f>
        <v>0</v>
      </c>
      <c r="L85" s="326"/>
      <c r="M85" s="326"/>
      <c r="N85" s="326"/>
      <c r="O85" s="327"/>
      <c r="P85" s="94"/>
      <c r="Q85" s="94"/>
      <c r="R85" s="94"/>
      <c r="T85" s="147"/>
      <c r="AH85" s="94"/>
      <c r="AI85" s="94"/>
      <c r="AJ85" s="94"/>
      <c r="AK85" s="94"/>
      <c r="AL85" s="94"/>
      <c r="AM85" s="94"/>
      <c r="AN85" s="94"/>
      <c r="AO85" s="94"/>
      <c r="AP85" s="94"/>
      <c r="AQ85" s="94"/>
      <c r="AR85" s="94"/>
      <c r="AS85" s="94"/>
      <c r="AT85" s="94"/>
      <c r="AU85" s="94"/>
      <c r="AV85" s="94"/>
      <c r="AW85" s="94"/>
      <c r="AX85" s="94"/>
      <c r="AY85" s="94"/>
      <c r="AZ85" s="94"/>
      <c r="BA85" s="94"/>
      <c r="BB85" s="94"/>
      <c r="BC85" s="94"/>
      <c r="BD85" s="94"/>
      <c r="BE85" s="94"/>
      <c r="BF85" s="94"/>
      <c r="BG85" s="94"/>
    </row>
    <row r="86" spans="1:59" ht="15.75" customHeight="1" x14ac:dyDescent="0.25">
      <c r="A86" s="862" t="s">
        <v>626</v>
      </c>
      <c r="B86" s="326"/>
      <c r="C86" s="326"/>
      <c r="D86" s="326"/>
      <c r="E86" s="326"/>
      <c r="F86" s="326"/>
      <c r="G86" s="326"/>
      <c r="H86" s="326"/>
      <c r="I86" s="326"/>
      <c r="J86" s="327"/>
      <c r="K86" s="860">
        <f>COUNTIFS('refer admin discharge'!BF15:BF2976,"Other (Specify in Notes) ")</f>
        <v>0</v>
      </c>
      <c r="L86" s="326"/>
      <c r="M86" s="326"/>
      <c r="N86" s="326"/>
      <c r="O86" s="327"/>
      <c r="P86" s="94"/>
      <c r="Q86" s="94"/>
      <c r="R86" s="94"/>
      <c r="AH86" s="94"/>
      <c r="AI86" s="94"/>
      <c r="AJ86" s="94"/>
      <c r="AK86" s="94"/>
      <c r="AL86" s="94"/>
      <c r="AM86" s="94"/>
      <c r="AN86" s="94"/>
      <c r="AO86" s="94"/>
      <c r="AP86" s="94"/>
      <c r="AQ86" s="94"/>
      <c r="AR86" s="94"/>
      <c r="AS86" s="94"/>
      <c r="AT86" s="94"/>
      <c r="AU86" s="94"/>
      <c r="AV86" s="94"/>
      <c r="AW86" s="94"/>
      <c r="AX86" s="94"/>
      <c r="AY86" s="94"/>
      <c r="AZ86" s="94"/>
      <c r="BA86" s="94"/>
      <c r="BB86" s="94"/>
      <c r="BC86" s="94"/>
      <c r="BD86" s="94"/>
      <c r="BE86" s="94"/>
      <c r="BF86" s="94"/>
      <c r="BG86" s="94"/>
    </row>
    <row r="87" spans="1:59" ht="15.75" customHeight="1" x14ac:dyDescent="0.3">
      <c r="A87" s="864" t="s">
        <v>582</v>
      </c>
      <c r="B87" s="326"/>
      <c r="C87" s="326"/>
      <c r="D87" s="326"/>
      <c r="E87" s="326"/>
      <c r="F87" s="326"/>
      <c r="G87" s="326"/>
      <c r="H87" s="326"/>
      <c r="I87" s="326"/>
      <c r="J87" s="327"/>
      <c r="K87" s="865">
        <f>SUM(K83:K86)</f>
        <v>0</v>
      </c>
      <c r="L87" s="326"/>
      <c r="M87" s="326"/>
      <c r="N87" s="326"/>
      <c r="O87" s="327"/>
      <c r="P87" s="94"/>
      <c r="Q87" s="94"/>
      <c r="R87" s="94"/>
      <c r="S87" s="94"/>
      <c r="T87" s="94"/>
      <c r="U87" s="94"/>
      <c r="V87" s="94"/>
      <c r="W87" s="94"/>
      <c r="X87" s="94"/>
      <c r="Y87" s="94"/>
      <c r="AA87" s="94"/>
      <c r="AB87" s="94"/>
      <c r="AC87" s="94"/>
      <c r="AD87" s="94"/>
      <c r="AE87" s="94"/>
      <c r="AF87" s="94"/>
      <c r="AG87" s="94"/>
      <c r="AH87" s="94"/>
      <c r="AI87" s="94"/>
      <c r="AJ87" s="94"/>
      <c r="AK87" s="94"/>
      <c r="AL87" s="94"/>
      <c r="AM87" s="94"/>
      <c r="AN87" s="94"/>
      <c r="AO87" s="94"/>
      <c r="AP87" s="94"/>
      <c r="AQ87" s="94"/>
      <c r="AR87" s="94"/>
      <c r="AS87" s="94"/>
      <c r="AT87" s="94"/>
      <c r="AU87" s="94"/>
      <c r="AV87" s="94"/>
      <c r="AW87" s="94"/>
      <c r="AX87" s="94"/>
      <c r="AY87" s="94"/>
      <c r="AZ87" s="94"/>
      <c r="BA87" s="94"/>
      <c r="BB87" s="94"/>
      <c r="BC87" s="94"/>
      <c r="BD87" s="94"/>
      <c r="BE87" s="94"/>
      <c r="BF87" s="94"/>
      <c r="BG87" s="94"/>
    </row>
    <row r="88" spans="1:59" ht="15.75" customHeight="1" x14ac:dyDescent="0.25">
      <c r="I88" s="97"/>
      <c r="P88" s="94"/>
      <c r="Q88" s="94"/>
      <c r="R88" s="94"/>
      <c r="S88" s="94"/>
      <c r="T88" s="94"/>
      <c r="U88" s="94"/>
      <c r="V88" s="94"/>
      <c r="W88" s="94"/>
      <c r="X88" s="94"/>
      <c r="Y88" s="94"/>
      <c r="AA88" s="94"/>
      <c r="AB88" s="94"/>
      <c r="AC88" s="94"/>
      <c r="AD88" s="94"/>
      <c r="AE88" s="94"/>
      <c r="AF88" s="94"/>
      <c r="AG88" s="94"/>
      <c r="AH88" s="94"/>
      <c r="AI88" s="94"/>
      <c r="AJ88" s="94"/>
      <c r="AK88" s="94"/>
      <c r="AL88" s="94"/>
      <c r="AM88" s="94"/>
      <c r="AN88" s="94"/>
      <c r="AO88" s="94"/>
      <c r="AP88" s="94"/>
      <c r="AQ88" s="94"/>
      <c r="AR88" s="94"/>
      <c r="AS88" s="94"/>
      <c r="AT88" s="94"/>
      <c r="AU88" s="94"/>
      <c r="AV88" s="94"/>
      <c r="AW88" s="94"/>
      <c r="AX88" s="94"/>
      <c r="AY88" s="94"/>
      <c r="AZ88" s="94"/>
      <c r="BA88" s="94"/>
      <c r="BB88" s="94"/>
      <c r="BC88" s="94"/>
      <c r="BD88" s="94"/>
      <c r="BE88" s="94"/>
      <c r="BF88" s="94"/>
      <c r="BG88" s="94"/>
    </row>
    <row r="89" spans="1:59" ht="15.75" customHeight="1" x14ac:dyDescent="0.25">
      <c r="A89" s="866" t="s">
        <v>627</v>
      </c>
      <c r="B89" s="347"/>
      <c r="C89" s="347"/>
      <c r="D89" s="347"/>
      <c r="E89" s="347"/>
      <c r="F89" s="347"/>
      <c r="G89" s="347"/>
      <c r="H89" s="347"/>
      <c r="I89" s="347"/>
      <c r="J89" s="347"/>
      <c r="K89" s="347"/>
      <c r="L89" s="347"/>
      <c r="M89" s="347"/>
      <c r="N89" s="347"/>
      <c r="O89" s="347"/>
      <c r="P89" s="347"/>
      <c r="Q89" s="347"/>
      <c r="R89" s="347"/>
      <c r="S89" s="347"/>
      <c r="T89" s="347"/>
      <c r="U89" s="347"/>
      <c r="V89" s="347"/>
      <c r="W89" s="347"/>
      <c r="X89" s="347"/>
      <c r="Y89" s="347"/>
      <c r="Z89" s="347"/>
      <c r="AA89" s="347"/>
      <c r="AB89" s="347"/>
      <c r="AC89" s="347"/>
      <c r="AD89" s="347"/>
      <c r="AE89" s="347"/>
      <c r="AF89" s="347"/>
      <c r="AG89" s="347"/>
      <c r="AH89" s="347"/>
      <c r="AI89" s="347"/>
      <c r="AJ89" s="347"/>
      <c r="AK89" s="347"/>
      <c r="AL89" s="347"/>
      <c r="AM89" s="347"/>
      <c r="AN89" s="347"/>
      <c r="AO89" s="347"/>
      <c r="AP89" s="347"/>
      <c r="AQ89" s="347"/>
      <c r="AR89" s="347"/>
      <c r="AS89" s="347"/>
      <c r="AT89" s="347"/>
      <c r="AU89" s="347"/>
      <c r="AV89" s="347"/>
      <c r="AW89" s="347"/>
      <c r="AX89" s="347"/>
      <c r="AY89" s="347"/>
      <c r="AZ89" s="347"/>
      <c r="BA89" s="347"/>
      <c r="BB89" s="347"/>
      <c r="BC89" s="347"/>
      <c r="BD89" s="347"/>
      <c r="BE89" s="347"/>
      <c r="BF89" s="347"/>
      <c r="BG89" s="354"/>
    </row>
    <row r="90" spans="1:59" ht="45" customHeight="1" x14ac:dyDescent="0.25">
      <c r="A90" s="867" t="s">
        <v>628</v>
      </c>
      <c r="B90" s="868"/>
      <c r="C90" s="868"/>
      <c r="D90" s="868"/>
      <c r="E90" s="868"/>
      <c r="F90" s="868"/>
      <c r="G90" s="868"/>
      <c r="H90" s="868"/>
      <c r="I90" s="868"/>
      <c r="J90" s="868"/>
      <c r="K90" s="868"/>
      <c r="L90" s="869"/>
      <c r="M90" s="870" t="s">
        <v>629</v>
      </c>
      <c r="N90" s="871"/>
      <c r="O90" s="871"/>
      <c r="P90" s="872"/>
      <c r="Q90" s="870" t="s">
        <v>630</v>
      </c>
      <c r="R90" s="871"/>
      <c r="S90" s="871"/>
      <c r="T90" s="872"/>
      <c r="U90" s="148"/>
      <c r="V90" s="148"/>
      <c r="W90" s="148"/>
      <c r="X90" s="148"/>
      <c r="Y90" s="148"/>
      <c r="Z90" s="148"/>
      <c r="AA90" s="148"/>
      <c r="AB90" s="148"/>
      <c r="AC90" s="148"/>
      <c r="AD90" s="148"/>
      <c r="AE90" s="148"/>
      <c r="AF90" s="148"/>
    </row>
    <row r="91" spans="1:59" ht="30" customHeight="1" x14ac:dyDescent="0.25">
      <c r="A91" s="827" t="s">
        <v>631</v>
      </c>
      <c r="B91" s="326"/>
      <c r="C91" s="326"/>
      <c r="D91" s="326"/>
      <c r="E91" s="326"/>
      <c r="F91" s="326"/>
      <c r="G91" s="326"/>
      <c r="H91" s="326"/>
      <c r="I91" s="326"/>
      <c r="J91" s="326"/>
      <c r="K91" s="326"/>
      <c r="L91" s="408"/>
      <c r="M91" s="822">
        <f>SUM('NOMS PRE ADM POST DISC'!H14:H5000)</f>
        <v>0</v>
      </c>
      <c r="N91" s="326"/>
      <c r="O91" s="326"/>
      <c r="P91" s="327"/>
      <c r="Q91" s="823">
        <f>SUM('NOMS PRE ADM POST DISC'!X14:X5000)</f>
        <v>0</v>
      </c>
      <c r="R91" s="326"/>
      <c r="S91" s="326"/>
      <c r="T91" s="327"/>
      <c r="U91" s="149"/>
      <c r="V91" s="149"/>
      <c r="W91" s="149"/>
      <c r="X91" s="149"/>
      <c r="Y91" s="149"/>
      <c r="Z91" s="149"/>
      <c r="AA91" s="149"/>
      <c r="AB91" s="149"/>
      <c r="AC91" s="149"/>
      <c r="AD91" s="149"/>
      <c r="AE91" s="149"/>
      <c r="AF91" s="149"/>
      <c r="AH91" s="150"/>
      <c r="AI91" s="150"/>
      <c r="AJ91" s="150"/>
      <c r="AK91" s="150"/>
      <c r="AL91" s="82"/>
      <c r="AM91" s="82"/>
      <c r="AN91" s="101"/>
      <c r="AO91" s="101"/>
      <c r="AP91" s="82"/>
      <c r="AQ91" s="82"/>
      <c r="AR91" s="82"/>
      <c r="AS91" s="82"/>
      <c r="AT91" s="82"/>
      <c r="AU91" s="82"/>
      <c r="AV91" s="82"/>
      <c r="AW91" s="82"/>
      <c r="AX91" s="82"/>
      <c r="AY91" s="82"/>
    </row>
    <row r="92" spans="1:59" ht="30" customHeight="1" x14ac:dyDescent="0.25">
      <c r="A92" s="824" t="s">
        <v>632</v>
      </c>
      <c r="B92" s="326"/>
      <c r="C92" s="326"/>
      <c r="D92" s="326"/>
      <c r="E92" s="326"/>
      <c r="F92" s="326"/>
      <c r="G92" s="326"/>
      <c r="H92" s="326"/>
      <c r="I92" s="326"/>
      <c r="J92" s="326"/>
      <c r="K92" s="326"/>
      <c r="L92" s="408"/>
      <c r="M92" s="825">
        <f>SUM('NOMS PRE ADM POST DISC'!J14:J5000)</f>
        <v>0</v>
      </c>
      <c r="N92" s="326"/>
      <c r="O92" s="326"/>
      <c r="P92" s="327"/>
      <c r="Q92" s="826">
        <f>SUM('NOMS PRE ADM POST DISC'!Z14:Z5000)</f>
        <v>0</v>
      </c>
      <c r="R92" s="326"/>
      <c r="S92" s="326"/>
      <c r="T92" s="327"/>
      <c r="U92" s="151"/>
      <c r="V92" s="151"/>
      <c r="W92" s="151"/>
      <c r="X92" s="151"/>
      <c r="Y92" s="151"/>
      <c r="Z92" s="151"/>
      <c r="AA92" s="151"/>
      <c r="AB92" s="151"/>
      <c r="AC92" s="151"/>
      <c r="AD92" s="151"/>
      <c r="AE92" s="151"/>
      <c r="AF92" s="151"/>
    </row>
    <row r="93" spans="1:59" ht="30" customHeight="1" x14ac:dyDescent="0.25">
      <c r="A93" s="827" t="s">
        <v>633</v>
      </c>
      <c r="B93" s="326"/>
      <c r="C93" s="326"/>
      <c r="D93" s="326"/>
      <c r="E93" s="326"/>
      <c r="F93" s="326"/>
      <c r="G93" s="326"/>
      <c r="H93" s="326"/>
      <c r="I93" s="326"/>
      <c r="J93" s="326"/>
      <c r="K93" s="326"/>
      <c r="L93" s="408"/>
      <c r="M93" s="822">
        <f>SUM('NOMS PRE ADM POST DISC'!L14:L5000)</f>
        <v>0</v>
      </c>
      <c r="N93" s="326"/>
      <c r="O93" s="326"/>
      <c r="P93" s="327"/>
      <c r="Q93" s="823">
        <f>SUM('NOMS PRE ADM POST DISC'!AB14:AB5000)</f>
        <v>0</v>
      </c>
      <c r="R93" s="326"/>
      <c r="S93" s="326"/>
      <c r="T93" s="327"/>
      <c r="U93" s="149"/>
      <c r="V93" s="149"/>
      <c r="W93" s="149"/>
      <c r="X93" s="149"/>
      <c r="Y93" s="149"/>
      <c r="Z93" s="149"/>
      <c r="AA93" s="149"/>
      <c r="AB93" s="149"/>
      <c r="AC93" s="149"/>
      <c r="AD93" s="149"/>
      <c r="AE93" s="149"/>
      <c r="AF93" s="149"/>
      <c r="AH93" s="150"/>
      <c r="AI93" s="150"/>
      <c r="AJ93" s="150"/>
      <c r="AK93" s="150"/>
      <c r="AL93" s="150"/>
      <c r="AM93" s="150"/>
      <c r="AN93" s="150"/>
      <c r="AO93" s="150"/>
      <c r="AP93" s="150"/>
    </row>
    <row r="94" spans="1:59" ht="30" customHeight="1" x14ac:dyDescent="0.25">
      <c r="A94" s="828" t="s">
        <v>634</v>
      </c>
      <c r="B94" s="326"/>
      <c r="C94" s="326"/>
      <c r="D94" s="326"/>
      <c r="E94" s="326"/>
      <c r="F94" s="326"/>
      <c r="G94" s="326"/>
      <c r="H94" s="326"/>
      <c r="I94" s="326"/>
      <c r="J94" s="326"/>
      <c r="K94" s="326"/>
      <c r="L94" s="408"/>
      <c r="M94" s="829">
        <f>SUM('NOMS PRE ADM POST DISC'!N14:N5000)</f>
        <v>0</v>
      </c>
      <c r="N94" s="326"/>
      <c r="O94" s="326"/>
      <c r="P94" s="327"/>
      <c r="Q94" s="830">
        <f>SUM('NOMS PRE ADM POST DISC'!AD14:AD5000)</f>
        <v>0</v>
      </c>
      <c r="R94" s="326"/>
      <c r="S94" s="326"/>
      <c r="T94" s="327"/>
      <c r="U94" s="149"/>
      <c r="V94" s="149"/>
      <c r="W94" s="149"/>
      <c r="X94" s="149"/>
      <c r="Y94" s="149"/>
      <c r="Z94" s="149"/>
      <c r="AA94" s="149"/>
      <c r="AB94" s="149"/>
      <c r="AC94" s="149"/>
      <c r="AD94" s="149"/>
      <c r="AE94" s="149"/>
      <c r="AF94" s="149"/>
    </row>
    <row r="95" spans="1:59" ht="30" customHeight="1" x14ac:dyDescent="0.25">
      <c r="A95" s="831" t="s">
        <v>635</v>
      </c>
      <c r="B95" s="326"/>
      <c r="C95" s="326"/>
      <c r="D95" s="326"/>
      <c r="E95" s="326"/>
      <c r="F95" s="326"/>
      <c r="G95" s="326"/>
      <c r="H95" s="326"/>
      <c r="I95" s="326"/>
      <c r="J95" s="326"/>
      <c r="K95" s="326"/>
      <c r="L95" s="408"/>
      <c r="M95" s="832">
        <f>SUM('NOMS PRE ADM POST DISC'!P14:P5000)</f>
        <v>0</v>
      </c>
      <c r="N95" s="326"/>
      <c r="O95" s="326"/>
      <c r="P95" s="327"/>
      <c r="Q95" s="833">
        <f>SUM('NOMS PRE ADM POST DISC'!AF14:AF5000)</f>
        <v>0</v>
      </c>
      <c r="R95" s="326"/>
      <c r="S95" s="326"/>
      <c r="T95" s="327"/>
      <c r="U95" s="95"/>
      <c r="V95" s="95"/>
      <c r="W95" s="95"/>
      <c r="X95" s="95"/>
      <c r="Y95" s="95"/>
      <c r="Z95" s="95"/>
      <c r="AA95" s="95"/>
      <c r="AB95" s="95"/>
      <c r="AC95" s="95"/>
      <c r="AD95" s="95"/>
      <c r="AE95" s="95"/>
      <c r="AF95" s="95"/>
    </row>
    <row r="96" spans="1:59" ht="30" customHeight="1" x14ac:dyDescent="0.25">
      <c r="A96" s="828" t="s">
        <v>636</v>
      </c>
      <c r="B96" s="326"/>
      <c r="C96" s="326"/>
      <c r="D96" s="326"/>
      <c r="E96" s="326"/>
      <c r="F96" s="326"/>
      <c r="G96" s="326"/>
      <c r="H96" s="326"/>
      <c r="I96" s="326"/>
      <c r="J96" s="326"/>
      <c r="K96" s="326"/>
      <c r="L96" s="408"/>
      <c r="M96" s="829">
        <f>SUM('NOMS PRE ADM POST DISC'!R14:R5000)</f>
        <v>0</v>
      </c>
      <c r="N96" s="326"/>
      <c r="O96" s="326"/>
      <c r="P96" s="327"/>
      <c r="Q96" s="830">
        <f>SUM('NOMS PRE ADM POST DISC'!AH14:AH5000)</f>
        <v>0</v>
      </c>
      <c r="R96" s="326"/>
      <c r="S96" s="326"/>
      <c r="T96" s="327"/>
      <c r="U96" s="149"/>
      <c r="V96" s="149"/>
      <c r="W96" s="149"/>
      <c r="X96" s="149"/>
      <c r="Y96" s="149"/>
      <c r="Z96" s="149"/>
      <c r="AA96" s="149"/>
      <c r="AB96" s="149"/>
      <c r="AC96" s="149"/>
      <c r="AD96" s="149"/>
      <c r="AE96" s="149"/>
      <c r="AF96" s="149"/>
    </row>
    <row r="97" spans="1:100" ht="30" customHeight="1" x14ac:dyDescent="0.25">
      <c r="A97" s="831" t="s">
        <v>637</v>
      </c>
      <c r="B97" s="326"/>
      <c r="C97" s="326"/>
      <c r="D97" s="326"/>
      <c r="E97" s="326"/>
      <c r="F97" s="326"/>
      <c r="G97" s="326"/>
      <c r="H97" s="326"/>
      <c r="I97" s="326"/>
      <c r="J97" s="326"/>
      <c r="K97" s="326"/>
      <c r="L97" s="408"/>
      <c r="M97" s="832">
        <f>SUM('NOMS PRE ADM POST DISC'!L14:L5000)</f>
        <v>0</v>
      </c>
      <c r="N97" s="326"/>
      <c r="O97" s="326"/>
      <c r="P97" s="327"/>
      <c r="Q97" s="833">
        <f>SUM('NOMS PRE ADM POST DISC'!AJ14:AJ5000)</f>
        <v>0</v>
      </c>
      <c r="R97" s="326"/>
      <c r="S97" s="326"/>
      <c r="T97" s="327"/>
      <c r="U97" s="95"/>
      <c r="V97" s="95"/>
      <c r="W97" s="95"/>
      <c r="X97" s="95"/>
      <c r="Y97" s="95"/>
      <c r="Z97" s="95"/>
      <c r="AA97" s="95"/>
      <c r="AB97" s="95"/>
      <c r="AC97" s="95"/>
      <c r="AD97" s="95"/>
      <c r="AE97" s="95"/>
      <c r="AF97" s="95"/>
    </row>
    <row r="98" spans="1:100" ht="15.75" customHeight="1" x14ac:dyDescent="0.25">
      <c r="I98" s="97"/>
    </row>
    <row r="99" spans="1:100" ht="15.75" customHeight="1" x14ac:dyDescent="0.25">
      <c r="I99" s="97"/>
    </row>
    <row r="100" spans="1:100" ht="30" customHeight="1" x14ac:dyDescent="0.25">
      <c r="A100" s="834" t="s">
        <v>638</v>
      </c>
      <c r="B100" s="326"/>
      <c r="C100" s="326"/>
      <c r="D100" s="326"/>
      <c r="E100" s="326"/>
      <c r="F100" s="326"/>
      <c r="G100" s="326"/>
      <c r="H100" s="327"/>
      <c r="I100" s="834" t="s">
        <v>451</v>
      </c>
      <c r="J100" s="326"/>
      <c r="K100" s="326"/>
      <c r="L100" s="326"/>
      <c r="M100" s="326"/>
      <c r="N100" s="327"/>
      <c r="O100" s="834" t="s">
        <v>452</v>
      </c>
      <c r="P100" s="326"/>
      <c r="Q100" s="326"/>
      <c r="R100" s="326"/>
      <c r="S100" s="326"/>
      <c r="T100" s="327"/>
      <c r="U100" s="834" t="s">
        <v>453</v>
      </c>
      <c r="V100" s="326"/>
      <c r="W100" s="326"/>
      <c r="X100" s="326"/>
      <c r="Y100" s="326"/>
      <c r="Z100" s="327"/>
      <c r="AA100" s="834" t="s">
        <v>454</v>
      </c>
      <c r="AB100" s="326"/>
      <c r="AC100" s="326"/>
      <c r="AD100" s="326"/>
      <c r="AE100" s="326"/>
      <c r="AF100" s="327"/>
      <c r="AG100" s="834" t="s">
        <v>455</v>
      </c>
      <c r="AH100" s="326"/>
      <c r="AI100" s="326"/>
      <c r="AJ100" s="326"/>
      <c r="AK100" s="326"/>
      <c r="AL100" s="327"/>
      <c r="AM100" s="834" t="s">
        <v>456</v>
      </c>
      <c r="AN100" s="326"/>
      <c r="AO100" s="326"/>
      <c r="AP100" s="326"/>
      <c r="AQ100" s="326"/>
      <c r="AR100" s="327"/>
      <c r="AS100" s="834" t="s">
        <v>457</v>
      </c>
      <c r="AT100" s="326"/>
      <c r="AU100" s="326"/>
      <c r="AV100" s="326"/>
      <c r="AW100" s="326"/>
      <c r="AX100" s="327"/>
      <c r="AY100" s="834" t="s">
        <v>458</v>
      </c>
      <c r="AZ100" s="326"/>
      <c r="BA100" s="326"/>
      <c r="BB100" s="326"/>
      <c r="BC100" s="326"/>
      <c r="BD100" s="327"/>
      <c r="BE100" s="834" t="s">
        <v>459</v>
      </c>
      <c r="BF100" s="326"/>
      <c r="BG100" s="326"/>
      <c r="BH100" s="326"/>
      <c r="BI100" s="326"/>
      <c r="BJ100" s="327"/>
      <c r="BK100" s="834" t="s">
        <v>460</v>
      </c>
      <c r="BL100" s="326"/>
      <c r="BM100" s="326"/>
      <c r="BN100" s="326"/>
      <c r="BO100" s="326"/>
      <c r="BP100" s="327"/>
      <c r="BQ100" s="834" t="s">
        <v>461</v>
      </c>
      <c r="BR100" s="326"/>
      <c r="BS100" s="326"/>
      <c r="BT100" s="326"/>
      <c r="BU100" s="326"/>
      <c r="BV100" s="327"/>
      <c r="BW100" s="834" t="s">
        <v>462</v>
      </c>
      <c r="BX100" s="326"/>
      <c r="BY100" s="326"/>
      <c r="BZ100" s="326"/>
      <c r="CA100" s="326"/>
      <c r="CB100" s="327"/>
    </row>
    <row r="101" spans="1:100" ht="15.75" customHeight="1" x14ac:dyDescent="0.35">
      <c r="A101" s="456"/>
      <c r="B101" s="326"/>
      <c r="C101" s="326"/>
      <c r="D101" s="326"/>
      <c r="E101" s="326"/>
      <c r="F101" s="326"/>
      <c r="G101" s="326"/>
      <c r="H101" s="327"/>
      <c r="I101" s="837">
        <f>'GRANTEE SET UP INFO &amp; DATE '!C11</f>
        <v>0</v>
      </c>
      <c r="J101" s="326"/>
      <c r="K101" s="326"/>
      <c r="L101" s="326"/>
      <c r="M101" s="326"/>
      <c r="N101" s="327"/>
      <c r="O101" s="837">
        <f>'GRANTEE SET UP INFO &amp; DATE '!C12</f>
        <v>0</v>
      </c>
      <c r="P101" s="326"/>
      <c r="Q101" s="326"/>
      <c r="R101" s="326"/>
      <c r="S101" s="326"/>
      <c r="T101" s="327"/>
      <c r="U101" s="837">
        <f>'GRANTEE SET UP INFO &amp; DATE '!C13</f>
        <v>0</v>
      </c>
      <c r="V101" s="326"/>
      <c r="W101" s="326"/>
      <c r="X101" s="326"/>
      <c r="Y101" s="326"/>
      <c r="Z101" s="327"/>
      <c r="AA101" s="837">
        <f>'GRANTEE SET UP INFO &amp; DATE '!C14</f>
        <v>0</v>
      </c>
      <c r="AB101" s="326"/>
      <c r="AC101" s="326"/>
      <c r="AD101" s="326"/>
      <c r="AE101" s="326"/>
      <c r="AF101" s="327"/>
      <c r="AG101" s="837">
        <f>'GRANTEE SET UP INFO &amp; DATE '!C15</f>
        <v>0</v>
      </c>
      <c r="AH101" s="326"/>
      <c r="AI101" s="326"/>
      <c r="AJ101" s="326"/>
      <c r="AK101" s="326"/>
      <c r="AL101" s="327"/>
      <c r="AM101" s="837">
        <f>'GRANTEE SET UP INFO &amp; DATE '!C16</f>
        <v>0</v>
      </c>
      <c r="AN101" s="326"/>
      <c r="AO101" s="326"/>
      <c r="AP101" s="326"/>
      <c r="AQ101" s="326"/>
      <c r="AR101" s="327"/>
      <c r="AS101" s="837">
        <f>'GRANTEE SET UP INFO &amp; DATE '!C17</f>
        <v>0</v>
      </c>
      <c r="AT101" s="326"/>
      <c r="AU101" s="326"/>
      <c r="AV101" s="326"/>
      <c r="AW101" s="326"/>
      <c r="AX101" s="327"/>
      <c r="AY101" s="837">
        <f>'GRANTEE SET UP INFO &amp; DATE '!C18</f>
        <v>0</v>
      </c>
      <c r="AZ101" s="326"/>
      <c r="BA101" s="326"/>
      <c r="BB101" s="326"/>
      <c r="BC101" s="326"/>
      <c r="BD101" s="327"/>
      <c r="BE101" s="837">
        <f>'GRANTEE SET UP INFO &amp; DATE '!W11</f>
        <v>0</v>
      </c>
      <c r="BF101" s="326"/>
      <c r="BG101" s="326"/>
      <c r="BH101" s="326"/>
      <c r="BI101" s="326"/>
      <c r="BJ101" s="327"/>
      <c r="BK101" s="837">
        <f>'GRANTEE SET UP INFO &amp; DATE '!W12</f>
        <v>0</v>
      </c>
      <c r="BL101" s="326"/>
      <c r="BM101" s="326"/>
      <c r="BN101" s="326"/>
      <c r="BO101" s="326"/>
      <c r="BP101" s="327"/>
      <c r="BQ101" s="835">
        <f>'GRANTEE SET UP INFO &amp; DATE '!W13</f>
        <v>0</v>
      </c>
      <c r="BR101" s="326"/>
      <c r="BS101" s="326"/>
      <c r="BT101" s="326"/>
      <c r="BU101" s="326"/>
      <c r="BV101" s="327"/>
      <c r="BW101" s="835">
        <f>'GRANTEE SET UP INFO &amp; DATE '!W14</f>
        <v>0</v>
      </c>
      <c r="BX101" s="326"/>
      <c r="BY101" s="326"/>
      <c r="BZ101" s="326"/>
      <c r="CA101" s="326"/>
      <c r="CB101" s="327"/>
    </row>
    <row r="102" spans="1:100" ht="30" customHeight="1" x14ac:dyDescent="0.25">
      <c r="A102" s="873" t="s">
        <v>639</v>
      </c>
      <c r="B102" s="326"/>
      <c r="C102" s="326"/>
      <c r="D102" s="326"/>
      <c r="E102" s="326"/>
      <c r="F102" s="326"/>
      <c r="G102" s="326"/>
      <c r="H102" s="327"/>
      <c r="I102" s="707">
        <f>COUNTIFS('refer admin discharge'!L15:L2995,"b")</f>
        <v>0</v>
      </c>
      <c r="J102" s="326"/>
      <c r="K102" s="326"/>
      <c r="L102" s="326"/>
      <c r="M102" s="326"/>
      <c r="N102" s="327"/>
      <c r="O102" s="707">
        <f>COUNTIFS('refer admin discharge'!L15:L2995,"b")</f>
        <v>0</v>
      </c>
      <c r="P102" s="326"/>
      <c r="Q102" s="326"/>
      <c r="R102" s="326"/>
      <c r="S102" s="326"/>
      <c r="T102" s="327"/>
      <c r="U102" s="707">
        <f>COUNTIFS('refer admin discharge'!L15:L2995,"a")</f>
        <v>0</v>
      </c>
      <c r="V102" s="326"/>
      <c r="W102" s="326"/>
      <c r="X102" s="326"/>
      <c r="Y102" s="326"/>
      <c r="Z102" s="327"/>
      <c r="AA102" s="707">
        <f>COUNTIFS('refer admin discharge'!L15:L2995,"a")</f>
        <v>0</v>
      </c>
      <c r="AB102" s="326"/>
      <c r="AC102" s="326"/>
      <c r="AD102" s="326"/>
      <c r="AE102" s="326"/>
      <c r="AF102" s="327"/>
      <c r="AG102" s="707">
        <f>COUNTIFS('refer admin discharge'!L15:L2995,"a")</f>
        <v>0</v>
      </c>
      <c r="AH102" s="326"/>
      <c r="AI102" s="326"/>
      <c r="AJ102" s="326"/>
      <c r="AK102" s="326"/>
      <c r="AL102" s="327"/>
      <c r="AM102" s="707">
        <f>COUNTIFS('refer admin discharge'!L15:L2995,"a")</f>
        <v>0</v>
      </c>
      <c r="AN102" s="326"/>
      <c r="AO102" s="326"/>
      <c r="AP102" s="326"/>
      <c r="AQ102" s="326"/>
      <c r="AR102" s="327"/>
      <c r="AS102" s="707">
        <f>COUNTIFS('refer admin discharge'!L15:L2995,"a")</f>
        <v>0</v>
      </c>
      <c r="AT102" s="326"/>
      <c r="AU102" s="326"/>
      <c r="AV102" s="326"/>
      <c r="AW102" s="326"/>
      <c r="AX102" s="327"/>
      <c r="AY102" s="707">
        <f>COUNTIFS('refer admin discharge'!L15:L2995,"a")</f>
        <v>0</v>
      </c>
      <c r="AZ102" s="326"/>
      <c r="BA102" s="326"/>
      <c r="BB102" s="326"/>
      <c r="BC102" s="326"/>
      <c r="BD102" s="327"/>
      <c r="BE102" s="707">
        <f>COUNTIFS('refer admin discharge'!L15:L2995,"a")</f>
        <v>0</v>
      </c>
      <c r="BF102" s="326"/>
      <c r="BG102" s="326"/>
      <c r="BH102" s="326"/>
      <c r="BI102" s="326"/>
      <c r="BJ102" s="327"/>
      <c r="BK102" s="707">
        <f>COUNTIFS('refer admin discharge'!L15:L2995,"a")</f>
        <v>0</v>
      </c>
      <c r="BL102" s="326"/>
      <c r="BM102" s="326"/>
      <c r="BN102" s="326"/>
      <c r="BO102" s="326"/>
      <c r="BP102" s="327"/>
      <c r="BQ102" s="707">
        <f>COUNTIFS('refer admin discharge'!L15:L2995,"a")</f>
        <v>0</v>
      </c>
      <c r="BR102" s="326"/>
      <c r="BS102" s="326"/>
      <c r="BT102" s="326"/>
      <c r="BU102" s="326"/>
      <c r="BV102" s="327"/>
      <c r="BW102" s="707">
        <f>COUNTIFS('refer admin discharge'!L15:L2995,"a")</f>
        <v>0</v>
      </c>
      <c r="BX102" s="326"/>
      <c r="BY102" s="326"/>
      <c r="BZ102" s="326"/>
      <c r="CA102" s="326"/>
      <c r="CB102" s="327"/>
    </row>
    <row r="103" spans="1:100" ht="15.75" customHeight="1" x14ac:dyDescent="0.35">
      <c r="A103" s="838" t="s">
        <v>640</v>
      </c>
      <c r="B103" s="326"/>
      <c r="C103" s="326"/>
      <c r="D103" s="326"/>
      <c r="E103" s="326"/>
      <c r="F103" s="326"/>
      <c r="G103" s="326"/>
      <c r="H103" s="327"/>
      <c r="I103" s="835">
        <f>SUM(I101:I102)</f>
        <v>0</v>
      </c>
      <c r="J103" s="326"/>
      <c r="K103" s="326"/>
      <c r="L103" s="326"/>
      <c r="M103" s="326"/>
      <c r="N103" s="327"/>
      <c r="O103" s="836">
        <f>SUM(O101:O102)</f>
        <v>0</v>
      </c>
      <c r="P103" s="326"/>
      <c r="Q103" s="326"/>
      <c r="R103" s="326"/>
      <c r="S103" s="326"/>
      <c r="T103" s="327"/>
      <c r="U103" s="836">
        <f>SUM(U101:U102)</f>
        <v>0</v>
      </c>
      <c r="V103" s="326"/>
      <c r="W103" s="326"/>
      <c r="X103" s="326"/>
      <c r="Y103" s="326"/>
      <c r="Z103" s="327"/>
      <c r="AA103" s="837">
        <f>SUM(AA101:AA102)</f>
        <v>0</v>
      </c>
      <c r="AB103" s="326"/>
      <c r="AC103" s="326"/>
      <c r="AD103" s="326"/>
      <c r="AE103" s="326"/>
      <c r="AF103" s="327"/>
      <c r="AG103" s="837">
        <f>SUM(AG101:AG102)</f>
        <v>0</v>
      </c>
      <c r="AH103" s="326"/>
      <c r="AI103" s="326"/>
      <c r="AJ103" s="326"/>
      <c r="AK103" s="326"/>
      <c r="AL103" s="327"/>
      <c r="AM103" s="837">
        <f>SUM(AM101:AM102)</f>
        <v>0</v>
      </c>
      <c r="AN103" s="326"/>
      <c r="AO103" s="326"/>
      <c r="AP103" s="326"/>
      <c r="AQ103" s="326"/>
      <c r="AR103" s="327"/>
      <c r="AS103" s="837">
        <f>SUM(AS101:AS102)</f>
        <v>0</v>
      </c>
      <c r="AT103" s="326"/>
      <c r="AU103" s="326"/>
      <c r="AV103" s="326"/>
      <c r="AW103" s="326"/>
      <c r="AX103" s="327"/>
      <c r="AY103" s="837">
        <f>SUM(AY101:AY102)</f>
        <v>0</v>
      </c>
      <c r="AZ103" s="326"/>
      <c r="BA103" s="326"/>
      <c r="BB103" s="326"/>
      <c r="BC103" s="326"/>
      <c r="BD103" s="327"/>
      <c r="BE103" s="837">
        <f>SUM(BE101:BE102)</f>
        <v>0</v>
      </c>
      <c r="BF103" s="326"/>
      <c r="BG103" s="326"/>
      <c r="BH103" s="326"/>
      <c r="BI103" s="326"/>
      <c r="BJ103" s="327"/>
      <c r="BK103" s="835">
        <f>SUM(BK101:BK102)</f>
        <v>0</v>
      </c>
      <c r="BL103" s="326"/>
      <c r="BM103" s="326"/>
      <c r="BN103" s="326"/>
      <c r="BO103" s="326"/>
      <c r="BP103" s="327"/>
      <c r="BQ103" s="837">
        <f>SUM(BQ101:BQ102)</f>
        <v>0</v>
      </c>
      <c r="BR103" s="326"/>
      <c r="BS103" s="326"/>
      <c r="BT103" s="326"/>
      <c r="BU103" s="326"/>
      <c r="BV103" s="327"/>
      <c r="BW103" s="837">
        <f>SUM(BW101:BW102)</f>
        <v>0</v>
      </c>
      <c r="BX103" s="326"/>
      <c r="BY103" s="326"/>
      <c r="BZ103" s="326"/>
      <c r="CA103" s="326"/>
      <c r="CB103" s="327"/>
    </row>
    <row r="104" spans="1:100" ht="15.75" customHeight="1" x14ac:dyDescent="0.25">
      <c r="I104" s="97"/>
      <c r="L104" s="152" t="s">
        <v>641</v>
      </c>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row>
    <row r="105" spans="1:100" ht="15.75" customHeight="1" x14ac:dyDescent="0.25">
      <c r="I105" s="97"/>
    </row>
    <row r="106" spans="1:100" ht="15.75" customHeight="1" x14ac:dyDescent="0.25">
      <c r="I106" s="97"/>
    </row>
    <row r="107" spans="1:100" ht="15.75" customHeight="1" x14ac:dyDescent="0.25">
      <c r="I107" s="97"/>
    </row>
    <row r="108" spans="1:100" ht="15.75" customHeight="1" x14ac:dyDescent="0.3">
      <c r="A108" s="728" t="s">
        <v>642</v>
      </c>
      <c r="B108" s="347"/>
      <c r="C108" s="347"/>
      <c r="D108" s="347"/>
      <c r="E108" s="347"/>
      <c r="F108" s="347"/>
      <c r="G108" s="347"/>
      <c r="H108" s="347"/>
      <c r="I108" s="347"/>
      <c r="J108" s="347"/>
      <c r="K108" s="347"/>
      <c r="L108" s="347"/>
      <c r="M108" s="347"/>
      <c r="N108" s="347"/>
      <c r="O108" s="347"/>
      <c r="P108" s="347"/>
      <c r="Q108" s="347"/>
      <c r="R108" s="347"/>
      <c r="S108" s="347"/>
      <c r="T108" s="347"/>
      <c r="U108" s="347"/>
      <c r="V108" s="347"/>
      <c r="W108" s="347"/>
      <c r="X108" s="347"/>
      <c r="Y108" s="347"/>
      <c r="Z108" s="347"/>
      <c r="AA108" s="347"/>
      <c r="AB108" s="347"/>
      <c r="AC108" s="347"/>
      <c r="AD108" s="347"/>
      <c r="AE108" s="347"/>
      <c r="AF108" s="347"/>
      <c r="AG108" s="347"/>
      <c r="AH108" s="347"/>
      <c r="AI108" s="347"/>
      <c r="AJ108" s="347"/>
      <c r="AK108" s="347"/>
      <c r="AL108" s="347"/>
      <c r="AM108" s="347"/>
      <c r="AN108" s="347"/>
      <c r="AO108" s="347"/>
      <c r="AP108" s="347"/>
      <c r="AQ108" s="347"/>
      <c r="AR108" s="347"/>
      <c r="AS108" s="347"/>
      <c r="AT108" s="347"/>
      <c r="AU108" s="347"/>
      <c r="AV108" s="347"/>
      <c r="AW108" s="347"/>
      <c r="AX108" s="347"/>
      <c r="AY108" s="347"/>
      <c r="AZ108" s="347"/>
      <c r="BA108" s="347"/>
      <c r="BB108" s="347"/>
      <c r="BC108" s="347"/>
      <c r="BD108" s="347"/>
      <c r="BE108" s="347"/>
      <c r="BF108" s="347"/>
      <c r="BG108" s="347"/>
      <c r="BH108" s="347"/>
      <c r="BI108" s="347"/>
      <c r="BJ108" s="347"/>
      <c r="BK108" s="347"/>
      <c r="BL108" s="347"/>
      <c r="BM108" s="347"/>
      <c r="BN108" s="347"/>
      <c r="BO108" s="347"/>
      <c r="BP108" s="347"/>
      <c r="BQ108" s="347"/>
      <c r="BR108" s="347"/>
      <c r="BS108" s="347"/>
      <c r="BT108" s="347"/>
      <c r="BU108" s="347"/>
      <c r="BV108" s="347"/>
      <c r="BW108" s="347"/>
      <c r="BX108" s="347"/>
      <c r="BY108" s="347"/>
      <c r="BZ108" s="347"/>
      <c r="CA108" s="347"/>
      <c r="CB108" s="347"/>
      <c r="CC108" s="347"/>
      <c r="CD108" s="347"/>
      <c r="CE108" s="347"/>
      <c r="CF108" s="347"/>
      <c r="CG108" s="347"/>
      <c r="CH108" s="347"/>
      <c r="CI108" s="347"/>
      <c r="CJ108" s="347"/>
      <c r="CK108" s="347"/>
      <c r="CL108" s="347"/>
      <c r="CM108" s="347"/>
      <c r="CN108" s="347"/>
      <c r="CO108" s="347"/>
      <c r="CP108" s="347"/>
      <c r="CQ108" s="347"/>
      <c r="CR108" s="347"/>
      <c r="CS108" s="347"/>
      <c r="CT108" s="347"/>
      <c r="CU108" s="347"/>
      <c r="CV108" s="354"/>
    </row>
    <row r="109" spans="1:100" ht="15.75" customHeight="1" x14ac:dyDescent="0.25">
      <c r="I109" s="97"/>
    </row>
    <row r="110" spans="1:100" ht="15.75" customHeight="1" x14ac:dyDescent="0.25">
      <c r="A110" s="456" t="s">
        <v>643</v>
      </c>
      <c r="B110" s="326"/>
      <c r="C110" s="326"/>
      <c r="D110" s="326"/>
      <c r="E110" s="326"/>
      <c r="F110" s="326"/>
      <c r="G110" s="326"/>
      <c r="H110" s="326"/>
      <c r="I110" s="326"/>
      <c r="J110" s="326"/>
      <c r="K110" s="326"/>
      <c r="L110" s="326"/>
      <c r="M110" s="326"/>
      <c r="N110" s="326"/>
      <c r="O110" s="326"/>
      <c r="P110" s="326"/>
      <c r="Q110" s="326"/>
      <c r="R110" s="326"/>
      <c r="S110" s="326"/>
      <c r="T110" s="326"/>
      <c r="U110" s="326"/>
      <c r="V110" s="327"/>
      <c r="W110" s="729" t="s">
        <v>644</v>
      </c>
      <c r="X110" s="326"/>
      <c r="Y110" s="326"/>
      <c r="Z110" s="326"/>
      <c r="AA110" s="326"/>
      <c r="AB110" s="326"/>
      <c r="AC110" s="326"/>
      <c r="AD110" s="326"/>
      <c r="AE110" s="327"/>
      <c r="AF110" s="729" t="s">
        <v>645</v>
      </c>
      <c r="AG110" s="326"/>
      <c r="AH110" s="326"/>
      <c r="AI110" s="326"/>
      <c r="AJ110" s="326"/>
      <c r="AK110" s="326"/>
      <c r="AL110" s="326"/>
      <c r="AM110" s="326"/>
      <c r="AN110" s="326"/>
      <c r="AO110" s="326"/>
      <c r="AP110" s="326"/>
      <c r="AQ110" s="326"/>
      <c r="AR110" s="327"/>
      <c r="AS110" s="729" t="s">
        <v>646</v>
      </c>
      <c r="AT110" s="326"/>
      <c r="AU110" s="326"/>
      <c r="AV110" s="326"/>
      <c r="AW110" s="326"/>
      <c r="AX110" s="326"/>
      <c r="AY110" s="326"/>
      <c r="AZ110" s="326"/>
      <c r="BA110" s="326"/>
      <c r="BB110" s="326"/>
      <c r="BC110" s="326"/>
      <c r="BD110" s="326"/>
      <c r="BE110" s="326"/>
      <c r="BF110" s="326"/>
      <c r="BG110" s="327"/>
    </row>
    <row r="111" spans="1:100" ht="15.75" customHeight="1" x14ac:dyDescent="0.25">
      <c r="A111" s="381" t="s">
        <v>647</v>
      </c>
      <c r="B111" s="326"/>
      <c r="C111" s="326"/>
      <c r="D111" s="326"/>
      <c r="E111" s="326"/>
      <c r="F111" s="326"/>
      <c r="G111" s="326"/>
      <c r="H111" s="326"/>
      <c r="I111" s="326"/>
      <c r="J111" s="326"/>
      <c r="K111" s="326"/>
      <c r="L111" s="326"/>
      <c r="M111" s="326"/>
      <c r="N111" s="326"/>
      <c r="O111" s="326"/>
      <c r="P111" s="326"/>
      <c r="Q111" s="326"/>
      <c r="R111" s="326"/>
      <c r="S111" s="326"/>
      <c r="T111" s="326"/>
      <c r="U111" s="326"/>
      <c r="V111" s="327"/>
      <c r="W111" s="707">
        <f>COUNTIFS(TRAINING!D15:D3000,"Mandatory")</f>
        <v>0</v>
      </c>
      <c r="X111" s="326"/>
      <c r="Y111" s="326"/>
      <c r="Z111" s="326"/>
      <c r="AA111" s="326"/>
      <c r="AB111" s="326"/>
      <c r="AC111" s="326"/>
      <c r="AD111" s="326"/>
      <c r="AE111" s="327"/>
      <c r="AF111" s="707">
        <f>COUNTIFS(TRAINING!D15:D3000,"Mandatory", TRAINING!AK15:AK3000,"YES")</f>
        <v>0</v>
      </c>
      <c r="AG111" s="326"/>
      <c r="AH111" s="326"/>
      <c r="AI111" s="326"/>
      <c r="AJ111" s="326"/>
      <c r="AK111" s="326"/>
      <c r="AL111" s="326"/>
      <c r="AM111" s="326"/>
      <c r="AN111" s="326"/>
      <c r="AO111" s="326"/>
      <c r="AP111" s="326"/>
      <c r="AQ111" s="326"/>
      <c r="AR111" s="327"/>
      <c r="AS111" s="707">
        <f>COUNTIFS(TRAINING!D15:D3000,"Mandatory", TRAINING!AH15:AH3000,"YES")</f>
        <v>0</v>
      </c>
      <c r="AT111" s="326"/>
      <c r="AU111" s="326"/>
      <c r="AV111" s="326"/>
      <c r="AW111" s="326"/>
      <c r="AX111" s="326"/>
      <c r="AY111" s="326"/>
      <c r="AZ111" s="326"/>
      <c r="BA111" s="326"/>
      <c r="BB111" s="326"/>
      <c r="BC111" s="326"/>
      <c r="BD111" s="326"/>
      <c r="BE111" s="326"/>
      <c r="BF111" s="326"/>
      <c r="BG111" s="327"/>
    </row>
    <row r="112" spans="1:100" ht="15.75" customHeight="1" x14ac:dyDescent="0.25">
      <c r="A112" s="381" t="s">
        <v>648</v>
      </c>
      <c r="B112" s="326"/>
      <c r="C112" s="326"/>
      <c r="D112" s="326"/>
      <c r="E112" s="326"/>
      <c r="F112" s="326"/>
      <c r="G112" s="326"/>
      <c r="H112" s="326"/>
      <c r="I112" s="326"/>
      <c r="J112" s="326"/>
      <c r="K112" s="326"/>
      <c r="L112" s="326"/>
      <c r="M112" s="326"/>
      <c r="N112" s="326"/>
      <c r="O112" s="326"/>
      <c r="P112" s="326"/>
      <c r="Q112" s="326"/>
      <c r="R112" s="326"/>
      <c r="S112" s="326"/>
      <c r="T112" s="326"/>
      <c r="U112" s="326"/>
      <c r="V112" s="327"/>
      <c r="W112" s="707">
        <f>COUNTIFS(TRAINING!D15:D3000,"Evidence Based Training (EBT)")</f>
        <v>0</v>
      </c>
      <c r="X112" s="326"/>
      <c r="Y112" s="326"/>
      <c r="Z112" s="326"/>
      <c r="AA112" s="326"/>
      <c r="AB112" s="326"/>
      <c r="AC112" s="326"/>
      <c r="AD112" s="326"/>
      <c r="AE112" s="327"/>
      <c r="AF112" s="707">
        <f>COUNTIFS(TRAINING!D15:D3000,"Evidence Based Training (EBT)",TRAINING!AK15:AK3000,"YES")</f>
        <v>0</v>
      </c>
      <c r="AG112" s="326"/>
      <c r="AH112" s="326"/>
      <c r="AI112" s="326"/>
      <c r="AJ112" s="326"/>
      <c r="AK112" s="326"/>
      <c r="AL112" s="326"/>
      <c r="AM112" s="326"/>
      <c r="AN112" s="326"/>
      <c r="AO112" s="326"/>
      <c r="AP112" s="326"/>
      <c r="AQ112" s="326"/>
      <c r="AR112" s="327"/>
      <c r="AS112" s="707">
        <f>COUNTIFS(TRAINING!D15:D3000,"Evidence Based Training (EBT)", TRAINING!AH15:AH3000,"YES")</f>
        <v>0</v>
      </c>
      <c r="AT112" s="326"/>
      <c r="AU112" s="326"/>
      <c r="AV112" s="326"/>
      <c r="AW112" s="326"/>
      <c r="AX112" s="326"/>
      <c r="AY112" s="326"/>
      <c r="AZ112" s="326"/>
      <c r="BA112" s="326"/>
      <c r="BB112" s="326"/>
      <c r="BC112" s="326"/>
      <c r="BD112" s="326"/>
      <c r="BE112" s="326"/>
      <c r="BF112" s="326"/>
      <c r="BG112" s="327"/>
    </row>
    <row r="113" spans="1:100" ht="15.75" customHeight="1" x14ac:dyDescent="0.25">
      <c r="A113" s="381" t="s">
        <v>649</v>
      </c>
      <c r="B113" s="326"/>
      <c r="C113" s="326"/>
      <c r="D113" s="326"/>
      <c r="E113" s="326"/>
      <c r="F113" s="326"/>
      <c r="G113" s="326"/>
      <c r="H113" s="326"/>
      <c r="I113" s="326"/>
      <c r="J113" s="326"/>
      <c r="K113" s="326"/>
      <c r="L113" s="326"/>
      <c r="M113" s="326"/>
      <c r="N113" s="326"/>
      <c r="O113" s="326"/>
      <c r="P113" s="326"/>
      <c r="Q113" s="326"/>
      <c r="R113" s="326"/>
      <c r="S113" s="326"/>
      <c r="T113" s="326"/>
      <c r="U113" s="326"/>
      <c r="V113" s="327"/>
      <c r="W113" s="707">
        <f>COUNTIFS(TRAINING!D15:D3000,"Both Mandatory and EBT")</f>
        <v>0</v>
      </c>
      <c r="X113" s="326"/>
      <c r="Y113" s="326"/>
      <c r="Z113" s="326"/>
      <c r="AA113" s="326"/>
      <c r="AB113" s="326"/>
      <c r="AC113" s="326"/>
      <c r="AD113" s="326"/>
      <c r="AE113" s="327"/>
      <c r="AF113" s="707">
        <f>COUNTIFS(TRAINING!D15:D3000,"Both Mandatory and EBT",TRAINING!AK15:AK3000,"YES")</f>
        <v>0</v>
      </c>
      <c r="AG113" s="326"/>
      <c r="AH113" s="326"/>
      <c r="AI113" s="326"/>
      <c r="AJ113" s="326"/>
      <c r="AK113" s="326"/>
      <c r="AL113" s="326"/>
      <c r="AM113" s="326"/>
      <c r="AN113" s="326"/>
      <c r="AO113" s="326"/>
      <c r="AP113" s="326"/>
      <c r="AQ113" s="326"/>
      <c r="AR113" s="327"/>
      <c r="AS113" s="707">
        <f>COUNTIFS(TRAINING!D15:D3000,"Both Mandatory and EBT", TRAINING!AH15:AH3000,"YES")</f>
        <v>0</v>
      </c>
      <c r="AT113" s="326"/>
      <c r="AU113" s="326"/>
      <c r="AV113" s="326"/>
      <c r="AW113" s="326"/>
      <c r="AX113" s="326"/>
      <c r="AY113" s="326"/>
      <c r="AZ113" s="326"/>
      <c r="BA113" s="326"/>
      <c r="BB113" s="326"/>
      <c r="BC113" s="326"/>
      <c r="BD113" s="326"/>
      <c r="BE113" s="326"/>
      <c r="BF113" s="326"/>
      <c r="BG113" s="327"/>
    </row>
    <row r="114" spans="1:100" ht="15.75" customHeight="1" x14ac:dyDescent="0.25">
      <c r="A114" s="381" t="s">
        <v>650</v>
      </c>
      <c r="B114" s="326"/>
      <c r="C114" s="326"/>
      <c r="D114" s="326"/>
      <c r="E114" s="326"/>
      <c r="F114" s="326"/>
      <c r="G114" s="326"/>
      <c r="H114" s="326"/>
      <c r="I114" s="326"/>
      <c r="J114" s="326"/>
      <c r="K114" s="326"/>
      <c r="L114" s="326"/>
      <c r="M114" s="326"/>
      <c r="N114" s="326"/>
      <c r="O114" s="326"/>
      <c r="P114" s="326"/>
      <c r="Q114" s="326"/>
      <c r="R114" s="326"/>
      <c r="S114" s="326"/>
      <c r="T114" s="326"/>
      <c r="U114" s="326"/>
      <c r="V114" s="327"/>
      <c r="W114" s="707">
        <f>COUNTIFS(TRAINING!D15:D3000,"Other (Specify in Notes)")</f>
        <v>0</v>
      </c>
      <c r="X114" s="326"/>
      <c r="Y114" s="326"/>
      <c r="Z114" s="326"/>
      <c r="AA114" s="326"/>
      <c r="AB114" s="326"/>
      <c r="AC114" s="326"/>
      <c r="AD114" s="326"/>
      <c r="AE114" s="327"/>
      <c r="AF114" s="707">
        <f>COUNTIFS(TRAINING!D15:D3000,"Other (Specify in Notes)",TRAINING!AK15:AK3000,"YES")</f>
        <v>0</v>
      </c>
      <c r="AG114" s="326"/>
      <c r="AH114" s="326"/>
      <c r="AI114" s="326"/>
      <c r="AJ114" s="326"/>
      <c r="AK114" s="326"/>
      <c r="AL114" s="326"/>
      <c r="AM114" s="326"/>
      <c r="AN114" s="326"/>
      <c r="AO114" s="326"/>
      <c r="AP114" s="326"/>
      <c r="AQ114" s="326"/>
      <c r="AR114" s="327"/>
      <c r="AS114" s="707">
        <f>COUNTIFS(TRAINING!D15:D3000,"Other (Specify in Notes)", TRAINING!AH15:AH3000,"YES")</f>
        <v>0</v>
      </c>
      <c r="AT114" s="326"/>
      <c r="AU114" s="326"/>
      <c r="AV114" s="326"/>
      <c r="AW114" s="326"/>
      <c r="AX114" s="326"/>
      <c r="AY114" s="326"/>
      <c r="AZ114" s="326"/>
      <c r="BA114" s="326"/>
      <c r="BB114" s="326"/>
      <c r="BC114" s="326"/>
      <c r="BD114" s="326"/>
      <c r="BE114" s="326"/>
      <c r="BF114" s="326"/>
      <c r="BG114" s="327"/>
    </row>
    <row r="115" spans="1:100" ht="15.75" customHeight="1" x14ac:dyDescent="0.25">
      <c r="A115" s="720" t="s">
        <v>569</v>
      </c>
      <c r="B115" s="326"/>
      <c r="C115" s="326"/>
      <c r="D115" s="326"/>
      <c r="E115" s="326"/>
      <c r="F115" s="326"/>
      <c r="G115" s="326"/>
      <c r="H115" s="326"/>
      <c r="I115" s="326"/>
      <c r="J115" s="326"/>
      <c r="K115" s="326"/>
      <c r="L115" s="326"/>
      <c r="M115" s="326"/>
      <c r="N115" s="326"/>
      <c r="O115" s="326"/>
      <c r="P115" s="326"/>
      <c r="Q115" s="326"/>
      <c r="R115" s="326"/>
      <c r="S115" s="326"/>
      <c r="T115" s="326"/>
      <c r="U115" s="326"/>
      <c r="V115" s="327"/>
      <c r="W115" s="729">
        <f>SUM(W111:W114)</f>
        <v>0</v>
      </c>
      <c r="X115" s="326"/>
      <c r="Y115" s="326"/>
      <c r="Z115" s="326"/>
      <c r="AA115" s="326"/>
      <c r="AB115" s="326"/>
      <c r="AC115" s="326"/>
      <c r="AD115" s="326"/>
      <c r="AE115" s="327"/>
      <c r="AF115" s="729">
        <f>SUM(AF111:AF114)</f>
        <v>0</v>
      </c>
      <c r="AG115" s="326"/>
      <c r="AH115" s="326"/>
      <c r="AI115" s="326"/>
      <c r="AJ115" s="326"/>
      <c r="AK115" s="326"/>
      <c r="AL115" s="326"/>
      <c r="AM115" s="326"/>
      <c r="AN115" s="326"/>
      <c r="AO115" s="326"/>
      <c r="AP115" s="326"/>
      <c r="AQ115" s="326"/>
      <c r="AR115" s="327"/>
      <c r="AS115" s="729">
        <f>SUM(AS111:AS114)</f>
        <v>0</v>
      </c>
      <c r="AT115" s="326"/>
      <c r="AU115" s="326"/>
      <c r="AV115" s="326"/>
      <c r="AW115" s="326"/>
      <c r="AX115" s="326"/>
      <c r="AY115" s="326"/>
      <c r="AZ115" s="326"/>
      <c r="BA115" s="326"/>
      <c r="BB115" s="326"/>
      <c r="BC115" s="326"/>
      <c r="BD115" s="326"/>
      <c r="BE115" s="326"/>
      <c r="BF115" s="326"/>
      <c r="BG115" s="327"/>
    </row>
    <row r="116" spans="1:100" ht="15.75" customHeight="1" x14ac:dyDescent="0.25">
      <c r="A116" s="746" t="s">
        <v>651</v>
      </c>
      <c r="B116" s="326"/>
      <c r="C116" s="326"/>
      <c r="D116" s="326"/>
      <c r="E116" s="326"/>
      <c r="F116" s="326"/>
      <c r="G116" s="326"/>
      <c r="H116" s="326"/>
      <c r="I116" s="326"/>
      <c r="J116" s="326"/>
      <c r="K116" s="326"/>
      <c r="L116" s="326"/>
      <c r="M116" s="326"/>
      <c r="N116" s="326"/>
      <c r="O116" s="326"/>
      <c r="P116" s="326"/>
      <c r="Q116" s="326"/>
      <c r="R116" s="326"/>
      <c r="S116" s="326"/>
      <c r="T116" s="326"/>
      <c r="U116" s="326"/>
      <c r="V116" s="327"/>
      <c r="W116" s="733"/>
      <c r="X116" s="326"/>
      <c r="Y116" s="326"/>
      <c r="Z116" s="326"/>
      <c r="AA116" s="326"/>
      <c r="AB116" s="326"/>
      <c r="AC116" s="326"/>
      <c r="AD116" s="326"/>
      <c r="AE116" s="327"/>
      <c r="AF116" s="746"/>
      <c r="AG116" s="326"/>
      <c r="AH116" s="326"/>
      <c r="AI116" s="326"/>
      <c r="AJ116" s="326"/>
      <c r="AK116" s="326"/>
      <c r="AL116" s="326"/>
      <c r="AM116" s="326"/>
      <c r="AN116" s="326"/>
      <c r="AO116" s="326"/>
      <c r="AP116" s="326"/>
      <c r="AQ116" s="326"/>
      <c r="AR116" s="327"/>
      <c r="AS116" s="746"/>
      <c r="AT116" s="326"/>
      <c r="AU116" s="326"/>
      <c r="AV116" s="326"/>
      <c r="AW116" s="326"/>
      <c r="AX116" s="326"/>
      <c r="AY116" s="326"/>
      <c r="AZ116" s="326"/>
      <c r="BA116" s="326"/>
      <c r="BB116" s="326"/>
      <c r="BC116" s="326"/>
      <c r="BD116" s="326"/>
      <c r="BE116" s="326"/>
      <c r="BF116" s="326"/>
      <c r="BG116" s="327"/>
    </row>
    <row r="117" spans="1:100" ht="15.75" customHeight="1" x14ac:dyDescent="0.25">
      <c r="A117" s="746" t="s">
        <v>651</v>
      </c>
      <c r="B117" s="326"/>
      <c r="C117" s="326"/>
      <c r="D117" s="326"/>
      <c r="E117" s="326"/>
      <c r="F117" s="326"/>
      <c r="G117" s="326"/>
      <c r="H117" s="326"/>
      <c r="I117" s="326"/>
      <c r="J117" s="326"/>
      <c r="K117" s="326"/>
      <c r="L117" s="326"/>
      <c r="M117" s="326"/>
      <c r="N117" s="326"/>
      <c r="O117" s="326"/>
      <c r="P117" s="326"/>
      <c r="Q117" s="326"/>
      <c r="R117" s="326"/>
      <c r="S117" s="326"/>
      <c r="T117" s="326"/>
      <c r="U117" s="326"/>
      <c r="V117" s="327"/>
      <c r="W117" s="733"/>
      <c r="X117" s="326"/>
      <c r="Y117" s="326"/>
      <c r="Z117" s="326"/>
      <c r="AA117" s="326"/>
      <c r="AB117" s="326"/>
      <c r="AC117" s="326"/>
      <c r="AD117" s="326"/>
      <c r="AE117" s="327"/>
      <c r="AF117" s="746"/>
      <c r="AG117" s="326"/>
      <c r="AH117" s="326"/>
      <c r="AI117" s="326"/>
      <c r="AJ117" s="326"/>
      <c r="AK117" s="326"/>
      <c r="AL117" s="326"/>
      <c r="AM117" s="326"/>
      <c r="AN117" s="326"/>
      <c r="AO117" s="326"/>
      <c r="AP117" s="326"/>
      <c r="AQ117" s="326"/>
      <c r="AR117" s="327"/>
      <c r="AS117" s="746"/>
      <c r="AT117" s="326"/>
      <c r="AU117" s="326"/>
      <c r="AV117" s="326"/>
      <c r="AW117" s="326"/>
      <c r="AX117" s="326"/>
      <c r="AY117" s="326"/>
      <c r="AZ117" s="326"/>
      <c r="BA117" s="326"/>
      <c r="BB117" s="326"/>
      <c r="BC117" s="326"/>
      <c r="BD117" s="326"/>
      <c r="BE117" s="326"/>
      <c r="BF117" s="326"/>
      <c r="BG117" s="327"/>
    </row>
    <row r="118" spans="1:100" ht="15.75" customHeight="1" x14ac:dyDescent="0.25">
      <c r="A118" s="746" t="s">
        <v>651</v>
      </c>
      <c r="B118" s="326"/>
      <c r="C118" s="326"/>
      <c r="D118" s="326"/>
      <c r="E118" s="326"/>
      <c r="F118" s="326"/>
      <c r="G118" s="326"/>
      <c r="H118" s="326"/>
      <c r="I118" s="326"/>
      <c r="J118" s="326"/>
      <c r="K118" s="326"/>
      <c r="L118" s="326"/>
      <c r="M118" s="326"/>
      <c r="N118" s="326"/>
      <c r="O118" s="326"/>
      <c r="P118" s="326"/>
      <c r="Q118" s="326"/>
      <c r="R118" s="326"/>
      <c r="S118" s="326"/>
      <c r="T118" s="326"/>
      <c r="U118" s="326"/>
      <c r="V118" s="327"/>
      <c r="W118" s="733"/>
      <c r="X118" s="326"/>
      <c r="Y118" s="326"/>
      <c r="Z118" s="326"/>
      <c r="AA118" s="326"/>
      <c r="AB118" s="326"/>
      <c r="AC118" s="326"/>
      <c r="AD118" s="326"/>
      <c r="AE118" s="327"/>
      <c r="AF118" s="746"/>
      <c r="AG118" s="326"/>
      <c r="AH118" s="326"/>
      <c r="AI118" s="326"/>
      <c r="AJ118" s="326"/>
      <c r="AK118" s="326"/>
      <c r="AL118" s="326"/>
      <c r="AM118" s="326"/>
      <c r="AN118" s="326"/>
      <c r="AO118" s="326"/>
      <c r="AP118" s="326"/>
      <c r="AQ118" s="326"/>
      <c r="AR118" s="327"/>
      <c r="AS118" s="746"/>
      <c r="AT118" s="326"/>
      <c r="AU118" s="326"/>
      <c r="AV118" s="326"/>
      <c r="AW118" s="326"/>
      <c r="AX118" s="326"/>
      <c r="AY118" s="326"/>
      <c r="AZ118" s="326"/>
      <c r="BA118" s="326"/>
      <c r="BB118" s="326"/>
      <c r="BC118" s="326"/>
      <c r="BD118" s="326"/>
      <c r="BE118" s="326"/>
      <c r="BF118" s="326"/>
      <c r="BG118" s="327"/>
    </row>
    <row r="119" spans="1:100" ht="15.75" customHeight="1" x14ac:dyDescent="0.25">
      <c r="A119" s="746" t="s">
        <v>651</v>
      </c>
      <c r="B119" s="326"/>
      <c r="C119" s="326"/>
      <c r="D119" s="326"/>
      <c r="E119" s="326"/>
      <c r="F119" s="326"/>
      <c r="G119" s="326"/>
      <c r="H119" s="326"/>
      <c r="I119" s="326"/>
      <c r="J119" s="326"/>
      <c r="K119" s="326"/>
      <c r="L119" s="326"/>
      <c r="M119" s="326"/>
      <c r="N119" s="326"/>
      <c r="O119" s="326"/>
      <c r="P119" s="326"/>
      <c r="Q119" s="326"/>
      <c r="R119" s="326"/>
      <c r="S119" s="326"/>
      <c r="T119" s="326"/>
      <c r="U119" s="326"/>
      <c r="V119" s="327"/>
      <c r="W119" s="733"/>
      <c r="X119" s="326"/>
      <c r="Y119" s="326"/>
      <c r="Z119" s="326"/>
      <c r="AA119" s="326"/>
      <c r="AB119" s="326"/>
      <c r="AC119" s="326"/>
      <c r="AD119" s="326"/>
      <c r="AE119" s="327"/>
      <c r="AF119" s="746"/>
      <c r="AG119" s="326"/>
      <c r="AH119" s="326"/>
      <c r="AI119" s="326"/>
      <c r="AJ119" s="326"/>
      <c r="AK119" s="326"/>
      <c r="AL119" s="326"/>
      <c r="AM119" s="326"/>
      <c r="AN119" s="326"/>
      <c r="AO119" s="326"/>
      <c r="AP119" s="326"/>
      <c r="AQ119" s="326"/>
      <c r="AR119" s="327"/>
      <c r="AS119" s="746"/>
      <c r="AT119" s="326"/>
      <c r="AU119" s="326"/>
      <c r="AV119" s="326"/>
      <c r="AW119" s="326"/>
      <c r="AX119" s="326"/>
      <c r="AY119" s="326"/>
      <c r="AZ119" s="326"/>
      <c r="BA119" s="326"/>
      <c r="BB119" s="326"/>
      <c r="BC119" s="326"/>
      <c r="BD119" s="326"/>
      <c r="BE119" s="326"/>
      <c r="BF119" s="326"/>
      <c r="BG119" s="327"/>
    </row>
    <row r="120" spans="1:100" ht="15.75" customHeight="1" x14ac:dyDescent="0.25">
      <c r="A120" s="746" t="s">
        <v>651</v>
      </c>
      <c r="B120" s="326"/>
      <c r="C120" s="326"/>
      <c r="D120" s="326"/>
      <c r="E120" s="326"/>
      <c r="F120" s="326"/>
      <c r="G120" s="326"/>
      <c r="H120" s="326"/>
      <c r="I120" s="326"/>
      <c r="J120" s="326"/>
      <c r="K120" s="326"/>
      <c r="L120" s="326"/>
      <c r="M120" s="326"/>
      <c r="N120" s="326"/>
      <c r="O120" s="326"/>
      <c r="P120" s="326"/>
      <c r="Q120" s="326"/>
      <c r="R120" s="326"/>
      <c r="S120" s="326"/>
      <c r="T120" s="326"/>
      <c r="U120" s="326"/>
      <c r="V120" s="327"/>
      <c r="W120" s="733"/>
      <c r="X120" s="326"/>
      <c r="Y120" s="326"/>
      <c r="Z120" s="326"/>
      <c r="AA120" s="326"/>
      <c r="AB120" s="326"/>
      <c r="AC120" s="326"/>
      <c r="AD120" s="326"/>
      <c r="AE120" s="327"/>
      <c r="AF120" s="746"/>
      <c r="AG120" s="326"/>
      <c r="AH120" s="326"/>
      <c r="AI120" s="326"/>
      <c r="AJ120" s="326"/>
      <c r="AK120" s="326"/>
      <c r="AL120" s="326"/>
      <c r="AM120" s="326"/>
      <c r="AN120" s="326"/>
      <c r="AO120" s="326"/>
      <c r="AP120" s="326"/>
      <c r="AQ120" s="326"/>
      <c r="AR120" s="327"/>
      <c r="AS120" s="746"/>
      <c r="AT120" s="326"/>
      <c r="AU120" s="326"/>
      <c r="AV120" s="326"/>
      <c r="AW120" s="326"/>
      <c r="AX120" s="326"/>
      <c r="AY120" s="326"/>
      <c r="AZ120" s="326"/>
      <c r="BA120" s="326"/>
      <c r="BB120" s="326"/>
      <c r="BC120" s="326"/>
      <c r="BD120" s="326"/>
      <c r="BE120" s="326"/>
      <c r="BF120" s="326"/>
      <c r="BG120" s="327"/>
    </row>
    <row r="121" spans="1:100" ht="15.75" customHeight="1" x14ac:dyDescent="0.25">
      <c r="A121" s="746" t="s">
        <v>651</v>
      </c>
      <c r="B121" s="326"/>
      <c r="C121" s="326"/>
      <c r="D121" s="326"/>
      <c r="E121" s="326"/>
      <c r="F121" s="326"/>
      <c r="G121" s="326"/>
      <c r="H121" s="326"/>
      <c r="I121" s="326"/>
      <c r="J121" s="326"/>
      <c r="K121" s="326"/>
      <c r="L121" s="326"/>
      <c r="M121" s="326"/>
      <c r="N121" s="326"/>
      <c r="O121" s="326"/>
      <c r="P121" s="326"/>
      <c r="Q121" s="326"/>
      <c r="R121" s="326"/>
      <c r="S121" s="326"/>
      <c r="T121" s="326"/>
      <c r="U121" s="326"/>
      <c r="V121" s="327"/>
      <c r="W121" s="733"/>
      <c r="X121" s="326"/>
      <c r="Y121" s="326"/>
      <c r="Z121" s="326"/>
      <c r="AA121" s="326"/>
      <c r="AB121" s="326"/>
      <c r="AC121" s="326"/>
      <c r="AD121" s="326"/>
      <c r="AE121" s="327"/>
      <c r="AF121" s="746"/>
      <c r="AG121" s="326"/>
      <c r="AH121" s="326"/>
      <c r="AI121" s="326"/>
      <c r="AJ121" s="326"/>
      <c r="AK121" s="326"/>
      <c r="AL121" s="326"/>
      <c r="AM121" s="326"/>
      <c r="AN121" s="326"/>
      <c r="AO121" s="326"/>
      <c r="AP121" s="326"/>
      <c r="AQ121" s="326"/>
      <c r="AR121" s="327"/>
      <c r="AS121" s="746"/>
      <c r="AT121" s="326"/>
      <c r="AU121" s="326"/>
      <c r="AV121" s="326"/>
      <c r="AW121" s="326"/>
      <c r="AX121" s="326"/>
      <c r="AY121" s="326"/>
      <c r="AZ121" s="326"/>
      <c r="BA121" s="326"/>
      <c r="BB121" s="326"/>
      <c r="BC121" s="326"/>
      <c r="BD121" s="326"/>
      <c r="BE121" s="326"/>
      <c r="BF121" s="326"/>
      <c r="BG121" s="327"/>
    </row>
    <row r="122" spans="1:100" ht="15.75" customHeight="1" x14ac:dyDescent="0.25">
      <c r="A122" s="746" t="s">
        <v>651</v>
      </c>
      <c r="B122" s="326"/>
      <c r="C122" s="326"/>
      <c r="D122" s="326"/>
      <c r="E122" s="326"/>
      <c r="F122" s="326"/>
      <c r="G122" s="326"/>
      <c r="H122" s="326"/>
      <c r="I122" s="326"/>
      <c r="J122" s="326"/>
      <c r="K122" s="326"/>
      <c r="L122" s="326"/>
      <c r="M122" s="326"/>
      <c r="N122" s="326"/>
      <c r="O122" s="326"/>
      <c r="P122" s="326"/>
      <c r="Q122" s="326"/>
      <c r="R122" s="326"/>
      <c r="S122" s="326"/>
      <c r="T122" s="326"/>
      <c r="U122" s="326"/>
      <c r="V122" s="327"/>
      <c r="W122" s="733"/>
      <c r="X122" s="326"/>
      <c r="Y122" s="326"/>
      <c r="Z122" s="326"/>
      <c r="AA122" s="326"/>
      <c r="AB122" s="326"/>
      <c r="AC122" s="326"/>
      <c r="AD122" s="326"/>
      <c r="AE122" s="327"/>
      <c r="AF122" s="746"/>
      <c r="AG122" s="326"/>
      <c r="AH122" s="326"/>
      <c r="AI122" s="326"/>
      <c r="AJ122" s="326"/>
      <c r="AK122" s="326"/>
      <c r="AL122" s="326"/>
      <c r="AM122" s="326"/>
      <c r="AN122" s="326"/>
      <c r="AO122" s="326"/>
      <c r="AP122" s="326"/>
      <c r="AQ122" s="326"/>
      <c r="AR122" s="327"/>
      <c r="AS122" s="746"/>
      <c r="AT122" s="326"/>
      <c r="AU122" s="326"/>
      <c r="AV122" s="326"/>
      <c r="AW122" s="326"/>
      <c r="AX122" s="326"/>
      <c r="AY122" s="326"/>
      <c r="AZ122" s="326"/>
      <c r="BA122" s="326"/>
      <c r="BB122" s="326"/>
      <c r="BC122" s="326"/>
      <c r="BD122" s="326"/>
      <c r="BE122" s="326"/>
      <c r="BF122" s="326"/>
      <c r="BG122" s="327"/>
    </row>
    <row r="123" spans="1:100" ht="15.75" customHeight="1" x14ac:dyDescent="0.25">
      <c r="I123" s="97"/>
    </row>
    <row r="124" spans="1:100" ht="34.5" customHeight="1" x14ac:dyDescent="0.25">
      <c r="A124" s="840" t="s">
        <v>652</v>
      </c>
      <c r="B124" s="326"/>
      <c r="C124" s="326"/>
      <c r="D124" s="326"/>
      <c r="E124" s="326"/>
      <c r="F124" s="326"/>
      <c r="G124" s="326"/>
      <c r="H124" s="326"/>
      <c r="I124" s="326"/>
      <c r="J124" s="326"/>
      <c r="K124" s="326"/>
      <c r="L124" s="326"/>
      <c r="M124" s="326"/>
      <c r="N124" s="326"/>
      <c r="O124" s="326"/>
      <c r="P124" s="326"/>
      <c r="Q124" s="326"/>
      <c r="R124" s="326"/>
      <c r="S124" s="326"/>
      <c r="T124" s="326"/>
      <c r="U124" s="326"/>
      <c r="V124" s="327"/>
      <c r="W124" s="839" t="s">
        <v>451</v>
      </c>
      <c r="X124" s="326"/>
      <c r="Y124" s="326"/>
      <c r="Z124" s="326"/>
      <c r="AA124" s="326"/>
      <c r="AB124" s="327"/>
      <c r="AC124" s="839" t="s">
        <v>452</v>
      </c>
      <c r="AD124" s="326"/>
      <c r="AE124" s="326"/>
      <c r="AF124" s="326"/>
      <c r="AG124" s="326"/>
      <c r="AH124" s="327"/>
      <c r="AI124" s="839" t="s">
        <v>453</v>
      </c>
      <c r="AJ124" s="326"/>
      <c r="AK124" s="326"/>
      <c r="AL124" s="326"/>
      <c r="AM124" s="326"/>
      <c r="AN124" s="327"/>
      <c r="AO124" s="839" t="s">
        <v>454</v>
      </c>
      <c r="AP124" s="326"/>
      <c r="AQ124" s="326"/>
      <c r="AR124" s="326"/>
      <c r="AS124" s="326"/>
      <c r="AT124" s="327"/>
      <c r="AU124" s="839" t="s">
        <v>455</v>
      </c>
      <c r="AV124" s="326"/>
      <c r="AW124" s="326"/>
      <c r="AX124" s="326"/>
      <c r="AY124" s="326"/>
      <c r="AZ124" s="327"/>
      <c r="BA124" s="839" t="s">
        <v>456</v>
      </c>
      <c r="BB124" s="326"/>
      <c r="BC124" s="326"/>
      <c r="BD124" s="326"/>
      <c r="BE124" s="326"/>
      <c r="BF124" s="327"/>
      <c r="BG124" s="839" t="s">
        <v>457</v>
      </c>
      <c r="BH124" s="326"/>
      <c r="BI124" s="326"/>
      <c r="BJ124" s="326"/>
      <c r="BK124" s="326"/>
      <c r="BL124" s="327"/>
      <c r="BM124" s="839" t="s">
        <v>458</v>
      </c>
      <c r="BN124" s="326"/>
      <c r="BO124" s="326"/>
      <c r="BP124" s="326"/>
      <c r="BQ124" s="326"/>
      <c r="BR124" s="327"/>
      <c r="BS124" s="839" t="s">
        <v>459</v>
      </c>
      <c r="BT124" s="326"/>
      <c r="BU124" s="326"/>
      <c r="BV124" s="326"/>
      <c r="BW124" s="326"/>
      <c r="BX124" s="327"/>
      <c r="BY124" s="839" t="s">
        <v>460</v>
      </c>
      <c r="BZ124" s="326"/>
      <c r="CA124" s="326"/>
      <c r="CB124" s="326"/>
      <c r="CC124" s="326"/>
      <c r="CD124" s="327"/>
      <c r="CE124" s="839" t="s">
        <v>461</v>
      </c>
      <c r="CF124" s="326"/>
      <c r="CG124" s="326"/>
      <c r="CH124" s="326"/>
      <c r="CI124" s="326"/>
      <c r="CJ124" s="327"/>
      <c r="CK124" s="839" t="s">
        <v>462</v>
      </c>
      <c r="CL124" s="326"/>
      <c r="CM124" s="326"/>
      <c r="CN124" s="326"/>
      <c r="CO124" s="326"/>
      <c r="CP124" s="327"/>
      <c r="CQ124" s="153"/>
      <c r="CR124" s="98"/>
      <c r="CS124" s="98"/>
      <c r="CT124" s="98"/>
      <c r="CU124" s="98"/>
      <c r="CV124" s="98"/>
    </row>
    <row r="125" spans="1:100" ht="15.75" customHeight="1" x14ac:dyDescent="0.25">
      <c r="A125" s="381" t="s">
        <v>647</v>
      </c>
      <c r="B125" s="326"/>
      <c r="C125" s="326"/>
      <c r="D125" s="326"/>
      <c r="E125" s="326"/>
      <c r="F125" s="326"/>
      <c r="G125" s="326"/>
      <c r="H125" s="326"/>
      <c r="I125" s="326"/>
      <c r="J125" s="326"/>
      <c r="K125" s="326"/>
      <c r="L125" s="326"/>
      <c r="M125" s="326"/>
      <c r="N125" s="326"/>
      <c r="O125" s="326"/>
      <c r="P125" s="326"/>
      <c r="Q125" s="326"/>
      <c r="R125" s="326"/>
      <c r="S125" s="326"/>
      <c r="T125" s="326"/>
      <c r="U125" s="326"/>
      <c r="V125" s="327"/>
      <c r="W125" s="713">
        <f>COUNTIFS(TRAINING!D14:D4989,"Mandatory", TRAINING!AN14:AN4989,"YES")</f>
        <v>0</v>
      </c>
      <c r="X125" s="326"/>
      <c r="Y125" s="326"/>
      <c r="Z125" s="326"/>
      <c r="AA125" s="326"/>
      <c r="AB125" s="327"/>
      <c r="AC125" s="707">
        <f>COUNTIFS(TRAINING!D14:D4989,"Mandatory", TRAINING!AO14:AO4989,"YES")</f>
        <v>0</v>
      </c>
      <c r="AD125" s="326"/>
      <c r="AE125" s="326"/>
      <c r="AF125" s="326"/>
      <c r="AG125" s="326"/>
      <c r="AH125" s="327"/>
      <c r="AI125" s="707">
        <f>COUNTIFS(TRAINING!D14:D4989,"Mandatory", TRAINING!AP14:AP4989,"YES")</f>
        <v>0</v>
      </c>
      <c r="AJ125" s="326"/>
      <c r="AK125" s="326"/>
      <c r="AL125" s="326"/>
      <c r="AM125" s="326"/>
      <c r="AN125" s="327"/>
      <c r="AO125" s="707">
        <f>COUNTIFS(TRAINING!D14:D4989,"Mandatory", TRAINING!AQ14:AQ4989,"YES")</f>
        <v>0</v>
      </c>
      <c r="AP125" s="326"/>
      <c r="AQ125" s="326"/>
      <c r="AR125" s="326"/>
      <c r="AS125" s="326"/>
      <c r="AT125" s="327"/>
      <c r="AU125" s="707">
        <f>COUNTIFS(TRAINING!D14:D4989,"Mandatory", TRAINING!AR14:AR4989,"YES")</f>
        <v>0</v>
      </c>
      <c r="AV125" s="326"/>
      <c r="AW125" s="326"/>
      <c r="AX125" s="326"/>
      <c r="AY125" s="326"/>
      <c r="AZ125" s="327"/>
      <c r="BA125" s="707">
        <f>COUNTIFS(TRAINING!D14:D4989,"Mandatory", TRAINING!AS14:AS4989,"YES")</f>
        <v>0</v>
      </c>
      <c r="BB125" s="326"/>
      <c r="BC125" s="326"/>
      <c r="BD125" s="326"/>
      <c r="BE125" s="326"/>
      <c r="BF125" s="327"/>
      <c r="BG125" s="713">
        <f>COUNTIFS(TRAINING!D14:D4989,"Mandatory", TRAINING!AT14:AT4989,"YES")</f>
        <v>0</v>
      </c>
      <c r="BH125" s="326"/>
      <c r="BI125" s="326"/>
      <c r="BJ125" s="326"/>
      <c r="BK125" s="326"/>
      <c r="BL125" s="327"/>
      <c r="BM125" s="713">
        <f>COUNTIFS(TRAINING!D14:D4989,"Mandatory", TRAINING!AU14:AU4989,"YES")</f>
        <v>0</v>
      </c>
      <c r="BN125" s="326"/>
      <c r="BO125" s="326"/>
      <c r="BP125" s="326"/>
      <c r="BQ125" s="326"/>
      <c r="BR125" s="327"/>
      <c r="BS125" s="713">
        <f>COUNTIFS(TRAINING!D14:D4989,"Mandatory", TRAINING!AV14:AV4989,"YES")</f>
        <v>0</v>
      </c>
      <c r="BT125" s="326"/>
      <c r="BU125" s="326"/>
      <c r="BV125" s="326"/>
      <c r="BW125" s="326"/>
      <c r="BX125" s="327"/>
      <c r="BY125" s="713">
        <f>COUNTIFS(TRAINING!D14:D4989,"Mandatory", TRAINING!AW14:AW4989,"YES")</f>
        <v>0</v>
      </c>
      <c r="BZ125" s="326"/>
      <c r="CA125" s="326"/>
      <c r="CB125" s="326"/>
      <c r="CC125" s="326"/>
      <c r="CD125" s="327"/>
      <c r="CE125" s="707">
        <f>COUNTIFS(TRAINING!D14:D4989,"Mandatory", TRAINING!AX14:AX4989,"YES")</f>
        <v>0</v>
      </c>
      <c r="CF125" s="326"/>
      <c r="CG125" s="326"/>
      <c r="CH125" s="326"/>
      <c r="CI125" s="326"/>
      <c r="CJ125" s="327"/>
      <c r="CK125" s="707">
        <f>COUNTIFS(TRAINING!D14:D4989,"Mandatory", TRAINING!AY14:AY4989,"YES")</f>
        <v>0</v>
      </c>
      <c r="CL125" s="326"/>
      <c r="CM125" s="326"/>
      <c r="CN125" s="326"/>
      <c r="CO125" s="326"/>
      <c r="CP125" s="327"/>
      <c r="CQ125" s="154"/>
      <c r="CR125" s="97"/>
      <c r="CS125" s="97"/>
      <c r="CT125" s="97"/>
      <c r="CU125" s="97"/>
      <c r="CV125" s="97"/>
    </row>
    <row r="126" spans="1:100" ht="15.75" customHeight="1" x14ac:dyDescent="0.25">
      <c r="A126" s="381" t="s">
        <v>648</v>
      </c>
      <c r="B126" s="326"/>
      <c r="C126" s="326"/>
      <c r="D126" s="326"/>
      <c r="E126" s="326"/>
      <c r="F126" s="326"/>
      <c r="G126" s="326"/>
      <c r="H126" s="326"/>
      <c r="I126" s="326"/>
      <c r="J126" s="326"/>
      <c r="K126" s="326"/>
      <c r="L126" s="326"/>
      <c r="M126" s="326"/>
      <c r="N126" s="326"/>
      <c r="O126" s="326"/>
      <c r="P126" s="326"/>
      <c r="Q126" s="326"/>
      <c r="R126" s="326"/>
      <c r="S126" s="326"/>
      <c r="T126" s="326"/>
      <c r="U126" s="326"/>
      <c r="V126" s="327"/>
      <c r="W126" s="713">
        <f>COUNTIFS(TRAINING!D14:D4989,"Evidence Based Training (EBT)", TRAINING!AN14:AN4989,"YES")</f>
        <v>0</v>
      </c>
      <c r="X126" s="326"/>
      <c r="Y126" s="326"/>
      <c r="Z126" s="326"/>
      <c r="AA126" s="326"/>
      <c r="AB126" s="327"/>
      <c r="AC126" s="707">
        <f>COUNTIFS(TRAINING!D14:D4989,"Evidence Based Training (EBT)", TRAINING!AO14:AO4989,"YES")</f>
        <v>0</v>
      </c>
      <c r="AD126" s="326"/>
      <c r="AE126" s="326"/>
      <c r="AF126" s="326"/>
      <c r="AG126" s="326"/>
      <c r="AH126" s="327"/>
      <c r="AI126" s="707">
        <f>COUNTIFS(TRAINING!D14:D4989,"Evidence Based Training (EBT)", TRAINING!AP14:AP4989,"YES")</f>
        <v>0</v>
      </c>
      <c r="AJ126" s="326"/>
      <c r="AK126" s="326"/>
      <c r="AL126" s="326"/>
      <c r="AM126" s="326"/>
      <c r="AN126" s="327"/>
      <c r="AO126" s="707">
        <f>COUNTIFS(TRAINING!D14:D4989,"Evidence Based Training (EBT)", TRAINING!AQ14:AQ4989,"YES")</f>
        <v>0</v>
      </c>
      <c r="AP126" s="326"/>
      <c r="AQ126" s="326"/>
      <c r="AR126" s="326"/>
      <c r="AS126" s="326"/>
      <c r="AT126" s="327"/>
      <c r="AU126" s="707">
        <f>COUNTIFS(TRAINING!D14:D4989,"Evidence Based Training (EBT)", TRAINING!AR14:AR4989,"YES")</f>
        <v>0</v>
      </c>
      <c r="AV126" s="326"/>
      <c r="AW126" s="326"/>
      <c r="AX126" s="326"/>
      <c r="AY126" s="326"/>
      <c r="AZ126" s="327"/>
      <c r="BA126" s="707">
        <f>COUNTIFS(TRAINING!D14:D4989,"Evidence Based Training (EBT)", TRAINING!AS14:AS4989,"YES")</f>
        <v>0</v>
      </c>
      <c r="BB126" s="326"/>
      <c r="BC126" s="326"/>
      <c r="BD126" s="326"/>
      <c r="BE126" s="326"/>
      <c r="BF126" s="327"/>
      <c r="BG126" s="713">
        <f>COUNTIFS(TRAINING!D14:D4989,"Evidence Based Training (EBT)", TRAINING!AT14:AT4989,"YES")</f>
        <v>0</v>
      </c>
      <c r="BH126" s="326"/>
      <c r="BI126" s="326"/>
      <c r="BJ126" s="326"/>
      <c r="BK126" s="326"/>
      <c r="BL126" s="327"/>
      <c r="BM126" s="713">
        <f>COUNTIFS(TRAINING!D14:D4989,"Evidence Based Training (EBT)", TRAINING!AU14:AU4989,"YES")</f>
        <v>0</v>
      </c>
      <c r="BN126" s="326"/>
      <c r="BO126" s="326"/>
      <c r="BP126" s="326"/>
      <c r="BQ126" s="326"/>
      <c r="BR126" s="327"/>
      <c r="BS126" s="713">
        <f>COUNTIFS(TRAINING!D14:D4989,"Evidence Based Training (EBT)", TRAINING!AV14:AV4989,"YES")</f>
        <v>0</v>
      </c>
      <c r="BT126" s="326"/>
      <c r="BU126" s="326"/>
      <c r="BV126" s="326"/>
      <c r="BW126" s="326"/>
      <c r="BX126" s="327"/>
      <c r="BY126" s="713">
        <f>COUNTIFS(TRAINING!D14:D4989,"Evidence Based Training (EBT)", TRAINING!AW14:AW4989,"YES")</f>
        <v>0</v>
      </c>
      <c r="BZ126" s="326"/>
      <c r="CA126" s="326"/>
      <c r="CB126" s="326"/>
      <c r="CC126" s="326"/>
      <c r="CD126" s="327"/>
      <c r="CE126" s="707">
        <f>COUNTIFS(TRAINING!D14:D4989,"Evidence Based Training (EBT)", TRAINING!AX14:AX4989,"YES")</f>
        <v>0</v>
      </c>
      <c r="CF126" s="326"/>
      <c r="CG126" s="326"/>
      <c r="CH126" s="326"/>
      <c r="CI126" s="326"/>
      <c r="CJ126" s="327"/>
      <c r="CK126" s="707">
        <f>COUNTIFS(TRAINING!D14:D4989,"Evidence Based Training (EBT)", TRAINING!AY14:AY4989,"YES")</f>
        <v>0</v>
      </c>
      <c r="CL126" s="326"/>
      <c r="CM126" s="326"/>
      <c r="CN126" s="326"/>
      <c r="CO126" s="326"/>
      <c r="CP126" s="327"/>
      <c r="CQ126" s="154"/>
      <c r="CR126" s="97"/>
      <c r="CS126" s="97"/>
      <c r="CT126" s="97"/>
      <c r="CU126" s="97"/>
      <c r="CV126" s="97"/>
    </row>
    <row r="127" spans="1:100" ht="15.75" customHeight="1" x14ac:dyDescent="0.25">
      <c r="A127" s="381" t="s">
        <v>649</v>
      </c>
      <c r="B127" s="326"/>
      <c r="C127" s="326"/>
      <c r="D127" s="326"/>
      <c r="E127" s="326"/>
      <c r="F127" s="326"/>
      <c r="G127" s="326"/>
      <c r="H127" s="326"/>
      <c r="I127" s="326"/>
      <c r="J127" s="326"/>
      <c r="K127" s="326"/>
      <c r="L127" s="326"/>
      <c r="M127" s="326"/>
      <c r="N127" s="326"/>
      <c r="O127" s="326"/>
      <c r="P127" s="326"/>
      <c r="Q127" s="326"/>
      <c r="R127" s="326"/>
      <c r="S127" s="326"/>
      <c r="T127" s="326"/>
      <c r="U127" s="326"/>
      <c r="V127" s="327"/>
      <c r="W127" s="713">
        <f>COUNTIFS(TRAINING!D14:D4989,"Both Mandatory and EBT", TRAINING!AN14:AN4989,"YES")</f>
        <v>0</v>
      </c>
      <c r="X127" s="326"/>
      <c r="Y127" s="326"/>
      <c r="Z127" s="326"/>
      <c r="AA127" s="326"/>
      <c r="AB127" s="327"/>
      <c r="AC127" s="707">
        <f>COUNTIFS(TRAINING!D14:D4989,"Both Mandatory and EBT", TRAINING!AO14:AO4989,"YES")</f>
        <v>0</v>
      </c>
      <c r="AD127" s="326"/>
      <c r="AE127" s="326"/>
      <c r="AF127" s="326"/>
      <c r="AG127" s="326"/>
      <c r="AH127" s="327"/>
      <c r="AI127" s="707">
        <f>COUNTIFS(TRAINING!D14:D4989,"Both Mandatory and EBT", TRAINING!AP14:AP4989,"YES")</f>
        <v>0</v>
      </c>
      <c r="AJ127" s="326"/>
      <c r="AK127" s="326"/>
      <c r="AL127" s="326"/>
      <c r="AM127" s="326"/>
      <c r="AN127" s="327"/>
      <c r="AO127" s="707">
        <f>COUNTIFS(TRAINING!D14:D4989,"Both Mandatory and EBT", TRAINING!AQ14:AQ4989,"YES")</f>
        <v>0</v>
      </c>
      <c r="AP127" s="326"/>
      <c r="AQ127" s="326"/>
      <c r="AR127" s="326"/>
      <c r="AS127" s="326"/>
      <c r="AT127" s="327"/>
      <c r="AU127" s="707">
        <f>COUNTIFS(TRAINING!D14:D4989,"Both Mandatory and EBT", TRAINING!AR14:AR4989,"YES")</f>
        <v>0</v>
      </c>
      <c r="AV127" s="326"/>
      <c r="AW127" s="326"/>
      <c r="AX127" s="326"/>
      <c r="AY127" s="326"/>
      <c r="AZ127" s="327"/>
      <c r="BA127" s="707">
        <f>COUNTIFS(TRAINING!D14:D4989,"Both Mandatory and EBT", TRAINING!AS14:AS4989,"YES")</f>
        <v>0</v>
      </c>
      <c r="BB127" s="326"/>
      <c r="BC127" s="326"/>
      <c r="BD127" s="326"/>
      <c r="BE127" s="326"/>
      <c r="BF127" s="327"/>
      <c r="BG127" s="713">
        <f>COUNTIFS(TRAINING!D14:D4989,"Both Mandatory and EBT", TRAINING!AT14:AT4989,"YES")</f>
        <v>0</v>
      </c>
      <c r="BH127" s="326"/>
      <c r="BI127" s="326"/>
      <c r="BJ127" s="326"/>
      <c r="BK127" s="326"/>
      <c r="BL127" s="327"/>
      <c r="BM127" s="713">
        <f>COUNTIFS(TRAINING!D14:D4989,"Both Mandatory and EBT", TRAINING!AU14:AU4989,"YES")</f>
        <v>0</v>
      </c>
      <c r="BN127" s="326"/>
      <c r="BO127" s="326"/>
      <c r="BP127" s="326"/>
      <c r="BQ127" s="326"/>
      <c r="BR127" s="327"/>
      <c r="BS127" s="713">
        <f>COUNTIFS(TRAINING!D14:D4989,"Both Mandatory and EBT", TRAINING!AV14:AV4989,"YES")</f>
        <v>0</v>
      </c>
      <c r="BT127" s="326"/>
      <c r="BU127" s="326"/>
      <c r="BV127" s="326"/>
      <c r="BW127" s="326"/>
      <c r="BX127" s="327"/>
      <c r="BY127" s="713">
        <f>COUNTIFS(TRAINING!D14:D4989,"Both Mandatory and EBT", TRAINING!AW14:AW4989,"YES")</f>
        <v>0</v>
      </c>
      <c r="BZ127" s="326"/>
      <c r="CA127" s="326"/>
      <c r="CB127" s="326"/>
      <c r="CC127" s="326"/>
      <c r="CD127" s="327"/>
      <c r="CE127" s="707">
        <f>COUNTIFS(TRAINING!D14:D4989,"Both Mandatory and EBT", TRAINING!AX14:AX4989,"YES")</f>
        <v>0</v>
      </c>
      <c r="CF127" s="326"/>
      <c r="CG127" s="326"/>
      <c r="CH127" s="326"/>
      <c r="CI127" s="326"/>
      <c r="CJ127" s="327"/>
      <c r="CK127" s="707">
        <f>COUNTIFS(TRAINING!D14:D4989,"Both Mandatory and EBT", TRAINING!AY14:AY4989,"YES")</f>
        <v>0</v>
      </c>
      <c r="CL127" s="326"/>
      <c r="CM127" s="326"/>
      <c r="CN127" s="326"/>
      <c r="CO127" s="326"/>
      <c r="CP127" s="327"/>
      <c r="CQ127" s="154"/>
      <c r="CR127" s="97"/>
      <c r="CS127" s="97"/>
      <c r="CT127" s="97"/>
      <c r="CU127" s="97"/>
      <c r="CV127" s="97"/>
    </row>
    <row r="128" spans="1:100" ht="15.75" customHeight="1" x14ac:dyDescent="0.25">
      <c r="A128" s="381" t="s">
        <v>650</v>
      </c>
      <c r="B128" s="326"/>
      <c r="C128" s="326"/>
      <c r="D128" s="326"/>
      <c r="E128" s="326"/>
      <c r="F128" s="326"/>
      <c r="G128" s="326"/>
      <c r="H128" s="326"/>
      <c r="I128" s="326"/>
      <c r="J128" s="326"/>
      <c r="K128" s="326"/>
      <c r="L128" s="326"/>
      <c r="M128" s="326"/>
      <c r="N128" s="326"/>
      <c r="O128" s="326"/>
      <c r="P128" s="326"/>
      <c r="Q128" s="326"/>
      <c r="R128" s="326"/>
      <c r="S128" s="326"/>
      <c r="T128" s="326"/>
      <c r="U128" s="326"/>
      <c r="V128" s="327"/>
      <c r="W128" s="713">
        <f>COUNTIFS(TRAINING!D14:D4989,"Other (Specify in Notes)", TRAINING!AN14:AN4989,"YES")</f>
        <v>0</v>
      </c>
      <c r="X128" s="326"/>
      <c r="Y128" s="326"/>
      <c r="Z128" s="326"/>
      <c r="AA128" s="326"/>
      <c r="AB128" s="327"/>
      <c r="AC128" s="707">
        <f>COUNTIFS(TRAINING!D14:D4989,"Other (Specify in Notes)", TRAINING!AO14:AO4989,"YES")</f>
        <v>0</v>
      </c>
      <c r="AD128" s="326"/>
      <c r="AE128" s="326"/>
      <c r="AF128" s="326"/>
      <c r="AG128" s="326"/>
      <c r="AH128" s="327"/>
      <c r="AI128" s="707">
        <f>COUNTIFS(TRAINING!D14:D4989,"Other (Specify in Notes)", TRAINING!AP14:AP4989,"YES")</f>
        <v>0</v>
      </c>
      <c r="AJ128" s="326"/>
      <c r="AK128" s="326"/>
      <c r="AL128" s="326"/>
      <c r="AM128" s="326"/>
      <c r="AN128" s="327"/>
      <c r="AO128" s="707">
        <f>COUNTIFS(TRAINING!D14:D4989,"Other (Specify in Notes)", TRAINING!AQ14:AQ4989,"YES")</f>
        <v>0</v>
      </c>
      <c r="AP128" s="326"/>
      <c r="AQ128" s="326"/>
      <c r="AR128" s="326"/>
      <c r="AS128" s="326"/>
      <c r="AT128" s="327"/>
      <c r="AU128" s="707">
        <f>COUNTIFS(TRAINING!D14:D4989,"Other (Specify in Notes)", TRAINING!AR14:AR4989,"YES")</f>
        <v>0</v>
      </c>
      <c r="AV128" s="326"/>
      <c r="AW128" s="326"/>
      <c r="AX128" s="326"/>
      <c r="AY128" s="326"/>
      <c r="AZ128" s="327"/>
      <c r="BA128" s="707">
        <f>COUNTIFS(TRAINING!D14:D4989,"Other (Specify in Notes)", TRAINING!AS14:AS4989,"YES")</f>
        <v>0</v>
      </c>
      <c r="BB128" s="326"/>
      <c r="BC128" s="326"/>
      <c r="BD128" s="326"/>
      <c r="BE128" s="326"/>
      <c r="BF128" s="327"/>
      <c r="BG128" s="713">
        <f>COUNTIFS(TRAINING!D14:D4989,"Other (Specify in Notes)", TRAINING!AT14:AT4989,"YES")</f>
        <v>0</v>
      </c>
      <c r="BH128" s="326"/>
      <c r="BI128" s="326"/>
      <c r="BJ128" s="326"/>
      <c r="BK128" s="326"/>
      <c r="BL128" s="327"/>
      <c r="BM128" s="713">
        <f>COUNTIFS(TRAINING!D14:D4989,"Other (Specify in Notes)", TRAINING!AU14:AU4989,"YES")</f>
        <v>0</v>
      </c>
      <c r="BN128" s="326"/>
      <c r="BO128" s="326"/>
      <c r="BP128" s="326"/>
      <c r="BQ128" s="326"/>
      <c r="BR128" s="327"/>
      <c r="BS128" s="713">
        <f>COUNTIFS(TRAINING!D14:D4989,"Other (Specify in Notes)", TRAINING!AV14:AV4989,"YES")</f>
        <v>0</v>
      </c>
      <c r="BT128" s="326"/>
      <c r="BU128" s="326"/>
      <c r="BV128" s="326"/>
      <c r="BW128" s="326"/>
      <c r="BX128" s="327"/>
      <c r="BY128" s="713">
        <f>COUNTIFS(TRAINING!D14:D4989,"Other (Specify in Notes)", TRAINING!AW14:AW4989,"YES")</f>
        <v>0</v>
      </c>
      <c r="BZ128" s="326"/>
      <c r="CA128" s="326"/>
      <c r="CB128" s="326"/>
      <c r="CC128" s="326"/>
      <c r="CD128" s="327"/>
      <c r="CE128" s="707">
        <f>COUNTIFS(TRAINING!D14:D4989,"Other (Specify in Notes)", TRAINING!AX14:AX4989,"YES")</f>
        <v>0</v>
      </c>
      <c r="CF128" s="326"/>
      <c r="CG128" s="326"/>
      <c r="CH128" s="326"/>
      <c r="CI128" s="326"/>
      <c r="CJ128" s="327"/>
      <c r="CK128" s="707">
        <f>COUNTIFS(TRAINING!D14:D4989,"Other (Specify in Notes)", TRAINING!AY14:AY4989,"YES")</f>
        <v>0</v>
      </c>
      <c r="CL128" s="326"/>
      <c r="CM128" s="326"/>
      <c r="CN128" s="326"/>
      <c r="CO128" s="326"/>
      <c r="CP128" s="327"/>
      <c r="CQ128" s="154"/>
      <c r="CR128" s="97"/>
      <c r="CS128" s="97"/>
      <c r="CT128" s="97"/>
      <c r="CU128" s="97"/>
      <c r="CV128" s="97"/>
    </row>
    <row r="129" spans="1:100" ht="15.75" customHeight="1" x14ac:dyDescent="0.25">
      <c r="A129" s="381"/>
      <c r="B129" s="326"/>
      <c r="C129" s="326"/>
      <c r="D129" s="326"/>
      <c r="E129" s="326"/>
      <c r="F129" s="326"/>
      <c r="G129" s="326"/>
      <c r="H129" s="326"/>
      <c r="I129" s="326"/>
      <c r="J129" s="326"/>
      <c r="K129" s="326"/>
      <c r="L129" s="326"/>
      <c r="M129" s="326"/>
      <c r="N129" s="326"/>
      <c r="O129" s="326"/>
      <c r="P129" s="326"/>
      <c r="Q129" s="326"/>
      <c r="R129" s="326"/>
      <c r="S129" s="326"/>
      <c r="T129" s="326"/>
      <c r="U129" s="326"/>
      <c r="V129" s="327"/>
      <c r="W129" s="713"/>
      <c r="X129" s="326"/>
      <c r="Y129" s="326"/>
      <c r="Z129" s="326"/>
      <c r="AA129" s="326"/>
      <c r="AB129" s="327"/>
      <c r="AC129" s="713"/>
      <c r="AD129" s="326"/>
      <c r="AE129" s="326"/>
      <c r="AF129" s="326"/>
      <c r="AG129" s="326"/>
      <c r="AH129" s="327"/>
      <c r="AI129" s="713"/>
      <c r="AJ129" s="326"/>
      <c r="AK129" s="326"/>
      <c r="AL129" s="326"/>
      <c r="AM129" s="326"/>
      <c r="AN129" s="327"/>
      <c r="AO129" s="381"/>
      <c r="AP129" s="326"/>
      <c r="AQ129" s="326"/>
      <c r="AR129" s="326"/>
      <c r="AS129" s="326"/>
      <c r="AT129" s="327"/>
      <c r="AU129" s="381"/>
      <c r="AV129" s="326"/>
      <c r="AW129" s="326"/>
      <c r="AX129" s="326"/>
      <c r="AY129" s="326"/>
      <c r="AZ129" s="327"/>
      <c r="BA129" s="381"/>
      <c r="BB129" s="326"/>
      <c r="BC129" s="326"/>
      <c r="BD129" s="326"/>
      <c r="BE129" s="326"/>
      <c r="BF129" s="327"/>
      <c r="BG129" s="713"/>
      <c r="BH129" s="326"/>
      <c r="BI129" s="326"/>
      <c r="BJ129" s="326"/>
      <c r="BK129" s="326"/>
      <c r="BL129" s="327"/>
      <c r="BM129" s="713"/>
      <c r="BN129" s="326"/>
      <c r="BO129" s="326"/>
      <c r="BP129" s="326"/>
      <c r="BQ129" s="326"/>
      <c r="BR129" s="327"/>
      <c r="BS129" s="713"/>
      <c r="BT129" s="326"/>
      <c r="BU129" s="326"/>
      <c r="BV129" s="326"/>
      <c r="BW129" s="326"/>
      <c r="BX129" s="327"/>
      <c r="BY129" s="713"/>
      <c r="BZ129" s="326"/>
      <c r="CA129" s="326"/>
      <c r="CB129" s="326"/>
      <c r="CC129" s="326"/>
      <c r="CD129" s="327"/>
      <c r="CE129" s="713"/>
      <c r="CF129" s="326"/>
      <c r="CG129" s="326"/>
      <c r="CH129" s="326"/>
      <c r="CI129" s="326"/>
      <c r="CJ129" s="327"/>
      <c r="CK129" s="713"/>
      <c r="CL129" s="326"/>
      <c r="CM129" s="326"/>
      <c r="CN129" s="326"/>
      <c r="CO129" s="326"/>
      <c r="CP129" s="327"/>
      <c r="CQ129" s="92"/>
    </row>
    <row r="130" spans="1:100" ht="15.75" customHeight="1" x14ac:dyDescent="0.25">
      <c r="A130" s="720" t="s">
        <v>582</v>
      </c>
      <c r="B130" s="326"/>
      <c r="C130" s="326"/>
      <c r="D130" s="326"/>
      <c r="E130" s="326"/>
      <c r="F130" s="326"/>
      <c r="G130" s="326"/>
      <c r="H130" s="326"/>
      <c r="I130" s="326"/>
      <c r="J130" s="326"/>
      <c r="K130" s="326"/>
      <c r="L130" s="326"/>
      <c r="M130" s="326"/>
      <c r="N130" s="326"/>
      <c r="O130" s="326"/>
      <c r="P130" s="326"/>
      <c r="Q130" s="326"/>
      <c r="R130" s="326"/>
      <c r="S130" s="326"/>
      <c r="T130" s="326"/>
      <c r="U130" s="326"/>
      <c r="V130" s="327"/>
      <c r="W130" s="719">
        <f>SUM(W125:W129)</f>
        <v>0</v>
      </c>
      <c r="X130" s="326"/>
      <c r="Y130" s="326"/>
      <c r="Z130" s="326"/>
      <c r="AA130" s="326"/>
      <c r="AB130" s="327"/>
      <c r="AC130" s="721">
        <f>SUM(AC125:AC129)</f>
        <v>0</v>
      </c>
      <c r="AD130" s="326"/>
      <c r="AE130" s="326"/>
      <c r="AF130" s="326"/>
      <c r="AG130" s="326"/>
      <c r="AH130" s="327"/>
      <c r="AI130" s="721">
        <f>SUM(AI125:AI129)</f>
        <v>0</v>
      </c>
      <c r="AJ130" s="326"/>
      <c r="AK130" s="326"/>
      <c r="AL130" s="326"/>
      <c r="AM130" s="326"/>
      <c r="AN130" s="327"/>
      <c r="AO130" s="718">
        <f>SUM(AO125:AO129)</f>
        <v>0</v>
      </c>
      <c r="AP130" s="326"/>
      <c r="AQ130" s="326"/>
      <c r="AR130" s="326"/>
      <c r="AS130" s="326"/>
      <c r="AT130" s="327"/>
      <c r="AU130" s="718">
        <f>SUM(AU125:AU129)</f>
        <v>0</v>
      </c>
      <c r="AV130" s="326"/>
      <c r="AW130" s="326"/>
      <c r="AX130" s="326"/>
      <c r="AY130" s="326"/>
      <c r="AZ130" s="327"/>
      <c r="BA130" s="718">
        <f>SUM(BA125:BA129)</f>
        <v>0</v>
      </c>
      <c r="BB130" s="326"/>
      <c r="BC130" s="326"/>
      <c r="BD130" s="326"/>
      <c r="BE130" s="326"/>
      <c r="BF130" s="327"/>
      <c r="BG130" s="718">
        <f>SUM(BG125:BG129)</f>
        <v>0</v>
      </c>
      <c r="BH130" s="326"/>
      <c r="BI130" s="326"/>
      <c r="BJ130" s="326"/>
      <c r="BK130" s="326"/>
      <c r="BL130" s="327"/>
      <c r="BM130" s="718">
        <f>SUM(BM125:BM129)</f>
        <v>0</v>
      </c>
      <c r="BN130" s="326"/>
      <c r="BO130" s="326"/>
      <c r="BP130" s="326"/>
      <c r="BQ130" s="326"/>
      <c r="BR130" s="327"/>
      <c r="BS130" s="718">
        <f>SUM(BS125:BS129)</f>
        <v>0</v>
      </c>
      <c r="BT130" s="326"/>
      <c r="BU130" s="326"/>
      <c r="BV130" s="326"/>
      <c r="BW130" s="326"/>
      <c r="BX130" s="327"/>
      <c r="BY130" s="719">
        <f>SUM(BY125:BY129)</f>
        <v>0</v>
      </c>
      <c r="BZ130" s="326"/>
      <c r="CA130" s="326"/>
      <c r="CB130" s="326"/>
      <c r="CC130" s="326"/>
      <c r="CD130" s="327"/>
      <c r="CE130" s="718">
        <f>SUM(CE125:CE129)</f>
        <v>0</v>
      </c>
      <c r="CF130" s="326"/>
      <c r="CG130" s="326"/>
      <c r="CH130" s="326"/>
      <c r="CI130" s="326"/>
      <c r="CJ130" s="327"/>
      <c r="CK130" s="718">
        <f>SUM(CK125:CK129)</f>
        <v>0</v>
      </c>
      <c r="CL130" s="326"/>
      <c r="CM130" s="326"/>
      <c r="CN130" s="326"/>
      <c r="CO130" s="326"/>
      <c r="CP130" s="327"/>
      <c r="CQ130" s="155"/>
      <c r="CR130" s="156"/>
      <c r="CS130" s="156"/>
      <c r="CT130" s="156"/>
      <c r="CU130" s="156"/>
      <c r="CV130" s="156"/>
    </row>
    <row r="131" spans="1:100" ht="15.75" customHeight="1" x14ac:dyDescent="0.25">
      <c r="I131" s="97"/>
    </row>
    <row r="132" spans="1:100" ht="15.75" customHeight="1" x14ac:dyDescent="0.25">
      <c r="I132" s="97"/>
    </row>
    <row r="133" spans="1:100" ht="34.5" customHeight="1" x14ac:dyDescent="0.25">
      <c r="A133" s="724" t="s">
        <v>653</v>
      </c>
      <c r="B133" s="326"/>
      <c r="C133" s="326"/>
      <c r="D133" s="326"/>
      <c r="E133" s="326"/>
      <c r="F133" s="326"/>
      <c r="G133" s="326"/>
      <c r="H133" s="326"/>
      <c r="I133" s="326"/>
      <c r="J133" s="326"/>
      <c r="K133" s="326"/>
      <c r="L133" s="326"/>
      <c r="M133" s="326"/>
      <c r="N133" s="326"/>
      <c r="O133" s="326"/>
      <c r="P133" s="326"/>
      <c r="Q133" s="326"/>
      <c r="R133" s="326"/>
      <c r="S133" s="326"/>
      <c r="T133" s="326"/>
      <c r="U133" s="326"/>
      <c r="V133" s="327"/>
      <c r="W133" s="722" t="s">
        <v>654</v>
      </c>
      <c r="X133" s="326"/>
      <c r="Y133" s="326"/>
      <c r="Z133" s="326"/>
      <c r="AA133" s="326"/>
      <c r="AB133" s="327"/>
      <c r="AC133" s="722" t="s">
        <v>464</v>
      </c>
      <c r="AD133" s="326"/>
      <c r="AE133" s="326"/>
      <c r="AF133" s="326"/>
      <c r="AG133" s="326"/>
      <c r="AH133" s="327"/>
      <c r="AI133" s="722" t="s">
        <v>465</v>
      </c>
      <c r="AJ133" s="326"/>
      <c r="AK133" s="326"/>
      <c r="AL133" s="326"/>
      <c r="AM133" s="326"/>
      <c r="AN133" s="327"/>
      <c r="AO133" s="722" t="s">
        <v>466</v>
      </c>
      <c r="AP133" s="326"/>
      <c r="AQ133" s="326"/>
      <c r="AR133" s="326"/>
      <c r="AS133" s="326"/>
      <c r="AT133" s="327"/>
      <c r="AU133" s="722" t="s">
        <v>467</v>
      </c>
      <c r="AV133" s="326"/>
      <c r="AW133" s="326"/>
      <c r="AX133" s="326"/>
      <c r="AY133" s="326"/>
      <c r="AZ133" s="327"/>
      <c r="BA133" s="722" t="s">
        <v>468</v>
      </c>
      <c r="BB133" s="326"/>
      <c r="BC133" s="326"/>
      <c r="BD133" s="326"/>
      <c r="BE133" s="326"/>
      <c r="BF133" s="327"/>
      <c r="BG133" s="722" t="s">
        <v>469</v>
      </c>
      <c r="BH133" s="326"/>
      <c r="BI133" s="326"/>
      <c r="BJ133" s="326"/>
      <c r="BK133" s="326"/>
      <c r="BL133" s="327"/>
      <c r="BM133" s="722" t="s">
        <v>470</v>
      </c>
      <c r="BN133" s="326"/>
      <c r="BO133" s="326"/>
      <c r="BP133" s="326"/>
      <c r="BQ133" s="326"/>
      <c r="BR133" s="327"/>
      <c r="BS133" s="723" t="s">
        <v>655</v>
      </c>
      <c r="BT133" s="326"/>
      <c r="BU133" s="326"/>
      <c r="BV133" s="326"/>
      <c r="BW133" s="326"/>
      <c r="BX133" s="327"/>
    </row>
    <row r="134" spans="1:100" ht="15.75" customHeight="1" x14ac:dyDescent="0.25">
      <c r="A134" s="381" t="s">
        <v>647</v>
      </c>
      <c r="B134" s="326"/>
      <c r="C134" s="326"/>
      <c r="D134" s="326"/>
      <c r="E134" s="326"/>
      <c r="F134" s="326"/>
      <c r="G134" s="326"/>
      <c r="H134" s="326"/>
      <c r="I134" s="326"/>
      <c r="J134" s="326"/>
      <c r="K134" s="326"/>
      <c r="L134" s="326"/>
      <c r="M134" s="326"/>
      <c r="N134" s="326"/>
      <c r="O134" s="326"/>
      <c r="P134" s="326"/>
      <c r="Q134" s="326"/>
      <c r="R134" s="326"/>
      <c r="S134" s="326"/>
      <c r="T134" s="326"/>
      <c r="U134" s="326"/>
      <c r="V134" s="327"/>
      <c r="W134" s="713">
        <f>COUNTIFS(TRAINING!D15:D5000,"Mandatory", TRAINING!AZ15:AZ5000,"YES")</f>
        <v>0</v>
      </c>
      <c r="X134" s="326"/>
      <c r="Y134" s="326"/>
      <c r="Z134" s="326"/>
      <c r="AA134" s="326"/>
      <c r="AB134" s="327"/>
      <c r="AC134" s="707">
        <f>COUNTIFS(TRAINING!D15:D5000,"Mandatory", TRAINING!BA15:BA5000,"YES")</f>
        <v>0</v>
      </c>
      <c r="AD134" s="326"/>
      <c r="AE134" s="326"/>
      <c r="AF134" s="326"/>
      <c r="AG134" s="326"/>
      <c r="AH134" s="327"/>
      <c r="AI134" s="707">
        <f>COUNTIFS(TRAINING!D15:D5000,"Mandatory", TRAINING!BB15:BB5000,"YES")</f>
        <v>0</v>
      </c>
      <c r="AJ134" s="326"/>
      <c r="AK134" s="326"/>
      <c r="AL134" s="326"/>
      <c r="AM134" s="326"/>
      <c r="AN134" s="327"/>
      <c r="AO134" s="707">
        <f>COUNTIFS(TRAINING!D15:D5000,"Mandatory", TRAINING!BC15:BC5000,"YES")</f>
        <v>0</v>
      </c>
      <c r="AP134" s="326"/>
      <c r="AQ134" s="326"/>
      <c r="AR134" s="326"/>
      <c r="AS134" s="326"/>
      <c r="AT134" s="327"/>
      <c r="AU134" s="707">
        <f>COUNTIFS(TRAINING!D15:D5000,"Mandatory", TRAINING!BD15:BD5000,"YES")</f>
        <v>0</v>
      </c>
      <c r="AV134" s="326"/>
      <c r="AW134" s="326"/>
      <c r="AX134" s="326"/>
      <c r="AY134" s="326"/>
      <c r="AZ134" s="327"/>
      <c r="BA134" s="707">
        <f>COUNTIFS(TRAINING!D15:D5000,"Mandatory", TRAINING!BE15:BE5000,"YES")</f>
        <v>0</v>
      </c>
      <c r="BB134" s="326"/>
      <c r="BC134" s="326"/>
      <c r="BD134" s="326"/>
      <c r="BE134" s="326"/>
      <c r="BF134" s="327"/>
      <c r="BG134" s="713">
        <f>COUNTIFS(TRAINING!D15:D5000,"Mandatory", TRAINING!BF15:BF5000,"YES")</f>
        <v>0</v>
      </c>
      <c r="BH134" s="326"/>
      <c r="BI134" s="326"/>
      <c r="BJ134" s="326"/>
      <c r="BK134" s="326"/>
      <c r="BL134" s="327"/>
      <c r="BM134" s="713">
        <f>COUNTIFS(TRAINING!D15:D5000,"Mandatory", TRAINING!BG15:BG5000,"YES")</f>
        <v>0</v>
      </c>
      <c r="BN134" s="326"/>
      <c r="BO134" s="326"/>
      <c r="BP134" s="326"/>
      <c r="BQ134" s="326"/>
      <c r="BR134" s="327"/>
      <c r="BS134" s="713">
        <f>COUNTIFS(TRAINING!D15:D5000,"Mandatory", TRAINING!BH15:BH5000,"YES")</f>
        <v>0</v>
      </c>
      <c r="BT134" s="326"/>
      <c r="BU134" s="326"/>
      <c r="BV134" s="326"/>
      <c r="BW134" s="326"/>
      <c r="BX134" s="327"/>
    </row>
    <row r="135" spans="1:100" ht="15.75" customHeight="1" x14ac:dyDescent="0.25">
      <c r="A135" s="381" t="s">
        <v>648</v>
      </c>
      <c r="B135" s="326"/>
      <c r="C135" s="326"/>
      <c r="D135" s="326"/>
      <c r="E135" s="326"/>
      <c r="F135" s="326"/>
      <c r="G135" s="326"/>
      <c r="H135" s="326"/>
      <c r="I135" s="326"/>
      <c r="J135" s="326"/>
      <c r="K135" s="326"/>
      <c r="L135" s="326"/>
      <c r="M135" s="326"/>
      <c r="N135" s="326"/>
      <c r="O135" s="326"/>
      <c r="P135" s="326"/>
      <c r="Q135" s="326"/>
      <c r="R135" s="326"/>
      <c r="S135" s="326"/>
      <c r="T135" s="326"/>
      <c r="U135" s="326"/>
      <c r="V135" s="327"/>
      <c r="W135" s="713">
        <f>COUNTIFS(TRAINING!D15:D5000,"Evidence Based Training (EBT)", TRAINING!AZ15:AZ5000,"YES")</f>
        <v>0</v>
      </c>
      <c r="X135" s="326"/>
      <c r="Y135" s="326"/>
      <c r="Z135" s="326"/>
      <c r="AA135" s="326"/>
      <c r="AB135" s="327"/>
      <c r="AC135" s="707">
        <f>COUNTIFS(TRAINING!D15:D5000,"Evidence Based Training (EBT)", TRAINING!BA15:BA5000,"YES")</f>
        <v>0</v>
      </c>
      <c r="AD135" s="326"/>
      <c r="AE135" s="326"/>
      <c r="AF135" s="326"/>
      <c r="AG135" s="326"/>
      <c r="AH135" s="327"/>
      <c r="AI135" s="707">
        <f>COUNTIFS(TRAINING!D15:D5000,"Evidence Based Training (EBT)", TRAINING!BB15:BB5000,"YES")</f>
        <v>0</v>
      </c>
      <c r="AJ135" s="326"/>
      <c r="AK135" s="326"/>
      <c r="AL135" s="326"/>
      <c r="AM135" s="326"/>
      <c r="AN135" s="327"/>
      <c r="AO135" s="707">
        <f>COUNTIFS(TRAINING!D15:D5000,"Evidence Based Training (EBT)", TRAINING!BC15:BC5000,"YES")</f>
        <v>0</v>
      </c>
      <c r="AP135" s="326"/>
      <c r="AQ135" s="326"/>
      <c r="AR135" s="326"/>
      <c r="AS135" s="326"/>
      <c r="AT135" s="327"/>
      <c r="AU135" s="707">
        <f>COUNTIFS(TRAINING!D15:D5000,"Evidence Based Training (EBT)", TRAINING!BD15:BD5000,"YES")</f>
        <v>0</v>
      </c>
      <c r="AV135" s="326"/>
      <c r="AW135" s="326"/>
      <c r="AX135" s="326"/>
      <c r="AY135" s="326"/>
      <c r="AZ135" s="327"/>
      <c r="BA135" s="707">
        <f>COUNTIFS(TRAINING!D15:D5000,"Evidence Based Training (EBT)", TRAINING!BE15:BE5000,"YES")</f>
        <v>0</v>
      </c>
      <c r="BB135" s="326"/>
      <c r="BC135" s="326"/>
      <c r="BD135" s="326"/>
      <c r="BE135" s="326"/>
      <c r="BF135" s="327"/>
      <c r="BG135" s="713">
        <f>COUNTIFS(TRAINING!D15:D5000,"Evidence Based Training (EBT)", TRAINING!BF15:BF5000,"YES")</f>
        <v>0</v>
      </c>
      <c r="BH135" s="326"/>
      <c r="BI135" s="326"/>
      <c r="BJ135" s="326"/>
      <c r="BK135" s="326"/>
      <c r="BL135" s="327"/>
      <c r="BM135" s="713">
        <f>COUNTIFS(TRAINING!D15:D5000,"Evidence Based Training (EBT)", TRAINING!BG15:BG5000,"YES")</f>
        <v>0</v>
      </c>
      <c r="BN135" s="326"/>
      <c r="BO135" s="326"/>
      <c r="BP135" s="326"/>
      <c r="BQ135" s="326"/>
      <c r="BR135" s="327"/>
      <c r="BS135" s="713">
        <f>COUNTIFS(TRAINING!D15:D5000,"Evidence Based Training (EBT)", TRAINING!BH15:BH5000,"YES")</f>
        <v>0</v>
      </c>
      <c r="BT135" s="326"/>
      <c r="BU135" s="326"/>
      <c r="BV135" s="326"/>
      <c r="BW135" s="326"/>
      <c r="BX135" s="327"/>
    </row>
    <row r="136" spans="1:100" ht="15.75" customHeight="1" x14ac:dyDescent="0.25">
      <c r="A136" s="381" t="s">
        <v>649</v>
      </c>
      <c r="B136" s="326"/>
      <c r="C136" s="326"/>
      <c r="D136" s="326"/>
      <c r="E136" s="326"/>
      <c r="F136" s="326"/>
      <c r="G136" s="326"/>
      <c r="H136" s="326"/>
      <c r="I136" s="326"/>
      <c r="J136" s="326"/>
      <c r="K136" s="326"/>
      <c r="L136" s="326"/>
      <c r="M136" s="326"/>
      <c r="N136" s="326"/>
      <c r="O136" s="326"/>
      <c r="P136" s="326"/>
      <c r="Q136" s="326"/>
      <c r="R136" s="326"/>
      <c r="S136" s="326"/>
      <c r="T136" s="326"/>
      <c r="U136" s="326"/>
      <c r="V136" s="327"/>
      <c r="W136" s="713">
        <f>COUNTIFS(TRAINING!D15:D5000,"Both Mandatory and EBT", TRAINING!AZ15:AZ5000,"YES")</f>
        <v>0</v>
      </c>
      <c r="X136" s="326"/>
      <c r="Y136" s="326"/>
      <c r="Z136" s="326"/>
      <c r="AA136" s="326"/>
      <c r="AB136" s="327"/>
      <c r="AC136" s="707">
        <f>COUNTIFS(TRAINING!D15:D5000,"Both Mandatory and EBT", TRAINING!BA15:BA5000,"YES")</f>
        <v>0</v>
      </c>
      <c r="AD136" s="326"/>
      <c r="AE136" s="326"/>
      <c r="AF136" s="326"/>
      <c r="AG136" s="326"/>
      <c r="AH136" s="327"/>
      <c r="AI136" s="707">
        <f>COUNTIFS(TRAINING!D15:D5000,"Both Mandatory and EBT", TRAINING!BB15:BB5000,"YES")</f>
        <v>0</v>
      </c>
      <c r="AJ136" s="326"/>
      <c r="AK136" s="326"/>
      <c r="AL136" s="326"/>
      <c r="AM136" s="326"/>
      <c r="AN136" s="327"/>
      <c r="AO136" s="707">
        <f>COUNTIFS(TRAINING!D15:D5000,"Both Mandatory and EBT", TRAINING!BC15:BC5000,"YES")</f>
        <v>0</v>
      </c>
      <c r="AP136" s="326"/>
      <c r="AQ136" s="326"/>
      <c r="AR136" s="326"/>
      <c r="AS136" s="326"/>
      <c r="AT136" s="327"/>
      <c r="AU136" s="707">
        <f>COUNTIFS(TRAINING!D15:D5000,"Both Mandatory and EBT", TRAINING!BD15:BD5000,"YES")</f>
        <v>0</v>
      </c>
      <c r="AV136" s="326"/>
      <c r="AW136" s="326"/>
      <c r="AX136" s="326"/>
      <c r="AY136" s="326"/>
      <c r="AZ136" s="327"/>
      <c r="BA136" s="707">
        <f>COUNTIFS(TRAINING!D15:D5000,"Both Mandatory and EBT", TRAINING!BE15:BE5000,"YES")</f>
        <v>0</v>
      </c>
      <c r="BB136" s="326"/>
      <c r="BC136" s="326"/>
      <c r="BD136" s="326"/>
      <c r="BE136" s="326"/>
      <c r="BF136" s="327"/>
      <c r="BG136" s="713">
        <f>COUNTIFS(TRAINING!D15:D5000,"Both Mandatory and EBT", TRAINING!BF15:BF5000,"YES")</f>
        <v>0</v>
      </c>
      <c r="BH136" s="326"/>
      <c r="BI136" s="326"/>
      <c r="BJ136" s="326"/>
      <c r="BK136" s="326"/>
      <c r="BL136" s="327"/>
      <c r="BM136" s="713">
        <f>COUNTIFS(TRAINING!D15:D5000,"Both Mandatory and EBT", TRAINING!BG15:BG5000,"YES")</f>
        <v>0</v>
      </c>
      <c r="BN136" s="326"/>
      <c r="BO136" s="326"/>
      <c r="BP136" s="326"/>
      <c r="BQ136" s="326"/>
      <c r="BR136" s="327"/>
      <c r="BS136" s="713">
        <f>COUNTIFS(TRAINING!D15:D5000,"Both Mandatory and EBT", TRAINING!BH15:BH5000,"YES")</f>
        <v>0</v>
      </c>
      <c r="BT136" s="326"/>
      <c r="BU136" s="326"/>
      <c r="BV136" s="326"/>
      <c r="BW136" s="326"/>
      <c r="BX136" s="327"/>
    </row>
    <row r="137" spans="1:100" ht="15.75" customHeight="1" x14ac:dyDescent="0.25">
      <c r="A137" s="381" t="s">
        <v>650</v>
      </c>
      <c r="B137" s="326"/>
      <c r="C137" s="326"/>
      <c r="D137" s="326"/>
      <c r="E137" s="326"/>
      <c r="F137" s="326"/>
      <c r="G137" s="326"/>
      <c r="H137" s="326"/>
      <c r="I137" s="326"/>
      <c r="J137" s="326"/>
      <c r="K137" s="326"/>
      <c r="L137" s="326"/>
      <c r="M137" s="326"/>
      <c r="N137" s="326"/>
      <c r="O137" s="326"/>
      <c r="P137" s="326"/>
      <c r="Q137" s="326"/>
      <c r="R137" s="326"/>
      <c r="S137" s="326"/>
      <c r="T137" s="326"/>
      <c r="U137" s="326"/>
      <c r="V137" s="327"/>
      <c r="W137" s="713">
        <f>COUNTIFS(TRAINING!D15:D5000,"Other (Specify in Notes)", TRAINING!AZ15:AZ5000,"YES")</f>
        <v>0</v>
      </c>
      <c r="X137" s="326"/>
      <c r="Y137" s="326"/>
      <c r="Z137" s="326"/>
      <c r="AA137" s="326"/>
      <c r="AB137" s="327"/>
      <c r="AC137" s="707">
        <f>COUNTIFS(TRAINING!D15:D5000,"Other (Specify in Notes)", TRAINING!BA15:BA5000,"YES")</f>
        <v>0</v>
      </c>
      <c r="AD137" s="326"/>
      <c r="AE137" s="326"/>
      <c r="AF137" s="326"/>
      <c r="AG137" s="326"/>
      <c r="AH137" s="327"/>
      <c r="AI137" s="707">
        <f>COUNTIFS(TRAINING!D15:D5000,"Other (Specify in Notes)", TRAINING!BB15:BB5000,"YES")</f>
        <v>0</v>
      </c>
      <c r="AJ137" s="326"/>
      <c r="AK137" s="326"/>
      <c r="AL137" s="326"/>
      <c r="AM137" s="326"/>
      <c r="AN137" s="327"/>
      <c r="AO137" s="707">
        <f>COUNTIFS(TRAINING!D15:D5000,"Other (Specify in Notes)", TRAINING!BC15:BC5000,"YES")</f>
        <v>0</v>
      </c>
      <c r="AP137" s="326"/>
      <c r="AQ137" s="326"/>
      <c r="AR137" s="326"/>
      <c r="AS137" s="326"/>
      <c r="AT137" s="327"/>
      <c r="AU137" s="707">
        <f>COUNTIFS(TRAINING!D15:D5000,"Other (Specify in Notes)", TRAINING!BD15:BD5000,"YES")</f>
        <v>0</v>
      </c>
      <c r="AV137" s="326"/>
      <c r="AW137" s="326"/>
      <c r="AX137" s="326"/>
      <c r="AY137" s="326"/>
      <c r="AZ137" s="327"/>
      <c r="BA137" s="707">
        <f>COUNTIFS(TRAINING!D15:D5000,"Other (Specify in Notes)", TRAINING!BE15:BE5000,"YES")</f>
        <v>0</v>
      </c>
      <c r="BB137" s="326"/>
      <c r="BC137" s="326"/>
      <c r="BD137" s="326"/>
      <c r="BE137" s="326"/>
      <c r="BF137" s="327"/>
      <c r="BG137" s="713">
        <f>COUNTIFS(TRAINING!D15:D5000,"Other (Specify in Notes)", TRAINING!BF15:BF5000,"YES")</f>
        <v>0</v>
      </c>
      <c r="BH137" s="326"/>
      <c r="BI137" s="326"/>
      <c r="BJ137" s="326"/>
      <c r="BK137" s="326"/>
      <c r="BL137" s="327"/>
      <c r="BM137" s="713">
        <f>COUNTIFS(TRAINING!D15:D5000,"Other (Specify in Notes)", TRAINING!BG15:BG5000,"YES")</f>
        <v>0</v>
      </c>
      <c r="BN137" s="326"/>
      <c r="BO137" s="326"/>
      <c r="BP137" s="326"/>
      <c r="BQ137" s="326"/>
      <c r="BR137" s="327"/>
      <c r="BS137" s="713">
        <f>COUNTIFS(TRAINING!D15:D5000,"Other (Specify in Notes)", TRAINING!BH15:BH5000,"YES")</f>
        <v>0</v>
      </c>
      <c r="BT137" s="326"/>
      <c r="BU137" s="326"/>
      <c r="BV137" s="326"/>
      <c r="BW137" s="326"/>
      <c r="BX137" s="327"/>
    </row>
    <row r="138" spans="1:100" ht="15.75" customHeight="1" x14ac:dyDescent="0.25">
      <c r="A138" s="381"/>
      <c r="B138" s="326"/>
      <c r="C138" s="326"/>
      <c r="D138" s="326"/>
      <c r="E138" s="326"/>
      <c r="F138" s="326"/>
      <c r="G138" s="326"/>
      <c r="H138" s="326"/>
      <c r="I138" s="326"/>
      <c r="J138" s="326"/>
      <c r="K138" s="326"/>
      <c r="L138" s="326"/>
      <c r="M138" s="326"/>
      <c r="N138" s="326"/>
      <c r="O138" s="326"/>
      <c r="P138" s="326"/>
      <c r="Q138" s="326"/>
      <c r="R138" s="326"/>
      <c r="S138" s="326"/>
      <c r="T138" s="326"/>
      <c r="U138" s="326"/>
      <c r="V138" s="327"/>
      <c r="W138" s="713"/>
      <c r="X138" s="326"/>
      <c r="Y138" s="326"/>
      <c r="Z138" s="326"/>
      <c r="AA138" s="326"/>
      <c r="AB138" s="327"/>
      <c r="AC138" s="713"/>
      <c r="AD138" s="326"/>
      <c r="AE138" s="326"/>
      <c r="AF138" s="326"/>
      <c r="AG138" s="326"/>
      <c r="AH138" s="327"/>
      <c r="AI138" s="713"/>
      <c r="AJ138" s="326"/>
      <c r="AK138" s="326"/>
      <c r="AL138" s="326"/>
      <c r="AM138" s="326"/>
      <c r="AN138" s="327"/>
      <c r="AO138" s="381"/>
      <c r="AP138" s="326"/>
      <c r="AQ138" s="326"/>
      <c r="AR138" s="326"/>
      <c r="AS138" s="326"/>
      <c r="AT138" s="327"/>
      <c r="AU138" s="381"/>
      <c r="AV138" s="326"/>
      <c r="AW138" s="326"/>
      <c r="AX138" s="326"/>
      <c r="AY138" s="326"/>
      <c r="AZ138" s="327"/>
      <c r="BA138" s="381"/>
      <c r="BB138" s="326"/>
      <c r="BC138" s="326"/>
      <c r="BD138" s="326"/>
      <c r="BE138" s="326"/>
      <c r="BF138" s="327"/>
      <c r="BG138" s="713"/>
      <c r="BH138" s="326"/>
      <c r="BI138" s="326"/>
      <c r="BJ138" s="326"/>
      <c r="BK138" s="326"/>
      <c r="BL138" s="327"/>
      <c r="BM138" s="713"/>
      <c r="BN138" s="326"/>
      <c r="BO138" s="326"/>
      <c r="BP138" s="326"/>
      <c r="BQ138" s="326"/>
      <c r="BR138" s="327"/>
      <c r="BS138" s="713"/>
      <c r="BT138" s="326"/>
      <c r="BU138" s="326"/>
      <c r="BV138" s="326"/>
      <c r="BW138" s="326"/>
      <c r="BX138" s="327"/>
    </row>
    <row r="139" spans="1:100" ht="15.75" customHeight="1" x14ac:dyDescent="0.25">
      <c r="A139" s="739" t="s">
        <v>582</v>
      </c>
      <c r="B139" s="326"/>
      <c r="C139" s="326"/>
      <c r="D139" s="326"/>
      <c r="E139" s="326"/>
      <c r="F139" s="326"/>
      <c r="G139" s="326"/>
      <c r="H139" s="326"/>
      <c r="I139" s="326"/>
      <c r="J139" s="326"/>
      <c r="K139" s="326"/>
      <c r="L139" s="326"/>
      <c r="M139" s="326"/>
      <c r="N139" s="326"/>
      <c r="O139" s="326"/>
      <c r="P139" s="326"/>
      <c r="Q139" s="326"/>
      <c r="R139" s="326"/>
      <c r="S139" s="326"/>
      <c r="T139" s="326"/>
      <c r="U139" s="326"/>
      <c r="V139" s="327"/>
      <c r="W139" s="714">
        <f>SUM(W134:W138)</f>
        <v>0</v>
      </c>
      <c r="X139" s="326"/>
      <c r="Y139" s="326"/>
      <c r="Z139" s="326"/>
      <c r="AA139" s="326"/>
      <c r="AB139" s="327"/>
      <c r="AC139" s="715">
        <f>SUM(AC134:AC138)</f>
        <v>0</v>
      </c>
      <c r="AD139" s="326"/>
      <c r="AE139" s="326"/>
      <c r="AF139" s="326"/>
      <c r="AG139" s="326"/>
      <c r="AH139" s="327"/>
      <c r="AI139" s="715">
        <f>SUM(AI134:AI138)</f>
        <v>0</v>
      </c>
      <c r="AJ139" s="326"/>
      <c r="AK139" s="326"/>
      <c r="AL139" s="326"/>
      <c r="AM139" s="326"/>
      <c r="AN139" s="327"/>
      <c r="AO139" s="716">
        <f>SUM(AO134:AO138)</f>
        <v>0</v>
      </c>
      <c r="AP139" s="326"/>
      <c r="AQ139" s="326"/>
      <c r="AR139" s="326"/>
      <c r="AS139" s="326"/>
      <c r="AT139" s="327"/>
      <c r="AU139" s="716">
        <f>SUM(AU134:AU138)</f>
        <v>0</v>
      </c>
      <c r="AV139" s="326"/>
      <c r="AW139" s="326"/>
      <c r="AX139" s="326"/>
      <c r="AY139" s="326"/>
      <c r="AZ139" s="327"/>
      <c r="BA139" s="716">
        <f>SUM(BA134:BA138)</f>
        <v>0</v>
      </c>
      <c r="BB139" s="326"/>
      <c r="BC139" s="326"/>
      <c r="BD139" s="326"/>
      <c r="BE139" s="326"/>
      <c r="BF139" s="327"/>
      <c r="BG139" s="716">
        <f>SUM(BG134:BG138)</f>
        <v>0</v>
      </c>
      <c r="BH139" s="326"/>
      <c r="BI139" s="326"/>
      <c r="BJ139" s="326"/>
      <c r="BK139" s="326"/>
      <c r="BL139" s="327"/>
      <c r="BM139" s="716">
        <f>SUM(BM134:BM138)</f>
        <v>0</v>
      </c>
      <c r="BN139" s="326"/>
      <c r="BO139" s="326"/>
      <c r="BP139" s="326"/>
      <c r="BQ139" s="326"/>
      <c r="BR139" s="327"/>
      <c r="BS139" s="716">
        <f>SUM(BS134:BS138)</f>
        <v>0</v>
      </c>
      <c r="BT139" s="326"/>
      <c r="BU139" s="326"/>
      <c r="BV139" s="326"/>
      <c r="BW139" s="326"/>
      <c r="BX139" s="327"/>
    </row>
    <row r="140" spans="1:100" ht="15.75" customHeight="1" x14ac:dyDescent="0.25">
      <c r="I140" s="97"/>
    </row>
    <row r="141" spans="1:100" ht="15.75" customHeight="1" x14ac:dyDescent="0.3">
      <c r="A141" s="717" t="s">
        <v>656</v>
      </c>
      <c r="B141" s="347"/>
      <c r="C141" s="347"/>
      <c r="D141" s="347"/>
      <c r="E141" s="347"/>
      <c r="F141" s="347"/>
      <c r="G141" s="347"/>
      <c r="H141" s="347"/>
      <c r="I141" s="347"/>
      <c r="J141" s="347"/>
      <c r="K141" s="347"/>
      <c r="L141" s="347"/>
      <c r="M141" s="347"/>
      <c r="N141" s="347"/>
      <c r="O141" s="347"/>
      <c r="P141" s="347"/>
      <c r="Q141" s="347"/>
      <c r="R141" s="347"/>
      <c r="S141" s="347"/>
      <c r="T141" s="347"/>
      <c r="U141" s="347"/>
      <c r="V141" s="347"/>
      <c r="W141" s="347"/>
      <c r="X141" s="347"/>
      <c r="Y141" s="347"/>
      <c r="Z141" s="347"/>
      <c r="AA141" s="347"/>
      <c r="AB141" s="347"/>
      <c r="AC141" s="347"/>
      <c r="AD141" s="347"/>
      <c r="AE141" s="347"/>
      <c r="AF141" s="347"/>
      <c r="AG141" s="347"/>
      <c r="AH141" s="347"/>
      <c r="AI141" s="347"/>
      <c r="AJ141" s="347"/>
      <c r="AK141" s="347"/>
      <c r="AL141" s="347"/>
      <c r="AM141" s="347"/>
      <c r="AN141" s="347"/>
      <c r="AO141" s="347"/>
      <c r="AP141" s="347"/>
      <c r="AQ141" s="347"/>
      <c r="AR141" s="347"/>
      <c r="AS141" s="347"/>
      <c r="AT141" s="347"/>
      <c r="AU141" s="347"/>
      <c r="AV141" s="347"/>
      <c r="AW141" s="347"/>
      <c r="AX141" s="347"/>
      <c r="AY141" s="347"/>
      <c r="AZ141" s="347"/>
      <c r="BA141" s="347"/>
      <c r="BB141" s="347"/>
      <c r="BC141" s="347"/>
      <c r="BD141" s="347"/>
      <c r="BE141" s="347"/>
      <c r="BF141" s="347"/>
      <c r="BG141" s="347"/>
      <c r="BH141" s="347"/>
      <c r="BI141" s="347"/>
      <c r="BJ141" s="347"/>
      <c r="BK141" s="347"/>
      <c r="BL141" s="347"/>
      <c r="BM141" s="347"/>
      <c r="BN141" s="347"/>
      <c r="BO141" s="347"/>
      <c r="BP141" s="347"/>
      <c r="BQ141" s="347"/>
      <c r="BR141" s="347"/>
      <c r="BS141" s="347"/>
      <c r="BT141" s="347"/>
      <c r="BU141" s="347"/>
      <c r="BV141" s="347"/>
      <c r="BW141" s="347"/>
      <c r="BX141" s="347"/>
      <c r="BY141" s="347"/>
      <c r="BZ141" s="347"/>
      <c r="CA141" s="347"/>
      <c r="CB141" s="347"/>
      <c r="CC141" s="347"/>
      <c r="CD141" s="347"/>
      <c r="CE141" s="347"/>
      <c r="CF141" s="347"/>
      <c r="CG141" s="347"/>
      <c r="CH141" s="347"/>
      <c r="CI141" s="347"/>
      <c r="CJ141" s="347"/>
      <c r="CK141" s="347"/>
      <c r="CL141" s="347"/>
      <c r="CM141" s="347"/>
      <c r="CN141" s="347"/>
      <c r="CO141" s="347"/>
      <c r="CP141" s="347"/>
      <c r="CQ141" s="347"/>
      <c r="CR141" s="347"/>
      <c r="CS141" s="347"/>
      <c r="CT141" s="347"/>
      <c r="CU141" s="347"/>
      <c r="CV141" s="354"/>
    </row>
    <row r="142" spans="1:100" ht="15.75" customHeight="1" x14ac:dyDescent="0.3">
      <c r="A142" s="157"/>
      <c r="B142" s="157"/>
      <c r="C142" s="157"/>
      <c r="D142" s="157"/>
      <c r="E142" s="157"/>
      <c r="F142" s="157"/>
      <c r="G142" s="157"/>
      <c r="H142" s="157"/>
      <c r="I142" s="158"/>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7"/>
      <c r="AL142" s="157"/>
      <c r="AM142" s="157"/>
      <c r="AN142" s="157"/>
      <c r="AO142" s="157"/>
      <c r="AP142" s="157"/>
      <c r="AQ142" s="157"/>
      <c r="AR142" s="157"/>
      <c r="AS142" s="157"/>
      <c r="AT142" s="157"/>
      <c r="AU142" s="157"/>
      <c r="AV142" s="157"/>
      <c r="AW142" s="157"/>
      <c r="AX142" s="157"/>
      <c r="AY142" s="157"/>
      <c r="AZ142" s="157"/>
      <c r="BA142" s="157"/>
      <c r="BB142" s="157"/>
      <c r="BC142" s="157"/>
      <c r="BD142" s="157"/>
      <c r="BE142" s="157"/>
      <c r="BF142" s="157"/>
      <c r="BG142" s="157"/>
      <c r="BH142" s="157"/>
      <c r="BI142" s="157"/>
      <c r="BJ142" s="157"/>
      <c r="BK142" s="157"/>
      <c r="BL142" s="157"/>
      <c r="BM142" s="157"/>
      <c r="BN142" s="157"/>
      <c r="BO142" s="157"/>
      <c r="BP142" s="157"/>
      <c r="BQ142" s="157"/>
      <c r="BR142" s="157"/>
      <c r="BS142" s="157"/>
      <c r="BT142" s="157"/>
      <c r="BU142" s="157"/>
      <c r="BV142" s="157"/>
      <c r="BW142" s="157"/>
      <c r="BX142" s="157"/>
      <c r="BY142" s="157"/>
      <c r="BZ142" s="157"/>
      <c r="CA142" s="157"/>
      <c r="CB142" s="157"/>
      <c r="CC142" s="157"/>
      <c r="CD142" s="157"/>
      <c r="CE142" s="157"/>
      <c r="CF142" s="157"/>
      <c r="CG142" s="157"/>
      <c r="CH142" s="157"/>
      <c r="CI142" s="157"/>
      <c r="CJ142" s="157"/>
      <c r="CK142" s="157"/>
      <c r="CL142" s="157"/>
      <c r="CM142" s="157"/>
      <c r="CN142" s="157"/>
      <c r="CO142" s="157"/>
      <c r="CP142" s="157"/>
      <c r="CQ142" s="157"/>
      <c r="CR142" s="157"/>
      <c r="CS142" s="157"/>
      <c r="CT142" s="157"/>
      <c r="CU142" s="157"/>
      <c r="CV142" s="157"/>
    </row>
    <row r="143" spans="1:100" ht="15.75" customHeight="1" x14ac:dyDescent="0.3">
      <c r="A143" s="726" t="s">
        <v>484</v>
      </c>
      <c r="B143" s="347"/>
      <c r="C143" s="347"/>
      <c r="D143" s="347"/>
      <c r="E143" s="347"/>
      <c r="F143" s="347"/>
      <c r="G143" s="347"/>
      <c r="H143" s="347"/>
      <c r="I143" s="347"/>
      <c r="J143" s="347"/>
      <c r="K143" s="347"/>
      <c r="L143" s="347"/>
      <c r="M143" s="347"/>
      <c r="N143" s="347"/>
      <c r="O143" s="347"/>
      <c r="P143" s="347"/>
      <c r="Q143" s="347"/>
      <c r="R143" s="347"/>
      <c r="S143" s="347"/>
      <c r="T143" s="347"/>
      <c r="U143" s="354"/>
      <c r="V143" s="157"/>
      <c r="W143" s="157"/>
      <c r="X143" s="726" t="s">
        <v>657</v>
      </c>
      <c r="Y143" s="347"/>
      <c r="Z143" s="347"/>
      <c r="AA143" s="347"/>
      <c r="AB143" s="347"/>
      <c r="AC143" s="347"/>
      <c r="AD143" s="347"/>
      <c r="AE143" s="347"/>
      <c r="AF143" s="347"/>
      <c r="AG143" s="347"/>
      <c r="AH143" s="347"/>
      <c r="AI143" s="347"/>
      <c r="AJ143" s="347"/>
      <c r="AK143" s="347"/>
      <c r="AL143" s="347"/>
      <c r="AM143" s="347"/>
      <c r="AN143" s="347"/>
      <c r="AO143" s="347"/>
      <c r="AP143" s="347"/>
      <c r="AQ143" s="347"/>
      <c r="AR143" s="354"/>
      <c r="AS143" s="157"/>
      <c r="AT143" s="157"/>
      <c r="AU143" s="157"/>
      <c r="AV143" s="157"/>
      <c r="AW143" s="157"/>
      <c r="AX143" s="157"/>
      <c r="AY143" s="157"/>
      <c r="AZ143" s="157"/>
      <c r="BA143" s="157"/>
      <c r="BB143" s="157"/>
      <c r="BC143" s="157"/>
      <c r="BD143" s="157"/>
      <c r="BE143" s="157"/>
      <c r="BF143" s="157"/>
      <c r="BG143" s="157"/>
      <c r="BH143" s="157"/>
      <c r="BI143" s="157"/>
      <c r="BJ143" s="157"/>
      <c r="BK143" s="157"/>
      <c r="BL143" s="157"/>
      <c r="BM143" s="157"/>
      <c r="BN143" s="157"/>
      <c r="BO143" s="157"/>
      <c r="BP143" s="157"/>
      <c r="BQ143" s="157"/>
      <c r="BR143" s="157"/>
      <c r="BS143" s="157"/>
      <c r="BT143" s="157"/>
      <c r="BU143" s="157"/>
      <c r="BV143" s="157"/>
      <c r="BW143" s="157"/>
      <c r="BX143" s="157"/>
      <c r="BY143" s="157"/>
      <c r="BZ143" s="157"/>
      <c r="CA143" s="157"/>
      <c r="CB143" s="157"/>
      <c r="CC143" s="157"/>
      <c r="CD143" s="157"/>
      <c r="CE143" s="157"/>
      <c r="CF143" s="157"/>
      <c r="CG143" s="157"/>
      <c r="CH143" s="157"/>
      <c r="CI143" s="157"/>
      <c r="CJ143" s="157"/>
      <c r="CK143" s="157"/>
      <c r="CL143" s="157"/>
      <c r="CM143" s="157"/>
      <c r="CN143" s="157"/>
      <c r="CO143" s="157"/>
      <c r="CP143" s="157"/>
      <c r="CQ143" s="157"/>
      <c r="CR143" s="157"/>
      <c r="CS143" s="157"/>
      <c r="CT143" s="157"/>
      <c r="CU143" s="157"/>
      <c r="CV143" s="157"/>
    </row>
    <row r="144" spans="1:100" ht="15.75" customHeight="1" x14ac:dyDescent="0.3">
      <c r="A144" s="140"/>
      <c r="B144" s="140" t="s">
        <v>658</v>
      </c>
      <c r="C144" s="140"/>
      <c r="D144" s="140"/>
      <c r="E144" s="140"/>
      <c r="F144" s="140"/>
      <c r="G144" s="141"/>
      <c r="H144" s="141"/>
      <c r="I144" s="141"/>
      <c r="J144" s="141"/>
      <c r="K144" s="141"/>
      <c r="L144" s="141"/>
      <c r="M144" s="141"/>
      <c r="N144" s="141"/>
      <c r="O144" s="141"/>
      <c r="P144" s="141"/>
      <c r="Q144" s="141"/>
      <c r="R144" s="141"/>
      <c r="S144" s="141"/>
      <c r="T144" s="141"/>
      <c r="U144" s="141"/>
      <c r="V144" s="157"/>
      <c r="W144" s="157"/>
      <c r="X144" s="140"/>
      <c r="Y144" s="140" t="s">
        <v>658</v>
      </c>
      <c r="Z144" s="140"/>
      <c r="AA144" s="140"/>
      <c r="AB144" s="140"/>
      <c r="AC144" s="140"/>
      <c r="AD144" s="141"/>
      <c r="AE144" s="141"/>
      <c r="AF144" s="141"/>
      <c r="AG144" s="141"/>
      <c r="AH144" s="141"/>
      <c r="AI144" s="141"/>
      <c r="AJ144" s="141"/>
      <c r="AK144" s="141"/>
      <c r="AL144" s="141"/>
      <c r="AM144" s="141"/>
      <c r="AN144" s="141"/>
      <c r="AO144" s="141"/>
      <c r="AP144" s="141"/>
      <c r="AQ144" s="141"/>
      <c r="AR144" s="141"/>
      <c r="AS144" s="157"/>
      <c r="AT144" s="157"/>
      <c r="AU144" s="157"/>
      <c r="AV144" s="157"/>
      <c r="AW144" s="157"/>
      <c r="AX144" s="157"/>
      <c r="AY144" s="157"/>
      <c r="AZ144" s="157"/>
      <c r="BA144" s="157"/>
      <c r="BB144" s="157"/>
      <c r="BC144" s="157"/>
      <c r="BD144" s="157"/>
      <c r="BE144" s="157"/>
      <c r="BF144" s="157"/>
      <c r="BG144" s="157"/>
      <c r="BH144" s="157"/>
      <c r="BI144" s="157"/>
      <c r="BJ144" s="157"/>
      <c r="BK144" s="157"/>
      <c r="BL144" s="157"/>
      <c r="BM144" s="157"/>
      <c r="BN144" s="157"/>
      <c r="BO144" s="157"/>
      <c r="BP144" s="157"/>
      <c r="BQ144" s="157"/>
      <c r="BR144" s="157"/>
      <c r="BS144" s="157"/>
      <c r="BT144" s="157"/>
      <c r="BU144" s="157"/>
      <c r="BV144" s="157"/>
      <c r="BW144" s="157"/>
      <c r="BX144" s="157"/>
      <c r="BY144" s="157"/>
      <c r="BZ144" s="157"/>
      <c r="CA144" s="157"/>
      <c r="CB144" s="157"/>
      <c r="CC144" s="157"/>
      <c r="CD144" s="157"/>
      <c r="CE144" s="157"/>
      <c r="CF144" s="157"/>
      <c r="CG144" s="157"/>
      <c r="CH144" s="157"/>
      <c r="CI144" s="157"/>
      <c r="CJ144" s="157"/>
      <c r="CK144" s="157"/>
      <c r="CL144" s="157"/>
      <c r="CM144" s="157"/>
      <c r="CN144" s="157"/>
      <c r="CO144" s="157"/>
      <c r="CP144" s="157"/>
      <c r="CQ144" s="157"/>
      <c r="CR144" s="157"/>
      <c r="CS144" s="157"/>
      <c r="CT144" s="157"/>
      <c r="CU144" s="157"/>
      <c r="CV144" s="157"/>
    </row>
    <row r="145" spans="1:100" ht="15.75" customHeight="1" x14ac:dyDescent="0.3">
      <c r="A145" s="663" t="s">
        <v>505</v>
      </c>
      <c r="B145" s="326"/>
      <c r="C145" s="326"/>
      <c r="D145" s="326"/>
      <c r="E145" s="326"/>
      <c r="F145" s="326"/>
      <c r="G145" s="326"/>
      <c r="H145" s="327"/>
      <c r="I145" s="707">
        <f>COUNTIF('Naloxone Training Distribution'!R15:R4940, "YES")</f>
        <v>0</v>
      </c>
      <c r="J145" s="326"/>
      <c r="K145" s="326"/>
      <c r="L145" s="326"/>
      <c r="M145" s="326"/>
      <c r="N145" s="326"/>
      <c r="O145" s="327"/>
      <c r="P145" s="142"/>
      <c r="Q145" s="142"/>
      <c r="R145" s="142"/>
      <c r="S145" s="142"/>
      <c r="T145" s="142"/>
      <c r="U145" s="142"/>
      <c r="V145" s="157"/>
      <c r="W145" s="157"/>
      <c r="X145" s="663" t="s">
        <v>505</v>
      </c>
      <c r="Y145" s="326"/>
      <c r="Z145" s="326"/>
      <c r="AA145" s="326"/>
      <c r="AB145" s="326"/>
      <c r="AC145" s="326"/>
      <c r="AD145" s="326"/>
      <c r="AE145" s="327"/>
      <c r="AF145" s="707">
        <f>COUNTIF('Naloxone Training Distribution'!U15:U4940, "YES")</f>
        <v>0</v>
      </c>
      <c r="AG145" s="326"/>
      <c r="AH145" s="326"/>
      <c r="AI145" s="326"/>
      <c r="AJ145" s="326"/>
      <c r="AK145" s="326"/>
      <c r="AL145" s="327"/>
      <c r="AM145" s="142"/>
      <c r="AN145" s="142"/>
      <c r="AO145" s="142"/>
      <c r="AP145" s="142"/>
      <c r="AQ145" s="142"/>
      <c r="AR145" s="142"/>
      <c r="AS145" s="157"/>
      <c r="AT145" s="157"/>
      <c r="AU145" s="157"/>
      <c r="AV145" s="157"/>
      <c r="AW145" s="157"/>
      <c r="AX145" s="157"/>
      <c r="AY145" s="157"/>
      <c r="AZ145" s="157"/>
      <c r="BA145" s="157"/>
      <c r="BB145" s="157"/>
      <c r="BC145" s="157"/>
      <c r="BD145" s="157"/>
      <c r="BE145" s="157"/>
      <c r="BF145" s="157"/>
      <c r="BG145" s="157"/>
      <c r="BH145" s="157"/>
      <c r="BI145" s="157"/>
      <c r="BJ145" s="157"/>
      <c r="BK145" s="157"/>
      <c r="BL145" s="157"/>
      <c r="BM145" s="157"/>
      <c r="BN145" s="157"/>
      <c r="BO145" s="157"/>
      <c r="BP145" s="157"/>
      <c r="BQ145" s="157"/>
      <c r="BR145" s="157"/>
      <c r="BS145" s="157"/>
      <c r="BT145" s="157"/>
      <c r="BU145" s="157"/>
      <c r="BV145" s="157"/>
      <c r="BW145" s="157"/>
      <c r="BX145" s="157"/>
      <c r="BY145" s="157"/>
      <c r="BZ145" s="157"/>
      <c r="CA145" s="157"/>
      <c r="CB145" s="157"/>
      <c r="CC145" s="157"/>
      <c r="CD145" s="157"/>
      <c r="CE145" s="157"/>
      <c r="CF145" s="157"/>
      <c r="CG145" s="157"/>
      <c r="CH145" s="157"/>
      <c r="CI145" s="157"/>
      <c r="CJ145" s="157"/>
      <c r="CK145" s="157"/>
      <c r="CL145" s="157"/>
      <c r="CM145" s="157"/>
      <c r="CN145" s="157"/>
      <c r="CO145" s="157"/>
      <c r="CP145" s="157"/>
      <c r="CQ145" s="157"/>
      <c r="CR145" s="157"/>
      <c r="CS145" s="157"/>
      <c r="CT145" s="157"/>
      <c r="CU145" s="157"/>
      <c r="CV145" s="157"/>
    </row>
    <row r="146" spans="1:100" ht="15.75" customHeight="1" x14ac:dyDescent="0.3">
      <c r="A146" s="663" t="s">
        <v>596</v>
      </c>
      <c r="B146" s="326"/>
      <c r="C146" s="326"/>
      <c r="D146" s="326"/>
      <c r="E146" s="326"/>
      <c r="F146" s="326"/>
      <c r="G146" s="326"/>
      <c r="H146" s="327"/>
      <c r="I146" s="707">
        <f>COUNTIF('Naloxone Training Distribution'!R15:R4940, "NO")</f>
        <v>0</v>
      </c>
      <c r="J146" s="326"/>
      <c r="K146" s="326"/>
      <c r="L146" s="326"/>
      <c r="M146" s="326"/>
      <c r="N146" s="326"/>
      <c r="O146" s="327"/>
      <c r="P146" s="142"/>
      <c r="Q146" s="142"/>
      <c r="R146" s="142"/>
      <c r="S146" s="142"/>
      <c r="T146" s="142"/>
      <c r="U146" s="142"/>
      <c r="V146" s="157"/>
      <c r="W146" s="157"/>
      <c r="X146" s="663" t="s">
        <v>596</v>
      </c>
      <c r="Y146" s="326"/>
      <c r="Z146" s="326"/>
      <c r="AA146" s="326"/>
      <c r="AB146" s="326"/>
      <c r="AC146" s="326"/>
      <c r="AD146" s="326"/>
      <c r="AE146" s="327"/>
      <c r="AF146" s="707">
        <f>COUNTIF('Naloxone Training Distribution'!U15:U4940, "NO")</f>
        <v>0</v>
      </c>
      <c r="AG146" s="326"/>
      <c r="AH146" s="326"/>
      <c r="AI146" s="326"/>
      <c r="AJ146" s="326"/>
      <c r="AK146" s="326"/>
      <c r="AL146" s="327"/>
      <c r="AM146" s="142"/>
      <c r="AN146" s="142"/>
      <c r="AO146" s="142"/>
      <c r="AP146" s="142"/>
      <c r="AQ146" s="142"/>
      <c r="AR146" s="142"/>
      <c r="AS146" s="157"/>
      <c r="AT146" s="157"/>
      <c r="AU146" s="157"/>
      <c r="AV146" s="157"/>
      <c r="AW146" s="157"/>
      <c r="AX146" s="157"/>
      <c r="AY146" s="157"/>
      <c r="AZ146" s="157"/>
      <c r="BA146" s="157"/>
      <c r="BB146" s="157"/>
      <c r="BC146" s="157"/>
      <c r="BD146" s="157"/>
      <c r="BE146" s="157"/>
      <c r="BF146" s="157"/>
      <c r="BG146" s="157"/>
      <c r="BH146" s="157"/>
      <c r="BI146" s="157"/>
      <c r="BJ146" s="157"/>
      <c r="BK146" s="157"/>
      <c r="BL146" s="157"/>
      <c r="BM146" s="157"/>
      <c r="BN146" s="157"/>
      <c r="BO146" s="157"/>
      <c r="BP146" s="157"/>
      <c r="BQ146" s="157"/>
      <c r="BR146" s="157"/>
      <c r="BS146" s="157"/>
      <c r="BT146" s="157"/>
      <c r="BU146" s="157"/>
      <c r="BV146" s="157"/>
      <c r="BW146" s="157"/>
      <c r="BX146" s="157"/>
      <c r="BY146" s="157"/>
      <c r="BZ146" s="157"/>
      <c r="CA146" s="157"/>
      <c r="CB146" s="157"/>
      <c r="CC146" s="157"/>
      <c r="CD146" s="157"/>
      <c r="CE146" s="157"/>
      <c r="CF146" s="157"/>
      <c r="CG146" s="157"/>
      <c r="CH146" s="157"/>
      <c r="CI146" s="157"/>
      <c r="CJ146" s="157"/>
      <c r="CK146" s="157"/>
      <c r="CL146" s="157"/>
      <c r="CM146" s="157"/>
      <c r="CN146" s="157"/>
      <c r="CO146" s="157"/>
      <c r="CP146" s="157"/>
      <c r="CQ146" s="157"/>
      <c r="CR146" s="157"/>
      <c r="CS146" s="157"/>
      <c r="CT146" s="157"/>
      <c r="CU146" s="157"/>
      <c r="CV146" s="157"/>
    </row>
    <row r="147" spans="1:100" ht="15.75" customHeight="1" x14ac:dyDescent="0.3">
      <c r="A147" s="663"/>
      <c r="B147" s="326"/>
      <c r="C147" s="326"/>
      <c r="D147" s="326"/>
      <c r="E147" s="326"/>
      <c r="F147" s="326"/>
      <c r="G147" s="326"/>
      <c r="H147" s="327"/>
      <c r="I147" s="707"/>
      <c r="J147" s="326"/>
      <c r="K147" s="326"/>
      <c r="L147" s="326"/>
      <c r="M147" s="326"/>
      <c r="N147" s="326"/>
      <c r="O147" s="327"/>
      <c r="P147" s="142"/>
      <c r="Q147" s="142"/>
      <c r="R147" s="142"/>
      <c r="S147" s="142"/>
      <c r="T147" s="142"/>
      <c r="U147" s="142"/>
      <c r="V147" s="157"/>
      <c r="W147" s="157"/>
      <c r="X147" s="663"/>
      <c r="Y147" s="326"/>
      <c r="Z147" s="326"/>
      <c r="AA147" s="326"/>
      <c r="AB147" s="326"/>
      <c r="AC147" s="326"/>
      <c r="AD147" s="326"/>
      <c r="AE147" s="327"/>
      <c r="AF147" s="707"/>
      <c r="AG147" s="326"/>
      <c r="AH147" s="326"/>
      <c r="AI147" s="326"/>
      <c r="AJ147" s="326"/>
      <c r="AK147" s="326"/>
      <c r="AL147" s="327"/>
      <c r="AM147" s="142"/>
      <c r="AN147" s="142"/>
      <c r="AO147" s="142"/>
      <c r="AP147" s="142"/>
      <c r="AQ147" s="142"/>
      <c r="AR147" s="142"/>
      <c r="AS147" s="157"/>
      <c r="AT147" s="157"/>
      <c r="AU147" s="157"/>
      <c r="AV147" s="157"/>
      <c r="AW147" s="157"/>
      <c r="AX147" s="157"/>
      <c r="AY147" s="157"/>
      <c r="AZ147" s="157"/>
      <c r="BA147" s="157"/>
      <c r="BB147" s="157"/>
      <c r="BC147" s="157"/>
      <c r="BD147" s="157"/>
      <c r="BE147" s="157"/>
      <c r="BF147" s="157"/>
      <c r="BG147" s="157"/>
      <c r="BH147" s="157"/>
      <c r="BI147" s="157"/>
      <c r="BJ147" s="157"/>
      <c r="BK147" s="157"/>
      <c r="BL147" s="157"/>
      <c r="BM147" s="157"/>
      <c r="BN147" s="157"/>
      <c r="BO147" s="157"/>
      <c r="BP147" s="157"/>
      <c r="BQ147" s="157"/>
      <c r="BR147" s="157"/>
      <c r="BS147" s="157"/>
      <c r="BT147" s="157"/>
      <c r="BU147" s="157"/>
      <c r="BV147" s="157"/>
      <c r="BW147" s="157"/>
      <c r="BX147" s="157"/>
      <c r="BY147" s="157"/>
      <c r="BZ147" s="157"/>
      <c r="CA147" s="157"/>
      <c r="CB147" s="157"/>
      <c r="CC147" s="157"/>
      <c r="CD147" s="157"/>
      <c r="CE147" s="157"/>
      <c r="CF147" s="157"/>
      <c r="CG147" s="157"/>
      <c r="CH147" s="157"/>
      <c r="CI147" s="157"/>
      <c r="CJ147" s="157"/>
      <c r="CK147" s="157"/>
      <c r="CL147" s="157"/>
      <c r="CM147" s="157"/>
      <c r="CN147" s="157"/>
      <c r="CO147" s="157"/>
      <c r="CP147" s="157"/>
      <c r="CQ147" s="157"/>
      <c r="CR147" s="157"/>
      <c r="CS147" s="157"/>
      <c r="CT147" s="157"/>
      <c r="CU147" s="157"/>
      <c r="CV147" s="157"/>
    </row>
    <row r="148" spans="1:100" ht="15.75" customHeight="1" x14ac:dyDescent="0.3">
      <c r="A148" s="725" t="s">
        <v>569</v>
      </c>
      <c r="B148" s="326"/>
      <c r="C148" s="326"/>
      <c r="D148" s="326"/>
      <c r="E148" s="326"/>
      <c r="F148" s="326"/>
      <c r="G148" s="326"/>
      <c r="H148" s="327"/>
      <c r="I148" s="725">
        <f>SUM(I145:I147)</f>
        <v>0</v>
      </c>
      <c r="J148" s="326"/>
      <c r="K148" s="326"/>
      <c r="L148" s="326"/>
      <c r="M148" s="326"/>
      <c r="N148" s="326"/>
      <c r="O148" s="327"/>
      <c r="P148" s="159"/>
      <c r="Q148" s="159"/>
      <c r="R148" s="142"/>
      <c r="S148" s="142"/>
      <c r="T148" s="142"/>
      <c r="U148" s="142"/>
      <c r="V148" s="157"/>
      <c r="W148" s="157"/>
      <c r="X148" s="725" t="s">
        <v>569</v>
      </c>
      <c r="Y148" s="326"/>
      <c r="Z148" s="326"/>
      <c r="AA148" s="326"/>
      <c r="AB148" s="326"/>
      <c r="AC148" s="326"/>
      <c r="AD148" s="326"/>
      <c r="AE148" s="327"/>
      <c r="AF148" s="725">
        <f>SUM(AF145:AF147)</f>
        <v>0</v>
      </c>
      <c r="AG148" s="326"/>
      <c r="AH148" s="326"/>
      <c r="AI148" s="326"/>
      <c r="AJ148" s="326"/>
      <c r="AK148" s="326"/>
      <c r="AL148" s="327"/>
      <c r="AM148" s="142"/>
      <c r="AN148" s="142"/>
      <c r="AO148" s="142"/>
      <c r="AP148" s="142"/>
      <c r="AQ148" s="142"/>
      <c r="AR148" s="142"/>
      <c r="AS148" s="157"/>
      <c r="AT148" s="157"/>
      <c r="AU148" s="157"/>
      <c r="AV148" s="157"/>
      <c r="AW148" s="157"/>
      <c r="AX148" s="157"/>
      <c r="AY148" s="157"/>
      <c r="AZ148" s="157"/>
      <c r="BA148" s="157"/>
      <c r="BB148" s="157"/>
      <c r="BC148" s="157"/>
      <c r="BD148" s="157"/>
      <c r="BE148" s="157"/>
      <c r="BF148" s="157"/>
      <c r="BG148" s="157"/>
      <c r="BH148" s="157"/>
      <c r="BI148" s="157"/>
      <c r="BJ148" s="157"/>
      <c r="BK148" s="157"/>
      <c r="BL148" s="157"/>
      <c r="BM148" s="157"/>
      <c r="BN148" s="157"/>
      <c r="BO148" s="157"/>
      <c r="BP148" s="157"/>
      <c r="BQ148" s="157"/>
      <c r="BR148" s="157"/>
      <c r="BS148" s="157"/>
      <c r="BT148" s="157"/>
      <c r="BU148" s="157"/>
      <c r="BV148" s="157"/>
      <c r="BW148" s="157"/>
      <c r="BX148" s="157"/>
      <c r="BY148" s="157"/>
      <c r="BZ148" s="157"/>
      <c r="CA148" s="157"/>
      <c r="CB148" s="157"/>
      <c r="CC148" s="157"/>
      <c r="CD148" s="157"/>
      <c r="CE148" s="157"/>
      <c r="CF148" s="157"/>
      <c r="CG148" s="157"/>
      <c r="CH148" s="157"/>
      <c r="CI148" s="157"/>
      <c r="CJ148" s="157"/>
      <c r="CK148" s="157"/>
      <c r="CL148" s="157"/>
      <c r="CM148" s="157"/>
      <c r="CN148" s="157"/>
      <c r="CO148" s="157"/>
      <c r="CP148" s="157"/>
      <c r="CQ148" s="157"/>
      <c r="CR148" s="157"/>
      <c r="CS148" s="157"/>
      <c r="CT148" s="157"/>
      <c r="CU148" s="157"/>
      <c r="CV148" s="157"/>
    </row>
    <row r="149" spans="1:100" ht="15.75" customHeight="1" x14ac:dyDescent="0.25">
      <c r="I149" s="97"/>
    </row>
    <row r="150" spans="1:100" ht="15.75" customHeight="1" x14ac:dyDescent="0.25">
      <c r="A150" s="726" t="s">
        <v>659</v>
      </c>
      <c r="B150" s="347"/>
      <c r="C150" s="347"/>
      <c r="D150" s="347"/>
      <c r="E150" s="347"/>
      <c r="F150" s="347"/>
      <c r="G150" s="347"/>
      <c r="H150" s="347"/>
      <c r="I150" s="347"/>
      <c r="J150" s="347"/>
      <c r="K150" s="347"/>
      <c r="L150" s="347"/>
      <c r="M150" s="347"/>
      <c r="N150" s="347"/>
      <c r="O150" s="347"/>
      <c r="P150" s="347"/>
      <c r="Q150" s="347"/>
      <c r="R150" s="347"/>
      <c r="S150" s="347"/>
      <c r="T150" s="347"/>
      <c r="U150" s="354"/>
      <c r="X150" s="726" t="s">
        <v>660</v>
      </c>
      <c r="Y150" s="347"/>
      <c r="Z150" s="347"/>
      <c r="AA150" s="347"/>
      <c r="AB150" s="347"/>
      <c r="AC150" s="347"/>
      <c r="AD150" s="347"/>
      <c r="AE150" s="347"/>
      <c r="AF150" s="347"/>
      <c r="AG150" s="347"/>
      <c r="AH150" s="347"/>
      <c r="AI150" s="347"/>
      <c r="AJ150" s="347"/>
      <c r="AK150" s="347"/>
      <c r="AL150" s="347"/>
      <c r="AM150" s="347"/>
      <c r="AN150" s="347"/>
      <c r="AO150" s="347"/>
      <c r="AP150" s="347"/>
      <c r="AQ150" s="347"/>
      <c r="AR150" s="354"/>
      <c r="AU150" s="726" t="s">
        <v>661</v>
      </c>
      <c r="AV150" s="347"/>
      <c r="AW150" s="347"/>
      <c r="AX150" s="347"/>
      <c r="AY150" s="347"/>
      <c r="AZ150" s="347"/>
      <c r="BA150" s="347"/>
      <c r="BB150" s="347"/>
      <c r="BC150" s="347"/>
      <c r="BD150" s="347"/>
      <c r="BE150" s="347"/>
      <c r="BF150" s="347"/>
      <c r="BG150" s="347"/>
      <c r="BH150" s="347"/>
      <c r="BI150" s="347"/>
      <c r="BJ150" s="347"/>
      <c r="BK150" s="347"/>
      <c r="BL150" s="347"/>
      <c r="BM150" s="347"/>
      <c r="BN150" s="347"/>
      <c r="BO150" s="354"/>
    </row>
    <row r="151" spans="1:100" ht="15.75" customHeight="1" x14ac:dyDescent="0.25">
      <c r="A151" s="140"/>
      <c r="B151" s="140" t="s">
        <v>662</v>
      </c>
      <c r="C151" s="140"/>
      <c r="D151" s="140"/>
      <c r="E151" s="140"/>
      <c r="F151" s="140"/>
      <c r="G151" s="141"/>
      <c r="H151" s="141"/>
      <c r="I151" s="141"/>
      <c r="J151" s="141"/>
      <c r="K151" s="141"/>
      <c r="L151" s="141"/>
      <c r="M151" s="141"/>
      <c r="N151" s="141"/>
      <c r="O151" s="141"/>
      <c r="P151" s="141"/>
      <c r="Q151" s="141"/>
      <c r="R151" s="141"/>
      <c r="S151" s="141"/>
      <c r="T151" s="141"/>
      <c r="U151" s="141"/>
      <c r="X151" s="140"/>
      <c r="Y151" s="140" t="s">
        <v>662</v>
      </c>
      <c r="Z151" s="140"/>
      <c r="AA151" s="140"/>
      <c r="AB151" s="140"/>
      <c r="AC151" s="140"/>
      <c r="AD151" s="141"/>
      <c r="AE151" s="141"/>
      <c r="AF151" s="141"/>
      <c r="AG151" s="141"/>
      <c r="AH151" s="141"/>
      <c r="AI151" s="141"/>
      <c r="AJ151" s="141"/>
      <c r="AK151" s="141"/>
      <c r="AL151" s="141"/>
      <c r="AM151" s="141"/>
      <c r="AN151" s="141"/>
      <c r="AO151" s="141"/>
      <c r="AP151" s="141"/>
      <c r="AQ151" s="141"/>
      <c r="AR151" s="141"/>
      <c r="AU151" s="727" t="s">
        <v>663</v>
      </c>
      <c r="AV151" s="350"/>
      <c r="AW151" s="350"/>
      <c r="AX151" s="350"/>
      <c r="AY151" s="350"/>
      <c r="AZ151" s="350"/>
      <c r="BA151" s="350"/>
      <c r="BB151" s="350"/>
      <c r="BC151" s="350"/>
      <c r="BD151" s="350"/>
      <c r="BE151" s="350"/>
      <c r="BF151" s="350"/>
      <c r="BG151" s="350"/>
      <c r="BH151" s="350"/>
      <c r="BI151" s="358"/>
      <c r="BJ151" s="141"/>
      <c r="BK151" s="141"/>
      <c r="BL151" s="141"/>
      <c r="BM151" s="141"/>
      <c r="BN151" s="141"/>
      <c r="BO151" s="141"/>
    </row>
    <row r="152" spans="1:100" ht="15.75" customHeight="1" x14ac:dyDescent="0.25">
      <c r="A152" s="663" t="s">
        <v>664</v>
      </c>
      <c r="B152" s="326"/>
      <c r="C152" s="326"/>
      <c r="D152" s="326"/>
      <c r="E152" s="326"/>
      <c r="F152" s="326"/>
      <c r="G152" s="326"/>
      <c r="H152" s="327"/>
      <c r="I152" s="707">
        <f>SUM('Naloxone Training Distribution'!BD13:BD4948)</f>
        <v>11</v>
      </c>
      <c r="J152" s="326"/>
      <c r="K152" s="326"/>
      <c r="L152" s="326"/>
      <c r="M152" s="326"/>
      <c r="N152" s="326"/>
      <c r="O152" s="327"/>
      <c r="P152" s="142"/>
      <c r="Q152" s="142"/>
      <c r="R152" s="142"/>
      <c r="S152" s="142"/>
      <c r="T152" s="142"/>
      <c r="U152" s="142"/>
      <c r="X152" s="663" t="s">
        <v>664</v>
      </c>
      <c r="Y152" s="326"/>
      <c r="Z152" s="326"/>
      <c r="AA152" s="326"/>
      <c r="AB152" s="326"/>
      <c r="AC152" s="326"/>
      <c r="AD152" s="326"/>
      <c r="AE152" s="327"/>
      <c r="AF152" s="707">
        <f>COUNTIFS('Naloxone Training Distribution'!BK15:BK4948,"YES")</f>
        <v>100</v>
      </c>
      <c r="AG152" s="326"/>
      <c r="AH152" s="326"/>
      <c r="AI152" s="326"/>
      <c r="AJ152" s="326"/>
      <c r="AK152" s="326"/>
      <c r="AL152" s="327"/>
      <c r="AM152" s="142"/>
      <c r="AN152" s="142"/>
      <c r="AO152" s="142"/>
      <c r="AP152" s="142"/>
      <c r="AQ152" s="142"/>
      <c r="AR152" s="142"/>
      <c r="AU152" s="663" t="s">
        <v>664</v>
      </c>
      <c r="AV152" s="326"/>
      <c r="AW152" s="326"/>
      <c r="AX152" s="326"/>
      <c r="AY152" s="326"/>
      <c r="AZ152" s="326"/>
      <c r="BA152" s="326"/>
      <c r="BB152" s="327"/>
      <c r="BC152" s="707">
        <f>SUMIF('Naloxone Training Distribution'!BS15:BS4948,"&gt;=0")</f>
        <v>0</v>
      </c>
      <c r="BD152" s="326"/>
      <c r="BE152" s="326"/>
      <c r="BF152" s="326"/>
      <c r="BG152" s="326"/>
      <c r="BH152" s="326"/>
      <c r="BI152" s="327"/>
      <c r="BJ152" s="142"/>
      <c r="BK152" s="142"/>
      <c r="BL152" s="142"/>
      <c r="BM152" s="142"/>
      <c r="BN152" s="142"/>
      <c r="BO152" s="142"/>
    </row>
    <row r="153" spans="1:100" ht="15.75" customHeight="1" x14ac:dyDescent="0.25">
      <c r="A153" s="663"/>
      <c r="B153" s="326"/>
      <c r="C153" s="326"/>
      <c r="D153" s="326"/>
      <c r="E153" s="326"/>
      <c r="F153" s="326"/>
      <c r="G153" s="326"/>
      <c r="H153" s="327"/>
      <c r="I153" s="707"/>
      <c r="J153" s="326"/>
      <c r="K153" s="326"/>
      <c r="L153" s="326"/>
      <c r="M153" s="326"/>
      <c r="N153" s="326"/>
      <c r="O153" s="327"/>
      <c r="P153" s="142"/>
      <c r="Q153" s="142"/>
      <c r="R153" s="142"/>
      <c r="S153" s="142"/>
      <c r="T153" s="142"/>
      <c r="U153" s="142"/>
      <c r="X153" s="663"/>
      <c r="Y153" s="326"/>
      <c r="Z153" s="326"/>
      <c r="AA153" s="326"/>
      <c r="AB153" s="326"/>
      <c r="AC153" s="326"/>
      <c r="AD153" s="326"/>
      <c r="AE153" s="327"/>
      <c r="AF153" s="707"/>
      <c r="AG153" s="326"/>
      <c r="AH153" s="326"/>
      <c r="AI153" s="326"/>
      <c r="AJ153" s="326"/>
      <c r="AK153" s="326"/>
      <c r="AL153" s="327"/>
      <c r="AM153" s="142"/>
      <c r="AN153" s="142"/>
      <c r="AO153" s="142"/>
      <c r="AP153" s="142"/>
      <c r="AQ153" s="142"/>
      <c r="AR153" s="142"/>
      <c r="AU153" s="663"/>
      <c r="AV153" s="326"/>
      <c r="AW153" s="326"/>
      <c r="AX153" s="326"/>
      <c r="AY153" s="326"/>
      <c r="AZ153" s="326"/>
      <c r="BA153" s="326"/>
      <c r="BB153" s="327"/>
      <c r="BC153" s="707"/>
      <c r="BD153" s="326"/>
      <c r="BE153" s="326"/>
      <c r="BF153" s="326"/>
      <c r="BG153" s="326"/>
      <c r="BH153" s="326"/>
      <c r="BI153" s="327"/>
      <c r="BJ153" s="142"/>
      <c r="BK153" s="142"/>
      <c r="BL153" s="142"/>
      <c r="BM153" s="142"/>
      <c r="BN153" s="142"/>
      <c r="BO153" s="142"/>
    </row>
    <row r="154" spans="1:100" ht="15.75" customHeight="1" x14ac:dyDescent="0.25">
      <c r="A154" s="663"/>
      <c r="B154" s="326"/>
      <c r="C154" s="326"/>
      <c r="D154" s="326"/>
      <c r="E154" s="326"/>
      <c r="F154" s="326"/>
      <c r="G154" s="326"/>
      <c r="H154" s="327"/>
      <c r="I154" s="707"/>
      <c r="J154" s="326"/>
      <c r="K154" s="326"/>
      <c r="L154" s="326"/>
      <c r="M154" s="326"/>
      <c r="N154" s="326"/>
      <c r="O154" s="327"/>
      <c r="P154" s="142"/>
      <c r="Q154" s="142"/>
      <c r="R154" s="142"/>
      <c r="S154" s="142"/>
      <c r="T154" s="142"/>
      <c r="U154" s="142"/>
      <c r="X154" s="663"/>
      <c r="Y154" s="326"/>
      <c r="Z154" s="326"/>
      <c r="AA154" s="326"/>
      <c r="AB154" s="326"/>
      <c r="AC154" s="326"/>
      <c r="AD154" s="326"/>
      <c r="AE154" s="327"/>
      <c r="AF154" s="707"/>
      <c r="AG154" s="326"/>
      <c r="AH154" s="326"/>
      <c r="AI154" s="326"/>
      <c r="AJ154" s="326"/>
      <c r="AK154" s="326"/>
      <c r="AL154" s="327"/>
      <c r="AM154" s="142"/>
      <c r="AN154" s="142"/>
      <c r="AO154" s="142"/>
      <c r="AP154" s="142"/>
      <c r="AQ154" s="142"/>
      <c r="AR154" s="142"/>
      <c r="AU154" s="663"/>
      <c r="AV154" s="326"/>
      <c r="AW154" s="326"/>
      <c r="AX154" s="326"/>
      <c r="AY154" s="326"/>
      <c r="AZ154" s="326"/>
      <c r="BA154" s="326"/>
      <c r="BB154" s="327"/>
      <c r="BC154" s="707"/>
      <c r="BD154" s="326"/>
      <c r="BE154" s="326"/>
      <c r="BF154" s="326"/>
      <c r="BG154" s="326"/>
      <c r="BH154" s="326"/>
      <c r="BI154" s="327"/>
      <c r="BJ154" s="142"/>
      <c r="BK154" s="142"/>
      <c r="BL154" s="142"/>
      <c r="BM154" s="142"/>
      <c r="BN154" s="142"/>
      <c r="BO154" s="142"/>
    </row>
    <row r="155" spans="1:100" ht="15.75" customHeight="1" x14ac:dyDescent="0.25">
      <c r="A155" s="725" t="s">
        <v>569</v>
      </c>
      <c r="B155" s="326"/>
      <c r="C155" s="326"/>
      <c r="D155" s="326"/>
      <c r="E155" s="326"/>
      <c r="F155" s="326"/>
      <c r="G155" s="326"/>
      <c r="H155" s="327"/>
      <c r="I155" s="725">
        <f>SUM(I152:I154)</f>
        <v>11</v>
      </c>
      <c r="J155" s="326"/>
      <c r="K155" s="326"/>
      <c r="L155" s="326"/>
      <c r="M155" s="326"/>
      <c r="N155" s="326"/>
      <c r="O155" s="327"/>
      <c r="P155" s="142"/>
      <c r="Q155" s="142"/>
      <c r="R155" s="142"/>
      <c r="S155" s="142"/>
      <c r="T155" s="142"/>
      <c r="U155" s="142"/>
      <c r="X155" s="725" t="s">
        <v>569</v>
      </c>
      <c r="Y155" s="326"/>
      <c r="Z155" s="326"/>
      <c r="AA155" s="326"/>
      <c r="AB155" s="326"/>
      <c r="AC155" s="326"/>
      <c r="AD155" s="326"/>
      <c r="AE155" s="327"/>
      <c r="AF155" s="725">
        <f>SUM(AF152:AF154)</f>
        <v>100</v>
      </c>
      <c r="AG155" s="326"/>
      <c r="AH155" s="326"/>
      <c r="AI155" s="326"/>
      <c r="AJ155" s="326"/>
      <c r="AK155" s="326"/>
      <c r="AL155" s="327"/>
      <c r="AM155" s="142"/>
      <c r="AN155" s="142"/>
      <c r="AO155" s="142"/>
      <c r="AP155" s="142"/>
      <c r="AQ155" s="142"/>
      <c r="AR155" s="142"/>
      <c r="AU155" s="725" t="s">
        <v>569</v>
      </c>
      <c r="AV155" s="326"/>
      <c r="AW155" s="326"/>
      <c r="AX155" s="326"/>
      <c r="AY155" s="326"/>
      <c r="AZ155" s="326"/>
      <c r="BA155" s="326"/>
      <c r="BB155" s="327"/>
      <c r="BC155" s="725">
        <f>SUM(BC152:BC154)</f>
        <v>0</v>
      </c>
      <c r="BD155" s="326"/>
      <c r="BE155" s="326"/>
      <c r="BF155" s="326"/>
      <c r="BG155" s="326"/>
      <c r="BH155" s="326"/>
      <c r="BI155" s="327"/>
      <c r="BJ155" s="142"/>
      <c r="BK155" s="142"/>
      <c r="BL155" s="142"/>
      <c r="BM155" s="142"/>
      <c r="BN155" s="142"/>
      <c r="BO155" s="142"/>
    </row>
    <row r="156" spans="1:100" ht="15.75" customHeight="1" x14ac:dyDescent="0.25">
      <c r="A156" s="160"/>
      <c r="B156" s="160"/>
      <c r="C156" s="160"/>
      <c r="D156" s="160"/>
      <c r="E156" s="160"/>
      <c r="F156" s="160"/>
      <c r="G156" s="160"/>
      <c r="H156" s="160"/>
      <c r="I156" s="160"/>
      <c r="J156" s="160"/>
      <c r="K156" s="160"/>
      <c r="L156" s="160"/>
      <c r="M156" s="160"/>
      <c r="N156" s="160"/>
      <c r="O156" s="160"/>
      <c r="P156" s="142"/>
      <c r="Q156" s="142"/>
      <c r="R156" s="142"/>
      <c r="S156" s="142"/>
      <c r="T156" s="142"/>
      <c r="U156" s="142"/>
      <c r="X156" s="160"/>
      <c r="Y156" s="160"/>
      <c r="Z156" s="160"/>
      <c r="AA156" s="160"/>
      <c r="AB156" s="160"/>
      <c r="AC156" s="160"/>
      <c r="AD156" s="160"/>
      <c r="AE156" s="160"/>
      <c r="AF156" s="160"/>
      <c r="AG156" s="160"/>
      <c r="AH156" s="160"/>
      <c r="AI156" s="160"/>
      <c r="AJ156" s="160"/>
      <c r="AK156" s="160"/>
      <c r="AL156" s="160"/>
      <c r="AM156" s="142"/>
      <c r="AN156" s="142"/>
      <c r="AO156" s="142"/>
      <c r="AP156" s="142"/>
      <c r="AQ156" s="142"/>
      <c r="AR156" s="142"/>
      <c r="AU156" s="160"/>
      <c r="AV156" s="160"/>
      <c r="AW156" s="160"/>
      <c r="AX156" s="160"/>
      <c r="AY156" s="160"/>
      <c r="AZ156" s="160"/>
      <c r="BA156" s="160"/>
      <c r="BB156" s="160"/>
      <c r="BC156" s="160"/>
      <c r="BD156" s="160"/>
      <c r="BE156" s="160"/>
      <c r="BF156" s="160"/>
      <c r="BG156" s="160"/>
      <c r="BH156" s="160"/>
      <c r="BI156" s="160"/>
      <c r="BJ156" s="142"/>
      <c r="BK156" s="142"/>
      <c r="BL156" s="142"/>
      <c r="BM156" s="142"/>
      <c r="BN156" s="142"/>
      <c r="BO156" s="142"/>
    </row>
    <row r="157" spans="1:100" ht="15.75" customHeight="1" x14ac:dyDescent="0.25">
      <c r="A157" s="161"/>
      <c r="B157" s="161"/>
      <c r="C157" s="161"/>
      <c r="D157" s="161"/>
      <c r="E157" s="161"/>
      <c r="F157" s="161"/>
      <c r="G157" s="161"/>
      <c r="H157" s="161"/>
      <c r="I157" s="161"/>
      <c r="J157" s="161"/>
      <c r="K157" s="161"/>
      <c r="L157" s="161"/>
      <c r="M157" s="161"/>
      <c r="N157" s="161"/>
      <c r="O157" s="161"/>
      <c r="X157" s="161"/>
      <c r="Y157" s="161"/>
      <c r="Z157" s="161"/>
      <c r="AA157" s="161"/>
      <c r="AB157" s="161"/>
      <c r="AC157" s="161"/>
      <c r="AD157" s="161"/>
      <c r="AE157" s="161"/>
      <c r="AF157" s="161"/>
      <c r="AG157" s="161"/>
      <c r="AH157" s="161"/>
      <c r="AI157" s="161"/>
      <c r="AJ157" s="161"/>
      <c r="AK157" s="161"/>
      <c r="AL157" s="161"/>
      <c r="AU157" s="161"/>
      <c r="AV157" s="161"/>
      <c r="AW157" s="161"/>
      <c r="AX157" s="161"/>
      <c r="AY157" s="161"/>
      <c r="AZ157" s="161"/>
      <c r="BA157" s="161"/>
      <c r="BB157" s="161"/>
      <c r="BC157" s="161"/>
      <c r="BD157" s="161"/>
      <c r="BE157" s="161"/>
      <c r="BF157" s="161"/>
      <c r="BG157" s="161"/>
      <c r="BH157" s="161"/>
      <c r="BI157" s="161"/>
    </row>
    <row r="158" spans="1:100" ht="30" customHeight="1" x14ac:dyDescent="0.25">
      <c r="A158" s="736" t="s">
        <v>665</v>
      </c>
      <c r="B158" s="347"/>
      <c r="C158" s="347"/>
      <c r="D158" s="347"/>
      <c r="E158" s="347"/>
      <c r="F158" s="347"/>
      <c r="G158" s="347"/>
      <c r="H158" s="347"/>
      <c r="I158" s="347"/>
      <c r="J158" s="347"/>
      <c r="K158" s="347"/>
      <c r="L158" s="347"/>
      <c r="M158" s="347"/>
      <c r="N158" s="347"/>
      <c r="O158" s="347"/>
      <c r="P158" s="347"/>
      <c r="Q158" s="347"/>
      <c r="R158" s="347"/>
      <c r="S158" s="347"/>
      <c r="T158" s="347"/>
      <c r="U158" s="347"/>
      <c r="V158" s="347"/>
      <c r="W158" s="347"/>
      <c r="X158" s="347"/>
      <c r="Y158" s="347"/>
      <c r="Z158" s="347"/>
      <c r="AA158" s="347"/>
      <c r="AB158" s="354"/>
      <c r="AG158" s="730" t="s">
        <v>666</v>
      </c>
      <c r="AH158" s="350"/>
      <c r="AI158" s="350"/>
      <c r="AJ158" s="350"/>
      <c r="AK158" s="350"/>
      <c r="AL158" s="350"/>
      <c r="AM158" s="350"/>
      <c r="AN158" s="350"/>
      <c r="AO158" s="350"/>
      <c r="AP158" s="350"/>
      <c r="AQ158" s="350"/>
      <c r="AR158" s="350"/>
      <c r="AS158" s="350"/>
      <c r="AT158" s="350"/>
      <c r="AU158" s="350"/>
      <c r="AV158" s="350"/>
      <c r="AW158" s="358"/>
      <c r="BA158" s="730" t="s">
        <v>667</v>
      </c>
      <c r="BB158" s="350"/>
      <c r="BC158" s="350"/>
      <c r="BD158" s="350"/>
      <c r="BE158" s="350"/>
      <c r="BF158" s="350"/>
      <c r="BG158" s="350"/>
      <c r="BH158" s="350"/>
      <c r="BI158" s="350"/>
      <c r="BJ158" s="350"/>
      <c r="BK158" s="350"/>
      <c r="BL158" s="350"/>
      <c r="BM158" s="350"/>
      <c r="BN158" s="350"/>
      <c r="BO158" s="350"/>
      <c r="BP158" s="350"/>
      <c r="BQ158" s="358"/>
    </row>
    <row r="159" spans="1:100" ht="30" customHeight="1" x14ac:dyDescent="0.25">
      <c r="A159" s="737" t="s">
        <v>668</v>
      </c>
      <c r="B159" s="326"/>
      <c r="C159" s="326"/>
      <c r="D159" s="326"/>
      <c r="E159" s="326"/>
      <c r="F159" s="326"/>
      <c r="G159" s="326"/>
      <c r="H159" s="327"/>
      <c r="I159" s="737" t="s">
        <v>669</v>
      </c>
      <c r="J159" s="326"/>
      <c r="K159" s="326"/>
      <c r="L159" s="327"/>
      <c r="M159" s="738" t="s">
        <v>670</v>
      </c>
      <c r="N159" s="326"/>
      <c r="O159" s="326"/>
      <c r="P159" s="326"/>
      <c r="Q159" s="327"/>
      <c r="R159" s="740" t="s">
        <v>671</v>
      </c>
      <c r="S159" s="326"/>
      <c r="T159" s="326"/>
      <c r="U159" s="326"/>
      <c r="V159" s="327"/>
      <c r="W159" s="741" t="s">
        <v>672</v>
      </c>
      <c r="X159" s="347"/>
      <c r="Y159" s="347"/>
      <c r="Z159" s="347"/>
      <c r="AA159" s="347"/>
      <c r="AB159" s="354"/>
      <c r="AG159" s="742" t="s">
        <v>667</v>
      </c>
      <c r="AH159" s="350"/>
      <c r="AI159" s="350"/>
      <c r="AJ159" s="350"/>
      <c r="AK159" s="350"/>
      <c r="AL159" s="350"/>
      <c r="AM159" s="350"/>
      <c r="AN159" s="350"/>
      <c r="AO159" s="350"/>
      <c r="AP159" s="350"/>
      <c r="AQ159" s="350"/>
      <c r="AR159" s="350"/>
      <c r="AS159" s="350"/>
      <c r="AT159" s="350"/>
      <c r="AU159" s="350"/>
      <c r="AV159" s="350"/>
      <c r="AW159" s="358"/>
      <c r="BA159" s="731" t="s">
        <v>667</v>
      </c>
      <c r="BB159" s="350"/>
      <c r="BC159" s="350"/>
      <c r="BD159" s="350"/>
      <c r="BE159" s="350"/>
      <c r="BF159" s="350"/>
      <c r="BG159" s="350"/>
      <c r="BH159" s="350"/>
      <c r="BI159" s="350"/>
      <c r="BJ159" s="350"/>
      <c r="BK159" s="350"/>
      <c r="BL159" s="350"/>
      <c r="BM159" s="350"/>
      <c r="BN159" s="350"/>
      <c r="BO159" s="350"/>
      <c r="BP159" s="350"/>
      <c r="BQ159" s="358"/>
    </row>
    <row r="160" spans="1:100" ht="15.75" customHeight="1" x14ac:dyDescent="0.25">
      <c r="A160" s="382" t="s">
        <v>673</v>
      </c>
      <c r="B160" s="326"/>
      <c r="C160" s="326"/>
      <c r="D160" s="326"/>
      <c r="E160" s="326"/>
      <c r="F160" s="326"/>
      <c r="G160" s="326"/>
      <c r="H160" s="327"/>
      <c r="I160" s="733">
        <f>'GRANTEE SET UP INFO &amp; DATE '!C11</f>
        <v>0</v>
      </c>
      <c r="J160" s="326"/>
      <c r="K160" s="326"/>
      <c r="L160" s="327"/>
      <c r="M160" s="734">
        <f>'GRANTEE SET UP INFO &amp; DATE '!F11</f>
        <v>0</v>
      </c>
      <c r="N160" s="326"/>
      <c r="O160" s="326"/>
      <c r="P160" s="326"/>
      <c r="Q160" s="327"/>
      <c r="R160" s="735">
        <f>'GRANTEE SET UP INFO &amp; DATE '!J11</f>
        <v>0</v>
      </c>
      <c r="S160" s="326"/>
      <c r="T160" s="326"/>
      <c r="U160" s="326"/>
      <c r="V160" s="327"/>
      <c r="W160" s="416">
        <f>'GRANTEE SET UP INFO &amp; DATE '!N11</f>
        <v>0</v>
      </c>
      <c r="X160" s="326"/>
      <c r="Y160" s="326"/>
      <c r="Z160" s="326"/>
      <c r="AA160" s="326"/>
      <c r="AB160" s="327"/>
      <c r="AG160" s="381" t="s">
        <v>673</v>
      </c>
      <c r="AH160" s="326"/>
      <c r="AI160" s="326"/>
      <c r="AJ160" s="326"/>
      <c r="AK160" s="326"/>
      <c r="AL160" s="326"/>
      <c r="AM160" s="326"/>
      <c r="AN160" s="326"/>
      <c r="AO160" s="326"/>
      <c r="AP160" s="327"/>
      <c r="AQ160" s="707">
        <f>COUNTIFS('Naloxone Training Distribution'!X15:X5000,"YES")</f>
        <v>0</v>
      </c>
      <c r="AR160" s="326"/>
      <c r="AS160" s="326"/>
      <c r="AT160" s="326"/>
      <c r="AU160" s="326"/>
      <c r="AV160" s="326"/>
      <c r="AW160" s="327"/>
      <c r="BA160" s="381" t="s">
        <v>654</v>
      </c>
      <c r="BB160" s="326"/>
      <c r="BC160" s="326"/>
      <c r="BD160" s="326"/>
      <c r="BE160" s="326"/>
      <c r="BF160" s="326"/>
      <c r="BG160" s="326"/>
      <c r="BH160" s="326"/>
      <c r="BI160" s="326"/>
      <c r="BJ160" s="327"/>
      <c r="BK160" s="707">
        <f>COUNTIFS('Naloxone Training Distribution'!AJ15:AJ5000,"YES")</f>
        <v>0</v>
      </c>
      <c r="BL160" s="326"/>
      <c r="BM160" s="326"/>
      <c r="BN160" s="326"/>
      <c r="BO160" s="326"/>
      <c r="BP160" s="326"/>
      <c r="BQ160" s="327"/>
    </row>
    <row r="161" spans="1:100" ht="15.75" customHeight="1" x14ac:dyDescent="0.25">
      <c r="A161" s="382" t="s">
        <v>674</v>
      </c>
      <c r="B161" s="326"/>
      <c r="C161" s="326"/>
      <c r="D161" s="326"/>
      <c r="E161" s="326"/>
      <c r="F161" s="326"/>
      <c r="G161" s="326"/>
      <c r="H161" s="327"/>
      <c r="I161" s="733">
        <f>'GRANTEE SET UP INFO &amp; DATE '!C12</f>
        <v>0</v>
      </c>
      <c r="J161" s="326"/>
      <c r="K161" s="326"/>
      <c r="L161" s="327"/>
      <c r="M161" s="734">
        <f>'GRANTEE SET UP INFO &amp; DATE '!F12</f>
        <v>0</v>
      </c>
      <c r="N161" s="326"/>
      <c r="O161" s="326"/>
      <c r="P161" s="326"/>
      <c r="Q161" s="327"/>
      <c r="R161" s="735">
        <f>'GRANTEE SET UP INFO &amp; DATE '!J12</f>
        <v>0</v>
      </c>
      <c r="S161" s="326"/>
      <c r="T161" s="326"/>
      <c r="U161" s="326"/>
      <c r="V161" s="327"/>
      <c r="W161" s="416">
        <f>'GRANTEE SET UP INFO &amp; DATE '!N12</f>
        <v>0</v>
      </c>
      <c r="X161" s="326"/>
      <c r="Y161" s="326"/>
      <c r="Z161" s="326"/>
      <c r="AA161" s="326"/>
      <c r="AB161" s="327"/>
      <c r="AG161" s="381" t="s">
        <v>674</v>
      </c>
      <c r="AH161" s="326"/>
      <c r="AI161" s="326"/>
      <c r="AJ161" s="326"/>
      <c r="AK161" s="326"/>
      <c r="AL161" s="326"/>
      <c r="AM161" s="326"/>
      <c r="AN161" s="326"/>
      <c r="AO161" s="326"/>
      <c r="AP161" s="327"/>
      <c r="AQ161" s="707">
        <f>COUNTIFS('Naloxone Training Distribution'!Y15:Y5000,"YES")</f>
        <v>0</v>
      </c>
      <c r="AR161" s="326"/>
      <c r="AS161" s="326"/>
      <c r="AT161" s="326"/>
      <c r="AU161" s="326"/>
      <c r="AV161" s="326"/>
      <c r="AW161" s="327"/>
      <c r="BA161" s="381" t="s">
        <v>464</v>
      </c>
      <c r="BB161" s="326"/>
      <c r="BC161" s="326"/>
      <c r="BD161" s="326"/>
      <c r="BE161" s="326"/>
      <c r="BF161" s="326"/>
      <c r="BG161" s="326"/>
      <c r="BH161" s="326"/>
      <c r="BI161" s="326"/>
      <c r="BJ161" s="327"/>
      <c r="BK161" s="707">
        <f>COUNTIFS('Naloxone Training Distribution'!AK15:AK5000,"YES")</f>
        <v>0</v>
      </c>
      <c r="BL161" s="326"/>
      <c r="BM161" s="326"/>
      <c r="BN161" s="326"/>
      <c r="BO161" s="326"/>
      <c r="BP161" s="326"/>
      <c r="BQ161" s="327"/>
    </row>
    <row r="162" spans="1:100" ht="15.75" customHeight="1" x14ac:dyDescent="0.25">
      <c r="A162" s="382" t="s">
        <v>675</v>
      </c>
      <c r="B162" s="326"/>
      <c r="C162" s="326"/>
      <c r="D162" s="326"/>
      <c r="E162" s="326"/>
      <c r="F162" s="326"/>
      <c r="G162" s="326"/>
      <c r="H162" s="327"/>
      <c r="I162" s="733">
        <f>'GRANTEE SET UP INFO &amp; DATE '!C13</f>
        <v>0</v>
      </c>
      <c r="J162" s="326"/>
      <c r="K162" s="326"/>
      <c r="L162" s="327"/>
      <c r="M162" s="734">
        <f>'GRANTEE SET UP INFO &amp; DATE '!F13</f>
        <v>0</v>
      </c>
      <c r="N162" s="326"/>
      <c r="O162" s="326"/>
      <c r="P162" s="326"/>
      <c r="Q162" s="327"/>
      <c r="R162" s="735">
        <f>'GRANTEE SET UP INFO &amp; DATE '!J13</f>
        <v>0</v>
      </c>
      <c r="S162" s="326"/>
      <c r="T162" s="326"/>
      <c r="U162" s="326"/>
      <c r="V162" s="327"/>
      <c r="W162" s="416">
        <f>'GRANTEE SET UP INFO &amp; DATE '!N13</f>
        <v>0</v>
      </c>
      <c r="X162" s="326"/>
      <c r="Y162" s="326"/>
      <c r="Z162" s="326"/>
      <c r="AA162" s="326"/>
      <c r="AB162" s="327"/>
      <c r="AG162" s="381" t="s">
        <v>675</v>
      </c>
      <c r="AH162" s="326"/>
      <c r="AI162" s="326"/>
      <c r="AJ162" s="326"/>
      <c r="AK162" s="326"/>
      <c r="AL162" s="326"/>
      <c r="AM162" s="326"/>
      <c r="AN162" s="326"/>
      <c r="AO162" s="326"/>
      <c r="AP162" s="327"/>
      <c r="AQ162" s="707">
        <f>COUNTIFS('Naloxone Training Distribution'!Z15:Z5000,"YES")</f>
        <v>0</v>
      </c>
      <c r="AR162" s="326"/>
      <c r="AS162" s="326"/>
      <c r="AT162" s="326"/>
      <c r="AU162" s="326"/>
      <c r="AV162" s="326"/>
      <c r="AW162" s="327"/>
      <c r="BA162" s="381" t="s">
        <v>465</v>
      </c>
      <c r="BB162" s="326"/>
      <c r="BC162" s="326"/>
      <c r="BD162" s="326"/>
      <c r="BE162" s="326"/>
      <c r="BF162" s="326"/>
      <c r="BG162" s="326"/>
      <c r="BH162" s="326"/>
      <c r="BI162" s="326"/>
      <c r="BJ162" s="327"/>
      <c r="BK162" s="707">
        <f>COUNTIFS('Naloxone Training Distribution'!AL15:AL5000,"YES")</f>
        <v>0</v>
      </c>
      <c r="BL162" s="326"/>
      <c r="BM162" s="326"/>
      <c r="BN162" s="326"/>
      <c r="BO162" s="326"/>
      <c r="BP162" s="326"/>
      <c r="BQ162" s="327"/>
    </row>
    <row r="163" spans="1:100" ht="15.75" customHeight="1" x14ac:dyDescent="0.25">
      <c r="A163" s="382" t="s">
        <v>676</v>
      </c>
      <c r="B163" s="326"/>
      <c r="C163" s="326"/>
      <c r="D163" s="326"/>
      <c r="E163" s="326"/>
      <c r="F163" s="326"/>
      <c r="G163" s="326"/>
      <c r="H163" s="327"/>
      <c r="I163" s="733">
        <f>'GRANTEE SET UP INFO &amp; DATE '!C14</f>
        <v>0</v>
      </c>
      <c r="J163" s="326"/>
      <c r="K163" s="326"/>
      <c r="L163" s="327"/>
      <c r="M163" s="734">
        <f>'GRANTEE SET UP INFO &amp; DATE '!F14</f>
        <v>0</v>
      </c>
      <c r="N163" s="326"/>
      <c r="O163" s="326"/>
      <c r="P163" s="326"/>
      <c r="Q163" s="327"/>
      <c r="R163" s="735">
        <f>'GRANTEE SET UP INFO &amp; DATE '!J14</f>
        <v>0</v>
      </c>
      <c r="S163" s="326"/>
      <c r="T163" s="326"/>
      <c r="U163" s="326"/>
      <c r="V163" s="327"/>
      <c r="W163" s="416">
        <f>'GRANTEE SET UP INFO &amp; DATE '!N14</f>
        <v>0</v>
      </c>
      <c r="X163" s="326"/>
      <c r="Y163" s="326"/>
      <c r="Z163" s="326"/>
      <c r="AA163" s="326"/>
      <c r="AB163" s="327"/>
      <c r="AG163" s="381" t="s">
        <v>676</v>
      </c>
      <c r="AH163" s="326"/>
      <c r="AI163" s="326"/>
      <c r="AJ163" s="326"/>
      <c r="AK163" s="326"/>
      <c r="AL163" s="326"/>
      <c r="AM163" s="326"/>
      <c r="AN163" s="326"/>
      <c r="AO163" s="326"/>
      <c r="AP163" s="327"/>
      <c r="AQ163" s="707">
        <f>COUNTIFS('Naloxone Training Distribution'!AA15:AA5000,"YES")</f>
        <v>0</v>
      </c>
      <c r="AR163" s="326"/>
      <c r="AS163" s="326"/>
      <c r="AT163" s="326"/>
      <c r="AU163" s="326"/>
      <c r="AV163" s="326"/>
      <c r="AW163" s="327"/>
      <c r="BA163" s="381" t="s">
        <v>466</v>
      </c>
      <c r="BB163" s="326"/>
      <c r="BC163" s="326"/>
      <c r="BD163" s="326"/>
      <c r="BE163" s="326"/>
      <c r="BF163" s="326"/>
      <c r="BG163" s="326"/>
      <c r="BH163" s="326"/>
      <c r="BI163" s="326"/>
      <c r="BJ163" s="327"/>
      <c r="BK163" s="707">
        <f>COUNTIFS('Naloxone Training Distribution'!AM15:AM5000,"YES")</f>
        <v>0</v>
      </c>
      <c r="BL163" s="326"/>
      <c r="BM163" s="326"/>
      <c r="BN163" s="326"/>
      <c r="BO163" s="326"/>
      <c r="BP163" s="326"/>
      <c r="BQ163" s="327"/>
    </row>
    <row r="164" spans="1:100" ht="15.75" customHeight="1" x14ac:dyDescent="0.25">
      <c r="A164" s="382" t="s">
        <v>677</v>
      </c>
      <c r="B164" s="326"/>
      <c r="C164" s="326"/>
      <c r="D164" s="326"/>
      <c r="E164" s="326"/>
      <c r="F164" s="326"/>
      <c r="G164" s="326"/>
      <c r="H164" s="327"/>
      <c r="I164" s="733">
        <f>'GRANTEE SET UP INFO &amp; DATE '!C15</f>
        <v>0</v>
      </c>
      <c r="J164" s="326"/>
      <c r="K164" s="326"/>
      <c r="L164" s="327"/>
      <c r="M164" s="734">
        <f>'GRANTEE SET UP INFO &amp; DATE '!F15</f>
        <v>0</v>
      </c>
      <c r="N164" s="326"/>
      <c r="O164" s="326"/>
      <c r="P164" s="326"/>
      <c r="Q164" s="327"/>
      <c r="R164" s="735">
        <f>'GRANTEE SET UP INFO &amp; DATE '!J15</f>
        <v>0</v>
      </c>
      <c r="S164" s="326"/>
      <c r="T164" s="326"/>
      <c r="U164" s="326"/>
      <c r="V164" s="327"/>
      <c r="W164" s="416">
        <f>'GRANTEE SET UP INFO &amp; DATE '!N15</f>
        <v>0</v>
      </c>
      <c r="X164" s="326"/>
      <c r="Y164" s="326"/>
      <c r="Z164" s="326"/>
      <c r="AA164" s="326"/>
      <c r="AB164" s="327"/>
      <c r="AG164" s="381" t="s">
        <v>677</v>
      </c>
      <c r="AH164" s="326"/>
      <c r="AI164" s="326"/>
      <c r="AJ164" s="326"/>
      <c r="AK164" s="326"/>
      <c r="AL164" s="326"/>
      <c r="AM164" s="326"/>
      <c r="AN164" s="326"/>
      <c r="AO164" s="326"/>
      <c r="AP164" s="327"/>
      <c r="AQ164" s="707">
        <f>COUNTIFS('Naloxone Training Distribution'!AB15:AB5000,"YES")</f>
        <v>0</v>
      </c>
      <c r="AR164" s="326"/>
      <c r="AS164" s="326"/>
      <c r="AT164" s="326"/>
      <c r="AU164" s="326"/>
      <c r="AV164" s="326"/>
      <c r="AW164" s="327"/>
      <c r="BA164" s="381" t="s">
        <v>467</v>
      </c>
      <c r="BB164" s="326"/>
      <c r="BC164" s="326"/>
      <c r="BD164" s="326"/>
      <c r="BE164" s="326"/>
      <c r="BF164" s="326"/>
      <c r="BG164" s="326"/>
      <c r="BH164" s="326"/>
      <c r="BI164" s="326"/>
      <c r="BJ164" s="327"/>
      <c r="BK164" s="707">
        <f>COUNTIFS('Naloxone Training Distribution'!AN15:AN5000,"YES")</f>
        <v>0</v>
      </c>
      <c r="BL164" s="326"/>
      <c r="BM164" s="326"/>
      <c r="BN164" s="326"/>
      <c r="BO164" s="326"/>
      <c r="BP164" s="326"/>
      <c r="BQ164" s="327"/>
    </row>
    <row r="165" spans="1:100" ht="15.75" customHeight="1" x14ac:dyDescent="0.25">
      <c r="A165" s="382" t="s">
        <v>678</v>
      </c>
      <c r="B165" s="326"/>
      <c r="C165" s="326"/>
      <c r="D165" s="326"/>
      <c r="E165" s="326"/>
      <c r="F165" s="326"/>
      <c r="G165" s="326"/>
      <c r="H165" s="327"/>
      <c r="I165" s="733">
        <f>'GRANTEE SET UP INFO &amp; DATE '!C16</f>
        <v>0</v>
      </c>
      <c r="J165" s="326"/>
      <c r="K165" s="326"/>
      <c r="L165" s="327"/>
      <c r="M165" s="734">
        <f>'GRANTEE SET UP INFO &amp; DATE '!F16</f>
        <v>0</v>
      </c>
      <c r="N165" s="326"/>
      <c r="O165" s="326"/>
      <c r="P165" s="326"/>
      <c r="Q165" s="327"/>
      <c r="R165" s="735">
        <f>'GRANTEE SET UP INFO &amp; DATE '!J16</f>
        <v>0</v>
      </c>
      <c r="S165" s="326"/>
      <c r="T165" s="326"/>
      <c r="U165" s="326"/>
      <c r="V165" s="327"/>
      <c r="W165" s="416">
        <f>'GRANTEE SET UP INFO &amp; DATE '!N16</f>
        <v>0</v>
      </c>
      <c r="X165" s="326"/>
      <c r="Y165" s="326"/>
      <c r="Z165" s="326"/>
      <c r="AA165" s="326"/>
      <c r="AB165" s="327"/>
      <c r="AG165" s="381" t="s">
        <v>678</v>
      </c>
      <c r="AH165" s="326"/>
      <c r="AI165" s="326"/>
      <c r="AJ165" s="326"/>
      <c r="AK165" s="326"/>
      <c r="AL165" s="326"/>
      <c r="AM165" s="326"/>
      <c r="AN165" s="326"/>
      <c r="AO165" s="326"/>
      <c r="AP165" s="327"/>
      <c r="AQ165" s="707">
        <f>COUNTIFS('Naloxone Training Distribution'!AC15:AC5000,"YES")</f>
        <v>0</v>
      </c>
      <c r="AR165" s="326"/>
      <c r="AS165" s="326"/>
      <c r="AT165" s="326"/>
      <c r="AU165" s="326"/>
      <c r="AV165" s="326"/>
      <c r="AW165" s="327"/>
      <c r="BA165" s="381" t="s">
        <v>468</v>
      </c>
      <c r="BB165" s="326"/>
      <c r="BC165" s="326"/>
      <c r="BD165" s="326"/>
      <c r="BE165" s="326"/>
      <c r="BF165" s="326"/>
      <c r="BG165" s="326"/>
      <c r="BH165" s="326"/>
      <c r="BI165" s="326"/>
      <c r="BJ165" s="327"/>
      <c r="BK165" s="707">
        <f>COUNTIFS('Naloxone Training Distribution'!AO15:AO5000,"YES")</f>
        <v>0</v>
      </c>
      <c r="BL165" s="326"/>
      <c r="BM165" s="326"/>
      <c r="BN165" s="326"/>
      <c r="BO165" s="326"/>
      <c r="BP165" s="326"/>
      <c r="BQ165" s="327"/>
    </row>
    <row r="166" spans="1:100" ht="15.75" customHeight="1" x14ac:dyDescent="0.25">
      <c r="A166" s="382" t="s">
        <v>679</v>
      </c>
      <c r="B166" s="326"/>
      <c r="C166" s="326"/>
      <c r="D166" s="326"/>
      <c r="E166" s="326"/>
      <c r="F166" s="326"/>
      <c r="G166" s="326"/>
      <c r="H166" s="327"/>
      <c r="I166" s="733">
        <f>'GRANTEE SET UP INFO &amp; DATE '!C17</f>
        <v>0</v>
      </c>
      <c r="J166" s="326"/>
      <c r="K166" s="326"/>
      <c r="L166" s="327"/>
      <c r="M166" s="734">
        <f>'GRANTEE SET UP INFO &amp; DATE '!F17</f>
        <v>0</v>
      </c>
      <c r="N166" s="326"/>
      <c r="O166" s="326"/>
      <c r="P166" s="326"/>
      <c r="Q166" s="327"/>
      <c r="R166" s="735">
        <f>'GRANTEE SET UP INFO &amp; DATE '!J17</f>
        <v>0</v>
      </c>
      <c r="S166" s="326"/>
      <c r="T166" s="326"/>
      <c r="U166" s="326"/>
      <c r="V166" s="327"/>
      <c r="W166" s="416">
        <f>'GRANTEE SET UP INFO &amp; DATE '!N17</f>
        <v>0</v>
      </c>
      <c r="X166" s="326"/>
      <c r="Y166" s="326"/>
      <c r="Z166" s="326"/>
      <c r="AA166" s="326"/>
      <c r="AB166" s="327"/>
      <c r="AG166" s="381" t="s">
        <v>679</v>
      </c>
      <c r="AH166" s="326"/>
      <c r="AI166" s="326"/>
      <c r="AJ166" s="326"/>
      <c r="AK166" s="326"/>
      <c r="AL166" s="326"/>
      <c r="AM166" s="326"/>
      <c r="AN166" s="326"/>
      <c r="AO166" s="326"/>
      <c r="AP166" s="327"/>
      <c r="AQ166" s="707">
        <f>COUNTIFS('Naloxone Training Distribution'!AD15:AD5000,"YES")</f>
        <v>0</v>
      </c>
      <c r="AR166" s="326"/>
      <c r="AS166" s="326"/>
      <c r="AT166" s="326"/>
      <c r="AU166" s="326"/>
      <c r="AV166" s="326"/>
      <c r="AW166" s="327"/>
      <c r="BA166" s="381" t="s">
        <v>469</v>
      </c>
      <c r="BB166" s="326"/>
      <c r="BC166" s="326"/>
      <c r="BD166" s="326"/>
      <c r="BE166" s="326"/>
      <c r="BF166" s="326"/>
      <c r="BG166" s="326"/>
      <c r="BH166" s="326"/>
      <c r="BI166" s="326"/>
      <c r="BJ166" s="327"/>
      <c r="BK166" s="707">
        <f>COUNTIFS('Naloxone Training Distribution'!AP15:AP5000,"YES")</f>
        <v>0</v>
      </c>
      <c r="BL166" s="326"/>
      <c r="BM166" s="326"/>
      <c r="BN166" s="326"/>
      <c r="BO166" s="326"/>
      <c r="BP166" s="326"/>
      <c r="BQ166" s="327"/>
    </row>
    <row r="167" spans="1:100" ht="15.75" customHeight="1" x14ac:dyDescent="0.25">
      <c r="A167" s="382" t="s">
        <v>680</v>
      </c>
      <c r="B167" s="326"/>
      <c r="C167" s="326"/>
      <c r="D167" s="326"/>
      <c r="E167" s="326"/>
      <c r="F167" s="326"/>
      <c r="G167" s="326"/>
      <c r="H167" s="327"/>
      <c r="I167" s="733">
        <f>'GRANTEE SET UP INFO &amp; DATE '!C18</f>
        <v>0</v>
      </c>
      <c r="J167" s="326"/>
      <c r="K167" s="326"/>
      <c r="L167" s="327"/>
      <c r="M167" s="734">
        <f>'GRANTEE SET UP INFO &amp; DATE '!F18</f>
        <v>0</v>
      </c>
      <c r="N167" s="326"/>
      <c r="O167" s="326"/>
      <c r="P167" s="326"/>
      <c r="Q167" s="327"/>
      <c r="R167" s="735">
        <f>'GRANTEE SET UP INFO &amp; DATE '!J18</f>
        <v>0</v>
      </c>
      <c r="S167" s="326"/>
      <c r="T167" s="326"/>
      <c r="U167" s="326"/>
      <c r="V167" s="327"/>
      <c r="W167" s="416">
        <f>'GRANTEE SET UP INFO &amp; DATE '!N18</f>
        <v>0</v>
      </c>
      <c r="X167" s="326"/>
      <c r="Y167" s="326"/>
      <c r="Z167" s="326"/>
      <c r="AA167" s="326"/>
      <c r="AB167" s="327"/>
      <c r="AG167" s="381" t="s">
        <v>680</v>
      </c>
      <c r="AH167" s="326"/>
      <c r="AI167" s="326"/>
      <c r="AJ167" s="326"/>
      <c r="AK167" s="326"/>
      <c r="AL167" s="326"/>
      <c r="AM167" s="326"/>
      <c r="AN167" s="326"/>
      <c r="AO167" s="326"/>
      <c r="AP167" s="327"/>
      <c r="AQ167" s="707">
        <f>COUNTIFS('Naloxone Training Distribution'!AE15:AE5000,"YES")</f>
        <v>0</v>
      </c>
      <c r="AR167" s="326"/>
      <c r="AS167" s="326"/>
      <c r="AT167" s="326"/>
      <c r="AU167" s="326"/>
      <c r="AV167" s="326"/>
      <c r="AW167" s="327"/>
      <c r="BA167" s="381" t="s">
        <v>470</v>
      </c>
      <c r="BB167" s="326"/>
      <c r="BC167" s="326"/>
      <c r="BD167" s="326"/>
      <c r="BE167" s="326"/>
      <c r="BF167" s="326"/>
      <c r="BG167" s="326"/>
      <c r="BH167" s="326"/>
      <c r="BI167" s="326"/>
      <c r="BJ167" s="327"/>
      <c r="BK167" s="707">
        <f>COUNTIFS('Naloxone Training Distribution'!AQ15:AQ5000,"YES")</f>
        <v>0</v>
      </c>
      <c r="BL167" s="326"/>
      <c r="BM167" s="326"/>
      <c r="BN167" s="326"/>
      <c r="BO167" s="326"/>
      <c r="BP167" s="326"/>
      <c r="BQ167" s="327"/>
    </row>
    <row r="168" spans="1:100" ht="15.75" customHeight="1" x14ac:dyDescent="0.25">
      <c r="A168" s="382" t="s">
        <v>681</v>
      </c>
      <c r="B168" s="326"/>
      <c r="C168" s="326"/>
      <c r="D168" s="326"/>
      <c r="E168" s="326"/>
      <c r="F168" s="326"/>
      <c r="G168" s="326"/>
      <c r="H168" s="327"/>
      <c r="I168" s="733">
        <f>'GRANTEE SET UP INFO &amp; DATE '!W11</f>
        <v>0</v>
      </c>
      <c r="J168" s="326"/>
      <c r="K168" s="326"/>
      <c r="L168" s="327"/>
      <c r="M168" s="734">
        <f>'GRANTEE SET UP INFO &amp; DATE '!Z11</f>
        <v>0</v>
      </c>
      <c r="N168" s="326"/>
      <c r="O168" s="326"/>
      <c r="P168" s="326"/>
      <c r="Q168" s="327"/>
      <c r="R168" s="735">
        <f>'GRANTEE SET UP INFO &amp; DATE '!AD11</f>
        <v>0</v>
      </c>
      <c r="S168" s="326"/>
      <c r="T168" s="326"/>
      <c r="U168" s="326"/>
      <c r="V168" s="327"/>
      <c r="W168" s="416">
        <f>'GRANTEE SET UP INFO &amp; DATE '!AH11</f>
        <v>0</v>
      </c>
      <c r="X168" s="326"/>
      <c r="Y168" s="326"/>
      <c r="Z168" s="326"/>
      <c r="AA168" s="326"/>
      <c r="AB168" s="327"/>
      <c r="AG168" s="381" t="s">
        <v>681</v>
      </c>
      <c r="AH168" s="326"/>
      <c r="AI168" s="326"/>
      <c r="AJ168" s="326"/>
      <c r="AK168" s="326"/>
      <c r="AL168" s="326"/>
      <c r="AM168" s="326"/>
      <c r="AN168" s="326"/>
      <c r="AO168" s="326"/>
      <c r="AP168" s="327"/>
      <c r="AQ168" s="707">
        <f>COUNTIFS('Naloxone Training Distribution'!AF15:AF5000,"YES")</f>
        <v>0</v>
      </c>
      <c r="AR168" s="326"/>
      <c r="AS168" s="326"/>
      <c r="AT168" s="326"/>
      <c r="AU168" s="326"/>
      <c r="AV168" s="326"/>
      <c r="AW168" s="327"/>
      <c r="BA168" s="381" t="s">
        <v>471</v>
      </c>
      <c r="BB168" s="326"/>
      <c r="BC168" s="326"/>
      <c r="BD168" s="326"/>
      <c r="BE168" s="326"/>
      <c r="BF168" s="326"/>
      <c r="BG168" s="326"/>
      <c r="BH168" s="326"/>
      <c r="BI168" s="326"/>
      <c r="BJ168" s="327"/>
      <c r="BK168" s="707">
        <f>COUNTIFS('Naloxone Training Distribution'!AR15:AR5000,"YES")</f>
        <v>0</v>
      </c>
      <c r="BL168" s="326"/>
      <c r="BM168" s="326"/>
      <c r="BN168" s="326"/>
      <c r="BO168" s="326"/>
      <c r="BP168" s="326"/>
      <c r="BQ168" s="327"/>
    </row>
    <row r="169" spans="1:100" ht="15.75" customHeight="1" x14ac:dyDescent="0.25">
      <c r="A169" s="382" t="s">
        <v>682</v>
      </c>
      <c r="B169" s="326"/>
      <c r="C169" s="326"/>
      <c r="D169" s="326"/>
      <c r="E169" s="326"/>
      <c r="F169" s="326"/>
      <c r="G169" s="326"/>
      <c r="H169" s="327"/>
      <c r="I169" s="733">
        <f>'GRANTEE SET UP INFO &amp; DATE '!W12</f>
        <v>0</v>
      </c>
      <c r="J169" s="326"/>
      <c r="K169" s="326"/>
      <c r="L169" s="327"/>
      <c r="M169" s="734">
        <f>'GRANTEE SET UP INFO &amp; DATE '!Z12</f>
        <v>0</v>
      </c>
      <c r="N169" s="326"/>
      <c r="O169" s="326"/>
      <c r="P169" s="326"/>
      <c r="Q169" s="327"/>
      <c r="R169" s="735">
        <f>'GRANTEE SET UP INFO &amp; DATE '!AD12</f>
        <v>0</v>
      </c>
      <c r="S169" s="326"/>
      <c r="T169" s="326"/>
      <c r="U169" s="326"/>
      <c r="V169" s="327"/>
      <c r="W169" s="416">
        <f>'GRANTEE SET UP INFO &amp; DATE '!AH12</f>
        <v>0</v>
      </c>
      <c r="X169" s="326"/>
      <c r="Y169" s="326"/>
      <c r="Z169" s="326"/>
      <c r="AA169" s="326"/>
      <c r="AB169" s="327"/>
      <c r="AG169" s="381" t="s">
        <v>682</v>
      </c>
      <c r="AH169" s="326"/>
      <c r="AI169" s="326"/>
      <c r="AJ169" s="326"/>
      <c r="AK169" s="326"/>
      <c r="AL169" s="326"/>
      <c r="AM169" s="326"/>
      <c r="AN169" s="326"/>
      <c r="AO169" s="326"/>
      <c r="AP169" s="327"/>
      <c r="AQ169" s="707">
        <f>COUNTIFS('Naloxone Training Distribution'!AG15:AG5000,"YES")</f>
        <v>0</v>
      </c>
      <c r="AR169" s="326"/>
      <c r="AS169" s="326"/>
      <c r="AT169" s="326"/>
      <c r="AU169" s="326"/>
      <c r="AV169" s="326"/>
      <c r="AW169" s="327"/>
      <c r="BA169" s="381"/>
      <c r="BB169" s="326"/>
      <c r="BC169" s="326"/>
      <c r="BD169" s="326"/>
      <c r="BE169" s="326"/>
      <c r="BF169" s="326"/>
      <c r="BG169" s="326"/>
      <c r="BH169" s="326"/>
      <c r="BI169" s="326"/>
      <c r="BJ169" s="327"/>
      <c r="BK169" s="707"/>
      <c r="BL169" s="326"/>
      <c r="BM169" s="326"/>
      <c r="BN169" s="326"/>
      <c r="BO169" s="326"/>
      <c r="BP169" s="326"/>
      <c r="BQ169" s="327"/>
    </row>
    <row r="170" spans="1:100" ht="15.75" customHeight="1" x14ac:dyDescent="0.25">
      <c r="A170" s="382" t="s">
        <v>683</v>
      </c>
      <c r="B170" s="326"/>
      <c r="C170" s="326"/>
      <c r="D170" s="326"/>
      <c r="E170" s="326"/>
      <c r="F170" s="326"/>
      <c r="G170" s="326"/>
      <c r="H170" s="327"/>
      <c r="I170" s="733">
        <f>'GRANTEE SET UP INFO &amp; DATE '!W13</f>
        <v>0</v>
      </c>
      <c r="J170" s="326"/>
      <c r="K170" s="326"/>
      <c r="L170" s="327"/>
      <c r="M170" s="734">
        <f>'GRANTEE SET UP INFO &amp; DATE '!Z13</f>
        <v>0</v>
      </c>
      <c r="N170" s="326"/>
      <c r="O170" s="326"/>
      <c r="P170" s="326"/>
      <c r="Q170" s="327"/>
      <c r="R170" s="735">
        <f>'GRANTEE SET UP INFO &amp; DATE '!AD13</f>
        <v>0</v>
      </c>
      <c r="S170" s="326"/>
      <c r="T170" s="326"/>
      <c r="U170" s="326"/>
      <c r="V170" s="327"/>
      <c r="W170" s="416">
        <f>'GRANTEE SET UP INFO &amp; DATE '!AH13</f>
        <v>0</v>
      </c>
      <c r="X170" s="326"/>
      <c r="Y170" s="326"/>
      <c r="Z170" s="326"/>
      <c r="AA170" s="326"/>
      <c r="AB170" s="327"/>
      <c r="AG170" s="381" t="s">
        <v>683</v>
      </c>
      <c r="AH170" s="326"/>
      <c r="AI170" s="326"/>
      <c r="AJ170" s="326"/>
      <c r="AK170" s="326"/>
      <c r="AL170" s="326"/>
      <c r="AM170" s="326"/>
      <c r="AN170" s="326"/>
      <c r="AO170" s="326"/>
      <c r="AP170" s="327"/>
      <c r="AQ170" s="707">
        <f>COUNTIFS('Naloxone Training Distribution'!AH15:AH5000,"YES")</f>
        <v>0</v>
      </c>
      <c r="AR170" s="326"/>
      <c r="AS170" s="326"/>
      <c r="AT170" s="326"/>
      <c r="AU170" s="326"/>
      <c r="AV170" s="326"/>
      <c r="AW170" s="327"/>
      <c r="BA170" s="381"/>
      <c r="BB170" s="326"/>
      <c r="BC170" s="326"/>
      <c r="BD170" s="326"/>
      <c r="BE170" s="326"/>
      <c r="BF170" s="326"/>
      <c r="BG170" s="326"/>
      <c r="BH170" s="326"/>
      <c r="BI170" s="326"/>
      <c r="BJ170" s="327"/>
      <c r="BK170" s="707"/>
      <c r="BL170" s="326"/>
      <c r="BM170" s="326"/>
      <c r="BN170" s="326"/>
      <c r="BO170" s="326"/>
      <c r="BP170" s="326"/>
      <c r="BQ170" s="327"/>
    </row>
    <row r="171" spans="1:100" ht="15.75" customHeight="1" x14ac:dyDescent="0.25">
      <c r="A171" s="382" t="s">
        <v>684</v>
      </c>
      <c r="B171" s="326"/>
      <c r="C171" s="326"/>
      <c r="D171" s="326"/>
      <c r="E171" s="326"/>
      <c r="F171" s="326"/>
      <c r="G171" s="326"/>
      <c r="H171" s="327"/>
      <c r="I171" s="733">
        <f>'GRANTEE SET UP INFO &amp; DATE '!W14</f>
        <v>0</v>
      </c>
      <c r="J171" s="326"/>
      <c r="K171" s="326"/>
      <c r="L171" s="327"/>
      <c r="M171" s="734">
        <f>'GRANTEE SET UP INFO &amp; DATE '!Z14</f>
        <v>0</v>
      </c>
      <c r="N171" s="326"/>
      <c r="O171" s="326"/>
      <c r="P171" s="326"/>
      <c r="Q171" s="327"/>
      <c r="R171" s="735">
        <f>'GRANTEE SET UP INFO &amp; DATE '!AD14</f>
        <v>0</v>
      </c>
      <c r="S171" s="326"/>
      <c r="T171" s="326"/>
      <c r="U171" s="326"/>
      <c r="V171" s="327"/>
      <c r="W171" s="416">
        <f>'GRANTEE SET UP INFO &amp; DATE '!AH14</f>
        <v>0</v>
      </c>
      <c r="X171" s="326"/>
      <c r="Y171" s="326"/>
      <c r="Z171" s="326"/>
      <c r="AA171" s="326"/>
      <c r="AB171" s="327"/>
      <c r="AG171" s="381" t="s">
        <v>684</v>
      </c>
      <c r="AH171" s="326"/>
      <c r="AI171" s="326"/>
      <c r="AJ171" s="326"/>
      <c r="AK171" s="326"/>
      <c r="AL171" s="326"/>
      <c r="AM171" s="326"/>
      <c r="AN171" s="326"/>
      <c r="AO171" s="326"/>
      <c r="AP171" s="327"/>
      <c r="AQ171" s="707">
        <f>COUNTIFS('Naloxone Training Distribution'!AI15:AI5000,"YES")</f>
        <v>0</v>
      </c>
      <c r="AR171" s="326"/>
      <c r="AS171" s="326"/>
      <c r="AT171" s="326"/>
      <c r="AU171" s="326"/>
      <c r="AV171" s="326"/>
      <c r="AW171" s="327"/>
      <c r="BA171" s="381"/>
      <c r="BB171" s="326"/>
      <c r="BC171" s="326"/>
      <c r="BD171" s="326"/>
      <c r="BE171" s="326"/>
      <c r="BF171" s="326"/>
      <c r="BG171" s="326"/>
      <c r="BH171" s="326"/>
      <c r="BI171" s="326"/>
      <c r="BJ171" s="327"/>
      <c r="BK171" s="707"/>
      <c r="BL171" s="326"/>
      <c r="BM171" s="326"/>
      <c r="BN171" s="326"/>
      <c r="BO171" s="326"/>
      <c r="BP171" s="326"/>
      <c r="BQ171" s="327"/>
    </row>
    <row r="172" spans="1:100" ht="15.75" customHeight="1" x14ac:dyDescent="0.25">
      <c r="A172" s="382"/>
      <c r="B172" s="326"/>
      <c r="C172" s="326"/>
      <c r="D172" s="326"/>
      <c r="E172" s="326"/>
      <c r="F172" s="326"/>
      <c r="G172" s="326"/>
      <c r="H172" s="327"/>
      <c r="I172" s="746"/>
      <c r="J172" s="326"/>
      <c r="K172" s="326"/>
      <c r="L172" s="327"/>
      <c r="M172" s="747"/>
      <c r="N172" s="326"/>
      <c r="O172" s="326"/>
      <c r="P172" s="326"/>
      <c r="Q172" s="327"/>
      <c r="R172" s="748"/>
      <c r="S172" s="326"/>
      <c r="T172" s="326"/>
      <c r="U172" s="326"/>
      <c r="V172" s="327"/>
      <c r="W172" s="416"/>
      <c r="X172" s="326"/>
      <c r="Y172" s="326"/>
      <c r="Z172" s="326"/>
      <c r="AA172" s="326"/>
      <c r="AB172" s="327"/>
      <c r="AG172" s="381"/>
      <c r="AH172" s="326"/>
      <c r="AI172" s="326"/>
      <c r="AJ172" s="326"/>
      <c r="AK172" s="326"/>
      <c r="AL172" s="326"/>
      <c r="AM172" s="326"/>
      <c r="AN172" s="326"/>
      <c r="AO172" s="326"/>
      <c r="AP172" s="327"/>
      <c r="AQ172" s="707"/>
      <c r="AR172" s="326"/>
      <c r="AS172" s="326"/>
      <c r="AT172" s="326"/>
      <c r="AU172" s="326"/>
      <c r="AV172" s="326"/>
      <c r="AW172" s="327"/>
      <c r="BA172" s="381"/>
      <c r="BB172" s="326"/>
      <c r="BC172" s="326"/>
      <c r="BD172" s="326"/>
      <c r="BE172" s="326"/>
      <c r="BF172" s="326"/>
      <c r="BG172" s="326"/>
      <c r="BH172" s="326"/>
      <c r="BI172" s="326"/>
      <c r="BJ172" s="327"/>
      <c r="BK172" s="707"/>
      <c r="BL172" s="326"/>
      <c r="BM172" s="326"/>
      <c r="BN172" s="326"/>
      <c r="BO172" s="326"/>
      <c r="BP172" s="326"/>
      <c r="BQ172" s="327"/>
    </row>
    <row r="173" spans="1:100" ht="15.75" customHeight="1" x14ac:dyDescent="0.3">
      <c r="A173" s="743" t="s">
        <v>685</v>
      </c>
      <c r="B173" s="326"/>
      <c r="C173" s="326"/>
      <c r="D173" s="326"/>
      <c r="E173" s="326"/>
      <c r="F173" s="326"/>
      <c r="G173" s="326"/>
      <c r="H173" s="326"/>
      <c r="I173" s="326"/>
      <c r="J173" s="326"/>
      <c r="K173" s="326"/>
      <c r="L173" s="326"/>
      <c r="M173" s="326"/>
      <c r="N173" s="326"/>
      <c r="O173" s="326"/>
      <c r="P173" s="326"/>
      <c r="Q173" s="326"/>
      <c r="R173" s="326"/>
      <c r="S173" s="326"/>
      <c r="T173" s="326"/>
      <c r="U173" s="326"/>
      <c r="V173" s="327"/>
      <c r="W173" s="744">
        <f>COUNTIFS(W160:W171,"&gt;=07/01/2010",W160:W171,"&lt;=09/30/2021")</f>
        <v>0</v>
      </c>
      <c r="X173" s="344"/>
      <c r="Y173" s="344"/>
      <c r="Z173" s="344"/>
      <c r="AA173" s="344"/>
      <c r="AB173" s="470"/>
      <c r="AG173" s="745" t="s">
        <v>582</v>
      </c>
      <c r="AH173" s="344"/>
      <c r="AI173" s="344"/>
      <c r="AJ173" s="344"/>
      <c r="AK173" s="344"/>
      <c r="AL173" s="344"/>
      <c r="AM173" s="344"/>
      <c r="AN173" s="344"/>
      <c r="AO173" s="344"/>
      <c r="AP173" s="470"/>
      <c r="AQ173" s="732">
        <f>SUM(AQ160:AQ172)</f>
        <v>0</v>
      </c>
      <c r="AR173" s="344"/>
      <c r="AS173" s="344"/>
      <c r="AT173" s="344"/>
      <c r="AU173" s="344"/>
      <c r="AV173" s="344"/>
      <c r="AW173" s="470"/>
      <c r="BA173" s="732" t="s">
        <v>582</v>
      </c>
      <c r="BB173" s="344"/>
      <c r="BC173" s="344"/>
      <c r="BD173" s="344"/>
      <c r="BE173" s="344"/>
      <c r="BF173" s="344"/>
      <c r="BG173" s="344"/>
      <c r="BH173" s="344"/>
      <c r="BI173" s="344"/>
      <c r="BJ173" s="470"/>
      <c r="BK173" s="732">
        <f>SUM(BK160:BK172)</f>
        <v>0</v>
      </c>
      <c r="BL173" s="344"/>
      <c r="BM173" s="344"/>
      <c r="BN173" s="344"/>
      <c r="BO173" s="344"/>
      <c r="BP173" s="344"/>
      <c r="BQ173" s="470"/>
    </row>
    <row r="174" spans="1:100" ht="15.75" customHeight="1" x14ac:dyDescent="0.25">
      <c r="I174" s="97"/>
    </row>
    <row r="175" spans="1:100" ht="15.75" customHeight="1" x14ac:dyDescent="0.3">
      <c r="A175" s="728" t="s">
        <v>686</v>
      </c>
      <c r="B175" s="347"/>
      <c r="C175" s="347"/>
      <c r="D175" s="347"/>
      <c r="E175" s="347"/>
      <c r="F175" s="347"/>
      <c r="G175" s="347"/>
      <c r="H175" s="347"/>
      <c r="I175" s="347"/>
      <c r="J175" s="347"/>
      <c r="K175" s="347"/>
      <c r="L175" s="347"/>
      <c r="M175" s="347"/>
      <c r="N175" s="347"/>
      <c r="O175" s="347"/>
      <c r="P175" s="347"/>
      <c r="Q175" s="347"/>
      <c r="R175" s="347"/>
      <c r="S175" s="347"/>
      <c r="T175" s="347"/>
      <c r="U175" s="347"/>
      <c r="V175" s="347"/>
      <c r="W175" s="347"/>
      <c r="X175" s="347"/>
      <c r="Y175" s="347"/>
      <c r="Z175" s="347"/>
      <c r="AA175" s="347"/>
      <c r="AB175" s="347"/>
      <c r="AC175" s="347"/>
      <c r="AD175" s="347"/>
      <c r="AE175" s="347"/>
      <c r="AF175" s="347"/>
      <c r="AG175" s="347"/>
      <c r="AH175" s="347"/>
      <c r="AI175" s="347"/>
      <c r="AJ175" s="347"/>
      <c r="AK175" s="347"/>
      <c r="AL175" s="347"/>
      <c r="AM175" s="347"/>
      <c r="AN175" s="347"/>
      <c r="AO175" s="347"/>
      <c r="AP175" s="347"/>
      <c r="AQ175" s="347"/>
      <c r="AR175" s="347"/>
      <c r="AS175" s="347"/>
      <c r="AT175" s="347"/>
      <c r="AU175" s="347"/>
      <c r="AV175" s="347"/>
      <c r="AW175" s="347"/>
      <c r="AX175" s="347"/>
      <c r="AY175" s="347"/>
      <c r="AZ175" s="347"/>
      <c r="BA175" s="347"/>
      <c r="BB175" s="347"/>
      <c r="BC175" s="347"/>
      <c r="BD175" s="347"/>
      <c r="BE175" s="347"/>
      <c r="BF175" s="347"/>
      <c r="BG175" s="347"/>
      <c r="BH175" s="347"/>
      <c r="BI175" s="347"/>
      <c r="BJ175" s="347"/>
      <c r="BK175" s="347"/>
      <c r="BL175" s="347"/>
      <c r="BM175" s="347"/>
      <c r="BN175" s="347"/>
      <c r="BO175" s="347"/>
      <c r="BP175" s="347"/>
      <c r="BQ175" s="347"/>
      <c r="BR175" s="347"/>
      <c r="BS175" s="347"/>
      <c r="BT175" s="347"/>
      <c r="BU175" s="347"/>
      <c r="BV175" s="347"/>
      <c r="BW175" s="347"/>
      <c r="BX175" s="347"/>
      <c r="BY175" s="347"/>
      <c r="BZ175" s="347"/>
      <c r="CA175" s="347"/>
      <c r="CB175" s="347"/>
      <c r="CC175" s="347"/>
      <c r="CD175" s="347"/>
      <c r="CE175" s="347"/>
      <c r="CF175" s="347"/>
      <c r="CG175" s="347"/>
      <c r="CH175" s="347"/>
      <c r="CI175" s="347"/>
      <c r="CJ175" s="347"/>
      <c r="CK175" s="347"/>
      <c r="CL175" s="347"/>
      <c r="CM175" s="347"/>
      <c r="CN175" s="347"/>
      <c r="CO175" s="347"/>
      <c r="CP175" s="347"/>
      <c r="CQ175" s="347"/>
      <c r="CR175" s="347"/>
      <c r="CS175" s="347"/>
      <c r="CT175" s="347"/>
      <c r="CU175" s="347"/>
      <c r="CV175" s="354"/>
    </row>
    <row r="176" spans="1:100" ht="15.75" customHeight="1" x14ac:dyDescent="0.25">
      <c r="I176" s="97"/>
    </row>
    <row r="177" spans="1:100" ht="15.75" customHeight="1" x14ac:dyDescent="0.25">
      <c r="A177" s="456" t="s">
        <v>687</v>
      </c>
      <c r="B177" s="326"/>
      <c r="C177" s="326"/>
      <c r="D177" s="326"/>
      <c r="E177" s="326"/>
      <c r="F177" s="326"/>
      <c r="G177" s="326"/>
      <c r="H177" s="326"/>
      <c r="I177" s="326"/>
      <c r="J177" s="326"/>
      <c r="K177" s="326"/>
      <c r="L177" s="326"/>
      <c r="M177" s="326"/>
      <c r="N177" s="326"/>
      <c r="O177" s="326"/>
      <c r="P177" s="326"/>
      <c r="Q177" s="326"/>
      <c r="R177" s="326"/>
      <c r="S177" s="326"/>
      <c r="T177" s="326"/>
      <c r="U177" s="326"/>
      <c r="V177" s="326"/>
      <c r="W177" s="326"/>
      <c r="X177" s="326"/>
      <c r="Y177" s="326"/>
      <c r="Z177" s="326"/>
      <c r="AA177" s="326"/>
      <c r="AB177" s="326"/>
      <c r="AC177" s="327"/>
      <c r="AD177" s="729" t="s">
        <v>688</v>
      </c>
      <c r="AE177" s="326"/>
      <c r="AF177" s="326"/>
      <c r="AG177" s="326"/>
      <c r="AH177" s="326"/>
      <c r="AI177" s="326"/>
      <c r="AJ177" s="326"/>
      <c r="AK177" s="326"/>
      <c r="AL177" s="327"/>
      <c r="AM177" s="729" t="s">
        <v>689</v>
      </c>
      <c r="AN177" s="326"/>
      <c r="AO177" s="326"/>
      <c r="AP177" s="326"/>
      <c r="AQ177" s="326"/>
      <c r="AR177" s="326"/>
      <c r="AS177" s="326"/>
      <c r="AT177" s="326"/>
      <c r="AU177" s="327"/>
      <c r="AV177" s="729" t="s">
        <v>690</v>
      </c>
      <c r="AW177" s="326"/>
      <c r="AX177" s="326"/>
      <c r="AY177" s="326"/>
      <c r="AZ177" s="326"/>
      <c r="BA177" s="326"/>
      <c r="BB177" s="326"/>
      <c r="BC177" s="326"/>
      <c r="BD177" s="327"/>
      <c r="BE177" s="97"/>
      <c r="BF177" s="97"/>
      <c r="BG177" s="97"/>
      <c r="BH177" s="97"/>
    </row>
    <row r="178" spans="1:100" ht="15.75" customHeight="1" x14ac:dyDescent="0.25">
      <c r="A178" s="381" t="s">
        <v>691</v>
      </c>
      <c r="B178" s="326"/>
      <c r="C178" s="326"/>
      <c r="D178" s="326"/>
      <c r="E178" s="326"/>
      <c r="F178" s="326"/>
      <c r="G178" s="326"/>
      <c r="H178" s="326"/>
      <c r="I178" s="326"/>
      <c r="J178" s="326"/>
      <c r="K178" s="326"/>
      <c r="L178" s="326"/>
      <c r="M178" s="326"/>
      <c r="N178" s="326"/>
      <c r="O178" s="326"/>
      <c r="P178" s="326"/>
      <c r="Q178" s="326"/>
      <c r="R178" s="326"/>
      <c r="S178" s="326"/>
      <c r="T178" s="326"/>
      <c r="U178" s="326"/>
      <c r="V178" s="326"/>
      <c r="W178" s="326"/>
      <c r="X178" s="326"/>
      <c r="Y178" s="326"/>
      <c r="Z178" s="326"/>
      <c r="AA178" s="326"/>
      <c r="AB178" s="326"/>
      <c r="AC178" s="327"/>
      <c r="AD178" s="713">
        <f>COUNTIFS('ACTIVITIES MEETINGS EVENTS '!D13:D4948,"Cross Planning Initiatives")</f>
        <v>0</v>
      </c>
      <c r="AE178" s="326"/>
      <c r="AF178" s="326"/>
      <c r="AG178" s="326"/>
      <c r="AH178" s="326"/>
      <c r="AI178" s="326"/>
      <c r="AJ178" s="326"/>
      <c r="AK178" s="326"/>
      <c r="AL178" s="327"/>
      <c r="AM178" s="707">
        <f>SUMIF('ACTIVITIES MEETINGS EVENTS '!D13:D4948,"Cross Planning Initiatives",'ACTIVITIES MEETINGS EVENTS '!Y13:Y4948)</f>
        <v>0</v>
      </c>
      <c r="AN178" s="326"/>
      <c r="AO178" s="326"/>
      <c r="AP178" s="326"/>
      <c r="AQ178" s="326"/>
      <c r="AR178" s="326"/>
      <c r="AS178" s="326"/>
      <c r="AT178" s="326"/>
      <c r="AU178" s="327"/>
      <c r="AV178" s="707">
        <f>COUNTIFS('ACTIVITIES MEETINGS EVENTS '!D13:D4948,"Cross Planning Initiatives",'ACTIVITIES MEETINGS EVENTS '!AW13:AW4948,"YES")</f>
        <v>0</v>
      </c>
      <c r="AW178" s="326"/>
      <c r="AX178" s="326"/>
      <c r="AY178" s="326"/>
      <c r="AZ178" s="326"/>
      <c r="BA178" s="326"/>
      <c r="BB178" s="326"/>
      <c r="BC178" s="326"/>
      <c r="BD178" s="327"/>
    </row>
    <row r="179" spans="1:100" ht="15.75" customHeight="1" x14ac:dyDescent="0.25">
      <c r="A179" s="381" t="s">
        <v>692</v>
      </c>
      <c r="B179" s="326"/>
      <c r="C179" s="326"/>
      <c r="D179" s="326"/>
      <c r="E179" s="326"/>
      <c r="F179" s="326"/>
      <c r="G179" s="326"/>
      <c r="H179" s="326"/>
      <c r="I179" s="326"/>
      <c r="J179" s="326"/>
      <c r="K179" s="326"/>
      <c r="L179" s="326"/>
      <c r="M179" s="326"/>
      <c r="N179" s="326"/>
      <c r="O179" s="326"/>
      <c r="P179" s="326"/>
      <c r="Q179" s="326"/>
      <c r="R179" s="326"/>
      <c r="S179" s="326"/>
      <c r="T179" s="326"/>
      <c r="U179" s="326"/>
      <c r="V179" s="326"/>
      <c r="W179" s="326"/>
      <c r="X179" s="326"/>
      <c r="Y179" s="326"/>
      <c r="Z179" s="326"/>
      <c r="AA179" s="326"/>
      <c r="AB179" s="326"/>
      <c r="AC179" s="327"/>
      <c r="AD179" s="713">
        <f>COUNTIFS('ACTIVITIES MEETINGS EVENTS '!D13:D4948,"Service Activity Implemented with other sectors")</f>
        <v>0</v>
      </c>
      <c r="AE179" s="326"/>
      <c r="AF179" s="326"/>
      <c r="AG179" s="326"/>
      <c r="AH179" s="326"/>
      <c r="AI179" s="326"/>
      <c r="AJ179" s="326"/>
      <c r="AK179" s="326"/>
      <c r="AL179" s="327"/>
      <c r="AM179" s="707">
        <f>SUMIF('ACTIVITIES MEETINGS EVENTS '!D13:D4948,"Service Activity Implemented with other sectors",'ACTIVITIES MEETINGS EVENTS '!Y13:Y4948)</f>
        <v>0</v>
      </c>
      <c r="AN179" s="326"/>
      <c r="AO179" s="326"/>
      <c r="AP179" s="326"/>
      <c r="AQ179" s="326"/>
      <c r="AR179" s="326"/>
      <c r="AS179" s="326"/>
      <c r="AT179" s="326"/>
      <c r="AU179" s="327"/>
      <c r="AV179" s="707">
        <f>COUNTIFS('ACTIVITIES MEETINGS EVENTS '!D13:D4948,"Service Activity Implemented with other sectors",'ACTIVITIES MEETINGS EVENTS '!AW13:AW4948,"YES")</f>
        <v>0</v>
      </c>
      <c r="AW179" s="326"/>
      <c r="AX179" s="326"/>
      <c r="AY179" s="326"/>
      <c r="AZ179" s="326"/>
      <c r="BA179" s="326"/>
      <c r="BB179" s="326"/>
      <c r="BC179" s="326"/>
      <c r="BD179" s="327"/>
    </row>
    <row r="180" spans="1:100" ht="15.75" customHeight="1" x14ac:dyDescent="0.25">
      <c r="A180" s="381" t="s">
        <v>693</v>
      </c>
      <c r="B180" s="326"/>
      <c r="C180" s="326"/>
      <c r="D180" s="326"/>
      <c r="E180" s="326"/>
      <c r="F180" s="326"/>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7"/>
      <c r="AD180" s="713">
        <f>COUNTIFS('ACTIVITIES MEETINGS EVENTS '!D13:D4948,"Meeting Attended ")</f>
        <v>0</v>
      </c>
      <c r="AE180" s="326"/>
      <c r="AF180" s="326"/>
      <c r="AG180" s="326"/>
      <c r="AH180" s="326"/>
      <c r="AI180" s="326"/>
      <c r="AJ180" s="326"/>
      <c r="AK180" s="326"/>
      <c r="AL180" s="327"/>
      <c r="AM180" s="707">
        <f>SUMIF('ACTIVITIES MEETINGS EVENTS '!D13:D4948,"Meeting Attended ",'ACTIVITIES MEETINGS EVENTS '!Y13:Y4948)</f>
        <v>0</v>
      </c>
      <c r="AN180" s="326"/>
      <c r="AO180" s="326"/>
      <c r="AP180" s="326"/>
      <c r="AQ180" s="326"/>
      <c r="AR180" s="326"/>
      <c r="AS180" s="326"/>
      <c r="AT180" s="326"/>
      <c r="AU180" s="327"/>
      <c r="AV180" s="707">
        <f>COUNTIFS('ACTIVITIES MEETINGS EVENTS '!D13:D4948,"Meeting Attended ",'ACTIVITIES MEETINGS EVENTS '!AW13:AW4948,"YES")</f>
        <v>0</v>
      </c>
      <c r="AW180" s="326"/>
      <c r="AX180" s="326"/>
      <c r="AY180" s="326"/>
      <c r="AZ180" s="326"/>
      <c r="BA180" s="326"/>
      <c r="BB180" s="326"/>
      <c r="BC180" s="326"/>
      <c r="BD180" s="327"/>
    </row>
    <row r="181" spans="1:100" ht="15.75" customHeight="1" x14ac:dyDescent="0.25">
      <c r="A181" s="381" t="s">
        <v>694</v>
      </c>
      <c r="B181" s="326"/>
      <c r="C181" s="326"/>
      <c r="D181" s="326"/>
      <c r="E181" s="326"/>
      <c r="F181" s="326"/>
      <c r="G181" s="326"/>
      <c r="H181" s="326"/>
      <c r="I181" s="326"/>
      <c r="J181" s="326"/>
      <c r="K181" s="326"/>
      <c r="L181" s="326"/>
      <c r="M181" s="326"/>
      <c r="N181" s="326"/>
      <c r="O181" s="326"/>
      <c r="P181" s="326"/>
      <c r="Q181" s="326"/>
      <c r="R181" s="326"/>
      <c r="S181" s="326"/>
      <c r="T181" s="326"/>
      <c r="U181" s="326"/>
      <c r="V181" s="326"/>
      <c r="W181" s="326"/>
      <c r="X181" s="326"/>
      <c r="Y181" s="326"/>
      <c r="Z181" s="326"/>
      <c r="AA181" s="326"/>
      <c r="AB181" s="326"/>
      <c r="AC181" s="327"/>
      <c r="AD181" s="713">
        <f>COUNTIFS('ACTIVITIES MEETINGS EVENTS '!D13:D4948,"Specific Activities with goal  to Reach High-Risk Populations (Specify Population in Notes)")</f>
        <v>0</v>
      </c>
      <c r="AE181" s="326"/>
      <c r="AF181" s="326"/>
      <c r="AG181" s="326"/>
      <c r="AH181" s="326"/>
      <c r="AI181" s="326"/>
      <c r="AJ181" s="326"/>
      <c r="AK181" s="326"/>
      <c r="AL181" s="327"/>
      <c r="AM181" s="707">
        <f>SUMIF('ACTIVITIES MEETINGS EVENTS '!D13:D4948,"Specific Activities with goal  to Reach High-Risk Populations (Specify Population in Notes)",'ACTIVITIES MEETINGS EVENTS '!Y13:Y4948)</f>
        <v>0</v>
      </c>
      <c r="AN181" s="326"/>
      <c r="AO181" s="326"/>
      <c r="AP181" s="326"/>
      <c r="AQ181" s="326"/>
      <c r="AR181" s="326"/>
      <c r="AS181" s="326"/>
      <c r="AT181" s="326"/>
      <c r="AU181" s="327"/>
      <c r="AV181" s="707">
        <f>COUNTIFS('ACTIVITIES MEETINGS EVENTS '!D13:D4948,"Specific Activities with goal  to Reach High-Risk Populations (Specify Population in Notes)",'ACTIVITIES MEETINGS EVENTS '!AW13:AW4948,"YES")</f>
        <v>0</v>
      </c>
      <c r="AW181" s="326"/>
      <c r="AX181" s="326"/>
      <c r="AY181" s="326"/>
      <c r="AZ181" s="326"/>
      <c r="BA181" s="326"/>
      <c r="BB181" s="326"/>
      <c r="BC181" s="326"/>
      <c r="BD181" s="327"/>
    </row>
    <row r="182" spans="1:100" ht="15.75" customHeight="1" x14ac:dyDescent="0.25">
      <c r="A182" s="381" t="s">
        <v>695</v>
      </c>
      <c r="B182" s="326"/>
      <c r="C182" s="326"/>
      <c r="D182" s="326"/>
      <c r="E182" s="326"/>
      <c r="F182" s="326"/>
      <c r="G182" s="326"/>
      <c r="H182" s="326"/>
      <c r="I182" s="326"/>
      <c r="J182" s="326"/>
      <c r="K182" s="326"/>
      <c r="L182" s="326"/>
      <c r="M182" s="326"/>
      <c r="N182" s="326"/>
      <c r="O182" s="326"/>
      <c r="P182" s="326"/>
      <c r="Q182" s="326"/>
      <c r="R182" s="326"/>
      <c r="S182" s="326"/>
      <c r="T182" s="326"/>
      <c r="U182" s="326"/>
      <c r="V182" s="326"/>
      <c r="W182" s="326"/>
      <c r="X182" s="326"/>
      <c r="Y182" s="326"/>
      <c r="Z182" s="326"/>
      <c r="AA182" s="326"/>
      <c r="AB182" s="326"/>
      <c r="AC182" s="327"/>
      <c r="AD182" s="713">
        <f>COUNTIFS('ACTIVITIES MEETINGS EVENTS '!D13:D4948,"Peer Reviews")</f>
        <v>0</v>
      </c>
      <c r="AE182" s="326"/>
      <c r="AF182" s="326"/>
      <c r="AG182" s="326"/>
      <c r="AH182" s="326"/>
      <c r="AI182" s="326"/>
      <c r="AJ182" s="326"/>
      <c r="AK182" s="326"/>
      <c r="AL182" s="327"/>
      <c r="AM182" s="707">
        <f>SUMIF('ACTIVITIES MEETINGS EVENTS '!D13:D4948,"Peer Reviews",'ACTIVITIES MEETINGS EVENTS '!Y13:Y4948)</f>
        <v>0</v>
      </c>
      <c r="AN182" s="326"/>
      <c r="AO182" s="326"/>
      <c r="AP182" s="326"/>
      <c r="AQ182" s="326"/>
      <c r="AR182" s="326"/>
      <c r="AS182" s="326"/>
      <c r="AT182" s="326"/>
      <c r="AU182" s="327"/>
      <c r="AV182" s="707">
        <f>COUNTIFS('ACTIVITIES MEETINGS EVENTS '!D13:D4948,"Peer Reviews",'ACTIVITIES MEETINGS EVENTS '!AW13:AW4948,"YES")</f>
        <v>0</v>
      </c>
      <c r="AW182" s="326"/>
      <c r="AX182" s="326"/>
      <c r="AY182" s="326"/>
      <c r="AZ182" s="326"/>
      <c r="BA182" s="326"/>
      <c r="BB182" s="326"/>
      <c r="BC182" s="326"/>
      <c r="BD182" s="327"/>
    </row>
    <row r="183" spans="1:100" ht="15.75" customHeight="1" x14ac:dyDescent="0.25">
      <c r="A183" s="381" t="s">
        <v>696</v>
      </c>
      <c r="B183" s="326"/>
      <c r="C183" s="326"/>
      <c r="D183" s="326"/>
      <c r="E183" s="326"/>
      <c r="F183" s="326"/>
      <c r="G183" s="326"/>
      <c r="H183" s="326"/>
      <c r="I183" s="326"/>
      <c r="J183" s="326"/>
      <c r="K183" s="326"/>
      <c r="L183" s="326"/>
      <c r="M183" s="326"/>
      <c r="N183" s="326"/>
      <c r="O183" s="326"/>
      <c r="P183" s="326"/>
      <c r="Q183" s="326"/>
      <c r="R183" s="326"/>
      <c r="S183" s="326"/>
      <c r="T183" s="326"/>
      <c r="U183" s="326"/>
      <c r="V183" s="326"/>
      <c r="W183" s="326"/>
      <c r="X183" s="326"/>
      <c r="Y183" s="326"/>
      <c r="Z183" s="326"/>
      <c r="AA183" s="326"/>
      <c r="AB183" s="326"/>
      <c r="AC183" s="327"/>
      <c r="AD183" s="713">
        <f>COUNTIFS('ACTIVITIES MEETINGS EVENTS '!D13:D4948,"Peer Support Groups")</f>
        <v>0</v>
      </c>
      <c r="AE183" s="326"/>
      <c r="AF183" s="326"/>
      <c r="AG183" s="326"/>
      <c r="AH183" s="326"/>
      <c r="AI183" s="326"/>
      <c r="AJ183" s="326"/>
      <c r="AK183" s="326"/>
      <c r="AL183" s="327"/>
      <c r="AM183" s="707">
        <f>SUMIF('ACTIVITIES MEETINGS EVENTS '!D13:D4948,"Peer Support Groups",'ACTIVITIES MEETINGS EVENTS '!Y13:Y4948)</f>
        <v>0</v>
      </c>
      <c r="AN183" s="326"/>
      <c r="AO183" s="326"/>
      <c r="AP183" s="326"/>
      <c r="AQ183" s="326"/>
      <c r="AR183" s="326"/>
      <c r="AS183" s="326"/>
      <c r="AT183" s="326"/>
      <c r="AU183" s="327"/>
      <c r="AV183" s="707">
        <f>COUNTIFS('ACTIVITIES MEETINGS EVENTS '!D13:D4948,"Peer Support Groups",'ACTIVITIES MEETINGS EVENTS '!AW13:AW4948,"YES")</f>
        <v>0</v>
      </c>
      <c r="AW183" s="326"/>
      <c r="AX183" s="326"/>
      <c r="AY183" s="326"/>
      <c r="AZ183" s="326"/>
      <c r="BA183" s="326"/>
      <c r="BB183" s="326"/>
      <c r="BC183" s="326"/>
      <c r="BD183" s="327"/>
    </row>
    <row r="184" spans="1:100" ht="15.75" customHeight="1" x14ac:dyDescent="0.25">
      <c r="A184" s="381" t="s">
        <v>697</v>
      </c>
      <c r="B184" s="326"/>
      <c r="C184" s="326"/>
      <c r="D184" s="326"/>
      <c r="E184" s="326"/>
      <c r="F184" s="326"/>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26"/>
      <c r="AC184" s="327"/>
      <c r="AD184" s="713">
        <f>COUNTIFS('ACTIVITIES MEETINGS EVENTS '!D13:D4948,"Coalitions")</f>
        <v>0</v>
      </c>
      <c r="AE184" s="326"/>
      <c r="AF184" s="326"/>
      <c r="AG184" s="326"/>
      <c r="AH184" s="326"/>
      <c r="AI184" s="326"/>
      <c r="AJ184" s="326"/>
      <c r="AK184" s="326"/>
      <c r="AL184" s="327"/>
      <c r="AM184" s="707">
        <f>SUMIF('ACTIVITIES MEETINGS EVENTS '!D13:D4948,"Coalitions",'ACTIVITIES MEETINGS EVENTS '!Y13:Y4948)</f>
        <v>0</v>
      </c>
      <c r="AN184" s="326"/>
      <c r="AO184" s="326"/>
      <c r="AP184" s="326"/>
      <c r="AQ184" s="326"/>
      <c r="AR184" s="326"/>
      <c r="AS184" s="326"/>
      <c r="AT184" s="326"/>
      <c r="AU184" s="327"/>
      <c r="AV184" s="707">
        <f>COUNTIFS('ACTIVITIES MEETINGS EVENTS '!D13:D4948,"Coalitions",'ACTIVITIES MEETINGS EVENTS '!AW13:AW4948,"YES")</f>
        <v>0</v>
      </c>
      <c r="AW184" s="326"/>
      <c r="AX184" s="326"/>
      <c r="AY184" s="326"/>
      <c r="AZ184" s="326"/>
      <c r="BA184" s="326"/>
      <c r="BB184" s="326"/>
      <c r="BC184" s="326"/>
      <c r="BD184" s="327"/>
    </row>
    <row r="185" spans="1:100" ht="15.75" customHeight="1" x14ac:dyDescent="0.25">
      <c r="A185" s="381" t="s">
        <v>698</v>
      </c>
      <c r="B185" s="326"/>
      <c r="C185" s="326"/>
      <c r="D185" s="326"/>
      <c r="E185" s="326"/>
      <c r="F185" s="326"/>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7"/>
      <c r="AD185" s="713">
        <f>COUNTIFS('ACTIVITIES MEETINGS EVENTS '!D13:D4948,"Materials Distributed (specify kind &amp; amount in notes) ")</f>
        <v>0</v>
      </c>
      <c r="AE185" s="326"/>
      <c r="AF185" s="326"/>
      <c r="AG185" s="326"/>
      <c r="AH185" s="326"/>
      <c r="AI185" s="326"/>
      <c r="AJ185" s="326"/>
      <c r="AK185" s="326"/>
      <c r="AL185" s="327"/>
      <c r="AM185" s="707">
        <f>SUMIF('ACTIVITIES MEETINGS EVENTS '!D13:D4948,"Materials Distributed (specify kind &amp; amount in notes) ",'ACTIVITIES MEETINGS EVENTS '!Y13:Y4948)</f>
        <v>0</v>
      </c>
      <c r="AN185" s="326"/>
      <c r="AO185" s="326"/>
      <c r="AP185" s="326"/>
      <c r="AQ185" s="326"/>
      <c r="AR185" s="326"/>
      <c r="AS185" s="326"/>
      <c r="AT185" s="326"/>
      <c r="AU185" s="327"/>
      <c r="AV185" s="707">
        <f>COUNTIFS('ACTIVITIES MEETINGS EVENTS '!D13:D4948,"Materials Distributed (specify kind &amp; amount in notes) ",'ACTIVITIES MEETINGS EVENTS '!AW13:AW4948,"YES")</f>
        <v>0</v>
      </c>
      <c r="AW185" s="326"/>
      <c r="AX185" s="326"/>
      <c r="AY185" s="326"/>
      <c r="AZ185" s="326"/>
      <c r="BA185" s="326"/>
      <c r="BB185" s="326"/>
      <c r="BC185" s="326"/>
      <c r="BD185" s="327"/>
    </row>
    <row r="186" spans="1:100" ht="15.75" customHeight="1" x14ac:dyDescent="0.25">
      <c r="A186" s="381" t="s">
        <v>699</v>
      </c>
      <c r="B186" s="326"/>
      <c r="C186" s="326"/>
      <c r="D186" s="326"/>
      <c r="E186" s="326"/>
      <c r="F186" s="326"/>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7"/>
      <c r="AD186" s="713">
        <f>COUNTIFS('ACTIVITIES MEETINGS EVENTS '!D13:D4948,"Other (Specify in Notes) ")</f>
        <v>0</v>
      </c>
      <c r="AE186" s="326"/>
      <c r="AF186" s="326"/>
      <c r="AG186" s="326"/>
      <c r="AH186" s="326"/>
      <c r="AI186" s="326"/>
      <c r="AJ186" s="326"/>
      <c r="AK186" s="326"/>
      <c r="AL186" s="327"/>
      <c r="AM186" s="707">
        <f>SUMIF('ACTIVITIES MEETINGS EVENTS '!D13:D4948,"Other (Specify in Notes) ",'ACTIVITIES MEETINGS EVENTS '!Y13:Y4948)</f>
        <v>0</v>
      </c>
      <c r="AN186" s="326"/>
      <c r="AO186" s="326"/>
      <c r="AP186" s="326"/>
      <c r="AQ186" s="326"/>
      <c r="AR186" s="326"/>
      <c r="AS186" s="326"/>
      <c r="AT186" s="326"/>
      <c r="AU186" s="327"/>
      <c r="AV186" s="707">
        <f>COUNTIFS('ACTIVITIES MEETINGS EVENTS '!D13:D4948,"Other (Specify in Notes) ",'ACTIVITIES MEETINGS EVENTS '!AW13:AW4948,"YES")</f>
        <v>0</v>
      </c>
      <c r="AW186" s="326"/>
      <c r="AX186" s="326"/>
      <c r="AY186" s="326"/>
      <c r="AZ186" s="326"/>
      <c r="BA186" s="326"/>
      <c r="BB186" s="326"/>
      <c r="BC186" s="326"/>
      <c r="BD186" s="327"/>
    </row>
    <row r="187" spans="1:100" ht="15.75" customHeight="1" x14ac:dyDescent="0.25">
      <c r="A187" s="381"/>
      <c r="B187" s="326"/>
      <c r="C187" s="326"/>
      <c r="D187" s="326"/>
      <c r="E187" s="326"/>
      <c r="F187" s="326"/>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26"/>
      <c r="AC187" s="327"/>
      <c r="AD187" s="749"/>
      <c r="AE187" s="326"/>
      <c r="AF187" s="326"/>
      <c r="AG187" s="326"/>
      <c r="AH187" s="326"/>
      <c r="AI187" s="326"/>
      <c r="AJ187" s="326"/>
      <c r="AK187" s="326"/>
      <c r="AL187" s="327"/>
      <c r="AM187" s="707"/>
      <c r="AN187" s="326"/>
      <c r="AO187" s="326"/>
      <c r="AP187" s="326"/>
      <c r="AQ187" s="326"/>
      <c r="AR187" s="326"/>
      <c r="AS187" s="326"/>
      <c r="AT187" s="326"/>
      <c r="AU187" s="327"/>
      <c r="AV187" s="707"/>
      <c r="AW187" s="326"/>
      <c r="AX187" s="326"/>
      <c r="AY187" s="326"/>
      <c r="AZ187" s="326"/>
      <c r="BA187" s="326"/>
      <c r="BB187" s="326"/>
      <c r="BC187" s="326"/>
      <c r="BD187" s="327"/>
    </row>
    <row r="188" spans="1:100" ht="15.75" customHeight="1" x14ac:dyDescent="0.25">
      <c r="A188" s="720" t="s">
        <v>569</v>
      </c>
      <c r="B188" s="326"/>
      <c r="C188" s="326"/>
      <c r="D188" s="326"/>
      <c r="E188" s="326"/>
      <c r="F188" s="326"/>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7"/>
      <c r="AD188" s="718">
        <f>SUM(AD178:AD187)</f>
        <v>0</v>
      </c>
      <c r="AE188" s="326"/>
      <c r="AF188" s="326"/>
      <c r="AG188" s="326"/>
      <c r="AH188" s="326"/>
      <c r="AI188" s="326"/>
      <c r="AJ188" s="326"/>
      <c r="AK188" s="326"/>
      <c r="AL188" s="327"/>
      <c r="AM188" s="719">
        <f>SUM(AM178:AM187)</f>
        <v>0</v>
      </c>
      <c r="AN188" s="326"/>
      <c r="AO188" s="326"/>
      <c r="AP188" s="326"/>
      <c r="AQ188" s="326"/>
      <c r="AR188" s="326"/>
      <c r="AS188" s="326"/>
      <c r="AT188" s="326"/>
      <c r="AU188" s="327"/>
      <c r="AV188" s="719">
        <f>SUM(AV178:AV187)</f>
        <v>0</v>
      </c>
      <c r="AW188" s="326"/>
      <c r="AX188" s="326"/>
      <c r="AY188" s="326"/>
      <c r="AZ188" s="326"/>
      <c r="BA188" s="326"/>
      <c r="BB188" s="326"/>
      <c r="BC188" s="326"/>
      <c r="BD188" s="327"/>
    </row>
    <row r="189" spans="1:100" ht="15.75" customHeight="1" x14ac:dyDescent="0.25">
      <c r="I189" s="97"/>
    </row>
    <row r="190" spans="1:100" ht="15.75" customHeight="1" x14ac:dyDescent="0.25">
      <c r="I190" s="97"/>
    </row>
    <row r="191" spans="1:100" ht="15.75" customHeight="1" x14ac:dyDescent="0.3">
      <c r="A191" s="728" t="s">
        <v>700</v>
      </c>
      <c r="B191" s="347"/>
      <c r="C191" s="347"/>
      <c r="D191" s="347"/>
      <c r="E191" s="347"/>
      <c r="F191" s="347"/>
      <c r="G191" s="347"/>
      <c r="H191" s="347"/>
      <c r="I191" s="347"/>
      <c r="J191" s="347"/>
      <c r="K191" s="347"/>
      <c r="L191" s="347"/>
      <c r="M191" s="347"/>
      <c r="N191" s="347"/>
      <c r="O191" s="347"/>
      <c r="P191" s="347"/>
      <c r="Q191" s="347"/>
      <c r="R191" s="347"/>
      <c r="S191" s="347"/>
      <c r="T191" s="347"/>
      <c r="U191" s="347"/>
      <c r="V191" s="347"/>
      <c r="W191" s="347"/>
      <c r="X191" s="347"/>
      <c r="Y191" s="347"/>
      <c r="Z191" s="347"/>
      <c r="AA191" s="347"/>
      <c r="AB191" s="347"/>
      <c r="AC191" s="347"/>
      <c r="AD191" s="347"/>
      <c r="AE191" s="347"/>
      <c r="AF191" s="347"/>
      <c r="AG191" s="347"/>
      <c r="AH191" s="347"/>
      <c r="AI191" s="347"/>
      <c r="AJ191" s="347"/>
      <c r="AK191" s="347"/>
      <c r="AL191" s="347"/>
      <c r="AM191" s="347"/>
      <c r="AN191" s="347"/>
      <c r="AO191" s="347"/>
      <c r="AP191" s="347"/>
      <c r="AQ191" s="347"/>
      <c r="AR191" s="347"/>
      <c r="AS191" s="347"/>
      <c r="AT191" s="347"/>
      <c r="AU191" s="347"/>
      <c r="AV191" s="347"/>
      <c r="AW191" s="347"/>
      <c r="AX191" s="347"/>
      <c r="AY191" s="347"/>
      <c r="AZ191" s="347"/>
      <c r="BA191" s="347"/>
      <c r="BB191" s="347"/>
      <c r="BC191" s="347"/>
      <c r="BD191" s="347"/>
      <c r="BE191" s="347"/>
      <c r="BF191" s="347"/>
      <c r="BG191" s="347"/>
      <c r="BH191" s="347"/>
      <c r="BI191" s="347"/>
      <c r="BJ191" s="347"/>
      <c r="BK191" s="347"/>
      <c r="BL191" s="347"/>
      <c r="BM191" s="347"/>
      <c r="BN191" s="347"/>
      <c r="BO191" s="347"/>
      <c r="BP191" s="347"/>
      <c r="BQ191" s="347"/>
      <c r="BR191" s="347"/>
      <c r="BS191" s="347"/>
      <c r="BT191" s="347"/>
      <c r="BU191" s="347"/>
      <c r="BV191" s="347"/>
      <c r="BW191" s="347"/>
      <c r="BX191" s="347"/>
      <c r="BY191" s="347"/>
      <c r="BZ191" s="347"/>
      <c r="CA191" s="347"/>
      <c r="CB191" s="347"/>
      <c r="CC191" s="347"/>
      <c r="CD191" s="347"/>
      <c r="CE191" s="347"/>
      <c r="CF191" s="347"/>
      <c r="CG191" s="347"/>
      <c r="CH191" s="347"/>
      <c r="CI191" s="347"/>
      <c r="CJ191" s="347"/>
      <c r="CK191" s="347"/>
      <c r="CL191" s="347"/>
      <c r="CM191" s="347"/>
      <c r="CN191" s="347"/>
      <c r="CO191" s="347"/>
      <c r="CP191" s="347"/>
      <c r="CQ191" s="347"/>
      <c r="CR191" s="347"/>
      <c r="CS191" s="347"/>
      <c r="CT191" s="347"/>
      <c r="CU191" s="347"/>
      <c r="CV191" s="354"/>
    </row>
    <row r="192" spans="1:100" ht="15.75" customHeight="1" x14ac:dyDescent="0.25">
      <c r="I192" s="97"/>
    </row>
    <row r="193" spans="1:19" ht="15.75" customHeight="1" x14ac:dyDescent="0.25">
      <c r="A193" s="456" t="s">
        <v>701</v>
      </c>
      <c r="B193" s="326"/>
      <c r="C193" s="326"/>
      <c r="D193" s="326"/>
      <c r="E193" s="326"/>
      <c r="F193" s="326"/>
      <c r="G193" s="326"/>
      <c r="H193" s="326"/>
      <c r="I193" s="326"/>
      <c r="J193" s="327"/>
      <c r="K193" s="729" t="s">
        <v>688</v>
      </c>
      <c r="L193" s="326"/>
      <c r="M193" s="326"/>
      <c r="N193" s="326"/>
      <c r="O193" s="326"/>
      <c r="P193" s="326"/>
      <c r="Q193" s="326"/>
      <c r="R193" s="326"/>
      <c r="S193" s="327"/>
    </row>
    <row r="194" spans="1:19" ht="15.75" customHeight="1" x14ac:dyDescent="0.25">
      <c r="A194" s="381" t="s">
        <v>702</v>
      </c>
      <c r="B194" s="326"/>
      <c r="C194" s="326"/>
      <c r="D194" s="326"/>
      <c r="E194" s="326"/>
      <c r="F194" s="326"/>
      <c r="G194" s="326"/>
      <c r="H194" s="326"/>
      <c r="I194" s="326"/>
      <c r="J194" s="327"/>
      <c r="K194" s="707">
        <f>COUNTIFS('CONSUMER FEEDBACK'!E13:E5000,"Focus Group")</f>
        <v>0</v>
      </c>
      <c r="L194" s="326"/>
      <c r="M194" s="326"/>
      <c r="N194" s="326"/>
      <c r="O194" s="326"/>
      <c r="P194" s="326"/>
      <c r="Q194" s="326"/>
      <c r="R194" s="326"/>
      <c r="S194" s="327"/>
    </row>
    <row r="195" spans="1:19" ht="15.75" customHeight="1" x14ac:dyDescent="0.25">
      <c r="A195" s="381" t="s">
        <v>703</v>
      </c>
      <c r="B195" s="326"/>
      <c r="C195" s="326"/>
      <c r="D195" s="326"/>
      <c r="E195" s="326"/>
      <c r="F195" s="326"/>
      <c r="G195" s="326"/>
      <c r="H195" s="326"/>
      <c r="I195" s="326"/>
      <c r="J195" s="327"/>
      <c r="K195" s="707">
        <f>COUNTIFS('CONSUMER FEEDBACK'!E13:E5000,"Key-informant interview")</f>
        <v>0</v>
      </c>
      <c r="L195" s="326"/>
      <c r="M195" s="326"/>
      <c r="N195" s="326"/>
      <c r="O195" s="326"/>
      <c r="P195" s="326"/>
      <c r="Q195" s="326"/>
      <c r="R195" s="326"/>
      <c r="S195" s="327"/>
    </row>
    <row r="196" spans="1:19" ht="15.75" customHeight="1" x14ac:dyDescent="0.25">
      <c r="A196" s="381" t="s">
        <v>704</v>
      </c>
      <c r="B196" s="326"/>
      <c r="C196" s="326"/>
      <c r="D196" s="326"/>
      <c r="E196" s="326"/>
      <c r="F196" s="326"/>
      <c r="G196" s="326"/>
      <c r="H196" s="326"/>
      <c r="I196" s="326"/>
      <c r="J196" s="327"/>
      <c r="K196" s="707">
        <f>COUNTIFS('CONSUMER FEEDBACK'!E13:E5000,"Survey")</f>
        <v>0</v>
      </c>
      <c r="L196" s="326"/>
      <c r="M196" s="326"/>
      <c r="N196" s="326"/>
      <c r="O196" s="326"/>
      <c r="P196" s="326"/>
      <c r="Q196" s="326"/>
      <c r="R196" s="326"/>
      <c r="S196" s="327"/>
    </row>
    <row r="197" spans="1:19" ht="15.75" customHeight="1" x14ac:dyDescent="0.25">
      <c r="A197" s="381" t="s">
        <v>705</v>
      </c>
      <c r="B197" s="326"/>
      <c r="C197" s="326"/>
      <c r="D197" s="326"/>
      <c r="E197" s="326"/>
      <c r="F197" s="326"/>
      <c r="G197" s="326"/>
      <c r="H197" s="326"/>
      <c r="I197" s="326"/>
      <c r="J197" s="327"/>
      <c r="K197" s="707">
        <f>COUNTIFS('CONSUMER FEEDBACK'!E13:E5000,"Other (specify in Note Section) ")</f>
        <v>0</v>
      </c>
      <c r="L197" s="326"/>
      <c r="M197" s="326"/>
      <c r="N197" s="326"/>
      <c r="O197" s="326"/>
      <c r="P197" s="326"/>
      <c r="Q197" s="326"/>
      <c r="R197" s="326"/>
      <c r="S197" s="327"/>
    </row>
    <row r="198" spans="1:19" ht="15.75" customHeight="1" x14ac:dyDescent="0.25">
      <c r="A198" s="381"/>
      <c r="B198" s="326"/>
      <c r="C198" s="326"/>
      <c r="D198" s="326"/>
      <c r="E198" s="326"/>
      <c r="F198" s="326"/>
      <c r="G198" s="326"/>
      <c r="H198" s="326"/>
      <c r="I198" s="326"/>
      <c r="J198" s="327"/>
      <c r="K198" s="707"/>
      <c r="L198" s="326"/>
      <c r="M198" s="326"/>
      <c r="N198" s="326"/>
      <c r="O198" s="326"/>
      <c r="P198" s="326"/>
      <c r="Q198" s="326"/>
      <c r="R198" s="326"/>
      <c r="S198" s="327"/>
    </row>
    <row r="199" spans="1:19" ht="15.75" customHeight="1" x14ac:dyDescent="0.25">
      <c r="A199" s="720" t="s">
        <v>569</v>
      </c>
      <c r="B199" s="326"/>
      <c r="C199" s="326"/>
      <c r="D199" s="326"/>
      <c r="E199" s="326"/>
      <c r="F199" s="326"/>
      <c r="G199" s="326"/>
      <c r="H199" s="326"/>
      <c r="I199" s="326"/>
      <c r="J199" s="327"/>
      <c r="K199" s="719">
        <f>SUM(K194:K198)</f>
        <v>0</v>
      </c>
      <c r="L199" s="326"/>
      <c r="M199" s="326"/>
      <c r="N199" s="326"/>
      <c r="O199" s="326"/>
      <c r="P199" s="326"/>
      <c r="Q199" s="326"/>
      <c r="R199" s="326"/>
      <c r="S199" s="327"/>
    </row>
    <row r="200" spans="1:19" ht="15.75" customHeight="1" x14ac:dyDescent="0.25">
      <c r="I200" s="97"/>
    </row>
    <row r="201" spans="1:19" ht="15.75" customHeight="1" x14ac:dyDescent="0.25">
      <c r="I201" s="97"/>
    </row>
    <row r="202" spans="1:19" ht="15.75" customHeight="1" x14ac:dyDescent="0.25">
      <c r="I202" s="97"/>
    </row>
    <row r="203" spans="1:19" ht="15.75" customHeight="1" x14ac:dyDescent="0.25">
      <c r="I203" s="97"/>
    </row>
    <row r="204" spans="1:19" ht="15.75" customHeight="1" x14ac:dyDescent="0.25">
      <c r="I204" s="97"/>
    </row>
    <row r="205" spans="1:19" ht="15.75" customHeight="1" x14ac:dyDescent="0.25">
      <c r="I205" s="97"/>
    </row>
    <row r="206" spans="1:19" ht="15.75" customHeight="1" x14ac:dyDescent="0.25">
      <c r="I206" s="97"/>
    </row>
    <row r="207" spans="1:19" ht="15.75" customHeight="1" x14ac:dyDescent="0.25">
      <c r="I207" s="97"/>
    </row>
    <row r="208" spans="1:19" ht="15.75" customHeight="1" x14ac:dyDescent="0.25">
      <c r="I208" s="97"/>
    </row>
    <row r="209" spans="9:9" ht="15.75" customHeight="1" x14ac:dyDescent="0.25">
      <c r="I209" s="97"/>
    </row>
    <row r="210" spans="9:9" ht="15.75" customHeight="1" x14ac:dyDescent="0.25">
      <c r="I210" s="97"/>
    </row>
    <row r="211" spans="9:9" ht="15.75" customHeight="1" x14ac:dyDescent="0.25">
      <c r="I211" s="97"/>
    </row>
    <row r="212" spans="9:9" ht="15.75" customHeight="1" x14ac:dyDescent="0.25">
      <c r="I212" s="97"/>
    </row>
    <row r="213" spans="9:9" ht="15.75" customHeight="1" x14ac:dyDescent="0.25">
      <c r="I213" s="97"/>
    </row>
    <row r="214" spans="9:9" ht="15.75" customHeight="1" x14ac:dyDescent="0.25">
      <c r="I214" s="97"/>
    </row>
    <row r="215" spans="9:9" ht="15.75" customHeight="1" x14ac:dyDescent="0.25">
      <c r="I215" s="97"/>
    </row>
    <row r="216" spans="9:9" ht="15.75" customHeight="1" x14ac:dyDescent="0.25">
      <c r="I216" s="97"/>
    </row>
    <row r="217" spans="9:9" ht="15.75" customHeight="1" x14ac:dyDescent="0.25">
      <c r="I217" s="97"/>
    </row>
    <row r="218" spans="9:9" ht="15.75" customHeight="1" x14ac:dyDescent="0.25">
      <c r="I218" s="97"/>
    </row>
    <row r="219" spans="9:9" ht="15.75" customHeight="1" x14ac:dyDescent="0.25">
      <c r="I219" s="97"/>
    </row>
    <row r="220" spans="9:9" ht="15.75" customHeight="1" x14ac:dyDescent="0.25">
      <c r="I220" s="97"/>
    </row>
    <row r="221" spans="9:9" ht="15.75" customHeight="1" x14ac:dyDescent="0.25">
      <c r="I221" s="97"/>
    </row>
    <row r="222" spans="9:9" ht="15.75" customHeight="1" x14ac:dyDescent="0.25">
      <c r="I222" s="97"/>
    </row>
    <row r="223" spans="9:9" ht="15.75" customHeight="1" x14ac:dyDescent="0.25">
      <c r="I223" s="97"/>
    </row>
    <row r="224" spans="9:9" ht="15.75" customHeight="1" x14ac:dyDescent="0.25">
      <c r="I224" s="97"/>
    </row>
    <row r="225" spans="9:9" ht="15.75" customHeight="1" x14ac:dyDescent="0.25">
      <c r="I225" s="97"/>
    </row>
    <row r="226" spans="9:9" ht="15.75" customHeight="1" x14ac:dyDescent="0.25">
      <c r="I226" s="97"/>
    </row>
    <row r="227" spans="9:9" ht="15.75" customHeight="1" x14ac:dyDescent="0.25">
      <c r="I227" s="97"/>
    </row>
    <row r="228" spans="9:9" ht="15.75" customHeight="1" x14ac:dyDescent="0.25">
      <c r="I228" s="97"/>
    </row>
    <row r="229" spans="9:9" ht="15.75" customHeight="1" x14ac:dyDescent="0.25">
      <c r="I229" s="97"/>
    </row>
    <row r="230" spans="9:9" ht="15.75" customHeight="1" x14ac:dyDescent="0.25">
      <c r="I230" s="97"/>
    </row>
    <row r="231" spans="9:9" ht="15.75" customHeight="1" x14ac:dyDescent="0.25">
      <c r="I231" s="97"/>
    </row>
    <row r="232" spans="9:9" ht="15.75" customHeight="1" x14ac:dyDescent="0.25">
      <c r="I232" s="97"/>
    </row>
    <row r="233" spans="9:9" ht="15.75" customHeight="1" x14ac:dyDescent="0.25">
      <c r="I233" s="97"/>
    </row>
    <row r="234" spans="9:9" ht="15.75" customHeight="1" x14ac:dyDescent="0.25">
      <c r="I234" s="97"/>
    </row>
    <row r="235" spans="9:9" ht="15.75" customHeight="1" x14ac:dyDescent="0.25">
      <c r="I235" s="97"/>
    </row>
    <row r="236" spans="9:9" ht="15.75" customHeight="1" x14ac:dyDescent="0.25">
      <c r="I236" s="97"/>
    </row>
    <row r="237" spans="9:9" ht="15.75" customHeight="1" x14ac:dyDescent="0.25">
      <c r="I237" s="97"/>
    </row>
    <row r="238" spans="9:9" ht="15.75" customHeight="1" x14ac:dyDescent="0.25">
      <c r="I238" s="97"/>
    </row>
    <row r="239" spans="9:9" ht="15.75" customHeight="1" x14ac:dyDescent="0.25">
      <c r="I239" s="97"/>
    </row>
    <row r="240" spans="9:9" ht="15.75" customHeight="1" x14ac:dyDescent="0.25">
      <c r="I240" s="97"/>
    </row>
    <row r="241" spans="9:9" ht="15.75" customHeight="1" x14ac:dyDescent="0.25">
      <c r="I241" s="97"/>
    </row>
    <row r="242" spans="9:9" ht="15.75" customHeight="1" x14ac:dyDescent="0.25">
      <c r="I242" s="97"/>
    </row>
    <row r="243" spans="9:9" ht="15.75" customHeight="1" x14ac:dyDescent="0.25">
      <c r="I243" s="97"/>
    </row>
    <row r="244" spans="9:9" ht="15.75" customHeight="1" x14ac:dyDescent="0.25">
      <c r="I244" s="97"/>
    </row>
    <row r="245" spans="9:9" ht="15.75" customHeight="1" x14ac:dyDescent="0.25">
      <c r="I245" s="97"/>
    </row>
    <row r="246" spans="9:9" ht="15.75" customHeight="1" x14ac:dyDescent="0.25">
      <c r="I246" s="97"/>
    </row>
    <row r="247" spans="9:9" ht="15.75" customHeight="1" x14ac:dyDescent="0.25">
      <c r="I247" s="97"/>
    </row>
    <row r="248" spans="9:9" ht="15.75" customHeight="1" x14ac:dyDescent="0.25">
      <c r="I248" s="97"/>
    </row>
    <row r="249" spans="9:9" ht="15.75" customHeight="1" x14ac:dyDescent="0.25">
      <c r="I249" s="97"/>
    </row>
    <row r="250" spans="9:9" ht="15.75" customHeight="1" x14ac:dyDescent="0.25">
      <c r="I250" s="97"/>
    </row>
    <row r="251" spans="9:9" ht="15.75" customHeight="1" x14ac:dyDescent="0.25">
      <c r="I251" s="97"/>
    </row>
    <row r="252" spans="9:9" ht="15.75" customHeight="1" x14ac:dyDescent="0.25">
      <c r="I252" s="97"/>
    </row>
    <row r="253" spans="9:9" ht="15.75" customHeight="1" x14ac:dyDescent="0.25">
      <c r="I253" s="97"/>
    </row>
    <row r="254" spans="9:9" ht="15.75" customHeight="1" x14ac:dyDescent="0.25">
      <c r="I254" s="97"/>
    </row>
    <row r="255" spans="9:9" ht="15.75" customHeight="1" x14ac:dyDescent="0.25">
      <c r="I255" s="97"/>
    </row>
    <row r="256" spans="9:9" ht="15.75" customHeight="1" x14ac:dyDescent="0.25">
      <c r="I256" s="97"/>
    </row>
    <row r="257" spans="9:9" ht="15.75" customHeight="1" x14ac:dyDescent="0.25">
      <c r="I257" s="97"/>
    </row>
    <row r="258" spans="9:9" ht="15.75" customHeight="1" x14ac:dyDescent="0.25">
      <c r="I258" s="97"/>
    </row>
    <row r="259" spans="9:9" ht="15.75" customHeight="1" x14ac:dyDescent="0.25">
      <c r="I259" s="97"/>
    </row>
    <row r="260" spans="9:9" ht="15.75" customHeight="1" x14ac:dyDescent="0.25">
      <c r="I260" s="97"/>
    </row>
    <row r="261" spans="9:9" ht="15.75" customHeight="1" x14ac:dyDescent="0.25">
      <c r="I261" s="97"/>
    </row>
    <row r="262" spans="9:9" ht="15.75" customHeight="1" x14ac:dyDescent="0.25">
      <c r="I262" s="97"/>
    </row>
    <row r="263" spans="9:9" ht="15.75" customHeight="1" x14ac:dyDescent="0.25">
      <c r="I263" s="97"/>
    </row>
    <row r="264" spans="9:9" ht="15.75" customHeight="1" x14ac:dyDescent="0.25">
      <c r="I264" s="97"/>
    </row>
    <row r="265" spans="9:9" ht="15.75" customHeight="1" x14ac:dyDescent="0.25">
      <c r="I265" s="97"/>
    </row>
    <row r="266" spans="9:9" ht="15.75" customHeight="1" x14ac:dyDescent="0.25">
      <c r="I266" s="97"/>
    </row>
    <row r="267" spans="9:9" ht="15.75" customHeight="1" x14ac:dyDescent="0.25">
      <c r="I267" s="97"/>
    </row>
    <row r="268" spans="9:9" ht="15.75" customHeight="1" x14ac:dyDescent="0.25">
      <c r="I268" s="97"/>
    </row>
    <row r="269" spans="9:9" ht="15.75" customHeight="1" x14ac:dyDescent="0.25">
      <c r="I269" s="97"/>
    </row>
    <row r="270" spans="9:9" ht="15.75" customHeight="1" x14ac:dyDescent="0.25">
      <c r="I270" s="97"/>
    </row>
    <row r="271" spans="9:9" ht="15.75" customHeight="1" x14ac:dyDescent="0.25">
      <c r="I271" s="97"/>
    </row>
    <row r="272" spans="9:9" ht="15.75" customHeight="1" x14ac:dyDescent="0.25">
      <c r="I272" s="97"/>
    </row>
    <row r="273" spans="9:9" ht="15.75" customHeight="1" x14ac:dyDescent="0.25">
      <c r="I273" s="97"/>
    </row>
    <row r="274" spans="9:9" ht="15.75" customHeight="1" x14ac:dyDescent="0.25">
      <c r="I274" s="97"/>
    </row>
    <row r="275" spans="9:9" ht="15.75" customHeight="1" x14ac:dyDescent="0.25">
      <c r="I275" s="97"/>
    </row>
    <row r="276" spans="9:9" ht="15.75" customHeight="1" x14ac:dyDescent="0.25">
      <c r="I276" s="97"/>
    </row>
    <row r="277" spans="9:9" ht="15.75" customHeight="1" x14ac:dyDescent="0.25">
      <c r="I277" s="97"/>
    </row>
    <row r="278" spans="9:9" ht="15.75" customHeight="1" x14ac:dyDescent="0.25">
      <c r="I278" s="97"/>
    </row>
    <row r="279" spans="9:9" ht="15.75" customHeight="1" x14ac:dyDescent="0.25">
      <c r="I279" s="97"/>
    </row>
    <row r="280" spans="9:9" ht="15.75" customHeight="1" x14ac:dyDescent="0.25">
      <c r="I280" s="97"/>
    </row>
    <row r="281" spans="9:9" ht="15.75" customHeight="1" x14ac:dyDescent="0.25">
      <c r="I281" s="97"/>
    </row>
    <row r="282" spans="9:9" ht="15.75" customHeight="1" x14ac:dyDescent="0.25">
      <c r="I282" s="97"/>
    </row>
    <row r="283" spans="9:9" ht="15.75" customHeight="1" x14ac:dyDescent="0.25">
      <c r="I283" s="97"/>
    </row>
    <row r="284" spans="9:9" ht="15.75" customHeight="1" x14ac:dyDescent="0.25">
      <c r="I284" s="97"/>
    </row>
    <row r="285" spans="9:9" ht="15.75" customHeight="1" x14ac:dyDescent="0.25">
      <c r="I285" s="97"/>
    </row>
    <row r="286" spans="9:9" ht="15.75" customHeight="1" x14ac:dyDescent="0.25">
      <c r="I286" s="97"/>
    </row>
    <row r="287" spans="9:9" ht="15.75" customHeight="1" x14ac:dyDescent="0.25">
      <c r="I287" s="97"/>
    </row>
    <row r="288" spans="9:9" ht="15.75" customHeight="1" x14ac:dyDescent="0.25">
      <c r="I288" s="97"/>
    </row>
    <row r="289" spans="9:9" ht="15.75" customHeight="1" x14ac:dyDescent="0.25">
      <c r="I289" s="97"/>
    </row>
    <row r="290" spans="9:9" ht="15.75" customHeight="1" x14ac:dyDescent="0.25">
      <c r="I290" s="97"/>
    </row>
    <row r="291" spans="9:9" ht="15.75" customHeight="1" x14ac:dyDescent="0.25">
      <c r="I291" s="97"/>
    </row>
    <row r="292" spans="9:9" ht="15.75" customHeight="1" x14ac:dyDescent="0.25">
      <c r="I292" s="97"/>
    </row>
    <row r="293" spans="9:9" ht="15.75" customHeight="1" x14ac:dyDescent="0.25">
      <c r="I293" s="97"/>
    </row>
    <row r="294" spans="9:9" ht="15.75" customHeight="1" x14ac:dyDescent="0.25">
      <c r="I294" s="97"/>
    </row>
    <row r="295" spans="9:9" ht="15.75" customHeight="1" x14ac:dyDescent="0.25">
      <c r="I295" s="97"/>
    </row>
    <row r="296" spans="9:9" ht="15.75" customHeight="1" x14ac:dyDescent="0.25">
      <c r="I296" s="97"/>
    </row>
    <row r="297" spans="9:9" ht="15.75" customHeight="1" x14ac:dyDescent="0.25">
      <c r="I297" s="97"/>
    </row>
    <row r="298" spans="9:9" ht="15.75" customHeight="1" x14ac:dyDescent="0.25">
      <c r="I298" s="97"/>
    </row>
    <row r="299" spans="9:9" ht="15.75" customHeight="1" x14ac:dyDescent="0.25">
      <c r="I299" s="97"/>
    </row>
    <row r="300" spans="9:9" ht="15.75" customHeight="1" x14ac:dyDescent="0.25">
      <c r="I300" s="97"/>
    </row>
    <row r="301" spans="9:9" ht="15.75" customHeight="1" x14ac:dyDescent="0.25">
      <c r="I301" s="97"/>
    </row>
    <row r="302" spans="9:9" ht="15.75" customHeight="1" x14ac:dyDescent="0.25">
      <c r="I302" s="97"/>
    </row>
    <row r="303" spans="9:9" ht="15.75" customHeight="1" x14ac:dyDescent="0.25">
      <c r="I303" s="97"/>
    </row>
    <row r="304" spans="9:9" ht="15.75" customHeight="1" x14ac:dyDescent="0.25">
      <c r="I304" s="97"/>
    </row>
    <row r="305" spans="9:9" ht="15.75" customHeight="1" x14ac:dyDescent="0.25">
      <c r="I305" s="97"/>
    </row>
    <row r="306" spans="9:9" ht="15.75" customHeight="1" x14ac:dyDescent="0.25">
      <c r="I306" s="97"/>
    </row>
    <row r="307" spans="9:9" ht="15.75" customHeight="1" x14ac:dyDescent="0.25">
      <c r="I307" s="97"/>
    </row>
    <row r="308" spans="9:9" ht="15.75" customHeight="1" x14ac:dyDescent="0.25">
      <c r="I308" s="97"/>
    </row>
    <row r="309" spans="9:9" ht="15.75" customHeight="1" x14ac:dyDescent="0.25">
      <c r="I309" s="97"/>
    </row>
    <row r="310" spans="9:9" ht="15.75" customHeight="1" x14ac:dyDescent="0.25">
      <c r="I310" s="97"/>
    </row>
    <row r="311" spans="9:9" ht="15.75" customHeight="1" x14ac:dyDescent="0.25">
      <c r="I311" s="97"/>
    </row>
    <row r="312" spans="9:9" ht="15.75" customHeight="1" x14ac:dyDescent="0.25">
      <c r="I312" s="97"/>
    </row>
    <row r="313" spans="9:9" ht="15.75" customHeight="1" x14ac:dyDescent="0.25">
      <c r="I313" s="97"/>
    </row>
    <row r="314" spans="9:9" ht="15.75" customHeight="1" x14ac:dyDescent="0.25">
      <c r="I314" s="97"/>
    </row>
    <row r="315" spans="9:9" ht="15.75" customHeight="1" x14ac:dyDescent="0.25">
      <c r="I315" s="97"/>
    </row>
    <row r="316" spans="9:9" ht="15.75" customHeight="1" x14ac:dyDescent="0.25">
      <c r="I316" s="97"/>
    </row>
    <row r="317" spans="9:9" ht="15.75" customHeight="1" x14ac:dyDescent="0.25">
      <c r="I317" s="97"/>
    </row>
    <row r="318" spans="9:9" ht="15.75" customHeight="1" x14ac:dyDescent="0.25">
      <c r="I318" s="97"/>
    </row>
    <row r="319" spans="9:9" ht="15.75" customHeight="1" x14ac:dyDescent="0.25">
      <c r="I319" s="97"/>
    </row>
    <row r="320" spans="9:9" ht="15.75" customHeight="1" x14ac:dyDescent="0.25">
      <c r="I320" s="97"/>
    </row>
    <row r="321" spans="9:9" ht="15.75" customHeight="1" x14ac:dyDescent="0.25">
      <c r="I321" s="97"/>
    </row>
    <row r="322" spans="9:9" ht="15.75" customHeight="1" x14ac:dyDescent="0.25">
      <c r="I322" s="97"/>
    </row>
    <row r="323" spans="9:9" ht="15.75" customHeight="1" x14ac:dyDescent="0.25">
      <c r="I323" s="97"/>
    </row>
    <row r="324" spans="9:9" ht="15.75" customHeight="1" x14ac:dyDescent="0.25">
      <c r="I324" s="97"/>
    </row>
    <row r="325" spans="9:9" ht="15.75" customHeight="1" x14ac:dyDescent="0.25">
      <c r="I325" s="97"/>
    </row>
    <row r="326" spans="9:9" ht="15.75" customHeight="1" x14ac:dyDescent="0.25">
      <c r="I326" s="97"/>
    </row>
    <row r="327" spans="9:9" ht="15.75" customHeight="1" x14ac:dyDescent="0.25">
      <c r="I327" s="97"/>
    </row>
    <row r="328" spans="9:9" ht="15.75" customHeight="1" x14ac:dyDescent="0.25">
      <c r="I328" s="97"/>
    </row>
    <row r="329" spans="9:9" ht="15.75" customHeight="1" x14ac:dyDescent="0.25">
      <c r="I329" s="97"/>
    </row>
    <row r="330" spans="9:9" ht="15.75" customHeight="1" x14ac:dyDescent="0.25">
      <c r="I330" s="97"/>
    </row>
    <row r="331" spans="9:9" ht="15.75" customHeight="1" x14ac:dyDescent="0.25">
      <c r="I331" s="97"/>
    </row>
    <row r="332" spans="9:9" ht="15.75" customHeight="1" x14ac:dyDescent="0.25">
      <c r="I332" s="97"/>
    </row>
    <row r="333" spans="9:9" ht="15.75" customHeight="1" x14ac:dyDescent="0.25">
      <c r="I333" s="97"/>
    </row>
    <row r="334" spans="9:9" ht="15.75" customHeight="1" x14ac:dyDescent="0.25">
      <c r="I334" s="97"/>
    </row>
    <row r="335" spans="9:9" ht="15.75" customHeight="1" x14ac:dyDescent="0.25">
      <c r="I335" s="97"/>
    </row>
    <row r="336" spans="9:9" ht="15.75" customHeight="1" x14ac:dyDescent="0.25">
      <c r="I336" s="97"/>
    </row>
    <row r="337" spans="9:9" ht="15.75" customHeight="1" x14ac:dyDescent="0.25">
      <c r="I337" s="97"/>
    </row>
    <row r="338" spans="9:9" ht="15.75" customHeight="1" x14ac:dyDescent="0.25">
      <c r="I338" s="97"/>
    </row>
    <row r="339" spans="9:9" ht="15.75" customHeight="1" x14ac:dyDescent="0.25">
      <c r="I339" s="97"/>
    </row>
    <row r="340" spans="9:9" ht="15.75" customHeight="1" x14ac:dyDescent="0.25">
      <c r="I340" s="97"/>
    </row>
    <row r="341" spans="9:9" ht="15.75" customHeight="1" x14ac:dyDescent="0.25">
      <c r="I341" s="97"/>
    </row>
    <row r="342" spans="9:9" ht="15.75" customHeight="1" x14ac:dyDescent="0.25">
      <c r="I342" s="97"/>
    </row>
    <row r="343" spans="9:9" ht="15.75" customHeight="1" x14ac:dyDescent="0.25">
      <c r="I343" s="97"/>
    </row>
    <row r="344" spans="9:9" ht="15.75" customHeight="1" x14ac:dyDescent="0.25">
      <c r="I344" s="97"/>
    </row>
    <row r="345" spans="9:9" ht="15.75" customHeight="1" x14ac:dyDescent="0.25">
      <c r="I345" s="97"/>
    </row>
    <row r="346" spans="9:9" ht="15.75" customHeight="1" x14ac:dyDescent="0.25">
      <c r="I346" s="97"/>
    </row>
    <row r="347" spans="9:9" ht="15.75" customHeight="1" x14ac:dyDescent="0.25">
      <c r="I347" s="97"/>
    </row>
    <row r="348" spans="9:9" ht="15.75" customHeight="1" x14ac:dyDescent="0.25">
      <c r="I348" s="97"/>
    </row>
    <row r="349" spans="9:9" ht="15.75" customHeight="1" x14ac:dyDescent="0.25">
      <c r="I349" s="97"/>
    </row>
    <row r="350" spans="9:9" ht="15.75" customHeight="1" x14ac:dyDescent="0.25">
      <c r="I350" s="97"/>
    </row>
    <row r="351" spans="9:9" ht="15.75" customHeight="1" x14ac:dyDescent="0.25">
      <c r="I351" s="97"/>
    </row>
    <row r="352" spans="9:9" ht="15.75" customHeight="1" x14ac:dyDescent="0.25">
      <c r="I352" s="97"/>
    </row>
    <row r="353" spans="9:9" ht="15.75" customHeight="1" x14ac:dyDescent="0.25">
      <c r="I353" s="97"/>
    </row>
    <row r="354" spans="9:9" ht="15.75" customHeight="1" x14ac:dyDescent="0.25">
      <c r="I354" s="97"/>
    </row>
    <row r="355" spans="9:9" ht="15.75" customHeight="1" x14ac:dyDescent="0.25">
      <c r="I355" s="97"/>
    </row>
    <row r="356" spans="9:9" ht="15.75" customHeight="1" x14ac:dyDescent="0.25">
      <c r="I356" s="97"/>
    </row>
    <row r="357" spans="9:9" ht="15.75" customHeight="1" x14ac:dyDescent="0.25">
      <c r="I357" s="97"/>
    </row>
    <row r="358" spans="9:9" ht="15.75" customHeight="1" x14ac:dyDescent="0.25">
      <c r="I358" s="97"/>
    </row>
    <row r="359" spans="9:9" ht="15.75" customHeight="1" x14ac:dyDescent="0.25">
      <c r="I359" s="97"/>
    </row>
    <row r="360" spans="9:9" ht="15.75" customHeight="1" x14ac:dyDescent="0.25">
      <c r="I360" s="97"/>
    </row>
    <row r="361" spans="9:9" ht="15.75" customHeight="1" x14ac:dyDescent="0.25">
      <c r="I361" s="97"/>
    </row>
    <row r="362" spans="9:9" ht="15.75" customHeight="1" x14ac:dyDescent="0.25">
      <c r="I362" s="97"/>
    </row>
    <row r="363" spans="9:9" ht="15.75" customHeight="1" x14ac:dyDescent="0.25">
      <c r="I363" s="97"/>
    </row>
    <row r="364" spans="9:9" ht="15.75" customHeight="1" x14ac:dyDescent="0.25">
      <c r="I364" s="97"/>
    </row>
    <row r="365" spans="9:9" ht="15.75" customHeight="1" x14ac:dyDescent="0.25">
      <c r="I365" s="97"/>
    </row>
    <row r="366" spans="9:9" ht="15.75" customHeight="1" x14ac:dyDescent="0.25">
      <c r="I366" s="97"/>
    </row>
    <row r="367" spans="9:9" ht="15.75" customHeight="1" x14ac:dyDescent="0.25">
      <c r="I367" s="97"/>
    </row>
    <row r="368" spans="9:9" ht="15.75" customHeight="1" x14ac:dyDescent="0.25">
      <c r="I368" s="97"/>
    </row>
    <row r="369" spans="9:9" ht="15.75" customHeight="1" x14ac:dyDescent="0.25">
      <c r="I369" s="97"/>
    </row>
    <row r="370" spans="9:9" ht="15.75" customHeight="1" x14ac:dyDescent="0.25">
      <c r="I370" s="97"/>
    </row>
    <row r="371" spans="9:9" ht="15.75" customHeight="1" x14ac:dyDescent="0.25">
      <c r="I371" s="97"/>
    </row>
    <row r="372" spans="9:9" ht="15.75" customHeight="1" x14ac:dyDescent="0.25">
      <c r="I372" s="97"/>
    </row>
    <row r="373" spans="9:9" ht="15.75" customHeight="1" x14ac:dyDescent="0.25">
      <c r="I373" s="97"/>
    </row>
    <row r="374" spans="9:9" ht="15.75" customHeight="1" x14ac:dyDescent="0.25">
      <c r="I374" s="97"/>
    </row>
    <row r="375" spans="9:9" ht="15.75" customHeight="1" x14ac:dyDescent="0.25">
      <c r="I375" s="97"/>
    </row>
    <row r="376" spans="9:9" ht="15.75" customHeight="1" x14ac:dyDescent="0.25">
      <c r="I376" s="97"/>
    </row>
    <row r="377" spans="9:9" ht="15.75" customHeight="1" x14ac:dyDescent="0.25">
      <c r="I377" s="97"/>
    </row>
    <row r="378" spans="9:9" ht="15.75" customHeight="1" x14ac:dyDescent="0.25">
      <c r="I378" s="97"/>
    </row>
    <row r="379" spans="9:9" ht="15.75" customHeight="1" x14ac:dyDescent="0.25">
      <c r="I379" s="97"/>
    </row>
    <row r="380" spans="9:9" ht="15.75" customHeight="1" x14ac:dyDescent="0.25">
      <c r="I380" s="97"/>
    </row>
    <row r="381" spans="9:9" ht="15.75" customHeight="1" x14ac:dyDescent="0.25">
      <c r="I381" s="97"/>
    </row>
    <row r="382" spans="9:9" ht="15.75" customHeight="1" x14ac:dyDescent="0.25">
      <c r="I382" s="97"/>
    </row>
    <row r="383" spans="9:9" ht="15.75" customHeight="1" x14ac:dyDescent="0.25">
      <c r="I383" s="97"/>
    </row>
    <row r="384" spans="9:9" ht="15.75" customHeight="1" x14ac:dyDescent="0.25">
      <c r="I384" s="97"/>
    </row>
    <row r="385" spans="9:9" ht="15.75" customHeight="1" x14ac:dyDescent="0.25">
      <c r="I385" s="97"/>
    </row>
    <row r="386" spans="9:9" ht="15.75" customHeight="1" x14ac:dyDescent="0.25">
      <c r="I386" s="97"/>
    </row>
    <row r="387" spans="9:9" ht="15.75" customHeight="1" x14ac:dyDescent="0.25">
      <c r="I387" s="97"/>
    </row>
    <row r="388" spans="9:9" ht="15.75" customHeight="1" x14ac:dyDescent="0.25">
      <c r="I388" s="97"/>
    </row>
    <row r="389" spans="9:9" ht="15.75" customHeight="1" x14ac:dyDescent="0.25">
      <c r="I389" s="97"/>
    </row>
    <row r="390" spans="9:9" ht="15.75" customHeight="1" x14ac:dyDescent="0.25">
      <c r="I390" s="97"/>
    </row>
    <row r="391" spans="9:9" ht="15.75" customHeight="1" x14ac:dyDescent="0.25">
      <c r="I391" s="97"/>
    </row>
    <row r="392" spans="9:9" ht="15.75" customHeight="1" x14ac:dyDescent="0.25">
      <c r="I392" s="97"/>
    </row>
    <row r="393" spans="9:9" ht="15.75" customHeight="1" x14ac:dyDescent="0.25">
      <c r="I393" s="97"/>
    </row>
    <row r="394" spans="9:9" ht="15.75" customHeight="1" x14ac:dyDescent="0.25">
      <c r="I394" s="97"/>
    </row>
    <row r="395" spans="9:9" ht="15.75" customHeight="1" x14ac:dyDescent="0.25">
      <c r="I395" s="97"/>
    </row>
    <row r="396" spans="9:9" ht="15.75" customHeight="1" x14ac:dyDescent="0.25">
      <c r="I396" s="97"/>
    </row>
    <row r="397" spans="9:9" ht="15.75" customHeight="1" x14ac:dyDescent="0.25">
      <c r="I397" s="97"/>
    </row>
    <row r="398" spans="9:9" ht="15.75" customHeight="1" x14ac:dyDescent="0.25">
      <c r="I398" s="97"/>
    </row>
    <row r="399" spans="9:9" ht="15.75" customHeight="1" x14ac:dyDescent="0.25">
      <c r="I399" s="97"/>
    </row>
    <row r="400" spans="9:9" ht="15.75" customHeight="1" x14ac:dyDescent="0.25">
      <c r="I400" s="97"/>
    </row>
    <row r="401" spans="9:9" ht="15.75" customHeight="1" x14ac:dyDescent="0.25">
      <c r="I401" s="97"/>
    </row>
    <row r="402" spans="9:9" ht="15.75" customHeight="1" x14ac:dyDescent="0.25">
      <c r="I402" s="97"/>
    </row>
    <row r="403" spans="9:9" ht="15.75" customHeight="1" x14ac:dyDescent="0.25">
      <c r="I403" s="97"/>
    </row>
    <row r="404" spans="9:9" ht="15.75" customHeight="1" x14ac:dyDescent="0.25">
      <c r="I404" s="97"/>
    </row>
    <row r="405" spans="9:9" ht="15.75" customHeight="1" x14ac:dyDescent="0.25">
      <c r="I405" s="97"/>
    </row>
    <row r="406" spans="9:9" ht="15.75" customHeight="1" x14ac:dyDescent="0.25">
      <c r="I406" s="97"/>
    </row>
    <row r="407" spans="9:9" ht="15.75" customHeight="1" x14ac:dyDescent="0.25">
      <c r="I407" s="97"/>
    </row>
    <row r="408" spans="9:9" ht="15.75" customHeight="1" x14ac:dyDescent="0.25">
      <c r="I408" s="97"/>
    </row>
    <row r="409" spans="9:9" ht="15.75" customHeight="1" x14ac:dyDescent="0.25">
      <c r="I409" s="97"/>
    </row>
    <row r="410" spans="9:9" ht="15.75" customHeight="1" x14ac:dyDescent="0.25">
      <c r="I410" s="97"/>
    </row>
    <row r="411" spans="9:9" ht="15.75" customHeight="1" x14ac:dyDescent="0.25">
      <c r="I411" s="97"/>
    </row>
    <row r="412" spans="9:9" ht="15.75" customHeight="1" x14ac:dyDescent="0.25">
      <c r="I412" s="97"/>
    </row>
    <row r="413" spans="9:9" ht="15.75" customHeight="1" x14ac:dyDescent="0.25">
      <c r="I413" s="97"/>
    </row>
    <row r="414" spans="9:9" ht="15.75" customHeight="1" x14ac:dyDescent="0.25">
      <c r="I414" s="97"/>
    </row>
    <row r="415" spans="9:9" ht="15.75" customHeight="1" x14ac:dyDescent="0.25">
      <c r="I415" s="97"/>
    </row>
    <row r="416" spans="9:9" ht="15.75" customHeight="1" x14ac:dyDescent="0.25">
      <c r="I416" s="97"/>
    </row>
    <row r="417" spans="9:9" ht="15.75" customHeight="1" x14ac:dyDescent="0.25">
      <c r="I417" s="97"/>
    </row>
    <row r="418" spans="9:9" ht="15.75" customHeight="1" x14ac:dyDescent="0.25">
      <c r="I418" s="97"/>
    </row>
    <row r="419" spans="9:9" ht="15.75" customHeight="1" x14ac:dyDescent="0.25">
      <c r="I419" s="97"/>
    </row>
    <row r="420" spans="9:9" ht="15.75" customHeight="1" x14ac:dyDescent="0.25">
      <c r="I420" s="97"/>
    </row>
    <row r="421" spans="9:9" ht="15.75" customHeight="1" x14ac:dyDescent="0.25">
      <c r="I421" s="97"/>
    </row>
    <row r="422" spans="9:9" ht="15.75" customHeight="1" x14ac:dyDescent="0.25">
      <c r="I422" s="97"/>
    </row>
    <row r="423" spans="9:9" ht="15.75" customHeight="1" x14ac:dyDescent="0.25">
      <c r="I423" s="97"/>
    </row>
    <row r="424" spans="9:9" ht="15.75" customHeight="1" x14ac:dyDescent="0.25">
      <c r="I424" s="97"/>
    </row>
    <row r="425" spans="9:9" ht="15.75" customHeight="1" x14ac:dyDescent="0.25">
      <c r="I425" s="97"/>
    </row>
    <row r="426" spans="9:9" ht="15.75" customHeight="1" x14ac:dyDescent="0.25">
      <c r="I426" s="97"/>
    </row>
    <row r="427" spans="9:9" ht="15.75" customHeight="1" x14ac:dyDescent="0.25">
      <c r="I427" s="97"/>
    </row>
    <row r="428" spans="9:9" ht="15.75" customHeight="1" x14ac:dyDescent="0.25">
      <c r="I428" s="97"/>
    </row>
    <row r="429" spans="9:9" ht="15.75" customHeight="1" x14ac:dyDescent="0.25">
      <c r="I429" s="97"/>
    </row>
    <row r="430" spans="9:9" ht="15.75" customHeight="1" x14ac:dyDescent="0.25">
      <c r="I430" s="97"/>
    </row>
    <row r="431" spans="9:9" ht="15.75" customHeight="1" x14ac:dyDescent="0.25">
      <c r="I431" s="97"/>
    </row>
    <row r="432" spans="9:9" ht="15.75" customHeight="1" x14ac:dyDescent="0.25">
      <c r="I432" s="97"/>
    </row>
    <row r="433" spans="9:9" ht="15.75" customHeight="1" x14ac:dyDescent="0.25">
      <c r="I433" s="97"/>
    </row>
    <row r="434" spans="9:9" ht="15.75" customHeight="1" x14ac:dyDescent="0.25">
      <c r="I434" s="97"/>
    </row>
    <row r="435" spans="9:9" ht="15.75" customHeight="1" x14ac:dyDescent="0.25">
      <c r="I435" s="97"/>
    </row>
    <row r="436" spans="9:9" ht="15.75" customHeight="1" x14ac:dyDescent="0.25">
      <c r="I436" s="97"/>
    </row>
    <row r="437" spans="9:9" ht="15.75" customHeight="1" x14ac:dyDescent="0.25">
      <c r="I437" s="97"/>
    </row>
    <row r="438" spans="9:9" ht="15.75" customHeight="1" x14ac:dyDescent="0.25">
      <c r="I438" s="97"/>
    </row>
    <row r="439" spans="9:9" ht="15.75" customHeight="1" x14ac:dyDescent="0.25">
      <c r="I439" s="97"/>
    </row>
    <row r="440" spans="9:9" ht="15.75" customHeight="1" x14ac:dyDescent="0.25">
      <c r="I440" s="97"/>
    </row>
    <row r="441" spans="9:9" ht="15.75" customHeight="1" x14ac:dyDescent="0.25">
      <c r="I441" s="97"/>
    </row>
    <row r="442" spans="9:9" ht="15.75" customHeight="1" x14ac:dyDescent="0.25">
      <c r="I442" s="97"/>
    </row>
    <row r="443" spans="9:9" ht="15.75" customHeight="1" x14ac:dyDescent="0.25">
      <c r="I443" s="97"/>
    </row>
    <row r="444" spans="9:9" ht="15.75" customHeight="1" x14ac:dyDescent="0.25">
      <c r="I444" s="97"/>
    </row>
    <row r="445" spans="9:9" ht="15.75" customHeight="1" x14ac:dyDescent="0.25">
      <c r="I445" s="97"/>
    </row>
    <row r="446" spans="9:9" ht="15.75" customHeight="1" x14ac:dyDescent="0.25">
      <c r="I446" s="97"/>
    </row>
    <row r="447" spans="9:9" ht="15.75" customHeight="1" x14ac:dyDescent="0.25">
      <c r="I447" s="97"/>
    </row>
    <row r="448" spans="9:9" ht="15.75" customHeight="1" x14ac:dyDescent="0.25">
      <c r="I448" s="97"/>
    </row>
    <row r="449" spans="9:9" ht="15.75" customHeight="1" x14ac:dyDescent="0.25">
      <c r="I449" s="97"/>
    </row>
    <row r="450" spans="9:9" ht="15.75" customHeight="1" x14ac:dyDescent="0.25">
      <c r="I450" s="97"/>
    </row>
    <row r="451" spans="9:9" ht="15.75" customHeight="1" x14ac:dyDescent="0.25">
      <c r="I451" s="97"/>
    </row>
    <row r="452" spans="9:9" ht="15.75" customHeight="1" x14ac:dyDescent="0.25">
      <c r="I452" s="97"/>
    </row>
    <row r="453" spans="9:9" ht="15.75" customHeight="1" x14ac:dyDescent="0.25">
      <c r="I453" s="97"/>
    </row>
    <row r="454" spans="9:9" ht="15.75" customHeight="1" x14ac:dyDescent="0.25">
      <c r="I454" s="97"/>
    </row>
    <row r="455" spans="9:9" ht="15.75" customHeight="1" x14ac:dyDescent="0.25">
      <c r="I455" s="97"/>
    </row>
    <row r="456" spans="9:9" ht="15.75" customHeight="1" x14ac:dyDescent="0.25">
      <c r="I456" s="97"/>
    </row>
    <row r="457" spans="9:9" ht="15.75" customHeight="1" x14ac:dyDescent="0.25">
      <c r="I457" s="97"/>
    </row>
    <row r="458" spans="9:9" ht="15.75" customHeight="1" x14ac:dyDescent="0.25">
      <c r="I458" s="97"/>
    </row>
    <row r="459" spans="9:9" ht="15.75" customHeight="1" x14ac:dyDescent="0.25">
      <c r="I459" s="97"/>
    </row>
    <row r="460" spans="9:9" ht="15.75" customHeight="1" x14ac:dyDescent="0.25">
      <c r="I460" s="97"/>
    </row>
    <row r="461" spans="9:9" ht="15.75" customHeight="1" x14ac:dyDescent="0.25">
      <c r="I461" s="97"/>
    </row>
    <row r="462" spans="9:9" ht="15.75" customHeight="1" x14ac:dyDescent="0.25">
      <c r="I462" s="97"/>
    </row>
    <row r="463" spans="9:9" ht="15.75" customHeight="1" x14ac:dyDescent="0.25">
      <c r="I463" s="97"/>
    </row>
    <row r="464" spans="9:9" ht="15.75" customHeight="1" x14ac:dyDescent="0.25">
      <c r="I464" s="97"/>
    </row>
    <row r="465" spans="9:9" ht="15.75" customHeight="1" x14ac:dyDescent="0.25">
      <c r="I465" s="97"/>
    </row>
    <row r="466" spans="9:9" ht="15.75" customHeight="1" x14ac:dyDescent="0.25">
      <c r="I466" s="97"/>
    </row>
    <row r="467" spans="9:9" ht="15.75" customHeight="1" x14ac:dyDescent="0.25">
      <c r="I467" s="97"/>
    </row>
    <row r="468" spans="9:9" ht="15.75" customHeight="1" x14ac:dyDescent="0.25">
      <c r="I468" s="97"/>
    </row>
    <row r="469" spans="9:9" ht="15.75" customHeight="1" x14ac:dyDescent="0.25">
      <c r="I469" s="97"/>
    </row>
    <row r="470" spans="9:9" ht="15.75" customHeight="1" x14ac:dyDescent="0.25">
      <c r="I470" s="97"/>
    </row>
    <row r="471" spans="9:9" ht="15.75" customHeight="1" x14ac:dyDescent="0.25">
      <c r="I471" s="97"/>
    </row>
    <row r="472" spans="9:9" ht="15.75" customHeight="1" x14ac:dyDescent="0.25">
      <c r="I472" s="97"/>
    </row>
    <row r="473" spans="9:9" ht="15.75" customHeight="1" x14ac:dyDescent="0.25">
      <c r="I473" s="97"/>
    </row>
    <row r="474" spans="9:9" ht="15.75" customHeight="1" x14ac:dyDescent="0.25">
      <c r="I474" s="97"/>
    </row>
    <row r="475" spans="9:9" ht="15.75" customHeight="1" x14ac:dyDescent="0.25">
      <c r="I475" s="97"/>
    </row>
    <row r="476" spans="9:9" ht="15.75" customHeight="1" x14ac:dyDescent="0.25">
      <c r="I476" s="97"/>
    </row>
    <row r="477" spans="9:9" ht="15.75" customHeight="1" x14ac:dyDescent="0.25">
      <c r="I477" s="97"/>
    </row>
    <row r="478" spans="9:9" ht="15.75" customHeight="1" x14ac:dyDescent="0.25">
      <c r="I478" s="97"/>
    </row>
    <row r="479" spans="9:9" ht="15.75" customHeight="1" x14ac:dyDescent="0.25">
      <c r="I479" s="97"/>
    </row>
    <row r="480" spans="9:9" ht="15.75" customHeight="1" x14ac:dyDescent="0.25">
      <c r="I480" s="97"/>
    </row>
    <row r="481" spans="9:9" ht="15.75" customHeight="1" x14ac:dyDescent="0.25">
      <c r="I481" s="97"/>
    </row>
    <row r="482" spans="9:9" ht="15.75" customHeight="1" x14ac:dyDescent="0.25">
      <c r="I482" s="97"/>
    </row>
    <row r="483" spans="9:9" ht="15.75" customHeight="1" x14ac:dyDescent="0.25">
      <c r="I483" s="97"/>
    </row>
    <row r="484" spans="9:9" ht="15.75" customHeight="1" x14ac:dyDescent="0.25">
      <c r="I484" s="97"/>
    </row>
    <row r="485" spans="9:9" ht="15.75" customHeight="1" x14ac:dyDescent="0.25">
      <c r="I485" s="97"/>
    </row>
    <row r="486" spans="9:9" ht="15.75" customHeight="1" x14ac:dyDescent="0.25">
      <c r="I486" s="97"/>
    </row>
    <row r="487" spans="9:9" ht="15.75" customHeight="1" x14ac:dyDescent="0.25">
      <c r="I487" s="97"/>
    </row>
    <row r="488" spans="9:9" ht="15.75" customHeight="1" x14ac:dyDescent="0.25">
      <c r="I488" s="97"/>
    </row>
    <row r="489" spans="9:9" ht="15.75" customHeight="1" x14ac:dyDescent="0.25">
      <c r="I489" s="97"/>
    </row>
    <row r="490" spans="9:9" ht="15.75" customHeight="1" x14ac:dyDescent="0.25">
      <c r="I490" s="97"/>
    </row>
    <row r="491" spans="9:9" ht="15.75" customHeight="1" x14ac:dyDescent="0.25">
      <c r="I491" s="97"/>
    </row>
    <row r="492" spans="9:9" ht="15.75" customHeight="1" x14ac:dyDescent="0.25">
      <c r="I492" s="97"/>
    </row>
    <row r="493" spans="9:9" ht="15.75" customHeight="1" x14ac:dyDescent="0.25">
      <c r="I493" s="97"/>
    </row>
    <row r="494" spans="9:9" ht="15.75" customHeight="1" x14ac:dyDescent="0.25">
      <c r="I494" s="97"/>
    </row>
    <row r="495" spans="9:9" ht="15.75" customHeight="1" x14ac:dyDescent="0.25">
      <c r="I495" s="97"/>
    </row>
    <row r="496" spans="9:9" ht="15.75" customHeight="1" x14ac:dyDescent="0.25">
      <c r="I496" s="97"/>
    </row>
    <row r="497" spans="9:9" ht="15.75" customHeight="1" x14ac:dyDescent="0.25">
      <c r="I497" s="97"/>
    </row>
    <row r="498" spans="9:9" ht="15.75" customHeight="1" x14ac:dyDescent="0.25">
      <c r="I498" s="97"/>
    </row>
    <row r="499" spans="9:9" ht="15.75" customHeight="1" x14ac:dyDescent="0.25">
      <c r="I499" s="97"/>
    </row>
    <row r="500" spans="9:9" ht="15.75" customHeight="1" x14ac:dyDescent="0.25">
      <c r="I500" s="97"/>
    </row>
    <row r="501" spans="9:9" ht="15.75" customHeight="1" x14ac:dyDescent="0.25">
      <c r="I501" s="97"/>
    </row>
    <row r="502" spans="9:9" ht="15.75" customHeight="1" x14ac:dyDescent="0.25">
      <c r="I502" s="97"/>
    </row>
    <row r="503" spans="9:9" ht="15.75" customHeight="1" x14ac:dyDescent="0.25">
      <c r="I503" s="97"/>
    </row>
    <row r="504" spans="9:9" ht="15.75" customHeight="1" x14ac:dyDescent="0.25">
      <c r="I504" s="97"/>
    </row>
    <row r="505" spans="9:9" ht="15.75" customHeight="1" x14ac:dyDescent="0.25">
      <c r="I505" s="97"/>
    </row>
    <row r="506" spans="9:9" ht="15.75" customHeight="1" x14ac:dyDescent="0.25">
      <c r="I506" s="97"/>
    </row>
    <row r="507" spans="9:9" ht="15.75" customHeight="1" x14ac:dyDescent="0.25">
      <c r="I507" s="97"/>
    </row>
    <row r="508" spans="9:9" ht="15.75" customHeight="1" x14ac:dyDescent="0.25">
      <c r="I508" s="97"/>
    </row>
    <row r="509" spans="9:9" ht="15.75" customHeight="1" x14ac:dyDescent="0.25">
      <c r="I509" s="97"/>
    </row>
    <row r="510" spans="9:9" ht="15.75" customHeight="1" x14ac:dyDescent="0.25">
      <c r="I510" s="97"/>
    </row>
    <row r="511" spans="9:9" ht="15.75" customHeight="1" x14ac:dyDescent="0.25">
      <c r="I511" s="97"/>
    </row>
    <row r="512" spans="9:9" ht="15.75" customHeight="1" x14ac:dyDescent="0.25">
      <c r="I512" s="97"/>
    </row>
    <row r="513" spans="9:9" ht="15.75" customHeight="1" x14ac:dyDescent="0.25">
      <c r="I513" s="97"/>
    </row>
    <row r="514" spans="9:9" ht="15.75" customHeight="1" x14ac:dyDescent="0.25">
      <c r="I514" s="97"/>
    </row>
    <row r="515" spans="9:9" ht="15.75" customHeight="1" x14ac:dyDescent="0.25">
      <c r="I515" s="97"/>
    </row>
    <row r="516" spans="9:9" ht="15.75" customHeight="1" x14ac:dyDescent="0.25">
      <c r="I516" s="97"/>
    </row>
    <row r="517" spans="9:9" ht="15.75" customHeight="1" x14ac:dyDescent="0.25">
      <c r="I517" s="97"/>
    </row>
    <row r="518" spans="9:9" ht="15.75" customHeight="1" x14ac:dyDescent="0.25">
      <c r="I518" s="97"/>
    </row>
    <row r="519" spans="9:9" ht="15.75" customHeight="1" x14ac:dyDescent="0.25">
      <c r="I519" s="97"/>
    </row>
    <row r="520" spans="9:9" ht="15.75" customHeight="1" x14ac:dyDescent="0.25">
      <c r="I520" s="97"/>
    </row>
    <row r="521" spans="9:9" ht="15.75" customHeight="1" x14ac:dyDescent="0.25">
      <c r="I521" s="97"/>
    </row>
    <row r="522" spans="9:9" ht="15.75" customHeight="1" x14ac:dyDescent="0.25">
      <c r="I522" s="97"/>
    </row>
    <row r="523" spans="9:9" ht="15.75" customHeight="1" x14ac:dyDescent="0.25">
      <c r="I523" s="97"/>
    </row>
    <row r="524" spans="9:9" ht="15.75" customHeight="1" x14ac:dyDescent="0.25">
      <c r="I524" s="97"/>
    </row>
    <row r="525" spans="9:9" ht="15.75" customHeight="1" x14ac:dyDescent="0.25">
      <c r="I525" s="97"/>
    </row>
    <row r="526" spans="9:9" ht="15.75" customHeight="1" x14ac:dyDescent="0.25">
      <c r="I526" s="97"/>
    </row>
    <row r="527" spans="9:9" ht="15.75" customHeight="1" x14ac:dyDescent="0.25">
      <c r="I527" s="97"/>
    </row>
    <row r="528" spans="9:9" ht="15.75" customHeight="1" x14ac:dyDescent="0.25">
      <c r="I528" s="97"/>
    </row>
    <row r="529" spans="9:9" ht="15.75" customHeight="1" x14ac:dyDescent="0.25">
      <c r="I529" s="97"/>
    </row>
    <row r="530" spans="9:9" ht="15.75" customHeight="1" x14ac:dyDescent="0.25">
      <c r="I530" s="97"/>
    </row>
    <row r="531" spans="9:9" ht="15.75" customHeight="1" x14ac:dyDescent="0.25">
      <c r="I531" s="97"/>
    </row>
    <row r="532" spans="9:9" ht="15.75" customHeight="1" x14ac:dyDescent="0.25">
      <c r="I532" s="97"/>
    </row>
    <row r="533" spans="9:9" ht="15.75" customHeight="1" x14ac:dyDescent="0.25">
      <c r="I533" s="97"/>
    </row>
    <row r="534" spans="9:9" ht="15.75" customHeight="1" x14ac:dyDescent="0.25">
      <c r="I534" s="97"/>
    </row>
    <row r="535" spans="9:9" ht="15.75" customHeight="1" x14ac:dyDescent="0.25">
      <c r="I535" s="97"/>
    </row>
    <row r="536" spans="9:9" ht="15.75" customHeight="1" x14ac:dyDescent="0.25">
      <c r="I536" s="97"/>
    </row>
    <row r="537" spans="9:9" ht="15.75" customHeight="1" x14ac:dyDescent="0.25">
      <c r="I537" s="97"/>
    </row>
    <row r="538" spans="9:9" ht="15.75" customHeight="1" x14ac:dyDescent="0.25">
      <c r="I538" s="97"/>
    </row>
    <row r="539" spans="9:9" ht="15.75" customHeight="1" x14ac:dyDescent="0.25">
      <c r="I539" s="97"/>
    </row>
    <row r="540" spans="9:9" ht="15.75" customHeight="1" x14ac:dyDescent="0.25">
      <c r="I540" s="97"/>
    </row>
    <row r="541" spans="9:9" ht="15.75" customHeight="1" x14ac:dyDescent="0.25">
      <c r="I541" s="97"/>
    </row>
    <row r="542" spans="9:9" ht="15.75" customHeight="1" x14ac:dyDescent="0.25">
      <c r="I542" s="97"/>
    </row>
    <row r="543" spans="9:9" ht="15.75" customHeight="1" x14ac:dyDescent="0.25">
      <c r="I543" s="97"/>
    </row>
    <row r="544" spans="9:9" ht="15.75" customHeight="1" x14ac:dyDescent="0.25">
      <c r="I544" s="97"/>
    </row>
    <row r="545" spans="9:9" ht="15.75" customHeight="1" x14ac:dyDescent="0.25">
      <c r="I545" s="97"/>
    </row>
    <row r="546" spans="9:9" ht="15.75" customHeight="1" x14ac:dyDescent="0.25">
      <c r="I546" s="97"/>
    </row>
    <row r="547" spans="9:9" ht="15.75" customHeight="1" x14ac:dyDescent="0.25">
      <c r="I547" s="97"/>
    </row>
    <row r="548" spans="9:9" ht="15.75" customHeight="1" x14ac:dyDescent="0.25">
      <c r="I548" s="97"/>
    </row>
    <row r="549" spans="9:9" ht="15.75" customHeight="1" x14ac:dyDescent="0.25">
      <c r="I549" s="97"/>
    </row>
    <row r="550" spans="9:9" ht="15.75" customHeight="1" x14ac:dyDescent="0.25">
      <c r="I550" s="97"/>
    </row>
    <row r="551" spans="9:9" ht="15.75" customHeight="1" x14ac:dyDescent="0.25">
      <c r="I551" s="97"/>
    </row>
    <row r="552" spans="9:9" ht="15.75" customHeight="1" x14ac:dyDescent="0.25">
      <c r="I552" s="97"/>
    </row>
    <row r="553" spans="9:9" ht="15.75" customHeight="1" x14ac:dyDescent="0.25">
      <c r="I553" s="97"/>
    </row>
    <row r="554" spans="9:9" ht="15.75" customHeight="1" x14ac:dyDescent="0.25">
      <c r="I554" s="97"/>
    </row>
    <row r="555" spans="9:9" ht="15.75" customHeight="1" x14ac:dyDescent="0.25">
      <c r="I555" s="97"/>
    </row>
    <row r="556" spans="9:9" ht="15.75" customHeight="1" x14ac:dyDescent="0.25">
      <c r="I556" s="97"/>
    </row>
    <row r="557" spans="9:9" ht="15.75" customHeight="1" x14ac:dyDescent="0.25">
      <c r="I557" s="97"/>
    </row>
    <row r="558" spans="9:9" ht="15.75" customHeight="1" x14ac:dyDescent="0.25">
      <c r="I558" s="97"/>
    </row>
    <row r="559" spans="9:9" ht="15.75" customHeight="1" x14ac:dyDescent="0.25">
      <c r="I559" s="97"/>
    </row>
    <row r="560" spans="9:9" ht="15.75" customHeight="1" x14ac:dyDescent="0.25">
      <c r="I560" s="97"/>
    </row>
    <row r="561" spans="9:9" ht="15.75" customHeight="1" x14ac:dyDescent="0.25">
      <c r="I561" s="97"/>
    </row>
    <row r="562" spans="9:9" ht="15.75" customHeight="1" x14ac:dyDescent="0.25">
      <c r="I562" s="97"/>
    </row>
    <row r="563" spans="9:9" ht="15.75" customHeight="1" x14ac:dyDescent="0.25">
      <c r="I563" s="97"/>
    </row>
    <row r="564" spans="9:9" ht="15.75" customHeight="1" x14ac:dyDescent="0.25">
      <c r="I564" s="97"/>
    </row>
    <row r="565" spans="9:9" ht="15.75" customHeight="1" x14ac:dyDescent="0.25">
      <c r="I565" s="97"/>
    </row>
    <row r="566" spans="9:9" ht="15.75" customHeight="1" x14ac:dyDescent="0.25">
      <c r="I566" s="97"/>
    </row>
    <row r="567" spans="9:9" ht="15.75" customHeight="1" x14ac:dyDescent="0.25">
      <c r="I567" s="97"/>
    </row>
    <row r="568" spans="9:9" ht="15.75" customHeight="1" x14ac:dyDescent="0.25">
      <c r="I568" s="97"/>
    </row>
    <row r="569" spans="9:9" ht="15.75" customHeight="1" x14ac:dyDescent="0.25">
      <c r="I569" s="97"/>
    </row>
    <row r="570" spans="9:9" ht="15.75" customHeight="1" x14ac:dyDescent="0.25">
      <c r="I570" s="97"/>
    </row>
    <row r="571" spans="9:9" ht="15.75" customHeight="1" x14ac:dyDescent="0.25">
      <c r="I571" s="97"/>
    </row>
    <row r="572" spans="9:9" ht="15.75" customHeight="1" x14ac:dyDescent="0.25">
      <c r="I572" s="97"/>
    </row>
    <row r="573" spans="9:9" ht="15.75" customHeight="1" x14ac:dyDescent="0.25">
      <c r="I573" s="97"/>
    </row>
    <row r="574" spans="9:9" ht="15.75" customHeight="1" x14ac:dyDescent="0.25">
      <c r="I574" s="97"/>
    </row>
    <row r="575" spans="9:9" ht="15.75" customHeight="1" x14ac:dyDescent="0.25">
      <c r="I575" s="97"/>
    </row>
    <row r="576" spans="9:9" ht="15.75" customHeight="1" x14ac:dyDescent="0.25">
      <c r="I576" s="97"/>
    </row>
    <row r="577" spans="9:9" ht="15.75" customHeight="1" x14ac:dyDescent="0.25">
      <c r="I577" s="97"/>
    </row>
    <row r="578" spans="9:9" ht="15.75" customHeight="1" x14ac:dyDescent="0.25">
      <c r="I578" s="97"/>
    </row>
    <row r="579" spans="9:9" ht="15.75" customHeight="1" x14ac:dyDescent="0.25">
      <c r="I579" s="97"/>
    </row>
    <row r="580" spans="9:9" ht="15.75" customHeight="1" x14ac:dyDescent="0.25">
      <c r="I580" s="97"/>
    </row>
    <row r="581" spans="9:9" ht="15.75" customHeight="1" x14ac:dyDescent="0.25">
      <c r="I581" s="97"/>
    </row>
    <row r="582" spans="9:9" ht="15.75" customHeight="1" x14ac:dyDescent="0.25">
      <c r="I582" s="97"/>
    </row>
    <row r="583" spans="9:9" ht="15.75" customHeight="1" x14ac:dyDescent="0.25">
      <c r="I583" s="97"/>
    </row>
    <row r="584" spans="9:9" ht="15.75" customHeight="1" x14ac:dyDescent="0.25">
      <c r="I584" s="97"/>
    </row>
    <row r="585" spans="9:9" ht="15.75" customHeight="1" x14ac:dyDescent="0.25">
      <c r="I585" s="97"/>
    </row>
    <row r="586" spans="9:9" ht="15.75" customHeight="1" x14ac:dyDescent="0.25">
      <c r="I586" s="97"/>
    </row>
    <row r="587" spans="9:9" ht="15.75" customHeight="1" x14ac:dyDescent="0.25">
      <c r="I587" s="97"/>
    </row>
    <row r="588" spans="9:9" ht="15.75" customHeight="1" x14ac:dyDescent="0.25">
      <c r="I588" s="97"/>
    </row>
    <row r="589" spans="9:9" ht="15.75" customHeight="1" x14ac:dyDescent="0.25">
      <c r="I589" s="97"/>
    </row>
    <row r="590" spans="9:9" ht="15.75" customHeight="1" x14ac:dyDescent="0.25">
      <c r="I590" s="97"/>
    </row>
    <row r="591" spans="9:9" ht="15.75" customHeight="1" x14ac:dyDescent="0.25">
      <c r="I591" s="97"/>
    </row>
    <row r="592" spans="9:9" ht="15.75" customHeight="1" x14ac:dyDescent="0.25">
      <c r="I592" s="97"/>
    </row>
    <row r="593" spans="9:9" ht="15.75" customHeight="1" x14ac:dyDescent="0.25">
      <c r="I593" s="97"/>
    </row>
    <row r="594" spans="9:9" ht="15.75" customHeight="1" x14ac:dyDescent="0.25">
      <c r="I594" s="97"/>
    </row>
    <row r="595" spans="9:9" ht="15.75" customHeight="1" x14ac:dyDescent="0.25">
      <c r="I595" s="97"/>
    </row>
    <row r="596" spans="9:9" ht="15.75" customHeight="1" x14ac:dyDescent="0.25">
      <c r="I596" s="97"/>
    </row>
    <row r="597" spans="9:9" ht="15.75" customHeight="1" x14ac:dyDescent="0.25">
      <c r="I597" s="97"/>
    </row>
    <row r="598" spans="9:9" ht="15.75" customHeight="1" x14ac:dyDescent="0.25">
      <c r="I598" s="97"/>
    </row>
    <row r="599" spans="9:9" ht="15.75" customHeight="1" x14ac:dyDescent="0.25">
      <c r="I599" s="97"/>
    </row>
    <row r="600" spans="9:9" ht="15.75" customHeight="1" x14ac:dyDescent="0.25">
      <c r="I600" s="97"/>
    </row>
    <row r="601" spans="9:9" ht="15.75" customHeight="1" x14ac:dyDescent="0.25">
      <c r="I601" s="97"/>
    </row>
    <row r="602" spans="9:9" ht="15.75" customHeight="1" x14ac:dyDescent="0.25">
      <c r="I602" s="97"/>
    </row>
    <row r="603" spans="9:9" ht="15.75" customHeight="1" x14ac:dyDescent="0.25">
      <c r="I603" s="97"/>
    </row>
    <row r="604" spans="9:9" ht="15.75" customHeight="1" x14ac:dyDescent="0.25">
      <c r="I604" s="97"/>
    </row>
    <row r="605" spans="9:9" ht="15.75" customHeight="1" x14ac:dyDescent="0.25">
      <c r="I605" s="97"/>
    </row>
    <row r="606" spans="9:9" ht="15.75" customHeight="1" x14ac:dyDescent="0.25">
      <c r="I606" s="97"/>
    </row>
    <row r="607" spans="9:9" ht="15.75" customHeight="1" x14ac:dyDescent="0.25">
      <c r="I607" s="97"/>
    </row>
    <row r="608" spans="9:9" ht="15.75" customHeight="1" x14ac:dyDescent="0.25">
      <c r="I608" s="97"/>
    </row>
    <row r="609" spans="9:9" ht="15.75" customHeight="1" x14ac:dyDescent="0.25">
      <c r="I609" s="97"/>
    </row>
    <row r="610" spans="9:9" ht="15.75" customHeight="1" x14ac:dyDescent="0.25">
      <c r="I610" s="97"/>
    </row>
    <row r="611" spans="9:9" ht="15.75" customHeight="1" x14ac:dyDescent="0.25">
      <c r="I611" s="97"/>
    </row>
    <row r="612" spans="9:9" ht="15.75" customHeight="1" x14ac:dyDescent="0.25">
      <c r="I612" s="97"/>
    </row>
    <row r="613" spans="9:9" ht="15.75" customHeight="1" x14ac:dyDescent="0.25">
      <c r="I613" s="97"/>
    </row>
    <row r="614" spans="9:9" ht="15.75" customHeight="1" x14ac:dyDescent="0.25">
      <c r="I614" s="97"/>
    </row>
    <row r="615" spans="9:9" ht="15.75" customHeight="1" x14ac:dyDescent="0.25">
      <c r="I615" s="97"/>
    </row>
    <row r="616" spans="9:9" ht="15.75" customHeight="1" x14ac:dyDescent="0.25">
      <c r="I616" s="97"/>
    </row>
    <row r="617" spans="9:9" ht="15.75" customHeight="1" x14ac:dyDescent="0.25">
      <c r="I617" s="97"/>
    </row>
    <row r="618" spans="9:9" ht="15.75" customHeight="1" x14ac:dyDescent="0.25">
      <c r="I618" s="97"/>
    </row>
    <row r="619" spans="9:9" ht="15.75" customHeight="1" x14ac:dyDescent="0.25">
      <c r="I619" s="97"/>
    </row>
    <row r="620" spans="9:9" ht="15.75" customHeight="1" x14ac:dyDescent="0.25">
      <c r="I620" s="97"/>
    </row>
    <row r="621" spans="9:9" ht="15.75" customHeight="1" x14ac:dyDescent="0.25">
      <c r="I621" s="97"/>
    </row>
    <row r="622" spans="9:9" ht="15.75" customHeight="1" x14ac:dyDescent="0.25">
      <c r="I622" s="97"/>
    </row>
    <row r="623" spans="9:9" ht="15.75" customHeight="1" x14ac:dyDescent="0.25">
      <c r="I623" s="97"/>
    </row>
    <row r="624" spans="9:9" ht="15.75" customHeight="1" x14ac:dyDescent="0.25">
      <c r="I624" s="97"/>
    </row>
    <row r="625" spans="9:9" ht="15.75" customHeight="1" x14ac:dyDescent="0.25">
      <c r="I625" s="97"/>
    </row>
    <row r="626" spans="9:9" ht="15.75" customHeight="1" x14ac:dyDescent="0.25">
      <c r="I626" s="97"/>
    </row>
    <row r="627" spans="9:9" ht="15.75" customHeight="1" x14ac:dyDescent="0.25">
      <c r="I627" s="97"/>
    </row>
    <row r="628" spans="9:9" ht="15.75" customHeight="1" x14ac:dyDescent="0.25">
      <c r="I628" s="97"/>
    </row>
    <row r="629" spans="9:9" ht="15.75" customHeight="1" x14ac:dyDescent="0.25">
      <c r="I629" s="97"/>
    </row>
    <row r="630" spans="9:9" ht="15.75" customHeight="1" x14ac:dyDescent="0.25">
      <c r="I630" s="97"/>
    </row>
    <row r="631" spans="9:9" ht="15.75" customHeight="1" x14ac:dyDescent="0.25">
      <c r="I631" s="97"/>
    </row>
    <row r="632" spans="9:9" ht="15.75" customHeight="1" x14ac:dyDescent="0.25">
      <c r="I632" s="97"/>
    </row>
    <row r="633" spans="9:9" ht="15.75" customHeight="1" x14ac:dyDescent="0.25">
      <c r="I633" s="97"/>
    </row>
    <row r="634" spans="9:9" ht="15.75" customHeight="1" x14ac:dyDescent="0.25">
      <c r="I634" s="97"/>
    </row>
    <row r="635" spans="9:9" ht="15.75" customHeight="1" x14ac:dyDescent="0.25">
      <c r="I635" s="97"/>
    </row>
    <row r="636" spans="9:9" ht="15.75" customHeight="1" x14ac:dyDescent="0.25">
      <c r="I636" s="97"/>
    </row>
    <row r="637" spans="9:9" ht="15.75" customHeight="1" x14ac:dyDescent="0.25">
      <c r="I637" s="97"/>
    </row>
    <row r="638" spans="9:9" ht="15.75" customHeight="1" x14ac:dyDescent="0.25">
      <c r="I638" s="97"/>
    </row>
    <row r="639" spans="9:9" ht="15.75" customHeight="1" x14ac:dyDescent="0.25">
      <c r="I639" s="97"/>
    </row>
    <row r="640" spans="9:9" ht="15.75" customHeight="1" x14ac:dyDescent="0.25">
      <c r="I640" s="97"/>
    </row>
    <row r="641" spans="9:9" ht="15.75" customHeight="1" x14ac:dyDescent="0.25">
      <c r="I641" s="97"/>
    </row>
    <row r="642" spans="9:9" ht="15.75" customHeight="1" x14ac:dyDescent="0.25">
      <c r="I642" s="97"/>
    </row>
    <row r="643" spans="9:9" ht="15.75" customHeight="1" x14ac:dyDescent="0.25">
      <c r="I643" s="97"/>
    </row>
    <row r="644" spans="9:9" ht="15.75" customHeight="1" x14ac:dyDescent="0.25">
      <c r="I644" s="97"/>
    </row>
    <row r="645" spans="9:9" ht="15.75" customHeight="1" x14ac:dyDescent="0.25">
      <c r="I645" s="97"/>
    </row>
    <row r="646" spans="9:9" ht="15.75" customHeight="1" x14ac:dyDescent="0.25">
      <c r="I646" s="97"/>
    </row>
    <row r="647" spans="9:9" ht="15.75" customHeight="1" x14ac:dyDescent="0.25">
      <c r="I647" s="97"/>
    </row>
    <row r="648" spans="9:9" ht="15.75" customHeight="1" x14ac:dyDescent="0.25">
      <c r="I648" s="97"/>
    </row>
    <row r="649" spans="9:9" ht="15.75" customHeight="1" x14ac:dyDescent="0.25">
      <c r="I649" s="97"/>
    </row>
    <row r="650" spans="9:9" ht="15.75" customHeight="1" x14ac:dyDescent="0.25">
      <c r="I650" s="97"/>
    </row>
    <row r="651" spans="9:9" ht="15.75" customHeight="1" x14ac:dyDescent="0.25">
      <c r="I651" s="97"/>
    </row>
    <row r="652" spans="9:9" ht="15.75" customHeight="1" x14ac:dyDescent="0.25">
      <c r="I652" s="97"/>
    </row>
    <row r="653" spans="9:9" ht="15.75" customHeight="1" x14ac:dyDescent="0.25">
      <c r="I653" s="97"/>
    </row>
    <row r="654" spans="9:9" ht="15.75" customHeight="1" x14ac:dyDescent="0.25">
      <c r="I654" s="97"/>
    </row>
    <row r="655" spans="9:9" ht="15.75" customHeight="1" x14ac:dyDescent="0.25">
      <c r="I655" s="97"/>
    </row>
    <row r="656" spans="9:9" ht="15.75" customHeight="1" x14ac:dyDescent="0.25">
      <c r="I656" s="97"/>
    </row>
    <row r="657" spans="9:9" ht="15.75" customHeight="1" x14ac:dyDescent="0.25">
      <c r="I657" s="97"/>
    </row>
    <row r="658" spans="9:9" ht="15.75" customHeight="1" x14ac:dyDescent="0.25">
      <c r="I658" s="97"/>
    </row>
    <row r="659" spans="9:9" ht="15.75" customHeight="1" x14ac:dyDescent="0.25">
      <c r="I659" s="97"/>
    </row>
    <row r="660" spans="9:9" ht="15.75" customHeight="1" x14ac:dyDescent="0.25">
      <c r="I660" s="97"/>
    </row>
    <row r="661" spans="9:9" ht="15.75" customHeight="1" x14ac:dyDescent="0.25">
      <c r="I661" s="97"/>
    </row>
    <row r="662" spans="9:9" ht="15.75" customHeight="1" x14ac:dyDescent="0.25">
      <c r="I662" s="97"/>
    </row>
    <row r="663" spans="9:9" ht="15.75" customHeight="1" x14ac:dyDescent="0.25">
      <c r="I663" s="97"/>
    </row>
    <row r="664" spans="9:9" ht="15.75" customHeight="1" x14ac:dyDescent="0.25">
      <c r="I664" s="97"/>
    </row>
    <row r="665" spans="9:9" ht="15.75" customHeight="1" x14ac:dyDescent="0.25">
      <c r="I665" s="97"/>
    </row>
    <row r="666" spans="9:9" ht="15.75" customHeight="1" x14ac:dyDescent="0.25">
      <c r="I666" s="97"/>
    </row>
    <row r="667" spans="9:9" ht="15.75" customHeight="1" x14ac:dyDescent="0.25">
      <c r="I667" s="97"/>
    </row>
    <row r="668" spans="9:9" ht="15.75" customHeight="1" x14ac:dyDescent="0.25">
      <c r="I668" s="97"/>
    </row>
    <row r="669" spans="9:9" ht="15.75" customHeight="1" x14ac:dyDescent="0.25">
      <c r="I669" s="97"/>
    </row>
    <row r="670" spans="9:9" ht="15.75" customHeight="1" x14ac:dyDescent="0.25">
      <c r="I670" s="97"/>
    </row>
    <row r="671" spans="9:9" ht="15.75" customHeight="1" x14ac:dyDescent="0.25">
      <c r="I671" s="97"/>
    </row>
    <row r="672" spans="9:9" ht="15.75" customHeight="1" x14ac:dyDescent="0.25">
      <c r="I672" s="97"/>
    </row>
    <row r="673" spans="9:9" ht="15.75" customHeight="1" x14ac:dyDescent="0.25">
      <c r="I673" s="97"/>
    </row>
    <row r="674" spans="9:9" ht="15.75" customHeight="1" x14ac:dyDescent="0.25">
      <c r="I674" s="97"/>
    </row>
    <row r="675" spans="9:9" ht="15.75" customHeight="1" x14ac:dyDescent="0.25">
      <c r="I675" s="97"/>
    </row>
    <row r="676" spans="9:9" ht="15.75" customHeight="1" x14ac:dyDescent="0.25">
      <c r="I676" s="97"/>
    </row>
    <row r="677" spans="9:9" ht="15.75" customHeight="1" x14ac:dyDescent="0.25">
      <c r="I677" s="97"/>
    </row>
    <row r="678" spans="9:9" ht="15.75" customHeight="1" x14ac:dyDescent="0.25">
      <c r="I678" s="97"/>
    </row>
    <row r="679" spans="9:9" ht="15.75" customHeight="1" x14ac:dyDescent="0.25">
      <c r="I679" s="97"/>
    </row>
    <row r="680" spans="9:9" ht="15.75" customHeight="1" x14ac:dyDescent="0.25">
      <c r="I680" s="97"/>
    </row>
    <row r="681" spans="9:9" ht="15.75" customHeight="1" x14ac:dyDescent="0.25">
      <c r="I681" s="97"/>
    </row>
    <row r="682" spans="9:9" ht="15.75" customHeight="1" x14ac:dyDescent="0.25">
      <c r="I682" s="97"/>
    </row>
    <row r="683" spans="9:9" ht="15.75" customHeight="1" x14ac:dyDescent="0.25">
      <c r="I683" s="97"/>
    </row>
    <row r="684" spans="9:9" ht="15.75" customHeight="1" x14ac:dyDescent="0.25">
      <c r="I684" s="97"/>
    </row>
    <row r="685" spans="9:9" ht="15.75" customHeight="1" x14ac:dyDescent="0.25">
      <c r="I685" s="97"/>
    </row>
    <row r="686" spans="9:9" ht="15.75" customHeight="1" x14ac:dyDescent="0.25">
      <c r="I686" s="97"/>
    </row>
    <row r="687" spans="9:9" ht="15.75" customHeight="1" x14ac:dyDescent="0.25">
      <c r="I687" s="97"/>
    </row>
    <row r="688" spans="9:9" ht="15.75" customHeight="1" x14ac:dyDescent="0.25">
      <c r="I688" s="97"/>
    </row>
    <row r="689" spans="9:9" ht="15.75" customHeight="1" x14ac:dyDescent="0.25">
      <c r="I689" s="97"/>
    </row>
    <row r="690" spans="9:9" ht="15.75" customHeight="1" x14ac:dyDescent="0.25">
      <c r="I690" s="97"/>
    </row>
    <row r="691" spans="9:9" ht="15.75" customHeight="1" x14ac:dyDescent="0.25">
      <c r="I691" s="97"/>
    </row>
    <row r="692" spans="9:9" ht="15.75" customHeight="1" x14ac:dyDescent="0.25">
      <c r="I692" s="97"/>
    </row>
    <row r="693" spans="9:9" ht="15.75" customHeight="1" x14ac:dyDescent="0.25">
      <c r="I693" s="97"/>
    </row>
    <row r="694" spans="9:9" ht="15.75" customHeight="1" x14ac:dyDescent="0.25">
      <c r="I694" s="97"/>
    </row>
    <row r="695" spans="9:9" ht="15.75" customHeight="1" x14ac:dyDescent="0.25">
      <c r="I695" s="97"/>
    </row>
    <row r="696" spans="9:9" ht="15.75" customHeight="1" x14ac:dyDescent="0.25">
      <c r="I696" s="97"/>
    </row>
    <row r="697" spans="9:9" ht="15.75" customHeight="1" x14ac:dyDescent="0.25">
      <c r="I697" s="97"/>
    </row>
    <row r="698" spans="9:9" ht="15.75" customHeight="1" x14ac:dyDescent="0.25">
      <c r="I698" s="97"/>
    </row>
    <row r="699" spans="9:9" ht="15.75" customHeight="1" x14ac:dyDescent="0.25">
      <c r="I699" s="97"/>
    </row>
    <row r="700" spans="9:9" ht="15.75" customHeight="1" x14ac:dyDescent="0.25">
      <c r="I700" s="97"/>
    </row>
    <row r="701" spans="9:9" ht="15.75" customHeight="1" x14ac:dyDescent="0.25">
      <c r="I701" s="97"/>
    </row>
    <row r="702" spans="9:9" ht="15.75" customHeight="1" x14ac:dyDescent="0.25">
      <c r="I702" s="97"/>
    </row>
    <row r="703" spans="9:9" ht="15.75" customHeight="1" x14ac:dyDescent="0.25">
      <c r="I703" s="97"/>
    </row>
    <row r="704" spans="9:9" ht="15.75" customHeight="1" x14ac:dyDescent="0.25">
      <c r="I704" s="97"/>
    </row>
    <row r="705" spans="9:9" ht="15.75" customHeight="1" x14ac:dyDescent="0.25">
      <c r="I705" s="97"/>
    </row>
    <row r="706" spans="9:9" ht="15.75" customHeight="1" x14ac:dyDescent="0.25">
      <c r="I706" s="97"/>
    </row>
    <row r="707" spans="9:9" ht="15.75" customHeight="1" x14ac:dyDescent="0.25">
      <c r="I707" s="97"/>
    </row>
    <row r="708" spans="9:9" ht="15.75" customHeight="1" x14ac:dyDescent="0.25">
      <c r="I708" s="97"/>
    </row>
    <row r="709" spans="9:9" ht="15.75" customHeight="1" x14ac:dyDescent="0.25">
      <c r="I709" s="97"/>
    </row>
    <row r="710" spans="9:9" ht="15.75" customHeight="1" x14ac:dyDescent="0.25">
      <c r="I710" s="97"/>
    </row>
    <row r="711" spans="9:9" ht="15.75" customHeight="1" x14ac:dyDescent="0.25">
      <c r="I711" s="97"/>
    </row>
    <row r="712" spans="9:9" ht="15.75" customHeight="1" x14ac:dyDescent="0.25">
      <c r="I712" s="97"/>
    </row>
    <row r="713" spans="9:9" ht="15.75" customHeight="1" x14ac:dyDescent="0.25">
      <c r="I713" s="97"/>
    </row>
    <row r="714" spans="9:9" ht="15.75" customHeight="1" x14ac:dyDescent="0.25">
      <c r="I714" s="97"/>
    </row>
    <row r="715" spans="9:9" ht="15.75" customHeight="1" x14ac:dyDescent="0.25">
      <c r="I715" s="97"/>
    </row>
    <row r="716" spans="9:9" ht="15.75" customHeight="1" x14ac:dyDescent="0.25">
      <c r="I716" s="97"/>
    </row>
    <row r="717" spans="9:9" ht="15.75" customHeight="1" x14ac:dyDescent="0.25">
      <c r="I717" s="97"/>
    </row>
    <row r="718" spans="9:9" ht="15.75" customHeight="1" x14ac:dyDescent="0.25">
      <c r="I718" s="97"/>
    </row>
    <row r="719" spans="9:9" ht="15.75" customHeight="1" x14ac:dyDescent="0.25">
      <c r="I719" s="97"/>
    </row>
    <row r="720" spans="9:9" ht="15.75" customHeight="1" x14ac:dyDescent="0.25">
      <c r="I720" s="97"/>
    </row>
    <row r="721" spans="9:9" ht="15.75" customHeight="1" x14ac:dyDescent="0.25">
      <c r="I721" s="97"/>
    </row>
    <row r="722" spans="9:9" ht="15.75" customHeight="1" x14ac:dyDescent="0.25">
      <c r="I722" s="97"/>
    </row>
    <row r="723" spans="9:9" ht="15.75" customHeight="1" x14ac:dyDescent="0.25">
      <c r="I723" s="97"/>
    </row>
    <row r="724" spans="9:9" ht="15.75" customHeight="1" x14ac:dyDescent="0.25">
      <c r="I724" s="97"/>
    </row>
    <row r="725" spans="9:9" ht="15.75" customHeight="1" x14ac:dyDescent="0.25">
      <c r="I725" s="97"/>
    </row>
    <row r="726" spans="9:9" ht="15.75" customHeight="1" x14ac:dyDescent="0.25">
      <c r="I726" s="97"/>
    </row>
    <row r="727" spans="9:9" ht="15.75" customHeight="1" x14ac:dyDescent="0.25">
      <c r="I727" s="97"/>
    </row>
    <row r="728" spans="9:9" ht="15.75" customHeight="1" x14ac:dyDescent="0.25">
      <c r="I728" s="97"/>
    </row>
    <row r="729" spans="9:9" ht="15.75" customHeight="1" x14ac:dyDescent="0.25">
      <c r="I729" s="97"/>
    </row>
    <row r="730" spans="9:9" ht="15.75" customHeight="1" x14ac:dyDescent="0.25">
      <c r="I730" s="97"/>
    </row>
    <row r="731" spans="9:9" ht="15.75" customHeight="1" x14ac:dyDescent="0.25">
      <c r="I731" s="97"/>
    </row>
    <row r="732" spans="9:9" ht="15.75" customHeight="1" x14ac:dyDescent="0.25">
      <c r="I732" s="97"/>
    </row>
    <row r="733" spans="9:9" ht="15.75" customHeight="1" x14ac:dyDescent="0.25">
      <c r="I733" s="97"/>
    </row>
    <row r="734" spans="9:9" ht="15.75" customHeight="1" x14ac:dyDescent="0.25">
      <c r="I734" s="97"/>
    </row>
    <row r="735" spans="9:9" ht="15.75" customHeight="1" x14ac:dyDescent="0.25">
      <c r="I735" s="97"/>
    </row>
    <row r="736" spans="9:9" ht="15.75" customHeight="1" x14ac:dyDescent="0.25">
      <c r="I736" s="97"/>
    </row>
    <row r="737" spans="9:9" ht="15.75" customHeight="1" x14ac:dyDescent="0.25">
      <c r="I737" s="97"/>
    </row>
    <row r="738" spans="9:9" ht="15.75" customHeight="1" x14ac:dyDescent="0.25">
      <c r="I738" s="97"/>
    </row>
    <row r="739" spans="9:9" ht="15.75" customHeight="1" x14ac:dyDescent="0.25">
      <c r="I739" s="97"/>
    </row>
    <row r="740" spans="9:9" ht="15.75" customHeight="1" x14ac:dyDescent="0.25">
      <c r="I740" s="97"/>
    </row>
    <row r="741" spans="9:9" ht="15.75" customHeight="1" x14ac:dyDescent="0.25">
      <c r="I741" s="97"/>
    </row>
    <row r="742" spans="9:9" ht="15.75" customHeight="1" x14ac:dyDescent="0.25">
      <c r="I742" s="97"/>
    </row>
    <row r="743" spans="9:9" ht="15.75" customHeight="1" x14ac:dyDescent="0.25">
      <c r="I743" s="97"/>
    </row>
    <row r="744" spans="9:9" ht="15.75" customHeight="1" x14ac:dyDescent="0.25">
      <c r="I744" s="97"/>
    </row>
    <row r="745" spans="9:9" ht="15.75" customHeight="1" x14ac:dyDescent="0.25">
      <c r="I745" s="97"/>
    </row>
    <row r="746" spans="9:9" ht="15.75" customHeight="1" x14ac:dyDescent="0.25">
      <c r="I746" s="97"/>
    </row>
    <row r="747" spans="9:9" ht="15.75" customHeight="1" x14ac:dyDescent="0.25">
      <c r="I747" s="97"/>
    </row>
    <row r="748" spans="9:9" ht="15.75" customHeight="1" x14ac:dyDescent="0.25">
      <c r="I748" s="97"/>
    </row>
    <row r="749" spans="9:9" ht="15.75" customHeight="1" x14ac:dyDescent="0.25">
      <c r="I749" s="97"/>
    </row>
    <row r="750" spans="9:9" ht="15.75" customHeight="1" x14ac:dyDescent="0.25">
      <c r="I750" s="97"/>
    </row>
    <row r="751" spans="9:9" ht="15.75" customHeight="1" x14ac:dyDescent="0.25">
      <c r="I751" s="97"/>
    </row>
    <row r="752" spans="9:9" ht="15.75" customHeight="1" x14ac:dyDescent="0.25">
      <c r="I752" s="97"/>
    </row>
    <row r="753" spans="9:9" ht="15.75" customHeight="1" x14ac:dyDescent="0.25">
      <c r="I753" s="97"/>
    </row>
    <row r="754" spans="9:9" ht="15.75" customHeight="1" x14ac:dyDescent="0.25">
      <c r="I754" s="97"/>
    </row>
    <row r="755" spans="9:9" ht="15.75" customHeight="1" x14ac:dyDescent="0.25">
      <c r="I755" s="97"/>
    </row>
    <row r="756" spans="9:9" ht="15.75" customHeight="1" x14ac:dyDescent="0.25">
      <c r="I756" s="97"/>
    </row>
    <row r="757" spans="9:9" ht="15.75" customHeight="1" x14ac:dyDescent="0.25">
      <c r="I757" s="97"/>
    </row>
    <row r="758" spans="9:9" ht="15.75" customHeight="1" x14ac:dyDescent="0.25">
      <c r="I758" s="97"/>
    </row>
    <row r="759" spans="9:9" ht="15.75" customHeight="1" x14ac:dyDescent="0.25">
      <c r="I759" s="97"/>
    </row>
    <row r="760" spans="9:9" ht="15.75" customHeight="1" x14ac:dyDescent="0.25">
      <c r="I760" s="97"/>
    </row>
    <row r="761" spans="9:9" ht="15.75" customHeight="1" x14ac:dyDescent="0.25">
      <c r="I761" s="97"/>
    </row>
    <row r="762" spans="9:9" ht="15.75" customHeight="1" x14ac:dyDescent="0.25">
      <c r="I762" s="97"/>
    </row>
    <row r="763" spans="9:9" ht="15.75" customHeight="1" x14ac:dyDescent="0.25">
      <c r="I763" s="97"/>
    </row>
    <row r="764" spans="9:9" ht="15.75" customHeight="1" x14ac:dyDescent="0.25">
      <c r="I764" s="97"/>
    </row>
    <row r="765" spans="9:9" ht="15.75" customHeight="1" x14ac:dyDescent="0.25">
      <c r="I765" s="97"/>
    </row>
    <row r="766" spans="9:9" ht="15.75" customHeight="1" x14ac:dyDescent="0.25">
      <c r="I766" s="97"/>
    </row>
    <row r="767" spans="9:9" ht="15.75" customHeight="1" x14ac:dyDescent="0.25">
      <c r="I767" s="97"/>
    </row>
    <row r="768" spans="9:9" ht="15.75" customHeight="1" x14ac:dyDescent="0.25">
      <c r="I768" s="97"/>
    </row>
    <row r="769" spans="9:9" ht="15.75" customHeight="1" x14ac:dyDescent="0.25">
      <c r="I769" s="97"/>
    </row>
    <row r="770" spans="9:9" ht="15.75" customHeight="1" x14ac:dyDescent="0.25">
      <c r="I770" s="97"/>
    </row>
    <row r="771" spans="9:9" ht="15.75" customHeight="1" x14ac:dyDescent="0.25">
      <c r="I771" s="97"/>
    </row>
    <row r="772" spans="9:9" ht="15.75" customHeight="1" x14ac:dyDescent="0.25">
      <c r="I772" s="97"/>
    </row>
    <row r="773" spans="9:9" ht="15.75" customHeight="1" x14ac:dyDescent="0.25">
      <c r="I773" s="97"/>
    </row>
    <row r="774" spans="9:9" ht="15.75" customHeight="1" x14ac:dyDescent="0.25">
      <c r="I774" s="97"/>
    </row>
    <row r="775" spans="9:9" ht="15.75" customHeight="1" x14ac:dyDescent="0.25">
      <c r="I775" s="97"/>
    </row>
    <row r="776" spans="9:9" ht="15.75" customHeight="1" x14ac:dyDescent="0.25">
      <c r="I776" s="97"/>
    </row>
    <row r="777" spans="9:9" ht="15.75" customHeight="1" x14ac:dyDescent="0.25">
      <c r="I777" s="97"/>
    </row>
    <row r="778" spans="9:9" ht="15.75" customHeight="1" x14ac:dyDescent="0.25">
      <c r="I778" s="97"/>
    </row>
    <row r="779" spans="9:9" ht="15.75" customHeight="1" x14ac:dyDescent="0.25">
      <c r="I779" s="97"/>
    </row>
    <row r="780" spans="9:9" ht="15.75" customHeight="1" x14ac:dyDescent="0.25">
      <c r="I780" s="97"/>
    </row>
    <row r="781" spans="9:9" ht="15.75" customHeight="1" x14ac:dyDescent="0.25">
      <c r="I781" s="97"/>
    </row>
    <row r="782" spans="9:9" ht="15.75" customHeight="1" x14ac:dyDescent="0.25">
      <c r="I782" s="97"/>
    </row>
    <row r="783" spans="9:9" ht="15.75" customHeight="1" x14ac:dyDescent="0.25">
      <c r="I783" s="97"/>
    </row>
    <row r="784" spans="9:9" ht="15.75" customHeight="1" x14ac:dyDescent="0.25">
      <c r="I784" s="97"/>
    </row>
    <row r="785" spans="9:9" ht="15.75" customHeight="1" x14ac:dyDescent="0.25">
      <c r="I785" s="97"/>
    </row>
    <row r="786" spans="9:9" ht="15.75" customHeight="1" x14ac:dyDescent="0.25">
      <c r="I786" s="97"/>
    </row>
    <row r="787" spans="9:9" ht="15.75" customHeight="1" x14ac:dyDescent="0.25">
      <c r="I787" s="97"/>
    </row>
    <row r="788" spans="9:9" ht="15.75" customHeight="1" x14ac:dyDescent="0.25">
      <c r="I788" s="97"/>
    </row>
    <row r="789" spans="9:9" ht="15.75" customHeight="1" x14ac:dyDescent="0.25">
      <c r="I789" s="97"/>
    </row>
    <row r="790" spans="9:9" ht="15.75" customHeight="1" x14ac:dyDescent="0.25">
      <c r="I790" s="97"/>
    </row>
    <row r="791" spans="9:9" ht="15.75" customHeight="1" x14ac:dyDescent="0.25">
      <c r="I791" s="97"/>
    </row>
    <row r="792" spans="9:9" ht="15.75" customHeight="1" x14ac:dyDescent="0.25">
      <c r="I792" s="97"/>
    </row>
    <row r="793" spans="9:9" ht="15.75" customHeight="1" x14ac:dyDescent="0.25">
      <c r="I793" s="97"/>
    </row>
    <row r="794" spans="9:9" ht="15.75" customHeight="1" x14ac:dyDescent="0.25">
      <c r="I794" s="97"/>
    </row>
    <row r="795" spans="9:9" ht="15.75" customHeight="1" x14ac:dyDescent="0.25">
      <c r="I795" s="97"/>
    </row>
    <row r="796" spans="9:9" ht="15.75" customHeight="1" x14ac:dyDescent="0.25">
      <c r="I796" s="97"/>
    </row>
    <row r="797" spans="9:9" ht="15.75" customHeight="1" x14ac:dyDescent="0.25">
      <c r="I797" s="97"/>
    </row>
    <row r="798" spans="9:9" ht="15.75" customHeight="1" x14ac:dyDescent="0.25">
      <c r="I798" s="97"/>
    </row>
    <row r="799" spans="9:9" ht="15.75" customHeight="1" x14ac:dyDescent="0.25">
      <c r="I799" s="97"/>
    </row>
    <row r="800" spans="9:9" ht="15.75" customHeight="1" x14ac:dyDescent="0.25">
      <c r="I800" s="97"/>
    </row>
    <row r="801" spans="9:9" ht="15.75" customHeight="1" x14ac:dyDescent="0.25">
      <c r="I801" s="97"/>
    </row>
    <row r="802" spans="9:9" ht="15.75" customHeight="1" x14ac:dyDescent="0.25">
      <c r="I802" s="97"/>
    </row>
    <row r="803" spans="9:9" ht="15.75" customHeight="1" x14ac:dyDescent="0.25">
      <c r="I803" s="97"/>
    </row>
    <row r="804" spans="9:9" ht="15.75" customHeight="1" x14ac:dyDescent="0.25">
      <c r="I804" s="97"/>
    </row>
    <row r="805" spans="9:9" ht="15.75" customHeight="1" x14ac:dyDescent="0.25">
      <c r="I805" s="97"/>
    </row>
    <row r="806" spans="9:9" ht="15.75" customHeight="1" x14ac:dyDescent="0.25">
      <c r="I806" s="97"/>
    </row>
    <row r="807" spans="9:9" ht="15.75" customHeight="1" x14ac:dyDescent="0.25">
      <c r="I807" s="97"/>
    </row>
    <row r="808" spans="9:9" ht="15.75" customHeight="1" x14ac:dyDescent="0.25">
      <c r="I808" s="97"/>
    </row>
    <row r="809" spans="9:9" ht="15.75" customHeight="1" x14ac:dyDescent="0.25">
      <c r="I809" s="97"/>
    </row>
    <row r="810" spans="9:9" ht="15.75" customHeight="1" x14ac:dyDescent="0.25">
      <c r="I810" s="97"/>
    </row>
    <row r="811" spans="9:9" ht="15.75" customHeight="1" x14ac:dyDescent="0.25">
      <c r="I811" s="97"/>
    </row>
    <row r="812" spans="9:9" ht="15.75" customHeight="1" x14ac:dyDescent="0.25">
      <c r="I812" s="97"/>
    </row>
    <row r="813" spans="9:9" ht="15.75" customHeight="1" x14ac:dyDescent="0.25">
      <c r="I813" s="97"/>
    </row>
    <row r="814" spans="9:9" ht="15.75" customHeight="1" x14ac:dyDescent="0.25">
      <c r="I814" s="97"/>
    </row>
    <row r="815" spans="9:9" ht="15.75" customHeight="1" x14ac:dyDescent="0.25">
      <c r="I815" s="97"/>
    </row>
    <row r="816" spans="9:9" ht="15.75" customHeight="1" x14ac:dyDescent="0.25">
      <c r="I816" s="97"/>
    </row>
    <row r="817" spans="9:9" ht="15.75" customHeight="1" x14ac:dyDescent="0.25">
      <c r="I817" s="97"/>
    </row>
    <row r="818" spans="9:9" ht="15.75" customHeight="1" x14ac:dyDescent="0.25">
      <c r="I818" s="97"/>
    </row>
    <row r="819" spans="9:9" ht="15.75" customHeight="1" x14ac:dyDescent="0.25">
      <c r="I819" s="97"/>
    </row>
    <row r="820" spans="9:9" ht="15.75" customHeight="1" x14ac:dyDescent="0.25">
      <c r="I820" s="97"/>
    </row>
    <row r="821" spans="9:9" ht="15.75" customHeight="1" x14ac:dyDescent="0.25">
      <c r="I821" s="97"/>
    </row>
    <row r="822" spans="9:9" ht="15.75" customHeight="1" x14ac:dyDescent="0.25">
      <c r="I822" s="97"/>
    </row>
    <row r="823" spans="9:9" ht="15.75" customHeight="1" x14ac:dyDescent="0.25">
      <c r="I823" s="97"/>
    </row>
    <row r="824" spans="9:9" ht="15.75" customHeight="1" x14ac:dyDescent="0.25">
      <c r="I824" s="97"/>
    </row>
    <row r="825" spans="9:9" ht="15.75" customHeight="1" x14ac:dyDescent="0.25">
      <c r="I825" s="97"/>
    </row>
    <row r="826" spans="9:9" ht="15.75" customHeight="1" x14ac:dyDescent="0.25">
      <c r="I826" s="97"/>
    </row>
    <row r="827" spans="9:9" ht="15.75" customHeight="1" x14ac:dyDescent="0.25">
      <c r="I827" s="97"/>
    </row>
    <row r="828" spans="9:9" ht="15.75" customHeight="1" x14ac:dyDescent="0.25">
      <c r="I828" s="97"/>
    </row>
    <row r="829" spans="9:9" ht="15.75" customHeight="1" x14ac:dyDescent="0.25">
      <c r="I829" s="97"/>
    </row>
    <row r="830" spans="9:9" ht="15.75" customHeight="1" x14ac:dyDescent="0.25">
      <c r="I830" s="97"/>
    </row>
    <row r="831" spans="9:9" ht="15.75" customHeight="1" x14ac:dyDescent="0.25">
      <c r="I831" s="97"/>
    </row>
    <row r="832" spans="9:9" ht="15.75" customHeight="1" x14ac:dyDescent="0.25">
      <c r="I832" s="97"/>
    </row>
    <row r="833" spans="9:9" ht="15.75" customHeight="1" x14ac:dyDescent="0.25">
      <c r="I833" s="97"/>
    </row>
    <row r="834" spans="9:9" ht="15.75" customHeight="1" x14ac:dyDescent="0.25">
      <c r="I834" s="97"/>
    </row>
    <row r="835" spans="9:9" ht="15.75" customHeight="1" x14ac:dyDescent="0.25">
      <c r="I835" s="97"/>
    </row>
    <row r="836" spans="9:9" ht="15.75" customHeight="1" x14ac:dyDescent="0.25">
      <c r="I836" s="97"/>
    </row>
    <row r="837" spans="9:9" ht="15.75" customHeight="1" x14ac:dyDescent="0.25">
      <c r="I837" s="97"/>
    </row>
    <row r="838" spans="9:9" ht="15.75" customHeight="1" x14ac:dyDescent="0.25">
      <c r="I838" s="97"/>
    </row>
    <row r="839" spans="9:9" ht="15.75" customHeight="1" x14ac:dyDescent="0.25">
      <c r="I839" s="97"/>
    </row>
    <row r="840" spans="9:9" ht="15.75" customHeight="1" x14ac:dyDescent="0.25">
      <c r="I840" s="97"/>
    </row>
    <row r="841" spans="9:9" ht="15.75" customHeight="1" x14ac:dyDescent="0.25">
      <c r="I841" s="97"/>
    </row>
    <row r="842" spans="9:9" ht="15.75" customHeight="1" x14ac:dyDescent="0.25">
      <c r="I842" s="97"/>
    </row>
    <row r="843" spans="9:9" ht="15.75" customHeight="1" x14ac:dyDescent="0.25">
      <c r="I843" s="97"/>
    </row>
    <row r="844" spans="9:9" ht="15.75" customHeight="1" x14ac:dyDescent="0.25">
      <c r="I844" s="97"/>
    </row>
    <row r="845" spans="9:9" ht="15.75" customHeight="1" x14ac:dyDescent="0.25">
      <c r="I845" s="97"/>
    </row>
    <row r="846" spans="9:9" ht="15.75" customHeight="1" x14ac:dyDescent="0.25">
      <c r="I846" s="97"/>
    </row>
    <row r="847" spans="9:9" ht="15.75" customHeight="1" x14ac:dyDescent="0.25">
      <c r="I847" s="97"/>
    </row>
    <row r="848" spans="9:9" ht="15.75" customHeight="1" x14ac:dyDescent="0.25">
      <c r="I848" s="97"/>
    </row>
    <row r="849" spans="9:9" ht="15.75" customHeight="1" x14ac:dyDescent="0.25">
      <c r="I849" s="97"/>
    </row>
    <row r="850" spans="9:9" ht="15.75" customHeight="1" x14ac:dyDescent="0.25">
      <c r="I850" s="97"/>
    </row>
    <row r="851" spans="9:9" ht="15.75" customHeight="1" x14ac:dyDescent="0.25">
      <c r="I851" s="97"/>
    </row>
    <row r="852" spans="9:9" ht="15.75" customHeight="1" x14ac:dyDescent="0.25">
      <c r="I852" s="97"/>
    </row>
    <row r="853" spans="9:9" ht="15.75" customHeight="1" x14ac:dyDescent="0.25">
      <c r="I853" s="97"/>
    </row>
    <row r="854" spans="9:9" ht="15.75" customHeight="1" x14ac:dyDescent="0.25">
      <c r="I854" s="97"/>
    </row>
    <row r="855" spans="9:9" ht="15.75" customHeight="1" x14ac:dyDescent="0.25">
      <c r="I855" s="97"/>
    </row>
    <row r="856" spans="9:9" ht="15.75" customHeight="1" x14ac:dyDescent="0.25">
      <c r="I856" s="97"/>
    </row>
    <row r="857" spans="9:9" ht="15.75" customHeight="1" x14ac:dyDescent="0.25">
      <c r="I857" s="97"/>
    </row>
    <row r="858" spans="9:9" ht="15.75" customHeight="1" x14ac:dyDescent="0.25">
      <c r="I858" s="97"/>
    </row>
    <row r="859" spans="9:9" ht="15.75" customHeight="1" x14ac:dyDescent="0.25">
      <c r="I859" s="97"/>
    </row>
    <row r="860" spans="9:9" ht="15.75" customHeight="1" x14ac:dyDescent="0.25">
      <c r="I860" s="97"/>
    </row>
    <row r="861" spans="9:9" ht="15.75" customHeight="1" x14ac:dyDescent="0.25">
      <c r="I861" s="97"/>
    </row>
    <row r="862" spans="9:9" ht="15.75" customHeight="1" x14ac:dyDescent="0.25">
      <c r="I862" s="97"/>
    </row>
    <row r="863" spans="9:9" ht="15.75" customHeight="1" x14ac:dyDescent="0.25">
      <c r="I863" s="97"/>
    </row>
    <row r="864" spans="9:9" ht="15.75" customHeight="1" x14ac:dyDescent="0.25">
      <c r="I864" s="97"/>
    </row>
    <row r="865" spans="9:9" ht="15.75" customHeight="1" x14ac:dyDescent="0.25">
      <c r="I865" s="97"/>
    </row>
    <row r="866" spans="9:9" ht="15.75" customHeight="1" x14ac:dyDescent="0.25">
      <c r="I866" s="97"/>
    </row>
    <row r="867" spans="9:9" ht="15.75" customHeight="1" x14ac:dyDescent="0.25">
      <c r="I867" s="97"/>
    </row>
    <row r="868" spans="9:9" ht="15.75" customHeight="1" x14ac:dyDescent="0.25">
      <c r="I868" s="97"/>
    </row>
    <row r="869" spans="9:9" ht="15.75" customHeight="1" x14ac:dyDescent="0.25">
      <c r="I869" s="97"/>
    </row>
    <row r="870" spans="9:9" ht="15.75" customHeight="1" x14ac:dyDescent="0.25">
      <c r="I870" s="97"/>
    </row>
    <row r="871" spans="9:9" ht="15.75" customHeight="1" x14ac:dyDescent="0.25">
      <c r="I871" s="97"/>
    </row>
    <row r="872" spans="9:9" ht="15.75" customHeight="1" x14ac:dyDescent="0.25">
      <c r="I872" s="97"/>
    </row>
    <row r="873" spans="9:9" ht="15.75" customHeight="1" x14ac:dyDescent="0.25">
      <c r="I873" s="97"/>
    </row>
    <row r="874" spans="9:9" ht="15.75" customHeight="1" x14ac:dyDescent="0.25">
      <c r="I874" s="97"/>
    </row>
    <row r="875" spans="9:9" ht="15.75" customHeight="1" x14ac:dyDescent="0.25">
      <c r="I875" s="97"/>
    </row>
    <row r="876" spans="9:9" ht="15.75" customHeight="1" x14ac:dyDescent="0.25">
      <c r="I876" s="97"/>
    </row>
    <row r="877" spans="9:9" ht="15.75" customHeight="1" x14ac:dyDescent="0.25">
      <c r="I877" s="97"/>
    </row>
    <row r="878" spans="9:9" ht="15.75" customHeight="1" x14ac:dyDescent="0.25">
      <c r="I878" s="97"/>
    </row>
    <row r="879" spans="9:9" ht="15.75" customHeight="1" x14ac:dyDescent="0.25">
      <c r="I879" s="97"/>
    </row>
    <row r="880" spans="9:9" ht="15.75" customHeight="1" x14ac:dyDescent="0.25">
      <c r="I880" s="97"/>
    </row>
    <row r="881" spans="9:9" ht="15.75" customHeight="1" x14ac:dyDescent="0.25">
      <c r="I881" s="97"/>
    </row>
    <row r="882" spans="9:9" ht="15.75" customHeight="1" x14ac:dyDescent="0.25">
      <c r="I882" s="97"/>
    </row>
    <row r="883" spans="9:9" ht="15.75" customHeight="1" x14ac:dyDescent="0.25">
      <c r="I883" s="97"/>
    </row>
    <row r="884" spans="9:9" ht="15.75" customHeight="1" x14ac:dyDescent="0.25">
      <c r="I884" s="97"/>
    </row>
    <row r="885" spans="9:9" ht="15.75" customHeight="1" x14ac:dyDescent="0.25">
      <c r="I885" s="97"/>
    </row>
    <row r="886" spans="9:9" ht="15.75" customHeight="1" x14ac:dyDescent="0.25">
      <c r="I886" s="97"/>
    </row>
    <row r="887" spans="9:9" ht="15.75" customHeight="1" x14ac:dyDescent="0.25">
      <c r="I887" s="97"/>
    </row>
    <row r="888" spans="9:9" ht="15.75" customHeight="1" x14ac:dyDescent="0.25">
      <c r="I888" s="97"/>
    </row>
    <row r="889" spans="9:9" ht="15.75" customHeight="1" x14ac:dyDescent="0.25">
      <c r="I889" s="97"/>
    </row>
    <row r="890" spans="9:9" ht="15.75" customHeight="1" x14ac:dyDescent="0.25">
      <c r="I890" s="97"/>
    </row>
    <row r="891" spans="9:9" ht="15.75" customHeight="1" x14ac:dyDescent="0.25">
      <c r="I891" s="97"/>
    </row>
    <row r="892" spans="9:9" ht="15.75" customHeight="1" x14ac:dyDescent="0.25">
      <c r="I892" s="97"/>
    </row>
    <row r="893" spans="9:9" ht="15.75" customHeight="1" x14ac:dyDescent="0.25">
      <c r="I893" s="97"/>
    </row>
    <row r="894" spans="9:9" ht="15.75" customHeight="1" x14ac:dyDescent="0.25">
      <c r="I894" s="97"/>
    </row>
    <row r="895" spans="9:9" ht="15.75" customHeight="1" x14ac:dyDescent="0.25">
      <c r="I895" s="97"/>
    </row>
    <row r="896" spans="9:9" ht="15.75" customHeight="1" x14ac:dyDescent="0.25">
      <c r="I896" s="97"/>
    </row>
    <row r="897" spans="9:9" ht="15.75" customHeight="1" x14ac:dyDescent="0.25">
      <c r="I897" s="97"/>
    </row>
    <row r="898" spans="9:9" ht="15.75" customHeight="1" x14ac:dyDescent="0.25">
      <c r="I898" s="97"/>
    </row>
    <row r="899" spans="9:9" ht="15.75" customHeight="1" x14ac:dyDescent="0.25">
      <c r="I899" s="97"/>
    </row>
    <row r="900" spans="9:9" ht="15.75" customHeight="1" x14ac:dyDescent="0.25">
      <c r="I900" s="97"/>
    </row>
    <row r="901" spans="9:9" ht="15.75" customHeight="1" x14ac:dyDescent="0.25">
      <c r="I901" s="97"/>
    </row>
    <row r="902" spans="9:9" ht="15.75" customHeight="1" x14ac:dyDescent="0.25">
      <c r="I902" s="97"/>
    </row>
    <row r="903" spans="9:9" ht="15.75" customHeight="1" x14ac:dyDescent="0.25">
      <c r="I903" s="97"/>
    </row>
    <row r="904" spans="9:9" ht="15.75" customHeight="1" x14ac:dyDescent="0.25">
      <c r="I904" s="97"/>
    </row>
    <row r="905" spans="9:9" ht="15.75" customHeight="1" x14ac:dyDescent="0.25">
      <c r="I905" s="97"/>
    </row>
    <row r="906" spans="9:9" ht="15.75" customHeight="1" x14ac:dyDescent="0.25">
      <c r="I906" s="97"/>
    </row>
    <row r="907" spans="9:9" ht="15.75" customHeight="1" x14ac:dyDescent="0.25">
      <c r="I907" s="97"/>
    </row>
    <row r="908" spans="9:9" ht="15.75" customHeight="1" x14ac:dyDescent="0.25">
      <c r="I908" s="97"/>
    </row>
    <row r="909" spans="9:9" ht="15.75" customHeight="1" x14ac:dyDescent="0.25">
      <c r="I909" s="97"/>
    </row>
    <row r="910" spans="9:9" ht="15.75" customHeight="1" x14ac:dyDescent="0.25">
      <c r="I910" s="97"/>
    </row>
    <row r="911" spans="9:9" ht="15.75" customHeight="1" x14ac:dyDescent="0.25">
      <c r="I911" s="97"/>
    </row>
    <row r="912" spans="9:9" ht="15.75" customHeight="1" x14ac:dyDescent="0.25">
      <c r="I912" s="97"/>
    </row>
    <row r="913" spans="9:9" ht="15.75" customHeight="1" x14ac:dyDescent="0.25">
      <c r="I913" s="97"/>
    </row>
    <row r="914" spans="9:9" ht="15.75" customHeight="1" x14ac:dyDescent="0.25">
      <c r="I914" s="97"/>
    </row>
    <row r="915" spans="9:9" ht="15.75" customHeight="1" x14ac:dyDescent="0.25">
      <c r="I915" s="97"/>
    </row>
    <row r="916" spans="9:9" ht="15.75" customHeight="1" x14ac:dyDescent="0.25">
      <c r="I916" s="97"/>
    </row>
    <row r="917" spans="9:9" ht="15.75" customHeight="1" x14ac:dyDescent="0.25">
      <c r="I917" s="97"/>
    </row>
    <row r="918" spans="9:9" ht="15.75" customHeight="1" x14ac:dyDescent="0.25">
      <c r="I918" s="97"/>
    </row>
    <row r="919" spans="9:9" ht="15.75" customHeight="1" x14ac:dyDescent="0.25">
      <c r="I919" s="97"/>
    </row>
    <row r="920" spans="9:9" ht="15.75" customHeight="1" x14ac:dyDescent="0.25">
      <c r="I920" s="97"/>
    </row>
    <row r="921" spans="9:9" ht="15.75" customHeight="1" x14ac:dyDescent="0.25">
      <c r="I921" s="97"/>
    </row>
    <row r="922" spans="9:9" ht="15.75" customHeight="1" x14ac:dyDescent="0.25">
      <c r="I922" s="97"/>
    </row>
    <row r="923" spans="9:9" ht="15.75" customHeight="1" x14ac:dyDescent="0.25">
      <c r="I923" s="97"/>
    </row>
    <row r="924" spans="9:9" ht="15.75" customHeight="1" x14ac:dyDescent="0.25">
      <c r="I924" s="97"/>
    </row>
    <row r="925" spans="9:9" ht="15.75" customHeight="1" x14ac:dyDescent="0.25">
      <c r="I925" s="97"/>
    </row>
    <row r="926" spans="9:9" ht="15.75" customHeight="1" x14ac:dyDescent="0.25">
      <c r="I926" s="97"/>
    </row>
    <row r="927" spans="9:9" ht="15.75" customHeight="1" x14ac:dyDescent="0.25">
      <c r="I927" s="97"/>
    </row>
    <row r="928" spans="9:9" ht="15.75" customHeight="1" x14ac:dyDescent="0.25">
      <c r="I928" s="97"/>
    </row>
    <row r="929" spans="9:9" ht="15.75" customHeight="1" x14ac:dyDescent="0.25">
      <c r="I929" s="97"/>
    </row>
    <row r="930" spans="9:9" ht="15.75" customHeight="1" x14ac:dyDescent="0.25">
      <c r="I930" s="97"/>
    </row>
    <row r="931" spans="9:9" ht="15.75" customHeight="1" x14ac:dyDescent="0.25">
      <c r="I931" s="97"/>
    </row>
    <row r="932" spans="9:9" ht="15.75" customHeight="1" x14ac:dyDescent="0.25">
      <c r="I932" s="97"/>
    </row>
    <row r="933" spans="9:9" ht="15.75" customHeight="1" x14ac:dyDescent="0.25">
      <c r="I933" s="97"/>
    </row>
    <row r="934" spans="9:9" ht="15.75" customHeight="1" x14ac:dyDescent="0.25">
      <c r="I934" s="97"/>
    </row>
    <row r="935" spans="9:9" ht="15.75" customHeight="1" x14ac:dyDescent="0.25">
      <c r="I935" s="97"/>
    </row>
    <row r="936" spans="9:9" ht="15.75" customHeight="1" x14ac:dyDescent="0.25">
      <c r="I936" s="97"/>
    </row>
    <row r="937" spans="9:9" ht="15.75" customHeight="1" x14ac:dyDescent="0.25">
      <c r="I937" s="97"/>
    </row>
    <row r="938" spans="9:9" ht="15.75" customHeight="1" x14ac:dyDescent="0.25">
      <c r="I938" s="97"/>
    </row>
    <row r="939" spans="9:9" ht="15.75" customHeight="1" x14ac:dyDescent="0.25">
      <c r="I939" s="97"/>
    </row>
    <row r="940" spans="9:9" ht="15.75" customHeight="1" x14ac:dyDescent="0.25">
      <c r="I940" s="97"/>
    </row>
    <row r="941" spans="9:9" ht="15.75" customHeight="1" x14ac:dyDescent="0.25">
      <c r="I941" s="97"/>
    </row>
    <row r="942" spans="9:9" ht="15.75" customHeight="1" x14ac:dyDescent="0.25">
      <c r="I942" s="97"/>
    </row>
    <row r="943" spans="9:9" ht="15.75" customHeight="1" x14ac:dyDescent="0.25">
      <c r="I943" s="97"/>
    </row>
    <row r="944" spans="9:9" ht="15.75" customHeight="1" x14ac:dyDescent="0.25">
      <c r="I944" s="97"/>
    </row>
    <row r="945" spans="9:9" ht="15.75" customHeight="1" x14ac:dyDescent="0.25">
      <c r="I945" s="97"/>
    </row>
    <row r="946" spans="9:9" ht="15.75" customHeight="1" x14ac:dyDescent="0.25">
      <c r="I946" s="97"/>
    </row>
    <row r="947" spans="9:9" ht="15.75" customHeight="1" x14ac:dyDescent="0.25">
      <c r="I947" s="97"/>
    </row>
    <row r="948" spans="9:9" ht="15.75" customHeight="1" x14ac:dyDescent="0.25">
      <c r="I948" s="97"/>
    </row>
    <row r="949" spans="9:9" ht="15.75" customHeight="1" x14ac:dyDescent="0.25">
      <c r="I949" s="97"/>
    </row>
    <row r="950" spans="9:9" ht="15.75" customHeight="1" x14ac:dyDescent="0.25">
      <c r="I950" s="97"/>
    </row>
    <row r="951" spans="9:9" ht="15.75" customHeight="1" x14ac:dyDescent="0.25">
      <c r="I951" s="97"/>
    </row>
    <row r="952" spans="9:9" ht="15.75" customHeight="1" x14ac:dyDescent="0.25">
      <c r="I952" s="97"/>
    </row>
    <row r="953" spans="9:9" ht="15.75" customHeight="1" x14ac:dyDescent="0.25">
      <c r="I953" s="97"/>
    </row>
    <row r="954" spans="9:9" ht="15.75" customHeight="1" x14ac:dyDescent="0.25">
      <c r="I954" s="97"/>
    </row>
    <row r="955" spans="9:9" ht="15.75" customHeight="1" x14ac:dyDescent="0.25">
      <c r="I955" s="97"/>
    </row>
    <row r="956" spans="9:9" ht="15.75" customHeight="1" x14ac:dyDescent="0.25">
      <c r="I956" s="97"/>
    </row>
    <row r="957" spans="9:9" ht="15.75" customHeight="1" x14ac:dyDescent="0.25">
      <c r="I957" s="97"/>
    </row>
    <row r="958" spans="9:9" ht="15.75" customHeight="1" x14ac:dyDescent="0.25">
      <c r="I958" s="97"/>
    </row>
    <row r="959" spans="9:9" ht="15.75" customHeight="1" x14ac:dyDescent="0.25">
      <c r="I959" s="97"/>
    </row>
    <row r="960" spans="9:9" ht="15.75" customHeight="1" x14ac:dyDescent="0.25">
      <c r="I960" s="97"/>
    </row>
    <row r="961" spans="9:9" ht="15.75" customHeight="1" x14ac:dyDescent="0.25">
      <c r="I961" s="97"/>
    </row>
    <row r="962" spans="9:9" ht="15.75" customHeight="1" x14ac:dyDescent="0.25">
      <c r="I962" s="97"/>
    </row>
    <row r="963" spans="9:9" ht="15.75" customHeight="1" x14ac:dyDescent="0.25">
      <c r="I963" s="97"/>
    </row>
    <row r="964" spans="9:9" ht="15.75" customHeight="1" x14ac:dyDescent="0.25">
      <c r="I964" s="97"/>
    </row>
    <row r="965" spans="9:9" ht="15.75" customHeight="1" x14ac:dyDescent="0.25">
      <c r="I965" s="97"/>
    </row>
    <row r="966" spans="9:9" ht="15.75" customHeight="1" x14ac:dyDescent="0.25">
      <c r="I966" s="97"/>
    </row>
    <row r="967" spans="9:9" ht="15.75" customHeight="1" x14ac:dyDescent="0.25">
      <c r="I967" s="97"/>
    </row>
    <row r="968" spans="9:9" ht="15.75" customHeight="1" x14ac:dyDescent="0.25">
      <c r="I968" s="97"/>
    </row>
    <row r="969" spans="9:9" ht="15.75" customHeight="1" x14ac:dyDescent="0.25">
      <c r="I969" s="97"/>
    </row>
    <row r="970" spans="9:9" ht="15.75" customHeight="1" x14ac:dyDescent="0.25">
      <c r="I970" s="97"/>
    </row>
    <row r="971" spans="9:9" ht="15.75" customHeight="1" x14ac:dyDescent="0.25">
      <c r="I971" s="97"/>
    </row>
    <row r="972" spans="9:9" ht="15.75" customHeight="1" x14ac:dyDescent="0.25">
      <c r="I972" s="97"/>
    </row>
    <row r="973" spans="9:9" ht="15.75" customHeight="1" x14ac:dyDescent="0.25">
      <c r="I973" s="97"/>
    </row>
    <row r="974" spans="9:9" ht="15.75" customHeight="1" x14ac:dyDescent="0.25">
      <c r="I974" s="97"/>
    </row>
    <row r="975" spans="9:9" ht="15.75" customHeight="1" x14ac:dyDescent="0.25">
      <c r="I975" s="97"/>
    </row>
    <row r="976" spans="9:9" ht="15.75" customHeight="1" x14ac:dyDescent="0.25">
      <c r="I976" s="97"/>
    </row>
    <row r="977" spans="9:9" ht="15.75" customHeight="1" x14ac:dyDescent="0.25">
      <c r="I977" s="97"/>
    </row>
    <row r="978" spans="9:9" ht="15.75" customHeight="1" x14ac:dyDescent="0.25">
      <c r="I978" s="97"/>
    </row>
    <row r="979" spans="9:9" ht="15.75" customHeight="1" x14ac:dyDescent="0.25">
      <c r="I979" s="97"/>
    </row>
    <row r="980" spans="9:9" ht="15.75" customHeight="1" x14ac:dyDescent="0.25">
      <c r="I980" s="97"/>
    </row>
    <row r="981" spans="9:9" ht="15.75" customHeight="1" x14ac:dyDescent="0.25">
      <c r="I981" s="97"/>
    </row>
    <row r="982" spans="9:9" ht="15.75" customHeight="1" x14ac:dyDescent="0.25">
      <c r="I982" s="97"/>
    </row>
    <row r="983" spans="9:9" ht="15.75" customHeight="1" x14ac:dyDescent="0.25">
      <c r="I983" s="97"/>
    </row>
    <row r="984" spans="9:9" ht="15.75" customHeight="1" x14ac:dyDescent="0.25">
      <c r="I984" s="97"/>
    </row>
    <row r="985" spans="9:9" ht="15.75" customHeight="1" x14ac:dyDescent="0.25">
      <c r="I985" s="97"/>
    </row>
    <row r="986" spans="9:9" ht="15.75" customHeight="1" x14ac:dyDescent="0.25">
      <c r="I986" s="97"/>
    </row>
    <row r="987" spans="9:9" ht="15.75" customHeight="1" x14ac:dyDescent="0.25">
      <c r="I987" s="97"/>
    </row>
    <row r="988" spans="9:9" ht="15.75" customHeight="1" x14ac:dyDescent="0.25">
      <c r="I988" s="97"/>
    </row>
    <row r="989" spans="9:9" ht="15.75" customHeight="1" x14ac:dyDescent="0.25">
      <c r="I989" s="97"/>
    </row>
    <row r="990" spans="9:9" ht="15.75" customHeight="1" x14ac:dyDescent="0.25">
      <c r="I990" s="97"/>
    </row>
    <row r="991" spans="9:9" ht="15.75" customHeight="1" x14ac:dyDescent="0.25">
      <c r="I991" s="97"/>
    </row>
    <row r="992" spans="9:9" ht="15.75" customHeight="1" x14ac:dyDescent="0.25">
      <c r="I992" s="97"/>
    </row>
    <row r="993" spans="9:9" ht="15.75" customHeight="1" x14ac:dyDescent="0.25">
      <c r="I993" s="97"/>
    </row>
    <row r="994" spans="9:9" ht="15.75" customHeight="1" x14ac:dyDescent="0.25">
      <c r="I994" s="97"/>
    </row>
    <row r="995" spans="9:9" ht="15.75" customHeight="1" x14ac:dyDescent="0.25">
      <c r="I995" s="97"/>
    </row>
    <row r="996" spans="9:9" ht="15.75" customHeight="1" x14ac:dyDescent="0.25">
      <c r="I996" s="97"/>
    </row>
    <row r="997" spans="9:9" ht="15.75" customHeight="1" x14ac:dyDescent="0.25">
      <c r="I997" s="97"/>
    </row>
    <row r="998" spans="9:9" ht="15.75" customHeight="1" x14ac:dyDescent="0.25">
      <c r="I998" s="97"/>
    </row>
    <row r="999" spans="9:9" ht="15.75" customHeight="1" x14ac:dyDescent="0.25">
      <c r="I999" s="97"/>
    </row>
    <row r="1000" spans="9:9" ht="15.75" customHeight="1" x14ac:dyDescent="0.25">
      <c r="I1000" s="97"/>
    </row>
  </sheetData>
  <mergeCells count="1195">
    <mergeCell ref="AS103:AX103"/>
    <mergeCell ref="AY103:BD103"/>
    <mergeCell ref="BE103:BJ103"/>
    <mergeCell ref="BK103:BP103"/>
    <mergeCell ref="BQ103:BV103"/>
    <mergeCell ref="BW103:CB103"/>
    <mergeCell ref="AF111:AR111"/>
    <mergeCell ref="AS111:BG111"/>
    <mergeCell ref="AF115:AR115"/>
    <mergeCell ref="AS115:BG115"/>
    <mergeCell ref="A120:V120"/>
    <mergeCell ref="W120:AE120"/>
    <mergeCell ref="AF120:AR120"/>
    <mergeCell ref="AS120:BG120"/>
    <mergeCell ref="W121:AE121"/>
    <mergeCell ref="AF121:AR121"/>
    <mergeCell ref="AS121:BG121"/>
    <mergeCell ref="A121:V121"/>
    <mergeCell ref="AS112:BG112"/>
    <mergeCell ref="W113:AE113"/>
    <mergeCell ref="AF113:AR113"/>
    <mergeCell ref="AS113:BG113"/>
    <mergeCell ref="A113:V113"/>
    <mergeCell ref="A114:V114"/>
    <mergeCell ref="W114:AE114"/>
    <mergeCell ref="AF114:AR114"/>
    <mergeCell ref="AS114:BG114"/>
    <mergeCell ref="A115:V115"/>
    <mergeCell ref="W115:AE115"/>
    <mergeCell ref="A116:V116"/>
    <mergeCell ref="W116:AE116"/>
    <mergeCell ref="AF116:AR116"/>
    <mergeCell ref="AS101:AX101"/>
    <mergeCell ref="AY101:BD101"/>
    <mergeCell ref="BE101:BJ101"/>
    <mergeCell ref="BK101:BP101"/>
    <mergeCell ref="BQ101:BV101"/>
    <mergeCell ref="BW101:CB101"/>
    <mergeCell ref="A101:H101"/>
    <mergeCell ref="I101:N101"/>
    <mergeCell ref="O101:T101"/>
    <mergeCell ref="U101:Z101"/>
    <mergeCell ref="AA101:AF101"/>
    <mergeCell ref="AG101:AL101"/>
    <mergeCell ref="AM101:AR101"/>
    <mergeCell ref="AS102:AX102"/>
    <mergeCell ref="AY102:BD102"/>
    <mergeCell ref="BE102:BJ102"/>
    <mergeCell ref="BK102:BP102"/>
    <mergeCell ref="BQ102:BV102"/>
    <mergeCell ref="BW102:CB102"/>
    <mergeCell ref="A102:H102"/>
    <mergeCell ref="I102:N102"/>
    <mergeCell ref="O102:T102"/>
    <mergeCell ref="U102:Z102"/>
    <mergeCell ref="AA102:AF102"/>
    <mergeCell ref="AG102:AL102"/>
    <mergeCell ref="AM102:AR102"/>
    <mergeCell ref="A85:J85"/>
    <mergeCell ref="K85:O85"/>
    <mergeCell ref="A86:J86"/>
    <mergeCell ref="K86:O86"/>
    <mergeCell ref="A87:J87"/>
    <mergeCell ref="K87:O87"/>
    <mergeCell ref="A89:BG89"/>
    <mergeCell ref="A90:L90"/>
    <mergeCell ref="M90:P90"/>
    <mergeCell ref="Q90:T90"/>
    <mergeCell ref="A91:L91"/>
    <mergeCell ref="A96:L96"/>
    <mergeCell ref="M96:P96"/>
    <mergeCell ref="Q96:T96"/>
    <mergeCell ref="A97:L97"/>
    <mergeCell ref="M97:P97"/>
    <mergeCell ref="Q97:T97"/>
    <mergeCell ref="V74:Z74"/>
    <mergeCell ref="A75:U75"/>
    <mergeCell ref="V75:Z75"/>
    <mergeCell ref="A76:U76"/>
    <mergeCell ref="V76:Z76"/>
    <mergeCell ref="V77:Z77"/>
    <mergeCell ref="A78:U78"/>
    <mergeCell ref="V78:Z78"/>
    <mergeCell ref="A79:U79"/>
    <mergeCell ref="V79:Z79"/>
    <mergeCell ref="A80:U80"/>
    <mergeCell ref="V80:Z80"/>
    <mergeCell ref="A81:BG81"/>
    <mergeCell ref="A82:O82"/>
    <mergeCell ref="K83:O83"/>
    <mergeCell ref="A83:J83"/>
    <mergeCell ref="A84:J84"/>
    <mergeCell ref="K84:O84"/>
    <mergeCell ref="A69:U69"/>
    <mergeCell ref="V69:Z69"/>
    <mergeCell ref="AM69:BG69"/>
    <mergeCell ref="A70:U70"/>
    <mergeCell ref="V70:Z70"/>
    <mergeCell ref="AM74:AT74"/>
    <mergeCell ref="AU74:BA74"/>
    <mergeCell ref="AY100:BD100"/>
    <mergeCell ref="BE100:BJ100"/>
    <mergeCell ref="BK100:BP100"/>
    <mergeCell ref="BQ100:BV100"/>
    <mergeCell ref="BW100:CB100"/>
    <mergeCell ref="I100:N100"/>
    <mergeCell ref="O100:T100"/>
    <mergeCell ref="U100:Z100"/>
    <mergeCell ref="AA100:AF100"/>
    <mergeCell ref="AG100:AL100"/>
    <mergeCell ref="AM100:AR100"/>
    <mergeCell ref="AS100:AX100"/>
    <mergeCell ref="A71:U71"/>
    <mergeCell ref="V71:Z71"/>
    <mergeCell ref="AM71:AT71"/>
    <mergeCell ref="AU71:BA71"/>
    <mergeCell ref="V72:Z72"/>
    <mergeCell ref="AM72:AT72"/>
    <mergeCell ref="AU72:BA72"/>
    <mergeCell ref="A72:U72"/>
    <mergeCell ref="A73:U73"/>
    <mergeCell ref="V73:Z73"/>
    <mergeCell ref="AM73:AT73"/>
    <mergeCell ref="AU73:BA73"/>
    <mergeCell ref="A74:U74"/>
    <mergeCell ref="AM66:AT66"/>
    <mergeCell ref="AU66:BA66"/>
    <mergeCell ref="A61:AC61"/>
    <mergeCell ref="A62:U62"/>
    <mergeCell ref="A63:U63"/>
    <mergeCell ref="V63:Z63"/>
    <mergeCell ref="AU63:BA63"/>
    <mergeCell ref="V64:Z64"/>
    <mergeCell ref="AU64:BA64"/>
    <mergeCell ref="A64:U64"/>
    <mergeCell ref="A65:U65"/>
    <mergeCell ref="V65:Z65"/>
    <mergeCell ref="A66:U66"/>
    <mergeCell ref="V66:Z66"/>
    <mergeCell ref="A67:U67"/>
    <mergeCell ref="V67:Z67"/>
    <mergeCell ref="A68:U68"/>
    <mergeCell ref="V68:Z68"/>
    <mergeCell ref="A49:L49"/>
    <mergeCell ref="A50:J50"/>
    <mergeCell ref="K50:N50"/>
    <mergeCell ref="A52:T52"/>
    <mergeCell ref="G54:P54"/>
    <mergeCell ref="Q54:T54"/>
    <mergeCell ref="G55:P55"/>
    <mergeCell ref="Q55:T55"/>
    <mergeCell ref="G56:P56"/>
    <mergeCell ref="Q56:T56"/>
    <mergeCell ref="G57:P57"/>
    <mergeCell ref="Q57:T57"/>
    <mergeCell ref="AM61:BG61"/>
    <mergeCell ref="AM63:AT63"/>
    <mergeCell ref="AM64:AT64"/>
    <mergeCell ref="AM65:AT65"/>
    <mergeCell ref="AU65:BA65"/>
    <mergeCell ref="BA127:BF127"/>
    <mergeCell ref="BG127:BL127"/>
    <mergeCell ref="BM127:BR127"/>
    <mergeCell ref="BS127:BX127"/>
    <mergeCell ref="BY127:CD127"/>
    <mergeCell ref="CE127:CJ127"/>
    <mergeCell ref="CK127:CP127"/>
    <mergeCell ref="A126:V126"/>
    <mergeCell ref="A127:V127"/>
    <mergeCell ref="W127:AB127"/>
    <mergeCell ref="AC127:AH127"/>
    <mergeCell ref="AI127:AN127"/>
    <mergeCell ref="AO127:AT127"/>
    <mergeCell ref="AU127:AZ127"/>
    <mergeCell ref="BG128:BL128"/>
    <mergeCell ref="BM128:BR128"/>
    <mergeCell ref="BS128:BX128"/>
    <mergeCell ref="BY128:CD128"/>
    <mergeCell ref="CE128:CJ128"/>
    <mergeCell ref="CK128:CP128"/>
    <mergeCell ref="A128:V128"/>
    <mergeCell ref="W128:AB128"/>
    <mergeCell ref="AC128:AH128"/>
    <mergeCell ref="AI128:AN128"/>
    <mergeCell ref="AO128:AT128"/>
    <mergeCell ref="AU128:AZ128"/>
    <mergeCell ref="BA128:BF128"/>
    <mergeCell ref="BS126:BX126"/>
    <mergeCell ref="BY126:CD126"/>
    <mergeCell ref="CE126:CJ126"/>
    <mergeCell ref="CK126:CP126"/>
    <mergeCell ref="W126:AB126"/>
    <mergeCell ref="AC126:AH126"/>
    <mergeCell ref="AO126:AT126"/>
    <mergeCell ref="AU126:AZ126"/>
    <mergeCell ref="BA126:BF126"/>
    <mergeCell ref="BG126:BL126"/>
    <mergeCell ref="BM126:BR126"/>
    <mergeCell ref="AC124:AH124"/>
    <mergeCell ref="AI124:AN124"/>
    <mergeCell ref="A125:V125"/>
    <mergeCell ref="W125:AB125"/>
    <mergeCell ref="AC125:AH125"/>
    <mergeCell ref="AI125:AN125"/>
    <mergeCell ref="AI126:AN126"/>
    <mergeCell ref="BA124:BF124"/>
    <mergeCell ref="BG124:BL124"/>
    <mergeCell ref="BM124:BR124"/>
    <mergeCell ref="BS124:BX124"/>
    <mergeCell ref="BY124:CD124"/>
    <mergeCell ref="CE124:CJ124"/>
    <mergeCell ref="CK124:CP124"/>
    <mergeCell ref="A124:V124"/>
    <mergeCell ref="W124:AB124"/>
    <mergeCell ref="AF119:AR119"/>
    <mergeCell ref="AS119:BG119"/>
    <mergeCell ref="A117:V117"/>
    <mergeCell ref="A118:V118"/>
    <mergeCell ref="W118:AE118"/>
    <mergeCell ref="AF118:AR118"/>
    <mergeCell ref="AS118:BG118"/>
    <mergeCell ref="A119:V119"/>
    <mergeCell ref="W119:AE119"/>
    <mergeCell ref="BS125:BX125"/>
    <mergeCell ref="BY125:CD125"/>
    <mergeCell ref="CE125:CJ125"/>
    <mergeCell ref="CK125:CP125"/>
    <mergeCell ref="AO124:AT124"/>
    <mergeCell ref="AU124:AZ124"/>
    <mergeCell ref="AO125:AT125"/>
    <mergeCell ref="AU125:AZ125"/>
    <mergeCell ref="BA125:BF125"/>
    <mergeCell ref="BG125:BL125"/>
    <mergeCell ref="BM125:BR125"/>
    <mergeCell ref="A122:V122"/>
    <mergeCell ref="W122:AE122"/>
    <mergeCell ref="AF122:AR122"/>
    <mergeCell ref="AS122:BG122"/>
    <mergeCell ref="AS116:BG116"/>
    <mergeCell ref="W117:AE117"/>
    <mergeCell ref="AF117:AR117"/>
    <mergeCell ref="AS117:BG117"/>
    <mergeCell ref="M91:P91"/>
    <mergeCell ref="Q91:T91"/>
    <mergeCell ref="A92:L92"/>
    <mergeCell ref="M92:P92"/>
    <mergeCell ref="Q92:T92"/>
    <mergeCell ref="M93:P93"/>
    <mergeCell ref="Q93:T93"/>
    <mergeCell ref="A93:L93"/>
    <mergeCell ref="A94:L94"/>
    <mergeCell ref="M94:P94"/>
    <mergeCell ref="Q94:T94"/>
    <mergeCell ref="A95:L95"/>
    <mergeCell ref="M95:P95"/>
    <mergeCell ref="Q95:T95"/>
    <mergeCell ref="A112:V112"/>
    <mergeCell ref="W112:AE112"/>
    <mergeCell ref="AF112:AR112"/>
    <mergeCell ref="A100:H100"/>
    <mergeCell ref="I103:N103"/>
    <mergeCell ref="O103:T103"/>
    <mergeCell ref="U103:Z103"/>
    <mergeCell ref="AA103:AF103"/>
    <mergeCell ref="AG103:AL103"/>
    <mergeCell ref="AM103:AR103"/>
    <mergeCell ref="A108:CV108"/>
    <mergeCell ref="A103:H103"/>
    <mergeCell ref="A110:V110"/>
    <mergeCell ref="W110:AE110"/>
    <mergeCell ref="AF110:AR110"/>
    <mergeCell ref="AS110:BG110"/>
    <mergeCell ref="A111:V111"/>
    <mergeCell ref="W111:AE111"/>
    <mergeCell ref="AZ46:BA46"/>
    <mergeCell ref="BB46:BC46"/>
    <mergeCell ref="BD46:BE46"/>
    <mergeCell ref="BF46:BG46"/>
    <mergeCell ref="AK46:AL46"/>
    <mergeCell ref="AM46:AN46"/>
    <mergeCell ref="AO46:AP46"/>
    <mergeCell ref="AR46:AS46"/>
    <mergeCell ref="AT46:AU46"/>
    <mergeCell ref="AV46:AW46"/>
    <mergeCell ref="AX46:AY46"/>
    <mergeCell ref="A47:AL47"/>
    <mergeCell ref="AM47:AP47"/>
    <mergeCell ref="AR47:BC47"/>
    <mergeCell ref="BD47:BG47"/>
    <mergeCell ref="AM48:AP48"/>
    <mergeCell ref="AR48:BC48"/>
    <mergeCell ref="BD48:BG48"/>
    <mergeCell ref="A48:AL48"/>
    <mergeCell ref="W46:X46"/>
    <mergeCell ref="Y46:Z46"/>
    <mergeCell ref="AA46:AB46"/>
    <mergeCell ref="AC46:AD46"/>
    <mergeCell ref="AE46:AF46"/>
    <mergeCell ref="AG46:AH46"/>
    <mergeCell ref="AI46:AJ46"/>
    <mergeCell ref="A46:J46"/>
    <mergeCell ref="K46:L46"/>
    <mergeCell ref="AZ45:BA45"/>
    <mergeCell ref="BB45:BC45"/>
    <mergeCell ref="BD45:BE45"/>
    <mergeCell ref="BF45:BG45"/>
    <mergeCell ref="AK45:AL45"/>
    <mergeCell ref="AM45:AN45"/>
    <mergeCell ref="AO45:AP45"/>
    <mergeCell ref="AR45:AS45"/>
    <mergeCell ref="AT45:AU45"/>
    <mergeCell ref="AV45:AW45"/>
    <mergeCell ref="AX45:AY45"/>
    <mergeCell ref="A45:J45"/>
    <mergeCell ref="K45:L45"/>
    <mergeCell ref="M45:N45"/>
    <mergeCell ref="O45:P45"/>
    <mergeCell ref="Q45:R45"/>
    <mergeCell ref="S45:T45"/>
    <mergeCell ref="U45:V45"/>
    <mergeCell ref="M46:N46"/>
    <mergeCell ref="O46:P46"/>
    <mergeCell ref="Q46:R46"/>
    <mergeCell ref="S46:T46"/>
    <mergeCell ref="U46:V46"/>
    <mergeCell ref="W45:X45"/>
    <mergeCell ref="Y45:Z45"/>
    <mergeCell ref="AA45:AB45"/>
    <mergeCell ref="AC45:AD45"/>
    <mergeCell ref="AE45:AF45"/>
    <mergeCell ref="AG45:AH45"/>
    <mergeCell ref="AI45:AJ45"/>
    <mergeCell ref="AZ43:BA43"/>
    <mergeCell ref="BB43:BC43"/>
    <mergeCell ref="BD43:BE43"/>
    <mergeCell ref="BF43:BG43"/>
    <mergeCell ref="AZ44:BA44"/>
    <mergeCell ref="BB44:BC44"/>
    <mergeCell ref="BD44:BE44"/>
    <mergeCell ref="BF44:BG44"/>
    <mergeCell ref="AR43:AS43"/>
    <mergeCell ref="AR44:AS44"/>
    <mergeCell ref="AX43:AY43"/>
    <mergeCell ref="AO44:AP44"/>
    <mergeCell ref="AX44:AY44"/>
    <mergeCell ref="AK44:AL44"/>
    <mergeCell ref="AM44:AN44"/>
    <mergeCell ref="W44:X44"/>
    <mergeCell ref="Y44:Z44"/>
    <mergeCell ref="AA44:AB44"/>
    <mergeCell ref="AC44:AD44"/>
    <mergeCell ref="AE44:AF44"/>
    <mergeCell ref="A44:J44"/>
    <mergeCell ref="K44:L44"/>
    <mergeCell ref="M44:N44"/>
    <mergeCell ref="O44:P44"/>
    <mergeCell ref="Q44:R44"/>
    <mergeCell ref="S44:T44"/>
    <mergeCell ref="U44:V44"/>
    <mergeCell ref="AZ42:BA42"/>
    <mergeCell ref="BB42:BC42"/>
    <mergeCell ref="BD42:BE42"/>
    <mergeCell ref="BF42:BG42"/>
    <mergeCell ref="AK42:AL42"/>
    <mergeCell ref="AM42:AN42"/>
    <mergeCell ref="AO42:AP42"/>
    <mergeCell ref="AR42:AS42"/>
    <mergeCell ref="AT42:AU42"/>
    <mergeCell ref="AV42:AW42"/>
    <mergeCell ref="AX42:AY42"/>
    <mergeCell ref="A42:J42"/>
    <mergeCell ref="K42:L42"/>
    <mergeCell ref="M42:N42"/>
    <mergeCell ref="O42:P42"/>
    <mergeCell ref="Q42:R42"/>
    <mergeCell ref="S42:T42"/>
    <mergeCell ref="U42:V42"/>
    <mergeCell ref="AT44:AU44"/>
    <mergeCell ref="AV44:AW44"/>
    <mergeCell ref="AK43:AL43"/>
    <mergeCell ref="AM43:AN43"/>
    <mergeCell ref="AO43:AP43"/>
    <mergeCell ref="AT43:AU43"/>
    <mergeCell ref="AV43:AW43"/>
    <mergeCell ref="W42:X42"/>
    <mergeCell ref="Y42:Z42"/>
    <mergeCell ref="AA42:AB42"/>
    <mergeCell ref="AC42:AD42"/>
    <mergeCell ref="AE42:AF42"/>
    <mergeCell ref="AG42:AH42"/>
    <mergeCell ref="AI42:AJ42"/>
    <mergeCell ref="W43:X43"/>
    <mergeCell ref="Y43:Z43"/>
    <mergeCell ref="AA43:AB43"/>
    <mergeCell ref="AC43:AD43"/>
    <mergeCell ref="AE43:AF43"/>
    <mergeCell ref="AG43:AH43"/>
    <mergeCell ref="AI43:AJ43"/>
    <mergeCell ref="A43:J43"/>
    <mergeCell ref="K43:L43"/>
    <mergeCell ref="M43:N43"/>
    <mergeCell ref="O43:P43"/>
    <mergeCell ref="Q43:R43"/>
    <mergeCell ref="S43:T43"/>
    <mergeCell ref="U43:V43"/>
    <mergeCell ref="AG44:AH44"/>
    <mergeCell ref="AI44:AJ44"/>
    <mergeCell ref="AZ40:BA40"/>
    <mergeCell ref="BB40:BC40"/>
    <mergeCell ref="BD40:BE40"/>
    <mergeCell ref="BF40:BG40"/>
    <mergeCell ref="AZ41:BA41"/>
    <mergeCell ref="BB41:BC41"/>
    <mergeCell ref="BD41:BE41"/>
    <mergeCell ref="BF41:BG41"/>
    <mergeCell ref="AR40:AS40"/>
    <mergeCell ref="AR41:AS41"/>
    <mergeCell ref="A41:J41"/>
    <mergeCell ref="K41:L41"/>
    <mergeCell ref="M41:N41"/>
    <mergeCell ref="O41:P41"/>
    <mergeCell ref="Q41:R41"/>
    <mergeCell ref="S41:T41"/>
    <mergeCell ref="U41:V41"/>
    <mergeCell ref="AK41:AL41"/>
    <mergeCell ref="AM41:AN41"/>
    <mergeCell ref="W41:X41"/>
    <mergeCell ref="Y41:Z41"/>
    <mergeCell ref="AA41:AB41"/>
    <mergeCell ref="AC41:AD41"/>
    <mergeCell ref="AE41:AF41"/>
    <mergeCell ref="AG41:AH41"/>
    <mergeCell ref="AI41:AJ41"/>
    <mergeCell ref="AT41:AU41"/>
    <mergeCell ref="AV41:AW41"/>
    <mergeCell ref="AK40:AL40"/>
    <mergeCell ref="AM40:AN40"/>
    <mergeCell ref="AI39:AJ39"/>
    <mergeCell ref="AZ39:BA39"/>
    <mergeCell ref="BB39:BC39"/>
    <mergeCell ref="BD39:BE39"/>
    <mergeCell ref="BF39:BG39"/>
    <mergeCell ref="AK39:AL39"/>
    <mergeCell ref="AM39:AN39"/>
    <mergeCell ref="AO39:AP39"/>
    <mergeCell ref="AR39:AS39"/>
    <mergeCell ref="AT39:AU39"/>
    <mergeCell ref="AV39:AW39"/>
    <mergeCell ref="AX39:AY39"/>
    <mergeCell ref="A39:J39"/>
    <mergeCell ref="K39:L39"/>
    <mergeCell ref="M39:N39"/>
    <mergeCell ref="O39:P39"/>
    <mergeCell ref="Q39:R39"/>
    <mergeCell ref="S39:T39"/>
    <mergeCell ref="U39:V39"/>
    <mergeCell ref="AO40:AP40"/>
    <mergeCell ref="AT40:AU40"/>
    <mergeCell ref="AV40:AW40"/>
    <mergeCell ref="AX40:AY40"/>
    <mergeCell ref="AO41:AP41"/>
    <mergeCell ref="AX41:AY41"/>
    <mergeCell ref="BF38:BG38"/>
    <mergeCell ref="AK38:AL38"/>
    <mergeCell ref="AM38:AN38"/>
    <mergeCell ref="AO38:AP38"/>
    <mergeCell ref="AR38:AS38"/>
    <mergeCell ref="AT38:AU38"/>
    <mergeCell ref="AV38:AW38"/>
    <mergeCell ref="AX38:AY38"/>
    <mergeCell ref="A38:J38"/>
    <mergeCell ref="K38:L38"/>
    <mergeCell ref="M38:N38"/>
    <mergeCell ref="O38:P38"/>
    <mergeCell ref="Q38:R38"/>
    <mergeCell ref="S38:T38"/>
    <mergeCell ref="U38:V38"/>
    <mergeCell ref="W40:X40"/>
    <mergeCell ref="Y40:Z40"/>
    <mergeCell ref="AA40:AB40"/>
    <mergeCell ref="AC40:AD40"/>
    <mergeCell ref="AE40:AF40"/>
    <mergeCell ref="AG40:AH40"/>
    <mergeCell ref="AI40:AJ40"/>
    <mergeCell ref="A40:J40"/>
    <mergeCell ref="K40:L40"/>
    <mergeCell ref="M40:N40"/>
    <mergeCell ref="O40:P40"/>
    <mergeCell ref="Q40:R40"/>
    <mergeCell ref="S40:T40"/>
    <mergeCell ref="U40:V40"/>
    <mergeCell ref="W39:X39"/>
    <mergeCell ref="Y39:Z39"/>
    <mergeCell ref="AA39:AB39"/>
    <mergeCell ref="A36:J37"/>
    <mergeCell ref="K36:N36"/>
    <mergeCell ref="O36:R36"/>
    <mergeCell ref="S36:V36"/>
    <mergeCell ref="W36:Z36"/>
    <mergeCell ref="AA36:AD36"/>
    <mergeCell ref="AE36:AH36"/>
    <mergeCell ref="W38:X38"/>
    <mergeCell ref="Y38:Z38"/>
    <mergeCell ref="AA38:AB38"/>
    <mergeCell ref="AC38:AD38"/>
    <mergeCell ref="AE38:AF38"/>
    <mergeCell ref="AG38:AH38"/>
    <mergeCell ref="AE37:AF37"/>
    <mergeCell ref="AG37:AH37"/>
    <mergeCell ref="AC39:AD39"/>
    <mergeCell ref="AE39:AF39"/>
    <mergeCell ref="AG39:AH39"/>
    <mergeCell ref="AI38:AJ38"/>
    <mergeCell ref="AZ38:BA38"/>
    <mergeCell ref="BB38:BC38"/>
    <mergeCell ref="BD38:BE38"/>
    <mergeCell ref="AI36:AL36"/>
    <mergeCell ref="AM36:AP36"/>
    <mergeCell ref="AR36:AU36"/>
    <mergeCell ref="AV36:AY36"/>
    <mergeCell ref="AZ36:BC36"/>
    <mergeCell ref="BD36:BG36"/>
    <mergeCell ref="K37:L37"/>
    <mergeCell ref="M37:N37"/>
    <mergeCell ref="O37:P37"/>
    <mergeCell ref="Q37:R37"/>
    <mergeCell ref="S37:T37"/>
    <mergeCell ref="U37:V37"/>
    <mergeCell ref="AT37:AU37"/>
    <mergeCell ref="AV37:AW37"/>
    <mergeCell ref="AX37:AY37"/>
    <mergeCell ref="AZ37:BA37"/>
    <mergeCell ref="BB37:BC37"/>
    <mergeCell ref="BD37:BE37"/>
    <mergeCell ref="BF37:BG37"/>
    <mergeCell ref="W37:X37"/>
    <mergeCell ref="Y37:Z37"/>
    <mergeCell ref="AI37:AJ37"/>
    <mergeCell ref="AK37:AL37"/>
    <mergeCell ref="AM37:AN37"/>
    <mergeCell ref="AO37:AP37"/>
    <mergeCell ref="AR37:AS37"/>
    <mergeCell ref="AA37:AB37"/>
    <mergeCell ref="AC37:AD37"/>
    <mergeCell ref="A34:AL34"/>
    <mergeCell ref="AM34:AP34"/>
    <mergeCell ref="AR34:BC34"/>
    <mergeCell ref="BD34:BG34"/>
    <mergeCell ref="A32:J32"/>
    <mergeCell ref="K32:L32"/>
    <mergeCell ref="M32:N32"/>
    <mergeCell ref="O32:P32"/>
    <mergeCell ref="Q32:R32"/>
    <mergeCell ref="S32:T32"/>
    <mergeCell ref="U32:V32"/>
    <mergeCell ref="A33:J33"/>
    <mergeCell ref="K33:L33"/>
    <mergeCell ref="M33:N33"/>
    <mergeCell ref="O33:P33"/>
    <mergeCell ref="Q33:R33"/>
    <mergeCell ref="S33:T33"/>
    <mergeCell ref="U33:V33"/>
    <mergeCell ref="AZ32:BA32"/>
    <mergeCell ref="BB32:BC32"/>
    <mergeCell ref="BD32:BE32"/>
    <mergeCell ref="BF32:BG32"/>
    <mergeCell ref="AK32:AL32"/>
    <mergeCell ref="AM32:AN32"/>
    <mergeCell ref="AO32:AP32"/>
    <mergeCell ref="AR32:AS32"/>
    <mergeCell ref="AT32:AU32"/>
    <mergeCell ref="AV32:AW32"/>
    <mergeCell ref="AX32:AY32"/>
    <mergeCell ref="AZ33:BA33"/>
    <mergeCell ref="BB33:BC33"/>
    <mergeCell ref="BD33:BE33"/>
    <mergeCell ref="BF33:BG33"/>
    <mergeCell ref="AK31:AL31"/>
    <mergeCell ref="AM31:AN31"/>
    <mergeCell ref="AO33:AP33"/>
    <mergeCell ref="AR33:AS33"/>
    <mergeCell ref="AT33:AU33"/>
    <mergeCell ref="AV33:AW33"/>
    <mergeCell ref="AX33:AY33"/>
    <mergeCell ref="AK33:AL33"/>
    <mergeCell ref="AM33:AN33"/>
    <mergeCell ref="W33:X33"/>
    <mergeCell ref="Y33:Z33"/>
    <mergeCell ref="AA33:AB33"/>
    <mergeCell ref="AC33:AD33"/>
    <mergeCell ref="AE33:AF33"/>
    <mergeCell ref="AG33:AH33"/>
    <mergeCell ref="AI33:AJ33"/>
    <mergeCell ref="W31:X31"/>
    <mergeCell ref="Y31:Z31"/>
    <mergeCell ref="AA31:AB31"/>
    <mergeCell ref="AC31:AD31"/>
    <mergeCell ref="AE31:AF31"/>
    <mergeCell ref="AG31:AH31"/>
    <mergeCell ref="AI31:AJ31"/>
    <mergeCell ref="W32:X32"/>
    <mergeCell ref="Y32:Z32"/>
    <mergeCell ref="AA32:AB32"/>
    <mergeCell ref="AC32:AD32"/>
    <mergeCell ref="AE32:AF32"/>
    <mergeCell ref="AG32:AH32"/>
    <mergeCell ref="AI32:AJ32"/>
    <mergeCell ref="O25:P25"/>
    <mergeCell ref="Q25:R25"/>
    <mergeCell ref="S25:T25"/>
    <mergeCell ref="U25:V25"/>
    <mergeCell ref="AK28:AL28"/>
    <mergeCell ref="AM28:AN28"/>
    <mergeCell ref="W28:X28"/>
    <mergeCell ref="Y28:Z28"/>
    <mergeCell ref="AA28:AB28"/>
    <mergeCell ref="AC28:AD28"/>
    <mergeCell ref="AE28:AF28"/>
    <mergeCell ref="AG28:AH28"/>
    <mergeCell ref="AI28:AJ28"/>
    <mergeCell ref="AT28:AU28"/>
    <mergeCell ref="AV28:AW28"/>
    <mergeCell ref="AK27:AL27"/>
    <mergeCell ref="AM27:AN27"/>
    <mergeCell ref="AO27:AP27"/>
    <mergeCell ref="AT27:AU27"/>
    <mergeCell ref="AV27:AW27"/>
    <mergeCell ref="AO28:AP28"/>
    <mergeCell ref="S26:T26"/>
    <mergeCell ref="U26:V26"/>
    <mergeCell ref="W26:X26"/>
    <mergeCell ref="Y26:Z26"/>
    <mergeCell ref="AA26:AB26"/>
    <mergeCell ref="AC26:AD26"/>
    <mergeCell ref="AE26:AF26"/>
    <mergeCell ref="AG26:AH26"/>
    <mergeCell ref="AI26:AJ26"/>
    <mergeCell ref="AM23:AP23"/>
    <mergeCell ref="AR23:AU23"/>
    <mergeCell ref="BD24:BE24"/>
    <mergeCell ref="BF24:BG24"/>
    <mergeCell ref="A20:W20"/>
    <mergeCell ref="A21:BG21"/>
    <mergeCell ref="A22:BG22"/>
    <mergeCell ref="A23:J24"/>
    <mergeCell ref="O23:R23"/>
    <mergeCell ref="S23:V23"/>
    <mergeCell ref="BD23:BG23"/>
    <mergeCell ref="W25:X25"/>
    <mergeCell ref="Y25:Z25"/>
    <mergeCell ref="AA25:AB25"/>
    <mergeCell ref="AC25:AD25"/>
    <mergeCell ref="AE25:AF25"/>
    <mergeCell ref="AG25:AH25"/>
    <mergeCell ref="AI25:AJ25"/>
    <mergeCell ref="AZ25:BA25"/>
    <mergeCell ref="BB25:BC25"/>
    <mergeCell ref="BD25:BE25"/>
    <mergeCell ref="BF25:BG25"/>
    <mergeCell ref="AK25:AL25"/>
    <mergeCell ref="AM25:AN25"/>
    <mergeCell ref="AO25:AP25"/>
    <mergeCell ref="AR25:AS25"/>
    <mergeCell ref="AT25:AU25"/>
    <mergeCell ref="AV25:AW25"/>
    <mergeCell ref="AX25:AY25"/>
    <mergeCell ref="A25:J25"/>
    <mergeCell ref="K25:L25"/>
    <mergeCell ref="M25:N25"/>
    <mergeCell ref="A19:W19"/>
    <mergeCell ref="X19:AE19"/>
    <mergeCell ref="X20:AE20"/>
    <mergeCell ref="W23:Z23"/>
    <mergeCell ref="AA23:AD23"/>
    <mergeCell ref="AE23:AH23"/>
    <mergeCell ref="AI23:AL23"/>
    <mergeCell ref="AV23:AY23"/>
    <mergeCell ref="AZ23:BC23"/>
    <mergeCell ref="K23:N23"/>
    <mergeCell ref="K24:L24"/>
    <mergeCell ref="M24:N24"/>
    <mergeCell ref="O24:P24"/>
    <mergeCell ref="Q24:R24"/>
    <mergeCell ref="S24:T24"/>
    <mergeCell ref="U24:V24"/>
    <mergeCell ref="W24:X24"/>
    <mergeCell ref="Y24:Z24"/>
    <mergeCell ref="AA24:AB24"/>
    <mergeCell ref="AC24:AD24"/>
    <mergeCell ref="AE24:AF24"/>
    <mergeCell ref="AG24:AH24"/>
    <mergeCell ref="AI24:AJ24"/>
    <mergeCell ref="AK24:AL24"/>
    <mergeCell ref="AM24:AN24"/>
    <mergeCell ref="AO24:AP24"/>
    <mergeCell ref="AR24:AS24"/>
    <mergeCell ref="AT24:AU24"/>
    <mergeCell ref="AV24:AW24"/>
    <mergeCell ref="AX24:AY24"/>
    <mergeCell ref="AZ24:BA24"/>
    <mergeCell ref="BB24:BC24"/>
    <mergeCell ref="A9:AN9"/>
    <mergeCell ref="A10:BG10"/>
    <mergeCell ref="A11:BG11"/>
    <mergeCell ref="A12:W12"/>
    <mergeCell ref="X12:AE12"/>
    <mergeCell ref="X13:AE13"/>
    <mergeCell ref="A13:W13"/>
    <mergeCell ref="A14:W14"/>
    <mergeCell ref="X14:AE14"/>
    <mergeCell ref="A15:W15"/>
    <mergeCell ref="X15:AE15"/>
    <mergeCell ref="A16:W16"/>
    <mergeCell ref="X16:AE16"/>
    <mergeCell ref="A17:W17"/>
    <mergeCell ref="X17:AE17"/>
    <mergeCell ref="A18:W18"/>
    <mergeCell ref="X18:AE18"/>
    <mergeCell ref="A1:AU1"/>
    <mergeCell ref="A2:AU2"/>
    <mergeCell ref="A3:AU3"/>
    <mergeCell ref="A4:J4"/>
    <mergeCell ref="K4:U4"/>
    <mergeCell ref="W4:AE4"/>
    <mergeCell ref="AF4:AU4"/>
    <mergeCell ref="W6:AE6"/>
    <mergeCell ref="W7:AE7"/>
    <mergeCell ref="W8:AE8"/>
    <mergeCell ref="A6:J7"/>
    <mergeCell ref="A8:J8"/>
    <mergeCell ref="K8:R8"/>
    <mergeCell ref="S8:U8"/>
    <mergeCell ref="A5:J5"/>
    <mergeCell ref="K5:U5"/>
    <mergeCell ref="W5:AE5"/>
    <mergeCell ref="AF5:AU5"/>
    <mergeCell ref="K6:U7"/>
    <mergeCell ref="AF6:AU6"/>
    <mergeCell ref="AF7:AU7"/>
    <mergeCell ref="AF8:AU8"/>
    <mergeCell ref="A29:J29"/>
    <mergeCell ref="K29:L29"/>
    <mergeCell ref="M29:N29"/>
    <mergeCell ref="O29:P29"/>
    <mergeCell ref="Q29:R29"/>
    <mergeCell ref="S29:T29"/>
    <mergeCell ref="U29:V29"/>
    <mergeCell ref="AZ30:BA30"/>
    <mergeCell ref="BB30:BC30"/>
    <mergeCell ref="BD30:BE30"/>
    <mergeCell ref="BF30:BG30"/>
    <mergeCell ref="AZ31:BA31"/>
    <mergeCell ref="BB31:BC31"/>
    <mergeCell ref="BD31:BE31"/>
    <mergeCell ref="BF31:BG31"/>
    <mergeCell ref="A31:J31"/>
    <mergeCell ref="K31:L31"/>
    <mergeCell ref="M31:N31"/>
    <mergeCell ref="O31:P31"/>
    <mergeCell ref="Q31:R31"/>
    <mergeCell ref="S31:T31"/>
    <mergeCell ref="U31:V31"/>
    <mergeCell ref="AR30:AS30"/>
    <mergeCell ref="AR31:AS31"/>
    <mergeCell ref="AX30:AY30"/>
    <mergeCell ref="AO31:AP31"/>
    <mergeCell ref="AX31:AY31"/>
    <mergeCell ref="W29:X29"/>
    <mergeCell ref="Y29:Z29"/>
    <mergeCell ref="AA29:AB29"/>
    <mergeCell ref="AC29:AD29"/>
    <mergeCell ref="AE29:AF29"/>
    <mergeCell ref="AI29:AJ29"/>
    <mergeCell ref="AZ29:BA29"/>
    <mergeCell ref="BB29:BC29"/>
    <mergeCell ref="BD29:BE29"/>
    <mergeCell ref="BF29:BG29"/>
    <mergeCell ref="AK29:AL29"/>
    <mergeCell ref="AM29:AN29"/>
    <mergeCell ref="AO29:AP29"/>
    <mergeCell ref="AR29:AS29"/>
    <mergeCell ref="AT29:AU29"/>
    <mergeCell ref="AV29:AW29"/>
    <mergeCell ref="AX29:AY29"/>
    <mergeCell ref="W30:X30"/>
    <mergeCell ref="Y30:Z30"/>
    <mergeCell ref="AA30:AB30"/>
    <mergeCell ref="AC30:AD30"/>
    <mergeCell ref="AE30:AF30"/>
    <mergeCell ref="AG30:AH30"/>
    <mergeCell ref="AI30:AJ30"/>
    <mergeCell ref="A30:J30"/>
    <mergeCell ref="K30:L30"/>
    <mergeCell ref="M30:N30"/>
    <mergeCell ref="O30:P30"/>
    <mergeCell ref="Q30:R30"/>
    <mergeCell ref="S30:T30"/>
    <mergeCell ref="U30:V30"/>
    <mergeCell ref="AT31:AU31"/>
    <mergeCell ref="AV31:AW31"/>
    <mergeCell ref="AK30:AL30"/>
    <mergeCell ref="AM30:AN30"/>
    <mergeCell ref="AO30:AP30"/>
    <mergeCell ref="AT30:AU30"/>
    <mergeCell ref="AV30:AW30"/>
    <mergeCell ref="AZ27:BA27"/>
    <mergeCell ref="BB27:BC27"/>
    <mergeCell ref="BD27:BE27"/>
    <mergeCell ref="W27:X27"/>
    <mergeCell ref="Y27:Z27"/>
    <mergeCell ref="AA27:AB27"/>
    <mergeCell ref="AC27:AD27"/>
    <mergeCell ref="AE27:AF27"/>
    <mergeCell ref="AG27:AH27"/>
    <mergeCell ref="AI27:AJ27"/>
    <mergeCell ref="A27:J27"/>
    <mergeCell ref="K27:L27"/>
    <mergeCell ref="M27:N27"/>
    <mergeCell ref="O27:P27"/>
    <mergeCell ref="Q27:R27"/>
    <mergeCell ref="S27:T27"/>
    <mergeCell ref="U27:V27"/>
    <mergeCell ref="AG29:AH29"/>
    <mergeCell ref="BF27:BG27"/>
    <mergeCell ref="AZ28:BA28"/>
    <mergeCell ref="BB28:BC28"/>
    <mergeCell ref="BD28:BE28"/>
    <mergeCell ref="BF28:BG28"/>
    <mergeCell ref="AR27:AS27"/>
    <mergeCell ref="AR28:AS28"/>
    <mergeCell ref="A28:J28"/>
    <mergeCell ref="K28:L28"/>
    <mergeCell ref="M28:N28"/>
    <mergeCell ref="O28:P28"/>
    <mergeCell ref="Q28:R28"/>
    <mergeCell ref="S28:T28"/>
    <mergeCell ref="U28:V28"/>
    <mergeCell ref="AX27:AY27"/>
    <mergeCell ref="AX28:AY28"/>
    <mergeCell ref="AZ26:BA26"/>
    <mergeCell ref="BB26:BC26"/>
    <mergeCell ref="BD26:BE26"/>
    <mergeCell ref="BF26:BG26"/>
    <mergeCell ref="AK26:AL26"/>
    <mergeCell ref="AM26:AN26"/>
    <mergeCell ref="AO26:AP26"/>
    <mergeCell ref="AR26:AS26"/>
    <mergeCell ref="AT26:AU26"/>
    <mergeCell ref="AV26:AW26"/>
    <mergeCell ref="AX26:AY26"/>
    <mergeCell ref="A26:J26"/>
    <mergeCell ref="K26:L26"/>
    <mergeCell ref="M26:N26"/>
    <mergeCell ref="O26:P26"/>
    <mergeCell ref="Q26:R26"/>
    <mergeCell ref="AD183:AL183"/>
    <mergeCell ref="AM183:AU183"/>
    <mergeCell ref="A181:AC181"/>
    <mergeCell ref="AD181:AL181"/>
    <mergeCell ref="AM181:AU181"/>
    <mergeCell ref="A182:AC182"/>
    <mergeCell ref="AD182:AL182"/>
    <mergeCell ref="AM182:AU182"/>
    <mergeCell ref="A183:AC183"/>
    <mergeCell ref="AD186:AL186"/>
    <mergeCell ref="AM186:AU186"/>
    <mergeCell ref="A187:AC187"/>
    <mergeCell ref="AD187:AL187"/>
    <mergeCell ref="AM187:AU187"/>
    <mergeCell ref="A188:AC188"/>
    <mergeCell ref="AD188:AL188"/>
    <mergeCell ref="AM188:AU188"/>
    <mergeCell ref="A184:AC184"/>
    <mergeCell ref="AD184:AL184"/>
    <mergeCell ref="AM184:AU184"/>
    <mergeCell ref="A185:AC185"/>
    <mergeCell ref="AD185:AL185"/>
    <mergeCell ref="AM185:AU185"/>
    <mergeCell ref="A186:AC186"/>
    <mergeCell ref="AG170:AP170"/>
    <mergeCell ref="AQ170:AW170"/>
    <mergeCell ref="A171:H171"/>
    <mergeCell ref="I171:L171"/>
    <mergeCell ref="M171:Q171"/>
    <mergeCell ref="R171:V171"/>
    <mergeCell ref="W171:AB171"/>
    <mergeCell ref="AG171:AP171"/>
    <mergeCell ref="AQ171:AW171"/>
    <mergeCell ref="A172:H172"/>
    <mergeCell ref="I172:L172"/>
    <mergeCell ref="M172:Q172"/>
    <mergeCell ref="R172:V172"/>
    <mergeCell ref="W172:AB172"/>
    <mergeCell ref="AG172:AP172"/>
    <mergeCell ref="AQ172:AW172"/>
    <mergeCell ref="AD180:AL180"/>
    <mergeCell ref="AM180:AU180"/>
    <mergeCell ref="A178:AC178"/>
    <mergeCell ref="AD178:AL178"/>
    <mergeCell ref="AM178:AU178"/>
    <mergeCell ref="A179:AC179"/>
    <mergeCell ref="AD179:AL179"/>
    <mergeCell ref="AM179:AU179"/>
    <mergeCell ref="A180:AC180"/>
    <mergeCell ref="A166:H166"/>
    <mergeCell ref="I166:L166"/>
    <mergeCell ref="M166:Q166"/>
    <mergeCell ref="R166:V166"/>
    <mergeCell ref="W166:AB166"/>
    <mergeCell ref="AG166:AP166"/>
    <mergeCell ref="AQ166:AW166"/>
    <mergeCell ref="A167:H167"/>
    <mergeCell ref="I167:L167"/>
    <mergeCell ref="M167:Q167"/>
    <mergeCell ref="R167:V167"/>
    <mergeCell ref="W167:AB167"/>
    <mergeCell ref="AG167:AP167"/>
    <mergeCell ref="AQ167:AW167"/>
    <mergeCell ref="A168:H168"/>
    <mergeCell ref="I168:L168"/>
    <mergeCell ref="M168:Q168"/>
    <mergeCell ref="R168:V168"/>
    <mergeCell ref="W168:AB168"/>
    <mergeCell ref="AG168:AP168"/>
    <mergeCell ref="AQ168:AW168"/>
    <mergeCell ref="AG162:AP162"/>
    <mergeCell ref="AQ162:AW162"/>
    <mergeCell ref="A163:H163"/>
    <mergeCell ref="I163:L163"/>
    <mergeCell ref="M163:Q163"/>
    <mergeCell ref="R163:V163"/>
    <mergeCell ref="W163:AB163"/>
    <mergeCell ref="AG163:AP163"/>
    <mergeCell ref="AQ163:AW163"/>
    <mergeCell ref="A164:H164"/>
    <mergeCell ref="I164:L164"/>
    <mergeCell ref="M164:Q164"/>
    <mergeCell ref="R164:V164"/>
    <mergeCell ref="W164:AB164"/>
    <mergeCell ref="AG164:AP164"/>
    <mergeCell ref="AQ164:AW164"/>
    <mergeCell ref="A165:H165"/>
    <mergeCell ref="I165:L165"/>
    <mergeCell ref="M165:Q165"/>
    <mergeCell ref="R165:V165"/>
    <mergeCell ref="W165:AB165"/>
    <mergeCell ref="AG165:AP165"/>
    <mergeCell ref="AQ165:AW165"/>
    <mergeCell ref="AF154:AL154"/>
    <mergeCell ref="X155:AE155"/>
    <mergeCell ref="AF155:AL155"/>
    <mergeCell ref="AG158:AW158"/>
    <mergeCell ref="A150:U150"/>
    <mergeCell ref="X150:AR150"/>
    <mergeCell ref="A152:H152"/>
    <mergeCell ref="I152:O152"/>
    <mergeCell ref="AF152:AL152"/>
    <mergeCell ref="I153:O153"/>
    <mergeCell ref="AF153:AL153"/>
    <mergeCell ref="R159:V159"/>
    <mergeCell ref="W159:AB159"/>
    <mergeCell ref="AG159:AW159"/>
    <mergeCell ref="AG160:AP160"/>
    <mergeCell ref="AQ160:AW160"/>
    <mergeCell ref="A173:V173"/>
    <mergeCell ref="W173:AB173"/>
    <mergeCell ref="AG173:AP173"/>
    <mergeCell ref="AQ173:AW173"/>
    <mergeCell ref="A161:H161"/>
    <mergeCell ref="I161:L161"/>
    <mergeCell ref="M161:Q161"/>
    <mergeCell ref="R161:V161"/>
    <mergeCell ref="W161:AB161"/>
    <mergeCell ref="AG161:AP161"/>
    <mergeCell ref="AQ161:AW161"/>
    <mergeCell ref="A162:H162"/>
    <mergeCell ref="I162:L162"/>
    <mergeCell ref="M162:Q162"/>
    <mergeCell ref="R162:V162"/>
    <mergeCell ref="W162:AB162"/>
    <mergeCell ref="AV183:BD183"/>
    <mergeCell ref="A153:H153"/>
    <mergeCell ref="A154:H154"/>
    <mergeCell ref="I154:O154"/>
    <mergeCell ref="A155:H155"/>
    <mergeCell ref="I155:O155"/>
    <mergeCell ref="A158:AB158"/>
    <mergeCell ref="A159:H159"/>
    <mergeCell ref="I159:L159"/>
    <mergeCell ref="M159:Q159"/>
    <mergeCell ref="A160:H160"/>
    <mergeCell ref="I160:L160"/>
    <mergeCell ref="M160:Q160"/>
    <mergeCell ref="R160:V160"/>
    <mergeCell ref="W160:AB160"/>
    <mergeCell ref="A139:V139"/>
    <mergeCell ref="A143:U143"/>
    <mergeCell ref="X143:AR143"/>
    <mergeCell ref="A145:H145"/>
    <mergeCell ref="I145:O145"/>
    <mergeCell ref="X145:AE145"/>
    <mergeCell ref="AF145:AL145"/>
    <mergeCell ref="A146:H146"/>
    <mergeCell ref="I146:O146"/>
    <mergeCell ref="X146:AE146"/>
    <mergeCell ref="AF146:AL146"/>
    <mergeCell ref="I147:O147"/>
    <mergeCell ref="X147:AE147"/>
    <mergeCell ref="AF147:AL147"/>
    <mergeCell ref="X152:AE152"/>
    <mergeCell ref="X153:AE153"/>
    <mergeCell ref="X154:AE154"/>
    <mergeCell ref="BA172:BJ172"/>
    <mergeCell ref="BA173:BJ173"/>
    <mergeCell ref="BK173:BQ173"/>
    <mergeCell ref="A175:CV175"/>
    <mergeCell ref="BA169:BJ169"/>
    <mergeCell ref="BK169:BQ169"/>
    <mergeCell ref="BA170:BJ170"/>
    <mergeCell ref="BK170:BQ170"/>
    <mergeCell ref="BA171:BJ171"/>
    <mergeCell ref="BK171:BQ171"/>
    <mergeCell ref="BK172:BQ172"/>
    <mergeCell ref="AV177:BD177"/>
    <mergeCell ref="AV178:BD178"/>
    <mergeCell ref="AV179:BD179"/>
    <mergeCell ref="AV180:BD180"/>
    <mergeCell ref="AV181:BD181"/>
    <mergeCell ref="AV182:BD182"/>
    <mergeCell ref="A177:AC177"/>
    <mergeCell ref="AD177:AL177"/>
    <mergeCell ref="AM177:AU177"/>
    <mergeCell ref="A169:H169"/>
    <mergeCell ref="I169:L169"/>
    <mergeCell ref="M169:Q169"/>
    <mergeCell ref="R169:V169"/>
    <mergeCell ref="W169:AB169"/>
    <mergeCell ref="AG169:AP169"/>
    <mergeCell ref="AQ169:AW169"/>
    <mergeCell ref="A170:H170"/>
    <mergeCell ref="I170:L170"/>
    <mergeCell ref="M170:Q170"/>
    <mergeCell ref="R170:V170"/>
    <mergeCell ref="W170:AB170"/>
    <mergeCell ref="BA160:BJ160"/>
    <mergeCell ref="BK160:BQ160"/>
    <mergeCell ref="BA161:BJ161"/>
    <mergeCell ref="BK161:BQ161"/>
    <mergeCell ref="BA162:BJ162"/>
    <mergeCell ref="BK162:BQ162"/>
    <mergeCell ref="BA163:BJ163"/>
    <mergeCell ref="BK163:BQ163"/>
    <mergeCell ref="BA164:BJ164"/>
    <mergeCell ref="BK164:BQ164"/>
    <mergeCell ref="BK165:BQ165"/>
    <mergeCell ref="BA165:BJ165"/>
    <mergeCell ref="BA166:BJ166"/>
    <mergeCell ref="BK166:BQ166"/>
    <mergeCell ref="BA167:BJ167"/>
    <mergeCell ref="BK167:BQ167"/>
    <mergeCell ref="BA168:BJ168"/>
    <mergeCell ref="BK168:BQ168"/>
    <mergeCell ref="AU150:BO150"/>
    <mergeCell ref="AU151:BI151"/>
    <mergeCell ref="AV184:BD184"/>
    <mergeCell ref="AV185:BD185"/>
    <mergeCell ref="AV186:BD186"/>
    <mergeCell ref="AV187:BD187"/>
    <mergeCell ref="AV188:BD188"/>
    <mergeCell ref="A191:CV191"/>
    <mergeCell ref="K193:S193"/>
    <mergeCell ref="A197:J197"/>
    <mergeCell ref="K197:S197"/>
    <mergeCell ref="A198:J198"/>
    <mergeCell ref="K198:S198"/>
    <mergeCell ref="A199:J199"/>
    <mergeCell ref="K199:S199"/>
    <mergeCell ref="A193:J193"/>
    <mergeCell ref="A194:J194"/>
    <mergeCell ref="K194:S194"/>
    <mergeCell ref="A195:J195"/>
    <mergeCell ref="K195:S195"/>
    <mergeCell ref="A196:J196"/>
    <mergeCell ref="K196:S196"/>
    <mergeCell ref="AU152:BB152"/>
    <mergeCell ref="BC152:BI152"/>
    <mergeCell ref="AU153:BB153"/>
    <mergeCell ref="BC153:BI153"/>
    <mergeCell ref="AU154:BB154"/>
    <mergeCell ref="BC154:BI154"/>
    <mergeCell ref="AU155:BB155"/>
    <mergeCell ref="BC155:BI155"/>
    <mergeCell ref="BA158:BQ158"/>
    <mergeCell ref="BA159:BQ159"/>
    <mergeCell ref="AI130:AN130"/>
    <mergeCell ref="AO130:AT130"/>
    <mergeCell ref="AU130:AZ130"/>
    <mergeCell ref="BA130:BF130"/>
    <mergeCell ref="BG133:BL133"/>
    <mergeCell ref="BM133:BR133"/>
    <mergeCell ref="BS133:BX133"/>
    <mergeCell ref="A133:V133"/>
    <mergeCell ref="W133:AB133"/>
    <mergeCell ref="AC133:AH133"/>
    <mergeCell ref="AI133:AN133"/>
    <mergeCell ref="AO133:AT133"/>
    <mergeCell ref="AU133:AZ133"/>
    <mergeCell ref="BA133:BF133"/>
    <mergeCell ref="A147:H147"/>
    <mergeCell ref="A148:H148"/>
    <mergeCell ref="I148:O148"/>
    <mergeCell ref="X148:AE148"/>
    <mergeCell ref="AF148:AL148"/>
    <mergeCell ref="BG134:BL134"/>
    <mergeCell ref="BM134:BR134"/>
    <mergeCell ref="BS134:BX134"/>
    <mergeCell ref="A134:V134"/>
    <mergeCell ref="W134:AB134"/>
    <mergeCell ref="AC134:AH134"/>
    <mergeCell ref="AI134:AN134"/>
    <mergeCell ref="AO134:AT134"/>
    <mergeCell ref="AU134:AZ134"/>
    <mergeCell ref="BA134:BF134"/>
    <mergeCell ref="BG139:BL139"/>
    <mergeCell ref="BM139:BR139"/>
    <mergeCell ref="BS139:BX139"/>
    <mergeCell ref="W139:AB139"/>
    <mergeCell ref="AC139:AH139"/>
    <mergeCell ref="AI139:AN139"/>
    <mergeCell ref="AO139:AT139"/>
    <mergeCell ref="AU139:AZ139"/>
    <mergeCell ref="BA139:BF139"/>
    <mergeCell ref="A141:CV141"/>
    <mergeCell ref="BG129:BL129"/>
    <mergeCell ref="BM129:BR129"/>
    <mergeCell ref="BS129:BX129"/>
    <mergeCell ref="BY129:CD129"/>
    <mergeCell ref="CE129:CJ129"/>
    <mergeCell ref="CK129:CP129"/>
    <mergeCell ref="A129:V129"/>
    <mergeCell ref="W129:AB129"/>
    <mergeCell ref="AC129:AH129"/>
    <mergeCell ref="AI129:AN129"/>
    <mergeCell ref="AO129:AT129"/>
    <mergeCell ref="AU129:AZ129"/>
    <mergeCell ref="BA129:BF129"/>
    <mergeCell ref="BG130:BL130"/>
    <mergeCell ref="BM130:BR130"/>
    <mergeCell ref="BS130:BX130"/>
    <mergeCell ref="BY130:CD130"/>
    <mergeCell ref="CE130:CJ130"/>
    <mergeCell ref="CK130:CP130"/>
    <mergeCell ref="A130:V130"/>
    <mergeCell ref="W130:AB130"/>
    <mergeCell ref="AC130:AH130"/>
    <mergeCell ref="BG137:BL137"/>
    <mergeCell ref="BM137:BR137"/>
    <mergeCell ref="BS137:BX137"/>
    <mergeCell ref="A137:V137"/>
    <mergeCell ref="W137:AB137"/>
    <mergeCell ref="AC137:AH137"/>
    <mergeCell ref="AI137:AN137"/>
    <mergeCell ref="AO137:AT137"/>
    <mergeCell ref="AU137:AZ137"/>
    <mergeCell ref="BA137:BF137"/>
    <mergeCell ref="BG138:BL138"/>
    <mergeCell ref="BM138:BR138"/>
    <mergeCell ref="BS138:BX138"/>
    <mergeCell ref="A138:V138"/>
    <mergeCell ref="W138:AB138"/>
    <mergeCell ref="AC138:AH138"/>
    <mergeCell ref="AI138:AN138"/>
    <mergeCell ref="AO138:AT138"/>
    <mergeCell ref="AU138:AZ138"/>
    <mergeCell ref="BA138:BF138"/>
    <mergeCell ref="BG135:BL135"/>
    <mergeCell ref="BM135:BR135"/>
    <mergeCell ref="BS135:BX135"/>
    <mergeCell ref="A135:V135"/>
    <mergeCell ref="W135:AB135"/>
    <mergeCell ref="AC135:AH135"/>
    <mergeCell ref="AI135:AN135"/>
    <mergeCell ref="AO135:AT135"/>
    <mergeCell ref="AU135:AZ135"/>
    <mergeCell ref="BA135:BF135"/>
    <mergeCell ref="BG136:BL136"/>
    <mergeCell ref="BM136:BR136"/>
    <mergeCell ref="BS136:BX136"/>
    <mergeCell ref="A136:V136"/>
    <mergeCell ref="W136:AB136"/>
    <mergeCell ref="AC136:AH136"/>
    <mergeCell ref="AI136:AN136"/>
    <mergeCell ref="AO136:AT136"/>
    <mergeCell ref="AU136:AZ136"/>
    <mergeCell ref="BA136:BF136"/>
  </mergeCells>
  <pageMargins left="0.25" right="0.25" top="0.75" bottom="0.75" header="0" footer="0"/>
  <pageSetup paperSize="5"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900-000000000000}">
          <x14:formula1>
            <xm:f>'Drop-Down Boxes '!$D$3:$D$14</xm:f>
          </x14:formula1>
          <xm:sqref>K8</xm:sqref>
        </x14:dataValidation>
        <x14:dataValidation type="list" allowBlank="1" showErrorMessage="1" xr:uid="{00000000-0002-0000-0900-000001000000}">
          <x14:formula1>
            <xm:f>'Drop-Down Boxes '!$H$3:$H$5</xm:f>
          </x14:formula1>
          <xm:sqref>S8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W1000"/>
  <sheetViews>
    <sheetView workbookViewId="0"/>
  </sheetViews>
  <sheetFormatPr defaultColWidth="14.42578125" defaultRowHeight="15" customHeight="1" x14ac:dyDescent="0.25"/>
  <cols>
    <col min="1" max="75" width="8.7109375" customWidth="1"/>
  </cols>
  <sheetData>
    <row r="2" spans="1:75" x14ac:dyDescent="0.25">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row>
    <row r="3" spans="1:75" ht="18.75" x14ac:dyDescent="0.25">
      <c r="A3" s="886" t="s">
        <v>706</v>
      </c>
      <c r="B3" s="326"/>
      <c r="C3" s="326"/>
      <c r="D3" s="326"/>
      <c r="E3" s="326"/>
      <c r="F3" s="326"/>
      <c r="G3" s="326"/>
      <c r="H3" s="326"/>
      <c r="I3" s="326"/>
      <c r="J3" s="326"/>
      <c r="K3" s="326"/>
      <c r="L3" s="326"/>
      <c r="M3" s="326"/>
      <c r="N3" s="326"/>
      <c r="O3" s="326"/>
      <c r="P3" s="326"/>
      <c r="Q3" s="326"/>
      <c r="R3" s="326"/>
      <c r="S3" s="326"/>
      <c r="T3" s="326"/>
      <c r="U3" s="326"/>
      <c r="V3" s="327"/>
      <c r="W3" s="887" t="s">
        <v>707</v>
      </c>
      <c r="X3" s="326"/>
      <c r="Y3" s="326"/>
      <c r="Z3" s="326"/>
      <c r="AA3" s="326"/>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c r="BA3" s="326"/>
      <c r="BB3" s="326"/>
      <c r="BC3" s="326"/>
      <c r="BD3" s="326"/>
      <c r="BE3" s="326"/>
      <c r="BF3" s="326"/>
      <c r="BG3" s="326"/>
      <c r="BH3" s="326"/>
      <c r="BI3" s="326"/>
      <c r="BJ3" s="326"/>
      <c r="BK3" s="326"/>
      <c r="BL3" s="326"/>
      <c r="BM3" s="326"/>
      <c r="BN3" s="326"/>
      <c r="BO3" s="326"/>
      <c r="BP3" s="326"/>
      <c r="BQ3" s="326"/>
      <c r="BR3" s="326"/>
      <c r="BS3" s="326"/>
      <c r="BT3" s="326"/>
      <c r="BU3" s="326"/>
      <c r="BV3" s="327"/>
      <c r="BW3" s="163"/>
    </row>
    <row r="4" spans="1:75" x14ac:dyDescent="0.25">
      <c r="A4" s="887" t="s">
        <v>668</v>
      </c>
      <c r="B4" s="326"/>
      <c r="C4" s="326"/>
      <c r="D4" s="326"/>
      <c r="E4" s="326"/>
      <c r="F4" s="326"/>
      <c r="G4" s="326"/>
      <c r="H4" s="327"/>
      <c r="I4" s="887" t="s">
        <v>669</v>
      </c>
      <c r="J4" s="326"/>
      <c r="K4" s="326"/>
      <c r="L4" s="327"/>
      <c r="M4" s="888" t="s">
        <v>670</v>
      </c>
      <c r="N4" s="326"/>
      <c r="O4" s="326"/>
      <c r="P4" s="326"/>
      <c r="Q4" s="327"/>
      <c r="R4" s="889" t="s">
        <v>671</v>
      </c>
      <c r="S4" s="326"/>
      <c r="T4" s="326"/>
      <c r="U4" s="326"/>
      <c r="V4" s="327"/>
      <c r="W4" s="890" t="s">
        <v>708</v>
      </c>
      <c r="X4" s="326"/>
      <c r="Y4" s="326"/>
      <c r="Z4" s="327"/>
      <c r="AA4" s="631" t="s">
        <v>709</v>
      </c>
      <c r="AB4" s="326"/>
      <c r="AC4" s="326"/>
      <c r="AD4" s="327"/>
      <c r="AE4" s="897" t="s">
        <v>710</v>
      </c>
      <c r="AF4" s="326"/>
      <c r="AG4" s="326"/>
      <c r="AH4" s="327"/>
      <c r="AI4" s="631" t="s">
        <v>711</v>
      </c>
      <c r="AJ4" s="326"/>
      <c r="AK4" s="326"/>
      <c r="AL4" s="327"/>
      <c r="AM4" s="897" t="s">
        <v>712</v>
      </c>
      <c r="AN4" s="326"/>
      <c r="AO4" s="326"/>
      <c r="AP4" s="327"/>
      <c r="AQ4" s="898" t="s">
        <v>713</v>
      </c>
      <c r="AR4" s="326"/>
      <c r="AS4" s="326"/>
      <c r="AT4" s="327"/>
      <c r="AU4" s="899" t="s">
        <v>714</v>
      </c>
      <c r="AV4" s="326"/>
      <c r="AW4" s="326"/>
      <c r="AX4" s="327"/>
      <c r="AY4" s="898" t="s">
        <v>715</v>
      </c>
      <c r="AZ4" s="326"/>
      <c r="BA4" s="326"/>
      <c r="BB4" s="327"/>
      <c r="BC4" s="899" t="s">
        <v>716</v>
      </c>
      <c r="BD4" s="326"/>
      <c r="BE4" s="326"/>
      <c r="BF4" s="327"/>
      <c r="BG4" s="884" t="s">
        <v>717</v>
      </c>
      <c r="BH4" s="326"/>
      <c r="BI4" s="326"/>
      <c r="BJ4" s="327"/>
      <c r="BK4" s="885" t="s">
        <v>718</v>
      </c>
      <c r="BL4" s="326"/>
      <c r="BM4" s="326"/>
      <c r="BN4" s="327"/>
      <c r="BO4" s="884" t="s">
        <v>719</v>
      </c>
      <c r="BP4" s="326"/>
      <c r="BQ4" s="326"/>
      <c r="BR4" s="327"/>
      <c r="BS4" s="885" t="s">
        <v>720</v>
      </c>
      <c r="BT4" s="326"/>
      <c r="BU4" s="326"/>
      <c r="BV4" s="327"/>
      <c r="BW4" s="162"/>
    </row>
    <row r="5" spans="1:75" ht="15.75" x14ac:dyDescent="0.25">
      <c r="A5" s="382" t="s">
        <v>673</v>
      </c>
      <c r="B5" s="326"/>
      <c r="C5" s="326"/>
      <c r="D5" s="326"/>
      <c r="E5" s="326"/>
      <c r="F5" s="326"/>
      <c r="G5" s="326"/>
      <c r="H5" s="327"/>
      <c r="I5" s="733">
        <f>'GRANTEE SET UP INFO &amp; DATE '!C11</f>
        <v>0</v>
      </c>
      <c r="J5" s="326"/>
      <c r="K5" s="326"/>
      <c r="L5" s="327"/>
      <c r="M5" s="734">
        <f>'GRANTEE SET UP INFO &amp; DATE '!F11</f>
        <v>0</v>
      </c>
      <c r="N5" s="326"/>
      <c r="O5" s="326"/>
      <c r="P5" s="326"/>
      <c r="Q5" s="327"/>
      <c r="R5" s="735" t="e">
        <f>'GRANTEE SET UP INFO &amp; DATE '!#REF!</f>
        <v>#REF!</v>
      </c>
      <c r="S5" s="326"/>
      <c r="T5" s="326"/>
      <c r="U5" s="326"/>
      <c r="V5" s="327"/>
      <c r="W5" s="880">
        <f>COUNTIFS(TRAINING!B12:B5000,"&gt;=07/01/2000",TRAINING!B12:B5000,"&lt;=09/30/2019",TRAINING!D12:D5000,"Mandatory",TRAINING!AN12:AN5000,"YES")</f>
        <v>0</v>
      </c>
      <c r="X5" s="326"/>
      <c r="Y5" s="326"/>
      <c r="Z5" s="327"/>
      <c r="AA5" s="881">
        <f>COUNTIFS(TRAINING!B12:B5000,"&gt;=10/01/2019",TRAINING!B12:B5000,"&lt;=12/31/2019",TRAINING!D12:D5000,"Mandatory",TRAINING!AN12:AN5000,"YES")</f>
        <v>0</v>
      </c>
      <c r="AB5" s="326"/>
      <c r="AC5" s="326"/>
      <c r="AD5" s="327"/>
      <c r="AE5" s="733">
        <f>COUNTIFS(TRAINING!B12:B5000,"&gt;=01/01/2020",TRAINING!B12:B5000,"&lt;=03/31/2020",TRAINING!D12:D5000,"Mandatory",TRAINING!AN12:AN5000,"YES")</f>
        <v>0</v>
      </c>
      <c r="AF5" s="326"/>
      <c r="AG5" s="326"/>
      <c r="AH5" s="327"/>
      <c r="AI5" s="875">
        <f>COUNTIFS(TRAINING!B12:B5000,"&gt;=04/01/2020",TRAINING!B12:B5000,"&lt;=06/30/2020",TRAINING!D12:D5000,"Mandatory",TRAINING!AN12:AN5000,"YES")</f>
        <v>0</v>
      </c>
      <c r="AJ5" s="326"/>
      <c r="AK5" s="326"/>
      <c r="AL5" s="327"/>
      <c r="AM5" s="733">
        <f>COUNTIFS(TRAINING!B12:B5000,"&gt;=07/01/2020",TRAINING!B12:B5000,"&lt;=09/30/2020",TRAINING!D12:D5000,"Mandatory",TRAINING!AN12:AN5000,"YES")</f>
        <v>0</v>
      </c>
      <c r="AN5" s="326"/>
      <c r="AO5" s="326"/>
      <c r="AP5" s="327"/>
      <c r="AQ5" s="877">
        <f>COUNTIFS(TRAINING!B12:B5000,"&gt;=10/01/2020",TRAINING!B12:B5000,"&lt;=12/31/2020",TRAINING!D12:D5000,"Mandatory",TRAINING!AN12:AN5000,"YES")</f>
        <v>0</v>
      </c>
      <c r="AR5" s="326"/>
      <c r="AS5" s="326"/>
      <c r="AT5" s="327"/>
      <c r="AU5" s="878">
        <f>COUNTIFS(TRAINING!B12:B5000,"&gt;=01/01/2021",TRAINING!B12:B5000,"&lt;=03/31/2021",TRAINING!D12:D5000,"Mandatory",TRAINING!AN12:AN5000,"YES")</f>
        <v>0</v>
      </c>
      <c r="AV5" s="326"/>
      <c r="AW5" s="326"/>
      <c r="AX5" s="327"/>
      <c r="AY5" s="877">
        <f>COUNTIFS(TRAINING!B12:B5000,"&gt;=04/01/2020",TRAINING!B12:B5000,"&lt;=06/30/2020",TRAINING!D12:D5000,"Mandatory",TRAINING!AN12:AN5000,"YES")</f>
        <v>0</v>
      </c>
      <c r="AZ5" s="326"/>
      <c r="BA5" s="326"/>
      <c r="BB5" s="327"/>
      <c r="BC5" s="878">
        <f>COUNTIFS(TRAINING!B12:B5000,"&gt;=07/01/2021",TRAINING!B12:B5000,"&lt;=09/30/2021",TRAINING!D12:D5000,"Mandatory",TRAINING!AN12:AN5000,"YES")</f>
        <v>0</v>
      </c>
      <c r="BD5" s="326"/>
      <c r="BE5" s="326"/>
      <c r="BF5" s="327"/>
      <c r="BG5" s="874">
        <f>COUNTIFS(TRAINING!B12:B5000,"&gt;=10/01/2021",TRAINING!B12:B5000,"&lt;=12/31/2021",TRAINING!D12:D5000,"Mandatory",TRAINING!AN12:AN5000,"YES")</f>
        <v>0</v>
      </c>
      <c r="BH5" s="326"/>
      <c r="BI5" s="326"/>
      <c r="BJ5" s="327"/>
      <c r="BK5" s="853">
        <f>COUNTIFS(TRAINING!B12:B5000,"&gt;=01/01/2022",TRAINING!B12:B5000,"&lt;=03/31/2022",TRAINING!D12:D5000,"Mandatory",TRAINING!AN12:AN5000,"YES")</f>
        <v>0</v>
      </c>
      <c r="BL5" s="326"/>
      <c r="BM5" s="326"/>
      <c r="BN5" s="327"/>
      <c r="BO5" s="874">
        <f>COUNTIFS(TRAINING!B12:B5000,"&gt;=04/01/2022",TRAINING!B12:B5000,"&lt;=06/30/2022",TRAINING!D12:D5000,"Mandatory",TRAINING!AN12:AN5000,"YES")</f>
        <v>0</v>
      </c>
      <c r="BP5" s="326"/>
      <c r="BQ5" s="326"/>
      <c r="BR5" s="327"/>
      <c r="BS5" s="879">
        <f>COUNTIFS(TRAINING!B12:B5000,"&gt;=07/01/2022",TRAINING!B12:B5000,"&lt;=09/30/2022",TRAINING!D12:D5000,"Mandatory",TRAINING!AN12:AN5000,"YES")</f>
        <v>0</v>
      </c>
      <c r="BT5" s="326"/>
      <c r="BU5" s="326"/>
      <c r="BV5" s="327"/>
      <c r="BW5" s="164"/>
    </row>
    <row r="6" spans="1:75" ht="15.75" x14ac:dyDescent="0.25">
      <c r="A6" s="382" t="s">
        <v>674</v>
      </c>
      <c r="B6" s="326"/>
      <c r="C6" s="326"/>
      <c r="D6" s="326"/>
      <c r="E6" s="326"/>
      <c r="F6" s="326"/>
      <c r="G6" s="326"/>
      <c r="H6" s="327"/>
      <c r="I6" s="733">
        <f>'GRANTEE SET UP INFO &amp; DATE '!C12</f>
        <v>0</v>
      </c>
      <c r="J6" s="326"/>
      <c r="K6" s="326"/>
      <c r="L6" s="327"/>
      <c r="M6" s="734">
        <f>'GRANTEE SET UP INFO &amp; DATE '!F12</f>
        <v>0</v>
      </c>
      <c r="N6" s="326"/>
      <c r="O6" s="326"/>
      <c r="P6" s="326"/>
      <c r="Q6" s="327"/>
      <c r="R6" s="735" t="e">
        <f>'GRANTEE SET UP INFO &amp; DATE '!#REF!</f>
        <v>#REF!</v>
      </c>
      <c r="S6" s="326"/>
      <c r="T6" s="326"/>
      <c r="U6" s="326"/>
      <c r="V6" s="327"/>
      <c r="W6" s="880">
        <f>COUNTIFS(TRAINING!B12:B5000,"&gt;=07/01/2000",TRAINING!B12:B5000,"&lt;=09/30/2019",TRAINING!D12:D5000,"Mandatory",TRAINING!AO12:AO5000,"YES")</f>
        <v>0</v>
      </c>
      <c r="X6" s="326"/>
      <c r="Y6" s="326"/>
      <c r="Z6" s="327"/>
      <c r="AA6" s="881">
        <f>COUNTIFS(TRAINING!B12:B5000,"&gt;=10/01/2019",TRAINING!B12:B5000,"&lt;=12/31/2019",TRAINING!D12:D5000,"Mandatory",TRAINING!AO12:AO5000,"YES")</f>
        <v>0</v>
      </c>
      <c r="AB6" s="326"/>
      <c r="AC6" s="326"/>
      <c r="AD6" s="327"/>
      <c r="AE6" s="733">
        <f>COUNTIFS(TRAINING!B12:B5000,"&gt;=01/01/2020",TRAINING!B12:B5000,"&lt;=03/31/2020",TRAINING!D12:D5000,"Mandatory",TRAINING!AO12:AO5000,"YES")</f>
        <v>0</v>
      </c>
      <c r="AF6" s="326"/>
      <c r="AG6" s="326"/>
      <c r="AH6" s="327"/>
      <c r="AI6" s="875">
        <f>COUNTIFS(TRAINING!B12:B5000,"&gt;=04/01/2020",TRAINING!B12:B5000,"&lt;=06/30/2020",TRAINING!D12:D5000,"Mandatory",TRAINING!AO12:AO5000,"YES")</f>
        <v>0</v>
      </c>
      <c r="AJ6" s="326"/>
      <c r="AK6" s="326"/>
      <c r="AL6" s="327"/>
      <c r="AM6" s="876">
        <f>COUNTIFS(TRAINING!B12:B5000,"&gt;=07/01/2020",TRAINING!B12:B5000,"&lt;=09/30/2020",TRAINING!D12:D5000,"Mandatory",TRAINING!AO12:AO5000,"YES")</f>
        <v>0</v>
      </c>
      <c r="AN6" s="326"/>
      <c r="AO6" s="326"/>
      <c r="AP6" s="327"/>
      <c r="AQ6" s="877">
        <f>COUNTIFS(TRAINING!B12:B5000,"&gt;=10/01/2020",TRAINING!B12:B5000,"&lt;=12/31/2020",TRAINING!D12:D5000,"Mandatory",TRAINING!AO12:AO5000,"YES")</f>
        <v>0</v>
      </c>
      <c r="AR6" s="326"/>
      <c r="AS6" s="326"/>
      <c r="AT6" s="327"/>
      <c r="AU6" s="878">
        <f>COUNTIFS(TRAINING!B12:B5000,"&gt;=01/01/2021",TRAINING!B12:B5000,"&lt;=03/31/2021",TRAINING!D12:D5000,"Mandatory",TRAINING!AO12:AO5000,"YES")</f>
        <v>0</v>
      </c>
      <c r="AV6" s="326"/>
      <c r="AW6" s="326"/>
      <c r="AX6" s="327"/>
      <c r="AY6" s="877">
        <f>COUNTIFS(TRAINING!B12:B5000,"&gt;=04/01/2020",TRAINING!B12:B5000,"&lt;=06/30/2020",TRAINING!D12:D5000,"Mandatory",TRAINING!AO12:AO5000,"YES")</f>
        <v>0</v>
      </c>
      <c r="AZ6" s="326"/>
      <c r="BA6" s="326"/>
      <c r="BB6" s="327"/>
      <c r="BC6" s="878">
        <f>COUNTIFS(TRAINING!B12:B5000,"&gt;=07/01/2021",TRAINING!B12:B5000,"&lt;=09/30/2021",TRAINING!D12:D5000,"Mandatory",TRAINING!AO12:AO5000,"YES")</f>
        <v>0</v>
      </c>
      <c r="BD6" s="326"/>
      <c r="BE6" s="326"/>
      <c r="BF6" s="327"/>
      <c r="BG6" s="874">
        <f>COUNTIFS(TRAINING!B12:B5000,"&gt;=10/01/2021",TRAINING!B12:B5000,"&lt;=12/31/2021",TRAINING!D12:D5000,"Mandatory",TRAINING!AO12:AO5000,"YES")</f>
        <v>0</v>
      </c>
      <c r="BH6" s="326"/>
      <c r="BI6" s="326"/>
      <c r="BJ6" s="327"/>
      <c r="BK6" s="853">
        <f>COUNTIFS(TRAINING!B12:B5000,"&gt;=01/01/2022",TRAINING!B12:B5000,"&lt;=03/31/2022",TRAINING!D12:D5000,"Mandatory",TRAINING!AO12:AO5000,"YES")</f>
        <v>0</v>
      </c>
      <c r="BL6" s="326"/>
      <c r="BM6" s="326"/>
      <c r="BN6" s="327"/>
      <c r="BO6" s="874">
        <f>COUNTIFS(TRAINING!B12:B5000,"&gt;=04/01/2022",TRAINING!B12:B5000,"&lt;=06/30/2022",TRAINING!D12:D5000,"Mandatory",TRAINING!AO12:AO5000,"YES")</f>
        <v>0</v>
      </c>
      <c r="BP6" s="326"/>
      <c r="BQ6" s="326"/>
      <c r="BR6" s="327"/>
      <c r="BS6" s="879">
        <f>COUNTIFS(TRAINING!B12:B5000,"&gt;=07/01/2022",TRAINING!B12:B5000,"&lt;=09/30/2022",TRAINING!D12:D5000,"Mandatory",TRAINING!AO12:AO5000,"YES")</f>
        <v>0</v>
      </c>
      <c r="BT6" s="326"/>
      <c r="BU6" s="326"/>
      <c r="BV6" s="327"/>
      <c r="BW6" s="162"/>
    </row>
    <row r="7" spans="1:75" ht="15.75" x14ac:dyDescent="0.25">
      <c r="A7" s="382" t="s">
        <v>675</v>
      </c>
      <c r="B7" s="326"/>
      <c r="C7" s="326"/>
      <c r="D7" s="326"/>
      <c r="E7" s="326"/>
      <c r="F7" s="326"/>
      <c r="G7" s="326"/>
      <c r="H7" s="327"/>
      <c r="I7" s="733">
        <f>'GRANTEE SET UP INFO &amp; DATE '!C13</f>
        <v>0</v>
      </c>
      <c r="J7" s="326"/>
      <c r="K7" s="326"/>
      <c r="L7" s="327"/>
      <c r="M7" s="734">
        <f>'GRANTEE SET UP INFO &amp; DATE '!F13</f>
        <v>0</v>
      </c>
      <c r="N7" s="326"/>
      <c r="O7" s="326"/>
      <c r="P7" s="326"/>
      <c r="Q7" s="327"/>
      <c r="R7" s="735" t="e">
        <f>'GRANTEE SET UP INFO &amp; DATE '!#REF!</f>
        <v>#REF!</v>
      </c>
      <c r="S7" s="326"/>
      <c r="T7" s="326"/>
      <c r="U7" s="326"/>
      <c r="V7" s="327"/>
      <c r="W7" s="880">
        <f>COUNTIFS(TRAINING!B12:B5000,"&gt;=07/01/2000",TRAINING!B12:B5000,"&lt;=09/30/2019",TRAINING!D12:D5000,"Mandatory",TRAINING!AP12:AP5000,"YES")</f>
        <v>0</v>
      </c>
      <c r="X7" s="326"/>
      <c r="Y7" s="326"/>
      <c r="Z7" s="327"/>
      <c r="AA7" s="881">
        <f>COUNTIFS(TRAINING!B12:B5000,"&gt;=10/01/2019",TRAINING!B12:B5000,"&lt;=12/31/2019",TRAINING!D12:D5000,"Mandatory",TRAINING!AP12:AP5000,"YES")</f>
        <v>0</v>
      </c>
      <c r="AB7" s="326"/>
      <c r="AC7" s="326"/>
      <c r="AD7" s="327"/>
      <c r="AE7" s="733">
        <f>COUNTIFS(TRAINING!B12:B5000,"&gt;=01/01/2020",TRAINING!B12:B5000,"&lt;=03/31/2020",TRAINING!D12:D5000,"Mandatory",TRAINING!AP12:AP5000,"YES")</f>
        <v>0</v>
      </c>
      <c r="AF7" s="326"/>
      <c r="AG7" s="326"/>
      <c r="AH7" s="327"/>
      <c r="AI7" s="875">
        <f>COUNTIFS(TRAINING!B12:B5000,"&gt;=04/01/2020",TRAINING!B12:B5000,"&lt;=06/30/2020",TRAINING!D12:D5000,"Mandatory",TRAINING!AP12:AP5000,"YES")</f>
        <v>0</v>
      </c>
      <c r="AJ7" s="326"/>
      <c r="AK7" s="326"/>
      <c r="AL7" s="327"/>
      <c r="AM7" s="876">
        <f>COUNTIFS(TRAINING!B12:B5000,"&gt;=07/01/2020",TRAINING!B12:B5000,"&lt;=09/30/2020",TRAINING!D12:D5000,"Mandatory",TRAINING!AP12:AP5000,"YES")</f>
        <v>0</v>
      </c>
      <c r="AN7" s="326"/>
      <c r="AO7" s="326"/>
      <c r="AP7" s="327"/>
      <c r="AQ7" s="877">
        <f>COUNTIFS(TRAINING!B12:B5000,"&gt;=10/01/2020",TRAINING!B12:B5000,"&lt;=12/31/2020",TRAINING!D12:D5000,"Mandatory",TRAINING!AP12:AP5000,"YES")</f>
        <v>0</v>
      </c>
      <c r="AR7" s="326"/>
      <c r="AS7" s="326"/>
      <c r="AT7" s="327"/>
      <c r="AU7" s="878">
        <f>COUNTIFS(TRAINING!B12:B5000,"&gt;=01/01/2021",TRAINING!B12:B5000,"&lt;=03/31/2021",TRAINING!D12:D5000,"Mandatory",TRAINING!AP12:AP5000,"YES")</f>
        <v>0</v>
      </c>
      <c r="AV7" s="326"/>
      <c r="AW7" s="326"/>
      <c r="AX7" s="327"/>
      <c r="AY7" s="877">
        <f>COUNTIFS(TRAINING!B12:B5000,"&gt;=04/01/2020",TRAINING!B12:B5000,"&lt;=06/30/2020",TRAINING!D12:D5000,"Mandatory",TRAINING!AP12:AP5000,"YES")</f>
        <v>0</v>
      </c>
      <c r="AZ7" s="326"/>
      <c r="BA7" s="326"/>
      <c r="BB7" s="327"/>
      <c r="BC7" s="878">
        <f>COUNTIFS(TRAINING!B12:B5000,"&gt;=07/01/2021",TRAINING!B12:B5000,"&lt;=09/30/2021",TRAINING!D12:D5000,"Mandatory",TRAINING!AP12:AP5000,"YES")</f>
        <v>0</v>
      </c>
      <c r="BD7" s="326"/>
      <c r="BE7" s="326"/>
      <c r="BF7" s="327"/>
      <c r="BG7" s="874">
        <f>COUNTIFS(TRAINING!B12:B5000,"&gt;=10/01/2021",TRAINING!B12:B5000,"&lt;=12/31/2021",TRAINING!D12:D5000,"Mandatory",TRAINING!AP12:AP5000,"YES")</f>
        <v>0</v>
      </c>
      <c r="BH7" s="326"/>
      <c r="BI7" s="326"/>
      <c r="BJ7" s="327"/>
      <c r="BK7" s="853">
        <f>COUNTIFS(TRAINING!B12:B5000,"&gt;=01/01/2022",TRAINING!B12:B5000,"&lt;=03/31/2022",TRAINING!D12:D5000,"Mandatory",TRAINING!AP12:AP5000,"YES")</f>
        <v>0</v>
      </c>
      <c r="BL7" s="326"/>
      <c r="BM7" s="326"/>
      <c r="BN7" s="327"/>
      <c r="BO7" s="874">
        <f>COUNTIFS(TRAINING!B12:B5000,"&gt;=04/01/2022",TRAINING!B12:B5000,"&lt;=06/30/2022",TRAINING!D12:D5000,"Mandatory",TRAINING!AP12:AP5000,"YES")</f>
        <v>0</v>
      </c>
      <c r="BP7" s="326"/>
      <c r="BQ7" s="326"/>
      <c r="BR7" s="327"/>
      <c r="BS7" s="879">
        <f>COUNTIFS(TRAINING!B12:B5000,"&gt;=07/01/2022",TRAINING!B12:B5000,"&lt;=09/30/2022",TRAINING!D12:D5000,"Mandatory",TRAINING!AP12:AP5000,"YES")</f>
        <v>0</v>
      </c>
      <c r="BT7" s="326"/>
      <c r="BU7" s="326"/>
      <c r="BV7" s="327"/>
      <c r="BW7" s="162"/>
    </row>
    <row r="8" spans="1:75" ht="15.75" x14ac:dyDescent="0.25">
      <c r="A8" s="382" t="s">
        <v>676</v>
      </c>
      <c r="B8" s="326"/>
      <c r="C8" s="326"/>
      <c r="D8" s="326"/>
      <c r="E8" s="326"/>
      <c r="F8" s="326"/>
      <c r="G8" s="326"/>
      <c r="H8" s="327"/>
      <c r="I8" s="733">
        <f>'GRANTEE SET UP INFO &amp; DATE '!C14</f>
        <v>0</v>
      </c>
      <c r="J8" s="326"/>
      <c r="K8" s="326"/>
      <c r="L8" s="327"/>
      <c r="M8" s="734">
        <f>'GRANTEE SET UP INFO &amp; DATE '!F14</f>
        <v>0</v>
      </c>
      <c r="N8" s="326"/>
      <c r="O8" s="326"/>
      <c r="P8" s="326"/>
      <c r="Q8" s="327"/>
      <c r="R8" s="735" t="e">
        <f>'GRANTEE SET UP INFO &amp; DATE '!#REF!</f>
        <v>#REF!</v>
      </c>
      <c r="S8" s="326"/>
      <c r="T8" s="326"/>
      <c r="U8" s="326"/>
      <c r="V8" s="327"/>
      <c r="W8" s="880">
        <f>COUNTIFS(TRAINING!B12:B5000,"&gt;=07/01/2000",TRAINING!B12:B5000,"&lt;=09/30/2019",TRAINING!D12:D5000,"Mandatory",TRAINING!AQ12:AQ5000,"YES")</f>
        <v>0</v>
      </c>
      <c r="X8" s="326"/>
      <c r="Y8" s="326"/>
      <c r="Z8" s="327"/>
      <c r="AA8" s="881">
        <f>COUNTIFS(TRAINING!B12:B5000,"&gt;=10/01/2019",TRAINING!B12:B5000,"&lt;=12/31/2019",TRAINING!D12:D5000,"Mandatory",TRAINING!AQ12:AQ5000,"YES")</f>
        <v>0</v>
      </c>
      <c r="AB8" s="326"/>
      <c r="AC8" s="326"/>
      <c r="AD8" s="327"/>
      <c r="AE8" s="733">
        <f>COUNTIFS(TRAINING!B12:B5000,"&gt;=01/01/2020",TRAINING!B12:B5000,"&lt;=03/31/2020",TRAINING!D12:D5000,"Mandatory",TRAINING!AQ12:AQ5000,"YES")</f>
        <v>0</v>
      </c>
      <c r="AF8" s="326"/>
      <c r="AG8" s="326"/>
      <c r="AH8" s="327"/>
      <c r="AI8" s="875">
        <f>COUNTIFS(TRAINING!B12:B5000,"&gt;=04/01/2020",TRAINING!B12:B5000,"&lt;=06/30/2020",TRAINING!D12:D5000,"Mandatory",TRAINING!AQ12:AQ5000,"YES")</f>
        <v>0</v>
      </c>
      <c r="AJ8" s="326"/>
      <c r="AK8" s="326"/>
      <c r="AL8" s="327"/>
      <c r="AM8" s="876">
        <f>COUNTIFS(TRAINING!B12:B5000,"&gt;=07/01/2020",TRAINING!B12:B5000,"&lt;=09/30/2020",TRAINING!D12:D5000,"Mandatory",TRAINING!AQ12:AQ5000,"YES")</f>
        <v>0</v>
      </c>
      <c r="AN8" s="326"/>
      <c r="AO8" s="326"/>
      <c r="AP8" s="327"/>
      <c r="AQ8" s="877">
        <f>COUNTIFS(TRAINING!B12:B5000,"&gt;=10/01/2020",TRAINING!B12:B5000,"&lt;=12/31/2020",TRAINING!D12:D5000,"Mandatory",TRAINING!AQ12:AQ5000,"YES")</f>
        <v>0</v>
      </c>
      <c r="AR8" s="326"/>
      <c r="AS8" s="326"/>
      <c r="AT8" s="327"/>
      <c r="AU8" s="878">
        <f>COUNTIFS(TRAINING!B12:B5000,"&gt;=01/01/2021",TRAINING!B12:B5000,"&lt;=03/31/2021",TRAINING!D12:D5000,"Mandatory",TRAINING!AQ12:AQ5000,"YES")</f>
        <v>0</v>
      </c>
      <c r="AV8" s="326"/>
      <c r="AW8" s="326"/>
      <c r="AX8" s="327"/>
      <c r="AY8" s="877">
        <f>COUNTIFS(TRAINING!B12:B5000,"&gt;=04/01/2020",TRAINING!B12:B5000,"&lt;=06/30/2020",TRAINING!D12:D5000,"Mandatory",TRAINING!AQ12:AQ5000,"YES")</f>
        <v>0</v>
      </c>
      <c r="AZ8" s="326"/>
      <c r="BA8" s="326"/>
      <c r="BB8" s="327"/>
      <c r="BC8" s="878">
        <f>COUNTIFS(TRAINING!B12:B5000,"&gt;=07/01/2021",TRAINING!B12:B5000,"&lt;=09/30/2021",TRAINING!D12:D5000,"Mandatory",TRAINING!AQ12:AQ5000,"YES")</f>
        <v>0</v>
      </c>
      <c r="BD8" s="326"/>
      <c r="BE8" s="326"/>
      <c r="BF8" s="327"/>
      <c r="BG8" s="874">
        <f>COUNTIFS(TRAINING!B12:B5000,"&gt;=10/01/2021",TRAINING!B12:B5000,"&lt;=12/31/2021",TRAINING!D12:D5000,"Mandatory",TRAINING!AQ12:AQ5000,"YES")</f>
        <v>0</v>
      </c>
      <c r="BH8" s="326"/>
      <c r="BI8" s="326"/>
      <c r="BJ8" s="327"/>
      <c r="BK8" s="853">
        <f>COUNTIFS(TRAINING!B12:B5000,"&gt;=01/01/2022",TRAINING!B12:B5000,"&lt;=03/31/2022",TRAINING!D12:D5000,"Mandatory",TRAINING!AQ12:AQ5000,"YES")</f>
        <v>0</v>
      </c>
      <c r="BL8" s="326"/>
      <c r="BM8" s="326"/>
      <c r="BN8" s="327"/>
      <c r="BO8" s="874">
        <f>COUNTIFS(TRAINING!B12:B5000,"&gt;=04/01/2022",TRAINING!B12:B5000,"&lt;=06/30/2022",TRAINING!D12:D5000,"Mandatory",TRAINING!AQ12:AQ5000,"YES")</f>
        <v>0</v>
      </c>
      <c r="BP8" s="326"/>
      <c r="BQ8" s="326"/>
      <c r="BR8" s="327"/>
      <c r="BS8" s="879">
        <f>COUNTIFS(TRAINING!B12:B5000,"&gt;=07/01/2022",TRAINING!B12:B5000,"&lt;=09/30/2022",TRAINING!D12:D5000,"Mandatory",TRAINING!AQ12:AQ5000,"YES")</f>
        <v>0</v>
      </c>
      <c r="BT8" s="326"/>
      <c r="BU8" s="326"/>
      <c r="BV8" s="327"/>
      <c r="BW8" s="162"/>
    </row>
    <row r="9" spans="1:75" ht="15.75" x14ac:dyDescent="0.25">
      <c r="A9" s="382" t="s">
        <v>677</v>
      </c>
      <c r="B9" s="326"/>
      <c r="C9" s="326"/>
      <c r="D9" s="326"/>
      <c r="E9" s="326"/>
      <c r="F9" s="326"/>
      <c r="G9" s="326"/>
      <c r="H9" s="327"/>
      <c r="I9" s="733">
        <f>'GRANTEE SET UP INFO &amp; DATE '!C15</f>
        <v>0</v>
      </c>
      <c r="J9" s="326"/>
      <c r="K9" s="326"/>
      <c r="L9" s="327"/>
      <c r="M9" s="734">
        <f>'GRANTEE SET UP INFO &amp; DATE '!F15</f>
        <v>0</v>
      </c>
      <c r="N9" s="326"/>
      <c r="O9" s="326"/>
      <c r="P9" s="326"/>
      <c r="Q9" s="327"/>
      <c r="R9" s="735" t="e">
        <f>'GRANTEE SET UP INFO &amp; DATE '!#REF!</f>
        <v>#REF!</v>
      </c>
      <c r="S9" s="326"/>
      <c r="T9" s="326"/>
      <c r="U9" s="326"/>
      <c r="V9" s="327"/>
      <c r="W9" s="880">
        <f>COUNTIFS(TRAINING!B12:B5000,"&gt;=07/01/2000",TRAINING!B12:B5000,"&lt;=09/30/2019",TRAINING!D12:D5000,"Mandatory",TRAINING!AR12:AR5000,"YES")</f>
        <v>0</v>
      </c>
      <c r="X9" s="326"/>
      <c r="Y9" s="326"/>
      <c r="Z9" s="327"/>
      <c r="AA9" s="881">
        <f>COUNTIFS(TRAINING!B12:B5000,"&gt;=10/01/2019",TRAINING!B12:B5000,"&lt;=12/31/2019",TRAINING!D12:D5000,"Mandatory",TRAINING!AR12:AR5000,"YES")</f>
        <v>0</v>
      </c>
      <c r="AB9" s="326"/>
      <c r="AC9" s="326"/>
      <c r="AD9" s="327"/>
      <c r="AE9" s="733">
        <f>COUNTIFS(TRAINING!B12:B5000,"&gt;=01/01/2020",TRAINING!B12:B5000,"&lt;=03/31/2020",TRAINING!D12:D5000,"Mandatory",TRAINING!AR12:AR5000,"YES")</f>
        <v>0</v>
      </c>
      <c r="AF9" s="326"/>
      <c r="AG9" s="326"/>
      <c r="AH9" s="327"/>
      <c r="AI9" s="875">
        <f>COUNTIFS(TRAINING!B12:B5000,"&gt;=04/01/2020",TRAINING!B12:B5000,"&lt;=06/30/2020",TRAINING!D12:D5000,"Mandatory",TRAINING!AR12:AR5000,"YES")</f>
        <v>0</v>
      </c>
      <c r="AJ9" s="326"/>
      <c r="AK9" s="326"/>
      <c r="AL9" s="327"/>
      <c r="AM9" s="876">
        <f>COUNTIFS(TRAINING!B12:B5000,"&gt;=07/01/2020",TRAINING!B12:B5000,"&lt;=09/30/2020",TRAINING!D12:D5000,"Mandatory",TRAINING!AR12:AR5000,"YES")</f>
        <v>0</v>
      </c>
      <c r="AN9" s="326"/>
      <c r="AO9" s="326"/>
      <c r="AP9" s="327"/>
      <c r="AQ9" s="877">
        <f>COUNTIFS(TRAINING!B12:B5000,"&gt;=10/01/2020",TRAINING!B12:B5000,"&lt;=12/31/2020",TRAINING!D12:D5000,"Mandatory",TRAINING!AR12:AR5000,"YES")</f>
        <v>0</v>
      </c>
      <c r="AR9" s="326"/>
      <c r="AS9" s="326"/>
      <c r="AT9" s="327"/>
      <c r="AU9" s="878">
        <f>COUNTIFS(TRAINING!B12:B5000,"&gt;=01/01/2021",TRAINING!B12:B5000,"&lt;=03/31/2021",TRAINING!D12:D5000,"Mandatory",TRAINING!AR12:AR5000,"YES")</f>
        <v>0</v>
      </c>
      <c r="AV9" s="326"/>
      <c r="AW9" s="326"/>
      <c r="AX9" s="327"/>
      <c r="AY9" s="877">
        <f>COUNTIFS(TRAINING!B12:B5000,"&gt;=04/01/2020",TRAINING!B12:B5000,"&lt;=06/30/2020",TRAINING!D12:D5000,"Mandatory",TRAINING!AR12:AR5000,"YES")</f>
        <v>0</v>
      </c>
      <c r="AZ9" s="326"/>
      <c r="BA9" s="326"/>
      <c r="BB9" s="327"/>
      <c r="BC9" s="878">
        <f>COUNTIFS(TRAINING!B12:B5000,"&gt;=07/01/2021",TRAINING!B12:B5000,"&lt;=09/30/2021",TRAINING!D12:D5000,"Mandatory",TRAINING!AR12:AR5000,"YES")</f>
        <v>0</v>
      </c>
      <c r="BD9" s="326"/>
      <c r="BE9" s="326"/>
      <c r="BF9" s="327"/>
      <c r="BG9" s="874">
        <f>COUNTIFS(TRAINING!B12:B5000,"&gt;=10/01/2021",TRAINING!B12:B5000,"&lt;=12/31/2021",TRAINING!D12:D5000,"Mandatory",TRAINING!AR12:AR5000,"YES")</f>
        <v>0</v>
      </c>
      <c r="BH9" s="326"/>
      <c r="BI9" s="326"/>
      <c r="BJ9" s="327"/>
      <c r="BK9" s="853">
        <f>COUNTIFS(TRAINING!B12:B5000,"&gt;=01/01/2022",TRAINING!B12:B5000,"&lt;=03/31/2022",TRAINING!D12:D5000,"Mandatory",TRAINING!AR12:AR5000,"YES")</f>
        <v>0</v>
      </c>
      <c r="BL9" s="326"/>
      <c r="BM9" s="326"/>
      <c r="BN9" s="327"/>
      <c r="BO9" s="874">
        <f>COUNTIFS(TRAINING!B12:B5000,"&gt;=04/01/2022",TRAINING!B12:B5000,"&lt;=06/30/2022",TRAINING!D12:D5000,"Mandatory",TRAINING!AR12:AR5000,"YES")</f>
        <v>0</v>
      </c>
      <c r="BP9" s="326"/>
      <c r="BQ9" s="326"/>
      <c r="BR9" s="327"/>
      <c r="BS9" s="879">
        <f>COUNTIFS(TRAINING!B12:B5000,"&gt;=07/01/2022",TRAINING!B12:B5000,"&lt;=09/30/2022",TRAINING!D12:D5000,"Mandatory",TRAINING!AR12:AR5000,"YES")</f>
        <v>0</v>
      </c>
      <c r="BT9" s="326"/>
      <c r="BU9" s="326"/>
      <c r="BV9" s="327"/>
      <c r="BW9" s="162"/>
    </row>
    <row r="10" spans="1:75" ht="15.75" x14ac:dyDescent="0.25">
      <c r="A10" s="382" t="s">
        <v>678</v>
      </c>
      <c r="B10" s="326"/>
      <c r="C10" s="326"/>
      <c r="D10" s="326"/>
      <c r="E10" s="326"/>
      <c r="F10" s="326"/>
      <c r="G10" s="326"/>
      <c r="H10" s="327"/>
      <c r="I10" s="733">
        <f>'GRANTEE SET UP INFO &amp; DATE '!C16</f>
        <v>0</v>
      </c>
      <c r="J10" s="326"/>
      <c r="K10" s="326"/>
      <c r="L10" s="327"/>
      <c r="M10" s="734">
        <f>'GRANTEE SET UP INFO &amp; DATE '!F16</f>
        <v>0</v>
      </c>
      <c r="N10" s="326"/>
      <c r="O10" s="326"/>
      <c r="P10" s="326"/>
      <c r="Q10" s="327"/>
      <c r="R10" s="735" t="e">
        <f>'GRANTEE SET UP INFO &amp; DATE '!#REF!</f>
        <v>#REF!</v>
      </c>
      <c r="S10" s="326"/>
      <c r="T10" s="326"/>
      <c r="U10" s="326"/>
      <c r="V10" s="327"/>
      <c r="W10" s="880">
        <f>COUNTIFS(TRAINING!B12:B5000,"&gt;=07/01/2000",TRAINING!B12:B5000,"&lt;=09/30/2019",TRAINING!D12:D5000,"Mandatory",TRAINING!AS12:AS5000,"YES")</f>
        <v>0</v>
      </c>
      <c r="X10" s="326"/>
      <c r="Y10" s="326"/>
      <c r="Z10" s="327"/>
      <c r="AA10" s="881">
        <f>COUNTIFS(TRAINING!B12:B5000,"&gt;=10/01/2019",TRAINING!B12:B5000,"&lt;=12/31/2019",TRAINING!D12:D5000,"Mandatory",TRAINING!AS12:AS5000,"YES")</f>
        <v>0</v>
      </c>
      <c r="AB10" s="326"/>
      <c r="AC10" s="326"/>
      <c r="AD10" s="327"/>
      <c r="AE10" s="733">
        <f>COUNTIFS(TRAINING!B12:B5000,"&gt;=01/01/2020",TRAINING!B12:B5000,"&lt;=03/31/2020",TRAINING!D12:D5000,"Mandatory",TRAINING!AS12:AS5000,"YES")</f>
        <v>0</v>
      </c>
      <c r="AF10" s="326"/>
      <c r="AG10" s="326"/>
      <c r="AH10" s="327"/>
      <c r="AI10" s="875">
        <f>COUNTIFS(TRAINING!B12:B5000,"&gt;=04/01/2020",TRAINING!B12:B5000,"&lt;=06/30/2020",TRAINING!D12:D5000,"Mandatory",TRAINING!AS12:AS5000,"YES")</f>
        <v>0</v>
      </c>
      <c r="AJ10" s="326"/>
      <c r="AK10" s="326"/>
      <c r="AL10" s="327"/>
      <c r="AM10" s="876">
        <f>COUNTIFS(TRAINING!B12:B5000,"&gt;=07/01/2020",TRAINING!B12:B5000,"&lt;=09/30/2020",TRAINING!D12:D5000,"Mandatory",TRAINING!AS12:AS5000,"YES")</f>
        <v>0</v>
      </c>
      <c r="AN10" s="326"/>
      <c r="AO10" s="326"/>
      <c r="AP10" s="327"/>
      <c r="AQ10" s="877">
        <f>COUNTIFS(TRAINING!B12:B5000,"&gt;=10/01/2020",TRAINING!B12:B5000,"&lt;=12/31/2020",TRAINING!D12:D5000,"Mandatory",TRAINING!AS12:AS5000,"YES")</f>
        <v>0</v>
      </c>
      <c r="AR10" s="326"/>
      <c r="AS10" s="326"/>
      <c r="AT10" s="327"/>
      <c r="AU10" s="878">
        <f>COUNTIFS(TRAINING!B12:B5000,"&gt;=01/01/2021",TRAINING!B12:B5000,"&lt;=03/31/2021",TRAINING!D12:D5000,"Mandatory",TRAINING!AS12:AS5000,"YES")</f>
        <v>0</v>
      </c>
      <c r="AV10" s="326"/>
      <c r="AW10" s="326"/>
      <c r="AX10" s="327"/>
      <c r="AY10" s="877">
        <f>COUNTIFS(TRAINING!B12:B5000,"&gt;=04/01/2020",TRAINING!B12:B5000,"&lt;=06/30/2020",TRAINING!D12:D5000,"Mandatory",TRAINING!AS12:AS5000,"YES")</f>
        <v>0</v>
      </c>
      <c r="AZ10" s="326"/>
      <c r="BA10" s="326"/>
      <c r="BB10" s="327"/>
      <c r="BC10" s="878">
        <f>COUNTIFS(TRAINING!B12:B5000,"&gt;=07/01/2021",TRAINING!B12:B5000,"&lt;=09/30/2021",TRAINING!D12:D5000,"Mandatory",TRAINING!AS12:AS5000,"YES")</f>
        <v>0</v>
      </c>
      <c r="BD10" s="326"/>
      <c r="BE10" s="326"/>
      <c r="BF10" s="327"/>
      <c r="BG10" s="874">
        <f>COUNTIFS(TRAINING!B12:B5000,"&gt;=10/01/2021",TRAINING!B12:B5000,"&lt;=12/31/2021",TRAINING!D12:D5000,"Mandatory",TRAINING!AS12:AS5000,"YES")</f>
        <v>0</v>
      </c>
      <c r="BH10" s="326"/>
      <c r="BI10" s="326"/>
      <c r="BJ10" s="327"/>
      <c r="BK10" s="853">
        <f>COUNTIFS(TRAINING!B12:B5000,"&gt;=01/01/2022",TRAINING!B12:B5000,"&lt;=03/31/2022",TRAINING!D12:D5000,"Mandatory",TRAINING!AS12:AS5000,"YES")</f>
        <v>0</v>
      </c>
      <c r="BL10" s="326"/>
      <c r="BM10" s="326"/>
      <c r="BN10" s="327"/>
      <c r="BO10" s="874">
        <f>COUNTIFS(TRAINING!B12:B5000,"&gt;=04/01/2022",TRAINING!B12:B5000,"&lt;=06/30/2022",TRAINING!D12:D5000,"Mandatory",TRAINING!AS12:AS5000,"YES")</f>
        <v>0</v>
      </c>
      <c r="BP10" s="326"/>
      <c r="BQ10" s="326"/>
      <c r="BR10" s="327"/>
      <c r="BS10" s="879">
        <f>COUNTIFS(TRAINING!B12:B5000,"&gt;=07/01/2022",TRAINING!B12:B5000,"&lt;=09/30/2022",TRAINING!D12:D5000,"Mandatory",TRAINING!AS12:AS5000,"YES")</f>
        <v>0</v>
      </c>
      <c r="BT10" s="326"/>
      <c r="BU10" s="326"/>
      <c r="BV10" s="327"/>
      <c r="BW10" s="162"/>
    </row>
    <row r="11" spans="1:75" ht="15.75" x14ac:dyDescent="0.25">
      <c r="A11" s="382" t="s">
        <v>679</v>
      </c>
      <c r="B11" s="326"/>
      <c r="C11" s="326"/>
      <c r="D11" s="326"/>
      <c r="E11" s="326"/>
      <c r="F11" s="326"/>
      <c r="G11" s="326"/>
      <c r="H11" s="327"/>
      <c r="I11" s="733">
        <f>'GRANTEE SET UP INFO &amp; DATE '!C17</f>
        <v>0</v>
      </c>
      <c r="J11" s="326"/>
      <c r="K11" s="326"/>
      <c r="L11" s="327"/>
      <c r="M11" s="734">
        <f>'GRANTEE SET UP INFO &amp; DATE '!F17</f>
        <v>0</v>
      </c>
      <c r="N11" s="326"/>
      <c r="O11" s="326"/>
      <c r="P11" s="326"/>
      <c r="Q11" s="327"/>
      <c r="R11" s="735" t="e">
        <f>'GRANTEE SET UP INFO &amp; DATE '!#REF!</f>
        <v>#REF!</v>
      </c>
      <c r="S11" s="326"/>
      <c r="T11" s="326"/>
      <c r="U11" s="326"/>
      <c r="V11" s="327"/>
      <c r="W11" s="880">
        <f>COUNTIFS(TRAINING!B12:B5000,"&gt;=07/01/2000",TRAINING!B12:B5000,"&lt;=09/30/2019",TRAINING!D12:D5000,"Mandatory",TRAINING!AT12:AT5000,"YES")</f>
        <v>0</v>
      </c>
      <c r="X11" s="326"/>
      <c r="Y11" s="326"/>
      <c r="Z11" s="327"/>
      <c r="AA11" s="881">
        <f>COUNTIFS(TRAINING!B12:B5000,"&gt;=10/01/2019",TRAINING!B12:B5000,"&lt;=12/31/2019",TRAINING!D12:D5000,"Mandatory",TRAINING!AT12:AT5000,"YES")</f>
        <v>0</v>
      </c>
      <c r="AB11" s="326"/>
      <c r="AC11" s="326"/>
      <c r="AD11" s="327"/>
      <c r="AE11" s="733">
        <f>COUNTIFS(TRAINING!B12:B5000,"&gt;=01/01/2020",TRAINING!B12:B5000,"&lt;=03/31/2020",TRAINING!D12:D5000,"Mandatory",TRAINING!AT12:AT5000,"YES")</f>
        <v>0</v>
      </c>
      <c r="AF11" s="326"/>
      <c r="AG11" s="326"/>
      <c r="AH11" s="327"/>
      <c r="AI11" s="875">
        <f>COUNTIFS(TRAINING!B12:B5000,"&gt;=04/01/2020",TRAINING!B12:B5000,"&lt;=06/30/2020",TRAINING!D12:D5000,"Mandatory",TRAINING!AT12:AT5000,"YES")</f>
        <v>0</v>
      </c>
      <c r="AJ11" s="326"/>
      <c r="AK11" s="326"/>
      <c r="AL11" s="327"/>
      <c r="AM11" s="876">
        <f>COUNTIFS(TRAINING!B12:B5000,"&gt;=07/01/2020",TRAINING!B12:B5000,"&lt;=09/30/2020",TRAINING!D12:D5000,"Mandatory",TRAINING!AT12:AT5000,"YES")</f>
        <v>0</v>
      </c>
      <c r="AN11" s="326"/>
      <c r="AO11" s="326"/>
      <c r="AP11" s="327"/>
      <c r="AQ11" s="877">
        <f>COUNTIFS(TRAINING!B12:B5000,"&gt;=10/01/2020",TRAINING!B12:B5000,"&lt;=12/31/2020",TRAINING!D12:D5000,"Mandatory",TRAINING!AT12:AT5000,"YES")</f>
        <v>0</v>
      </c>
      <c r="AR11" s="326"/>
      <c r="AS11" s="326"/>
      <c r="AT11" s="327"/>
      <c r="AU11" s="878">
        <f>COUNTIFS(TRAINING!B12:B5000,"&gt;=01/01/2021",TRAINING!B12:B5000,"&lt;=03/31/2021",TRAINING!D12:D5000,"Mandatory",TRAINING!AT12:AT5000,"YES")</f>
        <v>0</v>
      </c>
      <c r="AV11" s="326"/>
      <c r="AW11" s="326"/>
      <c r="AX11" s="327"/>
      <c r="AY11" s="877">
        <f>COUNTIFS(TRAINING!B12:B5000,"&gt;=04/01/2020",TRAINING!B12:B5000,"&lt;=06/30/2020",TRAINING!D12:D5000,"Mandatory",TRAINING!AT12:AT5000,"YES")</f>
        <v>0</v>
      </c>
      <c r="AZ11" s="326"/>
      <c r="BA11" s="326"/>
      <c r="BB11" s="327"/>
      <c r="BC11" s="878">
        <f>COUNTIFS(TRAINING!B12:B5000,"&gt;=07/01/2021",TRAINING!B12:B5000,"&lt;=09/30/2021",TRAINING!D12:D5000,"Mandatory",TRAINING!AT12:AT5000,"YES")</f>
        <v>0</v>
      </c>
      <c r="BD11" s="326"/>
      <c r="BE11" s="326"/>
      <c r="BF11" s="327"/>
      <c r="BG11" s="874">
        <f>COUNTIFS(TRAINING!B12:B5000,"&gt;=10/01/2021",TRAINING!B12:B5000,"&lt;=12/31/2021",TRAINING!D12:D5000,"Mandatory",TRAINING!AT12:AT5000,"YES")</f>
        <v>0</v>
      </c>
      <c r="BH11" s="326"/>
      <c r="BI11" s="326"/>
      <c r="BJ11" s="327"/>
      <c r="BK11" s="853">
        <f>COUNTIFS(TRAINING!B12:B5000,"&gt;=01/01/2022",TRAINING!B12:B5000,"&lt;=03/31/2022",TRAINING!D12:D5000,"Mandatory",TRAINING!AT12:AT5000,"YES")</f>
        <v>0</v>
      </c>
      <c r="BL11" s="326"/>
      <c r="BM11" s="326"/>
      <c r="BN11" s="327"/>
      <c r="BO11" s="874">
        <f>COUNTIFS(TRAINING!B12:B5000,"&gt;=04/01/2022",TRAINING!B12:B5000,"&lt;=06/30/2022",TRAINING!D12:D5000,"Mandatory",TRAINING!AT12:AT5000,"YES")</f>
        <v>0</v>
      </c>
      <c r="BP11" s="326"/>
      <c r="BQ11" s="326"/>
      <c r="BR11" s="327"/>
      <c r="BS11" s="879">
        <f>COUNTIFS(TRAINING!B12:B5000,"&gt;=07/01/2022",TRAINING!B12:B5000,"&lt;=09/30/2022",TRAINING!D12:D5000,"Mandatory",TRAINING!AT12:AT5000,"YES")</f>
        <v>0</v>
      </c>
      <c r="BT11" s="326"/>
      <c r="BU11" s="326"/>
      <c r="BV11" s="327"/>
      <c r="BW11" s="162"/>
    </row>
    <row r="12" spans="1:75" ht="15.75" x14ac:dyDescent="0.25">
      <c r="A12" s="382" t="s">
        <v>680</v>
      </c>
      <c r="B12" s="326"/>
      <c r="C12" s="326"/>
      <c r="D12" s="326"/>
      <c r="E12" s="326"/>
      <c r="F12" s="326"/>
      <c r="G12" s="326"/>
      <c r="H12" s="327"/>
      <c r="I12" s="733">
        <f>'GRANTEE SET UP INFO &amp; DATE '!C18</f>
        <v>0</v>
      </c>
      <c r="J12" s="326"/>
      <c r="K12" s="326"/>
      <c r="L12" s="327"/>
      <c r="M12" s="734">
        <f>'GRANTEE SET UP INFO &amp; DATE '!F18</f>
        <v>0</v>
      </c>
      <c r="N12" s="326"/>
      <c r="O12" s="326"/>
      <c r="P12" s="326"/>
      <c r="Q12" s="327"/>
      <c r="R12" s="735" t="e">
        <f>'GRANTEE SET UP INFO &amp; DATE '!#REF!</f>
        <v>#REF!</v>
      </c>
      <c r="S12" s="326"/>
      <c r="T12" s="326"/>
      <c r="U12" s="326"/>
      <c r="V12" s="327"/>
      <c r="W12" s="880">
        <f>COUNTIFS(TRAINING!B12:B5000,"&gt;=07/01/2000",TRAINING!B12:B5000,"&lt;=09/30/2019",TRAINING!D12:D5000,"Mandatory",TRAINING!AU12:AU5000,"YES")</f>
        <v>0</v>
      </c>
      <c r="X12" s="326"/>
      <c r="Y12" s="326"/>
      <c r="Z12" s="327"/>
      <c r="AA12" s="881">
        <f>COUNTIFS(TRAINING!B12:B5000,"&gt;=10/01/2019",TRAINING!B12:B5000,"&lt;=12/31/2019",TRAINING!D12:D5000,"Mandatory",TRAINING!AU12:AU5000,"YES")</f>
        <v>0</v>
      </c>
      <c r="AB12" s="326"/>
      <c r="AC12" s="326"/>
      <c r="AD12" s="327"/>
      <c r="AE12" s="733">
        <f>COUNTIFS(TRAINING!B12:B5000,"&gt;=01/01/2020",TRAINING!B12:B5000,"&lt;=03/31/2020",TRAINING!D12:D5000,"Mandatory",TRAINING!AU12:AU5000,"YES")</f>
        <v>0</v>
      </c>
      <c r="AF12" s="326"/>
      <c r="AG12" s="326"/>
      <c r="AH12" s="327"/>
      <c r="AI12" s="875">
        <f>COUNTIFS(TRAINING!B12:B5000,"&gt;=04/01/2020",TRAINING!B12:B5000,"&lt;=06/30/2020",TRAINING!D12:D5000,"Mandatory",TRAINING!AU12:AU5000,"YES")</f>
        <v>0</v>
      </c>
      <c r="AJ12" s="326"/>
      <c r="AK12" s="326"/>
      <c r="AL12" s="327"/>
      <c r="AM12" s="876">
        <f>COUNTIFS(TRAINING!B12:B5000,"&gt;=07/01/2020",TRAINING!B12:B5000,"&lt;=09/30/2020",TRAINING!D12:D5000,"Mandatory",TRAINING!AU12:AU5000,"YES")</f>
        <v>0</v>
      </c>
      <c r="AN12" s="326"/>
      <c r="AO12" s="326"/>
      <c r="AP12" s="327"/>
      <c r="AQ12" s="877">
        <f>COUNTIFS(TRAINING!B12:B5000,"&gt;=10/01/2020",TRAINING!B12:B5000,"&lt;=12/31/2020",TRAINING!D12:D5000,"Mandatory",TRAINING!AU12:AU5000,"YES")</f>
        <v>0</v>
      </c>
      <c r="AR12" s="326"/>
      <c r="AS12" s="326"/>
      <c r="AT12" s="327"/>
      <c r="AU12" s="878">
        <f>COUNTIFS(TRAINING!B12:B5000,"&gt;=01/01/2021",TRAINING!B12:B5000,"&lt;=03/31/2021",TRAINING!D12:D5000,"Mandatory",TRAINING!AU12:AU5000,"YES")</f>
        <v>0</v>
      </c>
      <c r="AV12" s="326"/>
      <c r="AW12" s="326"/>
      <c r="AX12" s="327"/>
      <c r="AY12" s="877">
        <f>COUNTIFS(TRAINING!B12:B5000,"&gt;=04/01/2020",TRAINING!B12:B5000,"&lt;=06/30/2020",TRAINING!D12:D5000,"Mandatory",TRAINING!AU12:AU5000,"YES")</f>
        <v>0</v>
      </c>
      <c r="AZ12" s="326"/>
      <c r="BA12" s="326"/>
      <c r="BB12" s="327"/>
      <c r="BC12" s="878">
        <f>COUNTIFS(TRAINING!B12:B5000,"&gt;=07/01/2021",TRAINING!B12:B5000,"&lt;=09/30/2021",TRAINING!D12:D5000,"Mandatory",TRAINING!AU12:AU5000,"YES")</f>
        <v>0</v>
      </c>
      <c r="BD12" s="326"/>
      <c r="BE12" s="326"/>
      <c r="BF12" s="327"/>
      <c r="BG12" s="874">
        <f>COUNTIFS(TRAINING!B12:B5000,"&gt;=10/01/2021",TRAINING!B12:B5000,"&lt;=12/31/2021",TRAINING!D12:D5000,"Mandatory",TRAINING!AU12:AU5000,"YES")</f>
        <v>0</v>
      </c>
      <c r="BH12" s="326"/>
      <c r="BI12" s="326"/>
      <c r="BJ12" s="327"/>
      <c r="BK12" s="853">
        <f>COUNTIFS(TRAINING!B12:B5000,"&gt;=01/01/2022",TRAINING!B12:B5000,"&lt;=03/31/2022",TRAINING!D12:D5000,"Mandatory",TRAINING!AU12:AU5000,"YES")</f>
        <v>0</v>
      </c>
      <c r="BL12" s="326"/>
      <c r="BM12" s="326"/>
      <c r="BN12" s="327"/>
      <c r="BO12" s="874">
        <f>COUNTIFS(TRAINING!B12:B5000,"&gt;=04/01/2022",TRAINING!B12:B5000,"&lt;=06/30/2022",TRAINING!D12:D5000,"Mandatory",TRAINING!AU12:AU5000,"YES")</f>
        <v>0</v>
      </c>
      <c r="BP12" s="326"/>
      <c r="BQ12" s="326"/>
      <c r="BR12" s="327"/>
      <c r="BS12" s="879">
        <f>COUNTIFS(TRAINING!B12:B5000,"&gt;=07/01/2022",TRAINING!B12:B5000,"&lt;=09/30/2022",TRAINING!D12:D5000,"Mandatory",TRAINING!AU12:AU5000,"YES")</f>
        <v>0</v>
      </c>
      <c r="BT12" s="326"/>
      <c r="BU12" s="326"/>
      <c r="BV12" s="327"/>
      <c r="BW12" s="162"/>
    </row>
    <row r="13" spans="1:75" ht="15.75" x14ac:dyDescent="0.25">
      <c r="A13" s="382" t="s">
        <v>681</v>
      </c>
      <c r="B13" s="326"/>
      <c r="C13" s="326"/>
      <c r="D13" s="326"/>
      <c r="E13" s="326"/>
      <c r="F13" s="326"/>
      <c r="G13" s="326"/>
      <c r="H13" s="327"/>
      <c r="I13" s="733" t="e">
        <f>'GRANTEE SET UP INFO &amp; DATE '!#REF!</f>
        <v>#REF!</v>
      </c>
      <c r="J13" s="326"/>
      <c r="K13" s="326"/>
      <c r="L13" s="327"/>
      <c r="M13" s="747" t="e">
        <f>'GRANTEE SET UP INFO &amp; DATE '!#REF!</f>
        <v>#REF!</v>
      </c>
      <c r="N13" s="326"/>
      <c r="O13" s="326"/>
      <c r="P13" s="326"/>
      <c r="Q13" s="327"/>
      <c r="R13" s="748" t="e">
        <f>'GRANTEE SET UP INFO &amp; DATE '!#REF!</f>
        <v>#REF!</v>
      </c>
      <c r="S13" s="326"/>
      <c r="T13" s="326"/>
      <c r="U13" s="326"/>
      <c r="V13" s="327"/>
      <c r="W13" s="880">
        <f>COUNTIFS(TRAINING!B12:B5000,"&gt;=07/01/2000",TRAINING!B12:B5000,"&lt;=09/30/2019",TRAINING!D12:D5000,"Mandatory",TRAINING!AV12:AV5000,"YES")</f>
        <v>0</v>
      </c>
      <c r="X13" s="326"/>
      <c r="Y13" s="326"/>
      <c r="Z13" s="327"/>
      <c r="AA13" s="881">
        <f>COUNTIFS(TRAINING!B12:B5000,"&gt;=10/01/2019",TRAINING!B12:B5000,"&lt;=12/31/2019",TRAINING!D12:D5000,"Mandatory",TRAINING!AV12:AV5000,"YES")</f>
        <v>0</v>
      </c>
      <c r="AB13" s="326"/>
      <c r="AC13" s="326"/>
      <c r="AD13" s="327"/>
      <c r="AE13" s="733">
        <f>COUNTIFS(TRAINING!B12:B5000,"&gt;=01/01/2020",TRAINING!B12:B5000,"&lt;=03/31/2020",TRAINING!D12:D5000,"Mandatory",TRAINING!AV12:AV5000,"YES")</f>
        <v>0</v>
      </c>
      <c r="AF13" s="326"/>
      <c r="AG13" s="326"/>
      <c r="AH13" s="327"/>
      <c r="AI13" s="875">
        <f>COUNTIFS(TRAINING!B12:B5000,"&gt;=04/01/2020",TRAINING!B12:B5000,"&lt;=06/30/2020",TRAINING!D12:D5000,"Mandatory",TRAINING!AV12:AV5000,"YES")</f>
        <v>0</v>
      </c>
      <c r="AJ13" s="326"/>
      <c r="AK13" s="326"/>
      <c r="AL13" s="327"/>
      <c r="AM13" s="876">
        <f>COUNTIFS(TRAINING!B12:B5000,"&gt;=07/01/2020",TRAINING!B12:B5000,"&lt;=09/30/2020",TRAINING!D12:D5000,"Mandatory",TRAINING!AV12:AV5000,"YES")</f>
        <v>0</v>
      </c>
      <c r="AN13" s="326"/>
      <c r="AO13" s="326"/>
      <c r="AP13" s="327"/>
      <c r="AQ13" s="877">
        <f>COUNTIFS(TRAINING!B12:B5000,"&gt;=10/01/2020",TRAINING!B12:B5000,"&lt;=12/31/2020",TRAINING!D12:D5000,"Mandatory",TRAINING!AV12:AV5000,"YES")</f>
        <v>0</v>
      </c>
      <c r="AR13" s="326"/>
      <c r="AS13" s="326"/>
      <c r="AT13" s="327"/>
      <c r="AU13" s="878">
        <f>COUNTIFS(TRAINING!B12:B5000,"&gt;=01/01/2021",TRAINING!B12:B5000,"&lt;=03/31/2021",TRAINING!D12:D5000,"Mandatory",TRAINING!AV12:AV5000,"YES")</f>
        <v>0</v>
      </c>
      <c r="AV13" s="326"/>
      <c r="AW13" s="326"/>
      <c r="AX13" s="327"/>
      <c r="AY13" s="877">
        <f>COUNTIFS(TRAINING!B12:B5000,"&gt;=04/01/2020",TRAINING!B12:B5000,"&lt;=06/30/2020",TRAINING!D12:D5000,"Mandatory",TRAINING!AV12:AV5000,"YES")</f>
        <v>0</v>
      </c>
      <c r="AZ13" s="326"/>
      <c r="BA13" s="326"/>
      <c r="BB13" s="327"/>
      <c r="BC13" s="878">
        <f>COUNTIFS(TRAINING!B12:B5000,"&gt;=07/01/2021",TRAINING!B12:B5000,"&lt;=09/30/2021",TRAINING!D12:D5000,"Mandatory",TRAINING!AV12:AV5000,"YES")</f>
        <v>0</v>
      </c>
      <c r="BD13" s="326"/>
      <c r="BE13" s="326"/>
      <c r="BF13" s="327"/>
      <c r="BG13" s="874">
        <f>COUNTIFS(TRAINING!B12:B5000,"&gt;=10/01/2021",TRAINING!B12:B5000,"&lt;=12/31/2021",TRAINING!D12:D5000,"Mandatory",TRAINING!AV12:AV5000,"YES")</f>
        <v>0</v>
      </c>
      <c r="BH13" s="326"/>
      <c r="BI13" s="326"/>
      <c r="BJ13" s="327"/>
      <c r="BK13" s="853">
        <f>COUNTIFS(TRAINING!B12:B5000,"&gt;=01/01/2022",TRAINING!B12:B5000,"&lt;=03/31/2022",TRAINING!D12:D5000,"Mandatory",TRAINING!AV12:AV5000,"YES")</f>
        <v>0</v>
      </c>
      <c r="BL13" s="326"/>
      <c r="BM13" s="326"/>
      <c r="BN13" s="327"/>
      <c r="BO13" s="874">
        <f>COUNTIFS(TRAINING!B12:B5000,"&gt;=04/01/2022",TRAINING!B12:B5000,"&lt;=06/30/2022",TRAINING!D12:D5000,"Mandatory",TRAINING!AV12:AV5000,"YES")</f>
        <v>0</v>
      </c>
      <c r="BP13" s="326"/>
      <c r="BQ13" s="326"/>
      <c r="BR13" s="327"/>
      <c r="BS13" s="879">
        <f>COUNTIFS(TRAINING!B12:B5000,"&gt;=07/01/2022",TRAINING!B12:B5000,"&lt;=09/30/2022",TRAINING!D12:D5000,"Mandatory",TRAINING!AV12:AV5000,"YES")</f>
        <v>0</v>
      </c>
      <c r="BT13" s="326"/>
      <c r="BU13" s="326"/>
      <c r="BV13" s="327"/>
      <c r="BW13" s="162"/>
    </row>
    <row r="14" spans="1:75" ht="15.75" x14ac:dyDescent="0.25">
      <c r="A14" s="382" t="s">
        <v>682</v>
      </c>
      <c r="B14" s="326"/>
      <c r="C14" s="326"/>
      <c r="D14" s="326"/>
      <c r="E14" s="326"/>
      <c r="F14" s="326"/>
      <c r="G14" s="326"/>
      <c r="H14" s="327"/>
      <c r="I14" s="733" t="e">
        <f>'GRANTEE SET UP INFO &amp; DATE '!#REF!</f>
        <v>#REF!</v>
      </c>
      <c r="J14" s="326"/>
      <c r="K14" s="326"/>
      <c r="L14" s="327"/>
      <c r="M14" s="747" t="e">
        <f>'GRANTEE SET UP INFO &amp; DATE '!#REF!</f>
        <v>#REF!</v>
      </c>
      <c r="N14" s="326"/>
      <c r="O14" s="326"/>
      <c r="P14" s="326"/>
      <c r="Q14" s="327"/>
      <c r="R14" s="748" t="e">
        <f>'GRANTEE SET UP INFO &amp; DATE '!#REF!</f>
        <v>#REF!</v>
      </c>
      <c r="S14" s="326"/>
      <c r="T14" s="326"/>
      <c r="U14" s="326"/>
      <c r="V14" s="327"/>
      <c r="W14" s="880">
        <f>COUNTIFS(TRAINING!B12:B5000,"&gt;=07/01/2000",TRAINING!B12:B5000,"&lt;=09/30/2019",TRAINING!D12:D5000,"Mandatory",TRAINING!AW12:AW5000,"YES")</f>
        <v>0</v>
      </c>
      <c r="X14" s="326"/>
      <c r="Y14" s="326"/>
      <c r="Z14" s="327"/>
      <c r="AA14" s="881">
        <f>COUNTIFS(TRAINING!B12:B5000,"&gt;=10/01/2019",TRAINING!B12:B5000,"&lt;=12/31/2019",TRAINING!D12:D5000,"Mandatory",TRAINING!AW12:AW5000,"YES")</f>
        <v>0</v>
      </c>
      <c r="AB14" s="326"/>
      <c r="AC14" s="326"/>
      <c r="AD14" s="327"/>
      <c r="AE14" s="733">
        <f>COUNTIFS(TRAINING!B12:B5000,"&gt;=01/01/2020",TRAINING!B12:B5000,"&lt;=03/31/2020",TRAINING!D12:D5000,"Mandatory",TRAINING!AW12:AW5000,"YES")</f>
        <v>0</v>
      </c>
      <c r="AF14" s="326"/>
      <c r="AG14" s="326"/>
      <c r="AH14" s="327"/>
      <c r="AI14" s="875">
        <f>COUNTIFS(TRAINING!B12:B5000,"&gt;=04/01/2020",TRAINING!B12:B5000,"&lt;=06/30/2020",TRAINING!D12:D5000,"Mandatory",TRAINING!AW12:AW5000,"YES")</f>
        <v>0</v>
      </c>
      <c r="AJ14" s="326"/>
      <c r="AK14" s="326"/>
      <c r="AL14" s="327"/>
      <c r="AM14" s="876">
        <f>COUNTIFS(TRAINING!B12:B5000,"&gt;=07/01/2020",TRAINING!B12:B5000,"&lt;=09/30/2020",TRAINING!D12:D5000,"Mandatory",TRAINING!AW12:AW5000,"YES")</f>
        <v>0</v>
      </c>
      <c r="AN14" s="326"/>
      <c r="AO14" s="326"/>
      <c r="AP14" s="327"/>
      <c r="AQ14" s="877">
        <f>COUNTIFS(TRAINING!B12:B5000,"&gt;=10/01/2020",TRAINING!B12:B5000,"&lt;=12/31/2020",TRAINING!D12:D5000,"Mandatory",TRAINING!AW12:AW5000,"YES")</f>
        <v>0</v>
      </c>
      <c r="AR14" s="326"/>
      <c r="AS14" s="326"/>
      <c r="AT14" s="327"/>
      <c r="AU14" s="878">
        <f>COUNTIFS(TRAINING!B12:B5000,"&gt;=01/01/2021",TRAINING!B12:B5000,"&lt;=03/31/2021",TRAINING!D12:D5000,"Mandatory",TRAINING!AW12:AW5000,"YES")</f>
        <v>0</v>
      </c>
      <c r="AV14" s="326"/>
      <c r="AW14" s="326"/>
      <c r="AX14" s="327"/>
      <c r="AY14" s="877">
        <f>COUNTIFS(TRAINING!B12:B5000,"&gt;=04/01/2020",TRAINING!B12:B5000,"&lt;=06/30/2020",TRAINING!D12:D5000,"Mandatory",TRAINING!AW12:AW5000,"YES")</f>
        <v>0</v>
      </c>
      <c r="AZ14" s="326"/>
      <c r="BA14" s="326"/>
      <c r="BB14" s="327"/>
      <c r="BC14" s="878">
        <f>COUNTIFS(TRAINING!B12:B5000,"&gt;=07/01/2021",TRAINING!B12:B5000,"&lt;=09/30/2021",TRAINING!D12:D5000,"Mandatory",TRAINING!AW12:AW5000,"YES")</f>
        <v>0</v>
      </c>
      <c r="BD14" s="326"/>
      <c r="BE14" s="326"/>
      <c r="BF14" s="327"/>
      <c r="BG14" s="874">
        <f>COUNTIFS(TRAINING!B12:B5000,"&gt;=10/01/2021",TRAINING!B12:B5000,"&lt;=12/31/2021",TRAINING!D12:D5000,"Mandatory",TRAINING!AW12:AW5000,"YES")</f>
        <v>0</v>
      </c>
      <c r="BH14" s="326"/>
      <c r="BI14" s="326"/>
      <c r="BJ14" s="327"/>
      <c r="BK14" s="853">
        <f>COUNTIFS(TRAINING!B12:B5000,"&gt;=01/01/2022",TRAINING!B12:B5000,"&lt;=03/31/2022",TRAINING!D12:D5000,"Mandatory",TRAINING!AW12:AW5000,"YES")</f>
        <v>0</v>
      </c>
      <c r="BL14" s="326"/>
      <c r="BM14" s="326"/>
      <c r="BN14" s="327"/>
      <c r="BO14" s="874">
        <f>COUNTIFS(TRAINING!B12:B5000,"&gt;=04/01/2022",TRAINING!B12:B5000,"&lt;=06/30/2022",TRAINING!D12:D5000,"Mandatory",TRAINING!AW12:AW5000,"YES")</f>
        <v>0</v>
      </c>
      <c r="BP14" s="326"/>
      <c r="BQ14" s="326"/>
      <c r="BR14" s="327"/>
      <c r="BS14" s="879">
        <f>COUNTIFS(TRAINING!B12:B5000,"&gt;=07/01/2022",TRAINING!B12:B5000,"&lt;=09/30/2022",TRAINING!D12:D5000,"Mandatory",TRAINING!AW12:AW5000,"YES")</f>
        <v>0</v>
      </c>
      <c r="BT14" s="326"/>
      <c r="BU14" s="326"/>
      <c r="BV14" s="327"/>
      <c r="BW14" s="162"/>
    </row>
    <row r="15" spans="1:75" ht="15.75" x14ac:dyDescent="0.25">
      <c r="A15" s="382" t="s">
        <v>683</v>
      </c>
      <c r="B15" s="326"/>
      <c r="C15" s="326"/>
      <c r="D15" s="326"/>
      <c r="E15" s="326"/>
      <c r="F15" s="326"/>
      <c r="G15" s="326"/>
      <c r="H15" s="327"/>
      <c r="I15" s="733" t="e">
        <f>'GRANTEE SET UP INFO &amp; DATE '!#REF!</f>
        <v>#REF!</v>
      </c>
      <c r="J15" s="326"/>
      <c r="K15" s="326"/>
      <c r="L15" s="327"/>
      <c r="M15" s="747" t="e">
        <f>'GRANTEE SET UP INFO &amp; DATE '!#REF!</f>
        <v>#REF!</v>
      </c>
      <c r="N15" s="326"/>
      <c r="O15" s="326"/>
      <c r="P15" s="326"/>
      <c r="Q15" s="327"/>
      <c r="R15" s="748" t="e">
        <f>'GRANTEE SET UP INFO &amp; DATE '!#REF!</f>
        <v>#REF!</v>
      </c>
      <c r="S15" s="326"/>
      <c r="T15" s="326"/>
      <c r="U15" s="326"/>
      <c r="V15" s="327"/>
      <c r="W15" s="880">
        <f>COUNTIFS(TRAINING!B12:B5000,"&gt;=07/01/2000",TRAINING!B12:B5000,"&lt;=09/30/2019",TRAINING!D12:D5000,"Mandatory",TRAINING!AX12:AX5000,"YES")</f>
        <v>0</v>
      </c>
      <c r="X15" s="326"/>
      <c r="Y15" s="326"/>
      <c r="Z15" s="327"/>
      <c r="AA15" s="881">
        <f>COUNTIFS(TRAINING!B12:B5000,"&gt;=10/01/2019",TRAINING!B12:B5000,"&lt;=12/31/2019",TRAINING!D12:D5000,"Mandatory",TRAINING!AX12:AX5000,"YES")</f>
        <v>0</v>
      </c>
      <c r="AB15" s="326"/>
      <c r="AC15" s="326"/>
      <c r="AD15" s="327"/>
      <c r="AE15" s="733">
        <f>COUNTIFS(TRAINING!B12:B5000,"&gt;=01/01/2020",TRAINING!B12:B5000,"&lt;=03/31/2020",TRAINING!D12:D5000,"Mandatory",TRAINING!AX12:AX5000,"YES")</f>
        <v>0</v>
      </c>
      <c r="AF15" s="326"/>
      <c r="AG15" s="326"/>
      <c r="AH15" s="327"/>
      <c r="AI15" s="875">
        <f>COUNTIFS(TRAINING!B12:B5000,"&gt;=04/01/2020",TRAINING!B12:B5000,"&lt;=06/30/2020",TRAINING!D12:D5000,"Mandatory",TRAINING!AX12:AX5000,"YES")</f>
        <v>0</v>
      </c>
      <c r="AJ15" s="326"/>
      <c r="AK15" s="326"/>
      <c r="AL15" s="327"/>
      <c r="AM15" s="876">
        <f>COUNTIFS(TRAINING!B12:B5000,"&gt;=07/01/2020",TRAINING!B12:B5000,"&lt;=09/30/2020",TRAINING!D12:D5000,"Mandatory",TRAINING!AX12:AX5000,"YES")</f>
        <v>0</v>
      </c>
      <c r="AN15" s="326"/>
      <c r="AO15" s="326"/>
      <c r="AP15" s="327"/>
      <c r="AQ15" s="877">
        <f>COUNTIFS(TRAINING!B12:B5000,"&gt;=10/01/2020",TRAINING!B12:B5000,"&lt;=12/31/2020",TRAINING!D12:D5000,"Mandatory",TRAINING!AX12:AX5000,"YES")</f>
        <v>0</v>
      </c>
      <c r="AR15" s="326"/>
      <c r="AS15" s="326"/>
      <c r="AT15" s="327"/>
      <c r="AU15" s="878">
        <f>COUNTIFS(TRAINING!B12:B5000,"&gt;=01/01/2021",TRAINING!B12:B5000,"&lt;=03/31/2021",TRAINING!D12:D5000,"Mandatory",TRAINING!AX12:AX5000,"YES")</f>
        <v>0</v>
      </c>
      <c r="AV15" s="326"/>
      <c r="AW15" s="326"/>
      <c r="AX15" s="327"/>
      <c r="AY15" s="877">
        <f>COUNTIFS(TRAINING!B12:B5000,"&gt;=04/01/2020",TRAINING!B12:B5000,"&lt;=06/30/2020",TRAINING!D12:D5000,"Mandatory",TRAINING!AX12:AX5000,"YES")</f>
        <v>0</v>
      </c>
      <c r="AZ15" s="326"/>
      <c r="BA15" s="326"/>
      <c r="BB15" s="327"/>
      <c r="BC15" s="878">
        <f>COUNTIFS(TRAINING!B12:B5000,"&gt;=07/01/2021",TRAINING!B12:B5000,"&lt;=09/30/2021",TRAINING!D12:D5000,"Mandatory",TRAINING!AX12:AX5000,"YES")</f>
        <v>0</v>
      </c>
      <c r="BD15" s="326"/>
      <c r="BE15" s="326"/>
      <c r="BF15" s="327"/>
      <c r="BG15" s="874">
        <f>COUNTIFS(TRAINING!B12:B5000,"&gt;=10/01/2021",TRAINING!B12:B5000,"&lt;=12/31/2021",TRAINING!D12:D5000,"Mandatory",TRAINING!AX12:AX5000,"YES")</f>
        <v>0</v>
      </c>
      <c r="BH15" s="326"/>
      <c r="BI15" s="326"/>
      <c r="BJ15" s="327"/>
      <c r="BK15" s="853">
        <f>COUNTIFS(TRAINING!B12:B5000,"&gt;=01/01/2022",TRAINING!B12:B5000,"&lt;=03/31/2022",TRAINING!D12:D5000,"Mandatory",TRAINING!AX12:AX5000,"YES")</f>
        <v>0</v>
      </c>
      <c r="BL15" s="326"/>
      <c r="BM15" s="326"/>
      <c r="BN15" s="327"/>
      <c r="BO15" s="874">
        <f>COUNTIFS(TRAINING!B12:B5000,"&gt;=04/01/2022",TRAINING!B12:B5000,"&lt;=06/30/2022",TRAINING!D12:D5000,"Mandatory",TRAINING!AX12:AX5000,"YES")</f>
        <v>0</v>
      </c>
      <c r="BP15" s="326"/>
      <c r="BQ15" s="326"/>
      <c r="BR15" s="327"/>
      <c r="BS15" s="879">
        <f>COUNTIFS(TRAINING!B12:B5000,"&gt;=07/01/2022",TRAINING!B12:B5000,"&lt;=09/30/2022",TRAINING!D12:D5000,"Mandatory",TRAINING!AX12:AX5000,"YES")</f>
        <v>0</v>
      </c>
      <c r="BT15" s="326"/>
      <c r="BU15" s="326"/>
      <c r="BV15" s="327"/>
      <c r="BW15" s="162"/>
    </row>
    <row r="16" spans="1:75" ht="15.75" x14ac:dyDescent="0.25">
      <c r="A16" s="382" t="s">
        <v>684</v>
      </c>
      <c r="B16" s="326"/>
      <c r="C16" s="326"/>
      <c r="D16" s="326"/>
      <c r="E16" s="326"/>
      <c r="F16" s="326"/>
      <c r="G16" s="326"/>
      <c r="H16" s="327"/>
      <c r="I16" s="733" t="e">
        <f>'GRANTEE SET UP INFO &amp; DATE '!#REF!</f>
        <v>#REF!</v>
      </c>
      <c r="J16" s="326"/>
      <c r="K16" s="326"/>
      <c r="L16" s="327"/>
      <c r="M16" s="747" t="e">
        <f>'GRANTEE SET UP INFO &amp; DATE '!#REF!</f>
        <v>#REF!</v>
      </c>
      <c r="N16" s="326"/>
      <c r="O16" s="326"/>
      <c r="P16" s="326"/>
      <c r="Q16" s="327"/>
      <c r="R16" s="748" t="e">
        <f>'GRANTEE SET UP INFO &amp; DATE '!#REF!</f>
        <v>#REF!</v>
      </c>
      <c r="S16" s="326"/>
      <c r="T16" s="326"/>
      <c r="U16" s="326"/>
      <c r="V16" s="327"/>
      <c r="W16" s="880">
        <f>COUNTIFS(TRAINING!B12:B5000,"&gt;=07/01/2000",TRAINING!B12:B5000,"&lt;=09/30/2019",TRAINING!D12:D5000,"Mandatory",TRAINING!AY12:AY5000,"YES")</f>
        <v>0</v>
      </c>
      <c r="X16" s="326"/>
      <c r="Y16" s="326"/>
      <c r="Z16" s="327"/>
      <c r="AA16" s="881">
        <f>COUNTIFS(TRAINING!B12:B5000,"&gt;=10/01/2019",TRAINING!B12:B5000,"&lt;=12/31/2019",TRAINING!D12:D5000,"Mandatory",TRAINING!AY12:AY5000,"YES")</f>
        <v>0</v>
      </c>
      <c r="AB16" s="326"/>
      <c r="AC16" s="326"/>
      <c r="AD16" s="327"/>
      <c r="AE16" s="733">
        <f>COUNTIFS(TRAINING!B12:B5000,"&gt;=01/01/2020",TRAINING!B12:B5000,"&lt;=03/31/2020",TRAINING!D12:D5000,"Mandatory",TRAINING!AY12:AY5000,"YES")</f>
        <v>0</v>
      </c>
      <c r="AF16" s="326"/>
      <c r="AG16" s="326"/>
      <c r="AH16" s="327"/>
      <c r="AI16" s="875">
        <f>COUNTIFS(TRAINING!B12:B5000,"&gt;=04/01/2020",TRAINING!B12:B5000,"&lt;=06/30/2020",TRAINING!D12:D5000,"Mandatory",TRAINING!AY12:AY5000,"YES")</f>
        <v>0</v>
      </c>
      <c r="AJ16" s="326"/>
      <c r="AK16" s="326"/>
      <c r="AL16" s="327"/>
      <c r="AM16" s="876">
        <f>COUNTIFS(TRAINING!B12:B5000,"&gt;=07/01/2020",TRAINING!B12:B5000,"&lt;=09/30/2020",TRAINING!D12:D5000,"Mandatory",TRAINING!AY12:AY5000,"YES")</f>
        <v>0</v>
      </c>
      <c r="AN16" s="326"/>
      <c r="AO16" s="326"/>
      <c r="AP16" s="327"/>
      <c r="AQ16" s="877">
        <f>COUNTIFS(TRAINING!B12:B5000,"&gt;=10/01/2020",TRAINING!B12:B5000,"&lt;=12/31/2020",TRAINING!D12:D5000,"Mandatory",TRAINING!AY12:AY5000,"YES")</f>
        <v>0</v>
      </c>
      <c r="AR16" s="326"/>
      <c r="AS16" s="326"/>
      <c r="AT16" s="327"/>
      <c r="AU16" s="878">
        <f>COUNTIFS(TRAINING!B12:B5000,"&gt;=01/01/2021",TRAINING!B12:B5000,"&lt;=03/31/2021",TRAINING!D12:D5000,"Mandatory",TRAINING!AY12:AY5000,"YES")</f>
        <v>0</v>
      </c>
      <c r="AV16" s="326"/>
      <c r="AW16" s="326"/>
      <c r="AX16" s="327"/>
      <c r="AY16" s="877">
        <f>COUNTIFS(TRAINING!B12:B5000,"&gt;=04/01/2020",TRAINING!B12:B5000,"&lt;=06/30/2020",TRAINING!D12:D5000,"Mandatory",TRAINING!AY12:AY5000,"YES")</f>
        <v>0</v>
      </c>
      <c r="AZ16" s="326"/>
      <c r="BA16" s="326"/>
      <c r="BB16" s="327"/>
      <c r="BC16" s="878">
        <f>COUNTIFS(TRAINING!B12:B5000,"&gt;=07/01/2021",TRAINING!B12:B5000,"&lt;=09/30/2021",TRAINING!D12:D5000,"Mandatory",TRAINING!AY12:AY5000,"YES")</f>
        <v>0</v>
      </c>
      <c r="BD16" s="326"/>
      <c r="BE16" s="326"/>
      <c r="BF16" s="327"/>
      <c r="BG16" s="874">
        <f>COUNTIFS(TRAINING!B12:B5000,"&gt;=10/01/2021",TRAINING!B12:B5000,"&lt;=12/31/2021",TRAINING!D12:D5000,"Mandatory",TRAINING!AY12:AY5000,"YES")</f>
        <v>0</v>
      </c>
      <c r="BH16" s="326"/>
      <c r="BI16" s="326"/>
      <c r="BJ16" s="327"/>
      <c r="BK16" s="853">
        <f>COUNTIFS(TRAINING!B12:B5000,"&gt;=01/01/2022",TRAINING!B12:B5000,"&lt;=03/31/2022",TRAINING!D12:D5000,"Mandatory",TRAINING!AY12:AY5000,"YES")</f>
        <v>0</v>
      </c>
      <c r="BL16" s="326"/>
      <c r="BM16" s="326"/>
      <c r="BN16" s="327"/>
      <c r="BO16" s="874">
        <f>COUNTIFS(TRAINING!B12:B5000,"&gt;=04/01/2022",TRAINING!B12:B5000,"&lt;=06/30/2022",TRAINING!D12:D5000,"Mandatory",TRAINING!AY12:AY5000,"YES")</f>
        <v>0</v>
      </c>
      <c r="BP16" s="326"/>
      <c r="BQ16" s="326"/>
      <c r="BR16" s="327"/>
      <c r="BS16" s="879">
        <f>COUNTIFS(TRAINING!B12:B5000,"&gt;=07/01/2022",TRAINING!B12:B5000,"&lt;=09/30/2022",TRAINING!D12:D5000,"Mandatory",TRAINING!AY12:AY5000,"YES")</f>
        <v>0</v>
      </c>
      <c r="BT16" s="326"/>
      <c r="BU16" s="326"/>
      <c r="BV16" s="327"/>
      <c r="BW16" s="162"/>
    </row>
    <row r="17" spans="1:75" ht="15.75" x14ac:dyDescent="0.25">
      <c r="A17" s="382"/>
      <c r="B17" s="326"/>
      <c r="C17" s="326"/>
      <c r="D17" s="326"/>
      <c r="E17" s="326"/>
      <c r="F17" s="326"/>
      <c r="G17" s="326"/>
      <c r="H17" s="327"/>
      <c r="I17" s="746"/>
      <c r="J17" s="326"/>
      <c r="K17" s="326"/>
      <c r="L17" s="327"/>
      <c r="M17" s="747"/>
      <c r="N17" s="326"/>
      <c r="O17" s="326"/>
      <c r="P17" s="326"/>
      <c r="Q17" s="327"/>
      <c r="R17" s="748"/>
      <c r="S17" s="326"/>
      <c r="T17" s="326"/>
      <c r="U17" s="326"/>
      <c r="V17" s="327"/>
      <c r="W17" s="880"/>
      <c r="X17" s="326"/>
      <c r="Y17" s="326"/>
      <c r="Z17" s="327"/>
      <c r="AA17" s="456"/>
      <c r="AB17" s="326"/>
      <c r="AC17" s="326"/>
      <c r="AD17" s="327"/>
      <c r="AE17" s="733"/>
      <c r="AF17" s="326"/>
      <c r="AG17" s="326"/>
      <c r="AH17" s="327"/>
      <c r="AI17" s="883"/>
      <c r="AJ17" s="326"/>
      <c r="AK17" s="326"/>
      <c r="AL17" s="327"/>
      <c r="AM17" s="746"/>
      <c r="AN17" s="326"/>
      <c r="AO17" s="326"/>
      <c r="AP17" s="327"/>
      <c r="AQ17" s="412"/>
      <c r="AR17" s="326"/>
      <c r="AS17" s="326"/>
      <c r="AT17" s="327"/>
      <c r="AU17" s="878"/>
      <c r="AV17" s="326"/>
      <c r="AW17" s="326"/>
      <c r="AX17" s="327"/>
      <c r="AY17" s="412"/>
      <c r="AZ17" s="326"/>
      <c r="BA17" s="326"/>
      <c r="BB17" s="327"/>
      <c r="BC17" s="878"/>
      <c r="BD17" s="326"/>
      <c r="BE17" s="326"/>
      <c r="BF17" s="327"/>
      <c r="BG17" s="874"/>
      <c r="BH17" s="326"/>
      <c r="BI17" s="326"/>
      <c r="BJ17" s="327"/>
      <c r="BK17" s="853"/>
      <c r="BL17" s="326"/>
      <c r="BM17" s="326"/>
      <c r="BN17" s="327"/>
      <c r="BO17" s="882"/>
      <c r="BP17" s="326"/>
      <c r="BQ17" s="326"/>
      <c r="BR17" s="327"/>
      <c r="BS17" s="852"/>
      <c r="BT17" s="326"/>
      <c r="BU17" s="326"/>
      <c r="BV17" s="327"/>
      <c r="BW17" s="162"/>
    </row>
    <row r="18" spans="1:75" ht="15.75" x14ac:dyDescent="0.25">
      <c r="A18" s="895" t="s">
        <v>569</v>
      </c>
      <c r="B18" s="326"/>
      <c r="C18" s="326"/>
      <c r="D18" s="326"/>
      <c r="E18" s="326"/>
      <c r="F18" s="326"/>
      <c r="G18" s="326"/>
      <c r="H18" s="326"/>
      <c r="I18" s="326"/>
      <c r="J18" s="326"/>
      <c r="K18" s="326"/>
      <c r="L18" s="326"/>
      <c r="M18" s="326"/>
      <c r="N18" s="326"/>
      <c r="O18" s="326"/>
      <c r="P18" s="326"/>
      <c r="Q18" s="326"/>
      <c r="R18" s="326"/>
      <c r="S18" s="326"/>
      <c r="T18" s="326"/>
      <c r="U18" s="326"/>
      <c r="V18" s="327"/>
      <c r="W18" s="896">
        <f>SUM(W5:W17)</f>
        <v>0</v>
      </c>
      <c r="X18" s="326"/>
      <c r="Y18" s="326"/>
      <c r="Z18" s="327"/>
      <c r="AA18" s="849">
        <f>SUM(AA5:AA17)</f>
        <v>0</v>
      </c>
      <c r="AB18" s="326"/>
      <c r="AC18" s="326"/>
      <c r="AD18" s="327"/>
      <c r="AE18" s="719">
        <f>SUM(AE5:AE17)</f>
        <v>0</v>
      </c>
      <c r="AF18" s="326"/>
      <c r="AG18" s="326"/>
      <c r="AH18" s="327"/>
      <c r="AI18" s="849">
        <f>SUM(AI5:AI17)</f>
        <v>0</v>
      </c>
      <c r="AJ18" s="326"/>
      <c r="AK18" s="326"/>
      <c r="AL18" s="327"/>
      <c r="AM18" s="719">
        <f>SUM(AM5:AM17)</f>
        <v>0</v>
      </c>
      <c r="AN18" s="326"/>
      <c r="AO18" s="326"/>
      <c r="AP18" s="327"/>
      <c r="AQ18" s="891">
        <f>SUM(AQ5:AQ17)</f>
        <v>0</v>
      </c>
      <c r="AR18" s="326"/>
      <c r="AS18" s="326"/>
      <c r="AT18" s="327"/>
      <c r="AU18" s="714">
        <f>SUM(AU5:AU17)</f>
        <v>0</v>
      </c>
      <c r="AV18" s="326"/>
      <c r="AW18" s="326"/>
      <c r="AX18" s="327"/>
      <c r="AY18" s="891">
        <f>SUM(AY5:BB17)</f>
        <v>0</v>
      </c>
      <c r="AZ18" s="326"/>
      <c r="BA18" s="326"/>
      <c r="BB18" s="327"/>
      <c r="BC18" s="714">
        <f>SUM(BC5:BC17)</f>
        <v>0</v>
      </c>
      <c r="BD18" s="326"/>
      <c r="BE18" s="326"/>
      <c r="BF18" s="327"/>
      <c r="BG18" s="892">
        <f>SUM(BG5:BG17)</f>
        <v>0</v>
      </c>
      <c r="BH18" s="326"/>
      <c r="BI18" s="326"/>
      <c r="BJ18" s="327"/>
      <c r="BK18" s="832">
        <f>SUM(BK5:BK17)</f>
        <v>0</v>
      </c>
      <c r="BL18" s="326"/>
      <c r="BM18" s="326"/>
      <c r="BN18" s="327"/>
      <c r="BO18" s="893">
        <f>SUM(BO5:BO17)</f>
        <v>0</v>
      </c>
      <c r="BP18" s="326"/>
      <c r="BQ18" s="326"/>
      <c r="BR18" s="327"/>
      <c r="BS18" s="894">
        <f>SUM(BS5:BS17)</f>
        <v>0</v>
      </c>
      <c r="BT18" s="326"/>
      <c r="BU18" s="326"/>
      <c r="BV18" s="327"/>
      <c r="BW18" s="162"/>
    </row>
    <row r="19" spans="1:75" x14ac:dyDescent="0.25">
      <c r="A19" s="162"/>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row>
    <row r="20" spans="1:75" ht="18.75" x14ac:dyDescent="0.25">
      <c r="A20" s="886" t="s">
        <v>721</v>
      </c>
      <c r="B20" s="326"/>
      <c r="C20" s="326"/>
      <c r="D20" s="326"/>
      <c r="E20" s="326"/>
      <c r="F20" s="326"/>
      <c r="G20" s="326"/>
      <c r="H20" s="326"/>
      <c r="I20" s="326"/>
      <c r="J20" s="326"/>
      <c r="K20" s="326"/>
      <c r="L20" s="326"/>
      <c r="M20" s="326"/>
      <c r="N20" s="326"/>
      <c r="O20" s="326"/>
      <c r="P20" s="326"/>
      <c r="Q20" s="326"/>
      <c r="R20" s="326"/>
      <c r="S20" s="326"/>
      <c r="T20" s="326"/>
      <c r="U20" s="326"/>
      <c r="V20" s="327"/>
      <c r="W20" s="887" t="s">
        <v>722</v>
      </c>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7"/>
      <c r="BW20" s="162"/>
    </row>
    <row r="21" spans="1:75" ht="15.75" customHeight="1" x14ac:dyDescent="0.25">
      <c r="A21" s="887" t="s">
        <v>668</v>
      </c>
      <c r="B21" s="326"/>
      <c r="C21" s="326"/>
      <c r="D21" s="326"/>
      <c r="E21" s="326"/>
      <c r="F21" s="326"/>
      <c r="G21" s="326"/>
      <c r="H21" s="327"/>
      <c r="I21" s="887" t="s">
        <v>669</v>
      </c>
      <c r="J21" s="326"/>
      <c r="K21" s="326"/>
      <c r="L21" s="327"/>
      <c r="M21" s="888" t="s">
        <v>670</v>
      </c>
      <c r="N21" s="326"/>
      <c r="O21" s="326"/>
      <c r="P21" s="326"/>
      <c r="Q21" s="327"/>
      <c r="R21" s="889" t="s">
        <v>671</v>
      </c>
      <c r="S21" s="326"/>
      <c r="T21" s="326"/>
      <c r="U21" s="326"/>
      <c r="V21" s="327"/>
      <c r="W21" s="890" t="s">
        <v>708</v>
      </c>
      <c r="X21" s="326"/>
      <c r="Y21" s="326"/>
      <c r="Z21" s="327"/>
      <c r="AA21" s="631" t="s">
        <v>709</v>
      </c>
      <c r="AB21" s="326"/>
      <c r="AC21" s="326"/>
      <c r="AD21" s="327"/>
      <c r="AE21" s="897" t="s">
        <v>710</v>
      </c>
      <c r="AF21" s="326"/>
      <c r="AG21" s="326"/>
      <c r="AH21" s="327"/>
      <c r="AI21" s="631" t="s">
        <v>711</v>
      </c>
      <c r="AJ21" s="326"/>
      <c r="AK21" s="326"/>
      <c r="AL21" s="327"/>
      <c r="AM21" s="897" t="s">
        <v>712</v>
      </c>
      <c r="AN21" s="326"/>
      <c r="AO21" s="326"/>
      <c r="AP21" s="327"/>
      <c r="AQ21" s="898" t="s">
        <v>713</v>
      </c>
      <c r="AR21" s="326"/>
      <c r="AS21" s="326"/>
      <c r="AT21" s="327"/>
      <c r="AU21" s="899" t="s">
        <v>714</v>
      </c>
      <c r="AV21" s="326"/>
      <c r="AW21" s="326"/>
      <c r="AX21" s="327"/>
      <c r="AY21" s="898" t="s">
        <v>715</v>
      </c>
      <c r="AZ21" s="326"/>
      <c r="BA21" s="326"/>
      <c r="BB21" s="327"/>
      <c r="BC21" s="899" t="s">
        <v>716</v>
      </c>
      <c r="BD21" s="326"/>
      <c r="BE21" s="326"/>
      <c r="BF21" s="327"/>
      <c r="BG21" s="884" t="s">
        <v>717</v>
      </c>
      <c r="BH21" s="326"/>
      <c r="BI21" s="326"/>
      <c r="BJ21" s="327"/>
      <c r="BK21" s="885" t="s">
        <v>718</v>
      </c>
      <c r="BL21" s="326"/>
      <c r="BM21" s="326"/>
      <c r="BN21" s="327"/>
      <c r="BO21" s="884" t="s">
        <v>719</v>
      </c>
      <c r="BP21" s="326"/>
      <c r="BQ21" s="326"/>
      <c r="BR21" s="327"/>
      <c r="BS21" s="885" t="s">
        <v>720</v>
      </c>
      <c r="BT21" s="326"/>
      <c r="BU21" s="326"/>
      <c r="BV21" s="327"/>
      <c r="BW21" s="162"/>
    </row>
    <row r="22" spans="1:75" ht="15.75" customHeight="1" x14ac:dyDescent="0.25">
      <c r="A22" s="382" t="s">
        <v>673</v>
      </c>
      <c r="B22" s="326"/>
      <c r="C22" s="326"/>
      <c r="D22" s="326"/>
      <c r="E22" s="326"/>
      <c r="F22" s="326"/>
      <c r="G22" s="326"/>
      <c r="H22" s="327"/>
      <c r="I22" s="733">
        <f>'GRANTEE SET UP INFO &amp; DATE '!C11</f>
        <v>0</v>
      </c>
      <c r="J22" s="326"/>
      <c r="K22" s="326"/>
      <c r="L22" s="327"/>
      <c r="M22" s="735">
        <f>'GRANTEE SET UP INFO &amp; DATE '!F11</f>
        <v>0</v>
      </c>
      <c r="N22" s="326"/>
      <c r="O22" s="326"/>
      <c r="P22" s="326"/>
      <c r="Q22" s="327"/>
      <c r="R22" s="735" t="e">
        <f>'GRANTEE SET UP INFO &amp; DATE '!#REF!</f>
        <v>#REF!</v>
      </c>
      <c r="S22" s="326"/>
      <c r="T22" s="326"/>
      <c r="U22" s="326"/>
      <c r="V22" s="327"/>
      <c r="W22" s="880">
        <f>COUNTIFS(TRAINING!B12:B5000,"&gt;=07/01/2000",TRAINING!B12:B5000,"&lt;=09/30/2019",TRAINING!D12:D5000,"Evidence Based Training (EBT)",TRAINING!AN12:AN5000,"YES")</f>
        <v>0</v>
      </c>
      <c r="X22" s="326"/>
      <c r="Y22" s="326"/>
      <c r="Z22" s="327"/>
      <c r="AA22" s="729">
        <f>COUNTIFS(TRAINING!B12:B5000,"&gt;=10/01/2019",TRAINING!B12:B5000,"&lt;=12/31/2019",TRAINING!D12:D5000,"Evidence Based Training (EBT)",TRAINING!AN12:AN5000,"YES")</f>
        <v>0</v>
      </c>
      <c r="AB22" s="326"/>
      <c r="AC22" s="326"/>
      <c r="AD22" s="327"/>
      <c r="AE22" s="876">
        <f>COUNTIFS(TRAINING!B12:B5000,"&gt;=01/01/2020",TRAINING!B12:B5000,"&lt;=03/31/2020",TRAINING!D12:D5000,"Evidence Based Training (EBT)",TRAINING!AN12:AN5000,"YES")</f>
        <v>0</v>
      </c>
      <c r="AF22" s="326"/>
      <c r="AG22" s="326"/>
      <c r="AH22" s="327"/>
      <c r="AI22" s="721">
        <f>COUNTIFS(TRAINING!B12:B5000,"&gt;=04/01/2020",TRAINING!B12:B5000,"&lt;=06/30/2020",TRAINING!D12:D5000,"Evidence Based Training (EBT)",TRAINING!AN12:AN5000,"YES")</f>
        <v>0</v>
      </c>
      <c r="AJ22" s="326"/>
      <c r="AK22" s="326"/>
      <c r="AL22" s="327"/>
      <c r="AM22" s="746">
        <f>COUNTIFS(TRAINING!B12:B5000,"&gt;=07/01/2020",TRAINING!B12:B5000,"&lt;=09/30/2020",TRAINING!D12:D5000,"Evidence Based Training (EBT)",TRAINING!AN12:AN5000,"YES")</f>
        <v>0</v>
      </c>
      <c r="AN22" s="326"/>
      <c r="AO22" s="326"/>
      <c r="AP22" s="327"/>
      <c r="AQ22" s="412">
        <f>COUNTIFS(TRAINING!B12:B5000,"&gt;=10/01/2020",TRAINING!B12:B5000,"&lt;=12/31/2020",TRAINING!D12:D5000,"Evidence Based Training (EBT)",TRAINING!AN12:AN5000,"YES")</f>
        <v>0</v>
      </c>
      <c r="AR22" s="326"/>
      <c r="AS22" s="326"/>
      <c r="AT22" s="327"/>
      <c r="AU22" s="411">
        <f>COUNTIFS(TRAINING!B12:B5000,"&gt;=01/01/2021",TRAINING!B12:B5000,"&lt;=03/31/2021",TRAINING!D12:D5000,"Evidence Based Training (EBT)",TRAINING!AN12:AN5000,"YES")</f>
        <v>0</v>
      </c>
      <c r="AV22" s="326"/>
      <c r="AW22" s="326"/>
      <c r="AX22" s="327"/>
      <c r="AY22" s="412">
        <f>COUNTIFS(TRAINING!B12:B5000,"&gt;=04/01/2020",TRAINING!B12:B5000,"&lt;=06/30/2020",TRAINING!D12:D5000,"Evidence Based Training (EBT)",TRAINING!AN12:AN5000,"YES")</f>
        <v>0</v>
      </c>
      <c r="AZ22" s="326"/>
      <c r="BA22" s="326"/>
      <c r="BB22" s="327"/>
      <c r="BC22" s="411">
        <f>COUNTIFS(TRAINING!B12:B5000,"&gt;=07/01/2021",TRAINING!B12:B5000,"&lt;=09/30/2021",TRAINING!D12:D5000,"Evidence Based Training (EBT)",TRAINING!AN12:AN5000,"YES")</f>
        <v>0</v>
      </c>
      <c r="BD22" s="326"/>
      <c r="BE22" s="326"/>
      <c r="BF22" s="327"/>
      <c r="BG22" s="882">
        <f>COUNTIFS(TRAINING!B12:B5000,"&gt;=10/01/2021",TRAINING!B12:B5000,"&lt;=12/31/2021",TRAINING!D12:D5000,"Evidence Based Training (EBT)",TRAINING!AN12:AN5000,"YES")</f>
        <v>0</v>
      </c>
      <c r="BH22" s="326"/>
      <c r="BI22" s="326"/>
      <c r="BJ22" s="327"/>
      <c r="BK22" s="852">
        <f>COUNTIFS(TRAINING!B12:B5000,"&gt;=01/01/2022",TRAINING!B12:B5000,"&lt;=03/31/2022",TRAINING!D12:D5000,"Evidence Based Training (EBT)",TRAINING!AN12:AN5000,"YES")</f>
        <v>0</v>
      </c>
      <c r="BL22" s="326"/>
      <c r="BM22" s="326"/>
      <c r="BN22" s="327"/>
      <c r="BO22" s="882">
        <f>COUNTIFS(TRAINING!B12:B5000,"&gt;=04/01/2022",TRAINING!B12:B5000,"&lt;=06/30/2022",TRAINING!D12:D5000,"Evidence Based Training (EBT)",TRAINING!AN12:AN5000,"YES")</f>
        <v>0</v>
      </c>
      <c r="BP22" s="326"/>
      <c r="BQ22" s="326"/>
      <c r="BR22" s="327"/>
      <c r="BS22" s="852">
        <f>COUNTIFS(TRAINING!B12:B5000,"&gt;=07/01/2022",TRAINING!B12:B5000,"&lt;=09/30/2022",TRAINING!D12:D5000,"Evidence Based Training (EBT)",TRAINING!AN12:AN5000,"YES")</f>
        <v>0</v>
      </c>
      <c r="BT22" s="326"/>
      <c r="BU22" s="326"/>
      <c r="BV22" s="327"/>
      <c r="BW22" s="162"/>
    </row>
    <row r="23" spans="1:75" ht="15.75" customHeight="1" x14ac:dyDescent="0.25">
      <c r="A23" s="382" t="s">
        <v>674</v>
      </c>
      <c r="B23" s="326"/>
      <c r="C23" s="326"/>
      <c r="D23" s="326"/>
      <c r="E23" s="326"/>
      <c r="F23" s="326"/>
      <c r="G23" s="326"/>
      <c r="H23" s="327"/>
      <c r="I23" s="733">
        <f>'GRANTEE SET UP INFO &amp; DATE '!C12</f>
        <v>0</v>
      </c>
      <c r="J23" s="326"/>
      <c r="K23" s="326"/>
      <c r="L23" s="327"/>
      <c r="M23" s="735">
        <f>'GRANTEE SET UP INFO &amp; DATE '!F12</f>
        <v>0</v>
      </c>
      <c r="N23" s="326"/>
      <c r="O23" s="326"/>
      <c r="P23" s="326"/>
      <c r="Q23" s="327"/>
      <c r="R23" s="735" t="e">
        <f>'GRANTEE SET UP INFO &amp; DATE '!#REF!</f>
        <v>#REF!</v>
      </c>
      <c r="S23" s="326"/>
      <c r="T23" s="326"/>
      <c r="U23" s="326"/>
      <c r="V23" s="327"/>
      <c r="W23" s="880">
        <f>COUNTIFS(TRAINING!B12:B5000,"&gt;=07/01/2000",TRAINING!B12:B5000,"&lt;=09/30/2019",TRAINING!D12:D5000,"Evidence Based Training (EBT)",TRAINING!AO12:AO5000,"YES")</f>
        <v>0</v>
      </c>
      <c r="X23" s="326"/>
      <c r="Y23" s="326"/>
      <c r="Z23" s="327"/>
      <c r="AA23" s="729">
        <f>COUNTIFS(TRAINING!B12:B5000,"&gt;=10/01/2019",TRAINING!B12:B5000,"&lt;=12/31/2019",TRAINING!D12:D5000,"Evidence Based Training (EBT)",TRAINING!AO12:AO5000,"YES")</f>
        <v>0</v>
      </c>
      <c r="AB23" s="326"/>
      <c r="AC23" s="326"/>
      <c r="AD23" s="327"/>
      <c r="AE23" s="876">
        <f>COUNTIFS(TRAINING!B12:B5000,"&gt;=01/01/2020",TRAINING!B12:B5000,"&lt;=03/31/2020",TRAINING!D12:D5000,"Evidence Based Training (EBT)",TRAINING!AO12:AO5000,"YES")</f>
        <v>0</v>
      </c>
      <c r="AF23" s="326"/>
      <c r="AG23" s="326"/>
      <c r="AH23" s="327"/>
      <c r="AI23" s="721">
        <f>COUNTIFS(TRAINING!B12:B5000,"&gt;=04/01/2020",TRAINING!B12:B5000,"&lt;=06/30/2020",TRAINING!D12:D5000,"Evidence Based Training (EBT)",TRAINING!AO12:AO5000,"YES")</f>
        <v>0</v>
      </c>
      <c r="AJ23" s="326"/>
      <c r="AK23" s="326"/>
      <c r="AL23" s="327"/>
      <c r="AM23" s="746">
        <f>COUNTIFS(TRAINING!B12:B5000,"&gt;=07/01/2020",TRAINING!B12:B5000,"&lt;=09/30/2020",TRAINING!D12:D5000,"Evidence Based Training (EBT)",TRAINING!AO12:AO5000,"YES")</f>
        <v>0</v>
      </c>
      <c r="AN23" s="326"/>
      <c r="AO23" s="326"/>
      <c r="AP23" s="327"/>
      <c r="AQ23" s="412">
        <f>COUNTIFS(TRAINING!B12:B5000,"&gt;=10/01/2020",TRAINING!B12:B5000,"&lt;=12/31/2020",TRAINING!D12:D5000,"Evidence Based Training (EBT)",TRAINING!AO12:AO5000,"YES")</f>
        <v>0</v>
      </c>
      <c r="AR23" s="326"/>
      <c r="AS23" s="326"/>
      <c r="AT23" s="327"/>
      <c r="AU23" s="411">
        <f>COUNTIFS(TRAINING!B12:B5000,"&gt;=01/01/2021",TRAINING!B12:B5000,"&lt;=03/31/2021",TRAINING!D12:D5000,"Evidence Based Training (EBT)",TRAINING!AO12:AO5000,"YES")</f>
        <v>0</v>
      </c>
      <c r="AV23" s="326"/>
      <c r="AW23" s="326"/>
      <c r="AX23" s="327"/>
      <c r="AY23" s="412">
        <f>COUNTIFS(TRAINING!B12:B5000,"&gt;=04/01/2020",TRAINING!B12:B5000,"&lt;=06/30/2020",TRAINING!D12:D5000,"Evidence Based Training (EBT)",TRAINING!AO12:AO5000,"YES")</f>
        <v>0</v>
      </c>
      <c r="AZ23" s="326"/>
      <c r="BA23" s="326"/>
      <c r="BB23" s="327"/>
      <c r="BC23" s="411">
        <f>COUNTIFS(TRAINING!B12:B5000,"&gt;=07/01/2021",TRAINING!B12:B5000,"&lt;=09/30/2021",TRAINING!D12:D5000,"Evidence Based Training (EBT)",TRAINING!AO12:AO5000,"YES")</f>
        <v>0</v>
      </c>
      <c r="BD23" s="326"/>
      <c r="BE23" s="326"/>
      <c r="BF23" s="327"/>
      <c r="BG23" s="882">
        <f>COUNTIFS(TRAINING!B12:B5000,"&gt;=10/01/2021",TRAINING!B12:B5000,"&lt;=12/31/2021",TRAINING!D12:D5000,"Evidence Based Training (EBT)",TRAINING!AO12:AO5000,"YES")</f>
        <v>0</v>
      </c>
      <c r="BH23" s="326"/>
      <c r="BI23" s="326"/>
      <c r="BJ23" s="327"/>
      <c r="BK23" s="852">
        <f>COUNTIFS(TRAINING!B12:B5000,"&gt;=01/01/2022",TRAINING!B12:B5000,"&lt;=03/31/2022",TRAINING!D12:D5000,"Evidence Based Training (EBT)",TRAINING!AO12:AO5000,"YES")</f>
        <v>0</v>
      </c>
      <c r="BL23" s="326"/>
      <c r="BM23" s="326"/>
      <c r="BN23" s="327"/>
      <c r="BO23" s="882">
        <f>COUNTIFS(TRAINING!B12:B5000,"&gt;=04/01/2022",TRAINING!B12:B5000,"&lt;=06/30/2022",TRAINING!D12:D5000,"Evidence Based Training (EBT)",TRAINING!AO12:AO5000,"YES")</f>
        <v>0</v>
      </c>
      <c r="BP23" s="326"/>
      <c r="BQ23" s="326"/>
      <c r="BR23" s="327"/>
      <c r="BS23" s="852">
        <f>COUNTIFS(TRAINING!B12:B5000,"&gt;=07/01/2022",TRAINING!B12:B5000,"&lt;=09/30/2022",TRAINING!D12:D5000,"Evidence Based Training (EBT)",TRAINING!AO12:AO5000,"YES")</f>
        <v>0</v>
      </c>
      <c r="BT23" s="326"/>
      <c r="BU23" s="326"/>
      <c r="BV23" s="327"/>
      <c r="BW23" s="162"/>
    </row>
    <row r="24" spans="1:75" ht="15.75" customHeight="1" x14ac:dyDescent="0.25">
      <c r="A24" s="382" t="s">
        <v>675</v>
      </c>
      <c r="B24" s="326"/>
      <c r="C24" s="326"/>
      <c r="D24" s="326"/>
      <c r="E24" s="326"/>
      <c r="F24" s="326"/>
      <c r="G24" s="326"/>
      <c r="H24" s="327"/>
      <c r="I24" s="733">
        <f>'GRANTEE SET UP INFO &amp; DATE '!C13</f>
        <v>0</v>
      </c>
      <c r="J24" s="326"/>
      <c r="K24" s="326"/>
      <c r="L24" s="327"/>
      <c r="M24" s="735">
        <f>'GRANTEE SET UP INFO &amp; DATE '!F13</f>
        <v>0</v>
      </c>
      <c r="N24" s="326"/>
      <c r="O24" s="326"/>
      <c r="P24" s="326"/>
      <c r="Q24" s="327"/>
      <c r="R24" s="735" t="e">
        <f>'GRANTEE SET UP INFO &amp; DATE '!#REF!</f>
        <v>#REF!</v>
      </c>
      <c r="S24" s="326"/>
      <c r="T24" s="326"/>
      <c r="U24" s="326"/>
      <c r="V24" s="327"/>
      <c r="W24" s="880">
        <f>COUNTIFS(TRAINING!B12:B5000,"&gt;=07/01/2000",TRAINING!B12:B5000,"&lt;=09/30/2019",TRAINING!D12:D5000,"Evidence Based Training (EBT)",TRAINING!AP12:AP5000,"YES")</f>
        <v>0</v>
      </c>
      <c r="X24" s="326"/>
      <c r="Y24" s="326"/>
      <c r="Z24" s="327"/>
      <c r="AA24" s="729">
        <f>COUNTIFS(TRAINING!B12:B5000,"&gt;=10/01/2019",TRAINING!B12:B5000,"&lt;=12/31/2019",TRAINING!D12:D5000,"Evidence Based Training (EBT)",TRAINING!AP12:AP5000,"YES")</f>
        <v>0</v>
      </c>
      <c r="AB24" s="326"/>
      <c r="AC24" s="326"/>
      <c r="AD24" s="327"/>
      <c r="AE24" s="876">
        <f>COUNTIFS(TRAINING!B12:B5000,"&gt;=01/01/2020",TRAINING!B12:B5000,"&lt;=03/31/2020",TRAINING!D12:D5000,"Evidence Based Training (EBT)",TRAINING!AP12:AP5000,"YES")</f>
        <v>0</v>
      </c>
      <c r="AF24" s="326"/>
      <c r="AG24" s="326"/>
      <c r="AH24" s="327"/>
      <c r="AI24" s="721">
        <f>COUNTIFS(TRAINING!B12:B5000,"&gt;=04/01/2020",TRAINING!B12:B5000,"&lt;=06/30/2020",TRAINING!D12:D5000,"Evidence Based Training (EBT)",TRAINING!AP12:AP5000,"YES")</f>
        <v>0</v>
      </c>
      <c r="AJ24" s="326"/>
      <c r="AK24" s="326"/>
      <c r="AL24" s="327"/>
      <c r="AM24" s="746">
        <f>COUNTIFS(TRAINING!B12:B5000,"&gt;=07/01/2020",TRAINING!B12:B5000,"&lt;=09/30/2020",TRAINING!D12:D5000,"Evidence Based Training (EBT)",TRAINING!AP12:AP5000,"YES")</f>
        <v>0</v>
      </c>
      <c r="AN24" s="326"/>
      <c r="AO24" s="326"/>
      <c r="AP24" s="327"/>
      <c r="AQ24" s="412">
        <f>COUNTIFS(TRAINING!B12:B5000,"&gt;=10/01/2020",TRAINING!B12:B5000,"&lt;=12/31/2020",TRAINING!D12:D5000,"Evidence Based Training (EBT)",TRAINING!AP12:AP5000,"YES")</f>
        <v>0</v>
      </c>
      <c r="AR24" s="326"/>
      <c r="AS24" s="326"/>
      <c r="AT24" s="327"/>
      <c r="AU24" s="411">
        <f>COUNTIFS(TRAINING!B12:B5000,"&gt;=01/01/2021",TRAINING!B12:B5000,"&lt;=03/31/2021",TRAINING!D12:D5000,"Evidence Based Training (EBT)",TRAINING!AP12:AP5000,"YES")</f>
        <v>0</v>
      </c>
      <c r="AV24" s="326"/>
      <c r="AW24" s="326"/>
      <c r="AX24" s="327"/>
      <c r="AY24" s="412">
        <f>COUNTIFS(TRAINING!B12:B5000,"&gt;=04/01/2020",TRAINING!B12:B5000,"&lt;=06/30/2020",TRAINING!D12:D5000,"Evidence Based Training (EBT)",TRAINING!AP12:AP5000,"YES")</f>
        <v>0</v>
      </c>
      <c r="AZ24" s="326"/>
      <c r="BA24" s="326"/>
      <c r="BB24" s="327"/>
      <c r="BC24" s="411">
        <f>COUNTIFS(TRAINING!B12:B5000,"&gt;=07/01/2021",TRAINING!B12:B5000,"&lt;=09/30/2021",TRAINING!D12:D5000,"Evidence Based Training (EBT)",TRAINING!AP12:AP5000,"YES")</f>
        <v>0</v>
      </c>
      <c r="BD24" s="326"/>
      <c r="BE24" s="326"/>
      <c r="BF24" s="327"/>
      <c r="BG24" s="882">
        <f>COUNTIFS(TRAINING!B12:B5000,"&gt;=10/01/2021",TRAINING!B12:B5000,"&lt;=12/31/2021",TRAINING!D12:D5000,"Evidence Based Training (EBT)",TRAINING!AP12:AP5000,"YES")</f>
        <v>0</v>
      </c>
      <c r="BH24" s="326"/>
      <c r="BI24" s="326"/>
      <c r="BJ24" s="327"/>
      <c r="BK24" s="852">
        <f>COUNTIFS(TRAINING!B12:B5000,"&gt;=01/01/2022",TRAINING!B12:B5000,"&lt;=03/31/2022",TRAINING!D12:D5000,"Evidence Based Training (EBT)",TRAINING!AP12:AP5000,"YES")</f>
        <v>0</v>
      </c>
      <c r="BL24" s="326"/>
      <c r="BM24" s="326"/>
      <c r="BN24" s="327"/>
      <c r="BO24" s="882">
        <f>COUNTIFS(TRAINING!B12:B5000,"&gt;=04/01/2022",TRAINING!B12:B5000,"&lt;=06/30/2022",TRAINING!D12:D5000,"Evidence Based Training (EBT)",TRAINING!AP12:AP5000,"YES")</f>
        <v>0</v>
      </c>
      <c r="BP24" s="326"/>
      <c r="BQ24" s="326"/>
      <c r="BR24" s="327"/>
      <c r="BS24" s="852">
        <f>COUNTIFS(TRAINING!B12:B5000,"&gt;=07/01/2022",TRAINING!B12:B5000,"&lt;=09/30/2022",TRAINING!D12:D5000,"Evidence Based Training (EBT)",TRAINING!AP12:AP5000,"YES")</f>
        <v>0</v>
      </c>
      <c r="BT24" s="326"/>
      <c r="BU24" s="326"/>
      <c r="BV24" s="327"/>
      <c r="BW24" s="162"/>
    </row>
    <row r="25" spans="1:75" ht="15.75" customHeight="1" x14ac:dyDescent="0.25">
      <c r="A25" s="382" t="s">
        <v>676</v>
      </c>
      <c r="B25" s="326"/>
      <c r="C25" s="326"/>
      <c r="D25" s="326"/>
      <c r="E25" s="326"/>
      <c r="F25" s="326"/>
      <c r="G25" s="326"/>
      <c r="H25" s="327"/>
      <c r="I25" s="733">
        <f>'GRANTEE SET UP INFO &amp; DATE '!C14</f>
        <v>0</v>
      </c>
      <c r="J25" s="326"/>
      <c r="K25" s="326"/>
      <c r="L25" s="327"/>
      <c r="M25" s="735">
        <f>'GRANTEE SET UP INFO &amp; DATE '!F14</f>
        <v>0</v>
      </c>
      <c r="N25" s="326"/>
      <c r="O25" s="326"/>
      <c r="P25" s="326"/>
      <c r="Q25" s="327"/>
      <c r="R25" s="735" t="e">
        <f>'GRANTEE SET UP INFO &amp; DATE '!#REF!</f>
        <v>#REF!</v>
      </c>
      <c r="S25" s="326"/>
      <c r="T25" s="326"/>
      <c r="U25" s="326"/>
      <c r="V25" s="327"/>
      <c r="W25" s="880">
        <f>COUNTIFS(TRAINING!B12:B5000,"&gt;=07/01/2000",TRAINING!B12:B5000,"&lt;=09/30/2019",TRAINING!D12:D5000,"Evidence Based Training (EBT)",TRAINING!AQ12:AQ5000,"YES")</f>
        <v>0</v>
      </c>
      <c r="X25" s="326"/>
      <c r="Y25" s="326"/>
      <c r="Z25" s="327"/>
      <c r="AA25" s="729">
        <f>COUNTIFS(TRAINING!B12:B5000,"&gt;=10/01/2019",TRAINING!B12:B5000,"&lt;=12/31/2019",TRAINING!D12:D5000,"Evidence Based Training (EBT)",TRAINING!AQ12:AQ5000,"YES")</f>
        <v>0</v>
      </c>
      <c r="AB25" s="326"/>
      <c r="AC25" s="326"/>
      <c r="AD25" s="327"/>
      <c r="AE25" s="876">
        <f>COUNTIFS(TRAINING!B12:B5000,"&gt;=01/01/2020",TRAINING!B12:B5000,"&lt;=03/31/2020",TRAINING!D12:D5000,"Evidence Based Training (EBT)",TRAINING!AQ12:AQ5000,"YES")</f>
        <v>0</v>
      </c>
      <c r="AF25" s="326"/>
      <c r="AG25" s="326"/>
      <c r="AH25" s="327"/>
      <c r="AI25" s="721">
        <f>COUNTIFS(TRAINING!B12:B5000,"&gt;=04/01/2020",TRAINING!B12:B5000,"&lt;=06/30/2020",TRAINING!D12:D5000,"Evidence Based Training (EBT)",TRAINING!AQ12:AQ5000,"YES")</f>
        <v>0</v>
      </c>
      <c r="AJ25" s="326"/>
      <c r="AK25" s="326"/>
      <c r="AL25" s="327"/>
      <c r="AM25" s="746">
        <f>COUNTIFS(TRAINING!B12:B5000,"&gt;=07/01/2020",TRAINING!B12:B5000,"&lt;=09/30/2020",TRAINING!D12:D5000,"Evidence Based Training (EBT)",TRAINING!AQ12:AQ5000,"YES")</f>
        <v>0</v>
      </c>
      <c r="AN25" s="326"/>
      <c r="AO25" s="326"/>
      <c r="AP25" s="327"/>
      <c r="AQ25" s="412">
        <f>COUNTIFS(TRAINING!B12:B5000,"&gt;=10/01/2020",TRAINING!B12:B5000,"&lt;=12/31/2020",TRAINING!D12:D5000,"Evidence Based Training (EBT)",TRAINING!AQ12:AQ5000,"YES")</f>
        <v>0</v>
      </c>
      <c r="AR25" s="326"/>
      <c r="AS25" s="326"/>
      <c r="AT25" s="327"/>
      <c r="AU25" s="411">
        <f>COUNTIFS(TRAINING!B12:B5000,"&gt;=01/01/2021",TRAINING!B12:B5000,"&lt;=03/31/2021",TRAINING!D12:D5000,"Evidence Based Training (EBT)",TRAINING!AQ12:AQ5000,"YES")</f>
        <v>0</v>
      </c>
      <c r="AV25" s="326"/>
      <c r="AW25" s="326"/>
      <c r="AX25" s="327"/>
      <c r="AY25" s="412">
        <f>COUNTIFS(TRAINING!B12:B5000,"&gt;=04/01/2020",TRAINING!B12:B5000,"&lt;=06/30/2020",TRAINING!D12:D5000,"Evidence Based Training (EBT)",TRAINING!AQ12:AQ5000,"YES")</f>
        <v>0</v>
      </c>
      <c r="AZ25" s="326"/>
      <c r="BA25" s="326"/>
      <c r="BB25" s="327"/>
      <c r="BC25" s="411">
        <f>COUNTIFS(TRAINING!B12:B5000,"&gt;=07/01/2021",TRAINING!B12:B5000,"&lt;=09/30/2021",TRAINING!D12:D5000,"Evidence Based Training (EBT)",TRAINING!AQ12:AQ5000,"YES")</f>
        <v>0</v>
      </c>
      <c r="BD25" s="326"/>
      <c r="BE25" s="326"/>
      <c r="BF25" s="327"/>
      <c r="BG25" s="882">
        <f>COUNTIFS(TRAINING!B12:B5000,"&gt;=10/01/2021",TRAINING!B12:B5000,"&lt;=12/31/2021",TRAINING!D12:D5000,"Evidence Based Training (EBT)",TRAINING!AQ12:AQ5000,"YES")</f>
        <v>0</v>
      </c>
      <c r="BH25" s="326"/>
      <c r="BI25" s="326"/>
      <c r="BJ25" s="327"/>
      <c r="BK25" s="852">
        <f>COUNTIFS(TRAINING!B12:B5000,"&gt;=01/01/2022",TRAINING!B12:B5000,"&lt;=03/31/2022",TRAINING!D12:D5000,"Evidence Based Training (EBT)",TRAINING!AQ12:AQ5000,"YES")</f>
        <v>0</v>
      </c>
      <c r="BL25" s="326"/>
      <c r="BM25" s="326"/>
      <c r="BN25" s="327"/>
      <c r="BO25" s="882">
        <f>COUNTIFS(TRAINING!B12:B5000,"&gt;=04/01/2022",TRAINING!B12:B5000,"&lt;=06/30/2022",TRAINING!D12:D5000,"Evidence Based Training (EBT)",TRAINING!AQ12:AQ5000,"YES")</f>
        <v>0</v>
      </c>
      <c r="BP25" s="326"/>
      <c r="BQ25" s="326"/>
      <c r="BR25" s="327"/>
      <c r="BS25" s="852">
        <f>COUNTIFS(TRAINING!B12:B5000,"&gt;=07/01/2022",TRAINING!B12:B5000,"&lt;=09/30/2022",TRAINING!D12:D5000,"Evidence Based Training (EBT)",TRAINING!AQ12:AQ5000,"YES")</f>
        <v>0</v>
      </c>
      <c r="BT25" s="326"/>
      <c r="BU25" s="326"/>
      <c r="BV25" s="327"/>
      <c r="BW25" s="162"/>
    </row>
    <row r="26" spans="1:75" ht="15.75" customHeight="1" x14ac:dyDescent="0.25">
      <c r="A26" s="382" t="s">
        <v>677</v>
      </c>
      <c r="B26" s="326"/>
      <c r="C26" s="326"/>
      <c r="D26" s="326"/>
      <c r="E26" s="326"/>
      <c r="F26" s="326"/>
      <c r="G26" s="326"/>
      <c r="H26" s="327"/>
      <c r="I26" s="733">
        <f>'GRANTEE SET UP INFO &amp; DATE '!C15</f>
        <v>0</v>
      </c>
      <c r="J26" s="326"/>
      <c r="K26" s="326"/>
      <c r="L26" s="327"/>
      <c r="M26" s="735">
        <f>'GRANTEE SET UP INFO &amp; DATE '!F15</f>
        <v>0</v>
      </c>
      <c r="N26" s="326"/>
      <c r="O26" s="326"/>
      <c r="P26" s="326"/>
      <c r="Q26" s="327"/>
      <c r="R26" s="735" t="e">
        <f>'GRANTEE SET UP INFO &amp; DATE '!#REF!</f>
        <v>#REF!</v>
      </c>
      <c r="S26" s="326"/>
      <c r="T26" s="326"/>
      <c r="U26" s="326"/>
      <c r="V26" s="327"/>
      <c r="W26" s="880">
        <f>COUNTIFS(TRAINING!B12:B5000,"&gt;=07/01/2000",TRAINING!B12:B5000,"&lt;=09/30/2019",TRAINING!D12:D5000,"Evidence Based Training (EBT)",TRAINING!AR12:AR5000,"YES")</f>
        <v>0</v>
      </c>
      <c r="X26" s="326"/>
      <c r="Y26" s="326"/>
      <c r="Z26" s="327"/>
      <c r="AA26" s="729">
        <f>COUNTIFS(TRAINING!B12:B5000,"&gt;=10/01/2019",TRAINING!B12:B5000,"&lt;=12/31/2019",TRAINING!D12:D5000,"Evidence Based Training (EBT)",TRAINING!AR12:AR5000,"YES")</f>
        <v>0</v>
      </c>
      <c r="AB26" s="326"/>
      <c r="AC26" s="326"/>
      <c r="AD26" s="327"/>
      <c r="AE26" s="876">
        <f>COUNTIFS(TRAINING!B12:B5000,"&gt;=01/01/2020",TRAINING!B12:B5000,"&lt;=03/31/2020",TRAINING!D12:D5000,"Evidence Based Training (EBT)",TRAINING!AR12:AR5000,"YES")</f>
        <v>0</v>
      </c>
      <c r="AF26" s="326"/>
      <c r="AG26" s="326"/>
      <c r="AH26" s="327"/>
      <c r="AI26" s="721">
        <f>COUNTIFS(TRAINING!B12:B5000,"&gt;=04/01/2020",TRAINING!B12:B5000,"&lt;=06/30/2020",TRAINING!D12:D5000,"Evidence Based Training (EBT)",TRAINING!AR12:AR5000,"YES")</f>
        <v>0</v>
      </c>
      <c r="AJ26" s="326"/>
      <c r="AK26" s="326"/>
      <c r="AL26" s="327"/>
      <c r="AM26" s="746">
        <f>COUNTIFS(TRAINING!B12:B5000,"&gt;=07/01/2020",TRAINING!B12:B5000,"&lt;=09/30/2020",TRAINING!D12:D5000,"Evidence Based Training (EBT)",TRAINING!AR12:AR5000,"YES")</f>
        <v>0</v>
      </c>
      <c r="AN26" s="326"/>
      <c r="AO26" s="326"/>
      <c r="AP26" s="327"/>
      <c r="AQ26" s="412">
        <f>COUNTIFS(TRAINING!B12:B5000,"&gt;=10/01/2020",TRAINING!B12:B5000,"&lt;=12/31/2020",TRAINING!D12:D5000,"Evidence Based Training (EBT)",TRAINING!AR12:AR5000,"YES")</f>
        <v>0</v>
      </c>
      <c r="AR26" s="326"/>
      <c r="AS26" s="326"/>
      <c r="AT26" s="327"/>
      <c r="AU26" s="411">
        <f>COUNTIFS(TRAINING!B12:B5000,"&gt;=01/01/2021",TRAINING!B12:B5000,"&lt;=03/31/2021",TRAINING!D12:D5000,"Evidence Based Training (EBT)",TRAINING!AR12:AR5000,"YES")</f>
        <v>0</v>
      </c>
      <c r="AV26" s="326"/>
      <c r="AW26" s="326"/>
      <c r="AX26" s="327"/>
      <c r="AY26" s="412">
        <f>COUNTIFS(TRAINING!B12:B5000,"&gt;=04/01/2020",TRAINING!B12:B5000,"&lt;=06/30/2020",TRAINING!D12:D5000,"Evidence Based Training (EBT)",TRAINING!AR12:AR5000,"YES")</f>
        <v>0</v>
      </c>
      <c r="AZ26" s="326"/>
      <c r="BA26" s="326"/>
      <c r="BB26" s="327"/>
      <c r="BC26" s="411">
        <f>COUNTIFS(TRAINING!B12:B5000,"&gt;=07/01/2021",TRAINING!B12:B5000,"&lt;=09/30/2021",TRAINING!D12:D5000,"Evidence Based Training (EBT)",TRAINING!AR12:AR5000,"YES")</f>
        <v>0</v>
      </c>
      <c r="BD26" s="326"/>
      <c r="BE26" s="326"/>
      <c r="BF26" s="327"/>
      <c r="BG26" s="882">
        <f>COUNTIFS(TRAINING!B12:B5000,"&gt;=10/01/2021",TRAINING!B12:B5000,"&lt;=12/31/2021",TRAINING!D12:D5000,"Evidence Based Training (EBT)",TRAINING!AR12:AR5000,"YES")</f>
        <v>0</v>
      </c>
      <c r="BH26" s="326"/>
      <c r="BI26" s="326"/>
      <c r="BJ26" s="327"/>
      <c r="BK26" s="852">
        <f>COUNTIFS(TRAINING!B12:B5000,"&gt;=01/01/2022",TRAINING!B12:B5000,"&lt;=03/31/2022",TRAINING!D12:D5000,"Evidence Based Training (EBT)",TRAINING!AR12:AR5000,"YES")</f>
        <v>0</v>
      </c>
      <c r="BL26" s="326"/>
      <c r="BM26" s="326"/>
      <c r="BN26" s="327"/>
      <c r="BO26" s="882">
        <f>COUNTIFS(TRAINING!B12:B5000,"&gt;=04/01/2022",TRAINING!B12:B5000,"&lt;=06/30/2022",TRAINING!D12:D5000,"Evidence Based Training (EBT)",TRAINING!AR12:AR5000,"YES")</f>
        <v>0</v>
      </c>
      <c r="BP26" s="326"/>
      <c r="BQ26" s="326"/>
      <c r="BR26" s="327"/>
      <c r="BS26" s="852">
        <f>COUNTIFS(TRAINING!B12:B5000,"&gt;=07/01/2022",TRAINING!B12:B5000,"&lt;=09/30/2022",TRAINING!D12:D5000,"Evidence Based Training (EBT)",TRAINING!AR12:AR5000,"YES")</f>
        <v>0</v>
      </c>
      <c r="BT26" s="326"/>
      <c r="BU26" s="326"/>
      <c r="BV26" s="327"/>
      <c r="BW26" s="162"/>
    </row>
    <row r="27" spans="1:75" ht="15.75" customHeight="1" x14ac:dyDescent="0.25">
      <c r="A27" s="382" t="s">
        <v>678</v>
      </c>
      <c r="B27" s="326"/>
      <c r="C27" s="326"/>
      <c r="D27" s="326"/>
      <c r="E27" s="326"/>
      <c r="F27" s="326"/>
      <c r="G27" s="326"/>
      <c r="H27" s="327"/>
      <c r="I27" s="733">
        <f>'GRANTEE SET UP INFO &amp; DATE '!C16</f>
        <v>0</v>
      </c>
      <c r="J27" s="326"/>
      <c r="K27" s="326"/>
      <c r="L27" s="327"/>
      <c r="M27" s="735">
        <f>'GRANTEE SET UP INFO &amp; DATE '!F16</f>
        <v>0</v>
      </c>
      <c r="N27" s="326"/>
      <c r="O27" s="326"/>
      <c r="P27" s="326"/>
      <c r="Q27" s="327"/>
      <c r="R27" s="735" t="e">
        <f>'GRANTEE SET UP INFO &amp; DATE '!#REF!</f>
        <v>#REF!</v>
      </c>
      <c r="S27" s="326"/>
      <c r="T27" s="326"/>
      <c r="U27" s="326"/>
      <c r="V27" s="327"/>
      <c r="W27" s="880">
        <f>COUNTIFS(TRAINING!B12:B5000,"&gt;=07/01/2000",TRAINING!B12:B5000,"&lt;=09/30/2019",TRAINING!D12:D5000,"Evidence Based Training (EBT)",TRAINING!AS12:AS5000,"YES")</f>
        <v>0</v>
      </c>
      <c r="X27" s="326"/>
      <c r="Y27" s="326"/>
      <c r="Z27" s="327"/>
      <c r="AA27" s="729">
        <f>COUNTIFS(TRAINING!B12:B5000,"&gt;=10/01/2019",TRAINING!B12:B5000,"&lt;=12/31/2019",TRAINING!D12:D5000,"Evidence Based Training (EBT)",TRAINING!AS12:AS5000,"YES")</f>
        <v>0</v>
      </c>
      <c r="AB27" s="326"/>
      <c r="AC27" s="326"/>
      <c r="AD27" s="327"/>
      <c r="AE27" s="876">
        <f>COUNTIFS(TRAINING!B12:B5000,"&gt;=01/01/2020",TRAINING!B12:B5000,"&lt;=03/31/2020",TRAINING!D12:D5000,"Evidence Based Training (EBT)",TRAINING!AS12:AS5000,"YES")</f>
        <v>0</v>
      </c>
      <c r="AF27" s="326"/>
      <c r="AG27" s="326"/>
      <c r="AH27" s="327"/>
      <c r="AI27" s="721">
        <f>COUNTIFS(TRAINING!B12:B5000,"&gt;=04/01/2020",TRAINING!B12:B5000,"&lt;=06/30/2020",TRAINING!D12:D5000,"Evidence Based Training (EBT)",TRAINING!AS12:AS5000,"YES")</f>
        <v>0</v>
      </c>
      <c r="AJ27" s="326"/>
      <c r="AK27" s="326"/>
      <c r="AL27" s="327"/>
      <c r="AM27" s="746">
        <f>COUNTIFS(TRAINING!B12:B5000,"&gt;=07/01/2020",TRAINING!B12:B5000,"&lt;=09/30/2020",TRAINING!D12:D5000,"Evidence Based Training (EBT)",TRAINING!AS12:AS5000,"YES")</f>
        <v>0</v>
      </c>
      <c r="AN27" s="326"/>
      <c r="AO27" s="326"/>
      <c r="AP27" s="327"/>
      <c r="AQ27" s="412">
        <f>COUNTIFS(TRAINING!B12:B5000,"&gt;=10/01/2020",TRAINING!B12:B5000,"&lt;=12/31/2020",TRAINING!D12:D5000,"Evidence Based Training (EBT)",TRAINING!AS12:AS5000,"YES")</f>
        <v>0</v>
      </c>
      <c r="AR27" s="326"/>
      <c r="AS27" s="326"/>
      <c r="AT27" s="327"/>
      <c r="AU27" s="411">
        <f>COUNTIFS(TRAINING!B12:B5000,"&gt;=01/01/2021",TRAINING!B12:B5000,"&lt;=03/31/2021",TRAINING!D12:D5000,"Evidence Based Training (EBT)",TRAINING!AS12:AS5000,"YES")</f>
        <v>0</v>
      </c>
      <c r="AV27" s="326"/>
      <c r="AW27" s="326"/>
      <c r="AX27" s="327"/>
      <c r="AY27" s="412">
        <f>COUNTIFS(TRAINING!B12:B5000,"&gt;=04/01/2020",TRAINING!B12:B5000,"&lt;=06/30/2020",TRAINING!D12:D5000,"Evidence Based Training (EBT)",TRAINING!AS12:AS5000,"YES")</f>
        <v>0</v>
      </c>
      <c r="AZ27" s="326"/>
      <c r="BA27" s="326"/>
      <c r="BB27" s="327"/>
      <c r="BC27" s="411">
        <f>COUNTIFS(TRAINING!B12:B5000,"&gt;=07/01/2021",TRAINING!B12:B5000,"&lt;=09/30/2021",TRAINING!D12:D5000,"Evidence Based Training (EBT)",TRAINING!AS12:AS5000,"YES")</f>
        <v>0</v>
      </c>
      <c r="BD27" s="326"/>
      <c r="BE27" s="326"/>
      <c r="BF27" s="327"/>
      <c r="BG27" s="882">
        <f>COUNTIFS(TRAINING!B12:B5000,"&gt;=10/01/2021",TRAINING!B12:B5000,"&lt;=12/31/2021",TRAINING!D12:D5000,"Evidence Based Training (EBT)",TRAINING!AS12:AS5000,"YES")</f>
        <v>0</v>
      </c>
      <c r="BH27" s="326"/>
      <c r="BI27" s="326"/>
      <c r="BJ27" s="327"/>
      <c r="BK27" s="852">
        <f>COUNTIFS(TRAINING!B12:B5000,"&gt;=01/01/2022",TRAINING!B12:B5000,"&lt;=03/31/2022",TRAINING!D12:D5000,"Evidence Based Training (EBT)",TRAINING!AS12:AS5000,"YES")</f>
        <v>0</v>
      </c>
      <c r="BL27" s="326"/>
      <c r="BM27" s="326"/>
      <c r="BN27" s="327"/>
      <c r="BO27" s="882">
        <f>COUNTIFS(TRAINING!B12:B5000,"&gt;=04/01/2022",TRAINING!B12:B5000,"&lt;=06/30/2022",TRAINING!D12:D5000,"Evidence Based Training (EBT)",TRAINING!AS12:AS5000,"YES")</f>
        <v>0</v>
      </c>
      <c r="BP27" s="326"/>
      <c r="BQ27" s="326"/>
      <c r="BR27" s="327"/>
      <c r="BS27" s="852">
        <f>COUNTIFS(TRAINING!B12:B5000,"&gt;=07/01/2022",TRAINING!B12:B5000,"&lt;=09/30/2022",TRAINING!D12:D5000,"Evidence Based Training (EBT)",TRAINING!AS12:AS5000,"YES")</f>
        <v>0</v>
      </c>
      <c r="BT27" s="326"/>
      <c r="BU27" s="326"/>
      <c r="BV27" s="327"/>
      <c r="BW27" s="162"/>
    </row>
    <row r="28" spans="1:75" ht="15.75" customHeight="1" x14ac:dyDescent="0.25">
      <c r="A28" s="382" t="s">
        <v>679</v>
      </c>
      <c r="B28" s="326"/>
      <c r="C28" s="326"/>
      <c r="D28" s="326"/>
      <c r="E28" s="326"/>
      <c r="F28" s="326"/>
      <c r="G28" s="326"/>
      <c r="H28" s="327"/>
      <c r="I28" s="733">
        <f>'GRANTEE SET UP INFO &amp; DATE '!C17</f>
        <v>0</v>
      </c>
      <c r="J28" s="326"/>
      <c r="K28" s="326"/>
      <c r="L28" s="327"/>
      <c r="M28" s="735">
        <f>'GRANTEE SET UP INFO &amp; DATE '!F17</f>
        <v>0</v>
      </c>
      <c r="N28" s="326"/>
      <c r="O28" s="326"/>
      <c r="P28" s="326"/>
      <c r="Q28" s="327"/>
      <c r="R28" s="735" t="e">
        <f>'GRANTEE SET UP INFO &amp; DATE '!#REF!</f>
        <v>#REF!</v>
      </c>
      <c r="S28" s="326"/>
      <c r="T28" s="326"/>
      <c r="U28" s="326"/>
      <c r="V28" s="327"/>
      <c r="W28" s="880">
        <f>COUNTIFS(TRAINING!B12:B5000,"&gt;=07/01/2000",TRAINING!B12:B5000,"&lt;=09/30/2019",TRAINING!D12:D5000,"Evidence Based Training (EBT)",TRAINING!AT12:AT5000,"YES")</f>
        <v>0</v>
      </c>
      <c r="X28" s="326"/>
      <c r="Y28" s="326"/>
      <c r="Z28" s="327"/>
      <c r="AA28" s="729">
        <f>COUNTIFS(TRAINING!B12:B5000,"&gt;=10/01/2019",TRAINING!B12:B5000,"&lt;=12/31/2019",TRAINING!D12:D5000,"Evidence Based Training (EBT)",TRAINING!AT12:AT5000,"YES")</f>
        <v>0</v>
      </c>
      <c r="AB28" s="326"/>
      <c r="AC28" s="326"/>
      <c r="AD28" s="327"/>
      <c r="AE28" s="876">
        <f>COUNTIFS(TRAINING!B12:B5000,"&gt;=01/01/2020",TRAINING!B12:B5000,"&lt;=03/31/2020",TRAINING!D12:D5000,"Evidence Based Training (EBT)",TRAINING!AT12:AT5000,"YES")</f>
        <v>0</v>
      </c>
      <c r="AF28" s="326"/>
      <c r="AG28" s="326"/>
      <c r="AH28" s="327"/>
      <c r="AI28" s="721">
        <f>COUNTIFS(TRAINING!B12:B5000,"&gt;=04/01/2020",TRAINING!B12:B5000,"&lt;=06/30/2020",TRAINING!D12:D5000,"Evidence Based Training (EBT)",TRAINING!AT12:AT5000,"YES")</f>
        <v>0</v>
      </c>
      <c r="AJ28" s="326"/>
      <c r="AK28" s="326"/>
      <c r="AL28" s="327"/>
      <c r="AM28" s="746">
        <f>COUNTIFS(TRAINING!B12:B5000,"&gt;=07/01/2020",TRAINING!B12:B5000,"&lt;=09/30/2020",TRAINING!D12:D5000,"Evidence Based Training (EBT)",TRAINING!AT12:AT5000,"YES")</f>
        <v>0</v>
      </c>
      <c r="AN28" s="326"/>
      <c r="AO28" s="326"/>
      <c r="AP28" s="327"/>
      <c r="AQ28" s="412">
        <f>COUNTIFS(TRAINING!B12:B5000,"&gt;=10/01/2020",TRAINING!B12:B5000,"&lt;=12/31/2020",TRAINING!D12:D5000,"Evidence Based Training (EBT)",TRAINING!AT12:AT5000,"YES")</f>
        <v>0</v>
      </c>
      <c r="AR28" s="326"/>
      <c r="AS28" s="326"/>
      <c r="AT28" s="327"/>
      <c r="AU28" s="411">
        <f>COUNTIFS(TRAINING!B12:B5000,"&gt;=01/01/2021",TRAINING!B12:B5000,"&lt;=03/31/2021",TRAINING!D12:D5000,"Evidence Based Training (EBT)",TRAINING!AT12:AT5000,"YES")</f>
        <v>0</v>
      </c>
      <c r="AV28" s="326"/>
      <c r="AW28" s="326"/>
      <c r="AX28" s="327"/>
      <c r="AY28" s="412">
        <f>COUNTIFS(TRAINING!B12:B5000,"&gt;=04/01/2020",TRAINING!B12:B5000,"&lt;=06/30/2020",TRAINING!D12:D5000,"Evidence Based Training (EBT)",TRAINING!AT12:AT5000,"YES")</f>
        <v>0</v>
      </c>
      <c r="AZ28" s="326"/>
      <c r="BA28" s="326"/>
      <c r="BB28" s="327"/>
      <c r="BC28" s="411">
        <f>COUNTIFS(TRAINING!B12:B5000,"&gt;=07/01/2021",TRAINING!B12:B5000,"&lt;=09/30/2021",TRAINING!D12:D5000,"Evidence Based Training (EBT)",TRAINING!AT12:AT5000,"YES")</f>
        <v>0</v>
      </c>
      <c r="BD28" s="326"/>
      <c r="BE28" s="326"/>
      <c r="BF28" s="327"/>
      <c r="BG28" s="882">
        <f>COUNTIFS(TRAINING!B12:B5000,"&gt;=10/01/2021",TRAINING!B12:B5000,"&lt;=12/31/2021",TRAINING!D12:D5000,"Evidence Based Training (EBT)",TRAINING!AT12:AT5000,"YES")</f>
        <v>0</v>
      </c>
      <c r="BH28" s="326"/>
      <c r="BI28" s="326"/>
      <c r="BJ28" s="327"/>
      <c r="BK28" s="852">
        <f>COUNTIFS(TRAINING!B12:B5000,"&gt;=01/01/2022",TRAINING!B12:B5000,"&lt;=03/31/2022",TRAINING!D12:D5000,"Evidence Based Training (EBT)",TRAINING!AT12:AT5000,"YES")</f>
        <v>0</v>
      </c>
      <c r="BL28" s="326"/>
      <c r="BM28" s="326"/>
      <c r="BN28" s="327"/>
      <c r="BO28" s="882">
        <f>COUNTIFS(TRAINING!B12:B5000,"&gt;=04/01/2022",TRAINING!B12:B5000,"&lt;=06/30/2022",TRAINING!D12:D5000,"Evidence Based Training (EBT)",TRAINING!AT12:AT5000,"YES")</f>
        <v>0</v>
      </c>
      <c r="BP28" s="326"/>
      <c r="BQ28" s="326"/>
      <c r="BR28" s="327"/>
      <c r="BS28" s="852">
        <f>COUNTIFS(TRAINING!B12:B5000,"&gt;=07/01/2022",TRAINING!B12:B5000,"&lt;=09/30/2022",TRAINING!D12:D5000,"Evidence Based Training (EBT)",TRAINING!AT12:AT5000,"YES")</f>
        <v>0</v>
      </c>
      <c r="BT28" s="326"/>
      <c r="BU28" s="326"/>
      <c r="BV28" s="327"/>
      <c r="BW28" s="162"/>
    </row>
    <row r="29" spans="1:75" ht="15.75" customHeight="1" x14ac:dyDescent="0.25">
      <c r="A29" s="382" t="s">
        <v>680</v>
      </c>
      <c r="B29" s="326"/>
      <c r="C29" s="326"/>
      <c r="D29" s="326"/>
      <c r="E29" s="326"/>
      <c r="F29" s="326"/>
      <c r="G29" s="326"/>
      <c r="H29" s="327"/>
      <c r="I29" s="733">
        <f>'GRANTEE SET UP INFO &amp; DATE '!C18</f>
        <v>0</v>
      </c>
      <c r="J29" s="326"/>
      <c r="K29" s="326"/>
      <c r="L29" s="327"/>
      <c r="M29" s="735">
        <f>'GRANTEE SET UP INFO &amp; DATE '!F18</f>
        <v>0</v>
      </c>
      <c r="N29" s="326"/>
      <c r="O29" s="326"/>
      <c r="P29" s="326"/>
      <c r="Q29" s="327"/>
      <c r="R29" s="735" t="e">
        <f>'GRANTEE SET UP INFO &amp; DATE '!#REF!</f>
        <v>#REF!</v>
      </c>
      <c r="S29" s="326"/>
      <c r="T29" s="326"/>
      <c r="U29" s="326"/>
      <c r="V29" s="327"/>
      <c r="W29" s="880">
        <f>COUNTIFS(TRAINING!B12:B5000,"&gt;=07/01/2000",TRAINING!B12:B5000,"&lt;=09/30/2019",TRAINING!D12:D5000,"Evidence Based Training (EBT)",TRAINING!AU12:AU5000,"YES")</f>
        <v>0</v>
      </c>
      <c r="X29" s="326"/>
      <c r="Y29" s="326"/>
      <c r="Z29" s="327"/>
      <c r="AA29" s="729">
        <f>COUNTIFS(TRAINING!B12:B5000,"&gt;=10/01/2019",TRAINING!B12:B5000,"&lt;=12/31/2019",TRAINING!D12:D5000,"Evidence Based Training (EBT)",TRAINING!AU12:AU5000,"YES")</f>
        <v>0</v>
      </c>
      <c r="AB29" s="326"/>
      <c r="AC29" s="326"/>
      <c r="AD29" s="327"/>
      <c r="AE29" s="876">
        <f>COUNTIFS(TRAINING!B12:B5000,"&gt;=01/01/2020",TRAINING!B12:B5000,"&lt;=03/31/2020",TRAINING!D12:D5000,"Evidence Based Training (EBT)",TRAINING!AU12:AU5000,"YES")</f>
        <v>0</v>
      </c>
      <c r="AF29" s="326"/>
      <c r="AG29" s="326"/>
      <c r="AH29" s="327"/>
      <c r="AI29" s="721">
        <f>COUNTIFS(TRAINING!B12:B5000,"&gt;=04/01/2020",TRAINING!B12:B5000,"&lt;=06/30/2020",TRAINING!D12:D5000,"Evidence Based Training (EBT)",TRAINING!AU12:AU5000,"YES")</f>
        <v>0</v>
      </c>
      <c r="AJ29" s="326"/>
      <c r="AK29" s="326"/>
      <c r="AL29" s="327"/>
      <c r="AM29" s="746">
        <f>COUNTIFS(TRAINING!B12:B5000,"&gt;=07/01/2020",TRAINING!B12:B5000,"&lt;=09/30/2020",TRAINING!D12:D5000,"Evidence Based Training (EBT)",TRAINING!AU12:AU5000,"YES")</f>
        <v>0</v>
      </c>
      <c r="AN29" s="326"/>
      <c r="AO29" s="326"/>
      <c r="AP29" s="327"/>
      <c r="AQ29" s="412">
        <f>COUNTIFS(TRAINING!B12:B5000,"&gt;=10/01/2020",TRAINING!B12:B5000,"&lt;=12/31/2020",TRAINING!D12:D5000,"Evidence Based Training (EBT)",TRAINING!AU12:AU5000,"YES")</f>
        <v>0</v>
      </c>
      <c r="AR29" s="326"/>
      <c r="AS29" s="326"/>
      <c r="AT29" s="327"/>
      <c r="AU29" s="411">
        <f>COUNTIFS(TRAINING!B12:B5000,"&gt;=01/01/2021",TRAINING!B12:B5000,"&lt;=03/31/2021",TRAINING!D12:D5000,"Evidence Based Training (EBT)",TRAINING!AU12:AU5000,"YES")</f>
        <v>0</v>
      </c>
      <c r="AV29" s="326"/>
      <c r="AW29" s="326"/>
      <c r="AX29" s="327"/>
      <c r="AY29" s="412">
        <f>COUNTIFS(TRAINING!B12:B5000,"&gt;=04/01/2020",TRAINING!B12:B5000,"&lt;=06/30/2020",TRAINING!D12:D5000,"Evidence Based Training (EBT)",TRAINING!AU12:AU5000,"YES")</f>
        <v>0</v>
      </c>
      <c r="AZ29" s="326"/>
      <c r="BA29" s="326"/>
      <c r="BB29" s="327"/>
      <c r="BC29" s="411">
        <f>COUNTIFS(TRAINING!B12:B5000,"&gt;=07/01/2021",TRAINING!B12:B5000,"&lt;=09/30/2021",TRAINING!D12:D5000,"Evidence Based Training (EBT)",TRAINING!AU12:AU5000,"YES")</f>
        <v>0</v>
      </c>
      <c r="BD29" s="326"/>
      <c r="BE29" s="326"/>
      <c r="BF29" s="327"/>
      <c r="BG29" s="882">
        <f>COUNTIFS(TRAINING!B12:B5000,"&gt;=10/01/2021",TRAINING!B12:B5000,"&lt;=12/31/2021",TRAINING!D12:D5000,"Evidence Based Training (EBT)",TRAINING!AU12:AU5000,"YES")</f>
        <v>0</v>
      </c>
      <c r="BH29" s="326"/>
      <c r="BI29" s="326"/>
      <c r="BJ29" s="327"/>
      <c r="BK29" s="852">
        <f>COUNTIFS(TRAINING!B12:B5000,"&gt;=01/01/2022",TRAINING!B12:B5000,"&lt;=03/31/2022",TRAINING!D12:D5000,"Evidence Based Training (EBT)",TRAINING!AU12:AU5000,"YES")</f>
        <v>0</v>
      </c>
      <c r="BL29" s="326"/>
      <c r="BM29" s="326"/>
      <c r="BN29" s="327"/>
      <c r="BO29" s="882">
        <f>COUNTIFS(TRAINING!B12:B5000,"&gt;=04/01/2022",TRAINING!B12:B5000,"&lt;=06/30/2022",TRAINING!D12:D5000,"Evidence Based Training (EBT)",TRAINING!AU12:AU5000,"YES")</f>
        <v>0</v>
      </c>
      <c r="BP29" s="326"/>
      <c r="BQ29" s="326"/>
      <c r="BR29" s="327"/>
      <c r="BS29" s="852">
        <f>COUNTIFS(TRAINING!B12:B5000,"&gt;=07/01/2022",TRAINING!B12:B5000,"&lt;=09/30/2022",TRAINING!D12:D5000,"Evidence Based Training (EBT)",TRAINING!AU12:AU5000,"YES")</f>
        <v>0</v>
      </c>
      <c r="BT29" s="326"/>
      <c r="BU29" s="326"/>
      <c r="BV29" s="327"/>
      <c r="BW29" s="162"/>
    </row>
    <row r="30" spans="1:75" ht="15.75" customHeight="1" x14ac:dyDescent="0.25">
      <c r="A30" s="382" t="s">
        <v>681</v>
      </c>
      <c r="B30" s="326"/>
      <c r="C30" s="326"/>
      <c r="D30" s="326"/>
      <c r="E30" s="326"/>
      <c r="F30" s="326"/>
      <c r="G30" s="326"/>
      <c r="H30" s="327"/>
      <c r="I30" s="733" t="e">
        <f>'GRANTEE SET UP INFO &amp; DATE '!#REF!</f>
        <v>#REF!</v>
      </c>
      <c r="J30" s="326"/>
      <c r="K30" s="326"/>
      <c r="L30" s="327"/>
      <c r="M30" s="748" t="e">
        <f>'GRANTEE SET UP INFO &amp; DATE '!#REF!</f>
        <v>#REF!</v>
      </c>
      <c r="N30" s="326"/>
      <c r="O30" s="326"/>
      <c r="P30" s="326"/>
      <c r="Q30" s="327"/>
      <c r="R30" s="748" t="e">
        <f>'GRANTEE SET UP INFO &amp; DATE '!#REF!</f>
        <v>#REF!</v>
      </c>
      <c r="S30" s="326"/>
      <c r="T30" s="326"/>
      <c r="U30" s="326"/>
      <c r="V30" s="327"/>
      <c r="W30" s="880">
        <f>COUNTIFS(TRAINING!B12:B5000,"&gt;=07/01/2000",TRAINING!B12:B5000,"&lt;=09/30/2019",TRAINING!D12:D5000,"Evidence Based Training (EBT)",TRAINING!AV12:AV5000,"YES")</f>
        <v>0</v>
      </c>
      <c r="X30" s="326"/>
      <c r="Y30" s="326"/>
      <c r="Z30" s="327"/>
      <c r="AA30" s="729">
        <f>COUNTIFS(TRAINING!B12:B5000,"&gt;=10/01/2019",TRAINING!B12:B5000,"&lt;=12/31/2019",TRAINING!D12:D5000,"Evidence Based Training (EBT)",TRAINING!AV12:AV5000,"YES")</f>
        <v>0</v>
      </c>
      <c r="AB30" s="326"/>
      <c r="AC30" s="326"/>
      <c r="AD30" s="327"/>
      <c r="AE30" s="876">
        <f>COUNTIFS(TRAINING!B12:B5000,"&gt;=01/01/2020",TRAINING!B12:B5000,"&lt;=03/31/2020",TRAINING!D12:D5000,"Evidence Based Training (EBT)",TRAINING!AV12:AV5000,"YES")</f>
        <v>0</v>
      </c>
      <c r="AF30" s="326"/>
      <c r="AG30" s="326"/>
      <c r="AH30" s="327"/>
      <c r="AI30" s="721">
        <f>COUNTIFS(TRAINING!B12:B5000,"&gt;=04/01/2020",TRAINING!B12:B5000,"&lt;=06/30/2020",TRAINING!D12:D5000,"Evidence Based Training (EBT)",TRAINING!AV12:AV5000,"YES")</f>
        <v>0</v>
      </c>
      <c r="AJ30" s="326"/>
      <c r="AK30" s="326"/>
      <c r="AL30" s="327"/>
      <c r="AM30" s="746">
        <f>COUNTIFS(TRAINING!B12:B5000,"&gt;=07/01/2020",TRAINING!B12:B5000,"&lt;=09/30/2020",TRAINING!D12:D5000,"Evidence Based Training (EBT)",TRAINING!AV12:AV5000,"YES")</f>
        <v>0</v>
      </c>
      <c r="AN30" s="326"/>
      <c r="AO30" s="326"/>
      <c r="AP30" s="327"/>
      <c r="AQ30" s="412">
        <f>COUNTIFS(TRAINING!B12:B5000,"&gt;=10/01/2020",TRAINING!B12:B5000,"&lt;=12/31/2020",TRAINING!D12:D5000,"Evidence Based Training (EBT)",TRAINING!AV12:AV5000,"YES")</f>
        <v>0</v>
      </c>
      <c r="AR30" s="326"/>
      <c r="AS30" s="326"/>
      <c r="AT30" s="327"/>
      <c r="AU30" s="411">
        <f>COUNTIFS(TRAINING!B12:B5000,"&gt;=01/01/2021",TRAINING!B12:B5000,"&lt;=03/31/2021",TRAINING!D12:D5000,"Evidence Based Training (EBT)",TRAINING!AV12:AV5000,"YES")</f>
        <v>0</v>
      </c>
      <c r="AV30" s="326"/>
      <c r="AW30" s="326"/>
      <c r="AX30" s="327"/>
      <c r="AY30" s="412">
        <f>COUNTIFS(TRAINING!B12:B5000,"&gt;=04/01/2020",TRAINING!B12:B5000,"&lt;=06/30/2020",TRAINING!D12:D5000,"Evidence Based Training (EBT)",TRAINING!AV12:AV5000,"YES")</f>
        <v>0</v>
      </c>
      <c r="AZ30" s="326"/>
      <c r="BA30" s="326"/>
      <c r="BB30" s="327"/>
      <c r="BC30" s="411">
        <f>COUNTIFS(TRAINING!B12:B5000,"&gt;=07/01/2021",TRAINING!B12:B5000,"&lt;=09/30/2021",TRAINING!D12:D5000,"Evidence Based Training (EBT)",TRAINING!AV12:AV5000,"YES")</f>
        <v>0</v>
      </c>
      <c r="BD30" s="326"/>
      <c r="BE30" s="326"/>
      <c r="BF30" s="327"/>
      <c r="BG30" s="882">
        <f>COUNTIFS(TRAINING!B12:B5000,"&gt;=10/01/2021",TRAINING!B12:B5000,"&lt;=12/31/2021",TRAINING!D12:D5000,"Evidence Based Training (EBT)",TRAINING!AV12:AV5000,"YES")</f>
        <v>0</v>
      </c>
      <c r="BH30" s="326"/>
      <c r="BI30" s="326"/>
      <c r="BJ30" s="327"/>
      <c r="BK30" s="852">
        <f>COUNTIFS(TRAINING!B12:B5000,"&gt;=01/01/2022",TRAINING!B12:B5000,"&lt;=03/31/2022",TRAINING!D12:D5000,"Evidence Based Training (EBT)",TRAINING!AV12:AV5000,"YES")</f>
        <v>0</v>
      </c>
      <c r="BL30" s="326"/>
      <c r="BM30" s="326"/>
      <c r="BN30" s="327"/>
      <c r="BO30" s="882">
        <f>COUNTIFS(TRAINING!B12:B5000,"&gt;=04/01/2022",TRAINING!B12:B5000,"&lt;=06/30/2022",TRAINING!D12:D5000,"Evidence Based Training (EBT)",TRAINING!AV12:AV5000,"YES")</f>
        <v>0</v>
      </c>
      <c r="BP30" s="326"/>
      <c r="BQ30" s="326"/>
      <c r="BR30" s="327"/>
      <c r="BS30" s="852">
        <f>COUNTIFS(TRAINING!B12:B5000,"&gt;=07/01/2022",TRAINING!B12:B5000,"&lt;=09/30/2022",TRAINING!D12:D5000,"Evidence Based Training (EBT)",TRAINING!AV12:AV5000,"YES")</f>
        <v>0</v>
      </c>
      <c r="BT30" s="326"/>
      <c r="BU30" s="326"/>
      <c r="BV30" s="327"/>
      <c r="BW30" s="162"/>
    </row>
    <row r="31" spans="1:75" ht="15.75" customHeight="1" x14ac:dyDescent="0.25">
      <c r="A31" s="382" t="s">
        <v>682</v>
      </c>
      <c r="B31" s="326"/>
      <c r="C31" s="326"/>
      <c r="D31" s="326"/>
      <c r="E31" s="326"/>
      <c r="F31" s="326"/>
      <c r="G31" s="326"/>
      <c r="H31" s="327"/>
      <c r="I31" s="733" t="e">
        <f>'GRANTEE SET UP INFO &amp; DATE '!#REF!</f>
        <v>#REF!</v>
      </c>
      <c r="J31" s="326"/>
      <c r="K31" s="326"/>
      <c r="L31" s="327"/>
      <c r="M31" s="747" t="e">
        <f>'GRANTEE SET UP INFO &amp; DATE '!#REF!</f>
        <v>#REF!</v>
      </c>
      <c r="N31" s="326"/>
      <c r="O31" s="326"/>
      <c r="P31" s="326"/>
      <c r="Q31" s="327"/>
      <c r="R31" s="748" t="e">
        <f>'GRANTEE SET UP INFO &amp; DATE '!#REF!</f>
        <v>#REF!</v>
      </c>
      <c r="S31" s="326"/>
      <c r="T31" s="326"/>
      <c r="U31" s="326"/>
      <c r="V31" s="327"/>
      <c r="W31" s="880">
        <f>COUNTIFS(TRAINING!B12:B5000,"&gt;=07/01/2000",TRAINING!B12:B5000,"&lt;=09/30/2019",TRAINING!D12:D5000,"Evidence Based Training (EBT)",TRAINING!AW12:AW5000,"YES")</f>
        <v>0</v>
      </c>
      <c r="X31" s="326"/>
      <c r="Y31" s="326"/>
      <c r="Z31" s="327"/>
      <c r="AA31" s="729">
        <f>COUNTIFS(TRAINING!B12:B5000,"&gt;=10/01/2019",TRAINING!B12:B5000,"&lt;=12/31/2019",TRAINING!D12:D5000,"Evidence Based Training (EBT)",TRAINING!AW12:AW5000,"YES")</f>
        <v>0</v>
      </c>
      <c r="AB31" s="326"/>
      <c r="AC31" s="326"/>
      <c r="AD31" s="327"/>
      <c r="AE31" s="876">
        <f>COUNTIFS(TRAINING!B12:B5000,"&gt;=01/01/2020",TRAINING!B12:B5000,"&lt;=03/31/2020",TRAINING!D12:D5000,"Evidence Based Training (EBT)",TRAINING!AW12:AW5000,"YES")</f>
        <v>0</v>
      </c>
      <c r="AF31" s="326"/>
      <c r="AG31" s="326"/>
      <c r="AH31" s="327"/>
      <c r="AI31" s="721">
        <f>COUNTIFS(TRAINING!B12:B5000,"&gt;=04/01/2020",TRAINING!B12:B5000,"&lt;=06/30/2020",TRAINING!D12:D5000,"Evidence Based Training (EBT)",TRAINING!AW12:AW5000,"YES")</f>
        <v>0</v>
      </c>
      <c r="AJ31" s="326"/>
      <c r="AK31" s="326"/>
      <c r="AL31" s="327"/>
      <c r="AM31" s="746">
        <f>COUNTIFS(TRAINING!B12:B5000,"&gt;=07/01/2020",TRAINING!B12:B5000,"&lt;=09/30/2020",TRAINING!D12:D5000,"Evidence Based Training (EBT)",TRAINING!AW12:AW5000,"YES")</f>
        <v>0</v>
      </c>
      <c r="AN31" s="326"/>
      <c r="AO31" s="326"/>
      <c r="AP31" s="327"/>
      <c r="AQ31" s="412">
        <f>COUNTIFS(TRAINING!B12:B5000,"&gt;=10/01/2020",TRAINING!B12:B5000,"&lt;=12/31/2020",TRAINING!D12:D5000,"Evidence Based Training (EBT)",TRAINING!AW12:AW5000,"YES")</f>
        <v>0</v>
      </c>
      <c r="AR31" s="326"/>
      <c r="AS31" s="326"/>
      <c r="AT31" s="327"/>
      <c r="AU31" s="411">
        <f>COUNTIFS(TRAINING!B12:B5000,"&gt;=01/01/2021",TRAINING!B12:B5000,"&lt;=03/31/2021",TRAINING!D12:D5000,"Evidence Based Training (EBT)",TRAINING!AW12:AW5000,"YES")</f>
        <v>0</v>
      </c>
      <c r="AV31" s="326"/>
      <c r="AW31" s="326"/>
      <c r="AX31" s="327"/>
      <c r="AY31" s="412">
        <f>COUNTIFS(TRAINING!B12:B5000,"&gt;=04/01/2020",TRAINING!B12:B5000,"&lt;=06/30/2020",TRAINING!D12:D5000,"Evidence Based Training (EBT)",TRAINING!AW12:AW5000,"YES")</f>
        <v>0</v>
      </c>
      <c r="AZ31" s="326"/>
      <c r="BA31" s="326"/>
      <c r="BB31" s="327"/>
      <c r="BC31" s="411">
        <f>COUNTIFS(TRAINING!B12:B5000,"&gt;=07/01/2021",TRAINING!B12:B5000,"&lt;=09/30/2021",TRAINING!D12:D5000,"Evidence Based Training (EBT)",TRAINING!AW12:AW5000,"YES")</f>
        <v>0</v>
      </c>
      <c r="BD31" s="326"/>
      <c r="BE31" s="326"/>
      <c r="BF31" s="327"/>
      <c r="BG31" s="882">
        <f>COUNTIFS(TRAINING!B12:B5000,"&gt;=10/01/2021",TRAINING!B12:B5000,"&lt;=12/31/2021",TRAINING!D12:D5000,"Evidence Based Training (EBT)",TRAINING!AW12:AW5000,"YES")</f>
        <v>0</v>
      </c>
      <c r="BH31" s="326"/>
      <c r="BI31" s="326"/>
      <c r="BJ31" s="327"/>
      <c r="BK31" s="852">
        <f>COUNTIFS(TRAINING!B12:B5000,"&gt;=01/01/2022",TRAINING!B12:B5000,"&lt;=03/31/2022",TRAINING!D12:D5000,"Evidence Based Training (EBT)",TRAINING!AW12:AW5000,"YES")</f>
        <v>0</v>
      </c>
      <c r="BL31" s="326"/>
      <c r="BM31" s="326"/>
      <c r="BN31" s="327"/>
      <c r="BO31" s="882">
        <f>COUNTIFS(TRAINING!B12:B5000,"&gt;=04/01/2022",TRAINING!B12:B5000,"&lt;=06/30/2022",TRAINING!D12:D5000,"Evidence Based Training (EBT)",TRAINING!AW12:AW5000,"YES")</f>
        <v>0</v>
      </c>
      <c r="BP31" s="326"/>
      <c r="BQ31" s="326"/>
      <c r="BR31" s="327"/>
      <c r="BS31" s="852">
        <f>COUNTIFS(TRAINING!B12:B5000,"&gt;=07/01/2022",TRAINING!B12:B5000,"&lt;=09/30/2022",TRAINING!D12:D5000,"Evidence Based Training (EBT)",TRAINING!AW12:AW5000,"YES")</f>
        <v>0</v>
      </c>
      <c r="BT31" s="326"/>
      <c r="BU31" s="326"/>
      <c r="BV31" s="327"/>
      <c r="BW31" s="162"/>
    </row>
    <row r="32" spans="1:75" ht="15.75" customHeight="1" x14ac:dyDescent="0.25">
      <c r="A32" s="382" t="s">
        <v>683</v>
      </c>
      <c r="B32" s="326"/>
      <c r="C32" s="326"/>
      <c r="D32" s="326"/>
      <c r="E32" s="326"/>
      <c r="F32" s="326"/>
      <c r="G32" s="326"/>
      <c r="H32" s="327"/>
      <c r="I32" s="733" t="e">
        <f>'GRANTEE SET UP INFO &amp; DATE '!#REF!</f>
        <v>#REF!</v>
      </c>
      <c r="J32" s="326"/>
      <c r="K32" s="326"/>
      <c r="L32" s="327"/>
      <c r="M32" s="747" t="e">
        <f>'GRANTEE SET UP INFO &amp; DATE '!#REF!</f>
        <v>#REF!</v>
      </c>
      <c r="N32" s="326"/>
      <c r="O32" s="326"/>
      <c r="P32" s="326"/>
      <c r="Q32" s="327"/>
      <c r="R32" s="748" t="e">
        <f>'GRANTEE SET UP INFO &amp; DATE '!#REF!</f>
        <v>#REF!</v>
      </c>
      <c r="S32" s="326"/>
      <c r="T32" s="326"/>
      <c r="U32" s="326"/>
      <c r="V32" s="327"/>
      <c r="W32" s="880">
        <f>COUNTIFS(TRAINING!B12:B5000,"&gt;=07/01/2000",TRAINING!B12:B5000,"&lt;=09/30/2019",TRAINING!D12:D5000,"Evidence Based Training (EBT)",TRAINING!AX12:AX5000,"YES")</f>
        <v>0</v>
      </c>
      <c r="X32" s="326"/>
      <c r="Y32" s="326"/>
      <c r="Z32" s="327"/>
      <c r="AA32" s="729">
        <f>COUNTIFS(TRAINING!B12:B5000,"&gt;=10/01/2019",TRAINING!B12:B5000,"&lt;=12/31/2019",TRAINING!D12:D5000,"Evidence Based Training (EBT)",TRAINING!AX12:AX5000,"YES")</f>
        <v>0</v>
      </c>
      <c r="AB32" s="326"/>
      <c r="AC32" s="326"/>
      <c r="AD32" s="327"/>
      <c r="AE32" s="876">
        <f>COUNTIFS(TRAINING!B12:B5000,"&gt;=01/01/2020",TRAINING!B12:B5000,"&lt;=03/31/2020",TRAINING!D12:D5000,"Evidence Based Training (EBT)",TRAINING!AX12:AX5000,"YES")</f>
        <v>0</v>
      </c>
      <c r="AF32" s="326"/>
      <c r="AG32" s="326"/>
      <c r="AH32" s="327"/>
      <c r="AI32" s="721">
        <f>COUNTIFS(TRAINING!B12:B5000,"&gt;=04/01/2020",TRAINING!B12:B5000,"&lt;=06/30/2020",TRAINING!D12:D5000,"Evidence Based Training (EBT)",TRAINING!AX12:AX5000,"YES")</f>
        <v>0</v>
      </c>
      <c r="AJ32" s="326"/>
      <c r="AK32" s="326"/>
      <c r="AL32" s="327"/>
      <c r="AM32" s="746">
        <f>COUNTIFS(TRAINING!B12:B5000,"&gt;=07/01/2020",TRAINING!B12:B5000,"&lt;=09/30/2020",TRAINING!D12:D5000,"Evidence Based Training (EBT)",TRAINING!AX12:AX5000,"YES")</f>
        <v>0</v>
      </c>
      <c r="AN32" s="326"/>
      <c r="AO32" s="326"/>
      <c r="AP32" s="327"/>
      <c r="AQ32" s="412">
        <f>COUNTIFS(TRAINING!B12:B5000,"&gt;=10/01/2020",TRAINING!B12:B5000,"&lt;=12/31/2020",TRAINING!D12:D5000,"Evidence Based Training (EBT)",TRAINING!AX12:AX5000,"YES")</f>
        <v>0</v>
      </c>
      <c r="AR32" s="326"/>
      <c r="AS32" s="326"/>
      <c r="AT32" s="327"/>
      <c r="AU32" s="411">
        <f>COUNTIFS(TRAINING!B12:B5000,"&gt;=01/01/2021",TRAINING!B12:B5000,"&lt;=03/31/2021",TRAINING!D12:D5000,"Evidence Based Training (EBT)",TRAINING!AX12:AX5000,"YES")</f>
        <v>0</v>
      </c>
      <c r="AV32" s="326"/>
      <c r="AW32" s="326"/>
      <c r="AX32" s="327"/>
      <c r="AY32" s="412">
        <f>COUNTIFS(TRAINING!B12:B5000,"&gt;=04/01/2020",TRAINING!B12:B5000,"&lt;=06/30/2020",TRAINING!D12:D5000,"Evidence Based Training (EBT)",TRAINING!AX12:AX5000,"YES")</f>
        <v>0</v>
      </c>
      <c r="AZ32" s="326"/>
      <c r="BA32" s="326"/>
      <c r="BB32" s="327"/>
      <c r="BC32" s="411">
        <f>COUNTIFS(TRAINING!B12:B5000,"&gt;=07/01/2021",TRAINING!B12:B5000,"&lt;=09/30/2021",TRAINING!D12:D5000,"Evidence Based Training (EBT)",TRAINING!AX12:AX5000,"YES")</f>
        <v>0</v>
      </c>
      <c r="BD32" s="326"/>
      <c r="BE32" s="326"/>
      <c r="BF32" s="327"/>
      <c r="BG32" s="882">
        <f>COUNTIFS(TRAINING!B12:B5000,"&gt;=10/01/2021",TRAINING!B12:B5000,"&lt;=12/31/2021",TRAINING!D12:D5000,"Evidence Based Training (EBT)",TRAINING!AX12:AX5000,"YES")</f>
        <v>0</v>
      </c>
      <c r="BH32" s="326"/>
      <c r="BI32" s="326"/>
      <c r="BJ32" s="327"/>
      <c r="BK32" s="852">
        <f>COUNTIFS(TRAINING!B12:B5000,"&gt;=01/01/2022",TRAINING!B12:B5000,"&lt;=03/31/2022",TRAINING!D12:D5000,"Evidence Based Training (EBT)",TRAINING!AX12:AX5000,"YES")</f>
        <v>0</v>
      </c>
      <c r="BL32" s="326"/>
      <c r="BM32" s="326"/>
      <c r="BN32" s="327"/>
      <c r="BO32" s="882">
        <f>COUNTIFS(TRAINING!B12:B5000,"&gt;=04/01/2022",TRAINING!B12:B5000,"&lt;=06/30/2022",TRAINING!D12:D5000,"Evidence Based Training (EBT)",TRAINING!AX12:AX5000,"YES")</f>
        <v>0</v>
      </c>
      <c r="BP32" s="326"/>
      <c r="BQ32" s="326"/>
      <c r="BR32" s="327"/>
      <c r="BS32" s="852">
        <f>COUNTIFS(TRAINING!B12:B5000,"&gt;=07/01/2022",TRAINING!B12:B5000,"&lt;=09/30/2022",TRAINING!D12:D5000,"Evidence Based Training (EBT)",TRAINING!AX12:AX5000,"YES")</f>
        <v>0</v>
      </c>
      <c r="BT32" s="326"/>
      <c r="BU32" s="326"/>
      <c r="BV32" s="327"/>
      <c r="BW32" s="162"/>
    </row>
    <row r="33" spans="1:75" ht="15.75" customHeight="1" x14ac:dyDescent="0.25">
      <c r="A33" s="382" t="s">
        <v>684</v>
      </c>
      <c r="B33" s="326"/>
      <c r="C33" s="326"/>
      <c r="D33" s="326"/>
      <c r="E33" s="326"/>
      <c r="F33" s="326"/>
      <c r="G33" s="326"/>
      <c r="H33" s="327"/>
      <c r="I33" s="733" t="e">
        <f>'GRANTEE SET UP INFO &amp; DATE '!#REF!</f>
        <v>#REF!</v>
      </c>
      <c r="J33" s="326"/>
      <c r="K33" s="326"/>
      <c r="L33" s="327"/>
      <c r="M33" s="747" t="e">
        <f>'GRANTEE SET UP INFO &amp; DATE '!#REF!</f>
        <v>#REF!</v>
      </c>
      <c r="N33" s="326"/>
      <c r="O33" s="326"/>
      <c r="P33" s="326"/>
      <c r="Q33" s="327"/>
      <c r="R33" s="748" t="e">
        <f>'GRANTEE SET UP INFO &amp; DATE '!#REF!</f>
        <v>#REF!</v>
      </c>
      <c r="S33" s="326"/>
      <c r="T33" s="326"/>
      <c r="U33" s="326"/>
      <c r="V33" s="327"/>
      <c r="W33" s="880">
        <f>COUNTIFS(TRAINING!B12:B5000,"&gt;=07/01/2000",TRAINING!B12:B5000,"&lt;=09/30/2019",TRAINING!D12:D5000,"Evidence Based Training (EBT)",TRAINING!AY12:AY5000,"YES")</f>
        <v>0</v>
      </c>
      <c r="X33" s="326"/>
      <c r="Y33" s="326"/>
      <c r="Z33" s="327"/>
      <c r="AA33" s="729">
        <f>COUNTIFS(TRAINING!B12:B5000,"&gt;=10/01/2019",TRAINING!B12:B5000,"&lt;=12/31/2019",TRAINING!D12:D5000,"Evidence Based Training (EBT)",TRAINING!AY12:AY5000,"YES")</f>
        <v>0</v>
      </c>
      <c r="AB33" s="326"/>
      <c r="AC33" s="326"/>
      <c r="AD33" s="327"/>
      <c r="AE33" s="876">
        <f>COUNTIFS(TRAINING!B12:B5000,"&gt;=01/01/2020",TRAINING!B12:B5000,"&lt;=03/31/2020",TRAINING!D12:D5000,"Evidence Based Training (EBT)",TRAINING!AY12:AY5000,"YES")</f>
        <v>0</v>
      </c>
      <c r="AF33" s="326"/>
      <c r="AG33" s="326"/>
      <c r="AH33" s="327"/>
      <c r="AI33" s="721">
        <f>COUNTIFS(TRAINING!B12:B5000,"&gt;=04/01/2020",TRAINING!B12:B5000,"&lt;=06/30/2020",TRAINING!D12:D5000,"Evidence Based Training (EBT)",TRAINING!AY12:AY5000,"YES")</f>
        <v>0</v>
      </c>
      <c r="AJ33" s="326"/>
      <c r="AK33" s="326"/>
      <c r="AL33" s="327"/>
      <c r="AM33" s="746">
        <f>COUNTIFS(TRAINING!B12:B5000,"&gt;=07/01/2020",TRAINING!B12:B5000,"&lt;=09/30/2020",TRAINING!D12:D5000,"Evidence Based Training (EBT)",TRAINING!AY12:AY5000,"YES")</f>
        <v>0</v>
      </c>
      <c r="AN33" s="326"/>
      <c r="AO33" s="326"/>
      <c r="AP33" s="327"/>
      <c r="AQ33" s="412">
        <f>COUNTIFS(TRAINING!B12:B5000,"&gt;=10/01/2020",TRAINING!B12:B5000,"&lt;=12/31/2020",TRAINING!D12:D5000,"Evidence Based Training (EBT)",TRAINING!AY12:AY5000,"YES")</f>
        <v>0</v>
      </c>
      <c r="AR33" s="326"/>
      <c r="AS33" s="326"/>
      <c r="AT33" s="327"/>
      <c r="AU33" s="411">
        <f>COUNTIFS(TRAINING!B12:B5000,"&gt;=01/01/2021",TRAINING!B12:B5000,"&lt;=03/31/2021",TRAINING!D12:D5000,"Evidence Based Training (EBT)",TRAINING!AY12:AY5000,"YES")</f>
        <v>0</v>
      </c>
      <c r="AV33" s="326"/>
      <c r="AW33" s="326"/>
      <c r="AX33" s="327"/>
      <c r="AY33" s="412">
        <f>COUNTIFS(TRAINING!B12:B5000,"&gt;=04/01/2020",TRAINING!B12:B5000,"&lt;=06/30/2020",TRAINING!D12:D5000,"Evidence Based Training (EBT)",TRAINING!AY12:AY5000,"YES")</f>
        <v>0</v>
      </c>
      <c r="AZ33" s="326"/>
      <c r="BA33" s="326"/>
      <c r="BB33" s="327"/>
      <c r="BC33" s="411">
        <f>COUNTIFS(TRAINING!B12:B5000,"&gt;=07/01/2021",TRAINING!B12:B5000,"&lt;=09/30/2021",TRAINING!D12:D5000,"Evidence Based Training (EBT)",TRAINING!AY12:AY5000,"YES")</f>
        <v>0</v>
      </c>
      <c r="BD33" s="326"/>
      <c r="BE33" s="326"/>
      <c r="BF33" s="327"/>
      <c r="BG33" s="882">
        <f>COUNTIFS(TRAINING!B12:B5000,"&gt;=10/01/2021",TRAINING!B12:B5000,"&lt;=12/31/2021",TRAINING!D12:D5000,"Evidence Based Training (EBT)",TRAINING!AY12:AY5000,"YES")</f>
        <v>0</v>
      </c>
      <c r="BH33" s="326"/>
      <c r="BI33" s="326"/>
      <c r="BJ33" s="327"/>
      <c r="BK33" s="852">
        <f>COUNTIFS(TRAINING!B12:B5000,"&gt;=01/01/2022",TRAINING!B12:B5000,"&lt;=03/31/2022",TRAINING!D12:D5000,"Evidence Based Training (EBT)",TRAINING!AY12:AY5000,"YES")</f>
        <v>0</v>
      </c>
      <c r="BL33" s="326"/>
      <c r="BM33" s="326"/>
      <c r="BN33" s="327"/>
      <c r="BO33" s="882">
        <f>COUNTIFS(TRAINING!B12:B5000,"&gt;=04/01/2022",TRAINING!B12:B5000,"&lt;=06/30/2022",TRAINING!D12:D5000,"Evidence Based Training (EBT)",TRAINING!AY12:AY5000,"YES")</f>
        <v>0</v>
      </c>
      <c r="BP33" s="326"/>
      <c r="BQ33" s="326"/>
      <c r="BR33" s="327"/>
      <c r="BS33" s="852">
        <f>COUNTIFS(TRAINING!B12:B5000,"&gt;=07/01/2022",TRAINING!B12:B5000,"&lt;=09/30/2022",TRAINING!D12:D5000,"Evidence Based Training (EBT)",TRAINING!AY12:AY5000,"YES")</f>
        <v>0</v>
      </c>
      <c r="BT33" s="326"/>
      <c r="BU33" s="326"/>
      <c r="BV33" s="327"/>
      <c r="BW33" s="162"/>
    </row>
    <row r="34" spans="1:75" ht="15.75" customHeight="1" x14ac:dyDescent="0.25">
      <c r="A34" s="382"/>
      <c r="B34" s="326"/>
      <c r="C34" s="326"/>
      <c r="D34" s="326"/>
      <c r="E34" s="326"/>
      <c r="F34" s="326"/>
      <c r="G34" s="326"/>
      <c r="H34" s="327"/>
      <c r="I34" s="746"/>
      <c r="J34" s="326"/>
      <c r="K34" s="326"/>
      <c r="L34" s="327"/>
      <c r="M34" s="747"/>
      <c r="N34" s="326"/>
      <c r="O34" s="326"/>
      <c r="P34" s="326"/>
      <c r="Q34" s="327"/>
      <c r="R34" s="748"/>
      <c r="S34" s="326"/>
      <c r="T34" s="326"/>
      <c r="U34" s="326"/>
      <c r="V34" s="327"/>
      <c r="W34" s="880"/>
      <c r="X34" s="326"/>
      <c r="Y34" s="326"/>
      <c r="Z34" s="327"/>
      <c r="AA34" s="729"/>
      <c r="AB34" s="326"/>
      <c r="AC34" s="326"/>
      <c r="AD34" s="327"/>
      <c r="AE34" s="876"/>
      <c r="AF34" s="326"/>
      <c r="AG34" s="326"/>
      <c r="AH34" s="327"/>
      <c r="AI34" s="721"/>
      <c r="AJ34" s="326"/>
      <c r="AK34" s="326"/>
      <c r="AL34" s="327"/>
      <c r="AM34" s="746"/>
      <c r="AN34" s="326"/>
      <c r="AO34" s="326"/>
      <c r="AP34" s="327"/>
      <c r="AQ34" s="412"/>
      <c r="AR34" s="326"/>
      <c r="AS34" s="326"/>
      <c r="AT34" s="327"/>
      <c r="AU34" s="411"/>
      <c r="AV34" s="326"/>
      <c r="AW34" s="326"/>
      <c r="AX34" s="327"/>
      <c r="AY34" s="412"/>
      <c r="AZ34" s="326"/>
      <c r="BA34" s="326"/>
      <c r="BB34" s="327"/>
      <c r="BC34" s="411"/>
      <c r="BD34" s="326"/>
      <c r="BE34" s="326"/>
      <c r="BF34" s="327"/>
      <c r="BG34" s="882"/>
      <c r="BH34" s="326"/>
      <c r="BI34" s="326"/>
      <c r="BJ34" s="327"/>
      <c r="BK34" s="852"/>
      <c r="BL34" s="326"/>
      <c r="BM34" s="326"/>
      <c r="BN34" s="327"/>
      <c r="BO34" s="882"/>
      <c r="BP34" s="326"/>
      <c r="BQ34" s="326"/>
      <c r="BR34" s="327"/>
      <c r="BS34" s="852"/>
      <c r="BT34" s="326"/>
      <c r="BU34" s="326"/>
      <c r="BV34" s="327"/>
      <c r="BW34" s="162"/>
    </row>
    <row r="35" spans="1:75" ht="15.75" customHeight="1" x14ac:dyDescent="0.25">
      <c r="A35" s="895" t="s">
        <v>569</v>
      </c>
      <c r="B35" s="326"/>
      <c r="C35" s="326"/>
      <c r="D35" s="326"/>
      <c r="E35" s="326"/>
      <c r="F35" s="326"/>
      <c r="G35" s="326"/>
      <c r="H35" s="326"/>
      <c r="I35" s="326"/>
      <c r="J35" s="326"/>
      <c r="K35" s="326"/>
      <c r="L35" s="326"/>
      <c r="M35" s="326"/>
      <c r="N35" s="326"/>
      <c r="O35" s="326"/>
      <c r="P35" s="326"/>
      <c r="Q35" s="326"/>
      <c r="R35" s="326"/>
      <c r="S35" s="326"/>
      <c r="T35" s="326"/>
      <c r="U35" s="326"/>
      <c r="V35" s="327"/>
      <c r="W35" s="896">
        <f>SUM(W22:W34)</f>
        <v>0</v>
      </c>
      <c r="X35" s="326"/>
      <c r="Y35" s="326"/>
      <c r="Z35" s="327"/>
      <c r="AA35" s="849">
        <f>SUM(AA22:AA34)</f>
        <v>0</v>
      </c>
      <c r="AB35" s="326"/>
      <c r="AC35" s="326"/>
      <c r="AD35" s="327"/>
      <c r="AE35" s="718">
        <f>SUM(AE22:AE34)</f>
        <v>0</v>
      </c>
      <c r="AF35" s="326"/>
      <c r="AG35" s="326"/>
      <c r="AH35" s="327"/>
      <c r="AI35" s="901">
        <f>SUM(AI22:AI34)</f>
        <v>0</v>
      </c>
      <c r="AJ35" s="326"/>
      <c r="AK35" s="326"/>
      <c r="AL35" s="327"/>
      <c r="AM35" s="940">
        <f>SUM(AM22:AM34)</f>
        <v>0</v>
      </c>
      <c r="AN35" s="326"/>
      <c r="AO35" s="326"/>
      <c r="AP35" s="327"/>
      <c r="AQ35" s="937">
        <f>SUM(AQ22:AQ34)</f>
        <v>0</v>
      </c>
      <c r="AR35" s="326"/>
      <c r="AS35" s="326"/>
      <c r="AT35" s="327"/>
      <c r="AU35" s="936">
        <f>SUM(AU22:AU34)</f>
        <v>0</v>
      </c>
      <c r="AV35" s="326"/>
      <c r="AW35" s="326"/>
      <c r="AX35" s="327"/>
      <c r="AY35" s="937">
        <f>SUM(AY22:AY34)</f>
        <v>0</v>
      </c>
      <c r="AZ35" s="326"/>
      <c r="BA35" s="326"/>
      <c r="BB35" s="327"/>
      <c r="BC35" s="936">
        <f>SUM(BC22:BC34)</f>
        <v>0</v>
      </c>
      <c r="BD35" s="326"/>
      <c r="BE35" s="326"/>
      <c r="BF35" s="327"/>
      <c r="BG35" s="938">
        <f>SUM(BG22:BG34)</f>
        <v>0</v>
      </c>
      <c r="BH35" s="326"/>
      <c r="BI35" s="326"/>
      <c r="BJ35" s="327"/>
      <c r="BK35" s="939">
        <f>SUM(BK22:BK34)</f>
        <v>0</v>
      </c>
      <c r="BL35" s="326"/>
      <c r="BM35" s="326"/>
      <c r="BN35" s="327"/>
      <c r="BO35" s="938">
        <f>SUM(BO22:BO34)</f>
        <v>0</v>
      </c>
      <c r="BP35" s="326"/>
      <c r="BQ35" s="326"/>
      <c r="BR35" s="327"/>
      <c r="BS35" s="939">
        <f>SUM(BS22:BS34)</f>
        <v>0</v>
      </c>
      <c r="BT35" s="326"/>
      <c r="BU35" s="326"/>
      <c r="BV35" s="327"/>
      <c r="BW35" s="162"/>
    </row>
    <row r="36" spans="1:75" ht="15.75" customHeight="1" x14ac:dyDescent="0.25">
      <c r="A36" s="162"/>
      <c r="B36" s="162"/>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row>
    <row r="37" spans="1:75" ht="15.75" customHeight="1" x14ac:dyDescent="0.25">
      <c r="A37" s="886" t="s">
        <v>723</v>
      </c>
      <c r="B37" s="326"/>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408"/>
      <c r="AP37" s="165"/>
      <c r="AQ37" s="165"/>
      <c r="AR37" s="165"/>
      <c r="AS37" s="165"/>
      <c r="AT37" s="165"/>
      <c r="AU37" s="165"/>
      <c r="AV37" s="165"/>
      <c r="AW37" s="165"/>
      <c r="AX37" s="165"/>
      <c r="AY37" s="165"/>
      <c r="AZ37" s="165"/>
      <c r="BA37" s="165"/>
      <c r="BB37" s="165"/>
      <c r="BC37" s="166" t="s">
        <v>724</v>
      </c>
      <c r="BD37" s="166"/>
      <c r="BE37" s="166"/>
      <c r="BF37" s="166"/>
      <c r="BG37" s="166"/>
      <c r="BH37" s="166"/>
      <c r="BI37" s="166"/>
      <c r="BJ37" s="166"/>
      <c r="BK37" s="166"/>
      <c r="BL37" s="166"/>
      <c r="BM37" s="166"/>
      <c r="BN37" s="166"/>
      <c r="BO37" s="166"/>
      <c r="BP37" s="166"/>
      <c r="BQ37" s="166"/>
      <c r="BR37" s="166"/>
      <c r="BS37" s="166"/>
      <c r="BT37" s="166"/>
      <c r="BU37" s="166"/>
      <c r="BV37" s="167"/>
      <c r="BW37" s="162"/>
    </row>
    <row r="38" spans="1:75" ht="15.75" customHeight="1" x14ac:dyDescent="0.25">
      <c r="A38" s="887" t="s">
        <v>668</v>
      </c>
      <c r="B38" s="326"/>
      <c r="C38" s="326"/>
      <c r="D38" s="326"/>
      <c r="E38" s="326"/>
      <c r="F38" s="326"/>
      <c r="G38" s="326"/>
      <c r="H38" s="327"/>
      <c r="I38" s="887" t="s">
        <v>669</v>
      </c>
      <c r="J38" s="326"/>
      <c r="K38" s="326"/>
      <c r="L38" s="327"/>
      <c r="M38" s="888" t="s">
        <v>670</v>
      </c>
      <c r="N38" s="326"/>
      <c r="O38" s="326"/>
      <c r="P38" s="326"/>
      <c r="Q38" s="327"/>
      <c r="R38" s="889" t="s">
        <v>671</v>
      </c>
      <c r="S38" s="326"/>
      <c r="T38" s="326"/>
      <c r="U38" s="326"/>
      <c r="V38" s="327"/>
      <c r="W38" s="890" t="s">
        <v>708</v>
      </c>
      <c r="X38" s="326"/>
      <c r="Y38" s="326"/>
      <c r="Z38" s="327"/>
      <c r="AA38" s="631" t="s">
        <v>709</v>
      </c>
      <c r="AB38" s="326"/>
      <c r="AC38" s="326"/>
      <c r="AD38" s="327"/>
      <c r="AE38" s="897" t="s">
        <v>710</v>
      </c>
      <c r="AF38" s="326"/>
      <c r="AG38" s="326"/>
      <c r="AH38" s="327"/>
      <c r="AI38" s="631" t="s">
        <v>711</v>
      </c>
      <c r="AJ38" s="326"/>
      <c r="AK38" s="326"/>
      <c r="AL38" s="327"/>
      <c r="AM38" s="897" t="s">
        <v>712</v>
      </c>
      <c r="AN38" s="326"/>
      <c r="AO38" s="326"/>
      <c r="AP38" s="327"/>
      <c r="AQ38" s="898" t="s">
        <v>713</v>
      </c>
      <c r="AR38" s="326"/>
      <c r="AS38" s="326"/>
      <c r="AT38" s="327"/>
      <c r="AU38" s="899" t="s">
        <v>714</v>
      </c>
      <c r="AV38" s="326"/>
      <c r="AW38" s="326"/>
      <c r="AX38" s="327"/>
      <c r="AY38" s="898" t="s">
        <v>715</v>
      </c>
      <c r="AZ38" s="326"/>
      <c r="BA38" s="326"/>
      <c r="BB38" s="327"/>
      <c r="BC38" s="899" t="s">
        <v>716</v>
      </c>
      <c r="BD38" s="326"/>
      <c r="BE38" s="326"/>
      <c r="BF38" s="327"/>
      <c r="BG38" s="884" t="s">
        <v>717</v>
      </c>
      <c r="BH38" s="326"/>
      <c r="BI38" s="326"/>
      <c r="BJ38" s="327"/>
      <c r="BK38" s="885" t="s">
        <v>718</v>
      </c>
      <c r="BL38" s="326"/>
      <c r="BM38" s="326"/>
      <c r="BN38" s="327"/>
      <c r="BO38" s="884" t="s">
        <v>719</v>
      </c>
      <c r="BP38" s="326"/>
      <c r="BQ38" s="326"/>
      <c r="BR38" s="327"/>
      <c r="BS38" s="885" t="s">
        <v>720</v>
      </c>
      <c r="BT38" s="326"/>
      <c r="BU38" s="326"/>
      <c r="BV38" s="327"/>
      <c r="BW38" s="162"/>
    </row>
    <row r="39" spans="1:75" ht="15.75" customHeight="1" x14ac:dyDescent="0.25">
      <c r="A39" s="382" t="s">
        <v>673</v>
      </c>
      <c r="B39" s="326"/>
      <c r="C39" s="326"/>
      <c r="D39" s="326"/>
      <c r="E39" s="326"/>
      <c r="F39" s="326"/>
      <c r="G39" s="326"/>
      <c r="H39" s="327"/>
      <c r="I39" s="733">
        <f>'GRANTEE SET UP INFO &amp; DATE '!C11</f>
        <v>0</v>
      </c>
      <c r="J39" s="326"/>
      <c r="K39" s="326"/>
      <c r="L39" s="327"/>
      <c r="M39" s="735">
        <f>'GRANTEE SET UP INFO &amp; DATE '!F11</f>
        <v>0</v>
      </c>
      <c r="N39" s="326"/>
      <c r="O39" s="326"/>
      <c r="P39" s="326"/>
      <c r="Q39" s="327"/>
      <c r="R39" s="735" t="e">
        <f>'GRANTEE SET UP INFO &amp; DATE '!#REF!</f>
        <v>#REF!</v>
      </c>
      <c r="S39" s="326"/>
      <c r="T39" s="326"/>
      <c r="U39" s="326"/>
      <c r="V39" s="327"/>
      <c r="W39" s="904">
        <f>COUNTIFS(TRAINING!B12:B5000,"&gt;=07/01/2000",TRAINING!B12:B5000,"&lt;=09/30/2019",TRAINING!D12:D5000,"Both Mandatory and EBT",TRAINING!AN12:AN5000,"YES")</f>
        <v>0</v>
      </c>
      <c r="X39" s="326"/>
      <c r="Y39" s="326"/>
      <c r="Z39" s="327"/>
      <c r="AA39" s="456">
        <f>COUNTIFS(TRAINING!B12:B5000,"&gt;=10/01/2019",TRAINING!B12:B5000,"&lt;=12/31/2019",TRAINING!D12:D5000,"Both Mandatory and EBT",TRAINING!AN12:AN5000,"YES")</f>
        <v>0</v>
      </c>
      <c r="AB39" s="326"/>
      <c r="AC39" s="326"/>
      <c r="AD39" s="327"/>
      <c r="AE39" s="746">
        <f>COUNTIFS(TRAINING!B12:B5000,"&gt;=01/01/2020",TRAINING!B12:B5000,"&lt;=03/31/2020",TRAINING!D12:D5000,"Both Mandatory and EBT",TRAINING!AN12:AN5000,"YES")</f>
        <v>0</v>
      </c>
      <c r="AF39" s="326"/>
      <c r="AG39" s="326"/>
      <c r="AH39" s="327"/>
      <c r="AI39" s="456">
        <f>COUNTIFS(TRAINING!B12:B5000,"&gt;=04/01/2020",TRAINING!B12:B5000,"&lt;=06/30/2020",TRAINING!D12:D5000,"Both Mandatory and EBT",TRAINING!AN12:AN5000,"YES")</f>
        <v>0</v>
      </c>
      <c r="AJ39" s="326"/>
      <c r="AK39" s="326"/>
      <c r="AL39" s="327"/>
      <c r="AM39" s="746">
        <f>COUNTIFS(TRAINING!B12:B5000,"&gt;=07/01/2020",TRAINING!B12:B5000,"&lt;=09/30/2020",TRAINING!D12:D5000,"Both Mandatory and EBT",TRAINING!AN12:AN5000,"YES")</f>
        <v>0</v>
      </c>
      <c r="AN39" s="326"/>
      <c r="AO39" s="326"/>
      <c r="AP39" s="327"/>
      <c r="AQ39" s="412">
        <f>COUNTIFS(TRAINING!B12:B5000,"&gt;=10/01/2020",TRAINING!B12:B5000,"&lt;=12/31/2020",TRAINING!D12:D5000,"Both Mandatory and EBT",TRAINING!AN12:AN5000,"YES")</f>
        <v>0</v>
      </c>
      <c r="AR39" s="326"/>
      <c r="AS39" s="326"/>
      <c r="AT39" s="327"/>
      <c r="AU39" s="411">
        <f>COUNTIFS(TRAINING!B12:B5000,"&gt;=01/01/2021",TRAINING!B12:B5000,"&lt;=03/31/2021",TRAINING!D12:D5000,"Both Mandatory and EBT",TRAINING!AN12:AN5000,"YES")</f>
        <v>0</v>
      </c>
      <c r="AV39" s="326"/>
      <c r="AW39" s="326"/>
      <c r="AX39" s="327"/>
      <c r="AY39" s="412">
        <f>COUNTIFS(TRAINING!B12:B5000,"&gt;=04/01/2020",TRAINING!B12:B5000,"&lt;=06/30/2020",TRAINING!D12:D5000,"Both Mandatory and EBT",TRAINING!AN12:AN5000,"YES")</f>
        <v>0</v>
      </c>
      <c r="AZ39" s="326"/>
      <c r="BA39" s="326"/>
      <c r="BB39" s="327"/>
      <c r="BC39" s="411">
        <f>COUNTIFS(TRAINING!B12:B5000,"&gt;=07/01/2021",TRAINING!B12:B5000,"&lt;=09/30/2021",TRAINING!D12:D5000,"Both Mandatory and EBT",TRAINING!AN12:AN5000,"YES")</f>
        <v>0</v>
      </c>
      <c r="BD39" s="326"/>
      <c r="BE39" s="326"/>
      <c r="BF39" s="327"/>
      <c r="BG39" s="882">
        <f>COUNTIFS(TRAINING!B12:B5000,"&gt;=10/01/2021",TRAINING!B12:B5000,"&lt;=12/31/2021",TRAINING!D12:D5000,"Both Mandatory and EBT",TRAINING!AN12:AN5000,"YES")</f>
        <v>0</v>
      </c>
      <c r="BH39" s="326"/>
      <c r="BI39" s="326"/>
      <c r="BJ39" s="327"/>
      <c r="BK39" s="852">
        <f>COUNTIFS(TRAINING!B12:B5000,"&gt;=01/01/2022",TRAINING!B12:B5000,"&lt;=03/31/2022",TRAINING!D12:D5000,"Both Mandatory and EBT",TRAINING!AN12:AN5000,"YES")</f>
        <v>0</v>
      </c>
      <c r="BL39" s="326"/>
      <c r="BM39" s="326"/>
      <c r="BN39" s="327"/>
      <c r="BO39" s="882">
        <f>COUNTIFS(TRAINING!B12:B5000,"&gt;=04/01/2022",TRAINING!B12:B5000,"&lt;=06/30/2022",TRAINING!D12:D5000,"Both Mandatory and EBT",TRAINING!AN12:AN5000,"YES")</f>
        <v>0</v>
      </c>
      <c r="BP39" s="326"/>
      <c r="BQ39" s="326"/>
      <c r="BR39" s="327"/>
      <c r="BS39" s="852">
        <f>COUNTIFS(TRAINING!B12:B5000,"&gt;=07/01/2022",TRAINING!B12:B5000,"&lt;=09/30/2022",TRAINING!D12:D5000,"Both Mandatory and EBT",TRAINING!AN12:AN5000,"YES")</f>
        <v>0</v>
      </c>
      <c r="BT39" s="326"/>
      <c r="BU39" s="326"/>
      <c r="BV39" s="327"/>
      <c r="BW39" s="162"/>
    </row>
    <row r="40" spans="1:75" ht="15.75" customHeight="1" x14ac:dyDescent="0.25">
      <c r="A40" s="382" t="s">
        <v>674</v>
      </c>
      <c r="B40" s="326"/>
      <c r="C40" s="326"/>
      <c r="D40" s="326"/>
      <c r="E40" s="326"/>
      <c r="F40" s="326"/>
      <c r="G40" s="326"/>
      <c r="H40" s="327"/>
      <c r="I40" s="733">
        <f>'GRANTEE SET UP INFO &amp; DATE '!C12</f>
        <v>0</v>
      </c>
      <c r="J40" s="326"/>
      <c r="K40" s="326"/>
      <c r="L40" s="327"/>
      <c r="M40" s="735">
        <f>'GRANTEE SET UP INFO &amp; DATE '!F12</f>
        <v>0</v>
      </c>
      <c r="N40" s="326"/>
      <c r="O40" s="326"/>
      <c r="P40" s="326"/>
      <c r="Q40" s="327"/>
      <c r="R40" s="735" t="e">
        <f>'GRANTEE SET UP INFO &amp; DATE '!#REF!</f>
        <v>#REF!</v>
      </c>
      <c r="S40" s="326"/>
      <c r="T40" s="326"/>
      <c r="U40" s="326"/>
      <c r="V40" s="327"/>
      <c r="W40" s="904">
        <f>COUNTIFS(TRAINING!B12:B5000,"&gt;=07/01/2000",TRAINING!B12:B5000,"&lt;=09/30/2019",TRAINING!D12:D5000,"Both Mandatory and EBT",TRAINING!AO12:AO5000,"YES")</f>
        <v>0</v>
      </c>
      <c r="X40" s="326"/>
      <c r="Y40" s="326"/>
      <c r="Z40" s="327"/>
      <c r="AA40" s="456">
        <f>COUNTIFS(TRAINING!B12:B5000,"&gt;=10/01/2019",TRAINING!B12:B5000,"&lt;=12/31/2019",TRAINING!D12:D5000,"Both Mandatory and EBT",TRAINING!AO12:AO5000,"YES")</f>
        <v>0</v>
      </c>
      <c r="AB40" s="326"/>
      <c r="AC40" s="326"/>
      <c r="AD40" s="327"/>
      <c r="AE40" s="746">
        <f>COUNTIFS(TRAINING!B12:B5000,"&gt;=01/01/2020",TRAINING!B12:B5000,"&lt;=03/31/2020",TRAINING!D12:D5000,"Both Mandatory and EBT",TRAINING!AO12:AO5000,"YES")</f>
        <v>0</v>
      </c>
      <c r="AF40" s="326"/>
      <c r="AG40" s="326"/>
      <c r="AH40" s="327"/>
      <c r="AI40" s="456">
        <f>COUNTIFS(TRAINING!B12:B5000,"&gt;=04/01/2020",TRAINING!B12:B5000,"&lt;=06/30/2020",TRAINING!D12:D5000,"Both Mandatory and EBT",TRAINING!AO12:AO5000,"YES")</f>
        <v>0</v>
      </c>
      <c r="AJ40" s="326"/>
      <c r="AK40" s="326"/>
      <c r="AL40" s="327"/>
      <c r="AM40" s="746">
        <f>COUNTIFS(TRAINING!B12:B5000,"&gt;=07/01/2020",TRAINING!B12:B5000,"&lt;=09/30/2020",TRAINING!D12:D5000,"Both Mandatory and EBT",TRAINING!AO12:AO5000,"YES")</f>
        <v>0</v>
      </c>
      <c r="AN40" s="326"/>
      <c r="AO40" s="326"/>
      <c r="AP40" s="327"/>
      <c r="AQ40" s="412">
        <f>COUNTIFS(TRAINING!B12:B5000,"&gt;=10/01/2020",TRAINING!B12:B5000,"&lt;=12/31/2020",TRAINING!D12:D5000,"Both Mandatory and EBT",TRAINING!AO12:AO5000,"YES")</f>
        <v>0</v>
      </c>
      <c r="AR40" s="326"/>
      <c r="AS40" s="326"/>
      <c r="AT40" s="327"/>
      <c r="AU40" s="411">
        <f>COUNTIFS(TRAINING!B12:B5000,"&gt;=01/01/2021",TRAINING!B12:B5000,"&lt;=03/31/2021",TRAINING!D12:D5000,"Both Mandatory and EBT",TRAINING!AO12:AO5000,"YES")</f>
        <v>0</v>
      </c>
      <c r="AV40" s="326"/>
      <c r="AW40" s="326"/>
      <c r="AX40" s="327"/>
      <c r="AY40" s="412">
        <f>COUNTIFS(TRAINING!B12:B5000,"&gt;=04/01/2020",TRAINING!B12:B5000,"&lt;=06/30/2020",TRAINING!D12:D5000,"Both Mandatory and EBT",TRAINING!AO12:AO5000,"YES")</f>
        <v>0</v>
      </c>
      <c r="AZ40" s="326"/>
      <c r="BA40" s="326"/>
      <c r="BB40" s="327"/>
      <c r="BC40" s="411">
        <f>COUNTIFS(TRAINING!B12:B5000,"&gt;=07/01/2021",TRAINING!B12:B5000,"&lt;=09/30/2021",TRAINING!D12:D5000,"Both Mandatory and EBT",TRAINING!AO12:AO5000,"YES")</f>
        <v>0</v>
      </c>
      <c r="BD40" s="326"/>
      <c r="BE40" s="326"/>
      <c r="BF40" s="327"/>
      <c r="BG40" s="882">
        <f>COUNTIFS(TRAINING!B12:B5000,"&gt;=10/01/2021",TRAINING!B12:B5000,"&lt;=12/31/2021",TRAINING!D12:D5000,"Both Mandatory and EBT",TRAINING!AO12:AO5000,"YES")</f>
        <v>0</v>
      </c>
      <c r="BH40" s="326"/>
      <c r="BI40" s="326"/>
      <c r="BJ40" s="327"/>
      <c r="BK40" s="852">
        <f>COUNTIFS(TRAINING!B12:B5000,"&gt;=01/01/2022",TRAINING!B12:B5000,"&lt;=03/31/2022",TRAINING!D12:D5000,"Both Mandatory and EBT",TRAINING!AO12:AO5000,"YES")</f>
        <v>0</v>
      </c>
      <c r="BL40" s="326"/>
      <c r="BM40" s="326"/>
      <c r="BN40" s="327"/>
      <c r="BO40" s="882">
        <f>COUNTIFS(TRAINING!B12:B5000,"&gt;=04/01/2022",TRAINING!B12:B5000,"&lt;=06/30/2022",TRAINING!D12:D5000,"Both Mandatory and EBT",TRAINING!AO12:AO5000,"YES")</f>
        <v>0</v>
      </c>
      <c r="BP40" s="326"/>
      <c r="BQ40" s="326"/>
      <c r="BR40" s="327"/>
      <c r="BS40" s="852">
        <f>COUNTIFS(TRAINING!B12:B5000,"&gt;=07/01/2022",TRAINING!B12:B5000,"&lt;=09/30/2022",TRAINING!D12:D5000,"Both Mandatory and EBT",TRAINING!AO12:AO5000,"YES")</f>
        <v>0</v>
      </c>
      <c r="BT40" s="326"/>
      <c r="BU40" s="326"/>
      <c r="BV40" s="327"/>
      <c r="BW40" s="162"/>
    </row>
    <row r="41" spans="1:75" ht="15.75" customHeight="1" x14ac:dyDescent="0.25">
      <c r="A41" s="382" t="s">
        <v>675</v>
      </c>
      <c r="B41" s="326"/>
      <c r="C41" s="326"/>
      <c r="D41" s="326"/>
      <c r="E41" s="326"/>
      <c r="F41" s="326"/>
      <c r="G41" s="326"/>
      <c r="H41" s="327"/>
      <c r="I41" s="733">
        <f>'GRANTEE SET UP INFO &amp; DATE '!C13</f>
        <v>0</v>
      </c>
      <c r="J41" s="326"/>
      <c r="K41" s="326"/>
      <c r="L41" s="327"/>
      <c r="M41" s="735">
        <f>'GRANTEE SET UP INFO &amp; DATE '!F13</f>
        <v>0</v>
      </c>
      <c r="N41" s="326"/>
      <c r="O41" s="326"/>
      <c r="P41" s="326"/>
      <c r="Q41" s="327"/>
      <c r="R41" s="735" t="e">
        <f>'GRANTEE SET UP INFO &amp; DATE '!#REF!</f>
        <v>#REF!</v>
      </c>
      <c r="S41" s="326"/>
      <c r="T41" s="326"/>
      <c r="U41" s="326"/>
      <c r="V41" s="327"/>
      <c r="W41" s="904">
        <f>COUNTIFS(TRAINING!B12:B5000,"&gt;=07/01/2000",TRAINING!B12:B5000,"&lt;=09/30/2019",TRAINING!D12:D5000,"Both Mandatory and EBT",TRAINING!AP12:AP5000,"YES")</f>
        <v>0</v>
      </c>
      <c r="X41" s="326"/>
      <c r="Y41" s="326"/>
      <c r="Z41" s="327"/>
      <c r="AA41" s="456">
        <f>COUNTIFS(TRAINING!B12:B5000,"&gt;=10/01/2019",TRAINING!B12:B5000,"&lt;=12/31/2019",TRAINING!D12:D5000,"Both Mandatory and EBT",TRAINING!AP12:AP5000,"YES")</f>
        <v>0</v>
      </c>
      <c r="AB41" s="326"/>
      <c r="AC41" s="326"/>
      <c r="AD41" s="327"/>
      <c r="AE41" s="746">
        <f>COUNTIFS(TRAINING!B12:B5000,"&gt;=01/01/2020",TRAINING!B12:B5000,"&lt;=03/31/2020",TRAINING!D12:D5000,"Both Mandatory and EBT",TRAINING!AP12:AP5000,"YES")</f>
        <v>0</v>
      </c>
      <c r="AF41" s="326"/>
      <c r="AG41" s="326"/>
      <c r="AH41" s="327"/>
      <c r="AI41" s="456">
        <f>COUNTIFS(TRAINING!B12:B5000,"&gt;=04/01/2020",TRAINING!B12:B5000,"&lt;=06/30/2020",TRAINING!D12:D5000,"Both Mandatory and EBT",TRAINING!AP12:AP5000,"YES")</f>
        <v>0</v>
      </c>
      <c r="AJ41" s="326"/>
      <c r="AK41" s="326"/>
      <c r="AL41" s="327"/>
      <c r="AM41" s="746">
        <f>COUNTIFS(TRAINING!B12:B5000,"&gt;=07/01/2020",TRAINING!B12:B5000,"&lt;=09/30/2020",TRAINING!D12:D5000,"Both Mandatory and EBT",TRAINING!AP12:AP5000,"YES")</f>
        <v>0</v>
      </c>
      <c r="AN41" s="326"/>
      <c r="AO41" s="326"/>
      <c r="AP41" s="327"/>
      <c r="AQ41" s="412">
        <f>COUNTIFS(TRAINING!B12:B5000,"&gt;=10/01/2020",TRAINING!B12:B5000,"&lt;=12/31/2020",TRAINING!D12:D5000,"Both Mandatory and EBT",TRAINING!AP12:AP5000,"YES")</f>
        <v>0</v>
      </c>
      <c r="AR41" s="326"/>
      <c r="AS41" s="326"/>
      <c r="AT41" s="327"/>
      <c r="AU41" s="411">
        <f>COUNTIFS(TRAINING!B12:B5000,"&gt;=01/01/2021",TRAINING!B12:B5000,"&lt;=03/31/2021",TRAINING!D12:D5000,"Both Mandatory and EBT",TRAINING!AP12:AP5000,"YES")</f>
        <v>0</v>
      </c>
      <c r="AV41" s="326"/>
      <c r="AW41" s="326"/>
      <c r="AX41" s="327"/>
      <c r="AY41" s="412">
        <f>COUNTIFS(TRAINING!B12:B5000,"&gt;=04/01/2020",TRAINING!B12:B5000,"&lt;=06/30/2020",TRAINING!D12:D5000,"Both Mandatory and EBT",TRAINING!AP12:AP5000,"YES")</f>
        <v>0</v>
      </c>
      <c r="AZ41" s="326"/>
      <c r="BA41" s="326"/>
      <c r="BB41" s="327"/>
      <c r="BC41" s="411">
        <f>COUNTIFS(TRAINING!B12:B5000,"&gt;=07/01/2021",TRAINING!B12:B5000,"&lt;=09/30/2021",TRAINING!D12:D5000,"Both Mandatory and EBT",TRAINING!AP12:AP5000,"YES")</f>
        <v>0</v>
      </c>
      <c r="BD41" s="326"/>
      <c r="BE41" s="326"/>
      <c r="BF41" s="327"/>
      <c r="BG41" s="882">
        <f>COUNTIFS(TRAINING!B12:B5000,"&gt;=10/01/2021",TRAINING!B12:B5000,"&lt;=12/31/2021",TRAINING!D12:D5000,"Both Mandatory and EBT",TRAINING!AP12:AP5000,"YES")</f>
        <v>0</v>
      </c>
      <c r="BH41" s="326"/>
      <c r="BI41" s="326"/>
      <c r="BJ41" s="327"/>
      <c r="BK41" s="852">
        <f>COUNTIFS(TRAINING!B12:B5000,"&gt;=01/01/2022",TRAINING!B12:B5000,"&lt;=03/31/2022",TRAINING!D12:D5000,"Both Mandatory and EBT",TRAINING!AP12:AP5000,"YES")</f>
        <v>0</v>
      </c>
      <c r="BL41" s="326"/>
      <c r="BM41" s="326"/>
      <c r="BN41" s="327"/>
      <c r="BO41" s="882">
        <f>COUNTIFS(TRAINING!B12:B5000,"&gt;=04/01/2022",TRAINING!B12:B5000,"&lt;=06/30/2022",TRAINING!D12:D5000,"Both Mandatory and EBT",TRAINING!AP12:AP5000,"YES")</f>
        <v>0</v>
      </c>
      <c r="BP41" s="326"/>
      <c r="BQ41" s="326"/>
      <c r="BR41" s="327"/>
      <c r="BS41" s="852">
        <f>COUNTIFS(TRAINING!B12:B5000,"&gt;=07/01/2022",TRAINING!B12:B5000,"&lt;=09/30/2022",TRAINING!D12:D5000,"Both Mandatory and EBT",TRAINING!AP12:AP5000,"YES")</f>
        <v>0</v>
      </c>
      <c r="BT41" s="326"/>
      <c r="BU41" s="326"/>
      <c r="BV41" s="327"/>
      <c r="BW41" s="162"/>
    </row>
    <row r="42" spans="1:75" ht="15.75" customHeight="1" x14ac:dyDescent="0.25">
      <c r="A42" s="382" t="s">
        <v>676</v>
      </c>
      <c r="B42" s="326"/>
      <c r="C42" s="326"/>
      <c r="D42" s="326"/>
      <c r="E42" s="326"/>
      <c r="F42" s="326"/>
      <c r="G42" s="326"/>
      <c r="H42" s="327"/>
      <c r="I42" s="733">
        <f>'GRANTEE SET UP INFO &amp; DATE '!C14</f>
        <v>0</v>
      </c>
      <c r="J42" s="326"/>
      <c r="K42" s="326"/>
      <c r="L42" s="327"/>
      <c r="M42" s="735">
        <f>'GRANTEE SET UP INFO &amp; DATE '!F14</f>
        <v>0</v>
      </c>
      <c r="N42" s="326"/>
      <c r="O42" s="326"/>
      <c r="P42" s="326"/>
      <c r="Q42" s="327"/>
      <c r="R42" s="735" t="e">
        <f>'GRANTEE SET UP INFO &amp; DATE '!#REF!</f>
        <v>#REF!</v>
      </c>
      <c r="S42" s="326"/>
      <c r="T42" s="326"/>
      <c r="U42" s="326"/>
      <c r="V42" s="327"/>
      <c r="W42" s="904">
        <f>COUNTIFS(TRAINING!B12:B5000,"&gt;=07/01/2000",TRAINING!B12:B5000,"&lt;=09/30/2019",TRAINING!D12:D5000,"Both Mandatory and EBT",TRAINING!AQ12:AQ5000,"YES")</f>
        <v>0</v>
      </c>
      <c r="X42" s="326"/>
      <c r="Y42" s="326"/>
      <c r="Z42" s="327"/>
      <c r="AA42" s="456">
        <f>COUNTIFS(TRAINING!B12:B5000,"&gt;=10/01/2019",TRAINING!B12:B5000,"&lt;=12/31/2019",TRAINING!D12:D5000,"Both Mandatory and EBT",TRAINING!AQ12:AQ5000,"YES")</f>
        <v>0</v>
      </c>
      <c r="AB42" s="326"/>
      <c r="AC42" s="326"/>
      <c r="AD42" s="327"/>
      <c r="AE42" s="746">
        <f>COUNTIFS(TRAINING!B12:B5000,"&gt;=01/01/2020",TRAINING!B12:B5000,"&lt;=03/31/2020",TRAINING!D12:D5000,"Both Mandatory and EBT",TRAINING!AQ12:AQ5000,"YES")</f>
        <v>0</v>
      </c>
      <c r="AF42" s="326"/>
      <c r="AG42" s="326"/>
      <c r="AH42" s="327"/>
      <c r="AI42" s="456">
        <f>COUNTIFS(TRAINING!B12:B5000,"&gt;=04/01/2020",TRAINING!B12:B5000,"&lt;=06/30/2020",TRAINING!D12:D5000,"Both Mandatory and EBT",TRAINING!AQ12:AQ5000,"YES")</f>
        <v>0</v>
      </c>
      <c r="AJ42" s="326"/>
      <c r="AK42" s="326"/>
      <c r="AL42" s="327"/>
      <c r="AM42" s="746">
        <f>COUNTIFS(TRAINING!B12:B5000,"&gt;=07/01/2020",TRAINING!B12:B5000,"&lt;=09/30/2020",TRAINING!D12:D5000,"Both Mandatory and EBT",TRAINING!AQ12:AQ5000,"YES")</f>
        <v>0</v>
      </c>
      <c r="AN42" s="326"/>
      <c r="AO42" s="326"/>
      <c r="AP42" s="327"/>
      <c r="AQ42" s="412">
        <f>COUNTIFS(TRAINING!B12:B5000,"&gt;=10/01/2020",TRAINING!B12:B5000,"&lt;=12/31/2020",TRAINING!D12:D5000,"Both Mandatory and EBT",TRAINING!AQ12:AQ5000,"YES")</f>
        <v>0</v>
      </c>
      <c r="AR42" s="326"/>
      <c r="AS42" s="326"/>
      <c r="AT42" s="327"/>
      <c r="AU42" s="411">
        <f>COUNTIFS(TRAINING!B12:B5000,"&gt;=01/01/2021",TRAINING!B12:B5000,"&lt;=03/31/2021",TRAINING!D12:D5000,"Both Mandatory and EBT",TRAINING!AQ12:AQ5000,"YES")</f>
        <v>0</v>
      </c>
      <c r="AV42" s="326"/>
      <c r="AW42" s="326"/>
      <c r="AX42" s="327"/>
      <c r="AY42" s="412">
        <f>COUNTIFS(TRAINING!B12:B5000,"&gt;=04/01/2020",TRAINING!B12:B5000,"&lt;=06/30/2020",TRAINING!D12:D5000,"Both Mandatory and EBT",TRAINING!AQ12:AQ5000,"YES")</f>
        <v>0</v>
      </c>
      <c r="AZ42" s="326"/>
      <c r="BA42" s="326"/>
      <c r="BB42" s="327"/>
      <c r="BC42" s="411">
        <f>COUNTIFS(TRAINING!B12:B5000,"&gt;=07/01/2021",TRAINING!B12:B5000,"&lt;=09/30/2021",TRAINING!D12:D5000,"Both Mandatory and EBT",TRAINING!AQ12:AQ5000,"YES")</f>
        <v>0</v>
      </c>
      <c r="BD42" s="326"/>
      <c r="BE42" s="326"/>
      <c r="BF42" s="327"/>
      <c r="BG42" s="882">
        <f>COUNTIFS(TRAINING!B12:B5000,"&gt;=10/01/2021",TRAINING!B12:B5000,"&lt;=12/31/2021",TRAINING!D12:D5000,"Both Mandatory and EBT",TRAINING!AQ12:AQ5000,"YES")</f>
        <v>0</v>
      </c>
      <c r="BH42" s="326"/>
      <c r="BI42" s="326"/>
      <c r="BJ42" s="327"/>
      <c r="BK42" s="852">
        <f>COUNTIFS(TRAINING!B12:B5000,"&gt;=01/01/2022",TRAINING!B12:B5000,"&lt;=03/31/2022",TRAINING!D12:D5000,"Both Mandatory and EBT",TRAINING!AQ12:AQ5000,"YES")</f>
        <v>0</v>
      </c>
      <c r="BL42" s="326"/>
      <c r="BM42" s="326"/>
      <c r="BN42" s="327"/>
      <c r="BO42" s="882">
        <f>COUNTIFS(TRAINING!B12:B5000,"&gt;=04/01/2022",TRAINING!B12:B5000,"&lt;=06/30/2022",TRAINING!D12:D5000,"Both Mandatory and EBT",TRAINING!AQ12:AQ5000,"YES")</f>
        <v>0</v>
      </c>
      <c r="BP42" s="326"/>
      <c r="BQ42" s="326"/>
      <c r="BR42" s="327"/>
      <c r="BS42" s="852">
        <f>COUNTIFS(TRAINING!B12:B5000,"&gt;=07/01/2022",TRAINING!B12:B5000,"&lt;=09/30/2022",TRAINING!D12:D5000,"Both Mandatory and EBT",TRAINING!AQ12:AQ5000,"YES")</f>
        <v>0</v>
      </c>
      <c r="BT42" s="326"/>
      <c r="BU42" s="326"/>
      <c r="BV42" s="327"/>
      <c r="BW42" s="162"/>
    </row>
    <row r="43" spans="1:75" ht="15.75" customHeight="1" x14ac:dyDescent="0.25">
      <c r="A43" s="382" t="s">
        <v>677</v>
      </c>
      <c r="B43" s="326"/>
      <c r="C43" s="326"/>
      <c r="D43" s="326"/>
      <c r="E43" s="326"/>
      <c r="F43" s="326"/>
      <c r="G43" s="326"/>
      <c r="H43" s="327"/>
      <c r="I43" s="733">
        <f>'GRANTEE SET UP INFO &amp; DATE '!C15</f>
        <v>0</v>
      </c>
      <c r="J43" s="326"/>
      <c r="K43" s="326"/>
      <c r="L43" s="327"/>
      <c r="M43" s="735">
        <f>'GRANTEE SET UP INFO &amp; DATE '!F15</f>
        <v>0</v>
      </c>
      <c r="N43" s="326"/>
      <c r="O43" s="326"/>
      <c r="P43" s="326"/>
      <c r="Q43" s="327"/>
      <c r="R43" s="735" t="e">
        <f>'GRANTEE SET UP INFO &amp; DATE '!#REF!</f>
        <v>#REF!</v>
      </c>
      <c r="S43" s="326"/>
      <c r="T43" s="326"/>
      <c r="U43" s="326"/>
      <c r="V43" s="327"/>
      <c r="W43" s="904">
        <f>COUNTIFS(TRAINING!B12:B5000,"&gt;=07/01/2000",TRAINING!B12:B5000,"&lt;=09/30/2019",TRAINING!D12:D5000,"Both Mandatory and EBT",TRAINING!AR12:AR5000,"YES")</f>
        <v>0</v>
      </c>
      <c r="X43" s="326"/>
      <c r="Y43" s="326"/>
      <c r="Z43" s="327"/>
      <c r="AA43" s="456">
        <f>COUNTIFS(TRAINING!B12:B5000,"&gt;=10/01/2019",TRAINING!B12:B5000,"&lt;=12/31/2019",TRAINING!D12:D5000,"Both Mandatory and EBT",TRAINING!AR12:AR5000,"YES")</f>
        <v>0</v>
      </c>
      <c r="AB43" s="326"/>
      <c r="AC43" s="326"/>
      <c r="AD43" s="327"/>
      <c r="AE43" s="746">
        <f>COUNTIFS(TRAINING!B12:B5000,"&gt;=01/01/2020",TRAINING!B12:B5000,"&lt;=03/31/2020",TRAINING!D12:D5000,"Both Mandatory and EBT",TRAINING!AR12:AR5000,"YES")</f>
        <v>0</v>
      </c>
      <c r="AF43" s="326"/>
      <c r="AG43" s="326"/>
      <c r="AH43" s="327"/>
      <c r="AI43" s="456">
        <f>COUNTIFS(TRAINING!B12:B5000,"&gt;=04/01/2020",TRAINING!B12:B5000,"&lt;=06/30/2020",TRAINING!D12:D5000,"Both Mandatory and EBT",TRAINING!AR12:AR5000,"YES")</f>
        <v>0</v>
      </c>
      <c r="AJ43" s="326"/>
      <c r="AK43" s="326"/>
      <c r="AL43" s="327"/>
      <c r="AM43" s="746">
        <f>COUNTIFS(TRAINING!B12:B5000,"&gt;=07/01/2020",TRAINING!B12:B5000,"&lt;=09/30/2020",TRAINING!D12:D5000,"Both Mandatory and EBT",TRAINING!AR12:AR5000,"YES")</f>
        <v>0</v>
      </c>
      <c r="AN43" s="326"/>
      <c r="AO43" s="326"/>
      <c r="AP43" s="327"/>
      <c r="AQ43" s="412">
        <f>COUNTIFS(TRAINING!B12:B5000,"&gt;=10/01/2020",TRAINING!B12:B5000,"&lt;=12/31/2020",TRAINING!D12:D5000,"Both Mandatory and EBT",TRAINING!AR12:AR5000,"YES")</f>
        <v>0</v>
      </c>
      <c r="AR43" s="326"/>
      <c r="AS43" s="326"/>
      <c r="AT43" s="327"/>
      <c r="AU43" s="411">
        <f>COUNTIFS(TRAINING!B12:B5000,"&gt;=01/01/2021",TRAINING!B12:B5000,"&lt;=03/31/2021",TRAINING!D12:D5000,"Both Mandatory and EBT",TRAINING!AR12:AR5000,"YES")</f>
        <v>0</v>
      </c>
      <c r="AV43" s="326"/>
      <c r="AW43" s="326"/>
      <c r="AX43" s="327"/>
      <c r="AY43" s="412">
        <f>COUNTIFS(TRAINING!B12:B5000,"&gt;=04/01/2020",TRAINING!B12:B5000,"&lt;=06/30/2020",TRAINING!D12:D5000,"Both Mandatory and EBT",TRAINING!AR12:AR5000,"YES")</f>
        <v>0</v>
      </c>
      <c r="AZ43" s="326"/>
      <c r="BA43" s="326"/>
      <c r="BB43" s="327"/>
      <c r="BC43" s="411">
        <f>COUNTIFS(TRAINING!B12:B5000,"&gt;=07/01/2021",TRAINING!B12:B5000,"&lt;=09/30/2021",TRAINING!D12:D5000,"Both Mandatory and EBT",TRAINING!AR12:AR5000,"YES")</f>
        <v>0</v>
      </c>
      <c r="BD43" s="326"/>
      <c r="BE43" s="326"/>
      <c r="BF43" s="327"/>
      <c r="BG43" s="882">
        <f>COUNTIFS(TRAINING!B12:B5000,"&gt;=10/01/2021",TRAINING!B12:B5000,"&lt;=12/31/2021",TRAINING!D12:D5000,"Both Mandatory and EBT",TRAINING!AR12:AR5000,"YES")</f>
        <v>0</v>
      </c>
      <c r="BH43" s="326"/>
      <c r="BI43" s="326"/>
      <c r="BJ43" s="327"/>
      <c r="BK43" s="852">
        <f>COUNTIFS(TRAINING!B12:B5000,"&gt;=01/01/2022",TRAINING!B12:B5000,"&lt;=03/31/2022",TRAINING!D12:D5000,"Both Mandatory and EBT",TRAINING!AR12:AR5000,"YES")</f>
        <v>0</v>
      </c>
      <c r="BL43" s="326"/>
      <c r="BM43" s="326"/>
      <c r="BN43" s="327"/>
      <c r="BO43" s="882">
        <f>COUNTIFS(TRAINING!B12:B5000,"&gt;=04/01/2022",TRAINING!B12:B5000,"&lt;=06/30/2022",TRAINING!D12:D5000,"Both Mandatory and EBT",TRAINING!AR12:AR5000,"YES")</f>
        <v>0</v>
      </c>
      <c r="BP43" s="326"/>
      <c r="BQ43" s="326"/>
      <c r="BR43" s="327"/>
      <c r="BS43" s="852">
        <f>COUNTIFS(TRAINING!B12:B5000,"&gt;=07/01/2022",TRAINING!B12:B5000,"&lt;=09/30/2022",TRAINING!D12:D5000,"Both Mandatory and EBT",TRAINING!AR12:AR5000,"YES")</f>
        <v>0</v>
      </c>
      <c r="BT43" s="326"/>
      <c r="BU43" s="326"/>
      <c r="BV43" s="327"/>
      <c r="BW43" s="162"/>
    </row>
    <row r="44" spans="1:75" ht="15.75" customHeight="1" x14ac:dyDescent="0.25">
      <c r="A44" s="382" t="s">
        <v>678</v>
      </c>
      <c r="B44" s="326"/>
      <c r="C44" s="326"/>
      <c r="D44" s="326"/>
      <c r="E44" s="326"/>
      <c r="F44" s="326"/>
      <c r="G44" s="326"/>
      <c r="H44" s="327"/>
      <c r="I44" s="733">
        <f>'GRANTEE SET UP INFO &amp; DATE '!C16</f>
        <v>0</v>
      </c>
      <c r="J44" s="326"/>
      <c r="K44" s="326"/>
      <c r="L44" s="327"/>
      <c r="M44" s="735">
        <f>'GRANTEE SET UP INFO &amp; DATE '!F16</f>
        <v>0</v>
      </c>
      <c r="N44" s="326"/>
      <c r="O44" s="326"/>
      <c r="P44" s="326"/>
      <c r="Q44" s="327"/>
      <c r="R44" s="735" t="e">
        <f>'GRANTEE SET UP INFO &amp; DATE '!#REF!</f>
        <v>#REF!</v>
      </c>
      <c r="S44" s="326"/>
      <c r="T44" s="326"/>
      <c r="U44" s="326"/>
      <c r="V44" s="327"/>
      <c r="W44" s="904">
        <f>COUNTIFS(TRAINING!B12:B5000,"&gt;=07/01/2000",TRAINING!B12:B5000,"&lt;=09/30/2019",TRAINING!D12:D5000,"Both Mandatory and EBT",TRAINING!AS12:AS5000,"YES")</f>
        <v>0</v>
      </c>
      <c r="X44" s="326"/>
      <c r="Y44" s="326"/>
      <c r="Z44" s="327"/>
      <c r="AA44" s="456">
        <f>COUNTIFS(TRAINING!B12:B5000,"&gt;=10/01/2019",TRAINING!B12:B5000,"&lt;=12/31/2019",TRAINING!D12:D5000,"Both Mandatory and EBT",TRAINING!AS12:AS5000,"YES")</f>
        <v>0</v>
      </c>
      <c r="AB44" s="326"/>
      <c r="AC44" s="326"/>
      <c r="AD44" s="327"/>
      <c r="AE44" s="746">
        <f>COUNTIFS(TRAINING!B12:B5000,"&gt;=01/01/2020",TRAINING!B12:B5000,"&lt;=03/31/2020",TRAINING!D12:D5000,"Both Mandatory and EBT",TRAINING!AS12:AS5000,"YES")</f>
        <v>0</v>
      </c>
      <c r="AF44" s="326"/>
      <c r="AG44" s="326"/>
      <c r="AH44" s="327"/>
      <c r="AI44" s="456">
        <f>COUNTIFS(TRAINING!B12:B5000,"&gt;=04/01/2020",TRAINING!B12:B5000,"&lt;=06/30/2020",TRAINING!D12:D5000,"Both Mandatory and EBT",TRAINING!AS12:AS5000,"YES")</f>
        <v>0</v>
      </c>
      <c r="AJ44" s="326"/>
      <c r="AK44" s="326"/>
      <c r="AL44" s="327"/>
      <c r="AM44" s="746">
        <f>COUNTIFS(TRAINING!B12:B5000,"&gt;=07/01/2020",TRAINING!B12:B5000,"&lt;=09/30/2020",TRAINING!D12:D5000,"Both Mandatory and EBT",TRAINING!AS12:AS5000,"YES")</f>
        <v>0</v>
      </c>
      <c r="AN44" s="326"/>
      <c r="AO44" s="326"/>
      <c r="AP44" s="327"/>
      <c r="AQ44" s="412">
        <f>COUNTIFS(TRAINING!B12:B5000,"&gt;=10/01/2020",TRAINING!B12:B5000,"&lt;=12/31/2020",TRAINING!D12:D5000,"Both Mandatory and EBT",TRAINING!AS12:AS5000,"YES")</f>
        <v>0</v>
      </c>
      <c r="AR44" s="326"/>
      <c r="AS44" s="326"/>
      <c r="AT44" s="327"/>
      <c r="AU44" s="411">
        <f>COUNTIFS(TRAINING!B12:B5000,"&gt;=01/01/2021",TRAINING!B12:B5000,"&lt;=03/31/2021",TRAINING!D12:D5000,"Both Mandatory and EBT",TRAINING!AS12:AS5000,"YES")</f>
        <v>0</v>
      </c>
      <c r="AV44" s="326"/>
      <c r="AW44" s="326"/>
      <c r="AX44" s="327"/>
      <c r="AY44" s="412">
        <f>COUNTIFS(TRAINING!B12:B5000,"&gt;=04/01/2020",TRAINING!B12:B5000,"&lt;=06/30/2020",TRAINING!D12:D5000,"Both Mandatory and EBT",TRAINING!AS12:AS5000,"YES")</f>
        <v>0</v>
      </c>
      <c r="AZ44" s="326"/>
      <c r="BA44" s="326"/>
      <c r="BB44" s="327"/>
      <c r="BC44" s="411">
        <f>COUNTIFS(TRAINING!B12:B5000,"&gt;=07/01/2021",TRAINING!B12:B5000,"&lt;=09/30/2021",TRAINING!D12:D5000,"Both Mandatory and EBT",TRAINING!AS12:AS5000,"YES")</f>
        <v>0</v>
      </c>
      <c r="BD44" s="326"/>
      <c r="BE44" s="326"/>
      <c r="BF44" s="327"/>
      <c r="BG44" s="882">
        <f>COUNTIFS(TRAINING!B12:B5000,"&gt;=10/01/2021",TRAINING!B12:B5000,"&lt;=12/31/2021",TRAINING!D12:D5000,"Both Mandatory and EBT",TRAINING!AS12:AS5000,"YES")</f>
        <v>0</v>
      </c>
      <c r="BH44" s="326"/>
      <c r="BI44" s="326"/>
      <c r="BJ44" s="327"/>
      <c r="BK44" s="852">
        <f>COUNTIFS(TRAINING!B12:B5000,"&gt;=01/01/2022",TRAINING!B12:B5000,"&lt;=03/31/2022",TRAINING!D12:D5000,"Both Mandatory and EBT",TRAINING!AS12:AS5000,"YES")</f>
        <v>0</v>
      </c>
      <c r="BL44" s="326"/>
      <c r="BM44" s="326"/>
      <c r="BN44" s="327"/>
      <c r="BO44" s="882">
        <f>COUNTIFS(TRAINING!B12:B5000,"&gt;=04/01/2022",TRAINING!B12:B5000,"&lt;=06/30/2022",TRAINING!D12:D5000,"Both Mandatory and EBT",TRAINING!AS12:AS5000,"YES")</f>
        <v>0</v>
      </c>
      <c r="BP44" s="326"/>
      <c r="BQ44" s="326"/>
      <c r="BR44" s="327"/>
      <c r="BS44" s="852">
        <f>COUNTIFS(TRAINING!B12:B5000,"&gt;=07/01/2022",TRAINING!B12:B5000,"&lt;=09/30/2022",TRAINING!D12:D5000,"Both Mandatory and EBT",TRAINING!AS12:AS5000,"YES")</f>
        <v>0</v>
      </c>
      <c r="BT44" s="326"/>
      <c r="BU44" s="326"/>
      <c r="BV44" s="327"/>
      <c r="BW44" s="162"/>
    </row>
    <row r="45" spans="1:75" ht="15.75" customHeight="1" x14ac:dyDescent="0.25">
      <c r="A45" s="382" t="s">
        <v>679</v>
      </c>
      <c r="B45" s="326"/>
      <c r="C45" s="326"/>
      <c r="D45" s="326"/>
      <c r="E45" s="326"/>
      <c r="F45" s="326"/>
      <c r="G45" s="326"/>
      <c r="H45" s="327"/>
      <c r="I45" s="733">
        <f>'GRANTEE SET UP INFO &amp; DATE '!C17</f>
        <v>0</v>
      </c>
      <c r="J45" s="326"/>
      <c r="K45" s="326"/>
      <c r="L45" s="327"/>
      <c r="M45" s="735">
        <f>'GRANTEE SET UP INFO &amp; DATE '!F17</f>
        <v>0</v>
      </c>
      <c r="N45" s="326"/>
      <c r="O45" s="326"/>
      <c r="P45" s="326"/>
      <c r="Q45" s="327"/>
      <c r="R45" s="735" t="e">
        <f>'GRANTEE SET UP INFO &amp; DATE '!#REF!</f>
        <v>#REF!</v>
      </c>
      <c r="S45" s="326"/>
      <c r="T45" s="326"/>
      <c r="U45" s="326"/>
      <c r="V45" s="327"/>
      <c r="W45" s="904">
        <f>COUNTIFS(TRAINING!B12:B5000,"&gt;=07/01/2000",TRAINING!B12:B5000,"&lt;=09/30/2019",TRAINING!D12:D5000,"Both Mandatory and EBT",TRAINING!AT12:AT5000,"YES")</f>
        <v>0</v>
      </c>
      <c r="X45" s="326"/>
      <c r="Y45" s="326"/>
      <c r="Z45" s="327"/>
      <c r="AA45" s="456">
        <f>COUNTIFS(TRAINING!B12:B5000,"&gt;=10/01/2019",TRAINING!B12:B5000,"&lt;=12/31/2019",TRAINING!D12:D5000,"Both Mandatory and EBT",TRAINING!AT12:AT5000,"YES")</f>
        <v>0</v>
      </c>
      <c r="AB45" s="326"/>
      <c r="AC45" s="326"/>
      <c r="AD45" s="327"/>
      <c r="AE45" s="746">
        <f>COUNTIFS(TRAINING!B12:B5000,"&gt;=01/01/2020",TRAINING!B12:B5000,"&lt;=03/31/2020",TRAINING!D12:D5000,"Both Mandatory and EBT",TRAINING!AT12:AT5000,"YES")</f>
        <v>0</v>
      </c>
      <c r="AF45" s="326"/>
      <c r="AG45" s="326"/>
      <c r="AH45" s="327"/>
      <c r="AI45" s="456">
        <f>COUNTIFS(TRAINING!B12:B5000,"&gt;=04/01/2020",TRAINING!B12:B5000,"&lt;=06/30/2020",TRAINING!D12:D5000,"Both Mandatory and EBT",TRAINING!AT12:AT5000,"YES")</f>
        <v>0</v>
      </c>
      <c r="AJ45" s="326"/>
      <c r="AK45" s="326"/>
      <c r="AL45" s="327"/>
      <c r="AM45" s="746">
        <f>COUNTIFS(TRAINING!B12:B5000,"&gt;=07/01/2020",TRAINING!B12:B5000,"&lt;=09/30/2020",TRAINING!D12:D5000,"Both Mandatory and EBT",TRAINING!AT12:AT5000,"YES")</f>
        <v>0</v>
      </c>
      <c r="AN45" s="326"/>
      <c r="AO45" s="326"/>
      <c r="AP45" s="327"/>
      <c r="AQ45" s="412">
        <f>COUNTIFS(TRAINING!B12:B5000,"&gt;=10/01/2020",TRAINING!B12:B5000,"&lt;=12/31/2020",TRAINING!D12:D5000,"Both Mandatory and EBT",TRAINING!AT12:AT5000,"YES")</f>
        <v>0</v>
      </c>
      <c r="AR45" s="326"/>
      <c r="AS45" s="326"/>
      <c r="AT45" s="327"/>
      <c r="AU45" s="411">
        <f>COUNTIFS(TRAINING!B12:B5000,"&gt;=01/01/2021",TRAINING!B12:B5000,"&lt;=03/31/2021",TRAINING!D12:D5000,"Both Mandatory and EBT",TRAINING!AT12:AT5000,"YES")</f>
        <v>0</v>
      </c>
      <c r="AV45" s="326"/>
      <c r="AW45" s="326"/>
      <c r="AX45" s="327"/>
      <c r="AY45" s="412">
        <f>COUNTIFS(TRAINING!B12:B5000,"&gt;=04/01/2020",TRAINING!B12:B5000,"&lt;=06/30/2020",TRAINING!D12:D5000,"Both Mandatory and EBT",TRAINING!AT12:AT5000,"YES")</f>
        <v>0</v>
      </c>
      <c r="AZ45" s="326"/>
      <c r="BA45" s="326"/>
      <c r="BB45" s="327"/>
      <c r="BC45" s="411">
        <f>COUNTIFS(TRAINING!B12:B5000,"&gt;=07/01/2021",TRAINING!B12:B5000,"&lt;=09/30/2021",TRAINING!D12:D5000,"Both Mandatory and EBT",TRAINING!AT12:AT5000,"YES")</f>
        <v>0</v>
      </c>
      <c r="BD45" s="326"/>
      <c r="BE45" s="326"/>
      <c r="BF45" s="327"/>
      <c r="BG45" s="882">
        <f>COUNTIFS(TRAINING!B12:B5000,"&gt;=10/01/2021",TRAINING!B12:B5000,"&lt;=12/31/2021",TRAINING!D12:D5000,"Both Mandatory and EBT",TRAINING!AT12:AT5000,"YES")</f>
        <v>0</v>
      </c>
      <c r="BH45" s="326"/>
      <c r="BI45" s="326"/>
      <c r="BJ45" s="327"/>
      <c r="BK45" s="852">
        <f>COUNTIFS(TRAINING!B12:B5000,"&gt;=01/01/2022",TRAINING!B12:B5000,"&lt;=03/31/2022",TRAINING!D12:D5000,"Both Mandatory and EBT",TRAINING!AT12:AT5000,"YES")</f>
        <v>0</v>
      </c>
      <c r="BL45" s="326"/>
      <c r="BM45" s="326"/>
      <c r="BN45" s="327"/>
      <c r="BO45" s="882">
        <f>COUNTIFS(TRAINING!B12:B5000,"&gt;=04/01/2022",TRAINING!B12:B5000,"&lt;=06/30/2022",TRAINING!D12:D5000,"Both Mandatory and EBT",TRAINING!AT12:AT5000,"YES")</f>
        <v>0</v>
      </c>
      <c r="BP45" s="326"/>
      <c r="BQ45" s="326"/>
      <c r="BR45" s="327"/>
      <c r="BS45" s="852">
        <f>COUNTIFS(TRAINING!B12:B5000,"&gt;=07/01/2022",TRAINING!B12:B5000,"&lt;=09/30/2022",TRAINING!D12:D5000,"Both Mandatory and EBT",TRAINING!AT12:AT5000,"YES")</f>
        <v>0</v>
      </c>
      <c r="BT45" s="326"/>
      <c r="BU45" s="326"/>
      <c r="BV45" s="327"/>
      <c r="BW45" s="162"/>
    </row>
    <row r="46" spans="1:75" ht="15.75" customHeight="1" x14ac:dyDescent="0.25">
      <c r="A46" s="382" t="s">
        <v>680</v>
      </c>
      <c r="B46" s="326"/>
      <c r="C46" s="326"/>
      <c r="D46" s="326"/>
      <c r="E46" s="326"/>
      <c r="F46" s="326"/>
      <c r="G46" s="326"/>
      <c r="H46" s="327"/>
      <c r="I46" s="733">
        <f>'GRANTEE SET UP INFO &amp; DATE '!C18</f>
        <v>0</v>
      </c>
      <c r="J46" s="326"/>
      <c r="K46" s="326"/>
      <c r="L46" s="327"/>
      <c r="M46" s="735">
        <f>'GRANTEE SET UP INFO &amp; DATE '!F18</f>
        <v>0</v>
      </c>
      <c r="N46" s="326"/>
      <c r="O46" s="326"/>
      <c r="P46" s="326"/>
      <c r="Q46" s="327"/>
      <c r="R46" s="735" t="e">
        <f>'GRANTEE SET UP INFO &amp; DATE '!#REF!</f>
        <v>#REF!</v>
      </c>
      <c r="S46" s="326"/>
      <c r="T46" s="326"/>
      <c r="U46" s="326"/>
      <c r="V46" s="327"/>
      <c r="W46" s="904">
        <f>COUNTIFS(TRAINING!B12:B5000,"&gt;=07/01/2000",TRAINING!B12:B5000,"&lt;=09/30/2019",TRAINING!D12:D5000,"Both Mandatory and EBT",TRAINING!AU12:AU5000,"YES")</f>
        <v>0</v>
      </c>
      <c r="X46" s="326"/>
      <c r="Y46" s="326"/>
      <c r="Z46" s="327"/>
      <c r="AA46" s="456">
        <f>COUNTIFS(TRAINING!B12:B5000,"&gt;=10/01/2019",TRAINING!B12:B5000,"&lt;=12/31/2019",TRAINING!D12:D5000,"Both Mandatory and EBT",TRAINING!AU12:AU5000,"YES")</f>
        <v>0</v>
      </c>
      <c r="AB46" s="326"/>
      <c r="AC46" s="326"/>
      <c r="AD46" s="327"/>
      <c r="AE46" s="746">
        <f>COUNTIFS(TRAINING!B12:B5000,"&gt;=01/01/2020",TRAINING!B12:B5000,"&lt;=03/31/2020",TRAINING!D12:D5000,"Both Mandatory and EBT",TRAINING!AU12:AU5000,"YES")</f>
        <v>0</v>
      </c>
      <c r="AF46" s="326"/>
      <c r="AG46" s="326"/>
      <c r="AH46" s="327"/>
      <c r="AI46" s="456">
        <f>COUNTIFS(TRAINING!B12:B5000,"&gt;=04/01/2020",TRAINING!B12:B5000,"&lt;=06/30/2020",TRAINING!D12:D5000,"Both Mandatory and EBT",TRAINING!AU12:AU5000,"YES")</f>
        <v>0</v>
      </c>
      <c r="AJ46" s="326"/>
      <c r="AK46" s="326"/>
      <c r="AL46" s="327"/>
      <c r="AM46" s="746">
        <f>COUNTIFS(TRAINING!B12:B5000,"&gt;=07/01/2020",TRAINING!B12:B5000,"&lt;=09/30/2020",TRAINING!D12:D5000,"Both Mandatory and EBT",TRAINING!AU12:AU5000,"YES")</f>
        <v>0</v>
      </c>
      <c r="AN46" s="326"/>
      <c r="AO46" s="326"/>
      <c r="AP46" s="327"/>
      <c r="AQ46" s="412">
        <f>COUNTIFS(TRAINING!B12:B5000,"&gt;=10/01/2020",TRAINING!B12:B5000,"&lt;=12/31/2020",TRAINING!D12:D5000,"Both Mandatory and EBT",TRAINING!AU12:AU5000,"YES")</f>
        <v>0</v>
      </c>
      <c r="AR46" s="326"/>
      <c r="AS46" s="326"/>
      <c r="AT46" s="327"/>
      <c r="AU46" s="411">
        <f>COUNTIFS(TRAINING!B12:B5000,"&gt;=01/01/2021",TRAINING!B12:B5000,"&lt;=03/31/2021",TRAINING!D12:D5000,"Both Mandatory and EBT",TRAINING!AU12:AU5000,"YES")</f>
        <v>0</v>
      </c>
      <c r="AV46" s="326"/>
      <c r="AW46" s="326"/>
      <c r="AX46" s="327"/>
      <c r="AY46" s="412">
        <f>COUNTIFS(TRAINING!B12:B5000,"&gt;=04/01/2020",TRAINING!B12:B5000,"&lt;=06/30/2020",TRAINING!D12:D5000,"Both Mandatory and EBT",TRAINING!AU12:AU5000,"YES")</f>
        <v>0</v>
      </c>
      <c r="AZ46" s="326"/>
      <c r="BA46" s="326"/>
      <c r="BB46" s="327"/>
      <c r="BC46" s="411">
        <f>COUNTIFS(TRAINING!B12:B5000,"&gt;=07/01/2021",TRAINING!B12:B5000,"&lt;=09/30/2021",TRAINING!D12:D5000,"Both Mandatory and EBT",TRAINING!AU12:AU5000,"YES")</f>
        <v>0</v>
      </c>
      <c r="BD46" s="326"/>
      <c r="BE46" s="326"/>
      <c r="BF46" s="327"/>
      <c r="BG46" s="882">
        <f>COUNTIFS(TRAINING!B12:B5000,"&gt;=10/01/2021",TRAINING!B12:B5000,"&lt;=12/31/2021",TRAINING!D12:D5000,"Both Mandatory and EBT",TRAINING!AU12:AU5000,"YES")</f>
        <v>0</v>
      </c>
      <c r="BH46" s="326"/>
      <c r="BI46" s="326"/>
      <c r="BJ46" s="327"/>
      <c r="BK46" s="852">
        <f>COUNTIFS(TRAINING!B12:B5000,"&gt;=01/01/2022",TRAINING!B12:B5000,"&lt;=03/31/2022",TRAINING!D12:D5000,"Both Mandatory and EBT",TRAINING!AU12:AU5000,"YES")</f>
        <v>0</v>
      </c>
      <c r="BL46" s="326"/>
      <c r="BM46" s="326"/>
      <c r="BN46" s="327"/>
      <c r="BO46" s="882">
        <f>COUNTIFS(TRAINING!B12:B5000,"&gt;=04/01/2022",TRAINING!B12:B5000,"&lt;=06/30/2022",TRAINING!D12:D5000,"Both Mandatory and EBT",TRAINING!AU12:AU5000,"YES")</f>
        <v>0</v>
      </c>
      <c r="BP46" s="326"/>
      <c r="BQ46" s="326"/>
      <c r="BR46" s="327"/>
      <c r="BS46" s="852">
        <f>COUNTIFS(TRAINING!B12:B5000,"&gt;=07/01/2022",TRAINING!B12:B5000,"&lt;=09/30/2022",TRAINING!D12:D5000,"Both Mandatory and EBT",TRAINING!AU12:AU5000,"YES")</f>
        <v>0</v>
      </c>
      <c r="BT46" s="326"/>
      <c r="BU46" s="326"/>
      <c r="BV46" s="327"/>
      <c r="BW46" s="162"/>
    </row>
    <row r="47" spans="1:75" ht="15.75" customHeight="1" x14ac:dyDescent="0.25">
      <c r="A47" s="382" t="s">
        <v>681</v>
      </c>
      <c r="B47" s="326"/>
      <c r="C47" s="326"/>
      <c r="D47" s="326"/>
      <c r="E47" s="326"/>
      <c r="F47" s="326"/>
      <c r="G47" s="326"/>
      <c r="H47" s="327"/>
      <c r="I47" s="733" t="e">
        <f>'GRANTEE SET UP INFO &amp; DATE '!#REF!</f>
        <v>#REF!</v>
      </c>
      <c r="J47" s="326"/>
      <c r="K47" s="326"/>
      <c r="L47" s="327"/>
      <c r="M47" s="912" t="e">
        <f>'GRANTEE SET UP INFO &amp; DATE '!#REF!</f>
        <v>#REF!</v>
      </c>
      <c r="N47" s="326"/>
      <c r="O47" s="326"/>
      <c r="P47" s="326"/>
      <c r="Q47" s="327"/>
      <c r="R47" s="912" t="e">
        <f>'GRANTEE SET UP INFO &amp; DATE '!#REF!</f>
        <v>#REF!</v>
      </c>
      <c r="S47" s="326"/>
      <c r="T47" s="326"/>
      <c r="U47" s="326"/>
      <c r="V47" s="327"/>
      <c r="W47" s="904">
        <f>COUNTIFS(TRAINING!B12:B5000,"&gt;=07/01/2000",TRAINING!B12:B5000,"&lt;=09/30/2019",TRAINING!D12:D5000,"Both Mandatory and EBT",TRAINING!AV12:AV5000,"YES")</f>
        <v>0</v>
      </c>
      <c r="X47" s="326"/>
      <c r="Y47" s="326"/>
      <c r="Z47" s="327"/>
      <c r="AA47" s="456">
        <f>COUNTIFS(TRAINING!B12:B5000,"&gt;=10/01/2019",TRAINING!B12:B5000,"&lt;=12/31/2019",TRAINING!D12:D5000,"Both Mandatory and EBT",TRAINING!AV12:AV5000,"YES")</f>
        <v>0</v>
      </c>
      <c r="AB47" s="326"/>
      <c r="AC47" s="326"/>
      <c r="AD47" s="327"/>
      <c r="AE47" s="746">
        <f>COUNTIFS(TRAINING!B12:B5000,"&gt;=01/01/2020",TRAINING!B12:B5000,"&lt;=03/31/2020",TRAINING!D12:D5000,"Both Mandatory and EBT",TRAINING!AV12:AV5000,"YES")</f>
        <v>0</v>
      </c>
      <c r="AF47" s="326"/>
      <c r="AG47" s="326"/>
      <c r="AH47" s="327"/>
      <c r="AI47" s="456">
        <f>COUNTIFS(TRAINING!B12:B5000,"&gt;=04/01/2020",TRAINING!B12:B5000,"&lt;=06/30/2020",TRAINING!D12:D5000,"Both Mandatory and EBT",TRAINING!AV12:AV5000,"YES")</f>
        <v>0</v>
      </c>
      <c r="AJ47" s="326"/>
      <c r="AK47" s="326"/>
      <c r="AL47" s="327"/>
      <c r="AM47" s="746">
        <f>COUNTIFS(TRAINING!B12:B5000,"&gt;=07/01/2020",TRAINING!B12:B5000,"&lt;=09/30/2020",TRAINING!D12:D5000,"Both Mandatory and EBT",TRAINING!AV12:AV5000,"YES")</f>
        <v>0</v>
      </c>
      <c r="AN47" s="326"/>
      <c r="AO47" s="326"/>
      <c r="AP47" s="327"/>
      <c r="AQ47" s="412">
        <f>COUNTIFS(TRAINING!B12:B5000,"&gt;=10/01/2020",TRAINING!B12:B5000,"&lt;=12/31/2020",TRAINING!D12:D5000,"Both Mandatory and EBT",TRAINING!AV12:AV5000,"YES")</f>
        <v>0</v>
      </c>
      <c r="AR47" s="326"/>
      <c r="AS47" s="326"/>
      <c r="AT47" s="327"/>
      <c r="AU47" s="411">
        <f>COUNTIFS(TRAINING!B12:B5000,"&gt;=01/01/2021",TRAINING!B12:B5000,"&lt;=03/31/2021",TRAINING!D12:D5000,"Both Mandatory and EBT",TRAINING!AV12:AV5000,"YES")</f>
        <v>0</v>
      </c>
      <c r="AV47" s="326"/>
      <c r="AW47" s="326"/>
      <c r="AX47" s="327"/>
      <c r="AY47" s="412">
        <f>COUNTIFS(TRAINING!B12:B5000,"&gt;=04/01/2020",TRAINING!B12:B5000,"&lt;=06/30/2020",TRAINING!D12:D5000,"Both Mandatory and EBT",TRAINING!AV12:AV5000,"YES")</f>
        <v>0</v>
      </c>
      <c r="AZ47" s="326"/>
      <c r="BA47" s="326"/>
      <c r="BB47" s="327"/>
      <c r="BC47" s="411">
        <f>COUNTIFS(TRAINING!B12:B5000,"&gt;=07/01/2021",TRAINING!B12:B5000,"&lt;=09/30/2021",TRAINING!D12:D5000,"Both Mandatory and EBT",TRAINING!AV12:AV5000,"YES")</f>
        <v>0</v>
      </c>
      <c r="BD47" s="326"/>
      <c r="BE47" s="326"/>
      <c r="BF47" s="327"/>
      <c r="BG47" s="882">
        <f>COUNTIFS(TRAINING!B12:B5000,"&gt;=10/01/2021",TRAINING!B12:B5000,"&lt;=12/31/2021",TRAINING!D12:D5000,"Both Mandatory and EBT",TRAINING!AV12:AV5000,"YES")</f>
        <v>0</v>
      </c>
      <c r="BH47" s="326"/>
      <c r="BI47" s="326"/>
      <c r="BJ47" s="327"/>
      <c r="BK47" s="852">
        <f>COUNTIFS(TRAINING!B12:B5000,"&gt;=01/01/2022",TRAINING!B12:B5000,"&lt;=03/31/2022",TRAINING!D12:D5000,"Both Mandatory and EBT",TRAINING!AV12:AV5000,"YES")</f>
        <v>0</v>
      </c>
      <c r="BL47" s="326"/>
      <c r="BM47" s="326"/>
      <c r="BN47" s="327"/>
      <c r="BO47" s="882">
        <f>COUNTIFS(TRAINING!B12:B5000,"&gt;=04/01/2022",TRAINING!B12:B5000,"&lt;=06/30/2022",TRAINING!D12:D5000,"Both Mandatory and EBT",TRAINING!AV12:AV5000,"YES")</f>
        <v>0</v>
      </c>
      <c r="BP47" s="326"/>
      <c r="BQ47" s="326"/>
      <c r="BR47" s="327"/>
      <c r="BS47" s="852">
        <f>COUNTIFS(TRAINING!B12:B5000,"&gt;=07/01/2022",TRAINING!B12:B5000,"&lt;=09/30/2022",TRAINING!D12:D5000,"Both Mandatory and EBT",TRAINING!AV12:AV5000,"YES")</f>
        <v>0</v>
      </c>
      <c r="BT47" s="326"/>
      <c r="BU47" s="326"/>
      <c r="BV47" s="327"/>
      <c r="BW47" s="162"/>
    </row>
    <row r="48" spans="1:75" ht="15.75" customHeight="1" x14ac:dyDescent="0.25">
      <c r="A48" s="382" t="s">
        <v>682</v>
      </c>
      <c r="B48" s="326"/>
      <c r="C48" s="326"/>
      <c r="D48" s="326"/>
      <c r="E48" s="326"/>
      <c r="F48" s="326"/>
      <c r="G48" s="326"/>
      <c r="H48" s="327"/>
      <c r="I48" s="733" t="e">
        <f>'GRANTEE SET UP INFO &amp; DATE '!#REF!</f>
        <v>#REF!</v>
      </c>
      <c r="J48" s="326"/>
      <c r="K48" s="326"/>
      <c r="L48" s="327"/>
      <c r="M48" s="734" t="e">
        <f>'GRANTEE SET UP INFO &amp; DATE '!#REF!</f>
        <v>#REF!</v>
      </c>
      <c r="N48" s="326"/>
      <c r="O48" s="326"/>
      <c r="P48" s="326"/>
      <c r="Q48" s="327"/>
      <c r="R48" s="912" t="e">
        <f>'GRANTEE SET UP INFO &amp; DATE '!#REF!</f>
        <v>#REF!</v>
      </c>
      <c r="S48" s="326"/>
      <c r="T48" s="326"/>
      <c r="U48" s="326"/>
      <c r="V48" s="327"/>
      <c r="W48" s="904">
        <f>COUNTIFS(TRAINING!B12:B5000,"&gt;=07/01/2000",TRAINING!B12:B5000,"&lt;=09/30/2019",TRAINING!D12:D5000,"Both Mandatory and EBT",TRAINING!AW12:AW5000,"YES")</f>
        <v>0</v>
      </c>
      <c r="X48" s="326"/>
      <c r="Y48" s="326"/>
      <c r="Z48" s="327"/>
      <c r="AA48" s="456">
        <f>COUNTIFS(TRAINING!B12:B5000,"&gt;=10/01/2019",TRAINING!B12:B5000,"&lt;=12/31/2019",TRAINING!D12:D5000,"Both Mandatory and EBT",TRAINING!AW12:AW5000,"YES")</f>
        <v>0</v>
      </c>
      <c r="AB48" s="326"/>
      <c r="AC48" s="326"/>
      <c r="AD48" s="327"/>
      <c r="AE48" s="746">
        <f>COUNTIFS(TRAINING!B12:B5000,"&gt;=01/01/2020",TRAINING!B12:B5000,"&lt;=03/31/2020",TRAINING!D12:D5000,"Both Mandatory and EBT",TRAINING!AW12:AW5000,"YES")</f>
        <v>0</v>
      </c>
      <c r="AF48" s="326"/>
      <c r="AG48" s="326"/>
      <c r="AH48" s="327"/>
      <c r="AI48" s="456">
        <f>COUNTIFS(TRAINING!B12:B5000,"&gt;=04/01/2020",TRAINING!B12:B5000,"&lt;=06/30/2020",TRAINING!D12:D5000,"Both Mandatory and EBT",TRAINING!AW12:AW5000,"YES")</f>
        <v>0</v>
      </c>
      <c r="AJ48" s="326"/>
      <c r="AK48" s="326"/>
      <c r="AL48" s="327"/>
      <c r="AM48" s="746">
        <f>COUNTIFS(TRAINING!B12:B5000,"&gt;=07/01/2020",TRAINING!B12:B5000,"&lt;=09/30/2020",TRAINING!D12:D5000,"Both Mandatory and EBT",TRAINING!AW12:AW5000,"YES")</f>
        <v>0</v>
      </c>
      <c r="AN48" s="326"/>
      <c r="AO48" s="326"/>
      <c r="AP48" s="327"/>
      <c r="AQ48" s="412">
        <f>COUNTIFS(TRAINING!B12:B5000,"&gt;=10/01/2020",TRAINING!B12:B5000,"&lt;=12/31/2020",TRAINING!D12:D5000,"Both Mandatory and EBT",TRAINING!AW12:AW5000,"YES")</f>
        <v>0</v>
      </c>
      <c r="AR48" s="326"/>
      <c r="AS48" s="326"/>
      <c r="AT48" s="327"/>
      <c r="AU48" s="411">
        <f>COUNTIFS(TRAINING!B12:B5000,"&gt;=01/01/2021",TRAINING!B12:B5000,"&lt;=03/31/2021",TRAINING!D12:D5000,"Both Mandatory and EBT",TRAINING!AW12:AW5000,"YES")</f>
        <v>0</v>
      </c>
      <c r="AV48" s="326"/>
      <c r="AW48" s="326"/>
      <c r="AX48" s="327"/>
      <c r="AY48" s="412">
        <f>COUNTIFS(TRAINING!B12:B5000,"&gt;=04/01/2020",TRAINING!B12:B5000,"&lt;=06/30/2020",TRAINING!D12:D5000,"Both Mandatory and EBT",TRAINING!AW12:AW5000,"YES")</f>
        <v>0</v>
      </c>
      <c r="AZ48" s="326"/>
      <c r="BA48" s="326"/>
      <c r="BB48" s="327"/>
      <c r="BC48" s="411">
        <f>COUNTIFS(TRAINING!B12:B5000,"&gt;=07/01/2021",TRAINING!B12:B5000,"&lt;=09/30/2021",TRAINING!D12:D5000,"Both Mandatory and EBT",TRAINING!AW12:AW5000,"YES")</f>
        <v>0</v>
      </c>
      <c r="BD48" s="326"/>
      <c r="BE48" s="326"/>
      <c r="BF48" s="327"/>
      <c r="BG48" s="882">
        <f>COUNTIFS(TRAINING!B12:B5000,"&gt;=10/01/2021",TRAINING!B12:B5000,"&lt;=12/31/2021",TRAINING!D12:D5000,"Both Mandatory and EBT",TRAINING!AW12:AW5000,"YES")</f>
        <v>0</v>
      </c>
      <c r="BH48" s="326"/>
      <c r="BI48" s="326"/>
      <c r="BJ48" s="327"/>
      <c r="BK48" s="852">
        <f>COUNTIFS(TRAINING!B12:B5000,"&gt;=01/01/2022",TRAINING!B12:B5000,"&lt;=03/31/2022",TRAINING!D12:D5000,"Both Mandatory and EBT",TRAINING!AW12:AW5000,"YES")</f>
        <v>0</v>
      </c>
      <c r="BL48" s="326"/>
      <c r="BM48" s="326"/>
      <c r="BN48" s="327"/>
      <c r="BO48" s="882">
        <f>COUNTIFS(TRAINING!B12:B5000,"&gt;=04/01/2022",TRAINING!B12:B5000,"&lt;=06/30/2022",TRAINING!D12:D5000,"Both Mandatory and EBT",TRAINING!AW12:AW5000,"YES")</f>
        <v>0</v>
      </c>
      <c r="BP48" s="326"/>
      <c r="BQ48" s="326"/>
      <c r="BR48" s="327"/>
      <c r="BS48" s="852">
        <f>COUNTIFS(TRAINING!B12:B5000,"&gt;=07/01/2022",TRAINING!B12:B5000,"&lt;=09/30/2022",TRAINING!D12:D5000,"Both Mandatory and EBT",TRAINING!AW12:AW5000,"YES")</f>
        <v>0</v>
      </c>
      <c r="BT48" s="326"/>
      <c r="BU48" s="326"/>
      <c r="BV48" s="327"/>
      <c r="BW48" s="162"/>
    </row>
    <row r="49" spans="1:75" ht="15.75" customHeight="1" x14ac:dyDescent="0.25">
      <c r="A49" s="382" t="s">
        <v>683</v>
      </c>
      <c r="B49" s="326"/>
      <c r="C49" s="326"/>
      <c r="D49" s="326"/>
      <c r="E49" s="326"/>
      <c r="F49" s="326"/>
      <c r="G49" s="326"/>
      <c r="H49" s="327"/>
      <c r="I49" s="733" t="e">
        <f>'GRANTEE SET UP INFO &amp; DATE '!#REF!</f>
        <v>#REF!</v>
      </c>
      <c r="J49" s="326"/>
      <c r="K49" s="326"/>
      <c r="L49" s="327"/>
      <c r="M49" s="734" t="e">
        <f>'GRANTEE SET UP INFO &amp; DATE '!#REF!</f>
        <v>#REF!</v>
      </c>
      <c r="N49" s="326"/>
      <c r="O49" s="326"/>
      <c r="P49" s="326"/>
      <c r="Q49" s="327"/>
      <c r="R49" s="912" t="e">
        <f>'GRANTEE SET UP INFO &amp; DATE '!#REF!</f>
        <v>#REF!</v>
      </c>
      <c r="S49" s="326"/>
      <c r="T49" s="326"/>
      <c r="U49" s="326"/>
      <c r="V49" s="327"/>
      <c r="W49" s="904">
        <f>COUNTIFS(TRAINING!B12:B5000,"&gt;=07/01/2000",TRAINING!B12:B5000,"&lt;=09/30/2019",TRAINING!D12:D5000,"Both Mandatory and EBT",TRAINING!AX12:AX5000,"YES")</f>
        <v>0</v>
      </c>
      <c r="X49" s="326"/>
      <c r="Y49" s="326"/>
      <c r="Z49" s="327"/>
      <c r="AA49" s="456">
        <f>COUNTIFS(TRAINING!B12:B5000,"&gt;=10/01/2019",TRAINING!B12:B5000,"&lt;=12/31/2019",TRAINING!D12:D5000,"Both Mandatory and EBT",TRAINING!AX12:AX5000,"YES")</f>
        <v>0</v>
      </c>
      <c r="AB49" s="326"/>
      <c r="AC49" s="326"/>
      <c r="AD49" s="327"/>
      <c r="AE49" s="746">
        <f>COUNTIFS(TRAINING!B12:B5000,"&gt;=01/01/2020",TRAINING!B12:B5000,"&lt;=03/31/2020",TRAINING!D12:D5000,"Both Mandatory and EBT",TRAINING!AX12:AX5000,"YES")</f>
        <v>0</v>
      </c>
      <c r="AF49" s="326"/>
      <c r="AG49" s="326"/>
      <c r="AH49" s="327"/>
      <c r="AI49" s="456">
        <f>COUNTIFS(TRAINING!B12:B5000,"&gt;=04/01/2020",TRAINING!B12:B5000,"&lt;=06/30/2020",TRAINING!D12:D5000,"Both Mandatory and EBT",TRAINING!AX12:AX5000,"YES")</f>
        <v>0</v>
      </c>
      <c r="AJ49" s="326"/>
      <c r="AK49" s="326"/>
      <c r="AL49" s="327"/>
      <c r="AM49" s="746">
        <f>COUNTIFS(TRAINING!B12:B5000,"&gt;=07/01/2020",TRAINING!B12:B5000,"&lt;=09/30/2020",TRAINING!D12:D5000,"Both Mandatory and EBT",TRAINING!AX12:AX5000,"YES")</f>
        <v>0</v>
      </c>
      <c r="AN49" s="326"/>
      <c r="AO49" s="326"/>
      <c r="AP49" s="327"/>
      <c r="AQ49" s="412">
        <f>COUNTIFS(TRAINING!B12:B5000,"&gt;=10/01/2020",TRAINING!B12:B5000,"&lt;=12/31/2020",TRAINING!D12:D5000,"Both Mandatory and EBT",TRAINING!AX12:AX5000,"YES")</f>
        <v>0</v>
      </c>
      <c r="AR49" s="326"/>
      <c r="AS49" s="326"/>
      <c r="AT49" s="327"/>
      <c r="AU49" s="411">
        <f>COUNTIFS(TRAINING!B12:B5000,"&gt;=01/01/2021",TRAINING!B12:B5000,"&lt;=03/31/2021",TRAINING!D12:D5000,"Both Mandatory and EBT",TRAINING!AX12:AX5000,"YES")</f>
        <v>0</v>
      </c>
      <c r="AV49" s="326"/>
      <c r="AW49" s="326"/>
      <c r="AX49" s="327"/>
      <c r="AY49" s="412">
        <f>COUNTIFS(TRAINING!B12:B5000,"&gt;=04/01/2020",TRAINING!B12:B5000,"&lt;=06/30/2020",TRAINING!D12:D5000,"Both Mandatory and EBT",TRAINING!AX12:AX5000,"YES")</f>
        <v>0</v>
      </c>
      <c r="AZ49" s="326"/>
      <c r="BA49" s="326"/>
      <c r="BB49" s="327"/>
      <c r="BC49" s="411">
        <f>COUNTIFS(TRAINING!B12:B5000,"&gt;=07/01/2021",TRAINING!B12:B5000,"&lt;=09/30/2021",TRAINING!D12:D5000,"Both Mandatory and EBT",TRAINING!AX12:AX5000,"YES")</f>
        <v>0</v>
      </c>
      <c r="BD49" s="326"/>
      <c r="BE49" s="326"/>
      <c r="BF49" s="327"/>
      <c r="BG49" s="882">
        <f>COUNTIFS(TRAINING!B12:B5000,"&gt;=10/01/2021",TRAINING!B12:B5000,"&lt;=12/31/2021",TRAINING!D12:D5000,"Both Mandatory and EBT",TRAINING!AX12:AX5000,"YES")</f>
        <v>0</v>
      </c>
      <c r="BH49" s="326"/>
      <c r="BI49" s="326"/>
      <c r="BJ49" s="327"/>
      <c r="BK49" s="852">
        <f>COUNTIFS(TRAINING!B12:B5000,"&gt;=01/01/2022",TRAINING!B12:B5000,"&lt;=03/31/2022",TRAINING!D12:D5000,"Both Mandatory and EBT",TRAINING!AX12:AX5000,"YES")</f>
        <v>0</v>
      </c>
      <c r="BL49" s="326"/>
      <c r="BM49" s="326"/>
      <c r="BN49" s="327"/>
      <c r="BO49" s="882">
        <f>COUNTIFS(TRAINING!B12:B5000,"&gt;=04/01/2022",TRAINING!B12:B5000,"&lt;=06/30/2022",TRAINING!D12:D5000,"Both Mandatory and EBT",TRAINING!AX12:AX5000,"YES")</f>
        <v>0</v>
      </c>
      <c r="BP49" s="326"/>
      <c r="BQ49" s="326"/>
      <c r="BR49" s="327"/>
      <c r="BS49" s="852">
        <f>COUNTIFS(TRAINING!B12:B5000,"&gt;=07/01/2022",TRAINING!B12:B5000,"&lt;=09/30/2022",TRAINING!D12:D5000,"Both Mandatory and EBT",TRAINING!AX12:AX5000,"YES")</f>
        <v>0</v>
      </c>
      <c r="BT49" s="326"/>
      <c r="BU49" s="326"/>
      <c r="BV49" s="327"/>
      <c r="BW49" s="162"/>
    </row>
    <row r="50" spans="1:75" ht="15.75" customHeight="1" x14ac:dyDescent="0.25">
      <c r="A50" s="382" t="s">
        <v>684</v>
      </c>
      <c r="B50" s="326"/>
      <c r="C50" s="326"/>
      <c r="D50" s="326"/>
      <c r="E50" s="326"/>
      <c r="F50" s="326"/>
      <c r="G50" s="326"/>
      <c r="H50" s="327"/>
      <c r="I50" s="733" t="e">
        <f>'GRANTEE SET UP INFO &amp; DATE '!#REF!</f>
        <v>#REF!</v>
      </c>
      <c r="J50" s="326"/>
      <c r="K50" s="326"/>
      <c r="L50" s="327"/>
      <c r="M50" s="734" t="e">
        <f>'GRANTEE SET UP INFO &amp; DATE '!#REF!</f>
        <v>#REF!</v>
      </c>
      <c r="N50" s="326"/>
      <c r="O50" s="326"/>
      <c r="P50" s="326"/>
      <c r="Q50" s="327"/>
      <c r="R50" s="912" t="e">
        <f>'GRANTEE SET UP INFO &amp; DATE '!#REF!</f>
        <v>#REF!</v>
      </c>
      <c r="S50" s="326"/>
      <c r="T50" s="326"/>
      <c r="U50" s="326"/>
      <c r="V50" s="327"/>
      <c r="W50" s="904">
        <f>COUNTIFS(TRAINING!B12:B5000,"&gt;=07/01/2000",TRAINING!B12:B5000,"&lt;=09/30/2019",TRAINING!D12:D5000,"Both Mandatory and EBT",TRAINING!AY12:AY5000,"YES")</f>
        <v>0</v>
      </c>
      <c r="X50" s="326"/>
      <c r="Y50" s="326"/>
      <c r="Z50" s="327"/>
      <c r="AA50" s="456">
        <f>COUNTIFS(TRAINING!B12:B5000,"&gt;=10/01/2019",TRAINING!B12:B5000,"&lt;=12/31/2019",TRAINING!D12:D5000,"Both Mandatory and EBT",TRAINING!AY12:AY5000,"YES")</f>
        <v>0</v>
      </c>
      <c r="AB50" s="326"/>
      <c r="AC50" s="326"/>
      <c r="AD50" s="327"/>
      <c r="AE50" s="746">
        <f>COUNTIFS(TRAINING!B12:B5000,"&gt;=01/01/2020",TRAINING!B12:B5000,"&lt;=03/31/2020",TRAINING!D12:D5000,"Both Mandatory and EBT",TRAINING!AY12:AY5000,"YES")</f>
        <v>0</v>
      </c>
      <c r="AF50" s="326"/>
      <c r="AG50" s="326"/>
      <c r="AH50" s="327"/>
      <c r="AI50" s="456">
        <f>COUNTIFS(TRAINING!B12:B5000,"&gt;=04/01/2020",TRAINING!B12:B5000,"&lt;=06/30/2020",TRAINING!D12:D5000,"Both Mandatory and EBT",TRAINING!AY12:AY5000,"YES")</f>
        <v>0</v>
      </c>
      <c r="AJ50" s="326"/>
      <c r="AK50" s="326"/>
      <c r="AL50" s="327"/>
      <c r="AM50" s="746">
        <f>COUNTIFS(TRAINING!B12:B5000,"&gt;=07/01/2020",TRAINING!B12:B5000,"&lt;=09/30/2020",TRAINING!D12:D5000,"Both Mandatory and EBT",TRAINING!AY12:AY5000,"YES")</f>
        <v>0</v>
      </c>
      <c r="AN50" s="326"/>
      <c r="AO50" s="326"/>
      <c r="AP50" s="327"/>
      <c r="AQ50" s="412">
        <f>COUNTIFS(TRAINING!B12:B5000,"&gt;=10/01/2020",TRAINING!B12:B5000,"&lt;=12/31/2020",TRAINING!D12:D5000,"Both Mandatory and EBT",TRAINING!AY12:AY5000,"YES")</f>
        <v>0</v>
      </c>
      <c r="AR50" s="326"/>
      <c r="AS50" s="326"/>
      <c r="AT50" s="327"/>
      <c r="AU50" s="411">
        <f>COUNTIFS(TRAINING!B12:B5000,"&gt;=01/01/2021",TRAINING!B12:B5000,"&lt;=03/31/2021",TRAINING!D12:D5000,"Both Mandatory and EBT",TRAINING!AY12:AY5000,"YES")</f>
        <v>0</v>
      </c>
      <c r="AV50" s="326"/>
      <c r="AW50" s="326"/>
      <c r="AX50" s="327"/>
      <c r="AY50" s="412">
        <f>COUNTIFS(TRAINING!B12:B5000,"&gt;=04/01/2020",TRAINING!B12:B5000,"&lt;=06/30/2020",TRAINING!D12:D5000,"Both Mandatory and EBT",TRAINING!AY12:AY5000,"YES")</f>
        <v>0</v>
      </c>
      <c r="AZ50" s="326"/>
      <c r="BA50" s="326"/>
      <c r="BB50" s="327"/>
      <c r="BC50" s="411">
        <f>COUNTIFS(TRAINING!B12:B5000,"&gt;=07/01/2021",TRAINING!B12:B5000,"&lt;=09/30/2021",TRAINING!D12:D5000,"Both Mandatory and EBT",TRAINING!AY12:AY5000,"YES")</f>
        <v>0</v>
      </c>
      <c r="BD50" s="326"/>
      <c r="BE50" s="326"/>
      <c r="BF50" s="327"/>
      <c r="BG50" s="882">
        <f>COUNTIFS(TRAINING!B12:B5000,"&gt;=10/01/2021",TRAINING!B12:B5000,"&lt;=12/31/2021",TRAINING!D12:D5000,"Both Mandatory and EBT",TRAINING!AY12:AY5000,"YES")</f>
        <v>0</v>
      </c>
      <c r="BH50" s="326"/>
      <c r="BI50" s="326"/>
      <c r="BJ50" s="327"/>
      <c r="BK50" s="852">
        <f>COUNTIFS(TRAINING!B12:B5000,"&gt;=01/01/2022",TRAINING!B12:B5000,"&lt;=03/31/2022",TRAINING!D12:D5000,"Both Mandatory and EBT",TRAINING!AY12:AY5000,"YES")</f>
        <v>0</v>
      </c>
      <c r="BL50" s="326"/>
      <c r="BM50" s="326"/>
      <c r="BN50" s="327"/>
      <c r="BO50" s="882">
        <f>COUNTIFS(TRAINING!B12:B5000,"&gt;=04/01/2022",TRAINING!B12:B5000,"&lt;=06/30/2022",TRAINING!D12:D5000,"Both Mandatory and EBT",TRAINING!AY12:AY5000,"YES")</f>
        <v>0</v>
      </c>
      <c r="BP50" s="326"/>
      <c r="BQ50" s="326"/>
      <c r="BR50" s="327"/>
      <c r="BS50" s="852">
        <f>COUNTIFS(TRAINING!B12:B5000,"&gt;=07/01/2022",TRAINING!B12:B5000,"&lt;=09/30/2022",TRAINING!D12:D5000,"Both Mandatory and EBT",TRAINING!AY12:AY5000,"YES")</f>
        <v>0</v>
      </c>
      <c r="BT50" s="326"/>
      <c r="BU50" s="326"/>
      <c r="BV50" s="327"/>
      <c r="BW50" s="162"/>
    </row>
    <row r="51" spans="1:75" ht="15.75" customHeight="1" x14ac:dyDescent="0.25">
      <c r="A51" s="382"/>
      <c r="B51" s="326"/>
      <c r="C51" s="326"/>
      <c r="D51" s="326"/>
      <c r="E51" s="326"/>
      <c r="F51" s="326"/>
      <c r="G51" s="326"/>
      <c r="H51" s="327"/>
      <c r="I51" s="746"/>
      <c r="J51" s="326"/>
      <c r="K51" s="326"/>
      <c r="L51" s="327"/>
      <c r="M51" s="747"/>
      <c r="N51" s="326"/>
      <c r="O51" s="326"/>
      <c r="P51" s="326"/>
      <c r="Q51" s="327"/>
      <c r="R51" s="748"/>
      <c r="S51" s="326"/>
      <c r="T51" s="326"/>
      <c r="U51" s="326"/>
      <c r="V51" s="327"/>
      <c r="W51" s="903"/>
      <c r="X51" s="326"/>
      <c r="Y51" s="326"/>
      <c r="Z51" s="327"/>
      <c r="AA51" s="456"/>
      <c r="AB51" s="326"/>
      <c r="AC51" s="326"/>
      <c r="AD51" s="327"/>
      <c r="AE51" s="746"/>
      <c r="AF51" s="326"/>
      <c r="AG51" s="326"/>
      <c r="AH51" s="327"/>
      <c r="AI51" s="456"/>
      <c r="AJ51" s="326"/>
      <c r="AK51" s="326"/>
      <c r="AL51" s="327"/>
      <c r="AM51" s="746"/>
      <c r="AN51" s="326"/>
      <c r="AO51" s="326"/>
      <c r="AP51" s="327"/>
      <c r="AQ51" s="412"/>
      <c r="AR51" s="326"/>
      <c r="AS51" s="326"/>
      <c r="AT51" s="327"/>
      <c r="AU51" s="411"/>
      <c r="AV51" s="326"/>
      <c r="AW51" s="326"/>
      <c r="AX51" s="327"/>
      <c r="AY51" s="412"/>
      <c r="AZ51" s="326"/>
      <c r="BA51" s="326"/>
      <c r="BB51" s="327"/>
      <c r="BC51" s="411"/>
      <c r="BD51" s="326"/>
      <c r="BE51" s="326"/>
      <c r="BF51" s="327"/>
      <c r="BG51" s="882"/>
      <c r="BH51" s="326"/>
      <c r="BI51" s="326"/>
      <c r="BJ51" s="327"/>
      <c r="BK51" s="852"/>
      <c r="BL51" s="326"/>
      <c r="BM51" s="326"/>
      <c r="BN51" s="327"/>
      <c r="BO51" s="882"/>
      <c r="BP51" s="326"/>
      <c r="BQ51" s="326"/>
      <c r="BR51" s="327"/>
      <c r="BS51" s="852"/>
      <c r="BT51" s="326"/>
      <c r="BU51" s="326"/>
      <c r="BV51" s="327"/>
      <c r="BW51" s="162"/>
    </row>
    <row r="52" spans="1:75" ht="15.75" customHeight="1" x14ac:dyDescent="0.25">
      <c r="A52" s="720" t="s">
        <v>569</v>
      </c>
      <c r="B52" s="326"/>
      <c r="C52" s="326"/>
      <c r="D52" s="326"/>
      <c r="E52" s="326"/>
      <c r="F52" s="326"/>
      <c r="G52" s="326"/>
      <c r="H52" s="326"/>
      <c r="I52" s="326"/>
      <c r="J52" s="326"/>
      <c r="K52" s="326"/>
      <c r="L52" s="326"/>
      <c r="M52" s="326"/>
      <c r="N52" s="326"/>
      <c r="O52" s="326"/>
      <c r="P52" s="326"/>
      <c r="Q52" s="326"/>
      <c r="R52" s="326"/>
      <c r="S52" s="326"/>
      <c r="T52" s="326"/>
      <c r="U52" s="326"/>
      <c r="V52" s="327"/>
      <c r="W52" s="896">
        <f>SUM(W39:W51)</f>
        <v>0</v>
      </c>
      <c r="X52" s="326"/>
      <c r="Y52" s="326"/>
      <c r="Z52" s="327"/>
      <c r="AA52" s="901">
        <f>SUM(AA39:AA51)</f>
        <v>0</v>
      </c>
      <c r="AB52" s="326"/>
      <c r="AC52" s="326"/>
      <c r="AD52" s="327"/>
      <c r="AE52" s="719">
        <f>SUM(AE39:AE51)</f>
        <v>0</v>
      </c>
      <c r="AF52" s="326"/>
      <c r="AG52" s="326"/>
      <c r="AH52" s="327"/>
      <c r="AI52" s="902">
        <f>SUM(AI39:AI51)</f>
        <v>0</v>
      </c>
      <c r="AJ52" s="326"/>
      <c r="AK52" s="326"/>
      <c r="AL52" s="327"/>
      <c r="AM52" s="719">
        <f>SUM(AM39:AM51)</f>
        <v>0</v>
      </c>
      <c r="AN52" s="326"/>
      <c r="AO52" s="326"/>
      <c r="AP52" s="327"/>
      <c r="AQ52" s="891">
        <f>SUM(AQ39:AQ51)</f>
        <v>0</v>
      </c>
      <c r="AR52" s="326"/>
      <c r="AS52" s="326"/>
      <c r="AT52" s="327"/>
      <c r="AU52" s="714">
        <f>SUM(AU39:AU51)</f>
        <v>0</v>
      </c>
      <c r="AV52" s="326"/>
      <c r="AW52" s="326"/>
      <c r="AX52" s="327"/>
      <c r="AY52" s="891">
        <f>SUM(AY39:AY51)</f>
        <v>0</v>
      </c>
      <c r="AZ52" s="326"/>
      <c r="BA52" s="326"/>
      <c r="BB52" s="327"/>
      <c r="BC52" s="714">
        <f>SUM(BC39:BC51)</f>
        <v>0</v>
      </c>
      <c r="BD52" s="326"/>
      <c r="BE52" s="326"/>
      <c r="BF52" s="327"/>
      <c r="BG52" s="900">
        <f>SUM(BG39:BG51)</f>
        <v>0</v>
      </c>
      <c r="BH52" s="326"/>
      <c r="BI52" s="326"/>
      <c r="BJ52" s="327"/>
      <c r="BK52" s="832">
        <f>SUM(BK39:BK51)</f>
        <v>0</v>
      </c>
      <c r="BL52" s="326"/>
      <c r="BM52" s="326"/>
      <c r="BN52" s="327"/>
      <c r="BO52" s="900">
        <f>SUM(BO39:BO51)</f>
        <v>0</v>
      </c>
      <c r="BP52" s="326"/>
      <c r="BQ52" s="326"/>
      <c r="BR52" s="327"/>
      <c r="BS52" s="894">
        <f>SUM(BS39:BS51)</f>
        <v>0</v>
      </c>
      <c r="BT52" s="326"/>
      <c r="BU52" s="326"/>
      <c r="BV52" s="327"/>
      <c r="BW52" s="162"/>
    </row>
    <row r="53" spans="1:75" ht="15.75" customHeight="1" x14ac:dyDescent="0.25">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row>
    <row r="54" spans="1:75" ht="15.75" customHeight="1" x14ac:dyDescent="0.25">
      <c r="A54" s="886" t="s">
        <v>725</v>
      </c>
      <c r="B54" s="326"/>
      <c r="C54" s="326"/>
      <c r="D54" s="326"/>
      <c r="E54" s="326"/>
      <c r="F54" s="326"/>
      <c r="G54" s="326"/>
      <c r="H54" s="326"/>
      <c r="I54" s="326"/>
      <c r="J54" s="326"/>
      <c r="K54" s="326"/>
      <c r="L54" s="326"/>
      <c r="M54" s="326"/>
      <c r="N54" s="326"/>
      <c r="O54" s="326"/>
      <c r="P54" s="326"/>
      <c r="Q54" s="326"/>
      <c r="R54" s="326"/>
      <c r="S54" s="326"/>
      <c r="T54" s="326"/>
      <c r="U54" s="326"/>
      <c r="V54" s="327"/>
      <c r="W54" s="887" t="s">
        <v>650</v>
      </c>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7"/>
      <c r="BW54" s="162"/>
    </row>
    <row r="55" spans="1:75" ht="15.75" customHeight="1" x14ac:dyDescent="0.25">
      <c r="A55" s="887" t="s">
        <v>668</v>
      </c>
      <c r="B55" s="326"/>
      <c r="C55" s="326"/>
      <c r="D55" s="326"/>
      <c r="E55" s="326"/>
      <c r="F55" s="326"/>
      <c r="G55" s="326"/>
      <c r="H55" s="327"/>
      <c r="I55" s="887" t="s">
        <v>669</v>
      </c>
      <c r="J55" s="326"/>
      <c r="K55" s="326"/>
      <c r="L55" s="327"/>
      <c r="M55" s="888" t="s">
        <v>670</v>
      </c>
      <c r="N55" s="326"/>
      <c r="O55" s="326"/>
      <c r="P55" s="326"/>
      <c r="Q55" s="327"/>
      <c r="R55" s="889" t="s">
        <v>671</v>
      </c>
      <c r="S55" s="326"/>
      <c r="T55" s="326"/>
      <c r="U55" s="326"/>
      <c r="V55" s="327"/>
      <c r="W55" s="890" t="s">
        <v>708</v>
      </c>
      <c r="X55" s="326"/>
      <c r="Y55" s="326"/>
      <c r="Z55" s="327"/>
      <c r="AA55" s="631" t="s">
        <v>709</v>
      </c>
      <c r="AB55" s="326"/>
      <c r="AC55" s="326"/>
      <c r="AD55" s="327"/>
      <c r="AE55" s="897" t="s">
        <v>710</v>
      </c>
      <c r="AF55" s="326"/>
      <c r="AG55" s="326"/>
      <c r="AH55" s="327"/>
      <c r="AI55" s="631" t="s">
        <v>711</v>
      </c>
      <c r="AJ55" s="326"/>
      <c r="AK55" s="326"/>
      <c r="AL55" s="327"/>
      <c r="AM55" s="897" t="s">
        <v>712</v>
      </c>
      <c r="AN55" s="326"/>
      <c r="AO55" s="326"/>
      <c r="AP55" s="327"/>
      <c r="AQ55" s="898" t="s">
        <v>713</v>
      </c>
      <c r="AR55" s="326"/>
      <c r="AS55" s="326"/>
      <c r="AT55" s="327"/>
      <c r="AU55" s="899" t="s">
        <v>714</v>
      </c>
      <c r="AV55" s="326"/>
      <c r="AW55" s="326"/>
      <c r="AX55" s="327"/>
      <c r="AY55" s="898" t="s">
        <v>715</v>
      </c>
      <c r="AZ55" s="326"/>
      <c r="BA55" s="326"/>
      <c r="BB55" s="327"/>
      <c r="BC55" s="899" t="s">
        <v>716</v>
      </c>
      <c r="BD55" s="326"/>
      <c r="BE55" s="326"/>
      <c r="BF55" s="327"/>
      <c r="BG55" s="884" t="s">
        <v>717</v>
      </c>
      <c r="BH55" s="326"/>
      <c r="BI55" s="326"/>
      <c r="BJ55" s="327"/>
      <c r="BK55" s="885" t="s">
        <v>718</v>
      </c>
      <c r="BL55" s="326"/>
      <c r="BM55" s="326"/>
      <c r="BN55" s="327"/>
      <c r="BO55" s="884" t="s">
        <v>719</v>
      </c>
      <c r="BP55" s="326"/>
      <c r="BQ55" s="326"/>
      <c r="BR55" s="327"/>
      <c r="BS55" s="885" t="s">
        <v>720</v>
      </c>
      <c r="BT55" s="326"/>
      <c r="BU55" s="326"/>
      <c r="BV55" s="327"/>
      <c r="BW55" s="162"/>
    </row>
    <row r="56" spans="1:75" ht="15.75" customHeight="1" x14ac:dyDescent="0.25">
      <c r="A56" s="382" t="s">
        <v>673</v>
      </c>
      <c r="B56" s="326"/>
      <c r="C56" s="326"/>
      <c r="D56" s="326"/>
      <c r="E56" s="326"/>
      <c r="F56" s="326"/>
      <c r="G56" s="326"/>
      <c r="H56" s="327"/>
      <c r="I56" s="733">
        <f>'GRANTEE SET UP INFO &amp; DATE '!C11</f>
        <v>0</v>
      </c>
      <c r="J56" s="326"/>
      <c r="K56" s="326"/>
      <c r="L56" s="327"/>
      <c r="M56" s="735">
        <f>'GRANTEE SET UP INFO &amp; DATE '!F11</f>
        <v>0</v>
      </c>
      <c r="N56" s="326"/>
      <c r="O56" s="326"/>
      <c r="P56" s="326"/>
      <c r="Q56" s="327"/>
      <c r="R56" s="735" t="e">
        <f>'GRANTEE SET UP INFO &amp; DATE '!#REF!</f>
        <v>#REF!</v>
      </c>
      <c r="S56" s="326"/>
      <c r="T56" s="326"/>
      <c r="U56" s="326"/>
      <c r="V56" s="327"/>
      <c r="W56" s="904">
        <f>COUNTIFS(TRAINING!B12:B5000,"&gt;=07/01/2000",TRAINING!B12:B5000,"&lt;=09/30/2019",TRAINING!D12:D5000,"Other (Specify in Notes)",TRAINING!AN12:AN5000,"YES")</f>
        <v>0</v>
      </c>
      <c r="X56" s="326"/>
      <c r="Y56" s="326"/>
      <c r="Z56" s="327"/>
      <c r="AA56" s="456">
        <f>COUNTIFS(TRAINING!B12:B5000,"&gt;=10/01/2019",TRAINING!B12:B5000,"&lt;=12/31/2019",TRAINING!D12:D5000,"Other (Specify in Notes)",TRAINING!AN12:AN5000,"YES")</f>
        <v>0</v>
      </c>
      <c r="AB56" s="326"/>
      <c r="AC56" s="326"/>
      <c r="AD56" s="327"/>
      <c r="AE56" s="746">
        <f>COUNTIFS(TRAINING!B12:B5000,"&gt;=01/01/2020",TRAINING!B12:B5000,"&lt;=03/31/2020",TRAINING!D12:D5000,"Other (Specify in Notes)",TRAINING!AN12:AN5000,"YES")</f>
        <v>0</v>
      </c>
      <c r="AF56" s="326"/>
      <c r="AG56" s="326"/>
      <c r="AH56" s="327"/>
      <c r="AI56" s="456">
        <f>COUNTIFS(TRAINING!B12:B5000,"&gt;=04/01/2020",TRAINING!B12:B5000,"&lt;=06/30/2020",TRAINING!D12:D5000,"Other (Specify in Notes)",TRAINING!AN12:AN5000,"YES")</f>
        <v>0</v>
      </c>
      <c r="AJ56" s="326"/>
      <c r="AK56" s="326"/>
      <c r="AL56" s="327"/>
      <c r="AM56" s="746">
        <f>COUNTIFS(TRAINING!B12:B5000,"&gt;=07/01/2020",TRAINING!B12:B5000,"&lt;=09/30/2020",TRAINING!D12:D5000,"Other (Specify in Notes)",TRAINING!AN12:AN5000,"YES")</f>
        <v>0</v>
      </c>
      <c r="AN56" s="326"/>
      <c r="AO56" s="326"/>
      <c r="AP56" s="327"/>
      <c r="AQ56" s="412">
        <f>COUNTIFS(TRAINING!B12:B5000,"&gt;=10/01/2020",TRAINING!B12:B5000,"&lt;=12/31/2020",TRAINING!D12:D5000,"Other (Specify in Notes)",TRAINING!AN12:AN5000,"YES")</f>
        <v>0</v>
      </c>
      <c r="AR56" s="326"/>
      <c r="AS56" s="326"/>
      <c r="AT56" s="327"/>
      <c r="AU56" s="411">
        <f>COUNTIFS(TRAINING!B12:B5000,"&gt;=01/01/2021",TRAINING!B12:B5000,"&lt;=03/31/2021",TRAINING!D12:D5000,"Other (Specify in Notes)",TRAINING!AN12:AN5000,"YES")</f>
        <v>0</v>
      </c>
      <c r="AV56" s="326"/>
      <c r="AW56" s="326"/>
      <c r="AX56" s="327"/>
      <c r="AY56" s="412">
        <f>COUNTIFS(TRAINING!B12:B5000,"&gt;=04/01/2020",TRAINING!B12:B5000,"&lt;=06/30/2020",TRAINING!D12:D5000,"Other (Specify in Notes)",TRAINING!AN12:AN5000,"YES")</f>
        <v>0</v>
      </c>
      <c r="AZ56" s="326"/>
      <c r="BA56" s="326"/>
      <c r="BB56" s="327"/>
      <c r="BC56" s="411">
        <f>COUNTIFS(TRAINING!B12:B5000,"&gt;=07/01/2021",TRAINING!B12:B5000,"&lt;=09/30/2021",TRAINING!D12:D5000,"Other (Specify in Notes)",TRAINING!AN12:AN5000,"YES")</f>
        <v>0</v>
      </c>
      <c r="BD56" s="326"/>
      <c r="BE56" s="326"/>
      <c r="BF56" s="327"/>
      <c r="BG56" s="882">
        <f>COUNTIFS(TRAINING!B12:B5000,"&gt;=10/01/2021",TRAINING!B12:B5000,"&lt;=12/31/2021",TRAINING!D12:D5000,"Other (Specify in Notes)",TRAINING!AN12:AN5000,"YES")</f>
        <v>0</v>
      </c>
      <c r="BH56" s="326"/>
      <c r="BI56" s="326"/>
      <c r="BJ56" s="327"/>
      <c r="BK56" s="852">
        <f>COUNTIFS(TRAINING!B12:B5000,"&gt;=01/01/2022",TRAINING!B12:B5000,"&lt;=03/31/2022",TRAINING!D12:D5000,"Other (Specify in Notes)",TRAINING!AN12:AN5000,"YES")</f>
        <v>0</v>
      </c>
      <c r="BL56" s="326"/>
      <c r="BM56" s="326"/>
      <c r="BN56" s="327"/>
      <c r="BO56" s="882">
        <f>COUNTIFS(TRAINING!B12:B5000,"&gt;=04/01/2022",TRAINING!B12:B5000,"&lt;=06/30/2022",TRAINING!D12:D5000,"Other (Specify in Notes)",TRAINING!AN12:AN5000,"YES")</f>
        <v>0</v>
      </c>
      <c r="BP56" s="326"/>
      <c r="BQ56" s="326"/>
      <c r="BR56" s="327"/>
      <c r="BS56" s="852">
        <f>COUNTIFS(TRAINING!B12:B5000,"&gt;=07/01/2022",TRAINING!B12:B5000,"&lt;=09/30/2022",TRAINING!D12:D5000,"Other (Specify in Notes)",TRAINING!AN12:AN5000,"YES")</f>
        <v>0</v>
      </c>
      <c r="BT56" s="326"/>
      <c r="BU56" s="326"/>
      <c r="BV56" s="327"/>
      <c r="BW56" s="162"/>
    </row>
    <row r="57" spans="1:75" ht="15.75" customHeight="1" x14ac:dyDescent="0.25">
      <c r="A57" s="382" t="s">
        <v>674</v>
      </c>
      <c r="B57" s="326"/>
      <c r="C57" s="326"/>
      <c r="D57" s="326"/>
      <c r="E57" s="326"/>
      <c r="F57" s="326"/>
      <c r="G57" s="326"/>
      <c r="H57" s="327"/>
      <c r="I57" s="733">
        <f>'GRANTEE SET UP INFO &amp; DATE '!C12</f>
        <v>0</v>
      </c>
      <c r="J57" s="326"/>
      <c r="K57" s="326"/>
      <c r="L57" s="327"/>
      <c r="M57" s="735">
        <f>'GRANTEE SET UP INFO &amp; DATE '!F12</f>
        <v>0</v>
      </c>
      <c r="N57" s="326"/>
      <c r="O57" s="326"/>
      <c r="P57" s="326"/>
      <c r="Q57" s="327"/>
      <c r="R57" s="735" t="e">
        <f>'GRANTEE SET UP INFO &amp; DATE '!#REF!</f>
        <v>#REF!</v>
      </c>
      <c r="S57" s="326"/>
      <c r="T57" s="326"/>
      <c r="U57" s="326"/>
      <c r="V57" s="327"/>
      <c r="W57" s="904">
        <f>COUNTIFS(TRAINING!B12:B5000,"&gt;=07/01/2000",TRAINING!B12:B5000,"&lt;=09/30/2019",TRAINING!D12:D5000,"Other (Specify in Notes)",TRAINING!AO12:AO5000,"YES")</f>
        <v>0</v>
      </c>
      <c r="X57" s="326"/>
      <c r="Y57" s="326"/>
      <c r="Z57" s="327"/>
      <c r="AA57" s="456">
        <f>COUNTIFS(TRAINING!B12:B5000,"&gt;=10/01/2019",TRAINING!B12:B5000,"&lt;=12/31/2019",TRAINING!D12:D5000,"Other (Specify in Notes)",TRAINING!AO12:AO5000,"YES")</f>
        <v>0</v>
      </c>
      <c r="AB57" s="326"/>
      <c r="AC57" s="326"/>
      <c r="AD57" s="327"/>
      <c r="AE57" s="746">
        <f>COUNTIFS(TRAINING!B12:B5000,"&gt;=01/01/2020",TRAINING!B12:B5000,"&lt;=03/31/2020",TRAINING!D12:D5000,"Other (Specify in Notes)",TRAINING!AO12:AO5000,"YES")</f>
        <v>0</v>
      </c>
      <c r="AF57" s="326"/>
      <c r="AG57" s="326"/>
      <c r="AH57" s="327"/>
      <c r="AI57" s="456">
        <f>COUNTIFS(TRAINING!B12:B5000,"&gt;=04/01/2020",TRAINING!B12:B5000,"&lt;=06/30/2020",TRAINING!D12:D5000,"Other (Specify in Notes)",TRAINING!AO12:AO5000,"YES")</f>
        <v>0</v>
      </c>
      <c r="AJ57" s="326"/>
      <c r="AK57" s="326"/>
      <c r="AL57" s="327"/>
      <c r="AM57" s="746">
        <f>COUNTIFS(TRAINING!B12:B5000,"&gt;=07/01/2020",TRAINING!B12:B5000,"&lt;=09/30/2020",TRAINING!D12:D5000,"Other (Specify in Notes)",TRAINING!AO12:AO5000,"YES")</f>
        <v>0</v>
      </c>
      <c r="AN57" s="326"/>
      <c r="AO57" s="326"/>
      <c r="AP57" s="327"/>
      <c r="AQ57" s="412">
        <f>COUNTIFS(TRAINING!B12:B5000,"&gt;=10/01/2020",TRAINING!B12:B5000,"&lt;=12/31/2020",TRAINING!D12:D5000,"Other (Specify in Notes)",TRAINING!AO12:AO5000,"YES")</f>
        <v>0</v>
      </c>
      <c r="AR57" s="326"/>
      <c r="AS57" s="326"/>
      <c r="AT57" s="327"/>
      <c r="AU57" s="411">
        <f>COUNTIFS(TRAINING!B12:B5000,"&gt;=01/01/2021",TRAINING!B12:B5000,"&lt;=03/31/2021",TRAINING!D12:D5000,"Other (Specify in Notes)",TRAINING!AO12:AO5000,"YES")</f>
        <v>0</v>
      </c>
      <c r="AV57" s="326"/>
      <c r="AW57" s="326"/>
      <c r="AX57" s="327"/>
      <c r="AY57" s="412">
        <f>COUNTIFS(TRAINING!B12:B5000,"&gt;=04/01/2020",TRAINING!B12:B5000,"&lt;=06/30/2020",TRAINING!D12:D5000,"Other (Specify in Notes)",TRAINING!AO12:AO5000,"YES")</f>
        <v>0</v>
      </c>
      <c r="AZ57" s="326"/>
      <c r="BA57" s="326"/>
      <c r="BB57" s="327"/>
      <c r="BC57" s="411">
        <f>COUNTIFS(TRAINING!B12:B5000,"&gt;=07/01/2021",TRAINING!B12:B5000,"&lt;=09/30/2021",TRAINING!D12:D5000,"Other (Specify in Notes)",TRAINING!AO12:AO5000,"YES")</f>
        <v>0</v>
      </c>
      <c r="BD57" s="326"/>
      <c r="BE57" s="326"/>
      <c r="BF57" s="327"/>
      <c r="BG57" s="882">
        <f>COUNTIFS(TRAINING!B12:B5000,"&gt;=10/01/2021",TRAINING!B12:B5000,"&lt;=12/31/2021",TRAINING!D12:D5000,"Other (Specify in Notes)",TRAINING!AO12:AO5000,"YES")</f>
        <v>0</v>
      </c>
      <c r="BH57" s="326"/>
      <c r="BI57" s="326"/>
      <c r="BJ57" s="327"/>
      <c r="BK57" s="852">
        <f>COUNTIFS(TRAINING!B12:B5000,"&gt;=01/01/2022",TRAINING!B12:B5000,"&lt;=03/31/2022",TRAINING!D12:D5000,"Other (Specify in Notes)",TRAINING!AO12:AO5000,"YES")</f>
        <v>0</v>
      </c>
      <c r="BL57" s="326"/>
      <c r="BM57" s="326"/>
      <c r="BN57" s="327"/>
      <c r="BO57" s="882">
        <f>COUNTIFS(TRAINING!B12:B5000,"&gt;=04/01/2022",TRAINING!B12:B5000,"&lt;=06/30/2022",TRAINING!D12:D5000,"Other (Specify in Notes)",TRAINING!AO12:AO5000,"YES")</f>
        <v>0</v>
      </c>
      <c r="BP57" s="326"/>
      <c r="BQ57" s="326"/>
      <c r="BR57" s="327"/>
      <c r="BS57" s="852">
        <f>COUNTIFS(TRAINING!B12:B5000,"&gt;=07/01/2022",TRAINING!B12:B5000,"&lt;=09/30/2022",TRAINING!D12:D5000,"Other (Specify in Notes)",TRAINING!AO12:AO5000,"YES")</f>
        <v>0</v>
      </c>
      <c r="BT57" s="326"/>
      <c r="BU57" s="326"/>
      <c r="BV57" s="327"/>
      <c r="BW57" s="162"/>
    </row>
    <row r="58" spans="1:75" ht="15.75" customHeight="1" x14ac:dyDescent="0.25">
      <c r="A58" s="382" t="s">
        <v>675</v>
      </c>
      <c r="B58" s="326"/>
      <c r="C58" s="326"/>
      <c r="D58" s="326"/>
      <c r="E58" s="326"/>
      <c r="F58" s="326"/>
      <c r="G58" s="326"/>
      <c r="H58" s="327"/>
      <c r="I58" s="733">
        <f>'GRANTEE SET UP INFO &amp; DATE '!C13</f>
        <v>0</v>
      </c>
      <c r="J58" s="326"/>
      <c r="K58" s="326"/>
      <c r="L58" s="327"/>
      <c r="M58" s="735">
        <f>'GRANTEE SET UP INFO &amp; DATE '!F13</f>
        <v>0</v>
      </c>
      <c r="N58" s="326"/>
      <c r="O58" s="326"/>
      <c r="P58" s="326"/>
      <c r="Q58" s="327"/>
      <c r="R58" s="735" t="e">
        <f>'GRANTEE SET UP INFO &amp; DATE '!#REF!</f>
        <v>#REF!</v>
      </c>
      <c r="S58" s="326"/>
      <c r="T58" s="326"/>
      <c r="U58" s="326"/>
      <c r="V58" s="327"/>
      <c r="W58" s="904">
        <f>COUNTIFS(TRAINING!B12:B5000,"&gt;=07/01/2000",TRAINING!B12:B5000,"&lt;=09/30/2019",TRAINING!D12:D5000,"Other (Specify in Notes)",TRAINING!AP12:AP5000,"YES")</f>
        <v>0</v>
      </c>
      <c r="X58" s="326"/>
      <c r="Y58" s="326"/>
      <c r="Z58" s="327"/>
      <c r="AA58" s="456">
        <f>COUNTIFS(TRAINING!B12:B5000,"&gt;=10/01/2019",TRAINING!B12:B5000,"&lt;=12/31/2019",TRAINING!D12:D5000,"Other (Specify in Notes)",TRAINING!AP12:AP5000,"YES")</f>
        <v>0</v>
      </c>
      <c r="AB58" s="326"/>
      <c r="AC58" s="326"/>
      <c r="AD58" s="327"/>
      <c r="AE58" s="746">
        <f>COUNTIFS(TRAINING!B12:B5000,"&gt;=01/01/2020",TRAINING!B12:B5000,"&lt;=03/31/2020",TRAINING!D12:D5000,"Other (Specify in Notes)",TRAINING!AP12:AP5000,"YES")</f>
        <v>0</v>
      </c>
      <c r="AF58" s="326"/>
      <c r="AG58" s="326"/>
      <c r="AH58" s="327"/>
      <c r="AI58" s="456">
        <f>COUNTIFS(TRAINING!B12:B5000,"&gt;=04/01/2020",TRAINING!B12:B5000,"&lt;=06/30/2020",TRAINING!D12:D5000,"Other (Specify in Notes)",TRAINING!AP12:AP5000,"YES")</f>
        <v>0</v>
      </c>
      <c r="AJ58" s="326"/>
      <c r="AK58" s="326"/>
      <c r="AL58" s="327"/>
      <c r="AM58" s="746">
        <f>COUNTIFS(TRAINING!B12:B5000,"&gt;=07/01/2020",TRAINING!B12:B5000,"&lt;=09/30/2020",TRAINING!D12:D5000,"Other (Specify in Notes)",TRAINING!AP12:AP5000,"YES")</f>
        <v>0</v>
      </c>
      <c r="AN58" s="326"/>
      <c r="AO58" s="326"/>
      <c r="AP58" s="327"/>
      <c r="AQ58" s="412">
        <f>COUNTIFS(TRAINING!B12:B5000,"&gt;=10/01/2020",TRAINING!B12:B5000,"&lt;=12/31/2020",TRAINING!D12:D5000,"Other (Specify in Notes)",TRAINING!AP12:AP5000,"YES")</f>
        <v>0</v>
      </c>
      <c r="AR58" s="326"/>
      <c r="AS58" s="326"/>
      <c r="AT58" s="327"/>
      <c r="AU58" s="411">
        <f>COUNTIFS(TRAINING!B12:B5000,"&gt;=01/01/2021",TRAINING!B12:B5000,"&lt;=03/31/2021",TRAINING!D12:D5000,"Other (Specify in Notes)",TRAINING!AP12:AP5000,"YES")</f>
        <v>0</v>
      </c>
      <c r="AV58" s="326"/>
      <c r="AW58" s="326"/>
      <c r="AX58" s="327"/>
      <c r="AY58" s="412">
        <f>COUNTIFS(TRAINING!B12:B5000,"&gt;=04/01/2020",TRAINING!B12:B5000,"&lt;=06/30/2020",TRAINING!D12:D5000,"Other (Specify in Notes)",TRAINING!AP12:AP5000,"YES")</f>
        <v>0</v>
      </c>
      <c r="AZ58" s="326"/>
      <c r="BA58" s="326"/>
      <c r="BB58" s="327"/>
      <c r="BC58" s="411">
        <f>COUNTIFS(TRAINING!B12:B5000,"&gt;=07/01/2021",TRAINING!B12:B5000,"&lt;=09/30/2021",TRAINING!D12:D5000,"Other (Specify in Notes)",TRAINING!AP12:AP5000,"YES")</f>
        <v>0</v>
      </c>
      <c r="BD58" s="326"/>
      <c r="BE58" s="326"/>
      <c r="BF58" s="327"/>
      <c r="BG58" s="882">
        <f>COUNTIFS(TRAINING!B12:B5000,"&gt;=10/01/2021",TRAINING!B12:B5000,"&lt;=12/31/2021",TRAINING!D12:D5000,"Other (Specify in Notes)",TRAINING!AP12:AP5000,"YES")</f>
        <v>0</v>
      </c>
      <c r="BH58" s="326"/>
      <c r="BI58" s="326"/>
      <c r="BJ58" s="327"/>
      <c r="BK58" s="852">
        <f>COUNTIFS(TRAINING!B12:B5000,"&gt;=01/01/2022",TRAINING!B12:B5000,"&lt;=03/31/2022",TRAINING!D12:D5000,"Other (Specify in Notes)",TRAINING!AP12:AP5000,"YES")</f>
        <v>0</v>
      </c>
      <c r="BL58" s="326"/>
      <c r="BM58" s="326"/>
      <c r="BN58" s="327"/>
      <c r="BO58" s="882">
        <f>COUNTIFS(TRAINING!B12:B5000,"&gt;=04/01/2022",TRAINING!B12:B5000,"&lt;=06/30/2022",TRAINING!D12:D5000,"Other (Specify in Notes)",TRAINING!AP12:AP5000,"YES")</f>
        <v>0</v>
      </c>
      <c r="BP58" s="326"/>
      <c r="BQ58" s="326"/>
      <c r="BR58" s="327"/>
      <c r="BS58" s="852">
        <f>COUNTIFS(TRAINING!B12:B5000,"&gt;=07/01/2022",TRAINING!B12:B5000,"&lt;=09/30/2022",TRAINING!D12:D5000,"Other (Specify in Notes)",TRAINING!AP12:AP5000,"YES")</f>
        <v>0</v>
      </c>
      <c r="BT58" s="326"/>
      <c r="BU58" s="326"/>
      <c r="BV58" s="327"/>
      <c r="BW58" s="162"/>
    </row>
    <row r="59" spans="1:75" ht="15.75" customHeight="1" x14ac:dyDescent="0.25">
      <c r="A59" s="382" t="s">
        <v>676</v>
      </c>
      <c r="B59" s="326"/>
      <c r="C59" s="326"/>
      <c r="D59" s="326"/>
      <c r="E59" s="326"/>
      <c r="F59" s="326"/>
      <c r="G59" s="326"/>
      <c r="H59" s="327"/>
      <c r="I59" s="733">
        <f>'GRANTEE SET UP INFO &amp; DATE '!C14</f>
        <v>0</v>
      </c>
      <c r="J59" s="326"/>
      <c r="K59" s="326"/>
      <c r="L59" s="327"/>
      <c r="M59" s="735">
        <f>'GRANTEE SET UP INFO &amp; DATE '!F14</f>
        <v>0</v>
      </c>
      <c r="N59" s="326"/>
      <c r="O59" s="326"/>
      <c r="P59" s="326"/>
      <c r="Q59" s="327"/>
      <c r="R59" s="735" t="e">
        <f>'GRANTEE SET UP INFO &amp; DATE '!#REF!</f>
        <v>#REF!</v>
      </c>
      <c r="S59" s="326"/>
      <c r="T59" s="326"/>
      <c r="U59" s="326"/>
      <c r="V59" s="327"/>
      <c r="W59" s="904">
        <f>COUNTIFS(TRAINING!B12:B5000,"&gt;=07/01/2000",TRAINING!B12:B5000,"&lt;=09/30/2019",TRAINING!D12:D5000,"Other (Specify in Notes)",TRAINING!AQ12:AQ5000,"YES")</f>
        <v>0</v>
      </c>
      <c r="X59" s="326"/>
      <c r="Y59" s="326"/>
      <c r="Z59" s="327"/>
      <c r="AA59" s="456">
        <f>COUNTIFS(TRAINING!B12:B5000,"&gt;=10/01/2019",TRAINING!B12:B5000,"&lt;=12/31/2019",TRAINING!D12:D5000,"Other (Specify in Notes)",TRAINING!AQ12:AQ5000,"YES")</f>
        <v>0</v>
      </c>
      <c r="AB59" s="326"/>
      <c r="AC59" s="326"/>
      <c r="AD59" s="327"/>
      <c r="AE59" s="746">
        <f>COUNTIFS(TRAINING!B12:B5000,"&gt;=01/01/2020",TRAINING!B12:B5000,"&lt;=03/31/2020",TRAINING!D12:D5000,"Other (Specify in Notes)",TRAINING!AQ12:AQ5000,"YES")</f>
        <v>0</v>
      </c>
      <c r="AF59" s="326"/>
      <c r="AG59" s="326"/>
      <c r="AH59" s="327"/>
      <c r="AI59" s="456">
        <f>COUNTIFS(TRAINING!B12:B5000,"&gt;=04/01/2020",TRAINING!B12:B5000,"&lt;=06/30/2020",TRAINING!D12:D5000,"Other (Specify in Notes)",TRAINING!AQ12:AQ5000,"YES")</f>
        <v>0</v>
      </c>
      <c r="AJ59" s="326"/>
      <c r="AK59" s="326"/>
      <c r="AL59" s="327"/>
      <c r="AM59" s="746">
        <f>COUNTIFS(TRAINING!B12:B5000,"&gt;=07/01/2020",TRAINING!B12:B5000,"&lt;=09/30/2020",TRAINING!D12:D5000,"Other (Specify in Notes)",TRAINING!AQ12:AQ5000,"YES")</f>
        <v>0</v>
      </c>
      <c r="AN59" s="326"/>
      <c r="AO59" s="326"/>
      <c r="AP59" s="327"/>
      <c r="AQ59" s="412">
        <f>COUNTIFS(TRAINING!B12:B5000,"&gt;=10/01/2020",TRAINING!B12:B5000,"&lt;=12/31/2020",TRAINING!D12:D5000,"Other (Specify in Notes)",TRAINING!AQ12:AQ5000,"YES")</f>
        <v>0</v>
      </c>
      <c r="AR59" s="326"/>
      <c r="AS59" s="326"/>
      <c r="AT59" s="327"/>
      <c r="AU59" s="411">
        <f>COUNTIFS(TRAINING!B12:B5000,"&gt;=01/01/2021",TRAINING!B12:B5000,"&lt;=03/31/2021",TRAINING!D12:D5000,"Other (Specify in Notes)",TRAINING!AQ12:AQ5000,"YES")</f>
        <v>0</v>
      </c>
      <c r="AV59" s="326"/>
      <c r="AW59" s="326"/>
      <c r="AX59" s="327"/>
      <c r="AY59" s="412">
        <f>COUNTIFS(TRAINING!B12:B5000,"&gt;=04/01/2020",TRAINING!B12:B5000,"&lt;=06/30/2020",TRAINING!D12:D5000,"Other (Specify in Notes)",TRAINING!AQ12:AQ5000,"YES")</f>
        <v>0</v>
      </c>
      <c r="AZ59" s="326"/>
      <c r="BA59" s="326"/>
      <c r="BB59" s="327"/>
      <c r="BC59" s="411">
        <f>COUNTIFS(TRAINING!B12:B5000,"&gt;=07/01/2021",TRAINING!B12:B5000,"&lt;=09/30/2021",TRAINING!D12:D5000,"Other (Specify in Notes)",TRAINING!AQ12:AQ5000,"YES")</f>
        <v>0</v>
      </c>
      <c r="BD59" s="326"/>
      <c r="BE59" s="326"/>
      <c r="BF59" s="327"/>
      <c r="BG59" s="882">
        <f>COUNTIFS(TRAINING!B12:B5000,"&gt;=10/01/2021",TRAINING!B12:B5000,"&lt;=12/31/2021",TRAINING!D12:D5000,"Other (Specify in Notes)",TRAINING!AQ12:AQ5000,"YES")</f>
        <v>0</v>
      </c>
      <c r="BH59" s="326"/>
      <c r="BI59" s="326"/>
      <c r="BJ59" s="327"/>
      <c r="BK59" s="852">
        <f>COUNTIFS(TRAINING!B12:B5000,"&gt;=01/01/2022",TRAINING!B12:B5000,"&lt;=03/31/2022",TRAINING!D12:D5000,"Other (Specify in Notes)",TRAINING!AQ12:AQ5000,"YES")</f>
        <v>0</v>
      </c>
      <c r="BL59" s="326"/>
      <c r="BM59" s="326"/>
      <c r="BN59" s="327"/>
      <c r="BO59" s="882">
        <f>COUNTIFS(TRAINING!B12:B5000,"&gt;=04/01/2022",TRAINING!B12:B5000,"&lt;=06/30/2022",TRAINING!D12:D5000,"Other (Specify in Notes)",TRAINING!AQ12:AQ5000,"YES")</f>
        <v>0</v>
      </c>
      <c r="BP59" s="326"/>
      <c r="BQ59" s="326"/>
      <c r="BR59" s="327"/>
      <c r="BS59" s="852">
        <f>COUNTIFS(TRAINING!B12:B5000,"&gt;=07/01/2022",TRAINING!B12:B5000,"&lt;=09/30/2022",TRAINING!D12:D5000,"Other (Specify in Notes)",TRAINING!AQ12:AQ5000,"YES")</f>
        <v>0</v>
      </c>
      <c r="BT59" s="326"/>
      <c r="BU59" s="326"/>
      <c r="BV59" s="327"/>
      <c r="BW59" s="162"/>
    </row>
    <row r="60" spans="1:75" ht="15.75" customHeight="1" x14ac:dyDescent="0.25">
      <c r="A60" s="382" t="s">
        <v>677</v>
      </c>
      <c r="B60" s="326"/>
      <c r="C60" s="326"/>
      <c r="D60" s="326"/>
      <c r="E60" s="326"/>
      <c r="F60" s="326"/>
      <c r="G60" s="326"/>
      <c r="H60" s="327"/>
      <c r="I60" s="733">
        <f>'GRANTEE SET UP INFO &amp; DATE '!C15</f>
        <v>0</v>
      </c>
      <c r="J60" s="326"/>
      <c r="K60" s="326"/>
      <c r="L60" s="327"/>
      <c r="M60" s="735">
        <f>'GRANTEE SET UP INFO &amp; DATE '!F15</f>
        <v>0</v>
      </c>
      <c r="N60" s="326"/>
      <c r="O60" s="326"/>
      <c r="P60" s="326"/>
      <c r="Q60" s="327"/>
      <c r="R60" s="735" t="e">
        <f>'GRANTEE SET UP INFO &amp; DATE '!#REF!</f>
        <v>#REF!</v>
      </c>
      <c r="S60" s="326"/>
      <c r="T60" s="326"/>
      <c r="U60" s="326"/>
      <c r="V60" s="327"/>
      <c r="W60" s="904">
        <f>COUNTIFS(TRAINING!B12:B5000,"&gt;=07/01/2000",TRAINING!B12:B5000,"&lt;=09/30/2019",TRAINING!D12:D5000,"Other (Specify in Notes)",TRAINING!AR12:AR5000,"YES")</f>
        <v>0</v>
      </c>
      <c r="X60" s="326"/>
      <c r="Y60" s="326"/>
      <c r="Z60" s="327"/>
      <c r="AA60" s="456">
        <f>COUNTIFS(TRAINING!B12:B5000,"&gt;=10/01/2019",TRAINING!B12:B5000,"&lt;=12/31/2019",TRAINING!D12:D5000,"Other (Specify in Notes)",TRAINING!AR12:AR5000,"YES")</f>
        <v>0</v>
      </c>
      <c r="AB60" s="326"/>
      <c r="AC60" s="326"/>
      <c r="AD60" s="327"/>
      <c r="AE60" s="746">
        <f>COUNTIFS(TRAINING!B12:B5000,"&gt;=01/01/2020",TRAINING!B12:B5000,"&lt;=03/31/2020",TRAINING!D12:D5000,"Other (Specify in Notes)",TRAINING!AR12:AR5000,"YES")</f>
        <v>0</v>
      </c>
      <c r="AF60" s="326"/>
      <c r="AG60" s="326"/>
      <c r="AH60" s="327"/>
      <c r="AI60" s="456">
        <f>COUNTIFS(TRAINING!B12:B5000,"&gt;=04/01/2020",TRAINING!B12:B5000,"&lt;=06/30/2020",TRAINING!D12:D5000,"Other (Specify in Notes)",TRAINING!AR12:AR5000,"YES")</f>
        <v>0</v>
      </c>
      <c r="AJ60" s="326"/>
      <c r="AK60" s="326"/>
      <c r="AL60" s="327"/>
      <c r="AM60" s="746">
        <f>COUNTIFS(TRAINING!B12:B5000,"&gt;=07/01/2020",TRAINING!B12:B5000,"&lt;=09/30/2020",TRAINING!D12:D5000,"Other (Specify in Notes)",TRAINING!AR12:AR5000,"YES")</f>
        <v>0</v>
      </c>
      <c r="AN60" s="326"/>
      <c r="AO60" s="326"/>
      <c r="AP60" s="327"/>
      <c r="AQ60" s="412">
        <f>COUNTIFS(TRAINING!B12:B5000,"&gt;=10/01/2020",TRAINING!B12:B5000,"&lt;=12/31/2020",TRAINING!D12:D5000,"Other (Specify in Notes)",TRAINING!AR12:AR5000,"YES")</f>
        <v>0</v>
      </c>
      <c r="AR60" s="326"/>
      <c r="AS60" s="326"/>
      <c r="AT60" s="327"/>
      <c r="AU60" s="411">
        <f>COUNTIFS(TRAINING!B12:B5000,"&gt;=01/01/2021",TRAINING!B12:B5000,"&lt;=03/31/2021",TRAINING!D12:D5000,"Other (Specify in Notes)",TRAINING!AR12:AR5000,"YES")</f>
        <v>0</v>
      </c>
      <c r="AV60" s="326"/>
      <c r="AW60" s="326"/>
      <c r="AX60" s="327"/>
      <c r="AY60" s="412">
        <f>COUNTIFS(TRAINING!B12:B5000,"&gt;=04/01/2020",TRAINING!B12:B5000,"&lt;=06/30/2020",TRAINING!D12:D5000,"Other (Specify in Notes)",TRAINING!AR12:AR5000,"YES")</f>
        <v>0</v>
      </c>
      <c r="AZ60" s="326"/>
      <c r="BA60" s="326"/>
      <c r="BB60" s="327"/>
      <c r="BC60" s="411">
        <f>COUNTIFS(TRAINING!B12:B5000,"&gt;=07/01/2021",TRAINING!B12:B5000,"&lt;=09/30/2021",TRAINING!D12:D5000,"Other (Specify in Notes)",TRAINING!AR12:AR5000,"YES")</f>
        <v>0</v>
      </c>
      <c r="BD60" s="326"/>
      <c r="BE60" s="326"/>
      <c r="BF60" s="327"/>
      <c r="BG60" s="882">
        <f>COUNTIFS(TRAINING!B12:B5000,"&gt;=10/01/2021",TRAINING!B12:B5000,"&lt;=12/31/2021",TRAINING!D12:D5000,"Other (Specify in Notes)",TRAINING!AR12:AR5000,"YES")</f>
        <v>0</v>
      </c>
      <c r="BH60" s="326"/>
      <c r="BI60" s="326"/>
      <c r="BJ60" s="327"/>
      <c r="BK60" s="852">
        <f>COUNTIFS(TRAINING!B12:B5000,"&gt;=01/01/2022",TRAINING!B12:B5000,"&lt;=03/31/2022",TRAINING!D12:D5000,"Other (Specify in Notes)",TRAINING!AR12:AR5000,"YES")</f>
        <v>0</v>
      </c>
      <c r="BL60" s="326"/>
      <c r="BM60" s="326"/>
      <c r="BN60" s="327"/>
      <c r="BO60" s="882">
        <f>COUNTIFS(TRAINING!B12:B5000,"&gt;=04/01/2022",TRAINING!B12:B5000,"&lt;=06/30/2022",TRAINING!D12:D5000,"Other (Specify in Notes)",TRAINING!AR12:AR5000,"YES")</f>
        <v>0</v>
      </c>
      <c r="BP60" s="326"/>
      <c r="BQ60" s="326"/>
      <c r="BR60" s="327"/>
      <c r="BS60" s="852">
        <f>COUNTIFS(TRAINING!B12:B5000,"&gt;=07/01/2022",TRAINING!B12:B5000,"&lt;=09/30/2022",TRAINING!D12:D5000,"Other (Specify in Notes)",TRAINING!AR12:AR5000,"YES")</f>
        <v>0</v>
      </c>
      <c r="BT60" s="326"/>
      <c r="BU60" s="326"/>
      <c r="BV60" s="327"/>
      <c r="BW60" s="162"/>
    </row>
    <row r="61" spans="1:75" ht="15.75" customHeight="1" x14ac:dyDescent="0.25">
      <c r="A61" s="382" t="s">
        <v>678</v>
      </c>
      <c r="B61" s="326"/>
      <c r="C61" s="326"/>
      <c r="D61" s="326"/>
      <c r="E61" s="326"/>
      <c r="F61" s="326"/>
      <c r="G61" s="326"/>
      <c r="H61" s="327"/>
      <c r="I61" s="733">
        <f>'GRANTEE SET UP INFO &amp; DATE '!C16</f>
        <v>0</v>
      </c>
      <c r="J61" s="326"/>
      <c r="K61" s="326"/>
      <c r="L61" s="327"/>
      <c r="M61" s="735">
        <f>'GRANTEE SET UP INFO &amp; DATE '!F16</f>
        <v>0</v>
      </c>
      <c r="N61" s="326"/>
      <c r="O61" s="326"/>
      <c r="P61" s="326"/>
      <c r="Q61" s="327"/>
      <c r="R61" s="735" t="e">
        <f>'GRANTEE SET UP INFO &amp; DATE '!#REF!</f>
        <v>#REF!</v>
      </c>
      <c r="S61" s="326"/>
      <c r="T61" s="326"/>
      <c r="U61" s="326"/>
      <c r="V61" s="327"/>
      <c r="W61" s="904">
        <f>COUNTIFS(TRAINING!B12:B5000,"&gt;=07/01/2000",TRAINING!B12:B5000,"&lt;=09/30/2019",TRAINING!D12:D5000,"Other (Specify in Notes)",TRAINING!AS12:AS5000,"YES")</f>
        <v>0</v>
      </c>
      <c r="X61" s="326"/>
      <c r="Y61" s="326"/>
      <c r="Z61" s="327"/>
      <c r="AA61" s="456">
        <f>COUNTIFS(TRAINING!B12:B5000,"&gt;=10/01/2019",TRAINING!B12:B5000,"&lt;=12/31/2019",TRAINING!D12:D5000,"Other (Specify in Notes)",TRAINING!AS12:AS5000,"YES")</f>
        <v>0</v>
      </c>
      <c r="AB61" s="326"/>
      <c r="AC61" s="326"/>
      <c r="AD61" s="327"/>
      <c r="AE61" s="746">
        <f>COUNTIFS(TRAINING!B12:B5000,"&gt;=01/01/2020",TRAINING!B12:B5000,"&lt;=03/31/2020",TRAINING!D12:D5000,"Other (Specify in Notes)",TRAINING!AS12:AS5000,"YES")</f>
        <v>0</v>
      </c>
      <c r="AF61" s="326"/>
      <c r="AG61" s="326"/>
      <c r="AH61" s="327"/>
      <c r="AI61" s="456">
        <f>COUNTIFS(TRAINING!B12:B5000,"&gt;=04/01/2020",TRAINING!B12:B5000,"&lt;=06/30/2020",TRAINING!D12:D5000,"Other (Specify in Notes)",TRAINING!AS12:AS5000,"YES")</f>
        <v>0</v>
      </c>
      <c r="AJ61" s="326"/>
      <c r="AK61" s="326"/>
      <c r="AL61" s="327"/>
      <c r="AM61" s="746">
        <f>COUNTIFS(TRAINING!B12:B5000,"&gt;=07/01/2020",TRAINING!B12:B5000,"&lt;=09/30/2020",TRAINING!D12:D5000,"Other (Specify in Notes)",TRAINING!AS12:AS5000,"YES")</f>
        <v>0</v>
      </c>
      <c r="AN61" s="326"/>
      <c r="AO61" s="326"/>
      <c r="AP61" s="327"/>
      <c r="AQ61" s="412">
        <f>COUNTIFS(TRAINING!B12:B5000,"&gt;=10/01/2020",TRAINING!B12:B5000,"&lt;=12/31/2020",TRAINING!D12:D5000,"Other (Specify in Notes)",TRAINING!AS12:AS5000,"YES")</f>
        <v>0</v>
      </c>
      <c r="AR61" s="326"/>
      <c r="AS61" s="326"/>
      <c r="AT61" s="327"/>
      <c r="AU61" s="411">
        <f>COUNTIFS(TRAINING!B12:B5000,"&gt;=01/01/2021",TRAINING!B12:B5000,"&lt;=03/31/2021",TRAINING!D12:D5000,"Other (Specify in Notes)",TRAINING!AS12:AS5000,"YES")</f>
        <v>0</v>
      </c>
      <c r="AV61" s="326"/>
      <c r="AW61" s="326"/>
      <c r="AX61" s="327"/>
      <c r="AY61" s="412">
        <f>COUNTIFS(TRAINING!B12:B5000,"&gt;=04/01/2020",TRAINING!B12:B5000,"&lt;=06/30/2020",TRAINING!D12:D5000,"Other (Specify in Notes)",TRAINING!AS12:AS5000,"YES")</f>
        <v>0</v>
      </c>
      <c r="AZ61" s="326"/>
      <c r="BA61" s="326"/>
      <c r="BB61" s="327"/>
      <c r="BC61" s="411">
        <f>COUNTIFS(TRAINING!B12:B5000,"&gt;=07/01/2021",TRAINING!B12:B5000,"&lt;=09/30/2021",TRAINING!D12:D5000,"Other (Specify in Notes)",TRAINING!AS12:AS5000,"YES")</f>
        <v>0</v>
      </c>
      <c r="BD61" s="326"/>
      <c r="BE61" s="326"/>
      <c r="BF61" s="327"/>
      <c r="BG61" s="882">
        <f>COUNTIFS(TRAINING!B12:B5000,"&gt;=10/01/2021",TRAINING!B12:B5000,"&lt;=12/31/2021",TRAINING!D12:D5000,"Other (Specify in Notes)",TRAINING!AS12:AS5000,"YES")</f>
        <v>0</v>
      </c>
      <c r="BH61" s="326"/>
      <c r="BI61" s="326"/>
      <c r="BJ61" s="327"/>
      <c r="BK61" s="852">
        <f>COUNTIFS(TRAINING!B12:B5000,"&gt;=01/01/2022",TRAINING!B12:B5000,"&lt;=03/31/2022",TRAINING!D12:D5000,"Other (Specify in Notes)",TRAINING!AS12:AS5000,"YES")</f>
        <v>0</v>
      </c>
      <c r="BL61" s="326"/>
      <c r="BM61" s="326"/>
      <c r="BN61" s="327"/>
      <c r="BO61" s="882">
        <f>COUNTIFS(TRAINING!B12:B5000,"&gt;=04/01/2022",TRAINING!B12:B5000,"&lt;=06/30/2022",TRAINING!D12:D5000,"Other (Specify in Notes)",TRAINING!AS12:AS5000,"YES")</f>
        <v>0</v>
      </c>
      <c r="BP61" s="326"/>
      <c r="BQ61" s="326"/>
      <c r="BR61" s="327"/>
      <c r="BS61" s="852">
        <f>COUNTIFS(TRAINING!B12:B5000,"&gt;=07/01/2022",TRAINING!B12:B5000,"&lt;=09/30/2022",TRAINING!D12:D5000,"Other (Specify in Notes)",TRAINING!AS12:AS5000,"YES")</f>
        <v>0</v>
      </c>
      <c r="BT61" s="326"/>
      <c r="BU61" s="326"/>
      <c r="BV61" s="327"/>
      <c r="BW61" s="162"/>
    </row>
    <row r="62" spans="1:75" ht="15.75" customHeight="1" x14ac:dyDescent="0.25">
      <c r="A62" s="382" t="s">
        <v>679</v>
      </c>
      <c r="B62" s="326"/>
      <c r="C62" s="326"/>
      <c r="D62" s="326"/>
      <c r="E62" s="326"/>
      <c r="F62" s="326"/>
      <c r="G62" s="326"/>
      <c r="H62" s="327"/>
      <c r="I62" s="733">
        <f>'GRANTEE SET UP INFO &amp; DATE '!C17</f>
        <v>0</v>
      </c>
      <c r="J62" s="326"/>
      <c r="K62" s="326"/>
      <c r="L62" s="327"/>
      <c r="M62" s="735">
        <f>'GRANTEE SET UP INFO &amp; DATE '!F17</f>
        <v>0</v>
      </c>
      <c r="N62" s="326"/>
      <c r="O62" s="326"/>
      <c r="P62" s="326"/>
      <c r="Q62" s="327"/>
      <c r="R62" s="735" t="e">
        <f>'GRANTEE SET UP INFO &amp; DATE '!#REF!</f>
        <v>#REF!</v>
      </c>
      <c r="S62" s="326"/>
      <c r="T62" s="326"/>
      <c r="U62" s="326"/>
      <c r="V62" s="327"/>
      <c r="W62" s="904">
        <f>COUNTIFS(TRAINING!B12:B5000,"&gt;=07/01/2000",TRAINING!B12:B5000,"&lt;=09/30/2019",TRAINING!D12:D5000,"Other (Specify in Notes)",TRAINING!AT12:AT5000,"YES")</f>
        <v>0</v>
      </c>
      <c r="X62" s="326"/>
      <c r="Y62" s="326"/>
      <c r="Z62" s="327"/>
      <c r="AA62" s="456">
        <f>COUNTIFS(TRAINING!B12:B5000,"&gt;=10/01/2019",TRAINING!B12:B5000,"&lt;=12/31/2019",TRAINING!D12:D5000,"Other (Specify in Notes)",TRAINING!AT12:AT5000,"YES")</f>
        <v>0</v>
      </c>
      <c r="AB62" s="326"/>
      <c r="AC62" s="326"/>
      <c r="AD62" s="327"/>
      <c r="AE62" s="746">
        <f>COUNTIFS(TRAINING!B12:B5000,"&gt;=01/01/2020",TRAINING!B12:B5000,"&lt;=03/31/2020",TRAINING!D12:D5000,"Other (Specify in Notes)",TRAINING!AT12:AT5000,"YES")</f>
        <v>0</v>
      </c>
      <c r="AF62" s="326"/>
      <c r="AG62" s="326"/>
      <c r="AH62" s="327"/>
      <c r="AI62" s="456">
        <f>COUNTIFS(TRAINING!B12:B5000,"&gt;=04/01/2020",TRAINING!B12:B5000,"&lt;=06/30/2020",TRAINING!D12:D5000,"Other (Specify in Notes)",TRAINING!AT12:AT5000,"YES")</f>
        <v>0</v>
      </c>
      <c r="AJ62" s="326"/>
      <c r="AK62" s="326"/>
      <c r="AL62" s="327"/>
      <c r="AM62" s="746">
        <f>COUNTIFS(TRAINING!B12:B5000,"&gt;=07/01/2020",TRAINING!B12:B5000,"&lt;=09/30/2020",TRAINING!D12:D5000,"Other (Specify in Notes)",TRAINING!AT12:AT5000,"YES")</f>
        <v>0</v>
      </c>
      <c r="AN62" s="326"/>
      <c r="AO62" s="326"/>
      <c r="AP62" s="327"/>
      <c r="AQ62" s="412">
        <f>COUNTIFS(TRAINING!B12:B5000,"&gt;=10/01/2020",TRAINING!B12:B5000,"&lt;=12/31/2020",TRAINING!D12:D5000,"Other (Specify in Notes)",TRAINING!AT12:AT5000,"YES")</f>
        <v>0</v>
      </c>
      <c r="AR62" s="326"/>
      <c r="AS62" s="326"/>
      <c r="AT62" s="327"/>
      <c r="AU62" s="411">
        <f>COUNTIFS(TRAINING!B12:B5000,"&gt;=01/01/2021",TRAINING!B12:B5000,"&lt;=03/31/2021",TRAINING!D12:D5000,"Other (Specify in Notes)",TRAINING!AT12:AT5000,"YES")</f>
        <v>0</v>
      </c>
      <c r="AV62" s="326"/>
      <c r="AW62" s="326"/>
      <c r="AX62" s="327"/>
      <c r="AY62" s="412">
        <f>COUNTIFS(TRAINING!B12:B5000,"&gt;=04/01/2020",TRAINING!B12:B5000,"&lt;=06/30/2020",TRAINING!D12:D5000,"Other (Specify in Notes)",TRAINING!AT12:AT5000,"YES")</f>
        <v>0</v>
      </c>
      <c r="AZ62" s="326"/>
      <c r="BA62" s="326"/>
      <c r="BB62" s="327"/>
      <c r="BC62" s="411">
        <f>COUNTIFS(TRAINING!B12:B5000,"&gt;=07/01/2021",TRAINING!B12:B5000,"&lt;=09/30/2021",TRAINING!D12:D5000,"Other (Specify in Notes)",TRAINING!AT12:AT5000,"YES")</f>
        <v>0</v>
      </c>
      <c r="BD62" s="326"/>
      <c r="BE62" s="326"/>
      <c r="BF62" s="327"/>
      <c r="BG62" s="882">
        <f>COUNTIFS(TRAINING!B12:B5000,"&gt;=10/01/2021",TRAINING!B12:B5000,"&lt;=12/31/2021",TRAINING!D12:D5000,"Other (Specify in Notes)",TRAINING!AT12:AT5000,"YES")</f>
        <v>0</v>
      </c>
      <c r="BH62" s="326"/>
      <c r="BI62" s="326"/>
      <c r="BJ62" s="327"/>
      <c r="BK62" s="852">
        <f>COUNTIFS(TRAINING!B12:B5000,"&gt;=01/01/2022",TRAINING!B12:B5000,"&lt;=03/31/2022",TRAINING!D12:D5000,"Other (Specify in Notes)",TRAINING!AT12:AT5000,"YES")</f>
        <v>0</v>
      </c>
      <c r="BL62" s="326"/>
      <c r="BM62" s="326"/>
      <c r="BN62" s="327"/>
      <c r="BO62" s="882">
        <f>COUNTIFS(TRAINING!B12:B5000,"&gt;=04/01/2022",TRAINING!B12:B5000,"&lt;=06/30/2022",TRAINING!D12:D5000,"Other (Specify in Notes)",TRAINING!AT12:AT5000,"YES")</f>
        <v>0</v>
      </c>
      <c r="BP62" s="326"/>
      <c r="BQ62" s="326"/>
      <c r="BR62" s="327"/>
      <c r="BS62" s="852">
        <f>COUNTIFS(TRAINING!B12:B5000,"&gt;=07/01/2022",TRAINING!B12:B5000,"&lt;=09/30/2022",TRAINING!D12:D5000,"Other (Specify in Notes)",TRAINING!AT12:AT5000,"YES")</f>
        <v>0</v>
      </c>
      <c r="BT62" s="326"/>
      <c r="BU62" s="326"/>
      <c r="BV62" s="327"/>
      <c r="BW62" s="162"/>
    </row>
    <row r="63" spans="1:75" ht="15.75" customHeight="1" x14ac:dyDescent="0.25">
      <c r="A63" s="382" t="s">
        <v>680</v>
      </c>
      <c r="B63" s="326"/>
      <c r="C63" s="326"/>
      <c r="D63" s="326"/>
      <c r="E63" s="326"/>
      <c r="F63" s="326"/>
      <c r="G63" s="326"/>
      <c r="H63" s="327"/>
      <c r="I63" s="733">
        <f>'GRANTEE SET UP INFO &amp; DATE '!C18</f>
        <v>0</v>
      </c>
      <c r="J63" s="326"/>
      <c r="K63" s="326"/>
      <c r="L63" s="327"/>
      <c r="M63" s="735">
        <f>'GRANTEE SET UP INFO &amp; DATE '!F18</f>
        <v>0</v>
      </c>
      <c r="N63" s="326"/>
      <c r="O63" s="326"/>
      <c r="P63" s="326"/>
      <c r="Q63" s="327"/>
      <c r="R63" s="735" t="e">
        <f>'GRANTEE SET UP INFO &amp; DATE '!#REF!</f>
        <v>#REF!</v>
      </c>
      <c r="S63" s="326"/>
      <c r="T63" s="326"/>
      <c r="U63" s="326"/>
      <c r="V63" s="327"/>
      <c r="W63" s="904">
        <f>COUNTIFS(TRAINING!B12:B5000,"&gt;=07/01/2000",TRAINING!B12:B5000,"&lt;=09/30/2019",TRAINING!D12:D5000,"Other (Specify in Notes)",TRAINING!AU12:AU5000,"YES")</f>
        <v>0</v>
      </c>
      <c r="X63" s="326"/>
      <c r="Y63" s="326"/>
      <c r="Z63" s="327"/>
      <c r="AA63" s="456">
        <f>COUNTIFS(TRAINING!B12:B5000,"&gt;=10/01/2019",TRAINING!B12:B5000,"&lt;=12/31/2019",TRAINING!D12:D5000,"Other (Specify in Notes)",TRAINING!AU12:AU5000,"YES")</f>
        <v>0</v>
      </c>
      <c r="AB63" s="326"/>
      <c r="AC63" s="326"/>
      <c r="AD63" s="327"/>
      <c r="AE63" s="746">
        <f>COUNTIFS(TRAINING!B12:B5000,"&gt;=01/01/2020",TRAINING!B12:B5000,"&lt;=03/31/2020",TRAINING!D12:D5000,"Other (Specify in Notes)",TRAINING!AU12:AU5000,"YES")</f>
        <v>0</v>
      </c>
      <c r="AF63" s="326"/>
      <c r="AG63" s="326"/>
      <c r="AH63" s="327"/>
      <c r="AI63" s="456">
        <f>COUNTIFS(TRAINING!B12:B5000,"&gt;=04/01/2020",TRAINING!B12:B5000,"&lt;=06/30/2020",TRAINING!D12:D5000,"Other (Specify in Notes)",TRAINING!AU12:AU5000,"YES")</f>
        <v>0</v>
      </c>
      <c r="AJ63" s="326"/>
      <c r="AK63" s="326"/>
      <c r="AL63" s="327"/>
      <c r="AM63" s="746">
        <f>COUNTIFS(TRAINING!B12:B5000,"&gt;=07/01/2020",TRAINING!B12:B5000,"&lt;=09/30/2020",TRAINING!D12:D5000,"Other (Specify in Notes)",TRAINING!AU12:AU5000,"YES")</f>
        <v>0</v>
      </c>
      <c r="AN63" s="326"/>
      <c r="AO63" s="326"/>
      <c r="AP63" s="327"/>
      <c r="AQ63" s="412">
        <f>COUNTIFS(TRAINING!B12:B5000,"&gt;=10/01/2020",TRAINING!B12:B5000,"&lt;=12/31/2020",TRAINING!D12:D5000,"Other (Specify in Notes)",TRAINING!AU12:AU5000,"YES")</f>
        <v>0</v>
      </c>
      <c r="AR63" s="326"/>
      <c r="AS63" s="326"/>
      <c r="AT63" s="327"/>
      <c r="AU63" s="411">
        <f>COUNTIFS(TRAINING!B12:B5000,"&gt;=01/01/2021",TRAINING!B12:B5000,"&lt;=03/31/2021",TRAINING!D12:D5000,"Other (Specify in Notes)",TRAINING!AU12:AU5000,"YES")</f>
        <v>0</v>
      </c>
      <c r="AV63" s="326"/>
      <c r="AW63" s="326"/>
      <c r="AX63" s="327"/>
      <c r="AY63" s="412">
        <f>COUNTIFS(TRAINING!B12:B5000,"&gt;=04/01/2020",TRAINING!B12:B5000,"&lt;=06/30/2020",TRAINING!D12:D5000,"Other (Specify in Notes)",TRAINING!AU12:AU5000,"YES")</f>
        <v>0</v>
      </c>
      <c r="AZ63" s="326"/>
      <c r="BA63" s="326"/>
      <c r="BB63" s="327"/>
      <c r="BC63" s="411">
        <f>COUNTIFS(TRAINING!B12:B5000,"&gt;=07/01/2021",TRAINING!B12:B5000,"&lt;=09/30/2021",TRAINING!D12:D5000,"Other (Specify in Notes)",TRAINING!AU12:AU5000,"YES")</f>
        <v>0</v>
      </c>
      <c r="BD63" s="326"/>
      <c r="BE63" s="326"/>
      <c r="BF63" s="327"/>
      <c r="BG63" s="882">
        <f>COUNTIFS(TRAINING!B12:B5000,"&gt;=10/01/2021",TRAINING!B12:B5000,"&lt;=12/31/2021",TRAINING!D12:D5000,"Other (Specify in Notes)",TRAINING!AU12:AU5000,"YES")</f>
        <v>0</v>
      </c>
      <c r="BH63" s="326"/>
      <c r="BI63" s="326"/>
      <c r="BJ63" s="327"/>
      <c r="BK63" s="852">
        <f>COUNTIFS(TRAINING!B12:B5000,"&gt;=01/01/2022",TRAINING!B12:B5000,"&lt;=03/31/2022",TRAINING!D12:D5000,"Other (Specify in Notes)",TRAINING!AU12:AU5000,"YES")</f>
        <v>0</v>
      </c>
      <c r="BL63" s="326"/>
      <c r="BM63" s="326"/>
      <c r="BN63" s="327"/>
      <c r="BO63" s="882">
        <f>COUNTIFS(TRAINING!B12:B5000,"&gt;=04/01/2022",TRAINING!B12:B5000,"&lt;=06/30/2022",TRAINING!D12:D5000,"Other (Specify in Notes)",TRAINING!AU12:AU5000,"YES")</f>
        <v>0</v>
      </c>
      <c r="BP63" s="326"/>
      <c r="BQ63" s="326"/>
      <c r="BR63" s="327"/>
      <c r="BS63" s="852">
        <f>COUNTIFS(TRAINING!B12:B5000,"&gt;=07/01/2022",TRAINING!B12:B5000,"&lt;=09/30/2022",TRAINING!D12:D5000,"Other (Specify in Notes)",TRAINING!AU12:AU5000,"YES")</f>
        <v>0</v>
      </c>
      <c r="BT63" s="326"/>
      <c r="BU63" s="326"/>
      <c r="BV63" s="327"/>
      <c r="BW63" s="162"/>
    </row>
    <row r="64" spans="1:75" ht="15.75" customHeight="1" x14ac:dyDescent="0.25">
      <c r="A64" s="382" t="s">
        <v>681</v>
      </c>
      <c r="B64" s="326"/>
      <c r="C64" s="326"/>
      <c r="D64" s="326"/>
      <c r="E64" s="326"/>
      <c r="F64" s="326"/>
      <c r="G64" s="326"/>
      <c r="H64" s="327"/>
      <c r="I64" s="733" t="e">
        <f>'GRANTEE SET UP INFO &amp; DATE '!#REF!</f>
        <v>#REF!</v>
      </c>
      <c r="J64" s="326"/>
      <c r="K64" s="326"/>
      <c r="L64" s="327"/>
      <c r="M64" s="912" t="e">
        <f>'GRANTEE SET UP INFO &amp; DATE '!#REF!</f>
        <v>#REF!</v>
      </c>
      <c r="N64" s="326"/>
      <c r="O64" s="326"/>
      <c r="P64" s="326"/>
      <c r="Q64" s="327"/>
      <c r="R64" s="912" t="e">
        <f>'GRANTEE SET UP INFO &amp; DATE '!#REF!</f>
        <v>#REF!</v>
      </c>
      <c r="S64" s="326"/>
      <c r="T64" s="326"/>
      <c r="U64" s="326"/>
      <c r="V64" s="327"/>
      <c r="W64" s="904">
        <f>COUNTIFS(TRAINING!B12:B5000,"&gt;=07/01/2000",TRAINING!B12:B5000,"&lt;=09/30/2019",TRAINING!D12:D5000,"Other (Specify in Notes)",TRAINING!AV12:AV5000,"YES")</f>
        <v>0</v>
      </c>
      <c r="X64" s="326"/>
      <c r="Y64" s="326"/>
      <c r="Z64" s="327"/>
      <c r="AA64" s="456">
        <f>COUNTIFS(TRAINING!B12:B5000,"&gt;=10/01/2019",TRAINING!B12:B5000,"&lt;=12/31/2019",TRAINING!D12:D5000,"Other (Specify in Notes)",TRAINING!AV12:AV5000,"YES")</f>
        <v>0</v>
      </c>
      <c r="AB64" s="326"/>
      <c r="AC64" s="326"/>
      <c r="AD64" s="327"/>
      <c r="AE64" s="746">
        <f>COUNTIFS(TRAINING!B12:B5000,"&gt;=01/01/2020",TRAINING!B12:B5000,"&lt;=03/31/2020",TRAINING!D12:D5000,"Other (Specify in Notes)",TRAINING!AV12:AV5000,"YES")</f>
        <v>0</v>
      </c>
      <c r="AF64" s="326"/>
      <c r="AG64" s="326"/>
      <c r="AH64" s="327"/>
      <c r="AI64" s="456">
        <f>COUNTIFS(TRAINING!B12:B5000,"&gt;=04/01/2020",TRAINING!B12:B5000,"&lt;=06/30/2020",TRAINING!D12:D5000,"Other (Specify in Notes)",TRAINING!AV12:AV5000,"YES")</f>
        <v>0</v>
      </c>
      <c r="AJ64" s="326"/>
      <c r="AK64" s="326"/>
      <c r="AL64" s="327"/>
      <c r="AM64" s="746">
        <f>COUNTIFS(TRAINING!B12:B5000,"&gt;=07/01/2020",TRAINING!B12:B5000,"&lt;=09/30/2020",TRAINING!D12:D5000,"Other (Specify in Notes)",TRAINING!AV12:AV5000,"YES")</f>
        <v>0</v>
      </c>
      <c r="AN64" s="326"/>
      <c r="AO64" s="326"/>
      <c r="AP64" s="327"/>
      <c r="AQ64" s="412">
        <f>COUNTIFS(TRAINING!B12:B5000,"&gt;=10/01/2020",TRAINING!B12:B5000,"&lt;=12/31/2020",TRAINING!D12:D5000,"Other (Specify in Notes)",TRAINING!AV12:AV5000,"YES")</f>
        <v>0</v>
      </c>
      <c r="AR64" s="326"/>
      <c r="AS64" s="326"/>
      <c r="AT64" s="327"/>
      <c r="AU64" s="411">
        <f>COUNTIFS(TRAINING!B12:B5000,"&gt;=01/01/2021",TRAINING!B12:B5000,"&lt;=03/31/2021",TRAINING!D12:D5000,"Other (Specify in Notes)",TRAINING!AV12:AV5000,"YES")</f>
        <v>0</v>
      </c>
      <c r="AV64" s="326"/>
      <c r="AW64" s="326"/>
      <c r="AX64" s="327"/>
      <c r="AY64" s="412">
        <f>COUNTIFS(TRAINING!B12:B5000,"&gt;=04/01/2020",TRAINING!B12:B5000,"&lt;=06/30/2020",TRAINING!D12:D5000,"Other (Specify in Notes)",TRAINING!AV12:AV5000,"YES")</f>
        <v>0</v>
      </c>
      <c r="AZ64" s="326"/>
      <c r="BA64" s="326"/>
      <c r="BB64" s="327"/>
      <c r="BC64" s="411">
        <f>COUNTIFS(TRAINING!B12:B5000,"&gt;=07/01/2021",TRAINING!B12:B5000,"&lt;=09/30/2021",TRAINING!D12:D5000,"Other (Specify in Notes)",TRAINING!AV12:AV5000,"YES")</f>
        <v>0</v>
      </c>
      <c r="BD64" s="326"/>
      <c r="BE64" s="326"/>
      <c r="BF64" s="327"/>
      <c r="BG64" s="882">
        <f>COUNTIFS(TRAINING!B12:B5000,"&gt;=10/01/2021",TRAINING!B12:B5000,"&lt;=12/31/2021",TRAINING!D12:D5000,"Other (Specify in Notes)",TRAINING!AV12:AV5000,"YES")</f>
        <v>0</v>
      </c>
      <c r="BH64" s="326"/>
      <c r="BI64" s="326"/>
      <c r="BJ64" s="327"/>
      <c r="BK64" s="852">
        <f>COUNTIFS(TRAINING!B12:B5000,"&gt;=01/01/2022",TRAINING!B12:B5000,"&lt;=03/31/2022",TRAINING!D12:D5000,"Other (Specify in Notes)",TRAINING!AV12:AV5000,"YES")</f>
        <v>0</v>
      </c>
      <c r="BL64" s="326"/>
      <c r="BM64" s="326"/>
      <c r="BN64" s="327"/>
      <c r="BO64" s="882">
        <f>COUNTIFS(TRAINING!B12:B5000,"&gt;=04/01/2022",TRAINING!B12:B5000,"&lt;=06/30/2022",TRAINING!D12:D5000,"Other (Specify in Notes)",TRAINING!AV12:AV5000,"YES")</f>
        <v>0</v>
      </c>
      <c r="BP64" s="326"/>
      <c r="BQ64" s="326"/>
      <c r="BR64" s="327"/>
      <c r="BS64" s="852">
        <f>COUNTIFS(TRAINING!B12:B5000,"&gt;=07/01/2022",TRAINING!B12:B5000,"&lt;=09/30/2022",TRAINING!D12:D5000,"Other (Specify in Notes)",TRAINING!AV12:AV5000,"YES")</f>
        <v>0</v>
      </c>
      <c r="BT64" s="326"/>
      <c r="BU64" s="326"/>
      <c r="BV64" s="327"/>
      <c r="BW64" s="162"/>
    </row>
    <row r="65" spans="1:75" ht="15.75" customHeight="1" x14ac:dyDescent="0.25">
      <c r="A65" s="382" t="s">
        <v>682</v>
      </c>
      <c r="B65" s="326"/>
      <c r="C65" s="326"/>
      <c r="D65" s="326"/>
      <c r="E65" s="326"/>
      <c r="F65" s="326"/>
      <c r="G65" s="326"/>
      <c r="H65" s="327"/>
      <c r="I65" s="733" t="e">
        <f>'GRANTEE SET UP INFO &amp; DATE '!#REF!</f>
        <v>#REF!</v>
      </c>
      <c r="J65" s="326"/>
      <c r="K65" s="326"/>
      <c r="L65" s="327"/>
      <c r="M65" s="734" t="e">
        <f>'GRANTEE SET UP INFO &amp; DATE '!#REF!</f>
        <v>#REF!</v>
      </c>
      <c r="N65" s="326"/>
      <c r="O65" s="326"/>
      <c r="P65" s="326"/>
      <c r="Q65" s="327"/>
      <c r="R65" s="734" t="e">
        <f>'GRANTEE SET UP INFO &amp; DATE '!#REF!</f>
        <v>#REF!</v>
      </c>
      <c r="S65" s="326"/>
      <c r="T65" s="326"/>
      <c r="U65" s="326"/>
      <c r="V65" s="327"/>
      <c r="W65" s="904">
        <f>COUNTIFS(TRAINING!B12:B5000,"&gt;=07/01/2000",TRAINING!B12:B5000,"&lt;=09/30/2019",TRAINING!D12:D5000,"Other (Specify in Notes)",TRAINING!AW12:AW5000,"YES")</f>
        <v>0</v>
      </c>
      <c r="X65" s="326"/>
      <c r="Y65" s="326"/>
      <c r="Z65" s="327"/>
      <c r="AA65" s="456">
        <f>COUNTIFS(TRAINING!B12:B5000,"&gt;=10/01/2019",TRAINING!B12:B5000,"&lt;=12/31/2019",TRAINING!D12:D5000,"Other (Specify in Notes)",TRAINING!AW12:AW5000,"YES")</f>
        <v>0</v>
      </c>
      <c r="AB65" s="326"/>
      <c r="AC65" s="326"/>
      <c r="AD65" s="327"/>
      <c r="AE65" s="746">
        <f>COUNTIFS(TRAINING!B12:B5000,"&gt;=01/01/2020",TRAINING!B12:B5000,"&lt;=03/31/2020",TRAINING!D12:D5000,"Other (Specify in Notes)",TRAINING!AW12:AW5000,"YES")</f>
        <v>0</v>
      </c>
      <c r="AF65" s="326"/>
      <c r="AG65" s="326"/>
      <c r="AH65" s="327"/>
      <c r="AI65" s="456">
        <f>COUNTIFS(TRAINING!B12:B5000,"&gt;=04/01/2020",TRAINING!B12:B5000,"&lt;=06/30/2020",TRAINING!D12:D5000,"Other (Specify in Notes)",TRAINING!AW12:AW5000,"YES")</f>
        <v>0</v>
      </c>
      <c r="AJ65" s="326"/>
      <c r="AK65" s="326"/>
      <c r="AL65" s="327"/>
      <c r="AM65" s="746">
        <f>COUNTIFS(TRAINING!B12:B5000,"&gt;=07/01/2020",TRAINING!B12:B5000,"&lt;=09/30/2020",TRAINING!D12:D5000,"Other (Specify in Notes)",TRAINING!AW12:AW5000,"YES")</f>
        <v>0</v>
      </c>
      <c r="AN65" s="326"/>
      <c r="AO65" s="326"/>
      <c r="AP65" s="327"/>
      <c r="AQ65" s="412">
        <f>COUNTIFS(TRAINING!B12:B5000,"&gt;=10/01/2020",TRAINING!B12:B5000,"&lt;=12/31/2020",TRAINING!D12:D5000,"Other (Specify in Notes)",TRAINING!AW12:AW5000,"YES")</f>
        <v>0</v>
      </c>
      <c r="AR65" s="326"/>
      <c r="AS65" s="326"/>
      <c r="AT65" s="327"/>
      <c r="AU65" s="411">
        <f>COUNTIFS(TRAINING!B12:B5000,"&gt;=01/01/2021",TRAINING!B12:B5000,"&lt;=03/31/2021",TRAINING!D12:D5000,"Other (Specify in Notes)",TRAINING!AW12:AW5000,"YES")</f>
        <v>0</v>
      </c>
      <c r="AV65" s="326"/>
      <c r="AW65" s="326"/>
      <c r="AX65" s="327"/>
      <c r="AY65" s="412">
        <f>COUNTIFS(TRAINING!B12:B5000,"&gt;=04/01/2020",TRAINING!B12:B5000,"&lt;=06/30/2020",TRAINING!D12:D5000,"Other (Specify in Notes)",TRAINING!AW12:AW5000,"YES")</f>
        <v>0</v>
      </c>
      <c r="AZ65" s="326"/>
      <c r="BA65" s="326"/>
      <c r="BB65" s="327"/>
      <c r="BC65" s="411">
        <f>COUNTIFS(TRAINING!B12:B5000,"&gt;=07/01/2021",TRAINING!B12:B5000,"&lt;=09/30/2021",TRAINING!D12:D5000,"Other (Specify in Notes)",TRAINING!AW12:AW5000,"YES")</f>
        <v>0</v>
      </c>
      <c r="BD65" s="326"/>
      <c r="BE65" s="326"/>
      <c r="BF65" s="327"/>
      <c r="BG65" s="882">
        <f>COUNTIFS(TRAINING!B12:B5000,"&gt;=10/01/2021",TRAINING!B12:B5000,"&lt;=12/31/2021",TRAINING!D12:D5000,"Other (Specify in Notes)",TRAINING!AW12:AW5000,"YES")</f>
        <v>0</v>
      </c>
      <c r="BH65" s="326"/>
      <c r="BI65" s="326"/>
      <c r="BJ65" s="327"/>
      <c r="BK65" s="852">
        <f>COUNTIFS(TRAINING!B12:B5000,"&gt;=01/01/2022",TRAINING!B12:B5000,"&lt;=03/31/2022",TRAINING!D12:D5000,"Other (Specify in Notes)",TRAINING!AW12:AW5000,"YES")</f>
        <v>0</v>
      </c>
      <c r="BL65" s="326"/>
      <c r="BM65" s="326"/>
      <c r="BN65" s="327"/>
      <c r="BO65" s="882">
        <f>COUNTIFS(TRAINING!B12:B5000,"&gt;=04/01/2022",TRAINING!B12:B5000,"&lt;=06/30/2022",TRAINING!D12:D5000,"Other (Specify in Notes)",TRAINING!AW12:AW5000,"YES")</f>
        <v>0</v>
      </c>
      <c r="BP65" s="326"/>
      <c r="BQ65" s="326"/>
      <c r="BR65" s="327"/>
      <c r="BS65" s="852">
        <f>COUNTIFS(TRAINING!B12:B5000,"&gt;=07/01/2022",TRAINING!B12:B5000,"&lt;=09/30/2022",TRAINING!D12:D5000,"Other (Specify in Notes)",TRAINING!AW12:AW5000,"YES")</f>
        <v>0</v>
      </c>
      <c r="BT65" s="326"/>
      <c r="BU65" s="326"/>
      <c r="BV65" s="327"/>
      <c r="BW65" s="162"/>
    </row>
    <row r="66" spans="1:75" ht="15.75" customHeight="1" x14ac:dyDescent="0.25">
      <c r="A66" s="382" t="s">
        <v>683</v>
      </c>
      <c r="B66" s="326"/>
      <c r="C66" s="326"/>
      <c r="D66" s="326"/>
      <c r="E66" s="326"/>
      <c r="F66" s="326"/>
      <c r="G66" s="326"/>
      <c r="H66" s="327"/>
      <c r="I66" s="733" t="e">
        <f>'GRANTEE SET UP INFO &amp; DATE '!#REF!</f>
        <v>#REF!</v>
      </c>
      <c r="J66" s="326"/>
      <c r="K66" s="326"/>
      <c r="L66" s="327"/>
      <c r="M66" s="734" t="e">
        <f>'GRANTEE SET UP INFO &amp; DATE '!#REF!</f>
        <v>#REF!</v>
      </c>
      <c r="N66" s="326"/>
      <c r="O66" s="326"/>
      <c r="P66" s="326"/>
      <c r="Q66" s="327"/>
      <c r="R66" s="734" t="e">
        <f>'GRANTEE SET UP INFO &amp; DATE '!#REF!</f>
        <v>#REF!</v>
      </c>
      <c r="S66" s="326"/>
      <c r="T66" s="326"/>
      <c r="U66" s="326"/>
      <c r="V66" s="327"/>
      <c r="W66" s="904">
        <f>COUNTIFS(TRAINING!B12:B5000,"&gt;=07/01/2000",TRAINING!B12:B5000,"&lt;=09/30/2019",TRAINING!D12:D5000,"Other (Specify in Notes)",TRAINING!AX12:AX5000,"YES")</f>
        <v>0</v>
      </c>
      <c r="X66" s="326"/>
      <c r="Y66" s="326"/>
      <c r="Z66" s="327"/>
      <c r="AA66" s="456">
        <f>COUNTIFS(TRAINING!B12:B5000,"&gt;=10/01/2019",TRAINING!B12:B5000,"&lt;=12/31/2019",TRAINING!D12:D5000,"Other (Specify in Notes)",TRAINING!AX12:AX5000,"YES")</f>
        <v>0</v>
      </c>
      <c r="AB66" s="326"/>
      <c r="AC66" s="326"/>
      <c r="AD66" s="327"/>
      <c r="AE66" s="746">
        <f>COUNTIFS(TRAINING!B12:B5000,"&gt;=01/01/2020",TRAINING!B12:B5000,"&lt;=03/31/2020",TRAINING!D12:D5000,"Other (Specify in Notes)",TRAINING!AX12:AX5000,"YES")</f>
        <v>0</v>
      </c>
      <c r="AF66" s="326"/>
      <c r="AG66" s="326"/>
      <c r="AH66" s="327"/>
      <c r="AI66" s="456">
        <f>COUNTIFS(TRAINING!B12:B5000,"&gt;=04/01/2020",TRAINING!B12:B5000,"&lt;=06/30/2020",TRAINING!D12:D5000,"Other (Specify in Notes)",TRAINING!AX12:AX5000,"YES")</f>
        <v>0</v>
      </c>
      <c r="AJ66" s="326"/>
      <c r="AK66" s="326"/>
      <c r="AL66" s="327"/>
      <c r="AM66" s="746">
        <f>COUNTIFS(TRAINING!B12:B5000,"&gt;=07/01/2020",TRAINING!B12:B5000,"&lt;=09/30/2020",TRAINING!D12:D5000,"Other (Specify in Notes)",TRAINING!AX12:AX5000,"YES")</f>
        <v>0</v>
      </c>
      <c r="AN66" s="326"/>
      <c r="AO66" s="326"/>
      <c r="AP66" s="327"/>
      <c r="AQ66" s="412">
        <f>COUNTIFS(TRAINING!B12:B5000,"&gt;=10/01/2020",TRAINING!B12:B5000,"&lt;=12/31/2020",TRAINING!D12:D5000,"Other (Specify in Notes)",TRAINING!AX12:AX5000,"YES")</f>
        <v>0</v>
      </c>
      <c r="AR66" s="326"/>
      <c r="AS66" s="326"/>
      <c r="AT66" s="327"/>
      <c r="AU66" s="411">
        <f>COUNTIFS(TRAINING!B12:B5000,"&gt;=01/01/2021",TRAINING!B12:B5000,"&lt;=03/31/2021",TRAINING!D12:D5000,"Other (Specify in Notes)",TRAINING!AX12:AX5000,"YES")</f>
        <v>0</v>
      </c>
      <c r="AV66" s="326"/>
      <c r="AW66" s="326"/>
      <c r="AX66" s="327"/>
      <c r="AY66" s="412">
        <f>COUNTIFS(TRAINING!B12:B5000,"&gt;=04/01/2020",TRAINING!B12:B5000,"&lt;=06/30/2020",TRAINING!D12:D5000,"Other (Specify in Notes)",TRAINING!AX12:AX5000,"YES")</f>
        <v>0</v>
      </c>
      <c r="AZ66" s="326"/>
      <c r="BA66" s="326"/>
      <c r="BB66" s="327"/>
      <c r="BC66" s="411">
        <f>COUNTIFS(TRAINING!B12:B5000,"&gt;=07/01/2021",TRAINING!B12:B5000,"&lt;=09/30/2021",TRAINING!D12:D5000,"Other (Specify in Notes)",TRAINING!AX12:AX5000,"YES")</f>
        <v>0</v>
      </c>
      <c r="BD66" s="326"/>
      <c r="BE66" s="326"/>
      <c r="BF66" s="327"/>
      <c r="BG66" s="882">
        <f>COUNTIFS(TRAINING!B12:B5000,"&gt;=10/01/2021",TRAINING!B12:B5000,"&lt;=12/31/2021",TRAINING!D12:D5000,"Other (Specify in Notes)",TRAINING!AX12:AX5000,"YES")</f>
        <v>0</v>
      </c>
      <c r="BH66" s="326"/>
      <c r="BI66" s="326"/>
      <c r="BJ66" s="327"/>
      <c r="BK66" s="852">
        <f>COUNTIFS(TRAINING!B12:B5000,"&gt;=01/01/2022",TRAINING!B12:B5000,"&lt;=03/31/2022",TRAINING!D12:D5000,"Other (Specify in Notes)",TRAINING!AX12:AX5000,"YES")</f>
        <v>0</v>
      </c>
      <c r="BL66" s="326"/>
      <c r="BM66" s="326"/>
      <c r="BN66" s="327"/>
      <c r="BO66" s="882">
        <f>COUNTIFS(TRAINING!B12:B5000,"&gt;=04/01/2022",TRAINING!B12:B5000,"&lt;=06/30/2022",TRAINING!D12:D5000,"Other (Specify in Notes)",TRAINING!AX12:AX5000,"YES")</f>
        <v>0</v>
      </c>
      <c r="BP66" s="326"/>
      <c r="BQ66" s="326"/>
      <c r="BR66" s="327"/>
      <c r="BS66" s="852">
        <f>COUNTIFS(TRAINING!B12:B5000,"&gt;=07/01/2022",TRAINING!B12:B5000,"&lt;=09/30/2022",TRAINING!D12:D5000,"Other (Specify in Notes)",TRAINING!AX12:AX5000,"YES")</f>
        <v>0</v>
      </c>
      <c r="BT66" s="326"/>
      <c r="BU66" s="326"/>
      <c r="BV66" s="327"/>
      <c r="BW66" s="162"/>
    </row>
    <row r="67" spans="1:75" ht="15.75" customHeight="1" x14ac:dyDescent="0.25">
      <c r="A67" s="382" t="s">
        <v>684</v>
      </c>
      <c r="B67" s="326"/>
      <c r="C67" s="326"/>
      <c r="D67" s="326"/>
      <c r="E67" s="326"/>
      <c r="F67" s="326"/>
      <c r="G67" s="326"/>
      <c r="H67" s="327"/>
      <c r="I67" s="733" t="e">
        <f>'GRANTEE SET UP INFO &amp; DATE '!#REF!</f>
        <v>#REF!</v>
      </c>
      <c r="J67" s="326"/>
      <c r="K67" s="326"/>
      <c r="L67" s="327"/>
      <c r="M67" s="734" t="e">
        <f>'GRANTEE SET UP INFO &amp; DATE '!#REF!</f>
        <v>#REF!</v>
      </c>
      <c r="N67" s="326"/>
      <c r="O67" s="326"/>
      <c r="P67" s="326"/>
      <c r="Q67" s="327"/>
      <c r="R67" s="734" t="e">
        <f>'GRANTEE SET UP INFO &amp; DATE '!#REF!</f>
        <v>#REF!</v>
      </c>
      <c r="S67" s="326"/>
      <c r="T67" s="326"/>
      <c r="U67" s="326"/>
      <c r="V67" s="327"/>
      <c r="W67" s="904">
        <f>COUNTIFS(TRAINING!B12:B5000,"&gt;=07/01/2000",TRAINING!B12:B5000,"&lt;=09/30/2019",TRAINING!D12:D5000,"Other (Specify in Notes)",TRAINING!AY12:AY5000,"YES")</f>
        <v>0</v>
      </c>
      <c r="X67" s="326"/>
      <c r="Y67" s="326"/>
      <c r="Z67" s="327"/>
      <c r="AA67" s="456">
        <f>COUNTIFS(TRAINING!B12:B5000,"&gt;=10/01/2019",TRAINING!B12:B5000,"&lt;=12/31/2019",TRAINING!D12:D5000,"Other (Specify in Notes)",TRAINING!AY12:AY5000,"YES")</f>
        <v>0</v>
      </c>
      <c r="AB67" s="326"/>
      <c r="AC67" s="326"/>
      <c r="AD67" s="327"/>
      <c r="AE67" s="746">
        <f>COUNTIFS(TRAINING!B12:B5000,"&gt;=01/01/2020",TRAINING!B12:B5000,"&lt;=03/31/2020",TRAINING!D12:D5000,"Other (Specify in Notes)",TRAINING!AY12:AY5000,"YES")</f>
        <v>0</v>
      </c>
      <c r="AF67" s="326"/>
      <c r="AG67" s="326"/>
      <c r="AH67" s="327"/>
      <c r="AI67" s="456">
        <f>COUNTIFS(TRAINING!B12:B5000,"&gt;=04/01/2020",TRAINING!B12:B5000,"&lt;=06/30/2020",TRAINING!D12:D5000,"Other (Specify in Notes)",TRAINING!AY12:AY5000,"YES")</f>
        <v>0</v>
      </c>
      <c r="AJ67" s="326"/>
      <c r="AK67" s="326"/>
      <c r="AL67" s="327"/>
      <c r="AM67" s="746">
        <f>COUNTIFS(TRAINING!B12:B5000,"&gt;=07/01/2020",TRAINING!B12:B5000,"&lt;=09/30/2020",TRAINING!D12:D5000,"Other (Specify in Notes)",TRAINING!AY12:AY5000,"YES")</f>
        <v>0</v>
      </c>
      <c r="AN67" s="326"/>
      <c r="AO67" s="326"/>
      <c r="AP67" s="327"/>
      <c r="AQ67" s="412">
        <f>COUNTIFS(TRAINING!B12:B5000,"&gt;=10/01/2020",TRAINING!B12:B5000,"&lt;=12/31/2020",TRAINING!D12:D5000,"Other (Specify in Notes)",TRAINING!AY12:AY5000,"YES")</f>
        <v>0</v>
      </c>
      <c r="AR67" s="326"/>
      <c r="AS67" s="326"/>
      <c r="AT67" s="327"/>
      <c r="AU67" s="411">
        <f>COUNTIFS(TRAINING!B12:B5000,"&gt;=01/01/2021",TRAINING!B12:B5000,"&lt;=03/31/2021",TRAINING!D12:D5000,"Other (Specify in Notes)",TRAINING!AY12:AY5000,"YES")</f>
        <v>0</v>
      </c>
      <c r="AV67" s="326"/>
      <c r="AW67" s="326"/>
      <c r="AX67" s="327"/>
      <c r="AY67" s="412">
        <f>COUNTIFS(TRAINING!B12:B5000,"&gt;=04/01/2020",TRAINING!B12:B5000,"&lt;=06/30/2020",TRAINING!D12:D5000,"Other (Specify in Notes)",TRAINING!AY12:AY5000,"YES")</f>
        <v>0</v>
      </c>
      <c r="AZ67" s="326"/>
      <c r="BA67" s="326"/>
      <c r="BB67" s="327"/>
      <c r="BC67" s="411">
        <f>COUNTIFS(TRAINING!B12:B5000,"&gt;=07/01/2021",TRAINING!B12:B5000,"&lt;=09/30/2021",TRAINING!D12:D5000,"Other (Specify in Notes)",TRAINING!AY12:AY5000,"YES")</f>
        <v>0</v>
      </c>
      <c r="BD67" s="326"/>
      <c r="BE67" s="326"/>
      <c r="BF67" s="327"/>
      <c r="BG67" s="882">
        <f>COUNTIFS(TRAINING!B12:B5000,"&gt;=10/01/2021",TRAINING!B12:B5000,"&lt;=12/31/2021",TRAINING!D12:D5000,"Other (Specify in Notes)",TRAINING!AY12:AY5000,"YES")</f>
        <v>0</v>
      </c>
      <c r="BH67" s="326"/>
      <c r="BI67" s="326"/>
      <c r="BJ67" s="327"/>
      <c r="BK67" s="852">
        <f>COUNTIFS(TRAINING!B12:B5000,"&gt;=01/01/2022",TRAINING!B12:B5000,"&lt;=03/31/2022",TRAINING!D12:D5000,"Other (Specify in Notes)",TRAINING!AY12:AY5000,"YES")</f>
        <v>0</v>
      </c>
      <c r="BL67" s="326"/>
      <c r="BM67" s="326"/>
      <c r="BN67" s="327"/>
      <c r="BO67" s="882">
        <f>COUNTIFS(TRAINING!B12:B5000,"&gt;=04/01/2022",TRAINING!B12:B5000,"&lt;=06/30/2022",TRAINING!D12:D5000,"Other (Specify in Notes)",TRAINING!AY12:AY5000,"YES")</f>
        <v>0</v>
      </c>
      <c r="BP67" s="326"/>
      <c r="BQ67" s="326"/>
      <c r="BR67" s="327"/>
      <c r="BS67" s="852">
        <f>COUNTIFS(TRAINING!B12:B5000,"&gt;=07/01/2022",TRAINING!B12:B5000,"&lt;=09/30/2022",TRAINING!D12:D5000,"Other (Specify in Notes)",TRAINING!AY12:AY5000,"YES")</f>
        <v>0</v>
      </c>
      <c r="BT67" s="326"/>
      <c r="BU67" s="326"/>
      <c r="BV67" s="327"/>
      <c r="BW67" s="162"/>
    </row>
    <row r="68" spans="1:75" ht="15.75" customHeight="1" x14ac:dyDescent="0.25">
      <c r="A68" s="922"/>
      <c r="B68" s="344"/>
      <c r="C68" s="344"/>
      <c r="D68" s="344"/>
      <c r="E68" s="344"/>
      <c r="F68" s="344"/>
      <c r="G68" s="344"/>
      <c r="H68" s="345"/>
      <c r="I68" s="921"/>
      <c r="J68" s="344"/>
      <c r="K68" s="344"/>
      <c r="L68" s="345"/>
      <c r="M68" s="922"/>
      <c r="N68" s="344"/>
      <c r="O68" s="344"/>
      <c r="P68" s="344"/>
      <c r="Q68" s="345"/>
      <c r="R68" s="922"/>
      <c r="S68" s="344"/>
      <c r="T68" s="344"/>
      <c r="U68" s="344"/>
      <c r="V68" s="345"/>
      <c r="W68" s="904"/>
      <c r="X68" s="326"/>
      <c r="Y68" s="326"/>
      <c r="Z68" s="327"/>
      <c r="AA68" s="721"/>
      <c r="AB68" s="326"/>
      <c r="AC68" s="326"/>
      <c r="AD68" s="327"/>
      <c r="AE68" s="924"/>
      <c r="AF68" s="326"/>
      <c r="AG68" s="326"/>
      <c r="AH68" s="327"/>
      <c r="AI68" s="456"/>
      <c r="AJ68" s="326"/>
      <c r="AK68" s="326"/>
      <c r="AL68" s="327"/>
      <c r="AM68" s="746"/>
      <c r="AN68" s="326"/>
      <c r="AO68" s="326"/>
      <c r="AP68" s="327"/>
      <c r="AQ68" s="877"/>
      <c r="AR68" s="326"/>
      <c r="AS68" s="326"/>
      <c r="AT68" s="327"/>
      <c r="AU68" s="919"/>
      <c r="AV68" s="326"/>
      <c r="AW68" s="326"/>
      <c r="AX68" s="327"/>
      <c r="AY68" s="412"/>
      <c r="AZ68" s="326"/>
      <c r="BA68" s="326"/>
      <c r="BB68" s="327"/>
      <c r="BC68" s="411"/>
      <c r="BD68" s="326"/>
      <c r="BE68" s="326"/>
      <c r="BF68" s="327"/>
      <c r="BG68" s="882"/>
      <c r="BH68" s="326"/>
      <c r="BI68" s="326"/>
      <c r="BJ68" s="327"/>
      <c r="BK68" s="852"/>
      <c r="BL68" s="326"/>
      <c r="BM68" s="326"/>
      <c r="BN68" s="327"/>
      <c r="BO68" s="882"/>
      <c r="BP68" s="326"/>
      <c r="BQ68" s="326"/>
      <c r="BR68" s="327"/>
      <c r="BS68" s="852"/>
      <c r="BT68" s="326"/>
      <c r="BU68" s="326"/>
      <c r="BV68" s="327"/>
      <c r="BW68" s="162"/>
    </row>
    <row r="69" spans="1:75" ht="15.75" customHeight="1" x14ac:dyDescent="0.25">
      <c r="A69" s="720" t="s">
        <v>569</v>
      </c>
      <c r="B69" s="326"/>
      <c r="C69" s="326"/>
      <c r="D69" s="326"/>
      <c r="E69" s="326"/>
      <c r="F69" s="326"/>
      <c r="G69" s="326"/>
      <c r="H69" s="326"/>
      <c r="I69" s="326"/>
      <c r="J69" s="326"/>
      <c r="K69" s="326"/>
      <c r="L69" s="326"/>
      <c r="M69" s="326"/>
      <c r="N69" s="326"/>
      <c r="O69" s="326"/>
      <c r="P69" s="326"/>
      <c r="Q69" s="326"/>
      <c r="R69" s="326"/>
      <c r="S69" s="326"/>
      <c r="T69" s="326"/>
      <c r="U69" s="326"/>
      <c r="V69" s="327"/>
      <c r="W69" s="896">
        <f>SUM(W56:W68)</f>
        <v>0</v>
      </c>
      <c r="X69" s="326"/>
      <c r="Y69" s="326"/>
      <c r="Z69" s="327"/>
      <c r="AA69" s="901">
        <f>SUM(AA56:AA68)</f>
        <v>0</v>
      </c>
      <c r="AB69" s="326"/>
      <c r="AC69" s="326"/>
      <c r="AD69" s="327"/>
      <c r="AE69" s="719">
        <f>SUM(AE56:AE68)</f>
        <v>0</v>
      </c>
      <c r="AF69" s="326"/>
      <c r="AG69" s="326"/>
      <c r="AH69" s="327"/>
      <c r="AI69" s="902">
        <f>SUM(AI56:AI68)</f>
        <v>0</v>
      </c>
      <c r="AJ69" s="326"/>
      <c r="AK69" s="326"/>
      <c r="AL69" s="327"/>
      <c r="AM69" s="719">
        <f>SUM(AM56:AM68)</f>
        <v>0</v>
      </c>
      <c r="AN69" s="326"/>
      <c r="AO69" s="326"/>
      <c r="AP69" s="327"/>
      <c r="AQ69" s="891">
        <f>SUM(AQ56:AQ68)</f>
        <v>0</v>
      </c>
      <c r="AR69" s="326"/>
      <c r="AS69" s="326"/>
      <c r="AT69" s="327"/>
      <c r="AU69" s="714">
        <f>SUM(AU56:AU68)</f>
        <v>0</v>
      </c>
      <c r="AV69" s="326"/>
      <c r="AW69" s="326"/>
      <c r="AX69" s="327"/>
      <c r="AY69" s="891">
        <f>SUM(AY56:AY68)</f>
        <v>0</v>
      </c>
      <c r="AZ69" s="326"/>
      <c r="BA69" s="326"/>
      <c r="BB69" s="327"/>
      <c r="BC69" s="714">
        <f>SUM(BC56:BC68)</f>
        <v>0</v>
      </c>
      <c r="BD69" s="326"/>
      <c r="BE69" s="326"/>
      <c r="BF69" s="327"/>
      <c r="BG69" s="900">
        <f>SUM(BG56:BG68)</f>
        <v>0</v>
      </c>
      <c r="BH69" s="326"/>
      <c r="BI69" s="326"/>
      <c r="BJ69" s="327"/>
      <c r="BK69" s="832">
        <f>SUM(BK56:BK68)</f>
        <v>0</v>
      </c>
      <c r="BL69" s="326"/>
      <c r="BM69" s="326"/>
      <c r="BN69" s="327"/>
      <c r="BO69" s="900">
        <f>SUM(BO56:BO68)</f>
        <v>0</v>
      </c>
      <c r="BP69" s="326"/>
      <c r="BQ69" s="326"/>
      <c r="BR69" s="327"/>
      <c r="BS69" s="894">
        <f>SUM(BS56:BS68)</f>
        <v>0</v>
      </c>
      <c r="BT69" s="326"/>
      <c r="BU69" s="326"/>
      <c r="BV69" s="327"/>
      <c r="BW69" s="162"/>
    </row>
    <row r="70" spans="1:75" ht="15.75" customHeight="1" x14ac:dyDescent="0.25">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row>
    <row r="71" spans="1:75" ht="15.75" customHeight="1" x14ac:dyDescent="0.25">
      <c r="A71" s="93" t="s">
        <v>726</v>
      </c>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c r="BT71" s="93"/>
      <c r="BU71" s="93"/>
      <c r="BV71" s="93"/>
      <c r="BW71" s="93"/>
    </row>
    <row r="72" spans="1:75" ht="15.75" customHeight="1" x14ac:dyDescent="0.25">
      <c r="A72" s="905" t="s">
        <v>727</v>
      </c>
      <c r="B72" s="906"/>
      <c r="C72" s="906"/>
      <c r="D72" s="906"/>
      <c r="E72" s="906"/>
      <c r="F72" s="906"/>
      <c r="G72" s="906"/>
      <c r="H72" s="906"/>
      <c r="I72" s="906"/>
      <c r="J72" s="906"/>
      <c r="K72" s="906"/>
      <c r="L72" s="906"/>
      <c r="M72" s="906"/>
      <c r="N72" s="906"/>
      <c r="O72" s="906"/>
      <c r="P72" s="906"/>
      <c r="Q72" s="906"/>
      <c r="R72" s="906"/>
      <c r="S72" s="906"/>
      <c r="T72" s="906"/>
      <c r="U72" s="906"/>
      <c r="V72" s="906"/>
      <c r="W72" s="906"/>
      <c r="X72" s="906"/>
      <c r="Y72" s="906"/>
      <c r="Z72" s="906"/>
      <c r="AA72" s="906"/>
      <c r="AB72" s="906"/>
      <c r="AC72" s="906"/>
      <c r="AD72" s="906"/>
      <c r="AE72" s="906"/>
      <c r="AF72" s="906"/>
      <c r="AG72" s="906"/>
      <c r="AH72" s="906"/>
      <c r="AI72" s="906"/>
      <c r="AJ72" s="906"/>
      <c r="AK72" s="906"/>
      <c r="AL72" s="906"/>
      <c r="AM72" s="906"/>
      <c r="AN72" s="906"/>
      <c r="AO72" s="906"/>
      <c r="AP72" s="906"/>
      <c r="AQ72" s="906"/>
      <c r="AR72" s="906"/>
      <c r="AS72" s="906"/>
      <c r="AT72" s="906"/>
      <c r="AU72" s="906"/>
      <c r="AV72" s="906"/>
      <c r="AW72" s="906"/>
      <c r="AX72" s="906"/>
      <c r="AY72" s="906"/>
      <c r="AZ72" s="906"/>
      <c r="BA72" s="906"/>
      <c r="BB72" s="906"/>
      <c r="BC72" s="906"/>
      <c r="BD72" s="906"/>
      <c r="BE72" s="906"/>
      <c r="BF72" s="906"/>
      <c r="BG72" s="906"/>
      <c r="BH72" s="906"/>
      <c r="BI72" s="906"/>
      <c r="BJ72" s="906"/>
      <c r="BK72" s="906"/>
      <c r="BL72" s="906"/>
      <c r="BM72" s="906"/>
      <c r="BN72" s="906"/>
      <c r="BO72" s="906"/>
      <c r="BP72" s="906"/>
      <c r="BQ72" s="906"/>
      <c r="BR72" s="906"/>
      <c r="BS72" s="906"/>
      <c r="BT72" s="906"/>
      <c r="BU72" s="906"/>
      <c r="BV72" s="907"/>
      <c r="BW72" s="9"/>
    </row>
    <row r="73" spans="1:75" ht="15.75" customHeight="1" x14ac:dyDescent="0.25">
      <c r="A73" s="908" t="s">
        <v>668</v>
      </c>
      <c r="B73" s="326"/>
      <c r="C73" s="326"/>
      <c r="D73" s="326"/>
      <c r="E73" s="326"/>
      <c r="F73" s="326"/>
      <c r="G73" s="326"/>
      <c r="H73" s="327"/>
      <c r="I73" s="887" t="s">
        <v>669</v>
      </c>
      <c r="J73" s="326"/>
      <c r="K73" s="326"/>
      <c r="L73" s="327"/>
      <c r="M73" s="888" t="s">
        <v>670</v>
      </c>
      <c r="N73" s="326"/>
      <c r="O73" s="326"/>
      <c r="P73" s="326"/>
      <c r="Q73" s="327"/>
      <c r="R73" s="889" t="s">
        <v>671</v>
      </c>
      <c r="S73" s="326"/>
      <c r="T73" s="326"/>
      <c r="U73" s="326"/>
      <c r="V73" s="327"/>
      <c r="W73" s="890" t="s">
        <v>708</v>
      </c>
      <c r="X73" s="326"/>
      <c r="Y73" s="326"/>
      <c r="Z73" s="327"/>
      <c r="AA73" s="631" t="s">
        <v>709</v>
      </c>
      <c r="AB73" s="326"/>
      <c r="AC73" s="326"/>
      <c r="AD73" s="327"/>
      <c r="AE73" s="897" t="s">
        <v>710</v>
      </c>
      <c r="AF73" s="326"/>
      <c r="AG73" s="326"/>
      <c r="AH73" s="327"/>
      <c r="AI73" s="631" t="s">
        <v>711</v>
      </c>
      <c r="AJ73" s="326"/>
      <c r="AK73" s="326"/>
      <c r="AL73" s="327"/>
      <c r="AM73" s="897" t="s">
        <v>712</v>
      </c>
      <c r="AN73" s="326"/>
      <c r="AO73" s="326"/>
      <c r="AP73" s="327"/>
      <c r="AQ73" s="898" t="s">
        <v>713</v>
      </c>
      <c r="AR73" s="326"/>
      <c r="AS73" s="326"/>
      <c r="AT73" s="327"/>
      <c r="AU73" s="899" t="s">
        <v>714</v>
      </c>
      <c r="AV73" s="326"/>
      <c r="AW73" s="326"/>
      <c r="AX73" s="327"/>
      <c r="AY73" s="898" t="s">
        <v>715</v>
      </c>
      <c r="AZ73" s="326"/>
      <c r="BA73" s="326"/>
      <c r="BB73" s="327"/>
      <c r="BC73" s="899" t="s">
        <v>716</v>
      </c>
      <c r="BD73" s="326"/>
      <c r="BE73" s="326"/>
      <c r="BF73" s="327"/>
      <c r="BG73" s="884" t="s">
        <v>717</v>
      </c>
      <c r="BH73" s="326"/>
      <c r="BI73" s="326"/>
      <c r="BJ73" s="327"/>
      <c r="BK73" s="885" t="s">
        <v>718</v>
      </c>
      <c r="BL73" s="326"/>
      <c r="BM73" s="326"/>
      <c r="BN73" s="327"/>
      <c r="BO73" s="884" t="s">
        <v>719</v>
      </c>
      <c r="BP73" s="326"/>
      <c r="BQ73" s="326"/>
      <c r="BR73" s="327"/>
      <c r="BS73" s="885" t="s">
        <v>720</v>
      </c>
      <c r="BT73" s="326"/>
      <c r="BU73" s="326"/>
      <c r="BV73" s="408"/>
      <c r="BW73" s="168" t="s">
        <v>728</v>
      </c>
    </row>
    <row r="74" spans="1:75" ht="15.75" customHeight="1" x14ac:dyDescent="0.25">
      <c r="A74" s="911" t="s">
        <v>673</v>
      </c>
      <c r="B74" s="326"/>
      <c r="C74" s="326"/>
      <c r="D74" s="326"/>
      <c r="E74" s="326"/>
      <c r="F74" s="326"/>
      <c r="G74" s="326"/>
      <c r="H74" s="327"/>
      <c r="I74" s="733">
        <f>'GRANTEE SET UP INFO &amp; DATE '!C11</f>
        <v>0</v>
      </c>
      <c r="J74" s="326"/>
      <c r="K74" s="326"/>
      <c r="L74" s="327"/>
      <c r="M74" s="735">
        <f>'GRANTEE SET UP INFO &amp; DATE '!F11</f>
        <v>0</v>
      </c>
      <c r="N74" s="326"/>
      <c r="O74" s="326"/>
      <c r="P74" s="326"/>
      <c r="Q74" s="327"/>
      <c r="R74" s="735" t="e">
        <f>'GRANTEE SET UP INFO &amp; DATE '!#REF!</f>
        <v>#REF!</v>
      </c>
      <c r="S74" s="326"/>
      <c r="T74" s="326"/>
      <c r="U74" s="326"/>
      <c r="V74" s="327"/>
      <c r="W74" s="904">
        <f t="shared" ref="W74:W85" si="0">W5+W22+W39+W56</f>
        <v>0</v>
      </c>
      <c r="X74" s="326"/>
      <c r="Y74" s="326"/>
      <c r="Z74" s="327"/>
      <c r="AA74" s="729">
        <f t="shared" ref="AA74:AA85" si="1">AA5+AA22+AA39+AA56</f>
        <v>0</v>
      </c>
      <c r="AB74" s="326"/>
      <c r="AC74" s="326"/>
      <c r="AD74" s="327"/>
      <c r="AE74" s="733">
        <f t="shared" ref="AE74:AE85" si="2">AE5+AE22+AE39+AE56</f>
        <v>0</v>
      </c>
      <c r="AF74" s="326"/>
      <c r="AG74" s="326"/>
      <c r="AH74" s="327"/>
      <c r="AI74" s="729">
        <f t="shared" ref="AI74:AI85" si="3">AI5+AI22+AI39+AI56</f>
        <v>0</v>
      </c>
      <c r="AJ74" s="326"/>
      <c r="AK74" s="326"/>
      <c r="AL74" s="327"/>
      <c r="AM74" s="733">
        <f t="shared" ref="AM74:AM85" si="4">AM5+AM22+AM39+AM56</f>
        <v>0</v>
      </c>
      <c r="AN74" s="326"/>
      <c r="AO74" s="326"/>
      <c r="AP74" s="327"/>
      <c r="AQ74" s="910">
        <f t="shared" ref="AQ74:AQ85" si="5">AQ5+AQ22+AQ39+AQ56</f>
        <v>0</v>
      </c>
      <c r="AR74" s="326"/>
      <c r="AS74" s="326"/>
      <c r="AT74" s="327"/>
      <c r="AU74" s="878">
        <f t="shared" ref="AU74:AU85" si="6">AU5+AU22+AU39+AU56</f>
        <v>0</v>
      </c>
      <c r="AV74" s="326"/>
      <c r="AW74" s="326"/>
      <c r="AX74" s="327"/>
      <c r="AY74" s="910">
        <f t="shared" ref="AY74:AY85" si="7">AY5+AY22+AY39+AY56</f>
        <v>0</v>
      </c>
      <c r="AZ74" s="326"/>
      <c r="BA74" s="326"/>
      <c r="BB74" s="327"/>
      <c r="BC74" s="878">
        <f t="shared" ref="BC74:BC85" si="8">BC5+BC22+BC39+BC56</f>
        <v>0</v>
      </c>
      <c r="BD74" s="326"/>
      <c r="BE74" s="326"/>
      <c r="BF74" s="327"/>
      <c r="BG74" s="874">
        <f t="shared" ref="BG74:BG85" si="9">BG5+BG22+BG39+BG56</f>
        <v>0</v>
      </c>
      <c r="BH74" s="326"/>
      <c r="BI74" s="326"/>
      <c r="BJ74" s="327"/>
      <c r="BK74" s="853">
        <f t="shared" ref="BK74:BK85" si="10">BK5+BK22+BK39+BK56</f>
        <v>0</v>
      </c>
      <c r="BL74" s="326"/>
      <c r="BM74" s="326"/>
      <c r="BN74" s="327"/>
      <c r="BO74" s="874">
        <f t="shared" ref="BO74:BO85" si="11">BO5+BO22+BO39+BO56</f>
        <v>0</v>
      </c>
      <c r="BP74" s="326"/>
      <c r="BQ74" s="326"/>
      <c r="BR74" s="327"/>
      <c r="BS74" s="853">
        <f t="shared" ref="BS74:BS85" si="12">BS5+BS22+BS39+BS56</f>
        <v>0</v>
      </c>
      <c r="BT74" s="326"/>
      <c r="BU74" s="326"/>
      <c r="BV74" s="909"/>
      <c r="BW74" s="933" t="s">
        <v>729</v>
      </c>
    </row>
    <row r="75" spans="1:75" ht="15.75" customHeight="1" x14ac:dyDescent="0.25">
      <c r="A75" s="911" t="s">
        <v>674</v>
      </c>
      <c r="B75" s="326"/>
      <c r="C75" s="326"/>
      <c r="D75" s="326"/>
      <c r="E75" s="326"/>
      <c r="F75" s="326"/>
      <c r="G75" s="326"/>
      <c r="H75" s="327"/>
      <c r="I75" s="733">
        <f>'GRANTEE SET UP INFO &amp; DATE '!C12</f>
        <v>0</v>
      </c>
      <c r="J75" s="326"/>
      <c r="K75" s="326"/>
      <c r="L75" s="327"/>
      <c r="M75" s="735">
        <f>'GRANTEE SET UP INFO &amp; DATE '!F12</f>
        <v>0</v>
      </c>
      <c r="N75" s="326"/>
      <c r="O75" s="326"/>
      <c r="P75" s="326"/>
      <c r="Q75" s="327"/>
      <c r="R75" s="735" t="e">
        <f>'GRANTEE SET UP INFO &amp; DATE '!#REF!</f>
        <v>#REF!</v>
      </c>
      <c r="S75" s="326"/>
      <c r="T75" s="326"/>
      <c r="U75" s="326"/>
      <c r="V75" s="327"/>
      <c r="W75" s="904">
        <f t="shared" si="0"/>
        <v>0</v>
      </c>
      <c r="X75" s="326"/>
      <c r="Y75" s="326"/>
      <c r="Z75" s="327"/>
      <c r="AA75" s="729">
        <f t="shared" si="1"/>
        <v>0</v>
      </c>
      <c r="AB75" s="326"/>
      <c r="AC75" s="326"/>
      <c r="AD75" s="327"/>
      <c r="AE75" s="733">
        <f t="shared" si="2"/>
        <v>0</v>
      </c>
      <c r="AF75" s="326"/>
      <c r="AG75" s="326"/>
      <c r="AH75" s="327"/>
      <c r="AI75" s="729">
        <f t="shared" si="3"/>
        <v>0</v>
      </c>
      <c r="AJ75" s="326"/>
      <c r="AK75" s="326"/>
      <c r="AL75" s="327"/>
      <c r="AM75" s="733">
        <f t="shared" si="4"/>
        <v>0</v>
      </c>
      <c r="AN75" s="326"/>
      <c r="AO75" s="326"/>
      <c r="AP75" s="327"/>
      <c r="AQ75" s="910">
        <f t="shared" si="5"/>
        <v>0</v>
      </c>
      <c r="AR75" s="326"/>
      <c r="AS75" s="326"/>
      <c r="AT75" s="327"/>
      <c r="AU75" s="878">
        <f t="shared" si="6"/>
        <v>0</v>
      </c>
      <c r="AV75" s="326"/>
      <c r="AW75" s="326"/>
      <c r="AX75" s="327"/>
      <c r="AY75" s="910">
        <f t="shared" si="7"/>
        <v>0</v>
      </c>
      <c r="AZ75" s="326"/>
      <c r="BA75" s="326"/>
      <c r="BB75" s="327"/>
      <c r="BC75" s="878">
        <f t="shared" si="8"/>
        <v>0</v>
      </c>
      <c r="BD75" s="326"/>
      <c r="BE75" s="326"/>
      <c r="BF75" s="327"/>
      <c r="BG75" s="874">
        <f t="shared" si="9"/>
        <v>0</v>
      </c>
      <c r="BH75" s="326"/>
      <c r="BI75" s="326"/>
      <c r="BJ75" s="327"/>
      <c r="BK75" s="853">
        <f t="shared" si="10"/>
        <v>0</v>
      </c>
      <c r="BL75" s="326"/>
      <c r="BM75" s="326"/>
      <c r="BN75" s="327"/>
      <c r="BO75" s="874">
        <f t="shared" si="11"/>
        <v>0</v>
      </c>
      <c r="BP75" s="326"/>
      <c r="BQ75" s="326"/>
      <c r="BR75" s="327"/>
      <c r="BS75" s="853">
        <f t="shared" si="12"/>
        <v>0</v>
      </c>
      <c r="BT75" s="326"/>
      <c r="BU75" s="326"/>
      <c r="BV75" s="909"/>
      <c r="BW75" s="934"/>
    </row>
    <row r="76" spans="1:75" ht="15.75" customHeight="1" x14ac:dyDescent="0.25">
      <c r="A76" s="911" t="s">
        <v>675</v>
      </c>
      <c r="B76" s="326"/>
      <c r="C76" s="326"/>
      <c r="D76" s="326"/>
      <c r="E76" s="326"/>
      <c r="F76" s="326"/>
      <c r="G76" s="326"/>
      <c r="H76" s="327"/>
      <c r="I76" s="733">
        <f>'GRANTEE SET UP INFO &amp; DATE '!C13</f>
        <v>0</v>
      </c>
      <c r="J76" s="326"/>
      <c r="K76" s="326"/>
      <c r="L76" s="327"/>
      <c r="M76" s="735">
        <f>'GRANTEE SET UP INFO &amp; DATE '!F13</f>
        <v>0</v>
      </c>
      <c r="N76" s="326"/>
      <c r="O76" s="326"/>
      <c r="P76" s="326"/>
      <c r="Q76" s="327"/>
      <c r="R76" s="735" t="e">
        <f>'GRANTEE SET UP INFO &amp; DATE '!#REF!</f>
        <v>#REF!</v>
      </c>
      <c r="S76" s="326"/>
      <c r="T76" s="326"/>
      <c r="U76" s="326"/>
      <c r="V76" s="327"/>
      <c r="W76" s="904">
        <f t="shared" si="0"/>
        <v>0</v>
      </c>
      <c r="X76" s="326"/>
      <c r="Y76" s="326"/>
      <c r="Z76" s="327"/>
      <c r="AA76" s="729">
        <f t="shared" si="1"/>
        <v>0</v>
      </c>
      <c r="AB76" s="326"/>
      <c r="AC76" s="326"/>
      <c r="AD76" s="327"/>
      <c r="AE76" s="733">
        <f t="shared" si="2"/>
        <v>0</v>
      </c>
      <c r="AF76" s="326"/>
      <c r="AG76" s="326"/>
      <c r="AH76" s="327"/>
      <c r="AI76" s="729">
        <f t="shared" si="3"/>
        <v>0</v>
      </c>
      <c r="AJ76" s="326"/>
      <c r="AK76" s="326"/>
      <c r="AL76" s="327"/>
      <c r="AM76" s="733">
        <f t="shared" si="4"/>
        <v>0</v>
      </c>
      <c r="AN76" s="326"/>
      <c r="AO76" s="326"/>
      <c r="AP76" s="327"/>
      <c r="AQ76" s="910">
        <f t="shared" si="5"/>
        <v>0</v>
      </c>
      <c r="AR76" s="326"/>
      <c r="AS76" s="326"/>
      <c r="AT76" s="327"/>
      <c r="AU76" s="878">
        <f t="shared" si="6"/>
        <v>0</v>
      </c>
      <c r="AV76" s="326"/>
      <c r="AW76" s="326"/>
      <c r="AX76" s="327"/>
      <c r="AY76" s="910">
        <f t="shared" si="7"/>
        <v>0</v>
      </c>
      <c r="AZ76" s="326"/>
      <c r="BA76" s="326"/>
      <c r="BB76" s="327"/>
      <c r="BC76" s="878">
        <f t="shared" si="8"/>
        <v>0</v>
      </c>
      <c r="BD76" s="326"/>
      <c r="BE76" s="326"/>
      <c r="BF76" s="327"/>
      <c r="BG76" s="874">
        <f t="shared" si="9"/>
        <v>0</v>
      </c>
      <c r="BH76" s="326"/>
      <c r="BI76" s="326"/>
      <c r="BJ76" s="327"/>
      <c r="BK76" s="853">
        <f t="shared" si="10"/>
        <v>0</v>
      </c>
      <c r="BL76" s="326"/>
      <c r="BM76" s="326"/>
      <c r="BN76" s="327"/>
      <c r="BO76" s="874">
        <f t="shared" si="11"/>
        <v>0</v>
      </c>
      <c r="BP76" s="326"/>
      <c r="BQ76" s="326"/>
      <c r="BR76" s="327"/>
      <c r="BS76" s="853">
        <f t="shared" si="12"/>
        <v>0</v>
      </c>
      <c r="BT76" s="326"/>
      <c r="BU76" s="326"/>
      <c r="BV76" s="909"/>
      <c r="BW76" s="934"/>
    </row>
    <row r="77" spans="1:75" ht="15.75" customHeight="1" x14ac:dyDescent="0.25">
      <c r="A77" s="911" t="s">
        <v>676</v>
      </c>
      <c r="B77" s="326"/>
      <c r="C77" s="326"/>
      <c r="D77" s="326"/>
      <c r="E77" s="326"/>
      <c r="F77" s="326"/>
      <c r="G77" s="326"/>
      <c r="H77" s="327"/>
      <c r="I77" s="733">
        <f>'GRANTEE SET UP INFO &amp; DATE '!C14</f>
        <v>0</v>
      </c>
      <c r="J77" s="326"/>
      <c r="K77" s="326"/>
      <c r="L77" s="327"/>
      <c r="M77" s="735">
        <f>'GRANTEE SET UP INFO &amp; DATE '!F14</f>
        <v>0</v>
      </c>
      <c r="N77" s="326"/>
      <c r="O77" s="326"/>
      <c r="P77" s="326"/>
      <c r="Q77" s="327"/>
      <c r="R77" s="735" t="e">
        <f>'GRANTEE SET UP INFO &amp; DATE '!#REF!</f>
        <v>#REF!</v>
      </c>
      <c r="S77" s="326"/>
      <c r="T77" s="326"/>
      <c r="U77" s="326"/>
      <c r="V77" s="327"/>
      <c r="W77" s="904">
        <f t="shared" si="0"/>
        <v>0</v>
      </c>
      <c r="X77" s="326"/>
      <c r="Y77" s="326"/>
      <c r="Z77" s="327"/>
      <c r="AA77" s="729">
        <f t="shared" si="1"/>
        <v>0</v>
      </c>
      <c r="AB77" s="326"/>
      <c r="AC77" s="326"/>
      <c r="AD77" s="327"/>
      <c r="AE77" s="733">
        <f t="shared" si="2"/>
        <v>0</v>
      </c>
      <c r="AF77" s="326"/>
      <c r="AG77" s="326"/>
      <c r="AH77" s="327"/>
      <c r="AI77" s="729">
        <f t="shared" si="3"/>
        <v>0</v>
      </c>
      <c r="AJ77" s="326"/>
      <c r="AK77" s="326"/>
      <c r="AL77" s="327"/>
      <c r="AM77" s="733">
        <f t="shared" si="4"/>
        <v>0</v>
      </c>
      <c r="AN77" s="326"/>
      <c r="AO77" s="326"/>
      <c r="AP77" s="327"/>
      <c r="AQ77" s="910">
        <f t="shared" si="5"/>
        <v>0</v>
      </c>
      <c r="AR77" s="326"/>
      <c r="AS77" s="326"/>
      <c r="AT77" s="327"/>
      <c r="AU77" s="878">
        <f t="shared" si="6"/>
        <v>0</v>
      </c>
      <c r="AV77" s="326"/>
      <c r="AW77" s="326"/>
      <c r="AX77" s="327"/>
      <c r="AY77" s="910">
        <f t="shared" si="7"/>
        <v>0</v>
      </c>
      <c r="AZ77" s="326"/>
      <c r="BA77" s="326"/>
      <c r="BB77" s="327"/>
      <c r="BC77" s="878">
        <f t="shared" si="8"/>
        <v>0</v>
      </c>
      <c r="BD77" s="326"/>
      <c r="BE77" s="326"/>
      <c r="BF77" s="327"/>
      <c r="BG77" s="874">
        <f t="shared" si="9"/>
        <v>0</v>
      </c>
      <c r="BH77" s="326"/>
      <c r="BI77" s="326"/>
      <c r="BJ77" s="327"/>
      <c r="BK77" s="853">
        <f t="shared" si="10"/>
        <v>0</v>
      </c>
      <c r="BL77" s="326"/>
      <c r="BM77" s="326"/>
      <c r="BN77" s="327"/>
      <c r="BO77" s="874">
        <f t="shared" si="11"/>
        <v>0</v>
      </c>
      <c r="BP77" s="326"/>
      <c r="BQ77" s="326"/>
      <c r="BR77" s="327"/>
      <c r="BS77" s="853">
        <f t="shared" si="12"/>
        <v>0</v>
      </c>
      <c r="BT77" s="326"/>
      <c r="BU77" s="326"/>
      <c r="BV77" s="909"/>
      <c r="BW77" s="934"/>
    </row>
    <row r="78" spans="1:75" ht="15.75" customHeight="1" x14ac:dyDescent="0.25">
      <c r="A78" s="911" t="s">
        <v>677</v>
      </c>
      <c r="B78" s="326"/>
      <c r="C78" s="326"/>
      <c r="D78" s="326"/>
      <c r="E78" s="326"/>
      <c r="F78" s="326"/>
      <c r="G78" s="326"/>
      <c r="H78" s="327"/>
      <c r="I78" s="733">
        <f>'GRANTEE SET UP INFO &amp; DATE '!C15</f>
        <v>0</v>
      </c>
      <c r="J78" s="326"/>
      <c r="K78" s="326"/>
      <c r="L78" s="327"/>
      <c r="M78" s="735">
        <f>'GRANTEE SET UP INFO &amp; DATE '!F15</f>
        <v>0</v>
      </c>
      <c r="N78" s="326"/>
      <c r="O78" s="326"/>
      <c r="P78" s="326"/>
      <c r="Q78" s="327"/>
      <c r="R78" s="735" t="e">
        <f>'GRANTEE SET UP INFO &amp; DATE '!#REF!</f>
        <v>#REF!</v>
      </c>
      <c r="S78" s="326"/>
      <c r="T78" s="326"/>
      <c r="U78" s="326"/>
      <c r="V78" s="327"/>
      <c r="W78" s="904">
        <f t="shared" si="0"/>
        <v>0</v>
      </c>
      <c r="X78" s="326"/>
      <c r="Y78" s="326"/>
      <c r="Z78" s="327"/>
      <c r="AA78" s="729">
        <f t="shared" si="1"/>
        <v>0</v>
      </c>
      <c r="AB78" s="326"/>
      <c r="AC78" s="326"/>
      <c r="AD78" s="327"/>
      <c r="AE78" s="733">
        <f t="shared" si="2"/>
        <v>0</v>
      </c>
      <c r="AF78" s="326"/>
      <c r="AG78" s="326"/>
      <c r="AH78" s="327"/>
      <c r="AI78" s="729">
        <f t="shared" si="3"/>
        <v>0</v>
      </c>
      <c r="AJ78" s="326"/>
      <c r="AK78" s="326"/>
      <c r="AL78" s="327"/>
      <c r="AM78" s="733">
        <f t="shared" si="4"/>
        <v>0</v>
      </c>
      <c r="AN78" s="326"/>
      <c r="AO78" s="326"/>
      <c r="AP78" s="327"/>
      <c r="AQ78" s="910">
        <f t="shared" si="5"/>
        <v>0</v>
      </c>
      <c r="AR78" s="326"/>
      <c r="AS78" s="326"/>
      <c r="AT78" s="327"/>
      <c r="AU78" s="878">
        <f t="shared" si="6"/>
        <v>0</v>
      </c>
      <c r="AV78" s="326"/>
      <c r="AW78" s="326"/>
      <c r="AX78" s="327"/>
      <c r="AY78" s="910">
        <f t="shared" si="7"/>
        <v>0</v>
      </c>
      <c r="AZ78" s="326"/>
      <c r="BA78" s="326"/>
      <c r="BB78" s="327"/>
      <c r="BC78" s="878">
        <f t="shared" si="8"/>
        <v>0</v>
      </c>
      <c r="BD78" s="326"/>
      <c r="BE78" s="326"/>
      <c r="BF78" s="327"/>
      <c r="BG78" s="874">
        <f t="shared" si="9"/>
        <v>0</v>
      </c>
      <c r="BH78" s="326"/>
      <c r="BI78" s="326"/>
      <c r="BJ78" s="327"/>
      <c r="BK78" s="853">
        <f t="shared" si="10"/>
        <v>0</v>
      </c>
      <c r="BL78" s="326"/>
      <c r="BM78" s="326"/>
      <c r="BN78" s="327"/>
      <c r="BO78" s="874">
        <f t="shared" si="11"/>
        <v>0</v>
      </c>
      <c r="BP78" s="326"/>
      <c r="BQ78" s="326"/>
      <c r="BR78" s="327"/>
      <c r="BS78" s="853">
        <f t="shared" si="12"/>
        <v>0</v>
      </c>
      <c r="BT78" s="326"/>
      <c r="BU78" s="326"/>
      <c r="BV78" s="909"/>
      <c r="BW78" s="934"/>
    </row>
    <row r="79" spans="1:75" ht="15.75" customHeight="1" x14ac:dyDescent="0.25">
      <c r="A79" s="911" t="s">
        <v>678</v>
      </c>
      <c r="B79" s="326"/>
      <c r="C79" s="326"/>
      <c r="D79" s="326"/>
      <c r="E79" s="326"/>
      <c r="F79" s="326"/>
      <c r="G79" s="326"/>
      <c r="H79" s="327"/>
      <c r="I79" s="733">
        <f>'GRANTEE SET UP INFO &amp; DATE '!C16</f>
        <v>0</v>
      </c>
      <c r="J79" s="326"/>
      <c r="K79" s="326"/>
      <c r="L79" s="327"/>
      <c r="M79" s="735">
        <f>'GRANTEE SET UP INFO &amp; DATE '!F16</f>
        <v>0</v>
      </c>
      <c r="N79" s="326"/>
      <c r="O79" s="326"/>
      <c r="P79" s="326"/>
      <c r="Q79" s="327"/>
      <c r="R79" s="735" t="e">
        <f>'GRANTEE SET UP INFO &amp; DATE '!#REF!</f>
        <v>#REF!</v>
      </c>
      <c r="S79" s="326"/>
      <c r="T79" s="326"/>
      <c r="U79" s="326"/>
      <c r="V79" s="327"/>
      <c r="W79" s="904">
        <f t="shared" si="0"/>
        <v>0</v>
      </c>
      <c r="X79" s="326"/>
      <c r="Y79" s="326"/>
      <c r="Z79" s="327"/>
      <c r="AA79" s="729">
        <f t="shared" si="1"/>
        <v>0</v>
      </c>
      <c r="AB79" s="326"/>
      <c r="AC79" s="326"/>
      <c r="AD79" s="327"/>
      <c r="AE79" s="733">
        <f t="shared" si="2"/>
        <v>0</v>
      </c>
      <c r="AF79" s="326"/>
      <c r="AG79" s="326"/>
      <c r="AH79" s="327"/>
      <c r="AI79" s="729">
        <f t="shared" si="3"/>
        <v>0</v>
      </c>
      <c r="AJ79" s="326"/>
      <c r="AK79" s="326"/>
      <c r="AL79" s="327"/>
      <c r="AM79" s="733">
        <f t="shared" si="4"/>
        <v>0</v>
      </c>
      <c r="AN79" s="326"/>
      <c r="AO79" s="326"/>
      <c r="AP79" s="327"/>
      <c r="AQ79" s="910">
        <f t="shared" si="5"/>
        <v>0</v>
      </c>
      <c r="AR79" s="326"/>
      <c r="AS79" s="326"/>
      <c r="AT79" s="327"/>
      <c r="AU79" s="878">
        <f t="shared" si="6"/>
        <v>0</v>
      </c>
      <c r="AV79" s="326"/>
      <c r="AW79" s="326"/>
      <c r="AX79" s="327"/>
      <c r="AY79" s="910">
        <f t="shared" si="7"/>
        <v>0</v>
      </c>
      <c r="AZ79" s="326"/>
      <c r="BA79" s="326"/>
      <c r="BB79" s="327"/>
      <c r="BC79" s="878">
        <f t="shared" si="8"/>
        <v>0</v>
      </c>
      <c r="BD79" s="326"/>
      <c r="BE79" s="326"/>
      <c r="BF79" s="327"/>
      <c r="BG79" s="874">
        <f t="shared" si="9"/>
        <v>0</v>
      </c>
      <c r="BH79" s="326"/>
      <c r="BI79" s="326"/>
      <c r="BJ79" s="327"/>
      <c r="BK79" s="853">
        <f t="shared" si="10"/>
        <v>0</v>
      </c>
      <c r="BL79" s="326"/>
      <c r="BM79" s="326"/>
      <c r="BN79" s="327"/>
      <c r="BO79" s="874">
        <f t="shared" si="11"/>
        <v>0</v>
      </c>
      <c r="BP79" s="326"/>
      <c r="BQ79" s="326"/>
      <c r="BR79" s="327"/>
      <c r="BS79" s="853">
        <f t="shared" si="12"/>
        <v>0</v>
      </c>
      <c r="BT79" s="326"/>
      <c r="BU79" s="326"/>
      <c r="BV79" s="909"/>
      <c r="BW79" s="934"/>
    </row>
    <row r="80" spans="1:75" ht="15.75" customHeight="1" x14ac:dyDescent="0.25">
      <c r="A80" s="911" t="s">
        <v>679</v>
      </c>
      <c r="B80" s="326"/>
      <c r="C80" s="326"/>
      <c r="D80" s="326"/>
      <c r="E80" s="326"/>
      <c r="F80" s="326"/>
      <c r="G80" s="326"/>
      <c r="H80" s="327"/>
      <c r="I80" s="733">
        <f>'GRANTEE SET UP INFO &amp; DATE '!C17</f>
        <v>0</v>
      </c>
      <c r="J80" s="326"/>
      <c r="K80" s="326"/>
      <c r="L80" s="327"/>
      <c r="M80" s="735">
        <f>'GRANTEE SET UP INFO &amp; DATE '!F17</f>
        <v>0</v>
      </c>
      <c r="N80" s="326"/>
      <c r="O80" s="326"/>
      <c r="P80" s="326"/>
      <c r="Q80" s="327"/>
      <c r="R80" s="735" t="e">
        <f>'GRANTEE SET UP INFO &amp; DATE '!#REF!</f>
        <v>#REF!</v>
      </c>
      <c r="S80" s="326"/>
      <c r="T80" s="326"/>
      <c r="U80" s="326"/>
      <c r="V80" s="327"/>
      <c r="W80" s="904">
        <f t="shared" si="0"/>
        <v>0</v>
      </c>
      <c r="X80" s="326"/>
      <c r="Y80" s="326"/>
      <c r="Z80" s="327"/>
      <c r="AA80" s="729">
        <f t="shared" si="1"/>
        <v>0</v>
      </c>
      <c r="AB80" s="326"/>
      <c r="AC80" s="326"/>
      <c r="AD80" s="327"/>
      <c r="AE80" s="733">
        <f t="shared" si="2"/>
        <v>0</v>
      </c>
      <c r="AF80" s="326"/>
      <c r="AG80" s="326"/>
      <c r="AH80" s="327"/>
      <c r="AI80" s="729">
        <f t="shared" si="3"/>
        <v>0</v>
      </c>
      <c r="AJ80" s="326"/>
      <c r="AK80" s="326"/>
      <c r="AL80" s="327"/>
      <c r="AM80" s="733">
        <f t="shared" si="4"/>
        <v>0</v>
      </c>
      <c r="AN80" s="326"/>
      <c r="AO80" s="326"/>
      <c r="AP80" s="327"/>
      <c r="AQ80" s="910">
        <f t="shared" si="5"/>
        <v>0</v>
      </c>
      <c r="AR80" s="326"/>
      <c r="AS80" s="326"/>
      <c r="AT80" s="327"/>
      <c r="AU80" s="878">
        <f t="shared" si="6"/>
        <v>0</v>
      </c>
      <c r="AV80" s="326"/>
      <c r="AW80" s="326"/>
      <c r="AX80" s="327"/>
      <c r="AY80" s="910">
        <f t="shared" si="7"/>
        <v>0</v>
      </c>
      <c r="AZ80" s="326"/>
      <c r="BA80" s="326"/>
      <c r="BB80" s="327"/>
      <c r="BC80" s="878">
        <f t="shared" si="8"/>
        <v>0</v>
      </c>
      <c r="BD80" s="326"/>
      <c r="BE80" s="326"/>
      <c r="BF80" s="327"/>
      <c r="BG80" s="874">
        <f t="shared" si="9"/>
        <v>0</v>
      </c>
      <c r="BH80" s="326"/>
      <c r="BI80" s="326"/>
      <c r="BJ80" s="327"/>
      <c r="BK80" s="853">
        <f t="shared" si="10"/>
        <v>0</v>
      </c>
      <c r="BL80" s="326"/>
      <c r="BM80" s="326"/>
      <c r="BN80" s="327"/>
      <c r="BO80" s="874">
        <f t="shared" si="11"/>
        <v>0</v>
      </c>
      <c r="BP80" s="326"/>
      <c r="BQ80" s="326"/>
      <c r="BR80" s="327"/>
      <c r="BS80" s="853">
        <f t="shared" si="12"/>
        <v>0</v>
      </c>
      <c r="BT80" s="326"/>
      <c r="BU80" s="326"/>
      <c r="BV80" s="909"/>
      <c r="BW80" s="934"/>
    </row>
    <row r="81" spans="1:75" ht="15.75" customHeight="1" x14ac:dyDescent="0.25">
      <c r="A81" s="911" t="s">
        <v>680</v>
      </c>
      <c r="B81" s="326"/>
      <c r="C81" s="326"/>
      <c r="D81" s="326"/>
      <c r="E81" s="326"/>
      <c r="F81" s="326"/>
      <c r="G81" s="326"/>
      <c r="H81" s="327"/>
      <c r="I81" s="733">
        <f>'GRANTEE SET UP INFO &amp; DATE '!C18</f>
        <v>0</v>
      </c>
      <c r="J81" s="326"/>
      <c r="K81" s="326"/>
      <c r="L81" s="327"/>
      <c r="M81" s="735">
        <f>'GRANTEE SET UP INFO &amp; DATE '!F18</f>
        <v>0</v>
      </c>
      <c r="N81" s="326"/>
      <c r="O81" s="326"/>
      <c r="P81" s="326"/>
      <c r="Q81" s="327"/>
      <c r="R81" s="735" t="e">
        <f>'GRANTEE SET UP INFO &amp; DATE '!#REF!</f>
        <v>#REF!</v>
      </c>
      <c r="S81" s="326"/>
      <c r="T81" s="326"/>
      <c r="U81" s="326"/>
      <c r="V81" s="327"/>
      <c r="W81" s="904">
        <f t="shared" si="0"/>
        <v>0</v>
      </c>
      <c r="X81" s="326"/>
      <c r="Y81" s="326"/>
      <c r="Z81" s="327"/>
      <c r="AA81" s="729">
        <f t="shared" si="1"/>
        <v>0</v>
      </c>
      <c r="AB81" s="326"/>
      <c r="AC81" s="326"/>
      <c r="AD81" s="327"/>
      <c r="AE81" s="733">
        <f t="shared" si="2"/>
        <v>0</v>
      </c>
      <c r="AF81" s="326"/>
      <c r="AG81" s="326"/>
      <c r="AH81" s="327"/>
      <c r="AI81" s="729">
        <f t="shared" si="3"/>
        <v>0</v>
      </c>
      <c r="AJ81" s="326"/>
      <c r="AK81" s="326"/>
      <c r="AL81" s="327"/>
      <c r="AM81" s="733">
        <f t="shared" si="4"/>
        <v>0</v>
      </c>
      <c r="AN81" s="326"/>
      <c r="AO81" s="326"/>
      <c r="AP81" s="327"/>
      <c r="AQ81" s="910">
        <f t="shared" si="5"/>
        <v>0</v>
      </c>
      <c r="AR81" s="326"/>
      <c r="AS81" s="326"/>
      <c r="AT81" s="327"/>
      <c r="AU81" s="878">
        <f t="shared" si="6"/>
        <v>0</v>
      </c>
      <c r="AV81" s="326"/>
      <c r="AW81" s="326"/>
      <c r="AX81" s="327"/>
      <c r="AY81" s="910">
        <f t="shared" si="7"/>
        <v>0</v>
      </c>
      <c r="AZ81" s="326"/>
      <c r="BA81" s="326"/>
      <c r="BB81" s="327"/>
      <c r="BC81" s="878">
        <f t="shared" si="8"/>
        <v>0</v>
      </c>
      <c r="BD81" s="326"/>
      <c r="BE81" s="326"/>
      <c r="BF81" s="327"/>
      <c r="BG81" s="874">
        <f t="shared" si="9"/>
        <v>0</v>
      </c>
      <c r="BH81" s="326"/>
      <c r="BI81" s="326"/>
      <c r="BJ81" s="327"/>
      <c r="BK81" s="853">
        <f t="shared" si="10"/>
        <v>0</v>
      </c>
      <c r="BL81" s="326"/>
      <c r="BM81" s="326"/>
      <c r="BN81" s="327"/>
      <c r="BO81" s="874">
        <f t="shared" si="11"/>
        <v>0</v>
      </c>
      <c r="BP81" s="326"/>
      <c r="BQ81" s="326"/>
      <c r="BR81" s="327"/>
      <c r="BS81" s="853">
        <f t="shared" si="12"/>
        <v>0</v>
      </c>
      <c r="BT81" s="326"/>
      <c r="BU81" s="326"/>
      <c r="BV81" s="909"/>
      <c r="BW81" s="934"/>
    </row>
    <row r="82" spans="1:75" ht="15.75" customHeight="1" x14ac:dyDescent="0.25">
      <c r="A82" s="911" t="s">
        <v>681</v>
      </c>
      <c r="B82" s="326"/>
      <c r="C82" s="326"/>
      <c r="D82" s="326"/>
      <c r="E82" s="326"/>
      <c r="F82" s="326"/>
      <c r="G82" s="326"/>
      <c r="H82" s="327"/>
      <c r="I82" s="733" t="e">
        <f>'GRANTEE SET UP INFO &amp; DATE '!#REF!</f>
        <v>#REF!</v>
      </c>
      <c r="J82" s="326"/>
      <c r="K82" s="326"/>
      <c r="L82" s="327"/>
      <c r="M82" s="912" t="e">
        <f>'GRANTEE SET UP INFO &amp; DATE '!#REF!</f>
        <v>#REF!</v>
      </c>
      <c r="N82" s="326"/>
      <c r="O82" s="326"/>
      <c r="P82" s="326"/>
      <c r="Q82" s="327"/>
      <c r="R82" s="912" t="e">
        <f>'GRANTEE SET UP INFO &amp; DATE '!#REF!</f>
        <v>#REF!</v>
      </c>
      <c r="S82" s="326"/>
      <c r="T82" s="326"/>
      <c r="U82" s="326"/>
      <c r="V82" s="327"/>
      <c r="W82" s="904">
        <f t="shared" si="0"/>
        <v>0</v>
      </c>
      <c r="X82" s="326"/>
      <c r="Y82" s="326"/>
      <c r="Z82" s="327"/>
      <c r="AA82" s="729">
        <f t="shared" si="1"/>
        <v>0</v>
      </c>
      <c r="AB82" s="326"/>
      <c r="AC82" s="326"/>
      <c r="AD82" s="327"/>
      <c r="AE82" s="733">
        <f t="shared" si="2"/>
        <v>0</v>
      </c>
      <c r="AF82" s="326"/>
      <c r="AG82" s="326"/>
      <c r="AH82" s="327"/>
      <c r="AI82" s="729">
        <f t="shared" si="3"/>
        <v>0</v>
      </c>
      <c r="AJ82" s="326"/>
      <c r="AK82" s="326"/>
      <c r="AL82" s="327"/>
      <c r="AM82" s="733">
        <f t="shared" si="4"/>
        <v>0</v>
      </c>
      <c r="AN82" s="326"/>
      <c r="AO82" s="326"/>
      <c r="AP82" s="327"/>
      <c r="AQ82" s="910">
        <f t="shared" si="5"/>
        <v>0</v>
      </c>
      <c r="AR82" s="326"/>
      <c r="AS82" s="326"/>
      <c r="AT82" s="327"/>
      <c r="AU82" s="878">
        <f t="shared" si="6"/>
        <v>0</v>
      </c>
      <c r="AV82" s="326"/>
      <c r="AW82" s="326"/>
      <c r="AX82" s="327"/>
      <c r="AY82" s="910">
        <f t="shared" si="7"/>
        <v>0</v>
      </c>
      <c r="AZ82" s="326"/>
      <c r="BA82" s="326"/>
      <c r="BB82" s="327"/>
      <c r="BC82" s="878">
        <f t="shared" si="8"/>
        <v>0</v>
      </c>
      <c r="BD82" s="326"/>
      <c r="BE82" s="326"/>
      <c r="BF82" s="327"/>
      <c r="BG82" s="874">
        <f t="shared" si="9"/>
        <v>0</v>
      </c>
      <c r="BH82" s="326"/>
      <c r="BI82" s="326"/>
      <c r="BJ82" s="327"/>
      <c r="BK82" s="853">
        <f t="shared" si="10"/>
        <v>0</v>
      </c>
      <c r="BL82" s="326"/>
      <c r="BM82" s="326"/>
      <c r="BN82" s="327"/>
      <c r="BO82" s="874">
        <f t="shared" si="11"/>
        <v>0</v>
      </c>
      <c r="BP82" s="326"/>
      <c r="BQ82" s="326"/>
      <c r="BR82" s="327"/>
      <c r="BS82" s="853">
        <f t="shared" si="12"/>
        <v>0</v>
      </c>
      <c r="BT82" s="326"/>
      <c r="BU82" s="326"/>
      <c r="BV82" s="909"/>
      <c r="BW82" s="934"/>
    </row>
    <row r="83" spans="1:75" ht="15.75" customHeight="1" x14ac:dyDescent="0.25">
      <c r="A83" s="911" t="s">
        <v>682</v>
      </c>
      <c r="B83" s="326"/>
      <c r="C83" s="326"/>
      <c r="D83" s="326"/>
      <c r="E83" s="326"/>
      <c r="F83" s="326"/>
      <c r="G83" s="326"/>
      <c r="H83" s="327"/>
      <c r="I83" s="733" t="e">
        <f>'GRANTEE SET UP INFO &amp; DATE '!#REF!</f>
        <v>#REF!</v>
      </c>
      <c r="J83" s="326"/>
      <c r="K83" s="326"/>
      <c r="L83" s="327"/>
      <c r="M83" s="734" t="e">
        <f>'GRANTEE SET UP INFO &amp; DATE '!#REF!</f>
        <v>#REF!</v>
      </c>
      <c r="N83" s="326"/>
      <c r="O83" s="326"/>
      <c r="P83" s="326"/>
      <c r="Q83" s="327"/>
      <c r="R83" s="734" t="e">
        <f>'GRANTEE SET UP INFO &amp; DATE '!#REF!</f>
        <v>#REF!</v>
      </c>
      <c r="S83" s="326"/>
      <c r="T83" s="326"/>
      <c r="U83" s="326"/>
      <c r="V83" s="327"/>
      <c r="W83" s="904">
        <f t="shared" si="0"/>
        <v>0</v>
      </c>
      <c r="X83" s="326"/>
      <c r="Y83" s="326"/>
      <c r="Z83" s="327"/>
      <c r="AA83" s="729">
        <f t="shared" si="1"/>
        <v>0</v>
      </c>
      <c r="AB83" s="326"/>
      <c r="AC83" s="326"/>
      <c r="AD83" s="327"/>
      <c r="AE83" s="733">
        <f t="shared" si="2"/>
        <v>0</v>
      </c>
      <c r="AF83" s="326"/>
      <c r="AG83" s="326"/>
      <c r="AH83" s="327"/>
      <c r="AI83" s="729">
        <f t="shared" si="3"/>
        <v>0</v>
      </c>
      <c r="AJ83" s="326"/>
      <c r="AK83" s="326"/>
      <c r="AL83" s="327"/>
      <c r="AM83" s="733">
        <f t="shared" si="4"/>
        <v>0</v>
      </c>
      <c r="AN83" s="326"/>
      <c r="AO83" s="326"/>
      <c r="AP83" s="327"/>
      <c r="AQ83" s="910">
        <f t="shared" si="5"/>
        <v>0</v>
      </c>
      <c r="AR83" s="326"/>
      <c r="AS83" s="326"/>
      <c r="AT83" s="327"/>
      <c r="AU83" s="878">
        <f t="shared" si="6"/>
        <v>0</v>
      </c>
      <c r="AV83" s="326"/>
      <c r="AW83" s="326"/>
      <c r="AX83" s="327"/>
      <c r="AY83" s="910">
        <f t="shared" si="7"/>
        <v>0</v>
      </c>
      <c r="AZ83" s="326"/>
      <c r="BA83" s="326"/>
      <c r="BB83" s="327"/>
      <c r="BC83" s="878">
        <f t="shared" si="8"/>
        <v>0</v>
      </c>
      <c r="BD83" s="326"/>
      <c r="BE83" s="326"/>
      <c r="BF83" s="327"/>
      <c r="BG83" s="874">
        <f t="shared" si="9"/>
        <v>0</v>
      </c>
      <c r="BH83" s="326"/>
      <c r="BI83" s="326"/>
      <c r="BJ83" s="327"/>
      <c r="BK83" s="853">
        <f t="shared" si="10"/>
        <v>0</v>
      </c>
      <c r="BL83" s="326"/>
      <c r="BM83" s="326"/>
      <c r="BN83" s="327"/>
      <c r="BO83" s="874">
        <f t="shared" si="11"/>
        <v>0</v>
      </c>
      <c r="BP83" s="326"/>
      <c r="BQ83" s="326"/>
      <c r="BR83" s="327"/>
      <c r="BS83" s="853">
        <f t="shared" si="12"/>
        <v>0</v>
      </c>
      <c r="BT83" s="326"/>
      <c r="BU83" s="326"/>
      <c r="BV83" s="909"/>
      <c r="BW83" s="934"/>
    </row>
    <row r="84" spans="1:75" ht="15.75" customHeight="1" x14ac:dyDescent="0.25">
      <c r="A84" s="911" t="s">
        <v>683</v>
      </c>
      <c r="B84" s="326"/>
      <c r="C84" s="326"/>
      <c r="D84" s="326"/>
      <c r="E84" s="326"/>
      <c r="F84" s="326"/>
      <c r="G84" s="326"/>
      <c r="H84" s="327"/>
      <c r="I84" s="733" t="e">
        <f>'GRANTEE SET UP INFO &amp; DATE '!#REF!</f>
        <v>#REF!</v>
      </c>
      <c r="J84" s="326"/>
      <c r="K84" s="326"/>
      <c r="L84" s="327"/>
      <c r="M84" s="734" t="e">
        <f>'GRANTEE SET UP INFO &amp; DATE '!#REF!</f>
        <v>#REF!</v>
      </c>
      <c r="N84" s="326"/>
      <c r="O84" s="326"/>
      <c r="P84" s="326"/>
      <c r="Q84" s="327"/>
      <c r="R84" s="734" t="e">
        <f>'GRANTEE SET UP INFO &amp; DATE '!#REF!</f>
        <v>#REF!</v>
      </c>
      <c r="S84" s="326"/>
      <c r="T84" s="326"/>
      <c r="U84" s="326"/>
      <c r="V84" s="327"/>
      <c r="W84" s="904">
        <f t="shared" si="0"/>
        <v>0</v>
      </c>
      <c r="X84" s="326"/>
      <c r="Y84" s="326"/>
      <c r="Z84" s="327"/>
      <c r="AA84" s="729">
        <f t="shared" si="1"/>
        <v>0</v>
      </c>
      <c r="AB84" s="326"/>
      <c r="AC84" s="326"/>
      <c r="AD84" s="327"/>
      <c r="AE84" s="733">
        <f t="shared" si="2"/>
        <v>0</v>
      </c>
      <c r="AF84" s="326"/>
      <c r="AG84" s="326"/>
      <c r="AH84" s="327"/>
      <c r="AI84" s="729">
        <f t="shared" si="3"/>
        <v>0</v>
      </c>
      <c r="AJ84" s="326"/>
      <c r="AK84" s="326"/>
      <c r="AL84" s="327"/>
      <c r="AM84" s="733">
        <f t="shared" si="4"/>
        <v>0</v>
      </c>
      <c r="AN84" s="326"/>
      <c r="AO84" s="326"/>
      <c r="AP84" s="327"/>
      <c r="AQ84" s="910">
        <f t="shared" si="5"/>
        <v>0</v>
      </c>
      <c r="AR84" s="326"/>
      <c r="AS84" s="326"/>
      <c r="AT84" s="327"/>
      <c r="AU84" s="878">
        <f t="shared" si="6"/>
        <v>0</v>
      </c>
      <c r="AV84" s="326"/>
      <c r="AW84" s="326"/>
      <c r="AX84" s="327"/>
      <c r="AY84" s="910">
        <f t="shared" si="7"/>
        <v>0</v>
      </c>
      <c r="AZ84" s="326"/>
      <c r="BA84" s="326"/>
      <c r="BB84" s="327"/>
      <c r="BC84" s="878">
        <f t="shared" si="8"/>
        <v>0</v>
      </c>
      <c r="BD84" s="326"/>
      <c r="BE84" s="326"/>
      <c r="BF84" s="327"/>
      <c r="BG84" s="874">
        <f t="shared" si="9"/>
        <v>0</v>
      </c>
      <c r="BH84" s="326"/>
      <c r="BI84" s="326"/>
      <c r="BJ84" s="327"/>
      <c r="BK84" s="853">
        <f t="shared" si="10"/>
        <v>0</v>
      </c>
      <c r="BL84" s="326"/>
      <c r="BM84" s="326"/>
      <c r="BN84" s="327"/>
      <c r="BO84" s="874">
        <f t="shared" si="11"/>
        <v>0</v>
      </c>
      <c r="BP84" s="326"/>
      <c r="BQ84" s="326"/>
      <c r="BR84" s="327"/>
      <c r="BS84" s="853">
        <f t="shared" si="12"/>
        <v>0</v>
      </c>
      <c r="BT84" s="326"/>
      <c r="BU84" s="326"/>
      <c r="BV84" s="909"/>
      <c r="BW84" s="934"/>
    </row>
    <row r="85" spans="1:75" ht="15.75" customHeight="1" x14ac:dyDescent="0.25">
      <c r="A85" s="911" t="s">
        <v>684</v>
      </c>
      <c r="B85" s="326"/>
      <c r="C85" s="326"/>
      <c r="D85" s="326"/>
      <c r="E85" s="326"/>
      <c r="F85" s="326"/>
      <c r="G85" s="326"/>
      <c r="H85" s="327"/>
      <c r="I85" s="733" t="e">
        <f>'GRANTEE SET UP INFO &amp; DATE '!#REF!</f>
        <v>#REF!</v>
      </c>
      <c r="J85" s="326"/>
      <c r="K85" s="326"/>
      <c r="L85" s="327"/>
      <c r="M85" s="734" t="e">
        <f>'GRANTEE SET UP INFO &amp; DATE '!#REF!</f>
        <v>#REF!</v>
      </c>
      <c r="N85" s="326"/>
      <c r="O85" s="326"/>
      <c r="P85" s="326"/>
      <c r="Q85" s="327"/>
      <c r="R85" s="734" t="e">
        <f>'GRANTEE SET UP INFO &amp; DATE '!#REF!</f>
        <v>#REF!</v>
      </c>
      <c r="S85" s="326"/>
      <c r="T85" s="326"/>
      <c r="U85" s="326"/>
      <c r="V85" s="327"/>
      <c r="W85" s="904">
        <f t="shared" si="0"/>
        <v>0</v>
      </c>
      <c r="X85" s="326"/>
      <c r="Y85" s="326"/>
      <c r="Z85" s="327"/>
      <c r="AA85" s="729">
        <f t="shared" si="1"/>
        <v>0</v>
      </c>
      <c r="AB85" s="326"/>
      <c r="AC85" s="326"/>
      <c r="AD85" s="327"/>
      <c r="AE85" s="733">
        <f t="shared" si="2"/>
        <v>0</v>
      </c>
      <c r="AF85" s="326"/>
      <c r="AG85" s="326"/>
      <c r="AH85" s="327"/>
      <c r="AI85" s="729">
        <f t="shared" si="3"/>
        <v>0</v>
      </c>
      <c r="AJ85" s="326"/>
      <c r="AK85" s="326"/>
      <c r="AL85" s="327"/>
      <c r="AM85" s="733">
        <f t="shared" si="4"/>
        <v>0</v>
      </c>
      <c r="AN85" s="326"/>
      <c r="AO85" s="326"/>
      <c r="AP85" s="327"/>
      <c r="AQ85" s="910">
        <f t="shared" si="5"/>
        <v>0</v>
      </c>
      <c r="AR85" s="326"/>
      <c r="AS85" s="326"/>
      <c r="AT85" s="327"/>
      <c r="AU85" s="878">
        <f t="shared" si="6"/>
        <v>0</v>
      </c>
      <c r="AV85" s="326"/>
      <c r="AW85" s="326"/>
      <c r="AX85" s="327"/>
      <c r="AY85" s="910">
        <f t="shared" si="7"/>
        <v>0</v>
      </c>
      <c r="AZ85" s="326"/>
      <c r="BA85" s="326"/>
      <c r="BB85" s="327"/>
      <c r="BC85" s="878">
        <f t="shared" si="8"/>
        <v>0</v>
      </c>
      <c r="BD85" s="326"/>
      <c r="BE85" s="326"/>
      <c r="BF85" s="327"/>
      <c r="BG85" s="874">
        <f t="shared" si="9"/>
        <v>0</v>
      </c>
      <c r="BH85" s="326"/>
      <c r="BI85" s="326"/>
      <c r="BJ85" s="327"/>
      <c r="BK85" s="853">
        <f t="shared" si="10"/>
        <v>0</v>
      </c>
      <c r="BL85" s="326"/>
      <c r="BM85" s="326"/>
      <c r="BN85" s="327"/>
      <c r="BO85" s="874">
        <f t="shared" si="11"/>
        <v>0</v>
      </c>
      <c r="BP85" s="326"/>
      <c r="BQ85" s="326"/>
      <c r="BR85" s="327"/>
      <c r="BS85" s="853">
        <f t="shared" si="12"/>
        <v>0</v>
      </c>
      <c r="BT85" s="326"/>
      <c r="BU85" s="326"/>
      <c r="BV85" s="909"/>
      <c r="BW85" s="934"/>
    </row>
    <row r="86" spans="1:75" ht="15.75" customHeight="1" x14ac:dyDescent="0.25">
      <c r="A86" s="920"/>
      <c r="B86" s="344"/>
      <c r="C86" s="344"/>
      <c r="D86" s="344"/>
      <c r="E86" s="344"/>
      <c r="F86" s="344"/>
      <c r="G86" s="344"/>
      <c r="H86" s="345"/>
      <c r="I86" s="921"/>
      <c r="J86" s="344"/>
      <c r="K86" s="344"/>
      <c r="L86" s="345"/>
      <c r="M86" s="922"/>
      <c r="N86" s="344"/>
      <c r="O86" s="344"/>
      <c r="P86" s="344"/>
      <c r="Q86" s="345"/>
      <c r="R86" s="922"/>
      <c r="S86" s="344"/>
      <c r="T86" s="344"/>
      <c r="U86" s="344"/>
      <c r="V86" s="345"/>
      <c r="W86" s="904"/>
      <c r="X86" s="326"/>
      <c r="Y86" s="326"/>
      <c r="Z86" s="327"/>
      <c r="AA86" s="923"/>
      <c r="AB86" s="326"/>
      <c r="AC86" s="326"/>
      <c r="AD86" s="327"/>
      <c r="AE86" s="924"/>
      <c r="AF86" s="326"/>
      <c r="AG86" s="326"/>
      <c r="AH86" s="327"/>
      <c r="AI86" s="729"/>
      <c r="AJ86" s="326"/>
      <c r="AK86" s="326"/>
      <c r="AL86" s="327"/>
      <c r="AM86" s="746"/>
      <c r="AN86" s="326"/>
      <c r="AO86" s="326"/>
      <c r="AP86" s="327"/>
      <c r="AQ86" s="910"/>
      <c r="AR86" s="326"/>
      <c r="AS86" s="326"/>
      <c r="AT86" s="327"/>
      <c r="AU86" s="919"/>
      <c r="AV86" s="326"/>
      <c r="AW86" s="326"/>
      <c r="AX86" s="327"/>
      <c r="AY86" s="412"/>
      <c r="AZ86" s="326"/>
      <c r="BA86" s="326"/>
      <c r="BB86" s="327"/>
      <c r="BC86" s="411"/>
      <c r="BD86" s="326"/>
      <c r="BE86" s="326"/>
      <c r="BF86" s="327"/>
      <c r="BG86" s="882"/>
      <c r="BH86" s="326"/>
      <c r="BI86" s="326"/>
      <c r="BJ86" s="327"/>
      <c r="BK86" s="853"/>
      <c r="BL86" s="326"/>
      <c r="BM86" s="326"/>
      <c r="BN86" s="327"/>
      <c r="BO86" s="882"/>
      <c r="BP86" s="326"/>
      <c r="BQ86" s="326"/>
      <c r="BR86" s="327"/>
      <c r="BS86" s="852"/>
      <c r="BT86" s="326"/>
      <c r="BU86" s="326"/>
      <c r="BV86" s="909"/>
      <c r="BW86" s="935"/>
    </row>
    <row r="87" spans="1:75" ht="15.75" customHeight="1" x14ac:dyDescent="0.25">
      <c r="A87" s="927" t="s">
        <v>569</v>
      </c>
      <c r="B87" s="914"/>
      <c r="C87" s="914"/>
      <c r="D87" s="914"/>
      <c r="E87" s="914"/>
      <c r="F87" s="914"/>
      <c r="G87" s="914"/>
      <c r="H87" s="914"/>
      <c r="I87" s="914"/>
      <c r="J87" s="914"/>
      <c r="K87" s="914"/>
      <c r="L87" s="914"/>
      <c r="M87" s="914"/>
      <c r="N87" s="914"/>
      <c r="O87" s="914"/>
      <c r="P87" s="914"/>
      <c r="Q87" s="914"/>
      <c r="R87" s="914"/>
      <c r="S87" s="914"/>
      <c r="T87" s="914"/>
      <c r="U87" s="914"/>
      <c r="V87" s="915"/>
      <c r="W87" s="928">
        <f>SUM(W74:W86)</f>
        <v>0</v>
      </c>
      <c r="X87" s="914"/>
      <c r="Y87" s="914"/>
      <c r="Z87" s="915"/>
      <c r="AA87" s="929">
        <f>SUM(AA74:AA86)</f>
        <v>0</v>
      </c>
      <c r="AB87" s="914"/>
      <c r="AC87" s="914"/>
      <c r="AD87" s="915"/>
      <c r="AE87" s="930">
        <f>SUM(AE74:AE86)</f>
        <v>0</v>
      </c>
      <c r="AF87" s="914"/>
      <c r="AG87" s="914"/>
      <c r="AH87" s="915"/>
      <c r="AI87" s="931">
        <f>SUM(AI74:AI86)</f>
        <v>0</v>
      </c>
      <c r="AJ87" s="914"/>
      <c r="AK87" s="914"/>
      <c r="AL87" s="915"/>
      <c r="AM87" s="930">
        <f>SUM(AM74:AM86)</f>
        <v>0</v>
      </c>
      <c r="AN87" s="914"/>
      <c r="AO87" s="914"/>
      <c r="AP87" s="915"/>
      <c r="AQ87" s="916">
        <f>SUM(AQ74:AQ86)</f>
        <v>0</v>
      </c>
      <c r="AR87" s="914"/>
      <c r="AS87" s="914"/>
      <c r="AT87" s="915"/>
      <c r="AU87" s="913">
        <f>SUM(AU74:AU86)</f>
        <v>0</v>
      </c>
      <c r="AV87" s="914"/>
      <c r="AW87" s="914"/>
      <c r="AX87" s="915"/>
      <c r="AY87" s="916">
        <f>SUM(AY74:AY86)</f>
        <v>0</v>
      </c>
      <c r="AZ87" s="914"/>
      <c r="BA87" s="914"/>
      <c r="BB87" s="915"/>
      <c r="BC87" s="913">
        <f>SUM(BC74:BC86)</f>
        <v>0</v>
      </c>
      <c r="BD87" s="914"/>
      <c r="BE87" s="914"/>
      <c r="BF87" s="915"/>
      <c r="BG87" s="917">
        <f>SUM(BG74:BG86)</f>
        <v>0</v>
      </c>
      <c r="BH87" s="914"/>
      <c r="BI87" s="914"/>
      <c r="BJ87" s="915"/>
      <c r="BK87" s="918">
        <f>SUM(BK74:BK86)</f>
        <v>0</v>
      </c>
      <c r="BL87" s="914"/>
      <c r="BM87" s="914"/>
      <c r="BN87" s="915"/>
      <c r="BO87" s="917">
        <f>SUM(BO74:BO86)</f>
        <v>0</v>
      </c>
      <c r="BP87" s="914"/>
      <c r="BQ87" s="914"/>
      <c r="BR87" s="915"/>
      <c r="BS87" s="925">
        <f>SUM(BS74:BS86)</f>
        <v>0</v>
      </c>
      <c r="BT87" s="914"/>
      <c r="BU87" s="914"/>
      <c r="BV87" s="926"/>
      <c r="BW87" s="168"/>
    </row>
    <row r="88" spans="1:75" ht="15.75" customHeight="1" x14ac:dyDescent="0.25">
      <c r="A88" s="932" t="s">
        <v>730</v>
      </c>
      <c r="B88" s="347"/>
      <c r="C88" s="347"/>
      <c r="D88" s="347"/>
      <c r="E88" s="347"/>
      <c r="F88" s="347"/>
      <c r="G88" s="347"/>
      <c r="H88" s="347"/>
      <c r="I88" s="347"/>
      <c r="J88" s="347"/>
      <c r="K88" s="347"/>
      <c r="L88" s="347"/>
      <c r="M88" s="347"/>
      <c r="N88" s="347"/>
      <c r="O88" s="347"/>
      <c r="P88" s="347"/>
      <c r="Q88" s="347"/>
      <c r="R88" s="347"/>
      <c r="S88" s="347"/>
      <c r="T88" s="347"/>
      <c r="U88" s="347"/>
      <c r="V88" s="347"/>
      <c r="W88" s="347"/>
      <c r="X88" s="347"/>
      <c r="Y88" s="347"/>
      <c r="Z88" s="347"/>
      <c r="AA88" s="347"/>
      <c r="AB88" s="347"/>
      <c r="AC88" s="347"/>
      <c r="AD88" s="347"/>
      <c r="AE88" s="347"/>
      <c r="AF88" s="347"/>
      <c r="AG88" s="347"/>
      <c r="AH88" s="347"/>
      <c r="AI88" s="347"/>
      <c r="AJ88" s="347"/>
      <c r="AK88" s="347"/>
      <c r="AL88" s="347"/>
      <c r="AM88" s="347"/>
      <c r="AN88" s="347"/>
      <c r="AO88" s="347"/>
      <c r="AP88" s="347"/>
      <c r="AQ88" s="347"/>
      <c r="AR88" s="347"/>
      <c r="AS88" s="347"/>
      <c r="AT88" s="347"/>
      <c r="AU88" s="347"/>
      <c r="AV88" s="347"/>
      <c r="AW88" s="347"/>
      <c r="AX88" s="347"/>
      <c r="AY88" s="347"/>
      <c r="AZ88" s="347"/>
      <c r="BA88" s="347"/>
      <c r="BB88" s="347"/>
      <c r="BC88" s="347"/>
      <c r="BD88" s="347"/>
      <c r="BE88" s="347"/>
      <c r="BF88" s="347"/>
      <c r="BG88" s="347"/>
      <c r="BH88" s="347"/>
      <c r="BI88" s="347"/>
      <c r="BJ88" s="347"/>
      <c r="BK88" s="347"/>
      <c r="BL88" s="347"/>
      <c r="BM88" s="347"/>
      <c r="BN88" s="347"/>
      <c r="BO88" s="347"/>
      <c r="BP88" s="347"/>
      <c r="BQ88" s="347"/>
      <c r="BR88" s="347"/>
      <c r="BS88" s="347"/>
      <c r="BT88" s="347"/>
      <c r="BU88" s="347"/>
      <c r="BV88" s="347"/>
      <c r="BW88" s="354"/>
    </row>
    <row r="89" spans="1:75" ht="15.75" customHeight="1" x14ac:dyDescent="0.25">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row>
    <row r="90" spans="1:75" ht="15.75" customHeight="1" x14ac:dyDescent="0.25"/>
    <row r="91" spans="1:75" ht="15.75" customHeight="1" x14ac:dyDescent="0.25"/>
    <row r="92" spans="1:75" ht="15.75" customHeight="1" x14ac:dyDescent="0.25"/>
    <row r="93" spans="1:75" ht="15.75" customHeight="1" x14ac:dyDescent="0.25"/>
    <row r="94" spans="1:75" ht="15.75" customHeight="1" x14ac:dyDescent="0.25"/>
    <row r="95" spans="1:75" ht="15.75" customHeight="1" x14ac:dyDescent="0.25"/>
    <row r="96" spans="1:75"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70">
    <mergeCell ref="A75:H75"/>
    <mergeCell ref="I75:L75"/>
    <mergeCell ref="M75:Q75"/>
    <mergeCell ref="R75:V75"/>
    <mergeCell ref="W75:Z75"/>
    <mergeCell ref="AA75:AD75"/>
    <mergeCell ref="AE75:AH75"/>
    <mergeCell ref="A76:H76"/>
    <mergeCell ref="I76:L76"/>
    <mergeCell ref="M76:Q76"/>
    <mergeCell ref="R76:V76"/>
    <mergeCell ref="W76:Z76"/>
    <mergeCell ref="AA76:AD76"/>
    <mergeCell ref="AE76:AH76"/>
    <mergeCell ref="BO78:BR78"/>
    <mergeCell ref="BS78:BV78"/>
    <mergeCell ref="AA74:AD74"/>
    <mergeCell ref="AE74:AH74"/>
    <mergeCell ref="BK74:BN74"/>
    <mergeCell ref="BO74:BR74"/>
    <mergeCell ref="BS74:BV74"/>
    <mergeCell ref="AI74:AL74"/>
    <mergeCell ref="AM74:AP74"/>
    <mergeCell ref="AQ74:AT74"/>
    <mergeCell ref="AU74:AX74"/>
    <mergeCell ref="AY74:BB74"/>
    <mergeCell ref="BC74:BF74"/>
    <mergeCell ref="BG74:BJ74"/>
    <mergeCell ref="W78:Z78"/>
    <mergeCell ref="AA78:AD78"/>
    <mergeCell ref="AE78:AH78"/>
    <mergeCell ref="AI75:AL75"/>
    <mergeCell ref="AE73:AH73"/>
    <mergeCell ref="AI73:AL73"/>
    <mergeCell ref="A74:H74"/>
    <mergeCell ref="I74:L74"/>
    <mergeCell ref="M74:Q74"/>
    <mergeCell ref="R74:V74"/>
    <mergeCell ref="W74:Z74"/>
    <mergeCell ref="AI78:AL78"/>
    <mergeCell ref="AM78:AP78"/>
    <mergeCell ref="AQ78:AT78"/>
    <mergeCell ref="AU78:AX78"/>
    <mergeCell ref="AY78:BB78"/>
    <mergeCell ref="BC78:BF78"/>
    <mergeCell ref="BG78:BJ78"/>
    <mergeCell ref="AI77:AL77"/>
    <mergeCell ref="AM77:AP77"/>
    <mergeCell ref="AQ77:AT77"/>
    <mergeCell ref="AU77:AX77"/>
    <mergeCell ref="AY77:BB77"/>
    <mergeCell ref="BC77:BF77"/>
    <mergeCell ref="BG77:BJ77"/>
    <mergeCell ref="A77:H77"/>
    <mergeCell ref="I77:L77"/>
    <mergeCell ref="M77:Q77"/>
    <mergeCell ref="R77:V77"/>
    <mergeCell ref="W77:Z77"/>
    <mergeCell ref="AA77:AD77"/>
    <mergeCell ref="AE77:AH77"/>
    <mergeCell ref="A78:H78"/>
    <mergeCell ref="I78:L78"/>
    <mergeCell ref="M78:Q78"/>
    <mergeCell ref="R78:V78"/>
    <mergeCell ref="AM75:AP75"/>
    <mergeCell ref="AQ75:AT75"/>
    <mergeCell ref="AU75:AX75"/>
    <mergeCell ref="AY75:BB75"/>
    <mergeCell ref="BC75:BF75"/>
    <mergeCell ref="BG75:BJ75"/>
    <mergeCell ref="BO76:BR76"/>
    <mergeCell ref="BS76:BV76"/>
    <mergeCell ref="AI76:AL76"/>
    <mergeCell ref="AM76:AP76"/>
    <mergeCell ref="AQ76:AT76"/>
    <mergeCell ref="AU76:AX76"/>
    <mergeCell ref="AY76:BB76"/>
    <mergeCell ref="BC76:BF76"/>
    <mergeCell ref="BG76:BJ76"/>
    <mergeCell ref="BK77:BN77"/>
    <mergeCell ref="BO77:BR77"/>
    <mergeCell ref="BK58:BN58"/>
    <mergeCell ref="BO58:BR58"/>
    <mergeCell ref="BS58:BV58"/>
    <mergeCell ref="BS59:BV59"/>
    <mergeCell ref="A59:H59"/>
    <mergeCell ref="I59:L59"/>
    <mergeCell ref="M59:Q59"/>
    <mergeCell ref="R59:V59"/>
    <mergeCell ref="W59:Z59"/>
    <mergeCell ref="AA59:AD59"/>
    <mergeCell ref="AE59:AH59"/>
    <mergeCell ref="AI68:AL68"/>
    <mergeCell ref="AM68:AP68"/>
    <mergeCell ref="AQ68:AT68"/>
    <mergeCell ref="AU68:AX68"/>
    <mergeCell ref="AY68:BB68"/>
    <mergeCell ref="BC68:BF68"/>
    <mergeCell ref="BG68:BJ68"/>
    <mergeCell ref="AI58:AL58"/>
    <mergeCell ref="AM58:AP58"/>
    <mergeCell ref="AQ58:AT58"/>
    <mergeCell ref="AU58:AX58"/>
    <mergeCell ref="AY58:BB58"/>
    <mergeCell ref="BC58:BF58"/>
    <mergeCell ref="BG58:BJ58"/>
    <mergeCell ref="A58:H58"/>
    <mergeCell ref="I58:L58"/>
    <mergeCell ref="M58:Q58"/>
    <mergeCell ref="R58:V58"/>
    <mergeCell ref="W58:Z58"/>
    <mergeCell ref="AA58:AD58"/>
    <mergeCell ref="AE58:AH58"/>
    <mergeCell ref="BK57:BN57"/>
    <mergeCell ref="BO57:BR57"/>
    <mergeCell ref="BS57:BV57"/>
    <mergeCell ref="AI57:AL57"/>
    <mergeCell ref="AM57:AP57"/>
    <mergeCell ref="AQ57:AT57"/>
    <mergeCell ref="AU57:AX57"/>
    <mergeCell ref="AY57:BB57"/>
    <mergeCell ref="BC57:BF57"/>
    <mergeCell ref="BG57:BJ57"/>
    <mergeCell ref="A57:H57"/>
    <mergeCell ref="I57:L57"/>
    <mergeCell ref="M57:Q57"/>
    <mergeCell ref="R57:V57"/>
    <mergeCell ref="W57:Z57"/>
    <mergeCell ref="AA57:AD57"/>
    <mergeCell ref="AE57:AH57"/>
    <mergeCell ref="BC56:BF56"/>
    <mergeCell ref="BG56:BJ56"/>
    <mergeCell ref="AA56:AD56"/>
    <mergeCell ref="AE56:AH56"/>
    <mergeCell ref="AI56:AL56"/>
    <mergeCell ref="AM56:AP56"/>
    <mergeCell ref="AQ56:AT56"/>
    <mergeCell ref="AU56:AX56"/>
    <mergeCell ref="AY56:BB56"/>
    <mergeCell ref="BO49:BR49"/>
    <mergeCell ref="BS49:BV49"/>
    <mergeCell ref="AI49:AL49"/>
    <mergeCell ref="AM49:AP49"/>
    <mergeCell ref="AQ49:AT49"/>
    <mergeCell ref="AU49:AX49"/>
    <mergeCell ref="AY49:BB49"/>
    <mergeCell ref="BC49:BF49"/>
    <mergeCell ref="BG49:BJ49"/>
    <mergeCell ref="AA55:AD55"/>
    <mergeCell ref="AE55:AH55"/>
    <mergeCell ref="A49:H49"/>
    <mergeCell ref="I49:L49"/>
    <mergeCell ref="M49:Q49"/>
    <mergeCell ref="R49:V49"/>
    <mergeCell ref="W49:Z49"/>
    <mergeCell ref="AA49:AD49"/>
    <mergeCell ref="AE49:AH49"/>
    <mergeCell ref="BK50:BN50"/>
    <mergeCell ref="BO50:BR50"/>
    <mergeCell ref="BS50:BV50"/>
    <mergeCell ref="BS48:BV48"/>
    <mergeCell ref="A48:H48"/>
    <mergeCell ref="I48:L48"/>
    <mergeCell ref="M48:Q48"/>
    <mergeCell ref="R48:V48"/>
    <mergeCell ref="W48:Z48"/>
    <mergeCell ref="AA48:AD48"/>
    <mergeCell ref="AE48:AH48"/>
    <mergeCell ref="AI50:AL50"/>
    <mergeCell ref="AM50:AP50"/>
    <mergeCell ref="AQ50:AT50"/>
    <mergeCell ref="AU50:AX50"/>
    <mergeCell ref="AY50:BB50"/>
    <mergeCell ref="BC50:BF50"/>
    <mergeCell ref="BG50:BJ50"/>
    <mergeCell ref="A50:H50"/>
    <mergeCell ref="I50:L50"/>
    <mergeCell ref="M50:Q50"/>
    <mergeCell ref="R50:V50"/>
    <mergeCell ref="W50:Z50"/>
    <mergeCell ref="AA50:AD50"/>
    <mergeCell ref="AE50:AH50"/>
    <mergeCell ref="BK48:BN48"/>
    <mergeCell ref="BO48:BR48"/>
    <mergeCell ref="AI48:AL48"/>
    <mergeCell ref="AM48:AP48"/>
    <mergeCell ref="AQ48:AT48"/>
    <mergeCell ref="AU48:AX48"/>
    <mergeCell ref="AY48:BB48"/>
    <mergeCell ref="BC48:BF48"/>
    <mergeCell ref="BG48:BJ48"/>
    <mergeCell ref="BK49:BN49"/>
    <mergeCell ref="BO46:BR46"/>
    <mergeCell ref="BS46:BV46"/>
    <mergeCell ref="AI46:AL46"/>
    <mergeCell ref="AM46:AP46"/>
    <mergeCell ref="AQ46:AT46"/>
    <mergeCell ref="AU46:AX46"/>
    <mergeCell ref="AY46:BB46"/>
    <mergeCell ref="BC46:BF46"/>
    <mergeCell ref="BG46:BJ46"/>
    <mergeCell ref="A46:H46"/>
    <mergeCell ref="I46:L46"/>
    <mergeCell ref="M46:Q46"/>
    <mergeCell ref="R46:V46"/>
    <mergeCell ref="W46:Z46"/>
    <mergeCell ref="AA46:AD46"/>
    <mergeCell ref="AE46:AH46"/>
    <mergeCell ref="BK47:BN47"/>
    <mergeCell ref="BO47:BR47"/>
    <mergeCell ref="BS47:BV47"/>
    <mergeCell ref="BS45:BV45"/>
    <mergeCell ref="A45:H45"/>
    <mergeCell ref="I45:L45"/>
    <mergeCell ref="M45:Q45"/>
    <mergeCell ref="R45:V45"/>
    <mergeCell ref="W45:Z45"/>
    <mergeCell ref="AA45:AD45"/>
    <mergeCell ref="AE45:AH45"/>
    <mergeCell ref="AI47:AL47"/>
    <mergeCell ref="AM47:AP47"/>
    <mergeCell ref="AQ47:AT47"/>
    <mergeCell ref="AU47:AX47"/>
    <mergeCell ref="AY47:BB47"/>
    <mergeCell ref="BC47:BF47"/>
    <mergeCell ref="BG47:BJ47"/>
    <mergeCell ref="A47:H47"/>
    <mergeCell ref="I47:L47"/>
    <mergeCell ref="M47:Q47"/>
    <mergeCell ref="R47:V47"/>
    <mergeCell ref="W47:Z47"/>
    <mergeCell ref="AA47:AD47"/>
    <mergeCell ref="AE47:AH47"/>
    <mergeCell ref="BK45:BN45"/>
    <mergeCell ref="BO45:BR45"/>
    <mergeCell ref="AI45:AL45"/>
    <mergeCell ref="AM45:AP45"/>
    <mergeCell ref="AQ45:AT45"/>
    <mergeCell ref="AU45:AX45"/>
    <mergeCell ref="AY45:BB45"/>
    <mergeCell ref="BC45:BF45"/>
    <mergeCell ref="BG45:BJ45"/>
    <mergeCell ref="BK46:BN46"/>
    <mergeCell ref="BO43:BR43"/>
    <mergeCell ref="BS43:BV43"/>
    <mergeCell ref="AI43:AL43"/>
    <mergeCell ref="AM43:AP43"/>
    <mergeCell ref="AQ43:AT43"/>
    <mergeCell ref="AU43:AX43"/>
    <mergeCell ref="AY43:BB43"/>
    <mergeCell ref="BC43:BF43"/>
    <mergeCell ref="BG43:BJ43"/>
    <mergeCell ref="A43:H43"/>
    <mergeCell ref="I43:L43"/>
    <mergeCell ref="M43:Q43"/>
    <mergeCell ref="R43:V43"/>
    <mergeCell ref="W43:Z43"/>
    <mergeCell ref="AA43:AD43"/>
    <mergeCell ref="AE43:AH43"/>
    <mergeCell ref="BK44:BN44"/>
    <mergeCell ref="BO44:BR44"/>
    <mergeCell ref="BS44:BV44"/>
    <mergeCell ref="BS42:BV42"/>
    <mergeCell ref="A42:H42"/>
    <mergeCell ref="I42:L42"/>
    <mergeCell ref="M42:Q42"/>
    <mergeCell ref="R42:V42"/>
    <mergeCell ref="W42:Z42"/>
    <mergeCell ref="AA42:AD42"/>
    <mergeCell ref="AE42:AH42"/>
    <mergeCell ref="AI44:AL44"/>
    <mergeCell ref="AM44:AP44"/>
    <mergeCell ref="AQ44:AT44"/>
    <mergeCell ref="AU44:AX44"/>
    <mergeCell ref="AY44:BB44"/>
    <mergeCell ref="BC44:BF44"/>
    <mergeCell ref="BG44:BJ44"/>
    <mergeCell ref="A44:H44"/>
    <mergeCell ref="I44:L44"/>
    <mergeCell ref="M44:Q44"/>
    <mergeCell ref="R44:V44"/>
    <mergeCell ref="W44:Z44"/>
    <mergeCell ref="AA44:AD44"/>
    <mergeCell ref="AE44:AH44"/>
    <mergeCell ref="BK42:BN42"/>
    <mergeCell ref="BO42:BR42"/>
    <mergeCell ref="AI42:AL42"/>
    <mergeCell ref="AM42:AP42"/>
    <mergeCell ref="AQ42:AT42"/>
    <mergeCell ref="AU42:AX42"/>
    <mergeCell ref="AY42:BB42"/>
    <mergeCell ref="BC42:BF42"/>
    <mergeCell ref="BG42:BJ42"/>
    <mergeCell ref="BK43:BN43"/>
    <mergeCell ref="BS40:BV40"/>
    <mergeCell ref="AI40:AL40"/>
    <mergeCell ref="AM40:AP40"/>
    <mergeCell ref="AQ40:AT40"/>
    <mergeCell ref="AU40:AX40"/>
    <mergeCell ref="AY40:BB40"/>
    <mergeCell ref="BC40:BF40"/>
    <mergeCell ref="BG40:BJ40"/>
    <mergeCell ref="AA40:AD40"/>
    <mergeCell ref="AE40:AH40"/>
    <mergeCell ref="BK41:BN41"/>
    <mergeCell ref="BO41:BR41"/>
    <mergeCell ref="BS41:BV41"/>
    <mergeCell ref="BC41:BF41"/>
    <mergeCell ref="BG41:BJ41"/>
    <mergeCell ref="A41:H41"/>
    <mergeCell ref="I41:L41"/>
    <mergeCell ref="M41:Q41"/>
    <mergeCell ref="R41:V41"/>
    <mergeCell ref="W41:Z41"/>
    <mergeCell ref="AA41:AD41"/>
    <mergeCell ref="AE41:AH41"/>
    <mergeCell ref="AM41:AP41"/>
    <mergeCell ref="AQ41:AT41"/>
    <mergeCell ref="AU41:AX41"/>
    <mergeCell ref="AY41:BB41"/>
    <mergeCell ref="AU39:AX39"/>
    <mergeCell ref="AY39:BB39"/>
    <mergeCell ref="BC39:BF39"/>
    <mergeCell ref="BG39:BJ39"/>
    <mergeCell ref="BK40:BN40"/>
    <mergeCell ref="BO40:BR40"/>
    <mergeCell ref="BS35:BV35"/>
    <mergeCell ref="A35:V35"/>
    <mergeCell ref="W35:Z35"/>
    <mergeCell ref="AA35:AD35"/>
    <mergeCell ref="AE35:AH35"/>
    <mergeCell ref="AI35:AL35"/>
    <mergeCell ref="AM35:AP35"/>
    <mergeCell ref="AQ35:AT35"/>
    <mergeCell ref="BO38:BR38"/>
    <mergeCell ref="BS38:BV38"/>
    <mergeCell ref="BS39:BV39"/>
    <mergeCell ref="AM38:AP38"/>
    <mergeCell ref="AQ38:AT38"/>
    <mergeCell ref="AU38:AX38"/>
    <mergeCell ref="AY38:BB38"/>
    <mergeCell ref="BC38:BF38"/>
    <mergeCell ref="BG38:BJ38"/>
    <mergeCell ref="BK38:BN38"/>
    <mergeCell ref="A39:H39"/>
    <mergeCell ref="I39:L39"/>
    <mergeCell ref="M39:Q39"/>
    <mergeCell ref="A40:H40"/>
    <mergeCell ref="I40:L40"/>
    <mergeCell ref="M40:Q40"/>
    <mergeCell ref="R40:V40"/>
    <mergeCell ref="W40:Z40"/>
    <mergeCell ref="BO84:BR84"/>
    <mergeCell ref="BK86:BN86"/>
    <mergeCell ref="BO86:BR86"/>
    <mergeCell ref="AE38:AH38"/>
    <mergeCell ref="AI38:AL38"/>
    <mergeCell ref="A37:AO37"/>
    <mergeCell ref="A38:H38"/>
    <mergeCell ref="I38:L38"/>
    <mergeCell ref="M38:Q38"/>
    <mergeCell ref="R38:V38"/>
    <mergeCell ref="W38:Z38"/>
    <mergeCell ref="AA38:AD38"/>
    <mergeCell ref="BK34:BN34"/>
    <mergeCell ref="BO34:BR34"/>
    <mergeCell ref="AI34:AL34"/>
    <mergeCell ref="AM34:AP34"/>
    <mergeCell ref="AQ34:AT34"/>
    <mergeCell ref="AU34:AX34"/>
    <mergeCell ref="AY34:BB34"/>
    <mergeCell ref="BC34:BF34"/>
    <mergeCell ref="BG34:BJ34"/>
    <mergeCell ref="AU35:AX35"/>
    <mergeCell ref="AY35:BB35"/>
    <mergeCell ref="BC35:BF35"/>
    <mergeCell ref="BG35:BJ35"/>
    <mergeCell ref="BK35:BN35"/>
    <mergeCell ref="BO35:BR35"/>
    <mergeCell ref="AI41:AL41"/>
    <mergeCell ref="BK39:BN39"/>
    <mergeCell ref="BO39:BR39"/>
    <mergeCell ref="AI39:AL39"/>
    <mergeCell ref="AM39:AP39"/>
    <mergeCell ref="M68:Q68"/>
    <mergeCell ref="R68:V68"/>
    <mergeCell ref="W68:Z68"/>
    <mergeCell ref="AA68:AD68"/>
    <mergeCell ref="AE68:AH68"/>
    <mergeCell ref="BS84:BV84"/>
    <mergeCell ref="BK85:BN85"/>
    <mergeCell ref="BO85:BR85"/>
    <mergeCell ref="BS85:BV85"/>
    <mergeCell ref="BK68:BN68"/>
    <mergeCell ref="BO68:BR68"/>
    <mergeCell ref="BW74:BW86"/>
    <mergeCell ref="BK75:BN75"/>
    <mergeCell ref="BO75:BR75"/>
    <mergeCell ref="BS75:BV75"/>
    <mergeCell ref="BS77:BV77"/>
    <mergeCell ref="BS86:BV86"/>
    <mergeCell ref="BK76:BN76"/>
    <mergeCell ref="BK78:BN78"/>
    <mergeCell ref="BK79:BN79"/>
    <mergeCell ref="BO79:BR79"/>
    <mergeCell ref="BS79:BV79"/>
    <mergeCell ref="BK80:BN80"/>
    <mergeCell ref="BO80:BR80"/>
    <mergeCell ref="BS80:BV80"/>
    <mergeCell ref="BK81:BN81"/>
    <mergeCell ref="BO81:BR81"/>
    <mergeCell ref="BS81:BV81"/>
    <mergeCell ref="BK82:BN82"/>
    <mergeCell ref="BO82:BR82"/>
    <mergeCell ref="BS82:BV82"/>
    <mergeCell ref="BK84:BN84"/>
    <mergeCell ref="AQ66:AT66"/>
    <mergeCell ref="AU66:AX66"/>
    <mergeCell ref="AY66:BB66"/>
    <mergeCell ref="BC66:BF66"/>
    <mergeCell ref="BG66:BJ66"/>
    <mergeCell ref="A66:H66"/>
    <mergeCell ref="I66:L66"/>
    <mergeCell ref="M66:Q66"/>
    <mergeCell ref="R66:V66"/>
    <mergeCell ref="W66:Z66"/>
    <mergeCell ref="AA66:AD66"/>
    <mergeCell ref="AE66:AH66"/>
    <mergeCell ref="BK67:BN67"/>
    <mergeCell ref="BO67:BR67"/>
    <mergeCell ref="BS67:BV67"/>
    <mergeCell ref="BS68:BV68"/>
    <mergeCell ref="AI67:AL67"/>
    <mergeCell ref="AM67:AP67"/>
    <mergeCell ref="AQ67:AT67"/>
    <mergeCell ref="AU67:AX67"/>
    <mergeCell ref="AY67:BB67"/>
    <mergeCell ref="BC67:BF67"/>
    <mergeCell ref="BG67:BJ67"/>
    <mergeCell ref="A67:H67"/>
    <mergeCell ref="I67:L67"/>
    <mergeCell ref="M67:Q67"/>
    <mergeCell ref="R67:V67"/>
    <mergeCell ref="W67:Z67"/>
    <mergeCell ref="AA67:AD67"/>
    <mergeCell ref="AE67:AH67"/>
    <mergeCell ref="A68:H68"/>
    <mergeCell ref="I68:L68"/>
    <mergeCell ref="A63:H63"/>
    <mergeCell ref="I63:L63"/>
    <mergeCell ref="M63:Q63"/>
    <mergeCell ref="R63:V63"/>
    <mergeCell ref="W63:Z63"/>
    <mergeCell ref="AA63:AD63"/>
    <mergeCell ref="AE63:AH63"/>
    <mergeCell ref="BK64:BN64"/>
    <mergeCell ref="BO64:BR64"/>
    <mergeCell ref="BS64:BV64"/>
    <mergeCell ref="BS65:BV65"/>
    <mergeCell ref="AI64:AL64"/>
    <mergeCell ref="AM64:AP64"/>
    <mergeCell ref="AQ64:AT64"/>
    <mergeCell ref="AU64:AX64"/>
    <mergeCell ref="AY64:BB64"/>
    <mergeCell ref="BC64:BF64"/>
    <mergeCell ref="BG64:BJ64"/>
    <mergeCell ref="A64:H64"/>
    <mergeCell ref="I64:L64"/>
    <mergeCell ref="M64:Q64"/>
    <mergeCell ref="R64:V64"/>
    <mergeCell ref="W64:Z64"/>
    <mergeCell ref="AA64:AD64"/>
    <mergeCell ref="AE64:AH64"/>
    <mergeCell ref="A65:H65"/>
    <mergeCell ref="I65:L65"/>
    <mergeCell ref="M65:Q65"/>
    <mergeCell ref="R65:V65"/>
    <mergeCell ref="W65:Z65"/>
    <mergeCell ref="AA65:AD65"/>
    <mergeCell ref="AE65:AH65"/>
    <mergeCell ref="A60:H60"/>
    <mergeCell ref="I60:L60"/>
    <mergeCell ref="M60:Q60"/>
    <mergeCell ref="R60:V60"/>
    <mergeCell ref="W60:Z60"/>
    <mergeCell ref="AA60:AD60"/>
    <mergeCell ref="AE60:AH60"/>
    <mergeCell ref="BK61:BN61"/>
    <mergeCell ref="BO61:BR61"/>
    <mergeCell ref="BS61:BV61"/>
    <mergeCell ref="A62:H62"/>
    <mergeCell ref="I62:L62"/>
    <mergeCell ref="M62:Q62"/>
    <mergeCell ref="R62:V62"/>
    <mergeCell ref="W62:Z62"/>
    <mergeCell ref="AA62:AD62"/>
    <mergeCell ref="AE62:AH62"/>
    <mergeCell ref="BK62:BN62"/>
    <mergeCell ref="BO62:BR62"/>
    <mergeCell ref="BS62:BV62"/>
    <mergeCell ref="AI62:AL62"/>
    <mergeCell ref="AM62:AP62"/>
    <mergeCell ref="AQ62:AT62"/>
    <mergeCell ref="AU62:AX62"/>
    <mergeCell ref="AY62:BB62"/>
    <mergeCell ref="BC62:BF62"/>
    <mergeCell ref="BG62:BJ62"/>
    <mergeCell ref="BK59:BN59"/>
    <mergeCell ref="BO59:BR59"/>
    <mergeCell ref="AI59:AL59"/>
    <mergeCell ref="AM59:AP59"/>
    <mergeCell ref="AQ59:AT59"/>
    <mergeCell ref="AU59:AX59"/>
    <mergeCell ref="AY59:BB59"/>
    <mergeCell ref="BC59:BF59"/>
    <mergeCell ref="BG59:BJ59"/>
    <mergeCell ref="BK60:BN60"/>
    <mergeCell ref="BO60:BR60"/>
    <mergeCell ref="BS60:BV60"/>
    <mergeCell ref="AI60:AL60"/>
    <mergeCell ref="AM60:AP60"/>
    <mergeCell ref="AQ60:AT60"/>
    <mergeCell ref="AU60:AX60"/>
    <mergeCell ref="AY60:BB60"/>
    <mergeCell ref="BC60:BF60"/>
    <mergeCell ref="BG60:BJ60"/>
    <mergeCell ref="BS87:BV87"/>
    <mergeCell ref="A87:V87"/>
    <mergeCell ref="W87:Z87"/>
    <mergeCell ref="AA87:AD87"/>
    <mergeCell ref="AE87:AH87"/>
    <mergeCell ref="AI87:AL87"/>
    <mergeCell ref="AM87:AP87"/>
    <mergeCell ref="AQ87:AT87"/>
    <mergeCell ref="A88:BW88"/>
    <mergeCell ref="AI61:AL61"/>
    <mergeCell ref="AM61:AP61"/>
    <mergeCell ref="AQ61:AT61"/>
    <mergeCell ref="AU61:AX61"/>
    <mergeCell ref="AY61:BB61"/>
    <mergeCell ref="BC61:BF61"/>
    <mergeCell ref="BG61:BJ61"/>
    <mergeCell ref="A61:H61"/>
    <mergeCell ref="I61:L61"/>
    <mergeCell ref="M61:Q61"/>
    <mergeCell ref="R61:V61"/>
    <mergeCell ref="W61:Z61"/>
    <mergeCell ref="AA61:AD61"/>
    <mergeCell ref="AE61:AH61"/>
    <mergeCell ref="BK65:BN65"/>
    <mergeCell ref="BO65:BR65"/>
    <mergeCell ref="AI65:AL65"/>
    <mergeCell ref="AM65:AP65"/>
    <mergeCell ref="AQ65:AT65"/>
    <mergeCell ref="AU65:AX65"/>
    <mergeCell ref="AY65:BB65"/>
    <mergeCell ref="BC65:BF65"/>
    <mergeCell ref="BG65:BJ65"/>
    <mergeCell ref="AU87:AX87"/>
    <mergeCell ref="AY87:BB87"/>
    <mergeCell ref="BC87:BF87"/>
    <mergeCell ref="BG87:BJ87"/>
    <mergeCell ref="BK87:BN87"/>
    <mergeCell ref="BO87:BR87"/>
    <mergeCell ref="AU86:AX86"/>
    <mergeCell ref="AY86:BB86"/>
    <mergeCell ref="BC86:BF86"/>
    <mergeCell ref="BG86:BJ86"/>
    <mergeCell ref="A86:H86"/>
    <mergeCell ref="I86:L86"/>
    <mergeCell ref="M86:Q86"/>
    <mergeCell ref="R86:V86"/>
    <mergeCell ref="W86:Z86"/>
    <mergeCell ref="AA86:AD86"/>
    <mergeCell ref="AE86:AH86"/>
    <mergeCell ref="M82:Q82"/>
    <mergeCell ref="R82:V82"/>
    <mergeCell ref="W82:Z82"/>
    <mergeCell ref="AA82:AD82"/>
    <mergeCell ref="AE82:AH82"/>
    <mergeCell ref="AI84:AL84"/>
    <mergeCell ref="AM84:AP84"/>
    <mergeCell ref="AQ84:AT84"/>
    <mergeCell ref="AU84:AX84"/>
    <mergeCell ref="AY84:BB84"/>
    <mergeCell ref="BC84:BF84"/>
    <mergeCell ref="BG84:BJ84"/>
    <mergeCell ref="AU85:AX85"/>
    <mergeCell ref="AY85:BB85"/>
    <mergeCell ref="BC85:BF85"/>
    <mergeCell ref="BG85:BJ85"/>
    <mergeCell ref="A85:H85"/>
    <mergeCell ref="I85:L85"/>
    <mergeCell ref="M85:Q85"/>
    <mergeCell ref="R85:V85"/>
    <mergeCell ref="W85:Z85"/>
    <mergeCell ref="AA85:AD85"/>
    <mergeCell ref="AE85:AH85"/>
    <mergeCell ref="A81:H81"/>
    <mergeCell ref="I81:L81"/>
    <mergeCell ref="M81:Q81"/>
    <mergeCell ref="R81:V81"/>
    <mergeCell ref="W81:Z81"/>
    <mergeCell ref="AA81:AD81"/>
    <mergeCell ref="AE81:AH81"/>
    <mergeCell ref="A83:H83"/>
    <mergeCell ref="I83:L83"/>
    <mergeCell ref="M83:Q83"/>
    <mergeCell ref="R83:V83"/>
    <mergeCell ref="W83:Z83"/>
    <mergeCell ref="AA83:AD83"/>
    <mergeCell ref="AE83:AH83"/>
    <mergeCell ref="AI86:AL86"/>
    <mergeCell ref="AM86:AP86"/>
    <mergeCell ref="AQ86:AT86"/>
    <mergeCell ref="A84:H84"/>
    <mergeCell ref="I84:L84"/>
    <mergeCell ref="M84:Q84"/>
    <mergeCell ref="R84:V84"/>
    <mergeCell ref="W84:Z84"/>
    <mergeCell ref="AA84:AD84"/>
    <mergeCell ref="AE84:AH84"/>
    <mergeCell ref="AI85:AL85"/>
    <mergeCell ref="AM85:AP85"/>
    <mergeCell ref="AQ85:AT85"/>
    <mergeCell ref="AI82:AL82"/>
    <mergeCell ref="AM82:AP82"/>
    <mergeCell ref="AQ82:AT82"/>
    <mergeCell ref="A82:H82"/>
    <mergeCell ref="I82:L82"/>
    <mergeCell ref="I79:L79"/>
    <mergeCell ref="M79:Q79"/>
    <mergeCell ref="R79:V79"/>
    <mergeCell ref="W79:Z79"/>
    <mergeCell ref="AQ79:AT79"/>
    <mergeCell ref="AE80:AH80"/>
    <mergeCell ref="AI80:AL80"/>
    <mergeCell ref="AM80:AP80"/>
    <mergeCell ref="AQ80:AT80"/>
    <mergeCell ref="AU80:AX80"/>
    <mergeCell ref="AY80:BB80"/>
    <mergeCell ref="BC80:BF80"/>
    <mergeCell ref="BG80:BJ80"/>
    <mergeCell ref="A79:H79"/>
    <mergeCell ref="A80:H80"/>
    <mergeCell ref="I80:L80"/>
    <mergeCell ref="M80:Q80"/>
    <mergeCell ref="R80:V80"/>
    <mergeCell ref="W80:Z80"/>
    <mergeCell ref="AA80:AD80"/>
    <mergeCell ref="AA79:AD79"/>
    <mergeCell ref="AE79:AH79"/>
    <mergeCell ref="AU79:AX79"/>
    <mergeCell ref="AY79:BB79"/>
    <mergeCell ref="BC79:BF79"/>
    <mergeCell ref="BG79:BJ79"/>
    <mergeCell ref="BK83:BN83"/>
    <mergeCell ref="BO83:BR83"/>
    <mergeCell ref="BS83:BV83"/>
    <mergeCell ref="AI83:AL83"/>
    <mergeCell ref="AM83:AP83"/>
    <mergeCell ref="AQ83:AT83"/>
    <mergeCell ref="AU83:AX83"/>
    <mergeCell ref="AY83:BB83"/>
    <mergeCell ref="BC83:BF83"/>
    <mergeCell ref="BG83:BJ83"/>
    <mergeCell ref="AI79:AL79"/>
    <mergeCell ref="AM79:AP79"/>
    <mergeCell ref="AI81:AL81"/>
    <mergeCell ref="AM81:AP81"/>
    <mergeCell ref="AQ81:AT81"/>
    <mergeCell ref="AU81:AX81"/>
    <mergeCell ref="AY81:BB81"/>
    <mergeCell ref="BC81:BF81"/>
    <mergeCell ref="BG81:BJ81"/>
    <mergeCell ref="AU82:AX82"/>
    <mergeCell ref="AY82:BB82"/>
    <mergeCell ref="BC82:BF82"/>
    <mergeCell ref="BG82:BJ82"/>
    <mergeCell ref="BS32:BV32"/>
    <mergeCell ref="AI32:AL32"/>
    <mergeCell ref="A69:V69"/>
    <mergeCell ref="W69:Z69"/>
    <mergeCell ref="AA69:AD69"/>
    <mergeCell ref="AE69:AH69"/>
    <mergeCell ref="AI69:AL69"/>
    <mergeCell ref="AM69:AP69"/>
    <mergeCell ref="AQ69:AT69"/>
    <mergeCell ref="AU73:AX73"/>
    <mergeCell ref="AY73:BB73"/>
    <mergeCell ref="BC73:BF73"/>
    <mergeCell ref="BG73:BJ73"/>
    <mergeCell ref="BK73:BN73"/>
    <mergeCell ref="BO73:BR73"/>
    <mergeCell ref="A72:BV72"/>
    <mergeCell ref="A73:H73"/>
    <mergeCell ref="I73:L73"/>
    <mergeCell ref="M73:Q73"/>
    <mergeCell ref="R73:V73"/>
    <mergeCell ref="W73:Z73"/>
    <mergeCell ref="AA73:AD73"/>
    <mergeCell ref="BS73:BV73"/>
    <mergeCell ref="AM73:AP73"/>
    <mergeCell ref="AQ73:AT73"/>
    <mergeCell ref="AU69:AX69"/>
    <mergeCell ref="AY69:BB69"/>
    <mergeCell ref="BC69:BF69"/>
    <mergeCell ref="BG69:BJ69"/>
    <mergeCell ref="BK69:BN69"/>
    <mergeCell ref="BO69:BR69"/>
    <mergeCell ref="BS69:BV69"/>
    <mergeCell ref="BO10:BR10"/>
    <mergeCell ref="BS10:BV10"/>
    <mergeCell ref="BK63:BN63"/>
    <mergeCell ref="BO63:BR63"/>
    <mergeCell ref="BS63:BV63"/>
    <mergeCell ref="AI63:AL63"/>
    <mergeCell ref="AM63:AP63"/>
    <mergeCell ref="AQ63:AT63"/>
    <mergeCell ref="AU63:AX63"/>
    <mergeCell ref="AY63:BB63"/>
    <mergeCell ref="BC63:BF63"/>
    <mergeCell ref="BG63:BJ63"/>
    <mergeCell ref="BK66:BN66"/>
    <mergeCell ref="BO66:BR66"/>
    <mergeCell ref="BS66:BV66"/>
    <mergeCell ref="AI66:AL66"/>
    <mergeCell ref="AM66:AP66"/>
    <mergeCell ref="BS11:BV11"/>
    <mergeCell ref="AI10:AL10"/>
    <mergeCell ref="AM10:AP10"/>
    <mergeCell ref="AQ10:AT10"/>
    <mergeCell ref="AU10:AX10"/>
    <mergeCell ref="AY10:BB10"/>
    <mergeCell ref="BC10:BF10"/>
    <mergeCell ref="BG10:BJ10"/>
    <mergeCell ref="BK56:BN56"/>
    <mergeCell ref="BO56:BR56"/>
    <mergeCell ref="BS56:BV56"/>
    <mergeCell ref="BC31:BF31"/>
    <mergeCell ref="BG31:BJ31"/>
    <mergeCell ref="BK32:BN32"/>
    <mergeCell ref="BO32:BR32"/>
    <mergeCell ref="BK9:BN9"/>
    <mergeCell ref="BO9:BR9"/>
    <mergeCell ref="A10:H10"/>
    <mergeCell ref="I10:L10"/>
    <mergeCell ref="M10:Q10"/>
    <mergeCell ref="R10:V10"/>
    <mergeCell ref="W10:Z10"/>
    <mergeCell ref="AA10:AD10"/>
    <mergeCell ref="AE10:AH10"/>
    <mergeCell ref="A11:H11"/>
    <mergeCell ref="I11:L11"/>
    <mergeCell ref="M11:Q11"/>
    <mergeCell ref="R11:V11"/>
    <mergeCell ref="W11:Z11"/>
    <mergeCell ref="AA11:AD11"/>
    <mergeCell ref="AE11:AH11"/>
    <mergeCell ref="BS9:BV9"/>
    <mergeCell ref="AI9:AL9"/>
    <mergeCell ref="AM9:AP9"/>
    <mergeCell ref="AQ9:AT9"/>
    <mergeCell ref="AU9:AX9"/>
    <mergeCell ref="AY9:BB9"/>
    <mergeCell ref="BC9:BF9"/>
    <mergeCell ref="BG9:BJ9"/>
    <mergeCell ref="A9:H9"/>
    <mergeCell ref="I9:L9"/>
    <mergeCell ref="M9:Q9"/>
    <mergeCell ref="R9:V9"/>
    <mergeCell ref="W9:Z9"/>
    <mergeCell ref="AA9:AD9"/>
    <mergeCell ref="AE9:AH9"/>
    <mergeCell ref="BK10:BN10"/>
    <mergeCell ref="BS7:BV7"/>
    <mergeCell ref="BS8:BV8"/>
    <mergeCell ref="AI7:AL7"/>
    <mergeCell ref="AM7:AP7"/>
    <mergeCell ref="AQ7:AT7"/>
    <mergeCell ref="AU7:AX7"/>
    <mergeCell ref="AY7:BB7"/>
    <mergeCell ref="BC7:BF7"/>
    <mergeCell ref="BG7:BJ7"/>
    <mergeCell ref="A7:H7"/>
    <mergeCell ref="I7:L7"/>
    <mergeCell ref="M7:Q7"/>
    <mergeCell ref="R7:V7"/>
    <mergeCell ref="W7:Z7"/>
    <mergeCell ref="AA7:AD7"/>
    <mergeCell ref="AE7:AH7"/>
    <mergeCell ref="A8:H8"/>
    <mergeCell ref="I8:L8"/>
    <mergeCell ref="M8:Q8"/>
    <mergeCell ref="R8:V8"/>
    <mergeCell ref="W8:Z8"/>
    <mergeCell ref="AA8:AD8"/>
    <mergeCell ref="AE8:AH8"/>
    <mergeCell ref="AI4:AL4"/>
    <mergeCell ref="AM4:AP4"/>
    <mergeCell ref="AQ4:AT4"/>
    <mergeCell ref="AU4:AX4"/>
    <mergeCell ref="AY4:BB4"/>
    <mergeCell ref="BC4:BF4"/>
    <mergeCell ref="BG4:BJ4"/>
    <mergeCell ref="BK4:BN4"/>
    <mergeCell ref="BK5:BN5"/>
    <mergeCell ref="BO4:BR4"/>
    <mergeCell ref="BS4:BV4"/>
    <mergeCell ref="BO5:BR5"/>
    <mergeCell ref="BS5:BV5"/>
    <mergeCell ref="A3:V3"/>
    <mergeCell ref="W3:BV3"/>
    <mergeCell ref="A4:H4"/>
    <mergeCell ref="I4:L4"/>
    <mergeCell ref="M4:Q4"/>
    <mergeCell ref="R4:V4"/>
    <mergeCell ref="W4:Z4"/>
    <mergeCell ref="AA4:AD4"/>
    <mergeCell ref="AE4:AH4"/>
    <mergeCell ref="A5:H5"/>
    <mergeCell ref="I5:L5"/>
    <mergeCell ref="M5:Q5"/>
    <mergeCell ref="R5:V5"/>
    <mergeCell ref="W5:Z5"/>
    <mergeCell ref="BK8:BN8"/>
    <mergeCell ref="BO8:BR8"/>
    <mergeCell ref="AI8:AL8"/>
    <mergeCell ref="AM8:AP8"/>
    <mergeCell ref="AQ8:AT8"/>
    <mergeCell ref="AU8:AX8"/>
    <mergeCell ref="AY8:BB8"/>
    <mergeCell ref="BC8:BF8"/>
    <mergeCell ref="BG8:BJ8"/>
    <mergeCell ref="BK6:BN6"/>
    <mergeCell ref="BO6:BR6"/>
    <mergeCell ref="AI55:AL55"/>
    <mergeCell ref="AM55:AP55"/>
    <mergeCell ref="AQ55:AT55"/>
    <mergeCell ref="AU55:AX55"/>
    <mergeCell ref="R34:V34"/>
    <mergeCell ref="W34:Z34"/>
    <mergeCell ref="AA34:AD34"/>
    <mergeCell ref="AM6:AP6"/>
    <mergeCell ref="AQ6:AT6"/>
    <mergeCell ref="AU6:AX6"/>
    <mergeCell ref="AY6:BB6"/>
    <mergeCell ref="BC6:BF6"/>
    <mergeCell ref="BG6:BJ6"/>
    <mergeCell ref="R6:V6"/>
    <mergeCell ref="W6:Z6"/>
    <mergeCell ref="AA6:AD6"/>
    <mergeCell ref="AE6:AH6"/>
    <mergeCell ref="BK7:BN7"/>
    <mergeCell ref="BO7:BR7"/>
    <mergeCell ref="BK11:BN11"/>
    <mergeCell ref="BO11:BR11"/>
    <mergeCell ref="A34:H34"/>
    <mergeCell ref="I34:L34"/>
    <mergeCell ref="M34:Q34"/>
    <mergeCell ref="A56:H56"/>
    <mergeCell ref="I56:L56"/>
    <mergeCell ref="M56:Q56"/>
    <mergeCell ref="R56:V56"/>
    <mergeCell ref="W56:Z56"/>
    <mergeCell ref="BC5:BF5"/>
    <mergeCell ref="BG5:BJ5"/>
    <mergeCell ref="AA5:AD5"/>
    <mergeCell ref="AE5:AH5"/>
    <mergeCell ref="AI5:AL5"/>
    <mergeCell ref="AM5:AP5"/>
    <mergeCell ref="AQ5:AT5"/>
    <mergeCell ref="AU5:AX5"/>
    <mergeCell ref="AY5:BB5"/>
    <mergeCell ref="A6:H6"/>
    <mergeCell ref="I6:L6"/>
    <mergeCell ref="M6:Q6"/>
    <mergeCell ref="AI11:AL11"/>
    <mergeCell ref="AM11:AP11"/>
    <mergeCell ref="AQ11:AT11"/>
    <mergeCell ref="AU11:AX11"/>
    <mergeCell ref="AY11:BB11"/>
    <mergeCell ref="BC11:BF11"/>
    <mergeCell ref="BG11:BJ11"/>
    <mergeCell ref="R39:V39"/>
    <mergeCell ref="W39:Z39"/>
    <mergeCell ref="AA39:AD39"/>
    <mergeCell ref="AE39:AH39"/>
    <mergeCell ref="AQ39:AT39"/>
    <mergeCell ref="AU51:AX51"/>
    <mergeCell ref="AY51:BB51"/>
    <mergeCell ref="BC51:BF51"/>
    <mergeCell ref="BS6:BV6"/>
    <mergeCell ref="AI6:AL6"/>
    <mergeCell ref="BG51:BJ51"/>
    <mergeCell ref="AU52:AX52"/>
    <mergeCell ref="AY52:BB52"/>
    <mergeCell ref="BC52:BF52"/>
    <mergeCell ref="BG52:BJ52"/>
    <mergeCell ref="BK52:BN52"/>
    <mergeCell ref="BO52:BR52"/>
    <mergeCell ref="BS52:BV52"/>
    <mergeCell ref="A52:V52"/>
    <mergeCell ref="W52:Z52"/>
    <mergeCell ref="AA52:AD52"/>
    <mergeCell ref="AE52:AH52"/>
    <mergeCell ref="AI52:AL52"/>
    <mergeCell ref="AM52:AP52"/>
    <mergeCell ref="AQ52:AT52"/>
    <mergeCell ref="BS51:BV51"/>
    <mergeCell ref="A51:H51"/>
    <mergeCell ref="I51:L51"/>
    <mergeCell ref="M51:Q51"/>
    <mergeCell ref="R51:V51"/>
    <mergeCell ref="W51:Z51"/>
    <mergeCell ref="AA51:AD51"/>
    <mergeCell ref="AE51:AH51"/>
    <mergeCell ref="BK33:BN33"/>
    <mergeCell ref="BO33:BR33"/>
    <mergeCell ref="BS33:BV33"/>
    <mergeCell ref="BS34:BV34"/>
    <mergeCell ref="AA32:AD32"/>
    <mergeCell ref="AE32:AH32"/>
    <mergeCell ref="BK30:BN30"/>
    <mergeCell ref="BO30:BR30"/>
    <mergeCell ref="BS30:BV30"/>
    <mergeCell ref="BS31:BV31"/>
    <mergeCell ref="A31:H31"/>
    <mergeCell ref="I31:L31"/>
    <mergeCell ref="M31:Q31"/>
    <mergeCell ref="R31:V31"/>
    <mergeCell ref="W31:Z31"/>
    <mergeCell ref="AA31:AD31"/>
    <mergeCell ref="AE31:AH31"/>
    <mergeCell ref="AE34:AH34"/>
    <mergeCell ref="AY55:BB55"/>
    <mergeCell ref="BC55:BF55"/>
    <mergeCell ref="BG55:BJ55"/>
    <mergeCell ref="BK55:BN55"/>
    <mergeCell ref="BO55:BR55"/>
    <mergeCell ref="BS55:BV55"/>
    <mergeCell ref="A54:V54"/>
    <mergeCell ref="W54:BV54"/>
    <mergeCell ref="A55:H55"/>
    <mergeCell ref="I55:L55"/>
    <mergeCell ref="M55:Q55"/>
    <mergeCell ref="R55:V55"/>
    <mergeCell ref="W55:Z55"/>
    <mergeCell ref="BK51:BN51"/>
    <mergeCell ref="BO51:BR51"/>
    <mergeCell ref="AI51:AL51"/>
    <mergeCell ref="AM51:AP51"/>
    <mergeCell ref="AQ51:AT51"/>
    <mergeCell ref="AI33:AL33"/>
    <mergeCell ref="AM33:AP33"/>
    <mergeCell ref="AQ33:AT33"/>
    <mergeCell ref="AU33:AX33"/>
    <mergeCell ref="AY33:BB33"/>
    <mergeCell ref="BC33:BF33"/>
    <mergeCell ref="BG33:BJ33"/>
    <mergeCell ref="A33:H33"/>
    <mergeCell ref="I33:L33"/>
    <mergeCell ref="M33:Q33"/>
    <mergeCell ref="R33:V33"/>
    <mergeCell ref="W33:Z33"/>
    <mergeCell ref="AA33:AD33"/>
    <mergeCell ref="AE33:AH33"/>
    <mergeCell ref="BK31:BN31"/>
    <mergeCell ref="BO31:BR31"/>
    <mergeCell ref="AI31:AL31"/>
    <mergeCell ref="AM31:AP31"/>
    <mergeCell ref="AQ31:AT31"/>
    <mergeCell ref="AU31:AX31"/>
    <mergeCell ref="AY31:BB31"/>
    <mergeCell ref="AM32:AP32"/>
    <mergeCell ref="AQ32:AT32"/>
    <mergeCell ref="AU32:AX32"/>
    <mergeCell ref="AY32:BB32"/>
    <mergeCell ref="BC32:BF32"/>
    <mergeCell ref="BG32:BJ32"/>
    <mergeCell ref="A32:H32"/>
    <mergeCell ref="I32:L32"/>
    <mergeCell ref="M32:Q32"/>
    <mergeCell ref="R32:V32"/>
    <mergeCell ref="W32:Z32"/>
    <mergeCell ref="BC28:BF28"/>
    <mergeCell ref="BG28:BJ28"/>
    <mergeCell ref="BK29:BN29"/>
    <mergeCell ref="BO29:BR29"/>
    <mergeCell ref="BS29:BV29"/>
    <mergeCell ref="AI29:AL29"/>
    <mergeCell ref="AM29:AP29"/>
    <mergeCell ref="AQ29:AT29"/>
    <mergeCell ref="AU29:AX29"/>
    <mergeCell ref="AY29:BB29"/>
    <mergeCell ref="BC29:BF29"/>
    <mergeCell ref="BG29:BJ29"/>
    <mergeCell ref="A29:H29"/>
    <mergeCell ref="I29:L29"/>
    <mergeCell ref="M29:Q29"/>
    <mergeCell ref="R29:V29"/>
    <mergeCell ref="W29:Z29"/>
    <mergeCell ref="AA29:AD29"/>
    <mergeCell ref="AE29:AH29"/>
    <mergeCell ref="BK27:BN27"/>
    <mergeCell ref="BO27:BR27"/>
    <mergeCell ref="BS27:BV27"/>
    <mergeCell ref="BS28:BV28"/>
    <mergeCell ref="A28:H28"/>
    <mergeCell ref="I28:L28"/>
    <mergeCell ref="M28:Q28"/>
    <mergeCell ref="R28:V28"/>
    <mergeCell ref="W28:Z28"/>
    <mergeCell ref="AA28:AD28"/>
    <mergeCell ref="AE28:AH28"/>
    <mergeCell ref="AI30:AL30"/>
    <mergeCell ref="AM30:AP30"/>
    <mergeCell ref="AQ30:AT30"/>
    <mergeCell ref="AU30:AX30"/>
    <mergeCell ref="AY30:BB30"/>
    <mergeCell ref="BC30:BF30"/>
    <mergeCell ref="BG30:BJ30"/>
    <mergeCell ref="A30:H30"/>
    <mergeCell ref="I30:L30"/>
    <mergeCell ref="M30:Q30"/>
    <mergeCell ref="R30:V30"/>
    <mergeCell ref="W30:Z30"/>
    <mergeCell ref="AA30:AD30"/>
    <mergeCell ref="AE30:AH30"/>
    <mergeCell ref="BK28:BN28"/>
    <mergeCell ref="BO28:BR28"/>
    <mergeCell ref="AI28:AL28"/>
    <mergeCell ref="AM28:AP28"/>
    <mergeCell ref="AQ28:AT28"/>
    <mergeCell ref="AU28:AX28"/>
    <mergeCell ref="AY28:BB28"/>
    <mergeCell ref="AQ25:AT25"/>
    <mergeCell ref="AU25:AX25"/>
    <mergeCell ref="AY25:BB25"/>
    <mergeCell ref="BC25:BF25"/>
    <mergeCell ref="BG25:BJ25"/>
    <mergeCell ref="BK26:BN26"/>
    <mergeCell ref="BO26:BR26"/>
    <mergeCell ref="BS26:BV26"/>
    <mergeCell ref="AI26:AL26"/>
    <mergeCell ref="AM26:AP26"/>
    <mergeCell ref="AQ26:AT26"/>
    <mergeCell ref="AU26:AX26"/>
    <mergeCell ref="AY26:BB26"/>
    <mergeCell ref="BC26:BF26"/>
    <mergeCell ref="BG26:BJ26"/>
    <mergeCell ref="A26:H26"/>
    <mergeCell ref="I26:L26"/>
    <mergeCell ref="M26:Q26"/>
    <mergeCell ref="R26:V26"/>
    <mergeCell ref="W26:Z26"/>
    <mergeCell ref="AA26:AD26"/>
    <mergeCell ref="AE26:AH26"/>
    <mergeCell ref="BK22:BN22"/>
    <mergeCell ref="BO22:BR22"/>
    <mergeCell ref="BS22:BV22"/>
    <mergeCell ref="BK24:BN24"/>
    <mergeCell ref="BO24:BR24"/>
    <mergeCell ref="BS24:BV24"/>
    <mergeCell ref="BS25:BV25"/>
    <mergeCell ref="A25:H25"/>
    <mergeCell ref="I25:L25"/>
    <mergeCell ref="M25:Q25"/>
    <mergeCell ref="R25:V25"/>
    <mergeCell ref="W25:Z25"/>
    <mergeCell ref="AA25:AD25"/>
    <mergeCell ref="AE25:AH25"/>
    <mergeCell ref="AI27:AL27"/>
    <mergeCell ref="AM27:AP27"/>
    <mergeCell ref="AQ27:AT27"/>
    <mergeCell ref="AU27:AX27"/>
    <mergeCell ref="AY27:BB27"/>
    <mergeCell ref="BC27:BF27"/>
    <mergeCell ref="BG27:BJ27"/>
    <mergeCell ref="A27:H27"/>
    <mergeCell ref="I27:L27"/>
    <mergeCell ref="M27:Q27"/>
    <mergeCell ref="R27:V27"/>
    <mergeCell ref="W27:Z27"/>
    <mergeCell ref="AA27:AD27"/>
    <mergeCell ref="AE27:AH27"/>
    <mergeCell ref="BK25:BN25"/>
    <mergeCell ref="BO25:BR25"/>
    <mergeCell ref="AI25:AL25"/>
    <mergeCell ref="AM25:AP25"/>
    <mergeCell ref="BK23:BN23"/>
    <mergeCell ref="BO23:BR23"/>
    <mergeCell ref="BS23:BV23"/>
    <mergeCell ref="AI23:AL23"/>
    <mergeCell ref="AM23:AP23"/>
    <mergeCell ref="AQ23:AT23"/>
    <mergeCell ref="AU23:AX23"/>
    <mergeCell ref="AY23:BB23"/>
    <mergeCell ref="BC23:BF23"/>
    <mergeCell ref="BG23:BJ23"/>
    <mergeCell ref="A23:H23"/>
    <mergeCell ref="I23:L23"/>
    <mergeCell ref="M23:Q23"/>
    <mergeCell ref="R23:V23"/>
    <mergeCell ref="W23:Z23"/>
    <mergeCell ref="AA23:AD23"/>
    <mergeCell ref="AE23:AH23"/>
    <mergeCell ref="AE21:AH21"/>
    <mergeCell ref="A22:H22"/>
    <mergeCell ref="I22:L22"/>
    <mergeCell ref="M22:Q22"/>
    <mergeCell ref="R22:V22"/>
    <mergeCell ref="W22:Z22"/>
    <mergeCell ref="AI24:AL24"/>
    <mergeCell ref="AM24:AP24"/>
    <mergeCell ref="AQ24:AT24"/>
    <mergeCell ref="AU24:AX24"/>
    <mergeCell ref="AY24:BB24"/>
    <mergeCell ref="BC24:BF24"/>
    <mergeCell ref="BG24:BJ24"/>
    <mergeCell ref="A24:H24"/>
    <mergeCell ref="I24:L24"/>
    <mergeCell ref="M24:Q24"/>
    <mergeCell ref="R24:V24"/>
    <mergeCell ref="W24:Z24"/>
    <mergeCell ref="AA24:AD24"/>
    <mergeCell ref="AE24:AH24"/>
    <mergeCell ref="BC22:BF22"/>
    <mergeCell ref="BG22:BJ22"/>
    <mergeCell ref="AA22:AD22"/>
    <mergeCell ref="AE22:AH22"/>
    <mergeCell ref="AI22:AL22"/>
    <mergeCell ref="AM22:AP22"/>
    <mergeCell ref="AQ22:AT22"/>
    <mergeCell ref="AU22:AX22"/>
    <mergeCell ref="AY22:BB22"/>
    <mergeCell ref="BO21:BR21"/>
    <mergeCell ref="BS21:BV21"/>
    <mergeCell ref="A20:V20"/>
    <mergeCell ref="W20:BV20"/>
    <mergeCell ref="A21:H21"/>
    <mergeCell ref="I21:L21"/>
    <mergeCell ref="M21:Q21"/>
    <mergeCell ref="R21:V21"/>
    <mergeCell ref="W21:Z21"/>
    <mergeCell ref="AU18:AX18"/>
    <mergeCell ref="AY18:BB18"/>
    <mergeCell ref="BC18:BF18"/>
    <mergeCell ref="BG18:BJ18"/>
    <mergeCell ref="BK18:BN18"/>
    <mergeCell ref="BO18:BR18"/>
    <mergeCell ref="BS18:BV18"/>
    <mergeCell ref="A18:V18"/>
    <mergeCell ref="W18:Z18"/>
    <mergeCell ref="AA18:AD18"/>
    <mergeCell ref="AE18:AH18"/>
    <mergeCell ref="AI18:AL18"/>
    <mergeCell ref="AM18:AP18"/>
    <mergeCell ref="AQ18:AT18"/>
    <mergeCell ref="AI21:AL21"/>
    <mergeCell ref="AM21:AP21"/>
    <mergeCell ref="AQ21:AT21"/>
    <mergeCell ref="AU21:AX21"/>
    <mergeCell ref="AY21:BB21"/>
    <mergeCell ref="BC21:BF21"/>
    <mergeCell ref="BG21:BJ21"/>
    <mergeCell ref="BK21:BN21"/>
    <mergeCell ref="AA21:AD21"/>
    <mergeCell ref="A15:H15"/>
    <mergeCell ref="I15:L15"/>
    <mergeCell ref="M15:Q15"/>
    <mergeCell ref="R15:V15"/>
    <mergeCell ref="W15:Z15"/>
    <mergeCell ref="AA15:AD15"/>
    <mergeCell ref="AE15:AH15"/>
    <mergeCell ref="BK16:BN16"/>
    <mergeCell ref="BO16:BR16"/>
    <mergeCell ref="BS16:BV16"/>
    <mergeCell ref="BS17:BV17"/>
    <mergeCell ref="AI16:AL16"/>
    <mergeCell ref="AM16:AP16"/>
    <mergeCell ref="AQ16:AT16"/>
    <mergeCell ref="AU16:AX16"/>
    <mergeCell ref="AY16:BB16"/>
    <mergeCell ref="BC16:BF16"/>
    <mergeCell ref="BG16:BJ16"/>
    <mergeCell ref="A16:H16"/>
    <mergeCell ref="I16:L16"/>
    <mergeCell ref="M16:Q16"/>
    <mergeCell ref="R16:V16"/>
    <mergeCell ref="W16:Z16"/>
    <mergeCell ref="AA16:AD16"/>
    <mergeCell ref="AE16:AH16"/>
    <mergeCell ref="A17:H17"/>
    <mergeCell ref="I17:L17"/>
    <mergeCell ref="M17:Q17"/>
    <mergeCell ref="R17:V17"/>
    <mergeCell ref="W17:Z17"/>
    <mergeCell ref="AA17:AD17"/>
    <mergeCell ref="AE17:AH17"/>
    <mergeCell ref="BK17:BN17"/>
    <mergeCell ref="BO17:BR17"/>
    <mergeCell ref="AI17:AL17"/>
    <mergeCell ref="AM17:AP17"/>
    <mergeCell ref="AQ17:AT17"/>
    <mergeCell ref="AU17:AX17"/>
    <mergeCell ref="AY17:BB17"/>
    <mergeCell ref="BC17:BF17"/>
    <mergeCell ref="BG17:BJ17"/>
    <mergeCell ref="BK15:BN15"/>
    <mergeCell ref="BO15:BR15"/>
    <mergeCell ref="BS15:BV15"/>
    <mergeCell ref="AI15:AL15"/>
    <mergeCell ref="AM15:AP15"/>
    <mergeCell ref="AQ15:AT15"/>
    <mergeCell ref="AU15:AX15"/>
    <mergeCell ref="AY15:BB15"/>
    <mergeCell ref="BC15:BF15"/>
    <mergeCell ref="BG15:BJ15"/>
    <mergeCell ref="A12:H12"/>
    <mergeCell ref="I12:L12"/>
    <mergeCell ref="M12:Q12"/>
    <mergeCell ref="R12:V12"/>
    <mergeCell ref="W12:Z12"/>
    <mergeCell ref="AA12:AD12"/>
    <mergeCell ref="AE12:AH12"/>
    <mergeCell ref="BK13:BN13"/>
    <mergeCell ref="BO13:BR13"/>
    <mergeCell ref="BS13:BV13"/>
    <mergeCell ref="BS14:BV14"/>
    <mergeCell ref="AI13:AL13"/>
    <mergeCell ref="AM13:AP13"/>
    <mergeCell ref="AQ13:AT13"/>
    <mergeCell ref="AU13:AX13"/>
    <mergeCell ref="AY13:BB13"/>
    <mergeCell ref="BC13:BF13"/>
    <mergeCell ref="BG13:BJ13"/>
    <mergeCell ref="A13:H13"/>
    <mergeCell ref="I13:L13"/>
    <mergeCell ref="M13:Q13"/>
    <mergeCell ref="R13:V13"/>
    <mergeCell ref="W13:Z13"/>
    <mergeCell ref="AA13:AD13"/>
    <mergeCell ref="AE13:AH13"/>
    <mergeCell ref="A14:H14"/>
    <mergeCell ref="I14:L14"/>
    <mergeCell ref="M14:Q14"/>
    <mergeCell ref="R14:V14"/>
    <mergeCell ref="W14:Z14"/>
    <mergeCell ref="AA14:AD14"/>
    <mergeCell ref="AE14:AH14"/>
    <mergeCell ref="BK14:BN14"/>
    <mergeCell ref="BO14:BR14"/>
    <mergeCell ref="AI14:AL14"/>
    <mergeCell ref="AM14:AP14"/>
    <mergeCell ref="AQ14:AT14"/>
    <mergeCell ref="AU14:AX14"/>
    <mergeCell ref="AY14:BB14"/>
    <mergeCell ref="BC14:BF14"/>
    <mergeCell ref="BG14:BJ14"/>
    <mergeCell ref="BK12:BN12"/>
    <mergeCell ref="BO12:BR12"/>
    <mergeCell ref="BS12:BV12"/>
    <mergeCell ref="AI12:AL12"/>
    <mergeCell ref="AM12:AP12"/>
    <mergeCell ref="AQ12:AT12"/>
    <mergeCell ref="AU12:AX12"/>
    <mergeCell ref="AY12:BB12"/>
    <mergeCell ref="BC12:BF12"/>
    <mergeCell ref="BG12:BJ1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C1000"/>
  <sheetViews>
    <sheetView workbookViewId="0"/>
  </sheetViews>
  <sheetFormatPr defaultColWidth="14.42578125" defaultRowHeight="15" customHeight="1" x14ac:dyDescent="0.25"/>
  <cols>
    <col min="1" max="1" width="26.5703125" customWidth="1"/>
    <col min="2" max="11" width="8.85546875" customWidth="1"/>
    <col min="12" max="55" width="8.7109375" customWidth="1"/>
  </cols>
  <sheetData>
    <row r="2" spans="1:15" x14ac:dyDescent="0.25">
      <c r="A2" s="169" t="s">
        <v>731</v>
      </c>
      <c r="D2" s="169" t="s">
        <v>732</v>
      </c>
    </row>
    <row r="3" spans="1:15" x14ac:dyDescent="0.25">
      <c r="A3" s="147" t="s">
        <v>733</v>
      </c>
      <c r="D3" s="147" t="s">
        <v>2</v>
      </c>
      <c r="F3" s="147" t="s">
        <v>315</v>
      </c>
      <c r="H3" s="147"/>
      <c r="K3" s="170" t="s">
        <v>734</v>
      </c>
    </row>
    <row r="4" spans="1:15" x14ac:dyDescent="0.25">
      <c r="A4" s="147" t="s">
        <v>566</v>
      </c>
      <c r="D4" s="147" t="s">
        <v>10</v>
      </c>
      <c r="F4" s="147" t="s">
        <v>316</v>
      </c>
      <c r="H4" s="147"/>
      <c r="K4" s="170" t="s">
        <v>735</v>
      </c>
    </row>
    <row r="5" spans="1:15" x14ac:dyDescent="0.25">
      <c r="A5" s="147" t="s">
        <v>565</v>
      </c>
      <c r="D5" s="147" t="s">
        <v>736</v>
      </c>
      <c r="F5" s="147" t="s">
        <v>317</v>
      </c>
      <c r="H5" s="147"/>
      <c r="K5" s="170" t="s">
        <v>737</v>
      </c>
    </row>
    <row r="6" spans="1:15" x14ac:dyDescent="0.25">
      <c r="A6" s="147" t="s">
        <v>562</v>
      </c>
      <c r="D6" s="147" t="s">
        <v>44</v>
      </c>
      <c r="F6" s="147" t="s">
        <v>738</v>
      </c>
      <c r="H6" s="147"/>
    </row>
    <row r="7" spans="1:15" x14ac:dyDescent="0.25">
      <c r="A7" s="147" t="s">
        <v>739</v>
      </c>
      <c r="D7" s="147" t="s">
        <v>740</v>
      </c>
      <c r="F7" s="147" t="s">
        <v>305</v>
      </c>
      <c r="H7" s="147"/>
    </row>
    <row r="8" spans="1:15" x14ac:dyDescent="0.25">
      <c r="A8" s="147" t="s">
        <v>564</v>
      </c>
      <c r="D8" s="147" t="s">
        <v>741</v>
      </c>
      <c r="F8" s="147" t="s">
        <v>306</v>
      </c>
      <c r="H8" s="147">
        <v>2022</v>
      </c>
      <c r="K8" s="147"/>
    </row>
    <row r="9" spans="1:15" x14ac:dyDescent="0.25">
      <c r="A9" s="147" t="s">
        <v>742</v>
      </c>
      <c r="D9" s="147" t="s">
        <v>743</v>
      </c>
      <c r="F9" s="147" t="s">
        <v>309</v>
      </c>
      <c r="H9" s="147">
        <v>2023</v>
      </c>
    </row>
    <row r="10" spans="1:15" x14ac:dyDescent="0.25">
      <c r="D10" s="147" t="s">
        <v>744</v>
      </c>
      <c r="F10" s="147" t="s">
        <v>310</v>
      </c>
      <c r="H10" s="147">
        <v>2024</v>
      </c>
    </row>
    <row r="11" spans="1:15" x14ac:dyDescent="0.25">
      <c r="A11" s="169" t="s">
        <v>352</v>
      </c>
      <c r="D11" s="147" t="s">
        <v>22</v>
      </c>
      <c r="F11" s="147" t="s">
        <v>311</v>
      </c>
      <c r="H11" s="147">
        <v>2025</v>
      </c>
      <c r="J11" s="147"/>
      <c r="O11" s="170" t="s">
        <v>745</v>
      </c>
    </row>
    <row r="12" spans="1:15" x14ac:dyDescent="0.25">
      <c r="A12" s="147" t="s">
        <v>570</v>
      </c>
      <c r="D12" s="147" t="s">
        <v>8</v>
      </c>
      <c r="F12" s="147" t="s">
        <v>312</v>
      </c>
      <c r="H12" s="170">
        <v>2026</v>
      </c>
    </row>
    <row r="13" spans="1:15" x14ac:dyDescent="0.25">
      <c r="A13" s="147" t="s">
        <v>746</v>
      </c>
      <c r="D13" s="147" t="s">
        <v>16</v>
      </c>
      <c r="F13" s="147" t="s">
        <v>747</v>
      </c>
      <c r="H13" s="170">
        <v>2027</v>
      </c>
      <c r="J13" s="147" t="s">
        <v>746</v>
      </c>
    </row>
    <row r="14" spans="1:15" x14ac:dyDescent="0.25">
      <c r="A14" s="147" t="s">
        <v>742</v>
      </c>
      <c r="D14" s="147" t="s">
        <v>748</v>
      </c>
      <c r="F14" s="147" t="s">
        <v>314</v>
      </c>
      <c r="H14" s="170">
        <v>2028</v>
      </c>
    </row>
    <row r="16" spans="1:15" x14ac:dyDescent="0.25">
      <c r="A16" s="169" t="s">
        <v>749</v>
      </c>
      <c r="O16" s="170" t="s">
        <v>750</v>
      </c>
    </row>
    <row r="17" spans="1:55" x14ac:dyDescent="0.25">
      <c r="A17" s="147" t="s">
        <v>572</v>
      </c>
      <c r="D17" s="147" t="s">
        <v>751</v>
      </c>
      <c r="G17" s="147" t="s">
        <v>505</v>
      </c>
      <c r="J17" s="170" t="s">
        <v>752</v>
      </c>
      <c r="O17" s="170" t="s">
        <v>753</v>
      </c>
    </row>
    <row r="18" spans="1:55" x14ac:dyDescent="0.25">
      <c r="A18" s="147" t="s">
        <v>573</v>
      </c>
      <c r="D18" s="147" t="s">
        <v>754</v>
      </c>
      <c r="J18" s="170" t="s">
        <v>755</v>
      </c>
      <c r="O18" s="170" t="s">
        <v>756</v>
      </c>
    </row>
    <row r="19" spans="1:55" x14ac:dyDescent="0.25">
      <c r="D19" s="147" t="s">
        <v>757</v>
      </c>
      <c r="G19" s="147" t="s">
        <v>597</v>
      </c>
      <c r="J19" s="170" t="s">
        <v>758</v>
      </c>
      <c r="O19" s="170" t="s">
        <v>759</v>
      </c>
    </row>
    <row r="20" spans="1:55" x14ac:dyDescent="0.25">
      <c r="A20" s="169" t="s">
        <v>760</v>
      </c>
      <c r="B20" s="169" t="s">
        <v>761</v>
      </c>
      <c r="D20" s="147" t="s">
        <v>762</v>
      </c>
      <c r="J20" s="170" t="s">
        <v>763</v>
      </c>
      <c r="O20" s="170" t="s">
        <v>764</v>
      </c>
    </row>
    <row r="21" spans="1:55" ht="15.75" customHeight="1" x14ac:dyDescent="0.25">
      <c r="A21" s="171" t="s">
        <v>765</v>
      </c>
      <c r="B21" s="172">
        <v>4</v>
      </c>
      <c r="D21" s="147" t="s">
        <v>766</v>
      </c>
      <c r="J21" s="170" t="s">
        <v>767</v>
      </c>
    </row>
    <row r="22" spans="1:55" ht="15.75" customHeight="1" x14ac:dyDescent="0.25">
      <c r="A22" s="171" t="s">
        <v>768</v>
      </c>
      <c r="B22" s="172">
        <v>2</v>
      </c>
      <c r="D22" s="147" t="s">
        <v>769</v>
      </c>
      <c r="J22" s="170" t="s">
        <v>770</v>
      </c>
    </row>
    <row r="23" spans="1:55" ht="15.75" customHeight="1" x14ac:dyDescent="0.25">
      <c r="A23" s="171" t="s">
        <v>771</v>
      </c>
      <c r="B23" s="172">
        <v>5</v>
      </c>
      <c r="D23" s="147" t="s">
        <v>772</v>
      </c>
    </row>
    <row r="24" spans="1:55" ht="15.75" customHeight="1" x14ac:dyDescent="0.25">
      <c r="A24" s="171" t="s">
        <v>773</v>
      </c>
      <c r="B24" s="172">
        <v>4</v>
      </c>
      <c r="D24" s="147" t="s">
        <v>774</v>
      </c>
    </row>
    <row r="25" spans="1:55" ht="15.75" customHeight="1" x14ac:dyDescent="0.25">
      <c r="A25" s="173" t="s">
        <v>775</v>
      </c>
      <c r="B25" s="172">
        <v>1</v>
      </c>
      <c r="G25" s="147" t="s">
        <v>596</v>
      </c>
    </row>
    <row r="26" spans="1:55" ht="15.75" customHeight="1" x14ac:dyDescent="0.25">
      <c r="A26" s="171" t="s">
        <v>776</v>
      </c>
      <c r="B26" s="172">
        <v>5</v>
      </c>
      <c r="D26" s="147"/>
    </row>
    <row r="27" spans="1:55" ht="15.75" customHeight="1" x14ac:dyDescent="0.25">
      <c r="A27" s="171" t="s">
        <v>777</v>
      </c>
      <c r="B27" s="172">
        <v>3</v>
      </c>
      <c r="D27" s="147"/>
    </row>
    <row r="28" spans="1:55" ht="15.75" customHeight="1" x14ac:dyDescent="0.25">
      <c r="A28" s="171" t="s">
        <v>778</v>
      </c>
      <c r="B28" s="172">
        <v>5</v>
      </c>
      <c r="D28" s="147"/>
      <c r="R28" s="942"/>
      <c r="S28" s="344"/>
      <c r="T28" s="344"/>
      <c r="U28" s="344"/>
      <c r="V28" s="344"/>
      <c r="W28" s="344"/>
      <c r="X28" s="344"/>
      <c r="Y28" s="344"/>
      <c r="Z28" s="344"/>
      <c r="AA28" s="344"/>
      <c r="AB28" s="344"/>
      <c r="AC28" s="344"/>
      <c r="AD28" s="344"/>
      <c r="AE28" s="344"/>
      <c r="AF28" s="344"/>
      <c r="AG28" s="344"/>
      <c r="AH28" s="344"/>
      <c r="AI28" s="344"/>
      <c r="AJ28" s="344"/>
      <c r="AK28" s="344"/>
      <c r="AL28" s="344"/>
      <c r="AM28" s="344"/>
      <c r="AN28" s="344"/>
      <c r="AO28" s="344"/>
      <c r="AP28" s="344"/>
      <c r="AQ28" s="344"/>
      <c r="AR28" s="344"/>
      <c r="AS28" s="344"/>
      <c r="AT28" s="344"/>
      <c r="AU28" s="344"/>
      <c r="AV28" s="344"/>
      <c r="AW28" s="344"/>
      <c r="AX28" s="344"/>
      <c r="AY28" s="344"/>
      <c r="AZ28" s="344"/>
      <c r="BA28" s="344"/>
      <c r="BB28" s="344"/>
      <c r="BC28" s="345"/>
    </row>
    <row r="29" spans="1:55" ht="15.75" customHeight="1" x14ac:dyDescent="0.25">
      <c r="A29" s="171" t="s">
        <v>779</v>
      </c>
      <c r="B29" s="172">
        <v>4</v>
      </c>
      <c r="D29" s="147"/>
      <c r="R29" s="941"/>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8"/>
    </row>
    <row r="30" spans="1:55" ht="15.75" customHeight="1" x14ac:dyDescent="0.25">
      <c r="A30" s="171" t="s">
        <v>780</v>
      </c>
      <c r="B30" s="172">
        <v>6</v>
      </c>
      <c r="R30" s="941"/>
      <c r="S30" s="347"/>
      <c r="T30" s="347"/>
      <c r="U30" s="347"/>
      <c r="V30" s="347"/>
      <c r="W30" s="347"/>
      <c r="X30" s="347"/>
      <c r="Y30" s="347"/>
      <c r="Z30" s="347"/>
      <c r="AA30" s="347"/>
      <c r="AB30" s="347"/>
      <c r="AC30" s="347"/>
      <c r="AD30" s="347"/>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c r="BA30" s="347"/>
      <c r="BB30" s="347"/>
      <c r="BC30" s="348"/>
    </row>
    <row r="31" spans="1:55" ht="15.75" customHeight="1" x14ac:dyDescent="0.25">
      <c r="A31" s="171" t="s">
        <v>781</v>
      </c>
      <c r="B31" s="172">
        <v>4</v>
      </c>
      <c r="R31" s="941"/>
      <c r="S31" s="347"/>
      <c r="T31" s="347"/>
      <c r="U31" s="347"/>
      <c r="V31" s="347"/>
      <c r="W31" s="347"/>
      <c r="X31" s="347"/>
      <c r="Y31" s="347"/>
      <c r="Z31" s="347"/>
      <c r="AA31" s="347"/>
      <c r="AB31" s="347"/>
      <c r="AC31" s="347"/>
      <c r="AD31" s="347"/>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c r="BA31" s="347"/>
      <c r="BB31" s="347"/>
      <c r="BC31" s="348"/>
    </row>
    <row r="32" spans="1:55" ht="15.75" customHeight="1" x14ac:dyDescent="0.25">
      <c r="A32" s="171" t="s">
        <v>782</v>
      </c>
      <c r="B32" s="172">
        <v>2</v>
      </c>
      <c r="D32" s="147" t="s">
        <v>783</v>
      </c>
      <c r="J32" s="607" t="s">
        <v>784</v>
      </c>
      <c r="K32" s="326"/>
      <c r="L32" s="327"/>
      <c r="R32" s="941"/>
      <c r="S32" s="347"/>
      <c r="T32" s="347"/>
      <c r="U32" s="347"/>
      <c r="V32" s="347"/>
      <c r="W32" s="347"/>
      <c r="X32" s="347"/>
      <c r="Y32" s="347"/>
      <c r="Z32" s="347"/>
      <c r="AA32" s="347"/>
      <c r="AB32" s="347"/>
      <c r="AC32" s="347"/>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c r="BA32" s="347"/>
      <c r="BB32" s="347"/>
      <c r="BC32" s="348"/>
    </row>
    <row r="33" spans="1:55" ht="15.75" customHeight="1" x14ac:dyDescent="0.25">
      <c r="A33" s="171" t="s">
        <v>785</v>
      </c>
      <c r="B33" s="172">
        <v>6</v>
      </c>
      <c r="D33" s="147" t="s">
        <v>786</v>
      </c>
      <c r="J33" s="607" t="s">
        <v>787</v>
      </c>
      <c r="K33" s="326"/>
      <c r="L33" s="327"/>
      <c r="R33" s="941"/>
      <c r="S33" s="347"/>
      <c r="T33" s="347"/>
      <c r="U33" s="347"/>
      <c r="V33" s="347"/>
      <c r="W33" s="347"/>
      <c r="X33" s="347"/>
      <c r="Y33" s="347"/>
      <c r="Z33" s="347"/>
      <c r="AA33" s="347"/>
      <c r="AB33" s="347"/>
      <c r="AC33" s="347"/>
      <c r="AD33" s="347"/>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c r="BA33" s="347"/>
      <c r="BB33" s="347"/>
      <c r="BC33" s="348"/>
    </row>
    <row r="34" spans="1:55" ht="15.75" customHeight="1" x14ac:dyDescent="0.25">
      <c r="A34" s="171" t="s">
        <v>788</v>
      </c>
      <c r="B34" s="172">
        <v>2</v>
      </c>
      <c r="D34" s="147" t="s">
        <v>789</v>
      </c>
      <c r="J34" s="607" t="s">
        <v>790</v>
      </c>
      <c r="K34" s="326"/>
      <c r="L34" s="327"/>
      <c r="R34" s="941"/>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7"/>
      <c r="BA34" s="347"/>
      <c r="BB34" s="347"/>
      <c r="BC34" s="348"/>
    </row>
    <row r="35" spans="1:55" ht="15.75" customHeight="1" x14ac:dyDescent="0.25">
      <c r="A35" s="173" t="s">
        <v>791</v>
      </c>
      <c r="B35" s="172">
        <v>1</v>
      </c>
      <c r="D35" s="147" t="s">
        <v>792</v>
      </c>
      <c r="J35" s="607" t="s">
        <v>793</v>
      </c>
      <c r="K35" s="326"/>
      <c r="L35" s="327"/>
      <c r="R35" s="349"/>
      <c r="S35" s="350"/>
      <c r="T35" s="350"/>
      <c r="U35" s="350"/>
      <c r="V35" s="350"/>
      <c r="W35" s="350"/>
      <c r="X35" s="350"/>
      <c r="Y35" s="350"/>
      <c r="Z35" s="350"/>
      <c r="AA35" s="350"/>
      <c r="AB35" s="350"/>
      <c r="AC35" s="350"/>
      <c r="AD35" s="350"/>
      <c r="AE35" s="350"/>
      <c r="AF35" s="350"/>
      <c r="AG35" s="350"/>
      <c r="AH35" s="350"/>
      <c r="AI35" s="350"/>
      <c r="AJ35" s="350"/>
      <c r="AK35" s="350"/>
      <c r="AL35" s="350"/>
      <c r="AM35" s="350"/>
      <c r="AN35" s="350"/>
      <c r="AO35" s="350"/>
      <c r="AP35" s="350"/>
      <c r="AQ35" s="350"/>
      <c r="AR35" s="350"/>
      <c r="AS35" s="350"/>
      <c r="AT35" s="350"/>
      <c r="AU35" s="350"/>
      <c r="AV35" s="350"/>
      <c r="AW35" s="350"/>
      <c r="AX35" s="350"/>
      <c r="AY35" s="350"/>
      <c r="AZ35" s="350"/>
      <c r="BA35" s="350"/>
      <c r="BB35" s="350"/>
      <c r="BC35" s="351"/>
    </row>
    <row r="36" spans="1:55" ht="15.75" customHeight="1" x14ac:dyDescent="0.25">
      <c r="A36" s="171" t="s">
        <v>794</v>
      </c>
      <c r="B36" s="172">
        <v>2</v>
      </c>
    </row>
    <row r="37" spans="1:55" ht="15.75" customHeight="1" x14ac:dyDescent="0.25">
      <c r="A37" s="171" t="s">
        <v>795</v>
      </c>
      <c r="B37" s="172">
        <v>4</v>
      </c>
    </row>
    <row r="38" spans="1:55" ht="15.75" customHeight="1" x14ac:dyDescent="0.25">
      <c r="A38" s="171" t="s">
        <v>796</v>
      </c>
      <c r="B38" s="172">
        <v>3</v>
      </c>
    </row>
    <row r="39" spans="1:55" ht="15.75" customHeight="1" x14ac:dyDescent="0.25">
      <c r="A39" s="171" t="s">
        <v>797</v>
      </c>
      <c r="B39" s="172">
        <v>2</v>
      </c>
    </row>
    <row r="40" spans="1:55" ht="15.75" customHeight="1" x14ac:dyDescent="0.25">
      <c r="A40" s="171" t="s">
        <v>798</v>
      </c>
      <c r="B40" s="172">
        <v>5</v>
      </c>
    </row>
    <row r="41" spans="1:55" ht="15.75" customHeight="1" x14ac:dyDescent="0.25">
      <c r="A41" s="171" t="s">
        <v>799</v>
      </c>
      <c r="B41" s="172">
        <v>4</v>
      </c>
    </row>
    <row r="42" spans="1:55" ht="15.75" customHeight="1" x14ac:dyDescent="0.25">
      <c r="A42" s="171" t="s">
        <v>800</v>
      </c>
      <c r="B42" s="172">
        <v>5</v>
      </c>
      <c r="AS42" s="147" t="s">
        <v>801</v>
      </c>
      <c r="AT42" s="147"/>
      <c r="AU42" s="147"/>
      <c r="AV42" s="147"/>
      <c r="AW42" s="147"/>
      <c r="AX42" s="147"/>
      <c r="AY42" s="147"/>
    </row>
    <row r="43" spans="1:55" ht="15.75" customHeight="1" x14ac:dyDescent="0.25">
      <c r="A43" s="171" t="s">
        <v>802</v>
      </c>
      <c r="B43" s="172">
        <v>5</v>
      </c>
      <c r="I43" s="170" t="s">
        <v>803</v>
      </c>
      <c r="O43" s="170" t="s">
        <v>613</v>
      </c>
      <c r="T43" s="170" t="s">
        <v>804</v>
      </c>
      <c r="AL43" s="170" t="s">
        <v>613</v>
      </c>
      <c r="AS43" s="147" t="s">
        <v>805</v>
      </c>
      <c r="AT43" s="147"/>
      <c r="AU43" s="147"/>
      <c r="AV43" s="147"/>
      <c r="AW43" s="147"/>
      <c r="AX43" s="147"/>
      <c r="AY43" s="147"/>
    </row>
    <row r="44" spans="1:55" ht="15.75" customHeight="1" x14ac:dyDescent="0.25">
      <c r="A44" s="171" t="s">
        <v>806</v>
      </c>
      <c r="B44" s="172">
        <v>4</v>
      </c>
      <c r="I44" s="170" t="s">
        <v>807</v>
      </c>
      <c r="O44" s="170" t="s">
        <v>614</v>
      </c>
      <c r="T44" s="170" t="s">
        <v>631</v>
      </c>
      <c r="AL44" s="170" t="s">
        <v>614</v>
      </c>
      <c r="AS44" s="147" t="s">
        <v>808</v>
      </c>
      <c r="AT44" s="147"/>
      <c r="AU44" s="147"/>
      <c r="AV44" s="147"/>
      <c r="AW44" s="147"/>
      <c r="AX44" s="147"/>
      <c r="AY44" s="147"/>
    </row>
    <row r="45" spans="1:55" ht="15.75" customHeight="1" x14ac:dyDescent="0.25">
      <c r="A45" s="173" t="s">
        <v>809</v>
      </c>
      <c r="B45" s="172">
        <v>1</v>
      </c>
      <c r="I45" s="170" t="s">
        <v>810</v>
      </c>
      <c r="O45" s="170" t="s">
        <v>615</v>
      </c>
      <c r="T45" s="170" t="s">
        <v>811</v>
      </c>
      <c r="AL45" s="170" t="s">
        <v>615</v>
      </c>
      <c r="AS45" s="147" t="s">
        <v>812</v>
      </c>
      <c r="AT45" s="147"/>
      <c r="AU45" s="147"/>
      <c r="AV45" s="147"/>
      <c r="AW45" s="147"/>
      <c r="AX45" s="147"/>
      <c r="AY45" s="147"/>
    </row>
    <row r="46" spans="1:55" ht="15.75" customHeight="1" x14ac:dyDescent="0.25">
      <c r="A46" s="171" t="s">
        <v>813</v>
      </c>
      <c r="B46" s="172">
        <v>5</v>
      </c>
      <c r="I46" s="170" t="s">
        <v>814</v>
      </c>
      <c r="O46" s="170" t="s">
        <v>616</v>
      </c>
      <c r="T46" s="170" t="s">
        <v>815</v>
      </c>
      <c r="AL46" s="170" t="s">
        <v>616</v>
      </c>
      <c r="AS46" s="147" t="s">
        <v>816</v>
      </c>
      <c r="AT46" s="147"/>
      <c r="AU46" s="147"/>
      <c r="AV46" s="147"/>
      <c r="AW46" s="147"/>
      <c r="AX46" s="147"/>
      <c r="AY46" s="147"/>
    </row>
    <row r="47" spans="1:55" ht="15.75" customHeight="1" x14ac:dyDescent="0.25">
      <c r="A47" s="171" t="s">
        <v>817</v>
      </c>
      <c r="B47" s="172">
        <v>6</v>
      </c>
      <c r="I47" s="170" t="s">
        <v>818</v>
      </c>
      <c r="O47" s="170" t="s">
        <v>617</v>
      </c>
      <c r="T47" s="170" t="s">
        <v>819</v>
      </c>
      <c r="AL47" s="170" t="s">
        <v>617</v>
      </c>
      <c r="AS47" s="147" t="s">
        <v>820</v>
      </c>
      <c r="AT47" s="147"/>
      <c r="AU47" s="147"/>
      <c r="AV47" s="147"/>
      <c r="AW47" s="147"/>
      <c r="AX47" s="147"/>
      <c r="AY47" s="147"/>
    </row>
    <row r="48" spans="1:55" ht="15.75" customHeight="1" x14ac:dyDescent="0.25">
      <c r="A48" s="171" t="s">
        <v>821</v>
      </c>
      <c r="B48" s="172">
        <v>6</v>
      </c>
      <c r="I48" s="170" t="s">
        <v>822</v>
      </c>
      <c r="O48" s="170" t="s">
        <v>618</v>
      </c>
      <c r="T48" s="170" t="s">
        <v>823</v>
      </c>
      <c r="AL48" s="170" t="s">
        <v>618</v>
      </c>
      <c r="AS48" s="147" t="s">
        <v>824</v>
      </c>
      <c r="AT48" s="147"/>
      <c r="AU48" s="147"/>
      <c r="AV48" s="147"/>
      <c r="AW48" s="147"/>
      <c r="AX48" s="147"/>
      <c r="AY48" s="147"/>
    </row>
    <row r="49" spans="1:52" ht="15.75" customHeight="1" x14ac:dyDescent="0.25">
      <c r="A49" s="171" t="s">
        <v>825</v>
      </c>
      <c r="B49" s="172">
        <v>2</v>
      </c>
      <c r="I49" s="170" t="s">
        <v>826</v>
      </c>
      <c r="O49" s="170" t="s">
        <v>827</v>
      </c>
      <c r="T49" s="170" t="s">
        <v>828</v>
      </c>
      <c r="AS49" s="147" t="s">
        <v>626</v>
      </c>
      <c r="AT49" s="147"/>
      <c r="AU49" s="147"/>
      <c r="AV49" s="147"/>
      <c r="AW49" s="147"/>
      <c r="AX49" s="147"/>
      <c r="AY49" s="147"/>
      <c r="AZ49" s="147"/>
    </row>
    <row r="50" spans="1:52" ht="15.75" customHeight="1" x14ac:dyDescent="0.25">
      <c r="A50" s="171" t="s">
        <v>829</v>
      </c>
      <c r="B50" s="172">
        <v>5</v>
      </c>
      <c r="I50" s="170" t="s">
        <v>830</v>
      </c>
      <c r="O50" s="170" t="s">
        <v>831</v>
      </c>
      <c r="T50" s="170" t="s">
        <v>832</v>
      </c>
    </row>
    <row r="51" spans="1:52" ht="15.75" customHeight="1" x14ac:dyDescent="0.25">
      <c r="A51" s="171" t="s">
        <v>833</v>
      </c>
      <c r="B51" s="172">
        <v>4</v>
      </c>
      <c r="I51" s="170" t="s">
        <v>834</v>
      </c>
      <c r="T51" s="170" t="s">
        <v>835</v>
      </c>
    </row>
    <row r="52" spans="1:52" ht="15.75" customHeight="1" x14ac:dyDescent="0.25">
      <c r="A52" s="171" t="s">
        <v>836</v>
      </c>
      <c r="B52" s="172">
        <v>6</v>
      </c>
      <c r="M52" s="170" t="s">
        <v>783</v>
      </c>
      <c r="T52" s="170" t="s">
        <v>837</v>
      </c>
      <c r="AQ52" s="170" t="s">
        <v>838</v>
      </c>
    </row>
    <row r="53" spans="1:52" ht="15.75" customHeight="1" x14ac:dyDescent="0.25">
      <c r="A53" s="171" t="s">
        <v>839</v>
      </c>
      <c r="B53" s="172">
        <v>2</v>
      </c>
      <c r="M53" s="170" t="s">
        <v>840</v>
      </c>
      <c r="T53" s="170" t="s">
        <v>841</v>
      </c>
    </row>
    <row r="54" spans="1:52" ht="15.75" customHeight="1" x14ac:dyDescent="0.25">
      <c r="A54" s="171" t="s">
        <v>842</v>
      </c>
      <c r="B54" s="172">
        <v>6</v>
      </c>
      <c r="M54" s="170" t="s">
        <v>843</v>
      </c>
      <c r="T54" s="170" t="s">
        <v>844</v>
      </c>
    </row>
    <row r="55" spans="1:52" ht="15.75" customHeight="1" x14ac:dyDescent="0.25">
      <c r="A55" s="173" t="s">
        <v>845</v>
      </c>
      <c r="B55" s="172">
        <v>1</v>
      </c>
      <c r="M55" s="170" t="s">
        <v>846</v>
      </c>
    </row>
    <row r="56" spans="1:52" ht="15.75" customHeight="1" x14ac:dyDescent="0.25">
      <c r="A56" s="171" t="s">
        <v>847</v>
      </c>
      <c r="B56" s="172">
        <v>2</v>
      </c>
      <c r="M56" s="170" t="s">
        <v>848</v>
      </c>
    </row>
    <row r="57" spans="1:52" ht="15.75" customHeight="1" x14ac:dyDescent="0.25">
      <c r="A57" s="171" t="s">
        <v>849</v>
      </c>
      <c r="B57" s="172">
        <v>3</v>
      </c>
      <c r="M57" s="170" t="s">
        <v>850</v>
      </c>
    </row>
    <row r="58" spans="1:52" ht="15.75" customHeight="1" x14ac:dyDescent="0.25">
      <c r="A58" s="171" t="s">
        <v>851</v>
      </c>
      <c r="B58" s="172">
        <v>6</v>
      </c>
      <c r="M58" s="170" t="s">
        <v>742</v>
      </c>
    </row>
    <row r="59" spans="1:52" ht="15.75" customHeight="1" x14ac:dyDescent="0.25">
      <c r="A59" s="171" t="s">
        <v>852</v>
      </c>
      <c r="B59" s="172">
        <v>4</v>
      </c>
    </row>
    <row r="60" spans="1:52" ht="15.75" customHeight="1" x14ac:dyDescent="0.25">
      <c r="A60" s="171" t="s">
        <v>853</v>
      </c>
      <c r="B60" s="172">
        <v>5</v>
      </c>
    </row>
    <row r="61" spans="1:52" ht="15.75" customHeight="1" x14ac:dyDescent="0.25">
      <c r="A61" s="171" t="s">
        <v>854</v>
      </c>
      <c r="B61" s="172">
        <v>6</v>
      </c>
    </row>
    <row r="62" spans="1:52" ht="15.75" customHeight="1" x14ac:dyDescent="0.25">
      <c r="A62" s="171" t="s">
        <v>855</v>
      </c>
      <c r="B62" s="172">
        <v>4</v>
      </c>
    </row>
    <row r="63" spans="1:52" ht="15.75" customHeight="1" x14ac:dyDescent="0.25">
      <c r="A63" s="171" t="s">
        <v>856</v>
      </c>
      <c r="B63" s="172">
        <v>3</v>
      </c>
    </row>
    <row r="64" spans="1:52" ht="15.75" customHeight="1" x14ac:dyDescent="0.25">
      <c r="A64" s="171" t="s">
        <v>857</v>
      </c>
      <c r="B64" s="172">
        <v>3</v>
      </c>
      <c r="I64" s="170" t="s">
        <v>858</v>
      </c>
      <c r="L64" s="170" t="s">
        <v>859</v>
      </c>
    </row>
    <row r="65" spans="1:15" ht="15.75" customHeight="1" x14ac:dyDescent="0.25">
      <c r="A65" s="171" t="s">
        <v>860</v>
      </c>
      <c r="B65" s="172">
        <v>6</v>
      </c>
      <c r="I65" s="170" t="s">
        <v>861</v>
      </c>
      <c r="L65" s="170" t="s">
        <v>862</v>
      </c>
    </row>
    <row r="66" spans="1:15" ht="15.75" customHeight="1" x14ac:dyDescent="0.25">
      <c r="A66" s="171" t="s">
        <v>863</v>
      </c>
      <c r="B66" s="172">
        <v>4</v>
      </c>
      <c r="I66" s="170" t="s">
        <v>864</v>
      </c>
      <c r="L66" s="170" t="s">
        <v>699</v>
      </c>
    </row>
    <row r="67" spans="1:15" ht="15.75" customHeight="1" x14ac:dyDescent="0.25">
      <c r="A67" s="171" t="s">
        <v>865</v>
      </c>
      <c r="B67" s="172">
        <v>4</v>
      </c>
      <c r="I67" s="170" t="s">
        <v>866</v>
      </c>
    </row>
    <row r="68" spans="1:15" ht="15.75" customHeight="1" x14ac:dyDescent="0.25">
      <c r="A68" s="171" t="s">
        <v>867</v>
      </c>
      <c r="B68" s="172">
        <v>3</v>
      </c>
      <c r="I68" s="170" t="s">
        <v>868</v>
      </c>
      <c r="O68" s="170" t="s">
        <v>734</v>
      </c>
    </row>
    <row r="69" spans="1:15" ht="15.75" customHeight="1" x14ac:dyDescent="0.25">
      <c r="A69" s="171" t="s">
        <v>869</v>
      </c>
      <c r="B69" s="172">
        <v>4</v>
      </c>
      <c r="I69" s="170" t="s">
        <v>870</v>
      </c>
      <c r="O69" s="170" t="s">
        <v>735</v>
      </c>
    </row>
    <row r="70" spans="1:15" ht="15.75" customHeight="1" x14ac:dyDescent="0.25">
      <c r="A70" s="171" t="s">
        <v>871</v>
      </c>
      <c r="B70" s="172">
        <v>5</v>
      </c>
      <c r="O70" s="170" t="s">
        <v>737</v>
      </c>
    </row>
    <row r="71" spans="1:15" ht="15.75" customHeight="1" x14ac:dyDescent="0.25">
      <c r="A71" s="171" t="s">
        <v>872</v>
      </c>
      <c r="B71" s="172">
        <v>6</v>
      </c>
    </row>
    <row r="72" spans="1:15" ht="15.75" customHeight="1" x14ac:dyDescent="0.25">
      <c r="A72" s="173" t="s">
        <v>873</v>
      </c>
      <c r="B72" s="172">
        <v>1</v>
      </c>
    </row>
    <row r="73" spans="1:15" ht="15.75" customHeight="1" x14ac:dyDescent="0.25">
      <c r="A73" s="171" t="s">
        <v>874</v>
      </c>
      <c r="B73" s="172">
        <v>3</v>
      </c>
    </row>
    <row r="74" spans="1:15" ht="15.75" customHeight="1" x14ac:dyDescent="0.25">
      <c r="A74" s="171" t="s">
        <v>875</v>
      </c>
      <c r="B74" s="172">
        <v>3</v>
      </c>
    </row>
    <row r="75" spans="1:15" ht="15.75" customHeight="1" x14ac:dyDescent="0.25">
      <c r="A75" s="171" t="s">
        <v>876</v>
      </c>
      <c r="B75" s="172">
        <v>6</v>
      </c>
    </row>
    <row r="76" spans="1:15" ht="15.75" customHeight="1" x14ac:dyDescent="0.25">
      <c r="O76" s="170" t="s">
        <v>859</v>
      </c>
    </row>
    <row r="77" spans="1:15" ht="15.75" customHeight="1" x14ac:dyDescent="0.25">
      <c r="O77" s="170" t="s">
        <v>862</v>
      </c>
    </row>
    <row r="78" spans="1:15" ht="15.75" customHeight="1" x14ac:dyDescent="0.25">
      <c r="A78" s="174" t="s">
        <v>877</v>
      </c>
      <c r="D78" s="147" t="s">
        <v>878</v>
      </c>
      <c r="O78" s="170" t="s">
        <v>699</v>
      </c>
    </row>
    <row r="79" spans="1:15" ht="15.75" customHeight="1" x14ac:dyDescent="0.25">
      <c r="A79" s="147" t="s">
        <v>505</v>
      </c>
      <c r="D79" s="147" t="s">
        <v>879</v>
      </c>
    </row>
    <row r="80" spans="1:15" ht="15.75" customHeight="1" x14ac:dyDescent="0.25">
      <c r="A80" s="147" t="s">
        <v>596</v>
      </c>
      <c r="D80" s="147" t="s">
        <v>880</v>
      </c>
      <c r="J80" s="147" t="s">
        <v>881</v>
      </c>
      <c r="K80" s="147"/>
      <c r="L80" s="147"/>
    </row>
    <row r="81" spans="1:15" ht="15.75" customHeight="1" x14ac:dyDescent="0.25">
      <c r="D81" s="147" t="s">
        <v>882</v>
      </c>
      <c r="J81" s="147" t="s">
        <v>624</v>
      </c>
      <c r="K81" s="147"/>
      <c r="L81" s="147"/>
      <c r="M81" s="147"/>
    </row>
    <row r="82" spans="1:15" ht="15.75" customHeight="1" x14ac:dyDescent="0.25">
      <c r="J82" s="147" t="s">
        <v>625</v>
      </c>
      <c r="M82" s="147"/>
    </row>
    <row r="83" spans="1:15" ht="15.75" customHeight="1" x14ac:dyDescent="0.25">
      <c r="A83" s="174" t="s">
        <v>883</v>
      </c>
      <c r="J83" s="147" t="s">
        <v>699</v>
      </c>
      <c r="K83" s="147"/>
      <c r="L83" s="147"/>
      <c r="M83" s="147"/>
    </row>
    <row r="84" spans="1:15" ht="15.75" customHeight="1" x14ac:dyDescent="0.25">
      <c r="A84" s="147" t="s">
        <v>505</v>
      </c>
      <c r="J84" s="147"/>
      <c r="K84" s="147"/>
      <c r="L84" s="147"/>
      <c r="M84" s="147"/>
      <c r="O84" s="170" t="s">
        <v>734</v>
      </c>
    </row>
    <row r="85" spans="1:15" ht="15.75" customHeight="1" x14ac:dyDescent="0.25">
      <c r="A85" s="147" t="s">
        <v>596</v>
      </c>
      <c r="K85" s="147"/>
      <c r="L85" s="147"/>
      <c r="M85" s="147"/>
      <c r="O85" s="170" t="s">
        <v>884</v>
      </c>
    </row>
    <row r="86" spans="1:15" ht="15.75" customHeight="1" x14ac:dyDescent="0.25">
      <c r="D86" s="170" t="s">
        <v>505</v>
      </c>
      <c r="J86" s="147"/>
      <c r="K86" s="147"/>
      <c r="L86" s="147"/>
      <c r="M86" s="147"/>
      <c r="O86" s="170" t="s">
        <v>737</v>
      </c>
    </row>
    <row r="87" spans="1:15" ht="15.75" customHeight="1" x14ac:dyDescent="0.25">
      <c r="D87" s="170" t="s">
        <v>596</v>
      </c>
      <c r="J87" s="147"/>
      <c r="K87" s="147"/>
      <c r="L87" s="147"/>
      <c r="M87" s="147"/>
    </row>
    <row r="88" spans="1:15" ht="15.75" customHeight="1" x14ac:dyDescent="0.25">
      <c r="A88" s="174" t="s">
        <v>885</v>
      </c>
      <c r="D88" s="170" t="s">
        <v>597</v>
      </c>
      <c r="J88" s="147"/>
      <c r="K88" s="147"/>
      <c r="L88" s="147"/>
      <c r="M88" s="147"/>
    </row>
    <row r="89" spans="1:15" ht="15.75" customHeight="1" x14ac:dyDescent="0.25">
      <c r="A89" s="147" t="s">
        <v>505</v>
      </c>
      <c r="H89" s="170" t="s">
        <v>505</v>
      </c>
    </row>
    <row r="90" spans="1:15" ht="15.75" customHeight="1" x14ac:dyDescent="0.25">
      <c r="A90" s="147" t="s">
        <v>596</v>
      </c>
      <c r="H90" s="170" t="s">
        <v>596</v>
      </c>
    </row>
    <row r="91" spans="1:15" ht="15.75" customHeight="1" x14ac:dyDescent="0.25">
      <c r="K91" s="170" t="s">
        <v>505</v>
      </c>
      <c r="O91" s="170" t="s">
        <v>505</v>
      </c>
    </row>
    <row r="92" spans="1:15" ht="15.75" customHeight="1" x14ac:dyDescent="0.25">
      <c r="K92" s="170" t="s">
        <v>596</v>
      </c>
      <c r="O92" s="170" t="s">
        <v>596</v>
      </c>
    </row>
    <row r="93" spans="1:15" ht="15.75" customHeight="1" x14ac:dyDescent="0.25">
      <c r="K93" s="170" t="s">
        <v>886</v>
      </c>
      <c r="O93" s="170" t="s">
        <v>887</v>
      </c>
    </row>
    <row r="94" spans="1:15" ht="15.75" customHeight="1" x14ac:dyDescent="0.25">
      <c r="D94" s="170" t="s">
        <v>691</v>
      </c>
    </row>
    <row r="95" spans="1:15" ht="15.75" customHeight="1" x14ac:dyDescent="0.25">
      <c r="D95" s="170" t="s">
        <v>692</v>
      </c>
    </row>
    <row r="96" spans="1:15" ht="15.75" customHeight="1" x14ac:dyDescent="0.25">
      <c r="D96" s="170" t="s">
        <v>693</v>
      </c>
    </row>
    <row r="97" spans="4:15" ht="15.75" customHeight="1" x14ac:dyDescent="0.25">
      <c r="D97" s="170" t="s">
        <v>694</v>
      </c>
    </row>
    <row r="98" spans="4:15" ht="15.75" customHeight="1" x14ac:dyDescent="0.25">
      <c r="D98" s="170" t="s">
        <v>695</v>
      </c>
      <c r="O98" s="170" t="s">
        <v>647</v>
      </c>
    </row>
    <row r="99" spans="4:15" ht="15.75" customHeight="1" x14ac:dyDescent="0.25">
      <c r="D99" s="170" t="s">
        <v>696</v>
      </c>
      <c r="O99" s="170" t="s">
        <v>888</v>
      </c>
    </row>
    <row r="100" spans="4:15" ht="15.75" customHeight="1" x14ac:dyDescent="0.25">
      <c r="D100" s="170" t="s">
        <v>697</v>
      </c>
      <c r="O100" s="170" t="s">
        <v>889</v>
      </c>
    </row>
    <row r="101" spans="4:15" ht="15.75" customHeight="1" x14ac:dyDescent="0.25">
      <c r="D101" s="170" t="s">
        <v>698</v>
      </c>
      <c r="O101" s="170" t="s">
        <v>650</v>
      </c>
    </row>
    <row r="102" spans="4:15" ht="15.75" customHeight="1" x14ac:dyDescent="0.25">
      <c r="D102" s="170" t="s">
        <v>699</v>
      </c>
    </row>
    <row r="103" spans="4:15" ht="15.75" customHeight="1" x14ac:dyDescent="0.25"/>
    <row r="104" spans="4:15" ht="15.75" customHeight="1" x14ac:dyDescent="0.25"/>
    <row r="105" spans="4:15" ht="15.75" customHeight="1" x14ac:dyDescent="0.25">
      <c r="D105" s="170" t="s">
        <v>702</v>
      </c>
    </row>
    <row r="106" spans="4:15" ht="15.75" customHeight="1" x14ac:dyDescent="0.25">
      <c r="D106" s="170" t="s">
        <v>703</v>
      </c>
    </row>
    <row r="107" spans="4:15" ht="15.75" customHeight="1" x14ac:dyDescent="0.25">
      <c r="D107" s="170" t="s">
        <v>704</v>
      </c>
    </row>
    <row r="108" spans="4:15" ht="15.75" customHeight="1" x14ac:dyDescent="0.25">
      <c r="D108" s="170" t="s">
        <v>705</v>
      </c>
    </row>
    <row r="109" spans="4:15" ht="15.75" customHeight="1" x14ac:dyDescent="0.25"/>
    <row r="110" spans="4:15" ht="15.75" customHeight="1" x14ac:dyDescent="0.25"/>
    <row r="111" spans="4:15" ht="15.75" customHeight="1" x14ac:dyDescent="0.25"/>
    <row r="112" spans="4:15"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R28:BC28"/>
    <mergeCell ref="R29:BC29"/>
    <mergeCell ref="R30:BC30"/>
    <mergeCell ref="R31:BC31"/>
    <mergeCell ref="J32:L32"/>
    <mergeCell ref="R32:BC32"/>
    <mergeCell ref="J33:L33"/>
    <mergeCell ref="J34:L34"/>
    <mergeCell ref="J35:L35"/>
    <mergeCell ref="R34:BC34"/>
    <mergeCell ref="R35:BC35"/>
    <mergeCell ref="R33:BC33"/>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5F497A"/>
  </sheetPr>
  <dimension ref="A1:AW1000"/>
  <sheetViews>
    <sheetView workbookViewId="0"/>
  </sheetViews>
  <sheetFormatPr defaultColWidth="14.42578125" defaultRowHeight="15" customHeight="1" x14ac:dyDescent="0.25"/>
  <cols>
    <col min="1" max="17" width="5.7109375" customWidth="1"/>
    <col min="18" max="18" width="6.85546875" customWidth="1"/>
    <col min="19" max="26" width="5.7109375" customWidth="1"/>
    <col min="27" max="27" width="6.5703125" customWidth="1"/>
    <col min="28" max="28" width="6.140625" customWidth="1"/>
    <col min="29" max="29" width="6.5703125" customWidth="1"/>
    <col min="30" max="30" width="10" customWidth="1"/>
    <col min="31" max="31" width="5.7109375" customWidth="1"/>
    <col min="32" max="32" width="12.28515625" customWidth="1"/>
    <col min="33" max="39" width="5.7109375" customWidth="1"/>
    <col min="40" max="49" width="4.7109375" customWidth="1"/>
  </cols>
  <sheetData>
    <row r="1" spans="1:37" ht="18.75" x14ac:dyDescent="0.25">
      <c r="A1" s="704" t="s">
        <v>890</v>
      </c>
      <c r="B1" s="588"/>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9"/>
    </row>
    <row r="2" spans="1:37" x14ac:dyDescent="0.25">
      <c r="A2" s="582" t="s">
        <v>891</v>
      </c>
      <c r="B2" s="361"/>
      <c r="C2" s="361"/>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2"/>
    </row>
    <row r="3" spans="1:37" x14ac:dyDescent="0.25">
      <c r="A3" s="434" t="s">
        <v>892</v>
      </c>
      <c r="B3" s="377"/>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8"/>
    </row>
    <row r="4" spans="1:37" x14ac:dyDescent="0.25">
      <c r="A4" s="381" t="s">
        <v>893</v>
      </c>
      <c r="B4" s="326"/>
      <c r="C4" s="326"/>
      <c r="D4" s="326"/>
      <c r="E4" s="327"/>
      <c r="F4" s="407"/>
      <c r="G4" s="326"/>
      <c r="H4" s="326"/>
      <c r="I4" s="326"/>
      <c r="J4" s="326"/>
      <c r="K4" s="326"/>
      <c r="L4" s="326"/>
      <c r="M4" s="326"/>
      <c r="N4" s="326"/>
      <c r="O4" s="326"/>
      <c r="P4" s="327"/>
      <c r="Q4" s="9"/>
      <c r="R4" s="87" t="s">
        <v>537</v>
      </c>
      <c r="S4" s="87"/>
      <c r="T4" s="87"/>
      <c r="U4" s="407" t="str">
        <f>'GRANTEE SET UP INFO &amp; DATE '!Z4</f>
        <v xml:space="preserve">Grantee formal Name (name on grant agreement) </v>
      </c>
      <c r="V4" s="326"/>
      <c r="W4" s="326"/>
      <c r="X4" s="326"/>
      <c r="Y4" s="326"/>
      <c r="Z4" s="326"/>
      <c r="AA4" s="326"/>
      <c r="AB4" s="326"/>
      <c r="AC4" s="327"/>
    </row>
    <row r="5" spans="1:37" x14ac:dyDescent="0.25">
      <c r="A5" s="381" t="s">
        <v>894</v>
      </c>
      <c r="B5" s="326"/>
      <c r="C5" s="326"/>
      <c r="D5" s="326"/>
      <c r="E5" s="327"/>
      <c r="F5" s="407" t="str">
        <f>'GRANTEE SET UP INFO &amp; DATE '!H5</f>
        <v xml:space="preserve"> SA Peer Recovery Support Specialist </v>
      </c>
      <c r="G5" s="326"/>
      <c r="H5" s="326"/>
      <c r="I5" s="326"/>
      <c r="J5" s="326"/>
      <c r="K5" s="326"/>
      <c r="L5" s="326"/>
      <c r="M5" s="326"/>
      <c r="N5" s="326"/>
      <c r="O5" s="326"/>
      <c r="P5" s="327"/>
      <c r="Q5" s="9"/>
      <c r="R5" s="87" t="s">
        <v>35</v>
      </c>
      <c r="S5" s="87"/>
      <c r="T5" s="87"/>
      <c r="U5" s="437" t="str">
        <f>'GRANTEE SET UP INFO &amp; DATE '!Z5</f>
        <v>Names of Contact(s):</v>
      </c>
      <c r="V5" s="326"/>
      <c r="W5" s="326"/>
      <c r="X5" s="326"/>
      <c r="Y5" s="326"/>
      <c r="Z5" s="326"/>
      <c r="AA5" s="326"/>
      <c r="AB5" s="326"/>
      <c r="AC5" s="327"/>
    </row>
    <row r="6" spans="1:37" ht="14.25" customHeight="1" x14ac:dyDescent="0.25">
      <c r="A6" s="982" t="s">
        <v>37</v>
      </c>
      <c r="B6" s="332"/>
      <c r="C6" s="332"/>
      <c r="D6" s="332"/>
      <c r="E6" s="333"/>
      <c r="F6" s="708" t="str">
        <f>'GRANTEE SET UP INFO &amp; DATE '!H6</f>
        <v>123 Any Street, Any City, WV 12345</v>
      </c>
      <c r="G6" s="332"/>
      <c r="H6" s="332"/>
      <c r="I6" s="332"/>
      <c r="J6" s="332"/>
      <c r="K6" s="332"/>
      <c r="L6" s="332"/>
      <c r="M6" s="332"/>
      <c r="N6" s="332"/>
      <c r="O6" s="332"/>
      <c r="P6" s="333"/>
      <c r="Q6" s="9"/>
      <c r="R6" s="87" t="s">
        <v>539</v>
      </c>
      <c r="S6" s="87"/>
      <c r="T6" s="87"/>
      <c r="U6" s="407" t="str">
        <f>'GRANTEE SET UP INFO &amp; DATE '!Z6</f>
        <v>Phone numbers for contacts</v>
      </c>
      <c r="V6" s="326"/>
      <c r="W6" s="326"/>
      <c r="X6" s="326"/>
      <c r="Y6" s="326"/>
      <c r="Z6" s="326"/>
      <c r="AA6" s="326"/>
      <c r="AB6" s="326"/>
      <c r="AC6" s="327"/>
    </row>
    <row r="7" spans="1:37" x14ac:dyDescent="0.25">
      <c r="A7" s="337"/>
      <c r="B7" s="338"/>
      <c r="C7" s="338"/>
      <c r="D7" s="338"/>
      <c r="E7" s="339"/>
      <c r="F7" s="337"/>
      <c r="G7" s="338"/>
      <c r="H7" s="338"/>
      <c r="I7" s="338"/>
      <c r="J7" s="338"/>
      <c r="K7" s="338"/>
      <c r="L7" s="338"/>
      <c r="M7" s="338"/>
      <c r="N7" s="338"/>
      <c r="O7" s="338"/>
      <c r="P7" s="339"/>
      <c r="Q7" s="9"/>
      <c r="R7" s="381" t="s">
        <v>41</v>
      </c>
      <c r="S7" s="326"/>
      <c r="T7" s="327"/>
      <c r="U7" s="407" t="str">
        <f>'GRANTEE SET UP INFO &amp; DATE '!Z7</f>
        <v xml:space="preserve">number on grant agreement or TFB </v>
      </c>
      <c r="V7" s="326"/>
      <c r="W7" s="326"/>
      <c r="X7" s="326"/>
      <c r="Y7" s="326"/>
      <c r="Z7" s="326"/>
      <c r="AA7" s="326"/>
      <c r="AB7" s="326"/>
      <c r="AC7" s="327"/>
    </row>
    <row r="8" spans="1:37" ht="15" customHeight="1" x14ac:dyDescent="0.25">
      <c r="A8" s="983" t="s">
        <v>895</v>
      </c>
      <c r="B8" s="326"/>
      <c r="C8" s="326"/>
      <c r="D8" s="326"/>
      <c r="E8" s="327"/>
      <c r="F8" s="984" t="str">
        <f>'GRANTEE SET UP INFO &amp; DATE '!H8</f>
        <v>October 1 - 31</v>
      </c>
      <c r="G8" s="326"/>
      <c r="H8" s="326"/>
      <c r="I8" s="326"/>
      <c r="J8" s="326"/>
      <c r="K8" s="326"/>
      <c r="L8" s="326"/>
      <c r="M8" s="327"/>
      <c r="N8" s="984">
        <f>'GRANTEE SET UP INFO &amp; DATE '!P8</f>
        <v>2026</v>
      </c>
      <c r="O8" s="326"/>
      <c r="P8" s="327"/>
      <c r="Q8" s="93"/>
      <c r="R8" s="87" t="s">
        <v>541</v>
      </c>
      <c r="S8" s="87"/>
      <c r="T8" s="87"/>
      <c r="U8" s="974" t="str">
        <f>'GRANTEE SET UP INFO &amp; DATE '!Z8</f>
        <v>program code can locate on SOW or  TFB</v>
      </c>
      <c r="V8" s="326"/>
      <c r="W8" s="326"/>
      <c r="X8" s="326"/>
      <c r="Y8" s="326"/>
      <c r="Z8" s="326"/>
      <c r="AA8" s="326"/>
      <c r="AB8" s="326"/>
      <c r="AC8" s="327"/>
    </row>
    <row r="9" spans="1:37" ht="24.75" customHeight="1" x14ac:dyDescent="0.25">
      <c r="A9" s="711" t="s">
        <v>896</v>
      </c>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470"/>
    </row>
    <row r="10" spans="1:37" ht="21" customHeight="1" x14ac:dyDescent="0.25">
      <c r="A10" s="985" t="s">
        <v>897</v>
      </c>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9"/>
    </row>
    <row r="11" spans="1:37" x14ac:dyDescent="0.25">
      <c r="A11" s="372"/>
      <c r="B11" s="373"/>
      <c r="C11" s="373"/>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4"/>
    </row>
    <row r="12" spans="1:37" ht="30" customHeight="1" x14ac:dyDescent="0.25">
      <c r="A12" s="986" t="s">
        <v>898</v>
      </c>
      <c r="B12" s="347"/>
      <c r="C12" s="347"/>
      <c r="D12" s="347"/>
      <c r="E12" s="347"/>
      <c r="F12" s="347"/>
      <c r="G12" s="347"/>
      <c r="H12" s="347"/>
      <c r="I12" s="347"/>
      <c r="J12" s="347"/>
      <c r="K12" s="347"/>
      <c r="L12" s="347"/>
      <c r="M12" s="347"/>
      <c r="N12" s="348"/>
      <c r="O12" s="5"/>
      <c r="P12" s="987" t="s">
        <v>582</v>
      </c>
      <c r="Q12" s="327"/>
      <c r="AB12" s="988"/>
      <c r="AC12" s="335"/>
    </row>
    <row r="13" spans="1:37" ht="30" customHeight="1" x14ac:dyDescent="0.25">
      <c r="A13" s="989" t="s">
        <v>899</v>
      </c>
      <c r="B13" s="347"/>
      <c r="C13" s="347"/>
      <c r="D13" s="347"/>
      <c r="E13" s="347"/>
      <c r="F13" s="347"/>
      <c r="G13" s="347"/>
      <c r="H13" s="347"/>
      <c r="I13" s="347"/>
      <c r="J13" s="347"/>
      <c r="K13" s="347"/>
      <c r="L13" s="347"/>
      <c r="M13" s="347"/>
      <c r="N13" s="348"/>
      <c r="O13" s="176"/>
      <c r="P13" s="977" t="s">
        <v>900</v>
      </c>
      <c r="Q13" s="327"/>
      <c r="R13" s="98"/>
      <c r="S13" s="98"/>
      <c r="T13" s="98"/>
      <c r="U13" s="98"/>
      <c r="V13" s="98"/>
      <c r="W13" s="98"/>
      <c r="X13" s="97"/>
      <c r="Y13" s="97"/>
      <c r="Z13" s="97"/>
      <c r="AA13" s="97"/>
      <c r="AB13" s="990"/>
      <c r="AC13" s="335"/>
    </row>
    <row r="14" spans="1:37" ht="16.5" customHeight="1" x14ac:dyDescent="0.25">
      <c r="A14" s="1001" t="s">
        <v>901</v>
      </c>
      <c r="B14" s="347"/>
      <c r="C14" s="347"/>
      <c r="D14" s="347"/>
      <c r="E14" s="347"/>
      <c r="F14" s="347"/>
      <c r="G14" s="347"/>
      <c r="H14" s="347"/>
      <c r="I14" s="347"/>
      <c r="J14" s="347"/>
      <c r="K14" s="347"/>
      <c r="L14" s="347"/>
      <c r="M14" s="347"/>
      <c r="N14" s="354"/>
      <c r="O14" s="176"/>
      <c r="P14" s="992">
        <f>COUNTIFS('refer admin discharge'!H20:H1020,"&gt;=01/01/2000",'refer admin discharge'!H20:H1020,"&lt;=06/30/2018")</f>
        <v>0</v>
      </c>
      <c r="Q14" s="327"/>
      <c r="R14" s="98"/>
      <c r="S14" s="98"/>
      <c r="T14" s="98"/>
      <c r="U14" s="98"/>
      <c r="V14" s="98"/>
      <c r="W14" s="98"/>
      <c r="X14" s="97"/>
      <c r="Y14" s="97"/>
      <c r="Z14" s="97"/>
      <c r="AA14" s="97"/>
      <c r="AB14" s="991"/>
      <c r="AC14" s="335"/>
    </row>
    <row r="15" spans="1:37" ht="16.5" customHeight="1" x14ac:dyDescent="0.25">
      <c r="A15" s="1002" t="s">
        <v>902</v>
      </c>
      <c r="B15" s="347"/>
      <c r="C15" s="347"/>
      <c r="D15" s="347"/>
      <c r="E15" s="347"/>
      <c r="F15" s="347"/>
      <c r="G15" s="347"/>
      <c r="H15" s="347"/>
      <c r="I15" s="347"/>
      <c r="J15" s="347"/>
      <c r="K15" s="347"/>
      <c r="L15" s="347"/>
      <c r="M15" s="347"/>
      <c r="N15" s="354"/>
      <c r="O15" s="178"/>
      <c r="P15" s="992">
        <f>COUNTIFS('refer admin discharge'!H20:H1020,"&gt;=07/01/2018",'refer admin discharge'!H20:H1020,"&lt;=06/30/2019")</f>
        <v>0</v>
      </c>
      <c r="Q15" s="327"/>
      <c r="R15" s="98"/>
      <c r="S15" s="98"/>
      <c r="T15" s="98"/>
      <c r="U15" s="98"/>
      <c r="V15" s="98"/>
      <c r="W15" s="98"/>
      <c r="X15" s="97"/>
      <c r="Y15" s="97"/>
      <c r="Z15" s="97"/>
      <c r="AA15" s="97"/>
      <c r="AB15" s="975"/>
      <c r="AC15" s="335"/>
    </row>
    <row r="16" spans="1:37" ht="16.5" customHeight="1" x14ac:dyDescent="0.25">
      <c r="A16" s="1003" t="s">
        <v>554</v>
      </c>
      <c r="B16" s="347"/>
      <c r="C16" s="347"/>
      <c r="D16" s="347"/>
      <c r="E16" s="347"/>
      <c r="F16" s="347"/>
      <c r="G16" s="347"/>
      <c r="H16" s="347"/>
      <c r="I16" s="347"/>
      <c r="J16" s="347"/>
      <c r="K16" s="347"/>
      <c r="L16" s="347"/>
      <c r="M16" s="347"/>
      <c r="N16" s="348"/>
      <c r="O16" s="178"/>
      <c r="P16" s="993">
        <f>COUNTIFS('refer admin discharge'!L30:L1020,"YES")</f>
        <v>0</v>
      </c>
      <c r="Q16" s="327"/>
      <c r="R16" s="153"/>
      <c r="S16" s="98"/>
      <c r="T16" s="98"/>
      <c r="U16" s="98"/>
      <c r="V16" s="98"/>
      <c r="W16" s="98"/>
      <c r="X16" s="98"/>
      <c r="Y16" s="97"/>
      <c r="Z16" s="97"/>
      <c r="AA16" s="97"/>
      <c r="AB16" s="179"/>
      <c r="AC16" s="179"/>
    </row>
    <row r="17" spans="1:36" ht="16.5" customHeight="1" x14ac:dyDescent="0.25">
      <c r="A17" s="1004" t="s">
        <v>903</v>
      </c>
      <c r="B17" s="347"/>
      <c r="C17" s="347"/>
      <c r="D17" s="347"/>
      <c r="E17" s="347"/>
      <c r="F17" s="347"/>
      <c r="G17" s="347"/>
      <c r="H17" s="347"/>
      <c r="I17" s="347"/>
      <c r="J17" s="347"/>
      <c r="K17" s="347"/>
      <c r="L17" s="347"/>
      <c r="M17" s="347"/>
      <c r="N17" s="354"/>
      <c r="O17" s="178"/>
      <c r="P17" s="992" t="e">
        <f>COUNTIFS(#REF!,"&gt;=07/01/2018",#REF!,"&lt;=06/30/2019")</f>
        <v>#REF!</v>
      </c>
      <c r="Q17" s="327"/>
      <c r="R17" s="98"/>
      <c r="S17" s="98"/>
      <c r="T17" s="98"/>
      <c r="U17" s="98"/>
      <c r="V17" s="98"/>
      <c r="W17" s="98"/>
      <c r="X17" s="97"/>
      <c r="Y17" s="97"/>
      <c r="Z17" s="97"/>
      <c r="AA17" s="97"/>
      <c r="AB17" s="975"/>
      <c r="AC17" s="335"/>
    </row>
    <row r="18" spans="1:36" ht="16.5" customHeight="1" x14ac:dyDescent="0.25">
      <c r="A18" s="1002" t="s">
        <v>556</v>
      </c>
      <c r="B18" s="347"/>
      <c r="C18" s="347"/>
      <c r="D18" s="347"/>
      <c r="E18" s="347"/>
      <c r="F18" s="347"/>
      <c r="G18" s="347"/>
      <c r="H18" s="347"/>
      <c r="I18" s="347"/>
      <c r="J18" s="347"/>
      <c r="K18" s="347"/>
      <c r="L18" s="347"/>
      <c r="M18" s="347"/>
      <c r="N18" s="354"/>
      <c r="O18" s="178"/>
      <c r="P18" s="992" t="e">
        <f>P15-P17</f>
        <v>#REF!</v>
      </c>
      <c r="Q18" s="327"/>
      <c r="R18" s="98"/>
      <c r="S18" s="98"/>
      <c r="T18" s="98"/>
      <c r="U18" s="98"/>
      <c r="V18" s="98"/>
      <c r="W18" s="98"/>
      <c r="X18" s="97"/>
      <c r="Y18" s="97"/>
      <c r="Z18" s="97"/>
      <c r="AA18" s="97"/>
      <c r="AB18" s="975"/>
      <c r="AC18" s="335"/>
    </row>
    <row r="19" spans="1:36" ht="16.5" customHeight="1" x14ac:dyDescent="0.25">
      <c r="A19" s="1005" t="s">
        <v>557</v>
      </c>
      <c r="B19" s="347"/>
      <c r="C19" s="347"/>
      <c r="D19" s="347"/>
      <c r="E19" s="347"/>
      <c r="F19" s="347"/>
      <c r="G19" s="347"/>
      <c r="H19" s="347"/>
      <c r="I19" s="347"/>
      <c r="J19" s="347"/>
      <c r="K19" s="347"/>
      <c r="L19" s="347"/>
      <c r="M19" s="347"/>
      <c r="N19" s="354"/>
      <c r="O19" s="178"/>
      <c r="P19" s="992">
        <f>P14+P15</f>
        <v>0</v>
      </c>
      <c r="Q19" s="327"/>
      <c r="R19" s="978" t="s">
        <v>904</v>
      </c>
      <c r="S19" s="335"/>
      <c r="T19" s="180"/>
      <c r="U19" s="180"/>
      <c r="V19" s="180"/>
      <c r="W19" s="180"/>
      <c r="X19" s="180"/>
      <c r="Y19" s="97"/>
      <c r="Z19" s="97"/>
      <c r="AA19" s="97"/>
      <c r="AB19" s="975"/>
      <c r="AC19" s="335"/>
    </row>
    <row r="20" spans="1:36" ht="16.5" customHeight="1" x14ac:dyDescent="0.25">
      <c r="A20" s="1006" t="s">
        <v>905</v>
      </c>
      <c r="B20" s="347"/>
      <c r="C20" s="347"/>
      <c r="D20" s="347"/>
      <c r="E20" s="347"/>
      <c r="F20" s="347"/>
      <c r="G20" s="347"/>
      <c r="H20" s="347"/>
      <c r="I20" s="347"/>
      <c r="J20" s="347"/>
      <c r="K20" s="347"/>
      <c r="L20" s="347"/>
      <c r="M20" s="347"/>
      <c r="N20" s="354"/>
      <c r="O20" s="178"/>
      <c r="P20" s="992" t="e">
        <f>SUM(#REF!)</f>
        <v>#REF!</v>
      </c>
      <c r="Q20" s="327"/>
      <c r="R20" s="98"/>
      <c r="S20" s="98"/>
      <c r="T20" s="98"/>
      <c r="U20" s="98"/>
      <c r="V20" s="98"/>
      <c r="W20" s="98"/>
      <c r="X20" s="97"/>
      <c r="Y20" s="97"/>
      <c r="Z20" s="97"/>
      <c r="AA20" s="97"/>
      <c r="AB20" s="975"/>
      <c r="AC20" s="335"/>
    </row>
    <row r="21" spans="1:36" ht="16.5" customHeight="1" x14ac:dyDescent="0.25">
      <c r="A21" s="1002" t="s">
        <v>906</v>
      </c>
      <c r="B21" s="347"/>
      <c r="C21" s="347"/>
      <c r="D21" s="347"/>
      <c r="E21" s="347"/>
      <c r="F21" s="347"/>
      <c r="G21" s="347"/>
      <c r="H21" s="347"/>
      <c r="I21" s="347"/>
      <c r="J21" s="347"/>
      <c r="K21" s="347"/>
      <c r="L21" s="347"/>
      <c r="M21" s="347"/>
      <c r="N21" s="354"/>
      <c r="O21" s="178"/>
      <c r="P21" s="976" t="e">
        <f>P20/P19</f>
        <v>#REF!</v>
      </c>
      <c r="Q21" s="327"/>
      <c r="R21" s="98"/>
      <c r="S21" s="98"/>
      <c r="T21" s="98"/>
      <c r="U21" s="98"/>
      <c r="V21" s="98"/>
      <c r="W21" s="98"/>
      <c r="X21" s="97"/>
      <c r="Y21" s="97"/>
      <c r="Z21" s="97"/>
      <c r="AA21" s="97"/>
      <c r="AB21" s="975"/>
      <c r="AC21" s="335"/>
    </row>
    <row r="22" spans="1:36" ht="30" customHeight="1" x14ac:dyDescent="0.35">
      <c r="A22" s="181" t="s">
        <v>907</v>
      </c>
      <c r="B22" s="181"/>
      <c r="C22" s="181"/>
      <c r="D22" s="181"/>
      <c r="E22" s="181"/>
      <c r="F22" s="181"/>
      <c r="G22" s="181"/>
      <c r="H22" s="181"/>
      <c r="I22" s="181"/>
      <c r="J22" s="181"/>
      <c r="K22" s="181"/>
      <c r="L22" s="181"/>
      <c r="M22" s="182"/>
      <c r="N22" s="182"/>
      <c r="O22" s="183"/>
      <c r="P22" s="977" t="s">
        <v>900</v>
      </c>
      <c r="Q22" s="327"/>
      <c r="R22" s="97"/>
      <c r="S22" s="97"/>
      <c r="T22" s="96"/>
      <c r="U22" s="184"/>
      <c r="V22" s="184"/>
      <c r="W22" s="185"/>
      <c r="X22" s="184"/>
      <c r="Y22" s="184"/>
      <c r="Z22" s="184"/>
      <c r="AA22" s="184"/>
      <c r="AB22" s="184"/>
      <c r="AC22" s="184"/>
      <c r="AD22" s="184"/>
      <c r="AE22" s="184"/>
      <c r="AF22" s="186"/>
      <c r="AG22" s="186"/>
      <c r="AH22" s="187"/>
      <c r="AI22" s="177"/>
      <c r="AJ22" s="177"/>
    </row>
    <row r="23" spans="1:36" ht="15.75" customHeight="1" x14ac:dyDescent="0.25">
      <c r="A23" s="998" t="s">
        <v>908</v>
      </c>
      <c r="B23" s="347"/>
      <c r="C23" s="347"/>
      <c r="D23" s="347"/>
      <c r="E23" s="347"/>
      <c r="F23" s="347"/>
      <c r="G23" s="347"/>
      <c r="H23" s="347"/>
      <c r="I23" s="347"/>
      <c r="J23" s="347"/>
      <c r="K23" s="347"/>
      <c r="L23" s="354"/>
      <c r="M23" s="93"/>
      <c r="N23" s="93"/>
      <c r="O23" s="183"/>
      <c r="P23" s="980"/>
      <c r="Q23" s="327"/>
      <c r="R23" s="188"/>
      <c r="S23" s="188"/>
      <c r="T23" s="189"/>
      <c r="U23" s="189"/>
      <c r="V23" s="189"/>
      <c r="W23" s="189"/>
      <c r="X23" s="189"/>
      <c r="Y23" s="189"/>
      <c r="Z23" s="189"/>
      <c r="AA23" s="189"/>
      <c r="AB23" s="189"/>
      <c r="AC23" s="189"/>
      <c r="AD23" s="189"/>
      <c r="AE23" s="189"/>
      <c r="AF23" s="187"/>
      <c r="AG23" s="187"/>
      <c r="AH23" s="187"/>
      <c r="AI23" s="187"/>
      <c r="AJ23" s="187"/>
    </row>
    <row r="24" spans="1:36" ht="19.5" customHeight="1" x14ac:dyDescent="0.25">
      <c r="A24" s="962" t="s">
        <v>909</v>
      </c>
      <c r="B24" s="326"/>
      <c r="C24" s="326"/>
      <c r="D24" s="326"/>
      <c r="E24" s="326"/>
      <c r="F24" s="326"/>
      <c r="G24" s="326"/>
      <c r="H24" s="326"/>
      <c r="I24" s="326"/>
      <c r="J24" s="326"/>
      <c r="K24" s="326"/>
      <c r="L24" s="326"/>
      <c r="M24" s="326"/>
      <c r="N24" s="327"/>
      <c r="O24" s="183" t="s">
        <v>910</v>
      </c>
      <c r="P24" s="994" t="e">
        <f>COUNTIFS('refer admin discharge'!N30:N1020,"employed",#REF!, "employed")</f>
        <v>#REF!</v>
      </c>
      <c r="Q24" s="327"/>
      <c r="R24" s="97"/>
      <c r="S24" s="97"/>
      <c r="T24" s="82"/>
      <c r="U24" s="82"/>
      <c r="V24" s="82"/>
      <c r="W24" s="82"/>
      <c r="X24" s="82"/>
      <c r="Y24" s="82"/>
      <c r="Z24" s="82"/>
      <c r="AA24" s="82"/>
      <c r="AB24" s="82"/>
      <c r="AC24" s="82"/>
      <c r="AD24" s="82"/>
      <c r="AE24" s="82"/>
      <c r="AF24" s="82"/>
      <c r="AG24" s="82"/>
      <c r="AH24" s="187"/>
      <c r="AI24" s="190"/>
      <c r="AJ24" s="190"/>
    </row>
    <row r="25" spans="1:36" ht="19.5" customHeight="1" x14ac:dyDescent="0.25">
      <c r="A25" s="451" t="s">
        <v>911</v>
      </c>
      <c r="B25" s="326"/>
      <c r="C25" s="326"/>
      <c r="D25" s="326"/>
      <c r="E25" s="326"/>
      <c r="F25" s="326"/>
      <c r="G25" s="326"/>
      <c r="H25" s="326"/>
      <c r="I25" s="326"/>
      <c r="J25" s="326"/>
      <c r="K25" s="326"/>
      <c r="L25" s="326"/>
      <c r="M25" s="326"/>
      <c r="N25" s="327"/>
      <c r="O25" s="183" t="s">
        <v>912</v>
      </c>
      <c r="P25" s="1007">
        <f>COUNTIFS('refer admin discharge'!N30:N1020,"employed")</f>
        <v>0</v>
      </c>
      <c r="Q25" s="327"/>
      <c r="R25" s="97"/>
      <c r="S25" s="97"/>
      <c r="T25" s="82"/>
      <c r="U25" s="82"/>
      <c r="V25" s="82"/>
      <c r="W25" s="82"/>
      <c r="X25" s="82"/>
      <c r="Y25" s="82"/>
      <c r="Z25" s="82"/>
      <c r="AA25" s="82"/>
      <c r="AB25" s="82"/>
      <c r="AC25" s="82"/>
      <c r="AD25" s="82"/>
      <c r="AE25" s="82"/>
      <c r="AF25" s="82"/>
      <c r="AG25" s="82"/>
      <c r="AH25" s="187"/>
      <c r="AI25" s="190"/>
      <c r="AJ25" s="190"/>
    </row>
    <row r="26" spans="1:36" ht="19.5" customHeight="1" x14ac:dyDescent="0.25">
      <c r="A26" s="999" t="s">
        <v>913</v>
      </c>
      <c r="B26" s="326"/>
      <c r="C26" s="326"/>
      <c r="D26" s="326"/>
      <c r="E26" s="326"/>
      <c r="F26" s="326"/>
      <c r="G26" s="326"/>
      <c r="H26" s="326"/>
      <c r="I26" s="326"/>
      <c r="J26" s="326"/>
      <c r="K26" s="326"/>
      <c r="L26" s="326"/>
      <c r="M26" s="326"/>
      <c r="N26" s="327"/>
      <c r="O26" s="183" t="s">
        <v>914</v>
      </c>
      <c r="P26" s="996" t="e">
        <f t="shared" ref="P26:P27" si="0">COUNTIFS(#REF!,"employed")</f>
        <v>#REF!</v>
      </c>
      <c r="Q26" s="327"/>
      <c r="R26" s="97"/>
      <c r="S26" s="97"/>
      <c r="T26" s="82"/>
      <c r="U26" s="82"/>
      <c r="V26" s="82"/>
      <c r="W26" s="82"/>
      <c r="X26" s="82"/>
      <c r="Y26" s="82"/>
      <c r="Z26" s="82"/>
      <c r="AA26" s="82"/>
      <c r="AB26" s="82"/>
      <c r="AC26" s="82"/>
      <c r="AD26" s="82"/>
      <c r="AE26" s="82"/>
      <c r="AF26" s="82"/>
      <c r="AG26" s="82"/>
      <c r="AH26" s="187"/>
      <c r="AI26" s="190"/>
      <c r="AJ26" s="190"/>
    </row>
    <row r="27" spans="1:36" ht="19.5" customHeight="1" x14ac:dyDescent="0.25">
      <c r="A27" s="1000" t="s">
        <v>915</v>
      </c>
      <c r="B27" s="326"/>
      <c r="C27" s="326"/>
      <c r="D27" s="326"/>
      <c r="E27" s="326"/>
      <c r="F27" s="326"/>
      <c r="G27" s="326"/>
      <c r="H27" s="326"/>
      <c r="I27" s="326"/>
      <c r="J27" s="326"/>
      <c r="K27" s="326"/>
      <c r="L27" s="326"/>
      <c r="M27" s="326"/>
      <c r="N27" s="327"/>
      <c r="O27" s="183" t="s">
        <v>916</v>
      </c>
      <c r="P27" s="997" t="e">
        <f t="shared" si="0"/>
        <v>#REF!</v>
      </c>
      <c r="Q27" s="327"/>
      <c r="R27" s="97"/>
      <c r="S27" s="97"/>
      <c r="T27" s="82"/>
      <c r="U27" s="82"/>
      <c r="V27" s="82"/>
      <c r="W27" s="82"/>
      <c r="X27" s="82"/>
      <c r="Y27" s="82"/>
      <c r="Z27" s="82"/>
      <c r="AA27" s="82"/>
      <c r="AB27" s="82"/>
      <c r="AC27" s="82"/>
      <c r="AD27" s="82"/>
      <c r="AE27" s="82"/>
      <c r="AF27" s="82"/>
      <c r="AG27" s="82"/>
      <c r="AH27" s="187"/>
      <c r="AI27" s="190"/>
      <c r="AJ27" s="190"/>
    </row>
    <row r="28" spans="1:36" ht="19.5" customHeight="1" x14ac:dyDescent="0.25">
      <c r="A28" s="998" t="s">
        <v>917</v>
      </c>
      <c r="B28" s="347"/>
      <c r="C28" s="347"/>
      <c r="D28" s="347"/>
      <c r="E28" s="347"/>
      <c r="F28" s="347"/>
      <c r="G28" s="347"/>
      <c r="H28" s="347"/>
      <c r="I28" s="347"/>
      <c r="J28" s="347"/>
      <c r="K28" s="347"/>
      <c r="L28" s="354"/>
      <c r="M28" s="93"/>
      <c r="N28" s="93"/>
      <c r="O28" s="191"/>
      <c r="P28" s="1008"/>
      <c r="Q28" s="351"/>
      <c r="R28" s="97"/>
      <c r="S28" s="97"/>
      <c r="T28" s="82"/>
      <c r="U28" s="82"/>
      <c r="V28" s="82"/>
      <c r="W28" s="82"/>
      <c r="X28" s="82"/>
      <c r="Y28" s="82"/>
      <c r="Z28" s="82"/>
      <c r="AA28" s="82"/>
      <c r="AB28" s="82"/>
      <c r="AC28" s="82"/>
      <c r="AD28" s="82"/>
      <c r="AE28" s="82"/>
      <c r="AF28" s="82"/>
      <c r="AG28" s="82"/>
      <c r="AH28" s="187"/>
      <c r="AI28" s="190"/>
      <c r="AJ28" s="190"/>
    </row>
    <row r="29" spans="1:36" ht="19.5" customHeight="1" x14ac:dyDescent="0.25">
      <c r="A29" s="962" t="s">
        <v>918</v>
      </c>
      <c r="B29" s="326"/>
      <c r="C29" s="326"/>
      <c r="D29" s="326"/>
      <c r="E29" s="326"/>
      <c r="F29" s="326"/>
      <c r="G29" s="326"/>
      <c r="H29" s="326"/>
      <c r="I29" s="326"/>
      <c r="J29" s="326"/>
      <c r="K29" s="326"/>
      <c r="L29" s="326"/>
      <c r="M29" s="326"/>
      <c r="N29" s="327"/>
      <c r="O29" s="183" t="s">
        <v>919</v>
      </c>
      <c r="P29" s="994" t="e">
        <f>COUNTIFS('refer admin discharge'!P30:P1020,"YES",#REF!, "YES")</f>
        <v>#REF!</v>
      </c>
      <c r="Q29" s="327"/>
      <c r="R29" s="97"/>
      <c r="S29" s="97"/>
      <c r="T29" s="82"/>
      <c r="U29" s="82"/>
      <c r="V29" s="82"/>
      <c r="W29" s="82"/>
      <c r="X29" s="82"/>
      <c r="Y29" s="82"/>
      <c r="Z29" s="82"/>
      <c r="AA29" s="82"/>
      <c r="AB29" s="82"/>
      <c r="AC29" s="82"/>
      <c r="AD29" s="82"/>
      <c r="AE29" s="82"/>
      <c r="AF29" s="82"/>
      <c r="AG29" s="82"/>
      <c r="AH29" s="187"/>
      <c r="AI29" s="190"/>
      <c r="AJ29" s="190"/>
    </row>
    <row r="30" spans="1:36" ht="19.5" customHeight="1" x14ac:dyDescent="0.25">
      <c r="A30" s="451" t="s">
        <v>920</v>
      </c>
      <c r="B30" s="326"/>
      <c r="C30" s="326"/>
      <c r="D30" s="326"/>
      <c r="E30" s="326"/>
      <c r="F30" s="326"/>
      <c r="G30" s="326"/>
      <c r="H30" s="326"/>
      <c r="I30" s="326"/>
      <c r="J30" s="326"/>
      <c r="K30" s="326"/>
      <c r="L30" s="326"/>
      <c r="M30" s="326"/>
      <c r="N30" s="327"/>
      <c r="O30" s="183" t="s">
        <v>921</v>
      </c>
      <c r="P30" s="1009">
        <f>COUNTIFS('refer admin discharge'!P30:P1020,"YES")</f>
        <v>0</v>
      </c>
      <c r="Q30" s="327"/>
      <c r="R30" s="97"/>
      <c r="S30" s="97"/>
      <c r="T30" s="82"/>
      <c r="U30" s="82"/>
      <c r="V30" s="82"/>
      <c r="W30" s="82"/>
      <c r="X30" s="82"/>
      <c r="Y30" s="82"/>
      <c r="Z30" s="82"/>
      <c r="AA30" s="82"/>
      <c r="AB30" s="82"/>
      <c r="AC30" s="82"/>
      <c r="AD30" s="82"/>
      <c r="AE30" s="82"/>
      <c r="AF30" s="82"/>
      <c r="AG30" s="82"/>
      <c r="AH30" s="187"/>
      <c r="AI30" s="190"/>
      <c r="AJ30" s="190"/>
    </row>
    <row r="31" spans="1:36" ht="19.5" customHeight="1" x14ac:dyDescent="0.25">
      <c r="A31" s="999" t="s">
        <v>922</v>
      </c>
      <c r="B31" s="326"/>
      <c r="C31" s="326"/>
      <c r="D31" s="326"/>
      <c r="E31" s="326"/>
      <c r="F31" s="326"/>
      <c r="G31" s="326"/>
      <c r="H31" s="326"/>
      <c r="I31" s="326"/>
      <c r="J31" s="326"/>
      <c r="K31" s="326"/>
      <c r="L31" s="326"/>
      <c r="M31" s="326"/>
      <c r="N31" s="327"/>
      <c r="O31" s="183" t="s">
        <v>923</v>
      </c>
      <c r="P31" s="996" t="e">
        <f t="shared" ref="P31:P32" si="1">COUNTIFS(#REF!,"YES")</f>
        <v>#REF!</v>
      </c>
      <c r="Q31" s="327"/>
      <c r="R31" s="97"/>
      <c r="S31" s="97"/>
      <c r="T31" s="82"/>
      <c r="U31" s="82"/>
      <c r="V31" s="82"/>
      <c r="W31" s="82"/>
      <c r="X31" s="82"/>
      <c r="Y31" s="82"/>
      <c r="Z31" s="82"/>
      <c r="AA31" s="82"/>
      <c r="AB31" s="82"/>
      <c r="AC31" s="82"/>
      <c r="AD31" s="82"/>
      <c r="AE31" s="82"/>
      <c r="AF31" s="82"/>
      <c r="AG31" s="82"/>
      <c r="AH31" s="187"/>
      <c r="AI31" s="190"/>
      <c r="AJ31" s="190"/>
    </row>
    <row r="32" spans="1:36" ht="19.5" customHeight="1" x14ac:dyDescent="0.25">
      <c r="A32" s="1000" t="s">
        <v>924</v>
      </c>
      <c r="B32" s="326"/>
      <c r="C32" s="326"/>
      <c r="D32" s="326"/>
      <c r="E32" s="326"/>
      <c r="F32" s="326"/>
      <c r="G32" s="326"/>
      <c r="H32" s="326"/>
      <c r="I32" s="326"/>
      <c r="J32" s="326"/>
      <c r="K32" s="326"/>
      <c r="L32" s="326"/>
      <c r="M32" s="326"/>
      <c r="N32" s="327"/>
      <c r="O32" s="183" t="s">
        <v>925</v>
      </c>
      <c r="P32" s="997" t="e">
        <f t="shared" si="1"/>
        <v>#REF!</v>
      </c>
      <c r="Q32" s="327"/>
      <c r="R32" s="97"/>
      <c r="S32" s="97"/>
      <c r="T32" s="82"/>
      <c r="U32" s="82"/>
      <c r="V32" s="82"/>
      <c r="W32" s="82"/>
      <c r="X32" s="82"/>
      <c r="Y32" s="82"/>
      <c r="Z32" s="82"/>
      <c r="AA32" s="82"/>
      <c r="AB32" s="82"/>
      <c r="AC32" s="82"/>
      <c r="AD32" s="82"/>
      <c r="AE32" s="82"/>
      <c r="AF32" s="82"/>
      <c r="AG32" s="82"/>
      <c r="AH32" s="187"/>
      <c r="AI32" s="190"/>
      <c r="AJ32" s="190"/>
    </row>
    <row r="33" spans="1:36" ht="15" customHeight="1" x14ac:dyDescent="0.25">
      <c r="A33" s="93"/>
      <c r="B33" s="93"/>
      <c r="C33" s="93"/>
      <c r="D33" s="93"/>
      <c r="E33" s="93"/>
      <c r="F33" s="93"/>
      <c r="G33" s="93"/>
      <c r="H33" s="9"/>
      <c r="I33" s="93"/>
      <c r="J33" s="93"/>
      <c r="K33" s="93"/>
      <c r="L33" s="93"/>
      <c r="M33" s="93"/>
      <c r="N33" s="93"/>
      <c r="O33" s="183"/>
      <c r="P33" s="979"/>
      <c r="Q33" s="327"/>
      <c r="R33" s="188"/>
      <c r="S33" s="188"/>
      <c r="T33" s="187"/>
      <c r="U33" s="187"/>
      <c r="V33" s="187"/>
      <c r="W33" s="187"/>
      <c r="X33" s="187"/>
      <c r="Y33" s="187"/>
      <c r="Z33" s="187"/>
      <c r="AB33" s="187"/>
      <c r="AC33" s="187"/>
      <c r="AD33" s="187"/>
      <c r="AE33" s="187"/>
      <c r="AF33" s="187"/>
      <c r="AG33" s="187"/>
      <c r="AH33" s="187"/>
      <c r="AI33" s="192"/>
      <c r="AJ33" s="192"/>
    </row>
    <row r="34" spans="1:36" ht="15.75" customHeight="1" x14ac:dyDescent="0.25">
      <c r="A34" s="998" t="s">
        <v>926</v>
      </c>
      <c r="B34" s="347"/>
      <c r="C34" s="347"/>
      <c r="D34" s="347"/>
      <c r="E34" s="347"/>
      <c r="F34" s="347"/>
      <c r="G34" s="347"/>
      <c r="H34" s="347"/>
      <c r="I34" s="347"/>
      <c r="J34" s="347"/>
      <c r="K34" s="347"/>
      <c r="L34" s="354"/>
      <c r="M34" s="93"/>
      <c r="N34" s="93"/>
      <c r="O34" s="183"/>
      <c r="P34" s="980"/>
      <c r="Q34" s="327"/>
      <c r="R34" s="188"/>
      <c r="S34" s="188"/>
      <c r="T34" s="189"/>
      <c r="U34" s="189"/>
      <c r="V34" s="189"/>
      <c r="W34" s="189"/>
      <c r="X34" s="189"/>
      <c r="Y34" s="189"/>
      <c r="Z34" s="189"/>
      <c r="AA34" s="189"/>
      <c r="AB34" s="189"/>
      <c r="AC34" s="189"/>
      <c r="AD34" s="189"/>
      <c r="AE34" s="189"/>
      <c r="AF34" s="187"/>
      <c r="AG34" s="187"/>
      <c r="AH34" s="187"/>
      <c r="AI34" s="187"/>
      <c r="AJ34" s="187"/>
    </row>
    <row r="35" spans="1:36" ht="19.5" customHeight="1" x14ac:dyDescent="0.25">
      <c r="A35" s="1010" t="s">
        <v>927</v>
      </c>
      <c r="B35" s="326"/>
      <c r="C35" s="326"/>
      <c r="D35" s="326"/>
      <c r="E35" s="326"/>
      <c r="F35" s="326"/>
      <c r="G35" s="326"/>
      <c r="H35" s="326"/>
      <c r="I35" s="326"/>
      <c r="J35" s="326"/>
      <c r="K35" s="326"/>
      <c r="L35" s="326"/>
      <c r="M35" s="326"/>
      <c r="N35" s="327"/>
      <c r="O35" s="183" t="s">
        <v>928</v>
      </c>
      <c r="P35" s="981" t="e">
        <f>COUNTIFS('refer admin discharge'!Q30:Q1020,"YES",#REF!, "YES")</f>
        <v>#REF!</v>
      </c>
      <c r="Q35" s="327"/>
      <c r="R35" s="97"/>
      <c r="S35" s="97"/>
      <c r="T35" s="147"/>
      <c r="U35" s="147"/>
      <c r="V35" s="147"/>
      <c r="W35" s="147"/>
      <c r="X35" s="147"/>
      <c r="Y35" s="147"/>
      <c r="Z35" s="147"/>
      <c r="AA35" s="147"/>
      <c r="AB35" s="147"/>
      <c r="AC35" s="147"/>
      <c r="AD35" s="147"/>
      <c r="AE35" s="147"/>
      <c r="AF35" s="147"/>
      <c r="AG35" s="147"/>
      <c r="AH35" s="187"/>
      <c r="AI35" s="190"/>
      <c r="AJ35" s="190"/>
    </row>
    <row r="36" spans="1:36" ht="19.5" customHeight="1" x14ac:dyDescent="0.25">
      <c r="A36" s="1011" t="s">
        <v>929</v>
      </c>
      <c r="B36" s="326"/>
      <c r="C36" s="326"/>
      <c r="D36" s="326"/>
      <c r="E36" s="326"/>
      <c r="F36" s="326"/>
      <c r="G36" s="326"/>
      <c r="H36" s="326"/>
      <c r="I36" s="326"/>
      <c r="J36" s="326"/>
      <c r="K36" s="326"/>
      <c r="L36" s="326"/>
      <c r="M36" s="326"/>
      <c r="N36" s="327"/>
      <c r="O36" s="183" t="s">
        <v>930</v>
      </c>
      <c r="P36" s="995">
        <f>COUNTIFS('refer admin discharge'!Q30:Q1020,"YES")</f>
        <v>0</v>
      </c>
      <c r="Q36" s="327"/>
      <c r="R36" s="193"/>
      <c r="S36" s="193"/>
      <c r="T36" s="147"/>
      <c r="U36" s="147"/>
      <c r="V36" s="147"/>
      <c r="W36" s="147"/>
      <c r="X36" s="147"/>
      <c r="Y36" s="147"/>
      <c r="Z36" s="147"/>
      <c r="AA36" s="147"/>
      <c r="AB36" s="147"/>
      <c r="AC36" s="147"/>
      <c r="AD36" s="147"/>
      <c r="AE36" s="147"/>
      <c r="AF36" s="147"/>
      <c r="AG36" s="147"/>
      <c r="AH36" s="187"/>
      <c r="AI36" s="194"/>
      <c r="AJ36" s="194"/>
    </row>
    <row r="37" spans="1:36" ht="19.5" customHeight="1" x14ac:dyDescent="0.25">
      <c r="A37" s="1012" t="s">
        <v>931</v>
      </c>
      <c r="B37" s="326"/>
      <c r="C37" s="326"/>
      <c r="D37" s="326"/>
      <c r="E37" s="326"/>
      <c r="F37" s="326"/>
      <c r="G37" s="326"/>
      <c r="H37" s="326"/>
      <c r="I37" s="326"/>
      <c r="J37" s="326"/>
      <c r="K37" s="326"/>
      <c r="L37" s="326"/>
      <c r="M37" s="326"/>
      <c r="N37" s="327"/>
      <c r="O37" s="183" t="s">
        <v>932</v>
      </c>
      <c r="P37" s="996" t="e">
        <f t="shared" ref="P37:P38" si="2">COUNTIFS(#REF!,"YES")</f>
        <v>#REF!</v>
      </c>
      <c r="Q37" s="327"/>
      <c r="R37" s="97"/>
      <c r="S37" s="97"/>
      <c r="T37" s="147"/>
      <c r="U37" s="147"/>
      <c r="V37" s="147"/>
      <c r="W37" s="147"/>
      <c r="X37" s="147"/>
      <c r="Y37" s="147"/>
      <c r="Z37" s="147"/>
      <c r="AA37" s="147"/>
      <c r="AB37" s="147"/>
      <c r="AC37" s="147"/>
      <c r="AD37" s="147"/>
      <c r="AE37" s="147"/>
      <c r="AF37" s="147"/>
      <c r="AG37" s="147"/>
      <c r="AH37" s="187"/>
      <c r="AI37" s="190"/>
      <c r="AJ37" s="190"/>
    </row>
    <row r="38" spans="1:36" ht="19.5" customHeight="1" x14ac:dyDescent="0.25">
      <c r="A38" s="1000" t="s">
        <v>933</v>
      </c>
      <c r="B38" s="326"/>
      <c r="C38" s="326"/>
      <c r="D38" s="326"/>
      <c r="E38" s="326"/>
      <c r="F38" s="326"/>
      <c r="G38" s="326"/>
      <c r="H38" s="326"/>
      <c r="I38" s="326"/>
      <c r="J38" s="326"/>
      <c r="K38" s="326"/>
      <c r="L38" s="326"/>
      <c r="M38" s="326"/>
      <c r="N38" s="327"/>
      <c r="O38" s="183" t="s">
        <v>934</v>
      </c>
      <c r="P38" s="997" t="e">
        <f t="shared" si="2"/>
        <v>#REF!</v>
      </c>
      <c r="Q38" s="327"/>
      <c r="R38" s="97"/>
      <c r="S38" s="97"/>
      <c r="T38" s="147"/>
      <c r="U38" s="147"/>
      <c r="V38" s="147"/>
      <c r="W38" s="147"/>
      <c r="X38" s="147"/>
      <c r="Y38" s="147"/>
      <c r="Z38" s="147"/>
      <c r="AA38" s="147"/>
      <c r="AB38" s="147"/>
      <c r="AC38" s="147"/>
      <c r="AD38" s="147"/>
      <c r="AE38" s="147"/>
      <c r="AF38" s="147"/>
      <c r="AG38" s="147"/>
      <c r="AH38" s="187"/>
      <c r="AI38" s="190"/>
      <c r="AJ38" s="190"/>
    </row>
    <row r="39" spans="1:36" ht="15" customHeight="1" x14ac:dyDescent="0.25">
      <c r="A39" s="93"/>
      <c r="B39" s="93"/>
      <c r="C39" s="93"/>
      <c r="D39" s="93"/>
      <c r="E39" s="93"/>
      <c r="F39" s="93"/>
      <c r="G39" s="93"/>
      <c r="H39" s="9"/>
      <c r="I39" s="93"/>
      <c r="J39" s="93"/>
      <c r="K39" s="93"/>
      <c r="L39" s="93"/>
      <c r="M39" s="93"/>
      <c r="N39" s="93"/>
      <c r="O39" s="183"/>
      <c r="P39" s="979"/>
      <c r="Q39" s="327"/>
      <c r="R39" s="188"/>
      <c r="S39" s="188"/>
      <c r="T39" s="187"/>
      <c r="U39" s="187"/>
      <c r="V39" s="187"/>
      <c r="W39" s="187"/>
      <c r="X39" s="187"/>
      <c r="Y39" s="187"/>
      <c r="Z39" s="187"/>
      <c r="AB39" s="187"/>
      <c r="AC39" s="187"/>
      <c r="AD39" s="187"/>
      <c r="AE39" s="187"/>
      <c r="AF39" s="187"/>
      <c r="AG39" s="187"/>
      <c r="AH39" s="187"/>
      <c r="AI39" s="192"/>
      <c r="AJ39" s="192"/>
    </row>
    <row r="40" spans="1:36" ht="15.75" customHeight="1" x14ac:dyDescent="0.25">
      <c r="A40" s="998" t="s">
        <v>935</v>
      </c>
      <c r="B40" s="347"/>
      <c r="C40" s="347"/>
      <c r="D40" s="347"/>
      <c r="E40" s="347"/>
      <c r="F40" s="347"/>
      <c r="G40" s="347"/>
      <c r="H40" s="347"/>
      <c r="I40" s="347"/>
      <c r="J40" s="347"/>
      <c r="K40" s="347"/>
      <c r="L40" s="354"/>
      <c r="M40" s="93"/>
      <c r="N40" s="93"/>
      <c r="O40" s="183"/>
      <c r="P40" s="980"/>
      <c r="Q40" s="327"/>
      <c r="R40" s="188"/>
      <c r="S40" s="188"/>
      <c r="T40" s="189"/>
      <c r="U40" s="189"/>
      <c r="V40" s="189"/>
      <c r="W40" s="189"/>
      <c r="X40" s="189"/>
      <c r="Y40" s="189"/>
      <c r="Z40" s="189"/>
      <c r="AA40" s="189"/>
      <c r="AB40" s="189"/>
      <c r="AC40" s="189"/>
      <c r="AD40" s="189"/>
      <c r="AE40" s="189"/>
      <c r="AF40" s="187"/>
      <c r="AG40" s="187"/>
      <c r="AH40" s="187"/>
      <c r="AI40" s="187"/>
      <c r="AJ40" s="187"/>
    </row>
    <row r="41" spans="1:36" ht="19.5" customHeight="1" x14ac:dyDescent="0.25">
      <c r="A41" s="962" t="s">
        <v>936</v>
      </c>
      <c r="B41" s="326"/>
      <c r="C41" s="326"/>
      <c r="D41" s="326"/>
      <c r="E41" s="326"/>
      <c r="F41" s="326"/>
      <c r="G41" s="326"/>
      <c r="H41" s="326"/>
      <c r="I41" s="326"/>
      <c r="J41" s="326"/>
      <c r="K41" s="326"/>
      <c r="L41" s="326"/>
      <c r="M41" s="326"/>
      <c r="N41" s="327"/>
      <c r="O41" s="183" t="s">
        <v>937</v>
      </c>
      <c r="P41" s="994" t="e">
        <f>COUNTIFS('refer admin discharge'!R30:R1020,"YES",#REF!, "YES")</f>
        <v>#REF!</v>
      </c>
      <c r="Q41" s="327"/>
      <c r="R41" s="97"/>
      <c r="S41" s="97"/>
      <c r="T41" s="82"/>
      <c r="U41" s="82"/>
      <c r="V41" s="82"/>
      <c r="W41" s="82"/>
      <c r="X41" s="82"/>
      <c r="Y41" s="82"/>
      <c r="Z41" s="82"/>
      <c r="AA41" s="82"/>
      <c r="AB41" s="82"/>
      <c r="AC41" s="82"/>
      <c r="AD41" s="82"/>
      <c r="AE41" s="82"/>
      <c r="AF41" s="82"/>
      <c r="AG41" s="82"/>
      <c r="AH41" s="187"/>
      <c r="AI41" s="190"/>
      <c r="AJ41" s="190"/>
    </row>
    <row r="42" spans="1:36" ht="19.5" customHeight="1" x14ac:dyDescent="0.25">
      <c r="A42" s="451" t="s">
        <v>938</v>
      </c>
      <c r="B42" s="326"/>
      <c r="C42" s="326"/>
      <c r="D42" s="326"/>
      <c r="E42" s="326"/>
      <c r="F42" s="326"/>
      <c r="G42" s="326"/>
      <c r="H42" s="326"/>
      <c r="I42" s="326"/>
      <c r="J42" s="326"/>
      <c r="K42" s="326"/>
      <c r="L42" s="326"/>
      <c r="M42" s="326"/>
      <c r="N42" s="327"/>
      <c r="O42" s="183" t="s">
        <v>939</v>
      </c>
      <c r="P42" s="995">
        <f>COUNTIFS('refer admin discharge'!R30:R1020,"NO")</f>
        <v>0</v>
      </c>
      <c r="Q42" s="327"/>
      <c r="R42" s="193"/>
      <c r="S42" s="193"/>
      <c r="T42" s="82"/>
      <c r="U42" s="82"/>
      <c r="V42" s="82"/>
      <c r="W42" s="82"/>
      <c r="X42" s="82"/>
      <c r="Y42" s="82"/>
      <c r="Z42" s="82"/>
      <c r="AA42" s="82"/>
      <c r="AB42" s="82"/>
      <c r="AC42" s="82"/>
      <c r="AD42" s="82"/>
      <c r="AE42" s="82"/>
      <c r="AF42" s="82"/>
      <c r="AG42" s="82"/>
      <c r="AH42" s="187"/>
      <c r="AI42" s="194"/>
      <c r="AJ42" s="194"/>
    </row>
    <row r="43" spans="1:36" ht="19.5" customHeight="1" x14ac:dyDescent="0.25">
      <c r="A43" s="999" t="s">
        <v>940</v>
      </c>
      <c r="B43" s="326"/>
      <c r="C43" s="326"/>
      <c r="D43" s="326"/>
      <c r="E43" s="326"/>
      <c r="F43" s="326"/>
      <c r="G43" s="326"/>
      <c r="H43" s="326"/>
      <c r="I43" s="326"/>
      <c r="J43" s="326"/>
      <c r="K43" s="326"/>
      <c r="L43" s="326"/>
      <c r="M43" s="326"/>
      <c r="N43" s="327"/>
      <c r="O43" s="183" t="s">
        <v>941</v>
      </c>
      <c r="P43" s="996" t="e">
        <f t="shared" ref="P43:P44" si="3">COUNTIFS(#REF!,"NO")</f>
        <v>#REF!</v>
      </c>
      <c r="Q43" s="327"/>
      <c r="R43" s="97"/>
      <c r="S43" s="97"/>
      <c r="T43" s="82"/>
      <c r="U43" s="82"/>
      <c r="V43" s="82"/>
      <c r="W43" s="82"/>
      <c r="X43" s="82"/>
      <c r="Y43" s="82"/>
      <c r="Z43" s="82"/>
      <c r="AA43" s="82"/>
      <c r="AB43" s="82"/>
      <c r="AC43" s="82"/>
      <c r="AD43" s="82"/>
      <c r="AE43" s="82"/>
      <c r="AF43" s="82"/>
      <c r="AG43" s="82"/>
      <c r="AH43" s="187"/>
      <c r="AI43" s="190"/>
      <c r="AJ43" s="190"/>
    </row>
    <row r="44" spans="1:36" ht="19.5" customHeight="1" x14ac:dyDescent="0.25">
      <c r="A44" s="1000" t="s">
        <v>942</v>
      </c>
      <c r="B44" s="326"/>
      <c r="C44" s="326"/>
      <c r="D44" s="326"/>
      <c r="E44" s="326"/>
      <c r="F44" s="326"/>
      <c r="G44" s="326"/>
      <c r="H44" s="326"/>
      <c r="I44" s="326"/>
      <c r="J44" s="326"/>
      <c r="K44" s="326"/>
      <c r="L44" s="326"/>
      <c r="M44" s="326"/>
      <c r="N44" s="327"/>
      <c r="O44" s="183" t="s">
        <v>943</v>
      </c>
      <c r="P44" s="997" t="e">
        <f t="shared" si="3"/>
        <v>#REF!</v>
      </c>
      <c r="Q44" s="327"/>
      <c r="R44" s="97"/>
      <c r="S44" s="97"/>
      <c r="T44" s="82"/>
      <c r="U44" s="82"/>
      <c r="V44" s="82"/>
      <c r="W44" s="82"/>
      <c r="X44" s="82"/>
      <c r="Y44" s="82"/>
      <c r="Z44" s="82"/>
      <c r="AA44" s="82"/>
      <c r="AB44" s="82"/>
      <c r="AC44" s="82"/>
      <c r="AD44" s="82"/>
      <c r="AE44" s="82"/>
      <c r="AF44" s="82"/>
      <c r="AG44" s="82"/>
      <c r="AH44" s="187"/>
      <c r="AI44" s="190"/>
      <c r="AJ44" s="190"/>
    </row>
    <row r="45" spans="1:36" ht="15" customHeight="1" x14ac:dyDescent="0.25">
      <c r="A45" s="93"/>
      <c r="B45" s="93"/>
      <c r="C45" s="93"/>
      <c r="D45" s="93"/>
      <c r="E45" s="93"/>
      <c r="F45" s="93"/>
      <c r="G45" s="93"/>
      <c r="H45" s="9"/>
      <c r="I45" s="93"/>
      <c r="J45" s="93"/>
      <c r="K45" s="93"/>
      <c r="L45" s="93"/>
      <c r="M45" s="93"/>
      <c r="N45" s="93"/>
      <c r="O45" s="183"/>
      <c r="P45" s="979"/>
      <c r="Q45" s="327"/>
      <c r="R45" s="188"/>
      <c r="S45" s="188"/>
      <c r="T45" s="187"/>
      <c r="U45" s="187"/>
      <c r="V45" s="187"/>
      <c r="W45" s="187"/>
      <c r="X45" s="187"/>
      <c r="Y45" s="187"/>
      <c r="Z45" s="187"/>
      <c r="AB45" s="187"/>
      <c r="AC45" s="187"/>
      <c r="AD45" s="187"/>
      <c r="AE45" s="187"/>
      <c r="AF45" s="187"/>
      <c r="AG45" s="187"/>
      <c r="AH45" s="187"/>
      <c r="AI45" s="192"/>
      <c r="AJ45" s="192"/>
    </row>
    <row r="46" spans="1:36" ht="15.75" customHeight="1" x14ac:dyDescent="0.25">
      <c r="A46" s="998" t="s">
        <v>944</v>
      </c>
      <c r="B46" s="347"/>
      <c r="C46" s="347"/>
      <c r="D46" s="347"/>
      <c r="E46" s="347"/>
      <c r="F46" s="347"/>
      <c r="G46" s="347"/>
      <c r="H46" s="347"/>
      <c r="I46" s="347"/>
      <c r="J46" s="347"/>
      <c r="K46" s="347"/>
      <c r="L46" s="354"/>
      <c r="M46" s="93"/>
      <c r="N46" s="93"/>
      <c r="O46" s="183"/>
      <c r="P46" s="980"/>
      <c r="Q46" s="327"/>
      <c r="R46" s="188"/>
      <c r="S46" s="188"/>
      <c r="T46" s="189"/>
      <c r="U46" s="189"/>
      <c r="V46" s="189"/>
      <c r="W46" s="189"/>
      <c r="X46" s="189"/>
      <c r="Y46" s="189"/>
      <c r="Z46" s="189"/>
      <c r="AA46" s="189"/>
      <c r="AB46" s="189"/>
      <c r="AC46" s="189"/>
      <c r="AD46" s="189"/>
      <c r="AE46" s="189"/>
      <c r="AF46" s="187"/>
      <c r="AG46" s="187"/>
      <c r="AH46" s="187"/>
      <c r="AI46" s="187"/>
      <c r="AJ46" s="187"/>
    </row>
    <row r="47" spans="1:36" ht="19.5" customHeight="1" x14ac:dyDescent="0.25">
      <c r="A47" s="962" t="s">
        <v>945</v>
      </c>
      <c r="B47" s="326"/>
      <c r="C47" s="326"/>
      <c r="D47" s="326"/>
      <c r="E47" s="326"/>
      <c r="F47" s="326"/>
      <c r="G47" s="326"/>
      <c r="H47" s="326"/>
      <c r="I47" s="326"/>
      <c r="J47" s="326"/>
      <c r="K47" s="326"/>
      <c r="L47" s="326"/>
      <c r="M47" s="326"/>
      <c r="N47" s="327"/>
      <c r="O47" s="183" t="s">
        <v>946</v>
      </c>
      <c r="P47" s="994" t="e">
        <f>COUNTIFS('refer admin discharge'!S30:S1020,"NO",#REF!, "NO")</f>
        <v>#REF!</v>
      </c>
      <c r="Q47" s="327"/>
      <c r="R47" s="97"/>
      <c r="S47" s="97"/>
      <c r="T47" s="82"/>
      <c r="U47" s="82"/>
      <c r="V47" s="82"/>
      <c r="W47" s="82"/>
      <c r="X47" s="82"/>
      <c r="Y47" s="82"/>
      <c r="Z47" s="82"/>
      <c r="AA47" s="82"/>
      <c r="AB47" s="82"/>
      <c r="AC47" s="82"/>
      <c r="AD47" s="82"/>
      <c r="AE47" s="82"/>
      <c r="AF47" s="82"/>
      <c r="AG47" s="82"/>
      <c r="AH47" s="187"/>
      <c r="AI47" s="190"/>
      <c r="AJ47" s="190"/>
    </row>
    <row r="48" spans="1:36" ht="19.5" customHeight="1" x14ac:dyDescent="0.25">
      <c r="A48" s="451" t="s">
        <v>947</v>
      </c>
      <c r="B48" s="326"/>
      <c r="C48" s="326"/>
      <c r="D48" s="326"/>
      <c r="E48" s="326"/>
      <c r="F48" s="326"/>
      <c r="G48" s="326"/>
      <c r="H48" s="326"/>
      <c r="I48" s="326"/>
      <c r="J48" s="326"/>
      <c r="K48" s="326"/>
      <c r="L48" s="326"/>
      <c r="M48" s="326"/>
      <c r="N48" s="327"/>
      <c r="O48" s="183" t="s">
        <v>948</v>
      </c>
      <c r="P48" s="995">
        <f>COUNTIFS('refer admin discharge'!S30:S1020,"NO")</f>
        <v>0</v>
      </c>
      <c r="Q48" s="327"/>
      <c r="R48" s="193"/>
      <c r="S48" s="193"/>
      <c r="T48" s="82"/>
      <c r="U48" s="82"/>
      <c r="V48" s="82"/>
      <c r="W48" s="82"/>
      <c r="X48" s="82"/>
      <c r="Y48" s="82"/>
      <c r="Z48" s="82"/>
      <c r="AA48" s="82"/>
      <c r="AB48" s="82"/>
      <c r="AC48" s="82"/>
      <c r="AD48" s="82"/>
      <c r="AE48" s="82"/>
      <c r="AF48" s="82"/>
      <c r="AG48" s="82"/>
      <c r="AH48" s="187"/>
      <c r="AI48" s="194"/>
      <c r="AJ48" s="194"/>
    </row>
    <row r="49" spans="1:36" ht="19.5" customHeight="1" x14ac:dyDescent="0.25">
      <c r="A49" s="999" t="s">
        <v>949</v>
      </c>
      <c r="B49" s="326"/>
      <c r="C49" s="326"/>
      <c r="D49" s="326"/>
      <c r="E49" s="326"/>
      <c r="F49" s="326"/>
      <c r="G49" s="326"/>
      <c r="H49" s="326"/>
      <c r="I49" s="326"/>
      <c r="J49" s="326"/>
      <c r="K49" s="326"/>
      <c r="L49" s="326"/>
      <c r="M49" s="326"/>
      <c r="N49" s="327"/>
      <c r="O49" s="183" t="s">
        <v>950</v>
      </c>
      <c r="P49" s="996" t="e">
        <f t="shared" ref="P49:P50" si="4">COUNTIFS(#REF!,"NO")</f>
        <v>#REF!</v>
      </c>
      <c r="Q49" s="327"/>
      <c r="R49" s="97"/>
      <c r="S49" s="97"/>
      <c r="T49" s="82"/>
      <c r="U49" s="82"/>
      <c r="V49" s="82"/>
      <c r="W49" s="82"/>
      <c r="X49" s="82"/>
      <c r="Y49" s="82"/>
      <c r="Z49" s="82"/>
      <c r="AA49" s="82"/>
      <c r="AB49" s="82"/>
      <c r="AC49" s="82"/>
      <c r="AD49" s="82"/>
      <c r="AE49" s="82"/>
      <c r="AF49" s="82"/>
      <c r="AG49" s="82"/>
      <c r="AH49" s="187"/>
      <c r="AI49" s="190"/>
      <c r="AJ49" s="190"/>
    </row>
    <row r="50" spans="1:36" ht="19.5" customHeight="1" x14ac:dyDescent="0.25">
      <c r="A50" s="1000" t="s">
        <v>951</v>
      </c>
      <c r="B50" s="326"/>
      <c r="C50" s="326"/>
      <c r="D50" s="326"/>
      <c r="E50" s="326"/>
      <c r="F50" s="326"/>
      <c r="G50" s="326"/>
      <c r="H50" s="326"/>
      <c r="I50" s="326"/>
      <c r="J50" s="326"/>
      <c r="K50" s="326"/>
      <c r="L50" s="326"/>
      <c r="M50" s="326"/>
      <c r="N50" s="327"/>
      <c r="O50" s="183" t="s">
        <v>952</v>
      </c>
      <c r="P50" s="997" t="e">
        <f t="shared" si="4"/>
        <v>#REF!</v>
      </c>
      <c r="Q50" s="327"/>
      <c r="R50" s="97"/>
      <c r="S50" s="97"/>
      <c r="T50" s="82"/>
      <c r="U50" s="82"/>
      <c r="V50" s="82"/>
      <c r="W50" s="82"/>
      <c r="X50" s="82"/>
      <c r="Y50" s="82"/>
      <c r="Z50" s="82"/>
      <c r="AA50" s="82"/>
      <c r="AB50" s="82"/>
      <c r="AC50" s="82"/>
      <c r="AD50" s="82"/>
      <c r="AE50" s="82"/>
      <c r="AF50" s="82"/>
      <c r="AG50" s="82"/>
      <c r="AH50" s="187"/>
      <c r="AI50" s="190"/>
      <c r="AJ50" s="190"/>
    </row>
    <row r="51" spans="1:36" ht="15" customHeight="1" x14ac:dyDescent="0.25">
      <c r="A51" s="93"/>
      <c r="B51" s="93"/>
      <c r="C51" s="93"/>
      <c r="D51" s="93"/>
      <c r="E51" s="93"/>
      <c r="F51" s="93"/>
      <c r="G51" s="93"/>
      <c r="H51" s="9"/>
      <c r="I51" s="93"/>
      <c r="J51" s="93"/>
      <c r="K51" s="93"/>
      <c r="L51" s="93"/>
      <c r="M51" s="93"/>
      <c r="N51" s="93"/>
      <c r="O51" s="183"/>
      <c r="P51" s="979"/>
      <c r="Q51" s="327"/>
      <c r="R51" s="188"/>
      <c r="S51" s="188"/>
      <c r="T51" s="187"/>
      <c r="U51" s="187"/>
      <c r="V51" s="187"/>
      <c r="W51" s="187"/>
      <c r="X51" s="187"/>
      <c r="Y51" s="187"/>
      <c r="Z51" s="187"/>
      <c r="AB51" s="187"/>
      <c r="AC51" s="187"/>
      <c r="AD51" s="187"/>
      <c r="AE51" s="187"/>
      <c r="AF51" s="187"/>
      <c r="AG51" s="187"/>
      <c r="AH51" s="187"/>
      <c r="AI51" s="192"/>
      <c r="AJ51" s="192"/>
    </row>
    <row r="52" spans="1:36" ht="15.75" customHeight="1" x14ac:dyDescent="0.25">
      <c r="A52" s="998" t="s">
        <v>953</v>
      </c>
      <c r="B52" s="347"/>
      <c r="C52" s="347"/>
      <c r="D52" s="347"/>
      <c r="E52" s="347"/>
      <c r="F52" s="347"/>
      <c r="G52" s="347"/>
      <c r="H52" s="347"/>
      <c r="I52" s="347"/>
      <c r="J52" s="347"/>
      <c r="K52" s="347"/>
      <c r="L52" s="354"/>
      <c r="M52" s="93"/>
      <c r="N52" s="93"/>
      <c r="O52" s="183"/>
      <c r="P52" s="980"/>
      <c r="Q52" s="327"/>
      <c r="R52" s="188"/>
      <c r="S52" s="188"/>
      <c r="T52" s="189"/>
      <c r="U52" s="189"/>
      <c r="V52" s="189"/>
      <c r="W52" s="189"/>
      <c r="X52" s="189"/>
      <c r="Y52" s="189"/>
      <c r="Z52" s="189"/>
      <c r="AA52" s="189"/>
      <c r="AB52" s="189"/>
      <c r="AC52" s="189"/>
      <c r="AD52" s="189"/>
      <c r="AE52" s="189"/>
      <c r="AF52" s="187"/>
      <c r="AG52" s="187"/>
      <c r="AH52" s="187"/>
      <c r="AI52" s="187"/>
      <c r="AJ52" s="187"/>
    </row>
    <row r="53" spans="1:36" ht="19.5" customHeight="1" x14ac:dyDescent="0.25">
      <c r="A53" s="962" t="s">
        <v>954</v>
      </c>
      <c r="B53" s="326"/>
      <c r="C53" s="326"/>
      <c r="D53" s="326"/>
      <c r="E53" s="326"/>
      <c r="F53" s="326"/>
      <c r="G53" s="326"/>
      <c r="H53" s="326"/>
      <c r="I53" s="326"/>
      <c r="J53" s="326"/>
      <c r="K53" s="326"/>
      <c r="L53" s="326"/>
      <c r="M53" s="326"/>
      <c r="N53" s="327"/>
      <c r="O53" s="183" t="s">
        <v>955</v>
      </c>
      <c r="P53" s="1007" t="e">
        <f>COUNTIFS('refer admin discharge'!T30:T1020,"YES",#REF!, "YES")</f>
        <v>#REF!</v>
      </c>
      <c r="Q53" s="327"/>
      <c r="R53" s="97"/>
      <c r="S53" s="97"/>
      <c r="T53" s="82"/>
      <c r="U53" s="82"/>
      <c r="V53" s="82"/>
      <c r="W53" s="82"/>
      <c r="X53" s="82"/>
      <c r="Y53" s="82"/>
      <c r="Z53" s="82"/>
      <c r="AA53" s="82"/>
      <c r="AB53" s="82"/>
      <c r="AC53" s="82"/>
      <c r="AD53" s="82"/>
      <c r="AE53" s="82"/>
      <c r="AF53" s="82"/>
      <c r="AG53" s="82"/>
      <c r="AH53" s="187"/>
      <c r="AI53" s="190"/>
      <c r="AJ53" s="190"/>
    </row>
    <row r="54" spans="1:36" ht="19.5" customHeight="1" x14ac:dyDescent="0.25">
      <c r="A54" s="451" t="s">
        <v>956</v>
      </c>
      <c r="B54" s="326"/>
      <c r="C54" s="326"/>
      <c r="D54" s="326"/>
      <c r="E54" s="326"/>
      <c r="F54" s="326"/>
      <c r="G54" s="326"/>
      <c r="H54" s="326"/>
      <c r="I54" s="326"/>
      <c r="J54" s="326"/>
      <c r="K54" s="326"/>
      <c r="L54" s="326"/>
      <c r="M54" s="326"/>
      <c r="N54" s="327"/>
      <c r="O54" s="183" t="s">
        <v>957</v>
      </c>
      <c r="P54" s="995">
        <f>COUNTIFS('refer admin discharge'!T30:T1020,"NO")</f>
        <v>0</v>
      </c>
      <c r="Q54" s="327"/>
      <c r="R54" s="193"/>
      <c r="S54" s="193"/>
      <c r="T54" s="82"/>
      <c r="U54" s="82"/>
      <c r="V54" s="82"/>
      <c r="W54" s="82"/>
      <c r="X54" s="82"/>
      <c r="Y54" s="82"/>
      <c r="Z54" s="82"/>
      <c r="AA54" s="82"/>
      <c r="AB54" s="82"/>
      <c r="AC54" s="82"/>
      <c r="AD54" s="82"/>
      <c r="AE54" s="82"/>
      <c r="AF54" s="82"/>
      <c r="AG54" s="82"/>
      <c r="AH54" s="187"/>
      <c r="AI54" s="194"/>
      <c r="AJ54" s="194"/>
    </row>
    <row r="55" spans="1:36" ht="19.5" customHeight="1" x14ac:dyDescent="0.25">
      <c r="A55" s="999" t="s">
        <v>958</v>
      </c>
      <c r="B55" s="326"/>
      <c r="C55" s="326"/>
      <c r="D55" s="326"/>
      <c r="E55" s="326"/>
      <c r="F55" s="326"/>
      <c r="G55" s="326"/>
      <c r="H55" s="326"/>
      <c r="I55" s="326"/>
      <c r="J55" s="326"/>
      <c r="K55" s="326"/>
      <c r="L55" s="326"/>
      <c r="M55" s="326"/>
      <c r="N55" s="327"/>
      <c r="O55" s="183" t="s">
        <v>959</v>
      </c>
      <c r="P55" s="996" t="e">
        <f t="shared" ref="P55:P56" si="5">COUNTIFS(#REF!,"NO")</f>
        <v>#REF!</v>
      </c>
      <c r="Q55" s="327"/>
      <c r="R55" s="97"/>
      <c r="S55" s="97"/>
      <c r="T55" s="82"/>
      <c r="U55" s="82"/>
      <c r="V55" s="82"/>
      <c r="W55" s="82"/>
      <c r="X55" s="82"/>
      <c r="Y55" s="82"/>
      <c r="Z55" s="82"/>
      <c r="AA55" s="82"/>
      <c r="AB55" s="82"/>
      <c r="AC55" s="82"/>
      <c r="AD55" s="82"/>
      <c r="AE55" s="82"/>
      <c r="AF55" s="82"/>
      <c r="AG55" s="82"/>
      <c r="AH55" s="187"/>
      <c r="AI55" s="190"/>
      <c r="AJ55" s="190"/>
    </row>
    <row r="56" spans="1:36" ht="19.5" customHeight="1" x14ac:dyDescent="0.25">
      <c r="A56" s="1000" t="s">
        <v>960</v>
      </c>
      <c r="B56" s="326"/>
      <c r="C56" s="326"/>
      <c r="D56" s="326"/>
      <c r="E56" s="326"/>
      <c r="F56" s="326"/>
      <c r="G56" s="326"/>
      <c r="H56" s="326"/>
      <c r="I56" s="326"/>
      <c r="J56" s="326"/>
      <c r="K56" s="326"/>
      <c r="L56" s="326"/>
      <c r="M56" s="326"/>
      <c r="N56" s="327"/>
      <c r="O56" s="183" t="s">
        <v>961</v>
      </c>
      <c r="P56" s="997" t="e">
        <f t="shared" si="5"/>
        <v>#REF!</v>
      </c>
      <c r="Q56" s="327"/>
      <c r="R56" s="97"/>
      <c r="S56" s="97"/>
      <c r="T56" s="82"/>
      <c r="U56" s="82"/>
      <c r="V56" s="82"/>
      <c r="W56" s="82"/>
      <c r="X56" s="82"/>
      <c r="Y56" s="82"/>
      <c r="Z56" s="82"/>
      <c r="AA56" s="82"/>
      <c r="AB56" s="82"/>
      <c r="AC56" s="82"/>
      <c r="AD56" s="82"/>
      <c r="AE56" s="82"/>
      <c r="AF56" s="82"/>
      <c r="AG56" s="82"/>
      <c r="AH56" s="187"/>
      <c r="AI56" s="190"/>
      <c r="AJ56" s="190"/>
    </row>
    <row r="57" spans="1:36" ht="15.75" customHeight="1" x14ac:dyDescent="0.25">
      <c r="A57" s="93"/>
      <c r="B57" s="93"/>
      <c r="C57" s="93"/>
      <c r="D57" s="93"/>
      <c r="E57" s="93"/>
      <c r="F57" s="93"/>
      <c r="G57" s="93"/>
      <c r="H57" s="9"/>
      <c r="I57" s="93"/>
      <c r="J57" s="93"/>
      <c r="K57" s="93"/>
      <c r="L57" s="93"/>
      <c r="M57" s="93"/>
      <c r="N57" s="93"/>
      <c r="O57" s="183"/>
      <c r="P57" s="979"/>
      <c r="Q57" s="327"/>
      <c r="R57" s="188"/>
      <c r="S57" s="188"/>
      <c r="T57" s="187"/>
      <c r="U57" s="187"/>
      <c r="V57" s="187"/>
      <c r="W57" s="187"/>
      <c r="X57" s="187"/>
      <c r="Y57" s="187"/>
      <c r="Z57" s="187"/>
      <c r="AB57" s="187"/>
      <c r="AC57" s="187"/>
      <c r="AD57" s="187"/>
      <c r="AE57" s="187"/>
      <c r="AF57" s="187"/>
      <c r="AG57" s="187"/>
      <c r="AH57" s="187"/>
      <c r="AI57" s="192"/>
      <c r="AJ57" s="192"/>
    </row>
    <row r="58" spans="1:36" ht="15.75" customHeight="1" x14ac:dyDescent="0.25">
      <c r="A58" s="998" t="s">
        <v>962</v>
      </c>
      <c r="B58" s="347"/>
      <c r="C58" s="347"/>
      <c r="D58" s="347"/>
      <c r="E58" s="347"/>
      <c r="F58" s="347"/>
      <c r="G58" s="347"/>
      <c r="H58" s="347"/>
      <c r="I58" s="347"/>
      <c r="J58" s="347"/>
      <c r="K58" s="347"/>
      <c r="L58" s="354"/>
      <c r="M58" s="93"/>
      <c r="N58" s="93"/>
      <c r="O58" s="183"/>
      <c r="P58" s="980"/>
      <c r="Q58" s="327"/>
      <c r="R58" s="188"/>
      <c r="S58" s="188"/>
      <c r="T58" s="189"/>
      <c r="U58" s="189"/>
      <c r="V58" s="189"/>
      <c r="W58" s="189"/>
      <c r="X58" s="189"/>
      <c r="Y58" s="189"/>
      <c r="Z58" s="189"/>
      <c r="AA58" s="189"/>
      <c r="AB58" s="189"/>
      <c r="AC58" s="189"/>
      <c r="AD58" s="189"/>
      <c r="AE58" s="189"/>
      <c r="AF58" s="187"/>
      <c r="AG58" s="187"/>
      <c r="AH58" s="187"/>
      <c r="AI58" s="187"/>
      <c r="AJ58" s="187"/>
    </row>
    <row r="59" spans="1:36" ht="19.5" customHeight="1" x14ac:dyDescent="0.25">
      <c r="A59" s="962" t="s">
        <v>963</v>
      </c>
      <c r="B59" s="326"/>
      <c r="C59" s="326"/>
      <c r="D59" s="326"/>
      <c r="E59" s="326"/>
      <c r="F59" s="326"/>
      <c r="G59" s="326"/>
      <c r="H59" s="326"/>
      <c r="I59" s="326"/>
      <c r="J59" s="326"/>
      <c r="K59" s="326"/>
      <c r="L59" s="326"/>
      <c r="M59" s="326"/>
      <c r="N59" s="327"/>
      <c r="O59" s="183" t="s">
        <v>964</v>
      </c>
      <c r="P59" s="1007" t="e">
        <f>COUNTIFS('refer admin discharge'!U30:U1020,"YES",#REF!, "YES")</f>
        <v>#REF!</v>
      </c>
      <c r="Q59" s="327"/>
      <c r="R59" s="97"/>
      <c r="S59" s="97"/>
      <c r="T59" s="82"/>
      <c r="U59" s="82"/>
      <c r="V59" s="82"/>
      <c r="W59" s="82"/>
      <c r="X59" s="82"/>
      <c r="Y59" s="82"/>
      <c r="Z59" s="82"/>
      <c r="AA59" s="82"/>
      <c r="AB59" s="82"/>
      <c r="AC59" s="82"/>
      <c r="AD59" s="82"/>
      <c r="AE59" s="82"/>
      <c r="AF59" s="82"/>
      <c r="AG59" s="82"/>
      <c r="AH59" s="187"/>
      <c r="AI59" s="190"/>
      <c r="AJ59" s="190"/>
    </row>
    <row r="60" spans="1:36" ht="19.5" customHeight="1" x14ac:dyDescent="0.25">
      <c r="A60" s="451" t="s">
        <v>965</v>
      </c>
      <c r="B60" s="326"/>
      <c r="C60" s="326"/>
      <c r="D60" s="326"/>
      <c r="E60" s="326"/>
      <c r="F60" s="326"/>
      <c r="G60" s="326"/>
      <c r="H60" s="326"/>
      <c r="I60" s="326"/>
      <c r="J60" s="326"/>
      <c r="K60" s="326"/>
      <c r="L60" s="326"/>
      <c r="M60" s="326"/>
      <c r="N60" s="327"/>
      <c r="O60" s="183" t="s">
        <v>966</v>
      </c>
      <c r="P60" s="995">
        <f>COUNTIFS('refer admin discharge'!U30:U1020,"YES")</f>
        <v>0</v>
      </c>
      <c r="Q60" s="327"/>
      <c r="R60" s="193"/>
      <c r="S60" s="193"/>
      <c r="T60" s="82"/>
      <c r="U60" s="82"/>
      <c r="V60" s="82"/>
      <c r="W60" s="82"/>
      <c r="X60" s="82"/>
      <c r="Y60" s="82"/>
      <c r="Z60" s="82"/>
      <c r="AA60" s="82"/>
      <c r="AB60" s="82"/>
      <c r="AC60" s="82"/>
      <c r="AD60" s="82"/>
      <c r="AE60" s="82"/>
      <c r="AF60" s="82"/>
      <c r="AG60" s="82"/>
      <c r="AH60" s="187"/>
      <c r="AI60" s="194"/>
      <c r="AJ60" s="194"/>
    </row>
    <row r="61" spans="1:36" ht="19.5" customHeight="1" x14ac:dyDescent="0.25">
      <c r="A61" s="999" t="s">
        <v>967</v>
      </c>
      <c r="B61" s="326"/>
      <c r="C61" s="326"/>
      <c r="D61" s="326"/>
      <c r="E61" s="326"/>
      <c r="F61" s="326"/>
      <c r="G61" s="326"/>
      <c r="H61" s="326"/>
      <c r="I61" s="326"/>
      <c r="J61" s="326"/>
      <c r="K61" s="326"/>
      <c r="L61" s="326"/>
      <c r="M61" s="326"/>
      <c r="N61" s="327"/>
      <c r="O61" s="183" t="s">
        <v>968</v>
      </c>
      <c r="P61" s="996" t="e">
        <f t="shared" ref="P61:P62" si="6">COUNTIFS(#REF!,"YES")</f>
        <v>#REF!</v>
      </c>
      <c r="Q61" s="327"/>
      <c r="R61" s="97"/>
      <c r="S61" s="97"/>
      <c r="T61" s="82"/>
      <c r="U61" s="82"/>
      <c r="V61" s="82"/>
      <c r="W61" s="82"/>
      <c r="X61" s="82"/>
      <c r="Y61" s="82"/>
      <c r="Z61" s="82"/>
      <c r="AA61" s="82"/>
      <c r="AB61" s="82"/>
      <c r="AC61" s="82"/>
      <c r="AD61" s="82"/>
      <c r="AE61" s="82"/>
      <c r="AF61" s="82"/>
      <c r="AG61" s="82"/>
      <c r="AH61" s="187"/>
      <c r="AI61" s="190"/>
      <c r="AJ61" s="190"/>
    </row>
    <row r="62" spans="1:36" ht="19.5" customHeight="1" x14ac:dyDescent="0.25">
      <c r="A62" s="1000" t="s">
        <v>969</v>
      </c>
      <c r="B62" s="326"/>
      <c r="C62" s="326"/>
      <c r="D62" s="326"/>
      <c r="E62" s="326"/>
      <c r="F62" s="326"/>
      <c r="G62" s="326"/>
      <c r="H62" s="326"/>
      <c r="I62" s="326"/>
      <c r="J62" s="326"/>
      <c r="K62" s="326"/>
      <c r="L62" s="326"/>
      <c r="M62" s="326"/>
      <c r="N62" s="327"/>
      <c r="O62" s="183" t="s">
        <v>970</v>
      </c>
      <c r="P62" s="997" t="e">
        <f t="shared" si="6"/>
        <v>#REF!</v>
      </c>
      <c r="Q62" s="327"/>
      <c r="R62" s="97"/>
      <c r="S62" s="97"/>
      <c r="T62" s="82"/>
      <c r="U62" s="82"/>
      <c r="V62" s="82"/>
      <c r="W62" s="82"/>
      <c r="X62" s="82"/>
      <c r="Y62" s="82"/>
      <c r="Z62" s="82"/>
      <c r="AA62" s="82"/>
      <c r="AB62" s="82"/>
      <c r="AC62" s="82"/>
      <c r="AD62" s="82"/>
      <c r="AE62" s="82"/>
      <c r="AF62" s="82"/>
      <c r="AG62" s="82"/>
      <c r="AH62" s="187"/>
      <c r="AI62" s="190"/>
      <c r="AJ62" s="190"/>
    </row>
    <row r="63" spans="1:36" ht="15" customHeight="1" x14ac:dyDescent="0.25">
      <c r="A63" s="1013" t="s">
        <v>971</v>
      </c>
      <c r="B63" s="347"/>
      <c r="C63" s="347"/>
      <c r="D63" s="347"/>
      <c r="E63" s="347"/>
      <c r="F63" s="347"/>
      <c r="G63" s="347"/>
      <c r="H63" s="347"/>
      <c r="I63" s="347"/>
      <c r="J63" s="347"/>
      <c r="K63" s="347"/>
      <c r="L63" s="347"/>
      <c r="M63" s="347"/>
      <c r="N63" s="347"/>
      <c r="O63" s="347"/>
      <c r="P63" s="347"/>
      <c r="Q63" s="347"/>
      <c r="R63" s="347"/>
      <c r="S63" s="354"/>
      <c r="T63" s="195"/>
      <c r="U63" s="195"/>
      <c r="V63" s="195"/>
      <c r="W63" s="195"/>
      <c r="X63" s="195"/>
      <c r="Y63" s="195"/>
      <c r="Z63" s="195"/>
      <c r="AA63" s="195"/>
      <c r="AB63" s="195"/>
      <c r="AC63" s="195"/>
      <c r="AD63" s="195"/>
      <c r="AE63" s="195"/>
      <c r="AF63" s="195"/>
    </row>
    <row r="64" spans="1:36" ht="15.75" customHeight="1" x14ac:dyDescent="0.25">
      <c r="A64" s="1014" t="s">
        <v>972</v>
      </c>
      <c r="B64" s="347"/>
      <c r="C64" s="347"/>
      <c r="D64" s="347"/>
      <c r="E64" s="347"/>
      <c r="F64" s="347"/>
      <c r="G64" s="347"/>
      <c r="H64" s="347"/>
      <c r="I64" s="347"/>
      <c r="J64" s="347"/>
      <c r="K64" s="347"/>
      <c r="L64" s="347"/>
      <c r="M64" s="347"/>
      <c r="N64" s="347"/>
      <c r="O64" s="347"/>
      <c r="P64" s="347"/>
      <c r="Q64" s="347"/>
      <c r="R64" s="347"/>
      <c r="S64" s="347"/>
      <c r="T64" s="347"/>
      <c r="U64" s="347"/>
      <c r="V64" s="347"/>
      <c r="W64" s="347"/>
      <c r="X64" s="347"/>
      <c r="Y64" s="347"/>
      <c r="Z64" s="347"/>
      <c r="AA64" s="347"/>
      <c r="AB64" s="347"/>
      <c r="AC64" s="354"/>
      <c r="AD64" s="196" t="s">
        <v>731</v>
      </c>
      <c r="AF64" s="196" t="s">
        <v>973</v>
      </c>
    </row>
    <row r="65" spans="1:36" ht="15.75" customHeight="1" x14ac:dyDescent="0.25">
      <c r="A65" s="197"/>
      <c r="B65" s="197"/>
      <c r="C65" s="197"/>
      <c r="D65" s="197"/>
      <c r="E65" s="197"/>
      <c r="F65" s="1015" t="s">
        <v>731</v>
      </c>
      <c r="G65" s="326"/>
      <c r="H65" s="326"/>
      <c r="I65" s="326"/>
      <c r="J65" s="326"/>
      <c r="K65" s="326"/>
      <c r="L65" s="326"/>
      <c r="M65" s="326"/>
      <c r="N65" s="326"/>
      <c r="O65" s="326"/>
      <c r="P65" s="326"/>
      <c r="Q65" s="326"/>
      <c r="R65" s="326"/>
      <c r="S65" s="408"/>
      <c r="T65" s="198"/>
      <c r="U65" s="1016" t="s">
        <v>974</v>
      </c>
      <c r="V65" s="326"/>
      <c r="W65" s="326"/>
      <c r="X65" s="326"/>
      <c r="Y65" s="326"/>
      <c r="Z65" s="327"/>
      <c r="AA65" s="199"/>
      <c r="AB65" s="199"/>
      <c r="AC65" s="199"/>
      <c r="AD65" s="200"/>
      <c r="AF65" s="200"/>
    </row>
    <row r="66" spans="1:36" ht="39.75" customHeight="1" x14ac:dyDescent="0.25">
      <c r="A66" s="1017" t="s">
        <v>975</v>
      </c>
      <c r="B66" s="326"/>
      <c r="C66" s="326"/>
      <c r="D66" s="326"/>
      <c r="E66" s="327"/>
      <c r="F66" s="1018" t="s">
        <v>562</v>
      </c>
      <c r="G66" s="327"/>
      <c r="H66" s="946" t="s">
        <v>733</v>
      </c>
      <c r="I66" s="327"/>
      <c r="J66" s="946" t="s">
        <v>976</v>
      </c>
      <c r="K66" s="327"/>
      <c r="L66" s="946" t="s">
        <v>565</v>
      </c>
      <c r="M66" s="327"/>
      <c r="N66" s="946" t="s">
        <v>977</v>
      </c>
      <c r="O66" s="327"/>
      <c r="P66" s="946" t="s">
        <v>978</v>
      </c>
      <c r="Q66" s="327"/>
      <c r="R66" s="946" t="s">
        <v>742</v>
      </c>
      <c r="S66" s="327"/>
      <c r="T66" s="201"/>
      <c r="U66" s="967" t="s">
        <v>570</v>
      </c>
      <c r="V66" s="327"/>
      <c r="W66" s="967" t="s">
        <v>571</v>
      </c>
      <c r="X66" s="327"/>
      <c r="Y66" s="967" t="s">
        <v>979</v>
      </c>
      <c r="Z66" s="327"/>
      <c r="AA66" s="142"/>
      <c r="AB66" s="142"/>
      <c r="AC66" s="142"/>
      <c r="AD66" s="200"/>
      <c r="AF66" s="200"/>
    </row>
    <row r="67" spans="1:36" ht="15" customHeight="1" x14ac:dyDescent="0.25">
      <c r="A67" s="1019" t="s">
        <v>980</v>
      </c>
      <c r="B67" s="350"/>
      <c r="C67" s="350"/>
      <c r="D67" s="350"/>
      <c r="E67" s="351"/>
      <c r="F67" s="202" t="s">
        <v>981</v>
      </c>
      <c r="G67" s="203" t="s">
        <v>982</v>
      </c>
      <c r="H67" s="202" t="s">
        <v>981</v>
      </c>
      <c r="I67" s="203" t="s">
        <v>982</v>
      </c>
      <c r="J67" s="202" t="s">
        <v>981</v>
      </c>
      <c r="K67" s="203" t="s">
        <v>982</v>
      </c>
      <c r="L67" s="202" t="s">
        <v>981</v>
      </c>
      <c r="M67" s="203" t="s">
        <v>982</v>
      </c>
      <c r="N67" s="202" t="s">
        <v>981</v>
      </c>
      <c r="O67" s="203" t="s">
        <v>982</v>
      </c>
      <c r="P67" s="202" t="s">
        <v>981</v>
      </c>
      <c r="Q67" s="203" t="s">
        <v>982</v>
      </c>
      <c r="R67" s="202" t="s">
        <v>981</v>
      </c>
      <c r="S67" s="203" t="s">
        <v>982</v>
      </c>
      <c r="T67" s="5"/>
      <c r="U67" s="204" t="s">
        <v>981</v>
      </c>
      <c r="V67" s="205" t="s">
        <v>982</v>
      </c>
      <c r="W67" s="204" t="s">
        <v>981</v>
      </c>
      <c r="X67" s="205" t="s">
        <v>982</v>
      </c>
      <c r="Y67" s="204" t="s">
        <v>981</v>
      </c>
      <c r="Z67" s="205" t="s">
        <v>982</v>
      </c>
      <c r="AA67" s="142"/>
      <c r="AB67" s="142"/>
      <c r="AC67" s="142"/>
      <c r="AD67" s="200"/>
      <c r="AF67" s="200"/>
    </row>
    <row r="68" spans="1:36" ht="15.75" customHeight="1" x14ac:dyDescent="0.25">
      <c r="A68" s="1020" t="s">
        <v>983</v>
      </c>
      <c r="B68" s="326"/>
      <c r="C68" s="327"/>
      <c r="D68" s="733" t="e">
        <f>COUNTIFS('refer admin discharge'!#REF!,"&gt;=0",'refer admin discharge'!#REF!,"&lt;=12")</f>
        <v>#REF!</v>
      </c>
      <c r="E68" s="327"/>
      <c r="F68" s="206" t="e">
        <f>COUNTIFS('refer admin discharge'!#REF!,"&gt;=0",'refer admin discharge'!#REF!,"&lt;=12",'refer admin discharge'!#REF!,"White",'refer admin discharge'!#REF!,"Male")</f>
        <v>#REF!</v>
      </c>
      <c r="G68" s="207" t="e">
        <f>COUNTIFS('refer admin discharge'!#REF!,"&gt;=0",'refer admin discharge'!#REF!,"&lt;=12",'refer admin discharge'!#REF!,"White",'refer admin discharge'!#REF!,"Female")</f>
        <v>#REF!</v>
      </c>
      <c r="H68" s="206" t="e">
        <f>COUNTIFS('refer admin discharge'!#REF!,"&gt;=0",'refer admin discharge'!#REF!,"&lt;=12",'refer admin discharge'!#REF!,"African American /Black",'refer admin discharge'!#REF!,"Male")</f>
        <v>#REF!</v>
      </c>
      <c r="I68" s="207" t="e">
        <f>COUNTIFS('refer admin discharge'!#REF!,"&gt;=0",'refer admin discharge'!#REF!,"&lt;=12",'refer admin discharge'!#REF!,"African American /Black",'refer admin discharge'!#REF!,"Female")</f>
        <v>#REF!</v>
      </c>
      <c r="J68" s="206" t="e">
        <f>COUNTIFS('refer admin discharge'!#REF!,"&gt;=0",'refer admin discharge'!#REF!,"&lt;=12",'refer admin discharge'!#REF!,"Native Hawaiian/Pacific",'refer admin discharge'!#REF!,"Male")</f>
        <v>#REF!</v>
      </c>
      <c r="K68" s="207" t="e">
        <f>COUNTIFS('refer admin discharge'!#REF!,"&gt;=0",'refer admin discharge'!#REF!,"&lt;=12",'refer admin discharge'!#REF!,"Native Hawaiian/Pacific",'refer admin discharge'!#REF!,"Female")</f>
        <v>#REF!</v>
      </c>
      <c r="L68" s="206" t="e">
        <f>COUNTIFS('refer admin discharge'!#REF!,"&gt;=0",'refer admin discharge'!#REF!,"&lt;=12",'refer admin discharge'!#REF!,"Asian",'refer admin discharge'!#REF!,"Male")</f>
        <v>#REF!</v>
      </c>
      <c r="M68" s="207" t="e">
        <f>COUNTIFS('refer admin discharge'!#REF!,"&gt;=0",'refer admin discharge'!#REF!,"&lt;=12",'refer admin discharge'!#REF!,"Asian",'refer admin discharge'!#REF!,"Female")</f>
        <v>#REF!</v>
      </c>
      <c r="N68" s="206" t="e">
        <f>COUNTIFS('refer admin discharge'!#REF!,"&gt;=0",'refer admin discharge'!#REF!,"&lt;=12",'refer admin discharge'!#REF!,"American Indian Alaskan Native",'refer admin discharge'!#REF!,"Male")</f>
        <v>#REF!</v>
      </c>
      <c r="O68" s="207" t="e">
        <f>COUNTIFS('refer admin discharge'!#REF!,"&gt;=0",'refer admin discharge'!#REF!,"&lt;=12",'refer admin discharge'!#REF!,"American Indian Alaskan Native",'refer admin discharge'!#REF!,"Female")</f>
        <v>#REF!</v>
      </c>
      <c r="P68" s="206" t="e">
        <f>COUNTIFS('refer admin discharge'!#REF!,"&gt;=0",'refer admin discharge'!#REF!,"&lt;=12",'refer admin discharge'!#REF!,"More than one race reported",'refer admin discharge'!#REF!,"Male")</f>
        <v>#REF!</v>
      </c>
      <c r="Q68" s="207" t="e">
        <f>COUNTIFS('refer admin discharge'!#REF!,"&gt;=0",'refer admin discharge'!#REF!,"&lt;=12",'refer admin discharge'!#REF!,"More than one race reported",'refer admin discharge'!#REF!,"Female")</f>
        <v>#REF!</v>
      </c>
      <c r="R68" s="206" t="e">
        <f>COUNTIFS('refer admin discharge'!#REF!,"&gt;=0",'refer admin discharge'!#REF!,"&lt;=12",'refer admin discharge'!#REF!,"Unknown",'refer admin discharge'!#REF!,"Male")</f>
        <v>#REF!</v>
      </c>
      <c r="S68" s="207" t="e">
        <f>COUNTIFS('refer admin discharge'!#REF!,"&gt;=0",'refer admin discharge'!#REF!,"&lt;=12",'refer admin discharge'!#REF!,"Unknown",'refer admin discharge'!#REF!,"Female")</f>
        <v>#REF!</v>
      </c>
      <c r="T68" s="5"/>
      <c r="U68" s="208" t="e">
        <f>COUNTIFS('refer admin discharge'!#REF!,"&gt;=0",'refer admin discharge'!#REF!,"&lt;=12",'refer admin discharge'!#REF!,"Not Hispanic or Latino",'refer admin discharge'!#REF!,"Male")</f>
        <v>#REF!</v>
      </c>
      <c r="V68" s="209" t="e">
        <f>COUNTIFS('refer admin discharge'!#REF!,"&gt;=0",'refer admin discharge'!#REF!,"&lt;=12",'refer admin discharge'!#REF!,"Not Hispanic or Latino",'refer admin discharge'!#REF!,"Female")</f>
        <v>#REF!</v>
      </c>
      <c r="W68" s="208" t="e">
        <f>COUNTIFS('refer admin discharge'!#REF!,"&gt;=0",'refer admin discharge'!#REF!,"&lt;=12",'refer admin discharge'!#REF!,"Hispanic-Latino ",'refer admin discharge'!#REF!,"Male")</f>
        <v>#REF!</v>
      </c>
      <c r="X68" s="209" t="e">
        <f>COUNTIFS('refer admin discharge'!#REF!,"&gt;=0",'refer admin discharge'!#REF!,"&lt;=12",'refer admin discharge'!#REF!,"Hispanic-Latino ",'refer admin discharge'!#REF!,"Female")</f>
        <v>#REF!</v>
      </c>
      <c r="Y68" s="208" t="e">
        <f>COUNTIFS('refer admin discharge'!#REF!,"&gt;=0",'refer admin discharge'!#REF!,"&lt;=12",'refer admin discharge'!#REF!,"Unknown",'refer admin discharge'!#REF!,"Male")</f>
        <v>#REF!</v>
      </c>
      <c r="Z68" s="209" t="e">
        <f>COUNTIFS('refer admin discharge'!#REF!,"&gt;=0",'refer admin discharge'!#REF!,"&lt;=12",'refer admin discharge'!#REF!,"Unknown",'refer admin discharge'!#REF!,"Female")</f>
        <v>#REF!</v>
      </c>
      <c r="AA68" s="142"/>
      <c r="AB68" s="142"/>
      <c r="AC68" s="142"/>
      <c r="AD68" s="210" t="e">
        <f t="shared" ref="AD68:AD76" si="7">SUM(F68:S68)</f>
        <v>#REF!</v>
      </c>
      <c r="AF68" s="211" t="e">
        <f t="shared" ref="AF68:AF76" si="8">SUM(U68:Z68)</f>
        <v>#REF!</v>
      </c>
      <c r="AH68" s="212">
        <v>7</v>
      </c>
    </row>
    <row r="69" spans="1:36" ht="15" customHeight="1" x14ac:dyDescent="0.25">
      <c r="A69" s="944" t="s">
        <v>984</v>
      </c>
      <c r="B69" s="326"/>
      <c r="C69" s="327"/>
      <c r="D69" s="943" t="e">
        <f>COUNTIFS('refer admin discharge'!#REF!,"&gt;=13",'refer admin discharge'!#REF!,"&lt;=17")</f>
        <v>#REF!</v>
      </c>
      <c r="E69" s="327"/>
      <c r="F69" s="213" t="e">
        <f>COUNTIFS('refer admin discharge'!#REF!,"&gt;=13",'refer admin discharge'!#REF!,"&lt;=17",'refer admin discharge'!#REF!,"White",'refer admin discharge'!#REF!,"Male")</f>
        <v>#REF!</v>
      </c>
      <c r="G69" s="214" t="e">
        <f>COUNTIFS('refer admin discharge'!#REF!,"&gt;=13",'refer admin discharge'!#REF!,"&lt;=17",'refer admin discharge'!#REF!,"White",'refer admin discharge'!#REF!,"Female")</f>
        <v>#REF!</v>
      </c>
      <c r="H69" s="213" t="e">
        <f>COUNTIFS('refer admin discharge'!#REF!,"&gt;=13",'refer admin discharge'!#REF!,"&lt;=17",'refer admin discharge'!#REF!,"African American /Black",'refer admin discharge'!#REF!,"Male")</f>
        <v>#REF!</v>
      </c>
      <c r="I69" s="214" t="e">
        <f>COUNTIFS('refer admin discharge'!#REF!,"&gt;=13",'refer admin discharge'!#REF!,"&lt;=17",'refer admin discharge'!#REF!,"African American /Black",'refer admin discharge'!#REF!,"Female")</f>
        <v>#REF!</v>
      </c>
      <c r="J69" s="213" t="e">
        <f>COUNTIFS('refer admin discharge'!#REF!,"&gt;=13",'refer admin discharge'!#REF!,"&lt;=17",'refer admin discharge'!#REF!,"Native Hawaiian/Pacific",'refer admin discharge'!#REF!,"Male")</f>
        <v>#REF!</v>
      </c>
      <c r="K69" s="214" t="e">
        <f>COUNTIFS('refer admin discharge'!#REF!,"&gt;=13",'refer admin discharge'!#REF!,"&lt;=17",'refer admin discharge'!#REF!,"Native Hawaiian/Pacific",'refer admin discharge'!#REF!,"Female")</f>
        <v>#REF!</v>
      </c>
      <c r="L69" s="213" t="e">
        <f>COUNTIFS('refer admin discharge'!#REF!,"&gt;=13",'refer admin discharge'!#REF!,"&lt;=17",'refer admin discharge'!#REF!,"Asian",'refer admin discharge'!#REF!,"Male")</f>
        <v>#REF!</v>
      </c>
      <c r="M69" s="214" t="e">
        <f>COUNTIFS('refer admin discharge'!#REF!,"&gt;=13",'refer admin discharge'!#REF!,"&lt;=17",'refer admin discharge'!#REF!,"Asian",'refer admin discharge'!#REF!,"Female")</f>
        <v>#REF!</v>
      </c>
      <c r="N69" s="213" t="e">
        <f>COUNTIFS('refer admin discharge'!#REF!,"&gt;=13",'refer admin discharge'!#REF!,"&lt;=17",'refer admin discharge'!#REF!,"American Indian Alaskan Native",'refer admin discharge'!#REF!,"Male")</f>
        <v>#REF!</v>
      </c>
      <c r="O69" s="214" t="e">
        <f>COUNTIFS('refer admin discharge'!#REF!,"&gt;=13",'refer admin discharge'!#REF!,"&lt;=17",'refer admin discharge'!#REF!,"American Indian Alaskan Native",'refer admin discharge'!#REF!,"Female")</f>
        <v>#REF!</v>
      </c>
      <c r="P69" s="213" t="e">
        <f>COUNTIFS('refer admin discharge'!#REF!,"&gt;=13",'refer admin discharge'!#REF!,"&lt;=17",'refer admin discharge'!#REF!,"More than one race reported",'refer admin discharge'!#REF!,"Male")</f>
        <v>#REF!</v>
      </c>
      <c r="Q69" s="214" t="e">
        <f>COUNTIFS('refer admin discharge'!#REF!,"&gt;=13",'refer admin discharge'!#REF!,"&lt;=17",'refer admin discharge'!#REF!,"More than one race reported",'refer admin discharge'!#REF!,"Female")</f>
        <v>#REF!</v>
      </c>
      <c r="R69" s="213" t="e">
        <f>COUNTIFS('refer admin discharge'!#REF!,"&gt;=13",'refer admin discharge'!#REF!,"&lt;=17",'refer admin discharge'!#REF!,"Unknown",'refer admin discharge'!#REF!,"Male")</f>
        <v>#REF!</v>
      </c>
      <c r="S69" s="214" t="e">
        <f>COUNTIFS('refer admin discharge'!#REF!,"&gt;=13",'refer admin discharge'!#REF!,"&lt;=17",'refer admin discharge'!#REF!,"Unknown",'refer admin discharge'!#REF!,"Female")</f>
        <v>#REF!</v>
      </c>
      <c r="T69" s="5"/>
      <c r="U69" s="209" t="e">
        <f>COUNTIFS('refer admin discharge'!#REF!,"&gt;=13",'refer admin discharge'!#REF!,"&lt;=17",'refer admin discharge'!#REF!,"Not Hispanic or Latino",'refer admin discharge'!#REF!,"Male")</f>
        <v>#REF!</v>
      </c>
      <c r="V69" s="215" t="e">
        <f>COUNTIFS('refer admin discharge'!#REF!,"&gt;=13",'refer admin discharge'!#REF!,"&lt;=17",'refer admin discharge'!#REF!,"Not Hispanic or Latino",'refer admin discharge'!#REF!,"Female")</f>
        <v>#REF!</v>
      </c>
      <c r="W69" s="209" t="e">
        <f>COUNTIFS('refer admin discharge'!#REF!,"&gt;=13",'refer admin discharge'!#REF!,"&lt;=17",'refer admin discharge'!#REF!,"Hispanic-Latino ",'refer admin discharge'!#REF!,"Male")</f>
        <v>#REF!</v>
      </c>
      <c r="X69" s="215" t="e">
        <f>COUNTIFS('refer admin discharge'!#REF!,"&gt;=13",'refer admin discharge'!#REF!,"&lt;=17",'refer admin discharge'!#REF!,"Hispanic-Latino ",'refer admin discharge'!#REF!,"Female")</f>
        <v>#REF!</v>
      </c>
      <c r="Y69" s="209" t="e">
        <f>COUNTIFS('refer admin discharge'!#REF!,"&gt;=13",'refer admin discharge'!#REF!,"&lt;=17",'refer admin discharge'!#REF!,"Unknown",'refer admin discharge'!#REF!,"Male")</f>
        <v>#REF!</v>
      </c>
      <c r="Z69" s="215" t="e">
        <f>COUNTIFS('refer admin discharge'!#REF!,"&gt;=13",'refer admin discharge'!#REF!,"&lt;=17",'refer admin discharge'!#REF!,"Unknown",'refer admin discharge'!#REF!,"Female")</f>
        <v>#REF!</v>
      </c>
      <c r="AA69" s="142"/>
      <c r="AB69" s="142"/>
      <c r="AC69" s="142"/>
      <c r="AD69" s="210" t="e">
        <f t="shared" si="7"/>
        <v>#REF!</v>
      </c>
      <c r="AF69" s="211" t="e">
        <f t="shared" si="8"/>
        <v>#REF!</v>
      </c>
      <c r="AH69" s="212">
        <v>7</v>
      </c>
    </row>
    <row r="70" spans="1:36" ht="15.75" customHeight="1" x14ac:dyDescent="0.25">
      <c r="A70" s="945" t="s">
        <v>985</v>
      </c>
      <c r="B70" s="326"/>
      <c r="C70" s="327"/>
      <c r="D70" s="733" t="e">
        <f>COUNTIFS('refer admin discharge'!#REF!,"&gt;=18",'refer admin discharge'!#REF!,"&lt;=20")</f>
        <v>#REF!</v>
      </c>
      <c r="E70" s="327"/>
      <c r="F70" s="206" t="e">
        <f>COUNTIFS('refer admin discharge'!#REF!,"&gt;=18",'refer admin discharge'!#REF!,"&lt;=20",'refer admin discharge'!#REF!,"White",'refer admin discharge'!#REF!,"Male")</f>
        <v>#REF!</v>
      </c>
      <c r="G70" s="207" t="e">
        <f>COUNTIFS('refer admin discharge'!#REF!,"&gt;=18",'refer admin discharge'!#REF!,"&lt;=20",'refer admin discharge'!#REF!,"White",'refer admin discharge'!#REF!,"Female")</f>
        <v>#REF!</v>
      </c>
      <c r="H70" s="206" t="e">
        <f>COUNTIFS('refer admin discharge'!#REF!,"&gt;=18",'refer admin discharge'!#REF!,"&lt;=20",'refer admin discharge'!#REF!,"African American /Black",'refer admin discharge'!#REF!,"Male")</f>
        <v>#REF!</v>
      </c>
      <c r="I70" s="207" t="e">
        <f>COUNTIFS('refer admin discharge'!#REF!,"&gt;=18",'refer admin discharge'!#REF!,"&lt;=20",'refer admin discharge'!#REF!,"African American /Black",'refer admin discharge'!#REF!,"Female")</f>
        <v>#REF!</v>
      </c>
      <c r="J70" s="206" t="e">
        <f>COUNTIFS('refer admin discharge'!#REF!,"&gt;=18",'refer admin discharge'!#REF!,"&lt;=20",'refer admin discharge'!#REF!,"Native Hawaiian/Pacific",'refer admin discharge'!#REF!,"Male")</f>
        <v>#REF!</v>
      </c>
      <c r="K70" s="207" t="e">
        <f>COUNTIFS('refer admin discharge'!#REF!,"&gt;=18",'refer admin discharge'!#REF!,"&lt;=20",'refer admin discharge'!#REF!,"Native Hawaiian/Pacific",'refer admin discharge'!#REF!,"Female")</f>
        <v>#REF!</v>
      </c>
      <c r="L70" s="206" t="e">
        <f>COUNTIFS('refer admin discharge'!#REF!,"&gt;=18",'refer admin discharge'!#REF!,"&lt;=20",'refer admin discharge'!#REF!,"Asian",'refer admin discharge'!#REF!,"Male")</f>
        <v>#REF!</v>
      </c>
      <c r="M70" s="207" t="e">
        <f>COUNTIFS('refer admin discharge'!#REF!,"&gt;=18",'refer admin discharge'!#REF!,"&lt;=20",'refer admin discharge'!#REF!,"Asian",'refer admin discharge'!#REF!,"Female")</f>
        <v>#REF!</v>
      </c>
      <c r="N70" s="206" t="e">
        <f>COUNTIFS('refer admin discharge'!#REF!,"&gt;=18",'refer admin discharge'!#REF!,"&lt;=20",'refer admin discharge'!#REF!,"American Indian Alaskan Native",'refer admin discharge'!#REF!,"Male")</f>
        <v>#REF!</v>
      </c>
      <c r="O70" s="207" t="e">
        <f>COUNTIFS('refer admin discharge'!#REF!,"&gt;=18",'refer admin discharge'!#REF!,"&lt;=20",'refer admin discharge'!#REF!,"American Indian Alaskan Native",'refer admin discharge'!#REF!,"Female")</f>
        <v>#REF!</v>
      </c>
      <c r="P70" s="206" t="e">
        <f>COUNTIFS('refer admin discharge'!#REF!,"&gt;=18",'refer admin discharge'!#REF!,"&lt;=20",'refer admin discharge'!#REF!,"More than one race reported",'refer admin discharge'!#REF!,"Male")</f>
        <v>#REF!</v>
      </c>
      <c r="Q70" s="207" t="e">
        <f>COUNTIFS('refer admin discharge'!#REF!,"&gt;=18",'refer admin discharge'!#REF!,"&lt;=20",'refer admin discharge'!#REF!,"More than one race reported",'refer admin discharge'!#REF!,"Female")</f>
        <v>#REF!</v>
      </c>
      <c r="R70" s="206" t="e">
        <f>COUNTIFS('refer admin discharge'!#REF!,"&gt;=18",'refer admin discharge'!#REF!,"&lt;=20",'refer admin discharge'!#REF!,"Unknown",'refer admin discharge'!#REF!,"Male")</f>
        <v>#REF!</v>
      </c>
      <c r="S70" s="207" t="e">
        <f>COUNTIFS('refer admin discharge'!#REF!,"&gt;=18",'refer admin discharge'!#REF!,"&lt;=20",'refer admin discharge'!#REF!,"Unknown",'refer admin discharge'!#REF!,"Female")</f>
        <v>#REF!</v>
      </c>
      <c r="T70" s="5"/>
      <c r="U70" s="208" t="e">
        <f>COUNTIFS('refer admin discharge'!#REF!,"&gt;=18",'refer admin discharge'!#REF!,"&lt;=20",'refer admin discharge'!#REF!,"Not Hispanic or Latino",'refer admin discharge'!#REF!,"Male")</f>
        <v>#REF!</v>
      </c>
      <c r="V70" s="209" t="e">
        <f>COUNTIFS('refer admin discharge'!#REF!,"&gt;=18",'refer admin discharge'!#REF!,"&lt;=20",'refer admin discharge'!#REF!,"Not Hispanic or Latino",'refer admin discharge'!#REF!,"Female")</f>
        <v>#REF!</v>
      </c>
      <c r="W70" s="208" t="e">
        <f>COUNTIFS('refer admin discharge'!#REF!,"&gt;=18",'refer admin discharge'!#REF!,"&lt;=20",'refer admin discharge'!#REF!,"Hispanic-Latino ",'refer admin discharge'!#REF!,"Male")</f>
        <v>#REF!</v>
      </c>
      <c r="X70" s="209" t="e">
        <f>COUNTIFS('refer admin discharge'!#REF!,"&gt;=18",'refer admin discharge'!#REF!,"&lt;=20",'refer admin discharge'!#REF!,"Hispanic-Latino ",'refer admin discharge'!#REF!,"Female")</f>
        <v>#REF!</v>
      </c>
      <c r="Y70" s="208" t="e">
        <f>COUNTIFS('refer admin discharge'!#REF!,"&gt;=18",'refer admin discharge'!#REF!,"&lt;=20",'refer admin discharge'!#REF!,"Unknown",'refer admin discharge'!#REF!,"Male")</f>
        <v>#REF!</v>
      </c>
      <c r="Z70" s="209" t="e">
        <f>COUNTIFS('refer admin discharge'!#REF!,"&gt;=18",'refer admin discharge'!#REF!,"&lt;=20",'refer admin discharge'!#REF!,"Unknown",'refer admin discharge'!#REF!,"Female")</f>
        <v>#REF!</v>
      </c>
      <c r="AA70" s="142"/>
      <c r="AB70" s="142"/>
      <c r="AC70" s="142"/>
      <c r="AD70" s="210" t="e">
        <f t="shared" si="7"/>
        <v>#REF!</v>
      </c>
      <c r="AF70" s="211" t="e">
        <f t="shared" si="8"/>
        <v>#REF!</v>
      </c>
      <c r="AH70" s="212">
        <v>7</v>
      </c>
    </row>
    <row r="71" spans="1:36" ht="15.75" customHeight="1" x14ac:dyDescent="0.25">
      <c r="A71" s="944" t="s">
        <v>986</v>
      </c>
      <c r="B71" s="326"/>
      <c r="C71" s="327"/>
      <c r="D71" s="943" t="e">
        <f>COUNTIFS('refer admin discharge'!#REF!,"&gt;=21",'refer admin discharge'!#REF!,"&lt;=24")</f>
        <v>#REF!</v>
      </c>
      <c r="E71" s="327"/>
      <c r="F71" s="213" t="e">
        <f>COUNTIFS('refer admin discharge'!#REF!,"&gt;=21",'refer admin discharge'!#REF!,"&lt;=24",'refer admin discharge'!#REF!,"White",'refer admin discharge'!#REF!,"Male")</f>
        <v>#REF!</v>
      </c>
      <c r="G71" s="214" t="e">
        <f>COUNTIFS('refer admin discharge'!#REF!,"&gt;=21",'refer admin discharge'!#REF!,"&lt;=24",'refer admin discharge'!#REF!,"White",'refer admin discharge'!#REF!,"Female")</f>
        <v>#REF!</v>
      </c>
      <c r="H71" s="213" t="e">
        <f>COUNTIFS('refer admin discharge'!#REF!,"&gt;=21",'refer admin discharge'!#REF!,"&lt;=24",'refer admin discharge'!#REF!,"African American /Black",'refer admin discharge'!#REF!,"Male")</f>
        <v>#REF!</v>
      </c>
      <c r="I71" s="214" t="e">
        <f>COUNTIFS('refer admin discharge'!#REF!,"&gt;=21",'refer admin discharge'!#REF!,"&lt;=24",'refer admin discharge'!#REF!,"African American /Black",'refer admin discharge'!#REF!,"Female")</f>
        <v>#REF!</v>
      </c>
      <c r="J71" s="213" t="e">
        <f>COUNTIFS('refer admin discharge'!#REF!,"&gt;=21",'refer admin discharge'!#REF!,"&lt;=24",'refer admin discharge'!#REF!,"Native Hawaiian/Pacific",'refer admin discharge'!#REF!,"Male")</f>
        <v>#REF!</v>
      </c>
      <c r="K71" s="214" t="e">
        <f>COUNTIFS('refer admin discharge'!#REF!,"&gt;=21",'refer admin discharge'!#REF!,"&lt;=24",'refer admin discharge'!#REF!,"Native Hawaiian/Pacific",'refer admin discharge'!#REF!,"Female")</f>
        <v>#REF!</v>
      </c>
      <c r="L71" s="213" t="e">
        <f>COUNTIFS('refer admin discharge'!#REF!,"&gt;=21",'refer admin discharge'!#REF!,"&lt;=24",'refer admin discharge'!#REF!,"Asian",'refer admin discharge'!#REF!,"Male")</f>
        <v>#REF!</v>
      </c>
      <c r="M71" s="214" t="e">
        <f>COUNTIFS('refer admin discharge'!#REF!,"&gt;=21",'refer admin discharge'!#REF!,"&lt;=24",'refer admin discharge'!#REF!,"Asian",'refer admin discharge'!#REF!,"Female")</f>
        <v>#REF!</v>
      </c>
      <c r="N71" s="213" t="e">
        <f>COUNTIFS('refer admin discharge'!#REF!,"&gt;=21",'refer admin discharge'!#REF!,"&lt;=24",'refer admin discharge'!#REF!,"American Indian Alaskan Native",'refer admin discharge'!#REF!,"Male")</f>
        <v>#REF!</v>
      </c>
      <c r="O71" s="214" t="e">
        <f>COUNTIFS('refer admin discharge'!#REF!,"&gt;=21",'refer admin discharge'!#REF!,"&lt;=24",'refer admin discharge'!#REF!,"American Indian Alaskan Native",'refer admin discharge'!#REF!,"Female")</f>
        <v>#REF!</v>
      </c>
      <c r="P71" s="213" t="e">
        <f>COUNTIFS('refer admin discharge'!#REF!,"&gt;=21",'refer admin discharge'!#REF!,"&lt;=24",'refer admin discharge'!#REF!,"More than one race reported",'refer admin discharge'!#REF!,"Male")</f>
        <v>#REF!</v>
      </c>
      <c r="Q71" s="214" t="e">
        <f>COUNTIFS('refer admin discharge'!#REF!,"&gt;=21",'refer admin discharge'!#REF!,"&lt;=24",'refer admin discharge'!#REF!,"More than one race reported",'refer admin discharge'!#REF!,"Female")</f>
        <v>#REF!</v>
      </c>
      <c r="R71" s="213" t="e">
        <f>COUNTIFS('refer admin discharge'!#REF!,"&gt;=21",'refer admin discharge'!#REF!,"&lt;=24",'refer admin discharge'!#REF!,"Unknown",'refer admin discharge'!#REF!,"Male")</f>
        <v>#REF!</v>
      </c>
      <c r="S71" s="214" t="e">
        <f>COUNTIFS('refer admin discharge'!#REF!,"&gt;=21",'refer admin discharge'!#REF!,"&lt;=24",'refer admin discharge'!#REF!,"Unknown",'refer admin discharge'!#REF!,"Female")</f>
        <v>#REF!</v>
      </c>
      <c r="T71" s="5"/>
      <c r="U71" s="209" t="e">
        <f>COUNTIFS('refer admin discharge'!#REF!,"&gt;=21",'refer admin discharge'!#REF!,"&lt;=24",'refer admin discharge'!#REF!,"Not Hispanic or Latino",'refer admin discharge'!#REF!,"Male")</f>
        <v>#REF!</v>
      </c>
      <c r="V71" s="215" t="e">
        <f>COUNTIFS('refer admin discharge'!#REF!,"&gt;=21",'refer admin discharge'!#REF!,"&lt;=24",'refer admin discharge'!#REF!,"Not Hispanic or Latino",'refer admin discharge'!#REF!,"Female")</f>
        <v>#REF!</v>
      </c>
      <c r="W71" s="209" t="e">
        <f>COUNTIFS('refer admin discharge'!#REF!,"&gt;=21",'refer admin discharge'!#REF!,"&lt;=24",'refer admin discharge'!#REF!,"Hispanic-Latino ",'refer admin discharge'!#REF!,"Male")</f>
        <v>#REF!</v>
      </c>
      <c r="X71" s="215" t="e">
        <f>COUNTIFS('refer admin discharge'!#REF!,"&gt;=21",'refer admin discharge'!#REF!,"&lt;=24",'refer admin discharge'!#REF!,"Hispanic-Latino ",'refer admin discharge'!#REF!,"Female")</f>
        <v>#REF!</v>
      </c>
      <c r="Y71" s="209" t="e">
        <f>COUNTIFS('refer admin discharge'!#REF!,"&gt;=21",'refer admin discharge'!#REF!,"&lt;=24",'refer admin discharge'!#REF!,"Unknown",'refer admin discharge'!#REF!,"Male")</f>
        <v>#REF!</v>
      </c>
      <c r="Z71" s="215" t="e">
        <f>COUNTIFS('refer admin discharge'!#REF!,"&gt;=21",'refer admin discharge'!#REF!,"&lt;=24",'refer admin discharge'!#REF!,"Unknown",'refer admin discharge'!#REF!,"Female")</f>
        <v>#REF!</v>
      </c>
      <c r="AA71" s="142"/>
      <c r="AB71" s="142"/>
      <c r="AC71" s="142"/>
      <c r="AD71" s="210" t="e">
        <f t="shared" si="7"/>
        <v>#REF!</v>
      </c>
      <c r="AF71" s="211" t="e">
        <f t="shared" si="8"/>
        <v>#REF!</v>
      </c>
      <c r="AH71" s="212">
        <v>7</v>
      </c>
    </row>
    <row r="72" spans="1:36" ht="15.75" customHeight="1" x14ac:dyDescent="0.25">
      <c r="A72" s="945" t="s">
        <v>987</v>
      </c>
      <c r="B72" s="326"/>
      <c r="C72" s="327"/>
      <c r="D72" s="733" t="e">
        <f>COUNTIFS('refer admin discharge'!#REF!,"&gt;=25",'refer admin discharge'!#REF!,"&lt;=44")</f>
        <v>#REF!</v>
      </c>
      <c r="E72" s="327"/>
      <c r="F72" s="206" t="e">
        <f>COUNTIFS('refer admin discharge'!#REF!,"&gt;=25",'refer admin discharge'!#REF!,"&lt;=44",'refer admin discharge'!#REF!,"White",'refer admin discharge'!#REF!,"Male")</f>
        <v>#REF!</v>
      </c>
      <c r="G72" s="207" t="e">
        <f>COUNTIFS('refer admin discharge'!#REF!,"&gt;=25",'refer admin discharge'!#REF!,"&lt;=44",'refer admin discharge'!#REF!,"White",'refer admin discharge'!#REF!,"Female")</f>
        <v>#REF!</v>
      </c>
      <c r="H72" s="206" t="e">
        <f>COUNTIFS('refer admin discharge'!#REF!,"&gt;=25",'refer admin discharge'!#REF!,"&lt;=44",'refer admin discharge'!#REF!,"African American /Black",'refer admin discharge'!#REF!,"Male")</f>
        <v>#REF!</v>
      </c>
      <c r="I72" s="207" t="e">
        <f>COUNTIFS('refer admin discharge'!#REF!,"&gt;=25",'refer admin discharge'!#REF!,"&lt;=44",'refer admin discharge'!#REF!,"African American /Black",'refer admin discharge'!#REF!,"Female")</f>
        <v>#REF!</v>
      </c>
      <c r="J72" s="206" t="e">
        <f>COUNTIFS('refer admin discharge'!#REF!,"&gt;=25",'refer admin discharge'!#REF!,"&lt;=44",'refer admin discharge'!#REF!,"Native Hawaiian/Pacific",'refer admin discharge'!#REF!,"Male")</f>
        <v>#REF!</v>
      </c>
      <c r="K72" s="207" t="e">
        <f>COUNTIFS('refer admin discharge'!#REF!,"&gt;=25",'refer admin discharge'!#REF!,"&lt;=44",'refer admin discharge'!#REF!,"Native Hawaiian/Pacific",'refer admin discharge'!#REF!,"Female")</f>
        <v>#REF!</v>
      </c>
      <c r="L72" s="206" t="e">
        <f>COUNTIFS('refer admin discharge'!#REF!,"&gt;=25",'refer admin discharge'!#REF!,"&lt;=44",'refer admin discharge'!#REF!,"Asian",'refer admin discharge'!#REF!,"Male")</f>
        <v>#REF!</v>
      </c>
      <c r="M72" s="207" t="e">
        <f>COUNTIFS('refer admin discharge'!#REF!,"&gt;=25",'refer admin discharge'!#REF!,"&lt;=44",'refer admin discharge'!#REF!,"Asian",'refer admin discharge'!#REF!,"Female")</f>
        <v>#REF!</v>
      </c>
      <c r="N72" s="206" t="e">
        <f>COUNTIFS('refer admin discharge'!#REF!,"&gt;=25",'refer admin discharge'!#REF!,"&lt;=44",'refer admin discharge'!#REF!,"American Indian Alaskan Native",'refer admin discharge'!#REF!,"Male")</f>
        <v>#REF!</v>
      </c>
      <c r="O72" s="207" t="e">
        <f>COUNTIFS('refer admin discharge'!#REF!,"&gt;=25",'refer admin discharge'!#REF!,"&lt;=44",'refer admin discharge'!#REF!,"American Indian Alaskan Native",'refer admin discharge'!#REF!,"Female")</f>
        <v>#REF!</v>
      </c>
      <c r="P72" s="206" t="e">
        <f>COUNTIFS('refer admin discharge'!#REF!,"&gt;=25",'refer admin discharge'!#REF!,"&lt;=44",'refer admin discharge'!#REF!,"More than one race reported",'refer admin discharge'!#REF!,"Male")</f>
        <v>#REF!</v>
      </c>
      <c r="Q72" s="207" t="e">
        <f>COUNTIFS('refer admin discharge'!#REF!,"&gt;=25",'refer admin discharge'!#REF!,"&lt;=44",'refer admin discharge'!#REF!,"More than one race reported",'refer admin discharge'!#REF!,"Female")</f>
        <v>#REF!</v>
      </c>
      <c r="R72" s="206" t="e">
        <f>COUNTIFS('refer admin discharge'!#REF!,"&gt;=25",'refer admin discharge'!#REF!,"&lt;=44",'refer admin discharge'!#REF!,"Unknown",'refer admin discharge'!#REF!,"Male")</f>
        <v>#REF!</v>
      </c>
      <c r="S72" s="207" t="e">
        <f>COUNTIFS('refer admin discharge'!#REF!,"&gt;=25",'refer admin discharge'!#REF!,"&lt;=44",'refer admin discharge'!#REF!,"Unknown",'refer admin discharge'!#REF!,"Female")</f>
        <v>#REF!</v>
      </c>
      <c r="T72" s="5"/>
      <c r="U72" s="208" t="e">
        <f>COUNTIFS('refer admin discharge'!#REF!,"&gt;=25",'refer admin discharge'!#REF!,"&lt;=44",'refer admin discharge'!#REF!,"Not Hispanic or Latino",'refer admin discharge'!#REF!,"Male")</f>
        <v>#REF!</v>
      </c>
      <c r="V72" s="209" t="e">
        <f>COUNTIFS('refer admin discharge'!#REF!,"&gt;=25",'refer admin discharge'!#REF!,"&lt;=44",'refer admin discharge'!#REF!,"Not Hispanic or Latino",'refer admin discharge'!#REF!,"Female")</f>
        <v>#REF!</v>
      </c>
      <c r="W72" s="208" t="e">
        <f>COUNTIFS('refer admin discharge'!#REF!,"&gt;=25",'refer admin discharge'!#REF!,"&lt;=44",'refer admin discharge'!#REF!,"Hispanic-Latino ",'refer admin discharge'!#REF!,"Male")</f>
        <v>#REF!</v>
      </c>
      <c r="X72" s="209" t="e">
        <f>COUNTIFS('refer admin discharge'!#REF!,"&gt;=25",'refer admin discharge'!#REF!,"&lt;=44",'refer admin discharge'!#REF!,"Hispanic-Latino ",'refer admin discharge'!#REF!,"Female")</f>
        <v>#REF!</v>
      </c>
      <c r="Y72" s="208" t="e">
        <f>COUNTIFS('refer admin discharge'!#REF!,"&gt;=25",'refer admin discharge'!#REF!,"&lt;=44",'refer admin discharge'!#REF!,"Unknown",'refer admin discharge'!#REF!,"Male")</f>
        <v>#REF!</v>
      </c>
      <c r="Z72" s="209" t="e">
        <f>COUNTIFS('refer admin discharge'!#REF!,"&gt;=25",'refer admin discharge'!#REF!,"&lt;=44",'refer admin discharge'!#REF!,"Unknown",'refer admin discharge'!#REF!,"Female")</f>
        <v>#REF!</v>
      </c>
      <c r="AA72" s="142"/>
      <c r="AB72" s="142"/>
      <c r="AC72" s="142"/>
      <c r="AD72" s="210" t="e">
        <f t="shared" si="7"/>
        <v>#REF!</v>
      </c>
      <c r="AF72" s="211" t="e">
        <f t="shared" si="8"/>
        <v>#REF!</v>
      </c>
      <c r="AH72" s="212">
        <v>28</v>
      </c>
    </row>
    <row r="73" spans="1:36" ht="15.75" customHeight="1" x14ac:dyDescent="0.25">
      <c r="A73" s="944" t="s">
        <v>988</v>
      </c>
      <c r="B73" s="326"/>
      <c r="C73" s="327"/>
      <c r="D73" s="943" t="e">
        <f>COUNTIFS('refer admin discharge'!#REF!,"&gt;=45",'refer admin discharge'!#REF!,"&lt;=64")</f>
        <v>#REF!</v>
      </c>
      <c r="E73" s="327"/>
      <c r="F73" s="216" t="e">
        <f>COUNTIFS('refer admin discharge'!#REF!,"&gt;=45",'refer admin discharge'!#REF!,"&lt;=64",'refer admin discharge'!#REF!,"White",'refer admin discharge'!#REF!,"Male")</f>
        <v>#REF!</v>
      </c>
      <c r="G73" s="217" t="e">
        <f>COUNTIFS('refer admin discharge'!#REF!,"&gt;=45",'refer admin discharge'!#REF!,"&lt;=64",'refer admin discharge'!#REF!,"White",'refer admin discharge'!#REF!,"Female")</f>
        <v>#REF!</v>
      </c>
      <c r="H73" s="216" t="e">
        <f>COUNTIFS('refer admin discharge'!#REF!,"&gt;=45",'refer admin discharge'!#REF!,"&lt;=64",'refer admin discharge'!#REF!,"African American /Black",'refer admin discharge'!#REF!,"Male")</f>
        <v>#REF!</v>
      </c>
      <c r="I73" s="217" t="e">
        <f>COUNTIFS('refer admin discharge'!#REF!,"&gt;=45",'refer admin discharge'!#REF!,"&lt;=64",'refer admin discharge'!#REF!,"African American /Black",'refer admin discharge'!#REF!,"Female")</f>
        <v>#REF!</v>
      </c>
      <c r="J73" s="216" t="e">
        <f>COUNTIFS('refer admin discharge'!#REF!,"&gt;=45",'refer admin discharge'!#REF!,"&lt;=64",'refer admin discharge'!#REF!,"Native Hawaiian/Pacific",'refer admin discharge'!#REF!,"Male")</f>
        <v>#REF!</v>
      </c>
      <c r="K73" s="217" t="e">
        <f>COUNTIFS('refer admin discharge'!#REF!,"&gt;=45",'refer admin discharge'!#REF!,"&lt;=64",'refer admin discharge'!#REF!,"Native Hawaiian/Pacific",'refer admin discharge'!#REF!,"Female")</f>
        <v>#REF!</v>
      </c>
      <c r="L73" s="216" t="e">
        <f>COUNTIFS('refer admin discharge'!#REF!,"&gt;=45",'refer admin discharge'!#REF!,"&lt;=64",'refer admin discharge'!#REF!,"Asian",'refer admin discharge'!#REF!,"Male")</f>
        <v>#REF!</v>
      </c>
      <c r="M73" s="217" t="e">
        <f>COUNTIFS('refer admin discharge'!#REF!,"&gt;=45",'refer admin discharge'!#REF!,"&lt;=64",'refer admin discharge'!#REF!,"Asian",'refer admin discharge'!#REF!,"Female")</f>
        <v>#REF!</v>
      </c>
      <c r="N73" s="216" t="e">
        <f>COUNTIFS('refer admin discharge'!#REF!,"&gt;=45",'refer admin discharge'!#REF!,"&lt;=64",'refer admin discharge'!#REF!,"American Indian Alaskan Native",'refer admin discharge'!#REF!,"Male")</f>
        <v>#REF!</v>
      </c>
      <c r="O73" s="217" t="e">
        <f>COUNTIFS('refer admin discharge'!#REF!,"&gt;=45",'refer admin discharge'!#REF!,"&lt;=64",'refer admin discharge'!#REF!,"American Indian Alaskan Native",'refer admin discharge'!#REF!,"Female")</f>
        <v>#REF!</v>
      </c>
      <c r="P73" s="216" t="e">
        <f>COUNTIFS('refer admin discharge'!#REF!,"&gt;=45",'refer admin discharge'!#REF!,"&lt;=64",'refer admin discharge'!#REF!,"More than one race reported",'refer admin discharge'!#REF!,"Male")</f>
        <v>#REF!</v>
      </c>
      <c r="Q73" s="217" t="e">
        <f>COUNTIFS('refer admin discharge'!#REF!,"&gt;=45",'refer admin discharge'!#REF!,"&lt;=64",'refer admin discharge'!#REF!,"More than one race reported",'refer admin discharge'!#REF!,"Female")</f>
        <v>#REF!</v>
      </c>
      <c r="R73" s="216" t="e">
        <f>COUNTIFS('refer admin discharge'!#REF!,"&gt;=45",'refer admin discharge'!#REF!,"&lt;=64",'refer admin discharge'!#REF!,"Unknown",'refer admin discharge'!#REF!,"Male")</f>
        <v>#REF!</v>
      </c>
      <c r="S73" s="217" t="e">
        <f>COUNTIFS('refer admin discharge'!#REF!,"&gt;=45",'refer admin discharge'!#REF!,"&lt;=64",'refer admin discharge'!#REF!,"Unknown",'refer admin discharge'!#REF!,"Female")</f>
        <v>#REF!</v>
      </c>
      <c r="T73" s="5"/>
      <c r="U73" s="218" t="e">
        <f>COUNTIFS('refer admin discharge'!#REF!,"&gt;=45",'refer admin discharge'!#REF!,"&lt;=64",'refer admin discharge'!#REF!,"Not Hispanic or Latino",'refer admin discharge'!#REF!,"Male")</f>
        <v>#REF!</v>
      </c>
      <c r="V73" s="219" t="e">
        <f>COUNTIFS('refer admin discharge'!#REF!,"&gt;=45",'refer admin discharge'!#REF!,"&lt;=64",'refer admin discharge'!#REF!,"Not Hispanic or Latino",'refer admin discharge'!#REF!,"Female")</f>
        <v>#REF!</v>
      </c>
      <c r="W73" s="218" t="e">
        <f>COUNTIFS('refer admin discharge'!#REF!,"&gt;=45",'refer admin discharge'!#REF!,"&lt;=64",'refer admin discharge'!#REF!,"Hispanic-Latino ",'refer admin discharge'!#REF!,"Male")</f>
        <v>#REF!</v>
      </c>
      <c r="X73" s="219" t="e">
        <f>COUNTIFS('refer admin discharge'!#REF!,"&gt;=45",'refer admin discharge'!#REF!,"&lt;=64",'refer admin discharge'!#REF!,"Hispanic-Latino ",'refer admin discharge'!#REF!,"Female")</f>
        <v>#REF!</v>
      </c>
      <c r="Y73" s="218" t="e">
        <f>COUNTIFS('refer admin discharge'!#REF!,"&gt;=45",'refer admin discharge'!#REF!,"&lt;=64",'refer admin discharge'!#REF!,"Unknown",'refer admin discharge'!#REF!,"Male")</f>
        <v>#REF!</v>
      </c>
      <c r="Z73" s="219" t="e">
        <f>COUNTIFS('refer admin discharge'!#REF!,"&gt;=45",'refer admin discharge'!#REF!,"&lt;=64",'refer admin discharge'!#REF!,"Unknown",'refer admin discharge'!#REF!,"Female")</f>
        <v>#REF!</v>
      </c>
      <c r="AA73" s="142"/>
      <c r="AB73" s="142"/>
      <c r="AC73" s="142"/>
      <c r="AD73" s="210" t="e">
        <f t="shared" si="7"/>
        <v>#REF!</v>
      </c>
      <c r="AF73" s="211" t="e">
        <f t="shared" si="8"/>
        <v>#REF!</v>
      </c>
      <c r="AH73" s="212">
        <v>28</v>
      </c>
    </row>
    <row r="74" spans="1:36" ht="15.75" customHeight="1" x14ac:dyDescent="0.25">
      <c r="A74" s="945" t="s">
        <v>989</v>
      </c>
      <c r="B74" s="326"/>
      <c r="C74" s="327"/>
      <c r="D74" s="733" t="e">
        <f>COUNTIFS('refer admin discharge'!#REF!,"&gt;=65",'refer admin discharge'!#REF!,"&lt;=74")</f>
        <v>#REF!</v>
      </c>
      <c r="E74" s="327"/>
      <c r="F74" s="41" t="e">
        <f>COUNTIFS('refer admin discharge'!#REF!,"&gt;=65",'refer admin discharge'!#REF!,"&lt;=74",'refer admin discharge'!#REF!,"White",'refer admin discharge'!#REF!,"Male")</f>
        <v>#REF!</v>
      </c>
      <c r="G74" s="220" t="e">
        <f>COUNTIFS('refer admin discharge'!#REF!,"&gt;=65",'refer admin discharge'!#REF!,"&lt;=74",'refer admin discharge'!#REF!,"White",'refer admin discharge'!#REF!,"Female")</f>
        <v>#REF!</v>
      </c>
      <c r="H74" s="41" t="e">
        <f>COUNTIFS('refer admin discharge'!#REF!,"&gt;=65",'refer admin discharge'!#REF!,"&lt;=74",'refer admin discharge'!#REF!,"African American /Black",'refer admin discharge'!#REF!,"Male")</f>
        <v>#REF!</v>
      </c>
      <c r="I74" s="220" t="e">
        <f>COUNTIFS('refer admin discharge'!#REF!,"&gt;=65",'refer admin discharge'!#REF!,"&lt;=74",'refer admin discharge'!#REF!,"African American /Black",'refer admin discharge'!#REF!,"Female")</f>
        <v>#REF!</v>
      </c>
      <c r="J74" s="41" t="e">
        <f>COUNTIFS('refer admin discharge'!#REF!,"&gt;=65",'refer admin discharge'!#REF!,"&lt;=74",'refer admin discharge'!#REF!,"Native Hawaiian/Pacific",'refer admin discharge'!#REF!,"Male")</f>
        <v>#REF!</v>
      </c>
      <c r="K74" s="220" t="e">
        <f>COUNTIFS('refer admin discharge'!#REF!,"&gt;=65",'refer admin discharge'!#REF!,"&lt;=74",'refer admin discharge'!#REF!,"Native Hawaiian/Pacific",'refer admin discharge'!#REF!,"Female")</f>
        <v>#REF!</v>
      </c>
      <c r="L74" s="41" t="e">
        <f>COUNTIFS('refer admin discharge'!#REF!,"&gt;=65",'refer admin discharge'!#REF!,"&lt;=74",'refer admin discharge'!#REF!,"Asian",'refer admin discharge'!#REF!,"Male")</f>
        <v>#REF!</v>
      </c>
      <c r="M74" s="220" t="e">
        <f>COUNTIFS('refer admin discharge'!#REF!,"&gt;=65",'refer admin discharge'!#REF!,"&lt;=74",'refer admin discharge'!#REF!,"Asian",'refer admin discharge'!#REF!,"Female")</f>
        <v>#REF!</v>
      </c>
      <c r="N74" s="41" t="e">
        <f>COUNTIFS('refer admin discharge'!#REF!,"&gt;=65",'refer admin discharge'!#REF!,"&lt;=74",'refer admin discharge'!#REF!,"American Indian Alaskan Native",'refer admin discharge'!#REF!,"Male")</f>
        <v>#REF!</v>
      </c>
      <c r="O74" s="220" t="e">
        <f>COUNTIFS('refer admin discharge'!#REF!,"&gt;=65",'refer admin discharge'!#REF!,"&lt;=74",'refer admin discharge'!#REF!,"American Indian Alaskan Native",'refer admin discharge'!#REF!,"Female")</f>
        <v>#REF!</v>
      </c>
      <c r="P74" s="41" t="e">
        <f>COUNTIFS('refer admin discharge'!#REF!,"&gt;=65",'refer admin discharge'!#REF!,"&lt;=74",'refer admin discharge'!#REF!,"More than one race reported",'refer admin discharge'!#REF!,"Male")</f>
        <v>#REF!</v>
      </c>
      <c r="Q74" s="220" t="e">
        <f>COUNTIFS('refer admin discharge'!#REF!,"&gt;=65",'refer admin discharge'!#REF!,"&lt;=74",'refer admin discharge'!#REF!,"More than one race reported",'refer admin discharge'!#REF!,"Female")</f>
        <v>#REF!</v>
      </c>
      <c r="R74" s="41" t="e">
        <f>COUNTIFS('refer admin discharge'!#REF!,"&gt;=65",'refer admin discharge'!#REF!,"&lt;=74",'refer admin discharge'!#REF!,"Unknown",'refer admin discharge'!#REF!,"Male")</f>
        <v>#REF!</v>
      </c>
      <c r="S74" s="220" t="e">
        <f>COUNTIFS('refer admin discharge'!#REF!,"&gt;=65",'refer admin discharge'!#REF!,"&lt;=74",'refer admin discharge'!#REF!,"Unknown",'refer admin discharge'!#REF!,"Female")</f>
        <v>#REF!</v>
      </c>
      <c r="T74" s="5"/>
      <c r="U74" s="221" t="e">
        <f>COUNTIFS('refer admin discharge'!#REF!,"&gt;=65",'refer admin discharge'!#REF!,"&lt;=74",'refer admin discharge'!#REF!,"Not Hispanic or Latino",'refer admin discharge'!#REF!,"Male")</f>
        <v>#REF!</v>
      </c>
      <c r="V74" s="218" t="e">
        <f>COUNTIFS('refer admin discharge'!#REF!,"&gt;=65",'refer admin discharge'!#REF!,"&lt;=74",'refer admin discharge'!#REF!,"Not Hispanic or Latino",'refer admin discharge'!#REF!,"Female")</f>
        <v>#REF!</v>
      </c>
      <c r="W74" s="221" t="e">
        <f>COUNTIFS('refer admin discharge'!#REF!,"&gt;=65",'refer admin discharge'!#REF!,"&lt;=74",'refer admin discharge'!#REF!,"Hispanic-Latino ",'refer admin discharge'!#REF!,"Male")</f>
        <v>#REF!</v>
      </c>
      <c r="X74" s="218" t="e">
        <f>COUNTIFS('refer admin discharge'!#REF!,"&gt;=65",'refer admin discharge'!#REF!,"&lt;=74",'refer admin discharge'!#REF!,"Hispanic-Latino ",'refer admin discharge'!#REF!,"Female")</f>
        <v>#REF!</v>
      </c>
      <c r="Y74" s="221" t="e">
        <f>COUNTIFS('refer admin discharge'!#REF!,"&gt;=65",'refer admin discharge'!#REF!,"&lt;=74",'refer admin discharge'!#REF!,"Unknown",'refer admin discharge'!#REF!,"Male")</f>
        <v>#REF!</v>
      </c>
      <c r="Z74" s="218" t="e">
        <f>COUNTIFS('refer admin discharge'!#REF!,"&gt;=65",'refer admin discharge'!#REF!,"&lt;=74",'refer admin discharge'!#REF!,"Unknown",'refer admin discharge'!#REF!,"Female")</f>
        <v>#REF!</v>
      </c>
      <c r="AA74" s="142"/>
      <c r="AB74" s="142"/>
      <c r="AC74" s="142"/>
      <c r="AD74" s="210" t="e">
        <f t="shared" si="7"/>
        <v>#REF!</v>
      </c>
      <c r="AF74" s="211" t="e">
        <f t="shared" si="8"/>
        <v>#REF!</v>
      </c>
      <c r="AH74" s="212">
        <v>14</v>
      </c>
    </row>
    <row r="75" spans="1:36" ht="15.75" customHeight="1" x14ac:dyDescent="0.25">
      <c r="A75" s="944" t="s">
        <v>990</v>
      </c>
      <c r="B75" s="326"/>
      <c r="C75" s="327"/>
      <c r="D75" s="943" t="e">
        <f>COUNTIFS('refer admin discharge'!#REF!,"&gt;=75",'refer admin discharge'!#REF!,"&lt;=150")</f>
        <v>#REF!</v>
      </c>
      <c r="E75" s="327"/>
      <c r="F75" s="216" t="e">
        <f>COUNTIFS('refer admin discharge'!#REF!,"&gt;=75",'refer admin discharge'!#REF!,"&lt;=150",'refer admin discharge'!#REF!,"White",'refer admin discharge'!#REF!,"Male")</f>
        <v>#REF!</v>
      </c>
      <c r="G75" s="217" t="e">
        <f>COUNTIFS('refer admin discharge'!#REF!,"&gt;=75",'refer admin discharge'!#REF!,"&lt;=150",'refer admin discharge'!#REF!,"White",'refer admin discharge'!#REF!,"Female")</f>
        <v>#REF!</v>
      </c>
      <c r="H75" s="216" t="e">
        <f>COUNTIFS('refer admin discharge'!#REF!,"&gt;=75",'refer admin discharge'!#REF!,"&lt;=150",'refer admin discharge'!#REF!,"African American /Black",'refer admin discharge'!#REF!,"Male")</f>
        <v>#REF!</v>
      </c>
      <c r="I75" s="217" t="e">
        <f>COUNTIFS('refer admin discharge'!#REF!,"&gt;=75",'refer admin discharge'!#REF!,"&lt;=150",'refer admin discharge'!#REF!,"African American /Black",'refer admin discharge'!#REF!,"Female")</f>
        <v>#REF!</v>
      </c>
      <c r="J75" s="216" t="e">
        <f>COUNTIFS('refer admin discharge'!#REF!,"&gt;=75",'refer admin discharge'!#REF!,"&lt;=150",'refer admin discharge'!#REF!,"Native Hawaiian/Pacific",'refer admin discharge'!#REF!,"Male")</f>
        <v>#REF!</v>
      </c>
      <c r="K75" s="217" t="e">
        <f>COUNTIFS('refer admin discharge'!#REF!,"&gt;=75",'refer admin discharge'!#REF!,"&lt;=150",'refer admin discharge'!#REF!,"Native Hawaiian/Pacific",'refer admin discharge'!#REF!,"Female")</f>
        <v>#REF!</v>
      </c>
      <c r="L75" s="216" t="e">
        <f>COUNTIFS('refer admin discharge'!#REF!,"&gt;=75",'refer admin discharge'!#REF!,"&lt;=150",'refer admin discharge'!#REF!,"Asian",'refer admin discharge'!#REF!,"Male")</f>
        <v>#REF!</v>
      </c>
      <c r="M75" s="217" t="e">
        <f>COUNTIFS('refer admin discharge'!#REF!,"&gt;=75",'refer admin discharge'!#REF!,"&lt;=150",'refer admin discharge'!#REF!,"Asian",'refer admin discharge'!#REF!,"Female")</f>
        <v>#REF!</v>
      </c>
      <c r="N75" s="216" t="e">
        <f>COUNTIFS('refer admin discharge'!#REF!,"&gt;=75",'refer admin discharge'!#REF!,"&lt;=150",'refer admin discharge'!#REF!,"American Indian Alaskan Native",'refer admin discharge'!#REF!,"Male")</f>
        <v>#REF!</v>
      </c>
      <c r="O75" s="217" t="e">
        <f>COUNTIFS('refer admin discharge'!#REF!,"&gt;=75",'refer admin discharge'!#REF!,"&lt;=150",'refer admin discharge'!#REF!,"American Indian Alaskan Native",'refer admin discharge'!#REF!,"Female")</f>
        <v>#REF!</v>
      </c>
      <c r="P75" s="216" t="e">
        <f>COUNTIFS('refer admin discharge'!#REF!,"&gt;=75",'refer admin discharge'!#REF!,"&lt;=150",'refer admin discharge'!#REF!,"More than one race reported",'refer admin discharge'!#REF!,"Male")</f>
        <v>#REF!</v>
      </c>
      <c r="Q75" s="217" t="e">
        <f>COUNTIFS('refer admin discharge'!#REF!,"&gt;=75",'refer admin discharge'!#REF!,"&lt;=150",'refer admin discharge'!#REF!,"More than one race reported",'refer admin discharge'!#REF!,"Female")</f>
        <v>#REF!</v>
      </c>
      <c r="R75" s="216" t="e">
        <f>COUNTIFS('refer admin discharge'!#REF!,"&gt;=75",'refer admin discharge'!#REF!,"&lt;=150",'refer admin discharge'!#REF!,"Unknown",'refer admin discharge'!#REF!,"Male")</f>
        <v>#REF!</v>
      </c>
      <c r="S75" s="217" t="e">
        <f>COUNTIFS('refer admin discharge'!#REF!,"&gt;=75",'refer admin discharge'!#REF!,"&lt;=150",'refer admin discharge'!#REF!,"Unknown",'refer admin discharge'!#REF!,"Female")</f>
        <v>#REF!</v>
      </c>
      <c r="T75" s="5"/>
      <c r="U75" s="218" t="e">
        <f>COUNTIFS('refer admin discharge'!#REF!,"&gt;=75",'refer admin discharge'!#REF!,"&lt;=150",'refer admin discharge'!#REF!,"Not Hispanic or Latino",'refer admin discharge'!#REF!,"Male")</f>
        <v>#REF!</v>
      </c>
      <c r="V75" s="219" t="e">
        <f>COUNTIFS('refer admin discharge'!#REF!,"&gt;=75",'refer admin discharge'!#REF!,"&lt;=150",'refer admin discharge'!#REF!,"Not Hispanic or Latino",'refer admin discharge'!#REF!,"Female")</f>
        <v>#REF!</v>
      </c>
      <c r="W75" s="218" t="e">
        <f>COUNTIFS('refer admin discharge'!#REF!,"&gt;=75",'refer admin discharge'!#REF!,"&lt;=150",'refer admin discharge'!#REF!,"Hispanic-Latino ",'refer admin discharge'!#REF!,"Male")</f>
        <v>#REF!</v>
      </c>
      <c r="X75" s="219" t="e">
        <f>COUNTIFS('refer admin discharge'!#REF!,"&gt;=75",'refer admin discharge'!#REF!,"&lt;=150",'refer admin discharge'!#REF!,"Hispanic-Latino ",'refer admin discharge'!#REF!,"Female")</f>
        <v>#REF!</v>
      </c>
      <c r="Y75" s="218" t="e">
        <f>COUNTIFS('refer admin discharge'!#REF!,"&gt;=75",'refer admin discharge'!#REF!,"&lt;=150",'refer admin discharge'!#REF!,"Unknown",'refer admin discharge'!#REF!,"Male")</f>
        <v>#REF!</v>
      </c>
      <c r="Z75" s="219" t="e">
        <f>COUNTIFS('refer admin discharge'!#REF!,"&gt;=75",'refer admin discharge'!#REF!,"&lt;=150",'refer admin discharge'!#REF!,"Unknown",'refer admin discharge'!#REF!,"Female")</f>
        <v>#REF!</v>
      </c>
      <c r="AA75" s="142"/>
      <c r="AB75" s="142"/>
      <c r="AC75" s="142"/>
      <c r="AD75" s="210" t="e">
        <f t="shared" si="7"/>
        <v>#REF!</v>
      </c>
      <c r="AF75" s="211" t="e">
        <f t="shared" si="8"/>
        <v>#REF!</v>
      </c>
      <c r="AH75" s="212">
        <v>14</v>
      </c>
    </row>
    <row r="76" spans="1:36" ht="15.75" customHeight="1" x14ac:dyDescent="0.25">
      <c r="A76" s="947" t="s">
        <v>991</v>
      </c>
      <c r="B76" s="326"/>
      <c r="C76" s="327"/>
      <c r="D76" s="1022" t="e">
        <f>SUM(D68:D75)</f>
        <v>#REF!</v>
      </c>
      <c r="E76" s="327"/>
      <c r="F76" s="222" t="e">
        <f t="shared" ref="F76:S76" si="9">SUM(F68:F75)</f>
        <v>#REF!</v>
      </c>
      <c r="G76" s="223" t="e">
        <f t="shared" si="9"/>
        <v>#REF!</v>
      </c>
      <c r="H76" s="222" t="e">
        <f t="shared" si="9"/>
        <v>#REF!</v>
      </c>
      <c r="I76" s="223" t="e">
        <f t="shared" si="9"/>
        <v>#REF!</v>
      </c>
      <c r="J76" s="222" t="e">
        <f t="shared" si="9"/>
        <v>#REF!</v>
      </c>
      <c r="K76" s="223" t="e">
        <f t="shared" si="9"/>
        <v>#REF!</v>
      </c>
      <c r="L76" s="222" t="e">
        <f t="shared" si="9"/>
        <v>#REF!</v>
      </c>
      <c r="M76" s="223" t="e">
        <f t="shared" si="9"/>
        <v>#REF!</v>
      </c>
      <c r="N76" s="222" t="e">
        <f t="shared" si="9"/>
        <v>#REF!</v>
      </c>
      <c r="O76" s="223" t="e">
        <f t="shared" si="9"/>
        <v>#REF!</v>
      </c>
      <c r="P76" s="222" t="e">
        <f t="shared" si="9"/>
        <v>#REF!</v>
      </c>
      <c r="Q76" s="223" t="e">
        <f t="shared" si="9"/>
        <v>#REF!</v>
      </c>
      <c r="R76" s="222" t="e">
        <f t="shared" si="9"/>
        <v>#REF!</v>
      </c>
      <c r="S76" s="223" t="e">
        <f t="shared" si="9"/>
        <v>#REF!</v>
      </c>
      <c r="T76" s="224"/>
      <c r="U76" s="225" t="e">
        <f t="shared" ref="U76:Z76" si="10">SUM(U68:U75)</f>
        <v>#REF!</v>
      </c>
      <c r="V76" s="226" t="e">
        <f t="shared" si="10"/>
        <v>#REF!</v>
      </c>
      <c r="W76" s="225" t="e">
        <f t="shared" si="10"/>
        <v>#REF!</v>
      </c>
      <c r="X76" s="226" t="e">
        <f t="shared" si="10"/>
        <v>#REF!</v>
      </c>
      <c r="Y76" s="225" t="e">
        <f t="shared" si="10"/>
        <v>#REF!</v>
      </c>
      <c r="Z76" s="226" t="e">
        <f t="shared" si="10"/>
        <v>#REF!</v>
      </c>
      <c r="AA76" s="142"/>
      <c r="AB76" s="142"/>
      <c r="AC76" s="142"/>
      <c r="AD76" s="196" t="e">
        <f t="shared" si="7"/>
        <v>#REF!</v>
      </c>
      <c r="AF76" s="227" t="e">
        <f t="shared" si="8"/>
        <v>#REF!</v>
      </c>
      <c r="AH76" s="212"/>
    </row>
    <row r="77" spans="1:36" ht="15.75" customHeight="1" x14ac:dyDescent="0.25">
      <c r="A77" s="1023" t="s">
        <v>992</v>
      </c>
      <c r="B77" s="326"/>
      <c r="C77" s="326"/>
      <c r="D77" s="326"/>
      <c r="E77" s="326"/>
      <c r="F77" s="326"/>
      <c r="G77" s="326"/>
      <c r="H77" s="326"/>
      <c r="I77" s="326"/>
      <c r="J77" s="326"/>
      <c r="K77" s="326"/>
      <c r="L77" s="326"/>
      <c r="M77" s="326"/>
      <c r="N77" s="326"/>
      <c r="O77" s="326"/>
      <c r="P77" s="326"/>
      <c r="Q77" s="326"/>
      <c r="R77" s="326"/>
      <c r="S77" s="327"/>
      <c r="T77" s="224"/>
      <c r="U77" s="228"/>
      <c r="V77" s="228"/>
      <c r="W77" s="228"/>
      <c r="X77" s="228"/>
      <c r="Y77" s="228"/>
      <c r="Z77" s="228"/>
      <c r="AA77" s="9"/>
      <c r="AB77" s="9"/>
      <c r="AC77" s="9"/>
      <c r="AD77" s="229"/>
      <c r="AE77" s="9"/>
      <c r="AF77" s="229"/>
      <c r="AH77" s="212"/>
    </row>
    <row r="78" spans="1:36" ht="39.75" customHeight="1" x14ac:dyDescent="0.25">
      <c r="A78" s="948" t="s">
        <v>975</v>
      </c>
      <c r="B78" s="350"/>
      <c r="C78" s="350"/>
      <c r="D78" s="350"/>
      <c r="E78" s="351"/>
      <c r="F78" s="946" t="s">
        <v>562</v>
      </c>
      <c r="G78" s="327"/>
      <c r="H78" s="946" t="s">
        <v>733</v>
      </c>
      <c r="I78" s="327"/>
      <c r="J78" s="946" t="s">
        <v>976</v>
      </c>
      <c r="K78" s="327"/>
      <c r="L78" s="946" t="s">
        <v>565</v>
      </c>
      <c r="M78" s="327"/>
      <c r="N78" s="946" t="s">
        <v>977</v>
      </c>
      <c r="O78" s="327"/>
      <c r="P78" s="946" t="s">
        <v>978</v>
      </c>
      <c r="Q78" s="327"/>
      <c r="R78" s="946" t="s">
        <v>742</v>
      </c>
      <c r="S78" s="327"/>
      <c r="T78" s="201"/>
      <c r="U78" s="946" t="s">
        <v>570</v>
      </c>
      <c r="V78" s="327"/>
      <c r="W78" s="946" t="s">
        <v>571</v>
      </c>
      <c r="X78" s="327"/>
      <c r="Y78" s="946" t="s">
        <v>979</v>
      </c>
      <c r="Z78" s="327"/>
      <c r="AA78" s="142"/>
      <c r="AB78" s="142"/>
      <c r="AC78" s="142"/>
      <c r="AD78" s="196" t="s">
        <v>731</v>
      </c>
      <c r="AF78" s="196" t="s">
        <v>973</v>
      </c>
      <c r="AH78" s="212">
        <f>SUM(AH67:AH76)</f>
        <v>112</v>
      </c>
    </row>
    <row r="79" spans="1:36" ht="15" customHeight="1" x14ac:dyDescent="0.25">
      <c r="A79" s="230"/>
      <c r="B79" s="230"/>
      <c r="C79" s="230"/>
      <c r="D79" s="230"/>
      <c r="E79" s="231"/>
      <c r="F79" s="202" t="s">
        <v>981</v>
      </c>
      <c r="G79" s="203" t="s">
        <v>982</v>
      </c>
      <c r="H79" s="202" t="s">
        <v>981</v>
      </c>
      <c r="I79" s="203" t="s">
        <v>982</v>
      </c>
      <c r="J79" s="202" t="s">
        <v>981</v>
      </c>
      <c r="K79" s="203" t="s">
        <v>982</v>
      </c>
      <c r="L79" s="202" t="s">
        <v>981</v>
      </c>
      <c r="M79" s="203" t="s">
        <v>982</v>
      </c>
      <c r="N79" s="202" t="s">
        <v>981</v>
      </c>
      <c r="O79" s="203" t="s">
        <v>982</v>
      </c>
      <c r="P79" s="202" t="s">
        <v>981</v>
      </c>
      <c r="Q79" s="203" t="s">
        <v>982</v>
      </c>
      <c r="R79" s="202" t="s">
        <v>981</v>
      </c>
      <c r="S79" s="203" t="s">
        <v>982</v>
      </c>
      <c r="T79" s="5"/>
      <c r="U79" s="202" t="s">
        <v>981</v>
      </c>
      <c r="V79" s="203" t="s">
        <v>982</v>
      </c>
      <c r="W79" s="202" t="s">
        <v>981</v>
      </c>
      <c r="X79" s="203" t="s">
        <v>982</v>
      </c>
      <c r="Y79" s="202" t="s">
        <v>981</v>
      </c>
      <c r="Z79" s="203" t="s">
        <v>982</v>
      </c>
      <c r="AA79" s="142"/>
      <c r="AB79" s="142"/>
      <c r="AC79" s="142"/>
      <c r="AD79" s="196"/>
      <c r="AF79" s="196"/>
    </row>
    <row r="80" spans="1:36" ht="30" customHeight="1" x14ac:dyDescent="0.25">
      <c r="A80" s="953" t="s">
        <v>993</v>
      </c>
      <c r="B80" s="326"/>
      <c r="C80" s="327"/>
      <c r="D80" s="954" t="s">
        <v>994</v>
      </c>
      <c r="E80" s="327"/>
      <c r="F80" s="224"/>
      <c r="G80" s="232" t="e">
        <f>COUNTIFS('refer admin discharge'!#REF!,"White",'refer admin discharge'!#REF!,"Female",'refer admin discharge'!#REF!,"Yes")</f>
        <v>#REF!</v>
      </c>
      <c r="H80" s="228"/>
      <c r="I80" s="232" t="e">
        <f>COUNTIFS('refer admin discharge'!#REF!,"African American /Black",'refer admin discharge'!#REF!,"Female",'refer admin discharge'!#REF!,"Yes")</f>
        <v>#REF!</v>
      </c>
      <c r="J80" s="228"/>
      <c r="K80" s="232" t="e">
        <f>COUNTIFS('refer admin discharge'!#REF!,"Native Hawaiian/Pacific",'refer admin discharge'!#REF!,"Female",'refer admin discharge'!#REF!,"Yes")</f>
        <v>#REF!</v>
      </c>
      <c r="L80" s="228"/>
      <c r="M80" s="232" t="e">
        <f>COUNTIFS('refer admin discharge'!#REF!,"Asian",'refer admin discharge'!#REF!,"Female",'refer admin discharge'!#REF!,"Yes")</f>
        <v>#REF!</v>
      </c>
      <c r="N80" s="228"/>
      <c r="O80" s="232" t="e">
        <f>COUNTIFS('refer admin discharge'!#REF!,"American Indian Alaskan Native",'refer admin discharge'!#REF!,"Female",'refer admin discharge'!#REF!,"Yes")</f>
        <v>#REF!</v>
      </c>
      <c r="P80" s="228"/>
      <c r="Q80" s="232" t="e">
        <f>COUNTIFS('refer admin discharge'!#REF!,"More than one race reported",'refer admin discharge'!#REF!,"Female",'refer admin discharge'!#REF!,"Yes")</f>
        <v>#REF!</v>
      </c>
      <c r="R80" s="228"/>
      <c r="S80" s="232" t="e">
        <f>COUNTIFS('refer admin discharge'!#REF!,"Unknown",'refer admin discharge'!#REF!,"Female",'refer admin discharge'!#REF!,"Yes")</f>
        <v>#REF!</v>
      </c>
      <c r="T80" s="228"/>
      <c r="U80" s="228"/>
      <c r="V80" s="232" t="e">
        <f>COUNTIFS('refer admin discharge'!#REF!,"Not Hispanic or Latino",'refer admin discharge'!#REF!,"Female",'refer admin discharge'!#REF!,"YES")</f>
        <v>#REF!</v>
      </c>
      <c r="W80" s="228"/>
      <c r="X80" s="232" t="e">
        <f>COUNTIFS('refer admin discharge'!#REF!,"Hispanic-Latino ",'refer admin discharge'!#REF!,"Female",'refer admin discharge'!#REF!,"YES")</f>
        <v>#REF!</v>
      </c>
      <c r="Y80" s="228"/>
      <c r="Z80" s="233" t="e">
        <f>COUNTIFS('refer admin discharge'!#REF!,"Unknown",'refer admin discharge'!#REF!,"Female",'refer admin discharge'!#REF!,"YES")</f>
        <v>#REF!</v>
      </c>
      <c r="AA80" s="950" t="s">
        <v>995</v>
      </c>
      <c r="AB80" s="951"/>
      <c r="AC80" s="952"/>
      <c r="AD80" s="234" t="e">
        <f t="shared" ref="AD80:AD81" si="11">SUM(G80+I80+K80+M80+O80+Q80+S80)</f>
        <v>#REF!</v>
      </c>
      <c r="AE80" s="97"/>
      <c r="AF80" s="234" t="e">
        <f t="shared" ref="AF80:AF81" si="12">SUM(V80+X80+Z80)</f>
        <v>#REF!</v>
      </c>
      <c r="AH80" s="235" t="s">
        <v>996</v>
      </c>
      <c r="AI80" s="235"/>
      <c r="AJ80" s="235"/>
    </row>
    <row r="81" spans="1:37" ht="30" customHeight="1" x14ac:dyDescent="0.25">
      <c r="A81" s="955" t="s">
        <v>997</v>
      </c>
      <c r="B81" s="326"/>
      <c r="C81" s="327"/>
      <c r="D81" s="954" t="s">
        <v>998</v>
      </c>
      <c r="E81" s="327"/>
      <c r="F81" s="224"/>
      <c r="G81" s="236" t="e">
        <f>COUNTIFS('refer admin discharge'!#REF!,"White",'refer admin discharge'!#REF!,"Female",'refer admin discharge'!#REF!,"Yes",'refer admin discharge'!#REF!,"Yes")</f>
        <v>#REF!</v>
      </c>
      <c r="H81" s="228"/>
      <c r="I81" s="236" t="e">
        <f>COUNTIFS('refer admin discharge'!#REF!,"African American /Black",'refer admin discharge'!#REF!,"Female",'refer admin discharge'!#REF!,"Yes",'refer admin discharge'!#REF!,"Yes")</f>
        <v>#REF!</v>
      </c>
      <c r="J81" s="228"/>
      <c r="K81" s="236" t="e">
        <f>COUNTIFS('refer admin discharge'!#REF!,"Native Hawaiian/Pacific",'refer admin discharge'!#REF!,"Female",'refer admin discharge'!#REF!,"Yes",'refer admin discharge'!#REF!,"Yes")</f>
        <v>#REF!</v>
      </c>
      <c r="L81" s="228"/>
      <c r="M81" s="236" t="e">
        <f>COUNTIFS('refer admin discharge'!#REF!,"Asian",'refer admin discharge'!#REF!,"Female",'refer admin discharge'!#REF!,"Yes",'refer admin discharge'!#REF!,"Yes")</f>
        <v>#REF!</v>
      </c>
      <c r="N81" s="228"/>
      <c r="O81" s="236" t="e">
        <f>COUNTIFS('refer admin discharge'!#REF!,"American Indian Alaskan Native",'refer admin discharge'!#REF!,"Female",'refer admin discharge'!#REF!,"Yes",'refer admin discharge'!#REF!,"Yes")</f>
        <v>#REF!</v>
      </c>
      <c r="P81" s="228"/>
      <c r="Q81" s="236" t="e">
        <f>COUNTIFS('refer admin discharge'!#REF!,"More than one race reported",'refer admin discharge'!#REF!,"Female",'refer admin discharge'!#REF!,"Yes",'refer admin discharge'!#REF!,"Yes")</f>
        <v>#REF!</v>
      </c>
      <c r="R81" s="228"/>
      <c r="S81" s="236" t="e">
        <f>COUNTIFS('refer admin discharge'!#REF!,"Unknown",'refer admin discharge'!#REF!,"Female",'refer admin discharge'!#REF!,"Yes",'refer admin discharge'!#REF!,"Yes")</f>
        <v>#REF!</v>
      </c>
      <c r="T81" s="228"/>
      <c r="U81" s="228"/>
      <c r="V81" s="236" t="e">
        <f>COUNTIFS('refer admin discharge'!#REF!,"Not Hispanic or Latino",'refer admin discharge'!#REF!,"Female",'refer admin discharge'!#REF!,"YES",'refer admin discharge'!#REF!,"Yes")</f>
        <v>#REF!</v>
      </c>
      <c r="W81" s="228"/>
      <c r="X81" s="236" t="e">
        <f>COUNTIFS('refer admin discharge'!#REF!,"Hispanic-Latino ",'refer admin discharge'!#REF!,"Female",'refer admin discharge'!#REF!,"YES",'refer admin discharge'!#REF!,"Yes")</f>
        <v>#REF!</v>
      </c>
      <c r="Y81" s="228"/>
      <c r="Z81" s="237" t="e">
        <f>COUNTIFS('refer admin discharge'!#REF!,"Unknown",'refer admin discharge'!#REF!,"Female",'refer admin discharge'!#REF!,"YES",'refer admin discharge'!#REF!,"Yes")</f>
        <v>#REF!</v>
      </c>
      <c r="AA81" s="949" t="s">
        <v>997</v>
      </c>
      <c r="AB81" s="326"/>
      <c r="AC81" s="327"/>
      <c r="AD81" s="238" t="e">
        <f t="shared" si="11"/>
        <v>#REF!</v>
      </c>
      <c r="AE81" s="97"/>
      <c r="AF81" s="238" t="e">
        <f t="shared" si="12"/>
        <v>#REF!</v>
      </c>
      <c r="AH81" s="235" t="s">
        <v>999</v>
      </c>
      <c r="AI81" s="235"/>
      <c r="AJ81" s="235"/>
    </row>
    <row r="82" spans="1:37" ht="30" customHeight="1" x14ac:dyDescent="0.25">
      <c r="A82" s="956" t="s">
        <v>1000</v>
      </c>
      <c r="B82" s="326"/>
      <c r="C82" s="327"/>
      <c r="D82" s="954" t="s">
        <v>998</v>
      </c>
      <c r="E82" s="327"/>
      <c r="F82" s="239" t="e">
        <f>COUNTIFS('refer admin discharge'!#REF!,"White",'refer admin discharge'!#REF!,"Male",'refer admin discharge'!#REF!,"Yes")</f>
        <v>#REF!</v>
      </c>
      <c r="G82" s="240" t="e">
        <f>COUNTIFS('refer admin discharge'!#REF!,"White",'refer admin discharge'!#REF!,"Female",'refer admin discharge'!#REF!,"Yes")</f>
        <v>#REF!</v>
      </c>
      <c r="H82" s="239" t="e">
        <f>COUNTIFS('refer admin discharge'!#REF!,"African American /Black",'refer admin discharge'!#REF!,"Male",'refer admin discharge'!#REF!,"Yes")</f>
        <v>#REF!</v>
      </c>
      <c r="I82" s="240" t="e">
        <f>COUNTIFS('refer admin discharge'!#REF!,"African American /Black",'refer admin discharge'!#REF!,"Female",'refer admin discharge'!#REF!,"Yes")</f>
        <v>#REF!</v>
      </c>
      <c r="J82" s="239" t="e">
        <f>COUNTIFS('refer admin discharge'!#REF!,"Native Hawaiian/Pacific",'refer admin discharge'!#REF!,"Male",'refer admin discharge'!#REF!,"Yes")</f>
        <v>#REF!</v>
      </c>
      <c r="K82" s="240" t="e">
        <f>COUNTIFS('refer admin discharge'!#REF!,"Native Hawaiian/Pacific",'refer admin discharge'!#REF!,"Female",'refer admin discharge'!#REF!,"Yes")</f>
        <v>#REF!</v>
      </c>
      <c r="L82" s="239" t="e">
        <f>COUNTIFS('refer admin discharge'!#REF!,"Asian",'refer admin discharge'!#REF!,"Male",'refer admin discharge'!#REF!,"Yes")</f>
        <v>#REF!</v>
      </c>
      <c r="M82" s="240" t="e">
        <f>COUNTIFS('refer admin discharge'!#REF!,"Asian",'refer admin discharge'!#REF!,"Female",'refer admin discharge'!#REF!,"Yes")</f>
        <v>#REF!</v>
      </c>
      <c r="N82" s="239" t="e">
        <f>COUNTIFS('refer admin discharge'!#REF!,"American Indian Alaskan Native",'refer admin discharge'!#REF!,"Male",'refer admin discharge'!#REF!,"Yes")</f>
        <v>#REF!</v>
      </c>
      <c r="O82" s="240" t="e">
        <f>COUNTIFS('refer admin discharge'!#REF!,"American Indian Alaskan Native",'refer admin discharge'!#REF!,"Female",'refer admin discharge'!#REF!,"Yes")</f>
        <v>#REF!</v>
      </c>
      <c r="P82" s="239" t="e">
        <f>COUNTIFS('refer admin discharge'!#REF!,"More than one race reported",'refer admin discharge'!#REF!,"Male",'refer admin discharge'!#REF!,"Yes")</f>
        <v>#REF!</v>
      </c>
      <c r="Q82" s="240" t="e">
        <f>COUNTIFS('refer admin discharge'!#REF!,"More than one race reported",'refer admin discharge'!#REF!,"Female",'refer admin discharge'!#REF!,"Yes")</f>
        <v>#REF!</v>
      </c>
      <c r="R82" s="239" t="e">
        <f>COUNTIFS('refer admin discharge'!#REF!,"Unknown",'refer admin discharge'!#REF!,"Male",'refer admin discharge'!#REF!,"Yes")</f>
        <v>#REF!</v>
      </c>
      <c r="S82" s="240" t="e">
        <f>COUNTIFS('refer admin discharge'!#REF!,"Unknown",'refer admin discharge'!#REF!,"Female",'refer admin discharge'!#REF!,"Yes")</f>
        <v>#REF!</v>
      </c>
      <c r="T82" s="224"/>
      <c r="U82" s="239" t="e">
        <f>COUNTIFS('refer admin discharge'!#REF!,"Not Hispanic or Latino",'refer admin discharge'!#REF!,"Male",'refer admin discharge'!#REF!,"YES")</f>
        <v>#REF!</v>
      </c>
      <c r="V82" s="240" t="e">
        <f>COUNTIFS('refer admin discharge'!#REF!,"Not Hispanic or Latino",'refer admin discharge'!#REF!,"Female",'refer admin discharge'!#REF!,"YES")</f>
        <v>#REF!</v>
      </c>
      <c r="W82" s="239" t="e">
        <f>COUNTIFS('refer admin discharge'!#REF!,"Hispanic-Latino ",'refer admin discharge'!#REF!,"Male",'refer admin discharge'!#REF!,"YES")</f>
        <v>#REF!</v>
      </c>
      <c r="X82" s="240" t="e">
        <f>COUNTIFS('refer admin discharge'!#REF!,"Hispanic-Latino ",'refer admin discharge'!#REF!,"Female",'refer admin discharge'!#REF!,"YES")</f>
        <v>#REF!</v>
      </c>
      <c r="Y82" s="239" t="e">
        <f>COUNTIFS('refer admin discharge'!#REF!,"Unknown",'refer admin discharge'!#REF!,"Male",'refer admin discharge'!#REF!,"YES")</f>
        <v>#REF!</v>
      </c>
      <c r="Z82" s="241" t="e">
        <f>COUNTIFS('refer admin discharge'!#REF!,"Unknown",'refer admin discharge'!#REF!,"Female",'refer admin discharge'!#REF!,"YES")</f>
        <v>#REF!</v>
      </c>
      <c r="AA82" s="950" t="s">
        <v>1001</v>
      </c>
      <c r="AB82" s="951"/>
      <c r="AC82" s="952"/>
      <c r="AD82" s="242" t="e">
        <f t="shared" ref="AD82:AD87" si="13">SUM(F82:S82)</f>
        <v>#REF!</v>
      </c>
      <c r="AE82" s="97"/>
      <c r="AF82" s="242" t="e">
        <f t="shared" ref="AF82:AF87" si="14">SUM(U82:Z82)</f>
        <v>#REF!</v>
      </c>
    </row>
    <row r="83" spans="1:37" ht="30" customHeight="1" x14ac:dyDescent="0.25">
      <c r="A83" s="959" t="s">
        <v>1002</v>
      </c>
      <c r="B83" s="326"/>
      <c r="C83" s="327"/>
      <c r="D83" s="954" t="s">
        <v>1003</v>
      </c>
      <c r="E83" s="327"/>
      <c r="F83" s="243" t="e">
        <f>COUNTIFS('refer admin discharge'!#REF!,"White",'refer admin discharge'!#REF!,"Male",'refer admin discharge'!#REF!,"Yes")</f>
        <v>#REF!</v>
      </c>
      <c r="G83" s="244" t="e">
        <f>COUNTIFS('refer admin discharge'!#REF!,"White",'refer admin discharge'!#REF!,"Female",'refer admin discharge'!#REF!,"Yes")</f>
        <v>#REF!</v>
      </c>
      <c r="H83" s="243" t="e">
        <f>COUNTIFS('refer admin discharge'!#REF!,"African American /Black",'refer admin discharge'!#REF!,"Male",'refer admin discharge'!#REF!,"Yes")</f>
        <v>#REF!</v>
      </c>
      <c r="I83" s="244" t="e">
        <f>COUNTIFS('refer admin discharge'!#REF!,"African American /Black",'refer admin discharge'!#REF!,"Female",'refer admin discharge'!#REF!,"Yes")</f>
        <v>#REF!</v>
      </c>
      <c r="J83" s="243" t="e">
        <f>COUNTIFS('refer admin discharge'!#REF!,"Native Hawaiian/Pacific",'refer admin discharge'!#REF!,"Male",'refer admin discharge'!#REF!,"Yes")</f>
        <v>#REF!</v>
      </c>
      <c r="K83" s="244" t="e">
        <f>COUNTIFS('refer admin discharge'!#REF!,"Native Hawaiian/Pacific",'refer admin discharge'!#REF!,"Female",'refer admin discharge'!#REF!,"Yes")</f>
        <v>#REF!</v>
      </c>
      <c r="L83" s="243" t="e">
        <f>COUNTIFS('refer admin discharge'!#REF!,"Asian",'refer admin discharge'!#REF!,"Male",'refer admin discharge'!#REF!,"Yes")</f>
        <v>#REF!</v>
      </c>
      <c r="M83" s="244" t="e">
        <f>COUNTIFS('refer admin discharge'!#REF!,"Asian",'refer admin discharge'!#REF!,"Female",'refer admin discharge'!#REF!,"Yes")</f>
        <v>#REF!</v>
      </c>
      <c r="N83" s="243" t="e">
        <f>COUNTIFS('refer admin discharge'!#REF!,"American Indian Alaskan Native",'refer admin discharge'!#REF!,"Male",'refer admin discharge'!#REF!,"Yes")</f>
        <v>#REF!</v>
      </c>
      <c r="O83" s="244" t="e">
        <f>COUNTIFS('refer admin discharge'!#REF!,"American Indian Alaskan Native",'refer admin discharge'!#REF!,"Female",'refer admin discharge'!#REF!,"Yes")</f>
        <v>#REF!</v>
      </c>
      <c r="P83" s="243" t="e">
        <f>COUNTIFS('refer admin discharge'!#REF!,"More than one race reported",'refer admin discharge'!#REF!,"Male",'refer admin discharge'!#REF!,"Yes")</f>
        <v>#REF!</v>
      </c>
      <c r="Q83" s="244" t="e">
        <f>COUNTIFS('refer admin discharge'!#REF!,"More than one race reported",'refer admin discharge'!#REF!,"Female",'refer admin discharge'!#REF!,"Yes")</f>
        <v>#REF!</v>
      </c>
      <c r="R83" s="243" t="e">
        <f>COUNTIFS('refer admin discharge'!#REF!,"Unknown",'refer admin discharge'!#REF!,"Male",'refer admin discharge'!#REF!,"Yes")</f>
        <v>#REF!</v>
      </c>
      <c r="S83" s="244" t="e">
        <f>COUNTIFS('refer admin discharge'!#REF!,"Unknown",'refer admin discharge'!#REF!,"Female",'refer admin discharge'!#REF!,"Yes")</f>
        <v>#REF!</v>
      </c>
      <c r="T83" s="224"/>
      <c r="U83" s="243" t="e">
        <f>COUNTIFS('refer admin discharge'!#REF!,"Not Hispanic or Latino",'refer admin discharge'!#REF!,"Male",'refer admin discharge'!#REF!,"YES")</f>
        <v>#REF!</v>
      </c>
      <c r="V83" s="244" t="e">
        <f>COUNTIFS('refer admin discharge'!#REF!,"Not Hispanic or Latino",'refer admin discharge'!#REF!,"Female",'refer admin discharge'!#REF!,"YES")</f>
        <v>#REF!</v>
      </c>
      <c r="W83" s="243" t="e">
        <f>COUNTIFS('refer admin discharge'!#REF!,"Hispanic-Latino ",'refer admin discharge'!#REF!,"Male",'refer admin discharge'!#REF!,"YES")</f>
        <v>#REF!</v>
      </c>
      <c r="X83" s="244" t="e">
        <f>COUNTIFS('refer admin discharge'!#REF!,"Hispanic-Latino ",'refer admin discharge'!#REF!,"Female",'refer admin discharge'!#REF!,"YES")</f>
        <v>#REF!</v>
      </c>
      <c r="Y83" s="243" t="e">
        <f>COUNTIFS('refer admin discharge'!#REF!,"Unknown",'refer admin discharge'!#REF!,"Male",'refer admin discharge'!#REF!,"YES")</f>
        <v>#REF!</v>
      </c>
      <c r="Z83" s="245" t="e">
        <f>COUNTIFS('refer admin discharge'!#REF!,"Unknown",'refer admin discharge'!#REF!,"Female",'refer admin discharge'!#REF!,"YES")</f>
        <v>#REF!</v>
      </c>
      <c r="AA83" s="950" t="s">
        <v>1004</v>
      </c>
      <c r="AB83" s="951"/>
      <c r="AC83" s="952"/>
      <c r="AD83" s="246" t="e">
        <f t="shared" si="13"/>
        <v>#REF!</v>
      </c>
      <c r="AE83" s="97"/>
      <c r="AF83" s="246" t="e">
        <f t="shared" si="14"/>
        <v>#REF!</v>
      </c>
    </row>
    <row r="84" spans="1:37" ht="30" customHeight="1" x14ac:dyDescent="0.25">
      <c r="A84" s="960" t="s">
        <v>1005</v>
      </c>
      <c r="B84" s="326"/>
      <c r="C84" s="327"/>
      <c r="D84" s="954" t="s">
        <v>925</v>
      </c>
      <c r="E84" s="327"/>
      <c r="F84" s="247" t="e">
        <f>COUNTIFS('refer admin discharge'!#REF!,"White",'refer admin discharge'!#REF!,"Male",'refer admin discharge'!#REF!,"Yes")</f>
        <v>#REF!</v>
      </c>
      <c r="G84" s="248" t="e">
        <f>COUNTIFS('refer admin discharge'!#REF!,"White",'refer admin discharge'!#REF!,"Female",'refer admin discharge'!#REF!,"Yes")</f>
        <v>#REF!</v>
      </c>
      <c r="H84" s="247" t="e">
        <f>COUNTIFS('refer admin discharge'!#REF!,"African American /Black",'refer admin discharge'!#REF!,"Male",'refer admin discharge'!#REF!,"Yes")</f>
        <v>#REF!</v>
      </c>
      <c r="I84" s="248" t="e">
        <f>COUNTIFS('refer admin discharge'!#REF!,"African American /Black",'refer admin discharge'!#REF!,"Female",'refer admin discharge'!#REF!,"Yes")</f>
        <v>#REF!</v>
      </c>
      <c r="J84" s="247" t="e">
        <f>COUNTIFS('refer admin discharge'!#REF!,"Native Hawaiian/Pacific",'refer admin discharge'!#REF!,"Male",'refer admin discharge'!#REF!,"Yes")</f>
        <v>#REF!</v>
      </c>
      <c r="K84" s="248" t="e">
        <f>COUNTIFS('refer admin discharge'!#REF!,"Native Hawaiian/Pacific",'refer admin discharge'!#REF!,"Female",'refer admin discharge'!#REF!,"Yes")</f>
        <v>#REF!</v>
      </c>
      <c r="L84" s="247" t="e">
        <f>COUNTIFS('refer admin discharge'!#REF!,"Asian",'refer admin discharge'!#REF!,"Male",'refer admin discharge'!#REF!,"Yes")</f>
        <v>#REF!</v>
      </c>
      <c r="M84" s="248" t="e">
        <f>COUNTIFS('refer admin discharge'!#REF!,"Asian",'refer admin discharge'!#REF!,"Female",'refer admin discharge'!#REF!,"Yes")</f>
        <v>#REF!</v>
      </c>
      <c r="N84" s="247" t="e">
        <f>COUNTIFS('refer admin discharge'!#REF!,"American Indian Alaskan Native",'refer admin discharge'!#REF!,"Male",'refer admin discharge'!#REF!,"Yes")</f>
        <v>#REF!</v>
      </c>
      <c r="O84" s="248" t="e">
        <f>COUNTIFS('refer admin discharge'!#REF!,"American Indian Alaskan Native",'refer admin discharge'!#REF!,"Female",'refer admin discharge'!#REF!,"Yes")</f>
        <v>#REF!</v>
      </c>
      <c r="P84" s="247" t="e">
        <f>COUNTIFS('refer admin discharge'!#REF!,"More than one race reported",'refer admin discharge'!#REF!,"Male",'refer admin discharge'!#REF!,"Yes")</f>
        <v>#REF!</v>
      </c>
      <c r="Q84" s="248" t="e">
        <f>COUNTIFS('refer admin discharge'!#REF!,"More than one race reported",'refer admin discharge'!#REF!,"Female",'refer admin discharge'!#REF!,"Yes")</f>
        <v>#REF!</v>
      </c>
      <c r="R84" s="247" t="e">
        <f>COUNTIFS('refer admin discharge'!#REF!,"Unknown",'refer admin discharge'!#REF!,"Male",'refer admin discharge'!#REF!,"Yes")</f>
        <v>#REF!</v>
      </c>
      <c r="S84" s="248" t="e">
        <f>COUNTIFS('refer admin discharge'!#REF!,"Unknown",'refer admin discharge'!#REF!,"Female",'refer admin discharge'!#REF!,"Yes")</f>
        <v>#REF!</v>
      </c>
      <c r="T84" s="224"/>
      <c r="U84" s="247" t="e">
        <f>COUNTIFS('refer admin discharge'!#REF!,"Not Hispanic or Latino",'refer admin discharge'!#REF!,"Male",'refer admin discharge'!#REF!,"YES")</f>
        <v>#REF!</v>
      </c>
      <c r="V84" s="248" t="e">
        <f>COUNTIFS('refer admin discharge'!#REF!,"Not Hispanic or Latino",'refer admin discharge'!#REF!,"Female",'refer admin discharge'!#REF!,"YES")</f>
        <v>#REF!</v>
      </c>
      <c r="W84" s="247" t="e">
        <f>COUNTIFS('refer admin discharge'!#REF!,"Hispanic-Latino ",'refer admin discharge'!#REF!,"Male",'refer admin discharge'!#REF!,"YES")</f>
        <v>#REF!</v>
      </c>
      <c r="X84" s="248" t="e">
        <f>COUNTIFS('refer admin discharge'!#REF!,"Hispanic-Latino ",'refer admin discharge'!#REF!,"Female",'refer admin discharge'!#REF!,"YES")</f>
        <v>#REF!</v>
      </c>
      <c r="Y84" s="247" t="e">
        <f>COUNTIFS('refer admin discharge'!#REF!,"Unknown",'refer admin discharge'!#REF!,"Male",'refer admin discharge'!#REF!,"YES")</f>
        <v>#REF!</v>
      </c>
      <c r="Z84" s="249" t="e">
        <f>COUNTIFS('refer admin discharge'!#REF!,"Unknown",'refer admin discharge'!#REF!,"Female",'refer admin discharge'!#REF!,"YES")</f>
        <v>#REF!</v>
      </c>
      <c r="AA84" s="950" t="s">
        <v>1006</v>
      </c>
      <c r="AB84" s="951"/>
      <c r="AC84" s="952"/>
      <c r="AD84" s="250" t="e">
        <f t="shared" si="13"/>
        <v>#REF!</v>
      </c>
      <c r="AE84" s="97"/>
      <c r="AF84" s="250" t="e">
        <f t="shared" si="14"/>
        <v>#REF!</v>
      </c>
    </row>
    <row r="85" spans="1:37" ht="30" customHeight="1" x14ac:dyDescent="0.25">
      <c r="A85" s="961" t="s">
        <v>1007</v>
      </c>
      <c r="B85" s="326"/>
      <c r="C85" s="327"/>
      <c r="D85" s="954" t="s">
        <v>968</v>
      </c>
      <c r="E85" s="327"/>
      <c r="F85" s="251" t="e">
        <f>COUNTIFS('refer admin discharge'!#REF!,"White",'refer admin discharge'!#REF!,"Male",'refer admin discharge'!AD30:AD1020,"Yes")</f>
        <v>#REF!</v>
      </c>
      <c r="G85" s="252" t="e">
        <f>COUNTIFS('refer admin discharge'!#REF!,"White",'refer admin discharge'!#REF!,"Female",'refer admin discharge'!AD30:AD1020,"Yes")</f>
        <v>#REF!</v>
      </c>
      <c r="H85" s="251" t="e">
        <f>COUNTIFS('refer admin discharge'!#REF!,"African American /Black",'refer admin discharge'!#REF!,"Male",'refer admin discharge'!AD30:AD1020,"Yes")</f>
        <v>#REF!</v>
      </c>
      <c r="I85" s="252" t="e">
        <f>COUNTIFS('refer admin discharge'!#REF!,"African American /Black",'refer admin discharge'!#REF!,"Female",'refer admin discharge'!AD30:AD1020,"Yes")</f>
        <v>#REF!</v>
      </c>
      <c r="J85" s="251" t="e">
        <f>COUNTIFS('refer admin discharge'!#REF!,"Native Hawaiian/Pacific",'refer admin discharge'!#REF!,"Male",'refer admin discharge'!AD30:AD1020,"Yes")</f>
        <v>#REF!</v>
      </c>
      <c r="K85" s="252" t="e">
        <f>COUNTIFS('refer admin discharge'!#REF!,"Native Hawaiian/Pacific",'refer admin discharge'!#REF!,"Female",'refer admin discharge'!AD30:AD1020,"Yes")</f>
        <v>#REF!</v>
      </c>
      <c r="L85" s="251" t="e">
        <f>COUNTIFS('refer admin discharge'!#REF!,"Asian",'refer admin discharge'!#REF!,"Male",'refer admin discharge'!AD30:AD1020,"Yes")</f>
        <v>#REF!</v>
      </c>
      <c r="M85" s="252" t="e">
        <f>COUNTIFS('refer admin discharge'!#REF!,"Asian",'refer admin discharge'!#REF!,"Female",'refer admin discharge'!AD30:AD1020,"Yes")</f>
        <v>#REF!</v>
      </c>
      <c r="N85" s="251" t="e">
        <f>COUNTIFS('refer admin discharge'!#REF!,"American Indian Alaskan Native",'refer admin discharge'!#REF!,"Male",'refer admin discharge'!AD30:AD1020,"Yes")</f>
        <v>#REF!</v>
      </c>
      <c r="O85" s="252" t="e">
        <f>COUNTIFS('refer admin discharge'!#REF!,"American Indian Alaskan Native",'refer admin discharge'!#REF!,"Female",'refer admin discharge'!AD30:AD1020,"Yes")</f>
        <v>#REF!</v>
      </c>
      <c r="P85" s="251" t="e">
        <f>COUNTIFS('refer admin discharge'!#REF!,"More than one race reported",'refer admin discharge'!#REF!,"Male",'refer admin discharge'!AD30:AD1020,"Yes")</f>
        <v>#REF!</v>
      </c>
      <c r="Q85" s="252" t="e">
        <f>COUNTIFS('refer admin discharge'!#REF!,"More than one race reported",'refer admin discharge'!#REF!,"Female",'refer admin discharge'!AD30:AD1020,"Yes")</f>
        <v>#REF!</v>
      </c>
      <c r="R85" s="251" t="e">
        <f>COUNTIFS('refer admin discharge'!#REF!,"Unknown",'refer admin discharge'!#REF!,"Male",'refer admin discharge'!AD30:AD1020,"Yes")</f>
        <v>#REF!</v>
      </c>
      <c r="S85" s="252" t="e">
        <f>COUNTIFS('refer admin discharge'!#REF!,"Unknown",'refer admin discharge'!#REF!,"Female",'refer admin discharge'!AD30:AD1020,"Yes")</f>
        <v>#REF!</v>
      </c>
      <c r="T85" s="224"/>
      <c r="U85" s="251" t="e">
        <f>COUNTIFS('refer admin discharge'!#REF!,"Not Hispanic or Latino",'refer admin discharge'!#REF!,"Male",'refer admin discharge'!AD30:AD1020,"YES")</f>
        <v>#REF!</v>
      </c>
      <c r="V85" s="252" t="e">
        <f>COUNTIFS('refer admin discharge'!#REF!,"Not Hispanic or Latino",'refer admin discharge'!#REF!,"Female",'refer admin discharge'!AD30:AD1020,"YES")</f>
        <v>#REF!</v>
      </c>
      <c r="W85" s="251" t="e">
        <f>COUNTIFS('refer admin discharge'!#REF!,"Hispanic-Latino ",'refer admin discharge'!#REF!,"Male",'refer admin discharge'!AD30:AD1020,"YES")</f>
        <v>#REF!</v>
      </c>
      <c r="X85" s="252" t="e">
        <f>COUNTIFS('refer admin discharge'!#REF!,"Hispanic-Latino ",'refer admin discharge'!#REF!,"Female",'refer admin discharge'!AD30:AD1020,"YES")</f>
        <v>#REF!</v>
      </c>
      <c r="Y85" s="251" t="e">
        <f>COUNTIFS('refer admin discharge'!#REF!,"Unknown",'refer admin discharge'!#REF!,"Male",'refer admin discharge'!AD30:AD1020,"YES")</f>
        <v>#REF!</v>
      </c>
      <c r="Z85" s="253" t="e">
        <f>COUNTIFS('refer admin discharge'!#REF!,"Unknown",'refer admin discharge'!#REF!,"Female",'refer admin discharge'!AD30:AD1020,"YES")</f>
        <v>#REF!</v>
      </c>
      <c r="AA85" s="950" t="s">
        <v>1008</v>
      </c>
      <c r="AB85" s="951"/>
      <c r="AC85" s="952"/>
      <c r="AD85" s="254" t="e">
        <f t="shared" si="13"/>
        <v>#REF!</v>
      </c>
      <c r="AE85" s="97"/>
      <c r="AF85" s="254" t="e">
        <f t="shared" si="14"/>
        <v>#REF!</v>
      </c>
    </row>
    <row r="86" spans="1:37" ht="30" customHeight="1" x14ac:dyDescent="0.25">
      <c r="A86" s="957" t="s">
        <v>1009</v>
      </c>
      <c r="B86" s="326"/>
      <c r="C86" s="327"/>
      <c r="D86" s="954" t="s">
        <v>916</v>
      </c>
      <c r="E86" s="327"/>
      <c r="F86" s="255" t="e">
        <f>COUNTIFS('refer admin discharge'!#REF!,"White",'refer admin discharge'!#REF!,"Male",'refer admin discharge'!AE30:AE1020,"Yes")</f>
        <v>#REF!</v>
      </c>
      <c r="G86" s="223" t="e">
        <f>COUNTIFS('refer admin discharge'!#REF!,"White",'refer admin discharge'!#REF!,"Female",'refer admin discharge'!AE30:AE1020,"Yes")</f>
        <v>#REF!</v>
      </c>
      <c r="H86" s="255" t="e">
        <f>COUNTIFS('refer admin discharge'!#REF!,"African American /Black",'refer admin discharge'!#REF!,"Male",'refer admin discharge'!AE30:AE1020,"Yes")</f>
        <v>#REF!</v>
      </c>
      <c r="I86" s="223" t="e">
        <f>COUNTIFS('refer admin discharge'!#REF!,"African American /Black",'refer admin discharge'!#REF!,"Female",'refer admin discharge'!AE30:AE1020,"Yes")</f>
        <v>#REF!</v>
      </c>
      <c r="J86" s="255" t="e">
        <f>COUNTIFS('refer admin discharge'!#REF!,"Native Hawaiian/Pacific",'refer admin discharge'!#REF!,"Male",'refer admin discharge'!AE30:AE1020,"Yes")</f>
        <v>#REF!</v>
      </c>
      <c r="K86" s="223" t="e">
        <f>COUNTIFS('refer admin discharge'!#REF!,"Native Hawaiian/Pacific",'refer admin discharge'!#REF!,"Female",'refer admin discharge'!AE30:AE1020,"Yes")</f>
        <v>#REF!</v>
      </c>
      <c r="L86" s="255" t="e">
        <f>COUNTIFS('refer admin discharge'!#REF!,"Asian",'refer admin discharge'!#REF!,"Male",'refer admin discharge'!AE30:AE1020,"Yes")</f>
        <v>#REF!</v>
      </c>
      <c r="M86" s="223" t="e">
        <f>COUNTIFS('refer admin discharge'!#REF!,"Asian",'refer admin discharge'!#REF!,"Female",'refer admin discharge'!AE30:AE1020,"Yes")</f>
        <v>#REF!</v>
      </c>
      <c r="N86" s="255" t="e">
        <f>COUNTIFS('refer admin discharge'!#REF!,"American Indian Alaskan Native",'refer admin discharge'!#REF!,"Male",'refer admin discharge'!AE30:AE1020,"Yes")</f>
        <v>#REF!</v>
      </c>
      <c r="O86" s="223" t="e">
        <f>COUNTIFS('refer admin discharge'!#REF!,"American Indian Alaskan Native",'refer admin discharge'!#REF!,"Female",'refer admin discharge'!AE30:AE1020,"Yes")</f>
        <v>#REF!</v>
      </c>
      <c r="P86" s="255" t="e">
        <f>COUNTIFS('refer admin discharge'!#REF!,"More than one race reported",'refer admin discharge'!#REF!,"Male",'refer admin discharge'!AE30:AE1020,"Yes")</f>
        <v>#REF!</v>
      </c>
      <c r="Q86" s="223" t="e">
        <f>COUNTIFS('refer admin discharge'!#REF!,"More than one race reported",'refer admin discharge'!#REF!,"Female",'refer admin discharge'!AE30:AE1020,"Yes")</f>
        <v>#REF!</v>
      </c>
      <c r="R86" s="255" t="e">
        <f>COUNTIFS('refer admin discharge'!#REF!,"Unknown",'refer admin discharge'!#REF!,"Male",'refer admin discharge'!AE30:AE1020,"Yes")</f>
        <v>#REF!</v>
      </c>
      <c r="S86" s="223" t="e">
        <f>COUNTIFS('refer admin discharge'!#REF!,"Unknown",'refer admin discharge'!#REF!,"Female",'refer admin discharge'!AE30:AE1020,"Yes")</f>
        <v>#REF!</v>
      </c>
      <c r="T86" s="224"/>
      <c r="U86" s="255" t="e">
        <f>COUNTIFS('refer admin discharge'!#REF!,"Not Hispanic or Latino",'refer admin discharge'!#REF!,"Male",'refer admin discharge'!AE30:AE1020,"YES")</f>
        <v>#REF!</v>
      </c>
      <c r="V86" s="223" t="e">
        <f>COUNTIFS('refer admin discharge'!#REF!,"Not Hispanic or Latino",'refer admin discharge'!#REF!,"Female",'refer admin discharge'!AE30:AE1020,"YES")</f>
        <v>#REF!</v>
      </c>
      <c r="W86" s="255" t="e">
        <f>COUNTIFS('refer admin discharge'!#REF!,"Hispanic-Latino ",'refer admin discharge'!#REF!,"Male",'refer admin discharge'!AE30:AE1020,"YES")</f>
        <v>#REF!</v>
      </c>
      <c r="X86" s="223" t="e">
        <f>COUNTIFS('refer admin discharge'!#REF!,"Hispanic-Latino ",'refer admin discharge'!#REF!,"Female",'refer admin discharge'!AE30:AE1020,"YES")</f>
        <v>#REF!</v>
      </c>
      <c r="Y86" s="255" t="e">
        <f>COUNTIFS('refer admin discharge'!#REF!,"Unknown",'refer admin discharge'!#REF!,"Male",'refer admin discharge'!AE30:AE1020,"YES")</f>
        <v>#REF!</v>
      </c>
      <c r="Z86" s="256" t="e">
        <f>COUNTIFS('refer admin discharge'!#REF!,"Unknown",'refer admin discharge'!#REF!,"Female",'refer admin discharge'!AE30:AE1020,"YES")</f>
        <v>#REF!</v>
      </c>
      <c r="AA86" s="950" t="s">
        <v>1010</v>
      </c>
      <c r="AB86" s="951"/>
      <c r="AC86" s="952"/>
      <c r="AD86" s="257" t="e">
        <f t="shared" si="13"/>
        <v>#REF!</v>
      </c>
      <c r="AE86" s="97"/>
      <c r="AF86" s="257" t="e">
        <f t="shared" si="14"/>
        <v>#REF!</v>
      </c>
    </row>
    <row r="87" spans="1:37" ht="30" customHeight="1" x14ac:dyDescent="0.25">
      <c r="A87" s="958" t="s">
        <v>1011</v>
      </c>
      <c r="B87" s="326"/>
      <c r="C87" s="327"/>
      <c r="D87" s="954" t="s">
        <v>950</v>
      </c>
      <c r="E87" s="327"/>
      <c r="F87" s="258" t="e">
        <f>COUNTIFS('refer admin discharge'!#REF!,"White",'refer admin discharge'!#REF!,"Male",'refer admin discharge'!#REF!,"Yes")</f>
        <v>#REF!</v>
      </c>
      <c r="G87" s="259" t="e">
        <f>COUNTIFS('refer admin discharge'!#REF!,"White",'refer admin discharge'!#REF!,"Female",'refer admin discharge'!#REF!,"Yes")</f>
        <v>#REF!</v>
      </c>
      <c r="H87" s="258" t="e">
        <f>COUNTIFS('refer admin discharge'!#REF!,"African American /Black",'refer admin discharge'!#REF!,"Male",'refer admin discharge'!#REF!,"Yes")</f>
        <v>#REF!</v>
      </c>
      <c r="I87" s="259" t="e">
        <f>COUNTIFS('refer admin discharge'!#REF!,"African American /Black",'refer admin discharge'!#REF!,"Female",'refer admin discharge'!#REF!,"Yes")</f>
        <v>#REF!</v>
      </c>
      <c r="J87" s="258" t="e">
        <f>COUNTIFS('refer admin discharge'!#REF!,"Native Hawaiian/Pacific",'refer admin discharge'!#REF!,"Male",'refer admin discharge'!#REF!,"Yes")</f>
        <v>#REF!</v>
      </c>
      <c r="K87" s="259" t="e">
        <f>COUNTIFS('refer admin discharge'!#REF!,"Native Hawaiian/Pacific",'refer admin discharge'!#REF!,"Female",'refer admin discharge'!#REF!,"Yes")</f>
        <v>#REF!</v>
      </c>
      <c r="L87" s="258" t="e">
        <f>COUNTIFS('refer admin discharge'!#REF!,"Asian",'refer admin discharge'!#REF!,"Male",'refer admin discharge'!#REF!,"Yes")</f>
        <v>#REF!</v>
      </c>
      <c r="M87" s="259" t="e">
        <f>COUNTIFS('refer admin discharge'!#REF!,"Asian",'refer admin discharge'!#REF!,"Female",'refer admin discharge'!#REF!,"Yes")</f>
        <v>#REF!</v>
      </c>
      <c r="N87" s="258" t="e">
        <f>COUNTIFS('refer admin discharge'!#REF!,"American Indian Alaskan Native",'refer admin discharge'!#REF!,"Male",'refer admin discharge'!#REF!,"Yes")</f>
        <v>#REF!</v>
      </c>
      <c r="O87" s="259" t="e">
        <f>COUNTIFS('refer admin discharge'!#REF!,"American Indian Alaskan Native",'refer admin discharge'!#REF!,"Female",'refer admin discharge'!#REF!,"Yes")</f>
        <v>#REF!</v>
      </c>
      <c r="P87" s="258" t="e">
        <f>COUNTIFS('refer admin discharge'!#REF!,"More than one race reported",'refer admin discharge'!#REF!,"Male",'refer admin discharge'!#REF!,"Yes")</f>
        <v>#REF!</v>
      </c>
      <c r="Q87" s="259" t="e">
        <f>COUNTIFS('refer admin discharge'!#REF!,"More than one race reported",'refer admin discharge'!#REF!,"Female",'refer admin discharge'!#REF!,"Yes")</f>
        <v>#REF!</v>
      </c>
      <c r="R87" s="258" t="e">
        <f>COUNTIFS('refer admin discharge'!#REF!,"Unknown",'refer admin discharge'!#REF!,"Male",'refer admin discharge'!#REF!,"Yes")</f>
        <v>#REF!</v>
      </c>
      <c r="S87" s="259" t="e">
        <f>COUNTIFS('refer admin discharge'!#REF!,"Unknown",'refer admin discharge'!#REF!,"Female",'refer admin discharge'!#REF!,"Yes")</f>
        <v>#REF!</v>
      </c>
      <c r="T87" s="224"/>
      <c r="U87" s="258" t="e">
        <f>COUNTIFS('refer admin discharge'!#REF!,"Not Hispanic or Latino",'refer admin discharge'!#REF!,"Male",'refer admin discharge'!#REF!,"YES")</f>
        <v>#REF!</v>
      </c>
      <c r="V87" s="259" t="e">
        <f>COUNTIFS('refer admin discharge'!#REF!,"Not Hispanic or Latino",'refer admin discharge'!#REF!,"Female",'refer admin discharge'!#REF!,"YES")</f>
        <v>#REF!</v>
      </c>
      <c r="W87" s="258" t="e">
        <f>COUNTIFS('refer admin discharge'!#REF!,"Hispanic-Latino ",'refer admin discharge'!#REF!,"Male",'refer admin discharge'!#REF!,"YES")</f>
        <v>#REF!</v>
      </c>
      <c r="X87" s="259" t="e">
        <f>COUNTIFS('refer admin discharge'!#REF!,"Hispanic-Latino ",'refer admin discharge'!#REF!,"Female",'refer admin discharge'!#REF!,"YES")</f>
        <v>#REF!</v>
      </c>
      <c r="Y87" s="258" t="e">
        <f>COUNTIFS('refer admin discharge'!#REF!,"Unknown",'refer admin discharge'!#REF!,"Male",'refer admin discharge'!#REF!,"YES")</f>
        <v>#REF!</v>
      </c>
      <c r="Z87" s="260" t="e">
        <f>COUNTIFS('refer admin discharge'!#REF!,"Unknown",'refer admin discharge'!#REF!,"Female",'refer admin discharge'!#REF!,"YES")</f>
        <v>#REF!</v>
      </c>
      <c r="AA87" s="950" t="s">
        <v>1012</v>
      </c>
      <c r="AB87" s="951"/>
      <c r="AC87" s="952"/>
      <c r="AD87" s="261" t="e">
        <f t="shared" si="13"/>
        <v>#REF!</v>
      </c>
      <c r="AE87" s="97"/>
      <c r="AF87" s="261" t="e">
        <f t="shared" si="14"/>
        <v>#REF!</v>
      </c>
    </row>
    <row r="88" spans="1:37" ht="15" customHeight="1" x14ac:dyDescent="0.25">
      <c r="A88" s="262"/>
      <c r="B88" s="262"/>
      <c r="C88" s="262"/>
      <c r="D88" s="263"/>
      <c r="E88" s="263"/>
      <c r="F88" s="965" t="s">
        <v>1013</v>
      </c>
      <c r="G88" s="344"/>
      <c r="H88" s="344"/>
      <c r="I88" s="344"/>
      <c r="J88" s="344"/>
      <c r="K88" s="344"/>
      <c r="L88" s="344"/>
      <c r="M88" s="344"/>
      <c r="N88" s="344"/>
      <c r="O88" s="344"/>
      <c r="P88" s="344"/>
      <c r="Q88" s="344"/>
      <c r="R88" s="344"/>
      <c r="S88" s="470"/>
      <c r="T88" s="195"/>
      <c r="U88" s="966" t="s">
        <v>1014</v>
      </c>
      <c r="V88" s="350"/>
      <c r="W88" s="350"/>
      <c r="X88" s="350"/>
      <c r="Y88" s="350"/>
      <c r="Z88" s="350"/>
      <c r="AA88" s="350"/>
      <c r="AB88" s="350"/>
      <c r="AC88" s="350"/>
      <c r="AD88" s="358"/>
      <c r="AE88" s="97"/>
      <c r="AF88" s="264"/>
    </row>
    <row r="89" spans="1:37" ht="39.75" customHeight="1" x14ac:dyDescent="0.25">
      <c r="A89" s="948" t="s">
        <v>975</v>
      </c>
      <c r="B89" s="350"/>
      <c r="C89" s="350"/>
      <c r="D89" s="350"/>
      <c r="E89" s="351"/>
      <c r="F89" s="946" t="s">
        <v>562</v>
      </c>
      <c r="G89" s="327"/>
      <c r="H89" s="946" t="s">
        <v>733</v>
      </c>
      <c r="I89" s="327"/>
      <c r="J89" s="946" t="s">
        <v>976</v>
      </c>
      <c r="K89" s="327"/>
      <c r="L89" s="946" t="s">
        <v>565</v>
      </c>
      <c r="M89" s="327"/>
      <c r="N89" s="946" t="s">
        <v>977</v>
      </c>
      <c r="O89" s="327"/>
      <c r="P89" s="946" t="s">
        <v>978</v>
      </c>
      <c r="Q89" s="327"/>
      <c r="R89" s="946" t="s">
        <v>742</v>
      </c>
      <c r="S89" s="327"/>
      <c r="T89" s="201"/>
      <c r="U89" s="967" t="s">
        <v>570</v>
      </c>
      <c r="V89" s="327"/>
      <c r="W89" s="967" t="s">
        <v>571</v>
      </c>
      <c r="X89" s="327"/>
      <c r="Y89" s="967" t="s">
        <v>979</v>
      </c>
      <c r="Z89" s="327"/>
      <c r="AA89" s="142"/>
      <c r="AB89" s="142"/>
      <c r="AC89" s="142"/>
      <c r="AD89" s="196" t="s">
        <v>731</v>
      </c>
      <c r="AF89" s="196" t="s">
        <v>973</v>
      </c>
    </row>
    <row r="90" spans="1:37" ht="30" customHeight="1" x14ac:dyDescent="0.25">
      <c r="A90" s="265"/>
      <c r="B90" s="265"/>
      <c r="C90" s="265"/>
      <c r="D90" s="265"/>
      <c r="E90" s="266"/>
      <c r="F90" s="202" t="s">
        <v>981</v>
      </c>
      <c r="G90" s="203" t="s">
        <v>982</v>
      </c>
      <c r="H90" s="202" t="s">
        <v>981</v>
      </c>
      <c r="I90" s="203" t="s">
        <v>982</v>
      </c>
      <c r="J90" s="202" t="s">
        <v>981</v>
      </c>
      <c r="K90" s="203" t="s">
        <v>982</v>
      </c>
      <c r="L90" s="202" t="s">
        <v>981</v>
      </c>
      <c r="M90" s="203" t="s">
        <v>982</v>
      </c>
      <c r="N90" s="202" t="s">
        <v>981</v>
      </c>
      <c r="O90" s="203" t="s">
        <v>982</v>
      </c>
      <c r="P90" s="202" t="s">
        <v>981</v>
      </c>
      <c r="Q90" s="203" t="s">
        <v>982</v>
      </c>
      <c r="R90" s="202" t="s">
        <v>981</v>
      </c>
      <c r="S90" s="203" t="s">
        <v>982</v>
      </c>
      <c r="T90" s="5"/>
      <c r="U90" s="204" t="s">
        <v>981</v>
      </c>
      <c r="V90" s="267" t="s">
        <v>982</v>
      </c>
      <c r="W90" s="204" t="s">
        <v>981</v>
      </c>
      <c r="X90" s="267" t="s">
        <v>982</v>
      </c>
      <c r="Y90" s="204" t="s">
        <v>981</v>
      </c>
      <c r="Z90" s="267" t="s">
        <v>982</v>
      </c>
      <c r="AA90" s="142"/>
      <c r="AB90" s="142"/>
      <c r="AC90" s="142"/>
      <c r="AD90" s="196"/>
      <c r="AF90" s="196"/>
    </row>
    <row r="91" spans="1:37" ht="24.75" customHeight="1" x14ac:dyDescent="0.25">
      <c r="A91" s="962" t="s">
        <v>783</v>
      </c>
      <c r="B91" s="326"/>
      <c r="C91" s="327"/>
      <c r="D91" s="964" t="s">
        <v>923</v>
      </c>
      <c r="E91" s="327"/>
      <c r="F91" s="41" t="e">
        <f>COUNTIFS('refer admin discharge'!#REF!,"White",'refer admin discharge'!#REF!,"Male",'refer admin discharge'!AA30:AA1020,"Medicaid Only")</f>
        <v>#REF!</v>
      </c>
      <c r="G91" s="41" t="e">
        <f>COUNTIFS('refer admin discharge'!#REF!,"White",'refer admin discharge'!#REF!,"Female",'refer admin discharge'!AA30:AA1020,"Medicaid Only")</f>
        <v>#REF!</v>
      </c>
      <c r="H91" s="41" t="e">
        <f>COUNTIFS('refer admin discharge'!#REF!,"African American /Black",'refer admin discharge'!#REF!,"Male",'refer admin discharge'!AA30:AA1020,"Medicaid Only")</f>
        <v>#REF!</v>
      </c>
      <c r="I91" s="41" t="e">
        <f>COUNTIFS('refer admin discharge'!#REF!,"African American /Black",'refer admin discharge'!#REF!,"Female",'refer admin discharge'!AA30:AA1020,"Medicaid Only")</f>
        <v>#REF!</v>
      </c>
      <c r="J91" s="41" t="e">
        <f>COUNTIFS('refer admin discharge'!#REF!,"Native Hawaiian/Pacific",'refer admin discharge'!#REF!,"Male",'refer admin discharge'!AA30:AA1020,"Medicaid Only")</f>
        <v>#REF!</v>
      </c>
      <c r="K91" s="41" t="e">
        <f>COUNTIFS('refer admin discharge'!#REF!,"Native Hawaiian/Pacific",'refer admin discharge'!#REF!,"Female",'refer admin discharge'!AA30:AA1020,"Medicaid Only")</f>
        <v>#REF!</v>
      </c>
      <c r="L91" s="41" t="e">
        <f>COUNTIFS('refer admin discharge'!#REF!,"Asian",'refer admin discharge'!#REF!,"Male",'refer admin discharge'!AA30:AA1020,"Medicaid Only")</f>
        <v>#REF!</v>
      </c>
      <c r="M91" s="41" t="e">
        <f>COUNTIFS('refer admin discharge'!#REF!,"Asian",'refer admin discharge'!#REF!,"Female",'refer admin discharge'!AA30:AA1020,"Medicaid Only")</f>
        <v>#REF!</v>
      </c>
      <c r="N91" s="41" t="e">
        <f>COUNTIFS('refer admin discharge'!#REF!,"American Indian Alaskan Native",'refer admin discharge'!#REF!,"Male",'refer admin discharge'!AA30:AA1020,"Medicaid Only")</f>
        <v>#REF!</v>
      </c>
      <c r="O91" s="41" t="e">
        <f>COUNTIFS('refer admin discharge'!#REF!,"American Indian Alaskan Native",'refer admin discharge'!#REF!,"Female",'refer admin discharge'!AA30:AA1020,"Medicaid Only")</f>
        <v>#REF!</v>
      </c>
      <c r="P91" s="41" t="e">
        <f>COUNTIFS('refer admin discharge'!#REF!,"More than one race reported",'refer admin discharge'!#REF!,"Male",'refer admin discharge'!AA30:AA1020,"Medicaid Only")</f>
        <v>#REF!</v>
      </c>
      <c r="Q91" s="41" t="e">
        <f>COUNTIFS('refer admin discharge'!#REF!,"More than one race reported",'refer admin discharge'!#REF!,"Female",'refer admin discharge'!AA30:AA1020,"Medicaid Only")</f>
        <v>#REF!</v>
      </c>
      <c r="R91" s="41" t="e">
        <f>COUNTIFS('refer admin discharge'!#REF!,"Unknown",'refer admin discharge'!#REF!,"Male",'refer admin discharge'!AA30:AA1020,"Medicaid Only")</f>
        <v>#REF!</v>
      </c>
      <c r="S91" s="41" t="e">
        <f>COUNTIFS('refer admin discharge'!#REF!,"Unknown",'refer admin discharge'!#REF!,"Female",'refer admin discharge'!AA30:AA1020,"Medicaid Only")</f>
        <v>#REF!</v>
      </c>
      <c r="T91" s="268"/>
      <c r="U91" s="221" t="e">
        <f>COUNTIFS('refer admin discharge'!#REF!,"Not Hispanic or Latino",'refer admin discharge'!#REF!,"Male",'refer admin discharge'!AA30:AA1020,"Medicaid Only")</f>
        <v>#REF!</v>
      </c>
      <c r="V91" s="221" t="e">
        <f>COUNTIFS('refer admin discharge'!#REF!,"Not Hispanic or Latino",'refer admin discharge'!#REF!,"Female",'refer admin discharge'!AA30:AA1020,"Medicaid Only")</f>
        <v>#REF!</v>
      </c>
      <c r="W91" s="221" t="e">
        <f>COUNTIFS('refer admin discharge'!#REF!,"Hispanic-Latino ",'refer admin discharge'!#REF!,"Male",'refer admin discharge'!AA30:AA1020,"Medicaid Only")</f>
        <v>#REF!</v>
      </c>
      <c r="X91" s="221" t="e">
        <f>COUNTIFS('refer admin discharge'!#REF!,"Hispanic-Latino ",'refer admin discharge'!#REF!,"Female",'refer admin discharge'!AA30:AA1020,"Medicaid Only")</f>
        <v>#REF!</v>
      </c>
      <c r="Y91" s="221" t="e">
        <f>COUNTIFS('refer admin discharge'!#REF!,"Unknown",'refer admin discharge'!#REF!,"Male",'refer admin discharge'!AA30:AA1020,"Medicaid Only")</f>
        <v>#REF!</v>
      </c>
      <c r="Z91" s="221" t="e">
        <f>COUNTIFS('refer admin discharge'!#REF!,"Unknown",'refer admin discharge'!#REF!,"Female",'refer admin discharge'!AA30:AA1020,"Medicaid Only")</f>
        <v>#REF!</v>
      </c>
      <c r="AA91" s="962" t="s">
        <v>783</v>
      </c>
      <c r="AB91" s="326"/>
      <c r="AC91" s="327"/>
      <c r="AD91" s="36" t="e">
        <f t="shared" ref="AD91:AD95" si="15">SUM(F91:S91)</f>
        <v>#REF!</v>
      </c>
      <c r="AF91" s="269" t="e">
        <f t="shared" ref="AF91:AF95" si="16">SUM(U91:Z91)</f>
        <v>#REF!</v>
      </c>
      <c r="AI91" s="235"/>
      <c r="AJ91" s="235"/>
      <c r="AK91" s="235" t="e">
        <f t="shared" ref="AK91:AK94" si="17">AF91</f>
        <v>#REF!</v>
      </c>
    </row>
    <row r="92" spans="1:37" ht="24.75" customHeight="1" x14ac:dyDescent="0.25">
      <c r="A92" s="526" t="s">
        <v>786</v>
      </c>
      <c r="B92" s="326"/>
      <c r="C92" s="327"/>
      <c r="D92" s="963" t="s">
        <v>923</v>
      </c>
      <c r="E92" s="327"/>
      <c r="F92" s="65" t="e">
        <f>COUNTIFS('refer admin discharge'!#REF!,"White",'refer admin discharge'!#REF!,"Male",'refer admin discharge'!AA30:AA1020,"Non-Medicaid Sources only")</f>
        <v>#REF!</v>
      </c>
      <c r="G92" s="65" t="e">
        <f>COUNTIFS('refer admin discharge'!#REF!,"White",'refer admin discharge'!#REF!,"Female",'refer admin discharge'!AA30:AA1020,"Non-Medicaid Sources only")</f>
        <v>#REF!</v>
      </c>
      <c r="H92" s="65" t="e">
        <f>COUNTIFS('refer admin discharge'!#REF!,"African American /Black",'refer admin discharge'!#REF!,"Male",'refer admin discharge'!AA30:AA1020,"Non-Medicaid Sources only")</f>
        <v>#REF!</v>
      </c>
      <c r="I92" s="65" t="e">
        <f>COUNTIFS('refer admin discharge'!#REF!,"African American /Black",'refer admin discharge'!#REF!,"Female",'refer admin discharge'!AA30:AA1020,"Non-Medicaid Sources only")</f>
        <v>#REF!</v>
      </c>
      <c r="J92" s="65" t="e">
        <f>COUNTIFS('refer admin discharge'!#REF!,"Native Hawaiian/Pacific",'refer admin discharge'!#REF!,"Male",'refer admin discharge'!AA30:AA1020,"Non-Medicaid Sources only")</f>
        <v>#REF!</v>
      </c>
      <c r="K92" s="65" t="e">
        <f>COUNTIFS('refer admin discharge'!#REF!,"Native Hawaiian/Pacific",'refer admin discharge'!#REF!,"Female",'refer admin discharge'!AA30:AA1020,"Non-Medicaid Sources only")</f>
        <v>#REF!</v>
      </c>
      <c r="L92" s="65" t="e">
        <f>COUNTIFS('refer admin discharge'!#REF!,"Asian",'refer admin discharge'!#REF!,"Male",'refer admin discharge'!AA30:AA1020,"Non-Medicaid Sources only")</f>
        <v>#REF!</v>
      </c>
      <c r="M92" s="65" t="e">
        <f>COUNTIFS('refer admin discharge'!#REF!,"Asian",'refer admin discharge'!#REF!,"Female",'refer admin discharge'!AA30:AA1020,"Non-Medicaid Sources only")</f>
        <v>#REF!</v>
      </c>
      <c r="N92" s="65" t="e">
        <f>COUNTIFS('refer admin discharge'!#REF!,"American Indian Alaskan Native",'refer admin discharge'!#REF!,"Male",'refer admin discharge'!AA30:AA1020,"Non-Medicaid Sources only")</f>
        <v>#REF!</v>
      </c>
      <c r="O92" s="65" t="e">
        <f>COUNTIFS('refer admin discharge'!#REF!,"American Indian Alaskan Native",'refer admin discharge'!#REF!,"Female",'refer admin discharge'!AA30:AA1020,"Non-Medicaid Sources only")</f>
        <v>#REF!</v>
      </c>
      <c r="P92" s="65" t="e">
        <f>COUNTIFS('refer admin discharge'!#REF!,"More than one race reported",'refer admin discharge'!#REF!,"Male",'refer admin discharge'!AA30:AA1020,"Non-Medicaid Sources only")</f>
        <v>#REF!</v>
      </c>
      <c r="Q92" s="65" t="e">
        <f>COUNTIFS('refer admin discharge'!#REF!,"More than one race reported",'refer admin discharge'!#REF!,"Female",'refer admin discharge'!AA30:AA1020,"Non-Medicaid Sources only")</f>
        <v>#REF!</v>
      </c>
      <c r="R92" s="65" t="e">
        <f>COUNTIFS('refer admin discharge'!#REF!,"Unknown",'refer admin discharge'!#REF!,"Male",'refer admin discharge'!AA30:AA1020,"Non-Medicaid Sources only")</f>
        <v>#REF!</v>
      </c>
      <c r="S92" s="65" t="e">
        <f>COUNTIFS('refer admin discharge'!#REF!,"Unknown",'refer admin discharge'!#REF!,"Female",'refer admin discharge'!AA30:AA1020,"Non-Medicaid Sources only")</f>
        <v>#REF!</v>
      </c>
      <c r="T92" s="268"/>
      <c r="U92" s="218" t="e">
        <f>COUNTIFS('refer admin discharge'!#REF!,"Not Hispanic or Latino",'refer admin discharge'!#REF!,"Male",'refer admin discharge'!AA30:AA1020,"Non-Medicaid Sources only")</f>
        <v>#REF!</v>
      </c>
      <c r="V92" s="218" t="e">
        <f>COUNTIFS('refer admin discharge'!#REF!,"Not Hispanic or Latino",'refer admin discharge'!#REF!,"Female",'refer admin discharge'!AA30:AA1020,"Non-Medicaid Sources only")</f>
        <v>#REF!</v>
      </c>
      <c r="W92" s="218" t="e">
        <f>COUNTIFS('refer admin discharge'!#REF!,"Hispanic-Latino ",'refer admin discharge'!#REF!,"Male",'refer admin discharge'!AA30:AA1020,"Non-Medicaid Sources only")</f>
        <v>#REF!</v>
      </c>
      <c r="X92" s="218" t="e">
        <f>COUNTIFS('refer admin discharge'!#REF!,"Hispanic-Latino ",'refer admin discharge'!#REF!,"Female",'refer admin discharge'!AA30:AA1020,"Non-Medicaid Sources only")</f>
        <v>#REF!</v>
      </c>
      <c r="Y92" s="218" t="e">
        <f>COUNTIFS('refer admin discharge'!#REF!,"Unknown",'refer admin discharge'!#REF!,"Male",'refer admin discharge'!AA30:AA1020,"Non-Medicaid Sources only")</f>
        <v>#REF!</v>
      </c>
      <c r="Z92" s="218" t="e">
        <f>COUNTIFS('refer admin discharge'!#REF!,"Unknown",'refer admin discharge'!#REF!,"Female",'refer admin discharge'!AA30:AA1020,"Non-Medicaid Sources only")</f>
        <v>#REF!</v>
      </c>
      <c r="AA92" s="526" t="s">
        <v>786</v>
      </c>
      <c r="AB92" s="326"/>
      <c r="AC92" s="327"/>
      <c r="AD92" s="57" t="e">
        <f t="shared" si="15"/>
        <v>#REF!</v>
      </c>
      <c r="AF92" s="270" t="e">
        <f t="shared" si="16"/>
        <v>#REF!</v>
      </c>
      <c r="AI92" s="235"/>
      <c r="AJ92" s="235"/>
      <c r="AK92" s="235" t="e">
        <f t="shared" si="17"/>
        <v>#REF!</v>
      </c>
    </row>
    <row r="93" spans="1:37" ht="24.75" customHeight="1" x14ac:dyDescent="0.25">
      <c r="A93" s="962" t="s">
        <v>789</v>
      </c>
      <c r="B93" s="326"/>
      <c r="C93" s="327"/>
      <c r="D93" s="964" t="s">
        <v>923</v>
      </c>
      <c r="E93" s="327"/>
      <c r="F93" s="41" t="e">
        <f>COUNTIFS('refer admin discharge'!#REF!,"White",'refer admin discharge'!#REF!,"Male",'refer admin discharge'!AA30:AA1020,"Both Medicaid and Non-Medicaid ")</f>
        <v>#REF!</v>
      </c>
      <c r="G93" s="41" t="e">
        <f>COUNTIFS('refer admin discharge'!#REF!,"White",'refer admin discharge'!#REF!,"Female",'refer admin discharge'!AA30:AA1020,"Both Medicaid and Non-Medicaid ")</f>
        <v>#REF!</v>
      </c>
      <c r="H93" s="41" t="e">
        <f>COUNTIFS('refer admin discharge'!#REF!,"African American /Black",'refer admin discharge'!#REF!,"Male",'refer admin discharge'!AA30:AA1020,"Both Medicaid and Non-Medicaid ")</f>
        <v>#REF!</v>
      </c>
      <c r="I93" s="41" t="e">
        <f>COUNTIFS('refer admin discharge'!#REF!,"African American /Black",'refer admin discharge'!#REF!,"Female",'refer admin discharge'!AA30:AA1020,"Both Medicaid and Non-Medicaid ")</f>
        <v>#REF!</v>
      </c>
      <c r="J93" s="41" t="e">
        <f>COUNTIFS('refer admin discharge'!#REF!,"Native Hawaiian/Pacific",'refer admin discharge'!#REF!,"Male",'refer admin discharge'!AA30:AA1020,"Both Medicaid and Non-Medicaid ")</f>
        <v>#REF!</v>
      </c>
      <c r="K93" s="41" t="e">
        <f>COUNTIFS('refer admin discharge'!#REF!,"Native Hawaiian/Pacific",'refer admin discharge'!#REF!,"Female",'refer admin discharge'!AA30:AA1020,"Both Medicaid and Non-Medicaid ")</f>
        <v>#REF!</v>
      </c>
      <c r="L93" s="41" t="e">
        <f>COUNTIFS('refer admin discharge'!#REF!,"Asian",'refer admin discharge'!#REF!,"Male",'refer admin discharge'!AA30:AA1020,"Both Medicaid and Non-Medicaid ")</f>
        <v>#REF!</v>
      </c>
      <c r="M93" s="41" t="e">
        <f>COUNTIFS('refer admin discharge'!#REF!,"Asian",'refer admin discharge'!#REF!,"Female",'refer admin discharge'!AA30:AA1020,"Both Medicaid and Non-Medicaid ")</f>
        <v>#REF!</v>
      </c>
      <c r="N93" s="41" t="e">
        <f>COUNTIFS('refer admin discharge'!#REF!,"American Indian Alaskan Native",'refer admin discharge'!#REF!,"Male",'refer admin discharge'!AA30:AA1020,"Both Medicaid and Non-Medicaid ")</f>
        <v>#REF!</v>
      </c>
      <c r="O93" s="41" t="e">
        <f>COUNTIFS('refer admin discharge'!#REF!,"American Indian Alaskan Native",'refer admin discharge'!#REF!,"Female",'refer admin discharge'!AA30:AA1020,"Both Medicaid and Non-Medicaid ")</f>
        <v>#REF!</v>
      </c>
      <c r="P93" s="41" t="e">
        <f>COUNTIFS('refer admin discharge'!#REF!,"More than one race reported",'refer admin discharge'!#REF!,"Male",'refer admin discharge'!AA30:AA1020,"Both Medicaid and Non-Medicaid ")</f>
        <v>#REF!</v>
      </c>
      <c r="Q93" s="41" t="e">
        <f>COUNTIFS('refer admin discharge'!#REF!,"More than one race reported",'refer admin discharge'!#REF!,"Female",'refer admin discharge'!AA30:AA1020,"Both Medicaid and Non-Medicaid ")</f>
        <v>#REF!</v>
      </c>
      <c r="R93" s="41" t="e">
        <f>COUNTIFS('refer admin discharge'!#REF!,"Unknown",'refer admin discharge'!#REF!,"Male",'refer admin discharge'!AA30:AA1020,"Both Medicaid and Non-Medicaid ")</f>
        <v>#REF!</v>
      </c>
      <c r="S93" s="41" t="e">
        <f>COUNTIFS('refer admin discharge'!#REF!,"Unknown",'refer admin discharge'!#REF!,"Female",'refer admin discharge'!AA30:AA1020,"Both Medicaid and Non-Medicaid ")</f>
        <v>#REF!</v>
      </c>
      <c r="T93" s="268"/>
      <c r="U93" s="221" t="e">
        <f>COUNTIFS('refer admin discharge'!#REF!,"Not Hispanic or Latino",'refer admin discharge'!#REF!,"Male",'refer admin discharge'!AA30:AA1020,"Both Medicaid and Non-Medicaid ")</f>
        <v>#REF!</v>
      </c>
      <c r="V93" s="221" t="e">
        <f>COUNTIFS('refer admin discharge'!#REF!,"Not Hispanic or Latino",'refer admin discharge'!#REF!,"Female",'refer admin discharge'!AA30:AA1020,"Both Medicaid and Non-Medicaid ")</f>
        <v>#REF!</v>
      </c>
      <c r="W93" s="221" t="e">
        <f>COUNTIFS('refer admin discharge'!#REF!,"Hispanic-Latino ",'refer admin discharge'!#REF!,"Male",'refer admin discharge'!AA30:AA1020,"Both Medicaid and Non-Medicaid ")</f>
        <v>#REF!</v>
      </c>
      <c r="X93" s="221" t="e">
        <f>COUNTIFS('refer admin discharge'!#REF!,"Hispanic-Latino ",'refer admin discharge'!#REF!,"Female",'refer admin discharge'!AA30:AA1020,"Both Medicaid and Non-Medicaid ")</f>
        <v>#REF!</v>
      </c>
      <c r="Y93" s="221" t="e">
        <f>COUNTIFS('refer admin discharge'!#REF!,"Unknown",'refer admin discharge'!#REF!,"Male",'refer admin discharge'!AA30:AA1020,"Both Medicaid and Non-Medicaid ")</f>
        <v>#REF!</v>
      </c>
      <c r="Z93" s="221" t="e">
        <f>COUNTIFS('refer admin discharge'!#REF!,"Unknown",'refer admin discharge'!#REF!,"Female",'refer admin discharge'!AA30:AA1020,"Both Medicaid and Non-Medicaid ")</f>
        <v>#REF!</v>
      </c>
      <c r="AA93" s="962" t="s">
        <v>789</v>
      </c>
      <c r="AB93" s="326"/>
      <c r="AC93" s="327"/>
      <c r="AD93" s="36" t="e">
        <f t="shared" si="15"/>
        <v>#REF!</v>
      </c>
      <c r="AF93" s="269" t="e">
        <f t="shared" si="16"/>
        <v>#REF!</v>
      </c>
      <c r="AI93" s="235"/>
      <c r="AJ93" s="235"/>
      <c r="AK93" s="235" t="e">
        <f t="shared" si="17"/>
        <v>#REF!</v>
      </c>
    </row>
    <row r="94" spans="1:37" ht="24.75" customHeight="1" x14ac:dyDescent="0.25">
      <c r="A94" s="526" t="s">
        <v>792</v>
      </c>
      <c r="B94" s="326"/>
      <c r="C94" s="327"/>
      <c r="D94" s="963" t="s">
        <v>923</v>
      </c>
      <c r="E94" s="327"/>
      <c r="F94" s="65" t="e">
        <f>COUNTIFS('refer admin discharge'!#REF!,"White",'refer admin discharge'!#REF!,"Male",'refer admin discharge'!AA30:AA1020,"Not known ")</f>
        <v>#REF!</v>
      </c>
      <c r="G94" s="65" t="e">
        <f>COUNTIFS('refer admin discharge'!#REF!,"White",'refer admin discharge'!#REF!,"Female",'refer admin discharge'!AA30:AA1020,"Not known ")</f>
        <v>#REF!</v>
      </c>
      <c r="H94" s="65" t="e">
        <f>COUNTIFS('refer admin discharge'!#REF!,"African American /Black",'refer admin discharge'!#REF!,"Male",'refer admin discharge'!AA30:AA1020,"Not known ")</f>
        <v>#REF!</v>
      </c>
      <c r="I94" s="65" t="e">
        <f>COUNTIFS('refer admin discharge'!#REF!,"African American /Black",'refer admin discharge'!#REF!,"Female",'refer admin discharge'!AA30:AA1020,"Not known ")</f>
        <v>#REF!</v>
      </c>
      <c r="J94" s="65" t="e">
        <f>COUNTIFS('refer admin discharge'!#REF!,"Native Hawaiian/Pacific",'refer admin discharge'!#REF!,"Male",'refer admin discharge'!AA30:AA1020,"Not known ")</f>
        <v>#REF!</v>
      </c>
      <c r="K94" s="65" t="e">
        <f>COUNTIFS('refer admin discharge'!#REF!,"Native Hawaiian/Pacific",'refer admin discharge'!#REF!,"Female",'refer admin discharge'!AA30:AA1020,"Not known ")</f>
        <v>#REF!</v>
      </c>
      <c r="L94" s="65" t="e">
        <f>COUNTIFS('refer admin discharge'!#REF!,"Asian",'refer admin discharge'!#REF!,"Male",'refer admin discharge'!AA30:AA1020,"Not known ")</f>
        <v>#REF!</v>
      </c>
      <c r="M94" s="65" t="e">
        <f>COUNTIFS('refer admin discharge'!#REF!,"Asian",'refer admin discharge'!#REF!,"Female",'refer admin discharge'!AA30:AA1020,"Not known ")</f>
        <v>#REF!</v>
      </c>
      <c r="N94" s="65" t="e">
        <f>COUNTIFS('refer admin discharge'!#REF!,"American Indian Alaskan Native",'refer admin discharge'!#REF!,"Male",'refer admin discharge'!AA30:AA1020,"Not known ")</f>
        <v>#REF!</v>
      </c>
      <c r="O94" s="65" t="e">
        <f>COUNTIFS('refer admin discharge'!#REF!,"American Indian Alaskan Native",'refer admin discharge'!#REF!,"Female",'refer admin discharge'!AA30:AA1020,"Not known ")</f>
        <v>#REF!</v>
      </c>
      <c r="P94" s="65" t="e">
        <f>COUNTIFS('refer admin discharge'!#REF!,"More than one race reported",'refer admin discharge'!#REF!,"Male",'refer admin discharge'!AA30:AA1020,"Not known ")</f>
        <v>#REF!</v>
      </c>
      <c r="Q94" s="65" t="e">
        <f>COUNTIFS('refer admin discharge'!#REF!,"More than one race reported",'refer admin discharge'!#REF!,"Female",'refer admin discharge'!AA30:AA1020,"Not known ")</f>
        <v>#REF!</v>
      </c>
      <c r="R94" s="65" t="e">
        <f>COUNTIFS('refer admin discharge'!#REF!,"Unknown",'refer admin discharge'!#REF!,"Male",'refer admin discharge'!AA30:AA1020,"Not known ")</f>
        <v>#REF!</v>
      </c>
      <c r="S94" s="65" t="e">
        <f>COUNTIFS('refer admin discharge'!#REF!,"Unknown",'refer admin discharge'!#REF!,"Female",'refer admin discharge'!AA30:AA1020,"Not known ")</f>
        <v>#REF!</v>
      </c>
      <c r="T94" s="268"/>
      <c r="U94" s="218" t="e">
        <f>COUNTIFS('refer admin discharge'!#REF!,"Not Hispanic or Latino",'refer admin discharge'!#REF!,"Male",'refer admin discharge'!AA30:AA1020,"Not known ")</f>
        <v>#REF!</v>
      </c>
      <c r="V94" s="218" t="e">
        <f>COUNTIFS('refer admin discharge'!#REF!,"Not Hispanic or Latino",'refer admin discharge'!#REF!,"Female",'refer admin discharge'!AA30:AA1020,"Not known ")</f>
        <v>#REF!</v>
      </c>
      <c r="W94" s="218" t="e">
        <f>COUNTIFS('refer admin discharge'!#REF!,"Hispanic-Latino ",'refer admin discharge'!#REF!,"Male",'refer admin discharge'!AA30:AA1020,"Not known ")</f>
        <v>#REF!</v>
      </c>
      <c r="X94" s="218" t="e">
        <f>COUNTIFS('refer admin discharge'!#REF!,"Hispanic-Latino ",'refer admin discharge'!#REF!,"Female",'refer admin discharge'!AA30:AA1020,"Not known ")</f>
        <v>#REF!</v>
      </c>
      <c r="Y94" s="218" t="e">
        <f>COUNTIFS('refer admin discharge'!#REF!,"Unknown",'refer admin discharge'!#REF!,"Male",'refer admin discharge'!AA30:AA1020,"Not known ")</f>
        <v>#REF!</v>
      </c>
      <c r="Z94" s="218" t="e">
        <f>COUNTIFS('refer admin discharge'!#REF!,"Unknown",'refer admin discharge'!#REF!,"Female",'refer admin discharge'!AA30:AA1020,"Not known ")</f>
        <v>#REF!</v>
      </c>
      <c r="AA94" s="526" t="s">
        <v>792</v>
      </c>
      <c r="AB94" s="326"/>
      <c r="AC94" s="327"/>
      <c r="AD94" s="57" t="e">
        <f t="shared" si="15"/>
        <v>#REF!</v>
      </c>
      <c r="AF94" s="270" t="e">
        <f t="shared" si="16"/>
        <v>#REF!</v>
      </c>
      <c r="AI94" s="235"/>
      <c r="AJ94" s="235"/>
      <c r="AK94" s="235" t="e">
        <f t="shared" si="17"/>
        <v>#REF!</v>
      </c>
    </row>
    <row r="95" spans="1:37" ht="19.5" customHeight="1" x14ac:dyDescent="0.25">
      <c r="A95" s="271"/>
      <c r="B95" s="271"/>
      <c r="C95" s="271"/>
      <c r="D95" s="272"/>
      <c r="E95" s="272"/>
      <c r="F95" s="273" t="e">
        <f t="shared" ref="F95:S95" si="18">SUM(F91:F94)</f>
        <v>#REF!</v>
      </c>
      <c r="G95" s="273" t="e">
        <f t="shared" si="18"/>
        <v>#REF!</v>
      </c>
      <c r="H95" s="273" t="e">
        <f t="shared" si="18"/>
        <v>#REF!</v>
      </c>
      <c r="I95" s="273" t="e">
        <f t="shared" si="18"/>
        <v>#REF!</v>
      </c>
      <c r="J95" s="273" t="e">
        <f t="shared" si="18"/>
        <v>#REF!</v>
      </c>
      <c r="K95" s="273" t="e">
        <f t="shared" si="18"/>
        <v>#REF!</v>
      </c>
      <c r="L95" s="273" t="e">
        <f t="shared" si="18"/>
        <v>#REF!</v>
      </c>
      <c r="M95" s="273" t="e">
        <f t="shared" si="18"/>
        <v>#REF!</v>
      </c>
      <c r="N95" s="273" t="e">
        <f t="shared" si="18"/>
        <v>#REF!</v>
      </c>
      <c r="O95" s="273" t="e">
        <f t="shared" si="18"/>
        <v>#REF!</v>
      </c>
      <c r="P95" s="273" t="e">
        <f t="shared" si="18"/>
        <v>#REF!</v>
      </c>
      <c r="Q95" s="273" t="e">
        <f t="shared" si="18"/>
        <v>#REF!</v>
      </c>
      <c r="R95" s="273" t="e">
        <f t="shared" si="18"/>
        <v>#REF!</v>
      </c>
      <c r="S95" s="273" t="e">
        <f t="shared" si="18"/>
        <v>#REF!</v>
      </c>
      <c r="T95" s="268"/>
      <c r="U95" s="273" t="e">
        <f t="shared" ref="U95:Z95" si="19">SUM(U91:U94)</f>
        <v>#REF!</v>
      </c>
      <c r="V95" s="273" t="e">
        <f t="shared" si="19"/>
        <v>#REF!</v>
      </c>
      <c r="W95" s="273" t="e">
        <f t="shared" si="19"/>
        <v>#REF!</v>
      </c>
      <c r="X95" s="273" t="e">
        <f t="shared" si="19"/>
        <v>#REF!</v>
      </c>
      <c r="Y95" s="273" t="e">
        <f t="shared" si="19"/>
        <v>#REF!</v>
      </c>
      <c r="Z95" s="273" t="e">
        <f t="shared" si="19"/>
        <v>#REF!</v>
      </c>
      <c r="AA95" s="971" t="s">
        <v>582</v>
      </c>
      <c r="AB95" s="344"/>
      <c r="AC95" s="470"/>
      <c r="AD95" s="159" t="e">
        <f t="shared" si="15"/>
        <v>#REF!</v>
      </c>
      <c r="AE95" s="187"/>
      <c r="AF95" s="159" t="e">
        <f t="shared" si="16"/>
        <v>#REF!</v>
      </c>
      <c r="AI95" s="235"/>
      <c r="AJ95" s="235"/>
      <c r="AK95" s="235"/>
    </row>
    <row r="96" spans="1:37" ht="19.5" customHeight="1" x14ac:dyDescent="0.25">
      <c r="A96" s="262"/>
      <c r="B96" s="262"/>
      <c r="C96" s="262"/>
      <c r="D96" s="263"/>
      <c r="E96" s="263"/>
      <c r="F96" s="965" t="s">
        <v>1015</v>
      </c>
      <c r="G96" s="344"/>
      <c r="H96" s="344"/>
      <c r="I96" s="344"/>
      <c r="J96" s="344"/>
      <c r="K96" s="344"/>
      <c r="L96" s="344"/>
      <c r="M96" s="344"/>
      <c r="N96" s="344"/>
      <c r="O96" s="344"/>
      <c r="P96" s="344"/>
      <c r="Q96" s="344"/>
      <c r="R96" s="344"/>
      <c r="S96" s="470"/>
      <c r="T96" s="195"/>
      <c r="U96" s="965" t="s">
        <v>1016</v>
      </c>
      <c r="V96" s="344"/>
      <c r="W96" s="344"/>
      <c r="X96" s="344"/>
      <c r="Y96" s="344"/>
      <c r="Z96" s="470"/>
      <c r="AA96" s="274"/>
      <c r="AB96" s="274"/>
      <c r="AC96" s="274"/>
      <c r="AD96" s="264"/>
      <c r="AE96" s="97"/>
      <c r="AF96" s="264"/>
      <c r="AI96" s="235"/>
      <c r="AJ96" s="235"/>
      <c r="AK96" s="235"/>
    </row>
    <row r="97" spans="1:37" ht="19.5" customHeight="1" x14ac:dyDescent="0.25">
      <c r="A97" s="968" t="s">
        <v>751</v>
      </c>
      <c r="B97" s="326"/>
      <c r="C97" s="327"/>
      <c r="D97" s="969" t="s">
        <v>914</v>
      </c>
      <c r="E97" s="327"/>
      <c r="F97" s="275" t="e">
        <f>COUNTIFS('refer admin discharge'!#REF!,"White",'refer admin discharge'!#REF!,"Male",'refer admin discharge'!Y30:Y1020,"Private Residence")</f>
        <v>#REF!</v>
      </c>
      <c r="G97" s="275" t="e">
        <f>COUNTIFS('refer admin discharge'!#REF!,"White",'refer admin discharge'!#REF!,"Female",'refer admin discharge'!Y30:Y1020,"Private Residence")</f>
        <v>#REF!</v>
      </c>
      <c r="H97" s="275" t="e">
        <f>COUNTIFS('refer admin discharge'!#REF!,"African American /Black",'refer admin discharge'!#REF!,"Male",'refer admin discharge'!Y30:Y1020,"Private Residence")</f>
        <v>#REF!</v>
      </c>
      <c r="I97" s="275" t="e">
        <f>COUNTIFS('refer admin discharge'!#REF!,"African American /Black",'refer admin discharge'!#REF!,"Female",'refer admin discharge'!Y30:Y1020,"Private Residence")</f>
        <v>#REF!</v>
      </c>
      <c r="J97" s="275" t="e">
        <f>COUNTIFS('refer admin discharge'!#REF!,"Native Hawaiian/Pacific",'refer admin discharge'!#REF!,"Male",'refer admin discharge'!Y30:Y1020,"Private Residence")</f>
        <v>#REF!</v>
      </c>
      <c r="K97" s="275" t="e">
        <f>COUNTIFS('refer admin discharge'!#REF!,"Native Hawaiian/Pacific",'refer admin discharge'!#REF!,"Female",'refer admin discharge'!Y30:Y1020,"Private Residence")</f>
        <v>#REF!</v>
      </c>
      <c r="L97" s="275" t="e">
        <f>COUNTIFS('refer admin discharge'!#REF!,"Asian",'refer admin discharge'!#REF!,"Male",'refer admin discharge'!Y30:Y1020,"Private Residence")</f>
        <v>#REF!</v>
      </c>
      <c r="M97" s="275" t="e">
        <f>COUNTIFS('refer admin discharge'!#REF!,"Asian",'refer admin discharge'!#REF!,"Female",'refer admin discharge'!Y30:Y1020,"Private Residence")</f>
        <v>#REF!</v>
      </c>
      <c r="N97" s="275" t="e">
        <f>COUNTIFS('refer admin discharge'!#REF!,"American Indian Alaskan Native",'refer admin discharge'!#REF!,"Male",'refer admin discharge'!Y30:Y1020,"Private Residence")</f>
        <v>#REF!</v>
      </c>
      <c r="O97" s="275" t="e">
        <f>COUNTIFS('refer admin discharge'!#REF!,"American Indian Alaskan Native",'refer admin discharge'!#REF!,"Female",'refer admin discharge'!Y30:Y1020,"Private Residence")</f>
        <v>#REF!</v>
      </c>
      <c r="P97" s="275" t="e">
        <f>COUNTIFS('refer admin discharge'!#REF!,"More than one race reported",'refer admin discharge'!#REF!,"Male",'refer admin discharge'!Y30:Y1020,"Private Residence")</f>
        <v>#REF!</v>
      </c>
      <c r="Q97" s="275" t="e">
        <f>COUNTIFS('refer admin discharge'!#REF!,"More than one race reported",'refer admin discharge'!#REF!,"Female",'refer admin discharge'!Y30:Y1020,"Private Residence")</f>
        <v>#REF!</v>
      </c>
      <c r="R97" s="275" t="e">
        <f>COUNTIFS('refer admin discharge'!#REF!,"Unknown",'refer admin discharge'!#REF!,"Male",'refer admin discharge'!Y30:Y1020,"Private Residence")</f>
        <v>#REF!</v>
      </c>
      <c r="S97" s="275" t="e">
        <f>COUNTIFS('refer admin discharge'!#REF!,"Unknown",'refer admin discharge'!#REF!,"Female",'refer admin discharge'!Y30:Y1020,"Private Residence")</f>
        <v>#REF!</v>
      </c>
      <c r="T97" s="268"/>
      <c r="U97" s="275" t="e">
        <f>COUNTIFS('refer admin discharge'!#REF!,"Not Hispanic or Latino",'refer admin discharge'!#REF!,"Male",'refer admin discharge'!Y30:Y1020,"Private Residence")</f>
        <v>#REF!</v>
      </c>
      <c r="V97" s="275" t="e">
        <f>COUNTIFS('refer admin discharge'!#REF!,"Not Hispanic or Latino",'refer admin discharge'!#REF!,"Female",'refer admin discharge'!Y30:Y1020,"Private Residence")</f>
        <v>#REF!</v>
      </c>
      <c r="W97" s="275" t="e">
        <f>COUNTIFS('refer admin discharge'!#REF!,"Hispanic-Latino ",'refer admin discharge'!#REF!,"Male",'refer admin discharge'!Y30:Y1020,"Private Residence")</f>
        <v>#REF!</v>
      </c>
      <c r="X97" s="275" t="e">
        <f>COUNTIFS('refer admin discharge'!#REF!,"Hispanic-Latino ",'refer admin discharge'!#REF!,"Female",'refer admin discharge'!Y30:Y1020,"Private Residence")</f>
        <v>#REF!</v>
      </c>
      <c r="Y97" s="275" t="e">
        <f>COUNTIFS('refer admin discharge'!#REF!,"Unknown",'refer admin discharge'!#REF!,"Male",'refer admin discharge'!Y30:Y1020,"Private Residence")</f>
        <v>#REF!</v>
      </c>
      <c r="Z97" s="275" t="e">
        <f>COUNTIFS('refer admin discharge'!#REF!,"Unknown",'refer admin discharge'!#REF!,"Female",'refer admin discharge'!Y30:Y1020,"Private Residence")</f>
        <v>#REF!</v>
      </c>
      <c r="AA97" s="574" t="s">
        <v>751</v>
      </c>
      <c r="AB97" s="326"/>
      <c r="AC97" s="327"/>
      <c r="AD97" s="276" t="e">
        <f t="shared" ref="AD97:AD105" si="20">SUM(F97:S97)</f>
        <v>#REF!</v>
      </c>
      <c r="AE97" s="175"/>
      <c r="AF97" s="276" t="e">
        <f t="shared" ref="AF97:AF105" si="21">SUM(U97:Z97)</f>
        <v>#REF!</v>
      </c>
      <c r="AI97" s="235"/>
      <c r="AJ97" s="235"/>
      <c r="AK97" s="235"/>
    </row>
    <row r="98" spans="1:37" ht="19.5" customHeight="1" x14ac:dyDescent="0.25">
      <c r="A98" s="1021" t="s">
        <v>754</v>
      </c>
      <c r="B98" s="326"/>
      <c r="C98" s="327"/>
      <c r="D98" s="970" t="s">
        <v>1017</v>
      </c>
      <c r="E98" s="327"/>
      <c r="F98" s="277" t="e">
        <f>COUNTIFS('refer admin discharge'!#REF!,"White",'refer admin discharge'!#REF!,"Male",'refer admin discharge'!Y30:Y1020,"Homeless ")</f>
        <v>#REF!</v>
      </c>
      <c r="G98" s="277" t="e">
        <f>COUNTIFS('refer admin discharge'!#REF!,"White",'refer admin discharge'!#REF!,"Female",'refer admin discharge'!Y30:Y1020,"Homeless ")</f>
        <v>#REF!</v>
      </c>
      <c r="H98" s="277" t="e">
        <f>COUNTIFS('refer admin discharge'!#REF!,"African American /Black",'refer admin discharge'!#REF!,"Male",'refer admin discharge'!Y30:Y1020,"Homeless ")</f>
        <v>#REF!</v>
      </c>
      <c r="I98" s="277" t="e">
        <f>COUNTIFS('refer admin discharge'!#REF!,"African American /Black",'refer admin discharge'!#REF!,"Female",'refer admin discharge'!Y30:Y1020,"Homeless ")</f>
        <v>#REF!</v>
      </c>
      <c r="J98" s="277" t="e">
        <f>COUNTIFS('refer admin discharge'!#REF!,"Native Hawaiian/Pacific",'refer admin discharge'!#REF!,"Male",'refer admin discharge'!Y30:Y1020,"Homeless ")</f>
        <v>#REF!</v>
      </c>
      <c r="K98" s="277" t="e">
        <f>COUNTIFS('refer admin discharge'!#REF!,"Native Hawaiian/Pacific",'refer admin discharge'!#REF!,"Female",'refer admin discharge'!Y30:Y1020,"Homeless ")</f>
        <v>#REF!</v>
      </c>
      <c r="L98" s="277" t="e">
        <f>COUNTIFS('refer admin discharge'!#REF!,"Asian",'refer admin discharge'!#REF!,"Male",'refer admin discharge'!Y30:Y1020,"Homeless ")</f>
        <v>#REF!</v>
      </c>
      <c r="M98" s="277" t="e">
        <f>COUNTIFS('refer admin discharge'!#REF!,"Asian",'refer admin discharge'!#REF!,"Female",'refer admin discharge'!Y30:Y1020,"Homeless ")</f>
        <v>#REF!</v>
      </c>
      <c r="N98" s="277" t="e">
        <f>COUNTIFS('refer admin discharge'!#REF!,"American Indian Alaskan Native",'refer admin discharge'!#REF!,"Male",'refer admin discharge'!Y30:Y1020,"Homeless ")</f>
        <v>#REF!</v>
      </c>
      <c r="O98" s="277" t="e">
        <f>COUNTIFS('refer admin discharge'!#REF!,"American Indian Alaskan Native",'refer admin discharge'!#REF!,"Female",'refer admin discharge'!Y30:Y1020,"Homeless ")</f>
        <v>#REF!</v>
      </c>
      <c r="P98" s="277" t="e">
        <f>COUNTIFS('refer admin discharge'!#REF!,"More than one race reported",'refer admin discharge'!#REF!,"Male",'refer admin discharge'!Y30:Y1020,"Homeless ")</f>
        <v>#REF!</v>
      </c>
      <c r="Q98" s="277" t="e">
        <f>COUNTIFS('refer admin discharge'!#REF!,"More than one race reported",'refer admin discharge'!#REF!,"Female",'refer admin discharge'!Y30:Y1020,"Homeless ")</f>
        <v>#REF!</v>
      </c>
      <c r="R98" s="277" t="e">
        <f>COUNTIFS('refer admin discharge'!#REF!,"Unknown",'refer admin discharge'!#REF!,"Male",'refer admin discharge'!Y30:Y1020,"Homeless ")</f>
        <v>#REF!</v>
      </c>
      <c r="S98" s="277" t="e">
        <f>COUNTIFS('refer admin discharge'!#REF!,"Unknown",'refer admin discharge'!#REF!,"Female",'refer admin discharge'!Y30:Y1020,"Homeless ")</f>
        <v>#REF!</v>
      </c>
      <c r="T98" s="268"/>
      <c r="U98" s="277" t="e">
        <f>COUNTIFS('refer admin discharge'!#REF!,"Not Hispanic or Latino",'refer admin discharge'!#REF!,"Male",'refer admin discharge'!Y30:Y1020,"Homeless ")</f>
        <v>#REF!</v>
      </c>
      <c r="V98" s="277" t="e">
        <f>COUNTIFS('refer admin discharge'!#REF!,"Not Hispanic or Latino",'refer admin discharge'!#REF!,"Female",'refer admin discharge'!Y30:Y1020,"Homeless ")</f>
        <v>#REF!</v>
      </c>
      <c r="W98" s="277" t="e">
        <f>COUNTIFS('refer admin discharge'!#REF!,"Hispanic-Latino ",'refer admin discharge'!#REF!,"Male",'refer admin discharge'!Y30:Y1020,"Homeless ")</f>
        <v>#REF!</v>
      </c>
      <c r="X98" s="277" t="e">
        <f>COUNTIFS('refer admin discharge'!#REF!,"Hispanic-Latino ",'refer admin discharge'!#REF!,"Female",'refer admin discharge'!Y30:Y1020,"Homeless ")</f>
        <v>#REF!</v>
      </c>
      <c r="Y98" s="277" t="e">
        <f>COUNTIFS('refer admin discharge'!#REF!,"Unknown",'refer admin discharge'!#REF!,"Male",'refer admin discharge'!Y30:Y1020,"Homeless ")</f>
        <v>#REF!</v>
      </c>
      <c r="Z98" s="277" t="e">
        <f>COUNTIFS('refer admin discharge'!#REF!,"Unknown",'refer admin discharge'!#REF!,"Female",'refer admin discharge'!Y30:Y1020,"Homeless ")</f>
        <v>#REF!</v>
      </c>
      <c r="AA98" s="594" t="s">
        <v>754</v>
      </c>
      <c r="AB98" s="326"/>
      <c r="AC98" s="327"/>
      <c r="AD98" s="278" t="e">
        <f t="shared" si="20"/>
        <v>#REF!</v>
      </c>
      <c r="AE98" s="175"/>
      <c r="AF98" s="278" t="e">
        <f t="shared" si="21"/>
        <v>#REF!</v>
      </c>
      <c r="AI98" s="235"/>
      <c r="AJ98" s="235"/>
      <c r="AK98" s="235"/>
    </row>
    <row r="99" spans="1:37" ht="19.5" customHeight="1" x14ac:dyDescent="0.25">
      <c r="A99" s="968" t="s">
        <v>757</v>
      </c>
      <c r="B99" s="326"/>
      <c r="C99" s="327"/>
      <c r="D99" s="969" t="s">
        <v>914</v>
      </c>
      <c r="E99" s="327"/>
      <c r="F99" s="275" t="e">
        <f>COUNTIFS('refer admin discharge'!#REF!,"White",'refer admin discharge'!#REF!,"Male",'refer admin discharge'!Y30:Y1020,"Residential Care")</f>
        <v>#REF!</v>
      </c>
      <c r="G99" s="275" t="e">
        <f>COUNTIFS('refer admin discharge'!#REF!,"White",'refer admin discharge'!#REF!,"Female",'refer admin discharge'!Y30:Y1020,"Residential Care")</f>
        <v>#REF!</v>
      </c>
      <c r="H99" s="275" t="e">
        <f>COUNTIFS('refer admin discharge'!#REF!,"African American /Black",'refer admin discharge'!#REF!,"Male",'refer admin discharge'!Y30:Y1020,"Residential Care")</f>
        <v>#REF!</v>
      </c>
      <c r="I99" s="275" t="e">
        <f>COUNTIFS('refer admin discharge'!#REF!,"African American /Black",'refer admin discharge'!#REF!,"Female",'refer admin discharge'!Y30:Y1020,"Residential Care")</f>
        <v>#REF!</v>
      </c>
      <c r="J99" s="275" t="e">
        <f>COUNTIFS('refer admin discharge'!#REF!,"Native Hawaiian/Pacific",'refer admin discharge'!#REF!,"Male",'refer admin discharge'!Y30:Y1020,"Residential Care")</f>
        <v>#REF!</v>
      </c>
      <c r="K99" s="275" t="e">
        <f>COUNTIFS('refer admin discharge'!#REF!,"Native Hawaiian/Pacific",'refer admin discharge'!#REF!,"Female",'refer admin discharge'!Y30:Y1020,"Residential Care")</f>
        <v>#REF!</v>
      </c>
      <c r="L99" s="275" t="e">
        <f>COUNTIFS('refer admin discharge'!#REF!,"Asian",'refer admin discharge'!#REF!,"Male",'refer admin discharge'!Y30:Y1020,"Residential Care")</f>
        <v>#REF!</v>
      </c>
      <c r="M99" s="275" t="e">
        <f>COUNTIFS('refer admin discharge'!#REF!,"Asian",'refer admin discharge'!#REF!,"Female",'refer admin discharge'!Y30:Y1020,"Residential Care")</f>
        <v>#REF!</v>
      </c>
      <c r="N99" s="275" t="e">
        <f>COUNTIFS('refer admin discharge'!#REF!,"American Indian Alaskan Native",'refer admin discharge'!#REF!,"Male",'refer admin discharge'!Y30:Y1020,"Residential Care")</f>
        <v>#REF!</v>
      </c>
      <c r="O99" s="275" t="e">
        <f>COUNTIFS('refer admin discharge'!#REF!,"American Indian Alaskan Native",'refer admin discharge'!#REF!,"Female",'refer admin discharge'!Y30:Y1020,"Residential Care")</f>
        <v>#REF!</v>
      </c>
      <c r="P99" s="275" t="e">
        <f>COUNTIFS('refer admin discharge'!#REF!,"More than one race reported",'refer admin discharge'!#REF!,"Male",'refer admin discharge'!Y30:Y1020,"Residential Care")</f>
        <v>#REF!</v>
      </c>
      <c r="Q99" s="275" t="e">
        <f>COUNTIFS('refer admin discharge'!#REF!,"More than one race reported",'refer admin discharge'!#REF!,"Female",'refer admin discharge'!Y30:Y1020,"Residential Care")</f>
        <v>#REF!</v>
      </c>
      <c r="R99" s="275" t="e">
        <f>COUNTIFS('refer admin discharge'!#REF!,"Unknown",'refer admin discharge'!#REF!,"Male",'refer admin discharge'!Y30:Y1020,"Residential Care")</f>
        <v>#REF!</v>
      </c>
      <c r="S99" s="275" t="e">
        <f>COUNTIFS('refer admin discharge'!#REF!,"Unknown",'refer admin discharge'!#REF!,"Female",'refer admin discharge'!Y30:Y1020,"Residential Care")</f>
        <v>#REF!</v>
      </c>
      <c r="T99" s="268"/>
      <c r="U99" s="275" t="e">
        <f>COUNTIFS('refer admin discharge'!#REF!,"Not Hispanic or Latino",'refer admin discharge'!#REF!,"Male",'refer admin discharge'!Y30:Y1020,"Residential Care")</f>
        <v>#REF!</v>
      </c>
      <c r="V99" s="275" t="e">
        <f>COUNTIFS('refer admin discharge'!#REF!,"Not Hispanic or Latino",'refer admin discharge'!#REF!,"Female",'refer admin discharge'!Y30:Y1020,"Residential Care")</f>
        <v>#REF!</v>
      </c>
      <c r="W99" s="275" t="e">
        <f>COUNTIFS('refer admin discharge'!#REF!,"Hispanic-Latino ",'refer admin discharge'!#REF!,"Male",'refer admin discharge'!Y30:Y1020,"Residential Care")</f>
        <v>#REF!</v>
      </c>
      <c r="X99" s="275" t="e">
        <f>COUNTIFS('refer admin discharge'!#REF!,"Hispanic-Latino ",'refer admin discharge'!#REF!,"Female",'refer admin discharge'!Y30:Y1020,"Residential Care")</f>
        <v>#REF!</v>
      </c>
      <c r="Y99" s="275" t="e">
        <f>COUNTIFS('refer admin discharge'!#REF!,"Unknown",'refer admin discharge'!#REF!,"Male",'refer admin discharge'!Y30:Y1020,"Residential Care")</f>
        <v>#REF!</v>
      </c>
      <c r="Z99" s="275" t="e">
        <f>COUNTIFS('refer admin discharge'!#REF!,"Unknown",'refer admin discharge'!#REF!,"Female",'refer admin discharge'!Y30:Y1020,"Residential Care")</f>
        <v>#REF!</v>
      </c>
      <c r="AA99" s="574" t="s">
        <v>757</v>
      </c>
      <c r="AB99" s="326"/>
      <c r="AC99" s="327"/>
      <c r="AD99" s="276" t="e">
        <f t="shared" si="20"/>
        <v>#REF!</v>
      </c>
      <c r="AE99" s="175"/>
      <c r="AF99" s="276" t="e">
        <f t="shared" si="21"/>
        <v>#REF!</v>
      </c>
      <c r="AI99" s="235"/>
      <c r="AJ99" s="235"/>
      <c r="AK99" s="235"/>
    </row>
    <row r="100" spans="1:37" ht="19.5" customHeight="1" x14ac:dyDescent="0.25">
      <c r="A100" s="1021" t="s">
        <v>762</v>
      </c>
      <c r="B100" s="326"/>
      <c r="C100" s="327"/>
      <c r="D100" s="970" t="s">
        <v>1017</v>
      </c>
      <c r="E100" s="327"/>
      <c r="F100" s="277" t="e">
        <f>COUNTIFS('refer admin discharge'!#REF!,"White",'refer admin discharge'!#REF!,"Male",'refer admin discharge'!Y30:Y1020,"Crisis Residence")</f>
        <v>#REF!</v>
      </c>
      <c r="G100" s="277" t="e">
        <f>COUNTIFS('refer admin discharge'!#REF!,"White",'refer admin discharge'!#REF!,"Female",'refer admin discharge'!Y30:Y1020,"Crisis Residence")</f>
        <v>#REF!</v>
      </c>
      <c r="H100" s="277" t="e">
        <f>COUNTIFS('refer admin discharge'!#REF!,"African American /Black",'refer admin discharge'!#REF!,"Male",'refer admin discharge'!Y30:Y1020,"Crisis Residence")</f>
        <v>#REF!</v>
      </c>
      <c r="I100" s="277" t="e">
        <f>COUNTIFS('refer admin discharge'!#REF!,"African American /Black",'refer admin discharge'!#REF!,"Female",'refer admin discharge'!Y30:Y1020,"Crisis Residence")</f>
        <v>#REF!</v>
      </c>
      <c r="J100" s="277" t="e">
        <f>COUNTIFS('refer admin discharge'!#REF!,"Native Hawaiian/Pacific",'refer admin discharge'!#REF!,"Male",'refer admin discharge'!Y30:Y1020,"Crisis Residence")</f>
        <v>#REF!</v>
      </c>
      <c r="K100" s="277" t="e">
        <f>COUNTIFS('refer admin discharge'!#REF!,"Native Hawaiian/Pacific",'refer admin discharge'!#REF!,"Female",'refer admin discharge'!Y30:Y1020,"Crisis Residence")</f>
        <v>#REF!</v>
      </c>
      <c r="L100" s="277" t="e">
        <f>COUNTIFS('refer admin discharge'!#REF!,"Asian",'refer admin discharge'!#REF!,"Male",'refer admin discharge'!Y30:Y1020,"Crisis Residence")</f>
        <v>#REF!</v>
      </c>
      <c r="M100" s="277" t="e">
        <f>COUNTIFS('refer admin discharge'!#REF!,"Asian",'refer admin discharge'!#REF!,"Female",'refer admin discharge'!Y30:Y1020,"Crisis Residence")</f>
        <v>#REF!</v>
      </c>
      <c r="N100" s="277" t="e">
        <f>COUNTIFS('refer admin discharge'!#REF!,"American Indian Alaskan Native",'refer admin discharge'!#REF!,"Male",'refer admin discharge'!Y30:Y1020,"Crisis Residence")</f>
        <v>#REF!</v>
      </c>
      <c r="O100" s="277" t="e">
        <f>COUNTIFS('refer admin discharge'!#REF!,"American Indian Alaskan Native",'refer admin discharge'!#REF!,"Female",'refer admin discharge'!Y30:Y1020,"Crisis Residence")</f>
        <v>#REF!</v>
      </c>
      <c r="P100" s="277" t="e">
        <f>COUNTIFS('refer admin discharge'!#REF!,"More than one race reported",'refer admin discharge'!#REF!,"Male",'refer admin discharge'!Y30:Y1020,"Crisis Residence")</f>
        <v>#REF!</v>
      </c>
      <c r="Q100" s="277" t="e">
        <f>COUNTIFS('refer admin discharge'!#REF!,"More than one race reported",'refer admin discharge'!#REF!,"Female",'refer admin discharge'!Y30:Y1020,"Crisis Residence")</f>
        <v>#REF!</v>
      </c>
      <c r="R100" s="277" t="e">
        <f>COUNTIFS('refer admin discharge'!#REF!,"Unknown",'refer admin discharge'!#REF!,"Male",'refer admin discharge'!Y30:Y1020,"Crisis Residence")</f>
        <v>#REF!</v>
      </c>
      <c r="S100" s="277" t="e">
        <f>COUNTIFS('refer admin discharge'!#REF!,"Unknown",'refer admin discharge'!#REF!,"Female",'refer admin discharge'!Y30:Y1020,"Crisis Residence")</f>
        <v>#REF!</v>
      </c>
      <c r="T100" s="268"/>
      <c r="U100" s="277" t="e">
        <f>COUNTIFS('refer admin discharge'!#REF!,"Not Hispanic or Latino",'refer admin discharge'!#REF!,"Male",'refer admin discharge'!Y30:Y1020,"Crisis Residence")</f>
        <v>#REF!</v>
      </c>
      <c r="V100" s="277" t="e">
        <f>COUNTIFS('refer admin discharge'!#REF!,"Not Hispanic or Latino",'refer admin discharge'!#REF!,"Female",'refer admin discharge'!Y30:Y1020,"Crisis Residence")</f>
        <v>#REF!</v>
      </c>
      <c r="W100" s="277" t="e">
        <f>COUNTIFS('refer admin discharge'!#REF!,"Hispanic-Latino ",'refer admin discharge'!#REF!,"Male",'refer admin discharge'!Y30:Y1020,"Crisis Residence")</f>
        <v>#REF!</v>
      </c>
      <c r="X100" s="277" t="e">
        <f>COUNTIFS('refer admin discharge'!#REF!,"Hispanic-Latino ",'refer admin discharge'!#REF!,"Female",'refer admin discharge'!Y30:Y1020,"Crisis Residence")</f>
        <v>#REF!</v>
      </c>
      <c r="Y100" s="277" t="e">
        <f>COUNTIFS('refer admin discharge'!#REF!,"Unknown",'refer admin discharge'!#REF!,"Male",'refer admin discharge'!Y30:Y1020,"Crisis Residence")</f>
        <v>#REF!</v>
      </c>
      <c r="Z100" s="277" t="e">
        <f>COUNTIFS('refer admin discharge'!#REF!,"Unknown",'refer admin discharge'!#REF!,"Female",'refer admin discharge'!Y30:Y1020,"Crisis Residence")</f>
        <v>#REF!</v>
      </c>
      <c r="AA100" s="594" t="s">
        <v>762</v>
      </c>
      <c r="AB100" s="326"/>
      <c r="AC100" s="327"/>
      <c r="AD100" s="278" t="e">
        <f t="shared" si="20"/>
        <v>#REF!</v>
      </c>
      <c r="AE100" s="175"/>
      <c r="AF100" s="278" t="e">
        <f t="shared" si="21"/>
        <v>#REF!</v>
      </c>
      <c r="AI100" s="235"/>
      <c r="AJ100" s="235"/>
      <c r="AK100" s="235"/>
    </row>
    <row r="101" spans="1:37" ht="19.5" customHeight="1" x14ac:dyDescent="0.25">
      <c r="A101" s="968" t="s">
        <v>766</v>
      </c>
      <c r="B101" s="326"/>
      <c r="C101" s="327"/>
      <c r="D101" s="969" t="s">
        <v>914</v>
      </c>
      <c r="E101" s="327"/>
      <c r="F101" s="275" t="e">
        <f>COUNTIFS('refer admin discharge'!#REF!,"White",'refer admin discharge'!#REF!,"Male",'refer admin discharge'!Y30:Y1020,"Institutional Setting")</f>
        <v>#REF!</v>
      </c>
      <c r="G101" s="275" t="e">
        <f>COUNTIFS('refer admin discharge'!#REF!,"White",'refer admin discharge'!#REF!,"Female",'refer admin discharge'!Y30:Y1020,"Institutional Setting")</f>
        <v>#REF!</v>
      </c>
      <c r="H101" s="275" t="e">
        <f>COUNTIFS('refer admin discharge'!#REF!,"African American /Black",'refer admin discharge'!#REF!,"Male",'refer admin discharge'!Y30:Y1020,"Institutional Setting")</f>
        <v>#REF!</v>
      </c>
      <c r="I101" s="275" t="e">
        <f>COUNTIFS('refer admin discharge'!#REF!,"African American /Black",'refer admin discharge'!#REF!,"Female",'refer admin discharge'!Y30:Y1020,"Institutional Setting")</f>
        <v>#REF!</v>
      </c>
      <c r="J101" s="275" t="e">
        <f>COUNTIFS('refer admin discharge'!#REF!,"Native Hawaiian/Pacific",'refer admin discharge'!#REF!,"Male",'refer admin discharge'!Y30:Y1020,"Institutional Setting")</f>
        <v>#REF!</v>
      </c>
      <c r="K101" s="275" t="e">
        <f>COUNTIFS('refer admin discharge'!#REF!,"Native Hawaiian/Pacific",'refer admin discharge'!#REF!,"Female",'refer admin discharge'!Y30:Y1020,"Institutional Setting")</f>
        <v>#REF!</v>
      </c>
      <c r="L101" s="275" t="e">
        <f>COUNTIFS('refer admin discharge'!#REF!,"Asian",'refer admin discharge'!#REF!,"Male",'refer admin discharge'!Y30:Y1020,"Institutional Setting")</f>
        <v>#REF!</v>
      </c>
      <c r="M101" s="275" t="e">
        <f>COUNTIFS('refer admin discharge'!#REF!,"Asian",'refer admin discharge'!#REF!,"Female",'refer admin discharge'!Y30:Y1020,"Institutional Setting")</f>
        <v>#REF!</v>
      </c>
      <c r="N101" s="275" t="e">
        <f>COUNTIFS('refer admin discharge'!#REF!,"American Indian Alaskan Native",'refer admin discharge'!#REF!,"Male",'refer admin discharge'!Y30:Y1020,"Institutional Setting")</f>
        <v>#REF!</v>
      </c>
      <c r="O101" s="275" t="e">
        <f>COUNTIFS('refer admin discharge'!#REF!,"American Indian Alaskan Native",'refer admin discharge'!#REF!,"Female",'refer admin discharge'!Y30:Y1020,"Institutional Setting")</f>
        <v>#REF!</v>
      </c>
      <c r="P101" s="275" t="e">
        <f>COUNTIFS('refer admin discharge'!#REF!,"More than one race reported",'refer admin discharge'!#REF!,"Male",'refer admin discharge'!Y30:Y1020,"Institutional Setting")</f>
        <v>#REF!</v>
      </c>
      <c r="Q101" s="275" t="e">
        <f>COUNTIFS('refer admin discharge'!#REF!,"More than one race reported",'refer admin discharge'!#REF!,"Female",'refer admin discharge'!Y30:Y1020,"Institutional Setting")</f>
        <v>#REF!</v>
      </c>
      <c r="R101" s="275" t="e">
        <f>COUNTIFS('refer admin discharge'!#REF!,"Unknown",'refer admin discharge'!#REF!,"Male",'refer admin discharge'!Y30:Y1020,"Institutional Setting")</f>
        <v>#REF!</v>
      </c>
      <c r="S101" s="275" t="e">
        <f>COUNTIFS('refer admin discharge'!#REF!,"Unknown",'refer admin discharge'!#REF!,"Female",'refer admin discharge'!Y30:Y1020,"Institutional Setting")</f>
        <v>#REF!</v>
      </c>
      <c r="T101" s="268"/>
      <c r="U101" s="275" t="e">
        <f>COUNTIFS('refer admin discharge'!#REF!,"Not Hispanic or Latino",'refer admin discharge'!#REF!,"Male",'refer admin discharge'!Y30:Y1020,"Institutional Setting")</f>
        <v>#REF!</v>
      </c>
      <c r="V101" s="275" t="e">
        <f>COUNTIFS('refer admin discharge'!#REF!,"Not Hispanic or Latino",'refer admin discharge'!#REF!,"Female",'refer admin discharge'!Y30:Y1020,"Institutional Setting")</f>
        <v>#REF!</v>
      </c>
      <c r="W101" s="275" t="e">
        <f>COUNTIFS('refer admin discharge'!#REF!,"Hispanic-Latino ",'refer admin discharge'!#REF!,"Male",'refer admin discharge'!Y30:Y1020,"Institutional Setting")</f>
        <v>#REF!</v>
      </c>
      <c r="X101" s="275" t="e">
        <f>COUNTIFS('refer admin discharge'!#REF!,"Hispanic-Latino ",'refer admin discharge'!#REF!,"Female",'refer admin discharge'!Y30:Y1020,"Institutional Setting")</f>
        <v>#REF!</v>
      </c>
      <c r="Y101" s="275" t="e">
        <f>COUNTIFS('refer admin discharge'!#REF!,"Unknown",'refer admin discharge'!#REF!,"Male",'refer admin discharge'!Y30:Y1020,"Institutional Setting")</f>
        <v>#REF!</v>
      </c>
      <c r="Z101" s="275" t="e">
        <f>COUNTIFS('refer admin discharge'!#REF!,"Unknown",'refer admin discharge'!#REF!,"Female",'refer admin discharge'!Y30:Y1020,"Institutional Setting")</f>
        <v>#REF!</v>
      </c>
      <c r="AA101" s="574" t="s">
        <v>766</v>
      </c>
      <c r="AB101" s="326"/>
      <c r="AC101" s="327"/>
      <c r="AD101" s="276" t="e">
        <f t="shared" si="20"/>
        <v>#REF!</v>
      </c>
      <c r="AE101" s="175"/>
      <c r="AF101" s="276" t="e">
        <f t="shared" si="21"/>
        <v>#REF!</v>
      </c>
      <c r="AI101" s="235"/>
      <c r="AJ101" s="235"/>
      <c r="AK101" s="235"/>
    </row>
    <row r="102" spans="1:37" ht="19.5" customHeight="1" x14ac:dyDescent="0.25">
      <c r="A102" s="1021" t="s">
        <v>769</v>
      </c>
      <c r="B102" s="326"/>
      <c r="C102" s="327"/>
      <c r="D102" s="970" t="s">
        <v>1017</v>
      </c>
      <c r="E102" s="327"/>
      <c r="F102" s="277" t="e">
        <f>COUNTIFS('refer admin discharge'!#REF!,"White",'refer admin discharge'!#REF!,"Male",'refer admin discharge'!Y30:Y1020,"Jail/Correction Facility")</f>
        <v>#REF!</v>
      </c>
      <c r="G102" s="277" t="e">
        <f>COUNTIFS('refer admin discharge'!#REF!,"White",'refer admin discharge'!#REF!,"Female",'refer admin discharge'!Y30:Y1020,"Jail/Correction Facility")</f>
        <v>#REF!</v>
      </c>
      <c r="H102" s="277" t="e">
        <f>COUNTIFS('refer admin discharge'!#REF!,"African American /Black",'refer admin discharge'!#REF!,"Male",'refer admin discharge'!Y30:Y1020,"Jail/Correction Facility")</f>
        <v>#REF!</v>
      </c>
      <c r="I102" s="277" t="e">
        <f>COUNTIFS('refer admin discharge'!#REF!,"African American /Black",'refer admin discharge'!#REF!,"Female",'refer admin discharge'!Y30:Y1020,"Jail/Correction Facility")</f>
        <v>#REF!</v>
      </c>
      <c r="J102" s="277" t="e">
        <f>COUNTIFS('refer admin discharge'!#REF!,"Native Hawaiian/Pacific",'refer admin discharge'!#REF!,"Male",'refer admin discharge'!Y30:Y1020,"Jail/Correction Facility")</f>
        <v>#REF!</v>
      </c>
      <c r="K102" s="277" t="e">
        <f>COUNTIFS('refer admin discharge'!#REF!,"Native Hawaiian/Pacific",'refer admin discharge'!#REF!,"Female",'refer admin discharge'!Y30:Y1020,"Jail/Correction Facility")</f>
        <v>#REF!</v>
      </c>
      <c r="L102" s="277" t="e">
        <f>COUNTIFS('refer admin discharge'!#REF!,"Asian",'refer admin discharge'!#REF!,"Male",'refer admin discharge'!Y30:Y1020,"Jail/Correction Facility")</f>
        <v>#REF!</v>
      </c>
      <c r="M102" s="277" t="e">
        <f>COUNTIFS('refer admin discharge'!#REF!,"Asian",'refer admin discharge'!#REF!,"Female",'refer admin discharge'!Y30:Y1020,"Jail/Correction Facility")</f>
        <v>#REF!</v>
      </c>
      <c r="N102" s="277" t="e">
        <f>COUNTIFS('refer admin discharge'!#REF!,"American Indian Alaskan Native",'refer admin discharge'!#REF!,"Male",'refer admin discharge'!Y30:Y1020,"Jail/Correction Facility")</f>
        <v>#REF!</v>
      </c>
      <c r="O102" s="277" t="e">
        <f>COUNTIFS('refer admin discharge'!#REF!,"American Indian Alaskan Native",'refer admin discharge'!#REF!,"Female",'refer admin discharge'!Y30:Y1020,"Jail/Correction Facility")</f>
        <v>#REF!</v>
      </c>
      <c r="P102" s="277" t="e">
        <f>COUNTIFS('refer admin discharge'!#REF!,"More than one race reported",'refer admin discharge'!#REF!,"Male",'refer admin discharge'!Y30:Y1020,"Jail/Correction Facility")</f>
        <v>#REF!</v>
      </c>
      <c r="Q102" s="277" t="e">
        <f>COUNTIFS('refer admin discharge'!#REF!,"More than one race reported",'refer admin discharge'!#REF!,"Female",'refer admin discharge'!Y30:Y1020,"Jail/Correction Facility")</f>
        <v>#REF!</v>
      </c>
      <c r="R102" s="277" t="e">
        <f>COUNTIFS('refer admin discharge'!#REF!,"Unknown",'refer admin discharge'!#REF!,"Male",'refer admin discharge'!Y30:Y1020,"Jail/Correction Facility")</f>
        <v>#REF!</v>
      </c>
      <c r="S102" s="277" t="e">
        <f>COUNTIFS('refer admin discharge'!#REF!,"Unknown",'refer admin discharge'!#REF!,"Female",'refer admin discharge'!Y30:Y1020,"Jail/Correction Facility")</f>
        <v>#REF!</v>
      </c>
      <c r="T102" s="268"/>
      <c r="U102" s="277" t="e">
        <f>COUNTIFS('refer admin discharge'!#REF!,"Not Hispanic or Latino",'refer admin discharge'!#REF!,"Male",'refer admin discharge'!Y30:Y1020,"Jail/Correction Facility")</f>
        <v>#REF!</v>
      </c>
      <c r="V102" s="277" t="e">
        <f>COUNTIFS('refer admin discharge'!#REF!,"Not Hispanic or Latino",'refer admin discharge'!#REF!,"Female",'refer admin discharge'!Y30:Y1020,"Jail/Correction Facility")</f>
        <v>#REF!</v>
      </c>
      <c r="W102" s="277" t="e">
        <f>COUNTIFS('refer admin discharge'!#REF!,"Hispanic-Latino ",'refer admin discharge'!#REF!,"Male",'refer admin discharge'!Y30:Y1020,"Jail/Correction Facility")</f>
        <v>#REF!</v>
      </c>
      <c r="X102" s="277" t="e">
        <f>COUNTIFS('refer admin discharge'!#REF!,"Hispanic-Latino ",'refer admin discharge'!#REF!,"Female",'refer admin discharge'!Y30:Y1020,"Jail/Correction Facility")</f>
        <v>#REF!</v>
      </c>
      <c r="Y102" s="277" t="e">
        <f>COUNTIFS('refer admin discharge'!#REF!,"Unknown",'refer admin discharge'!#REF!,"Male",'refer admin discharge'!Y30:Y1020,"Jail/Correction Facility")</f>
        <v>#REF!</v>
      </c>
      <c r="Z102" s="277" t="e">
        <f>COUNTIFS('refer admin discharge'!#REF!,"Unknown",'refer admin discharge'!#REF!,"Female",'refer admin discharge'!Y30:Y1020,"Jail/Correction Facility")</f>
        <v>#REF!</v>
      </c>
      <c r="AA102" s="594" t="s">
        <v>769</v>
      </c>
      <c r="AB102" s="326"/>
      <c r="AC102" s="327"/>
      <c r="AD102" s="278" t="e">
        <f t="shared" si="20"/>
        <v>#REF!</v>
      </c>
      <c r="AE102" s="175"/>
      <c r="AF102" s="278" t="e">
        <f t="shared" si="21"/>
        <v>#REF!</v>
      </c>
      <c r="AI102" s="235"/>
      <c r="AJ102" s="235"/>
      <c r="AK102" s="235"/>
    </row>
    <row r="103" spans="1:37" ht="19.5" customHeight="1" x14ac:dyDescent="0.25">
      <c r="A103" s="968" t="s">
        <v>772</v>
      </c>
      <c r="B103" s="326"/>
      <c r="C103" s="327"/>
      <c r="D103" s="969" t="s">
        <v>914</v>
      </c>
      <c r="E103" s="327"/>
      <c r="F103" s="275" t="e">
        <f>COUNTIFS('refer admin discharge'!#REF!,"White",'refer admin discharge'!#REF!,"Male",'refer admin discharge'!Y30:Y1020,"Foster Home/Foster Care (under 18)")</f>
        <v>#REF!</v>
      </c>
      <c r="G103" s="275" t="e">
        <f>COUNTIFS('refer admin discharge'!#REF!,"White",'refer admin discharge'!#REF!,"Female",'refer admin discharge'!Y30:Y1020,"Foster Home/Foster Care (under 18)")</f>
        <v>#REF!</v>
      </c>
      <c r="H103" s="275" t="e">
        <f>COUNTIFS('refer admin discharge'!#REF!,"African American /Black",'refer admin discharge'!#REF!,"Male",'refer admin discharge'!Y30:Y1020,"Foster Home/Foster Care (under 18)")</f>
        <v>#REF!</v>
      </c>
      <c r="I103" s="275" t="e">
        <f>COUNTIFS('refer admin discharge'!#REF!,"African American /Black",'refer admin discharge'!#REF!,"Female",'refer admin discharge'!Y30:Y1020,"Foster Home/Foster Care (under 18)")</f>
        <v>#REF!</v>
      </c>
      <c r="J103" s="275" t="e">
        <f>COUNTIFS('refer admin discharge'!#REF!,"Native Hawaiian/Pacific",'refer admin discharge'!#REF!,"Male",'refer admin discharge'!Y30:Y1020,"Foster Home/Foster Care (under 18)")</f>
        <v>#REF!</v>
      </c>
      <c r="K103" s="275" t="e">
        <f>COUNTIFS('refer admin discharge'!#REF!,"Native Hawaiian/Pacific",'refer admin discharge'!#REF!,"Female",'refer admin discharge'!Y30:Y1020,"Foster Home/Foster Care (under 18)")</f>
        <v>#REF!</v>
      </c>
      <c r="L103" s="275" t="e">
        <f>COUNTIFS('refer admin discharge'!#REF!,"Asian",'refer admin discharge'!#REF!,"Male",'refer admin discharge'!Y30:Y1020,"Foster Home/Foster Care (under 18)")</f>
        <v>#REF!</v>
      </c>
      <c r="M103" s="275" t="e">
        <f>COUNTIFS('refer admin discharge'!#REF!,"Asian",'refer admin discharge'!#REF!,"Female",'refer admin discharge'!Y30:Y1020,"Foster Home/Foster Care (under 18)")</f>
        <v>#REF!</v>
      </c>
      <c r="N103" s="275" t="e">
        <f>COUNTIFS('refer admin discharge'!#REF!,"American Indian Alaskan Native",'refer admin discharge'!#REF!,"Male",'refer admin discharge'!Y30:Y1020,"Foster Home/Foster Care (under 18)")</f>
        <v>#REF!</v>
      </c>
      <c r="O103" s="275" t="e">
        <f>COUNTIFS('refer admin discharge'!#REF!,"American Indian Alaskan Native",'refer admin discharge'!#REF!,"Female",'refer admin discharge'!Y30:Y1020,"Foster Home/Foster Care (under 18)")</f>
        <v>#REF!</v>
      </c>
      <c r="P103" s="275" t="e">
        <f>COUNTIFS('refer admin discharge'!#REF!,"More than one race reported",'refer admin discharge'!#REF!,"Male",'refer admin discharge'!Y30:Y1020,"Foster Home/Foster Care (under 18)")</f>
        <v>#REF!</v>
      </c>
      <c r="Q103" s="275" t="e">
        <f>COUNTIFS('refer admin discharge'!#REF!,"More than one race reported",'refer admin discharge'!#REF!,"Female",'refer admin discharge'!Y30:Y1020,"Foster Home/Foster Care (under 18)")</f>
        <v>#REF!</v>
      </c>
      <c r="R103" s="275" t="e">
        <f>COUNTIFS('refer admin discharge'!#REF!,"Unknown",'refer admin discharge'!#REF!,"Male",'refer admin discharge'!Y30:Y1020,"Foster Home/Foster Care (under 18)")</f>
        <v>#REF!</v>
      </c>
      <c r="S103" s="275" t="e">
        <f>COUNTIFS('refer admin discharge'!#REF!,"Unknown",'refer admin discharge'!#REF!,"Female",'refer admin discharge'!Y30:Y1020,"Foster Home/Foster Care (under 18)")</f>
        <v>#REF!</v>
      </c>
      <c r="T103" s="268"/>
      <c r="U103" s="275" t="e">
        <f>COUNTIFS('refer admin discharge'!#REF!,"Not Hispanic or Latino",'refer admin discharge'!#REF!,"Male",'refer admin discharge'!Y30:Y1020,"Foster Home/Foster Care (under 18)")</f>
        <v>#REF!</v>
      </c>
      <c r="V103" s="275" t="e">
        <f>COUNTIFS('refer admin discharge'!#REF!,"Not Hispanic or Latino",'refer admin discharge'!#REF!,"Female",'refer admin discharge'!Y30:Y1020,"Foster Home/Foster Care (under 18)")</f>
        <v>#REF!</v>
      </c>
      <c r="W103" s="275" t="e">
        <f>COUNTIFS('refer admin discharge'!#REF!,"Hispanic-Latino ",'refer admin discharge'!#REF!,"Male",'refer admin discharge'!Y30:Y1020,"Foster Home/Foster Care (under 18)")</f>
        <v>#REF!</v>
      </c>
      <c r="X103" s="275" t="e">
        <f>COUNTIFS('refer admin discharge'!#REF!,"Hispanic-Latino ",'refer admin discharge'!#REF!,"Female",'refer admin discharge'!Y30:Y1020,"Foster Home/Foster Care (under 18)")</f>
        <v>#REF!</v>
      </c>
      <c r="Y103" s="275" t="e">
        <f>COUNTIFS('refer admin discharge'!#REF!,"Unknown",'refer admin discharge'!#REF!,"Male",'refer admin discharge'!Y30:Y1020,"Foster Home/Foster Care (under 18)")</f>
        <v>#REF!</v>
      </c>
      <c r="Z103" s="275" t="e">
        <f>COUNTIFS('refer admin discharge'!#REF!,"Unknown",'refer admin discharge'!#REF!,"Female",'refer admin discharge'!Y30:Y1020,"Foster Home/Foster Care (under 18)")</f>
        <v>#REF!</v>
      </c>
      <c r="AA103" s="574" t="s">
        <v>772</v>
      </c>
      <c r="AB103" s="326"/>
      <c r="AC103" s="327"/>
      <c r="AD103" s="276" t="e">
        <f t="shared" si="20"/>
        <v>#REF!</v>
      </c>
      <c r="AE103" s="175"/>
      <c r="AF103" s="276" t="e">
        <f t="shared" si="21"/>
        <v>#REF!</v>
      </c>
      <c r="AI103" s="235"/>
      <c r="AJ103" s="235"/>
      <c r="AK103" s="235"/>
    </row>
    <row r="104" spans="1:37" ht="19.5" customHeight="1" x14ac:dyDescent="0.25">
      <c r="A104" s="1021" t="s">
        <v>774</v>
      </c>
      <c r="B104" s="326"/>
      <c r="C104" s="327"/>
      <c r="D104" s="970" t="s">
        <v>1017</v>
      </c>
      <c r="E104" s="327"/>
      <c r="F104" s="277" t="e">
        <f>COUNTIFS('refer admin discharge'!#REF!,"White",'refer admin discharge'!#REF!,"Male",'refer admin discharge'!Y30:Y1020,"Other (Detail in Notes) ")</f>
        <v>#REF!</v>
      </c>
      <c r="G104" s="277" t="e">
        <f>COUNTIFS('refer admin discharge'!#REF!,"White",'refer admin discharge'!#REF!,"Female",'refer admin discharge'!Y30:Y1020,"Other (Detail in Notes) ")</f>
        <v>#REF!</v>
      </c>
      <c r="H104" s="277" t="e">
        <f>COUNTIFS('refer admin discharge'!#REF!,"African American /Black",'refer admin discharge'!#REF!,"Male",'refer admin discharge'!Y30:Y1020,"Other (Detail in Notes) ")</f>
        <v>#REF!</v>
      </c>
      <c r="I104" s="277" t="e">
        <f>COUNTIFS('refer admin discharge'!#REF!,"African American /Black",'refer admin discharge'!#REF!,"Female",'refer admin discharge'!Y30:Y1020,"Other (Detail in Notes) ")</f>
        <v>#REF!</v>
      </c>
      <c r="J104" s="277" t="e">
        <f>COUNTIFS('refer admin discharge'!#REF!,"Native Hawaiian/Pacific",'refer admin discharge'!#REF!,"Male",'refer admin discharge'!Y30:Y1020,"Other (Detail in Notes) ")</f>
        <v>#REF!</v>
      </c>
      <c r="K104" s="277" t="e">
        <f>COUNTIFS('refer admin discharge'!#REF!,"Native Hawaiian/Pacific",'refer admin discharge'!#REF!,"Female",'refer admin discharge'!Y30:Y1020,"Other (Detail in Notes) ")</f>
        <v>#REF!</v>
      </c>
      <c r="L104" s="277" t="e">
        <f>COUNTIFS('refer admin discharge'!#REF!,"Asian",'refer admin discharge'!#REF!,"Male",'refer admin discharge'!Y30:Y1020,"Other (Detail in Notes) ")</f>
        <v>#REF!</v>
      </c>
      <c r="M104" s="277" t="e">
        <f>COUNTIFS('refer admin discharge'!#REF!,"Asian",'refer admin discharge'!#REF!,"Female",'refer admin discharge'!Y30:Y1020,"Other (Detail in Notes) ")</f>
        <v>#REF!</v>
      </c>
      <c r="N104" s="277" t="e">
        <f>COUNTIFS('refer admin discharge'!#REF!,"American Indian Alaskan Native",'refer admin discharge'!#REF!,"Male",'refer admin discharge'!Y30:Y1020,"Other (Detail in Notes) ")</f>
        <v>#REF!</v>
      </c>
      <c r="O104" s="277" t="e">
        <f>COUNTIFS('refer admin discharge'!#REF!,"American Indian Alaskan Native",'refer admin discharge'!#REF!,"Female",'refer admin discharge'!Y30:Y1020,"Other (Detail in Notes) ")</f>
        <v>#REF!</v>
      </c>
      <c r="P104" s="277" t="e">
        <f>COUNTIFS('refer admin discharge'!#REF!,"More than one race reported",'refer admin discharge'!#REF!,"Male",'refer admin discharge'!Y30:Y1020,"Other (Detail in Notes) ")</f>
        <v>#REF!</v>
      </c>
      <c r="Q104" s="277" t="e">
        <f>COUNTIFS('refer admin discharge'!#REF!,"More than one race reported",'refer admin discharge'!#REF!,"Female",'refer admin discharge'!Y30:Y1020,"Other (Detail in Notes) ")</f>
        <v>#REF!</v>
      </c>
      <c r="R104" s="277" t="e">
        <f>COUNTIFS('refer admin discharge'!#REF!,"Unknown",'refer admin discharge'!#REF!,"Male",'refer admin discharge'!Y30:Y1020,"Other (Detail in Notes) ")</f>
        <v>#REF!</v>
      </c>
      <c r="S104" s="277" t="e">
        <f>COUNTIFS('refer admin discharge'!#REF!,"Unknown",'refer admin discharge'!#REF!,"Female",'refer admin discharge'!Y30:Y1020,"Other (Detail in Notes) ")</f>
        <v>#REF!</v>
      </c>
      <c r="T104" s="268"/>
      <c r="U104" s="277" t="e">
        <f>COUNTIFS('refer admin discharge'!#REF!,"Not Hispanic or Latino",'refer admin discharge'!#REF!,"Male",'refer admin discharge'!Y30:Y1020,"Other (Detail in Notes) ")</f>
        <v>#REF!</v>
      </c>
      <c r="V104" s="277" t="e">
        <f>COUNTIFS('refer admin discharge'!#REF!,"Not Hispanic or Latino",'refer admin discharge'!#REF!,"Female",'refer admin discharge'!Y30:Y1020,"Other (Detail in Notes) ")</f>
        <v>#REF!</v>
      </c>
      <c r="W104" s="277" t="e">
        <f>COUNTIFS('refer admin discharge'!#REF!,"Hispanic-Latino ",'refer admin discharge'!#REF!,"Male",'refer admin discharge'!Y30:Y1020,"Other (Detail in Notes) ")</f>
        <v>#REF!</v>
      </c>
      <c r="X104" s="277" t="e">
        <f>COUNTIFS('refer admin discharge'!#REF!,"Hispanic-Latino ",'refer admin discharge'!#REF!,"Female",'refer admin discharge'!Y30:Y1020,"Other (Detail in Notes) ")</f>
        <v>#REF!</v>
      </c>
      <c r="Y104" s="277" t="e">
        <f>COUNTIFS('refer admin discharge'!#REF!,"Unknown",'refer admin discharge'!#REF!,"Male",'refer admin discharge'!Y30:Y1020,"Other (Detail in Notes) ")</f>
        <v>#REF!</v>
      </c>
      <c r="Z104" s="277" t="e">
        <f>COUNTIFS('refer admin discharge'!#REF!,"Unknown",'refer admin discharge'!#REF!,"Female",'refer admin discharge'!Y30:Y1020,"Other (Detail in Notes) ")</f>
        <v>#REF!</v>
      </c>
      <c r="AA104" s="594" t="s">
        <v>774</v>
      </c>
      <c r="AB104" s="326"/>
      <c r="AC104" s="327"/>
      <c r="AD104" s="278" t="e">
        <f t="shared" si="20"/>
        <v>#REF!</v>
      </c>
      <c r="AE104" s="175"/>
      <c r="AF104" s="278" t="e">
        <f t="shared" si="21"/>
        <v>#REF!</v>
      </c>
      <c r="AI104" s="235"/>
      <c r="AJ104" s="235"/>
      <c r="AK104" s="235"/>
    </row>
    <row r="105" spans="1:37" ht="19.5" customHeight="1" x14ac:dyDescent="0.25">
      <c r="A105" s="279"/>
      <c r="B105" s="279"/>
      <c r="C105" s="279"/>
      <c r="D105" s="280"/>
      <c r="E105" s="280"/>
      <c r="F105" s="281" t="e">
        <f t="shared" ref="F105:S105" si="22">SUM(F97:F104)</f>
        <v>#REF!</v>
      </c>
      <c r="G105" s="281" t="e">
        <f t="shared" si="22"/>
        <v>#REF!</v>
      </c>
      <c r="H105" s="281" t="e">
        <f t="shared" si="22"/>
        <v>#REF!</v>
      </c>
      <c r="I105" s="281" t="e">
        <f t="shared" si="22"/>
        <v>#REF!</v>
      </c>
      <c r="J105" s="281" t="e">
        <f t="shared" si="22"/>
        <v>#REF!</v>
      </c>
      <c r="K105" s="281" t="e">
        <f t="shared" si="22"/>
        <v>#REF!</v>
      </c>
      <c r="L105" s="281" t="e">
        <f t="shared" si="22"/>
        <v>#REF!</v>
      </c>
      <c r="M105" s="281" t="e">
        <f t="shared" si="22"/>
        <v>#REF!</v>
      </c>
      <c r="N105" s="281" t="e">
        <f t="shared" si="22"/>
        <v>#REF!</v>
      </c>
      <c r="O105" s="281" t="e">
        <f t="shared" si="22"/>
        <v>#REF!</v>
      </c>
      <c r="P105" s="281" t="e">
        <f t="shared" si="22"/>
        <v>#REF!</v>
      </c>
      <c r="Q105" s="281" t="e">
        <f t="shared" si="22"/>
        <v>#REF!</v>
      </c>
      <c r="R105" s="281" t="e">
        <f t="shared" si="22"/>
        <v>#REF!</v>
      </c>
      <c r="S105" s="281" t="e">
        <f t="shared" si="22"/>
        <v>#REF!</v>
      </c>
      <c r="T105" s="268"/>
      <c r="U105" s="281" t="e">
        <f t="shared" ref="U105:Z105" si="23">SUM(U97:U104)</f>
        <v>#REF!</v>
      </c>
      <c r="V105" s="281" t="e">
        <f t="shared" si="23"/>
        <v>#REF!</v>
      </c>
      <c r="W105" s="281" t="e">
        <f t="shared" si="23"/>
        <v>#REF!</v>
      </c>
      <c r="X105" s="281" t="e">
        <f t="shared" si="23"/>
        <v>#REF!</v>
      </c>
      <c r="Y105" s="281" t="e">
        <f t="shared" si="23"/>
        <v>#REF!</v>
      </c>
      <c r="Z105" s="281" t="e">
        <f t="shared" si="23"/>
        <v>#REF!</v>
      </c>
      <c r="AA105" s="972" t="s">
        <v>582</v>
      </c>
      <c r="AB105" s="344"/>
      <c r="AC105" s="470"/>
      <c r="AD105" s="282" t="e">
        <f t="shared" si="20"/>
        <v>#REF!</v>
      </c>
      <c r="AE105" s="187"/>
      <c r="AF105" s="282" t="e">
        <f t="shared" si="21"/>
        <v>#REF!</v>
      </c>
      <c r="AI105" s="235"/>
      <c r="AJ105" s="235"/>
      <c r="AK105" s="235"/>
    </row>
    <row r="106" spans="1:37" ht="19.5" customHeight="1" x14ac:dyDescent="0.25">
      <c r="A106" s="82"/>
      <c r="B106" s="82"/>
      <c r="C106" s="82"/>
      <c r="D106" s="283"/>
      <c r="E106" s="283"/>
      <c r="F106" s="188"/>
      <c r="G106" s="188"/>
      <c r="H106" s="188"/>
      <c r="I106" s="188"/>
      <c r="J106" s="188"/>
      <c r="K106" s="188"/>
      <c r="L106" s="188"/>
      <c r="M106" s="188"/>
      <c r="N106" s="188"/>
      <c r="O106" s="188"/>
      <c r="P106" s="188"/>
      <c r="Q106" s="188"/>
      <c r="R106" s="188"/>
      <c r="S106" s="188"/>
      <c r="T106" s="97"/>
      <c r="U106" s="188"/>
      <c r="V106" s="188"/>
      <c r="W106" s="188"/>
      <c r="X106" s="188"/>
      <c r="Y106" s="188"/>
      <c r="Z106" s="188"/>
      <c r="AA106" s="284"/>
      <c r="AB106" s="284"/>
      <c r="AC106" s="284"/>
      <c r="AD106" s="187"/>
      <c r="AE106" s="187"/>
      <c r="AF106" s="187"/>
      <c r="AI106" s="235"/>
      <c r="AJ106" s="235"/>
      <c r="AK106" s="235"/>
    </row>
    <row r="107" spans="1:37" ht="15.75" customHeight="1" x14ac:dyDescent="0.25">
      <c r="AI107" s="235">
        <f>SUM(AI91:AI95)</f>
        <v>0</v>
      </c>
      <c r="AJ107" s="235"/>
      <c r="AK107" s="235" t="e">
        <f>SUM(AK91:AK95)</f>
        <v>#REF!</v>
      </c>
    </row>
    <row r="108" spans="1:37" ht="15.75" customHeight="1" x14ac:dyDescent="0.25">
      <c r="A108" s="973" t="s">
        <v>749</v>
      </c>
      <c r="B108" s="326"/>
      <c r="C108" s="326"/>
      <c r="D108" s="326"/>
      <c r="E108" s="326"/>
      <c r="F108" s="326"/>
      <c r="G108" s="327"/>
      <c r="J108" s="973" t="s">
        <v>731</v>
      </c>
      <c r="K108" s="326"/>
      <c r="L108" s="326"/>
      <c r="M108" s="326"/>
      <c r="N108" s="326"/>
      <c r="O108" s="326"/>
      <c r="P108" s="327"/>
    </row>
    <row r="109" spans="1:37" ht="15.75" customHeight="1" x14ac:dyDescent="0.25">
      <c r="A109" s="746" t="s">
        <v>573</v>
      </c>
      <c r="B109" s="326"/>
      <c r="C109" s="327"/>
      <c r="D109" s="746" t="e">
        <f>COUNTIFS('refer admin discharge'!#REF!,"Female")</f>
        <v>#REF!</v>
      </c>
      <c r="E109" s="326"/>
      <c r="F109" s="326"/>
      <c r="G109" s="327"/>
      <c r="J109" s="1048" t="s">
        <v>1018</v>
      </c>
      <c r="K109" s="326"/>
      <c r="L109" s="326"/>
      <c r="M109" s="327"/>
      <c r="N109" s="876" t="e">
        <f>COUNTIFS('refer admin discharge'!#REF!,"African American /Black")</f>
        <v>#REF!</v>
      </c>
      <c r="O109" s="326"/>
      <c r="P109" s="327"/>
    </row>
    <row r="110" spans="1:37" ht="15.75" customHeight="1" x14ac:dyDescent="0.25">
      <c r="A110" s="746" t="s">
        <v>572</v>
      </c>
      <c r="B110" s="326"/>
      <c r="C110" s="327"/>
      <c r="D110" s="746" t="e">
        <f>COUNTIFS('refer admin discharge'!#REF!,"Male")</f>
        <v>#REF!</v>
      </c>
      <c r="E110" s="326"/>
      <c r="F110" s="326"/>
      <c r="G110" s="327"/>
      <c r="J110" s="1048" t="s">
        <v>1019</v>
      </c>
      <c r="K110" s="326"/>
      <c r="L110" s="326"/>
      <c r="M110" s="327"/>
      <c r="N110" s="876" t="e">
        <f>COUNTIFS('refer admin discharge'!#REF!,"American Indian Alaskan Native")</f>
        <v>#REF!</v>
      </c>
      <c r="O110" s="326"/>
      <c r="P110" s="327"/>
    </row>
    <row r="111" spans="1:37" ht="15.75" customHeight="1" x14ac:dyDescent="0.25">
      <c r="A111" s="1024" t="s">
        <v>582</v>
      </c>
      <c r="B111" s="344"/>
      <c r="C111" s="470"/>
      <c r="D111" s="1025" t="e">
        <f>SUM(D109:D110)</f>
        <v>#REF!</v>
      </c>
      <c r="E111" s="344"/>
      <c r="F111" s="344"/>
      <c r="G111" s="470"/>
      <c r="J111" s="1048" t="s">
        <v>1020</v>
      </c>
      <c r="K111" s="326"/>
      <c r="L111" s="326"/>
      <c r="M111" s="327"/>
      <c r="N111" s="876" t="e">
        <f>COUNTIFS('refer admin discharge'!#REF!,"Asian")</f>
        <v>#REF!</v>
      </c>
      <c r="O111" s="326"/>
      <c r="P111" s="327"/>
    </row>
    <row r="112" spans="1:37" ht="15.75" customHeight="1" x14ac:dyDescent="0.25">
      <c r="A112" s="1026"/>
      <c r="B112" s="347"/>
      <c r="C112" s="354"/>
      <c r="D112" s="1026"/>
      <c r="E112" s="347"/>
      <c r="F112" s="347"/>
      <c r="G112" s="354"/>
      <c r="J112" s="1048" t="s">
        <v>739</v>
      </c>
      <c r="K112" s="326"/>
      <c r="L112" s="326"/>
      <c r="M112" s="327"/>
      <c r="N112" s="876" t="e">
        <f>COUNTIFS('refer admin discharge'!#REF!,"More than one race reported")</f>
        <v>#REF!</v>
      </c>
      <c r="O112" s="326"/>
      <c r="P112" s="327"/>
      <c r="V112" s="147"/>
    </row>
    <row r="113" spans="1:32" ht="15.75" customHeight="1" x14ac:dyDescent="0.25">
      <c r="J113" s="1048" t="s">
        <v>1021</v>
      </c>
      <c r="K113" s="326"/>
      <c r="L113" s="326"/>
      <c r="M113" s="327"/>
      <c r="N113" s="876" t="e">
        <f>COUNTIFS('refer admin discharge'!#REF!,"Native Hawaiian/Pacific")</f>
        <v>#REF!</v>
      </c>
      <c r="O113" s="326"/>
      <c r="P113" s="327"/>
      <c r="V113" s="147"/>
    </row>
    <row r="114" spans="1:32" ht="15.75" customHeight="1" x14ac:dyDescent="0.25">
      <c r="J114" s="1048" t="s">
        <v>1022</v>
      </c>
      <c r="K114" s="326"/>
      <c r="L114" s="326"/>
      <c r="M114" s="327"/>
      <c r="N114" s="876" t="e">
        <f>COUNTIFS('refer admin discharge'!#REF!,"White")</f>
        <v>#REF!</v>
      </c>
      <c r="O114" s="326"/>
      <c r="P114" s="327"/>
      <c r="V114" s="147"/>
    </row>
    <row r="115" spans="1:32" ht="15.75" customHeight="1" x14ac:dyDescent="0.25">
      <c r="J115" s="1048" t="s">
        <v>568</v>
      </c>
      <c r="K115" s="326"/>
      <c r="L115" s="326"/>
      <c r="M115" s="327"/>
      <c r="N115" s="876" t="e">
        <f>COUNTIFS('refer admin discharge'!#REF!,"Unknown")</f>
        <v>#REF!</v>
      </c>
      <c r="O115" s="326"/>
      <c r="P115" s="327"/>
      <c r="V115" s="147"/>
    </row>
    <row r="116" spans="1:32" ht="15.75" customHeight="1" x14ac:dyDescent="0.25">
      <c r="J116" s="1049" t="s">
        <v>582</v>
      </c>
      <c r="K116" s="326"/>
      <c r="L116" s="326"/>
      <c r="M116" s="327"/>
      <c r="N116" s="987" t="e">
        <f>SUM(N109:N115)</f>
        <v>#REF!</v>
      </c>
      <c r="O116" s="326"/>
      <c r="P116" s="327"/>
      <c r="V116" s="147"/>
    </row>
    <row r="117" spans="1:32" ht="15.75" customHeight="1" x14ac:dyDescent="0.25">
      <c r="J117" s="1050"/>
      <c r="K117" s="326"/>
      <c r="L117" s="326"/>
      <c r="M117" s="327"/>
      <c r="N117" s="1051"/>
      <c r="O117" s="326"/>
      <c r="P117" s="327"/>
      <c r="V117" s="147"/>
    </row>
    <row r="118" spans="1:32" ht="15.75" customHeight="1" x14ac:dyDescent="0.25">
      <c r="J118" s="973" t="s">
        <v>1023</v>
      </c>
      <c r="K118" s="326"/>
      <c r="L118" s="326"/>
      <c r="M118" s="326"/>
      <c r="N118" s="326"/>
      <c r="O118" s="326"/>
      <c r="P118" s="327"/>
      <c r="V118" s="147"/>
    </row>
    <row r="119" spans="1:32" ht="15.75" customHeight="1" x14ac:dyDescent="0.25">
      <c r="J119" s="1048" t="s">
        <v>570</v>
      </c>
      <c r="K119" s="326"/>
      <c r="L119" s="326"/>
      <c r="M119" s="327"/>
      <c r="N119" s="876" t="e">
        <f>COUNTIFS('refer admin discharge'!#REF!,"Not Hispanic or Latino")</f>
        <v>#REF!</v>
      </c>
      <c r="O119" s="326"/>
      <c r="P119" s="327"/>
      <c r="V119" s="147"/>
    </row>
    <row r="120" spans="1:32" ht="15.75" customHeight="1" x14ac:dyDescent="0.25">
      <c r="J120" s="1048" t="s">
        <v>746</v>
      </c>
      <c r="K120" s="326"/>
      <c r="L120" s="326"/>
      <c r="M120" s="327"/>
      <c r="N120" s="876" t="e">
        <f>COUNTIFS('refer admin discharge'!#REF!,"Hispanic-Latino ")</f>
        <v>#REF!</v>
      </c>
      <c r="O120" s="326"/>
      <c r="P120" s="327"/>
    </row>
    <row r="121" spans="1:32" ht="15.75" customHeight="1" x14ac:dyDescent="0.25">
      <c r="A121" s="156"/>
      <c r="B121" s="156"/>
      <c r="C121" s="156"/>
      <c r="J121" s="1048" t="s">
        <v>568</v>
      </c>
      <c r="K121" s="326"/>
      <c r="L121" s="326"/>
      <c r="M121" s="327"/>
      <c r="N121" s="876" t="e">
        <f>COUNTIFS('refer admin discharge'!#REF!,"Unknown")</f>
        <v>#REF!</v>
      </c>
      <c r="O121" s="326"/>
      <c r="P121" s="327"/>
    </row>
    <row r="122" spans="1:32" ht="15.75" customHeight="1" x14ac:dyDescent="0.25">
      <c r="J122" s="1049" t="s">
        <v>582</v>
      </c>
      <c r="K122" s="326"/>
      <c r="L122" s="326"/>
      <c r="M122" s="327"/>
      <c r="N122" s="987" t="e">
        <f>SUM(N119:N121)</f>
        <v>#REF!</v>
      </c>
      <c r="O122" s="326"/>
      <c r="P122" s="327"/>
    </row>
    <row r="123" spans="1:32" ht="15.75" customHeight="1" x14ac:dyDescent="0.25">
      <c r="J123" s="1050"/>
      <c r="K123" s="326"/>
      <c r="L123" s="326"/>
      <c r="M123" s="327"/>
      <c r="N123" s="1051"/>
      <c r="O123" s="326"/>
      <c r="P123" s="327"/>
    </row>
    <row r="124" spans="1:32" ht="15.75" customHeight="1" x14ac:dyDescent="0.25"/>
    <row r="125" spans="1:32" ht="15.75" customHeight="1" x14ac:dyDescent="0.25">
      <c r="A125" s="1052" t="s">
        <v>1024</v>
      </c>
      <c r="B125" s="326"/>
      <c r="C125" s="326"/>
      <c r="D125" s="326"/>
      <c r="E125" s="326"/>
      <c r="F125" s="326"/>
      <c r="G125" s="326"/>
      <c r="H125" s="326"/>
      <c r="I125" s="326"/>
      <c r="J125" s="326"/>
      <c r="K125" s="326"/>
      <c r="L125" s="326"/>
      <c r="M125" s="326"/>
      <c r="N125" s="326"/>
      <c r="O125" s="326"/>
      <c r="P125" s="326"/>
      <c r="Q125" s="326"/>
      <c r="R125" s="326"/>
      <c r="S125" s="327"/>
      <c r="T125" s="224"/>
      <c r="U125" s="228"/>
      <c r="V125" s="228"/>
      <c r="W125" s="228"/>
      <c r="X125" s="228"/>
      <c r="Y125" s="228"/>
      <c r="Z125" s="285"/>
      <c r="AA125" s="274"/>
      <c r="AB125" s="274"/>
      <c r="AC125" s="274"/>
      <c r="AD125" s="264"/>
      <c r="AE125" s="97"/>
      <c r="AF125" s="264"/>
    </row>
    <row r="126" spans="1:32" ht="45" customHeight="1" x14ac:dyDescent="0.25">
      <c r="A126" s="948" t="s">
        <v>975</v>
      </c>
      <c r="B126" s="350"/>
      <c r="C126" s="350"/>
      <c r="D126" s="350"/>
      <c r="E126" s="351"/>
      <c r="F126" s="946" t="s">
        <v>562</v>
      </c>
      <c r="G126" s="327"/>
      <c r="H126" s="946" t="s">
        <v>733</v>
      </c>
      <c r="I126" s="327"/>
      <c r="J126" s="946" t="s">
        <v>976</v>
      </c>
      <c r="K126" s="327"/>
      <c r="L126" s="946" t="s">
        <v>565</v>
      </c>
      <c r="M126" s="327"/>
      <c r="N126" s="946" t="s">
        <v>977</v>
      </c>
      <c r="O126" s="327"/>
      <c r="P126" s="946" t="s">
        <v>978</v>
      </c>
      <c r="Q126" s="327"/>
      <c r="R126" s="946" t="s">
        <v>742</v>
      </c>
      <c r="S126" s="327"/>
      <c r="T126" s="201"/>
      <c r="U126" s="946" t="s">
        <v>570</v>
      </c>
      <c r="V126" s="327"/>
      <c r="W126" s="946" t="s">
        <v>571</v>
      </c>
      <c r="X126" s="327"/>
      <c r="Y126" s="946" t="s">
        <v>979</v>
      </c>
      <c r="Z126" s="327"/>
      <c r="AA126" s="286"/>
      <c r="AB126" s="286"/>
      <c r="AC126" s="286"/>
      <c r="AD126" s="287" t="s">
        <v>731</v>
      </c>
      <c r="AF126" s="287" t="s">
        <v>973</v>
      </c>
    </row>
    <row r="127" spans="1:32" ht="15" customHeight="1" x14ac:dyDescent="0.25">
      <c r="A127" s="230"/>
      <c r="B127" s="230"/>
      <c r="C127" s="230"/>
      <c r="D127" s="230"/>
      <c r="E127" s="231"/>
      <c r="F127" s="288" t="s">
        <v>981</v>
      </c>
      <c r="G127" s="289" t="s">
        <v>982</v>
      </c>
      <c r="H127" s="288" t="s">
        <v>981</v>
      </c>
      <c r="I127" s="289" t="s">
        <v>982</v>
      </c>
      <c r="J127" s="288" t="s">
        <v>981</v>
      </c>
      <c r="K127" s="289" t="s">
        <v>982</v>
      </c>
      <c r="L127" s="288" t="s">
        <v>981</v>
      </c>
      <c r="M127" s="289" t="s">
        <v>982</v>
      </c>
      <c r="N127" s="288" t="s">
        <v>981</v>
      </c>
      <c r="O127" s="289" t="s">
        <v>982</v>
      </c>
      <c r="P127" s="288" t="s">
        <v>981</v>
      </c>
      <c r="Q127" s="289" t="s">
        <v>982</v>
      </c>
      <c r="R127" s="288" t="s">
        <v>981</v>
      </c>
      <c r="S127" s="289" t="s">
        <v>982</v>
      </c>
      <c r="T127" s="5"/>
      <c r="U127" s="288" t="s">
        <v>981</v>
      </c>
      <c r="V127" s="289" t="s">
        <v>982</v>
      </c>
      <c r="W127" s="288" t="s">
        <v>981</v>
      </c>
      <c r="X127" s="289" t="s">
        <v>982</v>
      </c>
      <c r="Y127" s="288" t="s">
        <v>981</v>
      </c>
      <c r="Z127" s="289" t="s">
        <v>982</v>
      </c>
      <c r="AA127" s="286"/>
      <c r="AB127" s="286"/>
      <c r="AC127" s="286"/>
      <c r="AD127" s="287"/>
      <c r="AF127" s="287"/>
    </row>
    <row r="128" spans="1:32" ht="15.75" customHeight="1" x14ac:dyDescent="0.25">
      <c r="A128" s="1038" t="s">
        <v>1025</v>
      </c>
      <c r="B128" s="326"/>
      <c r="C128" s="326"/>
      <c r="D128" s="326"/>
      <c r="E128" s="326"/>
      <c r="F128" s="326"/>
      <c r="G128" s="326"/>
      <c r="H128" s="326"/>
      <c r="I128" s="326"/>
      <c r="J128" s="326"/>
      <c r="K128" s="326"/>
      <c r="L128" s="326"/>
      <c r="M128" s="326"/>
      <c r="N128" s="326"/>
      <c r="O128" s="326"/>
      <c r="P128" s="326"/>
      <c r="Q128" s="326"/>
      <c r="R128" s="326"/>
      <c r="S128" s="408"/>
      <c r="T128" s="290"/>
      <c r="U128" s="1039" t="s">
        <v>1026</v>
      </c>
      <c r="V128" s="350"/>
      <c r="W128" s="350"/>
      <c r="X128" s="350"/>
      <c r="Y128" s="350"/>
      <c r="Z128" s="350"/>
      <c r="AA128" s="350"/>
      <c r="AB128" s="350"/>
      <c r="AC128" s="358"/>
      <c r="AD128" s="291"/>
      <c r="AE128" s="97"/>
      <c r="AF128" s="291"/>
    </row>
    <row r="129" spans="1:39" ht="24.75" customHeight="1" x14ac:dyDescent="0.25">
      <c r="A129" s="596" t="s">
        <v>1027</v>
      </c>
      <c r="B129" s="326"/>
      <c r="C129" s="327"/>
      <c r="D129" s="1040" t="s">
        <v>1028</v>
      </c>
      <c r="E129" s="327"/>
      <c r="F129" s="292" t="e">
        <f>COUNTIFS('refer admin discharge'!#REF!,"White",'refer admin discharge'!#REF!,"Male",#REF!,"Yes")</f>
        <v>#REF!</v>
      </c>
      <c r="G129" s="292" t="e">
        <f>COUNTIFS('refer admin discharge'!#REF!,"White",'refer admin discharge'!#REF!,"Female",#REF!,"Yes")</f>
        <v>#REF!</v>
      </c>
      <c r="H129" s="292" t="e">
        <f>COUNTIFS('refer admin discharge'!#REF!,"African American /Black",'refer admin discharge'!#REF!,"Male",#REF!,"Yes")</f>
        <v>#REF!</v>
      </c>
      <c r="I129" s="292" t="e">
        <f>COUNTIFS('refer admin discharge'!#REF!,"African American /Black",'refer admin discharge'!#REF!,"Female",#REF!,"Yes")</f>
        <v>#REF!</v>
      </c>
      <c r="J129" s="292" t="e">
        <f>COUNTIFS('refer admin discharge'!#REF!,"Native Hawaiian/Pacific",'refer admin discharge'!#REF!,"Male",#REF!,"Yes")</f>
        <v>#REF!</v>
      </c>
      <c r="K129" s="292" t="e">
        <f>COUNTIFS('refer admin discharge'!#REF!,"Native Hawaiian/Pacific",'refer admin discharge'!#REF!,"Female",#REF!,"Yes")</f>
        <v>#REF!</v>
      </c>
      <c r="L129" s="292" t="e">
        <f>COUNTIFS('refer admin discharge'!#REF!,"Asian",'refer admin discharge'!#REF!,"Male",#REF!,"Yes")</f>
        <v>#REF!</v>
      </c>
      <c r="M129" s="292" t="e">
        <f>COUNTIFS('refer admin discharge'!#REF!,"Asian",'refer admin discharge'!#REF!,"Female",#REF!,"Yes")</f>
        <v>#REF!</v>
      </c>
      <c r="N129" s="292" t="e">
        <f>COUNTIFS('refer admin discharge'!#REF!,"American Indian Alaskan Native",'refer admin discharge'!#REF!,"Male",#REF!,"Yes")</f>
        <v>#REF!</v>
      </c>
      <c r="O129" s="292" t="e">
        <f>COUNTIFS('refer admin discharge'!#REF!,"American Indian Alaskan Native",'refer admin discharge'!#REF!,"Female",#REF!,"Yes")</f>
        <v>#REF!</v>
      </c>
      <c r="P129" s="292" t="e">
        <f>COUNTIFS('refer admin discharge'!#REF!,"More than one race reported",'refer admin discharge'!#REF!,"Male",#REF!,"Yes")</f>
        <v>#REF!</v>
      </c>
      <c r="Q129" s="292" t="e">
        <f>COUNTIFS('refer admin discharge'!#REF!,"More than one race reported",'refer admin discharge'!#REF!,"Female",#REF!,"Yes")</f>
        <v>#REF!</v>
      </c>
      <c r="R129" s="292" t="e">
        <f>COUNTIFS('refer admin discharge'!#REF!,"Unknown",'refer admin discharge'!#REF!,"Male",#REF!,"Yes")</f>
        <v>#REF!</v>
      </c>
      <c r="S129" s="292" t="e">
        <f>COUNTIFS('refer admin discharge'!#REF!,"Unknown",'refer admin discharge'!#REF!,"Female",#REF!,"Yes")</f>
        <v>#REF!</v>
      </c>
      <c r="T129" s="268"/>
      <c r="U129" s="292" t="e">
        <f>COUNTIFS('refer admin discharge'!#REF!,"Not Hispanic or Latino",'refer admin discharge'!#REF!,"Male",#REF!,"Yes")</f>
        <v>#REF!</v>
      </c>
      <c r="V129" s="292" t="e">
        <f>COUNTIFS('refer admin discharge'!#REF!,"Not Hispanic or Latino",'refer admin discharge'!#REF!,"Female",#REF!,"Yes")</f>
        <v>#REF!</v>
      </c>
      <c r="W129" s="292" t="e">
        <f>COUNTIFS('refer admin discharge'!#REF!,"Hispanic-Latino ",'refer admin discharge'!#REF!,"Male",#REF!,"Yes")</f>
        <v>#REF!</v>
      </c>
      <c r="X129" s="292" t="e">
        <f>COUNTIFS('refer admin discharge'!#REF!,"Hispanic-Latino ",'refer admin discharge'!#REF!,"Female",#REF!,"Yes")</f>
        <v>#REF!</v>
      </c>
      <c r="Y129" s="292" t="e">
        <f>COUNTIFS('refer admin discharge'!#REF!,"Unknown",'refer admin discharge'!#REF!,"Male",#REF!,"Yes")</f>
        <v>#REF!</v>
      </c>
      <c r="Z129" s="292" t="e">
        <f>COUNTIFS('refer admin discharge'!#REF!,"Unknown",'refer admin discharge'!#REF!,"Female",#REF!,"Yes")</f>
        <v>#REF!</v>
      </c>
      <c r="AA129" s="596" t="s">
        <v>783</v>
      </c>
      <c r="AB129" s="326"/>
      <c r="AC129" s="327"/>
      <c r="AD129" s="293" t="e">
        <f t="shared" ref="AD129:AD131" si="24">SUM(F129:S129)</f>
        <v>#REF!</v>
      </c>
      <c r="AF129" s="36" t="e">
        <f t="shared" ref="AF129:AF131" si="25">SUM(U129:Z129)</f>
        <v>#REF!</v>
      </c>
    </row>
    <row r="130" spans="1:39" ht="24.75" customHeight="1" x14ac:dyDescent="0.25">
      <c r="A130" s="577" t="s">
        <v>1029</v>
      </c>
      <c r="B130" s="326"/>
      <c r="C130" s="327"/>
      <c r="D130" s="1043" t="s">
        <v>1030</v>
      </c>
      <c r="E130" s="327"/>
      <c r="F130" s="294" t="e">
        <f>COUNTIFS('refer admin discharge'!#REF!,"White",'refer admin discharge'!#REF!,"Male",#REF!,"Yes")</f>
        <v>#REF!</v>
      </c>
      <c r="G130" s="294" t="e">
        <f>COUNTIFS('refer admin discharge'!#REF!,"White",'refer admin discharge'!#REF!,"Female",#REF!,"Yes")</f>
        <v>#REF!</v>
      </c>
      <c r="H130" s="294" t="e">
        <f>COUNTIFS('refer admin discharge'!#REF!,"African American /Black",'refer admin discharge'!#REF!,"Male",#REF!,"Yes")</f>
        <v>#REF!</v>
      </c>
      <c r="I130" s="294" t="e">
        <f>COUNTIFS('refer admin discharge'!#REF!,"African American /Black",'refer admin discharge'!#REF!,"Female",#REF!,"Yes")</f>
        <v>#REF!</v>
      </c>
      <c r="J130" s="294" t="e">
        <f>COUNTIFS('refer admin discharge'!#REF!,"Native Hawaiian/Pacific",'refer admin discharge'!#REF!,"Male",#REF!,"Yes")</f>
        <v>#REF!</v>
      </c>
      <c r="K130" s="294" t="e">
        <f>COUNTIFS('refer admin discharge'!#REF!,"Native Hawaiian/Pacific",'refer admin discharge'!#REF!,"Female",#REF!,"Yes")</f>
        <v>#REF!</v>
      </c>
      <c r="L130" s="294" t="e">
        <f>COUNTIFS('refer admin discharge'!#REF!,"Asian",'refer admin discharge'!#REF!,"Male",#REF!,"Yes")</f>
        <v>#REF!</v>
      </c>
      <c r="M130" s="294" t="e">
        <f>COUNTIFS('refer admin discharge'!#REF!,"Asian",'refer admin discharge'!#REF!,"Female",#REF!,"Yes")</f>
        <v>#REF!</v>
      </c>
      <c r="N130" s="294" t="e">
        <f>COUNTIFS('refer admin discharge'!#REF!,"American Indian Alaskan Native",'refer admin discharge'!#REF!,"Male",#REF!,"Yes")</f>
        <v>#REF!</v>
      </c>
      <c r="O130" s="294" t="e">
        <f>COUNTIFS('refer admin discharge'!#REF!,"American Indian Alaskan Native",'refer admin discharge'!#REF!,"Female",#REF!,"Yes")</f>
        <v>#REF!</v>
      </c>
      <c r="P130" s="294" t="e">
        <f>COUNTIFS('refer admin discharge'!#REF!,"More than one race reported",'refer admin discharge'!#REF!,"Male",#REF!,"Yes")</f>
        <v>#REF!</v>
      </c>
      <c r="Q130" s="294" t="e">
        <f>COUNTIFS('refer admin discharge'!#REF!,"More than one race reported",'refer admin discharge'!#REF!,"Female",#REF!,"Yes")</f>
        <v>#REF!</v>
      </c>
      <c r="R130" s="294" t="e">
        <f>COUNTIFS('refer admin discharge'!#REF!,"Unknown",'refer admin discharge'!#REF!,"Male",#REF!,"Yes")</f>
        <v>#REF!</v>
      </c>
      <c r="S130" s="294" t="e">
        <f>COUNTIFS('refer admin discharge'!#REF!,"Unknown",'refer admin discharge'!#REF!,"Female",#REF!,"Yes")</f>
        <v>#REF!</v>
      </c>
      <c r="T130" s="268"/>
      <c r="U130" s="294" t="e">
        <f>COUNTIFS('refer admin discharge'!#REF!,"Not Hispanic or Latino",'refer admin discharge'!#REF!,"Male",#REF!,"Yes")</f>
        <v>#REF!</v>
      </c>
      <c r="V130" s="294" t="e">
        <f>COUNTIFS('refer admin discharge'!#REF!,"Not Hispanic or Latino",'refer admin discharge'!#REF!,"Female",#REF!,"Yes")</f>
        <v>#REF!</v>
      </c>
      <c r="W130" s="294" t="e">
        <f>COUNTIFS('refer admin discharge'!#REF!,"Hispanic-Latino ",'refer admin discharge'!#REF!,"Male",#REF!,"Yes")</f>
        <v>#REF!</v>
      </c>
      <c r="X130" s="294" t="e">
        <f>COUNTIFS('refer admin discharge'!#REF!,"Hispanic-Latino ",'refer admin discharge'!#REF!,"Female",#REF!,"Yes")</f>
        <v>#REF!</v>
      </c>
      <c r="Y130" s="294" t="e">
        <f>COUNTIFS('refer admin discharge'!#REF!,"Unknown",'refer admin discharge'!#REF!,"Male",#REF!,"Yes")</f>
        <v>#REF!</v>
      </c>
      <c r="Z130" s="294" t="e">
        <f>COUNTIFS('refer admin discharge'!#REF!,"Unknown",'refer admin discharge'!#REF!,"Female",#REF!,"Yes")</f>
        <v>#REF!</v>
      </c>
      <c r="AA130" s="577" t="s">
        <v>786</v>
      </c>
      <c r="AB130" s="326"/>
      <c r="AC130" s="327"/>
      <c r="AD130" s="295" t="e">
        <f t="shared" si="24"/>
        <v>#REF!</v>
      </c>
      <c r="AF130" s="295" t="e">
        <f t="shared" si="25"/>
        <v>#REF!</v>
      </c>
    </row>
    <row r="131" spans="1:39" ht="24.75" customHeight="1" x14ac:dyDescent="0.25">
      <c r="A131" s="596" t="s">
        <v>1031</v>
      </c>
      <c r="B131" s="326"/>
      <c r="C131" s="327"/>
      <c r="D131" s="1044" t="s">
        <v>1032</v>
      </c>
      <c r="E131" s="327"/>
      <c r="F131" s="292" t="e">
        <f>COUNTIFS('refer admin discharge'!#REF!,"White",'refer admin discharge'!#REF!,"Male",#REF!,"Yes")</f>
        <v>#REF!</v>
      </c>
      <c r="G131" s="292" t="e">
        <f>COUNTIFS('refer admin discharge'!#REF!,"White",'refer admin discharge'!#REF!,"Female",#REF!,"Yes")</f>
        <v>#REF!</v>
      </c>
      <c r="H131" s="292" t="e">
        <f>COUNTIFS('refer admin discharge'!#REF!,"African American /Black",'refer admin discharge'!#REF!,"Male",#REF!,"Yes")</f>
        <v>#REF!</v>
      </c>
      <c r="I131" s="292" t="e">
        <f>COUNTIFS('refer admin discharge'!#REF!,"African American /Black",'refer admin discharge'!#REF!,"Female",#REF!,"Yes")</f>
        <v>#REF!</v>
      </c>
      <c r="J131" s="292" t="e">
        <f>COUNTIFS('refer admin discharge'!#REF!,"Native Hawaiian/Pacific",'refer admin discharge'!#REF!,"Male",#REF!,"Yes")</f>
        <v>#REF!</v>
      </c>
      <c r="K131" s="292" t="e">
        <f>COUNTIFS('refer admin discharge'!#REF!,"Native Hawaiian/Pacific",'refer admin discharge'!#REF!,"Female",#REF!,"Yes")</f>
        <v>#REF!</v>
      </c>
      <c r="L131" s="292" t="e">
        <f>COUNTIFS('refer admin discharge'!#REF!,"Asian",'refer admin discharge'!#REF!,"Male",#REF!,"Yes")</f>
        <v>#REF!</v>
      </c>
      <c r="M131" s="292" t="e">
        <f>COUNTIFS('refer admin discharge'!#REF!,"Asian",'refer admin discharge'!#REF!,"Female",#REF!,"Yes")</f>
        <v>#REF!</v>
      </c>
      <c r="N131" s="292" t="e">
        <f>COUNTIFS('refer admin discharge'!#REF!,"American Indian Alaskan Native",'refer admin discharge'!#REF!,"Male",#REF!,"Yes")</f>
        <v>#REF!</v>
      </c>
      <c r="O131" s="292" t="e">
        <f>COUNTIFS('refer admin discharge'!#REF!,"American Indian Alaskan Native",'refer admin discharge'!#REF!,"Female",#REF!,"Yes")</f>
        <v>#REF!</v>
      </c>
      <c r="P131" s="292" t="e">
        <f>COUNTIFS('refer admin discharge'!#REF!,"More than one race reported",'refer admin discharge'!#REF!,"Male",#REF!,"Yes")</f>
        <v>#REF!</v>
      </c>
      <c r="Q131" s="292" t="e">
        <f>COUNTIFS('refer admin discharge'!#REF!,"More than one race reported",'refer admin discharge'!#REF!,"Female",#REF!,"Yes")</f>
        <v>#REF!</v>
      </c>
      <c r="R131" s="292" t="e">
        <f>COUNTIFS('refer admin discharge'!#REF!,"Unknown",'refer admin discharge'!#REF!,"Male",#REF!,"Yes")</f>
        <v>#REF!</v>
      </c>
      <c r="S131" s="292" t="e">
        <f>COUNTIFS('refer admin discharge'!#REF!,"Unknown",'refer admin discharge'!#REF!,"Female",#REF!,"Yes")</f>
        <v>#REF!</v>
      </c>
      <c r="T131" s="268"/>
      <c r="U131" s="292" t="e">
        <f>COUNTIFS('refer admin discharge'!#REF!,"Not Hispanic or Latino",'refer admin discharge'!#REF!,"Male",#REF!,"Yes")</f>
        <v>#REF!</v>
      </c>
      <c r="V131" s="292" t="e">
        <f>COUNTIFS('refer admin discharge'!#REF!,"Not Hispanic or Latino",'refer admin discharge'!#REF!,"Female",#REF!,"Yes")</f>
        <v>#REF!</v>
      </c>
      <c r="W131" s="292" t="e">
        <f>COUNTIFS('refer admin discharge'!#REF!,"Hispanic-Latino ",'refer admin discharge'!#REF!,"Male",#REF!,"Yes")</f>
        <v>#REF!</v>
      </c>
      <c r="X131" s="292" t="e">
        <f>COUNTIFS('refer admin discharge'!#REF!,"Hispanic-Latino ",'refer admin discharge'!#REF!,"Female",#REF!,"Yes")</f>
        <v>#REF!</v>
      </c>
      <c r="Y131" s="292" t="e">
        <f>COUNTIFS('refer admin discharge'!#REF!,"Unknown",'refer admin discharge'!#REF!,"Male",#REF!,"Yes")</f>
        <v>#REF!</v>
      </c>
      <c r="Z131" s="292" t="e">
        <f>COUNTIFS('refer admin discharge'!#REF!,"Unknown",'refer admin discharge'!#REF!,"Female",#REF!,"Yes")</f>
        <v>#REF!</v>
      </c>
      <c r="AA131" s="596" t="s">
        <v>789</v>
      </c>
      <c r="AB131" s="326"/>
      <c r="AC131" s="327"/>
      <c r="AD131" s="293" t="e">
        <f t="shared" si="24"/>
        <v>#REF!</v>
      </c>
      <c r="AF131" s="293" t="e">
        <f t="shared" si="25"/>
        <v>#REF!</v>
      </c>
    </row>
    <row r="132" spans="1:39" ht="15" customHeight="1" x14ac:dyDescent="0.25">
      <c r="A132" s="1045" t="s">
        <v>1033</v>
      </c>
      <c r="B132" s="326"/>
      <c r="C132" s="326"/>
      <c r="D132" s="326"/>
      <c r="E132" s="326"/>
      <c r="F132" s="326"/>
      <c r="G132" s="326"/>
      <c r="H132" s="326"/>
      <c r="I132" s="326"/>
      <c r="J132" s="326"/>
      <c r="K132" s="326"/>
      <c r="L132" s="326"/>
      <c r="M132" s="326"/>
      <c r="N132" s="326"/>
      <c r="O132" s="326"/>
      <c r="P132" s="326"/>
      <c r="Q132" s="326"/>
      <c r="R132" s="326"/>
      <c r="S132" s="408"/>
      <c r="T132" s="296"/>
      <c r="U132" s="1039" t="s">
        <v>1034</v>
      </c>
      <c r="V132" s="350"/>
      <c r="W132" s="350"/>
      <c r="X132" s="350"/>
      <c r="Y132" s="350"/>
      <c r="Z132" s="350"/>
      <c r="AA132" s="350"/>
      <c r="AB132" s="350"/>
      <c r="AC132" s="358"/>
      <c r="AD132" s="297"/>
      <c r="AE132" s="97"/>
      <c r="AF132" s="297"/>
    </row>
    <row r="133" spans="1:39" ht="24.75" customHeight="1" x14ac:dyDescent="0.25">
      <c r="A133" s="596" t="s">
        <v>1027</v>
      </c>
      <c r="B133" s="326"/>
      <c r="C133" s="327"/>
      <c r="D133" s="1040" t="s">
        <v>1028</v>
      </c>
      <c r="E133" s="327"/>
      <c r="F133" s="268"/>
      <c r="G133" s="292" t="e">
        <f>COUNTIFS('refer admin discharge'!#REF!,"White",'refer admin discharge'!#REF!,"Female",#REF!,"Yes",#REF!,"Yes")</f>
        <v>#REF!</v>
      </c>
      <c r="H133" s="268"/>
      <c r="I133" s="292" t="e">
        <f>COUNTIFS('refer admin discharge'!#REF!,"African American /Black",'refer admin discharge'!#REF!,"Female",#REF!,"Yes",#REF!,"Yes")</f>
        <v>#REF!</v>
      </c>
      <c r="J133" s="268"/>
      <c r="K133" s="292" t="e">
        <f>COUNTIFS('refer admin discharge'!#REF!,"Native Hawaiian/Pacific",'refer admin discharge'!#REF!,"Female",#REF!,"Yes",#REF!,"Yes")</f>
        <v>#REF!</v>
      </c>
      <c r="L133" s="268"/>
      <c r="M133" s="292" t="e">
        <f>COUNTIFS('refer admin discharge'!#REF!,"Asian",'refer admin discharge'!#REF!,"Female",#REF!,"Yes",#REF!,"Yes")</f>
        <v>#REF!</v>
      </c>
      <c r="N133" s="268"/>
      <c r="O133" s="292" t="e">
        <f>COUNTIFS('refer admin discharge'!#REF!,"American Indian Alaskan Native",'refer admin discharge'!#REF!,"Female",#REF!,"Yes",#REF!,"Yes")</f>
        <v>#REF!</v>
      </c>
      <c r="P133" s="268"/>
      <c r="Q133" s="292" t="e">
        <f>COUNTIFS('refer admin discharge'!#REF!,"More than one race reported",'refer admin discharge'!#REF!,"Female",#REF!,"Yes",#REF!,"Yes")</f>
        <v>#REF!</v>
      </c>
      <c r="R133" s="268"/>
      <c r="S133" s="292" t="e">
        <f>COUNTIFS('refer admin discharge'!#REF!,"Unknown",'refer admin discharge'!#REF!,"Female",#REF!,"Yes",#REF!,"Yes")</f>
        <v>#REF!</v>
      </c>
      <c r="T133" s="268"/>
      <c r="U133" s="268"/>
      <c r="V133" s="292" t="e">
        <f>COUNTIFS('refer admin discharge'!#REF!,"Not Hispanic or Latino",'refer admin discharge'!#REF!,"Female",#REF!,"Yes",#REF!,"Yes")</f>
        <v>#REF!</v>
      </c>
      <c r="W133" s="268"/>
      <c r="X133" s="292" t="e">
        <f>COUNTIFS('refer admin discharge'!#REF!,"Hispanic-Latino ",'refer admin discharge'!#REF!,"Female",#REF!,"Yes",#REF!,"Yes")</f>
        <v>#REF!</v>
      </c>
      <c r="Y133" s="268"/>
      <c r="Z133" s="292" t="e">
        <f>COUNTIFS('refer admin discharge'!#REF!,"Unknown",'refer admin discharge'!#REF!,"Female",#REF!,"Yes",#REF!,"Yes")</f>
        <v>#REF!</v>
      </c>
      <c r="AA133" s="596" t="s">
        <v>783</v>
      </c>
      <c r="AB133" s="326"/>
      <c r="AC133" s="327"/>
      <c r="AD133" s="293" t="e">
        <f t="shared" ref="AD133:AD135" si="26">SUM(F133:S133)</f>
        <v>#REF!</v>
      </c>
      <c r="AF133" s="293" t="e">
        <f t="shared" ref="AF133:AF135" si="27">SUM(U133:Z133)</f>
        <v>#REF!</v>
      </c>
    </row>
    <row r="134" spans="1:39" ht="24.75" customHeight="1" x14ac:dyDescent="0.25">
      <c r="A134" s="577" t="s">
        <v>1029</v>
      </c>
      <c r="B134" s="326"/>
      <c r="C134" s="327"/>
      <c r="D134" s="1043" t="s">
        <v>1030</v>
      </c>
      <c r="E134" s="327"/>
      <c r="F134" s="268"/>
      <c r="G134" s="294" t="e">
        <f>COUNTIFS('refer admin discharge'!#REF!,"White",'refer admin discharge'!#REF!,"Female",#REF!,"Yes",#REF!,"Yes")</f>
        <v>#REF!</v>
      </c>
      <c r="H134" s="268"/>
      <c r="I134" s="294" t="e">
        <f>COUNTIFS('refer admin discharge'!#REF!,"African American /Black",'refer admin discharge'!#REF!,"Female",#REF!,"Yes",#REF!,"Yes")</f>
        <v>#REF!</v>
      </c>
      <c r="J134" s="268"/>
      <c r="K134" s="294" t="e">
        <f>COUNTIFS('refer admin discharge'!#REF!,"Native Hawaiian/Pacific",'refer admin discharge'!#REF!,"Female",#REF!,"Yes",#REF!,"Yes")</f>
        <v>#REF!</v>
      </c>
      <c r="L134" s="268"/>
      <c r="M134" s="294" t="e">
        <f>COUNTIFS('refer admin discharge'!#REF!,"Asian",'refer admin discharge'!#REF!,"Female",#REF!,"Yes",#REF!,"Yes")</f>
        <v>#REF!</v>
      </c>
      <c r="N134" s="268"/>
      <c r="O134" s="294" t="e">
        <f>COUNTIFS('refer admin discharge'!#REF!,"American Indian Alaskan Native",'refer admin discharge'!#REF!,"Female",#REF!,"Yes",#REF!,"Yes")</f>
        <v>#REF!</v>
      </c>
      <c r="P134" s="268"/>
      <c r="Q134" s="294" t="e">
        <f>COUNTIFS('refer admin discharge'!#REF!,"More than one race reported",'refer admin discharge'!#REF!,"Female",#REF!,"Yes",#REF!,"Yes")</f>
        <v>#REF!</v>
      </c>
      <c r="R134" s="268"/>
      <c r="S134" s="294" t="e">
        <f>COUNTIFS('refer admin discharge'!#REF!,"Unknown",'refer admin discharge'!#REF!,"Female",#REF!,"Yes",#REF!,"Yes")</f>
        <v>#REF!</v>
      </c>
      <c r="T134" s="268"/>
      <c r="U134" s="268"/>
      <c r="V134" s="294" t="e">
        <f>COUNTIFS('refer admin discharge'!#REF!,"Not Hispanic or Latino",'refer admin discharge'!#REF!,"Female",#REF!,"Yes",#REF!,"Yes")</f>
        <v>#REF!</v>
      </c>
      <c r="W134" s="268"/>
      <c r="X134" s="294" t="e">
        <f>COUNTIFS('refer admin discharge'!#REF!,"Hispanic-Latino ",'refer admin discharge'!#REF!,"Female",#REF!,"Yes",#REF!,"Yes")</f>
        <v>#REF!</v>
      </c>
      <c r="Y134" s="268"/>
      <c r="Z134" s="294" t="e">
        <f>COUNTIFS('refer admin discharge'!#REF!,"Unknown",'refer admin discharge'!#REF!,"Female",#REF!,"Yes",#REF!,"Yes")</f>
        <v>#REF!</v>
      </c>
      <c r="AA134" s="577" t="s">
        <v>786</v>
      </c>
      <c r="AB134" s="326"/>
      <c r="AC134" s="327"/>
      <c r="AD134" s="293" t="e">
        <f t="shared" si="26"/>
        <v>#REF!</v>
      </c>
      <c r="AF134" s="295" t="e">
        <f t="shared" si="27"/>
        <v>#REF!</v>
      </c>
    </row>
    <row r="135" spans="1:39" ht="24.75" customHeight="1" x14ac:dyDescent="0.25">
      <c r="A135" s="596" t="s">
        <v>1031</v>
      </c>
      <c r="B135" s="326"/>
      <c r="C135" s="327"/>
      <c r="D135" s="1044" t="s">
        <v>1032</v>
      </c>
      <c r="E135" s="327"/>
      <c r="F135" s="268"/>
      <c r="G135" s="292" t="e">
        <f>COUNTIFS('refer admin discharge'!#REF!,"White",'refer admin discharge'!#REF!,"Female",#REF!,"Yes",#REF!,"Yes")</f>
        <v>#REF!</v>
      </c>
      <c r="H135" s="268"/>
      <c r="I135" s="292" t="e">
        <f>COUNTIFS('refer admin discharge'!#REF!,"African American /Black",'refer admin discharge'!#REF!,"Female",#REF!,"Yes",#REF!,"Yes")</f>
        <v>#REF!</v>
      </c>
      <c r="J135" s="268"/>
      <c r="K135" s="292" t="e">
        <f>COUNTIFS('refer admin discharge'!#REF!,"Native Hawaiian/Pacific",'refer admin discharge'!#REF!,"Female",#REF!,"Yes",#REF!,"Yes")</f>
        <v>#REF!</v>
      </c>
      <c r="L135" s="268"/>
      <c r="M135" s="292" t="e">
        <f>COUNTIFS('refer admin discharge'!#REF!,"Asian",'refer admin discharge'!#REF!,"Female",#REF!,"Yes",#REF!,"Yes")</f>
        <v>#REF!</v>
      </c>
      <c r="N135" s="268"/>
      <c r="O135" s="292" t="e">
        <f>COUNTIFS('refer admin discharge'!#REF!,"American Indian Alaskan Native",'refer admin discharge'!#REF!,"Female",#REF!,"Yes",#REF!,"Yes")</f>
        <v>#REF!</v>
      </c>
      <c r="P135" s="268"/>
      <c r="Q135" s="292" t="e">
        <f>COUNTIFS('refer admin discharge'!#REF!,"More than one race reported",'refer admin discharge'!#REF!,"Female",#REF!,"Yes",#REF!,"Yes")</f>
        <v>#REF!</v>
      </c>
      <c r="R135" s="268"/>
      <c r="S135" s="292" t="e">
        <f>COUNTIFS('refer admin discharge'!#REF!,"Unknown",'refer admin discharge'!#REF!,"Female",#REF!,"Yes",#REF!,"Yes")</f>
        <v>#REF!</v>
      </c>
      <c r="T135" s="268"/>
      <c r="U135" s="268"/>
      <c r="V135" s="292" t="e">
        <f>COUNTIFS('refer admin discharge'!#REF!,"Not Hispanic or Latino",'refer admin discharge'!#REF!,"Female",#REF!,"Yes",#REF!,"Yes")</f>
        <v>#REF!</v>
      </c>
      <c r="W135" s="268"/>
      <c r="X135" s="292" t="e">
        <f>COUNTIFS('refer admin discharge'!#REF!,"Hispanic-Latino ",'refer admin discharge'!#REF!,"Female",#REF!,"Yes",#REF!,"Yes")</f>
        <v>#REF!</v>
      </c>
      <c r="Y135" s="268"/>
      <c r="Z135" s="292" t="e">
        <f>COUNTIFS('refer admin discharge'!#REF!,"Unknown",'refer admin discharge'!#REF!,"Female",#REF!,"Yes",#REF!,"Yes")</f>
        <v>#REF!</v>
      </c>
      <c r="AA135" s="596" t="s">
        <v>789</v>
      </c>
      <c r="AB135" s="326"/>
      <c r="AC135" s="327"/>
      <c r="AD135" s="293" t="e">
        <f t="shared" si="26"/>
        <v>#REF!</v>
      </c>
      <c r="AF135" s="293" t="e">
        <f t="shared" si="27"/>
        <v>#REF!</v>
      </c>
    </row>
    <row r="137" spans="1:39" ht="30" customHeight="1" x14ac:dyDescent="0.25">
      <c r="A137" s="1027" t="s">
        <v>1035</v>
      </c>
      <c r="B137" s="347"/>
      <c r="C137" s="347"/>
      <c r="D137" s="347"/>
      <c r="E137" s="347"/>
      <c r="F137" s="347"/>
      <c r="G137" s="347"/>
      <c r="H137" s="347"/>
      <c r="I137" s="347"/>
      <c r="J137" s="347"/>
      <c r="K137" s="347"/>
      <c r="L137" s="347"/>
      <c r="M137" s="347"/>
      <c r="N137" s="347"/>
      <c r="O137" s="347"/>
      <c r="P137" s="347"/>
      <c r="Q137" s="347"/>
      <c r="R137" s="347"/>
      <c r="S137" s="347"/>
      <c r="T137" s="347"/>
      <c r="U137" s="347"/>
      <c r="V137" s="347"/>
      <c r="W137" s="347"/>
      <c r="X137" s="347"/>
      <c r="Y137" s="347"/>
      <c r="Z137" s="347"/>
      <c r="AA137" s="347"/>
      <c r="AB137" s="347"/>
      <c r="AC137" s="347"/>
      <c r="AD137" s="347"/>
      <c r="AE137" s="347"/>
      <c r="AF137" s="347"/>
      <c r="AG137" s="347"/>
      <c r="AH137" s="347"/>
      <c r="AI137" s="354"/>
    </row>
    <row r="138" spans="1:39" ht="15" customHeight="1" x14ac:dyDescent="0.25">
      <c r="A138" s="1013" t="s">
        <v>1036</v>
      </c>
      <c r="B138" s="347"/>
      <c r="C138" s="347"/>
      <c r="D138" s="347"/>
      <c r="E138" s="347"/>
      <c r="F138" s="347"/>
      <c r="G138" s="347"/>
      <c r="H138" s="347"/>
      <c r="I138" s="347"/>
      <c r="J138" s="347"/>
      <c r="K138" s="347"/>
      <c r="L138" s="347"/>
      <c r="M138" s="347"/>
      <c r="N138" s="347"/>
      <c r="O138" s="347"/>
      <c r="P138" s="347"/>
      <c r="Q138" s="347"/>
      <c r="R138" s="347"/>
      <c r="S138" s="354"/>
      <c r="AB138" s="147"/>
    </row>
    <row r="139" spans="1:39" ht="30" customHeight="1" x14ac:dyDescent="0.25">
      <c r="A139" s="298"/>
      <c r="B139" s="299"/>
      <c r="C139" s="299"/>
      <c r="D139" s="299"/>
      <c r="E139" s="300"/>
      <c r="F139" s="1015" t="s">
        <v>731</v>
      </c>
      <c r="G139" s="326"/>
      <c r="H139" s="326"/>
      <c r="I139" s="326"/>
      <c r="J139" s="326"/>
      <c r="K139" s="326"/>
      <c r="L139" s="326"/>
      <c r="M139" s="326"/>
      <c r="N139" s="326"/>
      <c r="O139" s="326"/>
      <c r="P139" s="326"/>
      <c r="Q139" s="326"/>
      <c r="R139" s="326"/>
      <c r="S139" s="408"/>
      <c r="T139" s="198"/>
      <c r="U139" s="1047" t="s">
        <v>974</v>
      </c>
      <c r="V139" s="326"/>
      <c r="W139" s="326"/>
      <c r="X139" s="326"/>
      <c r="Y139" s="326"/>
      <c r="Z139" s="327"/>
      <c r="AA139" s="1046" t="s">
        <v>1037</v>
      </c>
      <c r="AB139" s="332"/>
      <c r="AC139" s="333"/>
      <c r="AD139" s="196" t="s">
        <v>731</v>
      </c>
      <c r="AF139" s="196" t="s">
        <v>973</v>
      </c>
      <c r="AG139" s="301"/>
      <c r="AH139" s="302"/>
      <c r="AJ139" s="302"/>
    </row>
    <row r="140" spans="1:39" ht="30" customHeight="1" x14ac:dyDescent="0.25">
      <c r="A140" s="1017" t="s">
        <v>975</v>
      </c>
      <c r="B140" s="326"/>
      <c r="C140" s="326"/>
      <c r="D140" s="326"/>
      <c r="E140" s="327"/>
      <c r="F140" s="1018" t="s">
        <v>562</v>
      </c>
      <c r="G140" s="327"/>
      <c r="H140" s="946" t="s">
        <v>733</v>
      </c>
      <c r="I140" s="327"/>
      <c r="J140" s="946" t="s">
        <v>976</v>
      </c>
      <c r="K140" s="327"/>
      <c r="L140" s="946" t="s">
        <v>565</v>
      </c>
      <c r="M140" s="327"/>
      <c r="N140" s="946" t="s">
        <v>977</v>
      </c>
      <c r="O140" s="327"/>
      <c r="P140" s="946" t="s">
        <v>978</v>
      </c>
      <c r="Q140" s="327"/>
      <c r="R140" s="946" t="s">
        <v>742</v>
      </c>
      <c r="S140" s="327"/>
      <c r="T140" s="201"/>
      <c r="U140" s="946" t="s">
        <v>570</v>
      </c>
      <c r="V140" s="327"/>
      <c r="W140" s="946" t="s">
        <v>571</v>
      </c>
      <c r="X140" s="327"/>
      <c r="Y140" s="946" t="s">
        <v>979</v>
      </c>
      <c r="Z140" s="327"/>
      <c r="AA140" s="334"/>
      <c r="AB140" s="335"/>
      <c r="AC140" s="336"/>
      <c r="AD140" s="229"/>
      <c r="AF140" s="229"/>
      <c r="AH140" s="302"/>
      <c r="AJ140" s="302"/>
    </row>
    <row r="141" spans="1:39" ht="30" customHeight="1" x14ac:dyDescent="0.25">
      <c r="A141" s="1019" t="s">
        <v>980</v>
      </c>
      <c r="B141" s="350"/>
      <c r="C141" s="350"/>
      <c r="D141" s="350"/>
      <c r="E141" s="351"/>
      <c r="F141" s="202" t="s">
        <v>981</v>
      </c>
      <c r="G141" s="203" t="s">
        <v>982</v>
      </c>
      <c r="H141" s="202" t="s">
        <v>981</v>
      </c>
      <c r="I141" s="203" t="s">
        <v>982</v>
      </c>
      <c r="J141" s="202" t="s">
        <v>981</v>
      </c>
      <c r="K141" s="203" t="s">
        <v>982</v>
      </c>
      <c r="L141" s="202" t="s">
        <v>981</v>
      </c>
      <c r="M141" s="203" t="s">
        <v>982</v>
      </c>
      <c r="N141" s="202" t="s">
        <v>981</v>
      </c>
      <c r="O141" s="203" t="s">
        <v>982</v>
      </c>
      <c r="P141" s="202" t="s">
        <v>981</v>
      </c>
      <c r="Q141" s="203" t="s">
        <v>982</v>
      </c>
      <c r="R141" s="202" t="s">
        <v>981</v>
      </c>
      <c r="S141" s="203" t="s">
        <v>982</v>
      </c>
      <c r="T141" s="5"/>
      <c r="U141" s="204" t="s">
        <v>981</v>
      </c>
      <c r="V141" s="205" t="s">
        <v>982</v>
      </c>
      <c r="W141" s="204" t="s">
        <v>981</v>
      </c>
      <c r="X141" s="205" t="s">
        <v>982</v>
      </c>
      <c r="Y141" s="202" t="s">
        <v>981</v>
      </c>
      <c r="Z141" s="205" t="s">
        <v>982</v>
      </c>
      <c r="AA141" s="337"/>
      <c r="AB141" s="338"/>
      <c r="AC141" s="339"/>
      <c r="AD141" s="229"/>
      <c r="AF141" s="229"/>
      <c r="AH141" s="302"/>
      <c r="AJ141" s="302"/>
    </row>
    <row r="142" spans="1:39" ht="24.75" customHeight="1" x14ac:dyDescent="0.25">
      <c r="A142" s="1020" t="s">
        <v>983</v>
      </c>
      <c r="B142" s="326"/>
      <c r="C142" s="327"/>
      <c r="D142" s="733" t="e">
        <f>COUNTIFS(#REF!,"&gt;=1",#REF!,"&lt;=12")</f>
        <v>#REF!</v>
      </c>
      <c r="E142" s="327"/>
      <c r="F142" s="206" t="e">
        <f>COUNTIFS(#REF!,"&gt;=1",#REF!,"&lt;=12",#REF!,"White",#REF!,"Male")</f>
        <v>#REF!</v>
      </c>
      <c r="G142" s="207" t="e">
        <f>COUNTIFS(#REF!,"&gt;=1",#REF!,"&lt;=12",#REF!,"White",#REF!,"Female")</f>
        <v>#REF!</v>
      </c>
      <c r="H142" s="206" t="e">
        <f>COUNTIFS(#REF!,"&gt;=1",#REF!,"&lt;=12",#REF!,"African American /Black",#REF!,"Male")</f>
        <v>#REF!</v>
      </c>
      <c r="I142" s="207" t="e">
        <f>COUNTIFS(#REF!,"&gt;=1",#REF!,"&lt;=12",#REF!,"African American /Black",#REF!,"Female")</f>
        <v>#REF!</v>
      </c>
      <c r="J142" s="206" t="e">
        <f>COUNTIFS(#REF!,"&gt;=1",#REF!,"&lt;=12",#REF!,"Native Hawaiian/Pacific",#REF!,"Male")</f>
        <v>#REF!</v>
      </c>
      <c r="K142" s="207" t="e">
        <f>COUNTIFS(#REF!,"&gt;=1",#REF!,"&lt;=12",#REF!,"Native Hawaiian/Pacific",#REF!,"Female")</f>
        <v>#REF!</v>
      </c>
      <c r="L142" s="206" t="e">
        <f>COUNTIFS(#REF!,"&gt;=1",#REF!,"&lt;=12",#REF!,"Asian",#REF!,"Male")</f>
        <v>#REF!</v>
      </c>
      <c r="M142" s="207" t="e">
        <f>COUNTIFS(#REF!,"&gt;=1",#REF!,"&lt;=12",#REF!,"Asian",#REF!,"Female")</f>
        <v>#REF!</v>
      </c>
      <c r="N142" s="206" t="e">
        <f>COUNTIFS(#REF!,"&gt;=1",#REF!,"&lt;=12",#REF!,"American Indian Alaskan Native",#REF!,"Male")</f>
        <v>#REF!</v>
      </c>
      <c r="O142" s="207" t="e">
        <f>COUNTIFS(#REF!,"&gt;=1",#REF!,"&lt;=12",#REF!,"American Indian Alaskan Native",#REF!,"Female")</f>
        <v>#REF!</v>
      </c>
      <c r="P142" s="206" t="e">
        <f>COUNTIFS(#REF!,"&gt;=1",#REF!,"&lt;=12",#REF!,"More than One Race Reported",#REF!,"Male")</f>
        <v>#REF!</v>
      </c>
      <c r="Q142" s="207" t="e">
        <f>COUNTIFS(#REF!,"&gt;=1",#REF!,"&lt;=12",#REF!,"More than One Race Reported",#REF!,"Female")</f>
        <v>#REF!</v>
      </c>
      <c r="R142" s="206" t="e">
        <f>COUNTIFS(#REF!,"&gt;=1",#REF!,"&lt;=12",#REF!,"Unknown",#REF!,"Male")</f>
        <v>#REF!</v>
      </c>
      <c r="S142" s="207" t="e">
        <f>COUNTIFS(#REF!,"&gt;=1",#REF!,"&lt;=12",#REF!,"Unknown",#REF!,"Female")</f>
        <v>#REF!</v>
      </c>
      <c r="T142" s="5"/>
      <c r="U142" s="208" t="e">
        <f>COUNTIFS(#REF!,"&gt;=1",#REF!,"&lt;=12",#REF!,"Not Hispanic or Latino",#REF!,"Male")</f>
        <v>#REF!</v>
      </c>
      <c r="V142" s="215" t="e">
        <f>COUNTIFS(#REF!,"&gt;=1",#REF!,"&lt;=12",#REF!,"Not Hispanic or Latino",#REF!,"Female")</f>
        <v>#REF!</v>
      </c>
      <c r="W142" s="208" t="e">
        <f>COUNTIFS(#REF!,"&gt;=1",#REF!,"&lt;=12",#REF!,"Hispanic-Latino ",#REF!,"Male")</f>
        <v>#REF!</v>
      </c>
      <c r="X142" s="215" t="e">
        <f>COUNTIFS(#REF!,"&gt;=1",#REF!,"&lt;=12",#REF!,"Hispanic-Latino ",#REF!,"Female")</f>
        <v>#REF!</v>
      </c>
      <c r="Y142" s="208" t="e">
        <f>COUNTIFS(#REF!,"&gt;=1",#REF!,"&lt;=12",#REF!,"Unknown",#REF!,"Male")</f>
        <v>#REF!</v>
      </c>
      <c r="Z142" s="215" t="e">
        <f>COUNTIFS(#REF!,"&gt;=1",#REF!,"&lt;=12",#REF!,"Unknown",#REF!,"Female")</f>
        <v>#REF!</v>
      </c>
      <c r="AA142" s="1020" t="s">
        <v>983</v>
      </c>
      <c r="AB142" s="326"/>
      <c r="AC142" s="327"/>
      <c r="AD142" s="303" t="e">
        <f t="shared" ref="AD142:AD150" si="28">SUM(F142:S142)</f>
        <v>#REF!</v>
      </c>
      <c r="AE142" s="175"/>
      <c r="AF142" s="304" t="e">
        <f t="shared" ref="AF142:AF150" si="29">SUM(U142:Z142)</f>
        <v>#REF!</v>
      </c>
      <c r="AH142" s="302"/>
      <c r="AJ142" s="302"/>
      <c r="AM142" s="170">
        <v>12</v>
      </c>
    </row>
    <row r="143" spans="1:39" ht="24.75" customHeight="1" x14ac:dyDescent="0.25">
      <c r="A143" s="944" t="s">
        <v>984</v>
      </c>
      <c r="B143" s="326"/>
      <c r="C143" s="327"/>
      <c r="D143" s="733" t="e">
        <f>COUNTIFS(#REF!,"&gt;=13",#REF!,"&lt;=17")</f>
        <v>#REF!</v>
      </c>
      <c r="E143" s="327"/>
      <c r="F143" s="213" t="e">
        <f>COUNTIFS(#REF!,"&gt;=13",#REF!,"&lt;=17",#REF!,"White",#REF!,"Male")</f>
        <v>#REF!</v>
      </c>
      <c r="G143" s="214" t="e">
        <f>COUNTIFS(#REF!,"&gt;=13",#REF!,"&lt;=17",#REF!,"White",#REF!,"Female")</f>
        <v>#REF!</v>
      </c>
      <c r="H143" s="213" t="e">
        <f>COUNTIFS(#REF!,"&gt;=13",#REF!,"&lt;=17",#REF!,"African American /Black",#REF!,"Male")</f>
        <v>#REF!</v>
      </c>
      <c r="I143" s="214" t="e">
        <f>COUNTIFS(#REF!,"&gt;=13",#REF!,"&lt;=17",#REF!,"African American /Black",#REF!,"Female")</f>
        <v>#REF!</v>
      </c>
      <c r="J143" s="213" t="e">
        <f>COUNTIFS(#REF!,"&gt;=13",#REF!,"&lt;=17",#REF!,"Native Hawaiian/Pacific",#REF!,"Male")</f>
        <v>#REF!</v>
      </c>
      <c r="K143" s="214" t="e">
        <f>COUNTIFS(#REF!,"&gt;=13",#REF!,"&lt;=17",#REF!,"Native Hawaiian/Pacific",#REF!,"Female")</f>
        <v>#REF!</v>
      </c>
      <c r="L143" s="213" t="e">
        <f>COUNTIFS(#REF!,"&gt;=13",#REF!,"&lt;=17",#REF!,"Asian",#REF!,"Male")</f>
        <v>#REF!</v>
      </c>
      <c r="M143" s="214" t="e">
        <f>COUNTIFS(#REF!,"&gt;=13",#REF!,"&lt;=17",#REF!,"Asian",#REF!,"Female")</f>
        <v>#REF!</v>
      </c>
      <c r="N143" s="213" t="e">
        <f>COUNTIFS(#REF!,"&gt;=13",#REF!,"&lt;=17",#REF!,"American Indian Alaskan Native",#REF!,"Male")</f>
        <v>#REF!</v>
      </c>
      <c r="O143" s="214" t="e">
        <f>COUNTIFS(#REF!,"&gt;=13",#REF!,"&lt;=17",#REF!,"American Indian Alaskan Native",#REF!,"Female")</f>
        <v>#REF!</v>
      </c>
      <c r="P143" s="213" t="e">
        <f>COUNTIFS(#REF!,"&gt;=13",#REF!,"&lt;=17",#REF!,"More than One Race Reported",#REF!,"Male")</f>
        <v>#REF!</v>
      </c>
      <c r="Q143" s="214" t="e">
        <f>COUNTIFS(#REF!,"&gt;=13",#REF!,"&lt;=17",#REF!,"More than One Race Reported",#REF!,"Female")</f>
        <v>#REF!</v>
      </c>
      <c r="R143" s="213" t="e">
        <f>COUNTIFS(#REF!,"&gt;=13",#REF!,"&lt;=17",#REF!,"Unknown",#REF!,"Male")</f>
        <v>#REF!</v>
      </c>
      <c r="S143" s="214" t="e">
        <f>COUNTIFS(#REF!,"&gt;=13",#REF!,"&lt;=17",#REF!,"Unknown",#REF!,"Female")</f>
        <v>#REF!</v>
      </c>
      <c r="T143" s="5"/>
      <c r="U143" s="215" t="e">
        <f>COUNTIFS(#REF!,"&gt;=13",#REF!,"&lt;=17",#REF!,"Not Hispanic or Latino",#REF!,"Male")</f>
        <v>#REF!</v>
      </c>
      <c r="V143" s="209" t="e">
        <f>COUNTIFS(#REF!,"&gt;=13",#REF!,"&lt;=17",#REF!,"Not Hispanic or Latino",#REF!,"Female")</f>
        <v>#REF!</v>
      </c>
      <c r="W143" s="215" t="e">
        <f>COUNTIFS(#REF!,"&gt;=13",#REF!,"&lt;=17",#REF!,"Hispanic-Latino ",#REF!,"Male")</f>
        <v>#REF!</v>
      </c>
      <c r="X143" s="209" t="e">
        <f>COUNTIFS(#REF!,"&gt;=13",#REF!,"&lt;=17",#REF!,"Hispanic-Latino ",#REF!,"Female")</f>
        <v>#REF!</v>
      </c>
      <c r="Y143" s="215" t="e">
        <f>COUNTIFS(#REF!,"&gt;=13",#REF!,"&lt;=17",#REF!,"Unknown",#REF!,"Male")</f>
        <v>#REF!</v>
      </c>
      <c r="Z143" s="209" t="e">
        <f>COUNTIFS(#REF!,"&gt;=13",#REF!,"&lt;=17",#REF!,"Unknown",#REF!,"Female")</f>
        <v>#REF!</v>
      </c>
      <c r="AA143" s="944" t="s">
        <v>984</v>
      </c>
      <c r="AB143" s="326"/>
      <c r="AC143" s="327"/>
      <c r="AD143" s="305" t="e">
        <f t="shared" si="28"/>
        <v>#REF!</v>
      </c>
      <c r="AE143" s="175"/>
      <c r="AF143" s="306" t="e">
        <f t="shared" si="29"/>
        <v>#REF!</v>
      </c>
      <c r="AH143" s="302"/>
      <c r="AI143" s="170" t="s">
        <v>1038</v>
      </c>
      <c r="AM143" s="170">
        <v>6</v>
      </c>
    </row>
    <row r="144" spans="1:39" ht="24.75" customHeight="1" x14ac:dyDescent="0.25">
      <c r="A144" s="945" t="s">
        <v>985</v>
      </c>
      <c r="B144" s="326"/>
      <c r="C144" s="327"/>
      <c r="D144" s="733" t="e">
        <f>COUNTIFS(#REF!,"&gt;=18",#REF!,"&lt;=20")</f>
        <v>#REF!</v>
      </c>
      <c r="E144" s="327"/>
      <c r="F144" s="206" t="e">
        <f>COUNTIFS(#REF!,"&gt;=18",#REF!,"&lt;=20",#REF!,"White",#REF!,"Male")</f>
        <v>#REF!</v>
      </c>
      <c r="G144" s="207" t="e">
        <f>COUNTIFS(#REF!,"&gt;=18",#REF!,"&lt;=20",#REF!,"White",#REF!,"Female")</f>
        <v>#REF!</v>
      </c>
      <c r="H144" s="206" t="e">
        <f>COUNTIFS(#REF!,"&gt;=18",#REF!,"&lt;=20",#REF!,"African American /Black",#REF!,"Male")</f>
        <v>#REF!</v>
      </c>
      <c r="I144" s="207" t="e">
        <f>COUNTIFS(#REF!,"&gt;=18",#REF!,"&lt;=20",#REF!,"African American /Black",#REF!,"Female")</f>
        <v>#REF!</v>
      </c>
      <c r="J144" s="206" t="e">
        <f>COUNTIFS(#REF!,"&gt;=18",#REF!,"&lt;=20",#REF!,"Native Hawaiian/Pacific",#REF!,"Male")</f>
        <v>#REF!</v>
      </c>
      <c r="K144" s="207" t="e">
        <f>COUNTIFS(#REF!,"&gt;=18",#REF!,"&lt;=20",#REF!,"Native Hawaiian/Pacific",#REF!,"Female")</f>
        <v>#REF!</v>
      </c>
      <c r="L144" s="206" t="e">
        <f>COUNTIFS(#REF!,"&gt;=18",#REF!,"&lt;=20",#REF!,"Asian",#REF!,"Male")</f>
        <v>#REF!</v>
      </c>
      <c r="M144" s="207" t="e">
        <f>COUNTIFS(#REF!,"&gt;=18",#REF!,"&lt;=20",#REF!,"Asian",#REF!,"Female")</f>
        <v>#REF!</v>
      </c>
      <c r="N144" s="206" t="e">
        <f>COUNTIFS(#REF!,"&gt;=18",#REF!,"&lt;=20",#REF!,"American Indian Alaskan Native",#REF!,"Male")</f>
        <v>#REF!</v>
      </c>
      <c r="O144" s="207" t="e">
        <f>COUNTIFS(#REF!,"&gt;=18",#REF!,"&lt;=20",#REF!,"American Indian Alaskan Native",#REF!,"Female")</f>
        <v>#REF!</v>
      </c>
      <c r="P144" s="206" t="e">
        <f>COUNTIFS(#REF!,"&gt;=18",#REF!,"&lt;=20",#REF!,"More than One Race Reported",#REF!,"Male")</f>
        <v>#REF!</v>
      </c>
      <c r="Q144" s="207" t="e">
        <f>COUNTIFS(#REF!,"&gt;=18",#REF!,"&lt;=20",#REF!,"More than One Race Reported",#REF!,"Female")</f>
        <v>#REF!</v>
      </c>
      <c r="R144" s="206" t="e">
        <f>COUNTIFS(#REF!,"&gt;=18",#REF!,"&lt;=20",#REF!,"Unknown",#REF!,"Male")</f>
        <v>#REF!</v>
      </c>
      <c r="S144" s="207" t="e">
        <f>COUNTIFS(#REF!,"&gt;=18",#REF!,"&lt;=20",#REF!,"Unknown",#REF!,"Female")</f>
        <v>#REF!</v>
      </c>
      <c r="T144" s="5"/>
      <c r="U144" s="208" t="e">
        <f>COUNTIFS(#REF!,"&gt;=18",#REF!,"&lt;=20",#REF!,"Not Hispanic or Latino",#REF!,"Male")</f>
        <v>#REF!</v>
      </c>
      <c r="V144" s="215" t="e">
        <f>COUNTIFS(#REF!,"&gt;=18",#REF!,"&lt;=20",#REF!,"Not Hispanic or Latino",#REF!,"Female")</f>
        <v>#REF!</v>
      </c>
      <c r="W144" s="208" t="e">
        <f>COUNTIFS(#REF!,"&gt;=18",#REF!,"&lt;=20",#REF!,"Hispanic-Latino ",#REF!,"Male")</f>
        <v>#REF!</v>
      </c>
      <c r="X144" s="215" t="e">
        <f>COUNTIFS(#REF!,"&gt;=18",#REF!,"&lt;=20",#REF!,"Hispanic-Latino ",#REF!,"Female")</f>
        <v>#REF!</v>
      </c>
      <c r="Y144" s="208" t="e">
        <f>COUNTIFS(#REF!,"&gt;=18",#REF!,"&lt;=20",#REF!,"Unknown",#REF!,"Male")</f>
        <v>#REF!</v>
      </c>
      <c r="Z144" s="215" t="e">
        <f>COUNTIFS(#REF!,"&gt;=18",#REF!,"&lt;=20",#REF!,"Unknown",#REF!,"Female")</f>
        <v>#REF!</v>
      </c>
      <c r="AA144" s="945" t="s">
        <v>985</v>
      </c>
      <c r="AB144" s="326"/>
      <c r="AC144" s="327"/>
      <c r="AD144" s="303" t="e">
        <f t="shared" si="28"/>
        <v>#REF!</v>
      </c>
      <c r="AE144" s="175"/>
      <c r="AF144" s="304" t="e">
        <f t="shared" si="29"/>
        <v>#REF!</v>
      </c>
      <c r="AH144" s="302"/>
      <c r="AI144" s="170" t="s">
        <v>1039</v>
      </c>
      <c r="AM144" s="170">
        <v>6</v>
      </c>
    </row>
    <row r="145" spans="1:39" ht="24.75" customHeight="1" x14ac:dyDescent="0.25">
      <c r="A145" s="944" t="s">
        <v>986</v>
      </c>
      <c r="B145" s="326"/>
      <c r="C145" s="327"/>
      <c r="D145" s="733" t="e">
        <f>COUNTIFS(#REF!,"&gt;=21",#REF!,"&lt;=24")</f>
        <v>#REF!</v>
      </c>
      <c r="E145" s="327"/>
      <c r="F145" s="213" t="e">
        <f>COUNTIFS(#REF!,"&gt;=21",#REF!,"&lt;=24",#REF!,"White",#REF!,"Male")</f>
        <v>#REF!</v>
      </c>
      <c r="G145" s="214" t="e">
        <f>COUNTIFS(#REF!,"&gt;=21",#REF!,"&lt;=24",#REF!,"White",#REF!,"Female")</f>
        <v>#REF!</v>
      </c>
      <c r="H145" s="213" t="e">
        <f>COUNTIFS(#REF!,"&gt;=21",#REF!,"&lt;=24",#REF!,"African American /Black",#REF!,"Male")</f>
        <v>#REF!</v>
      </c>
      <c r="I145" s="214" t="e">
        <f>COUNTIFS(#REF!,"&gt;=21",#REF!,"&lt;=24",#REF!,"African American /Black",#REF!,"Female")</f>
        <v>#REF!</v>
      </c>
      <c r="J145" s="213" t="e">
        <f>COUNTIFS(#REF!,"&gt;=21",#REF!,"&lt;=24",#REF!,"Native Hawaiian/Pacific",#REF!,"Male")</f>
        <v>#REF!</v>
      </c>
      <c r="K145" s="214" t="e">
        <f>COUNTIFS(#REF!,"&gt;=21",#REF!,"&lt;=24",#REF!,"Native Hawaiian/Pacific",#REF!,"Female")</f>
        <v>#REF!</v>
      </c>
      <c r="L145" s="213" t="e">
        <f>COUNTIFS(#REF!,"&gt;=21",#REF!,"&lt;=24",#REF!,"Asian",#REF!,"Male")</f>
        <v>#REF!</v>
      </c>
      <c r="M145" s="214" t="e">
        <f>COUNTIFS(#REF!,"&gt;=21",#REF!,"&lt;=24",#REF!,"Asian",#REF!,"Female")</f>
        <v>#REF!</v>
      </c>
      <c r="N145" s="213" t="e">
        <f>COUNTIFS(#REF!,"&gt;=21",#REF!,"&lt;=24",#REF!,"American Indian Alaskan Native",#REF!,"Male")</f>
        <v>#REF!</v>
      </c>
      <c r="O145" s="214" t="e">
        <f>COUNTIFS(#REF!,"&gt;=21",#REF!,"&lt;=24",#REF!,"American Indian Alaskan Native",#REF!,"Female")</f>
        <v>#REF!</v>
      </c>
      <c r="P145" s="213" t="e">
        <f>COUNTIFS(#REF!,"&gt;=21",#REF!,"&lt;=24",#REF!,"More than One Race Reported",#REF!,"Male")</f>
        <v>#REF!</v>
      </c>
      <c r="Q145" s="214" t="e">
        <f>COUNTIFS(#REF!,"&gt;=21",#REF!,"&lt;=24",#REF!,"More than One Race Reported",#REF!,"Female")</f>
        <v>#REF!</v>
      </c>
      <c r="R145" s="213" t="e">
        <f>COUNTIFS(#REF!,"&gt;=21",#REF!,"&lt;=24",#REF!,"Unknown",#REF!,"Male")</f>
        <v>#REF!</v>
      </c>
      <c r="S145" s="214" t="e">
        <f>COUNTIFS(#REF!,"&gt;=21",#REF!,"&lt;=24",#REF!,"Unknown",#REF!,"Female")</f>
        <v>#REF!</v>
      </c>
      <c r="T145" s="5"/>
      <c r="U145" s="215" t="e">
        <f>COUNTIFS(#REF!,"&gt;=21",#REF!,"&lt;=24",#REF!,"Not Hispanic or Latino",#REF!,"Male")</f>
        <v>#REF!</v>
      </c>
      <c r="V145" s="209" t="e">
        <f>COUNTIFS(#REF!,"&gt;=21",#REF!,"&lt;=24",#REF!,"Not Hispanic or Latino",#REF!,"Female")</f>
        <v>#REF!</v>
      </c>
      <c r="W145" s="215" t="e">
        <f>COUNTIFS(#REF!,"&gt;=21",#REF!,"&lt;=24",#REF!,"Hispanic-Latino ",#REF!,"Male")</f>
        <v>#REF!</v>
      </c>
      <c r="X145" s="209" t="e">
        <f>COUNTIFS(#REF!,"&gt;=21",#REF!,"&lt;=24",#REF!,"Hispanic-Latino ",#REF!,"Female")</f>
        <v>#REF!</v>
      </c>
      <c r="Y145" s="215" t="e">
        <f>COUNTIFS(#REF!,"&gt;=21",#REF!,"&lt;=24",#REF!,"Unknown",#REF!,"Male")</f>
        <v>#REF!</v>
      </c>
      <c r="Z145" s="209" t="e">
        <f>COUNTIFS(#REF!,"&gt;=21",#REF!,"&lt;=24",#REF!,"Unknown",#REF!,"Female")</f>
        <v>#REF!</v>
      </c>
      <c r="AA145" s="944" t="s">
        <v>986</v>
      </c>
      <c r="AB145" s="326"/>
      <c r="AC145" s="327"/>
      <c r="AD145" s="305" t="e">
        <f t="shared" si="28"/>
        <v>#REF!</v>
      </c>
      <c r="AE145" s="175"/>
      <c r="AF145" s="306" t="e">
        <f t="shared" si="29"/>
        <v>#REF!</v>
      </c>
      <c r="AH145" s="302"/>
      <c r="AI145" s="170" t="s">
        <v>1040</v>
      </c>
      <c r="AM145" s="170">
        <v>12</v>
      </c>
    </row>
    <row r="146" spans="1:39" ht="24.75" customHeight="1" x14ac:dyDescent="0.25">
      <c r="A146" s="945" t="s">
        <v>987</v>
      </c>
      <c r="B146" s="326"/>
      <c r="C146" s="327"/>
      <c r="D146" s="733" t="e">
        <f>COUNTIFS(#REF!,"&gt;=25",#REF!,"&lt;=44")</f>
        <v>#REF!</v>
      </c>
      <c r="E146" s="327"/>
      <c r="F146" s="206" t="e">
        <f>COUNTIFS(#REF!,"&gt;=25",#REF!,"&lt;=44",#REF!,"White",#REF!,"Male")</f>
        <v>#REF!</v>
      </c>
      <c r="G146" s="207" t="e">
        <f>COUNTIFS(#REF!,"&gt;=25",#REF!,"&lt;=44",#REF!,"White",#REF!,"Female")</f>
        <v>#REF!</v>
      </c>
      <c r="H146" s="206" t="e">
        <f>COUNTIFS(#REF!,"&gt;=25",#REF!,"&lt;=44",#REF!,"African American /Black",#REF!,"Male")</f>
        <v>#REF!</v>
      </c>
      <c r="I146" s="207" t="e">
        <f>COUNTIFS(#REF!,"&gt;=25",#REF!,"&lt;=44",#REF!,"African American /Black",#REF!,"Female")</f>
        <v>#REF!</v>
      </c>
      <c r="J146" s="206" t="e">
        <f>COUNTIFS(#REF!,"&gt;=25",#REF!,"&lt;=44",#REF!,"Native Hawaiian/Pacific",#REF!,"Male")</f>
        <v>#REF!</v>
      </c>
      <c r="K146" s="207" t="e">
        <f>COUNTIFS(#REF!,"&gt;=25",#REF!,"&lt;=44",#REF!,"Native Hawaiian/Pacific",#REF!,"Female")</f>
        <v>#REF!</v>
      </c>
      <c r="L146" s="206" t="e">
        <f>COUNTIFS(#REF!,"&gt;=25",#REF!,"&lt;=44",#REF!,"Asian",#REF!,"Male")</f>
        <v>#REF!</v>
      </c>
      <c r="M146" s="207" t="e">
        <f>COUNTIFS(#REF!,"&gt;=25",#REF!,"&lt;=44",#REF!,"Asian",#REF!,"Female")</f>
        <v>#REF!</v>
      </c>
      <c r="N146" s="206" t="e">
        <f>COUNTIFS(#REF!,"&gt;=25",#REF!,"&lt;=44",#REF!,"American Indian Alaskan Native",#REF!,"Male")</f>
        <v>#REF!</v>
      </c>
      <c r="O146" s="207" t="e">
        <f>COUNTIFS(#REF!,"&gt;=25",#REF!,"&lt;=44",#REF!,"American Indian Alaskan Native",#REF!,"Female")</f>
        <v>#REF!</v>
      </c>
      <c r="P146" s="206" t="e">
        <f>COUNTIFS(#REF!,"&gt;=25",#REF!,"&lt;=44",#REF!,"More than One Race Reported",#REF!,"Male")</f>
        <v>#REF!</v>
      </c>
      <c r="Q146" s="207" t="e">
        <f>COUNTIFS(#REF!,"&gt;=25",#REF!,"&lt;=44",#REF!,"More than One Race Reported",#REF!,"Female")</f>
        <v>#REF!</v>
      </c>
      <c r="R146" s="206" t="e">
        <f>COUNTIFS(#REF!,"&gt;=25",#REF!,"&lt;=44",#REF!,"Unknown",#REF!,"Male")</f>
        <v>#REF!</v>
      </c>
      <c r="S146" s="207" t="e">
        <f>COUNTIFS(#REF!,"&gt;=25",#REF!,"&lt;=44",#REF!,"Unknown",#REF!,"Female")</f>
        <v>#REF!</v>
      </c>
      <c r="T146" s="5"/>
      <c r="U146" s="208" t="e">
        <f>COUNTIFS(#REF!,"&gt;=25",#REF!,"&lt;=44",#REF!,"Not Hispanic or Latino",#REF!,"Male")</f>
        <v>#REF!</v>
      </c>
      <c r="V146" s="215" t="e">
        <f>COUNTIFS(#REF!,"&gt;=25",#REF!,"&lt;=44",#REF!,"Not Hispanic or Latino",#REF!,"Female")</f>
        <v>#REF!</v>
      </c>
      <c r="W146" s="208" t="e">
        <f>COUNTIFS(#REF!,"&gt;=25",#REF!,"&lt;=44",#REF!,"Hispanic-Latino ",#REF!,"Male")</f>
        <v>#REF!</v>
      </c>
      <c r="X146" s="215" t="e">
        <f>COUNTIFS(#REF!,"&gt;=25",#REF!,"&lt;=44",#REF!,"Hispanic-Latino ",#REF!,"Female")</f>
        <v>#REF!</v>
      </c>
      <c r="Y146" s="208" t="e">
        <f>COUNTIFS(#REF!,"&gt;=25",#REF!,"&lt;=44",#REF!,"Unknown",#REF!,"Male")</f>
        <v>#REF!</v>
      </c>
      <c r="Z146" s="215" t="e">
        <f>COUNTIFS(#REF!,"&gt;=25",#REF!,"&lt;=44",#REF!,"Unknown",#REF!,"Female")</f>
        <v>#REF!</v>
      </c>
      <c r="AA146" s="945" t="s">
        <v>987</v>
      </c>
      <c r="AB146" s="326"/>
      <c r="AC146" s="327"/>
      <c r="AD146" s="303" t="e">
        <f t="shared" si="28"/>
        <v>#REF!</v>
      </c>
      <c r="AE146" s="175"/>
      <c r="AF146" s="304" t="e">
        <f t="shared" si="29"/>
        <v>#REF!</v>
      </c>
      <c r="AH146" s="302"/>
      <c r="AI146" s="170" t="s">
        <v>1041</v>
      </c>
      <c r="AM146" s="170">
        <v>31</v>
      </c>
    </row>
    <row r="147" spans="1:39" ht="24.75" customHeight="1" x14ac:dyDescent="0.25">
      <c r="A147" s="944" t="s">
        <v>988</v>
      </c>
      <c r="B147" s="326"/>
      <c r="C147" s="327"/>
      <c r="D147" s="733" t="e">
        <f>COUNTIFS(#REF!,"&gt;=45",#REF!,"&lt;=64")</f>
        <v>#REF!</v>
      </c>
      <c r="E147" s="327"/>
      <c r="F147" s="216" t="e">
        <f>COUNTIFS(#REF!,"&gt;=45",#REF!,"&lt;=64",#REF!,"White",#REF!,"Male")</f>
        <v>#REF!</v>
      </c>
      <c r="G147" s="217" t="e">
        <f>COUNTIFS(#REF!,"&gt;=45",#REF!,"&lt;=64",#REF!,"White",#REF!,"Female")</f>
        <v>#REF!</v>
      </c>
      <c r="H147" s="216" t="e">
        <f>COUNTIFS(#REF!,"&gt;=45",#REF!,"&lt;=64",#REF!,"African American /Black",#REF!,"Male")</f>
        <v>#REF!</v>
      </c>
      <c r="I147" s="217" t="e">
        <f>COUNTIFS(#REF!,"&gt;=45",#REF!,"&lt;=64",#REF!,"African American /Black",#REF!,"Female")</f>
        <v>#REF!</v>
      </c>
      <c r="J147" s="216" t="e">
        <f>COUNTIFS(#REF!,"&gt;=45",#REF!,"&lt;=64",#REF!,"Native Hawaiian/Pacific",#REF!,"Male")</f>
        <v>#REF!</v>
      </c>
      <c r="K147" s="217" t="e">
        <f>COUNTIFS(#REF!,"&gt;=45",#REF!,"&lt;=64",#REF!,"Native Hawaiian/Pacific",#REF!,"Female")</f>
        <v>#REF!</v>
      </c>
      <c r="L147" s="216" t="e">
        <f>COUNTIFS(#REF!,"&gt;=45",#REF!,"&lt;=64",#REF!,"Asian",#REF!,"Male")</f>
        <v>#REF!</v>
      </c>
      <c r="M147" s="217" t="e">
        <f>COUNTIFS(#REF!,"&gt;=45",#REF!,"&lt;=64",#REF!,"Asian",#REF!,"Female")</f>
        <v>#REF!</v>
      </c>
      <c r="N147" s="216" t="e">
        <f>COUNTIFS(#REF!,"&gt;=45",#REF!,"&lt;=64",#REF!,"American Indian Alaskan Native",#REF!,"Male")</f>
        <v>#REF!</v>
      </c>
      <c r="O147" s="217" t="e">
        <f>COUNTIFS(#REF!,"&gt;=45",#REF!,"&lt;=64",#REF!,"American Indian Alaskan Native",#REF!,"Female")</f>
        <v>#REF!</v>
      </c>
      <c r="P147" s="216" t="e">
        <f>COUNTIFS(#REF!,"&gt;=45",#REF!,"&lt;=64",#REF!,"More than One Race Reported",#REF!,"Male")</f>
        <v>#REF!</v>
      </c>
      <c r="Q147" s="217" t="e">
        <f>COUNTIFS(#REF!,"&gt;=45",#REF!,"&lt;=64",#REF!,"More than One Race Reported",#REF!,"Female")</f>
        <v>#REF!</v>
      </c>
      <c r="R147" s="216" t="e">
        <f>COUNTIFS(#REF!,"&gt;=45",#REF!,"&lt;=64",#REF!,"Unknown",#REF!,"Male")</f>
        <v>#REF!</v>
      </c>
      <c r="S147" s="217" t="e">
        <f>COUNTIFS(#REF!,"&gt;=45",#REF!,"&lt;=64",#REF!,"Unknown",#REF!,"Female")</f>
        <v>#REF!</v>
      </c>
      <c r="T147" s="5"/>
      <c r="U147" s="219" t="e">
        <f>COUNTIFS(#REF!,"&gt;=45",#REF!,"&lt;=64",#REF!,"Not Hispanic or Latino",#REF!,"Male")</f>
        <v>#REF!</v>
      </c>
      <c r="V147" s="218" t="e">
        <f>COUNTIFS(#REF!,"&gt;=45",#REF!,"&lt;=64",#REF!,"Not Hispanic or Latino",#REF!,"Female")</f>
        <v>#REF!</v>
      </c>
      <c r="W147" s="215" t="e">
        <f>COUNTIFS(#REF!,"&gt;=45",#REF!,"&lt;=64",#REF!,"Hispanic-Latino ",#REF!,"Male")</f>
        <v>#REF!</v>
      </c>
      <c r="X147" s="218" t="e">
        <f>COUNTIFS(#REF!,"&gt;=45",#REF!,"&lt;=64",#REF!,"Hispanic-Latino ",#REF!,"Female")</f>
        <v>#REF!</v>
      </c>
      <c r="Y147" s="219" t="e">
        <f>COUNTIFS(#REF!,"&gt;=45",#REF!,"&lt;=64",#REF!,"Unknown",#REF!,"Male")</f>
        <v>#REF!</v>
      </c>
      <c r="Z147" s="218" t="e">
        <f>COUNTIFS(#REF!,"&gt;=45",#REF!,"&lt;=64",#REF!,"Unknown",#REF!,"Female")</f>
        <v>#REF!</v>
      </c>
      <c r="AA147" s="944" t="s">
        <v>988</v>
      </c>
      <c r="AB147" s="326"/>
      <c r="AC147" s="327"/>
      <c r="AD147" s="305" t="e">
        <f t="shared" si="28"/>
        <v>#REF!</v>
      </c>
      <c r="AE147" s="175"/>
      <c r="AF147" s="306" t="e">
        <f t="shared" si="29"/>
        <v>#REF!</v>
      </c>
      <c r="AH147" s="302"/>
      <c r="AI147" s="170" t="s">
        <v>1042</v>
      </c>
      <c r="AM147" s="170">
        <v>24</v>
      </c>
    </row>
    <row r="148" spans="1:39" ht="24.75" customHeight="1" x14ac:dyDescent="0.25">
      <c r="A148" s="945" t="s">
        <v>989</v>
      </c>
      <c r="B148" s="326"/>
      <c r="C148" s="327"/>
      <c r="D148" s="733" t="e">
        <f>COUNTIFS(#REF!,"&gt;=65",#REF!,"&lt;=74")</f>
        <v>#REF!</v>
      </c>
      <c r="E148" s="327"/>
      <c r="F148" s="41" t="e">
        <f>COUNTIFS(#REF!,"&gt;=65",#REF!,"&lt;=74",#REF!,"White",#REF!,"Male")</f>
        <v>#REF!</v>
      </c>
      <c r="G148" s="220" t="e">
        <f>COUNTIFS(#REF!,"&gt;=65",#REF!,"&lt;=74",#REF!,"White",#REF!,"Female")</f>
        <v>#REF!</v>
      </c>
      <c r="H148" s="41" t="e">
        <f>COUNTIFS(#REF!,"&gt;=65",#REF!,"&lt;=74",#REF!,"African American /Black",#REF!,"Male")</f>
        <v>#REF!</v>
      </c>
      <c r="I148" s="220" t="e">
        <f>COUNTIFS(#REF!,"&gt;=65",#REF!,"&lt;=74",#REF!,"African American /Black",#REF!,"Female")</f>
        <v>#REF!</v>
      </c>
      <c r="J148" s="41" t="e">
        <f>COUNTIFS(#REF!,"&gt;=65",#REF!,"&lt;=74",#REF!,"Native Hawaiian/Pacific",#REF!,"Male")</f>
        <v>#REF!</v>
      </c>
      <c r="K148" s="220" t="e">
        <f>COUNTIFS(#REF!,"&gt;=65",#REF!,"&lt;=74",#REF!,"Native Hawaiian/Pacific",#REF!,"Female")</f>
        <v>#REF!</v>
      </c>
      <c r="L148" s="41" t="e">
        <f>COUNTIFS(#REF!,"&gt;=65",#REF!,"&lt;=74",#REF!,"Asian",#REF!,"Male")</f>
        <v>#REF!</v>
      </c>
      <c r="M148" s="220" t="e">
        <f>COUNTIFS(#REF!,"&gt;=65",#REF!,"&lt;=74",#REF!,"Asian",#REF!,"Female")</f>
        <v>#REF!</v>
      </c>
      <c r="N148" s="41" t="e">
        <f>COUNTIFS(#REF!,"&gt;=65",#REF!,"&lt;=74",#REF!,"American Indian Alaskan Native",#REF!,"Male")</f>
        <v>#REF!</v>
      </c>
      <c r="O148" s="220" t="e">
        <f>COUNTIFS(#REF!,"&gt;=65",#REF!,"&lt;=74",#REF!,"American Indian Alaskan Native",#REF!,"Female")</f>
        <v>#REF!</v>
      </c>
      <c r="P148" s="41" t="e">
        <f>COUNTIFS(#REF!,"&gt;=65",#REF!,"&lt;=74",#REF!,"More than One Race Reported",#REF!,"Male")</f>
        <v>#REF!</v>
      </c>
      <c r="Q148" s="220" t="e">
        <f>COUNTIFS(#REF!,"&gt;=65",#REF!,"&lt;=74",#REF!,"More than One Race Reported",#REF!,"Female")</f>
        <v>#REF!</v>
      </c>
      <c r="R148" s="41" t="e">
        <f>COUNTIFS(#REF!,"&gt;=65",#REF!,"&lt;=74",#REF!,"Unknown",#REF!,"Male")</f>
        <v>#REF!</v>
      </c>
      <c r="S148" s="220" t="e">
        <f>COUNTIFS(#REF!,"&gt;=65",#REF!,"&lt;=74",#REF!,"Unknown",#REF!,"Female")</f>
        <v>#REF!</v>
      </c>
      <c r="T148" s="5"/>
      <c r="U148" s="221" t="e">
        <f>COUNTIFS(#REF!,"&gt;=65",#REF!,"&lt;=74",#REF!,"Not Hispanic or Latino",#REF!,"Male")</f>
        <v>#REF!</v>
      </c>
      <c r="V148" s="219" t="e">
        <f>COUNTIFS(#REF!,"&gt;=65",#REF!,"&lt;=74",#REF!,"Not Hispanic or Latino",#REF!,"Female")</f>
        <v>#REF!</v>
      </c>
      <c r="W148" s="208" t="e">
        <f>COUNTIFS(#REF!,"&gt;=65",#REF!,"&lt;=74",#REF!,"Hispanic-Latino ",#REF!,"Male")</f>
        <v>#REF!</v>
      </c>
      <c r="X148" s="219" t="e">
        <f>COUNTIFS(#REF!,"&gt;=65",#REF!,"&lt;=74",#REF!,"Hispanic-Latino ",#REF!,"Female")</f>
        <v>#REF!</v>
      </c>
      <c r="Y148" s="221" t="e">
        <f>COUNTIFS(#REF!,"&gt;=65",#REF!,"&lt;=74",#REF!,"Unknown",#REF!,"Male")</f>
        <v>#REF!</v>
      </c>
      <c r="Z148" s="219" t="e">
        <f>COUNTIFS(#REF!,"&gt;=65",#REF!,"&lt;=74",#REF!,"Unknown",#REF!,"Female")</f>
        <v>#REF!</v>
      </c>
      <c r="AA148" s="945" t="s">
        <v>989</v>
      </c>
      <c r="AB148" s="326"/>
      <c r="AC148" s="327"/>
      <c r="AD148" s="303" t="e">
        <f t="shared" si="28"/>
        <v>#REF!</v>
      </c>
      <c r="AE148" s="175"/>
      <c r="AF148" s="304" t="e">
        <f t="shared" si="29"/>
        <v>#REF!</v>
      </c>
      <c r="AH148" s="302"/>
      <c r="AI148" s="170" t="s">
        <v>1043</v>
      </c>
      <c r="AM148" s="170">
        <v>6</v>
      </c>
    </row>
    <row r="149" spans="1:39" ht="24.75" customHeight="1" x14ac:dyDescent="0.25">
      <c r="A149" s="944" t="s">
        <v>990</v>
      </c>
      <c r="B149" s="326"/>
      <c r="C149" s="327"/>
      <c r="D149" s="733" t="e">
        <f>COUNTIFS(#REF!,"&gt;=75",#REF!,"&lt;=150")</f>
        <v>#REF!</v>
      </c>
      <c r="E149" s="327"/>
      <c r="F149" s="216" t="e">
        <f>COUNTIFS(#REF!,"&gt;=75",#REF!,"&lt;=150",#REF!,"White",#REF!,"Male")</f>
        <v>#REF!</v>
      </c>
      <c r="G149" s="217" t="e">
        <f>COUNTIFS(#REF!,"&gt;=75",#REF!,"&lt;=150",#REF!,"White",#REF!,"Female")</f>
        <v>#REF!</v>
      </c>
      <c r="H149" s="216" t="e">
        <f>COUNTIFS(#REF!,"&gt;=75",#REF!,"&lt;=150",#REF!,"African American /Black",#REF!,"Male")</f>
        <v>#REF!</v>
      </c>
      <c r="I149" s="217" t="e">
        <f>COUNTIFS(#REF!,"&gt;=75",#REF!,"&lt;=150",#REF!,"African American /Black",#REF!,"Female")</f>
        <v>#REF!</v>
      </c>
      <c r="J149" s="216" t="e">
        <f>COUNTIFS(#REF!,"&gt;=75",#REF!,"&lt;=150",#REF!,"Native Hawaiian/Pacific",#REF!,"Male")</f>
        <v>#REF!</v>
      </c>
      <c r="K149" s="217" t="e">
        <f>COUNTIFS(#REF!,"&gt;=75",#REF!,"&lt;=150",#REF!,"Native Hawaiian/Pacific",#REF!,"Female")</f>
        <v>#REF!</v>
      </c>
      <c r="L149" s="216" t="e">
        <f>COUNTIFS(#REF!,"&gt;=75",#REF!,"&lt;=150",#REF!,"Asian",#REF!,"Male")</f>
        <v>#REF!</v>
      </c>
      <c r="M149" s="217" t="e">
        <f>COUNTIFS(#REF!,"&gt;=75",#REF!,"&lt;=150",#REF!,"Asian",#REF!,"Female")</f>
        <v>#REF!</v>
      </c>
      <c r="N149" s="216" t="e">
        <f>COUNTIFS(#REF!,"&gt;=75",#REF!,"&lt;=150",#REF!,"American Indian Alaskan Native",#REF!,"Male")</f>
        <v>#REF!</v>
      </c>
      <c r="O149" s="217" t="e">
        <f>COUNTIFS(#REF!,"&gt;=75",#REF!,"&lt;=150",#REF!,"American Indian Alaskan Native",#REF!,"Female")</f>
        <v>#REF!</v>
      </c>
      <c r="P149" s="216" t="e">
        <f>COUNTIFS(#REF!,"&gt;=75",#REF!,"&lt;=150",#REF!,"More than One Race Reported",#REF!,"Male")</f>
        <v>#REF!</v>
      </c>
      <c r="Q149" s="217" t="e">
        <f>COUNTIFS(#REF!,"&gt;=75",#REF!,"&lt;=150",#REF!,"More than One Race Reported",#REF!,"Female")</f>
        <v>#REF!</v>
      </c>
      <c r="R149" s="216" t="e">
        <f>COUNTIFS(#REF!,"&gt;=75",#REF!,"&lt;=150",#REF!,"Unknown",#REF!,"Male")</f>
        <v>#REF!</v>
      </c>
      <c r="S149" s="217" t="e">
        <f>COUNTIFS(#REF!,"&gt;=75",#REF!,"&lt;=150",#REF!,"Unknown",#REF!,"Female")</f>
        <v>#REF!</v>
      </c>
      <c r="T149" s="5"/>
      <c r="U149" s="219" t="e">
        <f>COUNTIFS(#REF!,"&gt;=75",#REF!,"&lt;=150",#REF!,"Not Hispanic or Latino",#REF!,"Male")</f>
        <v>#REF!</v>
      </c>
      <c r="V149" s="218" t="e">
        <f>COUNTIFS(#REF!,"&gt;=75",#REF!,"&lt;=150",#REF!,"Not Hispanic or Latino",#REF!,"Female")</f>
        <v>#REF!</v>
      </c>
      <c r="W149" s="215" t="e">
        <f>COUNTIFS(#REF!,"&gt;=75",#REF!,"&lt;=150",#REF!,"Hispanic-Latino ",#REF!,"Male")</f>
        <v>#REF!</v>
      </c>
      <c r="X149" s="218" t="e">
        <f>COUNTIFS(#REF!,"&gt;=75",#REF!,"&lt;=150",#REF!,"Hispanic-Latino ",#REF!,"Female")</f>
        <v>#REF!</v>
      </c>
      <c r="Y149" s="219" t="e">
        <f>COUNTIFS(#REF!,"&gt;=75",#REF!,"&lt;=150",#REF!,"Unknown",#REF!,"Male")</f>
        <v>#REF!</v>
      </c>
      <c r="Z149" s="218" t="e">
        <f>COUNTIFS(#REF!,"&gt;=75",#REF!,"&lt;=150",#REF!,"Unknown",#REF!,"Female")</f>
        <v>#REF!</v>
      </c>
      <c r="AA149" s="944" t="s">
        <v>990</v>
      </c>
      <c r="AB149" s="326"/>
      <c r="AC149" s="327"/>
      <c r="AD149" s="303" t="e">
        <f t="shared" si="28"/>
        <v>#REF!</v>
      </c>
      <c r="AF149" s="304" t="e">
        <f t="shared" si="29"/>
        <v>#REF!</v>
      </c>
      <c r="AH149" s="302"/>
      <c r="AJ149" s="302"/>
      <c r="AM149" s="170">
        <v>15</v>
      </c>
    </row>
    <row r="150" spans="1:39" ht="24.75" customHeight="1" x14ac:dyDescent="0.25">
      <c r="A150" s="947" t="s">
        <v>991</v>
      </c>
      <c r="B150" s="326"/>
      <c r="C150" s="327"/>
      <c r="D150" s="1022" t="e">
        <f>SUM(D142:D149)</f>
        <v>#REF!</v>
      </c>
      <c r="E150" s="327"/>
      <c r="F150" s="307" t="e">
        <f t="shared" ref="F150:S150" si="30">SUM(F142:F149)</f>
        <v>#REF!</v>
      </c>
      <c r="G150" s="223" t="e">
        <f t="shared" si="30"/>
        <v>#REF!</v>
      </c>
      <c r="H150" s="222" t="e">
        <f t="shared" si="30"/>
        <v>#REF!</v>
      </c>
      <c r="I150" s="223" t="e">
        <f t="shared" si="30"/>
        <v>#REF!</v>
      </c>
      <c r="J150" s="222" t="e">
        <f t="shared" si="30"/>
        <v>#REF!</v>
      </c>
      <c r="K150" s="223" t="e">
        <f t="shared" si="30"/>
        <v>#REF!</v>
      </c>
      <c r="L150" s="222" t="e">
        <f t="shared" si="30"/>
        <v>#REF!</v>
      </c>
      <c r="M150" s="223" t="e">
        <f t="shared" si="30"/>
        <v>#REF!</v>
      </c>
      <c r="N150" s="222" t="e">
        <f t="shared" si="30"/>
        <v>#REF!</v>
      </c>
      <c r="O150" s="223" t="e">
        <f t="shared" si="30"/>
        <v>#REF!</v>
      </c>
      <c r="P150" s="222" t="e">
        <f t="shared" si="30"/>
        <v>#REF!</v>
      </c>
      <c r="Q150" s="223" t="e">
        <f t="shared" si="30"/>
        <v>#REF!</v>
      </c>
      <c r="R150" s="222" t="e">
        <f t="shared" si="30"/>
        <v>#REF!</v>
      </c>
      <c r="S150" s="223" t="e">
        <f t="shared" si="30"/>
        <v>#REF!</v>
      </c>
      <c r="T150" s="224"/>
      <c r="U150" s="222" t="e">
        <f t="shared" ref="U150:Z150" si="31">SUM(U142:U149)</f>
        <v>#REF!</v>
      </c>
      <c r="V150" s="223" t="e">
        <f t="shared" si="31"/>
        <v>#REF!</v>
      </c>
      <c r="W150" s="222" t="e">
        <f t="shared" si="31"/>
        <v>#REF!</v>
      </c>
      <c r="X150" s="223" t="e">
        <f t="shared" si="31"/>
        <v>#REF!</v>
      </c>
      <c r="Y150" s="222" t="e">
        <f t="shared" si="31"/>
        <v>#REF!</v>
      </c>
      <c r="Z150" s="223" t="e">
        <f t="shared" si="31"/>
        <v>#REF!</v>
      </c>
      <c r="AA150" s="308"/>
      <c r="AB150" s="308"/>
      <c r="AC150" s="308"/>
      <c r="AD150" s="309" t="e">
        <f t="shared" si="28"/>
        <v>#REF!</v>
      </c>
      <c r="AF150" s="309" t="e">
        <f t="shared" si="29"/>
        <v>#REF!</v>
      </c>
      <c r="AH150" s="302"/>
      <c r="AJ150" s="302"/>
      <c r="AM150" s="170">
        <f>SUM(AM142:AM149)</f>
        <v>112</v>
      </c>
    </row>
    <row r="151" spans="1:39" ht="15" customHeight="1" x14ac:dyDescent="0.25">
      <c r="A151" s="1023" t="s">
        <v>1044</v>
      </c>
      <c r="B151" s="326"/>
      <c r="C151" s="326"/>
      <c r="D151" s="326"/>
      <c r="E151" s="326"/>
      <c r="F151" s="326"/>
      <c r="G151" s="326"/>
      <c r="H151" s="326"/>
      <c r="I151" s="326"/>
      <c r="J151" s="326"/>
      <c r="K151" s="326"/>
      <c r="L151" s="326"/>
      <c r="M151" s="326"/>
      <c r="N151" s="326"/>
      <c r="O151" s="326"/>
      <c r="P151" s="326"/>
      <c r="Q151" s="326"/>
      <c r="R151" s="326"/>
      <c r="S151" s="327"/>
      <c r="T151" s="224"/>
      <c r="U151" s="228"/>
      <c r="V151" s="228"/>
      <c r="W151" s="228"/>
      <c r="X151" s="228"/>
      <c r="Y151" s="228"/>
      <c r="Z151" s="228"/>
      <c r="AA151" s="9"/>
      <c r="AB151" s="9"/>
      <c r="AC151" s="9"/>
      <c r="AD151" s="229"/>
      <c r="AF151" s="229"/>
      <c r="AH151" s="302"/>
      <c r="AJ151" s="302"/>
    </row>
    <row r="152" spans="1:39" ht="30" customHeight="1" x14ac:dyDescent="0.25">
      <c r="A152" s="948" t="s">
        <v>975</v>
      </c>
      <c r="B152" s="350"/>
      <c r="C152" s="350"/>
      <c r="D152" s="350"/>
      <c r="E152" s="351"/>
      <c r="F152" s="946" t="s">
        <v>562</v>
      </c>
      <c r="G152" s="327"/>
      <c r="H152" s="946" t="s">
        <v>733</v>
      </c>
      <c r="I152" s="327"/>
      <c r="J152" s="946" t="s">
        <v>976</v>
      </c>
      <c r="K152" s="327"/>
      <c r="L152" s="946" t="s">
        <v>565</v>
      </c>
      <c r="M152" s="327"/>
      <c r="N152" s="946" t="s">
        <v>977</v>
      </c>
      <c r="O152" s="327"/>
      <c r="P152" s="946" t="s">
        <v>978</v>
      </c>
      <c r="Q152" s="327"/>
      <c r="R152" s="946" t="s">
        <v>742</v>
      </c>
      <c r="S152" s="327"/>
      <c r="T152" s="201"/>
      <c r="U152" s="946" t="s">
        <v>570</v>
      </c>
      <c r="V152" s="327"/>
      <c r="W152" s="946" t="s">
        <v>571</v>
      </c>
      <c r="X152" s="327"/>
      <c r="Y152" s="946" t="s">
        <v>979</v>
      </c>
      <c r="Z152" s="327"/>
      <c r="AA152" s="630" t="s">
        <v>1037</v>
      </c>
      <c r="AB152" s="368"/>
      <c r="AC152" s="369"/>
      <c r="AD152" s="196" t="s">
        <v>731</v>
      </c>
      <c r="AF152" s="196" t="s">
        <v>973</v>
      </c>
      <c r="AI152" s="170" t="s">
        <v>734</v>
      </c>
    </row>
    <row r="153" spans="1:39" ht="24.75" customHeight="1" x14ac:dyDescent="0.25">
      <c r="A153" s="310"/>
      <c r="B153" s="310"/>
      <c r="C153" s="310"/>
      <c r="D153" s="310"/>
      <c r="E153" s="311"/>
      <c r="F153" s="202" t="s">
        <v>981</v>
      </c>
      <c r="G153" s="203" t="s">
        <v>982</v>
      </c>
      <c r="H153" s="202" t="s">
        <v>981</v>
      </c>
      <c r="I153" s="203" t="s">
        <v>982</v>
      </c>
      <c r="J153" s="202" t="s">
        <v>981</v>
      </c>
      <c r="K153" s="203" t="s">
        <v>982</v>
      </c>
      <c r="L153" s="202" t="s">
        <v>981</v>
      </c>
      <c r="M153" s="203" t="s">
        <v>982</v>
      </c>
      <c r="N153" s="202" t="s">
        <v>981</v>
      </c>
      <c r="O153" s="203" t="s">
        <v>982</v>
      </c>
      <c r="P153" s="202" t="s">
        <v>981</v>
      </c>
      <c r="Q153" s="203" t="s">
        <v>982</v>
      </c>
      <c r="R153" s="202" t="s">
        <v>981</v>
      </c>
      <c r="S153" s="203" t="s">
        <v>982</v>
      </c>
      <c r="T153" s="5"/>
      <c r="U153" s="202" t="s">
        <v>981</v>
      </c>
      <c r="V153" s="203" t="s">
        <v>982</v>
      </c>
      <c r="W153" s="202" t="s">
        <v>981</v>
      </c>
      <c r="X153" s="203" t="s">
        <v>982</v>
      </c>
      <c r="Y153" s="202" t="s">
        <v>981</v>
      </c>
      <c r="Z153" s="312" t="s">
        <v>982</v>
      </c>
      <c r="AA153" s="422"/>
      <c r="AB153" s="373"/>
      <c r="AC153" s="374"/>
      <c r="AD153" s="196"/>
      <c r="AF153" s="196"/>
      <c r="AI153" s="170" t="s">
        <v>735</v>
      </c>
    </row>
    <row r="154" spans="1:39" ht="24.75" customHeight="1" x14ac:dyDescent="0.25">
      <c r="A154" s="1028" t="s">
        <v>1045</v>
      </c>
      <c r="B154" s="326"/>
      <c r="C154" s="327"/>
      <c r="D154" s="954" t="s">
        <v>994</v>
      </c>
      <c r="E154" s="327"/>
      <c r="F154" s="224"/>
      <c r="G154" s="313" t="e">
        <f>COUNTIFS(#REF!,"YES",#REF!,"White",#REF!,"Female")</f>
        <v>#REF!</v>
      </c>
      <c r="H154" s="228"/>
      <c r="I154" s="232" t="e">
        <f>COUNTIFS(#REF!,"YES",#REF!,"African American /Black",#REF!,"Female")</f>
        <v>#REF!</v>
      </c>
      <c r="J154" s="228"/>
      <c r="K154" s="232" t="e">
        <f>COUNTIFS(#REF!,"YES",#REF!,"Native Hawaiian/Pacific",#REF!,"Female")</f>
        <v>#REF!</v>
      </c>
      <c r="L154" s="228"/>
      <c r="M154" s="232" t="e">
        <f>COUNTIFS(#REF!,"YES",#REF!,"Asian",#REF!,"Female")</f>
        <v>#REF!</v>
      </c>
      <c r="N154" s="228"/>
      <c r="O154" s="232" t="e">
        <f>COUNTIFS(#REF!,"YES",#REF!,"American Indian Alaskan Native",#REF!,"Female")</f>
        <v>#REF!</v>
      </c>
      <c r="P154" s="228"/>
      <c r="Q154" s="232" t="e">
        <f>COUNTIFS(#REF!,"YES",#REF!,"More than One Race Reported",#REF!,"Female")</f>
        <v>#REF!</v>
      </c>
      <c r="R154" s="228"/>
      <c r="S154" s="232" t="e">
        <f>COUNTIFS(#REF!,"YES",#REF!,"Unknown",#REF!,"Female")</f>
        <v>#REF!</v>
      </c>
      <c r="T154" s="228"/>
      <c r="U154" s="228"/>
      <c r="V154" s="232" t="e">
        <f>COUNTIFS(#REF!,"YES",#REF!,"Not Hispanic or Latino",#REF!,"Female")</f>
        <v>#REF!</v>
      </c>
      <c r="W154" s="228"/>
      <c r="X154" s="232" t="e">
        <f>COUNTIFS(#REF!,"YES",#REF!,"Hispanic-Latino ",#REF!,"Female")</f>
        <v>#REF!</v>
      </c>
      <c r="Y154" s="228"/>
      <c r="Z154" s="232" t="e">
        <f>COUNTIFS(#REF!,"YES",#REF!,"Unknown",#REF!,"Female")</f>
        <v>#REF!</v>
      </c>
      <c r="AA154" s="1035" t="s">
        <v>1046</v>
      </c>
      <c r="AB154" s="326"/>
      <c r="AC154" s="327"/>
      <c r="AD154" s="314" t="e">
        <f t="shared" ref="AD154:AD156" si="32">SUM(F154:S154)</f>
        <v>#REF!</v>
      </c>
      <c r="AF154" s="315" t="e">
        <f t="shared" ref="AF154:AF156" si="33">SUM(U154:Z154)</f>
        <v>#REF!</v>
      </c>
      <c r="AI154" s="170" t="s">
        <v>737</v>
      </c>
    </row>
    <row r="155" spans="1:39" ht="24.75" customHeight="1" x14ac:dyDescent="0.25">
      <c r="A155" s="1030" t="s">
        <v>1047</v>
      </c>
      <c r="B155" s="326"/>
      <c r="C155" s="327"/>
      <c r="D155" s="954"/>
      <c r="E155" s="327"/>
      <c r="F155" s="224"/>
      <c r="G155" s="316" t="e">
        <f>COUNTIFS(#REF!,"YES",#REF!,"White",#REF!,"Female",#REF!,"YES")</f>
        <v>#REF!</v>
      </c>
      <c r="H155" s="228"/>
      <c r="I155" s="236" t="e">
        <f>COUNTIFS(#REF!,"YES",#REF!,"African American /Black",#REF!,"Female",#REF!,"YES")</f>
        <v>#REF!</v>
      </c>
      <c r="J155" s="228"/>
      <c r="K155" s="236" t="e">
        <f>COUNTIFS(#REF!,"YES",#REF!,"Native Hawaiian/Pacific",#REF!,"Female",#REF!,"YES")</f>
        <v>#REF!</v>
      </c>
      <c r="L155" s="228"/>
      <c r="M155" s="236" t="e">
        <f>COUNTIFS(#REF!,"YES",#REF!,"Asian",#REF!,"Female",#REF!,"YES")</f>
        <v>#REF!</v>
      </c>
      <c r="N155" s="228"/>
      <c r="O155" s="236" t="e">
        <f>COUNTIFS(#REF!,"YES",#REF!,"American Indian Alaskan Native",#REF!,"Female",#REF!,"YES")</f>
        <v>#REF!</v>
      </c>
      <c r="P155" s="228"/>
      <c r="Q155" s="236" t="e">
        <f>COUNTIFS(#REF!,"YES",#REF!,"More than One Race Reported",#REF!,"Female",#REF!,"YES")</f>
        <v>#REF!</v>
      </c>
      <c r="R155" s="228"/>
      <c r="S155" s="236" t="e">
        <f>COUNTIFS(#REF!,"YES",#REF!,"Unknown",#REF!,"Female",#REF!,"YES")</f>
        <v>#REF!</v>
      </c>
      <c r="T155" s="228"/>
      <c r="U155" s="228"/>
      <c r="V155" s="236" t="e">
        <f>COUNTIFS(#REF!,"YES",#REF!,"Not Hispanic or Latino",#REF!,"Female",#REF!,"YES")</f>
        <v>#REF!</v>
      </c>
      <c r="W155" s="228"/>
      <c r="X155" s="236" t="e">
        <f>COUNTIFS(#REF!,"YES",#REF!,"Hispanic-Latino ",#REF!,"Female",#REF!,"YES")</f>
        <v>#REF!</v>
      </c>
      <c r="Y155" s="228"/>
      <c r="Z155" s="236" t="e">
        <f>COUNTIFS(#REF!,"YES",#REF!,"Unknown",#REF!,"Female",#REF!,"YES")</f>
        <v>#REF!</v>
      </c>
      <c r="AA155" s="1033" t="s">
        <v>1048</v>
      </c>
      <c r="AB155" s="326"/>
      <c r="AC155" s="327"/>
      <c r="AD155" s="317" t="e">
        <f t="shared" si="32"/>
        <v>#REF!</v>
      </c>
      <c r="AF155" s="318" t="e">
        <f t="shared" si="33"/>
        <v>#REF!</v>
      </c>
    </row>
    <row r="156" spans="1:39" ht="24.75" customHeight="1" x14ac:dyDescent="0.25">
      <c r="A156" s="956" t="s">
        <v>1049</v>
      </c>
      <c r="B156" s="326"/>
      <c r="C156" s="327"/>
      <c r="D156" s="954" t="s">
        <v>998</v>
      </c>
      <c r="E156" s="327"/>
      <c r="F156" s="239" t="e">
        <f>COUNTIFS(#REF!,"&gt;=YES",#REF!,"White",#REF!,"Male")</f>
        <v>#REF!</v>
      </c>
      <c r="G156" s="319" t="e">
        <f>COUNTIFS(#REF!,"&gt;=YES",#REF!,"White",#REF!,"Female")</f>
        <v>#REF!</v>
      </c>
      <c r="H156" s="239" t="e">
        <f>COUNTIFS(#REF!,"&gt;=YES",#REF!,"African American /Black",#REF!,"Male")</f>
        <v>#REF!</v>
      </c>
      <c r="I156" s="240" t="e">
        <f>COUNTIFS(#REF!,"&gt;=YES",#REF!,"African American /Black",#REF!,"Female")</f>
        <v>#REF!</v>
      </c>
      <c r="J156" s="239" t="e">
        <f>COUNTIFS(#REF!,"&gt;=YES",#REF!,"Native Hawaiian/Pacific",#REF!,"Male")</f>
        <v>#REF!</v>
      </c>
      <c r="K156" s="240" t="e">
        <f>COUNTIFS(#REF!,"&gt;=YES",#REF!,"Native Hawaiian/Pacific",#REF!,"Female")</f>
        <v>#REF!</v>
      </c>
      <c r="L156" s="239" t="e">
        <f>COUNTIFS(#REF!,"&gt;=YES",#REF!,"Asian",#REF!,"Male")</f>
        <v>#REF!</v>
      </c>
      <c r="M156" s="240" t="e">
        <f>COUNTIFS(#REF!,"&gt;=YES",#REF!,"Asian",#REF!,"Female")</f>
        <v>#REF!</v>
      </c>
      <c r="N156" s="239" t="e">
        <f>COUNTIFS(#REF!,"&gt;=YES",#REF!,"American Indian Alaskan Native",#REF!,"Male")</f>
        <v>#REF!</v>
      </c>
      <c r="O156" s="240" t="e">
        <f>COUNTIFS(#REF!,"&gt;=YES",#REF!,"American Indian Alaskan Native",#REF!,"Female")</f>
        <v>#REF!</v>
      </c>
      <c r="P156" s="239" t="e">
        <f>COUNTIFS(#REF!,"&gt;=YES",#REF!,"More than One Race Reported",#REF!,"Male")</f>
        <v>#REF!</v>
      </c>
      <c r="Q156" s="240" t="e">
        <f>COUNTIFS(#REF!,"&gt;=YES",#REF!,"More than One Race Reported",#REF!,"Female")</f>
        <v>#REF!</v>
      </c>
      <c r="R156" s="239" t="e">
        <f>COUNTIFS(#REF!,"&gt;=YES",#REF!,"Unknown",#REF!,"Male")</f>
        <v>#REF!</v>
      </c>
      <c r="S156" s="240" t="e">
        <f>COUNTIFS(#REF!,"&gt;=YES",#REF!,"Unknown",#REF!,"Female")</f>
        <v>#REF!</v>
      </c>
      <c r="T156" s="224"/>
      <c r="U156" s="239" t="e">
        <f>COUNTIFS(#REF!,"YES",#REF!,"Not Hispanic or Latino",#REF!,"Male")</f>
        <v>#REF!</v>
      </c>
      <c r="V156" s="240" t="e">
        <f>COUNTIFS(#REF!,"YES",#REF!,"Not Hispanic or Latino",#REF!,"Female")</f>
        <v>#REF!</v>
      </c>
      <c r="W156" s="239" t="e">
        <f>COUNTIFS(#REF!,"YES",#REF!,"Hispanic-Latino ",#REF!,"Male")</f>
        <v>#REF!</v>
      </c>
      <c r="X156" s="240" t="e">
        <f>COUNTIFS(#REF!,"YES",#REF!,"Hispanic-Latino ",#REF!,"Female")</f>
        <v>#REF!</v>
      </c>
      <c r="Y156" s="239" t="e">
        <f>COUNTIFS(#REF!,"YES",#REF!,"Unknown",#REF!,"Male")</f>
        <v>#REF!</v>
      </c>
      <c r="Z156" s="240" t="e">
        <f>COUNTIFS(#REF!,"YES",#REF!,"Unknown",#REF!,"Female")</f>
        <v>#REF!</v>
      </c>
      <c r="AA156" s="1034" t="s">
        <v>1050</v>
      </c>
      <c r="AB156" s="326"/>
      <c r="AC156" s="327"/>
      <c r="AD156" s="320" t="e">
        <f t="shared" si="32"/>
        <v>#REF!</v>
      </c>
      <c r="AF156" s="321" t="e">
        <f t="shared" si="33"/>
        <v>#REF!</v>
      </c>
    </row>
    <row r="157" spans="1:39" ht="15.75" customHeight="1" x14ac:dyDescent="0.25">
      <c r="A157" s="262"/>
      <c r="B157" s="262"/>
      <c r="C157" s="262"/>
      <c r="D157" s="263"/>
      <c r="E157" s="263"/>
      <c r="F157" s="965" t="s">
        <v>1051</v>
      </c>
      <c r="G157" s="344"/>
      <c r="H157" s="344"/>
      <c r="I157" s="344"/>
      <c r="J157" s="344"/>
      <c r="K157" s="344"/>
      <c r="L157" s="344"/>
      <c r="M157" s="344"/>
      <c r="N157" s="344"/>
      <c r="O157" s="344"/>
      <c r="P157" s="344"/>
      <c r="Q157" s="344"/>
      <c r="R157" s="344"/>
      <c r="S157" s="470"/>
      <c r="T157" s="195"/>
      <c r="U157" s="965" t="s">
        <v>1051</v>
      </c>
      <c r="V157" s="344"/>
      <c r="W157" s="344"/>
      <c r="X157" s="344"/>
      <c r="Y157" s="344"/>
      <c r="Z157" s="470"/>
      <c r="AA157" s="274"/>
      <c r="AB157" s="274"/>
      <c r="AC157" s="274"/>
      <c r="AD157" s="264"/>
      <c r="AE157" s="97"/>
      <c r="AF157" s="264"/>
    </row>
    <row r="158" spans="1:39" ht="24.75" customHeight="1" x14ac:dyDescent="0.25">
      <c r="A158" s="962" t="s">
        <v>734</v>
      </c>
      <c r="B158" s="326"/>
      <c r="C158" s="327"/>
      <c r="D158" s="964" t="s">
        <v>1052</v>
      </c>
      <c r="E158" s="327"/>
      <c r="F158" s="41" t="e">
        <f>COUNTIFS(#REF!,"accepted",#REF!,"White",#REF!,"Male")</f>
        <v>#REF!</v>
      </c>
      <c r="G158" s="41" t="e">
        <f>COUNTIFS(#REF!,"accepted",#REF!,"White",#REF!,"Female")</f>
        <v>#REF!</v>
      </c>
      <c r="H158" s="41" t="e">
        <f>COUNTIFS(#REF!,"accepted",#REF!,"African American /Black",#REF!,"Male")</f>
        <v>#REF!</v>
      </c>
      <c r="I158" s="41" t="e">
        <f>COUNTIFS(#REF!,"accepted",#REF!,"African American /Black",#REF!,"Female")</f>
        <v>#REF!</v>
      </c>
      <c r="J158" s="41" t="e">
        <f>COUNTIFS(#REF!,"accepted",#REF!,"Native Hawaiian/Pacific",#REF!,"Male")</f>
        <v>#REF!</v>
      </c>
      <c r="K158" s="41" t="e">
        <f>COUNTIFS(#REF!,"accepted",#REF!,"Native Hawaiian/Pacific",#REF!,"Female")</f>
        <v>#REF!</v>
      </c>
      <c r="L158" s="41" t="e">
        <f>COUNTIFS(#REF!,"accepted",#REF!,"Asian",#REF!,"Male")</f>
        <v>#REF!</v>
      </c>
      <c r="M158" s="41" t="e">
        <f>COUNTIFS(#REF!,"accepted",#REF!,"Asian",#REF!,"Female")</f>
        <v>#REF!</v>
      </c>
      <c r="N158" s="41" t="e">
        <f>COUNTIFS(#REF!,"accepted",#REF!,"American Indian Alaskan Native",#REF!,"Male")</f>
        <v>#REF!</v>
      </c>
      <c r="O158" s="41" t="e">
        <f>COUNTIFS(#REF!,"accepted",#REF!,"American Indian Alaskan Native",#REF!,"Female")</f>
        <v>#REF!</v>
      </c>
      <c r="P158" s="41" t="e">
        <f>COUNTIFS(#REF!,"accepted",#REF!,"More than One Race Reported",#REF!,"Male")</f>
        <v>#REF!</v>
      </c>
      <c r="Q158" s="41" t="e">
        <f>COUNTIFS(#REF!,"accepted",#REF!,"More than One Race Reported",#REF!,"Female")</f>
        <v>#REF!</v>
      </c>
      <c r="R158" s="41" t="e">
        <f>COUNTIFS(#REF!,"accepted",#REF!,"Unknown",#REF!,"Male")</f>
        <v>#REF!</v>
      </c>
      <c r="S158" s="41" t="e">
        <f>COUNTIFS(#REF!,"accepted",#REF!,"Unknown",#REF!,"Female")</f>
        <v>#REF!</v>
      </c>
      <c r="T158" s="268"/>
      <c r="U158" s="41" t="e">
        <f>COUNTIFS(#REF!,"accepted",#REF!,"Not Hispanic or Latino",#REF!,"Male")</f>
        <v>#REF!</v>
      </c>
      <c r="V158" s="41" t="e">
        <f>COUNTIFS(#REF!,"accepted",#REF!,"Not Hispanic or Latino",#REF!,"Female")</f>
        <v>#REF!</v>
      </c>
      <c r="W158" s="41" t="e">
        <f>COUNTIFS(#REF!,"accepted",#REF!,"Hispanic-Latino ",#REF!,"Male")</f>
        <v>#REF!</v>
      </c>
      <c r="X158" s="41" t="e">
        <f>COUNTIFS(#REF!,"accepted",#REF!,"Hispanic-Latino ",#REF!,"Female")</f>
        <v>#REF!</v>
      </c>
      <c r="Y158" s="41" t="e">
        <f>COUNTIFS(#REF!,"accepted",#REF!,"Unknown",#REF!,"Male")</f>
        <v>#REF!</v>
      </c>
      <c r="Z158" s="41" t="e">
        <f>COUNTIFS(#REF!,"accepted",#REF!,"Unknown",#REF!,"Female")</f>
        <v>#REF!</v>
      </c>
      <c r="AA158" s="962" t="s">
        <v>1053</v>
      </c>
      <c r="AB158" s="326"/>
      <c r="AC158" s="327"/>
      <c r="AD158" s="36" t="e">
        <f t="shared" ref="AD158:AD161" si="34">SUM(F158:S158)</f>
        <v>#REF!</v>
      </c>
      <c r="AF158" s="36" t="e">
        <f t="shared" ref="AF158:AF161" si="35">SUM(U158:Z158)</f>
        <v>#REF!</v>
      </c>
    </row>
    <row r="159" spans="1:39" ht="24.75" customHeight="1" x14ac:dyDescent="0.25">
      <c r="A159" s="526" t="s">
        <v>735</v>
      </c>
      <c r="B159" s="326"/>
      <c r="C159" s="327"/>
      <c r="D159" s="963" t="s">
        <v>1052</v>
      </c>
      <c r="E159" s="327"/>
      <c r="F159" s="65" t="e">
        <f>COUNTIFS(#REF!,"wait list (give anticpated time)",#REF!,"White",#REF!,"Male")</f>
        <v>#REF!</v>
      </c>
      <c r="G159" s="65" t="e">
        <f>COUNTIFS(#REF!,"wait list (give anticpated time)",#REF!,"White",#REF!,"Female")</f>
        <v>#REF!</v>
      </c>
      <c r="H159" s="65" t="e">
        <f>COUNTIFS(#REF!,"wait list (give anticpated time)",#REF!,"African American /Black",#REF!,"Male")</f>
        <v>#REF!</v>
      </c>
      <c r="I159" s="65" t="e">
        <f>COUNTIFS(#REF!,"wait list (give anticpated time)",#REF!,"African American /Black",#REF!,"Female")</f>
        <v>#REF!</v>
      </c>
      <c r="J159" s="65" t="e">
        <f>COUNTIFS(#REF!,"wait list (give anticpated time)",#REF!,"Native Hawaiian/Pacific",#REF!,"Male")</f>
        <v>#REF!</v>
      </c>
      <c r="K159" s="65" t="e">
        <f>COUNTIFS(#REF!,"wait list (give anticpated time)",#REF!,"Native Hawaiian/Pacific",#REF!,"Female")</f>
        <v>#REF!</v>
      </c>
      <c r="L159" s="65" t="e">
        <f>COUNTIFS(#REF!,"wait list (give anticpated time)",#REF!,"Asian",#REF!,"Male")</f>
        <v>#REF!</v>
      </c>
      <c r="M159" s="65" t="e">
        <f>COUNTIFS(#REF!,"wait list (give anticpated time)",#REF!,"Asian",#REF!,"Female")</f>
        <v>#REF!</v>
      </c>
      <c r="N159" s="65" t="e">
        <f>COUNTIFS(#REF!,"wait list (give anticpated time)",#REF!,"American Indian Alaskan Native",#REF!,"Male")</f>
        <v>#REF!</v>
      </c>
      <c r="O159" s="65" t="e">
        <f>COUNTIFS(#REF!,"wait list (give anticpated time)",#REF!,"American Indian Alaskan Native",#REF!,"Female")</f>
        <v>#REF!</v>
      </c>
      <c r="P159" s="65" t="e">
        <f>COUNTIFS(#REF!,"wait list (give anticpated time)",#REF!,"More than One Race Reported",#REF!,"Male")</f>
        <v>#REF!</v>
      </c>
      <c r="Q159" s="65" t="e">
        <f>COUNTIFS(#REF!,"wait list (give anticpated time)",#REF!,"More than One Race Reported",#REF!,"Female")</f>
        <v>#REF!</v>
      </c>
      <c r="R159" s="65" t="e">
        <f>COUNTIFS(#REF!,"wait list (give anticpated time)",#REF!,"Unknown",#REF!,"Male")</f>
        <v>#REF!</v>
      </c>
      <c r="S159" s="65" t="e">
        <f>COUNTIFS(#REF!,"wait list (give anticpated time)",#REF!,"Unknown",#REF!,"Female")</f>
        <v>#REF!</v>
      </c>
      <c r="T159" s="268"/>
      <c r="U159" s="65" t="e">
        <f>COUNTIFS(#REF!,"wait list (give anticpated time)",#REF!,"Not Hispanic or Latino",#REF!,"Male")</f>
        <v>#REF!</v>
      </c>
      <c r="V159" s="65" t="e">
        <f>COUNTIFS(#REF!,"wait list (give anticpated time)",#REF!,"Not Hispanic or Latino",#REF!,"Female")</f>
        <v>#REF!</v>
      </c>
      <c r="W159" s="65" t="e">
        <f>COUNTIFS(#REF!,"wait list (give anticpated time)",#REF!,"Hispanic-Latino ",#REF!,"Male")</f>
        <v>#REF!</v>
      </c>
      <c r="X159" s="65" t="e">
        <f>COUNTIFS(#REF!,"wait list (give anticpated time)",#REF!,"Hispanic-Latino ",#REF!,"Female")</f>
        <v>#REF!</v>
      </c>
      <c r="Y159" s="65" t="e">
        <f>COUNTIFS(#REF!,"wait list (give anticpated time)",#REF!,"Unknown",#REF!,"Male")</f>
        <v>#REF!</v>
      </c>
      <c r="Z159" s="65" t="e">
        <f>COUNTIFS(#REF!,"wait list (give anticpated time)",#REF!,"Unknown",#REF!,"Female")</f>
        <v>#REF!</v>
      </c>
      <c r="AA159" s="526" t="s">
        <v>1054</v>
      </c>
      <c r="AB159" s="326"/>
      <c r="AC159" s="327"/>
      <c r="AD159" s="57" t="e">
        <f t="shared" si="34"/>
        <v>#REF!</v>
      </c>
      <c r="AF159" s="57" t="e">
        <f t="shared" si="35"/>
        <v>#REF!</v>
      </c>
    </row>
    <row r="160" spans="1:39" ht="24.75" customHeight="1" x14ac:dyDescent="0.25">
      <c r="A160" s="962" t="s">
        <v>737</v>
      </c>
      <c r="B160" s="326"/>
      <c r="C160" s="327"/>
      <c r="D160" s="964" t="s">
        <v>1052</v>
      </c>
      <c r="E160" s="327"/>
      <c r="F160" s="41" t="e">
        <f>COUNTIFS(#REF!,"denied (give reason) ",#REF!,"White",#REF!,"Male")</f>
        <v>#REF!</v>
      </c>
      <c r="G160" s="41" t="e">
        <f>COUNTIFS(#REF!,"denied (give reason) ",#REF!,"White",#REF!,"Female")</f>
        <v>#REF!</v>
      </c>
      <c r="H160" s="41" t="e">
        <f>COUNTIFS(#REF!,"denied (give reason) ",#REF!,"African American /Black",#REF!,"Male")</f>
        <v>#REF!</v>
      </c>
      <c r="I160" s="41" t="e">
        <f>COUNTIFS(#REF!,"denied (give reason) ",#REF!,"African American /Black",#REF!,"Female")</f>
        <v>#REF!</v>
      </c>
      <c r="J160" s="41" t="e">
        <f>COUNTIFS(#REF!,"denied (give reason) ",#REF!,"Native Hawaiian/Pacific",#REF!,"Male")</f>
        <v>#REF!</v>
      </c>
      <c r="K160" s="41" t="e">
        <f>COUNTIFS(#REF!,"denied (give reason) ",#REF!,"Native Hawaiian/Pacific",#REF!,"Female")</f>
        <v>#REF!</v>
      </c>
      <c r="L160" s="41" t="e">
        <f>COUNTIFS(#REF!,"denied (give reason) ",#REF!,"Asian",#REF!,"Male")</f>
        <v>#REF!</v>
      </c>
      <c r="M160" s="41" t="e">
        <f>COUNTIFS(#REF!,"denied (give reason) ",#REF!,"Asian",#REF!,"Female")</f>
        <v>#REF!</v>
      </c>
      <c r="N160" s="41" t="e">
        <f>COUNTIFS(#REF!,"denied (give reason) ",#REF!,"American Indian Alaskan Native",#REF!,"Male")</f>
        <v>#REF!</v>
      </c>
      <c r="O160" s="41" t="e">
        <f>COUNTIFS(#REF!,"denied (give reason) ",#REF!,"American Indian Alaskan Native",#REF!,"Female")</f>
        <v>#REF!</v>
      </c>
      <c r="P160" s="41" t="e">
        <f>COUNTIFS(#REF!,"denied (give reason) ",#REF!,"More than One Race Reported",#REF!,"Male")</f>
        <v>#REF!</v>
      </c>
      <c r="Q160" s="41" t="e">
        <f>COUNTIFS(#REF!,"denied (give reason) ",#REF!,"More than One Race Reported",#REF!,"Female")</f>
        <v>#REF!</v>
      </c>
      <c r="R160" s="41" t="e">
        <f>COUNTIFS(#REF!,"denied (give reason) ",#REF!,"Unknown",#REF!,"Male")</f>
        <v>#REF!</v>
      </c>
      <c r="S160" s="41" t="e">
        <f>COUNTIFS(#REF!,"denied (give reason) ",#REF!,"Unknown",#REF!,"Female")</f>
        <v>#REF!</v>
      </c>
      <c r="T160" s="268"/>
      <c r="U160" s="41" t="e">
        <f>COUNTIFS(#REF!,"denied (give reason) ",#REF!,"Not Hispanic or Latino",#REF!,"Male")</f>
        <v>#REF!</v>
      </c>
      <c r="V160" s="41" t="e">
        <f>COUNTIFS(#REF!,"denied (give reason) ",#REF!,"Not Hispanic or Latino",#REF!,"Female")</f>
        <v>#REF!</v>
      </c>
      <c r="W160" s="41" t="e">
        <f>COUNTIFS(#REF!,"denied (give reason) ",#REF!,"Hispanic-Latino ",#REF!,"Male")</f>
        <v>#REF!</v>
      </c>
      <c r="X160" s="41" t="e">
        <f>COUNTIFS(#REF!,"denied (give reason) ",#REF!,"Hispanic-Latino ",#REF!,"Female")</f>
        <v>#REF!</v>
      </c>
      <c r="Y160" s="41" t="e">
        <f>COUNTIFS(#REF!,"denied (give reason) ",#REF!,"Unknown",#REF!,"Male")</f>
        <v>#REF!</v>
      </c>
      <c r="Z160" s="41" t="e">
        <f>COUNTIFS(#REF!,"denied (give reason) ",#REF!,"Unknown",#REF!,"Female")</f>
        <v>#REF!</v>
      </c>
      <c r="AA160" s="962" t="s">
        <v>1055</v>
      </c>
      <c r="AB160" s="326"/>
      <c r="AC160" s="327"/>
      <c r="AD160" s="36" t="e">
        <f t="shared" si="34"/>
        <v>#REF!</v>
      </c>
      <c r="AF160" s="36" t="e">
        <f t="shared" si="35"/>
        <v>#REF!</v>
      </c>
    </row>
    <row r="161" spans="1:49" ht="15.75" customHeight="1" x14ac:dyDescent="0.25">
      <c r="A161" s="271"/>
      <c r="B161" s="271"/>
      <c r="C161" s="271"/>
      <c r="D161" s="272"/>
      <c r="E161" s="272"/>
      <c r="F161" s="273" t="e">
        <f t="shared" ref="F161:S161" si="36">SUM(F158:F160)</f>
        <v>#REF!</v>
      </c>
      <c r="G161" s="273" t="e">
        <f t="shared" si="36"/>
        <v>#REF!</v>
      </c>
      <c r="H161" s="273" t="e">
        <f t="shared" si="36"/>
        <v>#REF!</v>
      </c>
      <c r="I161" s="273" t="e">
        <f t="shared" si="36"/>
        <v>#REF!</v>
      </c>
      <c r="J161" s="273" t="e">
        <f t="shared" si="36"/>
        <v>#REF!</v>
      </c>
      <c r="K161" s="273" t="e">
        <f t="shared" si="36"/>
        <v>#REF!</v>
      </c>
      <c r="L161" s="273" t="e">
        <f t="shared" si="36"/>
        <v>#REF!</v>
      </c>
      <c r="M161" s="273" t="e">
        <f t="shared" si="36"/>
        <v>#REF!</v>
      </c>
      <c r="N161" s="273" t="e">
        <f t="shared" si="36"/>
        <v>#REF!</v>
      </c>
      <c r="O161" s="273" t="e">
        <f t="shared" si="36"/>
        <v>#REF!</v>
      </c>
      <c r="P161" s="273" t="e">
        <f t="shared" si="36"/>
        <v>#REF!</v>
      </c>
      <c r="Q161" s="273" t="e">
        <f t="shared" si="36"/>
        <v>#REF!</v>
      </c>
      <c r="R161" s="273" t="e">
        <f t="shared" si="36"/>
        <v>#REF!</v>
      </c>
      <c r="S161" s="273" t="e">
        <f t="shared" si="36"/>
        <v>#REF!</v>
      </c>
      <c r="T161" s="268"/>
      <c r="U161" s="273" t="e">
        <f t="shared" ref="U161:Z161" si="37">SUM(U158:U160)</f>
        <v>#REF!</v>
      </c>
      <c r="V161" s="273" t="e">
        <f t="shared" si="37"/>
        <v>#REF!</v>
      </c>
      <c r="W161" s="273" t="e">
        <f t="shared" si="37"/>
        <v>#REF!</v>
      </c>
      <c r="X161" s="273" t="e">
        <f t="shared" si="37"/>
        <v>#REF!</v>
      </c>
      <c r="Y161" s="273" t="e">
        <f t="shared" si="37"/>
        <v>#REF!</v>
      </c>
      <c r="Z161" s="273" t="e">
        <f t="shared" si="37"/>
        <v>#REF!</v>
      </c>
      <c r="AA161" s="971" t="s">
        <v>582</v>
      </c>
      <c r="AB161" s="344"/>
      <c r="AC161" s="470"/>
      <c r="AD161" s="159" t="e">
        <f t="shared" si="34"/>
        <v>#REF!</v>
      </c>
      <c r="AE161" s="187"/>
      <c r="AF161" s="159" t="e">
        <f t="shared" si="35"/>
        <v>#REF!</v>
      </c>
    </row>
    <row r="162" spans="1:49" ht="15.75" customHeight="1" x14ac:dyDescent="0.25"/>
    <row r="163" spans="1:49" ht="15.75" customHeight="1" x14ac:dyDescent="0.25"/>
    <row r="164" spans="1:49" ht="15.75" customHeight="1" x14ac:dyDescent="0.25"/>
    <row r="165" spans="1:49" ht="15.75" customHeight="1" x14ac:dyDescent="0.25"/>
    <row r="166" spans="1:49" ht="15.75" customHeight="1" x14ac:dyDescent="0.25"/>
    <row r="167" spans="1:49" ht="15.75" customHeight="1" x14ac:dyDescent="0.25">
      <c r="A167" s="1027" t="s">
        <v>1056</v>
      </c>
      <c r="B167" s="347"/>
      <c r="C167" s="347"/>
      <c r="D167" s="347"/>
      <c r="E167" s="347"/>
      <c r="F167" s="347"/>
      <c r="G167" s="347"/>
      <c r="H167" s="347"/>
      <c r="I167" s="347"/>
      <c r="J167" s="347"/>
      <c r="K167" s="347"/>
      <c r="L167" s="347"/>
      <c r="M167" s="347"/>
      <c r="N167" s="347"/>
      <c r="O167" s="347"/>
      <c r="P167" s="347"/>
      <c r="Q167" s="347"/>
      <c r="R167" s="347"/>
      <c r="S167" s="347"/>
      <c r="T167" s="347"/>
      <c r="U167" s="347"/>
      <c r="V167" s="347"/>
      <c r="W167" s="347"/>
      <c r="X167" s="347"/>
      <c r="Y167" s="347"/>
      <c r="Z167" s="347"/>
      <c r="AA167" s="347"/>
      <c r="AB167" s="347"/>
      <c r="AC167" s="347"/>
      <c r="AD167" s="347"/>
      <c r="AE167" s="347"/>
      <c r="AF167" s="347"/>
      <c r="AG167" s="347"/>
      <c r="AH167" s="347"/>
      <c r="AI167" s="354"/>
    </row>
    <row r="168" spans="1:49" ht="15.75" customHeight="1" x14ac:dyDescent="0.25"/>
    <row r="169" spans="1:49" ht="15.75" customHeight="1" x14ac:dyDescent="0.25">
      <c r="A169" s="1041" t="s">
        <v>1057</v>
      </c>
      <c r="B169" s="347"/>
      <c r="C169" s="347"/>
      <c r="D169" s="347"/>
      <c r="E169" s="347"/>
      <c r="F169" s="347"/>
      <c r="G169" s="347"/>
      <c r="H169" s="347"/>
      <c r="I169" s="347"/>
      <c r="J169" s="347"/>
      <c r="K169" s="347"/>
      <c r="L169" s="347"/>
      <c r="M169" s="347"/>
      <c r="N169" s="347"/>
      <c r="O169" s="347"/>
      <c r="P169" s="347"/>
      <c r="Q169" s="347"/>
      <c r="R169" s="347"/>
      <c r="S169" s="347"/>
      <c r="T169" s="347"/>
      <c r="U169" s="347"/>
      <c r="V169" s="347"/>
      <c r="W169" s="354"/>
      <c r="AA169" s="1042" t="s">
        <v>1058</v>
      </c>
      <c r="AB169" s="347"/>
      <c r="AC169" s="347"/>
      <c r="AD169" s="347"/>
      <c r="AE169" s="347"/>
      <c r="AF169" s="347"/>
      <c r="AG169" s="347"/>
      <c r="AH169" s="347"/>
      <c r="AI169" s="347"/>
      <c r="AJ169" s="347"/>
      <c r="AK169" s="347"/>
      <c r="AL169" s="347"/>
      <c r="AM169" s="347"/>
      <c r="AN169" s="347"/>
      <c r="AO169" s="347"/>
      <c r="AP169" s="347"/>
      <c r="AQ169" s="347"/>
      <c r="AR169" s="347"/>
      <c r="AS169" s="347"/>
      <c r="AT169" s="347"/>
      <c r="AU169" s="347"/>
      <c r="AV169" s="347"/>
      <c r="AW169" s="354"/>
    </row>
    <row r="170" spans="1:49" ht="15.75" customHeight="1" x14ac:dyDescent="0.25">
      <c r="F170" s="235" t="s">
        <v>994</v>
      </c>
      <c r="G170" s="235"/>
      <c r="H170" s="235" t="s">
        <v>998</v>
      </c>
      <c r="I170" s="235"/>
      <c r="J170" s="235" t="s">
        <v>1059</v>
      </c>
      <c r="K170" s="235"/>
      <c r="L170" s="235" t="s">
        <v>1060</v>
      </c>
      <c r="M170" s="235"/>
      <c r="N170" s="235" t="s">
        <v>1061</v>
      </c>
      <c r="O170" s="235"/>
      <c r="P170" s="235" t="s">
        <v>1062</v>
      </c>
      <c r="Q170" s="235"/>
      <c r="R170" s="235" t="s">
        <v>914</v>
      </c>
      <c r="S170" s="235"/>
      <c r="T170" s="235" t="s">
        <v>1063</v>
      </c>
      <c r="U170" s="235"/>
      <c r="V170" s="235" t="s">
        <v>923</v>
      </c>
      <c r="AF170" s="322" t="s">
        <v>932</v>
      </c>
      <c r="AG170" s="322"/>
      <c r="AH170" s="322" t="s">
        <v>941</v>
      </c>
      <c r="AI170" s="322"/>
      <c r="AJ170" s="322" t="s">
        <v>950</v>
      </c>
      <c r="AK170" s="322"/>
      <c r="AL170" s="322" t="s">
        <v>959</v>
      </c>
      <c r="AM170" s="322"/>
      <c r="AN170" s="322" t="s">
        <v>968</v>
      </c>
      <c r="AO170" s="322"/>
      <c r="AP170" s="322" t="s">
        <v>916</v>
      </c>
      <c r="AQ170" s="322"/>
      <c r="AR170" s="322" t="s">
        <v>1003</v>
      </c>
      <c r="AS170" s="322"/>
      <c r="AT170" s="322" t="s">
        <v>925</v>
      </c>
      <c r="AU170" s="322"/>
      <c r="AV170" s="322" t="s">
        <v>934</v>
      </c>
      <c r="AW170" s="322"/>
    </row>
    <row r="171" spans="1:49" ht="67.5" customHeight="1" x14ac:dyDescent="0.25">
      <c r="A171" s="887" t="s">
        <v>1056</v>
      </c>
      <c r="B171" s="326"/>
      <c r="C171" s="326"/>
      <c r="D171" s="326"/>
      <c r="E171" s="327"/>
      <c r="F171" s="962" t="s">
        <v>463</v>
      </c>
      <c r="G171" s="327"/>
      <c r="H171" s="451" t="s">
        <v>464</v>
      </c>
      <c r="I171" s="327"/>
      <c r="J171" s="962" t="s">
        <v>465</v>
      </c>
      <c r="K171" s="327"/>
      <c r="L171" s="526" t="s">
        <v>466</v>
      </c>
      <c r="M171" s="327"/>
      <c r="N171" s="962" t="s">
        <v>467</v>
      </c>
      <c r="O171" s="327"/>
      <c r="P171" s="526" t="s">
        <v>468</v>
      </c>
      <c r="Q171" s="327"/>
      <c r="R171" s="962" t="s">
        <v>469</v>
      </c>
      <c r="S171" s="327"/>
      <c r="T171" s="526" t="s">
        <v>470</v>
      </c>
      <c r="U171" s="327"/>
      <c r="V171" s="962" t="s">
        <v>471</v>
      </c>
      <c r="W171" s="327"/>
      <c r="AA171" s="1037"/>
      <c r="AB171" s="326"/>
      <c r="AC171" s="326"/>
      <c r="AD171" s="326"/>
      <c r="AE171" s="327"/>
      <c r="AF171" s="1032" t="s">
        <v>463</v>
      </c>
      <c r="AG171" s="327"/>
      <c r="AH171" s="1031" t="s">
        <v>464</v>
      </c>
      <c r="AI171" s="327"/>
      <c r="AJ171" s="1032" t="s">
        <v>465</v>
      </c>
      <c r="AK171" s="327"/>
      <c r="AL171" s="1031" t="s">
        <v>466</v>
      </c>
      <c r="AM171" s="327"/>
      <c r="AN171" s="1032" t="s">
        <v>467</v>
      </c>
      <c r="AO171" s="327"/>
      <c r="AP171" s="1031" t="s">
        <v>468</v>
      </c>
      <c r="AQ171" s="327"/>
      <c r="AR171" s="1032" t="s">
        <v>469</v>
      </c>
      <c r="AS171" s="327"/>
      <c r="AT171" s="1031" t="s">
        <v>470</v>
      </c>
      <c r="AU171" s="327"/>
      <c r="AV171" s="1032" t="s">
        <v>471</v>
      </c>
      <c r="AW171" s="327"/>
    </row>
    <row r="172" spans="1:49" ht="39.75" customHeight="1" x14ac:dyDescent="0.25">
      <c r="A172" s="781" t="s">
        <v>750</v>
      </c>
      <c r="B172" s="326"/>
      <c r="C172" s="327"/>
      <c r="D172" s="456"/>
      <c r="E172" s="327"/>
      <c r="F172" s="733">
        <f>SUMIFS(TRAINING!Z22:Z891,TRAINING!C22:C891,"Training Received Through Employer")</f>
        <v>0</v>
      </c>
      <c r="G172" s="327"/>
      <c r="H172" s="729">
        <f>SUMIFS(TRAINING!AA22:AA891,TRAINING!C22:C891,"Training Received Through Employer")</f>
        <v>0</v>
      </c>
      <c r="I172" s="327"/>
      <c r="J172" s="733">
        <f>SUMIFS(TRAINING!AB22:AB891,TRAINING!C22:C891,"Training Received Through Employer")</f>
        <v>0</v>
      </c>
      <c r="K172" s="327"/>
      <c r="L172" s="729">
        <f>SUMIFS(TRAINING!AC22:AC891,TRAINING!C22:C891,"Training Received Through Employer")</f>
        <v>0</v>
      </c>
      <c r="M172" s="327"/>
      <c r="N172" s="733">
        <f>SUMIFS(TRAINING!AD22:AD891,TRAINING!C22:C891,"Training Received Through Employer")</f>
        <v>0</v>
      </c>
      <c r="O172" s="327"/>
      <c r="P172" s="729">
        <f>SUMIFS(TRAINING!AE22:AE891,TRAINING!C22:C891,"Training Received Through Employer")</f>
        <v>0</v>
      </c>
      <c r="Q172" s="327"/>
      <c r="R172" s="733">
        <f>SUMIFS(TRAINING!AF22:AF891,TRAINING!C22:C891,"Training Received Through Employer")</f>
        <v>0</v>
      </c>
      <c r="S172" s="327"/>
      <c r="T172" s="729">
        <f>SUMIFS(TRAINING!AG22:AG891,TRAINING!C22:C891,"Training Received Through Employer")</f>
        <v>0</v>
      </c>
      <c r="U172" s="327"/>
      <c r="V172" s="733">
        <f>SUMIFS(TRAINING!AK22:AK891,TRAINING!C22:C891,"Training Received Through Employer")</f>
        <v>0</v>
      </c>
      <c r="W172" s="327"/>
      <c r="AA172" s="1036" t="s">
        <v>750</v>
      </c>
      <c r="AB172" s="326"/>
      <c r="AC172" s="327"/>
      <c r="AD172" s="1037"/>
      <c r="AE172" s="327"/>
      <c r="AF172" s="878">
        <f>SUMIFS(TRAINING!AL22:AL891,TRAINING!C22:C891,"Training Received Through Employer")</f>
        <v>0</v>
      </c>
      <c r="AG172" s="327"/>
      <c r="AH172" s="1029">
        <f>SUMIFS(TRAINING!AM22:AM891,TRAINING!C22:C891,"Training Received Through Employer")</f>
        <v>0</v>
      </c>
      <c r="AI172" s="327"/>
      <c r="AJ172" s="878">
        <f>SUMIFS(TRAINING!AN22:AN891,TRAINING!C22:C891,"Training Received Through Employer")</f>
        <v>0</v>
      </c>
      <c r="AK172" s="327"/>
      <c r="AL172" s="1029">
        <f>SUMIFS(TRAINING!AO22:AO891,TRAINING!C22:C891,"Training Received Through Employer")</f>
        <v>0</v>
      </c>
      <c r="AM172" s="327"/>
      <c r="AN172" s="878">
        <f>SUMIFS(TRAINING!AP22:AP891,TRAINING!C22:C891,"Training Received Through Employer")</f>
        <v>0</v>
      </c>
      <c r="AO172" s="327"/>
      <c r="AP172" s="1029">
        <f>SUMIFS(TRAINING!AQ22:AQ891,TRAINING!C22:C891,"Training Received Through Employer")</f>
        <v>0</v>
      </c>
      <c r="AQ172" s="327"/>
      <c r="AR172" s="878">
        <f>SUMIFS(TRAINING!AR22:AR891,TRAINING!C22:C891,"Training Received Through Employer")</f>
        <v>0</v>
      </c>
      <c r="AS172" s="327"/>
      <c r="AT172" s="1029">
        <f>SUMIFS(TRAINING!AS22:AS891,TRAINING!C22:C891,"Training Received Through Employer")</f>
        <v>0</v>
      </c>
      <c r="AU172" s="327"/>
      <c r="AV172" s="878">
        <f>SUMIFS(TRAINING!AT22:AT891,TRAINING!C22:C891,"Training Received Through Employer")</f>
        <v>0</v>
      </c>
      <c r="AW172" s="327"/>
    </row>
    <row r="173" spans="1:49" ht="39.75" customHeight="1" x14ac:dyDescent="0.25">
      <c r="A173" s="781" t="s">
        <v>1064</v>
      </c>
      <c r="B173" s="326"/>
      <c r="C173" s="327"/>
      <c r="D173" s="456"/>
      <c r="E173" s="327"/>
      <c r="F173" s="733">
        <f>SUMIFS(TRAINING!Z22:Z891,TRAINING!C22:C891,"Training Received externally (not through employer) ")</f>
        <v>0</v>
      </c>
      <c r="G173" s="327"/>
      <c r="H173" s="729">
        <f>SUMIFS(TRAINING!AA22:AA891,TRAINING!C22:C891,"Training Received externally (not through employer) ")</f>
        <v>0</v>
      </c>
      <c r="I173" s="327"/>
      <c r="J173" s="733">
        <f>SUMIFS(TRAINING!AB22:AB891,TRAINING!C22:C891,"Training Received externally (not through employer) ")</f>
        <v>0</v>
      </c>
      <c r="K173" s="327"/>
      <c r="L173" s="729">
        <f>SUMIFS(TRAINING!AC22:AC891,TRAINING!C22:C891,"Training Received externally (not through employer) ")</f>
        <v>0</v>
      </c>
      <c r="M173" s="327"/>
      <c r="N173" s="733">
        <f>SUMIFS(TRAINING!AD22:AD891,TRAINING!C22:C891,"Training Received externally (not through employer) ")</f>
        <v>0</v>
      </c>
      <c r="O173" s="327"/>
      <c r="P173" s="729">
        <f>SUMIFS(TRAINING!AE22:AE891,TRAINING!C22:C891,"Training Received externally (not through employer) ")</f>
        <v>0</v>
      </c>
      <c r="Q173" s="327"/>
      <c r="R173" s="733">
        <f>SUMIFS(TRAINING!AF22:AF891,TRAINING!C22:C891,"Training Received externally (not through employer) ")</f>
        <v>0</v>
      </c>
      <c r="S173" s="327"/>
      <c r="T173" s="729">
        <f>SUMIFS(TRAINING!AG22:AG891,TRAINING!C22:C891,"Training Received externally (not through employer) ")</f>
        <v>0</v>
      </c>
      <c r="U173" s="327"/>
      <c r="V173" s="733">
        <f>SUMIFS(TRAINING!AK22:AK891,TRAINING!C22:C891,"Training Received externally (not through employer) ")</f>
        <v>0</v>
      </c>
      <c r="W173" s="327"/>
      <c r="AA173" s="1036" t="s">
        <v>1065</v>
      </c>
      <c r="AB173" s="326"/>
      <c r="AC173" s="327"/>
      <c r="AD173" s="1037"/>
      <c r="AE173" s="327"/>
      <c r="AF173" s="878">
        <f>SUMIFS(TRAINING!AL22:AL891,TRAINING!C22:C891,"Training Received externally (not through employer) ")</f>
        <v>0</v>
      </c>
      <c r="AG173" s="327"/>
      <c r="AH173" s="1029">
        <f>SUMIFS(TRAINING!AM22:AM891,TRAINING!C22:C891,"Training Received externally (not through employer) ")</f>
        <v>0</v>
      </c>
      <c r="AI173" s="327"/>
      <c r="AJ173" s="878">
        <f>SUMIFS(TRAINING!AN22:AN891,TRAINING!C22:C891,"Training Received externally (not through employer) ")</f>
        <v>0</v>
      </c>
      <c r="AK173" s="327"/>
      <c r="AL173" s="1029">
        <f>SUMIFS(TRAINING!AO22:AO891,TRAINING!C22:C891,"Training Received externally (not through employer) ")</f>
        <v>0</v>
      </c>
      <c r="AM173" s="327"/>
      <c r="AN173" s="878">
        <f>SUMIFS(TRAINING!AP22:AP891,TRAINING!C22:C891,"Training Received externally (not through employer) ")</f>
        <v>0</v>
      </c>
      <c r="AO173" s="327"/>
      <c r="AP173" s="1029">
        <f>SUMIFS(TRAINING!AQ22:AQ891,TRAINING!C22:C891,"Training Received externally (not through employer) ")</f>
        <v>0</v>
      </c>
      <c r="AQ173" s="327"/>
      <c r="AR173" s="878">
        <f>SUMIFS(TRAINING!AR22:AR891,TRAINING!C22:C891,"Training Received externally (not through employer) ")</f>
        <v>0</v>
      </c>
      <c r="AS173" s="327"/>
      <c r="AT173" s="1029">
        <f>SUMIFS(TRAINING!AS22:AS891,TRAINING!C22:C891,"Training Received externally (not through employer) ")</f>
        <v>0</v>
      </c>
      <c r="AU173" s="327"/>
      <c r="AV173" s="878">
        <f>SUMIFS(TRAINING!AT22:AT891,TRAINING!C22:C891,"Training Received externally (not through employer) ")</f>
        <v>0</v>
      </c>
      <c r="AW173" s="327"/>
    </row>
    <row r="174" spans="1:49" ht="39.75" customHeight="1" x14ac:dyDescent="0.25">
      <c r="A174" s="781" t="s">
        <v>756</v>
      </c>
      <c r="B174" s="326"/>
      <c r="C174" s="327"/>
      <c r="D174" s="456"/>
      <c r="E174" s="327"/>
      <c r="F174" s="733">
        <f>SUMIFS(TRAINING!Z22:Z891,TRAINING!C22:C891,"Cross Planning Initiative")</f>
        <v>0</v>
      </c>
      <c r="G174" s="327"/>
      <c r="H174" s="729">
        <f>SUMIFS(TRAINING!AA22:AA891,TRAINING!C22:C891,"Cross Planning Initiative")</f>
        <v>0</v>
      </c>
      <c r="I174" s="327"/>
      <c r="J174" s="733">
        <f>SUMIFS(TRAINING!AB22:AB891,TRAINING!C22:C891,"Cross Planning Initiative")</f>
        <v>0</v>
      </c>
      <c r="K174" s="327"/>
      <c r="L174" s="729">
        <f>SUMIFS(TRAINING!AC22:AC891,TRAINING!C22:C891,"Cross Planning Initiative")</f>
        <v>0</v>
      </c>
      <c r="M174" s="327"/>
      <c r="N174" s="733">
        <f>SUMIFS(TRAINING!AD22:AD891,TRAINING!C22:C891,"Cross Planning Initiative")</f>
        <v>0</v>
      </c>
      <c r="O174" s="327"/>
      <c r="P174" s="729">
        <f>SUMIFS(TRAINING!AE22:AE891,TRAINING!C22:C891,"Cross Planning Initiative")</f>
        <v>0</v>
      </c>
      <c r="Q174" s="327"/>
      <c r="R174" s="733">
        <f>SUMIFS(TRAINING!AF22:AF891,TRAINING!C22:C891,"Cross Planning Initiative")</f>
        <v>0</v>
      </c>
      <c r="S174" s="327"/>
      <c r="T174" s="729">
        <f>SUMIFS(TRAINING!AG22:AG891,TRAINING!C22:C891,"Cross Planning Initiative")</f>
        <v>0</v>
      </c>
      <c r="U174" s="327"/>
      <c r="V174" s="733">
        <f>SUMIFS(TRAINING!AK22:AK891,TRAINING!C22:C891,"Cross Planning Initiative")</f>
        <v>0</v>
      </c>
      <c r="W174" s="327"/>
      <c r="AA174" s="1036" t="s">
        <v>756</v>
      </c>
      <c r="AB174" s="326"/>
      <c r="AC174" s="327"/>
      <c r="AD174" s="1037"/>
      <c r="AE174" s="327"/>
      <c r="AF174" s="878">
        <f>SUMIFS(TRAINING!AL22:AL891,TRAINING!C22:C891,"Cross Planning Initiative")</f>
        <v>0</v>
      </c>
      <c r="AG174" s="327"/>
      <c r="AH174" s="1029">
        <f>SUMIFS(TRAINING!AM22:AM891,TRAINING!C22:C891,"Cross Planning Initiative")</f>
        <v>0</v>
      </c>
      <c r="AI174" s="327"/>
      <c r="AJ174" s="878">
        <f>SUMIFS(TRAINING!AN22:AN891,TRAINING!C22:C891,"Cross Planning Initiative")</f>
        <v>0</v>
      </c>
      <c r="AK174" s="327"/>
      <c r="AL174" s="1029">
        <f>SUMIFS(TRAINING!AO22:AO891,TRAINING!C22:C891,"Cross Planning Initiative")</f>
        <v>0</v>
      </c>
      <c r="AM174" s="327"/>
      <c r="AN174" s="878">
        <f>SUMIFS(TRAINING!AP22:AP891,TRAINING!C22:C891,"Cross Planning Initiative")</f>
        <v>0</v>
      </c>
      <c r="AO174" s="327"/>
      <c r="AP174" s="1029">
        <f>SUMIFS(TRAINING!AQ22:AQ891,TRAINING!C22:C891,"Cross Planning Initiative")</f>
        <v>0</v>
      </c>
      <c r="AQ174" s="327"/>
      <c r="AR174" s="878">
        <f>SUMIFS(TRAINING!AR22:AR891,TRAINING!C22:C891,"Cross Planning Initiative")</f>
        <v>0</v>
      </c>
      <c r="AS174" s="327"/>
      <c r="AT174" s="1029">
        <f>SUMIFS(TRAINING!AS22:AS891,TRAINING!C22:C891,"Cross Planning Initiative")</f>
        <v>0</v>
      </c>
      <c r="AU174" s="327"/>
      <c r="AV174" s="878">
        <f>SUMIFS(TRAINING!AT22:AT891,TRAINING!C22:C891,"Cross Planning Initiative")</f>
        <v>0</v>
      </c>
      <c r="AW174" s="327"/>
    </row>
    <row r="175" spans="1:49" ht="39.75" customHeight="1" x14ac:dyDescent="0.25">
      <c r="A175" s="781" t="s">
        <v>759</v>
      </c>
      <c r="B175" s="326"/>
      <c r="C175" s="327"/>
      <c r="D175" s="456"/>
      <c r="E175" s="327"/>
      <c r="F175" s="733">
        <f>SUMIFS(TRAINING!Z22:Z891,TRAINING!C22:C891,"Outreach Activity")</f>
        <v>0</v>
      </c>
      <c r="G175" s="327"/>
      <c r="H175" s="729">
        <f>SUMIFS(TRAINING!AA22:AA891,TRAINING!C22:C891,"Outreach Activity")</f>
        <v>0</v>
      </c>
      <c r="I175" s="327"/>
      <c r="J175" s="733">
        <f>SUMIFS(TRAINING!AB22:AB891,TRAINING!C22:C891,"Outreach Activity")</f>
        <v>0</v>
      </c>
      <c r="K175" s="327"/>
      <c r="L175" s="729">
        <f>SUMIFS(TRAINING!AC22:AC891,TRAINING!C22:C891,"Outreach Activity")</f>
        <v>0</v>
      </c>
      <c r="M175" s="327"/>
      <c r="N175" s="733">
        <f>SUMIFS(TRAINING!AD22:AD891,TRAINING!C22:C891,"Outreach Activity")</f>
        <v>0</v>
      </c>
      <c r="O175" s="327"/>
      <c r="P175" s="729">
        <f>SUMIFS(TRAINING!AE22:AE891,TRAINING!C22:C891,"Outreach Activity")</f>
        <v>0</v>
      </c>
      <c r="Q175" s="327"/>
      <c r="R175" s="733">
        <f>SUMIFS(TRAINING!AF22:AF891,TRAINING!C22:C891,"Outreach Activity")</f>
        <v>0</v>
      </c>
      <c r="S175" s="327"/>
      <c r="T175" s="729">
        <f>SUMIFS(TRAINING!AG22:AG891,TRAINING!C22:C891,"Outreach Activity")</f>
        <v>0</v>
      </c>
      <c r="U175" s="327"/>
      <c r="V175" s="733">
        <f>SUMIFS(TRAINING!AK22:AK891,TRAINING!C22:C891,"Outreach Activity")</f>
        <v>0</v>
      </c>
      <c r="W175" s="327"/>
      <c r="AA175" s="1036" t="s">
        <v>759</v>
      </c>
      <c r="AB175" s="326"/>
      <c r="AC175" s="327"/>
      <c r="AD175" s="1037"/>
      <c r="AE175" s="327"/>
      <c r="AF175" s="878">
        <f>SUMIFS(TRAINING!AL22:AL891,TRAINING!C22:C891,"Outreach Activity")</f>
        <v>0</v>
      </c>
      <c r="AG175" s="327"/>
      <c r="AH175" s="1029">
        <f>SUMIFS(TRAINING!AM22:AM891,TRAINING!C22:C891,"Outreach Activity")</f>
        <v>0</v>
      </c>
      <c r="AI175" s="327"/>
      <c r="AJ175" s="878">
        <f>SUMIFS(TRAINING!AN22:AN891,TRAINING!C22:C891,"Outreach Activity")</f>
        <v>0</v>
      </c>
      <c r="AK175" s="327"/>
      <c r="AL175" s="1029">
        <f>SUMIFS(TRAINING!AO22:AO891,TRAINING!C22:C891,"Outreach Activity")</f>
        <v>0</v>
      </c>
      <c r="AM175" s="327"/>
      <c r="AN175" s="878">
        <f>SUMIFS(TRAINING!AP22:AP891,TRAINING!C22:C891,"Outreach Activity")</f>
        <v>0</v>
      </c>
      <c r="AO175" s="327"/>
      <c r="AP175" s="1029">
        <f>SUMIFS(TRAINING!AQ22:AQ891,TRAINING!C22:C891,"Outreach Activity")</f>
        <v>0</v>
      </c>
      <c r="AQ175" s="327"/>
      <c r="AR175" s="878">
        <f>SUMIFS(TRAINING!AR22:AR891,TRAINING!C22:C891,"Outreach Activity")</f>
        <v>0</v>
      </c>
      <c r="AS175" s="327"/>
      <c r="AT175" s="1029">
        <f>SUMIFS(TRAINING!AS22:AS891,TRAINING!C22:C891,"Outreach Activity")</f>
        <v>0</v>
      </c>
      <c r="AU175" s="327"/>
      <c r="AV175" s="878">
        <f>SUMIFS(TRAINING!AT22:AT891,TRAINING!C22:C891,"Outreach Activity")</f>
        <v>0</v>
      </c>
      <c r="AW175" s="327"/>
    </row>
    <row r="176" spans="1:49" ht="39.75" customHeight="1" x14ac:dyDescent="0.25">
      <c r="A176" s="781" t="s">
        <v>764</v>
      </c>
      <c r="B176" s="326"/>
      <c r="C176" s="327"/>
      <c r="D176" s="456"/>
      <c r="E176" s="327"/>
      <c r="F176" s="733">
        <f>SUMIFS(TRAINING!Z22:Z891,TRAINING!C22:C891,"Other (List) ")</f>
        <v>0</v>
      </c>
      <c r="G176" s="327"/>
      <c r="H176" s="729">
        <f>SUMIFS(TRAINING!AA22:AA891,TRAINING!C22:C891,"Other (List) ")</f>
        <v>0</v>
      </c>
      <c r="I176" s="327"/>
      <c r="J176" s="733">
        <f>SUMIFS(TRAINING!AB22:AB891,TRAINING!C22:C891,"Other (List) ")</f>
        <v>0</v>
      </c>
      <c r="K176" s="327"/>
      <c r="L176" s="729">
        <f>SUMIFS(TRAINING!AC22:AC891,TRAINING!C22:C891,"Other (List) ")</f>
        <v>0</v>
      </c>
      <c r="M176" s="327"/>
      <c r="N176" s="733">
        <f>SUMIFS(TRAINING!AD22:AD891,TRAINING!C22:C891,"Other (List) ")</f>
        <v>0</v>
      </c>
      <c r="O176" s="327"/>
      <c r="P176" s="729">
        <f>SUMIFS(TRAINING!AE22:AE891,TRAINING!C22:C891,"Other (List) ")</f>
        <v>0</v>
      </c>
      <c r="Q176" s="327"/>
      <c r="R176" s="733">
        <f>SUMIFS(TRAINING!AF22:AF891,TRAINING!C22:C891,"Other (List) ")</f>
        <v>0</v>
      </c>
      <c r="S176" s="327"/>
      <c r="T176" s="729">
        <f>SUMIFS(TRAINING!AG22:AG891,TRAINING!C22:C891,"Other (List) ")</f>
        <v>0</v>
      </c>
      <c r="U176" s="327"/>
      <c r="V176" s="733">
        <f>SUMIFS(TRAINING!AK22:AK891,TRAINING!C22:C891,"Other (List) ")</f>
        <v>0</v>
      </c>
      <c r="W176" s="327"/>
      <c r="AA176" s="1036" t="s">
        <v>764</v>
      </c>
      <c r="AB176" s="326"/>
      <c r="AC176" s="327"/>
      <c r="AD176" s="1037"/>
      <c r="AE176" s="327"/>
      <c r="AF176" s="878">
        <f>SUMIFS(TRAINING!AL22:AL891,TRAINING!C22:C891,"Other (List) ")</f>
        <v>0</v>
      </c>
      <c r="AG176" s="327"/>
      <c r="AH176" s="1029">
        <f>SUMIFS(TRAINING!AM22:AM891,TRAINING!C22:C891,"Other (List) ")</f>
        <v>0</v>
      </c>
      <c r="AI176" s="327"/>
      <c r="AJ176" s="878">
        <f>SUMIFS(TRAINING!AN22:AN891,TRAINING!C22:C891,"Other (List) ")</f>
        <v>0</v>
      </c>
      <c r="AK176" s="327"/>
      <c r="AL176" s="1029">
        <f>SUMIFS(TRAINING!AO22:AO891,TRAINING!C22:C891,"Other (List) ")</f>
        <v>0</v>
      </c>
      <c r="AM176" s="327"/>
      <c r="AN176" s="878">
        <f>SUMIFS(TRAINING!AP22:AP891,TRAINING!C22:C891,"Other (List) ")</f>
        <v>0</v>
      </c>
      <c r="AO176" s="327"/>
      <c r="AP176" s="1029">
        <f>SUMIFS(TRAINING!AQ22:AQ891,TRAINING!C22:C891,"Other (List) ")</f>
        <v>0</v>
      </c>
      <c r="AQ176" s="327"/>
      <c r="AR176" s="878">
        <f>SUMIFS(TRAINING!AR22:AR891,TRAINING!C22:C891,"Other (List) ")</f>
        <v>0</v>
      </c>
      <c r="AS176" s="327"/>
      <c r="AT176" s="1029">
        <f>SUMIFS(TRAINING!AS22:AS891,TRAINING!C22:C891,"Other (List) ")</f>
        <v>0</v>
      </c>
      <c r="AU176" s="327"/>
      <c r="AV176" s="878">
        <f>SUMIFS(TRAINING!AT22:AT891,TRAINING!C22:C891,"Other (List) ")</f>
        <v>0</v>
      </c>
      <c r="AW176" s="327"/>
    </row>
    <row r="177" spans="1:39" ht="24.75" customHeight="1" x14ac:dyDescent="0.25">
      <c r="A177" s="323"/>
      <c r="B177" s="323"/>
      <c r="C177" s="323"/>
      <c r="P177" s="988"/>
      <c r="Q177" s="335"/>
    </row>
    <row r="178" spans="1:39" ht="15.75" customHeight="1" x14ac:dyDescent="0.25"/>
    <row r="179" spans="1:39" ht="15.75" customHeight="1" x14ac:dyDescent="0.25"/>
    <row r="180" spans="1:39" ht="15.75" customHeight="1" x14ac:dyDescent="0.25"/>
    <row r="181" spans="1:39" ht="15.75" customHeight="1" x14ac:dyDescent="0.25"/>
    <row r="182" spans="1:39" ht="15.75" customHeight="1" x14ac:dyDescent="0.25"/>
    <row r="183" spans="1:39" ht="15.75" customHeight="1" x14ac:dyDescent="0.25">
      <c r="AD183" s="324"/>
      <c r="AE183" s="324"/>
      <c r="AF183" s="324"/>
      <c r="AG183" s="324"/>
      <c r="AH183" s="324"/>
      <c r="AI183" s="324"/>
      <c r="AJ183" s="324"/>
      <c r="AK183" s="324"/>
      <c r="AL183" s="324"/>
      <c r="AM183" s="324"/>
    </row>
    <row r="184" spans="1:39" ht="15.75" customHeight="1" x14ac:dyDescent="0.25">
      <c r="AD184" s="324"/>
      <c r="AE184" s="324"/>
      <c r="AF184" s="324"/>
      <c r="AG184" s="324"/>
      <c r="AH184" s="324"/>
      <c r="AI184" s="324"/>
      <c r="AJ184" s="324"/>
      <c r="AK184" s="324"/>
      <c r="AL184" s="324"/>
      <c r="AM184" s="324"/>
    </row>
    <row r="185" spans="1:39" ht="15.75" customHeight="1" x14ac:dyDescent="0.25">
      <c r="AD185" s="324"/>
      <c r="AE185" s="324"/>
      <c r="AF185" s="324"/>
      <c r="AG185" s="324"/>
      <c r="AH185" s="324"/>
      <c r="AI185" s="324"/>
      <c r="AJ185" s="324"/>
      <c r="AK185" s="324"/>
      <c r="AL185" s="324"/>
      <c r="AM185" s="324"/>
    </row>
    <row r="186" spans="1:39" ht="15.75" customHeight="1" x14ac:dyDescent="0.25">
      <c r="AD186" s="324"/>
      <c r="AE186" s="324"/>
      <c r="AF186" s="324"/>
      <c r="AG186" s="324"/>
      <c r="AH186" s="324"/>
      <c r="AI186" s="324"/>
      <c r="AJ186" s="324"/>
      <c r="AK186" s="324"/>
      <c r="AL186" s="324"/>
      <c r="AM186" s="324"/>
    </row>
    <row r="187" spans="1:39" ht="15.75" customHeight="1" x14ac:dyDescent="0.25">
      <c r="AD187" s="324"/>
      <c r="AE187" s="324"/>
      <c r="AF187" s="324"/>
      <c r="AG187" s="324"/>
      <c r="AH187" s="324"/>
      <c r="AI187" s="324"/>
      <c r="AJ187" s="324"/>
      <c r="AK187" s="324"/>
      <c r="AL187" s="324"/>
      <c r="AM187" s="324"/>
    </row>
    <row r="188" spans="1:39" ht="15.75" customHeight="1" x14ac:dyDescent="0.25"/>
    <row r="189" spans="1:39" ht="15.75" customHeight="1" x14ac:dyDescent="0.25"/>
    <row r="190" spans="1:39" ht="15.75" customHeight="1" x14ac:dyDescent="0.25"/>
    <row r="191" spans="1:39" ht="15.75" customHeight="1" x14ac:dyDescent="0.25"/>
    <row r="192" spans="1:39"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33">
    <mergeCell ref="A173:C173"/>
    <mergeCell ref="D173:E173"/>
    <mergeCell ref="F173:G173"/>
    <mergeCell ref="H173:I173"/>
    <mergeCell ref="J173:K173"/>
    <mergeCell ref="L173:M173"/>
    <mergeCell ref="N173:O173"/>
    <mergeCell ref="AH173:AI173"/>
    <mergeCell ref="AJ173:AK173"/>
    <mergeCell ref="AL173:AM173"/>
    <mergeCell ref="AN173:AO173"/>
    <mergeCell ref="P173:Q173"/>
    <mergeCell ref="R173:S173"/>
    <mergeCell ref="T173:U173"/>
    <mergeCell ref="V173:W173"/>
    <mergeCell ref="AA173:AC173"/>
    <mergeCell ref="AD173:AE173"/>
    <mergeCell ref="AF173:AG173"/>
    <mergeCell ref="AL172:AM172"/>
    <mergeCell ref="AN172:AO172"/>
    <mergeCell ref="P172:Q172"/>
    <mergeCell ref="R172:S172"/>
    <mergeCell ref="T172:U172"/>
    <mergeCell ref="V172:W172"/>
    <mergeCell ref="AA172:AC172"/>
    <mergeCell ref="AD172:AE172"/>
    <mergeCell ref="AF172:AG172"/>
    <mergeCell ref="A171:E171"/>
    <mergeCell ref="F171:G171"/>
    <mergeCell ref="H171:I171"/>
    <mergeCell ref="J171:K171"/>
    <mergeCell ref="L171:M171"/>
    <mergeCell ref="N171:O171"/>
    <mergeCell ref="P171:Q171"/>
    <mergeCell ref="AH172:AI172"/>
    <mergeCell ref="AJ172:AK172"/>
    <mergeCell ref="A172:C172"/>
    <mergeCell ref="D172:E172"/>
    <mergeCell ref="F172:G172"/>
    <mergeCell ref="H172:I172"/>
    <mergeCell ref="J172:K172"/>
    <mergeCell ref="L172:M172"/>
    <mergeCell ref="N172:O172"/>
    <mergeCell ref="AL171:AM171"/>
    <mergeCell ref="AN171:AO171"/>
    <mergeCell ref="R171:S171"/>
    <mergeCell ref="T171:U171"/>
    <mergeCell ref="V171:W171"/>
    <mergeCell ref="AA171:AE171"/>
    <mergeCell ref="AF171:AG171"/>
    <mergeCell ref="AH171:AI171"/>
    <mergeCell ref="AJ171:AK171"/>
    <mergeCell ref="J121:M121"/>
    <mergeCell ref="N121:P121"/>
    <mergeCell ref="J122:M122"/>
    <mergeCell ref="N122:P122"/>
    <mergeCell ref="N123:P123"/>
    <mergeCell ref="J123:M123"/>
    <mergeCell ref="A125:S125"/>
    <mergeCell ref="F126:G126"/>
    <mergeCell ref="H126:I126"/>
    <mergeCell ref="J126:K126"/>
    <mergeCell ref="L126:M126"/>
    <mergeCell ref="R126:S126"/>
    <mergeCell ref="N126:O126"/>
    <mergeCell ref="P126:Q126"/>
    <mergeCell ref="AA144:AC144"/>
    <mergeCell ref="J109:M109"/>
    <mergeCell ref="N109:P109"/>
    <mergeCell ref="J110:M110"/>
    <mergeCell ref="N110:P110"/>
    <mergeCell ref="J111:M111"/>
    <mergeCell ref="N111:P111"/>
    <mergeCell ref="N112:P112"/>
    <mergeCell ref="J112:M112"/>
    <mergeCell ref="J113:M113"/>
    <mergeCell ref="N113:P113"/>
    <mergeCell ref="J114:M114"/>
    <mergeCell ref="N114:P114"/>
    <mergeCell ref="J115:M115"/>
    <mergeCell ref="N115:P115"/>
    <mergeCell ref="J116:M116"/>
    <mergeCell ref="N116:P116"/>
    <mergeCell ref="J117:M117"/>
    <mergeCell ref="N117:P117"/>
    <mergeCell ref="J118:P118"/>
    <mergeCell ref="J119:M119"/>
    <mergeCell ref="N119:P119"/>
    <mergeCell ref="J120:M120"/>
    <mergeCell ref="N120:P120"/>
    <mergeCell ref="A144:C144"/>
    <mergeCell ref="A145:C145"/>
    <mergeCell ref="D145:E145"/>
    <mergeCell ref="A146:C146"/>
    <mergeCell ref="D146:E146"/>
    <mergeCell ref="A141:E141"/>
    <mergeCell ref="A142:C142"/>
    <mergeCell ref="D142:E142"/>
    <mergeCell ref="A143:C143"/>
    <mergeCell ref="D143:E143"/>
    <mergeCell ref="D144:E144"/>
    <mergeCell ref="AA142:AC142"/>
    <mergeCell ref="AA143:AC143"/>
    <mergeCell ref="AA129:AC129"/>
    <mergeCell ref="AA130:AC130"/>
    <mergeCell ref="AA131:AC131"/>
    <mergeCell ref="AA134:AC134"/>
    <mergeCell ref="AA135:AC135"/>
    <mergeCell ref="AA139:AC141"/>
    <mergeCell ref="Y140:Z140"/>
    <mergeCell ref="U132:AC132"/>
    <mergeCell ref="AA133:AC133"/>
    <mergeCell ref="U139:Z139"/>
    <mergeCell ref="A130:C130"/>
    <mergeCell ref="D130:E130"/>
    <mergeCell ref="U140:V140"/>
    <mergeCell ref="W140:X140"/>
    <mergeCell ref="F140:G140"/>
    <mergeCell ref="H140:I140"/>
    <mergeCell ref="J140:K140"/>
    <mergeCell ref="L140:M140"/>
    <mergeCell ref="N140:O140"/>
    <mergeCell ref="P140:Q140"/>
    <mergeCell ref="R140:S140"/>
    <mergeCell ref="A131:C131"/>
    <mergeCell ref="D131:E131"/>
    <mergeCell ref="A132:S132"/>
    <mergeCell ref="A133:C133"/>
    <mergeCell ref="D133:E133"/>
    <mergeCell ref="F139:S139"/>
    <mergeCell ref="A140:E140"/>
    <mergeCell ref="A134:C134"/>
    <mergeCell ref="D134:E134"/>
    <mergeCell ref="A135:C135"/>
    <mergeCell ref="D135:E135"/>
    <mergeCell ref="A137:AI137"/>
    <mergeCell ref="A138:S138"/>
    <mergeCell ref="U126:V126"/>
    <mergeCell ref="W126:X126"/>
    <mergeCell ref="Y126:Z126"/>
    <mergeCell ref="A126:E126"/>
    <mergeCell ref="A128:S128"/>
    <mergeCell ref="U128:AC128"/>
    <mergeCell ref="A129:C129"/>
    <mergeCell ref="D129:E129"/>
    <mergeCell ref="AR176:AS176"/>
    <mergeCell ref="J175:K175"/>
    <mergeCell ref="L175:M175"/>
    <mergeCell ref="N175:O175"/>
    <mergeCell ref="A176:C176"/>
    <mergeCell ref="D176:E176"/>
    <mergeCell ref="F176:G176"/>
    <mergeCell ref="H176:I176"/>
    <mergeCell ref="J176:K176"/>
    <mergeCell ref="L176:M176"/>
    <mergeCell ref="N176:O176"/>
    <mergeCell ref="A169:W169"/>
    <mergeCell ref="AA169:AW169"/>
    <mergeCell ref="AT174:AU174"/>
    <mergeCell ref="AV174:AW174"/>
    <mergeCell ref="V176:W176"/>
    <mergeCell ref="AT176:AU176"/>
    <mergeCell ref="AV176:AW176"/>
    <mergeCell ref="AH175:AI175"/>
    <mergeCell ref="AJ175:AK175"/>
    <mergeCell ref="AL175:AM175"/>
    <mergeCell ref="AN175:AO175"/>
    <mergeCell ref="AL176:AM176"/>
    <mergeCell ref="AN176:AO176"/>
    <mergeCell ref="AP176:AQ176"/>
    <mergeCell ref="AP175:AQ175"/>
    <mergeCell ref="AR175:AS175"/>
    <mergeCell ref="AT175:AU175"/>
    <mergeCell ref="AV175:AW175"/>
    <mergeCell ref="P177:Q177"/>
    <mergeCell ref="AH174:AI174"/>
    <mergeCell ref="AJ174:AK174"/>
    <mergeCell ref="AL174:AM174"/>
    <mergeCell ref="AN174:AO174"/>
    <mergeCell ref="P174:Q174"/>
    <mergeCell ref="R174:S174"/>
    <mergeCell ref="T174:U174"/>
    <mergeCell ref="V174:W174"/>
    <mergeCell ref="AA174:AC174"/>
    <mergeCell ref="AD174:AE174"/>
    <mergeCell ref="AF174:AG174"/>
    <mergeCell ref="P175:Q175"/>
    <mergeCell ref="R175:S175"/>
    <mergeCell ref="T175:U175"/>
    <mergeCell ref="V175:W175"/>
    <mergeCell ref="AA175:AC175"/>
    <mergeCell ref="AD175:AE175"/>
    <mergeCell ref="AF175:AG175"/>
    <mergeCell ref="AH176:AI176"/>
    <mergeCell ref="AJ176:AK176"/>
    <mergeCell ref="P176:Q176"/>
    <mergeCell ref="R176:S176"/>
    <mergeCell ref="T176:U176"/>
    <mergeCell ref="AA176:AC176"/>
    <mergeCell ref="AD176:AE176"/>
    <mergeCell ref="AF176:AG176"/>
    <mergeCell ref="A174:C174"/>
    <mergeCell ref="D174:E174"/>
    <mergeCell ref="F174:G174"/>
    <mergeCell ref="H174:I174"/>
    <mergeCell ref="J174:K174"/>
    <mergeCell ref="L174:M174"/>
    <mergeCell ref="N174:O174"/>
    <mergeCell ref="A175:C175"/>
    <mergeCell ref="D175:E175"/>
    <mergeCell ref="F175:G175"/>
    <mergeCell ref="H175:I175"/>
    <mergeCell ref="AA145:AC145"/>
    <mergeCell ref="AA146:AC146"/>
    <mergeCell ref="A147:C147"/>
    <mergeCell ref="D147:E147"/>
    <mergeCell ref="AA147:AC147"/>
    <mergeCell ref="AA148:AC148"/>
    <mergeCell ref="AA149:AC149"/>
    <mergeCell ref="AA155:AC155"/>
    <mergeCell ref="AA156:AC156"/>
    <mergeCell ref="N152:O152"/>
    <mergeCell ref="P152:Q152"/>
    <mergeCell ref="U152:V152"/>
    <mergeCell ref="W152:X152"/>
    <mergeCell ref="Y152:Z152"/>
    <mergeCell ref="AA152:AC153"/>
    <mergeCell ref="AA154:AC154"/>
    <mergeCell ref="A148:C148"/>
    <mergeCell ref="A149:C149"/>
    <mergeCell ref="D149:E149"/>
    <mergeCell ref="A150:C150"/>
    <mergeCell ref="D150:E150"/>
    <mergeCell ref="AP172:AQ172"/>
    <mergeCell ref="AP173:AQ173"/>
    <mergeCell ref="AR173:AS173"/>
    <mergeCell ref="AT173:AU173"/>
    <mergeCell ref="AV173:AW173"/>
    <mergeCell ref="AP174:AQ174"/>
    <mergeCell ref="AR174:AS174"/>
    <mergeCell ref="A155:C155"/>
    <mergeCell ref="D155:E155"/>
    <mergeCell ref="A156:C156"/>
    <mergeCell ref="D156:E156"/>
    <mergeCell ref="AP171:AQ171"/>
    <mergeCell ref="AR171:AS171"/>
    <mergeCell ref="AT171:AU171"/>
    <mergeCell ref="AV171:AW171"/>
    <mergeCell ref="AR172:AS172"/>
    <mergeCell ref="AT172:AU172"/>
    <mergeCell ref="AV172:AW172"/>
    <mergeCell ref="F157:S157"/>
    <mergeCell ref="U157:Z157"/>
    <mergeCell ref="A158:C158"/>
    <mergeCell ref="D158:E158"/>
    <mergeCell ref="AA158:AC158"/>
    <mergeCell ref="A159:C159"/>
    <mergeCell ref="D159:E159"/>
    <mergeCell ref="AA159:AC159"/>
    <mergeCell ref="A160:C160"/>
    <mergeCell ref="D160:E160"/>
    <mergeCell ref="AA160:AC160"/>
    <mergeCell ref="AA161:AC161"/>
    <mergeCell ref="A167:AI167"/>
    <mergeCell ref="D148:E148"/>
    <mergeCell ref="A151:S151"/>
    <mergeCell ref="F152:G152"/>
    <mergeCell ref="H152:I152"/>
    <mergeCell ref="J152:K152"/>
    <mergeCell ref="L152:M152"/>
    <mergeCell ref="R152:S152"/>
    <mergeCell ref="A152:E152"/>
    <mergeCell ref="A154:C154"/>
    <mergeCell ref="D154:E154"/>
    <mergeCell ref="A101:C101"/>
    <mergeCell ref="D101:E101"/>
    <mergeCell ref="A109:C109"/>
    <mergeCell ref="D109:G109"/>
    <mergeCell ref="A110:C110"/>
    <mergeCell ref="D110:G110"/>
    <mergeCell ref="A111:C111"/>
    <mergeCell ref="D111:G111"/>
    <mergeCell ref="A112:C112"/>
    <mergeCell ref="D112:G112"/>
    <mergeCell ref="A102:C102"/>
    <mergeCell ref="D102:E102"/>
    <mergeCell ref="A103:C103"/>
    <mergeCell ref="D103:E103"/>
    <mergeCell ref="A104:C104"/>
    <mergeCell ref="D104:E104"/>
    <mergeCell ref="A108:G108"/>
    <mergeCell ref="A67:E67"/>
    <mergeCell ref="A68:C68"/>
    <mergeCell ref="D68:E68"/>
    <mergeCell ref="A69:C69"/>
    <mergeCell ref="D69:E69"/>
    <mergeCell ref="A98:C98"/>
    <mergeCell ref="A99:C99"/>
    <mergeCell ref="D99:E99"/>
    <mergeCell ref="A100:C100"/>
    <mergeCell ref="D100:E100"/>
    <mergeCell ref="A91:C91"/>
    <mergeCell ref="D91:E91"/>
    <mergeCell ref="A75:C75"/>
    <mergeCell ref="D75:E75"/>
    <mergeCell ref="D76:E76"/>
    <mergeCell ref="A77:S77"/>
    <mergeCell ref="P78:Q78"/>
    <mergeCell ref="R78:S78"/>
    <mergeCell ref="A70:C70"/>
    <mergeCell ref="D70:E70"/>
    <mergeCell ref="A71:C71"/>
    <mergeCell ref="D71:E71"/>
    <mergeCell ref="A72:C72"/>
    <mergeCell ref="D72:E72"/>
    <mergeCell ref="N66:O66"/>
    <mergeCell ref="P66:Q66"/>
    <mergeCell ref="R66:S66"/>
    <mergeCell ref="U66:V66"/>
    <mergeCell ref="W66:X66"/>
    <mergeCell ref="Y66:Z66"/>
    <mergeCell ref="A63:S63"/>
    <mergeCell ref="A64:AC64"/>
    <mergeCell ref="F65:S65"/>
    <mergeCell ref="U65:Z65"/>
    <mergeCell ref="A66:E66"/>
    <mergeCell ref="F66:G66"/>
    <mergeCell ref="H66:I66"/>
    <mergeCell ref="J66:K66"/>
    <mergeCell ref="L66:M66"/>
    <mergeCell ref="P59:Q59"/>
    <mergeCell ref="P60:Q60"/>
    <mergeCell ref="A61:N61"/>
    <mergeCell ref="P61:Q61"/>
    <mergeCell ref="A62:N62"/>
    <mergeCell ref="P62:Q62"/>
    <mergeCell ref="P50:Q50"/>
    <mergeCell ref="P52:Q52"/>
    <mergeCell ref="A53:N53"/>
    <mergeCell ref="P53:Q53"/>
    <mergeCell ref="A54:N54"/>
    <mergeCell ref="P54:Q54"/>
    <mergeCell ref="P55:Q55"/>
    <mergeCell ref="A55:N55"/>
    <mergeCell ref="A56:N56"/>
    <mergeCell ref="P56:Q56"/>
    <mergeCell ref="A58:L58"/>
    <mergeCell ref="P58:Q58"/>
    <mergeCell ref="A59:N59"/>
    <mergeCell ref="A60:N60"/>
    <mergeCell ref="A34:L34"/>
    <mergeCell ref="A35:N35"/>
    <mergeCell ref="A36:N36"/>
    <mergeCell ref="P36:Q36"/>
    <mergeCell ref="A37:N37"/>
    <mergeCell ref="P37:Q37"/>
    <mergeCell ref="A38:N38"/>
    <mergeCell ref="P38:Q38"/>
    <mergeCell ref="P40:Q40"/>
    <mergeCell ref="P33:Q33"/>
    <mergeCell ref="A21:N21"/>
    <mergeCell ref="A23:L23"/>
    <mergeCell ref="P23:Q23"/>
    <mergeCell ref="A24:N24"/>
    <mergeCell ref="P24:Q24"/>
    <mergeCell ref="A25:N25"/>
    <mergeCell ref="A26:N26"/>
    <mergeCell ref="A27:N27"/>
    <mergeCell ref="P27:Q27"/>
    <mergeCell ref="A28:L28"/>
    <mergeCell ref="P28:Q28"/>
    <mergeCell ref="A29:N29"/>
    <mergeCell ref="P29:Q29"/>
    <mergeCell ref="P30:Q30"/>
    <mergeCell ref="A30:N30"/>
    <mergeCell ref="A31:N31"/>
    <mergeCell ref="P31:Q31"/>
    <mergeCell ref="A32:N32"/>
    <mergeCell ref="P32:Q32"/>
    <mergeCell ref="A14:N14"/>
    <mergeCell ref="A15:N15"/>
    <mergeCell ref="A16:N16"/>
    <mergeCell ref="A17:N17"/>
    <mergeCell ref="A18:N18"/>
    <mergeCell ref="A19:N19"/>
    <mergeCell ref="A20:N20"/>
    <mergeCell ref="P25:Q25"/>
    <mergeCell ref="P26:Q26"/>
    <mergeCell ref="A46:L46"/>
    <mergeCell ref="P47:Q47"/>
    <mergeCell ref="A47:N47"/>
    <mergeCell ref="A48:N48"/>
    <mergeCell ref="P48:Q48"/>
    <mergeCell ref="A49:N49"/>
    <mergeCell ref="P49:Q49"/>
    <mergeCell ref="A50:N50"/>
    <mergeCell ref="A52:L52"/>
    <mergeCell ref="P41:Q41"/>
    <mergeCell ref="P42:Q42"/>
    <mergeCell ref="P43:Q43"/>
    <mergeCell ref="P44:Q44"/>
    <mergeCell ref="A40:L40"/>
    <mergeCell ref="A41:N41"/>
    <mergeCell ref="A42:N42"/>
    <mergeCell ref="A43:N43"/>
    <mergeCell ref="A44:N44"/>
    <mergeCell ref="A8:E8"/>
    <mergeCell ref="F8:M8"/>
    <mergeCell ref="N8:P8"/>
    <mergeCell ref="A9:AC9"/>
    <mergeCell ref="AB15:AC15"/>
    <mergeCell ref="AB17:AC17"/>
    <mergeCell ref="AB18:AC18"/>
    <mergeCell ref="AB19:AC19"/>
    <mergeCell ref="AB20:AC20"/>
    <mergeCell ref="A10:AC11"/>
    <mergeCell ref="A12:N12"/>
    <mergeCell ref="P12:Q12"/>
    <mergeCell ref="AB12:AC12"/>
    <mergeCell ref="A13:N13"/>
    <mergeCell ref="AB13:AC13"/>
    <mergeCell ref="AB14:AC14"/>
    <mergeCell ref="P19:Q19"/>
    <mergeCell ref="P20:Q20"/>
    <mergeCell ref="P13:Q13"/>
    <mergeCell ref="P14:Q14"/>
    <mergeCell ref="P15:Q15"/>
    <mergeCell ref="P16:Q16"/>
    <mergeCell ref="P17:Q17"/>
    <mergeCell ref="P18:Q18"/>
    <mergeCell ref="A1:AK1"/>
    <mergeCell ref="A2:AK2"/>
    <mergeCell ref="A3:AK3"/>
    <mergeCell ref="A4:E4"/>
    <mergeCell ref="F4:P4"/>
    <mergeCell ref="A5:E5"/>
    <mergeCell ref="F5:P5"/>
    <mergeCell ref="A6:E7"/>
    <mergeCell ref="F6:P7"/>
    <mergeCell ref="R7:T7"/>
    <mergeCell ref="AA99:AC99"/>
    <mergeCell ref="AA100:AC100"/>
    <mergeCell ref="AA101:AC101"/>
    <mergeCell ref="AA102:AC102"/>
    <mergeCell ref="AA103:AC103"/>
    <mergeCell ref="AA104:AC104"/>
    <mergeCell ref="AA105:AC105"/>
    <mergeCell ref="J108:P108"/>
    <mergeCell ref="U4:AC4"/>
    <mergeCell ref="U5:AC5"/>
    <mergeCell ref="U6:AC6"/>
    <mergeCell ref="U7:AC7"/>
    <mergeCell ref="U8:AC8"/>
    <mergeCell ref="AB21:AC21"/>
    <mergeCell ref="P21:Q21"/>
    <mergeCell ref="P22:Q22"/>
    <mergeCell ref="R19:S19"/>
    <mergeCell ref="P45:Q45"/>
    <mergeCell ref="P46:Q46"/>
    <mergeCell ref="P51:Q51"/>
    <mergeCell ref="P57:Q57"/>
    <mergeCell ref="P34:Q34"/>
    <mergeCell ref="P35:Q35"/>
    <mergeCell ref="P39:Q39"/>
    <mergeCell ref="F96:S96"/>
    <mergeCell ref="U96:Z96"/>
    <mergeCell ref="A97:C97"/>
    <mergeCell ref="D97:E97"/>
    <mergeCell ref="D98:E98"/>
    <mergeCell ref="AA92:AC92"/>
    <mergeCell ref="AA93:AC93"/>
    <mergeCell ref="AA94:AC94"/>
    <mergeCell ref="AA95:AC95"/>
    <mergeCell ref="AA97:AC97"/>
    <mergeCell ref="AA98:AC98"/>
    <mergeCell ref="AA91:AC91"/>
    <mergeCell ref="A92:C92"/>
    <mergeCell ref="D92:E92"/>
    <mergeCell ref="A93:C93"/>
    <mergeCell ref="D93:E93"/>
    <mergeCell ref="A94:C94"/>
    <mergeCell ref="D94:E94"/>
    <mergeCell ref="F88:S88"/>
    <mergeCell ref="U88:AD88"/>
    <mergeCell ref="R89:S89"/>
    <mergeCell ref="U89:V89"/>
    <mergeCell ref="W89:X89"/>
    <mergeCell ref="Y89:Z89"/>
    <mergeCell ref="A89:E89"/>
    <mergeCell ref="F89:G89"/>
    <mergeCell ref="H89:I89"/>
    <mergeCell ref="J89:K89"/>
    <mergeCell ref="L89:M89"/>
    <mergeCell ref="N89:O89"/>
    <mergeCell ref="P89:Q89"/>
    <mergeCell ref="AA81:AC81"/>
    <mergeCell ref="AA82:AC82"/>
    <mergeCell ref="AA83:AC83"/>
    <mergeCell ref="AA84:AC84"/>
    <mergeCell ref="AA85:AC85"/>
    <mergeCell ref="AA86:AC86"/>
    <mergeCell ref="AA87:AC87"/>
    <mergeCell ref="A80:C80"/>
    <mergeCell ref="D80:E80"/>
    <mergeCell ref="AA80:AC80"/>
    <mergeCell ref="A81:C81"/>
    <mergeCell ref="D81:E81"/>
    <mergeCell ref="A82:C82"/>
    <mergeCell ref="D82:E82"/>
    <mergeCell ref="A86:C86"/>
    <mergeCell ref="A87:C87"/>
    <mergeCell ref="D87:E87"/>
    <mergeCell ref="A83:C83"/>
    <mergeCell ref="D83:E83"/>
    <mergeCell ref="A84:C84"/>
    <mergeCell ref="D84:E84"/>
    <mergeCell ref="A85:C85"/>
    <mergeCell ref="D85:E85"/>
    <mergeCell ref="D86:E86"/>
    <mergeCell ref="D73:E73"/>
    <mergeCell ref="A73:C73"/>
    <mergeCell ref="A74:C74"/>
    <mergeCell ref="D74:E74"/>
    <mergeCell ref="U78:V78"/>
    <mergeCell ref="W78:X78"/>
    <mergeCell ref="Y78:Z78"/>
    <mergeCell ref="A76:C76"/>
    <mergeCell ref="A78:E78"/>
    <mergeCell ref="F78:G78"/>
    <mergeCell ref="H78:I78"/>
    <mergeCell ref="J78:K78"/>
    <mergeCell ref="L78:M78"/>
    <mergeCell ref="N78:O78"/>
  </mergeCells>
  <pageMargins left="0.25" right="0.25" top="0.75" bottom="0.75" header="0" footer="0"/>
  <pageSetup paperSize="5"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C00-000000000000}">
          <x14:formula1>
            <xm:f>'Drop-Down Boxes '!$D$3:$D$14</xm:f>
          </x14:formula1>
          <xm:sqref>F8</xm:sqref>
        </x14:dataValidation>
        <x14:dataValidation type="list" allowBlank="1" showErrorMessage="1" xr:uid="{00000000-0002-0000-0C00-000001000000}">
          <x14:formula1>
            <xm:f>'Drop-Down Boxes '!$H$3:$H$5</xm:f>
          </x14:formula1>
          <xm:sqref>N8</xm:sqref>
        </x14:dataValidation>
        <x14:dataValidation type="list" allowBlank="1" showErrorMessage="1" xr:uid="{00000000-0002-0000-0C00-000002000000}">
          <x14:formula1>
            <xm:f>'Drop-Down Boxes '!$O$16:$O$20</xm:f>
          </x14:formula1>
          <xm:sqref>AD183:AM187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N1000"/>
  <sheetViews>
    <sheetView workbookViewId="0">
      <selection activeCell="A2" sqref="A2:AN2"/>
    </sheetView>
  </sheetViews>
  <sheetFormatPr defaultColWidth="14.42578125" defaultRowHeight="15" customHeight="1" x14ac:dyDescent="0.25"/>
  <cols>
    <col min="1" max="40" width="5.7109375" customWidth="1"/>
  </cols>
  <sheetData>
    <row r="1" spans="1:40" ht="18.75" x14ac:dyDescent="0.25">
      <c r="A1" s="432" t="s">
        <v>279</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54"/>
    </row>
    <row r="2" spans="1:40" ht="16.5" customHeight="1" x14ac:dyDescent="0.25">
      <c r="A2" s="433" t="s">
        <v>1067</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54"/>
    </row>
    <row r="3" spans="1:40" ht="16.5" customHeight="1" x14ac:dyDescent="0.25">
      <c r="A3" s="434" t="s">
        <v>280</v>
      </c>
      <c r="B3" s="377"/>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8"/>
      <c r="AL3" s="8"/>
      <c r="AM3" s="8"/>
      <c r="AN3" s="8"/>
    </row>
    <row r="4" spans="1:40" ht="15.75" customHeight="1" x14ac:dyDescent="0.25">
      <c r="A4" s="435" t="s">
        <v>281</v>
      </c>
      <c r="B4" s="350"/>
      <c r="C4" s="350"/>
      <c r="D4" s="350"/>
      <c r="E4" s="350"/>
      <c r="F4" s="350"/>
      <c r="G4" s="351"/>
      <c r="H4" s="380" t="s">
        <v>282</v>
      </c>
      <c r="I4" s="338"/>
      <c r="J4" s="338"/>
      <c r="K4" s="338"/>
      <c r="L4" s="338"/>
      <c r="M4" s="338"/>
      <c r="N4" s="338"/>
      <c r="O4" s="338"/>
      <c r="P4" s="338"/>
      <c r="Q4" s="338"/>
      <c r="R4" s="338"/>
      <c r="S4" s="339"/>
      <c r="T4" s="4"/>
      <c r="U4" s="435" t="s">
        <v>31</v>
      </c>
      <c r="V4" s="350"/>
      <c r="W4" s="350"/>
      <c r="X4" s="350"/>
      <c r="Y4" s="351"/>
      <c r="Z4" s="381" t="s">
        <v>283</v>
      </c>
      <c r="AA4" s="326"/>
      <c r="AB4" s="326"/>
      <c r="AC4" s="326"/>
      <c r="AD4" s="326"/>
      <c r="AE4" s="326"/>
      <c r="AF4" s="326"/>
      <c r="AG4" s="326"/>
      <c r="AH4" s="326"/>
      <c r="AI4" s="326"/>
      <c r="AJ4" s="326"/>
      <c r="AK4" s="326"/>
      <c r="AL4" s="326"/>
      <c r="AM4" s="326"/>
      <c r="AN4" s="327"/>
    </row>
    <row r="5" spans="1:40" x14ac:dyDescent="0.25">
      <c r="A5" s="407" t="s">
        <v>284</v>
      </c>
      <c r="B5" s="326"/>
      <c r="C5" s="326"/>
      <c r="D5" s="326"/>
      <c r="E5" s="326"/>
      <c r="F5" s="326"/>
      <c r="G5" s="327"/>
      <c r="H5" s="381" t="s">
        <v>285</v>
      </c>
      <c r="I5" s="326"/>
      <c r="J5" s="326"/>
      <c r="K5" s="326"/>
      <c r="L5" s="326"/>
      <c r="M5" s="326"/>
      <c r="N5" s="326"/>
      <c r="O5" s="326"/>
      <c r="P5" s="326"/>
      <c r="Q5" s="326"/>
      <c r="R5" s="326"/>
      <c r="S5" s="327"/>
      <c r="T5" s="5"/>
      <c r="U5" s="437" t="s">
        <v>286</v>
      </c>
      <c r="V5" s="326"/>
      <c r="W5" s="326"/>
      <c r="X5" s="326"/>
      <c r="Y5" s="327"/>
      <c r="Z5" s="382" t="s">
        <v>287</v>
      </c>
      <c r="AA5" s="326"/>
      <c r="AB5" s="326"/>
      <c r="AC5" s="326"/>
      <c r="AD5" s="326"/>
      <c r="AE5" s="326"/>
      <c r="AF5" s="326"/>
      <c r="AG5" s="326"/>
      <c r="AH5" s="326"/>
      <c r="AI5" s="326"/>
      <c r="AJ5" s="326"/>
      <c r="AK5" s="326"/>
      <c r="AL5" s="326"/>
      <c r="AM5" s="326"/>
      <c r="AN5" s="327"/>
    </row>
    <row r="6" spans="1:40" ht="15" customHeight="1" x14ac:dyDescent="0.25">
      <c r="A6" s="442" t="s">
        <v>37</v>
      </c>
      <c r="B6" s="332"/>
      <c r="C6" s="332"/>
      <c r="D6" s="332"/>
      <c r="E6" s="332"/>
      <c r="F6" s="332"/>
      <c r="G6" s="333"/>
      <c r="H6" s="390" t="s">
        <v>288</v>
      </c>
      <c r="I6" s="332"/>
      <c r="J6" s="332"/>
      <c r="K6" s="332"/>
      <c r="L6" s="332"/>
      <c r="M6" s="332"/>
      <c r="N6" s="332"/>
      <c r="O6" s="332"/>
      <c r="P6" s="332"/>
      <c r="Q6" s="332"/>
      <c r="R6" s="332"/>
      <c r="S6" s="333"/>
      <c r="T6" s="5"/>
      <c r="U6" s="407" t="s">
        <v>39</v>
      </c>
      <c r="V6" s="326"/>
      <c r="W6" s="326"/>
      <c r="X6" s="326"/>
      <c r="Y6" s="327"/>
      <c r="Z6" s="381" t="s">
        <v>289</v>
      </c>
      <c r="AA6" s="326"/>
      <c r="AB6" s="326"/>
      <c r="AC6" s="326"/>
      <c r="AD6" s="326"/>
      <c r="AE6" s="326"/>
      <c r="AF6" s="326"/>
      <c r="AG6" s="326"/>
      <c r="AH6" s="326"/>
      <c r="AI6" s="326"/>
      <c r="AJ6" s="326"/>
      <c r="AK6" s="326"/>
      <c r="AL6" s="326"/>
      <c r="AM6" s="326"/>
      <c r="AN6" s="327"/>
    </row>
    <row r="7" spans="1:40" ht="15" customHeight="1" x14ac:dyDescent="0.25">
      <c r="A7" s="337"/>
      <c r="B7" s="338"/>
      <c r="C7" s="338"/>
      <c r="D7" s="338"/>
      <c r="E7" s="338"/>
      <c r="F7" s="338"/>
      <c r="G7" s="339"/>
      <c r="H7" s="337"/>
      <c r="I7" s="338"/>
      <c r="J7" s="338"/>
      <c r="K7" s="338"/>
      <c r="L7" s="338"/>
      <c r="M7" s="338"/>
      <c r="N7" s="338"/>
      <c r="O7" s="338"/>
      <c r="P7" s="338"/>
      <c r="Q7" s="338"/>
      <c r="R7" s="338"/>
      <c r="S7" s="339"/>
      <c r="T7" s="5"/>
      <c r="U7" s="407" t="s">
        <v>41</v>
      </c>
      <c r="V7" s="326"/>
      <c r="W7" s="326"/>
      <c r="X7" s="326"/>
      <c r="Y7" s="327"/>
      <c r="Z7" s="381" t="s">
        <v>290</v>
      </c>
      <c r="AA7" s="326"/>
      <c r="AB7" s="326"/>
      <c r="AC7" s="326"/>
      <c r="AD7" s="326"/>
      <c r="AE7" s="326"/>
      <c r="AF7" s="326"/>
      <c r="AG7" s="326"/>
      <c r="AH7" s="326"/>
      <c r="AI7" s="326"/>
      <c r="AJ7" s="326"/>
      <c r="AK7" s="326"/>
      <c r="AL7" s="326"/>
      <c r="AM7" s="326"/>
      <c r="AN7" s="327"/>
    </row>
    <row r="8" spans="1:40" ht="15.75" customHeight="1" x14ac:dyDescent="0.25">
      <c r="A8" s="409" t="s">
        <v>291</v>
      </c>
      <c r="B8" s="326"/>
      <c r="C8" s="326"/>
      <c r="D8" s="326"/>
      <c r="E8" s="326"/>
      <c r="F8" s="326"/>
      <c r="G8" s="327"/>
      <c r="H8" s="443" t="s">
        <v>44</v>
      </c>
      <c r="I8" s="326"/>
      <c r="J8" s="326"/>
      <c r="K8" s="326"/>
      <c r="L8" s="326"/>
      <c r="M8" s="326"/>
      <c r="N8" s="326"/>
      <c r="O8" s="327"/>
      <c r="P8" s="443">
        <v>2026</v>
      </c>
      <c r="Q8" s="326"/>
      <c r="R8" s="326"/>
      <c r="S8" s="327"/>
      <c r="T8" s="5"/>
      <c r="U8" s="436" t="s">
        <v>45</v>
      </c>
      <c r="V8" s="326"/>
      <c r="W8" s="326"/>
      <c r="X8" s="326"/>
      <c r="Y8" s="327"/>
      <c r="Z8" s="388" t="s">
        <v>292</v>
      </c>
      <c r="AA8" s="326"/>
      <c r="AB8" s="326"/>
      <c r="AC8" s="326"/>
      <c r="AD8" s="326"/>
      <c r="AE8" s="326"/>
      <c r="AF8" s="326"/>
      <c r="AG8" s="326"/>
      <c r="AH8" s="326"/>
      <c r="AI8" s="326"/>
      <c r="AJ8" s="326"/>
      <c r="AK8" s="326"/>
      <c r="AL8" s="326"/>
      <c r="AM8" s="326"/>
      <c r="AN8" s="327"/>
    </row>
    <row r="9" spans="1:40" ht="15.75" customHeight="1" x14ac:dyDescent="0.25">
      <c r="A9" s="434" t="s">
        <v>293</v>
      </c>
      <c r="B9" s="377"/>
      <c r="C9" s="377"/>
      <c r="D9" s="377"/>
      <c r="E9" s="377"/>
      <c r="F9" s="377"/>
      <c r="G9" s="377"/>
      <c r="H9" s="377"/>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c r="AH9" s="377"/>
      <c r="AI9" s="377"/>
      <c r="AJ9" s="377"/>
      <c r="AK9" s="378"/>
      <c r="AL9" s="8"/>
      <c r="AM9" s="8"/>
      <c r="AN9" s="8"/>
    </row>
    <row r="10" spans="1:40" ht="39.75" customHeight="1" x14ac:dyDescent="0.25">
      <c r="A10" s="440" t="s">
        <v>294</v>
      </c>
      <c r="B10" s="327"/>
      <c r="C10" s="441" t="s">
        <v>295</v>
      </c>
      <c r="D10" s="326"/>
      <c r="E10" s="408"/>
      <c r="F10" s="438" t="s">
        <v>296</v>
      </c>
      <c r="G10" s="326"/>
      <c r="H10" s="326"/>
      <c r="I10" s="327"/>
      <c r="J10" s="438" t="s">
        <v>297</v>
      </c>
      <c r="K10" s="326"/>
      <c r="L10" s="326"/>
      <c r="M10" s="327"/>
      <c r="N10" s="439" t="s">
        <v>298</v>
      </c>
      <c r="O10" s="326"/>
      <c r="P10" s="326"/>
      <c r="Q10" s="326"/>
      <c r="R10" s="326"/>
      <c r="S10" s="327"/>
      <c r="T10" s="9"/>
      <c r="U10" s="440" t="s">
        <v>294</v>
      </c>
      <c r="V10" s="327"/>
      <c r="W10" s="441" t="s">
        <v>299</v>
      </c>
      <c r="X10" s="326"/>
      <c r="Y10" s="408"/>
      <c r="Z10" s="438" t="s">
        <v>296</v>
      </c>
      <c r="AA10" s="326"/>
      <c r="AB10" s="326"/>
      <c r="AC10" s="327"/>
      <c r="AD10" s="438" t="s">
        <v>297</v>
      </c>
      <c r="AE10" s="326"/>
      <c r="AF10" s="326"/>
      <c r="AG10" s="327"/>
      <c r="AH10" s="439" t="s">
        <v>298</v>
      </c>
      <c r="AI10" s="326"/>
      <c r="AJ10" s="326"/>
      <c r="AK10" s="326"/>
      <c r="AL10" s="326"/>
      <c r="AM10" s="326"/>
      <c r="AN10" s="327"/>
    </row>
    <row r="11" spans="1:40" ht="15.75" customHeight="1" x14ac:dyDescent="0.25">
      <c r="A11" s="417">
        <v>1</v>
      </c>
      <c r="B11" s="327"/>
      <c r="C11" s="409"/>
      <c r="D11" s="326"/>
      <c r="E11" s="408"/>
      <c r="F11" s="415"/>
      <c r="G11" s="326"/>
      <c r="H11" s="326"/>
      <c r="I11" s="327"/>
      <c r="J11" s="415"/>
      <c r="K11" s="326"/>
      <c r="L11" s="326"/>
      <c r="M11" s="327"/>
      <c r="N11" s="416"/>
      <c r="O11" s="326"/>
      <c r="P11" s="326"/>
      <c r="Q11" s="326"/>
      <c r="R11" s="326"/>
      <c r="S11" s="327"/>
      <c r="T11" s="9"/>
      <c r="U11" s="417">
        <v>9</v>
      </c>
      <c r="V11" s="327"/>
      <c r="W11" s="409"/>
      <c r="X11" s="326"/>
      <c r="Y11" s="408"/>
      <c r="Z11" s="415"/>
      <c r="AA11" s="326"/>
      <c r="AB11" s="326"/>
      <c r="AC11" s="327"/>
      <c r="AD11" s="415"/>
      <c r="AE11" s="326"/>
      <c r="AF11" s="326"/>
      <c r="AG11" s="327"/>
      <c r="AH11" s="416"/>
      <c r="AI11" s="326"/>
      <c r="AJ11" s="326"/>
      <c r="AK11" s="326"/>
      <c r="AL11" s="326"/>
      <c r="AM11" s="326"/>
      <c r="AN11" s="327"/>
    </row>
    <row r="12" spans="1:40" ht="15.75" customHeight="1" x14ac:dyDescent="0.25">
      <c r="A12" s="417">
        <v>2</v>
      </c>
      <c r="B12" s="327"/>
      <c r="C12" s="409"/>
      <c r="D12" s="326"/>
      <c r="E12" s="408"/>
      <c r="F12" s="415"/>
      <c r="G12" s="326"/>
      <c r="H12" s="326"/>
      <c r="I12" s="327"/>
      <c r="J12" s="415"/>
      <c r="K12" s="326"/>
      <c r="L12" s="326"/>
      <c r="M12" s="327"/>
      <c r="N12" s="416"/>
      <c r="O12" s="326"/>
      <c r="P12" s="326"/>
      <c r="Q12" s="326"/>
      <c r="R12" s="326"/>
      <c r="S12" s="327"/>
      <c r="T12" s="9"/>
      <c r="U12" s="417">
        <v>10</v>
      </c>
      <c r="V12" s="327"/>
      <c r="W12" s="409"/>
      <c r="X12" s="326"/>
      <c r="Y12" s="408"/>
      <c r="Z12" s="415"/>
      <c r="AA12" s="326"/>
      <c r="AB12" s="326"/>
      <c r="AC12" s="327"/>
      <c r="AD12" s="415"/>
      <c r="AE12" s="326"/>
      <c r="AF12" s="326"/>
      <c r="AG12" s="327"/>
      <c r="AH12" s="416"/>
      <c r="AI12" s="326"/>
      <c r="AJ12" s="326"/>
      <c r="AK12" s="326"/>
      <c r="AL12" s="326"/>
      <c r="AM12" s="326"/>
      <c r="AN12" s="327"/>
    </row>
    <row r="13" spans="1:40" ht="15.75" customHeight="1" x14ac:dyDescent="0.25">
      <c r="A13" s="417">
        <v>3</v>
      </c>
      <c r="B13" s="327"/>
      <c r="C13" s="409"/>
      <c r="D13" s="326"/>
      <c r="E13" s="408"/>
      <c r="F13" s="415"/>
      <c r="G13" s="326"/>
      <c r="H13" s="326"/>
      <c r="I13" s="327"/>
      <c r="J13" s="415"/>
      <c r="K13" s="326"/>
      <c r="L13" s="326"/>
      <c r="M13" s="327"/>
      <c r="N13" s="416"/>
      <c r="O13" s="326"/>
      <c r="P13" s="326"/>
      <c r="Q13" s="326"/>
      <c r="R13" s="326"/>
      <c r="S13" s="327"/>
      <c r="T13" s="9"/>
      <c r="U13" s="417">
        <v>11</v>
      </c>
      <c r="V13" s="327"/>
      <c r="W13" s="409"/>
      <c r="X13" s="326"/>
      <c r="Y13" s="408"/>
      <c r="Z13" s="415"/>
      <c r="AA13" s="326"/>
      <c r="AB13" s="326"/>
      <c r="AC13" s="327"/>
      <c r="AD13" s="415"/>
      <c r="AE13" s="326"/>
      <c r="AF13" s="326"/>
      <c r="AG13" s="327"/>
      <c r="AH13" s="416"/>
      <c r="AI13" s="326"/>
      <c r="AJ13" s="326"/>
      <c r="AK13" s="326"/>
      <c r="AL13" s="326"/>
      <c r="AM13" s="326"/>
      <c r="AN13" s="327"/>
    </row>
    <row r="14" spans="1:40" ht="15.75" customHeight="1" x14ac:dyDescent="0.25">
      <c r="A14" s="417">
        <v>4</v>
      </c>
      <c r="B14" s="327"/>
      <c r="C14" s="409"/>
      <c r="D14" s="326"/>
      <c r="E14" s="408"/>
      <c r="F14" s="415"/>
      <c r="G14" s="326"/>
      <c r="H14" s="326"/>
      <c r="I14" s="327"/>
      <c r="J14" s="415"/>
      <c r="K14" s="326"/>
      <c r="L14" s="326"/>
      <c r="M14" s="327"/>
      <c r="N14" s="416"/>
      <c r="O14" s="326"/>
      <c r="P14" s="326"/>
      <c r="Q14" s="326"/>
      <c r="R14" s="326"/>
      <c r="S14" s="327"/>
      <c r="T14" s="9"/>
      <c r="U14" s="417">
        <v>12</v>
      </c>
      <c r="V14" s="327"/>
      <c r="W14" s="409"/>
      <c r="X14" s="326"/>
      <c r="Y14" s="408"/>
      <c r="Z14" s="415"/>
      <c r="AA14" s="326"/>
      <c r="AB14" s="326"/>
      <c r="AC14" s="327"/>
      <c r="AD14" s="415"/>
      <c r="AE14" s="326"/>
      <c r="AF14" s="326"/>
      <c r="AG14" s="327"/>
      <c r="AH14" s="416"/>
      <c r="AI14" s="326"/>
      <c r="AJ14" s="326"/>
      <c r="AK14" s="326"/>
      <c r="AL14" s="326"/>
      <c r="AM14" s="326"/>
      <c r="AN14" s="327"/>
    </row>
    <row r="15" spans="1:40" ht="15.75" customHeight="1" x14ac:dyDescent="0.25">
      <c r="A15" s="417">
        <v>5</v>
      </c>
      <c r="B15" s="327"/>
      <c r="C15" s="409"/>
      <c r="D15" s="326"/>
      <c r="E15" s="408"/>
      <c r="F15" s="415"/>
      <c r="G15" s="326"/>
      <c r="H15" s="326"/>
      <c r="I15" s="327"/>
      <c r="J15" s="415"/>
      <c r="K15" s="326"/>
      <c r="L15" s="326"/>
      <c r="M15" s="327"/>
      <c r="N15" s="416"/>
      <c r="O15" s="326"/>
      <c r="P15" s="326"/>
      <c r="Q15" s="326"/>
      <c r="R15" s="326"/>
      <c r="S15" s="327"/>
      <c r="T15" s="9"/>
      <c r="U15" s="417">
        <v>13</v>
      </c>
      <c r="V15" s="327"/>
      <c r="W15" s="409"/>
      <c r="X15" s="326"/>
      <c r="Y15" s="408"/>
      <c r="Z15" s="415"/>
      <c r="AA15" s="326"/>
      <c r="AB15" s="326"/>
      <c r="AC15" s="327"/>
      <c r="AD15" s="415"/>
      <c r="AE15" s="326"/>
      <c r="AF15" s="326"/>
      <c r="AG15" s="327"/>
      <c r="AH15" s="416"/>
      <c r="AI15" s="326"/>
      <c r="AJ15" s="326"/>
      <c r="AK15" s="326"/>
      <c r="AL15" s="326"/>
      <c r="AM15" s="326"/>
      <c r="AN15" s="327"/>
    </row>
    <row r="16" spans="1:40" ht="15.75" customHeight="1" x14ac:dyDescent="0.25">
      <c r="A16" s="417">
        <v>6</v>
      </c>
      <c r="B16" s="327"/>
      <c r="C16" s="409"/>
      <c r="D16" s="326"/>
      <c r="E16" s="408"/>
      <c r="F16" s="415"/>
      <c r="G16" s="326"/>
      <c r="H16" s="326"/>
      <c r="I16" s="327"/>
      <c r="J16" s="415"/>
      <c r="K16" s="326"/>
      <c r="L16" s="326"/>
      <c r="M16" s="327"/>
      <c r="N16" s="416"/>
      <c r="O16" s="326"/>
      <c r="P16" s="326"/>
      <c r="Q16" s="326"/>
      <c r="R16" s="326"/>
      <c r="S16" s="327"/>
      <c r="T16" s="9"/>
      <c r="U16" s="417">
        <v>14</v>
      </c>
      <c r="V16" s="327"/>
      <c r="W16" s="409"/>
      <c r="X16" s="326"/>
      <c r="Y16" s="408"/>
      <c r="Z16" s="415"/>
      <c r="AA16" s="326"/>
      <c r="AB16" s="326"/>
      <c r="AC16" s="327"/>
      <c r="AD16" s="415"/>
      <c r="AE16" s="326"/>
      <c r="AF16" s="326"/>
      <c r="AG16" s="327"/>
      <c r="AH16" s="416"/>
      <c r="AI16" s="326"/>
      <c r="AJ16" s="326"/>
      <c r="AK16" s="326"/>
      <c r="AL16" s="326"/>
      <c r="AM16" s="326"/>
      <c r="AN16" s="327"/>
    </row>
    <row r="17" spans="1:40" ht="15.75" customHeight="1" x14ac:dyDescent="0.25">
      <c r="A17" s="417">
        <v>7</v>
      </c>
      <c r="B17" s="327"/>
      <c r="C17" s="409"/>
      <c r="D17" s="326"/>
      <c r="E17" s="408"/>
      <c r="F17" s="415"/>
      <c r="G17" s="326"/>
      <c r="H17" s="326"/>
      <c r="I17" s="327"/>
      <c r="J17" s="415"/>
      <c r="K17" s="326"/>
      <c r="L17" s="326"/>
      <c r="M17" s="327"/>
      <c r="N17" s="416"/>
      <c r="O17" s="326"/>
      <c r="P17" s="326"/>
      <c r="Q17" s="326"/>
      <c r="R17" s="326"/>
      <c r="S17" s="327"/>
      <c r="T17" s="9"/>
      <c r="U17" s="417">
        <v>15</v>
      </c>
      <c r="V17" s="327"/>
      <c r="W17" s="409"/>
      <c r="X17" s="326"/>
      <c r="Y17" s="408"/>
      <c r="Z17" s="415"/>
      <c r="AA17" s="326"/>
      <c r="AB17" s="326"/>
      <c r="AC17" s="327"/>
      <c r="AD17" s="415"/>
      <c r="AE17" s="326"/>
      <c r="AF17" s="326"/>
      <c r="AG17" s="327"/>
      <c r="AH17" s="416"/>
      <c r="AI17" s="326"/>
      <c r="AJ17" s="326"/>
      <c r="AK17" s="326"/>
      <c r="AL17" s="326"/>
      <c r="AM17" s="326"/>
      <c r="AN17" s="327"/>
    </row>
    <row r="18" spans="1:40" ht="15.75" customHeight="1" x14ac:dyDescent="0.25">
      <c r="A18" s="417">
        <v>8</v>
      </c>
      <c r="B18" s="327"/>
      <c r="C18" s="409"/>
      <c r="D18" s="326"/>
      <c r="E18" s="408"/>
      <c r="F18" s="415"/>
      <c r="G18" s="326"/>
      <c r="H18" s="326"/>
      <c r="I18" s="327"/>
      <c r="J18" s="415"/>
      <c r="K18" s="326"/>
      <c r="L18" s="326"/>
      <c r="M18" s="327"/>
      <c r="N18" s="416"/>
      <c r="O18" s="326"/>
      <c r="P18" s="326"/>
      <c r="Q18" s="326"/>
      <c r="R18" s="326"/>
      <c r="S18" s="327"/>
      <c r="T18" s="9"/>
      <c r="U18" s="417">
        <v>16</v>
      </c>
      <c r="V18" s="327"/>
      <c r="W18" s="409"/>
      <c r="X18" s="326"/>
      <c r="Y18" s="408"/>
      <c r="Z18" s="415"/>
      <c r="AA18" s="326"/>
      <c r="AB18" s="326"/>
      <c r="AC18" s="327"/>
      <c r="AD18" s="415"/>
      <c r="AE18" s="326"/>
      <c r="AF18" s="326"/>
      <c r="AG18" s="327"/>
      <c r="AH18" s="416"/>
      <c r="AI18" s="326"/>
      <c r="AJ18" s="326"/>
      <c r="AK18" s="326"/>
      <c r="AL18" s="326"/>
      <c r="AM18" s="326"/>
      <c r="AN18" s="327"/>
    </row>
    <row r="19" spans="1:40" ht="15.75" customHeight="1" x14ac:dyDescent="0.25">
      <c r="A19" s="444" t="s">
        <v>300</v>
      </c>
      <c r="B19" s="347"/>
      <c r="C19" s="347"/>
      <c r="D19" s="347"/>
      <c r="E19" s="347"/>
      <c r="F19" s="347"/>
      <c r="G19" s="347"/>
      <c r="H19" s="347"/>
      <c r="I19" s="347"/>
      <c r="J19" s="347"/>
      <c r="K19" s="347"/>
      <c r="L19" s="347"/>
      <c r="M19" s="347"/>
      <c r="N19" s="347"/>
      <c r="O19" s="347"/>
      <c r="P19" s="347"/>
      <c r="Q19" s="347"/>
      <c r="R19" s="347"/>
      <c r="S19" s="347"/>
      <c r="T19" s="347"/>
      <c r="U19" s="347"/>
      <c r="V19" s="347"/>
      <c r="W19" s="347"/>
      <c r="X19" s="347"/>
      <c r="Y19" s="347"/>
      <c r="Z19" s="347"/>
      <c r="AA19" s="347"/>
      <c r="AB19" s="347"/>
      <c r="AC19" s="347"/>
      <c r="AD19" s="347"/>
      <c r="AE19" s="347"/>
      <c r="AF19" s="347"/>
      <c r="AG19" s="347"/>
      <c r="AH19" s="347"/>
      <c r="AI19" s="347"/>
      <c r="AJ19" s="347"/>
      <c r="AK19" s="347"/>
      <c r="AL19" s="347"/>
      <c r="AM19" s="347"/>
      <c r="AN19" s="354"/>
    </row>
    <row r="20" spans="1:40" ht="15.75" customHeight="1" x14ac:dyDescent="0.25">
      <c r="A20" s="445">
        <v>2019</v>
      </c>
      <c r="B20" s="348"/>
      <c r="C20" s="419" t="s">
        <v>301</v>
      </c>
      <c r="D20" s="347"/>
      <c r="E20" s="347"/>
      <c r="F20" s="347"/>
      <c r="G20" s="347"/>
      <c r="H20" s="347"/>
      <c r="I20" s="347"/>
      <c r="J20" s="347"/>
      <c r="K20" s="347"/>
      <c r="L20" s="347"/>
      <c r="M20" s="347"/>
      <c r="N20" s="347"/>
      <c r="O20" s="347"/>
      <c r="P20" s="347"/>
      <c r="Q20" s="347"/>
      <c r="R20" s="347"/>
      <c r="S20" s="347"/>
      <c r="T20" s="347"/>
      <c r="U20" s="347"/>
      <c r="V20" s="347"/>
      <c r="W20" s="347"/>
      <c r="X20" s="347"/>
      <c r="Y20" s="347"/>
      <c r="Z20" s="347"/>
      <c r="AA20" s="347"/>
      <c r="AB20" s="347"/>
      <c r="AC20" s="347"/>
      <c r="AD20" s="347"/>
      <c r="AE20" s="347"/>
      <c r="AF20" s="347"/>
      <c r="AG20" s="347"/>
      <c r="AH20" s="347"/>
      <c r="AI20" s="347"/>
      <c r="AJ20" s="347"/>
      <c r="AK20" s="347"/>
      <c r="AL20" s="347"/>
      <c r="AM20" s="347"/>
      <c r="AN20" s="354"/>
    </row>
    <row r="21" spans="1:40" ht="15.75" customHeight="1" x14ac:dyDescent="0.25">
      <c r="A21" s="446" t="s">
        <v>302</v>
      </c>
      <c r="B21" s="421"/>
      <c r="C21" s="447" t="s">
        <v>303</v>
      </c>
      <c r="D21" s="368"/>
      <c r="E21" s="368"/>
      <c r="F21" s="368"/>
      <c r="G21" s="368"/>
      <c r="H21" s="368"/>
      <c r="I21" s="368"/>
      <c r="J21" s="368"/>
      <c r="K21" s="368"/>
      <c r="L21" s="368"/>
      <c r="M21" s="368"/>
      <c r="N21" s="368"/>
      <c r="O21" s="368"/>
      <c r="P21" s="368"/>
      <c r="Q21" s="368"/>
      <c r="R21" s="368"/>
      <c r="S21" s="368"/>
      <c r="T21" s="368"/>
      <c r="U21" s="368"/>
      <c r="V21" s="368"/>
      <c r="W21" s="368"/>
      <c r="X21" s="368"/>
      <c r="Y21" s="368"/>
      <c r="Z21" s="368"/>
      <c r="AA21" s="368"/>
      <c r="AB21" s="368"/>
      <c r="AC21" s="368"/>
      <c r="AD21" s="368"/>
      <c r="AE21" s="368"/>
      <c r="AF21" s="368"/>
      <c r="AG21" s="368"/>
      <c r="AH21" s="368"/>
      <c r="AI21" s="368"/>
      <c r="AJ21" s="368"/>
      <c r="AK21" s="368"/>
      <c r="AL21" s="368"/>
      <c r="AM21" s="368"/>
      <c r="AN21" s="369"/>
    </row>
    <row r="22" spans="1:40" ht="15.75" customHeight="1" x14ac:dyDescent="0.25">
      <c r="A22" s="334"/>
      <c r="B22" s="336"/>
      <c r="C22" s="370"/>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35"/>
      <c r="AL22" s="335"/>
      <c r="AM22" s="335"/>
      <c r="AN22" s="371"/>
    </row>
    <row r="23" spans="1:40" ht="15.75" customHeight="1" x14ac:dyDescent="0.25">
      <c r="A23" s="334"/>
      <c r="B23" s="336"/>
      <c r="C23" s="370"/>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5"/>
      <c r="AG23" s="335"/>
      <c r="AH23" s="335"/>
      <c r="AI23" s="335"/>
      <c r="AJ23" s="335"/>
      <c r="AK23" s="335"/>
      <c r="AL23" s="335"/>
      <c r="AM23" s="335"/>
      <c r="AN23" s="371"/>
    </row>
    <row r="24" spans="1:40" ht="15.75" customHeight="1" x14ac:dyDescent="0.25">
      <c r="A24" s="334"/>
      <c r="B24" s="336"/>
      <c r="C24" s="370"/>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5"/>
      <c r="AI24" s="335"/>
      <c r="AJ24" s="335"/>
      <c r="AK24" s="335"/>
      <c r="AL24" s="335"/>
      <c r="AM24" s="335"/>
      <c r="AN24" s="371"/>
    </row>
    <row r="25" spans="1:40" ht="15.75" customHeight="1" x14ac:dyDescent="0.25">
      <c r="A25" s="422"/>
      <c r="B25" s="423"/>
      <c r="C25" s="425"/>
      <c r="D25" s="426"/>
      <c r="E25" s="426"/>
      <c r="F25" s="426"/>
      <c r="G25" s="426"/>
      <c r="H25" s="426"/>
      <c r="I25" s="426"/>
      <c r="J25" s="426"/>
      <c r="K25" s="426"/>
      <c r="L25" s="426"/>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7"/>
    </row>
    <row r="26" spans="1:40" ht="30" customHeight="1" x14ac:dyDescent="0.25">
      <c r="A26" s="418">
        <v>2019</v>
      </c>
      <c r="B26" s="348"/>
      <c r="C26" s="419" t="s">
        <v>301</v>
      </c>
      <c r="D26" s="347"/>
      <c r="E26" s="347"/>
      <c r="F26" s="347"/>
      <c r="G26" s="347"/>
      <c r="H26" s="347"/>
      <c r="I26" s="347"/>
      <c r="J26" s="347"/>
      <c r="K26" s="347"/>
      <c r="L26" s="347"/>
      <c r="M26" s="347"/>
      <c r="N26" s="347"/>
      <c r="O26" s="347"/>
      <c r="P26" s="347"/>
      <c r="Q26" s="347"/>
      <c r="R26" s="347"/>
      <c r="S26" s="347"/>
      <c r="T26" s="347"/>
      <c r="U26" s="347"/>
      <c r="V26" s="347"/>
      <c r="W26" s="347"/>
      <c r="X26" s="347"/>
      <c r="Y26" s="347"/>
      <c r="Z26" s="347"/>
      <c r="AA26" s="347"/>
      <c r="AB26" s="347"/>
      <c r="AC26" s="347"/>
      <c r="AD26" s="347"/>
      <c r="AE26" s="347"/>
      <c r="AF26" s="347"/>
      <c r="AG26" s="347"/>
      <c r="AH26" s="347"/>
      <c r="AI26" s="347"/>
      <c r="AJ26" s="347"/>
      <c r="AK26" s="347"/>
      <c r="AL26" s="347"/>
      <c r="AM26" s="347"/>
      <c r="AN26" s="354"/>
    </row>
    <row r="27" spans="1:40" ht="15.75" customHeight="1" x14ac:dyDescent="0.25">
      <c r="A27" s="420" t="s">
        <v>304</v>
      </c>
      <c r="B27" s="421"/>
      <c r="C27" s="448" t="s">
        <v>303</v>
      </c>
      <c r="D27" s="368"/>
      <c r="E27" s="368"/>
      <c r="F27" s="368"/>
      <c r="G27" s="368"/>
      <c r="H27" s="368"/>
      <c r="I27" s="368"/>
      <c r="J27" s="368"/>
      <c r="K27" s="368"/>
      <c r="L27" s="368"/>
      <c r="M27" s="368"/>
      <c r="N27" s="368"/>
      <c r="O27" s="368"/>
      <c r="P27" s="368"/>
      <c r="Q27" s="368"/>
      <c r="R27" s="368"/>
      <c r="S27" s="368"/>
      <c r="T27" s="368"/>
      <c r="U27" s="368"/>
      <c r="V27" s="368"/>
      <c r="W27" s="368"/>
      <c r="X27" s="368"/>
      <c r="Y27" s="368"/>
      <c r="Z27" s="368"/>
      <c r="AA27" s="368"/>
      <c r="AB27" s="368"/>
      <c r="AC27" s="368"/>
      <c r="AD27" s="368"/>
      <c r="AE27" s="368"/>
      <c r="AF27" s="368"/>
      <c r="AG27" s="368"/>
      <c r="AH27" s="368"/>
      <c r="AI27" s="368"/>
      <c r="AJ27" s="368"/>
      <c r="AK27" s="368"/>
      <c r="AL27" s="368"/>
      <c r="AM27" s="368"/>
      <c r="AN27" s="369"/>
    </row>
    <row r="28" spans="1:40" ht="15.75" customHeight="1" x14ac:dyDescent="0.25">
      <c r="A28" s="334"/>
      <c r="B28" s="336"/>
      <c r="C28" s="370"/>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c r="AJ28" s="335"/>
      <c r="AK28" s="335"/>
      <c r="AL28" s="335"/>
      <c r="AM28" s="335"/>
      <c r="AN28" s="371"/>
    </row>
    <row r="29" spans="1:40" ht="15.75" customHeight="1" x14ac:dyDescent="0.25">
      <c r="A29" s="334"/>
      <c r="B29" s="336"/>
      <c r="C29" s="370"/>
      <c r="D29" s="335"/>
      <c r="E29" s="335"/>
      <c r="F29" s="335"/>
      <c r="G29" s="335"/>
      <c r="H29" s="335"/>
      <c r="I29" s="335"/>
      <c r="J29" s="335"/>
      <c r="K29" s="335"/>
      <c r="L29" s="335"/>
      <c r="M29" s="335"/>
      <c r="N29" s="335"/>
      <c r="O29" s="335"/>
      <c r="P29" s="335"/>
      <c r="Q29" s="335"/>
      <c r="R29" s="335"/>
      <c r="S29" s="335"/>
      <c r="T29" s="335"/>
      <c r="U29" s="335"/>
      <c r="V29" s="335"/>
      <c r="W29" s="335"/>
      <c r="X29" s="335"/>
      <c r="Y29" s="335"/>
      <c r="Z29" s="335"/>
      <c r="AA29" s="335"/>
      <c r="AB29" s="335"/>
      <c r="AC29" s="335"/>
      <c r="AD29" s="335"/>
      <c r="AE29" s="335"/>
      <c r="AF29" s="335"/>
      <c r="AG29" s="335"/>
      <c r="AH29" s="335"/>
      <c r="AI29" s="335"/>
      <c r="AJ29" s="335"/>
      <c r="AK29" s="335"/>
      <c r="AL29" s="335"/>
      <c r="AM29" s="335"/>
      <c r="AN29" s="371"/>
    </row>
    <row r="30" spans="1:40" ht="15.75" customHeight="1" x14ac:dyDescent="0.25">
      <c r="A30" s="334"/>
      <c r="B30" s="336"/>
      <c r="C30" s="370"/>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71"/>
    </row>
    <row r="31" spans="1:40" ht="15.75" customHeight="1" x14ac:dyDescent="0.25">
      <c r="A31" s="422"/>
      <c r="B31" s="423"/>
      <c r="C31" s="425"/>
      <c r="D31" s="426"/>
      <c r="E31" s="426"/>
      <c r="F31" s="426"/>
      <c r="G31" s="426"/>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6"/>
      <c r="AL31" s="426"/>
      <c r="AM31" s="426"/>
      <c r="AN31" s="427"/>
    </row>
    <row r="32" spans="1:40" ht="30" customHeight="1" x14ac:dyDescent="0.25">
      <c r="A32" s="428">
        <v>2019</v>
      </c>
      <c r="B32" s="348"/>
      <c r="C32" s="419" t="s">
        <v>301</v>
      </c>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347"/>
      <c r="AL32" s="347"/>
      <c r="AM32" s="347"/>
      <c r="AN32" s="354"/>
    </row>
    <row r="33" spans="1:40" ht="15.75" customHeight="1" x14ac:dyDescent="0.25">
      <c r="A33" s="429" t="s">
        <v>305</v>
      </c>
      <c r="B33" s="421"/>
      <c r="C33" s="430" t="s">
        <v>303</v>
      </c>
      <c r="D33" s="368"/>
      <c r="E33" s="368"/>
      <c r="F33" s="368"/>
      <c r="G33" s="368"/>
      <c r="H33" s="368"/>
      <c r="I33" s="368"/>
      <c r="J33" s="368"/>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9"/>
    </row>
    <row r="34" spans="1:40" ht="15.75" customHeight="1" x14ac:dyDescent="0.25">
      <c r="A34" s="334"/>
      <c r="B34" s="336"/>
      <c r="C34" s="370"/>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71"/>
    </row>
    <row r="35" spans="1:40" ht="15.75" customHeight="1" x14ac:dyDescent="0.25">
      <c r="A35" s="334"/>
      <c r="B35" s="336"/>
      <c r="C35" s="370"/>
      <c r="D35" s="335"/>
      <c r="E35" s="335"/>
      <c r="F35" s="335"/>
      <c r="G35" s="335"/>
      <c r="H35" s="335"/>
      <c r="I35" s="335"/>
      <c r="J35" s="335"/>
      <c r="K35" s="335"/>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5"/>
      <c r="AM35" s="335"/>
      <c r="AN35" s="371"/>
    </row>
    <row r="36" spans="1:40" ht="15.75" customHeight="1" x14ac:dyDescent="0.25">
      <c r="A36" s="334"/>
      <c r="B36" s="336"/>
      <c r="C36" s="370"/>
      <c r="D36" s="335"/>
      <c r="E36" s="335"/>
      <c r="F36" s="335"/>
      <c r="G36" s="335"/>
      <c r="H36" s="335"/>
      <c r="I36" s="335"/>
      <c r="J36" s="335"/>
      <c r="K36" s="335"/>
      <c r="L36" s="335"/>
      <c r="M36" s="335"/>
      <c r="N36" s="335"/>
      <c r="O36" s="335"/>
      <c r="P36" s="335"/>
      <c r="Q36" s="335"/>
      <c r="R36" s="335"/>
      <c r="S36" s="335"/>
      <c r="T36" s="335"/>
      <c r="U36" s="335"/>
      <c r="V36" s="335"/>
      <c r="W36" s="335"/>
      <c r="X36" s="335"/>
      <c r="Y36" s="335"/>
      <c r="Z36" s="335"/>
      <c r="AA36" s="335"/>
      <c r="AB36" s="335"/>
      <c r="AC36" s="335"/>
      <c r="AD36" s="335"/>
      <c r="AE36" s="335"/>
      <c r="AF36" s="335"/>
      <c r="AG36" s="335"/>
      <c r="AH36" s="335"/>
      <c r="AI36" s="335"/>
      <c r="AJ36" s="335"/>
      <c r="AK36" s="335"/>
      <c r="AL36" s="335"/>
      <c r="AM36" s="335"/>
      <c r="AN36" s="371"/>
    </row>
    <row r="37" spans="1:40" ht="15.75" customHeight="1" x14ac:dyDescent="0.25">
      <c r="A37" s="422"/>
      <c r="B37" s="423"/>
      <c r="C37" s="425"/>
      <c r="D37" s="426"/>
      <c r="E37" s="426"/>
      <c r="F37" s="426"/>
      <c r="G37" s="426"/>
      <c r="H37" s="426"/>
      <c r="I37" s="426"/>
      <c r="J37" s="426"/>
      <c r="K37" s="426"/>
      <c r="L37" s="426"/>
      <c r="M37" s="426"/>
      <c r="N37" s="426"/>
      <c r="O37" s="426"/>
      <c r="P37" s="426"/>
      <c r="Q37" s="426"/>
      <c r="R37" s="426"/>
      <c r="S37" s="426"/>
      <c r="T37" s="426"/>
      <c r="U37" s="426"/>
      <c r="V37" s="426"/>
      <c r="W37" s="426"/>
      <c r="X37" s="426"/>
      <c r="Y37" s="426"/>
      <c r="Z37" s="426"/>
      <c r="AA37" s="426"/>
      <c r="AB37" s="426"/>
      <c r="AC37" s="426"/>
      <c r="AD37" s="426"/>
      <c r="AE37" s="426"/>
      <c r="AF37" s="426"/>
      <c r="AG37" s="426"/>
      <c r="AH37" s="426"/>
      <c r="AI37" s="426"/>
      <c r="AJ37" s="426"/>
      <c r="AK37" s="426"/>
      <c r="AL37" s="426"/>
      <c r="AM37" s="426"/>
      <c r="AN37" s="427"/>
    </row>
    <row r="38" spans="1:40" ht="30" customHeight="1" x14ac:dyDescent="0.25">
      <c r="A38" s="418">
        <v>2019</v>
      </c>
      <c r="B38" s="348"/>
      <c r="C38" s="419" t="s">
        <v>301</v>
      </c>
      <c r="D38" s="347"/>
      <c r="E38" s="347"/>
      <c r="F38" s="347"/>
      <c r="G38" s="347"/>
      <c r="H38" s="347"/>
      <c r="I38" s="347"/>
      <c r="J38" s="347"/>
      <c r="K38" s="347"/>
      <c r="L38" s="347"/>
      <c r="M38" s="347"/>
      <c r="N38" s="347"/>
      <c r="O38" s="347"/>
      <c r="P38" s="347"/>
      <c r="Q38" s="347"/>
      <c r="R38" s="347"/>
      <c r="S38" s="347"/>
      <c r="T38" s="347"/>
      <c r="U38" s="347"/>
      <c r="V38" s="347"/>
      <c r="W38" s="347"/>
      <c r="X38" s="347"/>
      <c r="Y38" s="347"/>
      <c r="Z38" s="347"/>
      <c r="AA38" s="347"/>
      <c r="AB38" s="347"/>
      <c r="AC38" s="347"/>
      <c r="AD38" s="347"/>
      <c r="AE38" s="347"/>
      <c r="AF38" s="347"/>
      <c r="AG38" s="347"/>
      <c r="AH38" s="347"/>
      <c r="AI38" s="347"/>
      <c r="AJ38" s="347"/>
      <c r="AK38" s="347"/>
      <c r="AL38" s="347"/>
      <c r="AM38" s="347"/>
      <c r="AN38" s="354"/>
    </row>
    <row r="39" spans="1:40" ht="15.75" customHeight="1" x14ac:dyDescent="0.25">
      <c r="A39" s="420" t="s">
        <v>306</v>
      </c>
      <c r="B39" s="421"/>
      <c r="C39" s="448" t="s">
        <v>307</v>
      </c>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9"/>
    </row>
    <row r="40" spans="1:40" ht="15.75" customHeight="1" x14ac:dyDescent="0.25">
      <c r="A40" s="334"/>
      <c r="B40" s="336"/>
      <c r="C40" s="370"/>
      <c r="D40" s="335"/>
      <c r="E40" s="335"/>
      <c r="F40" s="335"/>
      <c r="G40" s="335"/>
      <c r="H40" s="335"/>
      <c r="I40" s="335"/>
      <c r="J40" s="335"/>
      <c r="K40" s="335"/>
      <c r="L40" s="335"/>
      <c r="M40" s="335"/>
      <c r="N40" s="335"/>
      <c r="O40" s="335"/>
      <c r="P40" s="335"/>
      <c r="Q40" s="335"/>
      <c r="R40" s="335"/>
      <c r="S40" s="335"/>
      <c r="T40" s="335"/>
      <c r="U40" s="335"/>
      <c r="V40" s="335"/>
      <c r="W40" s="335"/>
      <c r="X40" s="335"/>
      <c r="Y40" s="335"/>
      <c r="Z40" s="335"/>
      <c r="AA40" s="335"/>
      <c r="AB40" s="335"/>
      <c r="AC40" s="335"/>
      <c r="AD40" s="335"/>
      <c r="AE40" s="335"/>
      <c r="AF40" s="335"/>
      <c r="AG40" s="335"/>
      <c r="AH40" s="335"/>
      <c r="AI40" s="335"/>
      <c r="AJ40" s="335"/>
      <c r="AK40" s="335"/>
      <c r="AL40" s="335"/>
      <c r="AM40" s="335"/>
      <c r="AN40" s="371"/>
    </row>
    <row r="41" spans="1:40" ht="15.75" customHeight="1" x14ac:dyDescent="0.25">
      <c r="A41" s="334"/>
      <c r="B41" s="336"/>
      <c r="C41" s="370"/>
      <c r="D41" s="33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c r="AK41" s="335"/>
      <c r="AL41" s="335"/>
      <c r="AM41" s="335"/>
      <c r="AN41" s="371"/>
    </row>
    <row r="42" spans="1:40" ht="15.75" customHeight="1" x14ac:dyDescent="0.25">
      <c r="A42" s="334"/>
      <c r="B42" s="336"/>
      <c r="C42" s="370"/>
      <c r="D42" s="335"/>
      <c r="E42" s="335"/>
      <c r="F42" s="335"/>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71"/>
    </row>
    <row r="43" spans="1:40" ht="15.75" customHeight="1" x14ac:dyDescent="0.25">
      <c r="A43" s="422"/>
      <c r="B43" s="423"/>
      <c r="C43" s="425"/>
      <c r="D43" s="426"/>
      <c r="E43" s="426"/>
      <c r="F43" s="426"/>
      <c r="G43" s="426"/>
      <c r="H43" s="426"/>
      <c r="I43" s="426"/>
      <c r="J43" s="426"/>
      <c r="K43" s="426"/>
      <c r="L43" s="426"/>
      <c r="M43" s="426"/>
      <c r="N43" s="426"/>
      <c r="O43" s="426"/>
      <c r="P43" s="426"/>
      <c r="Q43" s="426"/>
      <c r="R43" s="426"/>
      <c r="S43" s="426"/>
      <c r="T43" s="426"/>
      <c r="U43" s="426"/>
      <c r="V43" s="426"/>
      <c r="W43" s="426"/>
      <c r="X43" s="426"/>
      <c r="Y43" s="426"/>
      <c r="Z43" s="426"/>
      <c r="AA43" s="426"/>
      <c r="AB43" s="426"/>
      <c r="AC43" s="426"/>
      <c r="AD43" s="426"/>
      <c r="AE43" s="426"/>
      <c r="AF43" s="426"/>
      <c r="AG43" s="426"/>
      <c r="AH43" s="426"/>
      <c r="AI43" s="426"/>
      <c r="AJ43" s="426"/>
      <c r="AK43" s="426"/>
      <c r="AL43" s="426"/>
      <c r="AM43" s="426"/>
      <c r="AN43" s="427"/>
    </row>
    <row r="44" spans="1:40" ht="30" customHeight="1" x14ac:dyDescent="0.25">
      <c r="A44" s="428" t="s">
        <v>308</v>
      </c>
      <c r="B44" s="348"/>
      <c r="C44" s="419" t="s">
        <v>301</v>
      </c>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54"/>
    </row>
    <row r="45" spans="1:40" ht="15.75" customHeight="1" x14ac:dyDescent="0.25">
      <c r="A45" s="429" t="s">
        <v>309</v>
      </c>
      <c r="B45" s="421"/>
      <c r="C45" s="430" t="s">
        <v>307</v>
      </c>
      <c r="D45" s="368"/>
      <c r="E45" s="368"/>
      <c r="F45" s="368"/>
      <c r="G45" s="368"/>
      <c r="H45" s="368"/>
      <c r="I45" s="368"/>
      <c r="J45" s="368"/>
      <c r="K45" s="368"/>
      <c r="L45" s="368"/>
      <c r="M45" s="368"/>
      <c r="N45" s="368"/>
      <c r="O45" s="368"/>
      <c r="P45" s="368"/>
      <c r="Q45" s="368"/>
      <c r="R45" s="368"/>
      <c r="S45" s="368"/>
      <c r="T45" s="368"/>
      <c r="U45" s="368"/>
      <c r="V45" s="368"/>
      <c r="W45" s="368"/>
      <c r="X45" s="368"/>
      <c r="Y45" s="368"/>
      <c r="Z45" s="368"/>
      <c r="AA45" s="368"/>
      <c r="AB45" s="368"/>
      <c r="AC45" s="368"/>
      <c r="AD45" s="368"/>
      <c r="AE45" s="368"/>
      <c r="AF45" s="368"/>
      <c r="AG45" s="368"/>
      <c r="AH45" s="368"/>
      <c r="AI45" s="368"/>
      <c r="AJ45" s="368"/>
      <c r="AK45" s="368"/>
      <c r="AL45" s="368"/>
      <c r="AM45" s="368"/>
      <c r="AN45" s="369"/>
    </row>
    <row r="46" spans="1:40" ht="15.75" customHeight="1" x14ac:dyDescent="0.25">
      <c r="A46" s="334"/>
      <c r="B46" s="336"/>
      <c r="C46" s="370"/>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71"/>
    </row>
    <row r="47" spans="1:40" ht="15.75" customHeight="1" x14ac:dyDescent="0.25">
      <c r="A47" s="334"/>
      <c r="B47" s="336"/>
      <c r="C47" s="370"/>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71"/>
    </row>
    <row r="48" spans="1:40" ht="15.75" customHeight="1" x14ac:dyDescent="0.25">
      <c r="A48" s="334"/>
      <c r="B48" s="336"/>
      <c r="C48" s="370"/>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71"/>
    </row>
    <row r="49" spans="1:40" ht="15.75" customHeight="1" x14ac:dyDescent="0.25">
      <c r="A49" s="422"/>
      <c r="B49" s="423"/>
      <c r="C49" s="425"/>
      <c r="D49" s="426"/>
      <c r="E49" s="426"/>
      <c r="F49" s="426"/>
      <c r="G49" s="426"/>
      <c r="H49" s="426"/>
      <c r="I49" s="426"/>
      <c r="J49" s="426"/>
      <c r="K49" s="426"/>
      <c r="L49" s="426"/>
      <c r="M49" s="426"/>
      <c r="N49" s="426"/>
      <c r="O49" s="426"/>
      <c r="P49" s="426"/>
      <c r="Q49" s="426"/>
      <c r="R49" s="426"/>
      <c r="S49" s="426"/>
      <c r="T49" s="426"/>
      <c r="U49" s="426"/>
      <c r="V49" s="426"/>
      <c r="W49" s="426"/>
      <c r="X49" s="426"/>
      <c r="Y49" s="426"/>
      <c r="Z49" s="426"/>
      <c r="AA49" s="426"/>
      <c r="AB49" s="426"/>
      <c r="AC49" s="426"/>
      <c r="AD49" s="426"/>
      <c r="AE49" s="426"/>
      <c r="AF49" s="426"/>
      <c r="AG49" s="426"/>
      <c r="AH49" s="426"/>
      <c r="AI49" s="426"/>
      <c r="AJ49" s="426"/>
      <c r="AK49" s="426"/>
      <c r="AL49" s="426"/>
      <c r="AM49" s="426"/>
      <c r="AN49" s="427"/>
    </row>
    <row r="50" spans="1:40" ht="30" customHeight="1" x14ac:dyDescent="0.25">
      <c r="A50" s="418" t="s">
        <v>308</v>
      </c>
      <c r="B50" s="348"/>
      <c r="C50" s="419" t="s">
        <v>301</v>
      </c>
      <c r="D50" s="347"/>
      <c r="E50" s="347"/>
      <c r="F50" s="347"/>
      <c r="G50" s="347"/>
      <c r="H50" s="347"/>
      <c r="I50" s="347"/>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347"/>
      <c r="AL50" s="347"/>
      <c r="AM50" s="347"/>
      <c r="AN50" s="354"/>
    </row>
    <row r="51" spans="1:40" ht="15.75" customHeight="1" x14ac:dyDescent="0.25">
      <c r="A51" s="420" t="s">
        <v>310</v>
      </c>
      <c r="B51" s="421"/>
      <c r="C51" s="448" t="s">
        <v>307</v>
      </c>
      <c r="D51" s="368"/>
      <c r="E51" s="368"/>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9"/>
    </row>
    <row r="52" spans="1:40" ht="15.75" customHeight="1" x14ac:dyDescent="0.25">
      <c r="A52" s="334"/>
      <c r="B52" s="336"/>
      <c r="C52" s="370"/>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71"/>
    </row>
    <row r="53" spans="1:40" ht="15.75" customHeight="1" x14ac:dyDescent="0.25">
      <c r="A53" s="334"/>
      <c r="B53" s="336"/>
      <c r="C53" s="370"/>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71"/>
    </row>
    <row r="54" spans="1:40" ht="15.75" customHeight="1" x14ac:dyDescent="0.25">
      <c r="A54" s="334"/>
      <c r="B54" s="336"/>
      <c r="C54" s="370"/>
      <c r="D54" s="335"/>
      <c r="E54" s="33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71"/>
    </row>
    <row r="55" spans="1:40" ht="15.75" customHeight="1" x14ac:dyDescent="0.25">
      <c r="A55" s="422"/>
      <c r="B55" s="423"/>
      <c r="C55" s="425"/>
      <c r="D55" s="426"/>
      <c r="E55" s="426"/>
      <c r="F55" s="426"/>
      <c r="G55" s="426"/>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7"/>
    </row>
    <row r="56" spans="1:40" ht="30" customHeight="1" x14ac:dyDescent="0.25">
      <c r="A56" s="428" t="s">
        <v>308</v>
      </c>
      <c r="B56" s="348"/>
      <c r="C56" s="419" t="s">
        <v>301</v>
      </c>
      <c r="D56" s="347"/>
      <c r="E56" s="347"/>
      <c r="F56" s="347"/>
      <c r="G56" s="347"/>
      <c r="H56" s="347"/>
      <c r="I56" s="347"/>
      <c r="J56" s="347"/>
      <c r="K56" s="347"/>
      <c r="L56" s="347"/>
      <c r="M56" s="347"/>
      <c r="N56" s="347"/>
      <c r="O56" s="347"/>
      <c r="P56" s="347"/>
      <c r="Q56" s="347"/>
      <c r="R56" s="347"/>
      <c r="S56" s="347"/>
      <c r="T56" s="347"/>
      <c r="U56" s="347"/>
      <c r="V56" s="347"/>
      <c r="W56" s="347"/>
      <c r="X56" s="347"/>
      <c r="Y56" s="347"/>
      <c r="Z56" s="347"/>
      <c r="AA56" s="347"/>
      <c r="AB56" s="347"/>
      <c r="AC56" s="347"/>
      <c r="AD56" s="347"/>
      <c r="AE56" s="347"/>
      <c r="AF56" s="347"/>
      <c r="AG56" s="347"/>
      <c r="AH56" s="347"/>
      <c r="AI56" s="347"/>
      <c r="AJ56" s="347"/>
      <c r="AK56" s="347"/>
      <c r="AL56" s="347"/>
      <c r="AM56" s="347"/>
      <c r="AN56" s="354"/>
    </row>
    <row r="57" spans="1:40" ht="15.75" customHeight="1" x14ac:dyDescent="0.25">
      <c r="A57" s="429" t="s">
        <v>311</v>
      </c>
      <c r="B57" s="421"/>
      <c r="C57" s="430" t="s">
        <v>303</v>
      </c>
      <c r="D57" s="368"/>
      <c r="E57" s="368"/>
      <c r="F57" s="368"/>
      <c r="G57" s="368"/>
      <c r="H57" s="368"/>
      <c r="I57" s="368"/>
      <c r="J57" s="368"/>
      <c r="K57" s="368"/>
      <c r="L57" s="368"/>
      <c r="M57" s="368"/>
      <c r="N57" s="368"/>
      <c r="O57" s="368"/>
      <c r="P57" s="368"/>
      <c r="Q57" s="368"/>
      <c r="R57" s="368"/>
      <c r="S57" s="368"/>
      <c r="T57" s="368"/>
      <c r="U57" s="368"/>
      <c r="V57" s="368"/>
      <c r="W57" s="368"/>
      <c r="X57" s="368"/>
      <c r="Y57" s="368"/>
      <c r="Z57" s="368"/>
      <c r="AA57" s="368"/>
      <c r="AB57" s="368"/>
      <c r="AC57" s="368"/>
      <c r="AD57" s="368"/>
      <c r="AE57" s="368"/>
      <c r="AF57" s="368"/>
      <c r="AG57" s="368"/>
      <c r="AH57" s="368"/>
      <c r="AI57" s="368"/>
      <c r="AJ57" s="368"/>
      <c r="AK57" s="368"/>
      <c r="AL57" s="368"/>
      <c r="AM57" s="368"/>
      <c r="AN57" s="369"/>
    </row>
    <row r="58" spans="1:40" ht="15.75" customHeight="1" x14ac:dyDescent="0.25">
      <c r="A58" s="334"/>
      <c r="B58" s="336"/>
      <c r="C58" s="370"/>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335"/>
      <c r="AD58" s="335"/>
      <c r="AE58" s="335"/>
      <c r="AF58" s="335"/>
      <c r="AG58" s="335"/>
      <c r="AH58" s="335"/>
      <c r="AI58" s="335"/>
      <c r="AJ58" s="335"/>
      <c r="AK58" s="335"/>
      <c r="AL58" s="335"/>
      <c r="AM58" s="335"/>
      <c r="AN58" s="371"/>
    </row>
    <row r="59" spans="1:40" ht="15.75" customHeight="1" x14ac:dyDescent="0.25">
      <c r="A59" s="334"/>
      <c r="B59" s="336"/>
      <c r="C59" s="370"/>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5"/>
      <c r="AJ59" s="335"/>
      <c r="AK59" s="335"/>
      <c r="AL59" s="335"/>
      <c r="AM59" s="335"/>
      <c r="AN59" s="371"/>
    </row>
    <row r="60" spans="1:40" ht="15.75" customHeight="1" x14ac:dyDescent="0.25">
      <c r="A60" s="334"/>
      <c r="B60" s="336"/>
      <c r="C60" s="370"/>
      <c r="D60" s="335"/>
      <c r="E60" s="335"/>
      <c r="F60" s="335"/>
      <c r="G60" s="335"/>
      <c r="H60" s="335"/>
      <c r="I60" s="335"/>
      <c r="J60" s="335"/>
      <c r="K60" s="335"/>
      <c r="L60" s="335"/>
      <c r="M60" s="335"/>
      <c r="N60" s="335"/>
      <c r="O60" s="335"/>
      <c r="P60" s="335"/>
      <c r="Q60" s="335"/>
      <c r="R60" s="335"/>
      <c r="S60" s="335"/>
      <c r="T60" s="335"/>
      <c r="U60" s="335"/>
      <c r="V60" s="335"/>
      <c r="W60" s="335"/>
      <c r="X60" s="335"/>
      <c r="Y60" s="335"/>
      <c r="Z60" s="335"/>
      <c r="AA60" s="335"/>
      <c r="AB60" s="335"/>
      <c r="AC60" s="335"/>
      <c r="AD60" s="335"/>
      <c r="AE60" s="335"/>
      <c r="AF60" s="335"/>
      <c r="AG60" s="335"/>
      <c r="AH60" s="335"/>
      <c r="AI60" s="335"/>
      <c r="AJ60" s="335"/>
      <c r="AK60" s="335"/>
      <c r="AL60" s="335"/>
      <c r="AM60" s="335"/>
      <c r="AN60" s="371"/>
    </row>
    <row r="61" spans="1:40" ht="15.75" customHeight="1" x14ac:dyDescent="0.25">
      <c r="A61" s="422"/>
      <c r="B61" s="423"/>
      <c r="C61" s="425"/>
      <c r="D61" s="426"/>
      <c r="E61" s="426"/>
      <c r="F61" s="426"/>
      <c r="G61" s="426"/>
      <c r="H61" s="426"/>
      <c r="I61" s="426"/>
      <c r="J61" s="426"/>
      <c r="K61" s="426"/>
      <c r="L61" s="426"/>
      <c r="M61" s="426"/>
      <c r="N61" s="426"/>
      <c r="O61" s="426"/>
      <c r="P61" s="426"/>
      <c r="Q61" s="426"/>
      <c r="R61" s="426"/>
      <c r="S61" s="426"/>
      <c r="T61" s="426"/>
      <c r="U61" s="426"/>
      <c r="V61" s="426"/>
      <c r="W61" s="426"/>
      <c r="X61" s="426"/>
      <c r="Y61" s="426"/>
      <c r="Z61" s="426"/>
      <c r="AA61" s="426"/>
      <c r="AB61" s="426"/>
      <c r="AC61" s="426"/>
      <c r="AD61" s="426"/>
      <c r="AE61" s="426"/>
      <c r="AF61" s="426"/>
      <c r="AG61" s="426"/>
      <c r="AH61" s="426"/>
      <c r="AI61" s="426"/>
      <c r="AJ61" s="426"/>
      <c r="AK61" s="426"/>
      <c r="AL61" s="426"/>
      <c r="AM61" s="426"/>
      <c r="AN61" s="427"/>
    </row>
    <row r="62" spans="1:40" ht="30" customHeight="1" x14ac:dyDescent="0.25">
      <c r="A62" s="418" t="s">
        <v>308</v>
      </c>
      <c r="B62" s="348"/>
      <c r="C62" s="419" t="s">
        <v>301</v>
      </c>
      <c r="D62" s="347"/>
      <c r="E62" s="347"/>
      <c r="F62" s="347"/>
      <c r="G62" s="347"/>
      <c r="H62" s="347"/>
      <c r="I62" s="347"/>
      <c r="J62" s="347"/>
      <c r="K62" s="347"/>
      <c r="L62" s="347"/>
      <c r="M62" s="347"/>
      <c r="N62" s="347"/>
      <c r="O62" s="347"/>
      <c r="P62" s="347"/>
      <c r="Q62" s="347"/>
      <c r="R62" s="347"/>
      <c r="S62" s="347"/>
      <c r="T62" s="347"/>
      <c r="U62" s="347"/>
      <c r="V62" s="347"/>
      <c r="W62" s="347"/>
      <c r="X62" s="347"/>
      <c r="Y62" s="347"/>
      <c r="Z62" s="347"/>
      <c r="AA62" s="347"/>
      <c r="AB62" s="347"/>
      <c r="AC62" s="347"/>
      <c r="AD62" s="347"/>
      <c r="AE62" s="347"/>
      <c r="AF62" s="347"/>
      <c r="AG62" s="347"/>
      <c r="AH62" s="347"/>
      <c r="AI62" s="347"/>
      <c r="AJ62" s="347"/>
      <c r="AK62" s="347"/>
      <c r="AL62" s="347"/>
      <c r="AM62" s="347"/>
      <c r="AN62" s="354"/>
    </row>
    <row r="63" spans="1:40" ht="15.75" customHeight="1" x14ac:dyDescent="0.25">
      <c r="A63" s="420" t="s">
        <v>312</v>
      </c>
      <c r="B63" s="421"/>
      <c r="C63" s="448" t="s">
        <v>303</v>
      </c>
      <c r="D63" s="368"/>
      <c r="E63" s="368"/>
      <c r="F63" s="368"/>
      <c r="G63" s="368"/>
      <c r="H63" s="368"/>
      <c r="I63" s="368"/>
      <c r="J63" s="368"/>
      <c r="K63" s="368"/>
      <c r="L63" s="368"/>
      <c r="M63" s="368"/>
      <c r="N63" s="368"/>
      <c r="O63" s="368"/>
      <c r="P63" s="368"/>
      <c r="Q63" s="368"/>
      <c r="R63" s="368"/>
      <c r="S63" s="368"/>
      <c r="T63" s="368"/>
      <c r="U63" s="368"/>
      <c r="V63" s="368"/>
      <c r="W63" s="368"/>
      <c r="X63" s="368"/>
      <c r="Y63" s="368"/>
      <c r="Z63" s="368"/>
      <c r="AA63" s="368"/>
      <c r="AB63" s="368"/>
      <c r="AC63" s="368"/>
      <c r="AD63" s="368"/>
      <c r="AE63" s="368"/>
      <c r="AF63" s="368"/>
      <c r="AG63" s="368"/>
      <c r="AH63" s="368"/>
      <c r="AI63" s="368"/>
      <c r="AJ63" s="368"/>
      <c r="AK63" s="368"/>
      <c r="AL63" s="368"/>
      <c r="AM63" s="368"/>
      <c r="AN63" s="369"/>
    </row>
    <row r="64" spans="1:40" ht="15.75" customHeight="1" x14ac:dyDescent="0.25">
      <c r="A64" s="334"/>
      <c r="B64" s="336"/>
      <c r="C64" s="370"/>
      <c r="D64" s="335"/>
      <c r="E64" s="335"/>
      <c r="F64" s="335"/>
      <c r="G64" s="335"/>
      <c r="H64" s="335"/>
      <c r="I64" s="335"/>
      <c r="J64" s="335"/>
      <c r="K64" s="335"/>
      <c r="L64" s="335"/>
      <c r="M64" s="335"/>
      <c r="N64" s="335"/>
      <c r="O64" s="335"/>
      <c r="P64" s="335"/>
      <c r="Q64" s="335"/>
      <c r="R64" s="335"/>
      <c r="S64" s="335"/>
      <c r="T64" s="335"/>
      <c r="U64" s="335"/>
      <c r="V64" s="335"/>
      <c r="W64" s="335"/>
      <c r="X64" s="335"/>
      <c r="Y64" s="335"/>
      <c r="Z64" s="335"/>
      <c r="AA64" s="335"/>
      <c r="AB64" s="335"/>
      <c r="AC64" s="335"/>
      <c r="AD64" s="335"/>
      <c r="AE64" s="335"/>
      <c r="AF64" s="335"/>
      <c r="AG64" s="335"/>
      <c r="AH64" s="335"/>
      <c r="AI64" s="335"/>
      <c r="AJ64" s="335"/>
      <c r="AK64" s="335"/>
      <c r="AL64" s="335"/>
      <c r="AM64" s="335"/>
      <c r="AN64" s="371"/>
    </row>
    <row r="65" spans="1:40" ht="15.75" customHeight="1" x14ac:dyDescent="0.25">
      <c r="A65" s="334"/>
      <c r="B65" s="336"/>
      <c r="C65" s="370"/>
      <c r="D65" s="335"/>
      <c r="E65" s="335"/>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35"/>
      <c r="AD65" s="335"/>
      <c r="AE65" s="335"/>
      <c r="AF65" s="335"/>
      <c r="AG65" s="335"/>
      <c r="AH65" s="335"/>
      <c r="AI65" s="335"/>
      <c r="AJ65" s="335"/>
      <c r="AK65" s="335"/>
      <c r="AL65" s="335"/>
      <c r="AM65" s="335"/>
      <c r="AN65" s="371"/>
    </row>
    <row r="66" spans="1:40" ht="15.75" customHeight="1" x14ac:dyDescent="0.25">
      <c r="A66" s="334"/>
      <c r="B66" s="336"/>
      <c r="C66" s="370"/>
      <c r="D66" s="335"/>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71"/>
    </row>
    <row r="67" spans="1:40" ht="15.75" customHeight="1" x14ac:dyDescent="0.25">
      <c r="A67" s="422"/>
      <c r="B67" s="423"/>
      <c r="C67" s="425"/>
      <c r="D67" s="426"/>
      <c r="E67" s="426"/>
      <c r="F67" s="426"/>
      <c r="G67" s="426"/>
      <c r="H67" s="426"/>
      <c r="I67" s="426"/>
      <c r="J67" s="426"/>
      <c r="K67" s="426"/>
      <c r="L67" s="426"/>
      <c r="M67" s="426"/>
      <c r="N67" s="426"/>
      <c r="O67" s="426"/>
      <c r="P67" s="426"/>
      <c r="Q67" s="426"/>
      <c r="R67" s="426"/>
      <c r="S67" s="426"/>
      <c r="T67" s="426"/>
      <c r="U67" s="426"/>
      <c r="V67" s="426"/>
      <c r="W67" s="426"/>
      <c r="X67" s="426"/>
      <c r="Y67" s="426"/>
      <c r="Z67" s="426"/>
      <c r="AA67" s="426"/>
      <c r="AB67" s="426"/>
      <c r="AC67" s="426"/>
      <c r="AD67" s="426"/>
      <c r="AE67" s="426"/>
      <c r="AF67" s="426"/>
      <c r="AG67" s="426"/>
      <c r="AH67" s="426"/>
      <c r="AI67" s="426"/>
      <c r="AJ67" s="426"/>
      <c r="AK67" s="426"/>
      <c r="AL67" s="426"/>
      <c r="AM67" s="426"/>
      <c r="AN67" s="427"/>
    </row>
    <row r="68" spans="1:40" ht="30" customHeight="1" x14ac:dyDescent="0.25">
      <c r="A68" s="428" t="s">
        <v>308</v>
      </c>
      <c r="B68" s="348"/>
      <c r="C68" s="419" t="s">
        <v>301</v>
      </c>
      <c r="D68" s="347"/>
      <c r="E68" s="347"/>
      <c r="F68" s="347"/>
      <c r="G68" s="347"/>
      <c r="H68" s="347"/>
      <c r="I68" s="347"/>
      <c r="J68" s="347"/>
      <c r="K68" s="347"/>
      <c r="L68" s="347"/>
      <c r="M68" s="347"/>
      <c r="N68" s="347"/>
      <c r="O68" s="347"/>
      <c r="P68" s="347"/>
      <c r="Q68" s="347"/>
      <c r="R68" s="347"/>
      <c r="S68" s="347"/>
      <c r="T68" s="347"/>
      <c r="U68" s="347"/>
      <c r="V68" s="347"/>
      <c r="W68" s="347"/>
      <c r="X68" s="347"/>
      <c r="Y68" s="347"/>
      <c r="Z68" s="347"/>
      <c r="AA68" s="347"/>
      <c r="AB68" s="347"/>
      <c r="AC68" s="347"/>
      <c r="AD68" s="347"/>
      <c r="AE68" s="347"/>
      <c r="AF68" s="347"/>
      <c r="AG68" s="347"/>
      <c r="AH68" s="347"/>
      <c r="AI68" s="347"/>
      <c r="AJ68" s="347"/>
      <c r="AK68" s="347"/>
      <c r="AL68" s="347"/>
      <c r="AM68" s="347"/>
      <c r="AN68" s="354"/>
    </row>
    <row r="69" spans="1:40" ht="15.75" customHeight="1" x14ac:dyDescent="0.25">
      <c r="A69" s="429" t="s">
        <v>313</v>
      </c>
      <c r="B69" s="421"/>
      <c r="C69" s="430" t="s">
        <v>303</v>
      </c>
      <c r="D69" s="368"/>
      <c r="E69" s="368"/>
      <c r="F69" s="368"/>
      <c r="G69" s="368"/>
      <c r="H69" s="368"/>
      <c r="I69" s="368"/>
      <c r="J69" s="368"/>
      <c r="K69" s="368"/>
      <c r="L69" s="368"/>
      <c r="M69" s="368"/>
      <c r="N69" s="368"/>
      <c r="O69" s="368"/>
      <c r="P69" s="368"/>
      <c r="Q69" s="368"/>
      <c r="R69" s="368"/>
      <c r="S69" s="368"/>
      <c r="T69" s="368"/>
      <c r="U69" s="368"/>
      <c r="V69" s="368"/>
      <c r="W69" s="368"/>
      <c r="X69" s="368"/>
      <c r="Y69" s="368"/>
      <c r="Z69" s="368"/>
      <c r="AA69" s="368"/>
      <c r="AB69" s="368"/>
      <c r="AC69" s="368"/>
      <c r="AD69" s="368"/>
      <c r="AE69" s="368"/>
      <c r="AF69" s="368"/>
      <c r="AG69" s="368"/>
      <c r="AH69" s="368"/>
      <c r="AI69" s="368"/>
      <c r="AJ69" s="368"/>
      <c r="AK69" s="368"/>
      <c r="AL69" s="368"/>
      <c r="AM69" s="368"/>
      <c r="AN69" s="369"/>
    </row>
    <row r="70" spans="1:40" ht="15.75" customHeight="1" x14ac:dyDescent="0.25">
      <c r="A70" s="334"/>
      <c r="B70" s="336"/>
      <c r="C70" s="370"/>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71"/>
    </row>
    <row r="71" spans="1:40" ht="15.75" customHeight="1" x14ac:dyDescent="0.25">
      <c r="A71" s="334"/>
      <c r="B71" s="336"/>
      <c r="C71" s="370"/>
      <c r="D71" s="335"/>
      <c r="E71" s="335"/>
      <c r="F71" s="335"/>
      <c r="G71" s="335"/>
      <c r="H71" s="335"/>
      <c r="I71" s="335"/>
      <c r="J71" s="335"/>
      <c r="K71" s="335"/>
      <c r="L71" s="335"/>
      <c r="M71" s="335"/>
      <c r="N71" s="335"/>
      <c r="O71" s="335"/>
      <c r="P71" s="335"/>
      <c r="Q71" s="335"/>
      <c r="R71" s="335"/>
      <c r="S71" s="335"/>
      <c r="T71" s="335"/>
      <c r="U71" s="335"/>
      <c r="V71" s="335"/>
      <c r="W71" s="335"/>
      <c r="X71" s="335"/>
      <c r="Y71" s="335"/>
      <c r="Z71" s="335"/>
      <c r="AA71" s="335"/>
      <c r="AB71" s="335"/>
      <c r="AC71" s="335"/>
      <c r="AD71" s="335"/>
      <c r="AE71" s="335"/>
      <c r="AF71" s="335"/>
      <c r="AG71" s="335"/>
      <c r="AH71" s="335"/>
      <c r="AI71" s="335"/>
      <c r="AJ71" s="335"/>
      <c r="AK71" s="335"/>
      <c r="AL71" s="335"/>
      <c r="AM71" s="335"/>
      <c r="AN71" s="371"/>
    </row>
    <row r="72" spans="1:40" ht="15.75" customHeight="1" x14ac:dyDescent="0.25">
      <c r="A72" s="334"/>
      <c r="B72" s="336"/>
      <c r="C72" s="370"/>
      <c r="D72" s="335"/>
      <c r="E72" s="335"/>
      <c r="F72" s="335"/>
      <c r="G72" s="335"/>
      <c r="H72" s="335"/>
      <c r="I72" s="335"/>
      <c r="J72" s="335"/>
      <c r="K72" s="335"/>
      <c r="L72" s="335"/>
      <c r="M72" s="335"/>
      <c r="N72" s="335"/>
      <c r="O72" s="335"/>
      <c r="P72" s="335"/>
      <c r="Q72" s="335"/>
      <c r="R72" s="335"/>
      <c r="S72" s="335"/>
      <c r="T72" s="335"/>
      <c r="U72" s="335"/>
      <c r="V72" s="335"/>
      <c r="W72" s="335"/>
      <c r="X72" s="335"/>
      <c r="Y72" s="335"/>
      <c r="Z72" s="335"/>
      <c r="AA72" s="335"/>
      <c r="AB72" s="335"/>
      <c r="AC72" s="335"/>
      <c r="AD72" s="335"/>
      <c r="AE72" s="335"/>
      <c r="AF72" s="335"/>
      <c r="AG72" s="335"/>
      <c r="AH72" s="335"/>
      <c r="AI72" s="335"/>
      <c r="AJ72" s="335"/>
      <c r="AK72" s="335"/>
      <c r="AL72" s="335"/>
      <c r="AM72" s="335"/>
      <c r="AN72" s="371"/>
    </row>
    <row r="73" spans="1:40" ht="15.75" customHeight="1" x14ac:dyDescent="0.25">
      <c r="A73" s="422"/>
      <c r="B73" s="423"/>
      <c r="C73" s="425"/>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6"/>
      <c r="AG73" s="426"/>
      <c r="AH73" s="426"/>
      <c r="AI73" s="426"/>
      <c r="AJ73" s="426"/>
      <c r="AK73" s="426"/>
      <c r="AL73" s="426"/>
      <c r="AM73" s="426"/>
      <c r="AN73" s="427"/>
    </row>
    <row r="74" spans="1:40" ht="30" customHeight="1" x14ac:dyDescent="0.25">
      <c r="A74" s="418" t="s">
        <v>308</v>
      </c>
      <c r="B74" s="348"/>
      <c r="C74" s="419" t="s">
        <v>301</v>
      </c>
      <c r="D74" s="347"/>
      <c r="E74" s="347"/>
      <c r="F74" s="347"/>
      <c r="G74" s="347"/>
      <c r="H74" s="347"/>
      <c r="I74" s="347"/>
      <c r="J74" s="347"/>
      <c r="K74" s="347"/>
      <c r="L74" s="347"/>
      <c r="M74" s="347"/>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c r="AK74" s="347"/>
      <c r="AL74" s="347"/>
      <c r="AM74" s="347"/>
      <c r="AN74" s="354"/>
    </row>
    <row r="75" spans="1:40" ht="15.75" customHeight="1" x14ac:dyDescent="0.25">
      <c r="A75" s="420" t="s">
        <v>314</v>
      </c>
      <c r="B75" s="421"/>
      <c r="C75" s="448" t="s">
        <v>303</v>
      </c>
      <c r="D75" s="368"/>
      <c r="E75" s="368"/>
      <c r="F75" s="368"/>
      <c r="G75" s="368"/>
      <c r="H75" s="368"/>
      <c r="I75" s="368"/>
      <c r="J75" s="368"/>
      <c r="K75" s="368"/>
      <c r="L75" s="368"/>
      <c r="M75" s="368"/>
      <c r="N75" s="368"/>
      <c r="O75" s="368"/>
      <c r="P75" s="368"/>
      <c r="Q75" s="368"/>
      <c r="R75" s="368"/>
      <c r="S75" s="368"/>
      <c r="T75" s="368"/>
      <c r="U75" s="368"/>
      <c r="V75" s="368"/>
      <c r="W75" s="368"/>
      <c r="X75" s="368"/>
      <c r="Y75" s="368"/>
      <c r="Z75" s="368"/>
      <c r="AA75" s="368"/>
      <c r="AB75" s="368"/>
      <c r="AC75" s="368"/>
      <c r="AD75" s="368"/>
      <c r="AE75" s="368"/>
      <c r="AF75" s="368"/>
      <c r="AG75" s="368"/>
      <c r="AH75" s="368"/>
      <c r="AI75" s="368"/>
      <c r="AJ75" s="368"/>
      <c r="AK75" s="368"/>
      <c r="AL75" s="368"/>
      <c r="AM75" s="368"/>
      <c r="AN75" s="369"/>
    </row>
    <row r="76" spans="1:40" ht="15.75" customHeight="1" x14ac:dyDescent="0.25">
      <c r="A76" s="334"/>
      <c r="B76" s="336"/>
      <c r="C76" s="370"/>
      <c r="D76" s="335"/>
      <c r="E76" s="335"/>
      <c r="F76" s="335"/>
      <c r="G76" s="335"/>
      <c r="H76" s="335"/>
      <c r="I76" s="335"/>
      <c r="J76" s="335"/>
      <c r="K76" s="335"/>
      <c r="L76" s="335"/>
      <c r="M76" s="335"/>
      <c r="N76" s="335"/>
      <c r="O76" s="335"/>
      <c r="P76" s="335"/>
      <c r="Q76" s="335"/>
      <c r="R76" s="335"/>
      <c r="S76" s="335"/>
      <c r="T76" s="335"/>
      <c r="U76" s="335"/>
      <c r="V76" s="335"/>
      <c r="W76" s="335"/>
      <c r="X76" s="335"/>
      <c r="Y76" s="335"/>
      <c r="Z76" s="335"/>
      <c r="AA76" s="335"/>
      <c r="AB76" s="335"/>
      <c r="AC76" s="335"/>
      <c r="AD76" s="335"/>
      <c r="AE76" s="335"/>
      <c r="AF76" s="335"/>
      <c r="AG76" s="335"/>
      <c r="AH76" s="335"/>
      <c r="AI76" s="335"/>
      <c r="AJ76" s="335"/>
      <c r="AK76" s="335"/>
      <c r="AL76" s="335"/>
      <c r="AM76" s="335"/>
      <c r="AN76" s="371"/>
    </row>
    <row r="77" spans="1:40" ht="15.75" customHeight="1" x14ac:dyDescent="0.25">
      <c r="A77" s="334"/>
      <c r="B77" s="336"/>
      <c r="C77" s="370"/>
      <c r="D77" s="335"/>
      <c r="E77" s="335"/>
      <c r="F77" s="335"/>
      <c r="G77" s="335"/>
      <c r="H77" s="335"/>
      <c r="I77" s="335"/>
      <c r="J77" s="335"/>
      <c r="K77" s="335"/>
      <c r="L77" s="335"/>
      <c r="M77" s="335"/>
      <c r="N77" s="335"/>
      <c r="O77" s="335"/>
      <c r="P77" s="335"/>
      <c r="Q77" s="335"/>
      <c r="R77" s="335"/>
      <c r="S77" s="335"/>
      <c r="T77" s="335"/>
      <c r="U77" s="335"/>
      <c r="V77" s="335"/>
      <c r="W77" s="335"/>
      <c r="X77" s="335"/>
      <c r="Y77" s="335"/>
      <c r="Z77" s="335"/>
      <c r="AA77" s="335"/>
      <c r="AB77" s="335"/>
      <c r="AC77" s="335"/>
      <c r="AD77" s="335"/>
      <c r="AE77" s="335"/>
      <c r="AF77" s="335"/>
      <c r="AG77" s="335"/>
      <c r="AH77" s="335"/>
      <c r="AI77" s="335"/>
      <c r="AJ77" s="335"/>
      <c r="AK77" s="335"/>
      <c r="AL77" s="335"/>
      <c r="AM77" s="335"/>
      <c r="AN77" s="371"/>
    </row>
    <row r="78" spans="1:40" ht="15.75" customHeight="1" x14ac:dyDescent="0.25">
      <c r="A78" s="334"/>
      <c r="B78" s="336"/>
      <c r="C78" s="370"/>
      <c r="D78" s="335"/>
      <c r="E78" s="335"/>
      <c r="F78" s="335"/>
      <c r="G78" s="335"/>
      <c r="H78" s="335"/>
      <c r="I78" s="335"/>
      <c r="J78" s="335"/>
      <c r="K78" s="335"/>
      <c r="L78" s="335"/>
      <c r="M78" s="335"/>
      <c r="N78" s="335"/>
      <c r="O78" s="335"/>
      <c r="P78" s="335"/>
      <c r="Q78" s="335"/>
      <c r="R78" s="335"/>
      <c r="S78" s="335"/>
      <c r="T78" s="335"/>
      <c r="U78" s="335"/>
      <c r="V78" s="335"/>
      <c r="W78" s="335"/>
      <c r="X78" s="335"/>
      <c r="Y78" s="335"/>
      <c r="Z78" s="335"/>
      <c r="AA78" s="335"/>
      <c r="AB78" s="335"/>
      <c r="AC78" s="335"/>
      <c r="AD78" s="335"/>
      <c r="AE78" s="335"/>
      <c r="AF78" s="335"/>
      <c r="AG78" s="335"/>
      <c r="AH78" s="335"/>
      <c r="AI78" s="335"/>
      <c r="AJ78" s="335"/>
      <c r="AK78" s="335"/>
      <c r="AL78" s="335"/>
      <c r="AM78" s="335"/>
      <c r="AN78" s="371"/>
    </row>
    <row r="79" spans="1:40" ht="15.75" customHeight="1" x14ac:dyDescent="0.25">
      <c r="A79" s="422"/>
      <c r="B79" s="423"/>
      <c r="C79" s="425"/>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c r="AB79" s="426"/>
      <c r="AC79" s="426"/>
      <c r="AD79" s="426"/>
      <c r="AE79" s="426"/>
      <c r="AF79" s="426"/>
      <c r="AG79" s="426"/>
      <c r="AH79" s="426"/>
      <c r="AI79" s="426"/>
      <c r="AJ79" s="426"/>
      <c r="AK79" s="426"/>
      <c r="AL79" s="426"/>
      <c r="AM79" s="426"/>
      <c r="AN79" s="427"/>
    </row>
    <row r="80" spans="1:40" ht="30" customHeight="1" x14ac:dyDescent="0.25">
      <c r="A80" s="428" t="s">
        <v>308</v>
      </c>
      <c r="B80" s="348"/>
      <c r="C80" s="419" t="s">
        <v>301</v>
      </c>
      <c r="D80" s="347"/>
      <c r="E80" s="347"/>
      <c r="F80" s="347"/>
      <c r="G80" s="347"/>
      <c r="H80" s="347"/>
      <c r="I80" s="347"/>
      <c r="J80" s="347"/>
      <c r="K80" s="347"/>
      <c r="L80" s="347"/>
      <c r="M80" s="347"/>
      <c r="N80" s="347"/>
      <c r="O80" s="347"/>
      <c r="P80" s="347"/>
      <c r="Q80" s="347"/>
      <c r="R80" s="347"/>
      <c r="S80" s="347"/>
      <c r="T80" s="347"/>
      <c r="U80" s="347"/>
      <c r="V80" s="347"/>
      <c r="W80" s="347"/>
      <c r="X80" s="347"/>
      <c r="Y80" s="347"/>
      <c r="Z80" s="347"/>
      <c r="AA80" s="347"/>
      <c r="AB80" s="347"/>
      <c r="AC80" s="347"/>
      <c r="AD80" s="347"/>
      <c r="AE80" s="347"/>
      <c r="AF80" s="347"/>
      <c r="AG80" s="347"/>
      <c r="AH80" s="347"/>
      <c r="AI80" s="347"/>
      <c r="AJ80" s="347"/>
      <c r="AK80" s="347"/>
      <c r="AL80" s="347"/>
      <c r="AM80" s="347"/>
      <c r="AN80" s="354"/>
    </row>
    <row r="81" spans="1:40" ht="15.75" customHeight="1" x14ac:dyDescent="0.25">
      <c r="A81" s="429" t="s">
        <v>315</v>
      </c>
      <c r="B81" s="421"/>
      <c r="C81" s="430" t="s">
        <v>303</v>
      </c>
      <c r="D81" s="368"/>
      <c r="E81" s="368"/>
      <c r="F81" s="368"/>
      <c r="G81" s="368"/>
      <c r="H81" s="368"/>
      <c r="I81" s="368"/>
      <c r="J81" s="368"/>
      <c r="K81" s="368"/>
      <c r="L81" s="368"/>
      <c r="M81" s="368"/>
      <c r="N81" s="368"/>
      <c r="O81" s="368"/>
      <c r="P81" s="368"/>
      <c r="Q81" s="368"/>
      <c r="R81" s="368"/>
      <c r="S81" s="368"/>
      <c r="T81" s="368"/>
      <c r="U81" s="368"/>
      <c r="V81" s="368"/>
      <c r="W81" s="368"/>
      <c r="X81" s="368"/>
      <c r="Y81" s="368"/>
      <c r="Z81" s="368"/>
      <c r="AA81" s="368"/>
      <c r="AB81" s="368"/>
      <c r="AC81" s="368"/>
      <c r="AD81" s="368"/>
      <c r="AE81" s="368"/>
      <c r="AF81" s="368"/>
      <c r="AG81" s="368"/>
      <c r="AH81" s="368"/>
      <c r="AI81" s="368"/>
      <c r="AJ81" s="368"/>
      <c r="AK81" s="368"/>
      <c r="AL81" s="368"/>
      <c r="AM81" s="368"/>
      <c r="AN81" s="369"/>
    </row>
    <row r="82" spans="1:40" ht="15.75" customHeight="1" x14ac:dyDescent="0.25">
      <c r="A82" s="334"/>
      <c r="B82" s="336"/>
      <c r="C82" s="370"/>
      <c r="D82" s="335"/>
      <c r="E82" s="335"/>
      <c r="F82" s="335"/>
      <c r="G82" s="335"/>
      <c r="H82" s="335"/>
      <c r="I82" s="335"/>
      <c r="J82" s="335"/>
      <c r="K82" s="335"/>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c r="AM82" s="335"/>
      <c r="AN82" s="371"/>
    </row>
    <row r="83" spans="1:40" ht="15.75" customHeight="1" x14ac:dyDescent="0.25">
      <c r="A83" s="334"/>
      <c r="B83" s="336"/>
      <c r="C83" s="370"/>
      <c r="D83" s="335"/>
      <c r="E83" s="335"/>
      <c r="F83" s="335"/>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c r="AM83" s="335"/>
      <c r="AN83" s="371"/>
    </row>
    <row r="84" spans="1:40" ht="15.75" customHeight="1" x14ac:dyDescent="0.25">
      <c r="A84" s="334"/>
      <c r="B84" s="336"/>
      <c r="C84" s="370"/>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c r="AD84" s="335"/>
      <c r="AE84" s="335"/>
      <c r="AF84" s="335"/>
      <c r="AG84" s="335"/>
      <c r="AH84" s="335"/>
      <c r="AI84" s="335"/>
      <c r="AJ84" s="335"/>
      <c r="AK84" s="335"/>
      <c r="AL84" s="335"/>
      <c r="AM84" s="335"/>
      <c r="AN84" s="371"/>
    </row>
    <row r="85" spans="1:40" ht="15.75" customHeight="1" x14ac:dyDescent="0.25">
      <c r="A85" s="422"/>
      <c r="B85" s="423"/>
      <c r="C85" s="425"/>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c r="AB85" s="426"/>
      <c r="AC85" s="426"/>
      <c r="AD85" s="426"/>
      <c r="AE85" s="426"/>
      <c r="AF85" s="426"/>
      <c r="AG85" s="426"/>
      <c r="AH85" s="426"/>
      <c r="AI85" s="426"/>
      <c r="AJ85" s="426"/>
      <c r="AK85" s="426"/>
      <c r="AL85" s="426"/>
      <c r="AM85" s="426"/>
      <c r="AN85" s="427"/>
    </row>
    <row r="86" spans="1:40" ht="30" customHeight="1" x14ac:dyDescent="0.25">
      <c r="A86" s="418" t="s">
        <v>308</v>
      </c>
      <c r="B86" s="348"/>
      <c r="C86" s="419" t="s">
        <v>301</v>
      </c>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54"/>
    </row>
    <row r="87" spans="1:40" ht="15.75" customHeight="1" x14ac:dyDescent="0.25">
      <c r="A87" s="420" t="s">
        <v>316</v>
      </c>
      <c r="B87" s="421"/>
      <c r="C87" s="448" t="s">
        <v>303</v>
      </c>
      <c r="D87" s="368"/>
      <c r="E87" s="368"/>
      <c r="F87" s="368"/>
      <c r="G87" s="368"/>
      <c r="H87" s="368"/>
      <c r="I87" s="368"/>
      <c r="J87" s="368"/>
      <c r="K87" s="368"/>
      <c r="L87" s="368"/>
      <c r="M87" s="368"/>
      <c r="N87" s="368"/>
      <c r="O87" s="368"/>
      <c r="P87" s="368"/>
      <c r="Q87" s="368"/>
      <c r="R87" s="368"/>
      <c r="S87" s="368"/>
      <c r="T87" s="368"/>
      <c r="U87" s="368"/>
      <c r="V87" s="368"/>
      <c r="W87" s="368"/>
      <c r="X87" s="368"/>
      <c r="Y87" s="368"/>
      <c r="Z87" s="368"/>
      <c r="AA87" s="368"/>
      <c r="AB87" s="368"/>
      <c r="AC87" s="368"/>
      <c r="AD87" s="368"/>
      <c r="AE87" s="368"/>
      <c r="AF87" s="368"/>
      <c r="AG87" s="368"/>
      <c r="AH87" s="368"/>
      <c r="AI87" s="368"/>
      <c r="AJ87" s="368"/>
      <c r="AK87" s="368"/>
      <c r="AL87" s="368"/>
      <c r="AM87" s="368"/>
      <c r="AN87" s="369"/>
    </row>
    <row r="88" spans="1:40" ht="15.75" customHeight="1" x14ac:dyDescent="0.25">
      <c r="A88" s="334"/>
      <c r="B88" s="336"/>
      <c r="C88" s="370"/>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71"/>
    </row>
    <row r="89" spans="1:40" ht="15.75" customHeight="1" x14ac:dyDescent="0.25">
      <c r="A89" s="334"/>
      <c r="B89" s="336"/>
      <c r="C89" s="370"/>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71"/>
    </row>
    <row r="90" spans="1:40" ht="15.75" customHeight="1" x14ac:dyDescent="0.25">
      <c r="A90" s="334"/>
      <c r="B90" s="336"/>
      <c r="C90" s="370"/>
      <c r="D90" s="335"/>
      <c r="E90" s="335"/>
      <c r="F90" s="335"/>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71"/>
    </row>
    <row r="91" spans="1:40" ht="15.75" customHeight="1" x14ac:dyDescent="0.25">
      <c r="A91" s="422"/>
      <c r="B91" s="423"/>
      <c r="C91" s="425"/>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c r="AB91" s="426"/>
      <c r="AC91" s="426"/>
      <c r="AD91" s="426"/>
      <c r="AE91" s="426"/>
      <c r="AF91" s="426"/>
      <c r="AG91" s="426"/>
      <c r="AH91" s="426"/>
      <c r="AI91" s="426"/>
      <c r="AJ91" s="426"/>
      <c r="AK91" s="426"/>
      <c r="AL91" s="426"/>
      <c r="AM91" s="426"/>
      <c r="AN91" s="427"/>
    </row>
    <row r="92" spans="1:40" ht="30" customHeight="1" x14ac:dyDescent="0.25">
      <c r="A92" s="428" t="s">
        <v>308</v>
      </c>
      <c r="B92" s="348"/>
      <c r="C92" s="419" t="s">
        <v>301</v>
      </c>
      <c r="D92" s="347"/>
      <c r="E92" s="347"/>
      <c r="F92" s="347"/>
      <c r="G92" s="347"/>
      <c r="H92" s="347"/>
      <c r="I92" s="347"/>
      <c r="J92" s="347"/>
      <c r="K92" s="347"/>
      <c r="L92" s="347"/>
      <c r="M92" s="347"/>
      <c r="N92" s="347"/>
      <c r="O92" s="347"/>
      <c r="P92" s="347"/>
      <c r="Q92" s="347"/>
      <c r="R92" s="347"/>
      <c r="S92" s="347"/>
      <c r="T92" s="347"/>
      <c r="U92" s="347"/>
      <c r="V92" s="347"/>
      <c r="W92" s="347"/>
      <c r="X92" s="347"/>
      <c r="Y92" s="347"/>
      <c r="Z92" s="347"/>
      <c r="AA92" s="347"/>
      <c r="AB92" s="347"/>
      <c r="AC92" s="347"/>
      <c r="AD92" s="347"/>
      <c r="AE92" s="347"/>
      <c r="AF92" s="347"/>
      <c r="AG92" s="347"/>
      <c r="AH92" s="347"/>
      <c r="AI92" s="347"/>
      <c r="AJ92" s="347"/>
      <c r="AK92" s="347"/>
      <c r="AL92" s="347"/>
      <c r="AM92" s="347"/>
      <c r="AN92" s="354"/>
    </row>
    <row r="93" spans="1:40" ht="15.75" customHeight="1" x14ac:dyDescent="0.25">
      <c r="A93" s="429" t="s">
        <v>317</v>
      </c>
      <c r="B93" s="421"/>
      <c r="C93" s="430" t="s">
        <v>303</v>
      </c>
      <c r="D93" s="368"/>
      <c r="E93" s="368"/>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368"/>
      <c r="AJ93" s="368"/>
      <c r="AK93" s="368"/>
      <c r="AL93" s="368"/>
      <c r="AM93" s="368"/>
      <c r="AN93" s="369"/>
    </row>
    <row r="94" spans="1:40" ht="15.75" customHeight="1" x14ac:dyDescent="0.25">
      <c r="A94" s="334"/>
      <c r="B94" s="336"/>
      <c r="C94" s="370"/>
      <c r="D94" s="335"/>
      <c r="E94" s="335"/>
      <c r="F94" s="335"/>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335"/>
      <c r="AM94" s="335"/>
      <c r="AN94" s="371"/>
    </row>
    <row r="95" spans="1:40" ht="15.75" customHeight="1" x14ac:dyDescent="0.25">
      <c r="A95" s="334"/>
      <c r="B95" s="336"/>
      <c r="C95" s="370"/>
      <c r="D95" s="335"/>
      <c r="E95" s="335"/>
      <c r="F95" s="335"/>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71"/>
    </row>
    <row r="96" spans="1:40" ht="15.75" customHeight="1" x14ac:dyDescent="0.25">
      <c r="A96" s="334"/>
      <c r="B96" s="336"/>
      <c r="C96" s="370"/>
      <c r="D96" s="335"/>
      <c r="E96" s="335"/>
      <c r="F96" s="335"/>
      <c r="G96" s="335"/>
      <c r="H96" s="335"/>
      <c r="I96" s="335"/>
      <c r="J96" s="335"/>
      <c r="K96" s="335"/>
      <c r="L96" s="335"/>
      <c r="M96" s="335"/>
      <c r="N96" s="335"/>
      <c r="O96" s="335"/>
      <c r="P96" s="335"/>
      <c r="Q96" s="335"/>
      <c r="R96" s="335"/>
      <c r="S96" s="335"/>
      <c r="T96" s="335"/>
      <c r="U96" s="335"/>
      <c r="V96" s="335"/>
      <c r="W96" s="335"/>
      <c r="X96" s="335"/>
      <c r="Y96" s="335"/>
      <c r="Z96" s="335"/>
      <c r="AA96" s="335"/>
      <c r="AB96" s="335"/>
      <c r="AC96" s="335"/>
      <c r="AD96" s="335"/>
      <c r="AE96" s="335"/>
      <c r="AF96" s="335"/>
      <c r="AG96" s="335"/>
      <c r="AH96" s="335"/>
      <c r="AI96" s="335"/>
      <c r="AJ96" s="335"/>
      <c r="AK96" s="335"/>
      <c r="AL96" s="335"/>
      <c r="AM96" s="335"/>
      <c r="AN96" s="371"/>
    </row>
    <row r="97" spans="1:40" ht="15.75" customHeight="1" x14ac:dyDescent="0.25">
      <c r="A97" s="422"/>
      <c r="B97" s="423"/>
      <c r="C97" s="425"/>
      <c r="D97" s="426"/>
      <c r="E97" s="426"/>
      <c r="F97" s="426"/>
      <c r="G97" s="426"/>
      <c r="H97" s="426"/>
      <c r="I97" s="426"/>
      <c r="J97" s="426"/>
      <c r="K97" s="426"/>
      <c r="L97" s="426"/>
      <c r="M97" s="426"/>
      <c r="N97" s="426"/>
      <c r="O97" s="426"/>
      <c r="P97" s="426"/>
      <c r="Q97" s="426"/>
      <c r="R97" s="426"/>
      <c r="S97" s="426"/>
      <c r="T97" s="426"/>
      <c r="U97" s="426"/>
      <c r="V97" s="426"/>
      <c r="W97" s="426"/>
      <c r="X97" s="426"/>
      <c r="Y97" s="426"/>
      <c r="Z97" s="426"/>
      <c r="AA97" s="426"/>
      <c r="AB97" s="426"/>
      <c r="AC97" s="426"/>
      <c r="AD97" s="426"/>
      <c r="AE97" s="426"/>
      <c r="AF97" s="426"/>
      <c r="AG97" s="426"/>
      <c r="AH97" s="426"/>
      <c r="AI97" s="426"/>
      <c r="AJ97" s="426"/>
      <c r="AK97" s="426"/>
      <c r="AL97" s="426"/>
      <c r="AM97" s="426"/>
      <c r="AN97" s="427"/>
    </row>
    <row r="98" spans="1:40" ht="30" customHeight="1" x14ac:dyDescent="0.25">
      <c r="A98" s="418" t="s">
        <v>308</v>
      </c>
      <c r="B98" s="348"/>
      <c r="C98" s="419" t="s">
        <v>301</v>
      </c>
      <c r="D98" s="347"/>
      <c r="E98" s="347"/>
      <c r="F98" s="347"/>
      <c r="G98" s="347"/>
      <c r="H98" s="347"/>
      <c r="I98" s="347"/>
      <c r="J98" s="347"/>
      <c r="K98" s="347"/>
      <c r="L98" s="347"/>
      <c r="M98" s="347"/>
      <c r="N98" s="347"/>
      <c r="O98" s="347"/>
      <c r="P98" s="347"/>
      <c r="Q98" s="347"/>
      <c r="R98" s="347"/>
      <c r="S98" s="347"/>
      <c r="T98" s="347"/>
      <c r="U98" s="347"/>
      <c r="V98" s="347"/>
      <c r="W98" s="347"/>
      <c r="X98" s="347"/>
      <c r="Y98" s="347"/>
      <c r="Z98" s="347"/>
      <c r="AA98" s="347"/>
      <c r="AB98" s="347"/>
      <c r="AC98" s="347"/>
      <c r="AD98" s="347"/>
      <c r="AE98" s="347"/>
      <c r="AF98" s="347"/>
      <c r="AG98" s="347"/>
      <c r="AH98" s="347"/>
      <c r="AI98" s="347"/>
      <c r="AJ98" s="347"/>
      <c r="AK98" s="347"/>
      <c r="AL98" s="347"/>
      <c r="AM98" s="347"/>
      <c r="AN98" s="354"/>
    </row>
    <row r="99" spans="1:40" ht="15.75" customHeight="1" x14ac:dyDescent="0.25">
      <c r="A99" s="420" t="s">
        <v>304</v>
      </c>
      <c r="B99" s="421"/>
      <c r="C99" s="448" t="s">
        <v>303</v>
      </c>
      <c r="D99" s="368"/>
      <c r="E99" s="368"/>
      <c r="F99" s="368"/>
      <c r="G99" s="368"/>
      <c r="H99" s="368"/>
      <c r="I99" s="368"/>
      <c r="J99" s="368"/>
      <c r="K99" s="368"/>
      <c r="L99" s="368"/>
      <c r="M99" s="368"/>
      <c r="N99" s="368"/>
      <c r="O99" s="368"/>
      <c r="P99" s="368"/>
      <c r="Q99" s="368"/>
      <c r="R99" s="368"/>
      <c r="S99" s="368"/>
      <c r="T99" s="368"/>
      <c r="U99" s="368"/>
      <c r="V99" s="368"/>
      <c r="W99" s="368"/>
      <c r="X99" s="368"/>
      <c r="Y99" s="368"/>
      <c r="Z99" s="368"/>
      <c r="AA99" s="368"/>
      <c r="AB99" s="368"/>
      <c r="AC99" s="368"/>
      <c r="AD99" s="368"/>
      <c r="AE99" s="368"/>
      <c r="AF99" s="368"/>
      <c r="AG99" s="368"/>
      <c r="AH99" s="368"/>
      <c r="AI99" s="368"/>
      <c r="AJ99" s="368"/>
      <c r="AK99" s="368"/>
      <c r="AL99" s="368"/>
      <c r="AM99" s="368"/>
      <c r="AN99" s="369"/>
    </row>
    <row r="100" spans="1:40" ht="15.75" customHeight="1" x14ac:dyDescent="0.25">
      <c r="A100" s="334"/>
      <c r="B100" s="336"/>
      <c r="C100" s="370"/>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71"/>
    </row>
    <row r="101" spans="1:40" ht="15.75" customHeight="1" x14ac:dyDescent="0.25">
      <c r="A101" s="334"/>
      <c r="B101" s="336"/>
      <c r="C101" s="370"/>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71"/>
    </row>
    <row r="102" spans="1:40" ht="15.75" customHeight="1" x14ac:dyDescent="0.25">
      <c r="A102" s="334"/>
      <c r="B102" s="336"/>
      <c r="C102" s="370"/>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71"/>
    </row>
    <row r="103" spans="1:40" ht="15.75" customHeight="1" x14ac:dyDescent="0.25">
      <c r="A103" s="422"/>
      <c r="B103" s="423"/>
      <c r="C103" s="425"/>
      <c r="D103" s="426"/>
      <c r="E103" s="426"/>
      <c r="F103" s="426"/>
      <c r="G103" s="426"/>
      <c r="H103" s="426"/>
      <c r="I103" s="426"/>
      <c r="J103" s="426"/>
      <c r="K103" s="426"/>
      <c r="L103" s="426"/>
      <c r="M103" s="426"/>
      <c r="N103" s="426"/>
      <c r="O103" s="426"/>
      <c r="P103" s="426"/>
      <c r="Q103" s="426"/>
      <c r="R103" s="426"/>
      <c r="S103" s="426"/>
      <c r="T103" s="426"/>
      <c r="U103" s="426"/>
      <c r="V103" s="426"/>
      <c r="W103" s="426"/>
      <c r="X103" s="426"/>
      <c r="Y103" s="426"/>
      <c r="Z103" s="426"/>
      <c r="AA103" s="426"/>
      <c r="AB103" s="426"/>
      <c r="AC103" s="426"/>
      <c r="AD103" s="426"/>
      <c r="AE103" s="426"/>
      <c r="AF103" s="426"/>
      <c r="AG103" s="426"/>
      <c r="AH103" s="426"/>
      <c r="AI103" s="426"/>
      <c r="AJ103" s="426"/>
      <c r="AK103" s="426"/>
      <c r="AL103" s="426"/>
      <c r="AM103" s="426"/>
      <c r="AN103" s="427"/>
    </row>
    <row r="104" spans="1:40" ht="30" customHeight="1" x14ac:dyDescent="0.25">
      <c r="A104" s="428" t="s">
        <v>308</v>
      </c>
      <c r="B104" s="348"/>
      <c r="C104" s="419" t="s">
        <v>301</v>
      </c>
      <c r="D104" s="347"/>
      <c r="E104" s="347"/>
      <c r="F104" s="347"/>
      <c r="G104" s="347"/>
      <c r="H104" s="347"/>
      <c r="I104" s="347"/>
      <c r="J104" s="347"/>
      <c r="K104" s="347"/>
      <c r="L104" s="347"/>
      <c r="M104" s="347"/>
      <c r="N104" s="347"/>
      <c r="O104" s="347"/>
      <c r="P104" s="347"/>
      <c r="Q104" s="347"/>
      <c r="R104" s="347"/>
      <c r="S104" s="347"/>
      <c r="T104" s="347"/>
      <c r="U104" s="347"/>
      <c r="V104" s="347"/>
      <c r="W104" s="347"/>
      <c r="X104" s="347"/>
      <c r="Y104" s="347"/>
      <c r="Z104" s="347"/>
      <c r="AA104" s="347"/>
      <c r="AB104" s="347"/>
      <c r="AC104" s="347"/>
      <c r="AD104" s="347"/>
      <c r="AE104" s="347"/>
      <c r="AF104" s="347"/>
      <c r="AG104" s="347"/>
      <c r="AH104" s="347"/>
      <c r="AI104" s="347"/>
      <c r="AJ104" s="347"/>
      <c r="AK104" s="347"/>
      <c r="AL104" s="347"/>
      <c r="AM104" s="347"/>
      <c r="AN104" s="354"/>
    </row>
    <row r="105" spans="1:40" ht="15.75" customHeight="1" x14ac:dyDescent="0.25">
      <c r="A105" s="429" t="s">
        <v>305</v>
      </c>
      <c r="B105" s="421"/>
      <c r="C105" s="430" t="s">
        <v>307</v>
      </c>
      <c r="D105" s="368"/>
      <c r="E105" s="368"/>
      <c r="F105" s="368"/>
      <c r="G105" s="368"/>
      <c r="H105" s="368"/>
      <c r="I105" s="368"/>
      <c r="J105" s="368"/>
      <c r="K105" s="368"/>
      <c r="L105" s="368"/>
      <c r="M105" s="368"/>
      <c r="N105" s="368"/>
      <c r="O105" s="368"/>
      <c r="P105" s="368"/>
      <c r="Q105" s="368"/>
      <c r="R105" s="368"/>
      <c r="S105" s="368"/>
      <c r="T105" s="368"/>
      <c r="U105" s="368"/>
      <c r="V105" s="368"/>
      <c r="W105" s="368"/>
      <c r="X105" s="368"/>
      <c r="Y105" s="368"/>
      <c r="Z105" s="368"/>
      <c r="AA105" s="368"/>
      <c r="AB105" s="368"/>
      <c r="AC105" s="368"/>
      <c r="AD105" s="368"/>
      <c r="AE105" s="368"/>
      <c r="AF105" s="368"/>
      <c r="AG105" s="368"/>
      <c r="AH105" s="368"/>
      <c r="AI105" s="368"/>
      <c r="AJ105" s="368"/>
      <c r="AK105" s="368"/>
      <c r="AL105" s="368"/>
      <c r="AM105" s="368"/>
      <c r="AN105" s="369"/>
    </row>
    <row r="106" spans="1:40" ht="15.75" customHeight="1" x14ac:dyDescent="0.25">
      <c r="A106" s="334"/>
      <c r="B106" s="336"/>
      <c r="C106" s="370"/>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5"/>
      <c r="AJ106" s="335"/>
      <c r="AK106" s="335"/>
      <c r="AL106" s="335"/>
      <c r="AM106" s="335"/>
      <c r="AN106" s="371"/>
    </row>
    <row r="107" spans="1:40" ht="15.75" customHeight="1" x14ac:dyDescent="0.25">
      <c r="A107" s="334"/>
      <c r="B107" s="336"/>
      <c r="C107" s="370"/>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c r="AA107" s="335"/>
      <c r="AB107" s="335"/>
      <c r="AC107" s="335"/>
      <c r="AD107" s="335"/>
      <c r="AE107" s="335"/>
      <c r="AF107" s="335"/>
      <c r="AG107" s="335"/>
      <c r="AH107" s="335"/>
      <c r="AI107" s="335"/>
      <c r="AJ107" s="335"/>
      <c r="AK107" s="335"/>
      <c r="AL107" s="335"/>
      <c r="AM107" s="335"/>
      <c r="AN107" s="371"/>
    </row>
    <row r="108" spans="1:40" ht="15.75" customHeight="1" x14ac:dyDescent="0.25">
      <c r="A108" s="334"/>
      <c r="B108" s="336"/>
      <c r="C108" s="370"/>
      <c r="D108" s="335"/>
      <c r="E108" s="335"/>
      <c r="F108" s="335"/>
      <c r="G108" s="335"/>
      <c r="H108" s="335"/>
      <c r="I108" s="335"/>
      <c r="J108" s="335"/>
      <c r="K108" s="335"/>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c r="AN108" s="371"/>
    </row>
    <row r="109" spans="1:40" ht="15.75" customHeight="1" x14ac:dyDescent="0.25">
      <c r="A109" s="422"/>
      <c r="B109" s="423"/>
      <c r="C109" s="425"/>
      <c r="D109" s="426"/>
      <c r="E109" s="426"/>
      <c r="F109" s="426"/>
      <c r="G109" s="426"/>
      <c r="H109" s="426"/>
      <c r="I109" s="426"/>
      <c r="J109" s="426"/>
      <c r="K109" s="426"/>
      <c r="L109" s="426"/>
      <c r="M109" s="426"/>
      <c r="N109" s="426"/>
      <c r="O109" s="426"/>
      <c r="P109" s="426"/>
      <c r="Q109" s="426"/>
      <c r="R109" s="426"/>
      <c r="S109" s="426"/>
      <c r="T109" s="426"/>
      <c r="U109" s="426"/>
      <c r="V109" s="426"/>
      <c r="W109" s="426"/>
      <c r="X109" s="426"/>
      <c r="Y109" s="426"/>
      <c r="Z109" s="426"/>
      <c r="AA109" s="426"/>
      <c r="AB109" s="426"/>
      <c r="AC109" s="426"/>
      <c r="AD109" s="426"/>
      <c r="AE109" s="426"/>
      <c r="AF109" s="426"/>
      <c r="AG109" s="426"/>
      <c r="AH109" s="426"/>
      <c r="AI109" s="426"/>
      <c r="AJ109" s="426"/>
      <c r="AK109" s="426"/>
      <c r="AL109" s="426"/>
      <c r="AM109" s="426"/>
      <c r="AN109" s="427"/>
    </row>
    <row r="110" spans="1:40" ht="30" customHeight="1" x14ac:dyDescent="0.25">
      <c r="A110" s="418" t="s">
        <v>308</v>
      </c>
      <c r="B110" s="348"/>
      <c r="C110" s="419" t="s">
        <v>301</v>
      </c>
      <c r="D110" s="347"/>
      <c r="E110" s="347"/>
      <c r="F110" s="347"/>
      <c r="G110" s="347"/>
      <c r="H110" s="347"/>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54"/>
    </row>
    <row r="111" spans="1:40" ht="15.75" customHeight="1" x14ac:dyDescent="0.25">
      <c r="A111" s="420" t="s">
        <v>306</v>
      </c>
      <c r="B111" s="421"/>
      <c r="C111" s="448" t="s">
        <v>307</v>
      </c>
      <c r="D111" s="368"/>
      <c r="E111" s="368"/>
      <c r="F111" s="368"/>
      <c r="G111" s="368"/>
      <c r="H111" s="368"/>
      <c r="I111" s="368"/>
      <c r="J111" s="368"/>
      <c r="K111" s="368"/>
      <c r="L111" s="368"/>
      <c r="M111" s="368"/>
      <c r="N111" s="368"/>
      <c r="O111" s="368"/>
      <c r="P111" s="368"/>
      <c r="Q111" s="368"/>
      <c r="R111" s="368"/>
      <c r="S111" s="368"/>
      <c r="T111" s="368"/>
      <c r="U111" s="368"/>
      <c r="V111" s="368"/>
      <c r="W111" s="368"/>
      <c r="X111" s="368"/>
      <c r="Y111" s="368"/>
      <c r="Z111" s="368"/>
      <c r="AA111" s="368"/>
      <c r="AB111" s="368"/>
      <c r="AC111" s="368"/>
      <c r="AD111" s="368"/>
      <c r="AE111" s="368"/>
      <c r="AF111" s="368"/>
      <c r="AG111" s="368"/>
      <c r="AH111" s="368"/>
      <c r="AI111" s="368"/>
      <c r="AJ111" s="368"/>
      <c r="AK111" s="368"/>
      <c r="AL111" s="368"/>
      <c r="AM111" s="368"/>
      <c r="AN111" s="369"/>
    </row>
    <row r="112" spans="1:40" ht="15.75" customHeight="1" x14ac:dyDescent="0.25">
      <c r="A112" s="334"/>
      <c r="B112" s="336"/>
      <c r="C112" s="370"/>
      <c r="D112" s="335"/>
      <c r="E112" s="335"/>
      <c r="F112" s="335"/>
      <c r="G112" s="335"/>
      <c r="H112" s="335"/>
      <c r="I112" s="335"/>
      <c r="J112" s="335"/>
      <c r="K112" s="335"/>
      <c r="L112" s="335"/>
      <c r="M112" s="335"/>
      <c r="N112" s="335"/>
      <c r="O112" s="335"/>
      <c r="P112" s="335"/>
      <c r="Q112" s="335"/>
      <c r="R112" s="335"/>
      <c r="S112" s="335"/>
      <c r="T112" s="335"/>
      <c r="U112" s="335"/>
      <c r="V112" s="335"/>
      <c r="W112" s="335"/>
      <c r="X112" s="335"/>
      <c r="Y112" s="335"/>
      <c r="Z112" s="335"/>
      <c r="AA112" s="335"/>
      <c r="AB112" s="335"/>
      <c r="AC112" s="335"/>
      <c r="AD112" s="335"/>
      <c r="AE112" s="335"/>
      <c r="AF112" s="335"/>
      <c r="AG112" s="335"/>
      <c r="AH112" s="335"/>
      <c r="AI112" s="335"/>
      <c r="AJ112" s="335"/>
      <c r="AK112" s="335"/>
      <c r="AL112" s="335"/>
      <c r="AM112" s="335"/>
      <c r="AN112" s="371"/>
    </row>
    <row r="113" spans="1:40" ht="15.75" customHeight="1" x14ac:dyDescent="0.25">
      <c r="A113" s="334"/>
      <c r="B113" s="336"/>
      <c r="C113" s="370"/>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35"/>
      <c r="AD113" s="335"/>
      <c r="AE113" s="335"/>
      <c r="AF113" s="335"/>
      <c r="AG113" s="335"/>
      <c r="AH113" s="335"/>
      <c r="AI113" s="335"/>
      <c r="AJ113" s="335"/>
      <c r="AK113" s="335"/>
      <c r="AL113" s="335"/>
      <c r="AM113" s="335"/>
      <c r="AN113" s="371"/>
    </row>
    <row r="114" spans="1:40" ht="15.75" customHeight="1" x14ac:dyDescent="0.25">
      <c r="A114" s="334"/>
      <c r="B114" s="336"/>
      <c r="C114" s="370"/>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5"/>
      <c r="AJ114" s="335"/>
      <c r="AK114" s="335"/>
      <c r="AL114" s="335"/>
      <c r="AM114" s="335"/>
      <c r="AN114" s="371"/>
    </row>
    <row r="115" spans="1:40" ht="15.75" customHeight="1" x14ac:dyDescent="0.25">
      <c r="A115" s="422"/>
      <c r="B115" s="423"/>
      <c r="C115" s="425"/>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c r="AB115" s="426"/>
      <c r="AC115" s="426"/>
      <c r="AD115" s="426"/>
      <c r="AE115" s="426"/>
      <c r="AF115" s="426"/>
      <c r="AG115" s="426"/>
      <c r="AH115" s="426"/>
      <c r="AI115" s="426"/>
      <c r="AJ115" s="426"/>
      <c r="AK115" s="426"/>
      <c r="AL115" s="426"/>
      <c r="AM115" s="426"/>
      <c r="AN115" s="427"/>
    </row>
    <row r="116" spans="1:40" ht="30" customHeight="1" x14ac:dyDescent="0.25">
      <c r="A116" s="428" t="s">
        <v>318</v>
      </c>
      <c r="B116" s="348"/>
      <c r="C116" s="419" t="s">
        <v>301</v>
      </c>
      <c r="D116" s="347"/>
      <c r="E116" s="347"/>
      <c r="F116" s="347"/>
      <c r="G116" s="347"/>
      <c r="H116" s="347"/>
      <c r="I116" s="347"/>
      <c r="J116" s="347"/>
      <c r="K116" s="347"/>
      <c r="L116" s="347"/>
      <c r="M116" s="347"/>
      <c r="N116" s="347"/>
      <c r="O116" s="347"/>
      <c r="P116" s="347"/>
      <c r="Q116" s="347"/>
      <c r="R116" s="347"/>
      <c r="S116" s="347"/>
      <c r="T116" s="347"/>
      <c r="U116" s="347"/>
      <c r="V116" s="347"/>
      <c r="W116" s="347"/>
      <c r="X116" s="347"/>
      <c r="Y116" s="347"/>
      <c r="Z116" s="347"/>
      <c r="AA116" s="347"/>
      <c r="AB116" s="347"/>
      <c r="AC116" s="347"/>
      <c r="AD116" s="347"/>
      <c r="AE116" s="347"/>
      <c r="AF116" s="347"/>
      <c r="AG116" s="347"/>
      <c r="AH116" s="347"/>
      <c r="AI116" s="347"/>
      <c r="AJ116" s="347"/>
      <c r="AK116" s="347"/>
      <c r="AL116" s="347"/>
      <c r="AM116" s="347"/>
      <c r="AN116" s="354"/>
    </row>
    <row r="117" spans="1:40" ht="15.75" customHeight="1" x14ac:dyDescent="0.25">
      <c r="A117" s="429" t="s">
        <v>309</v>
      </c>
      <c r="B117" s="421"/>
      <c r="C117" s="430" t="s">
        <v>307</v>
      </c>
      <c r="D117" s="368"/>
      <c r="E117" s="368"/>
      <c r="F117" s="368"/>
      <c r="G117" s="368"/>
      <c r="H117" s="368"/>
      <c r="I117" s="368"/>
      <c r="J117" s="368"/>
      <c r="K117" s="368"/>
      <c r="L117" s="368"/>
      <c r="M117" s="368"/>
      <c r="N117" s="368"/>
      <c r="O117" s="368"/>
      <c r="P117" s="368"/>
      <c r="Q117" s="368"/>
      <c r="R117" s="368"/>
      <c r="S117" s="368"/>
      <c r="T117" s="368"/>
      <c r="U117" s="368"/>
      <c r="V117" s="368"/>
      <c r="W117" s="368"/>
      <c r="X117" s="368"/>
      <c r="Y117" s="368"/>
      <c r="Z117" s="368"/>
      <c r="AA117" s="368"/>
      <c r="AB117" s="368"/>
      <c r="AC117" s="368"/>
      <c r="AD117" s="368"/>
      <c r="AE117" s="368"/>
      <c r="AF117" s="368"/>
      <c r="AG117" s="368"/>
      <c r="AH117" s="368"/>
      <c r="AI117" s="368"/>
      <c r="AJ117" s="368"/>
      <c r="AK117" s="368"/>
      <c r="AL117" s="368"/>
      <c r="AM117" s="368"/>
      <c r="AN117" s="369"/>
    </row>
    <row r="118" spans="1:40" ht="15.75" customHeight="1" x14ac:dyDescent="0.25">
      <c r="A118" s="334"/>
      <c r="B118" s="336"/>
      <c r="C118" s="370"/>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c r="AD118" s="335"/>
      <c r="AE118" s="335"/>
      <c r="AF118" s="335"/>
      <c r="AG118" s="335"/>
      <c r="AH118" s="335"/>
      <c r="AI118" s="335"/>
      <c r="AJ118" s="335"/>
      <c r="AK118" s="335"/>
      <c r="AL118" s="335"/>
      <c r="AM118" s="335"/>
      <c r="AN118" s="371"/>
    </row>
    <row r="119" spans="1:40" ht="15.75" customHeight="1" x14ac:dyDescent="0.25">
      <c r="A119" s="334"/>
      <c r="B119" s="336"/>
      <c r="C119" s="370"/>
      <c r="D119" s="335"/>
      <c r="E119" s="335"/>
      <c r="F119" s="335"/>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335"/>
      <c r="AL119" s="335"/>
      <c r="AM119" s="335"/>
      <c r="AN119" s="371"/>
    </row>
    <row r="120" spans="1:40" ht="15.75" customHeight="1" x14ac:dyDescent="0.25">
      <c r="A120" s="334"/>
      <c r="B120" s="336"/>
      <c r="C120" s="370"/>
      <c r="D120" s="335"/>
      <c r="E120" s="335"/>
      <c r="F120" s="335"/>
      <c r="G120" s="335"/>
      <c r="H120" s="335"/>
      <c r="I120" s="335"/>
      <c r="J120" s="335"/>
      <c r="K120" s="335"/>
      <c r="L120" s="335"/>
      <c r="M120" s="335"/>
      <c r="N120" s="335"/>
      <c r="O120" s="335"/>
      <c r="P120" s="335"/>
      <c r="Q120" s="335"/>
      <c r="R120" s="335"/>
      <c r="S120" s="335"/>
      <c r="T120" s="335"/>
      <c r="U120" s="335"/>
      <c r="V120" s="335"/>
      <c r="W120" s="335"/>
      <c r="X120" s="335"/>
      <c r="Y120" s="335"/>
      <c r="Z120" s="335"/>
      <c r="AA120" s="335"/>
      <c r="AB120" s="335"/>
      <c r="AC120" s="335"/>
      <c r="AD120" s="335"/>
      <c r="AE120" s="335"/>
      <c r="AF120" s="335"/>
      <c r="AG120" s="335"/>
      <c r="AH120" s="335"/>
      <c r="AI120" s="335"/>
      <c r="AJ120" s="335"/>
      <c r="AK120" s="335"/>
      <c r="AL120" s="335"/>
      <c r="AM120" s="335"/>
      <c r="AN120" s="371"/>
    </row>
    <row r="121" spans="1:40" ht="15.75" customHeight="1" x14ac:dyDescent="0.25">
      <c r="A121" s="422"/>
      <c r="B121" s="423"/>
      <c r="C121" s="425"/>
      <c r="D121" s="426"/>
      <c r="E121" s="426"/>
      <c r="F121" s="426"/>
      <c r="G121" s="426"/>
      <c r="H121" s="426"/>
      <c r="I121" s="426"/>
      <c r="J121" s="426"/>
      <c r="K121" s="426"/>
      <c r="L121" s="426"/>
      <c r="M121" s="426"/>
      <c r="N121" s="426"/>
      <c r="O121" s="426"/>
      <c r="P121" s="426"/>
      <c r="Q121" s="426"/>
      <c r="R121" s="426"/>
      <c r="S121" s="426"/>
      <c r="T121" s="426"/>
      <c r="U121" s="426"/>
      <c r="V121" s="426"/>
      <c r="W121" s="426"/>
      <c r="X121" s="426"/>
      <c r="Y121" s="426"/>
      <c r="Z121" s="426"/>
      <c r="AA121" s="426"/>
      <c r="AB121" s="426"/>
      <c r="AC121" s="426"/>
      <c r="AD121" s="426"/>
      <c r="AE121" s="426"/>
      <c r="AF121" s="426"/>
      <c r="AG121" s="426"/>
      <c r="AH121" s="426"/>
      <c r="AI121" s="426"/>
      <c r="AJ121" s="426"/>
      <c r="AK121" s="426"/>
      <c r="AL121" s="426"/>
      <c r="AM121" s="426"/>
      <c r="AN121" s="427"/>
    </row>
    <row r="122" spans="1:40" ht="30" customHeight="1" x14ac:dyDescent="0.25">
      <c r="A122" s="418" t="s">
        <v>318</v>
      </c>
      <c r="B122" s="348"/>
      <c r="C122" s="419" t="s">
        <v>301</v>
      </c>
      <c r="D122" s="347"/>
      <c r="E122" s="347"/>
      <c r="F122" s="347"/>
      <c r="G122" s="347"/>
      <c r="H122" s="347"/>
      <c r="I122" s="347"/>
      <c r="J122" s="347"/>
      <c r="K122" s="347"/>
      <c r="L122" s="347"/>
      <c r="M122" s="347"/>
      <c r="N122" s="347"/>
      <c r="O122" s="347"/>
      <c r="P122" s="347"/>
      <c r="Q122" s="347"/>
      <c r="R122" s="347"/>
      <c r="S122" s="347"/>
      <c r="T122" s="347"/>
      <c r="U122" s="347"/>
      <c r="V122" s="347"/>
      <c r="W122" s="347"/>
      <c r="X122" s="347"/>
      <c r="Y122" s="347"/>
      <c r="Z122" s="347"/>
      <c r="AA122" s="347"/>
      <c r="AB122" s="347"/>
      <c r="AC122" s="347"/>
      <c r="AD122" s="347"/>
      <c r="AE122" s="347"/>
      <c r="AF122" s="347"/>
      <c r="AG122" s="347"/>
      <c r="AH122" s="347"/>
      <c r="AI122" s="347"/>
      <c r="AJ122" s="347"/>
      <c r="AK122" s="347"/>
      <c r="AL122" s="347"/>
      <c r="AM122" s="347"/>
      <c r="AN122" s="354"/>
    </row>
    <row r="123" spans="1:40" ht="15.75" customHeight="1" x14ac:dyDescent="0.25">
      <c r="A123" s="420" t="s">
        <v>310</v>
      </c>
      <c r="B123" s="421"/>
      <c r="C123" s="424" t="s">
        <v>303</v>
      </c>
      <c r="D123" s="368"/>
      <c r="E123" s="368"/>
      <c r="F123" s="368"/>
      <c r="G123" s="368"/>
      <c r="H123" s="368"/>
      <c r="I123" s="368"/>
      <c r="J123" s="368"/>
      <c r="K123" s="368"/>
      <c r="L123" s="368"/>
      <c r="M123" s="368"/>
      <c r="N123" s="368"/>
      <c r="O123" s="368"/>
      <c r="P123" s="368"/>
      <c r="Q123" s="368"/>
      <c r="R123" s="368"/>
      <c r="S123" s="368"/>
      <c r="T123" s="368"/>
      <c r="U123" s="368"/>
      <c r="V123" s="368"/>
      <c r="W123" s="368"/>
      <c r="X123" s="368"/>
      <c r="Y123" s="368"/>
      <c r="Z123" s="368"/>
      <c r="AA123" s="368"/>
      <c r="AB123" s="368"/>
      <c r="AC123" s="368"/>
      <c r="AD123" s="368"/>
      <c r="AE123" s="368"/>
      <c r="AF123" s="368"/>
      <c r="AG123" s="368"/>
      <c r="AH123" s="368"/>
      <c r="AI123" s="368"/>
      <c r="AJ123" s="368"/>
      <c r="AK123" s="368"/>
      <c r="AL123" s="368"/>
      <c r="AM123" s="368"/>
      <c r="AN123" s="369"/>
    </row>
    <row r="124" spans="1:40" ht="15.75" customHeight="1" x14ac:dyDescent="0.25">
      <c r="A124" s="334"/>
      <c r="B124" s="336"/>
      <c r="C124" s="370"/>
      <c r="D124" s="335"/>
      <c r="E124" s="335"/>
      <c r="F124" s="335"/>
      <c r="G124" s="335"/>
      <c r="H124" s="335"/>
      <c r="I124" s="335"/>
      <c r="J124" s="335"/>
      <c r="K124" s="335"/>
      <c r="L124" s="335"/>
      <c r="M124" s="335"/>
      <c r="N124" s="335"/>
      <c r="O124" s="335"/>
      <c r="P124" s="335"/>
      <c r="Q124" s="335"/>
      <c r="R124" s="335"/>
      <c r="S124" s="335"/>
      <c r="T124" s="335"/>
      <c r="U124" s="335"/>
      <c r="V124" s="335"/>
      <c r="W124" s="335"/>
      <c r="X124" s="335"/>
      <c r="Y124" s="335"/>
      <c r="Z124" s="335"/>
      <c r="AA124" s="335"/>
      <c r="AB124" s="335"/>
      <c r="AC124" s="335"/>
      <c r="AD124" s="335"/>
      <c r="AE124" s="335"/>
      <c r="AF124" s="335"/>
      <c r="AG124" s="335"/>
      <c r="AH124" s="335"/>
      <c r="AI124" s="335"/>
      <c r="AJ124" s="335"/>
      <c r="AK124" s="335"/>
      <c r="AL124" s="335"/>
      <c r="AM124" s="335"/>
      <c r="AN124" s="371"/>
    </row>
    <row r="125" spans="1:40" ht="15.75" customHeight="1" x14ac:dyDescent="0.25">
      <c r="A125" s="334"/>
      <c r="B125" s="336"/>
      <c r="C125" s="370"/>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335"/>
      <c r="AL125" s="335"/>
      <c r="AM125" s="335"/>
      <c r="AN125" s="371"/>
    </row>
    <row r="126" spans="1:40" ht="15.75" customHeight="1" x14ac:dyDescent="0.25">
      <c r="A126" s="334"/>
      <c r="B126" s="336"/>
      <c r="C126" s="370"/>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c r="AA126" s="335"/>
      <c r="AB126" s="335"/>
      <c r="AC126" s="335"/>
      <c r="AD126" s="335"/>
      <c r="AE126" s="335"/>
      <c r="AF126" s="335"/>
      <c r="AG126" s="335"/>
      <c r="AH126" s="335"/>
      <c r="AI126" s="335"/>
      <c r="AJ126" s="335"/>
      <c r="AK126" s="335"/>
      <c r="AL126" s="335"/>
      <c r="AM126" s="335"/>
      <c r="AN126" s="371"/>
    </row>
    <row r="127" spans="1:40" ht="15.75" customHeight="1" x14ac:dyDescent="0.25">
      <c r="A127" s="422"/>
      <c r="B127" s="423"/>
      <c r="C127" s="425"/>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26"/>
      <c r="AA127" s="426"/>
      <c r="AB127" s="426"/>
      <c r="AC127" s="426"/>
      <c r="AD127" s="426"/>
      <c r="AE127" s="426"/>
      <c r="AF127" s="426"/>
      <c r="AG127" s="426"/>
      <c r="AH127" s="426"/>
      <c r="AI127" s="426"/>
      <c r="AJ127" s="426"/>
      <c r="AK127" s="426"/>
      <c r="AL127" s="426"/>
      <c r="AM127" s="426"/>
      <c r="AN127" s="427"/>
    </row>
    <row r="128" spans="1:40" ht="30" customHeight="1" x14ac:dyDescent="0.25">
      <c r="A128" s="428" t="s">
        <v>318</v>
      </c>
      <c r="B128" s="348"/>
      <c r="C128" s="419" t="s">
        <v>301</v>
      </c>
      <c r="D128" s="347"/>
      <c r="E128" s="347"/>
      <c r="F128" s="347"/>
      <c r="G128" s="347"/>
      <c r="H128" s="347"/>
      <c r="I128" s="347"/>
      <c r="J128" s="347"/>
      <c r="K128" s="347"/>
      <c r="L128" s="347"/>
      <c r="M128" s="347"/>
      <c r="N128" s="347"/>
      <c r="O128" s="347"/>
      <c r="P128" s="347"/>
      <c r="Q128" s="347"/>
      <c r="R128" s="347"/>
      <c r="S128" s="347"/>
      <c r="T128" s="347"/>
      <c r="U128" s="347"/>
      <c r="V128" s="347"/>
      <c r="W128" s="347"/>
      <c r="X128" s="347"/>
      <c r="Y128" s="347"/>
      <c r="Z128" s="347"/>
      <c r="AA128" s="347"/>
      <c r="AB128" s="347"/>
      <c r="AC128" s="347"/>
      <c r="AD128" s="347"/>
      <c r="AE128" s="347"/>
      <c r="AF128" s="347"/>
      <c r="AG128" s="347"/>
      <c r="AH128" s="347"/>
      <c r="AI128" s="347"/>
      <c r="AJ128" s="347"/>
      <c r="AK128" s="347"/>
      <c r="AL128" s="347"/>
      <c r="AM128" s="347"/>
      <c r="AN128" s="354"/>
    </row>
    <row r="129" spans="1:40" ht="15.75" customHeight="1" x14ac:dyDescent="0.25">
      <c r="A129" s="429" t="s">
        <v>311</v>
      </c>
      <c r="B129" s="421"/>
      <c r="C129" s="430" t="s">
        <v>303</v>
      </c>
      <c r="D129" s="368"/>
      <c r="E129" s="368"/>
      <c r="F129" s="368"/>
      <c r="G129" s="368"/>
      <c r="H129" s="368"/>
      <c r="I129" s="368"/>
      <c r="J129" s="368"/>
      <c r="K129" s="368"/>
      <c r="L129" s="368"/>
      <c r="M129" s="368"/>
      <c r="N129" s="368"/>
      <c r="O129" s="368"/>
      <c r="P129" s="368"/>
      <c r="Q129" s="368"/>
      <c r="R129" s="368"/>
      <c r="S129" s="368"/>
      <c r="T129" s="368"/>
      <c r="U129" s="368"/>
      <c r="V129" s="368"/>
      <c r="W129" s="368"/>
      <c r="X129" s="368"/>
      <c r="Y129" s="368"/>
      <c r="Z129" s="368"/>
      <c r="AA129" s="368"/>
      <c r="AB129" s="368"/>
      <c r="AC129" s="368"/>
      <c r="AD129" s="368"/>
      <c r="AE129" s="368"/>
      <c r="AF129" s="368"/>
      <c r="AG129" s="368"/>
      <c r="AH129" s="368"/>
      <c r="AI129" s="368"/>
      <c r="AJ129" s="368"/>
      <c r="AK129" s="368"/>
      <c r="AL129" s="368"/>
      <c r="AM129" s="368"/>
      <c r="AN129" s="369"/>
    </row>
    <row r="130" spans="1:40" ht="15.75" customHeight="1" x14ac:dyDescent="0.25">
      <c r="A130" s="334"/>
      <c r="B130" s="336"/>
      <c r="C130" s="370"/>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5"/>
      <c r="AK130" s="335"/>
      <c r="AL130" s="335"/>
      <c r="AM130" s="335"/>
      <c r="AN130" s="371"/>
    </row>
    <row r="131" spans="1:40" ht="15.75" customHeight="1" x14ac:dyDescent="0.25">
      <c r="A131" s="334"/>
      <c r="B131" s="336"/>
      <c r="C131" s="370"/>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71"/>
    </row>
    <row r="132" spans="1:40" ht="15.75" customHeight="1" x14ac:dyDescent="0.25">
      <c r="A132" s="334"/>
      <c r="B132" s="336"/>
      <c r="C132" s="370"/>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c r="AA132" s="335"/>
      <c r="AB132" s="335"/>
      <c r="AC132" s="335"/>
      <c r="AD132" s="335"/>
      <c r="AE132" s="335"/>
      <c r="AF132" s="335"/>
      <c r="AG132" s="335"/>
      <c r="AH132" s="335"/>
      <c r="AI132" s="335"/>
      <c r="AJ132" s="335"/>
      <c r="AK132" s="335"/>
      <c r="AL132" s="335"/>
      <c r="AM132" s="335"/>
      <c r="AN132" s="371"/>
    </row>
    <row r="133" spans="1:40" ht="15.75" customHeight="1" x14ac:dyDescent="0.25">
      <c r="A133" s="422"/>
      <c r="B133" s="423"/>
      <c r="C133" s="425"/>
      <c r="D133" s="426"/>
      <c r="E133" s="426"/>
      <c r="F133" s="426"/>
      <c r="G133" s="426"/>
      <c r="H133" s="426"/>
      <c r="I133" s="426"/>
      <c r="J133" s="426"/>
      <c r="K133" s="426"/>
      <c r="L133" s="426"/>
      <c r="M133" s="426"/>
      <c r="N133" s="426"/>
      <c r="O133" s="426"/>
      <c r="P133" s="426"/>
      <c r="Q133" s="426"/>
      <c r="R133" s="426"/>
      <c r="S133" s="426"/>
      <c r="T133" s="426"/>
      <c r="U133" s="426"/>
      <c r="V133" s="426"/>
      <c r="W133" s="426"/>
      <c r="X133" s="426"/>
      <c r="Y133" s="426"/>
      <c r="Z133" s="426"/>
      <c r="AA133" s="426"/>
      <c r="AB133" s="426"/>
      <c r="AC133" s="426"/>
      <c r="AD133" s="426"/>
      <c r="AE133" s="426"/>
      <c r="AF133" s="426"/>
      <c r="AG133" s="426"/>
      <c r="AH133" s="426"/>
      <c r="AI133" s="426"/>
      <c r="AJ133" s="426"/>
      <c r="AK133" s="426"/>
      <c r="AL133" s="426"/>
      <c r="AM133" s="426"/>
      <c r="AN133" s="427"/>
    </row>
    <row r="134" spans="1:40" ht="30" customHeight="1" x14ac:dyDescent="0.25">
      <c r="A134" s="418" t="s">
        <v>318</v>
      </c>
      <c r="B134" s="348"/>
      <c r="C134" s="419" t="s">
        <v>301</v>
      </c>
      <c r="D134" s="347"/>
      <c r="E134" s="347"/>
      <c r="F134" s="347"/>
      <c r="G134" s="347"/>
      <c r="H134" s="347"/>
      <c r="I134" s="347"/>
      <c r="J134" s="347"/>
      <c r="K134" s="347"/>
      <c r="L134" s="347"/>
      <c r="M134" s="347"/>
      <c r="N134" s="347"/>
      <c r="O134" s="347"/>
      <c r="P134" s="347"/>
      <c r="Q134" s="347"/>
      <c r="R134" s="347"/>
      <c r="S134" s="347"/>
      <c r="T134" s="347"/>
      <c r="U134" s="347"/>
      <c r="V134" s="347"/>
      <c r="W134" s="347"/>
      <c r="X134" s="347"/>
      <c r="Y134" s="347"/>
      <c r="Z134" s="347"/>
      <c r="AA134" s="347"/>
      <c r="AB134" s="347"/>
      <c r="AC134" s="347"/>
      <c r="AD134" s="347"/>
      <c r="AE134" s="347"/>
      <c r="AF134" s="347"/>
      <c r="AG134" s="347"/>
      <c r="AH134" s="347"/>
      <c r="AI134" s="347"/>
      <c r="AJ134" s="347"/>
      <c r="AK134" s="347"/>
      <c r="AL134" s="347"/>
      <c r="AM134" s="347"/>
      <c r="AN134" s="354"/>
    </row>
    <row r="135" spans="1:40" ht="15.75" customHeight="1" x14ac:dyDescent="0.25">
      <c r="A135" s="420" t="s">
        <v>312</v>
      </c>
      <c r="B135" s="421"/>
      <c r="C135" s="448" t="s">
        <v>303</v>
      </c>
      <c r="D135" s="368"/>
      <c r="E135" s="368"/>
      <c r="F135" s="368"/>
      <c r="G135" s="368"/>
      <c r="H135" s="368"/>
      <c r="I135" s="368"/>
      <c r="J135" s="368"/>
      <c r="K135" s="368"/>
      <c r="L135" s="368"/>
      <c r="M135" s="368"/>
      <c r="N135" s="368"/>
      <c r="O135" s="368"/>
      <c r="P135" s="368"/>
      <c r="Q135" s="368"/>
      <c r="R135" s="368"/>
      <c r="S135" s="368"/>
      <c r="T135" s="368"/>
      <c r="U135" s="368"/>
      <c r="V135" s="368"/>
      <c r="W135" s="368"/>
      <c r="X135" s="368"/>
      <c r="Y135" s="368"/>
      <c r="Z135" s="368"/>
      <c r="AA135" s="368"/>
      <c r="AB135" s="368"/>
      <c r="AC135" s="368"/>
      <c r="AD135" s="368"/>
      <c r="AE135" s="368"/>
      <c r="AF135" s="368"/>
      <c r="AG135" s="368"/>
      <c r="AH135" s="368"/>
      <c r="AI135" s="368"/>
      <c r="AJ135" s="368"/>
      <c r="AK135" s="368"/>
      <c r="AL135" s="368"/>
      <c r="AM135" s="368"/>
      <c r="AN135" s="369"/>
    </row>
    <row r="136" spans="1:40" ht="15.75" customHeight="1" x14ac:dyDescent="0.25">
      <c r="A136" s="334"/>
      <c r="B136" s="336"/>
      <c r="C136" s="370"/>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5"/>
      <c r="AJ136" s="335"/>
      <c r="AK136" s="335"/>
      <c r="AL136" s="335"/>
      <c r="AM136" s="335"/>
      <c r="AN136" s="371"/>
    </row>
    <row r="137" spans="1:40" ht="15.75" customHeight="1" x14ac:dyDescent="0.25">
      <c r="A137" s="334"/>
      <c r="B137" s="336"/>
      <c r="C137" s="370"/>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35"/>
      <c r="AA137" s="335"/>
      <c r="AB137" s="335"/>
      <c r="AC137" s="335"/>
      <c r="AD137" s="335"/>
      <c r="AE137" s="335"/>
      <c r="AF137" s="335"/>
      <c r="AG137" s="335"/>
      <c r="AH137" s="335"/>
      <c r="AI137" s="335"/>
      <c r="AJ137" s="335"/>
      <c r="AK137" s="335"/>
      <c r="AL137" s="335"/>
      <c r="AM137" s="335"/>
      <c r="AN137" s="371"/>
    </row>
    <row r="138" spans="1:40" ht="15.75" customHeight="1" x14ac:dyDescent="0.25">
      <c r="A138" s="334"/>
      <c r="B138" s="336"/>
      <c r="C138" s="370"/>
      <c r="D138" s="335"/>
      <c r="E138" s="335"/>
      <c r="F138" s="335"/>
      <c r="G138" s="335"/>
      <c r="H138" s="335"/>
      <c r="I138" s="335"/>
      <c r="J138" s="335"/>
      <c r="K138" s="335"/>
      <c r="L138" s="335"/>
      <c r="M138" s="335"/>
      <c r="N138" s="335"/>
      <c r="O138" s="335"/>
      <c r="P138" s="335"/>
      <c r="Q138" s="335"/>
      <c r="R138" s="335"/>
      <c r="S138" s="335"/>
      <c r="T138" s="335"/>
      <c r="U138" s="335"/>
      <c r="V138" s="335"/>
      <c r="W138" s="335"/>
      <c r="X138" s="335"/>
      <c r="Y138" s="335"/>
      <c r="Z138" s="335"/>
      <c r="AA138" s="335"/>
      <c r="AB138" s="335"/>
      <c r="AC138" s="335"/>
      <c r="AD138" s="335"/>
      <c r="AE138" s="335"/>
      <c r="AF138" s="335"/>
      <c r="AG138" s="335"/>
      <c r="AH138" s="335"/>
      <c r="AI138" s="335"/>
      <c r="AJ138" s="335"/>
      <c r="AK138" s="335"/>
      <c r="AL138" s="335"/>
      <c r="AM138" s="335"/>
      <c r="AN138" s="371"/>
    </row>
    <row r="139" spans="1:40" ht="15.75" customHeight="1" x14ac:dyDescent="0.25">
      <c r="A139" s="422"/>
      <c r="B139" s="423"/>
      <c r="C139" s="425"/>
      <c r="D139" s="426"/>
      <c r="E139" s="426"/>
      <c r="F139" s="426"/>
      <c r="G139" s="426"/>
      <c r="H139" s="426"/>
      <c r="I139" s="426"/>
      <c r="J139" s="426"/>
      <c r="K139" s="426"/>
      <c r="L139" s="426"/>
      <c r="M139" s="426"/>
      <c r="N139" s="426"/>
      <c r="O139" s="426"/>
      <c r="P139" s="426"/>
      <c r="Q139" s="426"/>
      <c r="R139" s="426"/>
      <c r="S139" s="426"/>
      <c r="T139" s="426"/>
      <c r="U139" s="426"/>
      <c r="V139" s="426"/>
      <c r="W139" s="426"/>
      <c r="X139" s="426"/>
      <c r="Y139" s="426"/>
      <c r="Z139" s="426"/>
      <c r="AA139" s="426"/>
      <c r="AB139" s="426"/>
      <c r="AC139" s="426"/>
      <c r="AD139" s="426"/>
      <c r="AE139" s="426"/>
      <c r="AF139" s="426"/>
      <c r="AG139" s="426"/>
      <c r="AH139" s="426"/>
      <c r="AI139" s="426"/>
      <c r="AJ139" s="426"/>
      <c r="AK139" s="426"/>
      <c r="AL139" s="426"/>
      <c r="AM139" s="426"/>
      <c r="AN139" s="427"/>
    </row>
    <row r="140" spans="1:40" ht="30" customHeight="1" x14ac:dyDescent="0.25">
      <c r="A140" s="428" t="s">
        <v>318</v>
      </c>
      <c r="B140" s="348"/>
      <c r="C140" s="419" t="s">
        <v>301</v>
      </c>
      <c r="D140" s="347"/>
      <c r="E140" s="347"/>
      <c r="F140" s="347"/>
      <c r="G140" s="347"/>
      <c r="H140" s="347"/>
      <c r="I140" s="347"/>
      <c r="J140" s="347"/>
      <c r="K140" s="347"/>
      <c r="L140" s="347"/>
      <c r="M140" s="347"/>
      <c r="N140" s="347"/>
      <c r="O140" s="347"/>
      <c r="P140" s="347"/>
      <c r="Q140" s="347"/>
      <c r="R140" s="347"/>
      <c r="S140" s="347"/>
      <c r="T140" s="347"/>
      <c r="U140" s="347"/>
      <c r="V140" s="347"/>
      <c r="W140" s="347"/>
      <c r="X140" s="347"/>
      <c r="Y140" s="347"/>
      <c r="Z140" s="347"/>
      <c r="AA140" s="347"/>
      <c r="AB140" s="347"/>
      <c r="AC140" s="347"/>
      <c r="AD140" s="347"/>
      <c r="AE140" s="347"/>
      <c r="AF140" s="347"/>
      <c r="AG140" s="347"/>
      <c r="AH140" s="347"/>
      <c r="AI140" s="347"/>
      <c r="AJ140" s="347"/>
      <c r="AK140" s="347"/>
      <c r="AL140" s="347"/>
      <c r="AM140" s="347"/>
      <c r="AN140" s="354"/>
    </row>
    <row r="141" spans="1:40" ht="15.75" customHeight="1" x14ac:dyDescent="0.25">
      <c r="A141" s="429" t="s">
        <v>313</v>
      </c>
      <c r="B141" s="421"/>
      <c r="C141" s="430" t="s">
        <v>303</v>
      </c>
      <c r="D141" s="368"/>
      <c r="E141" s="368"/>
      <c r="F141" s="368"/>
      <c r="G141" s="368"/>
      <c r="H141" s="368"/>
      <c r="I141" s="368"/>
      <c r="J141" s="368"/>
      <c r="K141" s="368"/>
      <c r="L141" s="368"/>
      <c r="M141" s="368"/>
      <c r="N141" s="368"/>
      <c r="O141" s="368"/>
      <c r="P141" s="368"/>
      <c r="Q141" s="368"/>
      <c r="R141" s="368"/>
      <c r="S141" s="368"/>
      <c r="T141" s="368"/>
      <c r="U141" s="368"/>
      <c r="V141" s="368"/>
      <c r="W141" s="368"/>
      <c r="X141" s="368"/>
      <c r="Y141" s="368"/>
      <c r="Z141" s="368"/>
      <c r="AA141" s="368"/>
      <c r="AB141" s="368"/>
      <c r="AC141" s="368"/>
      <c r="AD141" s="368"/>
      <c r="AE141" s="368"/>
      <c r="AF141" s="368"/>
      <c r="AG141" s="368"/>
      <c r="AH141" s="368"/>
      <c r="AI141" s="368"/>
      <c r="AJ141" s="368"/>
      <c r="AK141" s="368"/>
      <c r="AL141" s="368"/>
      <c r="AM141" s="368"/>
      <c r="AN141" s="369"/>
    </row>
    <row r="142" spans="1:40" ht="15.75" customHeight="1" x14ac:dyDescent="0.25">
      <c r="A142" s="334"/>
      <c r="B142" s="336"/>
      <c r="C142" s="370"/>
      <c r="D142" s="335"/>
      <c r="E142" s="335"/>
      <c r="F142" s="335"/>
      <c r="G142" s="335"/>
      <c r="H142" s="335"/>
      <c r="I142" s="335"/>
      <c r="J142" s="335"/>
      <c r="K142" s="335"/>
      <c r="L142" s="335"/>
      <c r="M142" s="335"/>
      <c r="N142" s="335"/>
      <c r="O142" s="335"/>
      <c r="P142" s="335"/>
      <c r="Q142" s="335"/>
      <c r="R142" s="335"/>
      <c r="S142" s="335"/>
      <c r="T142" s="335"/>
      <c r="U142" s="335"/>
      <c r="V142" s="335"/>
      <c r="W142" s="335"/>
      <c r="X142" s="335"/>
      <c r="Y142" s="335"/>
      <c r="Z142" s="335"/>
      <c r="AA142" s="335"/>
      <c r="AB142" s="335"/>
      <c r="AC142" s="335"/>
      <c r="AD142" s="335"/>
      <c r="AE142" s="335"/>
      <c r="AF142" s="335"/>
      <c r="AG142" s="335"/>
      <c r="AH142" s="335"/>
      <c r="AI142" s="335"/>
      <c r="AJ142" s="335"/>
      <c r="AK142" s="335"/>
      <c r="AL142" s="335"/>
      <c r="AM142" s="335"/>
      <c r="AN142" s="371"/>
    </row>
    <row r="143" spans="1:40" ht="15.75" customHeight="1" x14ac:dyDescent="0.25">
      <c r="A143" s="334"/>
      <c r="B143" s="336"/>
      <c r="C143" s="370"/>
      <c r="D143" s="335"/>
      <c r="E143" s="335"/>
      <c r="F143" s="335"/>
      <c r="G143" s="335"/>
      <c r="H143" s="335"/>
      <c r="I143" s="335"/>
      <c r="J143" s="335"/>
      <c r="K143" s="335"/>
      <c r="L143" s="335"/>
      <c r="M143" s="335"/>
      <c r="N143" s="335"/>
      <c r="O143" s="335"/>
      <c r="P143" s="335"/>
      <c r="Q143" s="335"/>
      <c r="R143" s="335"/>
      <c r="S143" s="335"/>
      <c r="T143" s="335"/>
      <c r="U143" s="335"/>
      <c r="V143" s="335"/>
      <c r="W143" s="335"/>
      <c r="X143" s="335"/>
      <c r="Y143" s="335"/>
      <c r="Z143" s="335"/>
      <c r="AA143" s="335"/>
      <c r="AB143" s="335"/>
      <c r="AC143" s="335"/>
      <c r="AD143" s="335"/>
      <c r="AE143" s="335"/>
      <c r="AF143" s="335"/>
      <c r="AG143" s="335"/>
      <c r="AH143" s="335"/>
      <c r="AI143" s="335"/>
      <c r="AJ143" s="335"/>
      <c r="AK143" s="335"/>
      <c r="AL143" s="335"/>
      <c r="AM143" s="335"/>
      <c r="AN143" s="371"/>
    </row>
    <row r="144" spans="1:40" ht="15.75" customHeight="1" x14ac:dyDescent="0.25">
      <c r="A144" s="334"/>
      <c r="B144" s="336"/>
      <c r="C144" s="370"/>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c r="AA144" s="335"/>
      <c r="AB144" s="335"/>
      <c r="AC144" s="335"/>
      <c r="AD144" s="335"/>
      <c r="AE144" s="335"/>
      <c r="AF144" s="335"/>
      <c r="AG144" s="335"/>
      <c r="AH144" s="335"/>
      <c r="AI144" s="335"/>
      <c r="AJ144" s="335"/>
      <c r="AK144" s="335"/>
      <c r="AL144" s="335"/>
      <c r="AM144" s="335"/>
      <c r="AN144" s="371"/>
    </row>
    <row r="145" spans="1:40" ht="15.75" customHeight="1" x14ac:dyDescent="0.25">
      <c r="A145" s="422"/>
      <c r="B145" s="423"/>
      <c r="C145" s="425"/>
      <c r="D145" s="426"/>
      <c r="E145" s="426"/>
      <c r="F145" s="426"/>
      <c r="G145" s="426"/>
      <c r="H145" s="426"/>
      <c r="I145" s="426"/>
      <c r="J145" s="426"/>
      <c r="K145" s="426"/>
      <c r="L145" s="426"/>
      <c r="M145" s="426"/>
      <c r="N145" s="426"/>
      <c r="O145" s="426"/>
      <c r="P145" s="426"/>
      <c r="Q145" s="426"/>
      <c r="R145" s="426"/>
      <c r="S145" s="426"/>
      <c r="T145" s="426"/>
      <c r="U145" s="426"/>
      <c r="V145" s="426"/>
      <c r="W145" s="426"/>
      <c r="X145" s="426"/>
      <c r="Y145" s="426"/>
      <c r="Z145" s="426"/>
      <c r="AA145" s="426"/>
      <c r="AB145" s="426"/>
      <c r="AC145" s="426"/>
      <c r="AD145" s="426"/>
      <c r="AE145" s="426"/>
      <c r="AF145" s="426"/>
      <c r="AG145" s="426"/>
      <c r="AH145" s="426"/>
      <c r="AI145" s="426"/>
      <c r="AJ145" s="426"/>
      <c r="AK145" s="426"/>
      <c r="AL145" s="426"/>
      <c r="AM145" s="426"/>
      <c r="AN145" s="427"/>
    </row>
    <row r="146" spans="1:40" ht="30" customHeight="1" x14ac:dyDescent="0.25">
      <c r="A146" s="418" t="s">
        <v>318</v>
      </c>
      <c r="B146" s="348"/>
      <c r="C146" s="419" t="s">
        <v>301</v>
      </c>
      <c r="D146" s="347"/>
      <c r="E146" s="347"/>
      <c r="F146" s="347"/>
      <c r="G146" s="347"/>
      <c r="H146" s="347"/>
      <c r="I146" s="347"/>
      <c r="J146" s="347"/>
      <c r="K146" s="347"/>
      <c r="L146" s="347"/>
      <c r="M146" s="347"/>
      <c r="N146" s="347"/>
      <c r="O146" s="347"/>
      <c r="P146" s="347"/>
      <c r="Q146" s="347"/>
      <c r="R146" s="347"/>
      <c r="S146" s="347"/>
      <c r="T146" s="347"/>
      <c r="U146" s="347"/>
      <c r="V146" s="347"/>
      <c r="W146" s="347"/>
      <c r="X146" s="347"/>
      <c r="Y146" s="347"/>
      <c r="Z146" s="347"/>
      <c r="AA146" s="347"/>
      <c r="AB146" s="347"/>
      <c r="AC146" s="347"/>
      <c r="AD146" s="347"/>
      <c r="AE146" s="347"/>
      <c r="AF146" s="347"/>
      <c r="AG146" s="347"/>
      <c r="AH146" s="347"/>
      <c r="AI146" s="347"/>
      <c r="AJ146" s="347"/>
      <c r="AK146" s="347"/>
      <c r="AL146" s="347"/>
      <c r="AM146" s="347"/>
      <c r="AN146" s="354"/>
    </row>
    <row r="147" spans="1:40" ht="15.75" customHeight="1" x14ac:dyDescent="0.25">
      <c r="A147" s="420" t="s">
        <v>314</v>
      </c>
      <c r="B147" s="421"/>
      <c r="C147" s="424" t="s">
        <v>303</v>
      </c>
      <c r="D147" s="368"/>
      <c r="E147" s="368"/>
      <c r="F147" s="368"/>
      <c r="G147" s="368"/>
      <c r="H147" s="368"/>
      <c r="I147" s="368"/>
      <c r="J147" s="368"/>
      <c r="K147" s="368"/>
      <c r="L147" s="368"/>
      <c r="M147" s="368"/>
      <c r="N147" s="368"/>
      <c r="O147" s="368"/>
      <c r="P147" s="368"/>
      <c r="Q147" s="368"/>
      <c r="R147" s="368"/>
      <c r="S147" s="368"/>
      <c r="T147" s="368"/>
      <c r="U147" s="368"/>
      <c r="V147" s="368"/>
      <c r="W147" s="368"/>
      <c r="X147" s="368"/>
      <c r="Y147" s="368"/>
      <c r="Z147" s="368"/>
      <c r="AA147" s="368"/>
      <c r="AB147" s="368"/>
      <c r="AC147" s="368"/>
      <c r="AD147" s="368"/>
      <c r="AE147" s="368"/>
      <c r="AF147" s="368"/>
      <c r="AG147" s="368"/>
      <c r="AH147" s="368"/>
      <c r="AI147" s="368"/>
      <c r="AJ147" s="368"/>
      <c r="AK147" s="368"/>
      <c r="AL147" s="368"/>
      <c r="AM147" s="368"/>
      <c r="AN147" s="369"/>
    </row>
    <row r="148" spans="1:40" ht="15.75" customHeight="1" x14ac:dyDescent="0.25">
      <c r="A148" s="334"/>
      <c r="B148" s="336"/>
      <c r="C148" s="370"/>
      <c r="D148" s="335"/>
      <c r="E148" s="335"/>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c r="AI148" s="335"/>
      <c r="AJ148" s="335"/>
      <c r="AK148" s="335"/>
      <c r="AL148" s="335"/>
      <c r="AM148" s="335"/>
      <c r="AN148" s="371"/>
    </row>
    <row r="149" spans="1:40" ht="15.75" customHeight="1" x14ac:dyDescent="0.25">
      <c r="A149" s="334"/>
      <c r="B149" s="336"/>
      <c r="C149" s="370"/>
      <c r="D149" s="335"/>
      <c r="E149" s="335"/>
      <c r="F149" s="335"/>
      <c r="G149" s="335"/>
      <c r="H149" s="335"/>
      <c r="I149" s="335"/>
      <c r="J149" s="335"/>
      <c r="K149" s="335"/>
      <c r="L149" s="335"/>
      <c r="M149" s="335"/>
      <c r="N149" s="335"/>
      <c r="O149" s="335"/>
      <c r="P149" s="335"/>
      <c r="Q149" s="335"/>
      <c r="R149" s="335"/>
      <c r="S149" s="335"/>
      <c r="T149" s="335"/>
      <c r="U149" s="335"/>
      <c r="V149" s="335"/>
      <c r="W149" s="335"/>
      <c r="X149" s="335"/>
      <c r="Y149" s="335"/>
      <c r="Z149" s="335"/>
      <c r="AA149" s="335"/>
      <c r="AB149" s="335"/>
      <c r="AC149" s="335"/>
      <c r="AD149" s="335"/>
      <c r="AE149" s="335"/>
      <c r="AF149" s="335"/>
      <c r="AG149" s="335"/>
      <c r="AH149" s="335"/>
      <c r="AI149" s="335"/>
      <c r="AJ149" s="335"/>
      <c r="AK149" s="335"/>
      <c r="AL149" s="335"/>
      <c r="AM149" s="335"/>
      <c r="AN149" s="371"/>
    </row>
    <row r="150" spans="1:40" ht="15.75" customHeight="1" x14ac:dyDescent="0.25">
      <c r="A150" s="334"/>
      <c r="B150" s="336"/>
      <c r="C150" s="370"/>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35"/>
      <c r="AI150" s="335"/>
      <c r="AJ150" s="335"/>
      <c r="AK150" s="335"/>
      <c r="AL150" s="335"/>
      <c r="AM150" s="335"/>
      <c r="AN150" s="371"/>
    </row>
    <row r="151" spans="1:40" ht="15.75" customHeight="1" x14ac:dyDescent="0.25">
      <c r="A151" s="422"/>
      <c r="B151" s="423"/>
      <c r="C151" s="425"/>
      <c r="D151" s="426"/>
      <c r="E151" s="426"/>
      <c r="F151" s="426"/>
      <c r="G151" s="426"/>
      <c r="H151" s="426"/>
      <c r="I151" s="426"/>
      <c r="J151" s="426"/>
      <c r="K151" s="426"/>
      <c r="L151" s="426"/>
      <c r="M151" s="426"/>
      <c r="N151" s="426"/>
      <c r="O151" s="426"/>
      <c r="P151" s="426"/>
      <c r="Q151" s="426"/>
      <c r="R151" s="426"/>
      <c r="S151" s="426"/>
      <c r="T151" s="426"/>
      <c r="U151" s="426"/>
      <c r="V151" s="426"/>
      <c r="W151" s="426"/>
      <c r="X151" s="426"/>
      <c r="Y151" s="426"/>
      <c r="Z151" s="426"/>
      <c r="AA151" s="426"/>
      <c r="AB151" s="426"/>
      <c r="AC151" s="426"/>
      <c r="AD151" s="426"/>
      <c r="AE151" s="426"/>
      <c r="AF151" s="426"/>
      <c r="AG151" s="426"/>
      <c r="AH151" s="426"/>
      <c r="AI151" s="426"/>
      <c r="AJ151" s="426"/>
      <c r="AK151" s="426"/>
      <c r="AL151" s="426"/>
      <c r="AM151" s="426"/>
      <c r="AN151" s="427"/>
    </row>
    <row r="152" spans="1:40" ht="30" customHeight="1" x14ac:dyDescent="0.25">
      <c r="A152" s="428" t="s">
        <v>318</v>
      </c>
      <c r="B152" s="348"/>
      <c r="C152" s="419" t="s">
        <v>301</v>
      </c>
      <c r="D152" s="347"/>
      <c r="E152" s="347"/>
      <c r="F152" s="347"/>
      <c r="G152" s="347"/>
      <c r="H152" s="347"/>
      <c r="I152" s="347"/>
      <c r="J152" s="347"/>
      <c r="K152" s="347"/>
      <c r="L152" s="347"/>
      <c r="M152" s="347"/>
      <c r="N152" s="347"/>
      <c r="O152" s="347"/>
      <c r="P152" s="347"/>
      <c r="Q152" s="347"/>
      <c r="R152" s="347"/>
      <c r="S152" s="347"/>
      <c r="T152" s="347"/>
      <c r="U152" s="347"/>
      <c r="V152" s="347"/>
      <c r="W152" s="347"/>
      <c r="X152" s="347"/>
      <c r="Y152" s="347"/>
      <c r="Z152" s="347"/>
      <c r="AA152" s="347"/>
      <c r="AB152" s="347"/>
      <c r="AC152" s="347"/>
      <c r="AD152" s="347"/>
      <c r="AE152" s="347"/>
      <c r="AF152" s="347"/>
      <c r="AG152" s="347"/>
      <c r="AH152" s="347"/>
      <c r="AI152" s="347"/>
      <c r="AJ152" s="347"/>
      <c r="AK152" s="347"/>
      <c r="AL152" s="347"/>
      <c r="AM152" s="347"/>
      <c r="AN152" s="354"/>
    </row>
    <row r="153" spans="1:40" ht="15.75" customHeight="1" x14ac:dyDescent="0.25">
      <c r="A153" s="429" t="s">
        <v>315</v>
      </c>
      <c r="B153" s="421"/>
      <c r="C153" s="430" t="s">
        <v>303</v>
      </c>
      <c r="D153" s="368"/>
      <c r="E153" s="368"/>
      <c r="F153" s="368"/>
      <c r="G153" s="368"/>
      <c r="H153" s="368"/>
      <c r="I153" s="368"/>
      <c r="J153" s="368"/>
      <c r="K153" s="368"/>
      <c r="L153" s="368"/>
      <c r="M153" s="368"/>
      <c r="N153" s="368"/>
      <c r="O153" s="368"/>
      <c r="P153" s="368"/>
      <c r="Q153" s="368"/>
      <c r="R153" s="368"/>
      <c r="S153" s="368"/>
      <c r="T153" s="368"/>
      <c r="U153" s="368"/>
      <c r="V153" s="368"/>
      <c r="W153" s="368"/>
      <c r="X153" s="368"/>
      <c r="Y153" s="368"/>
      <c r="Z153" s="368"/>
      <c r="AA153" s="368"/>
      <c r="AB153" s="368"/>
      <c r="AC153" s="368"/>
      <c r="AD153" s="368"/>
      <c r="AE153" s="368"/>
      <c r="AF153" s="368"/>
      <c r="AG153" s="368"/>
      <c r="AH153" s="368"/>
      <c r="AI153" s="368"/>
      <c r="AJ153" s="368"/>
      <c r="AK153" s="368"/>
      <c r="AL153" s="368"/>
      <c r="AM153" s="368"/>
      <c r="AN153" s="369"/>
    </row>
    <row r="154" spans="1:40" ht="15.75" customHeight="1" x14ac:dyDescent="0.25">
      <c r="A154" s="334"/>
      <c r="B154" s="336"/>
      <c r="C154" s="370"/>
      <c r="D154" s="335"/>
      <c r="E154" s="335"/>
      <c r="F154" s="335"/>
      <c r="G154" s="335"/>
      <c r="H154" s="335"/>
      <c r="I154" s="335"/>
      <c r="J154" s="335"/>
      <c r="K154" s="335"/>
      <c r="L154" s="335"/>
      <c r="M154" s="335"/>
      <c r="N154" s="335"/>
      <c r="O154" s="335"/>
      <c r="P154" s="335"/>
      <c r="Q154" s="335"/>
      <c r="R154" s="335"/>
      <c r="S154" s="335"/>
      <c r="T154" s="335"/>
      <c r="U154" s="335"/>
      <c r="V154" s="335"/>
      <c r="W154" s="335"/>
      <c r="X154" s="335"/>
      <c r="Y154" s="335"/>
      <c r="Z154" s="335"/>
      <c r="AA154" s="335"/>
      <c r="AB154" s="335"/>
      <c r="AC154" s="335"/>
      <c r="AD154" s="335"/>
      <c r="AE154" s="335"/>
      <c r="AF154" s="335"/>
      <c r="AG154" s="335"/>
      <c r="AH154" s="335"/>
      <c r="AI154" s="335"/>
      <c r="AJ154" s="335"/>
      <c r="AK154" s="335"/>
      <c r="AL154" s="335"/>
      <c r="AM154" s="335"/>
      <c r="AN154" s="371"/>
    </row>
    <row r="155" spans="1:40" ht="15.75" customHeight="1" x14ac:dyDescent="0.25">
      <c r="A155" s="334"/>
      <c r="B155" s="336"/>
      <c r="C155" s="370"/>
      <c r="D155" s="335"/>
      <c r="E155" s="335"/>
      <c r="F155" s="335"/>
      <c r="G155" s="335"/>
      <c r="H155" s="335"/>
      <c r="I155" s="335"/>
      <c r="J155" s="335"/>
      <c r="K155" s="335"/>
      <c r="L155" s="335"/>
      <c r="M155" s="335"/>
      <c r="N155" s="335"/>
      <c r="O155" s="335"/>
      <c r="P155" s="335"/>
      <c r="Q155" s="335"/>
      <c r="R155" s="335"/>
      <c r="S155" s="335"/>
      <c r="T155" s="335"/>
      <c r="U155" s="335"/>
      <c r="V155" s="335"/>
      <c r="W155" s="335"/>
      <c r="X155" s="335"/>
      <c r="Y155" s="335"/>
      <c r="Z155" s="335"/>
      <c r="AA155" s="335"/>
      <c r="AB155" s="335"/>
      <c r="AC155" s="335"/>
      <c r="AD155" s="335"/>
      <c r="AE155" s="335"/>
      <c r="AF155" s="335"/>
      <c r="AG155" s="335"/>
      <c r="AH155" s="335"/>
      <c r="AI155" s="335"/>
      <c r="AJ155" s="335"/>
      <c r="AK155" s="335"/>
      <c r="AL155" s="335"/>
      <c r="AM155" s="335"/>
      <c r="AN155" s="371"/>
    </row>
    <row r="156" spans="1:40" ht="15.75" customHeight="1" x14ac:dyDescent="0.25">
      <c r="A156" s="334"/>
      <c r="B156" s="336"/>
      <c r="C156" s="370"/>
      <c r="D156" s="335"/>
      <c r="E156" s="335"/>
      <c r="F156" s="335"/>
      <c r="G156" s="335"/>
      <c r="H156" s="335"/>
      <c r="I156" s="335"/>
      <c r="J156" s="335"/>
      <c r="K156" s="335"/>
      <c r="L156" s="335"/>
      <c r="M156" s="335"/>
      <c r="N156" s="335"/>
      <c r="O156" s="335"/>
      <c r="P156" s="335"/>
      <c r="Q156" s="335"/>
      <c r="R156" s="335"/>
      <c r="S156" s="335"/>
      <c r="T156" s="335"/>
      <c r="U156" s="335"/>
      <c r="V156" s="335"/>
      <c r="W156" s="335"/>
      <c r="X156" s="335"/>
      <c r="Y156" s="335"/>
      <c r="Z156" s="335"/>
      <c r="AA156" s="335"/>
      <c r="AB156" s="335"/>
      <c r="AC156" s="335"/>
      <c r="AD156" s="335"/>
      <c r="AE156" s="335"/>
      <c r="AF156" s="335"/>
      <c r="AG156" s="335"/>
      <c r="AH156" s="335"/>
      <c r="AI156" s="335"/>
      <c r="AJ156" s="335"/>
      <c r="AK156" s="335"/>
      <c r="AL156" s="335"/>
      <c r="AM156" s="335"/>
      <c r="AN156" s="371"/>
    </row>
    <row r="157" spans="1:40" ht="15.75" customHeight="1" x14ac:dyDescent="0.25">
      <c r="A157" s="422"/>
      <c r="B157" s="423"/>
      <c r="C157" s="425"/>
      <c r="D157" s="426"/>
      <c r="E157" s="426"/>
      <c r="F157" s="426"/>
      <c r="G157" s="426"/>
      <c r="H157" s="426"/>
      <c r="I157" s="426"/>
      <c r="J157" s="426"/>
      <c r="K157" s="426"/>
      <c r="L157" s="426"/>
      <c r="M157" s="426"/>
      <c r="N157" s="426"/>
      <c r="O157" s="426"/>
      <c r="P157" s="426"/>
      <c r="Q157" s="426"/>
      <c r="R157" s="426"/>
      <c r="S157" s="426"/>
      <c r="T157" s="426"/>
      <c r="U157" s="426"/>
      <c r="V157" s="426"/>
      <c r="W157" s="426"/>
      <c r="X157" s="426"/>
      <c r="Y157" s="426"/>
      <c r="Z157" s="426"/>
      <c r="AA157" s="426"/>
      <c r="AB157" s="426"/>
      <c r="AC157" s="426"/>
      <c r="AD157" s="426"/>
      <c r="AE157" s="426"/>
      <c r="AF157" s="426"/>
      <c r="AG157" s="426"/>
      <c r="AH157" s="426"/>
      <c r="AI157" s="426"/>
      <c r="AJ157" s="426"/>
      <c r="AK157" s="426"/>
      <c r="AL157" s="426"/>
      <c r="AM157" s="426"/>
      <c r="AN157" s="427"/>
    </row>
    <row r="158" spans="1:40" ht="30" customHeight="1" x14ac:dyDescent="0.25">
      <c r="A158" s="418" t="s">
        <v>318</v>
      </c>
      <c r="B158" s="348"/>
      <c r="C158" s="419" t="s">
        <v>301</v>
      </c>
      <c r="D158" s="347"/>
      <c r="E158" s="347"/>
      <c r="F158" s="347"/>
      <c r="G158" s="347"/>
      <c r="H158" s="347"/>
      <c r="I158" s="347"/>
      <c r="J158" s="347"/>
      <c r="K158" s="347"/>
      <c r="L158" s="347"/>
      <c r="M158" s="347"/>
      <c r="N158" s="347"/>
      <c r="O158" s="347"/>
      <c r="P158" s="347"/>
      <c r="Q158" s="347"/>
      <c r="R158" s="347"/>
      <c r="S158" s="347"/>
      <c r="T158" s="347"/>
      <c r="U158" s="347"/>
      <c r="V158" s="347"/>
      <c r="W158" s="347"/>
      <c r="X158" s="347"/>
      <c r="Y158" s="347"/>
      <c r="Z158" s="347"/>
      <c r="AA158" s="347"/>
      <c r="AB158" s="347"/>
      <c r="AC158" s="347"/>
      <c r="AD158" s="347"/>
      <c r="AE158" s="347"/>
      <c r="AF158" s="347"/>
      <c r="AG158" s="347"/>
      <c r="AH158" s="347"/>
      <c r="AI158" s="347"/>
      <c r="AJ158" s="347"/>
      <c r="AK158" s="347"/>
      <c r="AL158" s="347"/>
      <c r="AM158" s="347"/>
      <c r="AN158" s="354"/>
    </row>
    <row r="159" spans="1:40" ht="15.75" customHeight="1" x14ac:dyDescent="0.25">
      <c r="A159" s="431" t="s">
        <v>316</v>
      </c>
      <c r="B159" s="421"/>
      <c r="C159" s="424" t="s">
        <v>303</v>
      </c>
      <c r="D159" s="368"/>
      <c r="E159" s="368"/>
      <c r="F159" s="368"/>
      <c r="G159" s="368"/>
      <c r="H159" s="368"/>
      <c r="I159" s="368"/>
      <c r="J159" s="368"/>
      <c r="K159" s="368"/>
      <c r="L159" s="368"/>
      <c r="M159" s="368"/>
      <c r="N159" s="368"/>
      <c r="O159" s="368"/>
      <c r="P159" s="368"/>
      <c r="Q159" s="368"/>
      <c r="R159" s="368"/>
      <c r="S159" s="368"/>
      <c r="T159" s="368"/>
      <c r="U159" s="368"/>
      <c r="V159" s="368"/>
      <c r="W159" s="368"/>
      <c r="X159" s="368"/>
      <c r="Y159" s="368"/>
      <c r="Z159" s="368"/>
      <c r="AA159" s="368"/>
      <c r="AB159" s="368"/>
      <c r="AC159" s="368"/>
      <c r="AD159" s="368"/>
      <c r="AE159" s="368"/>
      <c r="AF159" s="368"/>
      <c r="AG159" s="368"/>
      <c r="AH159" s="368"/>
      <c r="AI159" s="368"/>
      <c r="AJ159" s="368"/>
      <c r="AK159" s="368"/>
      <c r="AL159" s="368"/>
      <c r="AM159" s="368"/>
      <c r="AN159" s="369"/>
    </row>
    <row r="160" spans="1:40" ht="15.75" customHeight="1" x14ac:dyDescent="0.25">
      <c r="A160" s="334"/>
      <c r="B160" s="336"/>
      <c r="C160" s="370"/>
      <c r="D160" s="335"/>
      <c r="E160" s="335"/>
      <c r="F160" s="335"/>
      <c r="G160" s="335"/>
      <c r="H160" s="335"/>
      <c r="I160" s="335"/>
      <c r="J160" s="335"/>
      <c r="K160" s="335"/>
      <c r="L160" s="335"/>
      <c r="M160" s="335"/>
      <c r="N160" s="335"/>
      <c r="O160" s="335"/>
      <c r="P160" s="335"/>
      <c r="Q160" s="335"/>
      <c r="R160" s="335"/>
      <c r="S160" s="335"/>
      <c r="T160" s="335"/>
      <c r="U160" s="335"/>
      <c r="V160" s="335"/>
      <c r="W160" s="335"/>
      <c r="X160" s="335"/>
      <c r="Y160" s="335"/>
      <c r="Z160" s="335"/>
      <c r="AA160" s="335"/>
      <c r="AB160" s="335"/>
      <c r="AC160" s="335"/>
      <c r="AD160" s="335"/>
      <c r="AE160" s="335"/>
      <c r="AF160" s="335"/>
      <c r="AG160" s="335"/>
      <c r="AH160" s="335"/>
      <c r="AI160" s="335"/>
      <c r="AJ160" s="335"/>
      <c r="AK160" s="335"/>
      <c r="AL160" s="335"/>
      <c r="AM160" s="335"/>
      <c r="AN160" s="371"/>
    </row>
    <row r="161" spans="1:40" ht="15.75" customHeight="1" x14ac:dyDescent="0.25">
      <c r="A161" s="334"/>
      <c r="B161" s="336"/>
      <c r="C161" s="370"/>
      <c r="D161" s="335"/>
      <c r="E161" s="335"/>
      <c r="F161" s="335"/>
      <c r="G161" s="335"/>
      <c r="H161" s="335"/>
      <c r="I161" s="335"/>
      <c r="J161" s="335"/>
      <c r="K161" s="335"/>
      <c r="L161" s="335"/>
      <c r="M161" s="335"/>
      <c r="N161" s="335"/>
      <c r="O161" s="335"/>
      <c r="P161" s="335"/>
      <c r="Q161" s="335"/>
      <c r="R161" s="335"/>
      <c r="S161" s="335"/>
      <c r="T161" s="335"/>
      <c r="U161" s="335"/>
      <c r="V161" s="335"/>
      <c r="W161" s="335"/>
      <c r="X161" s="335"/>
      <c r="Y161" s="335"/>
      <c r="Z161" s="335"/>
      <c r="AA161" s="335"/>
      <c r="AB161" s="335"/>
      <c r="AC161" s="335"/>
      <c r="AD161" s="335"/>
      <c r="AE161" s="335"/>
      <c r="AF161" s="335"/>
      <c r="AG161" s="335"/>
      <c r="AH161" s="335"/>
      <c r="AI161" s="335"/>
      <c r="AJ161" s="335"/>
      <c r="AK161" s="335"/>
      <c r="AL161" s="335"/>
      <c r="AM161" s="335"/>
      <c r="AN161" s="371"/>
    </row>
    <row r="162" spans="1:40" ht="15.75" customHeight="1" x14ac:dyDescent="0.25">
      <c r="A162" s="334"/>
      <c r="B162" s="336"/>
      <c r="C162" s="370"/>
      <c r="D162" s="335"/>
      <c r="E162" s="335"/>
      <c r="F162" s="335"/>
      <c r="G162" s="335"/>
      <c r="H162" s="335"/>
      <c r="I162" s="335"/>
      <c r="J162" s="335"/>
      <c r="K162" s="335"/>
      <c r="L162" s="335"/>
      <c r="M162" s="335"/>
      <c r="N162" s="335"/>
      <c r="O162" s="335"/>
      <c r="P162" s="335"/>
      <c r="Q162" s="335"/>
      <c r="R162" s="335"/>
      <c r="S162" s="335"/>
      <c r="T162" s="335"/>
      <c r="U162" s="335"/>
      <c r="V162" s="335"/>
      <c r="W162" s="335"/>
      <c r="X162" s="335"/>
      <c r="Y162" s="335"/>
      <c r="Z162" s="335"/>
      <c r="AA162" s="335"/>
      <c r="AB162" s="335"/>
      <c r="AC162" s="335"/>
      <c r="AD162" s="335"/>
      <c r="AE162" s="335"/>
      <c r="AF162" s="335"/>
      <c r="AG162" s="335"/>
      <c r="AH162" s="335"/>
      <c r="AI162" s="335"/>
      <c r="AJ162" s="335"/>
      <c r="AK162" s="335"/>
      <c r="AL162" s="335"/>
      <c r="AM162" s="335"/>
      <c r="AN162" s="371"/>
    </row>
    <row r="163" spans="1:40" ht="15.75" customHeight="1" x14ac:dyDescent="0.25">
      <c r="A163" s="422"/>
      <c r="B163" s="423"/>
      <c r="C163" s="425"/>
      <c r="D163" s="426"/>
      <c r="E163" s="426"/>
      <c r="F163" s="426"/>
      <c r="G163" s="426"/>
      <c r="H163" s="426"/>
      <c r="I163" s="426"/>
      <c r="J163" s="426"/>
      <c r="K163" s="426"/>
      <c r="L163" s="426"/>
      <c r="M163" s="426"/>
      <c r="N163" s="426"/>
      <c r="O163" s="426"/>
      <c r="P163" s="426"/>
      <c r="Q163" s="426"/>
      <c r="R163" s="426"/>
      <c r="S163" s="426"/>
      <c r="T163" s="426"/>
      <c r="U163" s="426"/>
      <c r="V163" s="426"/>
      <c r="W163" s="426"/>
      <c r="X163" s="426"/>
      <c r="Y163" s="426"/>
      <c r="Z163" s="426"/>
      <c r="AA163" s="426"/>
      <c r="AB163" s="426"/>
      <c r="AC163" s="426"/>
      <c r="AD163" s="426"/>
      <c r="AE163" s="426"/>
      <c r="AF163" s="426"/>
      <c r="AG163" s="426"/>
      <c r="AH163" s="426"/>
      <c r="AI163" s="426"/>
      <c r="AJ163" s="426"/>
      <c r="AK163" s="426"/>
      <c r="AL163" s="426"/>
      <c r="AM163" s="426"/>
      <c r="AN163" s="427"/>
    </row>
    <row r="164" spans="1:40" ht="30" customHeight="1" x14ac:dyDescent="0.25">
      <c r="A164" s="428" t="s">
        <v>318</v>
      </c>
      <c r="B164" s="348"/>
      <c r="C164" s="419" t="s">
        <v>301</v>
      </c>
      <c r="D164" s="347"/>
      <c r="E164" s="347"/>
      <c r="F164" s="347"/>
      <c r="G164" s="347"/>
      <c r="H164" s="347"/>
      <c r="I164" s="347"/>
      <c r="J164" s="347"/>
      <c r="K164" s="347"/>
      <c r="L164" s="347"/>
      <c r="M164" s="347"/>
      <c r="N164" s="347"/>
      <c r="O164" s="347"/>
      <c r="P164" s="347"/>
      <c r="Q164" s="347"/>
      <c r="R164" s="347"/>
      <c r="S164" s="347"/>
      <c r="T164" s="347"/>
      <c r="U164" s="347"/>
      <c r="V164" s="347"/>
      <c r="W164" s="347"/>
      <c r="X164" s="347"/>
      <c r="Y164" s="347"/>
      <c r="Z164" s="347"/>
      <c r="AA164" s="347"/>
      <c r="AB164" s="347"/>
      <c r="AC164" s="347"/>
      <c r="AD164" s="347"/>
      <c r="AE164" s="347"/>
      <c r="AF164" s="347"/>
      <c r="AG164" s="347"/>
      <c r="AH164" s="347"/>
      <c r="AI164" s="347"/>
      <c r="AJ164" s="347"/>
      <c r="AK164" s="347"/>
      <c r="AL164" s="347"/>
      <c r="AM164" s="347"/>
      <c r="AN164" s="354"/>
    </row>
    <row r="165" spans="1:40" ht="15.75" customHeight="1" x14ac:dyDescent="0.25">
      <c r="A165" s="429" t="s">
        <v>317</v>
      </c>
      <c r="B165" s="421"/>
      <c r="C165" s="430" t="s">
        <v>303</v>
      </c>
      <c r="D165" s="368"/>
      <c r="E165" s="368"/>
      <c r="F165" s="368"/>
      <c r="G165" s="368"/>
      <c r="H165" s="368"/>
      <c r="I165" s="368"/>
      <c r="J165" s="368"/>
      <c r="K165" s="368"/>
      <c r="L165" s="368"/>
      <c r="M165" s="368"/>
      <c r="N165" s="368"/>
      <c r="O165" s="368"/>
      <c r="P165" s="368"/>
      <c r="Q165" s="368"/>
      <c r="R165" s="368"/>
      <c r="S165" s="368"/>
      <c r="T165" s="368"/>
      <c r="U165" s="368"/>
      <c r="V165" s="368"/>
      <c r="W165" s="368"/>
      <c r="X165" s="368"/>
      <c r="Y165" s="368"/>
      <c r="Z165" s="368"/>
      <c r="AA165" s="368"/>
      <c r="AB165" s="368"/>
      <c r="AC165" s="368"/>
      <c r="AD165" s="368"/>
      <c r="AE165" s="368"/>
      <c r="AF165" s="368"/>
      <c r="AG165" s="368"/>
      <c r="AH165" s="368"/>
      <c r="AI165" s="368"/>
      <c r="AJ165" s="368"/>
      <c r="AK165" s="368"/>
      <c r="AL165" s="368"/>
      <c r="AM165" s="368"/>
      <c r="AN165" s="369"/>
    </row>
    <row r="166" spans="1:40" ht="15.75" customHeight="1" x14ac:dyDescent="0.25">
      <c r="A166" s="334"/>
      <c r="B166" s="336"/>
      <c r="C166" s="370"/>
      <c r="D166" s="335"/>
      <c r="E166" s="335"/>
      <c r="F166" s="335"/>
      <c r="G166" s="335"/>
      <c r="H166" s="335"/>
      <c r="I166" s="335"/>
      <c r="J166" s="335"/>
      <c r="K166" s="335"/>
      <c r="L166" s="335"/>
      <c r="M166" s="335"/>
      <c r="N166" s="335"/>
      <c r="O166" s="335"/>
      <c r="P166" s="335"/>
      <c r="Q166" s="335"/>
      <c r="R166" s="335"/>
      <c r="S166" s="335"/>
      <c r="T166" s="335"/>
      <c r="U166" s="335"/>
      <c r="V166" s="335"/>
      <c r="W166" s="335"/>
      <c r="X166" s="335"/>
      <c r="Y166" s="335"/>
      <c r="Z166" s="335"/>
      <c r="AA166" s="335"/>
      <c r="AB166" s="335"/>
      <c r="AC166" s="335"/>
      <c r="AD166" s="335"/>
      <c r="AE166" s="335"/>
      <c r="AF166" s="335"/>
      <c r="AG166" s="335"/>
      <c r="AH166" s="335"/>
      <c r="AI166" s="335"/>
      <c r="AJ166" s="335"/>
      <c r="AK166" s="335"/>
      <c r="AL166" s="335"/>
      <c r="AM166" s="335"/>
      <c r="AN166" s="371"/>
    </row>
    <row r="167" spans="1:40" ht="15.75" customHeight="1" x14ac:dyDescent="0.25">
      <c r="A167" s="334"/>
      <c r="B167" s="336"/>
      <c r="C167" s="370"/>
      <c r="D167" s="335"/>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c r="AA167" s="335"/>
      <c r="AB167" s="335"/>
      <c r="AC167" s="335"/>
      <c r="AD167" s="335"/>
      <c r="AE167" s="335"/>
      <c r="AF167" s="335"/>
      <c r="AG167" s="335"/>
      <c r="AH167" s="335"/>
      <c r="AI167" s="335"/>
      <c r="AJ167" s="335"/>
      <c r="AK167" s="335"/>
      <c r="AL167" s="335"/>
      <c r="AM167" s="335"/>
      <c r="AN167" s="371"/>
    </row>
    <row r="168" spans="1:40" ht="15.75" customHeight="1" x14ac:dyDescent="0.25">
      <c r="A168" s="334"/>
      <c r="B168" s="336"/>
      <c r="C168" s="370"/>
      <c r="D168" s="335"/>
      <c r="E168" s="335"/>
      <c r="F168" s="335"/>
      <c r="G168" s="335"/>
      <c r="H168" s="335"/>
      <c r="I168" s="335"/>
      <c r="J168" s="335"/>
      <c r="K168" s="335"/>
      <c r="L168" s="335"/>
      <c r="M168" s="335"/>
      <c r="N168" s="335"/>
      <c r="O168" s="335"/>
      <c r="P168" s="335"/>
      <c r="Q168" s="335"/>
      <c r="R168" s="335"/>
      <c r="S168" s="335"/>
      <c r="T168" s="335"/>
      <c r="U168" s="335"/>
      <c r="V168" s="335"/>
      <c r="W168" s="335"/>
      <c r="X168" s="335"/>
      <c r="Y168" s="335"/>
      <c r="Z168" s="335"/>
      <c r="AA168" s="335"/>
      <c r="AB168" s="335"/>
      <c r="AC168" s="335"/>
      <c r="AD168" s="335"/>
      <c r="AE168" s="335"/>
      <c r="AF168" s="335"/>
      <c r="AG168" s="335"/>
      <c r="AH168" s="335"/>
      <c r="AI168" s="335"/>
      <c r="AJ168" s="335"/>
      <c r="AK168" s="335"/>
      <c r="AL168" s="335"/>
      <c r="AM168" s="335"/>
      <c r="AN168" s="371"/>
    </row>
    <row r="169" spans="1:40" ht="15.75" customHeight="1" x14ac:dyDescent="0.25">
      <c r="A169" s="422"/>
      <c r="B169" s="423"/>
      <c r="C169" s="425"/>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c r="AA169" s="426"/>
      <c r="AB169" s="426"/>
      <c r="AC169" s="426"/>
      <c r="AD169" s="426"/>
      <c r="AE169" s="426"/>
      <c r="AF169" s="426"/>
      <c r="AG169" s="426"/>
      <c r="AH169" s="426"/>
      <c r="AI169" s="426"/>
      <c r="AJ169" s="426"/>
      <c r="AK169" s="426"/>
      <c r="AL169" s="426"/>
      <c r="AM169" s="426"/>
      <c r="AN169" s="427"/>
    </row>
    <row r="170" spans="1:40" ht="15.75" customHeight="1" x14ac:dyDescent="0.25"/>
    <row r="171" spans="1:40" ht="15.75" customHeight="1" x14ac:dyDescent="0.25"/>
    <row r="172" spans="1:40" ht="15.75" customHeight="1" x14ac:dyDescent="0.25"/>
    <row r="173" spans="1:40" ht="15.75" customHeight="1" x14ac:dyDescent="0.25"/>
    <row r="174" spans="1:40" ht="15.75" customHeight="1" x14ac:dyDescent="0.25"/>
    <row r="175" spans="1:40" ht="15.75" customHeight="1" x14ac:dyDescent="0.25"/>
    <row r="176" spans="1:40"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14">
    <mergeCell ref="A117:B121"/>
    <mergeCell ref="C117:AN121"/>
    <mergeCell ref="C122:AN122"/>
    <mergeCell ref="A122:B122"/>
    <mergeCell ref="A140:B140"/>
    <mergeCell ref="C140:AN140"/>
    <mergeCell ref="C141:AN145"/>
    <mergeCell ref="A123:B127"/>
    <mergeCell ref="C123:AN127"/>
    <mergeCell ref="A128:B128"/>
    <mergeCell ref="C128:AN128"/>
    <mergeCell ref="A129:B133"/>
    <mergeCell ref="C129:AN133"/>
    <mergeCell ref="A134:B134"/>
    <mergeCell ref="C134:AN134"/>
    <mergeCell ref="A135:B139"/>
    <mergeCell ref="C135:AN139"/>
    <mergeCell ref="A141:B145"/>
    <mergeCell ref="A104:B104"/>
    <mergeCell ref="C104:AN104"/>
    <mergeCell ref="A105:B109"/>
    <mergeCell ref="C105:AN109"/>
    <mergeCell ref="A110:B110"/>
    <mergeCell ref="C110:AN110"/>
    <mergeCell ref="A111:B115"/>
    <mergeCell ref="C111:AN115"/>
    <mergeCell ref="A116:B116"/>
    <mergeCell ref="C116:AN116"/>
    <mergeCell ref="A87:B91"/>
    <mergeCell ref="C87:AN91"/>
    <mergeCell ref="A92:B92"/>
    <mergeCell ref="C92:AN92"/>
    <mergeCell ref="A93:B97"/>
    <mergeCell ref="C93:AN97"/>
    <mergeCell ref="A98:B98"/>
    <mergeCell ref="C98:AN98"/>
    <mergeCell ref="C99:AN103"/>
    <mergeCell ref="A99:B103"/>
    <mergeCell ref="A74:B74"/>
    <mergeCell ref="C74:AN74"/>
    <mergeCell ref="A75:B79"/>
    <mergeCell ref="C75:AN79"/>
    <mergeCell ref="C80:AN80"/>
    <mergeCell ref="A80:B80"/>
    <mergeCell ref="A81:B85"/>
    <mergeCell ref="C81:AN85"/>
    <mergeCell ref="A86:B86"/>
    <mergeCell ref="C86:AN86"/>
    <mergeCell ref="C57:AN61"/>
    <mergeCell ref="A57:B61"/>
    <mergeCell ref="A62:B62"/>
    <mergeCell ref="C62:AN62"/>
    <mergeCell ref="A63:B67"/>
    <mergeCell ref="C63:AN67"/>
    <mergeCell ref="A68:B68"/>
    <mergeCell ref="C68:AN68"/>
    <mergeCell ref="A69:B73"/>
    <mergeCell ref="C69:AN73"/>
    <mergeCell ref="A44:B44"/>
    <mergeCell ref="C44:AN44"/>
    <mergeCell ref="A45:B49"/>
    <mergeCell ref="C45:AN49"/>
    <mergeCell ref="A50:B50"/>
    <mergeCell ref="C50:AN50"/>
    <mergeCell ref="A51:B55"/>
    <mergeCell ref="C51:AN55"/>
    <mergeCell ref="A56:B56"/>
    <mergeCell ref="C56:AN56"/>
    <mergeCell ref="A164:B164"/>
    <mergeCell ref="A165:B169"/>
    <mergeCell ref="C165:AN169"/>
    <mergeCell ref="Z18:AC18"/>
    <mergeCell ref="AD18:AG18"/>
    <mergeCell ref="AH18:AN18"/>
    <mergeCell ref="C18:E18"/>
    <mergeCell ref="F18:I18"/>
    <mergeCell ref="J18:M18"/>
    <mergeCell ref="N18:S18"/>
    <mergeCell ref="U18:V18"/>
    <mergeCell ref="W18:Y18"/>
    <mergeCell ref="A19:AN19"/>
    <mergeCell ref="A18:B18"/>
    <mergeCell ref="A20:B20"/>
    <mergeCell ref="C20:AN20"/>
    <mergeCell ref="A21:B25"/>
    <mergeCell ref="C21:AN25"/>
    <mergeCell ref="A26:B26"/>
    <mergeCell ref="C26:AN26"/>
    <mergeCell ref="A27:B31"/>
    <mergeCell ref="C27:AN31"/>
    <mergeCell ref="A32:B32"/>
    <mergeCell ref="C32:AN32"/>
    <mergeCell ref="J10:M10"/>
    <mergeCell ref="N10:S10"/>
    <mergeCell ref="U10:V10"/>
    <mergeCell ref="W10:Y10"/>
    <mergeCell ref="Z10:AC10"/>
    <mergeCell ref="AD10:AG10"/>
    <mergeCell ref="AH10:AN10"/>
    <mergeCell ref="A6:G7"/>
    <mergeCell ref="A8:G8"/>
    <mergeCell ref="H8:O8"/>
    <mergeCell ref="P8:S8"/>
    <mergeCell ref="A10:B10"/>
    <mergeCell ref="C10:E10"/>
    <mergeCell ref="F10:I10"/>
    <mergeCell ref="A158:B158"/>
    <mergeCell ref="C158:AN158"/>
    <mergeCell ref="A159:B163"/>
    <mergeCell ref="C159:AN163"/>
    <mergeCell ref="C164:AN164"/>
    <mergeCell ref="A1:AN1"/>
    <mergeCell ref="A2:AN2"/>
    <mergeCell ref="A3:AK3"/>
    <mergeCell ref="A4:G4"/>
    <mergeCell ref="H4:S4"/>
    <mergeCell ref="U4:Y4"/>
    <mergeCell ref="Z4:AN4"/>
    <mergeCell ref="U6:Y6"/>
    <mergeCell ref="U7:Y7"/>
    <mergeCell ref="U8:Y8"/>
    <mergeCell ref="Z8:AN8"/>
    <mergeCell ref="A9:AK9"/>
    <mergeCell ref="A5:G5"/>
    <mergeCell ref="H5:S5"/>
    <mergeCell ref="U5:Y5"/>
    <mergeCell ref="Z5:AN5"/>
    <mergeCell ref="H6:S7"/>
    <mergeCell ref="Z6:AN6"/>
    <mergeCell ref="Z7:AN7"/>
    <mergeCell ref="A146:B146"/>
    <mergeCell ref="C146:AN146"/>
    <mergeCell ref="A147:B151"/>
    <mergeCell ref="C147:AN151"/>
    <mergeCell ref="A152:B152"/>
    <mergeCell ref="C152:AN152"/>
    <mergeCell ref="A153:B157"/>
    <mergeCell ref="C153:AN157"/>
    <mergeCell ref="Z17:AC17"/>
    <mergeCell ref="AD17:AG17"/>
    <mergeCell ref="AH17:AN17"/>
    <mergeCell ref="A17:B17"/>
    <mergeCell ref="C17:E17"/>
    <mergeCell ref="F17:I17"/>
    <mergeCell ref="J17:M17"/>
    <mergeCell ref="N17:S17"/>
    <mergeCell ref="U17:V17"/>
    <mergeCell ref="W17:Y17"/>
    <mergeCell ref="A33:B37"/>
    <mergeCell ref="C33:AN37"/>
    <mergeCell ref="C38:AN38"/>
    <mergeCell ref="A38:B38"/>
    <mergeCell ref="A39:B43"/>
    <mergeCell ref="C39:AN43"/>
    <mergeCell ref="Z16:AC16"/>
    <mergeCell ref="AD16:AG16"/>
    <mergeCell ref="AH16:AN16"/>
    <mergeCell ref="A16:B16"/>
    <mergeCell ref="C16:E16"/>
    <mergeCell ref="F16:I16"/>
    <mergeCell ref="J16:M16"/>
    <mergeCell ref="N16:S16"/>
    <mergeCell ref="U16:V16"/>
    <mergeCell ref="W16:Y16"/>
    <mergeCell ref="Z15:AC15"/>
    <mergeCell ref="AD15:AG15"/>
    <mergeCell ref="AH15:AN15"/>
    <mergeCell ref="A15:B15"/>
    <mergeCell ref="C15:E15"/>
    <mergeCell ref="F15:I15"/>
    <mergeCell ref="J15:M15"/>
    <mergeCell ref="N15:S15"/>
    <mergeCell ref="U15:V15"/>
    <mergeCell ref="W15:Y15"/>
    <mergeCell ref="Z14:AC14"/>
    <mergeCell ref="AD14:AG14"/>
    <mergeCell ref="AH14:AN14"/>
    <mergeCell ref="A14:B14"/>
    <mergeCell ref="C14:E14"/>
    <mergeCell ref="F14:I14"/>
    <mergeCell ref="J14:M14"/>
    <mergeCell ref="N14:S14"/>
    <mergeCell ref="U14:V14"/>
    <mergeCell ref="W14:Y14"/>
    <mergeCell ref="Z13:AC13"/>
    <mergeCell ref="AD13:AG13"/>
    <mergeCell ref="AH13:AN13"/>
    <mergeCell ref="A13:B13"/>
    <mergeCell ref="C13:E13"/>
    <mergeCell ref="F13:I13"/>
    <mergeCell ref="J13:M13"/>
    <mergeCell ref="N13:S13"/>
    <mergeCell ref="U13:V13"/>
    <mergeCell ref="W13:Y13"/>
    <mergeCell ref="Z12:AC12"/>
    <mergeCell ref="AD12:AG12"/>
    <mergeCell ref="AH12:AN12"/>
    <mergeCell ref="A12:B12"/>
    <mergeCell ref="C12:E12"/>
    <mergeCell ref="F12:I12"/>
    <mergeCell ref="J12:M12"/>
    <mergeCell ref="N12:S12"/>
    <mergeCell ref="U12:V12"/>
    <mergeCell ref="W12:Y12"/>
    <mergeCell ref="Z11:AC11"/>
    <mergeCell ref="AD11:AG11"/>
    <mergeCell ref="AH11:AN11"/>
    <mergeCell ref="A11:B11"/>
    <mergeCell ref="C11:E11"/>
    <mergeCell ref="F11:I11"/>
    <mergeCell ref="J11:M11"/>
    <mergeCell ref="N11:S11"/>
    <mergeCell ref="U11:V11"/>
    <mergeCell ref="W11:Y11"/>
  </mergeCells>
  <pageMargins left="0.25" right="0.25" top="0.75" bottom="0.75" header="0" footer="0"/>
  <pageSetup paperSize="5"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'Drop-Down Boxes '!$D$3:$D$14</xm:f>
          </x14:formula1>
          <xm:sqref>H8</xm:sqref>
        </x14:dataValidation>
        <x14:dataValidation type="list" allowBlank="1" showErrorMessage="1" xr:uid="{00000000-0002-0000-0100-000001000000}">
          <x14:formula1>
            <xm:f>'Drop-Down Boxes '!$H$8:$H$14</xm:f>
          </x14:formula1>
          <xm:sqref>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74806"/>
  </sheetPr>
  <dimension ref="A1:AU1514"/>
  <sheetViews>
    <sheetView workbookViewId="0">
      <pane ySplit="1" topLeftCell="A2" activePane="bottomLeft" state="frozen"/>
      <selection pane="bottomLeft" activeCell="A3" sqref="A3:AU3"/>
    </sheetView>
  </sheetViews>
  <sheetFormatPr defaultColWidth="14.42578125" defaultRowHeight="15" customHeight="1" x14ac:dyDescent="0.25"/>
  <cols>
    <col min="1" max="1" width="7" customWidth="1"/>
    <col min="2" max="6" width="5.7109375" customWidth="1"/>
    <col min="7" max="7" width="6.5703125" customWidth="1"/>
    <col min="8" max="10" width="4.85546875" customWidth="1"/>
    <col min="11" max="12" width="5.7109375" customWidth="1"/>
    <col min="13" max="28" width="4.7109375" customWidth="1"/>
    <col min="29" max="47" width="8.85546875" customWidth="1"/>
  </cols>
  <sheetData>
    <row r="1" spans="1:47" ht="60" customHeight="1" x14ac:dyDescent="0.25">
      <c r="A1" s="10" t="s">
        <v>294</v>
      </c>
      <c r="B1" s="449" t="s">
        <v>319</v>
      </c>
      <c r="C1" s="327"/>
      <c r="D1" s="450" t="s">
        <v>320</v>
      </c>
      <c r="E1" s="327"/>
      <c r="F1" s="451" t="s">
        <v>321</v>
      </c>
      <c r="G1" s="327"/>
      <c r="H1" s="452" t="s">
        <v>322</v>
      </c>
      <c r="I1" s="326"/>
      <c r="J1" s="327"/>
      <c r="K1" s="451" t="s">
        <v>323</v>
      </c>
      <c r="L1" s="326"/>
      <c r="M1" s="327"/>
      <c r="N1" s="453" t="s">
        <v>324</v>
      </c>
      <c r="O1" s="347"/>
      <c r="P1" s="347"/>
      <c r="Q1" s="347"/>
      <c r="R1" s="347"/>
      <c r="S1" s="347"/>
      <c r="T1" s="347"/>
      <c r="U1" s="354"/>
    </row>
    <row r="2" spans="1:47" ht="19.5" customHeight="1" x14ac:dyDescent="0.25">
      <c r="A2" s="432" t="str">
        <f>'GRANTEE SET UP INFO &amp; DATE '!A1</f>
        <v>WV Bureau for Behavioral Healh - Peer Recovery Support Services  V 20200110</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54"/>
    </row>
    <row r="3" spans="1:47" ht="19.5" customHeight="1" x14ac:dyDescent="0.25">
      <c r="A3" s="433" t="str">
        <f>'GRANTEE SET UP INFO &amp; DATE '!A2</f>
        <v>Program reports need to be submitted electronically, via e-mail to BBHReporting@wv.gov within 25 calendar days of the end of each month.</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54"/>
    </row>
    <row r="4" spans="1:47" ht="27.75" customHeight="1" x14ac:dyDescent="0.25">
      <c r="A4" s="459" t="s">
        <v>325</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54"/>
    </row>
    <row r="5" spans="1:47" ht="30" customHeight="1" x14ac:dyDescent="0.25">
      <c r="A5" s="460" t="s">
        <v>326</v>
      </c>
      <c r="B5" s="350"/>
      <c r="C5" s="350"/>
      <c r="D5" s="350"/>
      <c r="E5" s="350"/>
      <c r="F5" s="350"/>
      <c r="G5" s="350"/>
      <c r="H5" s="350"/>
      <c r="I5" s="350"/>
      <c r="J5" s="350"/>
      <c r="K5" s="350"/>
      <c r="L5" s="350"/>
      <c r="M5" s="350"/>
      <c r="N5" s="350"/>
      <c r="O5" s="351"/>
      <c r="P5" s="461" t="str">
        <f>'GRANTEE SET UP INFO &amp; DATE '!H4</f>
        <v xml:space="preserve">SA Peer Recovery Support Specialist </v>
      </c>
      <c r="Q5" s="338"/>
      <c r="R5" s="338"/>
      <c r="S5" s="338"/>
      <c r="T5" s="338"/>
      <c r="U5" s="338"/>
      <c r="V5" s="338"/>
      <c r="W5" s="338"/>
      <c r="X5" s="338"/>
      <c r="Y5" s="338"/>
      <c r="Z5" s="338"/>
      <c r="AA5" s="338"/>
      <c r="AB5" s="338"/>
      <c r="AC5" s="339"/>
      <c r="AD5" s="5"/>
      <c r="AE5" s="454" t="s">
        <v>31</v>
      </c>
      <c r="AF5" s="326"/>
      <c r="AG5" s="326"/>
      <c r="AH5" s="326"/>
      <c r="AI5" s="326"/>
      <c r="AJ5" s="327"/>
      <c r="AK5" s="462" t="str">
        <f>'GRANTEE SET UP INFO &amp; DATE '!Z4</f>
        <v xml:space="preserve">Grantee formal Name (name on grant agreement) </v>
      </c>
      <c r="AL5" s="326"/>
      <c r="AM5" s="326"/>
      <c r="AN5" s="326"/>
      <c r="AO5" s="326"/>
      <c r="AP5" s="326"/>
      <c r="AQ5" s="326"/>
      <c r="AR5" s="326"/>
      <c r="AS5" s="326"/>
      <c r="AT5" s="326"/>
      <c r="AU5" s="327"/>
    </row>
    <row r="6" spans="1:47" x14ac:dyDescent="0.25">
      <c r="A6" s="456" t="s">
        <v>327</v>
      </c>
      <c r="B6" s="326"/>
      <c r="C6" s="326"/>
      <c r="D6" s="326"/>
      <c r="E6" s="326"/>
      <c r="F6" s="326"/>
      <c r="G6" s="326"/>
      <c r="H6" s="326"/>
      <c r="I6" s="326"/>
      <c r="J6" s="326"/>
      <c r="K6" s="326"/>
      <c r="L6" s="326"/>
      <c r="M6" s="326"/>
      <c r="N6" s="326"/>
      <c r="O6" s="327"/>
      <c r="P6" s="381" t="str">
        <f>'GRANTEE SET UP INFO &amp; DATE '!H5</f>
        <v xml:space="preserve"> SA Peer Recovery Support Specialist </v>
      </c>
      <c r="Q6" s="326"/>
      <c r="R6" s="326"/>
      <c r="S6" s="326"/>
      <c r="T6" s="326"/>
      <c r="U6" s="326"/>
      <c r="V6" s="326"/>
      <c r="W6" s="326"/>
      <c r="X6" s="326"/>
      <c r="Y6" s="326"/>
      <c r="Z6" s="326"/>
      <c r="AA6" s="326"/>
      <c r="AB6" s="326"/>
      <c r="AC6" s="327"/>
      <c r="AD6" s="5"/>
      <c r="AE6" s="455" t="s">
        <v>328</v>
      </c>
      <c r="AF6" s="326"/>
      <c r="AG6" s="326"/>
      <c r="AH6" s="326"/>
      <c r="AI6" s="326"/>
      <c r="AJ6" s="327"/>
      <c r="AK6" s="382" t="str">
        <f>'GRANTEE SET UP INFO &amp; DATE '!Z5</f>
        <v>Names of Contact(s):</v>
      </c>
      <c r="AL6" s="326"/>
      <c r="AM6" s="326"/>
      <c r="AN6" s="326"/>
      <c r="AO6" s="326"/>
      <c r="AP6" s="326"/>
      <c r="AQ6" s="326"/>
      <c r="AR6" s="326"/>
      <c r="AS6" s="326"/>
      <c r="AT6" s="326"/>
      <c r="AU6" s="327"/>
    </row>
    <row r="7" spans="1:47" ht="14.25" customHeight="1" x14ac:dyDescent="0.25">
      <c r="A7" s="463" t="s">
        <v>37</v>
      </c>
      <c r="B7" s="344"/>
      <c r="C7" s="344"/>
      <c r="D7" s="344"/>
      <c r="E7" s="344"/>
      <c r="F7" s="344"/>
      <c r="G7" s="344"/>
      <c r="H7" s="344"/>
      <c r="I7" s="344"/>
      <c r="J7" s="344"/>
      <c r="K7" s="344"/>
      <c r="L7" s="344"/>
      <c r="M7" s="344"/>
      <c r="N7" s="344"/>
      <c r="O7" s="345"/>
      <c r="P7" s="464" t="str">
        <f>'GRANTEE SET UP INFO &amp; DATE '!H6</f>
        <v>123 Any Street, Any City, WV 12345</v>
      </c>
      <c r="Q7" s="332"/>
      <c r="R7" s="332"/>
      <c r="S7" s="332"/>
      <c r="T7" s="332"/>
      <c r="U7" s="332"/>
      <c r="V7" s="332"/>
      <c r="W7" s="332"/>
      <c r="X7" s="332"/>
      <c r="Y7" s="332"/>
      <c r="Z7" s="332"/>
      <c r="AA7" s="332"/>
      <c r="AB7" s="332"/>
      <c r="AC7" s="333"/>
      <c r="AD7" s="5"/>
      <c r="AE7" s="456" t="s">
        <v>39</v>
      </c>
      <c r="AF7" s="326"/>
      <c r="AG7" s="326"/>
      <c r="AH7" s="326"/>
      <c r="AI7" s="326"/>
      <c r="AJ7" s="327"/>
      <c r="AK7" s="381" t="str">
        <f>'GRANTEE SET UP INFO &amp; DATE '!Z6</f>
        <v>Phone numbers for contacts</v>
      </c>
      <c r="AL7" s="326"/>
      <c r="AM7" s="326"/>
      <c r="AN7" s="326"/>
      <c r="AO7" s="326"/>
      <c r="AP7" s="326"/>
      <c r="AQ7" s="326"/>
      <c r="AR7" s="326"/>
      <c r="AS7" s="326"/>
      <c r="AT7" s="326"/>
      <c r="AU7" s="327"/>
    </row>
    <row r="8" spans="1:47" x14ac:dyDescent="0.25">
      <c r="A8" s="465"/>
      <c r="B8" s="350"/>
      <c r="C8" s="350"/>
      <c r="D8" s="350"/>
      <c r="E8" s="350"/>
      <c r="F8" s="350"/>
      <c r="G8" s="350"/>
      <c r="H8" s="350"/>
      <c r="I8" s="350"/>
      <c r="J8" s="350"/>
      <c r="K8" s="350"/>
      <c r="L8" s="350"/>
      <c r="M8" s="350"/>
      <c r="N8" s="350"/>
      <c r="O8" s="351"/>
      <c r="P8" s="337"/>
      <c r="Q8" s="338"/>
      <c r="R8" s="338"/>
      <c r="S8" s="338"/>
      <c r="T8" s="338"/>
      <c r="U8" s="338"/>
      <c r="V8" s="338"/>
      <c r="W8" s="338"/>
      <c r="X8" s="338"/>
      <c r="Y8" s="338"/>
      <c r="Z8" s="338"/>
      <c r="AA8" s="338"/>
      <c r="AB8" s="338"/>
      <c r="AC8" s="339"/>
      <c r="AD8" s="5"/>
      <c r="AE8" s="456" t="s">
        <v>41</v>
      </c>
      <c r="AF8" s="326"/>
      <c r="AG8" s="326"/>
      <c r="AH8" s="326"/>
      <c r="AI8" s="326"/>
      <c r="AJ8" s="327"/>
      <c r="AK8" s="381" t="str">
        <f>'GRANTEE SET UP INFO &amp; DATE '!Z7</f>
        <v xml:space="preserve">number on grant agreement or TFB </v>
      </c>
      <c r="AL8" s="326"/>
      <c r="AM8" s="326"/>
      <c r="AN8" s="326"/>
      <c r="AO8" s="326"/>
      <c r="AP8" s="326"/>
      <c r="AQ8" s="326"/>
      <c r="AR8" s="326"/>
      <c r="AS8" s="326"/>
      <c r="AT8" s="326"/>
      <c r="AU8" s="327"/>
    </row>
    <row r="9" spans="1:47" ht="19.5" customHeight="1" x14ac:dyDescent="0.25">
      <c r="A9" s="466" t="s">
        <v>329</v>
      </c>
      <c r="B9" s="326"/>
      <c r="C9" s="326"/>
      <c r="D9" s="326"/>
      <c r="E9" s="326"/>
      <c r="F9" s="326"/>
      <c r="G9" s="326"/>
      <c r="H9" s="326"/>
      <c r="I9" s="326"/>
      <c r="J9" s="326"/>
      <c r="K9" s="326"/>
      <c r="L9" s="326"/>
      <c r="M9" s="326"/>
      <c r="N9" s="326"/>
      <c r="O9" s="327"/>
      <c r="P9" s="443" t="str">
        <f>'GRANTEE SET UP INFO &amp; DATE '!H8</f>
        <v>October 1 - 31</v>
      </c>
      <c r="Q9" s="326"/>
      <c r="R9" s="326"/>
      <c r="S9" s="326"/>
      <c r="T9" s="326"/>
      <c r="U9" s="326"/>
      <c r="V9" s="326"/>
      <c r="W9" s="326"/>
      <c r="X9" s="326"/>
      <c r="Y9" s="327"/>
      <c r="Z9" s="443">
        <f>'GRANTEE SET UP INFO &amp; DATE '!P8</f>
        <v>2026</v>
      </c>
      <c r="AA9" s="326"/>
      <c r="AB9" s="326"/>
      <c r="AC9" s="327"/>
      <c r="AD9" s="5"/>
      <c r="AE9" s="457" t="s">
        <v>45</v>
      </c>
      <c r="AF9" s="326"/>
      <c r="AG9" s="326"/>
      <c r="AH9" s="326"/>
      <c r="AI9" s="326"/>
      <c r="AJ9" s="327"/>
      <c r="AK9" s="458" t="str">
        <f>'GRANTEE SET UP INFO &amp; DATE '!Z8</f>
        <v>program code can locate on SOW or  TFB</v>
      </c>
      <c r="AL9" s="326"/>
      <c r="AM9" s="326"/>
      <c r="AN9" s="326"/>
      <c r="AO9" s="326"/>
      <c r="AP9" s="326"/>
      <c r="AQ9" s="326"/>
      <c r="AR9" s="326"/>
      <c r="AS9" s="326"/>
      <c r="AT9" s="326"/>
      <c r="AU9" s="327"/>
    </row>
    <row r="10" spans="1:47" ht="34.5" customHeight="1" x14ac:dyDescent="0.25">
      <c r="A10" s="469" t="s">
        <v>330</v>
      </c>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470"/>
    </row>
    <row r="11" spans="1:47" ht="39.75" customHeight="1" x14ac:dyDescent="0.25">
      <c r="A11" s="471" t="s">
        <v>331</v>
      </c>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54"/>
    </row>
    <row r="12" spans="1:47" ht="24.75" customHeight="1" x14ac:dyDescent="0.25">
      <c r="A12" s="472" t="s">
        <v>332</v>
      </c>
      <c r="B12" s="332"/>
      <c r="C12" s="332"/>
      <c r="D12" s="332"/>
      <c r="E12" s="333"/>
      <c r="F12" s="473" t="s">
        <v>333</v>
      </c>
      <c r="G12" s="332"/>
      <c r="H12" s="332"/>
      <c r="I12" s="332"/>
      <c r="J12" s="332"/>
      <c r="K12" s="332"/>
      <c r="L12" s="332"/>
      <c r="M12" s="333"/>
      <c r="N12" s="474" t="s">
        <v>324</v>
      </c>
      <c r="O12" s="332"/>
      <c r="P12" s="332"/>
      <c r="Q12" s="332"/>
      <c r="R12" s="332"/>
      <c r="S12" s="332"/>
      <c r="T12" s="332"/>
      <c r="U12" s="333"/>
    </row>
    <row r="13" spans="1:47" ht="49.5" customHeight="1" x14ac:dyDescent="0.25">
      <c r="A13" s="337"/>
      <c r="B13" s="338"/>
      <c r="C13" s="338"/>
      <c r="D13" s="338"/>
      <c r="E13" s="339"/>
      <c r="F13" s="337"/>
      <c r="G13" s="338"/>
      <c r="H13" s="338"/>
      <c r="I13" s="338"/>
      <c r="J13" s="338"/>
      <c r="K13" s="338"/>
      <c r="L13" s="338"/>
      <c r="M13" s="339"/>
      <c r="N13" s="337"/>
      <c r="O13" s="338"/>
      <c r="P13" s="338"/>
      <c r="Q13" s="338"/>
      <c r="R13" s="338"/>
      <c r="S13" s="338"/>
      <c r="T13" s="338"/>
      <c r="U13" s="339"/>
    </row>
    <row r="14" spans="1:47" ht="69.75" customHeight="1" x14ac:dyDescent="0.25">
      <c r="A14" s="11" t="s">
        <v>294</v>
      </c>
      <c r="B14" s="475" t="s">
        <v>319</v>
      </c>
      <c r="C14" s="327"/>
      <c r="D14" s="476" t="s">
        <v>320</v>
      </c>
      <c r="E14" s="327"/>
      <c r="F14" s="477" t="s">
        <v>321</v>
      </c>
      <c r="G14" s="327"/>
      <c r="H14" s="478" t="s">
        <v>322</v>
      </c>
      <c r="I14" s="326"/>
      <c r="J14" s="327"/>
      <c r="K14" s="467" t="s">
        <v>323</v>
      </c>
      <c r="L14" s="326"/>
      <c r="M14" s="327"/>
      <c r="N14" s="468" t="s">
        <v>324</v>
      </c>
      <c r="O14" s="326"/>
      <c r="P14" s="326"/>
      <c r="Q14" s="326"/>
      <c r="R14" s="326"/>
      <c r="S14" s="326"/>
      <c r="T14" s="326"/>
      <c r="U14" s="327"/>
    </row>
    <row r="15" spans="1:47" ht="34.5" customHeight="1" x14ac:dyDescent="0.25">
      <c r="A15" s="10">
        <f t="shared" ref="A15:A269" si="0">ROW(A1)</f>
        <v>1</v>
      </c>
      <c r="B15" s="479" t="s">
        <v>303</v>
      </c>
      <c r="C15" s="327"/>
      <c r="D15" s="480" t="s">
        <v>303</v>
      </c>
      <c r="E15" s="327"/>
      <c r="F15" s="481" t="s">
        <v>334</v>
      </c>
      <c r="G15" s="327"/>
      <c r="H15" s="482"/>
      <c r="I15" s="326"/>
      <c r="J15" s="327"/>
      <c r="K15" s="481" t="s">
        <v>334</v>
      </c>
      <c r="L15" s="326"/>
      <c r="M15" s="327"/>
      <c r="N15" s="439" t="s">
        <v>303</v>
      </c>
      <c r="O15" s="326"/>
      <c r="P15" s="326"/>
      <c r="Q15" s="326"/>
      <c r="R15" s="326"/>
      <c r="S15" s="326"/>
      <c r="T15" s="326"/>
      <c r="U15" s="327"/>
    </row>
    <row r="16" spans="1:47" ht="34.5" customHeight="1" x14ac:dyDescent="0.25">
      <c r="A16" s="10">
        <f t="shared" si="0"/>
        <v>2</v>
      </c>
      <c r="B16" s="483" t="s">
        <v>303</v>
      </c>
      <c r="C16" s="327"/>
      <c r="D16" s="484" t="s">
        <v>303</v>
      </c>
      <c r="E16" s="327"/>
      <c r="F16" s="481" t="s">
        <v>334</v>
      </c>
      <c r="G16" s="327"/>
      <c r="H16" s="485"/>
      <c r="I16" s="326"/>
      <c r="J16" s="327"/>
      <c r="K16" s="481" t="s">
        <v>334</v>
      </c>
      <c r="L16" s="326"/>
      <c r="M16" s="327"/>
      <c r="N16" s="486"/>
      <c r="O16" s="326"/>
      <c r="P16" s="326"/>
      <c r="Q16" s="326"/>
      <c r="R16" s="326"/>
      <c r="S16" s="326"/>
      <c r="T16" s="326"/>
      <c r="U16" s="327"/>
    </row>
    <row r="17" spans="1:21" ht="34.5" customHeight="1" x14ac:dyDescent="0.25">
      <c r="A17" s="10">
        <f t="shared" si="0"/>
        <v>3</v>
      </c>
      <c r="B17" s="479" t="s">
        <v>303</v>
      </c>
      <c r="C17" s="327"/>
      <c r="D17" s="480" t="s">
        <v>303</v>
      </c>
      <c r="E17" s="327"/>
      <c r="F17" s="481" t="s">
        <v>334</v>
      </c>
      <c r="G17" s="327"/>
      <c r="H17" s="482"/>
      <c r="I17" s="326"/>
      <c r="J17" s="327"/>
      <c r="K17" s="481" t="s">
        <v>334</v>
      </c>
      <c r="L17" s="326"/>
      <c r="M17" s="327"/>
      <c r="N17" s="439" t="s">
        <v>303</v>
      </c>
      <c r="O17" s="326"/>
      <c r="P17" s="326"/>
      <c r="Q17" s="326"/>
      <c r="R17" s="326"/>
      <c r="S17" s="326"/>
      <c r="T17" s="326"/>
      <c r="U17" s="327"/>
    </row>
    <row r="18" spans="1:21" ht="34.5" customHeight="1" x14ac:dyDescent="0.25">
      <c r="A18" s="10">
        <f t="shared" si="0"/>
        <v>4</v>
      </c>
      <c r="B18" s="483" t="s">
        <v>303</v>
      </c>
      <c r="C18" s="327"/>
      <c r="D18" s="484" t="s">
        <v>303</v>
      </c>
      <c r="E18" s="327"/>
      <c r="F18" s="481" t="s">
        <v>334</v>
      </c>
      <c r="G18" s="327"/>
      <c r="H18" s="482"/>
      <c r="I18" s="326"/>
      <c r="J18" s="327"/>
      <c r="K18" s="481" t="s">
        <v>334</v>
      </c>
      <c r="L18" s="326"/>
      <c r="M18" s="327"/>
      <c r="N18" s="486" t="s">
        <v>303</v>
      </c>
      <c r="O18" s="326"/>
      <c r="P18" s="326"/>
      <c r="Q18" s="326"/>
      <c r="R18" s="326"/>
      <c r="S18" s="326"/>
      <c r="T18" s="326"/>
      <c r="U18" s="327"/>
    </row>
    <row r="19" spans="1:21" ht="34.5" customHeight="1" x14ac:dyDescent="0.25">
      <c r="A19" s="10">
        <f t="shared" si="0"/>
        <v>5</v>
      </c>
      <c r="B19" s="479" t="s">
        <v>303</v>
      </c>
      <c r="C19" s="327"/>
      <c r="D19" s="480" t="s">
        <v>303</v>
      </c>
      <c r="E19" s="327"/>
      <c r="F19" s="481" t="s">
        <v>334</v>
      </c>
      <c r="G19" s="327"/>
      <c r="H19" s="485"/>
      <c r="I19" s="326"/>
      <c r="J19" s="327"/>
      <c r="K19" s="481" t="s">
        <v>334</v>
      </c>
      <c r="L19" s="326"/>
      <c r="M19" s="327"/>
      <c r="N19" s="439" t="s">
        <v>303</v>
      </c>
      <c r="O19" s="326"/>
      <c r="P19" s="326"/>
      <c r="Q19" s="326"/>
      <c r="R19" s="326"/>
      <c r="S19" s="326"/>
      <c r="T19" s="326"/>
      <c r="U19" s="327"/>
    </row>
    <row r="20" spans="1:21" ht="34.5" customHeight="1" x14ac:dyDescent="0.25">
      <c r="A20" s="10">
        <f t="shared" si="0"/>
        <v>6</v>
      </c>
      <c r="B20" s="483" t="s">
        <v>303</v>
      </c>
      <c r="C20" s="327"/>
      <c r="D20" s="484" t="s">
        <v>303</v>
      </c>
      <c r="E20" s="327"/>
      <c r="F20" s="481" t="s">
        <v>334</v>
      </c>
      <c r="G20" s="327"/>
      <c r="H20" s="482"/>
      <c r="I20" s="326"/>
      <c r="J20" s="327"/>
      <c r="K20" s="481" t="s">
        <v>334</v>
      </c>
      <c r="L20" s="326"/>
      <c r="M20" s="327"/>
      <c r="N20" s="486" t="s">
        <v>303</v>
      </c>
      <c r="O20" s="326"/>
      <c r="P20" s="326"/>
      <c r="Q20" s="326"/>
      <c r="R20" s="326"/>
      <c r="S20" s="326"/>
      <c r="T20" s="326"/>
      <c r="U20" s="327"/>
    </row>
    <row r="21" spans="1:21" ht="34.5" customHeight="1" x14ac:dyDescent="0.25">
      <c r="A21" s="10">
        <f t="shared" si="0"/>
        <v>7</v>
      </c>
      <c r="B21" s="479" t="s">
        <v>303</v>
      </c>
      <c r="C21" s="327"/>
      <c r="D21" s="480" t="s">
        <v>303</v>
      </c>
      <c r="E21" s="327"/>
      <c r="F21" s="481" t="s">
        <v>334</v>
      </c>
      <c r="G21" s="327"/>
      <c r="H21" s="482"/>
      <c r="I21" s="326"/>
      <c r="J21" s="327"/>
      <c r="K21" s="481" t="s">
        <v>334</v>
      </c>
      <c r="L21" s="326"/>
      <c r="M21" s="327"/>
      <c r="N21" s="439" t="s">
        <v>303</v>
      </c>
      <c r="O21" s="326"/>
      <c r="P21" s="326"/>
      <c r="Q21" s="326"/>
      <c r="R21" s="326"/>
      <c r="S21" s="326"/>
      <c r="T21" s="326"/>
      <c r="U21" s="327"/>
    </row>
    <row r="22" spans="1:21" ht="34.5" customHeight="1" x14ac:dyDescent="0.25">
      <c r="A22" s="10">
        <f t="shared" si="0"/>
        <v>8</v>
      </c>
      <c r="B22" s="483" t="s">
        <v>303</v>
      </c>
      <c r="C22" s="327"/>
      <c r="D22" s="484" t="s">
        <v>303</v>
      </c>
      <c r="E22" s="327"/>
      <c r="F22" s="481" t="s">
        <v>334</v>
      </c>
      <c r="G22" s="327"/>
      <c r="H22" s="485"/>
      <c r="I22" s="326"/>
      <c r="J22" s="327"/>
      <c r="K22" s="481" t="s">
        <v>334</v>
      </c>
      <c r="L22" s="326"/>
      <c r="M22" s="327"/>
      <c r="N22" s="486" t="s">
        <v>303</v>
      </c>
      <c r="O22" s="326"/>
      <c r="P22" s="326"/>
      <c r="Q22" s="326"/>
      <c r="R22" s="326"/>
      <c r="S22" s="326"/>
      <c r="T22" s="326"/>
      <c r="U22" s="327"/>
    </row>
    <row r="23" spans="1:21" ht="34.5" customHeight="1" x14ac:dyDescent="0.25">
      <c r="A23" s="10">
        <f t="shared" si="0"/>
        <v>9</v>
      </c>
      <c r="B23" s="479" t="s">
        <v>303</v>
      </c>
      <c r="C23" s="327"/>
      <c r="D23" s="480" t="s">
        <v>303</v>
      </c>
      <c r="E23" s="327"/>
      <c r="F23" s="481" t="s">
        <v>334</v>
      </c>
      <c r="G23" s="327"/>
      <c r="H23" s="482"/>
      <c r="I23" s="326"/>
      <c r="J23" s="327"/>
      <c r="K23" s="481" t="s">
        <v>334</v>
      </c>
      <c r="L23" s="326"/>
      <c r="M23" s="327"/>
      <c r="N23" s="439" t="s">
        <v>303</v>
      </c>
      <c r="O23" s="326"/>
      <c r="P23" s="326"/>
      <c r="Q23" s="326"/>
      <c r="R23" s="326"/>
      <c r="S23" s="326"/>
      <c r="T23" s="326"/>
      <c r="U23" s="327"/>
    </row>
    <row r="24" spans="1:21" ht="34.5" customHeight="1" x14ac:dyDescent="0.25">
      <c r="A24" s="10">
        <f t="shared" si="0"/>
        <v>10</v>
      </c>
      <c r="B24" s="483" t="s">
        <v>303</v>
      </c>
      <c r="C24" s="327"/>
      <c r="D24" s="484" t="s">
        <v>303</v>
      </c>
      <c r="E24" s="327"/>
      <c r="F24" s="481" t="s">
        <v>334</v>
      </c>
      <c r="G24" s="327"/>
      <c r="H24" s="482"/>
      <c r="I24" s="326"/>
      <c r="J24" s="327"/>
      <c r="K24" s="481" t="s">
        <v>334</v>
      </c>
      <c r="L24" s="326"/>
      <c r="M24" s="327"/>
      <c r="N24" s="486" t="s">
        <v>303</v>
      </c>
      <c r="O24" s="326"/>
      <c r="P24" s="326"/>
      <c r="Q24" s="326"/>
      <c r="R24" s="326"/>
      <c r="S24" s="326"/>
      <c r="T24" s="326"/>
      <c r="U24" s="327"/>
    </row>
    <row r="25" spans="1:21" ht="34.5" customHeight="1" x14ac:dyDescent="0.25">
      <c r="A25" s="10">
        <f t="shared" si="0"/>
        <v>11</v>
      </c>
      <c r="B25" s="479" t="s">
        <v>303</v>
      </c>
      <c r="C25" s="327"/>
      <c r="D25" s="480" t="s">
        <v>303</v>
      </c>
      <c r="E25" s="327"/>
      <c r="F25" s="481" t="s">
        <v>334</v>
      </c>
      <c r="G25" s="327"/>
      <c r="H25" s="485"/>
      <c r="I25" s="326"/>
      <c r="J25" s="327"/>
      <c r="K25" s="481" t="s">
        <v>334</v>
      </c>
      <c r="L25" s="326"/>
      <c r="M25" s="327"/>
      <c r="N25" s="439" t="s">
        <v>303</v>
      </c>
      <c r="O25" s="326"/>
      <c r="P25" s="326"/>
      <c r="Q25" s="326"/>
      <c r="R25" s="326"/>
      <c r="S25" s="326"/>
      <c r="T25" s="326"/>
      <c r="U25" s="327"/>
    </row>
    <row r="26" spans="1:21" ht="34.5" customHeight="1" x14ac:dyDescent="0.25">
      <c r="A26" s="10">
        <f t="shared" si="0"/>
        <v>12</v>
      </c>
      <c r="B26" s="483" t="s">
        <v>303</v>
      </c>
      <c r="C26" s="327"/>
      <c r="D26" s="484" t="s">
        <v>303</v>
      </c>
      <c r="E26" s="327"/>
      <c r="F26" s="481" t="s">
        <v>334</v>
      </c>
      <c r="G26" s="327"/>
      <c r="H26" s="482"/>
      <c r="I26" s="326"/>
      <c r="J26" s="327"/>
      <c r="K26" s="481" t="s">
        <v>334</v>
      </c>
      <c r="L26" s="326"/>
      <c r="M26" s="327"/>
      <c r="N26" s="486" t="s">
        <v>303</v>
      </c>
      <c r="O26" s="326"/>
      <c r="P26" s="326"/>
      <c r="Q26" s="326"/>
      <c r="R26" s="326"/>
      <c r="S26" s="326"/>
      <c r="T26" s="326"/>
      <c r="U26" s="327"/>
    </row>
    <row r="27" spans="1:21" ht="34.5" customHeight="1" x14ac:dyDescent="0.25">
      <c r="A27" s="10">
        <f t="shared" si="0"/>
        <v>13</v>
      </c>
      <c r="B27" s="479" t="s">
        <v>303</v>
      </c>
      <c r="C27" s="327"/>
      <c r="D27" s="480" t="s">
        <v>303</v>
      </c>
      <c r="E27" s="327"/>
      <c r="F27" s="481" t="s">
        <v>334</v>
      </c>
      <c r="G27" s="327"/>
      <c r="H27" s="482"/>
      <c r="I27" s="326"/>
      <c r="J27" s="327"/>
      <c r="K27" s="481" t="s">
        <v>334</v>
      </c>
      <c r="L27" s="326"/>
      <c r="M27" s="327"/>
      <c r="N27" s="439" t="s">
        <v>303</v>
      </c>
      <c r="O27" s="326"/>
      <c r="P27" s="326"/>
      <c r="Q27" s="326"/>
      <c r="R27" s="326"/>
      <c r="S27" s="326"/>
      <c r="T27" s="326"/>
      <c r="U27" s="327"/>
    </row>
    <row r="28" spans="1:21" ht="34.5" customHeight="1" x14ac:dyDescent="0.25">
      <c r="A28" s="10">
        <f t="shared" si="0"/>
        <v>14</v>
      </c>
      <c r="B28" s="483" t="s">
        <v>303</v>
      </c>
      <c r="C28" s="327"/>
      <c r="D28" s="484" t="s">
        <v>303</v>
      </c>
      <c r="E28" s="327"/>
      <c r="F28" s="481" t="s">
        <v>334</v>
      </c>
      <c r="G28" s="327"/>
      <c r="H28" s="485"/>
      <c r="I28" s="326"/>
      <c r="J28" s="327"/>
      <c r="K28" s="481" t="s">
        <v>334</v>
      </c>
      <c r="L28" s="326"/>
      <c r="M28" s="327"/>
      <c r="N28" s="486" t="s">
        <v>303</v>
      </c>
      <c r="O28" s="326"/>
      <c r="P28" s="326"/>
      <c r="Q28" s="326"/>
      <c r="R28" s="326"/>
      <c r="S28" s="326"/>
      <c r="T28" s="326"/>
      <c r="U28" s="327"/>
    </row>
    <row r="29" spans="1:21" ht="34.5" customHeight="1" x14ac:dyDescent="0.25">
      <c r="A29" s="10">
        <f t="shared" si="0"/>
        <v>15</v>
      </c>
      <c r="B29" s="479" t="s">
        <v>303</v>
      </c>
      <c r="C29" s="327"/>
      <c r="D29" s="480" t="s">
        <v>303</v>
      </c>
      <c r="E29" s="327"/>
      <c r="F29" s="481" t="s">
        <v>334</v>
      </c>
      <c r="G29" s="327"/>
      <c r="H29" s="482"/>
      <c r="I29" s="326"/>
      <c r="J29" s="327"/>
      <c r="K29" s="481" t="s">
        <v>334</v>
      </c>
      <c r="L29" s="326"/>
      <c r="M29" s="327"/>
      <c r="N29" s="439" t="s">
        <v>303</v>
      </c>
      <c r="O29" s="326"/>
      <c r="P29" s="326"/>
      <c r="Q29" s="326"/>
      <c r="R29" s="326"/>
      <c r="S29" s="326"/>
      <c r="T29" s="326"/>
      <c r="U29" s="327"/>
    </row>
    <row r="30" spans="1:21" ht="34.5" customHeight="1" x14ac:dyDescent="0.25">
      <c r="A30" s="10">
        <f t="shared" si="0"/>
        <v>16</v>
      </c>
      <c r="B30" s="483" t="s">
        <v>303</v>
      </c>
      <c r="C30" s="327"/>
      <c r="D30" s="484" t="s">
        <v>303</v>
      </c>
      <c r="E30" s="327"/>
      <c r="F30" s="481" t="s">
        <v>334</v>
      </c>
      <c r="G30" s="327"/>
      <c r="H30" s="485"/>
      <c r="I30" s="326"/>
      <c r="J30" s="327"/>
      <c r="K30" s="481" t="s">
        <v>334</v>
      </c>
      <c r="L30" s="326"/>
      <c r="M30" s="327"/>
      <c r="N30" s="486" t="s">
        <v>303</v>
      </c>
      <c r="O30" s="326"/>
      <c r="P30" s="326"/>
      <c r="Q30" s="326"/>
      <c r="R30" s="326"/>
      <c r="S30" s="326"/>
      <c r="T30" s="326"/>
      <c r="U30" s="327"/>
    </row>
    <row r="31" spans="1:21" ht="34.5" customHeight="1" x14ac:dyDescent="0.25">
      <c r="A31" s="10">
        <f t="shared" si="0"/>
        <v>17</v>
      </c>
      <c r="B31" s="479" t="s">
        <v>303</v>
      </c>
      <c r="C31" s="327"/>
      <c r="D31" s="480" t="s">
        <v>303</v>
      </c>
      <c r="E31" s="327"/>
      <c r="F31" s="481" t="s">
        <v>334</v>
      </c>
      <c r="G31" s="327"/>
      <c r="H31" s="482"/>
      <c r="I31" s="326"/>
      <c r="J31" s="327"/>
      <c r="K31" s="481" t="s">
        <v>334</v>
      </c>
      <c r="L31" s="326"/>
      <c r="M31" s="327"/>
      <c r="N31" s="439" t="s">
        <v>303</v>
      </c>
      <c r="O31" s="326"/>
      <c r="P31" s="326"/>
      <c r="Q31" s="326"/>
      <c r="R31" s="326"/>
      <c r="S31" s="326"/>
      <c r="T31" s="326"/>
      <c r="U31" s="327"/>
    </row>
    <row r="32" spans="1:21" ht="34.5" customHeight="1" x14ac:dyDescent="0.25">
      <c r="A32" s="10">
        <f t="shared" si="0"/>
        <v>18</v>
      </c>
      <c r="B32" s="483" t="s">
        <v>303</v>
      </c>
      <c r="C32" s="327"/>
      <c r="D32" s="484" t="s">
        <v>303</v>
      </c>
      <c r="E32" s="327"/>
      <c r="F32" s="481" t="s">
        <v>334</v>
      </c>
      <c r="G32" s="327"/>
      <c r="H32" s="485"/>
      <c r="I32" s="326"/>
      <c r="J32" s="327"/>
      <c r="K32" s="481" t="s">
        <v>334</v>
      </c>
      <c r="L32" s="326"/>
      <c r="M32" s="327"/>
      <c r="N32" s="486" t="s">
        <v>303</v>
      </c>
      <c r="O32" s="326"/>
      <c r="P32" s="326"/>
      <c r="Q32" s="326"/>
      <c r="R32" s="326"/>
      <c r="S32" s="326"/>
      <c r="T32" s="326"/>
      <c r="U32" s="327"/>
    </row>
    <row r="33" spans="1:21" ht="34.5" customHeight="1" x14ac:dyDescent="0.25">
      <c r="A33" s="10">
        <f t="shared" si="0"/>
        <v>19</v>
      </c>
      <c r="B33" s="479" t="s">
        <v>303</v>
      </c>
      <c r="C33" s="327"/>
      <c r="D33" s="480" t="s">
        <v>303</v>
      </c>
      <c r="E33" s="327"/>
      <c r="F33" s="481" t="s">
        <v>334</v>
      </c>
      <c r="G33" s="327"/>
      <c r="H33" s="482"/>
      <c r="I33" s="326"/>
      <c r="J33" s="327"/>
      <c r="K33" s="481" t="s">
        <v>334</v>
      </c>
      <c r="L33" s="326"/>
      <c r="M33" s="327"/>
      <c r="N33" s="439" t="s">
        <v>303</v>
      </c>
      <c r="O33" s="326"/>
      <c r="P33" s="326"/>
      <c r="Q33" s="326"/>
      <c r="R33" s="326"/>
      <c r="S33" s="326"/>
      <c r="T33" s="326"/>
      <c r="U33" s="327"/>
    </row>
    <row r="34" spans="1:21" ht="34.5" customHeight="1" x14ac:dyDescent="0.25">
      <c r="A34" s="10">
        <f t="shared" si="0"/>
        <v>20</v>
      </c>
      <c r="B34" s="483" t="s">
        <v>303</v>
      </c>
      <c r="C34" s="327"/>
      <c r="D34" s="484" t="s">
        <v>303</v>
      </c>
      <c r="E34" s="327"/>
      <c r="F34" s="481" t="s">
        <v>334</v>
      </c>
      <c r="G34" s="327"/>
      <c r="H34" s="485"/>
      <c r="I34" s="326"/>
      <c r="J34" s="327"/>
      <c r="K34" s="481" t="s">
        <v>334</v>
      </c>
      <c r="L34" s="326"/>
      <c r="M34" s="327"/>
      <c r="N34" s="486" t="s">
        <v>303</v>
      </c>
      <c r="O34" s="326"/>
      <c r="P34" s="326"/>
      <c r="Q34" s="326"/>
      <c r="R34" s="326"/>
      <c r="S34" s="326"/>
      <c r="T34" s="326"/>
      <c r="U34" s="327"/>
    </row>
    <row r="35" spans="1:21" ht="34.5" customHeight="1" x14ac:dyDescent="0.25">
      <c r="A35" s="10">
        <f t="shared" si="0"/>
        <v>21</v>
      </c>
      <c r="B35" s="479" t="s">
        <v>303</v>
      </c>
      <c r="C35" s="327"/>
      <c r="D35" s="480" t="s">
        <v>303</v>
      </c>
      <c r="E35" s="327"/>
      <c r="F35" s="481" t="s">
        <v>334</v>
      </c>
      <c r="G35" s="327"/>
      <c r="H35" s="482"/>
      <c r="I35" s="326"/>
      <c r="J35" s="327"/>
      <c r="K35" s="481" t="s">
        <v>334</v>
      </c>
      <c r="L35" s="326"/>
      <c r="M35" s="327"/>
      <c r="N35" s="439" t="s">
        <v>303</v>
      </c>
      <c r="O35" s="326"/>
      <c r="P35" s="326"/>
      <c r="Q35" s="326"/>
      <c r="R35" s="326"/>
      <c r="S35" s="326"/>
      <c r="T35" s="326"/>
      <c r="U35" s="327"/>
    </row>
    <row r="36" spans="1:21" ht="34.5" customHeight="1" x14ac:dyDescent="0.25">
      <c r="A36" s="10">
        <f t="shared" si="0"/>
        <v>22</v>
      </c>
      <c r="B36" s="483" t="s">
        <v>303</v>
      </c>
      <c r="C36" s="327"/>
      <c r="D36" s="484" t="s">
        <v>303</v>
      </c>
      <c r="E36" s="327"/>
      <c r="F36" s="481" t="s">
        <v>334</v>
      </c>
      <c r="G36" s="327"/>
      <c r="H36" s="485"/>
      <c r="I36" s="326"/>
      <c r="J36" s="327"/>
      <c r="K36" s="481" t="s">
        <v>334</v>
      </c>
      <c r="L36" s="326"/>
      <c r="M36" s="327"/>
      <c r="N36" s="486" t="s">
        <v>303</v>
      </c>
      <c r="O36" s="326"/>
      <c r="P36" s="326"/>
      <c r="Q36" s="326"/>
      <c r="R36" s="326"/>
      <c r="S36" s="326"/>
      <c r="T36" s="326"/>
      <c r="U36" s="327"/>
    </row>
    <row r="37" spans="1:21" ht="34.5" customHeight="1" x14ac:dyDescent="0.25">
      <c r="A37" s="10">
        <f t="shared" si="0"/>
        <v>23</v>
      </c>
      <c r="B37" s="479" t="s">
        <v>303</v>
      </c>
      <c r="C37" s="327"/>
      <c r="D37" s="480" t="s">
        <v>303</v>
      </c>
      <c r="E37" s="327"/>
      <c r="F37" s="481" t="s">
        <v>334</v>
      </c>
      <c r="G37" s="327"/>
      <c r="H37" s="482"/>
      <c r="I37" s="326"/>
      <c r="J37" s="327"/>
      <c r="K37" s="481" t="s">
        <v>334</v>
      </c>
      <c r="L37" s="326"/>
      <c r="M37" s="327"/>
      <c r="N37" s="439" t="s">
        <v>303</v>
      </c>
      <c r="O37" s="326"/>
      <c r="P37" s="326"/>
      <c r="Q37" s="326"/>
      <c r="R37" s="326"/>
      <c r="S37" s="326"/>
      <c r="T37" s="326"/>
      <c r="U37" s="327"/>
    </row>
    <row r="38" spans="1:21" ht="34.5" customHeight="1" x14ac:dyDescent="0.25">
      <c r="A38" s="10">
        <f t="shared" si="0"/>
        <v>24</v>
      </c>
      <c r="B38" s="483" t="s">
        <v>303</v>
      </c>
      <c r="C38" s="327"/>
      <c r="D38" s="484" t="s">
        <v>303</v>
      </c>
      <c r="E38" s="327"/>
      <c r="F38" s="481" t="s">
        <v>334</v>
      </c>
      <c r="G38" s="327"/>
      <c r="H38" s="485"/>
      <c r="I38" s="326"/>
      <c r="J38" s="327"/>
      <c r="K38" s="481" t="s">
        <v>334</v>
      </c>
      <c r="L38" s="326"/>
      <c r="M38" s="327"/>
      <c r="N38" s="486" t="s">
        <v>303</v>
      </c>
      <c r="O38" s="326"/>
      <c r="P38" s="326"/>
      <c r="Q38" s="326"/>
      <c r="R38" s="326"/>
      <c r="S38" s="326"/>
      <c r="T38" s="326"/>
      <c r="U38" s="327"/>
    </row>
    <row r="39" spans="1:21" ht="34.5" customHeight="1" x14ac:dyDescent="0.25">
      <c r="A39" s="10">
        <f t="shared" si="0"/>
        <v>25</v>
      </c>
      <c r="B39" s="479" t="s">
        <v>303</v>
      </c>
      <c r="C39" s="327"/>
      <c r="D39" s="480" t="s">
        <v>303</v>
      </c>
      <c r="E39" s="327"/>
      <c r="F39" s="481" t="s">
        <v>334</v>
      </c>
      <c r="G39" s="327"/>
      <c r="H39" s="482"/>
      <c r="I39" s="326"/>
      <c r="J39" s="327"/>
      <c r="K39" s="481" t="s">
        <v>334</v>
      </c>
      <c r="L39" s="326"/>
      <c r="M39" s="327"/>
      <c r="N39" s="439" t="s">
        <v>303</v>
      </c>
      <c r="O39" s="326"/>
      <c r="P39" s="326"/>
      <c r="Q39" s="326"/>
      <c r="R39" s="326"/>
      <c r="S39" s="326"/>
      <c r="T39" s="326"/>
      <c r="U39" s="327"/>
    </row>
    <row r="40" spans="1:21" ht="34.5" customHeight="1" x14ac:dyDescent="0.25">
      <c r="A40" s="10">
        <f t="shared" si="0"/>
        <v>26</v>
      </c>
      <c r="B40" s="483" t="s">
        <v>303</v>
      </c>
      <c r="C40" s="327"/>
      <c r="D40" s="484" t="s">
        <v>303</v>
      </c>
      <c r="E40" s="327"/>
      <c r="F40" s="481" t="s">
        <v>334</v>
      </c>
      <c r="G40" s="327"/>
      <c r="H40" s="485"/>
      <c r="I40" s="326"/>
      <c r="J40" s="327"/>
      <c r="K40" s="481" t="s">
        <v>334</v>
      </c>
      <c r="L40" s="326"/>
      <c r="M40" s="327"/>
      <c r="N40" s="486" t="s">
        <v>303</v>
      </c>
      <c r="O40" s="326"/>
      <c r="P40" s="326"/>
      <c r="Q40" s="326"/>
      <c r="R40" s="326"/>
      <c r="S40" s="326"/>
      <c r="T40" s="326"/>
      <c r="U40" s="327"/>
    </row>
    <row r="41" spans="1:21" ht="34.5" customHeight="1" x14ac:dyDescent="0.25">
      <c r="A41" s="10">
        <f t="shared" si="0"/>
        <v>27</v>
      </c>
      <c r="B41" s="479" t="s">
        <v>303</v>
      </c>
      <c r="C41" s="327"/>
      <c r="D41" s="480" t="s">
        <v>303</v>
      </c>
      <c r="E41" s="327"/>
      <c r="F41" s="481" t="s">
        <v>334</v>
      </c>
      <c r="G41" s="327"/>
      <c r="H41" s="482"/>
      <c r="I41" s="326"/>
      <c r="J41" s="327"/>
      <c r="K41" s="481" t="s">
        <v>334</v>
      </c>
      <c r="L41" s="326"/>
      <c r="M41" s="327"/>
      <c r="N41" s="439" t="s">
        <v>303</v>
      </c>
      <c r="O41" s="326"/>
      <c r="P41" s="326"/>
      <c r="Q41" s="326"/>
      <c r="R41" s="326"/>
      <c r="S41" s="326"/>
      <c r="T41" s="326"/>
      <c r="U41" s="327"/>
    </row>
    <row r="42" spans="1:21" ht="34.5" customHeight="1" x14ac:dyDescent="0.25">
      <c r="A42" s="10">
        <f t="shared" si="0"/>
        <v>28</v>
      </c>
      <c r="B42" s="483" t="s">
        <v>303</v>
      </c>
      <c r="C42" s="327"/>
      <c r="D42" s="484" t="s">
        <v>303</v>
      </c>
      <c r="E42" s="327"/>
      <c r="F42" s="481" t="s">
        <v>334</v>
      </c>
      <c r="G42" s="327"/>
      <c r="H42" s="485"/>
      <c r="I42" s="326"/>
      <c r="J42" s="327"/>
      <c r="K42" s="481" t="s">
        <v>334</v>
      </c>
      <c r="L42" s="326"/>
      <c r="M42" s="327"/>
      <c r="N42" s="486" t="s">
        <v>303</v>
      </c>
      <c r="O42" s="326"/>
      <c r="P42" s="326"/>
      <c r="Q42" s="326"/>
      <c r="R42" s="326"/>
      <c r="S42" s="326"/>
      <c r="T42" s="326"/>
      <c r="U42" s="327"/>
    </row>
    <row r="43" spans="1:21" ht="34.5" customHeight="1" x14ac:dyDescent="0.25">
      <c r="A43" s="10">
        <f t="shared" si="0"/>
        <v>29</v>
      </c>
      <c r="B43" s="479" t="s">
        <v>303</v>
      </c>
      <c r="C43" s="327"/>
      <c r="D43" s="480" t="s">
        <v>303</v>
      </c>
      <c r="E43" s="327"/>
      <c r="F43" s="481" t="s">
        <v>334</v>
      </c>
      <c r="G43" s="327"/>
      <c r="H43" s="482"/>
      <c r="I43" s="326"/>
      <c r="J43" s="327"/>
      <c r="K43" s="481" t="s">
        <v>334</v>
      </c>
      <c r="L43" s="326"/>
      <c r="M43" s="327"/>
      <c r="N43" s="439" t="s">
        <v>303</v>
      </c>
      <c r="O43" s="326"/>
      <c r="P43" s="326"/>
      <c r="Q43" s="326"/>
      <c r="R43" s="326"/>
      <c r="S43" s="326"/>
      <c r="T43" s="326"/>
      <c r="U43" s="327"/>
    </row>
    <row r="44" spans="1:21" ht="34.5" customHeight="1" x14ac:dyDescent="0.25">
      <c r="A44" s="10">
        <f t="shared" si="0"/>
        <v>30</v>
      </c>
      <c r="B44" s="483" t="s">
        <v>303</v>
      </c>
      <c r="C44" s="327"/>
      <c r="D44" s="484" t="s">
        <v>303</v>
      </c>
      <c r="E44" s="327"/>
      <c r="F44" s="481" t="s">
        <v>334</v>
      </c>
      <c r="G44" s="327"/>
      <c r="H44" s="485"/>
      <c r="I44" s="326"/>
      <c r="J44" s="327"/>
      <c r="K44" s="481" t="s">
        <v>334</v>
      </c>
      <c r="L44" s="326"/>
      <c r="M44" s="327"/>
      <c r="N44" s="486" t="s">
        <v>303</v>
      </c>
      <c r="O44" s="326"/>
      <c r="P44" s="326"/>
      <c r="Q44" s="326"/>
      <c r="R44" s="326"/>
      <c r="S44" s="326"/>
      <c r="T44" s="326"/>
      <c r="U44" s="327"/>
    </row>
    <row r="45" spans="1:21" ht="34.5" customHeight="1" x14ac:dyDescent="0.25">
      <c r="A45" s="10">
        <f t="shared" si="0"/>
        <v>31</v>
      </c>
      <c r="B45" s="479" t="s">
        <v>303</v>
      </c>
      <c r="C45" s="327"/>
      <c r="D45" s="480" t="s">
        <v>303</v>
      </c>
      <c r="E45" s="327"/>
      <c r="F45" s="481" t="s">
        <v>334</v>
      </c>
      <c r="G45" s="327"/>
      <c r="H45" s="482"/>
      <c r="I45" s="326"/>
      <c r="J45" s="327"/>
      <c r="K45" s="481" t="s">
        <v>334</v>
      </c>
      <c r="L45" s="326"/>
      <c r="M45" s="327"/>
      <c r="N45" s="439" t="s">
        <v>303</v>
      </c>
      <c r="O45" s="326"/>
      <c r="P45" s="326"/>
      <c r="Q45" s="326"/>
      <c r="R45" s="326"/>
      <c r="S45" s="326"/>
      <c r="T45" s="326"/>
      <c r="U45" s="327"/>
    </row>
    <row r="46" spans="1:21" ht="34.5" customHeight="1" x14ac:dyDescent="0.25">
      <c r="A46" s="10">
        <f t="shared" si="0"/>
        <v>32</v>
      </c>
      <c r="B46" s="483" t="s">
        <v>303</v>
      </c>
      <c r="C46" s="327"/>
      <c r="D46" s="484" t="s">
        <v>303</v>
      </c>
      <c r="E46" s="327"/>
      <c r="F46" s="481" t="s">
        <v>334</v>
      </c>
      <c r="G46" s="327"/>
      <c r="H46" s="485"/>
      <c r="I46" s="326"/>
      <c r="J46" s="327"/>
      <c r="K46" s="481" t="s">
        <v>334</v>
      </c>
      <c r="L46" s="326"/>
      <c r="M46" s="327"/>
      <c r="N46" s="486" t="s">
        <v>303</v>
      </c>
      <c r="O46" s="326"/>
      <c r="P46" s="326"/>
      <c r="Q46" s="326"/>
      <c r="R46" s="326"/>
      <c r="S46" s="326"/>
      <c r="T46" s="326"/>
      <c r="U46" s="327"/>
    </row>
    <row r="47" spans="1:21" ht="34.5" customHeight="1" x14ac:dyDescent="0.25">
      <c r="A47" s="10">
        <f t="shared" si="0"/>
        <v>33</v>
      </c>
      <c r="B47" s="479" t="s">
        <v>303</v>
      </c>
      <c r="C47" s="327"/>
      <c r="D47" s="480" t="s">
        <v>303</v>
      </c>
      <c r="E47" s="327"/>
      <c r="F47" s="481" t="s">
        <v>334</v>
      </c>
      <c r="G47" s="327"/>
      <c r="H47" s="482"/>
      <c r="I47" s="326"/>
      <c r="J47" s="327"/>
      <c r="K47" s="481" t="s">
        <v>334</v>
      </c>
      <c r="L47" s="326"/>
      <c r="M47" s="327"/>
      <c r="N47" s="439" t="s">
        <v>303</v>
      </c>
      <c r="O47" s="326"/>
      <c r="P47" s="326"/>
      <c r="Q47" s="326"/>
      <c r="R47" s="326"/>
      <c r="S47" s="326"/>
      <c r="T47" s="326"/>
      <c r="U47" s="327"/>
    </row>
    <row r="48" spans="1:21" ht="34.5" customHeight="1" x14ac:dyDescent="0.25">
      <c r="A48" s="10">
        <f t="shared" si="0"/>
        <v>34</v>
      </c>
      <c r="B48" s="483" t="s">
        <v>303</v>
      </c>
      <c r="C48" s="327"/>
      <c r="D48" s="484" t="s">
        <v>303</v>
      </c>
      <c r="E48" s="327"/>
      <c r="F48" s="481" t="s">
        <v>334</v>
      </c>
      <c r="G48" s="327"/>
      <c r="H48" s="485"/>
      <c r="I48" s="326"/>
      <c r="J48" s="327"/>
      <c r="K48" s="481" t="s">
        <v>334</v>
      </c>
      <c r="L48" s="326"/>
      <c r="M48" s="327"/>
      <c r="N48" s="486" t="s">
        <v>303</v>
      </c>
      <c r="O48" s="326"/>
      <c r="P48" s="326"/>
      <c r="Q48" s="326"/>
      <c r="R48" s="326"/>
      <c r="S48" s="326"/>
      <c r="T48" s="326"/>
      <c r="U48" s="327"/>
    </row>
    <row r="49" spans="1:21" ht="34.5" customHeight="1" x14ac:dyDescent="0.25">
      <c r="A49" s="10">
        <f t="shared" si="0"/>
        <v>35</v>
      </c>
      <c r="B49" s="479" t="s">
        <v>303</v>
      </c>
      <c r="C49" s="327"/>
      <c r="D49" s="480" t="s">
        <v>303</v>
      </c>
      <c r="E49" s="327"/>
      <c r="F49" s="481" t="s">
        <v>334</v>
      </c>
      <c r="G49" s="327"/>
      <c r="H49" s="482"/>
      <c r="I49" s="326"/>
      <c r="J49" s="327"/>
      <c r="K49" s="481" t="s">
        <v>334</v>
      </c>
      <c r="L49" s="326"/>
      <c r="M49" s="327"/>
      <c r="N49" s="439" t="s">
        <v>303</v>
      </c>
      <c r="O49" s="326"/>
      <c r="P49" s="326"/>
      <c r="Q49" s="326"/>
      <c r="R49" s="326"/>
      <c r="S49" s="326"/>
      <c r="T49" s="326"/>
      <c r="U49" s="327"/>
    </row>
    <row r="50" spans="1:21" ht="34.5" customHeight="1" x14ac:dyDescent="0.25">
      <c r="A50" s="10">
        <f t="shared" si="0"/>
        <v>36</v>
      </c>
      <c r="B50" s="483" t="s">
        <v>303</v>
      </c>
      <c r="C50" s="327"/>
      <c r="D50" s="484" t="s">
        <v>303</v>
      </c>
      <c r="E50" s="327"/>
      <c r="F50" s="481" t="s">
        <v>334</v>
      </c>
      <c r="G50" s="327"/>
      <c r="H50" s="485"/>
      <c r="I50" s="326"/>
      <c r="J50" s="327"/>
      <c r="K50" s="481" t="s">
        <v>334</v>
      </c>
      <c r="L50" s="326"/>
      <c r="M50" s="327"/>
      <c r="N50" s="486" t="s">
        <v>303</v>
      </c>
      <c r="O50" s="326"/>
      <c r="P50" s="326"/>
      <c r="Q50" s="326"/>
      <c r="R50" s="326"/>
      <c r="S50" s="326"/>
      <c r="T50" s="326"/>
      <c r="U50" s="327"/>
    </row>
    <row r="51" spans="1:21" ht="34.5" customHeight="1" x14ac:dyDescent="0.25">
      <c r="A51" s="10">
        <f t="shared" si="0"/>
        <v>37</v>
      </c>
      <c r="B51" s="479" t="s">
        <v>303</v>
      </c>
      <c r="C51" s="327"/>
      <c r="D51" s="480" t="s">
        <v>303</v>
      </c>
      <c r="E51" s="327"/>
      <c r="F51" s="481" t="s">
        <v>334</v>
      </c>
      <c r="G51" s="327"/>
      <c r="H51" s="482"/>
      <c r="I51" s="326"/>
      <c r="J51" s="327"/>
      <c r="K51" s="481" t="s">
        <v>334</v>
      </c>
      <c r="L51" s="326"/>
      <c r="M51" s="327"/>
      <c r="N51" s="439" t="s">
        <v>303</v>
      </c>
      <c r="O51" s="326"/>
      <c r="P51" s="326"/>
      <c r="Q51" s="326"/>
      <c r="R51" s="326"/>
      <c r="S51" s="326"/>
      <c r="T51" s="326"/>
      <c r="U51" s="327"/>
    </row>
    <row r="52" spans="1:21" ht="34.5" customHeight="1" x14ac:dyDescent="0.25">
      <c r="A52" s="10">
        <f t="shared" si="0"/>
        <v>38</v>
      </c>
      <c r="B52" s="483" t="s">
        <v>303</v>
      </c>
      <c r="C52" s="327"/>
      <c r="D52" s="484" t="s">
        <v>303</v>
      </c>
      <c r="E52" s="327"/>
      <c r="F52" s="481" t="s">
        <v>334</v>
      </c>
      <c r="G52" s="327"/>
      <c r="H52" s="485"/>
      <c r="I52" s="326"/>
      <c r="J52" s="327"/>
      <c r="K52" s="481" t="s">
        <v>334</v>
      </c>
      <c r="L52" s="326"/>
      <c r="M52" s="327"/>
      <c r="N52" s="486" t="s">
        <v>303</v>
      </c>
      <c r="O52" s="326"/>
      <c r="P52" s="326"/>
      <c r="Q52" s="326"/>
      <c r="R52" s="326"/>
      <c r="S52" s="326"/>
      <c r="T52" s="326"/>
      <c r="U52" s="327"/>
    </row>
    <row r="53" spans="1:21" ht="34.5" customHeight="1" x14ac:dyDescent="0.25">
      <c r="A53" s="10">
        <f t="shared" si="0"/>
        <v>39</v>
      </c>
      <c r="B53" s="479" t="s">
        <v>303</v>
      </c>
      <c r="C53" s="327"/>
      <c r="D53" s="480" t="s">
        <v>303</v>
      </c>
      <c r="E53" s="327"/>
      <c r="F53" s="481" t="s">
        <v>334</v>
      </c>
      <c r="G53" s="327"/>
      <c r="H53" s="482"/>
      <c r="I53" s="326"/>
      <c r="J53" s="327"/>
      <c r="K53" s="481" t="s">
        <v>334</v>
      </c>
      <c r="L53" s="326"/>
      <c r="M53" s="327"/>
      <c r="N53" s="439" t="s">
        <v>303</v>
      </c>
      <c r="O53" s="326"/>
      <c r="P53" s="326"/>
      <c r="Q53" s="326"/>
      <c r="R53" s="326"/>
      <c r="S53" s="326"/>
      <c r="T53" s="326"/>
      <c r="U53" s="327"/>
    </row>
    <row r="54" spans="1:21" ht="34.5" customHeight="1" x14ac:dyDescent="0.25">
      <c r="A54" s="10">
        <f t="shared" si="0"/>
        <v>40</v>
      </c>
      <c r="B54" s="483" t="s">
        <v>303</v>
      </c>
      <c r="C54" s="327"/>
      <c r="D54" s="484" t="s">
        <v>303</v>
      </c>
      <c r="E54" s="327"/>
      <c r="F54" s="481" t="s">
        <v>334</v>
      </c>
      <c r="G54" s="327"/>
      <c r="H54" s="485"/>
      <c r="I54" s="326"/>
      <c r="J54" s="327"/>
      <c r="K54" s="481" t="s">
        <v>334</v>
      </c>
      <c r="L54" s="326"/>
      <c r="M54" s="327"/>
      <c r="N54" s="486" t="s">
        <v>303</v>
      </c>
      <c r="O54" s="326"/>
      <c r="P54" s="326"/>
      <c r="Q54" s="326"/>
      <c r="R54" s="326"/>
      <c r="S54" s="326"/>
      <c r="T54" s="326"/>
      <c r="U54" s="327"/>
    </row>
    <row r="55" spans="1:21" ht="34.5" customHeight="1" x14ac:dyDescent="0.25">
      <c r="A55" s="10">
        <f t="shared" si="0"/>
        <v>41</v>
      </c>
      <c r="B55" s="479" t="s">
        <v>303</v>
      </c>
      <c r="C55" s="327"/>
      <c r="D55" s="480" t="s">
        <v>303</v>
      </c>
      <c r="E55" s="327"/>
      <c r="F55" s="481" t="s">
        <v>334</v>
      </c>
      <c r="G55" s="327"/>
      <c r="H55" s="482"/>
      <c r="I55" s="326"/>
      <c r="J55" s="327"/>
      <c r="K55" s="481" t="s">
        <v>334</v>
      </c>
      <c r="L55" s="326"/>
      <c r="M55" s="327"/>
      <c r="N55" s="439" t="s">
        <v>303</v>
      </c>
      <c r="O55" s="326"/>
      <c r="P55" s="326"/>
      <c r="Q55" s="326"/>
      <c r="R55" s="326"/>
      <c r="S55" s="326"/>
      <c r="T55" s="326"/>
      <c r="U55" s="327"/>
    </row>
    <row r="56" spans="1:21" ht="34.5" customHeight="1" x14ac:dyDescent="0.25">
      <c r="A56" s="10">
        <f t="shared" si="0"/>
        <v>42</v>
      </c>
      <c r="B56" s="483" t="s">
        <v>303</v>
      </c>
      <c r="C56" s="327"/>
      <c r="D56" s="484" t="s">
        <v>303</v>
      </c>
      <c r="E56" s="327"/>
      <c r="F56" s="481" t="s">
        <v>334</v>
      </c>
      <c r="G56" s="327"/>
      <c r="H56" s="485"/>
      <c r="I56" s="326"/>
      <c r="J56" s="327"/>
      <c r="K56" s="481" t="s">
        <v>334</v>
      </c>
      <c r="L56" s="326"/>
      <c r="M56" s="327"/>
      <c r="N56" s="486" t="s">
        <v>303</v>
      </c>
      <c r="O56" s="326"/>
      <c r="P56" s="326"/>
      <c r="Q56" s="326"/>
      <c r="R56" s="326"/>
      <c r="S56" s="326"/>
      <c r="T56" s="326"/>
      <c r="U56" s="327"/>
    </row>
    <row r="57" spans="1:21" ht="34.5" customHeight="1" x14ac:dyDescent="0.25">
      <c r="A57" s="10">
        <f t="shared" si="0"/>
        <v>43</v>
      </c>
      <c r="B57" s="479" t="s">
        <v>303</v>
      </c>
      <c r="C57" s="327"/>
      <c r="D57" s="480" t="s">
        <v>303</v>
      </c>
      <c r="E57" s="327"/>
      <c r="F57" s="481" t="s">
        <v>334</v>
      </c>
      <c r="G57" s="327"/>
      <c r="H57" s="482"/>
      <c r="I57" s="326"/>
      <c r="J57" s="327"/>
      <c r="K57" s="481" t="s">
        <v>334</v>
      </c>
      <c r="L57" s="326"/>
      <c r="M57" s="327"/>
      <c r="N57" s="439" t="s">
        <v>303</v>
      </c>
      <c r="O57" s="326"/>
      <c r="P57" s="326"/>
      <c r="Q57" s="326"/>
      <c r="R57" s="326"/>
      <c r="S57" s="326"/>
      <c r="T57" s="326"/>
      <c r="U57" s="327"/>
    </row>
    <row r="58" spans="1:21" ht="34.5" customHeight="1" x14ac:dyDescent="0.25">
      <c r="A58" s="10">
        <f t="shared" si="0"/>
        <v>44</v>
      </c>
      <c r="B58" s="483" t="s">
        <v>303</v>
      </c>
      <c r="C58" s="327"/>
      <c r="D58" s="484" t="s">
        <v>303</v>
      </c>
      <c r="E58" s="327"/>
      <c r="F58" s="481" t="s">
        <v>334</v>
      </c>
      <c r="G58" s="327"/>
      <c r="H58" s="485"/>
      <c r="I58" s="326"/>
      <c r="J58" s="327"/>
      <c r="K58" s="481" t="s">
        <v>334</v>
      </c>
      <c r="L58" s="326"/>
      <c r="M58" s="327"/>
      <c r="N58" s="486" t="s">
        <v>303</v>
      </c>
      <c r="O58" s="326"/>
      <c r="P58" s="326"/>
      <c r="Q58" s="326"/>
      <c r="R58" s="326"/>
      <c r="S58" s="326"/>
      <c r="T58" s="326"/>
      <c r="U58" s="327"/>
    </row>
    <row r="59" spans="1:21" ht="34.5" customHeight="1" x14ac:dyDescent="0.25">
      <c r="A59" s="10">
        <f t="shared" si="0"/>
        <v>45</v>
      </c>
      <c r="B59" s="479" t="s">
        <v>303</v>
      </c>
      <c r="C59" s="327"/>
      <c r="D59" s="480" t="s">
        <v>303</v>
      </c>
      <c r="E59" s="327"/>
      <c r="F59" s="481" t="s">
        <v>334</v>
      </c>
      <c r="G59" s="327"/>
      <c r="H59" s="482"/>
      <c r="I59" s="326"/>
      <c r="J59" s="327"/>
      <c r="K59" s="481" t="s">
        <v>334</v>
      </c>
      <c r="L59" s="326"/>
      <c r="M59" s="327"/>
      <c r="N59" s="439" t="s">
        <v>303</v>
      </c>
      <c r="O59" s="326"/>
      <c r="P59" s="326"/>
      <c r="Q59" s="326"/>
      <c r="R59" s="326"/>
      <c r="S59" s="326"/>
      <c r="T59" s="326"/>
      <c r="U59" s="327"/>
    </row>
    <row r="60" spans="1:21" ht="34.5" customHeight="1" x14ac:dyDescent="0.25">
      <c r="A60" s="10">
        <f t="shared" si="0"/>
        <v>46</v>
      </c>
      <c r="B60" s="483" t="s">
        <v>303</v>
      </c>
      <c r="C60" s="327"/>
      <c r="D60" s="484" t="s">
        <v>303</v>
      </c>
      <c r="E60" s="327"/>
      <c r="F60" s="481" t="s">
        <v>334</v>
      </c>
      <c r="G60" s="327"/>
      <c r="H60" s="485"/>
      <c r="I60" s="326"/>
      <c r="J60" s="327"/>
      <c r="K60" s="481" t="s">
        <v>334</v>
      </c>
      <c r="L60" s="326"/>
      <c r="M60" s="327"/>
      <c r="N60" s="486" t="s">
        <v>303</v>
      </c>
      <c r="O60" s="326"/>
      <c r="P60" s="326"/>
      <c r="Q60" s="326"/>
      <c r="R60" s="326"/>
      <c r="S60" s="326"/>
      <c r="T60" s="326"/>
      <c r="U60" s="327"/>
    </row>
    <row r="61" spans="1:21" ht="34.5" customHeight="1" x14ac:dyDescent="0.25">
      <c r="A61" s="10">
        <f t="shared" si="0"/>
        <v>47</v>
      </c>
      <c r="B61" s="479" t="s">
        <v>303</v>
      </c>
      <c r="C61" s="327"/>
      <c r="D61" s="480" t="s">
        <v>303</v>
      </c>
      <c r="E61" s="327"/>
      <c r="F61" s="481" t="s">
        <v>334</v>
      </c>
      <c r="G61" s="327"/>
      <c r="H61" s="482"/>
      <c r="I61" s="326"/>
      <c r="J61" s="327"/>
      <c r="K61" s="481" t="s">
        <v>334</v>
      </c>
      <c r="L61" s="326"/>
      <c r="M61" s="327"/>
      <c r="N61" s="439" t="s">
        <v>303</v>
      </c>
      <c r="O61" s="326"/>
      <c r="P61" s="326"/>
      <c r="Q61" s="326"/>
      <c r="R61" s="326"/>
      <c r="S61" s="326"/>
      <c r="T61" s="326"/>
      <c r="U61" s="327"/>
    </row>
    <row r="62" spans="1:21" ht="34.5" customHeight="1" x14ac:dyDescent="0.25">
      <c r="A62" s="10">
        <f t="shared" si="0"/>
        <v>48</v>
      </c>
      <c r="B62" s="483" t="s">
        <v>303</v>
      </c>
      <c r="C62" s="327"/>
      <c r="D62" s="484" t="s">
        <v>303</v>
      </c>
      <c r="E62" s="327"/>
      <c r="F62" s="481" t="s">
        <v>334</v>
      </c>
      <c r="G62" s="327"/>
      <c r="H62" s="485"/>
      <c r="I62" s="326"/>
      <c r="J62" s="327"/>
      <c r="K62" s="481" t="s">
        <v>334</v>
      </c>
      <c r="L62" s="326"/>
      <c r="M62" s="327"/>
      <c r="N62" s="486" t="s">
        <v>303</v>
      </c>
      <c r="O62" s="326"/>
      <c r="P62" s="326"/>
      <c r="Q62" s="326"/>
      <c r="R62" s="326"/>
      <c r="S62" s="326"/>
      <c r="T62" s="326"/>
      <c r="U62" s="327"/>
    </row>
    <row r="63" spans="1:21" ht="34.5" customHeight="1" x14ac:dyDescent="0.25">
      <c r="A63" s="10">
        <f t="shared" si="0"/>
        <v>49</v>
      </c>
      <c r="B63" s="479" t="s">
        <v>303</v>
      </c>
      <c r="C63" s="327"/>
      <c r="D63" s="480" t="s">
        <v>303</v>
      </c>
      <c r="E63" s="327"/>
      <c r="F63" s="481" t="s">
        <v>334</v>
      </c>
      <c r="G63" s="327"/>
      <c r="H63" s="482"/>
      <c r="I63" s="326"/>
      <c r="J63" s="327"/>
      <c r="K63" s="481" t="s">
        <v>334</v>
      </c>
      <c r="L63" s="326"/>
      <c r="M63" s="327"/>
      <c r="N63" s="439" t="s">
        <v>303</v>
      </c>
      <c r="O63" s="326"/>
      <c r="P63" s="326"/>
      <c r="Q63" s="326"/>
      <c r="R63" s="326"/>
      <c r="S63" s="326"/>
      <c r="T63" s="326"/>
      <c r="U63" s="327"/>
    </row>
    <row r="64" spans="1:21" ht="34.5" customHeight="1" x14ac:dyDescent="0.25">
      <c r="A64" s="10">
        <f t="shared" si="0"/>
        <v>50</v>
      </c>
      <c r="B64" s="483" t="s">
        <v>303</v>
      </c>
      <c r="C64" s="327"/>
      <c r="D64" s="484" t="s">
        <v>303</v>
      </c>
      <c r="E64" s="327"/>
      <c r="F64" s="481" t="s">
        <v>334</v>
      </c>
      <c r="G64" s="327"/>
      <c r="H64" s="485"/>
      <c r="I64" s="326"/>
      <c r="J64" s="327"/>
      <c r="K64" s="481" t="s">
        <v>334</v>
      </c>
      <c r="L64" s="326"/>
      <c r="M64" s="327"/>
      <c r="N64" s="486" t="s">
        <v>303</v>
      </c>
      <c r="O64" s="326"/>
      <c r="P64" s="326"/>
      <c r="Q64" s="326"/>
      <c r="R64" s="326"/>
      <c r="S64" s="326"/>
      <c r="T64" s="326"/>
      <c r="U64" s="327"/>
    </row>
    <row r="65" spans="1:21" ht="34.5" customHeight="1" x14ac:dyDescent="0.25">
      <c r="A65" s="10">
        <f t="shared" si="0"/>
        <v>51</v>
      </c>
      <c r="B65" s="479" t="s">
        <v>303</v>
      </c>
      <c r="C65" s="327"/>
      <c r="D65" s="480" t="s">
        <v>303</v>
      </c>
      <c r="E65" s="327"/>
      <c r="F65" s="481" t="s">
        <v>334</v>
      </c>
      <c r="G65" s="327"/>
      <c r="H65" s="482"/>
      <c r="I65" s="326"/>
      <c r="J65" s="327"/>
      <c r="K65" s="481" t="s">
        <v>334</v>
      </c>
      <c r="L65" s="326"/>
      <c r="M65" s="327"/>
      <c r="N65" s="439" t="s">
        <v>303</v>
      </c>
      <c r="O65" s="326"/>
      <c r="P65" s="326"/>
      <c r="Q65" s="326"/>
      <c r="R65" s="326"/>
      <c r="S65" s="326"/>
      <c r="T65" s="326"/>
      <c r="U65" s="327"/>
    </row>
    <row r="66" spans="1:21" ht="34.5" customHeight="1" x14ac:dyDescent="0.25">
      <c r="A66" s="10">
        <f t="shared" si="0"/>
        <v>52</v>
      </c>
      <c r="B66" s="483" t="s">
        <v>303</v>
      </c>
      <c r="C66" s="327"/>
      <c r="D66" s="484" t="s">
        <v>303</v>
      </c>
      <c r="E66" s="327"/>
      <c r="F66" s="481" t="s">
        <v>334</v>
      </c>
      <c r="G66" s="327"/>
      <c r="H66" s="485"/>
      <c r="I66" s="326"/>
      <c r="J66" s="327"/>
      <c r="K66" s="481" t="s">
        <v>334</v>
      </c>
      <c r="L66" s="326"/>
      <c r="M66" s="327"/>
      <c r="N66" s="486" t="s">
        <v>303</v>
      </c>
      <c r="O66" s="326"/>
      <c r="P66" s="326"/>
      <c r="Q66" s="326"/>
      <c r="R66" s="326"/>
      <c r="S66" s="326"/>
      <c r="T66" s="326"/>
      <c r="U66" s="327"/>
    </row>
    <row r="67" spans="1:21" ht="34.5" customHeight="1" x14ac:dyDescent="0.25">
      <c r="A67" s="10">
        <f t="shared" si="0"/>
        <v>53</v>
      </c>
      <c r="B67" s="479" t="s">
        <v>303</v>
      </c>
      <c r="C67" s="327"/>
      <c r="D67" s="480" t="s">
        <v>303</v>
      </c>
      <c r="E67" s="327"/>
      <c r="F67" s="481" t="s">
        <v>334</v>
      </c>
      <c r="G67" s="327"/>
      <c r="H67" s="482"/>
      <c r="I67" s="326"/>
      <c r="J67" s="327"/>
      <c r="K67" s="481" t="s">
        <v>334</v>
      </c>
      <c r="L67" s="326"/>
      <c r="M67" s="327"/>
      <c r="N67" s="439" t="s">
        <v>303</v>
      </c>
      <c r="O67" s="326"/>
      <c r="P67" s="326"/>
      <c r="Q67" s="326"/>
      <c r="R67" s="326"/>
      <c r="S67" s="326"/>
      <c r="T67" s="326"/>
      <c r="U67" s="327"/>
    </row>
    <row r="68" spans="1:21" ht="34.5" customHeight="1" x14ac:dyDescent="0.25">
      <c r="A68" s="10">
        <f t="shared" si="0"/>
        <v>54</v>
      </c>
      <c r="B68" s="483" t="s">
        <v>303</v>
      </c>
      <c r="C68" s="327"/>
      <c r="D68" s="484" t="s">
        <v>303</v>
      </c>
      <c r="E68" s="327"/>
      <c r="F68" s="481" t="s">
        <v>334</v>
      </c>
      <c r="G68" s="327"/>
      <c r="H68" s="485"/>
      <c r="I68" s="326"/>
      <c r="J68" s="327"/>
      <c r="K68" s="481" t="s">
        <v>334</v>
      </c>
      <c r="L68" s="326"/>
      <c r="M68" s="327"/>
      <c r="N68" s="486" t="s">
        <v>303</v>
      </c>
      <c r="O68" s="326"/>
      <c r="P68" s="326"/>
      <c r="Q68" s="326"/>
      <c r="R68" s="326"/>
      <c r="S68" s="326"/>
      <c r="T68" s="326"/>
      <c r="U68" s="327"/>
    </row>
    <row r="69" spans="1:21" ht="34.5" customHeight="1" x14ac:dyDescent="0.25">
      <c r="A69" s="10">
        <f t="shared" si="0"/>
        <v>55</v>
      </c>
      <c r="B69" s="479" t="s">
        <v>303</v>
      </c>
      <c r="C69" s="327"/>
      <c r="D69" s="480" t="s">
        <v>303</v>
      </c>
      <c r="E69" s="327"/>
      <c r="F69" s="481" t="s">
        <v>334</v>
      </c>
      <c r="G69" s="327"/>
      <c r="H69" s="482"/>
      <c r="I69" s="326"/>
      <c r="J69" s="327"/>
      <c r="K69" s="481" t="s">
        <v>334</v>
      </c>
      <c r="L69" s="326"/>
      <c r="M69" s="327"/>
      <c r="N69" s="439" t="s">
        <v>303</v>
      </c>
      <c r="O69" s="326"/>
      <c r="P69" s="326"/>
      <c r="Q69" s="326"/>
      <c r="R69" s="326"/>
      <c r="S69" s="326"/>
      <c r="T69" s="326"/>
      <c r="U69" s="327"/>
    </row>
    <row r="70" spans="1:21" ht="34.5" customHeight="1" x14ac:dyDescent="0.25">
      <c r="A70" s="10">
        <f t="shared" si="0"/>
        <v>56</v>
      </c>
      <c r="B70" s="483" t="s">
        <v>303</v>
      </c>
      <c r="C70" s="327"/>
      <c r="D70" s="484" t="s">
        <v>303</v>
      </c>
      <c r="E70" s="327"/>
      <c r="F70" s="481" t="s">
        <v>334</v>
      </c>
      <c r="G70" s="327"/>
      <c r="H70" s="485"/>
      <c r="I70" s="326"/>
      <c r="J70" s="327"/>
      <c r="K70" s="481" t="s">
        <v>334</v>
      </c>
      <c r="L70" s="326"/>
      <c r="M70" s="327"/>
      <c r="N70" s="486" t="s">
        <v>303</v>
      </c>
      <c r="O70" s="326"/>
      <c r="P70" s="326"/>
      <c r="Q70" s="326"/>
      <c r="R70" s="326"/>
      <c r="S70" s="326"/>
      <c r="T70" s="326"/>
      <c r="U70" s="327"/>
    </row>
    <row r="71" spans="1:21" ht="34.5" customHeight="1" x14ac:dyDescent="0.25">
      <c r="A71" s="10">
        <f t="shared" si="0"/>
        <v>57</v>
      </c>
      <c r="B71" s="479" t="s">
        <v>303</v>
      </c>
      <c r="C71" s="327"/>
      <c r="D71" s="480" t="s">
        <v>303</v>
      </c>
      <c r="E71" s="327"/>
      <c r="F71" s="481" t="s">
        <v>334</v>
      </c>
      <c r="G71" s="327"/>
      <c r="H71" s="482"/>
      <c r="I71" s="326"/>
      <c r="J71" s="327"/>
      <c r="K71" s="481" t="s">
        <v>334</v>
      </c>
      <c r="L71" s="326"/>
      <c r="M71" s="327"/>
      <c r="N71" s="439" t="s">
        <v>303</v>
      </c>
      <c r="O71" s="326"/>
      <c r="P71" s="326"/>
      <c r="Q71" s="326"/>
      <c r="R71" s="326"/>
      <c r="S71" s="326"/>
      <c r="T71" s="326"/>
      <c r="U71" s="327"/>
    </row>
    <row r="72" spans="1:21" ht="34.5" customHeight="1" x14ac:dyDescent="0.25">
      <c r="A72" s="10">
        <f t="shared" si="0"/>
        <v>58</v>
      </c>
      <c r="B72" s="483" t="s">
        <v>303</v>
      </c>
      <c r="C72" s="327"/>
      <c r="D72" s="484" t="s">
        <v>303</v>
      </c>
      <c r="E72" s="327"/>
      <c r="F72" s="481" t="s">
        <v>334</v>
      </c>
      <c r="G72" s="327"/>
      <c r="H72" s="485"/>
      <c r="I72" s="326"/>
      <c r="J72" s="327"/>
      <c r="K72" s="481" t="s">
        <v>334</v>
      </c>
      <c r="L72" s="326"/>
      <c r="M72" s="327"/>
      <c r="N72" s="486" t="s">
        <v>303</v>
      </c>
      <c r="O72" s="326"/>
      <c r="P72" s="326"/>
      <c r="Q72" s="326"/>
      <c r="R72" s="326"/>
      <c r="S72" s="326"/>
      <c r="T72" s="326"/>
      <c r="U72" s="327"/>
    </row>
    <row r="73" spans="1:21" ht="34.5" customHeight="1" x14ac:dyDescent="0.25">
      <c r="A73" s="10">
        <f t="shared" si="0"/>
        <v>59</v>
      </c>
      <c r="B73" s="479" t="s">
        <v>303</v>
      </c>
      <c r="C73" s="327"/>
      <c r="D73" s="480" t="s">
        <v>303</v>
      </c>
      <c r="E73" s="327"/>
      <c r="F73" s="481" t="s">
        <v>334</v>
      </c>
      <c r="G73" s="327"/>
      <c r="H73" s="482"/>
      <c r="I73" s="326"/>
      <c r="J73" s="327"/>
      <c r="K73" s="481" t="s">
        <v>334</v>
      </c>
      <c r="L73" s="326"/>
      <c r="M73" s="327"/>
      <c r="N73" s="439" t="s">
        <v>303</v>
      </c>
      <c r="O73" s="326"/>
      <c r="P73" s="326"/>
      <c r="Q73" s="326"/>
      <c r="R73" s="326"/>
      <c r="S73" s="326"/>
      <c r="T73" s="326"/>
      <c r="U73" s="327"/>
    </row>
    <row r="74" spans="1:21" ht="34.5" customHeight="1" x14ac:dyDescent="0.25">
      <c r="A74" s="10">
        <f t="shared" si="0"/>
        <v>60</v>
      </c>
      <c r="B74" s="483" t="s">
        <v>303</v>
      </c>
      <c r="C74" s="327"/>
      <c r="D74" s="484" t="s">
        <v>303</v>
      </c>
      <c r="E74" s="327"/>
      <c r="F74" s="481" t="s">
        <v>334</v>
      </c>
      <c r="G74" s="327"/>
      <c r="H74" s="485"/>
      <c r="I74" s="326"/>
      <c r="J74" s="327"/>
      <c r="K74" s="481" t="s">
        <v>334</v>
      </c>
      <c r="L74" s="326"/>
      <c r="M74" s="327"/>
      <c r="N74" s="486" t="s">
        <v>303</v>
      </c>
      <c r="O74" s="326"/>
      <c r="P74" s="326"/>
      <c r="Q74" s="326"/>
      <c r="R74" s="326"/>
      <c r="S74" s="326"/>
      <c r="T74" s="326"/>
      <c r="U74" s="327"/>
    </row>
    <row r="75" spans="1:21" ht="34.5" customHeight="1" x14ac:dyDescent="0.25">
      <c r="A75" s="10">
        <f t="shared" si="0"/>
        <v>61</v>
      </c>
      <c r="B75" s="479" t="s">
        <v>335</v>
      </c>
      <c r="C75" s="327"/>
      <c r="D75" s="480" t="s">
        <v>303</v>
      </c>
      <c r="E75" s="327"/>
      <c r="F75" s="481" t="s">
        <v>334</v>
      </c>
      <c r="G75" s="327"/>
      <c r="H75" s="482"/>
      <c r="I75" s="326"/>
      <c r="J75" s="327"/>
      <c r="K75" s="481" t="s">
        <v>334</v>
      </c>
      <c r="L75" s="326"/>
      <c r="M75" s="327"/>
      <c r="N75" s="439" t="s">
        <v>303</v>
      </c>
      <c r="O75" s="326"/>
      <c r="P75" s="326"/>
      <c r="Q75" s="326"/>
      <c r="R75" s="326"/>
      <c r="S75" s="326"/>
      <c r="T75" s="326"/>
      <c r="U75" s="327"/>
    </row>
    <row r="76" spans="1:21" ht="34.5" customHeight="1" x14ac:dyDescent="0.25">
      <c r="A76" s="10">
        <f t="shared" si="0"/>
        <v>62</v>
      </c>
      <c r="B76" s="483" t="s">
        <v>303</v>
      </c>
      <c r="C76" s="327"/>
      <c r="D76" s="484" t="s">
        <v>303</v>
      </c>
      <c r="E76" s="327"/>
      <c r="F76" s="481" t="s">
        <v>334</v>
      </c>
      <c r="G76" s="327"/>
      <c r="H76" s="485"/>
      <c r="I76" s="326"/>
      <c r="J76" s="327"/>
      <c r="K76" s="481" t="s">
        <v>334</v>
      </c>
      <c r="L76" s="326"/>
      <c r="M76" s="327"/>
      <c r="N76" s="486" t="s">
        <v>303</v>
      </c>
      <c r="O76" s="326"/>
      <c r="P76" s="326"/>
      <c r="Q76" s="326"/>
      <c r="R76" s="326"/>
      <c r="S76" s="326"/>
      <c r="T76" s="326"/>
      <c r="U76" s="327"/>
    </row>
    <row r="77" spans="1:21" ht="34.5" customHeight="1" x14ac:dyDescent="0.25">
      <c r="A77" s="10">
        <f t="shared" si="0"/>
        <v>63</v>
      </c>
      <c r="B77" s="479" t="s">
        <v>303</v>
      </c>
      <c r="C77" s="327"/>
      <c r="D77" s="480" t="s">
        <v>303</v>
      </c>
      <c r="E77" s="327"/>
      <c r="F77" s="481" t="s">
        <v>334</v>
      </c>
      <c r="G77" s="327"/>
      <c r="H77" s="482"/>
      <c r="I77" s="326"/>
      <c r="J77" s="327"/>
      <c r="K77" s="481" t="s">
        <v>334</v>
      </c>
      <c r="L77" s="326"/>
      <c r="M77" s="327"/>
      <c r="N77" s="439" t="s">
        <v>303</v>
      </c>
      <c r="O77" s="326"/>
      <c r="P77" s="326"/>
      <c r="Q77" s="326"/>
      <c r="R77" s="326"/>
      <c r="S77" s="326"/>
      <c r="T77" s="326"/>
      <c r="U77" s="327"/>
    </row>
    <row r="78" spans="1:21" ht="34.5" customHeight="1" x14ac:dyDescent="0.25">
      <c r="A78" s="10">
        <f t="shared" si="0"/>
        <v>64</v>
      </c>
      <c r="B78" s="483" t="s">
        <v>303</v>
      </c>
      <c r="C78" s="327"/>
      <c r="D78" s="484" t="s">
        <v>303</v>
      </c>
      <c r="E78" s="327"/>
      <c r="F78" s="481" t="s">
        <v>334</v>
      </c>
      <c r="G78" s="327"/>
      <c r="H78" s="485"/>
      <c r="I78" s="326"/>
      <c r="J78" s="327"/>
      <c r="K78" s="481" t="s">
        <v>334</v>
      </c>
      <c r="L78" s="326"/>
      <c r="M78" s="327"/>
      <c r="N78" s="486" t="s">
        <v>303</v>
      </c>
      <c r="O78" s="326"/>
      <c r="P78" s="326"/>
      <c r="Q78" s="326"/>
      <c r="R78" s="326"/>
      <c r="S78" s="326"/>
      <c r="T78" s="326"/>
      <c r="U78" s="327"/>
    </row>
    <row r="79" spans="1:21" ht="34.5" customHeight="1" x14ac:dyDescent="0.25">
      <c r="A79" s="10">
        <f t="shared" si="0"/>
        <v>65</v>
      </c>
      <c r="B79" s="479" t="s">
        <v>303</v>
      </c>
      <c r="C79" s="327"/>
      <c r="D79" s="480" t="s">
        <v>303</v>
      </c>
      <c r="E79" s="327"/>
      <c r="F79" s="481" t="s">
        <v>334</v>
      </c>
      <c r="G79" s="327"/>
      <c r="H79" s="482"/>
      <c r="I79" s="326"/>
      <c r="J79" s="327"/>
      <c r="K79" s="481" t="s">
        <v>334</v>
      </c>
      <c r="L79" s="326"/>
      <c r="M79" s="327"/>
      <c r="N79" s="439" t="s">
        <v>303</v>
      </c>
      <c r="O79" s="326"/>
      <c r="P79" s="326"/>
      <c r="Q79" s="326"/>
      <c r="R79" s="326"/>
      <c r="S79" s="326"/>
      <c r="T79" s="326"/>
      <c r="U79" s="327"/>
    </row>
    <row r="80" spans="1:21" ht="34.5" customHeight="1" x14ac:dyDescent="0.25">
      <c r="A80" s="10">
        <f t="shared" si="0"/>
        <v>66</v>
      </c>
      <c r="B80" s="483" t="s">
        <v>303</v>
      </c>
      <c r="C80" s="327"/>
      <c r="D80" s="484" t="s">
        <v>303</v>
      </c>
      <c r="E80" s="327"/>
      <c r="F80" s="481" t="s">
        <v>334</v>
      </c>
      <c r="G80" s="327"/>
      <c r="H80" s="485"/>
      <c r="I80" s="326"/>
      <c r="J80" s="327"/>
      <c r="K80" s="481" t="s">
        <v>334</v>
      </c>
      <c r="L80" s="326"/>
      <c r="M80" s="327"/>
      <c r="N80" s="486" t="s">
        <v>303</v>
      </c>
      <c r="O80" s="326"/>
      <c r="P80" s="326"/>
      <c r="Q80" s="326"/>
      <c r="R80" s="326"/>
      <c r="S80" s="326"/>
      <c r="T80" s="326"/>
      <c r="U80" s="327"/>
    </row>
    <row r="81" spans="1:21" ht="34.5" customHeight="1" x14ac:dyDescent="0.25">
      <c r="A81" s="10">
        <f t="shared" si="0"/>
        <v>67</v>
      </c>
      <c r="B81" s="479" t="s">
        <v>336</v>
      </c>
      <c r="C81" s="327"/>
      <c r="D81" s="480" t="s">
        <v>303</v>
      </c>
      <c r="E81" s="327"/>
      <c r="F81" s="481" t="s">
        <v>334</v>
      </c>
      <c r="G81" s="327"/>
      <c r="H81" s="482"/>
      <c r="I81" s="326"/>
      <c r="J81" s="327"/>
      <c r="K81" s="481" t="s">
        <v>334</v>
      </c>
      <c r="L81" s="326"/>
      <c r="M81" s="327"/>
      <c r="N81" s="439" t="s">
        <v>303</v>
      </c>
      <c r="O81" s="326"/>
      <c r="P81" s="326"/>
      <c r="Q81" s="326"/>
      <c r="R81" s="326"/>
      <c r="S81" s="326"/>
      <c r="T81" s="326"/>
      <c r="U81" s="327"/>
    </row>
    <row r="82" spans="1:21" ht="34.5" customHeight="1" x14ac:dyDescent="0.25">
      <c r="A82" s="10">
        <f t="shared" si="0"/>
        <v>68</v>
      </c>
      <c r="B82" s="483" t="s">
        <v>303</v>
      </c>
      <c r="C82" s="327"/>
      <c r="D82" s="484" t="s">
        <v>303</v>
      </c>
      <c r="E82" s="327"/>
      <c r="F82" s="481" t="s">
        <v>334</v>
      </c>
      <c r="G82" s="327"/>
      <c r="H82" s="485"/>
      <c r="I82" s="326"/>
      <c r="J82" s="327"/>
      <c r="K82" s="481" t="s">
        <v>334</v>
      </c>
      <c r="L82" s="326"/>
      <c r="M82" s="327"/>
      <c r="N82" s="486" t="s">
        <v>303</v>
      </c>
      <c r="O82" s="326"/>
      <c r="P82" s="326"/>
      <c r="Q82" s="326"/>
      <c r="R82" s="326"/>
      <c r="S82" s="326"/>
      <c r="T82" s="326"/>
      <c r="U82" s="327"/>
    </row>
    <row r="83" spans="1:21" ht="34.5" customHeight="1" x14ac:dyDescent="0.25">
      <c r="A83" s="10">
        <f t="shared" si="0"/>
        <v>69</v>
      </c>
      <c r="B83" s="479" t="s">
        <v>303</v>
      </c>
      <c r="C83" s="327"/>
      <c r="D83" s="480" t="s">
        <v>303</v>
      </c>
      <c r="E83" s="327"/>
      <c r="F83" s="481" t="s">
        <v>334</v>
      </c>
      <c r="G83" s="327"/>
      <c r="H83" s="482"/>
      <c r="I83" s="326"/>
      <c r="J83" s="327"/>
      <c r="K83" s="481" t="s">
        <v>334</v>
      </c>
      <c r="L83" s="326"/>
      <c r="M83" s="327"/>
      <c r="N83" s="439" t="s">
        <v>303</v>
      </c>
      <c r="O83" s="326"/>
      <c r="P83" s="326"/>
      <c r="Q83" s="326"/>
      <c r="R83" s="326"/>
      <c r="S83" s="326"/>
      <c r="T83" s="326"/>
      <c r="U83" s="327"/>
    </row>
    <row r="84" spans="1:21" ht="34.5" customHeight="1" x14ac:dyDescent="0.25">
      <c r="A84" s="10">
        <f t="shared" si="0"/>
        <v>70</v>
      </c>
      <c r="B84" s="483" t="s">
        <v>303</v>
      </c>
      <c r="C84" s="327"/>
      <c r="D84" s="484" t="s">
        <v>303</v>
      </c>
      <c r="E84" s="327"/>
      <c r="F84" s="481" t="s">
        <v>334</v>
      </c>
      <c r="G84" s="327"/>
      <c r="H84" s="485"/>
      <c r="I84" s="326"/>
      <c r="J84" s="327"/>
      <c r="K84" s="481" t="s">
        <v>334</v>
      </c>
      <c r="L84" s="326"/>
      <c r="M84" s="327"/>
      <c r="N84" s="486" t="s">
        <v>303</v>
      </c>
      <c r="O84" s="326"/>
      <c r="P84" s="326"/>
      <c r="Q84" s="326"/>
      <c r="R84" s="326"/>
      <c r="S84" s="326"/>
      <c r="T84" s="326"/>
      <c r="U84" s="327"/>
    </row>
    <row r="85" spans="1:21" ht="34.5" customHeight="1" x14ac:dyDescent="0.25">
      <c r="A85" s="10">
        <f t="shared" si="0"/>
        <v>71</v>
      </c>
      <c r="B85" s="479" t="s">
        <v>303</v>
      </c>
      <c r="C85" s="327"/>
      <c r="D85" s="480" t="s">
        <v>303</v>
      </c>
      <c r="E85" s="327"/>
      <c r="F85" s="481" t="s">
        <v>334</v>
      </c>
      <c r="G85" s="327"/>
      <c r="H85" s="482"/>
      <c r="I85" s="326"/>
      <c r="J85" s="327"/>
      <c r="K85" s="481" t="s">
        <v>334</v>
      </c>
      <c r="L85" s="326"/>
      <c r="M85" s="327"/>
      <c r="N85" s="439" t="s">
        <v>303</v>
      </c>
      <c r="O85" s="326"/>
      <c r="P85" s="326"/>
      <c r="Q85" s="326"/>
      <c r="R85" s="326"/>
      <c r="S85" s="326"/>
      <c r="T85" s="326"/>
      <c r="U85" s="327"/>
    </row>
    <row r="86" spans="1:21" ht="34.5" customHeight="1" x14ac:dyDescent="0.25">
      <c r="A86" s="10">
        <f t="shared" si="0"/>
        <v>72</v>
      </c>
      <c r="B86" s="483" t="s">
        <v>303</v>
      </c>
      <c r="C86" s="327"/>
      <c r="D86" s="484" t="s">
        <v>303</v>
      </c>
      <c r="E86" s="327"/>
      <c r="F86" s="481" t="s">
        <v>334</v>
      </c>
      <c r="G86" s="327"/>
      <c r="H86" s="485"/>
      <c r="I86" s="326"/>
      <c r="J86" s="327"/>
      <c r="K86" s="481" t="s">
        <v>334</v>
      </c>
      <c r="L86" s="326"/>
      <c r="M86" s="327"/>
      <c r="N86" s="486" t="s">
        <v>303</v>
      </c>
      <c r="O86" s="326"/>
      <c r="P86" s="326"/>
      <c r="Q86" s="326"/>
      <c r="R86" s="326"/>
      <c r="S86" s="326"/>
      <c r="T86" s="326"/>
      <c r="U86" s="327"/>
    </row>
    <row r="87" spans="1:21" ht="34.5" customHeight="1" x14ac:dyDescent="0.25">
      <c r="A87" s="10">
        <f t="shared" si="0"/>
        <v>73</v>
      </c>
      <c r="B87" s="479" t="s">
        <v>303</v>
      </c>
      <c r="C87" s="327"/>
      <c r="D87" s="480" t="s">
        <v>303</v>
      </c>
      <c r="E87" s="327"/>
      <c r="F87" s="481" t="s">
        <v>334</v>
      </c>
      <c r="G87" s="327"/>
      <c r="H87" s="482"/>
      <c r="I87" s="326"/>
      <c r="J87" s="327"/>
      <c r="K87" s="481" t="s">
        <v>334</v>
      </c>
      <c r="L87" s="326"/>
      <c r="M87" s="327"/>
      <c r="N87" s="439" t="s">
        <v>303</v>
      </c>
      <c r="O87" s="326"/>
      <c r="P87" s="326"/>
      <c r="Q87" s="326"/>
      <c r="R87" s="326"/>
      <c r="S87" s="326"/>
      <c r="T87" s="326"/>
      <c r="U87" s="327"/>
    </row>
    <row r="88" spans="1:21" ht="34.5" customHeight="1" x14ac:dyDescent="0.25">
      <c r="A88" s="10">
        <f t="shared" si="0"/>
        <v>74</v>
      </c>
      <c r="B88" s="483" t="s">
        <v>303</v>
      </c>
      <c r="C88" s="327"/>
      <c r="D88" s="484" t="s">
        <v>303</v>
      </c>
      <c r="E88" s="327"/>
      <c r="F88" s="481" t="s">
        <v>334</v>
      </c>
      <c r="G88" s="327"/>
      <c r="H88" s="485"/>
      <c r="I88" s="326"/>
      <c r="J88" s="327"/>
      <c r="K88" s="481" t="s">
        <v>334</v>
      </c>
      <c r="L88" s="326"/>
      <c r="M88" s="327"/>
      <c r="N88" s="486" t="s">
        <v>303</v>
      </c>
      <c r="O88" s="326"/>
      <c r="P88" s="326"/>
      <c r="Q88" s="326"/>
      <c r="R88" s="326"/>
      <c r="S88" s="326"/>
      <c r="T88" s="326"/>
      <c r="U88" s="327"/>
    </row>
    <row r="89" spans="1:21" ht="34.5" customHeight="1" x14ac:dyDescent="0.25">
      <c r="A89" s="10">
        <f t="shared" si="0"/>
        <v>75</v>
      </c>
      <c r="B89" s="479" t="s">
        <v>303</v>
      </c>
      <c r="C89" s="327"/>
      <c r="D89" s="480" t="s">
        <v>303</v>
      </c>
      <c r="E89" s="327"/>
      <c r="F89" s="481" t="s">
        <v>334</v>
      </c>
      <c r="G89" s="327"/>
      <c r="H89" s="482"/>
      <c r="I89" s="326"/>
      <c r="J89" s="327"/>
      <c r="K89" s="481" t="s">
        <v>334</v>
      </c>
      <c r="L89" s="326"/>
      <c r="M89" s="327"/>
      <c r="N89" s="439" t="s">
        <v>303</v>
      </c>
      <c r="O89" s="326"/>
      <c r="P89" s="326"/>
      <c r="Q89" s="326"/>
      <c r="R89" s="326"/>
      <c r="S89" s="326"/>
      <c r="T89" s="326"/>
      <c r="U89" s="327"/>
    </row>
    <row r="90" spans="1:21" ht="34.5" customHeight="1" x14ac:dyDescent="0.25">
      <c r="A90" s="10">
        <f t="shared" si="0"/>
        <v>76</v>
      </c>
      <c r="B90" s="483" t="s">
        <v>303</v>
      </c>
      <c r="C90" s="327"/>
      <c r="D90" s="484" t="s">
        <v>303</v>
      </c>
      <c r="E90" s="327"/>
      <c r="F90" s="481" t="s">
        <v>334</v>
      </c>
      <c r="G90" s="327"/>
      <c r="H90" s="485"/>
      <c r="I90" s="326"/>
      <c r="J90" s="327"/>
      <c r="K90" s="481" t="s">
        <v>334</v>
      </c>
      <c r="L90" s="326"/>
      <c r="M90" s="327"/>
      <c r="N90" s="486" t="s">
        <v>303</v>
      </c>
      <c r="O90" s="326"/>
      <c r="P90" s="326"/>
      <c r="Q90" s="326"/>
      <c r="R90" s="326"/>
      <c r="S90" s="326"/>
      <c r="T90" s="326"/>
      <c r="U90" s="327"/>
    </row>
    <row r="91" spans="1:21" ht="34.5" customHeight="1" x14ac:dyDescent="0.25">
      <c r="A91" s="10">
        <f t="shared" si="0"/>
        <v>77</v>
      </c>
      <c r="B91" s="479" t="s">
        <v>303</v>
      </c>
      <c r="C91" s="327"/>
      <c r="D91" s="480" t="s">
        <v>303</v>
      </c>
      <c r="E91" s="327"/>
      <c r="F91" s="481" t="s">
        <v>334</v>
      </c>
      <c r="G91" s="327"/>
      <c r="H91" s="482"/>
      <c r="I91" s="326"/>
      <c r="J91" s="327"/>
      <c r="K91" s="481" t="s">
        <v>334</v>
      </c>
      <c r="L91" s="326"/>
      <c r="M91" s="327"/>
      <c r="N91" s="439" t="s">
        <v>303</v>
      </c>
      <c r="O91" s="326"/>
      <c r="P91" s="326"/>
      <c r="Q91" s="326"/>
      <c r="R91" s="326"/>
      <c r="S91" s="326"/>
      <c r="T91" s="326"/>
      <c r="U91" s="327"/>
    </row>
    <row r="92" spans="1:21" ht="34.5" customHeight="1" x14ac:dyDescent="0.25">
      <c r="A92" s="10">
        <f t="shared" si="0"/>
        <v>78</v>
      </c>
      <c r="B92" s="483" t="s">
        <v>303</v>
      </c>
      <c r="C92" s="327"/>
      <c r="D92" s="484" t="s">
        <v>303</v>
      </c>
      <c r="E92" s="327"/>
      <c r="F92" s="481" t="s">
        <v>334</v>
      </c>
      <c r="G92" s="327"/>
      <c r="H92" s="485"/>
      <c r="I92" s="326"/>
      <c r="J92" s="327"/>
      <c r="K92" s="481" t="s">
        <v>334</v>
      </c>
      <c r="L92" s="326"/>
      <c r="M92" s="327"/>
      <c r="N92" s="486" t="s">
        <v>303</v>
      </c>
      <c r="O92" s="326"/>
      <c r="P92" s="326"/>
      <c r="Q92" s="326"/>
      <c r="R92" s="326"/>
      <c r="S92" s="326"/>
      <c r="T92" s="326"/>
      <c r="U92" s="327"/>
    </row>
    <row r="93" spans="1:21" ht="34.5" customHeight="1" x14ac:dyDescent="0.25">
      <c r="A93" s="10">
        <f t="shared" si="0"/>
        <v>79</v>
      </c>
      <c r="B93" s="479" t="s">
        <v>303</v>
      </c>
      <c r="C93" s="327"/>
      <c r="D93" s="480" t="s">
        <v>303</v>
      </c>
      <c r="E93" s="327"/>
      <c r="F93" s="481" t="s">
        <v>334</v>
      </c>
      <c r="G93" s="327"/>
      <c r="H93" s="482"/>
      <c r="I93" s="326"/>
      <c r="J93" s="327"/>
      <c r="K93" s="481" t="s">
        <v>334</v>
      </c>
      <c r="L93" s="326"/>
      <c r="M93" s="327"/>
      <c r="N93" s="439" t="s">
        <v>303</v>
      </c>
      <c r="O93" s="326"/>
      <c r="P93" s="326"/>
      <c r="Q93" s="326"/>
      <c r="R93" s="326"/>
      <c r="S93" s="326"/>
      <c r="T93" s="326"/>
      <c r="U93" s="327"/>
    </row>
    <row r="94" spans="1:21" ht="34.5" customHeight="1" x14ac:dyDescent="0.25">
      <c r="A94" s="10">
        <f t="shared" si="0"/>
        <v>80</v>
      </c>
      <c r="B94" s="483" t="s">
        <v>337</v>
      </c>
      <c r="C94" s="327"/>
      <c r="D94" s="484" t="s">
        <v>303</v>
      </c>
      <c r="E94" s="327"/>
      <c r="F94" s="481" t="s">
        <v>334</v>
      </c>
      <c r="G94" s="327"/>
      <c r="H94" s="485"/>
      <c r="I94" s="326"/>
      <c r="J94" s="327"/>
      <c r="K94" s="481" t="s">
        <v>334</v>
      </c>
      <c r="L94" s="326"/>
      <c r="M94" s="327"/>
      <c r="N94" s="486" t="s">
        <v>303</v>
      </c>
      <c r="O94" s="326"/>
      <c r="P94" s="326"/>
      <c r="Q94" s="326"/>
      <c r="R94" s="326"/>
      <c r="S94" s="326"/>
      <c r="T94" s="326"/>
      <c r="U94" s="327"/>
    </row>
    <row r="95" spans="1:21" ht="34.5" customHeight="1" x14ac:dyDescent="0.25">
      <c r="A95" s="10">
        <f t="shared" si="0"/>
        <v>81</v>
      </c>
      <c r="B95" s="479" t="s">
        <v>303</v>
      </c>
      <c r="C95" s="327"/>
      <c r="D95" s="480" t="s">
        <v>303</v>
      </c>
      <c r="E95" s="327"/>
      <c r="F95" s="481" t="s">
        <v>334</v>
      </c>
      <c r="G95" s="327"/>
      <c r="H95" s="482"/>
      <c r="I95" s="326"/>
      <c r="J95" s="327"/>
      <c r="K95" s="481" t="s">
        <v>334</v>
      </c>
      <c r="L95" s="326"/>
      <c r="M95" s="327"/>
      <c r="N95" s="439" t="s">
        <v>303</v>
      </c>
      <c r="O95" s="326"/>
      <c r="P95" s="326"/>
      <c r="Q95" s="326"/>
      <c r="R95" s="326"/>
      <c r="S95" s="326"/>
      <c r="T95" s="326"/>
      <c r="U95" s="327"/>
    </row>
    <row r="96" spans="1:21" ht="34.5" customHeight="1" x14ac:dyDescent="0.25">
      <c r="A96" s="10">
        <f t="shared" si="0"/>
        <v>82</v>
      </c>
      <c r="B96" s="483" t="s">
        <v>303</v>
      </c>
      <c r="C96" s="327"/>
      <c r="D96" s="484" t="s">
        <v>303</v>
      </c>
      <c r="E96" s="327"/>
      <c r="F96" s="481" t="s">
        <v>334</v>
      </c>
      <c r="G96" s="327"/>
      <c r="H96" s="485"/>
      <c r="I96" s="326"/>
      <c r="J96" s="327"/>
      <c r="K96" s="481" t="s">
        <v>334</v>
      </c>
      <c r="L96" s="326"/>
      <c r="M96" s="327"/>
      <c r="N96" s="486" t="s">
        <v>303</v>
      </c>
      <c r="O96" s="326"/>
      <c r="P96" s="326"/>
      <c r="Q96" s="326"/>
      <c r="R96" s="326"/>
      <c r="S96" s="326"/>
      <c r="T96" s="326"/>
      <c r="U96" s="327"/>
    </row>
    <row r="97" spans="1:21" ht="34.5" customHeight="1" x14ac:dyDescent="0.25">
      <c r="A97" s="10">
        <f t="shared" si="0"/>
        <v>83</v>
      </c>
      <c r="B97" s="479" t="s">
        <v>303</v>
      </c>
      <c r="C97" s="327"/>
      <c r="D97" s="480" t="s">
        <v>303</v>
      </c>
      <c r="E97" s="327"/>
      <c r="F97" s="481" t="s">
        <v>334</v>
      </c>
      <c r="G97" s="327"/>
      <c r="H97" s="482"/>
      <c r="I97" s="326"/>
      <c r="J97" s="327"/>
      <c r="K97" s="481" t="s">
        <v>334</v>
      </c>
      <c r="L97" s="326"/>
      <c r="M97" s="327"/>
      <c r="N97" s="439" t="s">
        <v>303</v>
      </c>
      <c r="O97" s="326"/>
      <c r="P97" s="326"/>
      <c r="Q97" s="326"/>
      <c r="R97" s="326"/>
      <c r="S97" s="326"/>
      <c r="T97" s="326"/>
      <c r="U97" s="327"/>
    </row>
    <row r="98" spans="1:21" ht="34.5" customHeight="1" x14ac:dyDescent="0.25">
      <c r="A98" s="10">
        <f t="shared" si="0"/>
        <v>84</v>
      </c>
      <c r="B98" s="483" t="s">
        <v>303</v>
      </c>
      <c r="C98" s="327"/>
      <c r="D98" s="484" t="s">
        <v>303</v>
      </c>
      <c r="E98" s="327"/>
      <c r="F98" s="481" t="s">
        <v>334</v>
      </c>
      <c r="G98" s="327"/>
      <c r="H98" s="485"/>
      <c r="I98" s="326"/>
      <c r="J98" s="327"/>
      <c r="K98" s="481" t="s">
        <v>334</v>
      </c>
      <c r="L98" s="326"/>
      <c r="M98" s="327"/>
      <c r="N98" s="486" t="s">
        <v>303</v>
      </c>
      <c r="O98" s="326"/>
      <c r="P98" s="326"/>
      <c r="Q98" s="326"/>
      <c r="R98" s="326"/>
      <c r="S98" s="326"/>
      <c r="T98" s="326"/>
      <c r="U98" s="327"/>
    </row>
    <row r="99" spans="1:21" ht="34.5" customHeight="1" x14ac:dyDescent="0.25">
      <c r="A99" s="10">
        <f t="shared" si="0"/>
        <v>85</v>
      </c>
      <c r="B99" s="479" t="s">
        <v>303</v>
      </c>
      <c r="C99" s="327"/>
      <c r="D99" s="480" t="s">
        <v>303</v>
      </c>
      <c r="E99" s="327"/>
      <c r="F99" s="481" t="s">
        <v>334</v>
      </c>
      <c r="G99" s="327"/>
      <c r="H99" s="482"/>
      <c r="I99" s="326"/>
      <c r="J99" s="327"/>
      <c r="K99" s="481" t="s">
        <v>334</v>
      </c>
      <c r="L99" s="326"/>
      <c r="M99" s="327"/>
      <c r="N99" s="439" t="s">
        <v>303</v>
      </c>
      <c r="O99" s="326"/>
      <c r="P99" s="326"/>
      <c r="Q99" s="326"/>
      <c r="R99" s="326"/>
      <c r="S99" s="326"/>
      <c r="T99" s="326"/>
      <c r="U99" s="327"/>
    </row>
    <row r="100" spans="1:21" ht="34.5" customHeight="1" x14ac:dyDescent="0.25">
      <c r="A100" s="10">
        <f t="shared" si="0"/>
        <v>86</v>
      </c>
      <c r="B100" s="483" t="s">
        <v>303</v>
      </c>
      <c r="C100" s="327"/>
      <c r="D100" s="484" t="s">
        <v>303</v>
      </c>
      <c r="E100" s="327"/>
      <c r="F100" s="481" t="s">
        <v>334</v>
      </c>
      <c r="G100" s="327"/>
      <c r="H100" s="485"/>
      <c r="I100" s="326"/>
      <c r="J100" s="327"/>
      <c r="K100" s="481" t="s">
        <v>334</v>
      </c>
      <c r="L100" s="326"/>
      <c r="M100" s="327"/>
      <c r="N100" s="486" t="s">
        <v>303</v>
      </c>
      <c r="O100" s="326"/>
      <c r="P100" s="326"/>
      <c r="Q100" s="326"/>
      <c r="R100" s="326"/>
      <c r="S100" s="326"/>
      <c r="T100" s="326"/>
      <c r="U100" s="327"/>
    </row>
    <row r="101" spans="1:21" ht="34.5" customHeight="1" x14ac:dyDescent="0.25">
      <c r="A101" s="10">
        <f t="shared" si="0"/>
        <v>87</v>
      </c>
      <c r="B101" s="479" t="s">
        <v>303</v>
      </c>
      <c r="C101" s="327"/>
      <c r="D101" s="480" t="s">
        <v>303</v>
      </c>
      <c r="E101" s="327"/>
      <c r="F101" s="481" t="s">
        <v>334</v>
      </c>
      <c r="G101" s="327"/>
      <c r="H101" s="482"/>
      <c r="I101" s="326"/>
      <c r="J101" s="327"/>
      <c r="K101" s="481" t="s">
        <v>334</v>
      </c>
      <c r="L101" s="326"/>
      <c r="M101" s="327"/>
      <c r="N101" s="439" t="s">
        <v>303</v>
      </c>
      <c r="O101" s="326"/>
      <c r="P101" s="326"/>
      <c r="Q101" s="326"/>
      <c r="R101" s="326"/>
      <c r="S101" s="326"/>
      <c r="T101" s="326"/>
      <c r="U101" s="327"/>
    </row>
    <row r="102" spans="1:21" ht="34.5" customHeight="1" x14ac:dyDescent="0.25">
      <c r="A102" s="10">
        <f t="shared" si="0"/>
        <v>88</v>
      </c>
      <c r="B102" s="483" t="s">
        <v>303</v>
      </c>
      <c r="C102" s="327"/>
      <c r="D102" s="484" t="s">
        <v>303</v>
      </c>
      <c r="E102" s="327"/>
      <c r="F102" s="481" t="s">
        <v>334</v>
      </c>
      <c r="G102" s="327"/>
      <c r="H102" s="485"/>
      <c r="I102" s="326"/>
      <c r="J102" s="327"/>
      <c r="K102" s="481" t="s">
        <v>334</v>
      </c>
      <c r="L102" s="326"/>
      <c r="M102" s="327"/>
      <c r="N102" s="486" t="s">
        <v>303</v>
      </c>
      <c r="O102" s="326"/>
      <c r="P102" s="326"/>
      <c r="Q102" s="326"/>
      <c r="R102" s="326"/>
      <c r="S102" s="326"/>
      <c r="T102" s="326"/>
      <c r="U102" s="327"/>
    </row>
    <row r="103" spans="1:21" ht="34.5" customHeight="1" x14ac:dyDescent="0.25">
      <c r="A103" s="10">
        <f t="shared" si="0"/>
        <v>89</v>
      </c>
      <c r="B103" s="479" t="s">
        <v>335</v>
      </c>
      <c r="C103" s="327"/>
      <c r="D103" s="480" t="s">
        <v>303</v>
      </c>
      <c r="E103" s="327"/>
      <c r="F103" s="481" t="s">
        <v>334</v>
      </c>
      <c r="G103" s="327"/>
      <c r="H103" s="482"/>
      <c r="I103" s="326"/>
      <c r="J103" s="327"/>
      <c r="K103" s="481" t="s">
        <v>334</v>
      </c>
      <c r="L103" s="326"/>
      <c r="M103" s="327"/>
      <c r="N103" s="439" t="s">
        <v>303</v>
      </c>
      <c r="O103" s="326"/>
      <c r="P103" s="326"/>
      <c r="Q103" s="326"/>
      <c r="R103" s="326"/>
      <c r="S103" s="326"/>
      <c r="T103" s="326"/>
      <c r="U103" s="327"/>
    </row>
    <row r="104" spans="1:21" ht="34.5" customHeight="1" x14ac:dyDescent="0.25">
      <c r="A104" s="10">
        <f t="shared" si="0"/>
        <v>90</v>
      </c>
      <c r="B104" s="483" t="s">
        <v>303</v>
      </c>
      <c r="C104" s="327"/>
      <c r="D104" s="484" t="s">
        <v>303</v>
      </c>
      <c r="E104" s="327"/>
      <c r="F104" s="481" t="s">
        <v>334</v>
      </c>
      <c r="G104" s="327"/>
      <c r="H104" s="485"/>
      <c r="I104" s="326"/>
      <c r="J104" s="327"/>
      <c r="K104" s="481" t="s">
        <v>334</v>
      </c>
      <c r="L104" s="326"/>
      <c r="M104" s="327"/>
      <c r="N104" s="486" t="s">
        <v>303</v>
      </c>
      <c r="O104" s="326"/>
      <c r="P104" s="326"/>
      <c r="Q104" s="326"/>
      <c r="R104" s="326"/>
      <c r="S104" s="326"/>
      <c r="T104" s="326"/>
      <c r="U104" s="327"/>
    </row>
    <row r="105" spans="1:21" ht="34.5" customHeight="1" x14ac:dyDescent="0.25">
      <c r="A105" s="10">
        <f t="shared" si="0"/>
        <v>91</v>
      </c>
      <c r="B105" s="479" t="s">
        <v>303</v>
      </c>
      <c r="C105" s="327"/>
      <c r="D105" s="480" t="s">
        <v>303</v>
      </c>
      <c r="E105" s="327"/>
      <c r="F105" s="481" t="s">
        <v>334</v>
      </c>
      <c r="G105" s="327"/>
      <c r="H105" s="482"/>
      <c r="I105" s="326"/>
      <c r="J105" s="327"/>
      <c r="K105" s="481" t="s">
        <v>334</v>
      </c>
      <c r="L105" s="326"/>
      <c r="M105" s="327"/>
      <c r="N105" s="439" t="s">
        <v>303</v>
      </c>
      <c r="O105" s="326"/>
      <c r="P105" s="326"/>
      <c r="Q105" s="326"/>
      <c r="R105" s="326"/>
      <c r="S105" s="326"/>
      <c r="T105" s="326"/>
      <c r="U105" s="327"/>
    </row>
    <row r="106" spans="1:21" ht="34.5" customHeight="1" x14ac:dyDescent="0.25">
      <c r="A106" s="10">
        <f t="shared" si="0"/>
        <v>92</v>
      </c>
      <c r="B106" s="483" t="s">
        <v>303</v>
      </c>
      <c r="C106" s="327"/>
      <c r="D106" s="484" t="s">
        <v>303</v>
      </c>
      <c r="E106" s="327"/>
      <c r="F106" s="481" t="s">
        <v>334</v>
      </c>
      <c r="G106" s="327"/>
      <c r="H106" s="485"/>
      <c r="I106" s="326"/>
      <c r="J106" s="327"/>
      <c r="K106" s="481" t="s">
        <v>334</v>
      </c>
      <c r="L106" s="326"/>
      <c r="M106" s="327"/>
      <c r="N106" s="486" t="s">
        <v>303</v>
      </c>
      <c r="O106" s="326"/>
      <c r="P106" s="326"/>
      <c r="Q106" s="326"/>
      <c r="R106" s="326"/>
      <c r="S106" s="326"/>
      <c r="T106" s="326"/>
      <c r="U106" s="327"/>
    </row>
    <row r="107" spans="1:21" ht="34.5" customHeight="1" x14ac:dyDescent="0.25">
      <c r="A107" s="10">
        <f t="shared" si="0"/>
        <v>93</v>
      </c>
      <c r="B107" s="479" t="s">
        <v>303</v>
      </c>
      <c r="C107" s="327"/>
      <c r="D107" s="480" t="s">
        <v>303</v>
      </c>
      <c r="E107" s="327"/>
      <c r="F107" s="481" t="s">
        <v>334</v>
      </c>
      <c r="G107" s="327"/>
      <c r="H107" s="482"/>
      <c r="I107" s="326"/>
      <c r="J107" s="327"/>
      <c r="K107" s="481" t="s">
        <v>334</v>
      </c>
      <c r="L107" s="326"/>
      <c r="M107" s="327"/>
      <c r="N107" s="439" t="s">
        <v>303</v>
      </c>
      <c r="O107" s="326"/>
      <c r="P107" s="326"/>
      <c r="Q107" s="326"/>
      <c r="R107" s="326"/>
      <c r="S107" s="326"/>
      <c r="T107" s="326"/>
      <c r="U107" s="327"/>
    </row>
    <row r="108" spans="1:21" ht="34.5" customHeight="1" x14ac:dyDescent="0.25">
      <c r="A108" s="10">
        <f t="shared" si="0"/>
        <v>94</v>
      </c>
      <c r="B108" s="483" t="s">
        <v>303</v>
      </c>
      <c r="C108" s="327"/>
      <c r="D108" s="484" t="s">
        <v>303</v>
      </c>
      <c r="E108" s="327"/>
      <c r="F108" s="481" t="s">
        <v>334</v>
      </c>
      <c r="G108" s="327"/>
      <c r="H108" s="485"/>
      <c r="I108" s="326"/>
      <c r="J108" s="327"/>
      <c r="K108" s="481" t="s">
        <v>334</v>
      </c>
      <c r="L108" s="326"/>
      <c r="M108" s="327"/>
      <c r="N108" s="486" t="s">
        <v>303</v>
      </c>
      <c r="O108" s="326"/>
      <c r="P108" s="326"/>
      <c r="Q108" s="326"/>
      <c r="R108" s="326"/>
      <c r="S108" s="326"/>
      <c r="T108" s="326"/>
      <c r="U108" s="327"/>
    </row>
    <row r="109" spans="1:21" ht="34.5" customHeight="1" x14ac:dyDescent="0.25">
      <c r="A109" s="10">
        <f t="shared" si="0"/>
        <v>95</v>
      </c>
      <c r="B109" s="479" t="s">
        <v>303</v>
      </c>
      <c r="C109" s="327"/>
      <c r="D109" s="480" t="s">
        <v>303</v>
      </c>
      <c r="E109" s="327"/>
      <c r="F109" s="481" t="s">
        <v>334</v>
      </c>
      <c r="G109" s="327"/>
      <c r="H109" s="482"/>
      <c r="I109" s="326"/>
      <c r="J109" s="327"/>
      <c r="K109" s="481" t="s">
        <v>334</v>
      </c>
      <c r="L109" s="326"/>
      <c r="M109" s="327"/>
      <c r="N109" s="439" t="s">
        <v>303</v>
      </c>
      <c r="O109" s="326"/>
      <c r="P109" s="326"/>
      <c r="Q109" s="326"/>
      <c r="R109" s="326"/>
      <c r="S109" s="326"/>
      <c r="T109" s="326"/>
      <c r="U109" s="327"/>
    </row>
    <row r="110" spans="1:21" ht="34.5" customHeight="1" x14ac:dyDescent="0.25">
      <c r="A110" s="10">
        <f t="shared" si="0"/>
        <v>96</v>
      </c>
      <c r="B110" s="483" t="s">
        <v>303</v>
      </c>
      <c r="C110" s="327"/>
      <c r="D110" s="484" t="s">
        <v>303</v>
      </c>
      <c r="E110" s="327"/>
      <c r="F110" s="481" t="s">
        <v>334</v>
      </c>
      <c r="G110" s="327"/>
      <c r="H110" s="485"/>
      <c r="I110" s="326"/>
      <c r="J110" s="327"/>
      <c r="K110" s="481" t="s">
        <v>334</v>
      </c>
      <c r="L110" s="326"/>
      <c r="M110" s="327"/>
      <c r="N110" s="486" t="s">
        <v>303</v>
      </c>
      <c r="O110" s="326"/>
      <c r="P110" s="326"/>
      <c r="Q110" s="326"/>
      <c r="R110" s="326"/>
      <c r="S110" s="326"/>
      <c r="T110" s="326"/>
      <c r="U110" s="327"/>
    </row>
    <row r="111" spans="1:21" ht="34.5" customHeight="1" x14ac:dyDescent="0.25">
      <c r="A111" s="10">
        <f t="shared" si="0"/>
        <v>97</v>
      </c>
      <c r="B111" s="479" t="s">
        <v>338</v>
      </c>
      <c r="C111" s="327"/>
      <c r="D111" s="480" t="s">
        <v>303</v>
      </c>
      <c r="E111" s="327"/>
      <c r="F111" s="481" t="s">
        <v>334</v>
      </c>
      <c r="G111" s="327"/>
      <c r="H111" s="482"/>
      <c r="I111" s="326"/>
      <c r="J111" s="327"/>
      <c r="K111" s="481" t="s">
        <v>334</v>
      </c>
      <c r="L111" s="326"/>
      <c r="M111" s="327"/>
      <c r="N111" s="439" t="s">
        <v>303</v>
      </c>
      <c r="O111" s="326"/>
      <c r="P111" s="326"/>
      <c r="Q111" s="326"/>
      <c r="R111" s="326"/>
      <c r="S111" s="326"/>
      <c r="T111" s="326"/>
      <c r="U111" s="327"/>
    </row>
    <row r="112" spans="1:21" ht="34.5" customHeight="1" x14ac:dyDescent="0.25">
      <c r="A112" s="10">
        <f t="shared" si="0"/>
        <v>98</v>
      </c>
      <c r="B112" s="483" t="s">
        <v>303</v>
      </c>
      <c r="C112" s="327"/>
      <c r="D112" s="484" t="s">
        <v>303</v>
      </c>
      <c r="E112" s="327"/>
      <c r="F112" s="481" t="s">
        <v>334</v>
      </c>
      <c r="G112" s="327"/>
      <c r="H112" s="485"/>
      <c r="I112" s="326"/>
      <c r="J112" s="327"/>
      <c r="K112" s="481" t="s">
        <v>334</v>
      </c>
      <c r="L112" s="326"/>
      <c r="M112" s="327"/>
      <c r="N112" s="486" t="s">
        <v>303</v>
      </c>
      <c r="O112" s="326"/>
      <c r="P112" s="326"/>
      <c r="Q112" s="326"/>
      <c r="R112" s="326"/>
      <c r="S112" s="326"/>
      <c r="T112" s="326"/>
      <c r="U112" s="327"/>
    </row>
    <row r="113" spans="1:21" ht="34.5" customHeight="1" x14ac:dyDescent="0.25">
      <c r="A113" s="10">
        <f t="shared" si="0"/>
        <v>99</v>
      </c>
      <c r="B113" s="479" t="s">
        <v>303</v>
      </c>
      <c r="C113" s="327"/>
      <c r="D113" s="480" t="s">
        <v>303</v>
      </c>
      <c r="E113" s="327"/>
      <c r="F113" s="481" t="s">
        <v>334</v>
      </c>
      <c r="G113" s="327"/>
      <c r="H113" s="482"/>
      <c r="I113" s="326"/>
      <c r="J113" s="327"/>
      <c r="K113" s="481" t="s">
        <v>334</v>
      </c>
      <c r="L113" s="326"/>
      <c r="M113" s="327"/>
      <c r="N113" s="439" t="s">
        <v>303</v>
      </c>
      <c r="O113" s="326"/>
      <c r="P113" s="326"/>
      <c r="Q113" s="326"/>
      <c r="R113" s="326"/>
      <c r="S113" s="326"/>
      <c r="T113" s="326"/>
      <c r="U113" s="327"/>
    </row>
    <row r="114" spans="1:21" ht="34.5" customHeight="1" x14ac:dyDescent="0.25">
      <c r="A114" s="10">
        <f t="shared" si="0"/>
        <v>100</v>
      </c>
      <c r="B114" s="483" t="s">
        <v>303</v>
      </c>
      <c r="C114" s="327"/>
      <c r="D114" s="484" t="s">
        <v>303</v>
      </c>
      <c r="E114" s="327"/>
      <c r="F114" s="481" t="s">
        <v>334</v>
      </c>
      <c r="G114" s="327"/>
      <c r="H114" s="485"/>
      <c r="I114" s="326"/>
      <c r="J114" s="327"/>
      <c r="K114" s="481" t="s">
        <v>334</v>
      </c>
      <c r="L114" s="326"/>
      <c r="M114" s="327"/>
      <c r="N114" s="486" t="s">
        <v>303</v>
      </c>
      <c r="O114" s="326"/>
      <c r="P114" s="326"/>
      <c r="Q114" s="326"/>
      <c r="R114" s="326"/>
      <c r="S114" s="326"/>
      <c r="T114" s="326"/>
      <c r="U114" s="327"/>
    </row>
    <row r="115" spans="1:21" ht="34.5" customHeight="1" x14ac:dyDescent="0.25">
      <c r="A115" s="10">
        <f t="shared" si="0"/>
        <v>101</v>
      </c>
      <c r="B115" s="479" t="s">
        <v>303</v>
      </c>
      <c r="C115" s="327"/>
      <c r="D115" s="480" t="s">
        <v>303</v>
      </c>
      <c r="E115" s="327"/>
      <c r="F115" s="481" t="s">
        <v>334</v>
      </c>
      <c r="G115" s="327"/>
      <c r="H115" s="482"/>
      <c r="I115" s="326"/>
      <c r="J115" s="327"/>
      <c r="K115" s="481" t="s">
        <v>334</v>
      </c>
      <c r="L115" s="326"/>
      <c r="M115" s="327"/>
      <c r="N115" s="439" t="s">
        <v>303</v>
      </c>
      <c r="O115" s="326"/>
      <c r="P115" s="326"/>
      <c r="Q115" s="326"/>
      <c r="R115" s="326"/>
      <c r="S115" s="326"/>
      <c r="T115" s="326"/>
      <c r="U115" s="327"/>
    </row>
    <row r="116" spans="1:21" ht="34.5" customHeight="1" x14ac:dyDescent="0.25">
      <c r="A116" s="10">
        <f t="shared" si="0"/>
        <v>102</v>
      </c>
      <c r="B116" s="483" t="s">
        <v>303</v>
      </c>
      <c r="C116" s="327"/>
      <c r="D116" s="484" t="s">
        <v>303</v>
      </c>
      <c r="E116" s="327"/>
      <c r="F116" s="481" t="s">
        <v>334</v>
      </c>
      <c r="G116" s="327"/>
      <c r="H116" s="485"/>
      <c r="I116" s="326"/>
      <c r="J116" s="327"/>
      <c r="K116" s="481" t="s">
        <v>334</v>
      </c>
      <c r="L116" s="326"/>
      <c r="M116" s="327"/>
      <c r="N116" s="486" t="s">
        <v>303</v>
      </c>
      <c r="O116" s="326"/>
      <c r="P116" s="326"/>
      <c r="Q116" s="326"/>
      <c r="R116" s="326"/>
      <c r="S116" s="326"/>
      <c r="T116" s="326"/>
      <c r="U116" s="327"/>
    </row>
    <row r="117" spans="1:21" ht="34.5" customHeight="1" x14ac:dyDescent="0.25">
      <c r="A117" s="10">
        <f t="shared" si="0"/>
        <v>103</v>
      </c>
      <c r="B117" s="479" t="s">
        <v>303</v>
      </c>
      <c r="C117" s="327"/>
      <c r="D117" s="480" t="s">
        <v>303</v>
      </c>
      <c r="E117" s="327"/>
      <c r="F117" s="481" t="s">
        <v>334</v>
      </c>
      <c r="G117" s="327"/>
      <c r="H117" s="482"/>
      <c r="I117" s="326"/>
      <c r="J117" s="327"/>
      <c r="K117" s="481" t="s">
        <v>334</v>
      </c>
      <c r="L117" s="326"/>
      <c r="M117" s="327"/>
      <c r="N117" s="439" t="s">
        <v>303</v>
      </c>
      <c r="O117" s="326"/>
      <c r="P117" s="326"/>
      <c r="Q117" s="326"/>
      <c r="R117" s="326"/>
      <c r="S117" s="326"/>
      <c r="T117" s="326"/>
      <c r="U117" s="327"/>
    </row>
    <row r="118" spans="1:21" ht="34.5" customHeight="1" x14ac:dyDescent="0.25">
      <c r="A118" s="10">
        <f t="shared" si="0"/>
        <v>104</v>
      </c>
      <c r="B118" s="483" t="s">
        <v>303</v>
      </c>
      <c r="C118" s="327"/>
      <c r="D118" s="484" t="s">
        <v>303</v>
      </c>
      <c r="E118" s="327"/>
      <c r="F118" s="481" t="s">
        <v>334</v>
      </c>
      <c r="G118" s="327"/>
      <c r="H118" s="485"/>
      <c r="I118" s="326"/>
      <c r="J118" s="327"/>
      <c r="K118" s="481" t="s">
        <v>334</v>
      </c>
      <c r="L118" s="326"/>
      <c r="M118" s="327"/>
      <c r="N118" s="486" t="s">
        <v>303</v>
      </c>
      <c r="O118" s="326"/>
      <c r="P118" s="326"/>
      <c r="Q118" s="326"/>
      <c r="R118" s="326"/>
      <c r="S118" s="326"/>
      <c r="T118" s="326"/>
      <c r="U118" s="327"/>
    </row>
    <row r="119" spans="1:21" ht="34.5" customHeight="1" x14ac:dyDescent="0.25">
      <c r="A119" s="10">
        <f t="shared" si="0"/>
        <v>105</v>
      </c>
      <c r="B119" s="479" t="s">
        <v>303</v>
      </c>
      <c r="C119" s="327"/>
      <c r="D119" s="480" t="s">
        <v>303</v>
      </c>
      <c r="E119" s="327"/>
      <c r="F119" s="481" t="s">
        <v>334</v>
      </c>
      <c r="G119" s="327"/>
      <c r="H119" s="482"/>
      <c r="I119" s="326"/>
      <c r="J119" s="327"/>
      <c r="K119" s="481" t="s">
        <v>334</v>
      </c>
      <c r="L119" s="326"/>
      <c r="M119" s="327"/>
      <c r="N119" s="439" t="s">
        <v>303</v>
      </c>
      <c r="O119" s="326"/>
      <c r="P119" s="326"/>
      <c r="Q119" s="326"/>
      <c r="R119" s="326"/>
      <c r="S119" s="326"/>
      <c r="T119" s="326"/>
      <c r="U119" s="327"/>
    </row>
    <row r="120" spans="1:21" ht="34.5" customHeight="1" x14ac:dyDescent="0.25">
      <c r="A120" s="10">
        <f t="shared" si="0"/>
        <v>106</v>
      </c>
      <c r="B120" s="483" t="s">
        <v>303</v>
      </c>
      <c r="C120" s="327"/>
      <c r="D120" s="484" t="s">
        <v>303</v>
      </c>
      <c r="E120" s="327"/>
      <c r="F120" s="481" t="s">
        <v>334</v>
      </c>
      <c r="G120" s="327"/>
      <c r="H120" s="485"/>
      <c r="I120" s="326"/>
      <c r="J120" s="327"/>
      <c r="K120" s="481" t="s">
        <v>334</v>
      </c>
      <c r="L120" s="326"/>
      <c r="M120" s="327"/>
      <c r="N120" s="486" t="s">
        <v>303</v>
      </c>
      <c r="O120" s="326"/>
      <c r="P120" s="326"/>
      <c r="Q120" s="326"/>
      <c r="R120" s="326"/>
      <c r="S120" s="326"/>
      <c r="T120" s="326"/>
      <c r="U120" s="327"/>
    </row>
    <row r="121" spans="1:21" ht="34.5" customHeight="1" x14ac:dyDescent="0.25">
      <c r="A121" s="10">
        <f t="shared" si="0"/>
        <v>107</v>
      </c>
      <c r="B121" s="479" t="s">
        <v>303</v>
      </c>
      <c r="C121" s="327"/>
      <c r="D121" s="480" t="s">
        <v>303</v>
      </c>
      <c r="E121" s="327"/>
      <c r="F121" s="481" t="s">
        <v>334</v>
      </c>
      <c r="G121" s="327"/>
      <c r="H121" s="482"/>
      <c r="I121" s="326"/>
      <c r="J121" s="327"/>
      <c r="K121" s="481" t="s">
        <v>334</v>
      </c>
      <c r="L121" s="326"/>
      <c r="M121" s="327"/>
      <c r="N121" s="439" t="s">
        <v>303</v>
      </c>
      <c r="O121" s="326"/>
      <c r="P121" s="326"/>
      <c r="Q121" s="326"/>
      <c r="R121" s="326"/>
      <c r="S121" s="326"/>
      <c r="T121" s="326"/>
      <c r="U121" s="327"/>
    </row>
    <row r="122" spans="1:21" ht="34.5" customHeight="1" x14ac:dyDescent="0.25">
      <c r="A122" s="10">
        <f t="shared" si="0"/>
        <v>108</v>
      </c>
      <c r="B122" s="483" t="s">
        <v>303</v>
      </c>
      <c r="C122" s="327"/>
      <c r="D122" s="484" t="s">
        <v>303</v>
      </c>
      <c r="E122" s="327"/>
      <c r="F122" s="481" t="s">
        <v>334</v>
      </c>
      <c r="G122" s="327"/>
      <c r="H122" s="485"/>
      <c r="I122" s="326"/>
      <c r="J122" s="327"/>
      <c r="K122" s="481" t="s">
        <v>334</v>
      </c>
      <c r="L122" s="326"/>
      <c r="M122" s="327"/>
      <c r="N122" s="486" t="s">
        <v>303</v>
      </c>
      <c r="O122" s="326"/>
      <c r="P122" s="326"/>
      <c r="Q122" s="326"/>
      <c r="R122" s="326"/>
      <c r="S122" s="326"/>
      <c r="T122" s="326"/>
      <c r="U122" s="327"/>
    </row>
    <row r="123" spans="1:21" ht="34.5" customHeight="1" x14ac:dyDescent="0.25">
      <c r="A123" s="10">
        <f t="shared" si="0"/>
        <v>109</v>
      </c>
      <c r="B123" s="479" t="s">
        <v>336</v>
      </c>
      <c r="C123" s="327"/>
      <c r="D123" s="480" t="s">
        <v>303</v>
      </c>
      <c r="E123" s="327"/>
      <c r="F123" s="481" t="s">
        <v>334</v>
      </c>
      <c r="G123" s="327"/>
      <c r="H123" s="482"/>
      <c r="I123" s="326"/>
      <c r="J123" s="327"/>
      <c r="K123" s="481" t="s">
        <v>334</v>
      </c>
      <c r="L123" s="326"/>
      <c r="M123" s="327"/>
      <c r="N123" s="439" t="s">
        <v>303</v>
      </c>
      <c r="O123" s="326"/>
      <c r="P123" s="326"/>
      <c r="Q123" s="326"/>
      <c r="R123" s="326"/>
      <c r="S123" s="326"/>
      <c r="T123" s="326"/>
      <c r="U123" s="327"/>
    </row>
    <row r="124" spans="1:21" ht="34.5" customHeight="1" x14ac:dyDescent="0.25">
      <c r="A124" s="10">
        <f t="shared" si="0"/>
        <v>110</v>
      </c>
      <c r="B124" s="483" t="s">
        <v>303</v>
      </c>
      <c r="C124" s="327"/>
      <c r="D124" s="484" t="s">
        <v>303</v>
      </c>
      <c r="E124" s="327"/>
      <c r="F124" s="481" t="s">
        <v>334</v>
      </c>
      <c r="G124" s="327"/>
      <c r="H124" s="485"/>
      <c r="I124" s="326"/>
      <c r="J124" s="327"/>
      <c r="K124" s="481" t="s">
        <v>334</v>
      </c>
      <c r="L124" s="326"/>
      <c r="M124" s="327"/>
      <c r="N124" s="486" t="s">
        <v>303</v>
      </c>
      <c r="O124" s="326"/>
      <c r="P124" s="326"/>
      <c r="Q124" s="326"/>
      <c r="R124" s="326"/>
      <c r="S124" s="326"/>
      <c r="T124" s="326"/>
      <c r="U124" s="327"/>
    </row>
    <row r="125" spans="1:21" ht="34.5" customHeight="1" x14ac:dyDescent="0.25">
      <c r="A125" s="10">
        <f t="shared" si="0"/>
        <v>111</v>
      </c>
      <c r="B125" s="479" t="s">
        <v>303</v>
      </c>
      <c r="C125" s="327"/>
      <c r="D125" s="480" t="s">
        <v>303</v>
      </c>
      <c r="E125" s="327"/>
      <c r="F125" s="481" t="s">
        <v>334</v>
      </c>
      <c r="G125" s="327"/>
      <c r="H125" s="482"/>
      <c r="I125" s="326"/>
      <c r="J125" s="327"/>
      <c r="K125" s="481" t="s">
        <v>334</v>
      </c>
      <c r="L125" s="326"/>
      <c r="M125" s="327"/>
      <c r="N125" s="439" t="s">
        <v>303</v>
      </c>
      <c r="O125" s="326"/>
      <c r="P125" s="326"/>
      <c r="Q125" s="326"/>
      <c r="R125" s="326"/>
      <c r="S125" s="326"/>
      <c r="T125" s="326"/>
      <c r="U125" s="327"/>
    </row>
    <row r="126" spans="1:21" ht="34.5" customHeight="1" x14ac:dyDescent="0.25">
      <c r="A126" s="10">
        <f t="shared" si="0"/>
        <v>112</v>
      </c>
      <c r="B126" s="483" t="s">
        <v>303</v>
      </c>
      <c r="C126" s="327"/>
      <c r="D126" s="484" t="s">
        <v>303</v>
      </c>
      <c r="E126" s="327"/>
      <c r="F126" s="481" t="s">
        <v>334</v>
      </c>
      <c r="G126" s="327"/>
      <c r="H126" s="485"/>
      <c r="I126" s="326"/>
      <c r="J126" s="327"/>
      <c r="K126" s="481" t="s">
        <v>334</v>
      </c>
      <c r="L126" s="326"/>
      <c r="M126" s="327"/>
      <c r="N126" s="486" t="s">
        <v>303</v>
      </c>
      <c r="O126" s="326"/>
      <c r="P126" s="326"/>
      <c r="Q126" s="326"/>
      <c r="R126" s="326"/>
      <c r="S126" s="326"/>
      <c r="T126" s="326"/>
      <c r="U126" s="327"/>
    </row>
    <row r="127" spans="1:21" ht="34.5" customHeight="1" x14ac:dyDescent="0.25">
      <c r="A127" s="10">
        <f t="shared" si="0"/>
        <v>113</v>
      </c>
      <c r="B127" s="479" t="s">
        <v>303</v>
      </c>
      <c r="C127" s="327"/>
      <c r="D127" s="480" t="s">
        <v>303</v>
      </c>
      <c r="E127" s="327"/>
      <c r="F127" s="481" t="s">
        <v>334</v>
      </c>
      <c r="G127" s="327"/>
      <c r="H127" s="482"/>
      <c r="I127" s="326"/>
      <c r="J127" s="327"/>
      <c r="K127" s="481" t="s">
        <v>334</v>
      </c>
      <c r="L127" s="326"/>
      <c r="M127" s="327"/>
      <c r="N127" s="439" t="s">
        <v>303</v>
      </c>
      <c r="O127" s="326"/>
      <c r="P127" s="326"/>
      <c r="Q127" s="326"/>
      <c r="R127" s="326"/>
      <c r="S127" s="326"/>
      <c r="T127" s="326"/>
      <c r="U127" s="327"/>
    </row>
    <row r="128" spans="1:21" ht="34.5" customHeight="1" x14ac:dyDescent="0.25">
      <c r="A128" s="10">
        <f t="shared" si="0"/>
        <v>114</v>
      </c>
      <c r="B128" s="483" t="s">
        <v>303</v>
      </c>
      <c r="C128" s="327"/>
      <c r="D128" s="484" t="s">
        <v>303</v>
      </c>
      <c r="E128" s="327"/>
      <c r="F128" s="481" t="s">
        <v>334</v>
      </c>
      <c r="G128" s="327"/>
      <c r="H128" s="485"/>
      <c r="I128" s="326"/>
      <c r="J128" s="327"/>
      <c r="K128" s="481" t="s">
        <v>334</v>
      </c>
      <c r="L128" s="326"/>
      <c r="M128" s="327"/>
      <c r="N128" s="486" t="s">
        <v>303</v>
      </c>
      <c r="O128" s="326"/>
      <c r="P128" s="326"/>
      <c r="Q128" s="326"/>
      <c r="R128" s="326"/>
      <c r="S128" s="326"/>
      <c r="T128" s="326"/>
      <c r="U128" s="327"/>
    </row>
    <row r="129" spans="1:21" ht="34.5" customHeight="1" x14ac:dyDescent="0.25">
      <c r="A129" s="10">
        <f t="shared" si="0"/>
        <v>115</v>
      </c>
      <c r="B129" s="479" t="s">
        <v>303</v>
      </c>
      <c r="C129" s="327"/>
      <c r="D129" s="480" t="s">
        <v>303</v>
      </c>
      <c r="E129" s="327"/>
      <c r="F129" s="481" t="s">
        <v>334</v>
      </c>
      <c r="G129" s="327"/>
      <c r="H129" s="482"/>
      <c r="I129" s="326"/>
      <c r="J129" s="327"/>
      <c r="K129" s="481" t="s">
        <v>334</v>
      </c>
      <c r="L129" s="326"/>
      <c r="M129" s="327"/>
      <c r="N129" s="439" t="s">
        <v>303</v>
      </c>
      <c r="O129" s="326"/>
      <c r="P129" s="326"/>
      <c r="Q129" s="326"/>
      <c r="R129" s="326"/>
      <c r="S129" s="326"/>
      <c r="T129" s="326"/>
      <c r="U129" s="327"/>
    </row>
    <row r="130" spans="1:21" ht="34.5" customHeight="1" x14ac:dyDescent="0.25">
      <c r="A130" s="10">
        <f t="shared" si="0"/>
        <v>116</v>
      </c>
      <c r="B130" s="483" t="s">
        <v>303</v>
      </c>
      <c r="C130" s="327"/>
      <c r="D130" s="484" t="s">
        <v>303</v>
      </c>
      <c r="E130" s="327"/>
      <c r="F130" s="481" t="s">
        <v>334</v>
      </c>
      <c r="G130" s="327"/>
      <c r="H130" s="485"/>
      <c r="I130" s="326"/>
      <c r="J130" s="327"/>
      <c r="K130" s="481" t="s">
        <v>334</v>
      </c>
      <c r="L130" s="326"/>
      <c r="M130" s="327"/>
      <c r="N130" s="486" t="s">
        <v>303</v>
      </c>
      <c r="O130" s="326"/>
      <c r="P130" s="326"/>
      <c r="Q130" s="326"/>
      <c r="R130" s="326"/>
      <c r="S130" s="326"/>
      <c r="T130" s="326"/>
      <c r="U130" s="327"/>
    </row>
    <row r="131" spans="1:21" ht="34.5" customHeight="1" x14ac:dyDescent="0.25">
      <c r="A131" s="10">
        <f t="shared" si="0"/>
        <v>117</v>
      </c>
      <c r="B131" s="479" t="s">
        <v>335</v>
      </c>
      <c r="C131" s="327"/>
      <c r="D131" s="480" t="s">
        <v>303</v>
      </c>
      <c r="E131" s="327"/>
      <c r="F131" s="481" t="s">
        <v>334</v>
      </c>
      <c r="G131" s="327"/>
      <c r="H131" s="482"/>
      <c r="I131" s="326"/>
      <c r="J131" s="327"/>
      <c r="K131" s="481" t="s">
        <v>334</v>
      </c>
      <c r="L131" s="326"/>
      <c r="M131" s="327"/>
      <c r="N131" s="439" t="s">
        <v>303</v>
      </c>
      <c r="O131" s="326"/>
      <c r="P131" s="326"/>
      <c r="Q131" s="326"/>
      <c r="R131" s="326"/>
      <c r="S131" s="326"/>
      <c r="T131" s="326"/>
      <c r="U131" s="327"/>
    </row>
    <row r="132" spans="1:21" ht="34.5" customHeight="1" x14ac:dyDescent="0.25">
      <c r="A132" s="10">
        <f t="shared" si="0"/>
        <v>118</v>
      </c>
      <c r="B132" s="483" t="s">
        <v>303</v>
      </c>
      <c r="C132" s="327"/>
      <c r="D132" s="484" t="s">
        <v>303</v>
      </c>
      <c r="E132" s="327"/>
      <c r="F132" s="481" t="s">
        <v>334</v>
      </c>
      <c r="G132" s="327"/>
      <c r="H132" s="485"/>
      <c r="I132" s="326"/>
      <c r="J132" s="327"/>
      <c r="K132" s="481" t="s">
        <v>334</v>
      </c>
      <c r="L132" s="326"/>
      <c r="M132" s="327"/>
      <c r="N132" s="486" t="s">
        <v>303</v>
      </c>
      <c r="O132" s="326"/>
      <c r="P132" s="326"/>
      <c r="Q132" s="326"/>
      <c r="R132" s="326"/>
      <c r="S132" s="326"/>
      <c r="T132" s="326"/>
      <c r="U132" s="327"/>
    </row>
    <row r="133" spans="1:21" ht="34.5" customHeight="1" x14ac:dyDescent="0.25">
      <c r="A133" s="10">
        <f t="shared" si="0"/>
        <v>119</v>
      </c>
      <c r="B133" s="479" t="s">
        <v>303</v>
      </c>
      <c r="C133" s="327"/>
      <c r="D133" s="480" t="s">
        <v>303</v>
      </c>
      <c r="E133" s="327"/>
      <c r="F133" s="481" t="s">
        <v>334</v>
      </c>
      <c r="G133" s="327"/>
      <c r="H133" s="482"/>
      <c r="I133" s="326"/>
      <c r="J133" s="327"/>
      <c r="K133" s="481" t="s">
        <v>334</v>
      </c>
      <c r="L133" s="326"/>
      <c r="M133" s="327"/>
      <c r="N133" s="439" t="s">
        <v>303</v>
      </c>
      <c r="O133" s="326"/>
      <c r="P133" s="326"/>
      <c r="Q133" s="326"/>
      <c r="R133" s="326"/>
      <c r="S133" s="326"/>
      <c r="T133" s="326"/>
      <c r="U133" s="327"/>
    </row>
    <row r="134" spans="1:21" ht="34.5" customHeight="1" x14ac:dyDescent="0.25">
      <c r="A134" s="10">
        <f t="shared" si="0"/>
        <v>120</v>
      </c>
      <c r="B134" s="483" t="s">
        <v>303</v>
      </c>
      <c r="C134" s="327"/>
      <c r="D134" s="484" t="s">
        <v>303</v>
      </c>
      <c r="E134" s="327"/>
      <c r="F134" s="481" t="s">
        <v>334</v>
      </c>
      <c r="G134" s="327"/>
      <c r="H134" s="485"/>
      <c r="I134" s="326"/>
      <c r="J134" s="327"/>
      <c r="K134" s="481" t="s">
        <v>334</v>
      </c>
      <c r="L134" s="326"/>
      <c r="M134" s="327"/>
      <c r="N134" s="486" t="s">
        <v>303</v>
      </c>
      <c r="O134" s="326"/>
      <c r="P134" s="326"/>
      <c r="Q134" s="326"/>
      <c r="R134" s="326"/>
      <c r="S134" s="326"/>
      <c r="T134" s="326"/>
      <c r="U134" s="327"/>
    </row>
    <row r="135" spans="1:21" ht="34.5" customHeight="1" x14ac:dyDescent="0.25">
      <c r="A135" s="10">
        <f t="shared" si="0"/>
        <v>121</v>
      </c>
      <c r="B135" s="479" t="s">
        <v>303</v>
      </c>
      <c r="C135" s="327"/>
      <c r="D135" s="480" t="s">
        <v>303</v>
      </c>
      <c r="E135" s="327"/>
      <c r="F135" s="481" t="s">
        <v>334</v>
      </c>
      <c r="G135" s="327"/>
      <c r="H135" s="482"/>
      <c r="I135" s="326"/>
      <c r="J135" s="327"/>
      <c r="K135" s="481" t="s">
        <v>334</v>
      </c>
      <c r="L135" s="326"/>
      <c r="M135" s="327"/>
      <c r="N135" s="439" t="s">
        <v>303</v>
      </c>
      <c r="O135" s="326"/>
      <c r="P135" s="326"/>
      <c r="Q135" s="326"/>
      <c r="R135" s="326"/>
      <c r="S135" s="326"/>
      <c r="T135" s="326"/>
      <c r="U135" s="327"/>
    </row>
    <row r="136" spans="1:21" ht="34.5" customHeight="1" x14ac:dyDescent="0.25">
      <c r="A136" s="10">
        <f t="shared" si="0"/>
        <v>122</v>
      </c>
      <c r="B136" s="483" t="s">
        <v>303</v>
      </c>
      <c r="C136" s="327"/>
      <c r="D136" s="484" t="s">
        <v>303</v>
      </c>
      <c r="E136" s="327"/>
      <c r="F136" s="481" t="s">
        <v>334</v>
      </c>
      <c r="G136" s="327"/>
      <c r="H136" s="485"/>
      <c r="I136" s="326"/>
      <c r="J136" s="327"/>
      <c r="K136" s="481" t="s">
        <v>334</v>
      </c>
      <c r="L136" s="326"/>
      <c r="M136" s="327"/>
      <c r="N136" s="486" t="s">
        <v>303</v>
      </c>
      <c r="O136" s="326"/>
      <c r="P136" s="326"/>
      <c r="Q136" s="326"/>
      <c r="R136" s="326"/>
      <c r="S136" s="326"/>
      <c r="T136" s="326"/>
      <c r="U136" s="327"/>
    </row>
    <row r="137" spans="1:21" ht="34.5" customHeight="1" x14ac:dyDescent="0.25">
      <c r="A137" s="10">
        <f t="shared" si="0"/>
        <v>123</v>
      </c>
      <c r="B137" s="479" t="s">
        <v>303</v>
      </c>
      <c r="C137" s="327"/>
      <c r="D137" s="480" t="s">
        <v>303</v>
      </c>
      <c r="E137" s="327"/>
      <c r="F137" s="481" t="s">
        <v>334</v>
      </c>
      <c r="G137" s="327"/>
      <c r="H137" s="482"/>
      <c r="I137" s="326"/>
      <c r="J137" s="327"/>
      <c r="K137" s="481" t="s">
        <v>334</v>
      </c>
      <c r="L137" s="326"/>
      <c r="M137" s="327"/>
      <c r="N137" s="439" t="s">
        <v>303</v>
      </c>
      <c r="O137" s="326"/>
      <c r="P137" s="326"/>
      <c r="Q137" s="326"/>
      <c r="R137" s="326"/>
      <c r="S137" s="326"/>
      <c r="T137" s="326"/>
      <c r="U137" s="327"/>
    </row>
    <row r="138" spans="1:21" ht="34.5" customHeight="1" x14ac:dyDescent="0.25">
      <c r="A138" s="10">
        <f t="shared" si="0"/>
        <v>124</v>
      </c>
      <c r="B138" s="483" t="s">
        <v>339</v>
      </c>
      <c r="C138" s="327"/>
      <c r="D138" s="484" t="s">
        <v>303</v>
      </c>
      <c r="E138" s="327"/>
      <c r="F138" s="481" t="s">
        <v>334</v>
      </c>
      <c r="G138" s="327"/>
      <c r="H138" s="485"/>
      <c r="I138" s="326"/>
      <c r="J138" s="327"/>
      <c r="K138" s="481" t="s">
        <v>334</v>
      </c>
      <c r="L138" s="326"/>
      <c r="M138" s="327"/>
      <c r="N138" s="486" t="s">
        <v>303</v>
      </c>
      <c r="O138" s="326"/>
      <c r="P138" s="326"/>
      <c r="Q138" s="326"/>
      <c r="R138" s="326"/>
      <c r="S138" s="326"/>
      <c r="T138" s="326"/>
      <c r="U138" s="327"/>
    </row>
    <row r="139" spans="1:21" ht="34.5" customHeight="1" x14ac:dyDescent="0.25">
      <c r="A139" s="10">
        <f t="shared" si="0"/>
        <v>125</v>
      </c>
      <c r="B139" s="479" t="s">
        <v>303</v>
      </c>
      <c r="C139" s="327"/>
      <c r="D139" s="480" t="s">
        <v>303</v>
      </c>
      <c r="E139" s="327"/>
      <c r="F139" s="481" t="s">
        <v>334</v>
      </c>
      <c r="G139" s="327"/>
      <c r="H139" s="482"/>
      <c r="I139" s="326"/>
      <c r="J139" s="327"/>
      <c r="K139" s="481" t="s">
        <v>334</v>
      </c>
      <c r="L139" s="326"/>
      <c r="M139" s="327"/>
      <c r="N139" s="439" t="s">
        <v>303</v>
      </c>
      <c r="O139" s="326"/>
      <c r="P139" s="326"/>
      <c r="Q139" s="326"/>
      <c r="R139" s="326"/>
      <c r="S139" s="326"/>
      <c r="T139" s="326"/>
      <c r="U139" s="327"/>
    </row>
    <row r="140" spans="1:21" ht="34.5" customHeight="1" x14ac:dyDescent="0.25">
      <c r="A140" s="10">
        <f t="shared" si="0"/>
        <v>126</v>
      </c>
      <c r="B140" s="483" t="s">
        <v>303</v>
      </c>
      <c r="C140" s="327"/>
      <c r="D140" s="484" t="s">
        <v>303</v>
      </c>
      <c r="E140" s="327"/>
      <c r="F140" s="481" t="s">
        <v>334</v>
      </c>
      <c r="G140" s="327"/>
      <c r="H140" s="485"/>
      <c r="I140" s="326"/>
      <c r="J140" s="327"/>
      <c r="K140" s="481" t="s">
        <v>334</v>
      </c>
      <c r="L140" s="326"/>
      <c r="M140" s="327"/>
      <c r="N140" s="486" t="s">
        <v>303</v>
      </c>
      <c r="O140" s="326"/>
      <c r="P140" s="326"/>
      <c r="Q140" s="326"/>
      <c r="R140" s="326"/>
      <c r="S140" s="326"/>
      <c r="T140" s="326"/>
      <c r="U140" s="327"/>
    </row>
    <row r="141" spans="1:21" ht="34.5" customHeight="1" x14ac:dyDescent="0.25">
      <c r="A141" s="10">
        <f t="shared" si="0"/>
        <v>127</v>
      </c>
      <c r="B141" s="479" t="s">
        <v>303</v>
      </c>
      <c r="C141" s="327"/>
      <c r="D141" s="480" t="s">
        <v>303</v>
      </c>
      <c r="E141" s="327"/>
      <c r="F141" s="481" t="s">
        <v>334</v>
      </c>
      <c r="G141" s="327"/>
      <c r="H141" s="482"/>
      <c r="I141" s="326"/>
      <c r="J141" s="327"/>
      <c r="K141" s="481" t="s">
        <v>334</v>
      </c>
      <c r="L141" s="326"/>
      <c r="M141" s="327"/>
      <c r="N141" s="439" t="s">
        <v>303</v>
      </c>
      <c r="O141" s="326"/>
      <c r="P141" s="326"/>
      <c r="Q141" s="326"/>
      <c r="R141" s="326"/>
      <c r="S141" s="326"/>
      <c r="T141" s="326"/>
      <c r="U141" s="327"/>
    </row>
    <row r="142" spans="1:21" ht="34.5" customHeight="1" x14ac:dyDescent="0.25">
      <c r="A142" s="10">
        <f t="shared" si="0"/>
        <v>128</v>
      </c>
      <c r="B142" s="483" t="s">
        <v>303</v>
      </c>
      <c r="C142" s="327"/>
      <c r="D142" s="484" t="s">
        <v>303</v>
      </c>
      <c r="E142" s="327"/>
      <c r="F142" s="481" t="s">
        <v>334</v>
      </c>
      <c r="G142" s="327"/>
      <c r="H142" s="485"/>
      <c r="I142" s="326"/>
      <c r="J142" s="327"/>
      <c r="K142" s="481" t="s">
        <v>334</v>
      </c>
      <c r="L142" s="326"/>
      <c r="M142" s="327"/>
      <c r="N142" s="486" t="s">
        <v>303</v>
      </c>
      <c r="O142" s="326"/>
      <c r="P142" s="326"/>
      <c r="Q142" s="326"/>
      <c r="R142" s="326"/>
      <c r="S142" s="326"/>
      <c r="T142" s="326"/>
      <c r="U142" s="327"/>
    </row>
    <row r="143" spans="1:21" ht="34.5" customHeight="1" x14ac:dyDescent="0.25">
      <c r="A143" s="10">
        <f t="shared" si="0"/>
        <v>129</v>
      </c>
      <c r="B143" s="479" t="s">
        <v>303</v>
      </c>
      <c r="C143" s="327"/>
      <c r="D143" s="480" t="s">
        <v>303</v>
      </c>
      <c r="E143" s="327"/>
      <c r="F143" s="481" t="s">
        <v>334</v>
      </c>
      <c r="G143" s="327"/>
      <c r="H143" s="482"/>
      <c r="I143" s="326"/>
      <c r="J143" s="327"/>
      <c r="K143" s="481" t="s">
        <v>334</v>
      </c>
      <c r="L143" s="326"/>
      <c r="M143" s="327"/>
      <c r="N143" s="439" t="s">
        <v>303</v>
      </c>
      <c r="O143" s="326"/>
      <c r="P143" s="326"/>
      <c r="Q143" s="326"/>
      <c r="R143" s="326"/>
      <c r="S143" s="326"/>
      <c r="T143" s="326"/>
      <c r="U143" s="327"/>
    </row>
    <row r="144" spans="1:21" ht="34.5" customHeight="1" x14ac:dyDescent="0.25">
      <c r="A144" s="10">
        <f t="shared" si="0"/>
        <v>130</v>
      </c>
      <c r="B144" s="483" t="s">
        <v>303</v>
      </c>
      <c r="C144" s="327"/>
      <c r="D144" s="484" t="s">
        <v>303</v>
      </c>
      <c r="E144" s="327"/>
      <c r="F144" s="481" t="s">
        <v>334</v>
      </c>
      <c r="G144" s="327"/>
      <c r="H144" s="485"/>
      <c r="I144" s="326"/>
      <c r="J144" s="327"/>
      <c r="K144" s="481" t="s">
        <v>334</v>
      </c>
      <c r="L144" s="326"/>
      <c r="M144" s="327"/>
      <c r="N144" s="486" t="s">
        <v>303</v>
      </c>
      <c r="O144" s="326"/>
      <c r="P144" s="326"/>
      <c r="Q144" s="326"/>
      <c r="R144" s="326"/>
      <c r="S144" s="326"/>
      <c r="T144" s="326"/>
      <c r="U144" s="327"/>
    </row>
    <row r="145" spans="1:21" ht="34.5" customHeight="1" x14ac:dyDescent="0.25">
      <c r="A145" s="10">
        <f t="shared" si="0"/>
        <v>131</v>
      </c>
      <c r="B145" s="479" t="s">
        <v>335</v>
      </c>
      <c r="C145" s="327"/>
      <c r="D145" s="480" t="s">
        <v>303</v>
      </c>
      <c r="E145" s="327"/>
      <c r="F145" s="481" t="s">
        <v>334</v>
      </c>
      <c r="G145" s="327"/>
      <c r="H145" s="482"/>
      <c r="I145" s="326"/>
      <c r="J145" s="327"/>
      <c r="K145" s="481" t="s">
        <v>334</v>
      </c>
      <c r="L145" s="326"/>
      <c r="M145" s="327"/>
      <c r="N145" s="439" t="s">
        <v>303</v>
      </c>
      <c r="O145" s="326"/>
      <c r="P145" s="326"/>
      <c r="Q145" s="326"/>
      <c r="R145" s="326"/>
      <c r="S145" s="326"/>
      <c r="T145" s="326"/>
      <c r="U145" s="327"/>
    </row>
    <row r="146" spans="1:21" ht="34.5" customHeight="1" x14ac:dyDescent="0.25">
      <c r="A146" s="10">
        <f t="shared" si="0"/>
        <v>132</v>
      </c>
      <c r="B146" s="483" t="s">
        <v>303</v>
      </c>
      <c r="C146" s="327"/>
      <c r="D146" s="484" t="s">
        <v>303</v>
      </c>
      <c r="E146" s="327"/>
      <c r="F146" s="481" t="s">
        <v>334</v>
      </c>
      <c r="G146" s="327"/>
      <c r="H146" s="485"/>
      <c r="I146" s="326"/>
      <c r="J146" s="327"/>
      <c r="K146" s="481" t="s">
        <v>334</v>
      </c>
      <c r="L146" s="326"/>
      <c r="M146" s="327"/>
      <c r="N146" s="486" t="s">
        <v>303</v>
      </c>
      <c r="O146" s="326"/>
      <c r="P146" s="326"/>
      <c r="Q146" s="326"/>
      <c r="R146" s="326"/>
      <c r="S146" s="326"/>
      <c r="T146" s="326"/>
      <c r="U146" s="327"/>
    </row>
    <row r="147" spans="1:21" ht="34.5" customHeight="1" x14ac:dyDescent="0.25">
      <c r="A147" s="10">
        <f t="shared" si="0"/>
        <v>133</v>
      </c>
      <c r="B147" s="479" t="s">
        <v>303</v>
      </c>
      <c r="C147" s="327"/>
      <c r="D147" s="480" t="s">
        <v>303</v>
      </c>
      <c r="E147" s="327"/>
      <c r="F147" s="481" t="s">
        <v>334</v>
      </c>
      <c r="G147" s="327"/>
      <c r="H147" s="482"/>
      <c r="I147" s="326"/>
      <c r="J147" s="327"/>
      <c r="K147" s="481" t="s">
        <v>334</v>
      </c>
      <c r="L147" s="326"/>
      <c r="M147" s="327"/>
      <c r="N147" s="439" t="s">
        <v>303</v>
      </c>
      <c r="O147" s="326"/>
      <c r="P147" s="326"/>
      <c r="Q147" s="326"/>
      <c r="R147" s="326"/>
      <c r="S147" s="326"/>
      <c r="T147" s="326"/>
      <c r="U147" s="327"/>
    </row>
    <row r="148" spans="1:21" ht="34.5" customHeight="1" x14ac:dyDescent="0.25">
      <c r="A148" s="10">
        <f t="shared" si="0"/>
        <v>134</v>
      </c>
      <c r="B148" s="483" t="s">
        <v>303</v>
      </c>
      <c r="C148" s="327"/>
      <c r="D148" s="484" t="s">
        <v>303</v>
      </c>
      <c r="E148" s="327"/>
      <c r="F148" s="481" t="s">
        <v>334</v>
      </c>
      <c r="G148" s="327"/>
      <c r="H148" s="485"/>
      <c r="I148" s="326"/>
      <c r="J148" s="327"/>
      <c r="K148" s="481" t="s">
        <v>334</v>
      </c>
      <c r="L148" s="326"/>
      <c r="M148" s="327"/>
      <c r="N148" s="486" t="s">
        <v>303</v>
      </c>
      <c r="O148" s="326"/>
      <c r="P148" s="326"/>
      <c r="Q148" s="326"/>
      <c r="R148" s="326"/>
      <c r="S148" s="326"/>
      <c r="T148" s="326"/>
      <c r="U148" s="327"/>
    </row>
    <row r="149" spans="1:21" ht="34.5" customHeight="1" x14ac:dyDescent="0.25">
      <c r="A149" s="10">
        <f t="shared" si="0"/>
        <v>135</v>
      </c>
      <c r="B149" s="479" t="s">
        <v>303</v>
      </c>
      <c r="C149" s="327"/>
      <c r="D149" s="480" t="s">
        <v>303</v>
      </c>
      <c r="E149" s="327"/>
      <c r="F149" s="481" t="s">
        <v>334</v>
      </c>
      <c r="G149" s="327"/>
      <c r="H149" s="482"/>
      <c r="I149" s="326"/>
      <c r="J149" s="327"/>
      <c r="K149" s="481" t="s">
        <v>334</v>
      </c>
      <c r="L149" s="326"/>
      <c r="M149" s="327"/>
      <c r="N149" s="439" t="s">
        <v>303</v>
      </c>
      <c r="O149" s="326"/>
      <c r="P149" s="326"/>
      <c r="Q149" s="326"/>
      <c r="R149" s="326"/>
      <c r="S149" s="326"/>
      <c r="T149" s="326"/>
      <c r="U149" s="327"/>
    </row>
    <row r="150" spans="1:21" ht="34.5" customHeight="1" x14ac:dyDescent="0.25">
      <c r="A150" s="10">
        <f t="shared" si="0"/>
        <v>136</v>
      </c>
      <c r="B150" s="483" t="s">
        <v>303</v>
      </c>
      <c r="C150" s="327"/>
      <c r="D150" s="484" t="s">
        <v>303</v>
      </c>
      <c r="E150" s="327"/>
      <c r="F150" s="481" t="s">
        <v>334</v>
      </c>
      <c r="G150" s="327"/>
      <c r="H150" s="485"/>
      <c r="I150" s="326"/>
      <c r="J150" s="327"/>
      <c r="K150" s="481" t="s">
        <v>334</v>
      </c>
      <c r="L150" s="326"/>
      <c r="M150" s="327"/>
      <c r="N150" s="486" t="s">
        <v>303</v>
      </c>
      <c r="O150" s="326"/>
      <c r="P150" s="326"/>
      <c r="Q150" s="326"/>
      <c r="R150" s="326"/>
      <c r="S150" s="326"/>
      <c r="T150" s="326"/>
      <c r="U150" s="327"/>
    </row>
    <row r="151" spans="1:21" ht="34.5" customHeight="1" x14ac:dyDescent="0.25">
      <c r="A151" s="10">
        <f t="shared" si="0"/>
        <v>137</v>
      </c>
      <c r="B151" s="479" t="s">
        <v>303</v>
      </c>
      <c r="C151" s="327"/>
      <c r="D151" s="480" t="s">
        <v>303</v>
      </c>
      <c r="E151" s="327"/>
      <c r="F151" s="481" t="s">
        <v>334</v>
      </c>
      <c r="G151" s="327"/>
      <c r="H151" s="482"/>
      <c r="I151" s="326"/>
      <c r="J151" s="327"/>
      <c r="K151" s="481" t="s">
        <v>334</v>
      </c>
      <c r="L151" s="326"/>
      <c r="M151" s="327"/>
      <c r="N151" s="439" t="s">
        <v>303</v>
      </c>
      <c r="O151" s="326"/>
      <c r="P151" s="326"/>
      <c r="Q151" s="326"/>
      <c r="R151" s="326"/>
      <c r="S151" s="326"/>
      <c r="T151" s="326"/>
      <c r="U151" s="327"/>
    </row>
    <row r="152" spans="1:21" ht="34.5" customHeight="1" x14ac:dyDescent="0.25">
      <c r="A152" s="10">
        <f t="shared" si="0"/>
        <v>138</v>
      </c>
      <c r="B152" s="483" t="s">
        <v>303</v>
      </c>
      <c r="C152" s="327"/>
      <c r="D152" s="484" t="s">
        <v>303</v>
      </c>
      <c r="E152" s="327"/>
      <c r="F152" s="481" t="s">
        <v>334</v>
      </c>
      <c r="G152" s="327"/>
      <c r="H152" s="485"/>
      <c r="I152" s="326"/>
      <c r="J152" s="327"/>
      <c r="K152" s="481" t="s">
        <v>334</v>
      </c>
      <c r="L152" s="326"/>
      <c r="M152" s="327"/>
      <c r="N152" s="486" t="s">
        <v>303</v>
      </c>
      <c r="O152" s="326"/>
      <c r="P152" s="326"/>
      <c r="Q152" s="326"/>
      <c r="R152" s="326"/>
      <c r="S152" s="326"/>
      <c r="T152" s="326"/>
      <c r="U152" s="327"/>
    </row>
    <row r="153" spans="1:21" ht="34.5" customHeight="1" x14ac:dyDescent="0.25">
      <c r="A153" s="10">
        <f t="shared" si="0"/>
        <v>139</v>
      </c>
      <c r="B153" s="479" t="s">
        <v>338</v>
      </c>
      <c r="C153" s="327"/>
      <c r="D153" s="480" t="s">
        <v>303</v>
      </c>
      <c r="E153" s="327"/>
      <c r="F153" s="481" t="s">
        <v>334</v>
      </c>
      <c r="G153" s="327"/>
      <c r="H153" s="482"/>
      <c r="I153" s="326"/>
      <c r="J153" s="327"/>
      <c r="K153" s="481" t="s">
        <v>334</v>
      </c>
      <c r="L153" s="326"/>
      <c r="M153" s="327"/>
      <c r="N153" s="439" t="s">
        <v>303</v>
      </c>
      <c r="O153" s="326"/>
      <c r="P153" s="326"/>
      <c r="Q153" s="326"/>
      <c r="R153" s="326"/>
      <c r="S153" s="326"/>
      <c r="T153" s="326"/>
      <c r="U153" s="327"/>
    </row>
    <row r="154" spans="1:21" ht="34.5" customHeight="1" x14ac:dyDescent="0.25">
      <c r="A154" s="10">
        <f t="shared" si="0"/>
        <v>140</v>
      </c>
      <c r="B154" s="483" t="s">
        <v>303</v>
      </c>
      <c r="C154" s="327"/>
      <c r="D154" s="484" t="s">
        <v>303</v>
      </c>
      <c r="E154" s="327"/>
      <c r="F154" s="481" t="s">
        <v>334</v>
      </c>
      <c r="G154" s="327"/>
      <c r="H154" s="485"/>
      <c r="I154" s="326"/>
      <c r="J154" s="327"/>
      <c r="K154" s="481" t="s">
        <v>334</v>
      </c>
      <c r="L154" s="326"/>
      <c r="M154" s="327"/>
      <c r="N154" s="486" t="s">
        <v>303</v>
      </c>
      <c r="O154" s="326"/>
      <c r="P154" s="326"/>
      <c r="Q154" s="326"/>
      <c r="R154" s="326"/>
      <c r="S154" s="326"/>
      <c r="T154" s="326"/>
      <c r="U154" s="327"/>
    </row>
    <row r="155" spans="1:21" ht="34.5" customHeight="1" x14ac:dyDescent="0.25">
      <c r="A155" s="10">
        <f t="shared" si="0"/>
        <v>141</v>
      </c>
      <c r="B155" s="479" t="s">
        <v>303</v>
      </c>
      <c r="C155" s="327"/>
      <c r="D155" s="480" t="s">
        <v>303</v>
      </c>
      <c r="E155" s="327"/>
      <c r="F155" s="481" t="s">
        <v>334</v>
      </c>
      <c r="G155" s="327"/>
      <c r="H155" s="482"/>
      <c r="I155" s="326"/>
      <c r="J155" s="327"/>
      <c r="K155" s="481" t="s">
        <v>334</v>
      </c>
      <c r="L155" s="326"/>
      <c r="M155" s="327"/>
      <c r="N155" s="439" t="s">
        <v>303</v>
      </c>
      <c r="O155" s="326"/>
      <c r="P155" s="326"/>
      <c r="Q155" s="326"/>
      <c r="R155" s="326"/>
      <c r="S155" s="326"/>
      <c r="T155" s="326"/>
      <c r="U155" s="327"/>
    </row>
    <row r="156" spans="1:21" ht="34.5" customHeight="1" x14ac:dyDescent="0.25">
      <c r="A156" s="10">
        <f t="shared" si="0"/>
        <v>142</v>
      </c>
      <c r="B156" s="483" t="s">
        <v>340</v>
      </c>
      <c r="C156" s="327"/>
      <c r="D156" s="484" t="s">
        <v>303</v>
      </c>
      <c r="E156" s="327"/>
      <c r="F156" s="481" t="s">
        <v>334</v>
      </c>
      <c r="G156" s="327"/>
      <c r="H156" s="485"/>
      <c r="I156" s="326"/>
      <c r="J156" s="327"/>
      <c r="K156" s="481" t="s">
        <v>334</v>
      </c>
      <c r="L156" s="326"/>
      <c r="M156" s="327"/>
      <c r="N156" s="486" t="s">
        <v>303</v>
      </c>
      <c r="O156" s="326"/>
      <c r="P156" s="326"/>
      <c r="Q156" s="326"/>
      <c r="R156" s="326"/>
      <c r="S156" s="326"/>
      <c r="T156" s="326"/>
      <c r="U156" s="327"/>
    </row>
    <row r="157" spans="1:21" ht="34.5" customHeight="1" x14ac:dyDescent="0.25">
      <c r="A157" s="10">
        <f t="shared" si="0"/>
        <v>143</v>
      </c>
      <c r="B157" s="479" t="s">
        <v>303</v>
      </c>
      <c r="C157" s="327"/>
      <c r="D157" s="480" t="s">
        <v>303</v>
      </c>
      <c r="E157" s="327"/>
      <c r="F157" s="481" t="s">
        <v>334</v>
      </c>
      <c r="G157" s="327"/>
      <c r="H157" s="482"/>
      <c r="I157" s="326"/>
      <c r="J157" s="327"/>
      <c r="K157" s="481" t="s">
        <v>334</v>
      </c>
      <c r="L157" s="326"/>
      <c r="M157" s="327"/>
      <c r="N157" s="439" t="s">
        <v>303</v>
      </c>
      <c r="O157" s="326"/>
      <c r="P157" s="326"/>
      <c r="Q157" s="326"/>
      <c r="R157" s="326"/>
      <c r="S157" s="326"/>
      <c r="T157" s="326"/>
      <c r="U157" s="327"/>
    </row>
    <row r="158" spans="1:21" ht="34.5" customHeight="1" x14ac:dyDescent="0.25">
      <c r="A158" s="10">
        <f t="shared" si="0"/>
        <v>144</v>
      </c>
      <c r="B158" s="483" t="s">
        <v>303</v>
      </c>
      <c r="C158" s="327"/>
      <c r="D158" s="484" t="s">
        <v>303</v>
      </c>
      <c r="E158" s="327"/>
      <c r="F158" s="481" t="s">
        <v>334</v>
      </c>
      <c r="G158" s="327"/>
      <c r="H158" s="485"/>
      <c r="I158" s="326"/>
      <c r="J158" s="327"/>
      <c r="K158" s="481" t="s">
        <v>334</v>
      </c>
      <c r="L158" s="326"/>
      <c r="M158" s="327"/>
      <c r="N158" s="486" t="s">
        <v>303</v>
      </c>
      <c r="O158" s="326"/>
      <c r="P158" s="326"/>
      <c r="Q158" s="326"/>
      <c r="R158" s="326"/>
      <c r="S158" s="326"/>
      <c r="T158" s="326"/>
      <c r="U158" s="327"/>
    </row>
    <row r="159" spans="1:21" ht="34.5" customHeight="1" x14ac:dyDescent="0.25">
      <c r="A159" s="10">
        <f t="shared" si="0"/>
        <v>145</v>
      </c>
      <c r="B159" s="479" t="s">
        <v>303</v>
      </c>
      <c r="C159" s="327"/>
      <c r="D159" s="480" t="s">
        <v>303</v>
      </c>
      <c r="E159" s="327"/>
      <c r="F159" s="481" t="s">
        <v>334</v>
      </c>
      <c r="G159" s="327"/>
      <c r="H159" s="482"/>
      <c r="I159" s="326"/>
      <c r="J159" s="327"/>
      <c r="K159" s="481" t="s">
        <v>334</v>
      </c>
      <c r="L159" s="326"/>
      <c r="M159" s="327"/>
      <c r="N159" s="439" t="s">
        <v>303</v>
      </c>
      <c r="O159" s="326"/>
      <c r="P159" s="326"/>
      <c r="Q159" s="326"/>
      <c r="R159" s="326"/>
      <c r="S159" s="326"/>
      <c r="T159" s="326"/>
      <c r="U159" s="327"/>
    </row>
    <row r="160" spans="1:21" ht="34.5" customHeight="1" x14ac:dyDescent="0.25">
      <c r="A160" s="10">
        <f t="shared" si="0"/>
        <v>146</v>
      </c>
      <c r="B160" s="483" t="s">
        <v>303</v>
      </c>
      <c r="C160" s="327"/>
      <c r="D160" s="484" t="s">
        <v>303</v>
      </c>
      <c r="E160" s="327"/>
      <c r="F160" s="481" t="s">
        <v>334</v>
      </c>
      <c r="G160" s="327"/>
      <c r="H160" s="485"/>
      <c r="I160" s="326"/>
      <c r="J160" s="327"/>
      <c r="K160" s="481" t="s">
        <v>334</v>
      </c>
      <c r="L160" s="326"/>
      <c r="M160" s="327"/>
      <c r="N160" s="486" t="s">
        <v>303</v>
      </c>
      <c r="O160" s="326"/>
      <c r="P160" s="326"/>
      <c r="Q160" s="326"/>
      <c r="R160" s="326"/>
      <c r="S160" s="326"/>
      <c r="T160" s="326"/>
      <c r="U160" s="327"/>
    </row>
    <row r="161" spans="1:21" ht="34.5" customHeight="1" x14ac:dyDescent="0.25">
      <c r="A161" s="10">
        <f t="shared" si="0"/>
        <v>147</v>
      </c>
      <c r="B161" s="479" t="s">
        <v>303</v>
      </c>
      <c r="C161" s="327"/>
      <c r="D161" s="480" t="s">
        <v>303</v>
      </c>
      <c r="E161" s="327"/>
      <c r="F161" s="481" t="s">
        <v>334</v>
      </c>
      <c r="G161" s="327"/>
      <c r="H161" s="482"/>
      <c r="I161" s="326"/>
      <c r="J161" s="327"/>
      <c r="K161" s="481" t="s">
        <v>334</v>
      </c>
      <c r="L161" s="326"/>
      <c r="M161" s="327"/>
      <c r="N161" s="439" t="s">
        <v>303</v>
      </c>
      <c r="O161" s="326"/>
      <c r="P161" s="326"/>
      <c r="Q161" s="326"/>
      <c r="R161" s="326"/>
      <c r="S161" s="326"/>
      <c r="T161" s="326"/>
      <c r="U161" s="327"/>
    </row>
    <row r="162" spans="1:21" ht="34.5" customHeight="1" x14ac:dyDescent="0.25">
      <c r="A162" s="10">
        <f t="shared" si="0"/>
        <v>148</v>
      </c>
      <c r="B162" s="483" t="s">
        <v>341</v>
      </c>
      <c r="C162" s="327"/>
      <c r="D162" s="484" t="s">
        <v>303</v>
      </c>
      <c r="E162" s="327"/>
      <c r="F162" s="481" t="s">
        <v>334</v>
      </c>
      <c r="G162" s="327"/>
      <c r="H162" s="485"/>
      <c r="I162" s="326"/>
      <c r="J162" s="327"/>
      <c r="K162" s="481" t="s">
        <v>334</v>
      </c>
      <c r="L162" s="326"/>
      <c r="M162" s="327"/>
      <c r="N162" s="486" t="s">
        <v>303</v>
      </c>
      <c r="O162" s="326"/>
      <c r="P162" s="326"/>
      <c r="Q162" s="326"/>
      <c r="R162" s="326"/>
      <c r="S162" s="326"/>
      <c r="T162" s="326"/>
      <c r="U162" s="327"/>
    </row>
    <row r="163" spans="1:21" ht="34.5" customHeight="1" x14ac:dyDescent="0.25">
      <c r="A163" s="10">
        <f t="shared" si="0"/>
        <v>149</v>
      </c>
      <c r="B163" s="479" t="s">
        <v>303</v>
      </c>
      <c r="C163" s="327"/>
      <c r="D163" s="480" t="s">
        <v>303</v>
      </c>
      <c r="E163" s="327"/>
      <c r="F163" s="481" t="s">
        <v>334</v>
      </c>
      <c r="G163" s="327"/>
      <c r="H163" s="482"/>
      <c r="I163" s="326"/>
      <c r="J163" s="327"/>
      <c r="K163" s="481" t="s">
        <v>334</v>
      </c>
      <c r="L163" s="326"/>
      <c r="M163" s="327"/>
      <c r="N163" s="439" t="s">
        <v>303</v>
      </c>
      <c r="O163" s="326"/>
      <c r="P163" s="326"/>
      <c r="Q163" s="326"/>
      <c r="R163" s="326"/>
      <c r="S163" s="326"/>
      <c r="T163" s="326"/>
      <c r="U163" s="327"/>
    </row>
    <row r="164" spans="1:21" ht="34.5" customHeight="1" x14ac:dyDescent="0.25">
      <c r="A164" s="10">
        <f t="shared" si="0"/>
        <v>150</v>
      </c>
      <c r="B164" s="483" t="s">
        <v>303</v>
      </c>
      <c r="C164" s="327"/>
      <c r="D164" s="484" t="s">
        <v>303</v>
      </c>
      <c r="E164" s="327"/>
      <c r="F164" s="481" t="s">
        <v>334</v>
      </c>
      <c r="G164" s="327"/>
      <c r="H164" s="485"/>
      <c r="I164" s="326"/>
      <c r="J164" s="327"/>
      <c r="K164" s="481" t="s">
        <v>334</v>
      </c>
      <c r="L164" s="326"/>
      <c r="M164" s="327"/>
      <c r="N164" s="486" t="s">
        <v>303</v>
      </c>
      <c r="O164" s="326"/>
      <c r="P164" s="326"/>
      <c r="Q164" s="326"/>
      <c r="R164" s="326"/>
      <c r="S164" s="326"/>
      <c r="T164" s="326"/>
      <c r="U164" s="327"/>
    </row>
    <row r="165" spans="1:21" ht="34.5" customHeight="1" x14ac:dyDescent="0.25">
      <c r="A165" s="10">
        <f t="shared" si="0"/>
        <v>151</v>
      </c>
      <c r="B165" s="479" t="s">
        <v>303</v>
      </c>
      <c r="C165" s="327"/>
      <c r="D165" s="480" t="s">
        <v>303</v>
      </c>
      <c r="E165" s="327"/>
      <c r="F165" s="481" t="s">
        <v>334</v>
      </c>
      <c r="G165" s="327"/>
      <c r="H165" s="482"/>
      <c r="I165" s="326"/>
      <c r="J165" s="327"/>
      <c r="K165" s="481" t="s">
        <v>334</v>
      </c>
      <c r="L165" s="326"/>
      <c r="M165" s="327"/>
      <c r="N165" s="439" t="s">
        <v>303</v>
      </c>
      <c r="O165" s="326"/>
      <c r="P165" s="326"/>
      <c r="Q165" s="326"/>
      <c r="R165" s="326"/>
      <c r="S165" s="326"/>
      <c r="T165" s="326"/>
      <c r="U165" s="327"/>
    </row>
    <row r="166" spans="1:21" ht="34.5" customHeight="1" x14ac:dyDescent="0.25">
      <c r="A166" s="10">
        <f t="shared" si="0"/>
        <v>152</v>
      </c>
      <c r="B166" s="483" t="s">
        <v>303</v>
      </c>
      <c r="C166" s="327"/>
      <c r="D166" s="484" t="s">
        <v>303</v>
      </c>
      <c r="E166" s="327"/>
      <c r="F166" s="481" t="s">
        <v>334</v>
      </c>
      <c r="G166" s="327"/>
      <c r="H166" s="485"/>
      <c r="I166" s="326"/>
      <c r="J166" s="327"/>
      <c r="K166" s="481" t="s">
        <v>334</v>
      </c>
      <c r="L166" s="326"/>
      <c r="M166" s="327"/>
      <c r="N166" s="486" t="s">
        <v>303</v>
      </c>
      <c r="O166" s="326"/>
      <c r="P166" s="326"/>
      <c r="Q166" s="326"/>
      <c r="R166" s="326"/>
      <c r="S166" s="326"/>
      <c r="T166" s="326"/>
      <c r="U166" s="327"/>
    </row>
    <row r="167" spans="1:21" ht="34.5" customHeight="1" x14ac:dyDescent="0.25">
      <c r="A167" s="10">
        <f t="shared" si="0"/>
        <v>153</v>
      </c>
      <c r="B167" s="479" t="s">
        <v>303</v>
      </c>
      <c r="C167" s="327"/>
      <c r="D167" s="480" t="s">
        <v>303</v>
      </c>
      <c r="E167" s="327"/>
      <c r="F167" s="481" t="s">
        <v>334</v>
      </c>
      <c r="G167" s="327"/>
      <c r="H167" s="482"/>
      <c r="I167" s="326"/>
      <c r="J167" s="327"/>
      <c r="K167" s="481" t="s">
        <v>334</v>
      </c>
      <c r="L167" s="326"/>
      <c r="M167" s="327"/>
      <c r="N167" s="439" t="s">
        <v>303</v>
      </c>
      <c r="O167" s="326"/>
      <c r="P167" s="326"/>
      <c r="Q167" s="326"/>
      <c r="R167" s="326"/>
      <c r="S167" s="326"/>
      <c r="T167" s="326"/>
      <c r="U167" s="327"/>
    </row>
    <row r="168" spans="1:21" ht="34.5" customHeight="1" x14ac:dyDescent="0.25">
      <c r="A168" s="10">
        <f t="shared" si="0"/>
        <v>154</v>
      </c>
      <c r="B168" s="483" t="s">
        <v>303</v>
      </c>
      <c r="C168" s="327"/>
      <c r="D168" s="484" t="s">
        <v>303</v>
      </c>
      <c r="E168" s="327"/>
      <c r="F168" s="481" t="s">
        <v>334</v>
      </c>
      <c r="G168" s="327"/>
      <c r="H168" s="485"/>
      <c r="I168" s="326"/>
      <c r="J168" s="327"/>
      <c r="K168" s="481" t="s">
        <v>334</v>
      </c>
      <c r="L168" s="326"/>
      <c r="M168" s="327"/>
      <c r="N168" s="486" t="s">
        <v>303</v>
      </c>
      <c r="O168" s="326"/>
      <c r="P168" s="326"/>
      <c r="Q168" s="326"/>
      <c r="R168" s="326"/>
      <c r="S168" s="326"/>
      <c r="T168" s="326"/>
      <c r="U168" s="327"/>
    </row>
    <row r="169" spans="1:21" ht="34.5" customHeight="1" x14ac:dyDescent="0.25">
      <c r="A169" s="10">
        <f t="shared" si="0"/>
        <v>155</v>
      </c>
      <c r="B169" s="479" t="s">
        <v>303</v>
      </c>
      <c r="C169" s="327"/>
      <c r="D169" s="480" t="s">
        <v>303</v>
      </c>
      <c r="E169" s="327"/>
      <c r="F169" s="481" t="s">
        <v>334</v>
      </c>
      <c r="G169" s="327"/>
      <c r="H169" s="482"/>
      <c r="I169" s="326"/>
      <c r="J169" s="327"/>
      <c r="K169" s="481" t="s">
        <v>334</v>
      </c>
      <c r="L169" s="326"/>
      <c r="M169" s="327"/>
      <c r="N169" s="439" t="s">
        <v>303</v>
      </c>
      <c r="O169" s="326"/>
      <c r="P169" s="326"/>
      <c r="Q169" s="326"/>
      <c r="R169" s="326"/>
      <c r="S169" s="326"/>
      <c r="T169" s="326"/>
      <c r="U169" s="327"/>
    </row>
    <row r="170" spans="1:21" ht="34.5" customHeight="1" x14ac:dyDescent="0.25">
      <c r="A170" s="10">
        <f t="shared" si="0"/>
        <v>156</v>
      </c>
      <c r="B170" s="483" t="s">
        <v>303</v>
      </c>
      <c r="C170" s="327"/>
      <c r="D170" s="484" t="s">
        <v>303</v>
      </c>
      <c r="E170" s="327"/>
      <c r="F170" s="481" t="s">
        <v>334</v>
      </c>
      <c r="G170" s="327"/>
      <c r="H170" s="485"/>
      <c r="I170" s="326"/>
      <c r="J170" s="327"/>
      <c r="K170" s="481" t="s">
        <v>334</v>
      </c>
      <c r="L170" s="326"/>
      <c r="M170" s="327"/>
      <c r="N170" s="486" t="s">
        <v>303</v>
      </c>
      <c r="O170" s="326"/>
      <c r="P170" s="326"/>
      <c r="Q170" s="326"/>
      <c r="R170" s="326"/>
      <c r="S170" s="326"/>
      <c r="T170" s="326"/>
      <c r="U170" s="327"/>
    </row>
    <row r="171" spans="1:21" ht="34.5" customHeight="1" x14ac:dyDescent="0.25">
      <c r="A171" s="10">
        <f t="shared" si="0"/>
        <v>157</v>
      </c>
      <c r="B171" s="479" t="s">
        <v>303</v>
      </c>
      <c r="C171" s="327"/>
      <c r="D171" s="480" t="s">
        <v>303</v>
      </c>
      <c r="E171" s="327"/>
      <c r="F171" s="481" t="s">
        <v>334</v>
      </c>
      <c r="G171" s="327"/>
      <c r="H171" s="482"/>
      <c r="I171" s="326"/>
      <c r="J171" s="327"/>
      <c r="K171" s="481" t="s">
        <v>334</v>
      </c>
      <c r="L171" s="326"/>
      <c r="M171" s="327"/>
      <c r="N171" s="439" t="s">
        <v>303</v>
      </c>
      <c r="O171" s="326"/>
      <c r="P171" s="326"/>
      <c r="Q171" s="326"/>
      <c r="R171" s="326"/>
      <c r="S171" s="326"/>
      <c r="T171" s="326"/>
      <c r="U171" s="327"/>
    </row>
    <row r="172" spans="1:21" ht="34.5" customHeight="1" x14ac:dyDescent="0.25">
      <c r="A172" s="10">
        <f t="shared" si="0"/>
        <v>158</v>
      </c>
      <c r="B172" s="483" t="s">
        <v>303</v>
      </c>
      <c r="C172" s="327"/>
      <c r="D172" s="484" t="s">
        <v>303</v>
      </c>
      <c r="E172" s="327"/>
      <c r="F172" s="481" t="s">
        <v>334</v>
      </c>
      <c r="G172" s="327"/>
      <c r="H172" s="485"/>
      <c r="I172" s="326"/>
      <c r="J172" s="327"/>
      <c r="K172" s="481" t="s">
        <v>334</v>
      </c>
      <c r="L172" s="326"/>
      <c r="M172" s="327"/>
      <c r="N172" s="486" t="s">
        <v>303</v>
      </c>
      <c r="O172" s="326"/>
      <c r="P172" s="326"/>
      <c r="Q172" s="326"/>
      <c r="R172" s="326"/>
      <c r="S172" s="326"/>
      <c r="T172" s="326"/>
      <c r="U172" s="327"/>
    </row>
    <row r="173" spans="1:21" ht="34.5" customHeight="1" x14ac:dyDescent="0.25">
      <c r="A173" s="10">
        <f t="shared" si="0"/>
        <v>159</v>
      </c>
      <c r="B173" s="479" t="s">
        <v>303</v>
      </c>
      <c r="C173" s="327"/>
      <c r="D173" s="480" t="s">
        <v>303</v>
      </c>
      <c r="E173" s="327"/>
      <c r="F173" s="481" t="s">
        <v>334</v>
      </c>
      <c r="G173" s="327"/>
      <c r="H173" s="482"/>
      <c r="I173" s="326"/>
      <c r="J173" s="327"/>
      <c r="K173" s="481" t="s">
        <v>334</v>
      </c>
      <c r="L173" s="326"/>
      <c r="M173" s="327"/>
      <c r="N173" s="439" t="s">
        <v>303</v>
      </c>
      <c r="O173" s="326"/>
      <c r="P173" s="326"/>
      <c r="Q173" s="326"/>
      <c r="R173" s="326"/>
      <c r="S173" s="326"/>
      <c r="T173" s="326"/>
      <c r="U173" s="327"/>
    </row>
    <row r="174" spans="1:21" ht="34.5" customHeight="1" x14ac:dyDescent="0.25">
      <c r="A174" s="10">
        <f t="shared" si="0"/>
        <v>160</v>
      </c>
      <c r="B174" s="483" t="s">
        <v>342</v>
      </c>
      <c r="C174" s="327"/>
      <c r="D174" s="484" t="s">
        <v>303</v>
      </c>
      <c r="E174" s="327"/>
      <c r="F174" s="481" t="s">
        <v>334</v>
      </c>
      <c r="G174" s="327"/>
      <c r="H174" s="485"/>
      <c r="I174" s="326"/>
      <c r="J174" s="327"/>
      <c r="K174" s="481" t="s">
        <v>334</v>
      </c>
      <c r="L174" s="326"/>
      <c r="M174" s="327"/>
      <c r="N174" s="486" t="s">
        <v>303</v>
      </c>
      <c r="O174" s="326"/>
      <c r="P174" s="326"/>
      <c r="Q174" s="326"/>
      <c r="R174" s="326"/>
      <c r="S174" s="326"/>
      <c r="T174" s="326"/>
      <c r="U174" s="327"/>
    </row>
    <row r="175" spans="1:21" ht="34.5" customHeight="1" x14ac:dyDescent="0.25">
      <c r="A175" s="10">
        <f t="shared" si="0"/>
        <v>161</v>
      </c>
      <c r="B175" s="479" t="s">
        <v>303</v>
      </c>
      <c r="C175" s="327"/>
      <c r="D175" s="480" t="s">
        <v>303</v>
      </c>
      <c r="E175" s="327"/>
      <c r="F175" s="481" t="s">
        <v>334</v>
      </c>
      <c r="G175" s="327"/>
      <c r="H175" s="482"/>
      <c r="I175" s="326"/>
      <c r="J175" s="327"/>
      <c r="K175" s="481" t="s">
        <v>334</v>
      </c>
      <c r="L175" s="326"/>
      <c r="M175" s="327"/>
      <c r="N175" s="439" t="s">
        <v>303</v>
      </c>
      <c r="O175" s="326"/>
      <c r="P175" s="326"/>
      <c r="Q175" s="326"/>
      <c r="R175" s="326"/>
      <c r="S175" s="326"/>
      <c r="T175" s="326"/>
      <c r="U175" s="327"/>
    </row>
    <row r="176" spans="1:21" ht="34.5" customHeight="1" x14ac:dyDescent="0.25">
      <c r="A176" s="10">
        <f t="shared" si="0"/>
        <v>162</v>
      </c>
      <c r="B176" s="483" t="s">
        <v>303</v>
      </c>
      <c r="C176" s="327"/>
      <c r="D176" s="484" t="s">
        <v>303</v>
      </c>
      <c r="E176" s="327"/>
      <c r="F176" s="481" t="s">
        <v>334</v>
      </c>
      <c r="G176" s="327"/>
      <c r="H176" s="485"/>
      <c r="I176" s="326"/>
      <c r="J176" s="327"/>
      <c r="K176" s="481" t="s">
        <v>334</v>
      </c>
      <c r="L176" s="326"/>
      <c r="M176" s="327"/>
      <c r="N176" s="486" t="s">
        <v>303</v>
      </c>
      <c r="O176" s="326"/>
      <c r="P176" s="326"/>
      <c r="Q176" s="326"/>
      <c r="R176" s="326"/>
      <c r="S176" s="326"/>
      <c r="T176" s="326"/>
      <c r="U176" s="327"/>
    </row>
    <row r="177" spans="1:21" ht="34.5" customHeight="1" x14ac:dyDescent="0.25">
      <c r="A177" s="10">
        <f t="shared" si="0"/>
        <v>163</v>
      </c>
      <c r="B177" s="479" t="s">
        <v>303</v>
      </c>
      <c r="C177" s="327"/>
      <c r="D177" s="480" t="s">
        <v>303</v>
      </c>
      <c r="E177" s="327"/>
      <c r="F177" s="481" t="s">
        <v>334</v>
      </c>
      <c r="G177" s="327"/>
      <c r="H177" s="482"/>
      <c r="I177" s="326"/>
      <c r="J177" s="327"/>
      <c r="K177" s="481" t="s">
        <v>334</v>
      </c>
      <c r="L177" s="326"/>
      <c r="M177" s="327"/>
      <c r="N177" s="439" t="s">
        <v>303</v>
      </c>
      <c r="O177" s="326"/>
      <c r="P177" s="326"/>
      <c r="Q177" s="326"/>
      <c r="R177" s="326"/>
      <c r="S177" s="326"/>
      <c r="T177" s="326"/>
      <c r="U177" s="327"/>
    </row>
    <row r="178" spans="1:21" ht="34.5" customHeight="1" x14ac:dyDescent="0.25">
      <c r="A178" s="10">
        <f t="shared" si="0"/>
        <v>164</v>
      </c>
      <c r="B178" s="483" t="s">
        <v>303</v>
      </c>
      <c r="C178" s="327"/>
      <c r="D178" s="484" t="s">
        <v>303</v>
      </c>
      <c r="E178" s="327"/>
      <c r="F178" s="481" t="s">
        <v>334</v>
      </c>
      <c r="G178" s="327"/>
      <c r="H178" s="485"/>
      <c r="I178" s="326"/>
      <c r="J178" s="327"/>
      <c r="K178" s="481" t="s">
        <v>334</v>
      </c>
      <c r="L178" s="326"/>
      <c r="M178" s="327"/>
      <c r="N178" s="486" t="s">
        <v>303</v>
      </c>
      <c r="O178" s="326"/>
      <c r="P178" s="326"/>
      <c r="Q178" s="326"/>
      <c r="R178" s="326"/>
      <c r="S178" s="326"/>
      <c r="T178" s="326"/>
      <c r="U178" s="327"/>
    </row>
    <row r="179" spans="1:21" ht="34.5" customHeight="1" x14ac:dyDescent="0.25">
      <c r="A179" s="10">
        <f t="shared" si="0"/>
        <v>165</v>
      </c>
      <c r="B179" s="479" t="s">
        <v>303</v>
      </c>
      <c r="C179" s="327"/>
      <c r="D179" s="480" t="s">
        <v>303</v>
      </c>
      <c r="E179" s="327"/>
      <c r="F179" s="481" t="s">
        <v>334</v>
      </c>
      <c r="G179" s="327"/>
      <c r="H179" s="482"/>
      <c r="I179" s="326"/>
      <c r="J179" s="327"/>
      <c r="K179" s="481" t="s">
        <v>334</v>
      </c>
      <c r="L179" s="326"/>
      <c r="M179" s="327"/>
      <c r="N179" s="439" t="s">
        <v>303</v>
      </c>
      <c r="O179" s="326"/>
      <c r="P179" s="326"/>
      <c r="Q179" s="326"/>
      <c r="R179" s="326"/>
      <c r="S179" s="326"/>
      <c r="T179" s="326"/>
      <c r="U179" s="327"/>
    </row>
    <row r="180" spans="1:21" ht="34.5" customHeight="1" x14ac:dyDescent="0.25">
      <c r="A180" s="10">
        <f t="shared" si="0"/>
        <v>166</v>
      </c>
      <c r="B180" s="483" t="s">
        <v>339</v>
      </c>
      <c r="C180" s="327"/>
      <c r="D180" s="484" t="s">
        <v>303</v>
      </c>
      <c r="E180" s="327"/>
      <c r="F180" s="481" t="s">
        <v>334</v>
      </c>
      <c r="G180" s="327"/>
      <c r="H180" s="485"/>
      <c r="I180" s="326"/>
      <c r="J180" s="327"/>
      <c r="K180" s="481" t="s">
        <v>334</v>
      </c>
      <c r="L180" s="326"/>
      <c r="M180" s="327"/>
      <c r="N180" s="486" t="s">
        <v>303</v>
      </c>
      <c r="O180" s="326"/>
      <c r="P180" s="326"/>
      <c r="Q180" s="326"/>
      <c r="R180" s="326"/>
      <c r="S180" s="326"/>
      <c r="T180" s="326"/>
      <c r="U180" s="327"/>
    </row>
    <row r="181" spans="1:21" ht="34.5" customHeight="1" x14ac:dyDescent="0.25">
      <c r="A181" s="10">
        <f t="shared" si="0"/>
        <v>167</v>
      </c>
      <c r="B181" s="479" t="s">
        <v>303</v>
      </c>
      <c r="C181" s="327"/>
      <c r="D181" s="480" t="s">
        <v>303</v>
      </c>
      <c r="E181" s="327"/>
      <c r="F181" s="481" t="s">
        <v>334</v>
      </c>
      <c r="G181" s="327"/>
      <c r="H181" s="482"/>
      <c r="I181" s="326"/>
      <c r="J181" s="327"/>
      <c r="K181" s="481" t="s">
        <v>334</v>
      </c>
      <c r="L181" s="326"/>
      <c r="M181" s="327"/>
      <c r="N181" s="439" t="s">
        <v>303</v>
      </c>
      <c r="O181" s="326"/>
      <c r="P181" s="326"/>
      <c r="Q181" s="326"/>
      <c r="R181" s="326"/>
      <c r="S181" s="326"/>
      <c r="T181" s="326"/>
      <c r="U181" s="327"/>
    </row>
    <row r="182" spans="1:21" ht="34.5" customHeight="1" x14ac:dyDescent="0.25">
      <c r="A182" s="10">
        <f t="shared" si="0"/>
        <v>168</v>
      </c>
      <c r="B182" s="483" t="s">
        <v>303</v>
      </c>
      <c r="C182" s="327"/>
      <c r="D182" s="484" t="s">
        <v>303</v>
      </c>
      <c r="E182" s="327"/>
      <c r="F182" s="481" t="s">
        <v>334</v>
      </c>
      <c r="G182" s="327"/>
      <c r="H182" s="485"/>
      <c r="I182" s="326"/>
      <c r="J182" s="327"/>
      <c r="K182" s="481" t="s">
        <v>334</v>
      </c>
      <c r="L182" s="326"/>
      <c r="M182" s="327"/>
      <c r="N182" s="486" t="s">
        <v>303</v>
      </c>
      <c r="O182" s="326"/>
      <c r="P182" s="326"/>
      <c r="Q182" s="326"/>
      <c r="R182" s="326"/>
      <c r="S182" s="326"/>
      <c r="T182" s="326"/>
      <c r="U182" s="327"/>
    </row>
    <row r="183" spans="1:21" ht="34.5" customHeight="1" x14ac:dyDescent="0.25">
      <c r="A183" s="10">
        <f t="shared" si="0"/>
        <v>169</v>
      </c>
      <c r="B183" s="479" t="s">
        <v>303</v>
      </c>
      <c r="C183" s="327"/>
      <c r="D183" s="480" t="s">
        <v>303</v>
      </c>
      <c r="E183" s="327"/>
      <c r="F183" s="481" t="s">
        <v>334</v>
      </c>
      <c r="G183" s="327"/>
      <c r="H183" s="482"/>
      <c r="I183" s="326"/>
      <c r="J183" s="327"/>
      <c r="K183" s="481" t="s">
        <v>334</v>
      </c>
      <c r="L183" s="326"/>
      <c r="M183" s="327"/>
      <c r="N183" s="439" t="s">
        <v>303</v>
      </c>
      <c r="O183" s="326"/>
      <c r="P183" s="326"/>
      <c r="Q183" s="326"/>
      <c r="R183" s="326"/>
      <c r="S183" s="326"/>
      <c r="T183" s="326"/>
      <c r="U183" s="327"/>
    </row>
    <row r="184" spans="1:21" ht="34.5" customHeight="1" x14ac:dyDescent="0.25">
      <c r="A184" s="10">
        <f t="shared" si="0"/>
        <v>170</v>
      </c>
      <c r="B184" s="483" t="s">
        <v>303</v>
      </c>
      <c r="C184" s="327"/>
      <c r="D184" s="484" t="s">
        <v>303</v>
      </c>
      <c r="E184" s="327"/>
      <c r="F184" s="481" t="s">
        <v>334</v>
      </c>
      <c r="G184" s="327"/>
      <c r="H184" s="485"/>
      <c r="I184" s="326"/>
      <c r="J184" s="327"/>
      <c r="K184" s="481" t="s">
        <v>334</v>
      </c>
      <c r="L184" s="326"/>
      <c r="M184" s="327"/>
      <c r="N184" s="486" t="s">
        <v>303</v>
      </c>
      <c r="O184" s="326"/>
      <c r="P184" s="326"/>
      <c r="Q184" s="326"/>
      <c r="R184" s="326"/>
      <c r="S184" s="326"/>
      <c r="T184" s="326"/>
      <c r="U184" s="327"/>
    </row>
    <row r="185" spans="1:21" ht="34.5" customHeight="1" x14ac:dyDescent="0.25">
      <c r="A185" s="10">
        <f t="shared" si="0"/>
        <v>171</v>
      </c>
      <c r="B185" s="479" t="s">
        <v>343</v>
      </c>
      <c r="C185" s="327"/>
      <c r="D185" s="480" t="s">
        <v>303</v>
      </c>
      <c r="E185" s="327"/>
      <c r="F185" s="481" t="s">
        <v>334</v>
      </c>
      <c r="G185" s="327"/>
      <c r="H185" s="482"/>
      <c r="I185" s="326"/>
      <c r="J185" s="327"/>
      <c r="K185" s="481" t="s">
        <v>334</v>
      </c>
      <c r="L185" s="326"/>
      <c r="M185" s="327"/>
      <c r="N185" s="439" t="s">
        <v>303</v>
      </c>
      <c r="O185" s="326"/>
      <c r="P185" s="326"/>
      <c r="Q185" s="326"/>
      <c r="R185" s="326"/>
      <c r="S185" s="326"/>
      <c r="T185" s="326"/>
      <c r="U185" s="327"/>
    </row>
    <row r="186" spans="1:21" ht="34.5" customHeight="1" x14ac:dyDescent="0.25">
      <c r="A186" s="10">
        <f t="shared" si="0"/>
        <v>172</v>
      </c>
      <c r="B186" s="483" t="s">
        <v>303</v>
      </c>
      <c r="C186" s="327"/>
      <c r="D186" s="484" t="s">
        <v>303</v>
      </c>
      <c r="E186" s="327"/>
      <c r="F186" s="481" t="s">
        <v>334</v>
      </c>
      <c r="G186" s="327"/>
      <c r="H186" s="485"/>
      <c r="I186" s="326"/>
      <c r="J186" s="327"/>
      <c r="K186" s="481" t="s">
        <v>334</v>
      </c>
      <c r="L186" s="326"/>
      <c r="M186" s="327"/>
      <c r="N186" s="486" t="s">
        <v>303</v>
      </c>
      <c r="O186" s="326"/>
      <c r="P186" s="326"/>
      <c r="Q186" s="326"/>
      <c r="R186" s="326"/>
      <c r="S186" s="326"/>
      <c r="T186" s="326"/>
      <c r="U186" s="327"/>
    </row>
    <row r="187" spans="1:21" ht="34.5" customHeight="1" x14ac:dyDescent="0.25">
      <c r="A187" s="10">
        <f t="shared" si="0"/>
        <v>173</v>
      </c>
      <c r="B187" s="479" t="s">
        <v>303</v>
      </c>
      <c r="C187" s="327"/>
      <c r="D187" s="480" t="s">
        <v>303</v>
      </c>
      <c r="E187" s="327"/>
      <c r="F187" s="481" t="s">
        <v>334</v>
      </c>
      <c r="G187" s="327"/>
      <c r="H187" s="482"/>
      <c r="I187" s="326"/>
      <c r="J187" s="327"/>
      <c r="K187" s="481" t="s">
        <v>334</v>
      </c>
      <c r="L187" s="326"/>
      <c r="M187" s="327"/>
      <c r="N187" s="439" t="s">
        <v>303</v>
      </c>
      <c r="O187" s="326"/>
      <c r="P187" s="326"/>
      <c r="Q187" s="326"/>
      <c r="R187" s="326"/>
      <c r="S187" s="326"/>
      <c r="T187" s="326"/>
      <c r="U187" s="327"/>
    </row>
    <row r="188" spans="1:21" ht="34.5" customHeight="1" x14ac:dyDescent="0.25">
      <c r="A188" s="10">
        <f t="shared" si="0"/>
        <v>174</v>
      </c>
      <c r="B188" s="483" t="s">
        <v>303</v>
      </c>
      <c r="C188" s="327"/>
      <c r="D188" s="484" t="s">
        <v>303</v>
      </c>
      <c r="E188" s="327"/>
      <c r="F188" s="481" t="s">
        <v>334</v>
      </c>
      <c r="G188" s="327"/>
      <c r="H188" s="485"/>
      <c r="I188" s="326"/>
      <c r="J188" s="327"/>
      <c r="K188" s="481" t="s">
        <v>334</v>
      </c>
      <c r="L188" s="326"/>
      <c r="M188" s="327"/>
      <c r="N188" s="486" t="s">
        <v>303</v>
      </c>
      <c r="O188" s="326"/>
      <c r="P188" s="326"/>
      <c r="Q188" s="326"/>
      <c r="R188" s="326"/>
      <c r="S188" s="326"/>
      <c r="T188" s="326"/>
      <c r="U188" s="327"/>
    </row>
    <row r="189" spans="1:21" ht="34.5" customHeight="1" x14ac:dyDescent="0.25">
      <c r="A189" s="10">
        <f t="shared" si="0"/>
        <v>175</v>
      </c>
      <c r="B189" s="479" t="s">
        <v>303</v>
      </c>
      <c r="C189" s="327"/>
      <c r="D189" s="480" t="s">
        <v>303</v>
      </c>
      <c r="E189" s="327"/>
      <c r="F189" s="481" t="s">
        <v>334</v>
      </c>
      <c r="G189" s="327"/>
      <c r="H189" s="482"/>
      <c r="I189" s="326"/>
      <c r="J189" s="327"/>
      <c r="K189" s="481" t="s">
        <v>334</v>
      </c>
      <c r="L189" s="326"/>
      <c r="M189" s="327"/>
      <c r="N189" s="439" t="s">
        <v>303</v>
      </c>
      <c r="O189" s="326"/>
      <c r="P189" s="326"/>
      <c r="Q189" s="326"/>
      <c r="R189" s="326"/>
      <c r="S189" s="326"/>
      <c r="T189" s="326"/>
      <c r="U189" s="327"/>
    </row>
    <row r="190" spans="1:21" ht="34.5" customHeight="1" x14ac:dyDescent="0.25">
      <c r="A190" s="10">
        <f t="shared" si="0"/>
        <v>176</v>
      </c>
      <c r="B190" s="483" t="s">
        <v>341</v>
      </c>
      <c r="C190" s="327"/>
      <c r="D190" s="484" t="s">
        <v>303</v>
      </c>
      <c r="E190" s="327"/>
      <c r="F190" s="481" t="s">
        <v>334</v>
      </c>
      <c r="G190" s="327"/>
      <c r="H190" s="485"/>
      <c r="I190" s="326"/>
      <c r="J190" s="327"/>
      <c r="K190" s="481" t="s">
        <v>334</v>
      </c>
      <c r="L190" s="326"/>
      <c r="M190" s="327"/>
      <c r="N190" s="486" t="s">
        <v>303</v>
      </c>
      <c r="O190" s="326"/>
      <c r="P190" s="326"/>
      <c r="Q190" s="326"/>
      <c r="R190" s="326"/>
      <c r="S190" s="326"/>
      <c r="T190" s="326"/>
      <c r="U190" s="327"/>
    </row>
    <row r="191" spans="1:21" ht="34.5" customHeight="1" x14ac:dyDescent="0.25">
      <c r="A191" s="10">
        <f t="shared" si="0"/>
        <v>177</v>
      </c>
      <c r="B191" s="479" t="s">
        <v>303</v>
      </c>
      <c r="C191" s="327"/>
      <c r="D191" s="480" t="s">
        <v>303</v>
      </c>
      <c r="E191" s="327"/>
      <c r="F191" s="481" t="s">
        <v>334</v>
      </c>
      <c r="G191" s="327"/>
      <c r="H191" s="482"/>
      <c r="I191" s="326"/>
      <c r="J191" s="327"/>
      <c r="K191" s="481" t="s">
        <v>334</v>
      </c>
      <c r="L191" s="326"/>
      <c r="M191" s="327"/>
      <c r="N191" s="439" t="s">
        <v>303</v>
      </c>
      <c r="O191" s="326"/>
      <c r="P191" s="326"/>
      <c r="Q191" s="326"/>
      <c r="R191" s="326"/>
      <c r="S191" s="326"/>
      <c r="T191" s="326"/>
      <c r="U191" s="327"/>
    </row>
    <row r="192" spans="1:21" ht="34.5" customHeight="1" x14ac:dyDescent="0.25">
      <c r="A192" s="10">
        <f t="shared" si="0"/>
        <v>178</v>
      </c>
      <c r="B192" s="483" t="s">
        <v>303</v>
      </c>
      <c r="C192" s="327"/>
      <c r="D192" s="484" t="s">
        <v>303</v>
      </c>
      <c r="E192" s="327"/>
      <c r="F192" s="481" t="s">
        <v>334</v>
      </c>
      <c r="G192" s="327"/>
      <c r="H192" s="485"/>
      <c r="I192" s="326"/>
      <c r="J192" s="327"/>
      <c r="K192" s="481" t="s">
        <v>334</v>
      </c>
      <c r="L192" s="326"/>
      <c r="M192" s="327"/>
      <c r="N192" s="486" t="s">
        <v>303</v>
      </c>
      <c r="O192" s="326"/>
      <c r="P192" s="326"/>
      <c r="Q192" s="326"/>
      <c r="R192" s="326"/>
      <c r="S192" s="326"/>
      <c r="T192" s="326"/>
      <c r="U192" s="327"/>
    </row>
    <row r="193" spans="1:21" ht="34.5" customHeight="1" x14ac:dyDescent="0.25">
      <c r="A193" s="10">
        <f t="shared" si="0"/>
        <v>179</v>
      </c>
      <c r="B193" s="479" t="s">
        <v>303</v>
      </c>
      <c r="C193" s="327"/>
      <c r="D193" s="480" t="s">
        <v>303</v>
      </c>
      <c r="E193" s="327"/>
      <c r="F193" s="481" t="s">
        <v>334</v>
      </c>
      <c r="G193" s="327"/>
      <c r="H193" s="482"/>
      <c r="I193" s="326"/>
      <c r="J193" s="327"/>
      <c r="K193" s="481" t="s">
        <v>334</v>
      </c>
      <c r="L193" s="326"/>
      <c r="M193" s="327"/>
      <c r="N193" s="439" t="s">
        <v>303</v>
      </c>
      <c r="O193" s="326"/>
      <c r="P193" s="326"/>
      <c r="Q193" s="326"/>
      <c r="R193" s="326"/>
      <c r="S193" s="326"/>
      <c r="T193" s="326"/>
      <c r="U193" s="327"/>
    </row>
    <row r="194" spans="1:21" ht="34.5" customHeight="1" x14ac:dyDescent="0.25">
      <c r="A194" s="10">
        <f t="shared" si="0"/>
        <v>180</v>
      </c>
      <c r="B194" s="483" t="s">
        <v>303</v>
      </c>
      <c r="C194" s="327"/>
      <c r="D194" s="484" t="s">
        <v>303</v>
      </c>
      <c r="E194" s="327"/>
      <c r="F194" s="481" t="s">
        <v>334</v>
      </c>
      <c r="G194" s="327"/>
      <c r="H194" s="485"/>
      <c r="I194" s="326"/>
      <c r="J194" s="327"/>
      <c r="K194" s="481" t="s">
        <v>334</v>
      </c>
      <c r="L194" s="326"/>
      <c r="M194" s="327"/>
      <c r="N194" s="486" t="s">
        <v>303</v>
      </c>
      <c r="O194" s="326"/>
      <c r="P194" s="326"/>
      <c r="Q194" s="326"/>
      <c r="R194" s="326"/>
      <c r="S194" s="326"/>
      <c r="T194" s="326"/>
      <c r="U194" s="327"/>
    </row>
    <row r="195" spans="1:21" ht="34.5" customHeight="1" x14ac:dyDescent="0.25">
      <c r="A195" s="10">
        <f t="shared" si="0"/>
        <v>181</v>
      </c>
      <c r="B195" s="479" t="s">
        <v>338</v>
      </c>
      <c r="C195" s="327"/>
      <c r="D195" s="480" t="s">
        <v>303</v>
      </c>
      <c r="E195" s="327"/>
      <c r="F195" s="481" t="s">
        <v>334</v>
      </c>
      <c r="G195" s="327"/>
      <c r="H195" s="482"/>
      <c r="I195" s="326"/>
      <c r="J195" s="327"/>
      <c r="K195" s="481" t="s">
        <v>334</v>
      </c>
      <c r="L195" s="326"/>
      <c r="M195" s="327"/>
      <c r="N195" s="439" t="s">
        <v>303</v>
      </c>
      <c r="O195" s="326"/>
      <c r="P195" s="326"/>
      <c r="Q195" s="326"/>
      <c r="R195" s="326"/>
      <c r="S195" s="326"/>
      <c r="T195" s="326"/>
      <c r="U195" s="327"/>
    </row>
    <row r="196" spans="1:21" ht="34.5" customHeight="1" x14ac:dyDescent="0.25">
      <c r="A196" s="10">
        <f t="shared" si="0"/>
        <v>182</v>
      </c>
      <c r="B196" s="483" t="s">
        <v>303</v>
      </c>
      <c r="C196" s="327"/>
      <c r="D196" s="484" t="s">
        <v>303</v>
      </c>
      <c r="E196" s="327"/>
      <c r="F196" s="481" t="s">
        <v>334</v>
      </c>
      <c r="G196" s="327"/>
      <c r="H196" s="485"/>
      <c r="I196" s="326"/>
      <c r="J196" s="327"/>
      <c r="K196" s="481" t="s">
        <v>334</v>
      </c>
      <c r="L196" s="326"/>
      <c r="M196" s="327"/>
      <c r="N196" s="486" t="s">
        <v>303</v>
      </c>
      <c r="O196" s="326"/>
      <c r="P196" s="326"/>
      <c r="Q196" s="326"/>
      <c r="R196" s="326"/>
      <c r="S196" s="326"/>
      <c r="T196" s="326"/>
      <c r="U196" s="327"/>
    </row>
    <row r="197" spans="1:21" ht="34.5" customHeight="1" x14ac:dyDescent="0.25">
      <c r="A197" s="10">
        <f t="shared" si="0"/>
        <v>183</v>
      </c>
      <c r="B197" s="479" t="s">
        <v>303</v>
      </c>
      <c r="C197" s="327"/>
      <c r="D197" s="480" t="s">
        <v>303</v>
      </c>
      <c r="E197" s="327"/>
      <c r="F197" s="481" t="s">
        <v>334</v>
      </c>
      <c r="G197" s="327"/>
      <c r="H197" s="482"/>
      <c r="I197" s="326"/>
      <c r="J197" s="327"/>
      <c r="K197" s="481" t="s">
        <v>334</v>
      </c>
      <c r="L197" s="326"/>
      <c r="M197" s="327"/>
      <c r="N197" s="439" t="s">
        <v>303</v>
      </c>
      <c r="O197" s="326"/>
      <c r="P197" s="326"/>
      <c r="Q197" s="326"/>
      <c r="R197" s="326"/>
      <c r="S197" s="326"/>
      <c r="T197" s="326"/>
      <c r="U197" s="327"/>
    </row>
    <row r="198" spans="1:21" ht="34.5" customHeight="1" x14ac:dyDescent="0.25">
      <c r="A198" s="10">
        <f t="shared" si="0"/>
        <v>184</v>
      </c>
      <c r="B198" s="483" t="s">
        <v>303</v>
      </c>
      <c r="C198" s="327"/>
      <c r="D198" s="484" t="s">
        <v>303</v>
      </c>
      <c r="E198" s="327"/>
      <c r="F198" s="481" t="s">
        <v>334</v>
      </c>
      <c r="G198" s="327"/>
      <c r="H198" s="485"/>
      <c r="I198" s="326"/>
      <c r="J198" s="327"/>
      <c r="K198" s="481" t="s">
        <v>334</v>
      </c>
      <c r="L198" s="326"/>
      <c r="M198" s="327"/>
      <c r="N198" s="486" t="s">
        <v>303</v>
      </c>
      <c r="O198" s="326"/>
      <c r="P198" s="326"/>
      <c r="Q198" s="326"/>
      <c r="R198" s="326"/>
      <c r="S198" s="326"/>
      <c r="T198" s="326"/>
      <c r="U198" s="327"/>
    </row>
    <row r="199" spans="1:21" ht="34.5" customHeight="1" x14ac:dyDescent="0.25">
      <c r="A199" s="10">
        <f t="shared" si="0"/>
        <v>185</v>
      </c>
      <c r="B199" s="479" t="s">
        <v>343</v>
      </c>
      <c r="C199" s="327"/>
      <c r="D199" s="480" t="s">
        <v>303</v>
      </c>
      <c r="E199" s="327"/>
      <c r="F199" s="481" t="s">
        <v>334</v>
      </c>
      <c r="G199" s="327"/>
      <c r="H199" s="482"/>
      <c r="I199" s="326"/>
      <c r="J199" s="327"/>
      <c r="K199" s="481" t="s">
        <v>334</v>
      </c>
      <c r="L199" s="326"/>
      <c r="M199" s="327"/>
      <c r="N199" s="439" t="s">
        <v>303</v>
      </c>
      <c r="O199" s="326"/>
      <c r="P199" s="326"/>
      <c r="Q199" s="326"/>
      <c r="R199" s="326"/>
      <c r="S199" s="326"/>
      <c r="T199" s="326"/>
      <c r="U199" s="327"/>
    </row>
    <row r="200" spans="1:21" ht="34.5" customHeight="1" x14ac:dyDescent="0.25">
      <c r="A200" s="10">
        <f t="shared" si="0"/>
        <v>186</v>
      </c>
      <c r="B200" s="483" t="s">
        <v>303</v>
      </c>
      <c r="C200" s="327"/>
      <c r="D200" s="484" t="s">
        <v>303</v>
      </c>
      <c r="E200" s="327"/>
      <c r="F200" s="481" t="s">
        <v>334</v>
      </c>
      <c r="G200" s="327"/>
      <c r="H200" s="485"/>
      <c r="I200" s="326"/>
      <c r="J200" s="327"/>
      <c r="K200" s="481" t="s">
        <v>334</v>
      </c>
      <c r="L200" s="326"/>
      <c r="M200" s="327"/>
      <c r="N200" s="486" t="s">
        <v>303</v>
      </c>
      <c r="O200" s="326"/>
      <c r="P200" s="326"/>
      <c r="Q200" s="326"/>
      <c r="R200" s="326"/>
      <c r="S200" s="326"/>
      <c r="T200" s="326"/>
      <c r="U200" s="327"/>
    </row>
    <row r="201" spans="1:21" ht="34.5" customHeight="1" x14ac:dyDescent="0.25">
      <c r="A201" s="10">
        <f t="shared" si="0"/>
        <v>187</v>
      </c>
      <c r="B201" s="479" t="s">
        <v>303</v>
      </c>
      <c r="C201" s="327"/>
      <c r="D201" s="480" t="s">
        <v>303</v>
      </c>
      <c r="E201" s="327"/>
      <c r="F201" s="481" t="s">
        <v>334</v>
      </c>
      <c r="G201" s="327"/>
      <c r="H201" s="482"/>
      <c r="I201" s="326"/>
      <c r="J201" s="327"/>
      <c r="K201" s="481" t="s">
        <v>334</v>
      </c>
      <c r="L201" s="326"/>
      <c r="M201" s="327"/>
      <c r="N201" s="439" t="s">
        <v>303</v>
      </c>
      <c r="O201" s="326"/>
      <c r="P201" s="326"/>
      <c r="Q201" s="326"/>
      <c r="R201" s="326"/>
      <c r="S201" s="326"/>
      <c r="T201" s="326"/>
      <c r="U201" s="327"/>
    </row>
    <row r="202" spans="1:21" ht="34.5" customHeight="1" x14ac:dyDescent="0.25">
      <c r="A202" s="10">
        <f t="shared" si="0"/>
        <v>188</v>
      </c>
      <c r="B202" s="483" t="s">
        <v>303</v>
      </c>
      <c r="C202" s="327"/>
      <c r="D202" s="484" t="s">
        <v>303</v>
      </c>
      <c r="E202" s="327"/>
      <c r="F202" s="481" t="s">
        <v>334</v>
      </c>
      <c r="G202" s="327"/>
      <c r="H202" s="485"/>
      <c r="I202" s="326"/>
      <c r="J202" s="327"/>
      <c r="K202" s="481" t="s">
        <v>334</v>
      </c>
      <c r="L202" s="326"/>
      <c r="M202" s="327"/>
      <c r="N202" s="486" t="s">
        <v>303</v>
      </c>
      <c r="O202" s="326"/>
      <c r="P202" s="326"/>
      <c r="Q202" s="326"/>
      <c r="R202" s="326"/>
      <c r="S202" s="326"/>
      <c r="T202" s="326"/>
      <c r="U202" s="327"/>
    </row>
    <row r="203" spans="1:21" ht="34.5" customHeight="1" x14ac:dyDescent="0.25">
      <c r="A203" s="10">
        <f t="shared" si="0"/>
        <v>189</v>
      </c>
      <c r="B203" s="479" t="s">
        <v>303</v>
      </c>
      <c r="C203" s="327"/>
      <c r="D203" s="480" t="s">
        <v>303</v>
      </c>
      <c r="E203" s="327"/>
      <c r="F203" s="481" t="s">
        <v>334</v>
      </c>
      <c r="G203" s="327"/>
      <c r="H203" s="482"/>
      <c r="I203" s="326"/>
      <c r="J203" s="327"/>
      <c r="K203" s="481" t="s">
        <v>334</v>
      </c>
      <c r="L203" s="326"/>
      <c r="M203" s="327"/>
      <c r="N203" s="439" t="s">
        <v>303</v>
      </c>
      <c r="O203" s="326"/>
      <c r="P203" s="326"/>
      <c r="Q203" s="326"/>
      <c r="R203" s="326"/>
      <c r="S203" s="326"/>
      <c r="T203" s="326"/>
      <c r="U203" s="327"/>
    </row>
    <row r="204" spans="1:21" ht="34.5" customHeight="1" x14ac:dyDescent="0.25">
      <c r="A204" s="10">
        <f t="shared" si="0"/>
        <v>190</v>
      </c>
      <c r="B204" s="483" t="s">
        <v>303</v>
      </c>
      <c r="C204" s="327"/>
      <c r="D204" s="484" t="s">
        <v>303</v>
      </c>
      <c r="E204" s="327"/>
      <c r="F204" s="481" t="s">
        <v>334</v>
      </c>
      <c r="G204" s="327"/>
      <c r="H204" s="485"/>
      <c r="I204" s="326"/>
      <c r="J204" s="327"/>
      <c r="K204" s="481" t="s">
        <v>334</v>
      </c>
      <c r="L204" s="326"/>
      <c r="M204" s="327"/>
      <c r="N204" s="486" t="s">
        <v>303</v>
      </c>
      <c r="O204" s="326"/>
      <c r="P204" s="326"/>
      <c r="Q204" s="326"/>
      <c r="R204" s="326"/>
      <c r="S204" s="326"/>
      <c r="T204" s="326"/>
      <c r="U204" s="327"/>
    </row>
    <row r="205" spans="1:21" ht="34.5" customHeight="1" x14ac:dyDescent="0.25">
      <c r="A205" s="10">
        <f t="shared" si="0"/>
        <v>191</v>
      </c>
      <c r="B205" s="479" t="s">
        <v>344</v>
      </c>
      <c r="C205" s="327"/>
      <c r="D205" s="480" t="s">
        <v>303</v>
      </c>
      <c r="E205" s="327"/>
      <c r="F205" s="481" t="s">
        <v>334</v>
      </c>
      <c r="G205" s="327"/>
      <c r="H205" s="482"/>
      <c r="I205" s="326"/>
      <c r="J205" s="327"/>
      <c r="K205" s="481" t="s">
        <v>334</v>
      </c>
      <c r="L205" s="326"/>
      <c r="M205" s="327"/>
      <c r="N205" s="439" t="s">
        <v>303</v>
      </c>
      <c r="O205" s="326"/>
      <c r="P205" s="326"/>
      <c r="Q205" s="326"/>
      <c r="R205" s="326"/>
      <c r="S205" s="326"/>
      <c r="T205" s="326"/>
      <c r="U205" s="327"/>
    </row>
    <row r="206" spans="1:21" ht="34.5" customHeight="1" x14ac:dyDescent="0.25">
      <c r="A206" s="10">
        <f t="shared" si="0"/>
        <v>192</v>
      </c>
      <c r="B206" s="483" t="s">
        <v>303</v>
      </c>
      <c r="C206" s="327"/>
      <c r="D206" s="484" t="s">
        <v>303</v>
      </c>
      <c r="E206" s="327"/>
      <c r="F206" s="481" t="s">
        <v>334</v>
      </c>
      <c r="G206" s="327"/>
      <c r="H206" s="485"/>
      <c r="I206" s="326"/>
      <c r="J206" s="327"/>
      <c r="K206" s="481" t="s">
        <v>334</v>
      </c>
      <c r="L206" s="326"/>
      <c r="M206" s="327"/>
      <c r="N206" s="486" t="s">
        <v>303</v>
      </c>
      <c r="O206" s="326"/>
      <c r="P206" s="326"/>
      <c r="Q206" s="326"/>
      <c r="R206" s="326"/>
      <c r="S206" s="326"/>
      <c r="T206" s="326"/>
      <c r="U206" s="327"/>
    </row>
    <row r="207" spans="1:21" ht="34.5" customHeight="1" x14ac:dyDescent="0.25">
      <c r="A207" s="10">
        <f t="shared" si="0"/>
        <v>193</v>
      </c>
      <c r="B207" s="479" t="s">
        <v>303</v>
      </c>
      <c r="C207" s="327"/>
      <c r="D207" s="480" t="s">
        <v>303</v>
      </c>
      <c r="E207" s="327"/>
      <c r="F207" s="481" t="s">
        <v>334</v>
      </c>
      <c r="G207" s="327"/>
      <c r="H207" s="482"/>
      <c r="I207" s="326"/>
      <c r="J207" s="327"/>
      <c r="K207" s="481" t="s">
        <v>334</v>
      </c>
      <c r="L207" s="326"/>
      <c r="M207" s="327"/>
      <c r="N207" s="439" t="s">
        <v>303</v>
      </c>
      <c r="O207" s="326"/>
      <c r="P207" s="326"/>
      <c r="Q207" s="326"/>
      <c r="R207" s="326"/>
      <c r="S207" s="326"/>
      <c r="T207" s="326"/>
      <c r="U207" s="327"/>
    </row>
    <row r="208" spans="1:21" ht="34.5" customHeight="1" x14ac:dyDescent="0.25">
      <c r="A208" s="10">
        <f t="shared" si="0"/>
        <v>194</v>
      </c>
      <c r="B208" s="483" t="s">
        <v>303</v>
      </c>
      <c r="C208" s="327"/>
      <c r="D208" s="484" t="s">
        <v>303</v>
      </c>
      <c r="E208" s="327"/>
      <c r="F208" s="481" t="s">
        <v>334</v>
      </c>
      <c r="G208" s="327"/>
      <c r="H208" s="485"/>
      <c r="I208" s="326"/>
      <c r="J208" s="327"/>
      <c r="K208" s="481" t="s">
        <v>334</v>
      </c>
      <c r="L208" s="326"/>
      <c r="M208" s="327"/>
      <c r="N208" s="486" t="s">
        <v>303</v>
      </c>
      <c r="O208" s="326"/>
      <c r="P208" s="326"/>
      <c r="Q208" s="326"/>
      <c r="R208" s="326"/>
      <c r="S208" s="326"/>
      <c r="T208" s="326"/>
      <c r="U208" s="327"/>
    </row>
    <row r="209" spans="1:21" ht="34.5" customHeight="1" x14ac:dyDescent="0.25">
      <c r="A209" s="10">
        <f t="shared" si="0"/>
        <v>195</v>
      </c>
      <c r="B209" s="479" t="s">
        <v>303</v>
      </c>
      <c r="C209" s="327"/>
      <c r="D209" s="480" t="s">
        <v>303</v>
      </c>
      <c r="E209" s="327"/>
      <c r="F209" s="481" t="s">
        <v>334</v>
      </c>
      <c r="G209" s="327"/>
      <c r="H209" s="482"/>
      <c r="I209" s="326"/>
      <c r="J209" s="327"/>
      <c r="K209" s="481" t="s">
        <v>334</v>
      </c>
      <c r="L209" s="326"/>
      <c r="M209" s="327"/>
      <c r="N209" s="439" t="s">
        <v>303</v>
      </c>
      <c r="O209" s="326"/>
      <c r="P209" s="326"/>
      <c r="Q209" s="326"/>
      <c r="R209" s="326"/>
      <c r="S209" s="326"/>
      <c r="T209" s="326"/>
      <c r="U209" s="327"/>
    </row>
    <row r="210" spans="1:21" ht="34.5" customHeight="1" x14ac:dyDescent="0.25">
      <c r="A210" s="10">
        <f t="shared" si="0"/>
        <v>196</v>
      </c>
      <c r="B210" s="483" t="s">
        <v>303</v>
      </c>
      <c r="C210" s="327"/>
      <c r="D210" s="484" t="s">
        <v>303</v>
      </c>
      <c r="E210" s="327"/>
      <c r="F210" s="481" t="s">
        <v>334</v>
      </c>
      <c r="G210" s="327"/>
      <c r="H210" s="485"/>
      <c r="I210" s="326"/>
      <c r="J210" s="327"/>
      <c r="K210" s="481" t="s">
        <v>334</v>
      </c>
      <c r="L210" s="326"/>
      <c r="M210" s="327"/>
      <c r="N210" s="486" t="s">
        <v>303</v>
      </c>
      <c r="O210" s="326"/>
      <c r="P210" s="326"/>
      <c r="Q210" s="326"/>
      <c r="R210" s="326"/>
      <c r="S210" s="326"/>
      <c r="T210" s="326"/>
      <c r="U210" s="327"/>
    </row>
    <row r="211" spans="1:21" ht="34.5" customHeight="1" x14ac:dyDescent="0.25">
      <c r="A211" s="10">
        <f t="shared" si="0"/>
        <v>197</v>
      </c>
      <c r="B211" s="479" t="s">
        <v>303</v>
      </c>
      <c r="C211" s="327"/>
      <c r="D211" s="480" t="s">
        <v>303</v>
      </c>
      <c r="E211" s="327"/>
      <c r="F211" s="481" t="s">
        <v>334</v>
      </c>
      <c r="G211" s="327"/>
      <c r="H211" s="482"/>
      <c r="I211" s="326"/>
      <c r="J211" s="327"/>
      <c r="K211" s="481" t="s">
        <v>334</v>
      </c>
      <c r="L211" s="326"/>
      <c r="M211" s="327"/>
      <c r="N211" s="439" t="s">
        <v>303</v>
      </c>
      <c r="O211" s="326"/>
      <c r="P211" s="326"/>
      <c r="Q211" s="326"/>
      <c r="R211" s="326"/>
      <c r="S211" s="326"/>
      <c r="T211" s="326"/>
      <c r="U211" s="327"/>
    </row>
    <row r="212" spans="1:21" ht="34.5" customHeight="1" x14ac:dyDescent="0.25">
      <c r="A212" s="10">
        <f t="shared" si="0"/>
        <v>198</v>
      </c>
      <c r="B212" s="479" t="s">
        <v>303</v>
      </c>
      <c r="C212" s="327"/>
      <c r="D212" s="480" t="s">
        <v>303</v>
      </c>
      <c r="E212" s="327"/>
      <c r="F212" s="481" t="s">
        <v>334</v>
      </c>
      <c r="G212" s="327"/>
      <c r="H212" s="482"/>
      <c r="I212" s="326"/>
      <c r="J212" s="327"/>
      <c r="K212" s="481" t="s">
        <v>334</v>
      </c>
      <c r="L212" s="326"/>
      <c r="M212" s="327"/>
      <c r="N212" s="439" t="s">
        <v>303</v>
      </c>
      <c r="O212" s="326"/>
      <c r="P212" s="326"/>
      <c r="Q212" s="326"/>
      <c r="R212" s="326"/>
      <c r="S212" s="326"/>
      <c r="T212" s="326"/>
      <c r="U212" s="327"/>
    </row>
    <row r="213" spans="1:21" ht="34.5" customHeight="1" x14ac:dyDescent="0.25">
      <c r="A213" s="10">
        <f t="shared" si="0"/>
        <v>199</v>
      </c>
      <c r="B213" s="483" t="s">
        <v>303</v>
      </c>
      <c r="C213" s="327"/>
      <c r="D213" s="484" t="s">
        <v>303</v>
      </c>
      <c r="E213" s="327"/>
      <c r="F213" s="481" t="s">
        <v>334</v>
      </c>
      <c r="G213" s="327"/>
      <c r="H213" s="485"/>
      <c r="I213" s="326"/>
      <c r="J213" s="327"/>
      <c r="K213" s="481" t="s">
        <v>334</v>
      </c>
      <c r="L213" s="326"/>
      <c r="M213" s="327"/>
      <c r="N213" s="486"/>
      <c r="O213" s="326"/>
      <c r="P213" s="326"/>
      <c r="Q213" s="326"/>
      <c r="R213" s="326"/>
      <c r="S213" s="326"/>
      <c r="T213" s="326"/>
      <c r="U213" s="327"/>
    </row>
    <row r="214" spans="1:21" ht="34.5" customHeight="1" x14ac:dyDescent="0.25">
      <c r="A214" s="10">
        <f t="shared" si="0"/>
        <v>200</v>
      </c>
      <c r="B214" s="479" t="s">
        <v>303</v>
      </c>
      <c r="C214" s="327"/>
      <c r="D214" s="480" t="s">
        <v>303</v>
      </c>
      <c r="E214" s="327"/>
      <c r="F214" s="481" t="s">
        <v>334</v>
      </c>
      <c r="G214" s="327"/>
      <c r="H214" s="482"/>
      <c r="I214" s="326"/>
      <c r="J214" s="327"/>
      <c r="K214" s="481" t="s">
        <v>334</v>
      </c>
      <c r="L214" s="326"/>
      <c r="M214" s="327"/>
      <c r="N214" s="439" t="s">
        <v>303</v>
      </c>
      <c r="O214" s="326"/>
      <c r="P214" s="326"/>
      <c r="Q214" s="326"/>
      <c r="R214" s="326"/>
      <c r="S214" s="326"/>
      <c r="T214" s="326"/>
      <c r="U214" s="327"/>
    </row>
    <row r="215" spans="1:21" ht="34.5" customHeight="1" x14ac:dyDescent="0.25">
      <c r="A215" s="10">
        <f t="shared" si="0"/>
        <v>201</v>
      </c>
      <c r="B215" s="483" t="s">
        <v>303</v>
      </c>
      <c r="C215" s="327"/>
      <c r="D215" s="484" t="s">
        <v>303</v>
      </c>
      <c r="E215" s="327"/>
      <c r="F215" s="481" t="s">
        <v>334</v>
      </c>
      <c r="G215" s="327"/>
      <c r="H215" s="485"/>
      <c r="I215" s="326"/>
      <c r="J215" s="327"/>
      <c r="K215" s="481" t="s">
        <v>334</v>
      </c>
      <c r="L215" s="326"/>
      <c r="M215" s="327"/>
      <c r="N215" s="486" t="s">
        <v>303</v>
      </c>
      <c r="O215" s="326"/>
      <c r="P215" s="326"/>
      <c r="Q215" s="326"/>
      <c r="R215" s="326"/>
      <c r="S215" s="326"/>
      <c r="T215" s="326"/>
      <c r="U215" s="327"/>
    </row>
    <row r="216" spans="1:21" ht="34.5" customHeight="1" x14ac:dyDescent="0.25">
      <c r="A216" s="10">
        <f t="shared" si="0"/>
        <v>202</v>
      </c>
      <c r="B216" s="479" t="s">
        <v>303</v>
      </c>
      <c r="C216" s="327"/>
      <c r="D216" s="480" t="s">
        <v>303</v>
      </c>
      <c r="E216" s="327"/>
      <c r="F216" s="481" t="s">
        <v>334</v>
      </c>
      <c r="G216" s="327"/>
      <c r="H216" s="482"/>
      <c r="I216" s="326"/>
      <c r="J216" s="327"/>
      <c r="K216" s="481" t="s">
        <v>334</v>
      </c>
      <c r="L216" s="326"/>
      <c r="M216" s="327"/>
      <c r="N216" s="439" t="s">
        <v>303</v>
      </c>
      <c r="O216" s="326"/>
      <c r="P216" s="326"/>
      <c r="Q216" s="326"/>
      <c r="R216" s="326"/>
      <c r="S216" s="326"/>
      <c r="T216" s="326"/>
      <c r="U216" s="327"/>
    </row>
    <row r="217" spans="1:21" ht="34.5" customHeight="1" x14ac:dyDescent="0.25">
      <c r="A217" s="10">
        <f t="shared" si="0"/>
        <v>203</v>
      </c>
      <c r="B217" s="483" t="s">
        <v>303</v>
      </c>
      <c r="C217" s="327"/>
      <c r="D217" s="484" t="s">
        <v>303</v>
      </c>
      <c r="E217" s="327"/>
      <c r="F217" s="481" t="s">
        <v>334</v>
      </c>
      <c r="G217" s="327"/>
      <c r="H217" s="485"/>
      <c r="I217" s="326"/>
      <c r="J217" s="327"/>
      <c r="K217" s="481" t="s">
        <v>334</v>
      </c>
      <c r="L217" s="326"/>
      <c r="M217" s="327"/>
      <c r="N217" s="486" t="s">
        <v>303</v>
      </c>
      <c r="O217" s="326"/>
      <c r="P217" s="326"/>
      <c r="Q217" s="326"/>
      <c r="R217" s="326"/>
      <c r="S217" s="326"/>
      <c r="T217" s="326"/>
      <c r="U217" s="327"/>
    </row>
    <row r="218" spans="1:21" ht="34.5" customHeight="1" x14ac:dyDescent="0.25">
      <c r="A218" s="10">
        <f t="shared" si="0"/>
        <v>204</v>
      </c>
      <c r="B218" s="479" t="s">
        <v>303</v>
      </c>
      <c r="C218" s="327"/>
      <c r="D218" s="480" t="s">
        <v>303</v>
      </c>
      <c r="E218" s="327"/>
      <c r="F218" s="481" t="s">
        <v>334</v>
      </c>
      <c r="G218" s="327"/>
      <c r="H218" s="482"/>
      <c r="I218" s="326"/>
      <c r="J218" s="327"/>
      <c r="K218" s="481" t="s">
        <v>334</v>
      </c>
      <c r="L218" s="326"/>
      <c r="M218" s="327"/>
      <c r="N218" s="439" t="s">
        <v>303</v>
      </c>
      <c r="O218" s="326"/>
      <c r="P218" s="326"/>
      <c r="Q218" s="326"/>
      <c r="R218" s="326"/>
      <c r="S218" s="326"/>
      <c r="T218" s="326"/>
      <c r="U218" s="327"/>
    </row>
    <row r="219" spans="1:21" ht="34.5" customHeight="1" x14ac:dyDescent="0.25">
      <c r="A219" s="10">
        <f t="shared" si="0"/>
        <v>205</v>
      </c>
      <c r="B219" s="483" t="s">
        <v>303</v>
      </c>
      <c r="C219" s="327"/>
      <c r="D219" s="484" t="s">
        <v>303</v>
      </c>
      <c r="E219" s="327"/>
      <c r="F219" s="481" t="s">
        <v>334</v>
      </c>
      <c r="G219" s="327"/>
      <c r="H219" s="485"/>
      <c r="I219" s="326"/>
      <c r="J219" s="327"/>
      <c r="K219" s="481" t="s">
        <v>334</v>
      </c>
      <c r="L219" s="326"/>
      <c r="M219" s="327"/>
      <c r="N219" s="486" t="s">
        <v>303</v>
      </c>
      <c r="O219" s="326"/>
      <c r="P219" s="326"/>
      <c r="Q219" s="326"/>
      <c r="R219" s="326"/>
      <c r="S219" s="326"/>
      <c r="T219" s="326"/>
      <c r="U219" s="327"/>
    </row>
    <row r="220" spans="1:21" ht="34.5" customHeight="1" x14ac:dyDescent="0.25">
      <c r="A220" s="10">
        <f t="shared" si="0"/>
        <v>206</v>
      </c>
      <c r="B220" s="479" t="s">
        <v>303</v>
      </c>
      <c r="C220" s="327"/>
      <c r="D220" s="480" t="s">
        <v>303</v>
      </c>
      <c r="E220" s="327"/>
      <c r="F220" s="481" t="s">
        <v>334</v>
      </c>
      <c r="G220" s="327"/>
      <c r="H220" s="482"/>
      <c r="I220" s="326"/>
      <c r="J220" s="327"/>
      <c r="K220" s="481" t="s">
        <v>334</v>
      </c>
      <c r="L220" s="326"/>
      <c r="M220" s="327"/>
      <c r="N220" s="439" t="s">
        <v>303</v>
      </c>
      <c r="O220" s="326"/>
      <c r="P220" s="326"/>
      <c r="Q220" s="326"/>
      <c r="R220" s="326"/>
      <c r="S220" s="326"/>
      <c r="T220" s="326"/>
      <c r="U220" s="327"/>
    </row>
    <row r="221" spans="1:21" ht="34.5" customHeight="1" x14ac:dyDescent="0.25">
      <c r="A221" s="10">
        <f t="shared" si="0"/>
        <v>207</v>
      </c>
      <c r="B221" s="483" t="s">
        <v>303</v>
      </c>
      <c r="C221" s="327"/>
      <c r="D221" s="484" t="s">
        <v>303</v>
      </c>
      <c r="E221" s="327"/>
      <c r="F221" s="481" t="s">
        <v>334</v>
      </c>
      <c r="G221" s="327"/>
      <c r="H221" s="485"/>
      <c r="I221" s="326"/>
      <c r="J221" s="327"/>
      <c r="K221" s="481" t="s">
        <v>334</v>
      </c>
      <c r="L221" s="326"/>
      <c r="M221" s="327"/>
      <c r="N221" s="486" t="s">
        <v>303</v>
      </c>
      <c r="O221" s="326"/>
      <c r="P221" s="326"/>
      <c r="Q221" s="326"/>
      <c r="R221" s="326"/>
      <c r="S221" s="326"/>
      <c r="T221" s="326"/>
      <c r="U221" s="327"/>
    </row>
    <row r="222" spans="1:21" ht="34.5" customHeight="1" x14ac:dyDescent="0.25">
      <c r="A222" s="10">
        <f t="shared" si="0"/>
        <v>208</v>
      </c>
      <c r="B222" s="479" t="s">
        <v>303</v>
      </c>
      <c r="C222" s="327"/>
      <c r="D222" s="480" t="s">
        <v>303</v>
      </c>
      <c r="E222" s="327"/>
      <c r="F222" s="481" t="s">
        <v>334</v>
      </c>
      <c r="G222" s="327"/>
      <c r="H222" s="482"/>
      <c r="I222" s="326"/>
      <c r="J222" s="327"/>
      <c r="K222" s="481" t="s">
        <v>334</v>
      </c>
      <c r="L222" s="326"/>
      <c r="M222" s="327"/>
      <c r="N222" s="439" t="s">
        <v>303</v>
      </c>
      <c r="O222" s="326"/>
      <c r="P222" s="326"/>
      <c r="Q222" s="326"/>
      <c r="R222" s="326"/>
      <c r="S222" s="326"/>
      <c r="T222" s="326"/>
      <c r="U222" s="327"/>
    </row>
    <row r="223" spans="1:21" ht="34.5" customHeight="1" x14ac:dyDescent="0.25">
      <c r="A223" s="10">
        <f t="shared" si="0"/>
        <v>209</v>
      </c>
      <c r="B223" s="483" t="s">
        <v>303</v>
      </c>
      <c r="C223" s="327"/>
      <c r="D223" s="484" t="s">
        <v>303</v>
      </c>
      <c r="E223" s="327"/>
      <c r="F223" s="481" t="s">
        <v>334</v>
      </c>
      <c r="G223" s="327"/>
      <c r="H223" s="485"/>
      <c r="I223" s="326"/>
      <c r="J223" s="327"/>
      <c r="K223" s="481" t="s">
        <v>334</v>
      </c>
      <c r="L223" s="326"/>
      <c r="M223" s="327"/>
      <c r="N223" s="486" t="s">
        <v>303</v>
      </c>
      <c r="O223" s="326"/>
      <c r="P223" s="326"/>
      <c r="Q223" s="326"/>
      <c r="R223" s="326"/>
      <c r="S223" s="326"/>
      <c r="T223" s="326"/>
      <c r="U223" s="327"/>
    </row>
    <row r="224" spans="1:21" ht="34.5" customHeight="1" x14ac:dyDescent="0.25">
      <c r="A224" s="10">
        <f t="shared" si="0"/>
        <v>210</v>
      </c>
      <c r="B224" s="479" t="s">
        <v>303</v>
      </c>
      <c r="C224" s="327"/>
      <c r="D224" s="480" t="s">
        <v>303</v>
      </c>
      <c r="E224" s="327"/>
      <c r="F224" s="481" t="s">
        <v>334</v>
      </c>
      <c r="G224" s="327"/>
      <c r="H224" s="482"/>
      <c r="I224" s="326"/>
      <c r="J224" s="327"/>
      <c r="K224" s="481" t="s">
        <v>334</v>
      </c>
      <c r="L224" s="326"/>
      <c r="M224" s="327"/>
      <c r="N224" s="439" t="s">
        <v>303</v>
      </c>
      <c r="O224" s="326"/>
      <c r="P224" s="326"/>
      <c r="Q224" s="326"/>
      <c r="R224" s="326"/>
      <c r="S224" s="326"/>
      <c r="T224" s="326"/>
      <c r="U224" s="327"/>
    </row>
    <row r="225" spans="1:21" ht="34.5" customHeight="1" x14ac:dyDescent="0.25">
      <c r="A225" s="10">
        <f t="shared" si="0"/>
        <v>211</v>
      </c>
      <c r="B225" s="483" t="s">
        <v>303</v>
      </c>
      <c r="C225" s="327"/>
      <c r="D225" s="484" t="s">
        <v>303</v>
      </c>
      <c r="E225" s="327"/>
      <c r="F225" s="481" t="s">
        <v>334</v>
      </c>
      <c r="G225" s="327"/>
      <c r="H225" s="485"/>
      <c r="I225" s="326"/>
      <c r="J225" s="327"/>
      <c r="K225" s="481" t="s">
        <v>334</v>
      </c>
      <c r="L225" s="326"/>
      <c r="M225" s="327"/>
      <c r="N225" s="486" t="s">
        <v>303</v>
      </c>
      <c r="O225" s="326"/>
      <c r="P225" s="326"/>
      <c r="Q225" s="326"/>
      <c r="R225" s="326"/>
      <c r="S225" s="326"/>
      <c r="T225" s="326"/>
      <c r="U225" s="327"/>
    </row>
    <row r="226" spans="1:21" ht="34.5" customHeight="1" x14ac:dyDescent="0.25">
      <c r="A226" s="10">
        <f t="shared" si="0"/>
        <v>212</v>
      </c>
      <c r="B226" s="479" t="s">
        <v>303</v>
      </c>
      <c r="C226" s="327"/>
      <c r="D226" s="480" t="s">
        <v>303</v>
      </c>
      <c r="E226" s="327"/>
      <c r="F226" s="481" t="s">
        <v>334</v>
      </c>
      <c r="G226" s="327"/>
      <c r="H226" s="482"/>
      <c r="I226" s="326"/>
      <c r="J226" s="327"/>
      <c r="K226" s="481" t="s">
        <v>334</v>
      </c>
      <c r="L226" s="326"/>
      <c r="M226" s="327"/>
      <c r="N226" s="439" t="s">
        <v>303</v>
      </c>
      <c r="O226" s="326"/>
      <c r="P226" s="326"/>
      <c r="Q226" s="326"/>
      <c r="R226" s="326"/>
      <c r="S226" s="326"/>
      <c r="T226" s="326"/>
      <c r="U226" s="327"/>
    </row>
    <row r="227" spans="1:21" ht="34.5" customHeight="1" x14ac:dyDescent="0.25">
      <c r="A227" s="10">
        <f t="shared" si="0"/>
        <v>213</v>
      </c>
      <c r="B227" s="483" t="s">
        <v>303</v>
      </c>
      <c r="C227" s="327"/>
      <c r="D227" s="484" t="s">
        <v>303</v>
      </c>
      <c r="E227" s="327"/>
      <c r="F227" s="481" t="s">
        <v>334</v>
      </c>
      <c r="G227" s="327"/>
      <c r="H227" s="485"/>
      <c r="I227" s="326"/>
      <c r="J227" s="327"/>
      <c r="K227" s="481" t="s">
        <v>334</v>
      </c>
      <c r="L227" s="326"/>
      <c r="M227" s="327"/>
      <c r="N227" s="486" t="s">
        <v>303</v>
      </c>
      <c r="O227" s="326"/>
      <c r="P227" s="326"/>
      <c r="Q227" s="326"/>
      <c r="R227" s="326"/>
      <c r="S227" s="326"/>
      <c r="T227" s="326"/>
      <c r="U227" s="327"/>
    </row>
    <row r="228" spans="1:21" ht="34.5" customHeight="1" x14ac:dyDescent="0.25">
      <c r="A228" s="10">
        <f t="shared" si="0"/>
        <v>214</v>
      </c>
      <c r="B228" s="479" t="s">
        <v>303</v>
      </c>
      <c r="C228" s="327"/>
      <c r="D228" s="480" t="s">
        <v>303</v>
      </c>
      <c r="E228" s="327"/>
      <c r="F228" s="481" t="s">
        <v>334</v>
      </c>
      <c r="G228" s="327"/>
      <c r="H228" s="482"/>
      <c r="I228" s="326"/>
      <c r="J228" s="327"/>
      <c r="K228" s="481" t="s">
        <v>334</v>
      </c>
      <c r="L228" s="326"/>
      <c r="M228" s="327"/>
      <c r="N228" s="439" t="s">
        <v>303</v>
      </c>
      <c r="O228" s="326"/>
      <c r="P228" s="326"/>
      <c r="Q228" s="326"/>
      <c r="R228" s="326"/>
      <c r="S228" s="326"/>
      <c r="T228" s="326"/>
      <c r="U228" s="327"/>
    </row>
    <row r="229" spans="1:21" ht="34.5" customHeight="1" x14ac:dyDescent="0.25">
      <c r="A229" s="10">
        <f t="shared" si="0"/>
        <v>215</v>
      </c>
      <c r="B229" s="483" t="s">
        <v>303</v>
      </c>
      <c r="C229" s="327"/>
      <c r="D229" s="484" t="s">
        <v>303</v>
      </c>
      <c r="E229" s="327"/>
      <c r="F229" s="481" t="s">
        <v>334</v>
      </c>
      <c r="G229" s="327"/>
      <c r="H229" s="485"/>
      <c r="I229" s="326"/>
      <c r="J229" s="327"/>
      <c r="K229" s="481" t="s">
        <v>334</v>
      </c>
      <c r="L229" s="326"/>
      <c r="M229" s="327"/>
      <c r="N229" s="486" t="s">
        <v>303</v>
      </c>
      <c r="O229" s="326"/>
      <c r="P229" s="326"/>
      <c r="Q229" s="326"/>
      <c r="R229" s="326"/>
      <c r="S229" s="326"/>
      <c r="T229" s="326"/>
      <c r="U229" s="327"/>
    </row>
    <row r="230" spans="1:21" ht="34.5" customHeight="1" x14ac:dyDescent="0.25">
      <c r="A230" s="10">
        <f t="shared" si="0"/>
        <v>216</v>
      </c>
      <c r="B230" s="479" t="s">
        <v>303</v>
      </c>
      <c r="C230" s="327"/>
      <c r="D230" s="480" t="s">
        <v>303</v>
      </c>
      <c r="E230" s="327"/>
      <c r="F230" s="481" t="s">
        <v>334</v>
      </c>
      <c r="G230" s="327"/>
      <c r="H230" s="482"/>
      <c r="I230" s="326"/>
      <c r="J230" s="327"/>
      <c r="K230" s="481" t="s">
        <v>334</v>
      </c>
      <c r="L230" s="326"/>
      <c r="M230" s="327"/>
      <c r="N230" s="439" t="s">
        <v>303</v>
      </c>
      <c r="O230" s="326"/>
      <c r="P230" s="326"/>
      <c r="Q230" s="326"/>
      <c r="R230" s="326"/>
      <c r="S230" s="326"/>
      <c r="T230" s="326"/>
      <c r="U230" s="327"/>
    </row>
    <row r="231" spans="1:21" ht="34.5" customHeight="1" x14ac:dyDescent="0.25">
      <c r="A231" s="10">
        <f t="shared" si="0"/>
        <v>217</v>
      </c>
      <c r="B231" s="483" t="s">
        <v>303</v>
      </c>
      <c r="C231" s="327"/>
      <c r="D231" s="484" t="s">
        <v>303</v>
      </c>
      <c r="E231" s="327"/>
      <c r="F231" s="481" t="s">
        <v>334</v>
      </c>
      <c r="G231" s="327"/>
      <c r="H231" s="485"/>
      <c r="I231" s="326"/>
      <c r="J231" s="327"/>
      <c r="K231" s="481" t="s">
        <v>334</v>
      </c>
      <c r="L231" s="326"/>
      <c r="M231" s="327"/>
      <c r="N231" s="486" t="s">
        <v>303</v>
      </c>
      <c r="O231" s="326"/>
      <c r="P231" s="326"/>
      <c r="Q231" s="326"/>
      <c r="R231" s="326"/>
      <c r="S231" s="326"/>
      <c r="T231" s="326"/>
      <c r="U231" s="327"/>
    </row>
    <row r="232" spans="1:21" ht="34.5" customHeight="1" x14ac:dyDescent="0.25">
      <c r="A232" s="10">
        <f t="shared" si="0"/>
        <v>218</v>
      </c>
      <c r="B232" s="479" t="s">
        <v>303</v>
      </c>
      <c r="C232" s="327"/>
      <c r="D232" s="480" t="s">
        <v>303</v>
      </c>
      <c r="E232" s="327"/>
      <c r="F232" s="481" t="s">
        <v>334</v>
      </c>
      <c r="G232" s="327"/>
      <c r="H232" s="482"/>
      <c r="I232" s="326"/>
      <c r="J232" s="327"/>
      <c r="K232" s="481" t="s">
        <v>334</v>
      </c>
      <c r="L232" s="326"/>
      <c r="M232" s="327"/>
      <c r="N232" s="439" t="s">
        <v>303</v>
      </c>
      <c r="O232" s="326"/>
      <c r="P232" s="326"/>
      <c r="Q232" s="326"/>
      <c r="R232" s="326"/>
      <c r="S232" s="326"/>
      <c r="T232" s="326"/>
      <c r="U232" s="327"/>
    </row>
    <row r="233" spans="1:21" ht="34.5" customHeight="1" x14ac:dyDescent="0.25">
      <c r="A233" s="10">
        <f t="shared" si="0"/>
        <v>219</v>
      </c>
      <c r="B233" s="483" t="s">
        <v>303</v>
      </c>
      <c r="C233" s="327"/>
      <c r="D233" s="484" t="s">
        <v>303</v>
      </c>
      <c r="E233" s="327"/>
      <c r="F233" s="481" t="s">
        <v>334</v>
      </c>
      <c r="G233" s="327"/>
      <c r="H233" s="485"/>
      <c r="I233" s="326"/>
      <c r="J233" s="327"/>
      <c r="K233" s="481" t="s">
        <v>334</v>
      </c>
      <c r="L233" s="326"/>
      <c r="M233" s="327"/>
      <c r="N233" s="486" t="s">
        <v>303</v>
      </c>
      <c r="O233" s="326"/>
      <c r="P233" s="326"/>
      <c r="Q233" s="326"/>
      <c r="R233" s="326"/>
      <c r="S233" s="326"/>
      <c r="T233" s="326"/>
      <c r="U233" s="327"/>
    </row>
    <row r="234" spans="1:21" ht="34.5" customHeight="1" x14ac:dyDescent="0.25">
      <c r="A234" s="10">
        <f t="shared" si="0"/>
        <v>220</v>
      </c>
      <c r="B234" s="479" t="s">
        <v>303</v>
      </c>
      <c r="C234" s="327"/>
      <c r="D234" s="480" t="s">
        <v>303</v>
      </c>
      <c r="E234" s="327"/>
      <c r="F234" s="481" t="s">
        <v>334</v>
      </c>
      <c r="G234" s="327"/>
      <c r="H234" s="482"/>
      <c r="I234" s="326"/>
      <c r="J234" s="327"/>
      <c r="K234" s="481" t="s">
        <v>334</v>
      </c>
      <c r="L234" s="326"/>
      <c r="M234" s="327"/>
      <c r="N234" s="439" t="s">
        <v>303</v>
      </c>
      <c r="O234" s="326"/>
      <c r="P234" s="326"/>
      <c r="Q234" s="326"/>
      <c r="R234" s="326"/>
      <c r="S234" s="326"/>
      <c r="T234" s="326"/>
      <c r="U234" s="327"/>
    </row>
    <row r="235" spans="1:21" ht="34.5" customHeight="1" x14ac:dyDescent="0.25">
      <c r="A235" s="10">
        <f t="shared" si="0"/>
        <v>221</v>
      </c>
      <c r="B235" s="483" t="s">
        <v>303</v>
      </c>
      <c r="C235" s="327"/>
      <c r="D235" s="484" t="s">
        <v>303</v>
      </c>
      <c r="E235" s="327"/>
      <c r="F235" s="481" t="s">
        <v>334</v>
      </c>
      <c r="G235" s="327"/>
      <c r="H235" s="485"/>
      <c r="I235" s="326"/>
      <c r="J235" s="327"/>
      <c r="K235" s="481" t="s">
        <v>334</v>
      </c>
      <c r="L235" s="326"/>
      <c r="M235" s="327"/>
      <c r="N235" s="486" t="s">
        <v>303</v>
      </c>
      <c r="O235" s="326"/>
      <c r="P235" s="326"/>
      <c r="Q235" s="326"/>
      <c r="R235" s="326"/>
      <c r="S235" s="326"/>
      <c r="T235" s="326"/>
      <c r="U235" s="327"/>
    </row>
    <row r="236" spans="1:21" ht="34.5" customHeight="1" x14ac:dyDescent="0.25">
      <c r="A236" s="10">
        <f t="shared" si="0"/>
        <v>222</v>
      </c>
      <c r="B236" s="479" t="s">
        <v>303</v>
      </c>
      <c r="C236" s="327"/>
      <c r="D236" s="480" t="s">
        <v>303</v>
      </c>
      <c r="E236" s="327"/>
      <c r="F236" s="481" t="s">
        <v>334</v>
      </c>
      <c r="G236" s="327"/>
      <c r="H236" s="482"/>
      <c r="I236" s="326"/>
      <c r="J236" s="327"/>
      <c r="K236" s="481" t="s">
        <v>334</v>
      </c>
      <c r="L236" s="326"/>
      <c r="M236" s="327"/>
      <c r="N236" s="439" t="s">
        <v>303</v>
      </c>
      <c r="O236" s="326"/>
      <c r="P236" s="326"/>
      <c r="Q236" s="326"/>
      <c r="R236" s="326"/>
      <c r="S236" s="326"/>
      <c r="T236" s="326"/>
      <c r="U236" s="327"/>
    </row>
    <row r="237" spans="1:21" ht="34.5" customHeight="1" x14ac:dyDescent="0.25">
      <c r="A237" s="10">
        <f t="shared" si="0"/>
        <v>223</v>
      </c>
      <c r="B237" s="483" t="s">
        <v>303</v>
      </c>
      <c r="C237" s="327"/>
      <c r="D237" s="484" t="s">
        <v>303</v>
      </c>
      <c r="E237" s="327"/>
      <c r="F237" s="481" t="s">
        <v>334</v>
      </c>
      <c r="G237" s="327"/>
      <c r="H237" s="485"/>
      <c r="I237" s="326"/>
      <c r="J237" s="327"/>
      <c r="K237" s="481" t="s">
        <v>334</v>
      </c>
      <c r="L237" s="326"/>
      <c r="M237" s="327"/>
      <c r="N237" s="486" t="s">
        <v>303</v>
      </c>
      <c r="O237" s="326"/>
      <c r="P237" s="326"/>
      <c r="Q237" s="326"/>
      <c r="R237" s="326"/>
      <c r="S237" s="326"/>
      <c r="T237" s="326"/>
      <c r="U237" s="327"/>
    </row>
    <row r="238" spans="1:21" ht="34.5" customHeight="1" x14ac:dyDescent="0.25">
      <c r="A238" s="10">
        <f t="shared" si="0"/>
        <v>224</v>
      </c>
      <c r="B238" s="479" t="s">
        <v>303</v>
      </c>
      <c r="C238" s="327"/>
      <c r="D238" s="480" t="s">
        <v>303</v>
      </c>
      <c r="E238" s="327"/>
      <c r="F238" s="481" t="s">
        <v>334</v>
      </c>
      <c r="G238" s="327"/>
      <c r="H238" s="482"/>
      <c r="I238" s="326"/>
      <c r="J238" s="327"/>
      <c r="K238" s="481" t="s">
        <v>334</v>
      </c>
      <c r="L238" s="326"/>
      <c r="M238" s="327"/>
      <c r="N238" s="439" t="s">
        <v>303</v>
      </c>
      <c r="O238" s="326"/>
      <c r="P238" s="326"/>
      <c r="Q238" s="326"/>
      <c r="R238" s="326"/>
      <c r="S238" s="326"/>
      <c r="T238" s="326"/>
      <c r="U238" s="327"/>
    </row>
    <row r="239" spans="1:21" ht="34.5" customHeight="1" x14ac:dyDescent="0.25">
      <c r="A239" s="10">
        <f t="shared" si="0"/>
        <v>225</v>
      </c>
      <c r="B239" s="483" t="s">
        <v>303</v>
      </c>
      <c r="C239" s="327"/>
      <c r="D239" s="484" t="s">
        <v>303</v>
      </c>
      <c r="E239" s="327"/>
      <c r="F239" s="481" t="s">
        <v>334</v>
      </c>
      <c r="G239" s="327"/>
      <c r="H239" s="485"/>
      <c r="I239" s="326"/>
      <c r="J239" s="327"/>
      <c r="K239" s="481" t="s">
        <v>334</v>
      </c>
      <c r="L239" s="326"/>
      <c r="M239" s="327"/>
      <c r="N239" s="486" t="s">
        <v>303</v>
      </c>
      <c r="O239" s="326"/>
      <c r="P239" s="326"/>
      <c r="Q239" s="326"/>
      <c r="R239" s="326"/>
      <c r="S239" s="326"/>
      <c r="T239" s="326"/>
      <c r="U239" s="327"/>
    </row>
    <row r="240" spans="1:21" ht="34.5" customHeight="1" x14ac:dyDescent="0.25">
      <c r="A240" s="10">
        <f t="shared" si="0"/>
        <v>226</v>
      </c>
      <c r="B240" s="479" t="s">
        <v>303</v>
      </c>
      <c r="C240" s="327"/>
      <c r="D240" s="480" t="s">
        <v>303</v>
      </c>
      <c r="E240" s="327"/>
      <c r="F240" s="481" t="s">
        <v>334</v>
      </c>
      <c r="G240" s="327"/>
      <c r="H240" s="482"/>
      <c r="I240" s="326"/>
      <c r="J240" s="327"/>
      <c r="K240" s="481" t="s">
        <v>334</v>
      </c>
      <c r="L240" s="326"/>
      <c r="M240" s="327"/>
      <c r="N240" s="439" t="s">
        <v>303</v>
      </c>
      <c r="O240" s="326"/>
      <c r="P240" s="326"/>
      <c r="Q240" s="326"/>
      <c r="R240" s="326"/>
      <c r="S240" s="326"/>
      <c r="T240" s="326"/>
      <c r="U240" s="327"/>
    </row>
    <row r="241" spans="1:21" ht="34.5" customHeight="1" x14ac:dyDescent="0.25">
      <c r="A241" s="10">
        <f t="shared" si="0"/>
        <v>227</v>
      </c>
      <c r="B241" s="483" t="s">
        <v>303</v>
      </c>
      <c r="C241" s="327"/>
      <c r="D241" s="484" t="s">
        <v>303</v>
      </c>
      <c r="E241" s="327"/>
      <c r="F241" s="481" t="s">
        <v>334</v>
      </c>
      <c r="G241" s="327"/>
      <c r="H241" s="485"/>
      <c r="I241" s="326"/>
      <c r="J241" s="327"/>
      <c r="K241" s="481" t="s">
        <v>334</v>
      </c>
      <c r="L241" s="326"/>
      <c r="M241" s="327"/>
      <c r="N241" s="486" t="s">
        <v>303</v>
      </c>
      <c r="O241" s="326"/>
      <c r="P241" s="326"/>
      <c r="Q241" s="326"/>
      <c r="R241" s="326"/>
      <c r="S241" s="326"/>
      <c r="T241" s="326"/>
      <c r="U241" s="327"/>
    </row>
    <row r="242" spans="1:21" ht="34.5" customHeight="1" x14ac:dyDescent="0.25">
      <c r="A242" s="10">
        <f t="shared" si="0"/>
        <v>228</v>
      </c>
      <c r="B242" s="479" t="s">
        <v>303</v>
      </c>
      <c r="C242" s="327"/>
      <c r="D242" s="480" t="s">
        <v>303</v>
      </c>
      <c r="E242" s="327"/>
      <c r="F242" s="481" t="s">
        <v>334</v>
      </c>
      <c r="G242" s="327"/>
      <c r="H242" s="482"/>
      <c r="I242" s="326"/>
      <c r="J242" s="327"/>
      <c r="K242" s="481" t="s">
        <v>334</v>
      </c>
      <c r="L242" s="326"/>
      <c r="M242" s="327"/>
      <c r="N242" s="439" t="s">
        <v>303</v>
      </c>
      <c r="O242" s="326"/>
      <c r="P242" s="326"/>
      <c r="Q242" s="326"/>
      <c r="R242" s="326"/>
      <c r="S242" s="326"/>
      <c r="T242" s="326"/>
      <c r="U242" s="327"/>
    </row>
    <row r="243" spans="1:21" ht="34.5" customHeight="1" x14ac:dyDescent="0.25">
      <c r="A243" s="10">
        <f t="shared" si="0"/>
        <v>229</v>
      </c>
      <c r="B243" s="483" t="s">
        <v>303</v>
      </c>
      <c r="C243" s="327"/>
      <c r="D243" s="484" t="s">
        <v>303</v>
      </c>
      <c r="E243" s="327"/>
      <c r="F243" s="481" t="s">
        <v>334</v>
      </c>
      <c r="G243" s="327"/>
      <c r="H243" s="485"/>
      <c r="I243" s="326"/>
      <c r="J243" s="327"/>
      <c r="K243" s="481" t="s">
        <v>334</v>
      </c>
      <c r="L243" s="326"/>
      <c r="M243" s="327"/>
      <c r="N243" s="486" t="s">
        <v>303</v>
      </c>
      <c r="O243" s="326"/>
      <c r="P243" s="326"/>
      <c r="Q243" s="326"/>
      <c r="R243" s="326"/>
      <c r="S243" s="326"/>
      <c r="T243" s="326"/>
      <c r="U243" s="327"/>
    </row>
    <row r="244" spans="1:21" ht="34.5" customHeight="1" x14ac:dyDescent="0.25">
      <c r="A244" s="10">
        <f t="shared" si="0"/>
        <v>230</v>
      </c>
      <c r="B244" s="479" t="s">
        <v>303</v>
      </c>
      <c r="C244" s="327"/>
      <c r="D244" s="480" t="s">
        <v>303</v>
      </c>
      <c r="E244" s="327"/>
      <c r="F244" s="481" t="s">
        <v>334</v>
      </c>
      <c r="G244" s="327"/>
      <c r="H244" s="482"/>
      <c r="I244" s="326"/>
      <c r="J244" s="327"/>
      <c r="K244" s="481" t="s">
        <v>334</v>
      </c>
      <c r="L244" s="326"/>
      <c r="M244" s="327"/>
      <c r="N244" s="439" t="s">
        <v>303</v>
      </c>
      <c r="O244" s="326"/>
      <c r="P244" s="326"/>
      <c r="Q244" s="326"/>
      <c r="R244" s="326"/>
      <c r="S244" s="326"/>
      <c r="T244" s="326"/>
      <c r="U244" s="327"/>
    </row>
    <row r="245" spans="1:21" ht="34.5" customHeight="1" x14ac:dyDescent="0.25">
      <c r="A245" s="10">
        <f t="shared" si="0"/>
        <v>231</v>
      </c>
      <c r="B245" s="483" t="s">
        <v>303</v>
      </c>
      <c r="C245" s="327"/>
      <c r="D245" s="484" t="s">
        <v>303</v>
      </c>
      <c r="E245" s="327"/>
      <c r="F245" s="481" t="s">
        <v>334</v>
      </c>
      <c r="G245" s="327"/>
      <c r="H245" s="485"/>
      <c r="I245" s="326"/>
      <c r="J245" s="327"/>
      <c r="K245" s="481" t="s">
        <v>334</v>
      </c>
      <c r="L245" s="326"/>
      <c r="M245" s="327"/>
      <c r="N245" s="486" t="s">
        <v>303</v>
      </c>
      <c r="O245" s="326"/>
      <c r="P245" s="326"/>
      <c r="Q245" s="326"/>
      <c r="R245" s="326"/>
      <c r="S245" s="326"/>
      <c r="T245" s="326"/>
      <c r="U245" s="327"/>
    </row>
    <row r="246" spans="1:21" ht="34.5" customHeight="1" x14ac:dyDescent="0.25">
      <c r="A246" s="10">
        <f t="shared" si="0"/>
        <v>232</v>
      </c>
      <c r="B246" s="479" t="s">
        <v>303</v>
      </c>
      <c r="C246" s="327"/>
      <c r="D246" s="480" t="s">
        <v>303</v>
      </c>
      <c r="E246" s="327"/>
      <c r="F246" s="481" t="s">
        <v>334</v>
      </c>
      <c r="G246" s="327"/>
      <c r="H246" s="482"/>
      <c r="I246" s="326"/>
      <c r="J246" s="327"/>
      <c r="K246" s="481" t="s">
        <v>334</v>
      </c>
      <c r="L246" s="326"/>
      <c r="M246" s="327"/>
      <c r="N246" s="439" t="s">
        <v>303</v>
      </c>
      <c r="O246" s="326"/>
      <c r="P246" s="326"/>
      <c r="Q246" s="326"/>
      <c r="R246" s="326"/>
      <c r="S246" s="326"/>
      <c r="T246" s="326"/>
      <c r="U246" s="327"/>
    </row>
    <row r="247" spans="1:21" ht="34.5" customHeight="1" x14ac:dyDescent="0.25">
      <c r="A247" s="10">
        <f t="shared" si="0"/>
        <v>233</v>
      </c>
      <c r="B247" s="483" t="s">
        <v>303</v>
      </c>
      <c r="C247" s="327"/>
      <c r="D247" s="484" t="s">
        <v>303</v>
      </c>
      <c r="E247" s="327"/>
      <c r="F247" s="481" t="s">
        <v>334</v>
      </c>
      <c r="G247" s="327"/>
      <c r="H247" s="485"/>
      <c r="I247" s="326"/>
      <c r="J247" s="327"/>
      <c r="K247" s="481" t="s">
        <v>334</v>
      </c>
      <c r="L247" s="326"/>
      <c r="M247" s="327"/>
      <c r="N247" s="486" t="s">
        <v>303</v>
      </c>
      <c r="O247" s="326"/>
      <c r="P247" s="326"/>
      <c r="Q247" s="326"/>
      <c r="R247" s="326"/>
      <c r="S247" s="326"/>
      <c r="T247" s="326"/>
      <c r="U247" s="327"/>
    </row>
    <row r="248" spans="1:21" ht="34.5" customHeight="1" x14ac:dyDescent="0.25">
      <c r="A248" s="10">
        <f t="shared" si="0"/>
        <v>234</v>
      </c>
      <c r="B248" s="479" t="s">
        <v>303</v>
      </c>
      <c r="C248" s="327"/>
      <c r="D248" s="480" t="s">
        <v>303</v>
      </c>
      <c r="E248" s="327"/>
      <c r="F248" s="481" t="s">
        <v>334</v>
      </c>
      <c r="G248" s="327"/>
      <c r="H248" s="482"/>
      <c r="I248" s="326"/>
      <c r="J248" s="327"/>
      <c r="K248" s="481" t="s">
        <v>334</v>
      </c>
      <c r="L248" s="326"/>
      <c r="M248" s="327"/>
      <c r="N248" s="439" t="s">
        <v>303</v>
      </c>
      <c r="O248" s="326"/>
      <c r="P248" s="326"/>
      <c r="Q248" s="326"/>
      <c r="R248" s="326"/>
      <c r="S248" s="326"/>
      <c r="T248" s="326"/>
      <c r="U248" s="327"/>
    </row>
    <row r="249" spans="1:21" ht="34.5" customHeight="1" x14ac:dyDescent="0.25">
      <c r="A249" s="10">
        <f t="shared" si="0"/>
        <v>235</v>
      </c>
      <c r="B249" s="483" t="s">
        <v>303</v>
      </c>
      <c r="C249" s="327"/>
      <c r="D249" s="484" t="s">
        <v>303</v>
      </c>
      <c r="E249" s="327"/>
      <c r="F249" s="481" t="s">
        <v>334</v>
      </c>
      <c r="G249" s="327"/>
      <c r="H249" s="485"/>
      <c r="I249" s="326"/>
      <c r="J249" s="327"/>
      <c r="K249" s="481" t="s">
        <v>334</v>
      </c>
      <c r="L249" s="326"/>
      <c r="M249" s="327"/>
      <c r="N249" s="486" t="s">
        <v>303</v>
      </c>
      <c r="O249" s="326"/>
      <c r="P249" s="326"/>
      <c r="Q249" s="326"/>
      <c r="R249" s="326"/>
      <c r="S249" s="326"/>
      <c r="T249" s="326"/>
      <c r="U249" s="327"/>
    </row>
    <row r="250" spans="1:21" ht="34.5" customHeight="1" x14ac:dyDescent="0.25">
      <c r="A250" s="10">
        <f t="shared" si="0"/>
        <v>236</v>
      </c>
      <c r="B250" s="479" t="s">
        <v>303</v>
      </c>
      <c r="C250" s="327"/>
      <c r="D250" s="480" t="s">
        <v>303</v>
      </c>
      <c r="E250" s="327"/>
      <c r="F250" s="481" t="s">
        <v>334</v>
      </c>
      <c r="G250" s="327"/>
      <c r="H250" s="482"/>
      <c r="I250" s="326"/>
      <c r="J250" s="327"/>
      <c r="K250" s="481" t="s">
        <v>334</v>
      </c>
      <c r="L250" s="326"/>
      <c r="M250" s="327"/>
      <c r="N250" s="439" t="s">
        <v>303</v>
      </c>
      <c r="O250" s="326"/>
      <c r="P250" s="326"/>
      <c r="Q250" s="326"/>
      <c r="R250" s="326"/>
      <c r="S250" s="326"/>
      <c r="T250" s="326"/>
      <c r="U250" s="327"/>
    </row>
    <row r="251" spans="1:21" ht="34.5" customHeight="1" x14ac:dyDescent="0.25">
      <c r="A251" s="10">
        <f t="shared" si="0"/>
        <v>237</v>
      </c>
      <c r="B251" s="483" t="s">
        <v>303</v>
      </c>
      <c r="C251" s="327"/>
      <c r="D251" s="484" t="s">
        <v>303</v>
      </c>
      <c r="E251" s="327"/>
      <c r="F251" s="481" t="s">
        <v>334</v>
      </c>
      <c r="G251" s="327"/>
      <c r="H251" s="485"/>
      <c r="I251" s="326"/>
      <c r="J251" s="327"/>
      <c r="K251" s="481" t="s">
        <v>334</v>
      </c>
      <c r="L251" s="326"/>
      <c r="M251" s="327"/>
      <c r="N251" s="486" t="s">
        <v>303</v>
      </c>
      <c r="O251" s="326"/>
      <c r="P251" s="326"/>
      <c r="Q251" s="326"/>
      <c r="R251" s="326"/>
      <c r="S251" s="326"/>
      <c r="T251" s="326"/>
      <c r="U251" s="327"/>
    </row>
    <row r="252" spans="1:21" ht="34.5" customHeight="1" x14ac:dyDescent="0.25">
      <c r="A252" s="10">
        <f t="shared" si="0"/>
        <v>238</v>
      </c>
      <c r="B252" s="479" t="s">
        <v>303</v>
      </c>
      <c r="C252" s="327"/>
      <c r="D252" s="480" t="s">
        <v>303</v>
      </c>
      <c r="E252" s="327"/>
      <c r="F252" s="481" t="s">
        <v>334</v>
      </c>
      <c r="G252" s="327"/>
      <c r="H252" s="482"/>
      <c r="I252" s="326"/>
      <c r="J252" s="327"/>
      <c r="K252" s="481" t="s">
        <v>334</v>
      </c>
      <c r="L252" s="326"/>
      <c r="M252" s="327"/>
      <c r="N252" s="439" t="s">
        <v>303</v>
      </c>
      <c r="O252" s="326"/>
      <c r="P252" s="326"/>
      <c r="Q252" s="326"/>
      <c r="R252" s="326"/>
      <c r="S252" s="326"/>
      <c r="T252" s="326"/>
      <c r="U252" s="327"/>
    </row>
    <row r="253" spans="1:21" ht="34.5" customHeight="1" x14ac:dyDescent="0.25">
      <c r="A253" s="10">
        <f t="shared" si="0"/>
        <v>239</v>
      </c>
      <c r="B253" s="483" t="s">
        <v>303</v>
      </c>
      <c r="C253" s="327"/>
      <c r="D253" s="484" t="s">
        <v>303</v>
      </c>
      <c r="E253" s="327"/>
      <c r="F253" s="481" t="s">
        <v>334</v>
      </c>
      <c r="G253" s="327"/>
      <c r="H253" s="485"/>
      <c r="I253" s="326"/>
      <c r="J253" s="327"/>
      <c r="K253" s="481" t="s">
        <v>334</v>
      </c>
      <c r="L253" s="326"/>
      <c r="M253" s="327"/>
      <c r="N253" s="486" t="s">
        <v>303</v>
      </c>
      <c r="O253" s="326"/>
      <c r="P253" s="326"/>
      <c r="Q253" s="326"/>
      <c r="R253" s="326"/>
      <c r="S253" s="326"/>
      <c r="T253" s="326"/>
      <c r="U253" s="327"/>
    </row>
    <row r="254" spans="1:21" ht="34.5" customHeight="1" x14ac:dyDescent="0.25">
      <c r="A254" s="10">
        <f t="shared" si="0"/>
        <v>240</v>
      </c>
      <c r="B254" s="479" t="s">
        <v>303</v>
      </c>
      <c r="C254" s="327"/>
      <c r="D254" s="480" t="s">
        <v>303</v>
      </c>
      <c r="E254" s="327"/>
      <c r="F254" s="481" t="s">
        <v>334</v>
      </c>
      <c r="G254" s="327"/>
      <c r="H254" s="482"/>
      <c r="I254" s="326"/>
      <c r="J254" s="327"/>
      <c r="K254" s="481" t="s">
        <v>334</v>
      </c>
      <c r="L254" s="326"/>
      <c r="M254" s="327"/>
      <c r="N254" s="439" t="s">
        <v>303</v>
      </c>
      <c r="O254" s="326"/>
      <c r="P254" s="326"/>
      <c r="Q254" s="326"/>
      <c r="R254" s="326"/>
      <c r="S254" s="326"/>
      <c r="T254" s="326"/>
      <c r="U254" s="327"/>
    </row>
    <row r="255" spans="1:21" ht="34.5" customHeight="1" x14ac:dyDescent="0.25">
      <c r="A255" s="10">
        <f t="shared" si="0"/>
        <v>241</v>
      </c>
      <c r="B255" s="483" t="s">
        <v>303</v>
      </c>
      <c r="C255" s="327"/>
      <c r="D255" s="484" t="s">
        <v>303</v>
      </c>
      <c r="E255" s="327"/>
      <c r="F255" s="481" t="s">
        <v>334</v>
      </c>
      <c r="G255" s="327"/>
      <c r="H255" s="485"/>
      <c r="I255" s="326"/>
      <c r="J255" s="327"/>
      <c r="K255" s="481" t="s">
        <v>334</v>
      </c>
      <c r="L255" s="326"/>
      <c r="M255" s="327"/>
      <c r="N255" s="486" t="s">
        <v>303</v>
      </c>
      <c r="O255" s="326"/>
      <c r="P255" s="326"/>
      <c r="Q255" s="326"/>
      <c r="R255" s="326"/>
      <c r="S255" s="326"/>
      <c r="T255" s="326"/>
      <c r="U255" s="327"/>
    </row>
    <row r="256" spans="1:21" ht="34.5" customHeight="1" x14ac:dyDescent="0.25">
      <c r="A256" s="10">
        <f t="shared" si="0"/>
        <v>242</v>
      </c>
      <c r="B256" s="479" t="s">
        <v>303</v>
      </c>
      <c r="C256" s="327"/>
      <c r="D256" s="480" t="s">
        <v>303</v>
      </c>
      <c r="E256" s="327"/>
      <c r="F256" s="481" t="s">
        <v>334</v>
      </c>
      <c r="G256" s="327"/>
      <c r="H256" s="482"/>
      <c r="I256" s="326"/>
      <c r="J256" s="327"/>
      <c r="K256" s="481" t="s">
        <v>334</v>
      </c>
      <c r="L256" s="326"/>
      <c r="M256" s="327"/>
      <c r="N256" s="439" t="s">
        <v>303</v>
      </c>
      <c r="O256" s="326"/>
      <c r="P256" s="326"/>
      <c r="Q256" s="326"/>
      <c r="R256" s="326"/>
      <c r="S256" s="326"/>
      <c r="T256" s="326"/>
      <c r="U256" s="327"/>
    </row>
    <row r="257" spans="1:21" ht="34.5" customHeight="1" x14ac:dyDescent="0.25">
      <c r="A257" s="10">
        <f t="shared" si="0"/>
        <v>243</v>
      </c>
      <c r="B257" s="483" t="s">
        <v>303</v>
      </c>
      <c r="C257" s="327"/>
      <c r="D257" s="484" t="s">
        <v>303</v>
      </c>
      <c r="E257" s="327"/>
      <c r="F257" s="481" t="s">
        <v>334</v>
      </c>
      <c r="G257" s="327"/>
      <c r="H257" s="485"/>
      <c r="I257" s="326"/>
      <c r="J257" s="327"/>
      <c r="K257" s="481" t="s">
        <v>334</v>
      </c>
      <c r="L257" s="326"/>
      <c r="M257" s="327"/>
      <c r="N257" s="486" t="s">
        <v>303</v>
      </c>
      <c r="O257" s="326"/>
      <c r="P257" s="326"/>
      <c r="Q257" s="326"/>
      <c r="R257" s="326"/>
      <c r="S257" s="326"/>
      <c r="T257" s="326"/>
      <c r="U257" s="327"/>
    </row>
    <row r="258" spans="1:21" ht="34.5" customHeight="1" x14ac:dyDescent="0.25">
      <c r="A258" s="10">
        <f t="shared" si="0"/>
        <v>244</v>
      </c>
      <c r="B258" s="479" t="s">
        <v>303</v>
      </c>
      <c r="C258" s="327"/>
      <c r="D258" s="480" t="s">
        <v>303</v>
      </c>
      <c r="E258" s="327"/>
      <c r="F258" s="481" t="s">
        <v>334</v>
      </c>
      <c r="G258" s="327"/>
      <c r="H258" s="482"/>
      <c r="I258" s="326"/>
      <c r="J258" s="327"/>
      <c r="K258" s="481" t="s">
        <v>334</v>
      </c>
      <c r="L258" s="326"/>
      <c r="M258" s="327"/>
      <c r="N258" s="439" t="s">
        <v>303</v>
      </c>
      <c r="O258" s="326"/>
      <c r="P258" s="326"/>
      <c r="Q258" s="326"/>
      <c r="R258" s="326"/>
      <c r="S258" s="326"/>
      <c r="T258" s="326"/>
      <c r="U258" s="327"/>
    </row>
    <row r="259" spans="1:21" ht="34.5" customHeight="1" x14ac:dyDescent="0.25">
      <c r="A259" s="10">
        <f t="shared" si="0"/>
        <v>245</v>
      </c>
      <c r="B259" s="483" t="s">
        <v>303</v>
      </c>
      <c r="C259" s="327"/>
      <c r="D259" s="484" t="s">
        <v>303</v>
      </c>
      <c r="E259" s="327"/>
      <c r="F259" s="481" t="s">
        <v>334</v>
      </c>
      <c r="G259" s="327"/>
      <c r="H259" s="485"/>
      <c r="I259" s="326"/>
      <c r="J259" s="327"/>
      <c r="K259" s="481" t="s">
        <v>334</v>
      </c>
      <c r="L259" s="326"/>
      <c r="M259" s="327"/>
      <c r="N259" s="486" t="s">
        <v>303</v>
      </c>
      <c r="O259" s="326"/>
      <c r="P259" s="326"/>
      <c r="Q259" s="326"/>
      <c r="R259" s="326"/>
      <c r="S259" s="326"/>
      <c r="T259" s="326"/>
      <c r="U259" s="327"/>
    </row>
    <row r="260" spans="1:21" ht="34.5" customHeight="1" x14ac:dyDescent="0.25">
      <c r="A260" s="10">
        <f t="shared" si="0"/>
        <v>246</v>
      </c>
      <c r="B260" s="479" t="s">
        <v>303</v>
      </c>
      <c r="C260" s="327"/>
      <c r="D260" s="480" t="s">
        <v>303</v>
      </c>
      <c r="E260" s="327"/>
      <c r="F260" s="481" t="s">
        <v>334</v>
      </c>
      <c r="G260" s="327"/>
      <c r="H260" s="482"/>
      <c r="I260" s="326"/>
      <c r="J260" s="327"/>
      <c r="K260" s="481" t="s">
        <v>334</v>
      </c>
      <c r="L260" s="326"/>
      <c r="M260" s="327"/>
      <c r="N260" s="439" t="s">
        <v>303</v>
      </c>
      <c r="O260" s="326"/>
      <c r="P260" s="326"/>
      <c r="Q260" s="326"/>
      <c r="R260" s="326"/>
      <c r="S260" s="326"/>
      <c r="T260" s="326"/>
      <c r="U260" s="327"/>
    </row>
    <row r="261" spans="1:21" ht="34.5" customHeight="1" x14ac:dyDescent="0.25">
      <c r="A261" s="10">
        <f t="shared" si="0"/>
        <v>247</v>
      </c>
      <c r="B261" s="483" t="s">
        <v>303</v>
      </c>
      <c r="C261" s="327"/>
      <c r="D261" s="484" t="s">
        <v>303</v>
      </c>
      <c r="E261" s="327"/>
      <c r="F261" s="481" t="s">
        <v>334</v>
      </c>
      <c r="G261" s="327"/>
      <c r="H261" s="485"/>
      <c r="I261" s="326"/>
      <c r="J261" s="327"/>
      <c r="K261" s="481" t="s">
        <v>334</v>
      </c>
      <c r="L261" s="326"/>
      <c r="M261" s="327"/>
      <c r="N261" s="486" t="s">
        <v>303</v>
      </c>
      <c r="O261" s="326"/>
      <c r="P261" s="326"/>
      <c r="Q261" s="326"/>
      <c r="R261" s="326"/>
      <c r="S261" s="326"/>
      <c r="T261" s="326"/>
      <c r="U261" s="327"/>
    </row>
    <row r="262" spans="1:21" ht="34.5" customHeight="1" x14ac:dyDescent="0.25">
      <c r="A262" s="10">
        <f t="shared" si="0"/>
        <v>248</v>
      </c>
      <c r="B262" s="479" t="s">
        <v>303</v>
      </c>
      <c r="C262" s="327"/>
      <c r="D262" s="480" t="s">
        <v>303</v>
      </c>
      <c r="E262" s="327"/>
      <c r="F262" s="481" t="s">
        <v>334</v>
      </c>
      <c r="G262" s="327"/>
      <c r="H262" s="482"/>
      <c r="I262" s="326"/>
      <c r="J262" s="327"/>
      <c r="K262" s="481" t="s">
        <v>334</v>
      </c>
      <c r="L262" s="326"/>
      <c r="M262" s="327"/>
      <c r="N262" s="439" t="s">
        <v>303</v>
      </c>
      <c r="O262" s="326"/>
      <c r="P262" s="326"/>
      <c r="Q262" s="326"/>
      <c r="R262" s="326"/>
      <c r="S262" s="326"/>
      <c r="T262" s="326"/>
      <c r="U262" s="327"/>
    </row>
    <row r="263" spans="1:21" ht="34.5" customHeight="1" x14ac:dyDescent="0.25">
      <c r="A263" s="10">
        <f t="shared" si="0"/>
        <v>249</v>
      </c>
      <c r="B263" s="483" t="s">
        <v>303</v>
      </c>
      <c r="C263" s="327"/>
      <c r="D263" s="484" t="s">
        <v>303</v>
      </c>
      <c r="E263" s="327"/>
      <c r="F263" s="481" t="s">
        <v>334</v>
      </c>
      <c r="G263" s="327"/>
      <c r="H263" s="485"/>
      <c r="I263" s="326"/>
      <c r="J263" s="327"/>
      <c r="K263" s="481" t="s">
        <v>334</v>
      </c>
      <c r="L263" s="326"/>
      <c r="M263" s="327"/>
      <c r="N263" s="486" t="s">
        <v>303</v>
      </c>
      <c r="O263" s="326"/>
      <c r="P263" s="326"/>
      <c r="Q263" s="326"/>
      <c r="R263" s="326"/>
      <c r="S263" s="326"/>
      <c r="T263" s="326"/>
      <c r="U263" s="327"/>
    </row>
    <row r="264" spans="1:21" ht="34.5" customHeight="1" x14ac:dyDescent="0.25">
      <c r="A264" s="10">
        <f t="shared" si="0"/>
        <v>250</v>
      </c>
      <c r="B264" s="479" t="s">
        <v>303</v>
      </c>
      <c r="C264" s="327"/>
      <c r="D264" s="480" t="s">
        <v>303</v>
      </c>
      <c r="E264" s="327"/>
      <c r="F264" s="481" t="s">
        <v>334</v>
      </c>
      <c r="G264" s="327"/>
      <c r="H264" s="482"/>
      <c r="I264" s="326"/>
      <c r="J264" s="327"/>
      <c r="K264" s="481" t="s">
        <v>334</v>
      </c>
      <c r="L264" s="326"/>
      <c r="M264" s="327"/>
      <c r="N264" s="439" t="s">
        <v>303</v>
      </c>
      <c r="O264" s="326"/>
      <c r="P264" s="326"/>
      <c r="Q264" s="326"/>
      <c r="R264" s="326"/>
      <c r="S264" s="326"/>
      <c r="T264" s="326"/>
      <c r="U264" s="327"/>
    </row>
    <row r="265" spans="1:21" ht="34.5" customHeight="1" x14ac:dyDescent="0.25">
      <c r="A265" s="10">
        <f t="shared" si="0"/>
        <v>251</v>
      </c>
      <c r="B265" s="483" t="s">
        <v>303</v>
      </c>
      <c r="C265" s="327"/>
      <c r="D265" s="484" t="s">
        <v>303</v>
      </c>
      <c r="E265" s="327"/>
      <c r="F265" s="481" t="s">
        <v>334</v>
      </c>
      <c r="G265" s="327"/>
      <c r="H265" s="485"/>
      <c r="I265" s="326"/>
      <c r="J265" s="327"/>
      <c r="K265" s="481" t="s">
        <v>334</v>
      </c>
      <c r="L265" s="326"/>
      <c r="M265" s="327"/>
      <c r="N265" s="486" t="s">
        <v>303</v>
      </c>
      <c r="O265" s="326"/>
      <c r="P265" s="326"/>
      <c r="Q265" s="326"/>
      <c r="R265" s="326"/>
      <c r="S265" s="326"/>
      <c r="T265" s="326"/>
      <c r="U265" s="327"/>
    </row>
    <row r="266" spans="1:21" ht="34.5" customHeight="1" x14ac:dyDescent="0.25">
      <c r="A266" s="10">
        <f t="shared" si="0"/>
        <v>252</v>
      </c>
      <c r="B266" s="479" t="s">
        <v>303</v>
      </c>
      <c r="C266" s="327"/>
      <c r="D266" s="480" t="s">
        <v>303</v>
      </c>
      <c r="E266" s="327"/>
      <c r="F266" s="481" t="s">
        <v>334</v>
      </c>
      <c r="G266" s="327"/>
      <c r="H266" s="482"/>
      <c r="I266" s="326"/>
      <c r="J266" s="327"/>
      <c r="K266" s="481" t="s">
        <v>334</v>
      </c>
      <c r="L266" s="326"/>
      <c r="M266" s="327"/>
      <c r="N266" s="439" t="s">
        <v>303</v>
      </c>
      <c r="O266" s="326"/>
      <c r="P266" s="326"/>
      <c r="Q266" s="326"/>
      <c r="R266" s="326"/>
      <c r="S266" s="326"/>
      <c r="T266" s="326"/>
      <c r="U266" s="327"/>
    </row>
    <row r="267" spans="1:21" ht="34.5" customHeight="1" x14ac:dyDescent="0.25">
      <c r="A267" s="10">
        <f t="shared" si="0"/>
        <v>253</v>
      </c>
      <c r="B267" s="483" t="s">
        <v>303</v>
      </c>
      <c r="C267" s="327"/>
      <c r="D267" s="484" t="s">
        <v>303</v>
      </c>
      <c r="E267" s="327"/>
      <c r="F267" s="481" t="s">
        <v>334</v>
      </c>
      <c r="G267" s="327"/>
      <c r="H267" s="485"/>
      <c r="I267" s="326"/>
      <c r="J267" s="327"/>
      <c r="K267" s="481" t="s">
        <v>334</v>
      </c>
      <c r="L267" s="326"/>
      <c r="M267" s="327"/>
      <c r="N267" s="486" t="s">
        <v>303</v>
      </c>
      <c r="O267" s="326"/>
      <c r="P267" s="326"/>
      <c r="Q267" s="326"/>
      <c r="R267" s="326"/>
      <c r="S267" s="326"/>
      <c r="T267" s="326"/>
      <c r="U267" s="327"/>
    </row>
    <row r="268" spans="1:21" ht="34.5" customHeight="1" x14ac:dyDescent="0.25">
      <c r="A268" s="10">
        <f t="shared" si="0"/>
        <v>254</v>
      </c>
      <c r="B268" s="479" t="s">
        <v>303</v>
      </c>
      <c r="C268" s="327"/>
      <c r="D268" s="480" t="s">
        <v>303</v>
      </c>
      <c r="E268" s="327"/>
      <c r="F268" s="481" t="s">
        <v>334</v>
      </c>
      <c r="G268" s="327"/>
      <c r="H268" s="482"/>
      <c r="I268" s="326"/>
      <c r="J268" s="327"/>
      <c r="K268" s="481" t="s">
        <v>334</v>
      </c>
      <c r="L268" s="326"/>
      <c r="M268" s="327"/>
      <c r="N268" s="439" t="s">
        <v>303</v>
      </c>
      <c r="O268" s="326"/>
      <c r="P268" s="326"/>
      <c r="Q268" s="326"/>
      <c r="R268" s="326"/>
      <c r="S268" s="326"/>
      <c r="T268" s="326"/>
      <c r="U268" s="327"/>
    </row>
    <row r="269" spans="1:21" ht="34.5" customHeight="1" x14ac:dyDescent="0.25">
      <c r="A269" s="10">
        <f t="shared" si="0"/>
        <v>255</v>
      </c>
      <c r="B269" s="483" t="s">
        <v>303</v>
      </c>
      <c r="C269" s="327"/>
      <c r="D269" s="484" t="s">
        <v>303</v>
      </c>
      <c r="E269" s="327"/>
      <c r="F269" s="481" t="s">
        <v>334</v>
      </c>
      <c r="G269" s="327"/>
      <c r="H269" s="485"/>
      <c r="I269" s="326"/>
      <c r="J269" s="327"/>
      <c r="K269" s="481" t="s">
        <v>334</v>
      </c>
      <c r="L269" s="326"/>
      <c r="M269" s="327"/>
      <c r="N269" s="486" t="s">
        <v>303</v>
      </c>
      <c r="O269" s="326"/>
      <c r="P269" s="326"/>
      <c r="Q269" s="326"/>
      <c r="R269" s="326"/>
      <c r="S269" s="326"/>
      <c r="T269" s="326"/>
      <c r="U269" s="327"/>
    </row>
    <row r="270" spans="1:21" ht="34.5" customHeight="1" x14ac:dyDescent="0.25">
      <c r="A270" s="10">
        <f t="shared" ref="A270:A524" si="1">ROW(A256)</f>
        <v>256</v>
      </c>
      <c r="B270" s="479" t="s">
        <v>303</v>
      </c>
      <c r="C270" s="327"/>
      <c r="D270" s="480" t="s">
        <v>303</v>
      </c>
      <c r="E270" s="327"/>
      <c r="F270" s="481" t="s">
        <v>334</v>
      </c>
      <c r="G270" s="327"/>
      <c r="H270" s="482"/>
      <c r="I270" s="326"/>
      <c r="J270" s="327"/>
      <c r="K270" s="481" t="s">
        <v>334</v>
      </c>
      <c r="L270" s="326"/>
      <c r="M270" s="327"/>
      <c r="N270" s="439" t="s">
        <v>303</v>
      </c>
      <c r="O270" s="326"/>
      <c r="P270" s="326"/>
      <c r="Q270" s="326"/>
      <c r="R270" s="326"/>
      <c r="S270" s="326"/>
      <c r="T270" s="326"/>
      <c r="U270" s="327"/>
    </row>
    <row r="271" spans="1:21" ht="34.5" customHeight="1" x14ac:dyDescent="0.25">
      <c r="A271" s="10">
        <f t="shared" si="1"/>
        <v>257</v>
      </c>
      <c r="B271" s="483" t="s">
        <v>303</v>
      </c>
      <c r="C271" s="327"/>
      <c r="D271" s="484" t="s">
        <v>303</v>
      </c>
      <c r="E271" s="327"/>
      <c r="F271" s="481" t="s">
        <v>334</v>
      </c>
      <c r="G271" s="327"/>
      <c r="H271" s="485"/>
      <c r="I271" s="326"/>
      <c r="J271" s="327"/>
      <c r="K271" s="481" t="s">
        <v>334</v>
      </c>
      <c r="L271" s="326"/>
      <c r="M271" s="327"/>
      <c r="N271" s="486" t="s">
        <v>303</v>
      </c>
      <c r="O271" s="326"/>
      <c r="P271" s="326"/>
      <c r="Q271" s="326"/>
      <c r="R271" s="326"/>
      <c r="S271" s="326"/>
      <c r="T271" s="326"/>
      <c r="U271" s="327"/>
    </row>
    <row r="272" spans="1:21" ht="34.5" customHeight="1" x14ac:dyDescent="0.25">
      <c r="A272" s="10">
        <f t="shared" si="1"/>
        <v>258</v>
      </c>
      <c r="B272" s="479" t="s">
        <v>335</v>
      </c>
      <c r="C272" s="327"/>
      <c r="D272" s="480" t="s">
        <v>303</v>
      </c>
      <c r="E272" s="327"/>
      <c r="F272" s="481" t="s">
        <v>334</v>
      </c>
      <c r="G272" s="327"/>
      <c r="H272" s="482"/>
      <c r="I272" s="326"/>
      <c r="J272" s="327"/>
      <c r="K272" s="481" t="s">
        <v>334</v>
      </c>
      <c r="L272" s="326"/>
      <c r="M272" s="327"/>
      <c r="N272" s="439" t="s">
        <v>303</v>
      </c>
      <c r="O272" s="326"/>
      <c r="P272" s="326"/>
      <c r="Q272" s="326"/>
      <c r="R272" s="326"/>
      <c r="S272" s="326"/>
      <c r="T272" s="326"/>
      <c r="U272" s="327"/>
    </row>
    <row r="273" spans="1:21" ht="34.5" customHeight="1" x14ac:dyDescent="0.25">
      <c r="A273" s="10">
        <f t="shared" si="1"/>
        <v>259</v>
      </c>
      <c r="B273" s="483" t="s">
        <v>303</v>
      </c>
      <c r="C273" s="327"/>
      <c r="D273" s="484" t="s">
        <v>303</v>
      </c>
      <c r="E273" s="327"/>
      <c r="F273" s="481" t="s">
        <v>334</v>
      </c>
      <c r="G273" s="327"/>
      <c r="H273" s="485"/>
      <c r="I273" s="326"/>
      <c r="J273" s="327"/>
      <c r="K273" s="481" t="s">
        <v>334</v>
      </c>
      <c r="L273" s="326"/>
      <c r="M273" s="327"/>
      <c r="N273" s="486" t="s">
        <v>303</v>
      </c>
      <c r="O273" s="326"/>
      <c r="P273" s="326"/>
      <c r="Q273" s="326"/>
      <c r="R273" s="326"/>
      <c r="S273" s="326"/>
      <c r="T273" s="326"/>
      <c r="U273" s="327"/>
    </row>
    <row r="274" spans="1:21" ht="34.5" customHeight="1" x14ac:dyDescent="0.25">
      <c r="A274" s="10">
        <f t="shared" si="1"/>
        <v>260</v>
      </c>
      <c r="B274" s="479" t="s">
        <v>303</v>
      </c>
      <c r="C274" s="327"/>
      <c r="D274" s="480" t="s">
        <v>303</v>
      </c>
      <c r="E274" s="327"/>
      <c r="F274" s="481" t="s">
        <v>334</v>
      </c>
      <c r="G274" s="327"/>
      <c r="H274" s="482"/>
      <c r="I274" s="326"/>
      <c r="J274" s="327"/>
      <c r="K274" s="481" t="s">
        <v>334</v>
      </c>
      <c r="L274" s="326"/>
      <c r="M274" s="327"/>
      <c r="N274" s="439" t="s">
        <v>303</v>
      </c>
      <c r="O274" s="326"/>
      <c r="P274" s="326"/>
      <c r="Q274" s="326"/>
      <c r="R274" s="326"/>
      <c r="S274" s="326"/>
      <c r="T274" s="326"/>
      <c r="U274" s="327"/>
    </row>
    <row r="275" spans="1:21" ht="34.5" customHeight="1" x14ac:dyDescent="0.25">
      <c r="A275" s="10">
        <f t="shared" si="1"/>
        <v>261</v>
      </c>
      <c r="B275" s="483" t="s">
        <v>303</v>
      </c>
      <c r="C275" s="327"/>
      <c r="D275" s="484" t="s">
        <v>303</v>
      </c>
      <c r="E275" s="327"/>
      <c r="F275" s="481" t="s">
        <v>334</v>
      </c>
      <c r="G275" s="327"/>
      <c r="H275" s="485"/>
      <c r="I275" s="326"/>
      <c r="J275" s="327"/>
      <c r="K275" s="481" t="s">
        <v>334</v>
      </c>
      <c r="L275" s="326"/>
      <c r="M275" s="327"/>
      <c r="N275" s="486" t="s">
        <v>303</v>
      </c>
      <c r="O275" s="326"/>
      <c r="P275" s="326"/>
      <c r="Q275" s="326"/>
      <c r="R275" s="326"/>
      <c r="S275" s="326"/>
      <c r="T275" s="326"/>
      <c r="U275" s="327"/>
    </row>
    <row r="276" spans="1:21" ht="34.5" customHeight="1" x14ac:dyDescent="0.25">
      <c r="A276" s="10">
        <f t="shared" si="1"/>
        <v>262</v>
      </c>
      <c r="B276" s="479" t="s">
        <v>303</v>
      </c>
      <c r="C276" s="327"/>
      <c r="D276" s="480" t="s">
        <v>303</v>
      </c>
      <c r="E276" s="327"/>
      <c r="F276" s="481" t="s">
        <v>334</v>
      </c>
      <c r="G276" s="327"/>
      <c r="H276" s="482"/>
      <c r="I276" s="326"/>
      <c r="J276" s="327"/>
      <c r="K276" s="481" t="s">
        <v>334</v>
      </c>
      <c r="L276" s="326"/>
      <c r="M276" s="327"/>
      <c r="N276" s="439" t="s">
        <v>303</v>
      </c>
      <c r="O276" s="326"/>
      <c r="P276" s="326"/>
      <c r="Q276" s="326"/>
      <c r="R276" s="326"/>
      <c r="S276" s="326"/>
      <c r="T276" s="326"/>
      <c r="U276" s="327"/>
    </row>
    <row r="277" spans="1:21" ht="34.5" customHeight="1" x14ac:dyDescent="0.25">
      <c r="A277" s="10">
        <f t="shared" si="1"/>
        <v>263</v>
      </c>
      <c r="B277" s="483" t="s">
        <v>303</v>
      </c>
      <c r="C277" s="327"/>
      <c r="D277" s="484" t="s">
        <v>303</v>
      </c>
      <c r="E277" s="327"/>
      <c r="F277" s="481" t="s">
        <v>334</v>
      </c>
      <c r="G277" s="327"/>
      <c r="H277" s="485"/>
      <c r="I277" s="326"/>
      <c r="J277" s="327"/>
      <c r="K277" s="481" t="s">
        <v>334</v>
      </c>
      <c r="L277" s="326"/>
      <c r="M277" s="327"/>
      <c r="N277" s="486" t="s">
        <v>303</v>
      </c>
      <c r="O277" s="326"/>
      <c r="P277" s="326"/>
      <c r="Q277" s="326"/>
      <c r="R277" s="326"/>
      <c r="S277" s="326"/>
      <c r="T277" s="326"/>
      <c r="U277" s="327"/>
    </row>
    <row r="278" spans="1:21" ht="34.5" customHeight="1" x14ac:dyDescent="0.25">
      <c r="A278" s="10">
        <f t="shared" si="1"/>
        <v>264</v>
      </c>
      <c r="B278" s="479" t="s">
        <v>336</v>
      </c>
      <c r="C278" s="327"/>
      <c r="D278" s="480" t="s">
        <v>303</v>
      </c>
      <c r="E278" s="327"/>
      <c r="F278" s="481" t="s">
        <v>334</v>
      </c>
      <c r="G278" s="327"/>
      <c r="H278" s="482"/>
      <c r="I278" s="326"/>
      <c r="J278" s="327"/>
      <c r="K278" s="481" t="s">
        <v>334</v>
      </c>
      <c r="L278" s="326"/>
      <c r="M278" s="327"/>
      <c r="N278" s="439" t="s">
        <v>303</v>
      </c>
      <c r="O278" s="326"/>
      <c r="P278" s="326"/>
      <c r="Q278" s="326"/>
      <c r="R278" s="326"/>
      <c r="S278" s="326"/>
      <c r="T278" s="326"/>
      <c r="U278" s="327"/>
    </row>
    <row r="279" spans="1:21" ht="34.5" customHeight="1" x14ac:dyDescent="0.25">
      <c r="A279" s="10">
        <f t="shared" si="1"/>
        <v>265</v>
      </c>
      <c r="B279" s="483" t="s">
        <v>303</v>
      </c>
      <c r="C279" s="327"/>
      <c r="D279" s="484" t="s">
        <v>303</v>
      </c>
      <c r="E279" s="327"/>
      <c r="F279" s="481" t="s">
        <v>334</v>
      </c>
      <c r="G279" s="327"/>
      <c r="H279" s="485"/>
      <c r="I279" s="326"/>
      <c r="J279" s="327"/>
      <c r="K279" s="481" t="s">
        <v>334</v>
      </c>
      <c r="L279" s="326"/>
      <c r="M279" s="327"/>
      <c r="N279" s="486" t="s">
        <v>303</v>
      </c>
      <c r="O279" s="326"/>
      <c r="P279" s="326"/>
      <c r="Q279" s="326"/>
      <c r="R279" s="326"/>
      <c r="S279" s="326"/>
      <c r="T279" s="326"/>
      <c r="U279" s="327"/>
    </row>
    <row r="280" spans="1:21" ht="34.5" customHeight="1" x14ac:dyDescent="0.25">
      <c r="A280" s="10">
        <f t="shared" si="1"/>
        <v>266</v>
      </c>
      <c r="B280" s="479" t="s">
        <v>303</v>
      </c>
      <c r="C280" s="327"/>
      <c r="D280" s="480" t="s">
        <v>303</v>
      </c>
      <c r="E280" s="327"/>
      <c r="F280" s="481" t="s">
        <v>334</v>
      </c>
      <c r="G280" s="327"/>
      <c r="H280" s="482"/>
      <c r="I280" s="326"/>
      <c r="J280" s="327"/>
      <c r="K280" s="481" t="s">
        <v>334</v>
      </c>
      <c r="L280" s="326"/>
      <c r="M280" s="327"/>
      <c r="N280" s="439" t="s">
        <v>303</v>
      </c>
      <c r="O280" s="326"/>
      <c r="P280" s="326"/>
      <c r="Q280" s="326"/>
      <c r="R280" s="326"/>
      <c r="S280" s="326"/>
      <c r="T280" s="326"/>
      <c r="U280" s="327"/>
    </row>
    <row r="281" spans="1:21" ht="34.5" customHeight="1" x14ac:dyDescent="0.25">
      <c r="A281" s="10">
        <f t="shared" si="1"/>
        <v>267</v>
      </c>
      <c r="B281" s="483" t="s">
        <v>303</v>
      </c>
      <c r="C281" s="327"/>
      <c r="D281" s="484" t="s">
        <v>303</v>
      </c>
      <c r="E281" s="327"/>
      <c r="F281" s="481" t="s">
        <v>334</v>
      </c>
      <c r="G281" s="327"/>
      <c r="H281" s="485"/>
      <c r="I281" s="326"/>
      <c r="J281" s="327"/>
      <c r="K281" s="481" t="s">
        <v>334</v>
      </c>
      <c r="L281" s="326"/>
      <c r="M281" s="327"/>
      <c r="N281" s="486" t="s">
        <v>303</v>
      </c>
      <c r="O281" s="326"/>
      <c r="P281" s="326"/>
      <c r="Q281" s="326"/>
      <c r="R281" s="326"/>
      <c r="S281" s="326"/>
      <c r="T281" s="326"/>
      <c r="U281" s="327"/>
    </row>
    <row r="282" spans="1:21" ht="34.5" customHeight="1" x14ac:dyDescent="0.25">
      <c r="A282" s="10">
        <f t="shared" si="1"/>
        <v>268</v>
      </c>
      <c r="B282" s="479" t="s">
        <v>303</v>
      </c>
      <c r="C282" s="327"/>
      <c r="D282" s="480" t="s">
        <v>303</v>
      </c>
      <c r="E282" s="327"/>
      <c r="F282" s="481" t="s">
        <v>334</v>
      </c>
      <c r="G282" s="327"/>
      <c r="H282" s="482"/>
      <c r="I282" s="326"/>
      <c r="J282" s="327"/>
      <c r="K282" s="481" t="s">
        <v>334</v>
      </c>
      <c r="L282" s="326"/>
      <c r="M282" s="327"/>
      <c r="N282" s="439" t="s">
        <v>303</v>
      </c>
      <c r="O282" s="326"/>
      <c r="P282" s="326"/>
      <c r="Q282" s="326"/>
      <c r="R282" s="326"/>
      <c r="S282" s="326"/>
      <c r="T282" s="326"/>
      <c r="U282" s="327"/>
    </row>
    <row r="283" spans="1:21" ht="34.5" customHeight="1" x14ac:dyDescent="0.25">
      <c r="A283" s="10">
        <f t="shared" si="1"/>
        <v>269</v>
      </c>
      <c r="B283" s="483" t="s">
        <v>303</v>
      </c>
      <c r="C283" s="327"/>
      <c r="D283" s="484" t="s">
        <v>303</v>
      </c>
      <c r="E283" s="327"/>
      <c r="F283" s="481" t="s">
        <v>334</v>
      </c>
      <c r="G283" s="327"/>
      <c r="H283" s="485"/>
      <c r="I283" s="326"/>
      <c r="J283" s="327"/>
      <c r="K283" s="481" t="s">
        <v>334</v>
      </c>
      <c r="L283" s="326"/>
      <c r="M283" s="327"/>
      <c r="N283" s="486" t="s">
        <v>303</v>
      </c>
      <c r="O283" s="326"/>
      <c r="P283" s="326"/>
      <c r="Q283" s="326"/>
      <c r="R283" s="326"/>
      <c r="S283" s="326"/>
      <c r="T283" s="326"/>
      <c r="U283" s="327"/>
    </row>
    <row r="284" spans="1:21" ht="34.5" customHeight="1" x14ac:dyDescent="0.25">
      <c r="A284" s="10">
        <f t="shared" si="1"/>
        <v>270</v>
      </c>
      <c r="B284" s="479" t="s">
        <v>303</v>
      </c>
      <c r="C284" s="327"/>
      <c r="D284" s="480" t="s">
        <v>303</v>
      </c>
      <c r="E284" s="327"/>
      <c r="F284" s="481" t="s">
        <v>334</v>
      </c>
      <c r="G284" s="327"/>
      <c r="H284" s="482"/>
      <c r="I284" s="326"/>
      <c r="J284" s="327"/>
      <c r="K284" s="481" t="s">
        <v>334</v>
      </c>
      <c r="L284" s="326"/>
      <c r="M284" s="327"/>
      <c r="N284" s="439" t="s">
        <v>303</v>
      </c>
      <c r="O284" s="326"/>
      <c r="P284" s="326"/>
      <c r="Q284" s="326"/>
      <c r="R284" s="326"/>
      <c r="S284" s="326"/>
      <c r="T284" s="326"/>
      <c r="U284" s="327"/>
    </row>
    <row r="285" spans="1:21" ht="34.5" customHeight="1" x14ac:dyDescent="0.25">
      <c r="A285" s="10">
        <f t="shared" si="1"/>
        <v>271</v>
      </c>
      <c r="B285" s="483" t="s">
        <v>303</v>
      </c>
      <c r="C285" s="327"/>
      <c r="D285" s="484" t="s">
        <v>303</v>
      </c>
      <c r="E285" s="327"/>
      <c r="F285" s="481" t="s">
        <v>334</v>
      </c>
      <c r="G285" s="327"/>
      <c r="H285" s="485"/>
      <c r="I285" s="326"/>
      <c r="J285" s="327"/>
      <c r="K285" s="481" t="s">
        <v>334</v>
      </c>
      <c r="L285" s="326"/>
      <c r="M285" s="327"/>
      <c r="N285" s="486" t="s">
        <v>303</v>
      </c>
      <c r="O285" s="326"/>
      <c r="P285" s="326"/>
      <c r="Q285" s="326"/>
      <c r="R285" s="326"/>
      <c r="S285" s="326"/>
      <c r="T285" s="326"/>
      <c r="U285" s="327"/>
    </row>
    <row r="286" spans="1:21" ht="34.5" customHeight="1" x14ac:dyDescent="0.25">
      <c r="A286" s="10">
        <f t="shared" si="1"/>
        <v>272</v>
      </c>
      <c r="B286" s="479" t="s">
        <v>303</v>
      </c>
      <c r="C286" s="327"/>
      <c r="D286" s="480" t="s">
        <v>303</v>
      </c>
      <c r="E286" s="327"/>
      <c r="F286" s="481" t="s">
        <v>334</v>
      </c>
      <c r="G286" s="327"/>
      <c r="H286" s="482"/>
      <c r="I286" s="326"/>
      <c r="J286" s="327"/>
      <c r="K286" s="481" t="s">
        <v>334</v>
      </c>
      <c r="L286" s="326"/>
      <c r="M286" s="327"/>
      <c r="N286" s="439" t="s">
        <v>303</v>
      </c>
      <c r="O286" s="326"/>
      <c r="P286" s="326"/>
      <c r="Q286" s="326"/>
      <c r="R286" s="326"/>
      <c r="S286" s="326"/>
      <c r="T286" s="326"/>
      <c r="U286" s="327"/>
    </row>
    <row r="287" spans="1:21" ht="34.5" customHeight="1" x14ac:dyDescent="0.25">
      <c r="A287" s="10">
        <f t="shared" si="1"/>
        <v>273</v>
      </c>
      <c r="B287" s="483" t="s">
        <v>303</v>
      </c>
      <c r="C287" s="327"/>
      <c r="D287" s="484" t="s">
        <v>303</v>
      </c>
      <c r="E287" s="327"/>
      <c r="F287" s="481" t="s">
        <v>334</v>
      </c>
      <c r="G287" s="327"/>
      <c r="H287" s="485"/>
      <c r="I287" s="326"/>
      <c r="J287" s="327"/>
      <c r="K287" s="481" t="s">
        <v>334</v>
      </c>
      <c r="L287" s="326"/>
      <c r="M287" s="327"/>
      <c r="N287" s="486" t="s">
        <v>303</v>
      </c>
      <c r="O287" s="326"/>
      <c r="P287" s="326"/>
      <c r="Q287" s="326"/>
      <c r="R287" s="326"/>
      <c r="S287" s="326"/>
      <c r="T287" s="326"/>
      <c r="U287" s="327"/>
    </row>
    <row r="288" spans="1:21" ht="34.5" customHeight="1" x14ac:dyDescent="0.25">
      <c r="A288" s="10">
        <f t="shared" si="1"/>
        <v>274</v>
      </c>
      <c r="B288" s="479" t="s">
        <v>303</v>
      </c>
      <c r="C288" s="327"/>
      <c r="D288" s="480" t="s">
        <v>303</v>
      </c>
      <c r="E288" s="327"/>
      <c r="F288" s="481" t="s">
        <v>334</v>
      </c>
      <c r="G288" s="327"/>
      <c r="H288" s="482"/>
      <c r="I288" s="326"/>
      <c r="J288" s="327"/>
      <c r="K288" s="481" t="s">
        <v>334</v>
      </c>
      <c r="L288" s="326"/>
      <c r="M288" s="327"/>
      <c r="N288" s="439" t="s">
        <v>303</v>
      </c>
      <c r="O288" s="326"/>
      <c r="P288" s="326"/>
      <c r="Q288" s="326"/>
      <c r="R288" s="326"/>
      <c r="S288" s="326"/>
      <c r="T288" s="326"/>
      <c r="U288" s="327"/>
    </row>
    <row r="289" spans="1:21" ht="34.5" customHeight="1" x14ac:dyDescent="0.25">
      <c r="A289" s="10">
        <f t="shared" si="1"/>
        <v>275</v>
      </c>
      <c r="B289" s="483" t="s">
        <v>303</v>
      </c>
      <c r="C289" s="327"/>
      <c r="D289" s="484" t="s">
        <v>303</v>
      </c>
      <c r="E289" s="327"/>
      <c r="F289" s="481" t="s">
        <v>334</v>
      </c>
      <c r="G289" s="327"/>
      <c r="H289" s="485"/>
      <c r="I289" s="326"/>
      <c r="J289" s="327"/>
      <c r="K289" s="481" t="s">
        <v>334</v>
      </c>
      <c r="L289" s="326"/>
      <c r="M289" s="327"/>
      <c r="N289" s="486" t="s">
        <v>303</v>
      </c>
      <c r="O289" s="326"/>
      <c r="P289" s="326"/>
      <c r="Q289" s="326"/>
      <c r="R289" s="326"/>
      <c r="S289" s="326"/>
      <c r="T289" s="326"/>
      <c r="U289" s="327"/>
    </row>
    <row r="290" spans="1:21" ht="34.5" customHeight="1" x14ac:dyDescent="0.25">
      <c r="A290" s="10">
        <f t="shared" si="1"/>
        <v>276</v>
      </c>
      <c r="B290" s="479" t="s">
        <v>303</v>
      </c>
      <c r="C290" s="327"/>
      <c r="D290" s="480" t="s">
        <v>303</v>
      </c>
      <c r="E290" s="327"/>
      <c r="F290" s="481" t="s">
        <v>334</v>
      </c>
      <c r="G290" s="327"/>
      <c r="H290" s="482"/>
      <c r="I290" s="326"/>
      <c r="J290" s="327"/>
      <c r="K290" s="481" t="s">
        <v>334</v>
      </c>
      <c r="L290" s="326"/>
      <c r="M290" s="327"/>
      <c r="N290" s="439" t="s">
        <v>303</v>
      </c>
      <c r="O290" s="326"/>
      <c r="P290" s="326"/>
      <c r="Q290" s="326"/>
      <c r="R290" s="326"/>
      <c r="S290" s="326"/>
      <c r="T290" s="326"/>
      <c r="U290" s="327"/>
    </row>
    <row r="291" spans="1:21" ht="34.5" customHeight="1" x14ac:dyDescent="0.25">
      <c r="A291" s="10">
        <f t="shared" si="1"/>
        <v>277</v>
      </c>
      <c r="B291" s="483" t="s">
        <v>337</v>
      </c>
      <c r="C291" s="327"/>
      <c r="D291" s="484" t="s">
        <v>303</v>
      </c>
      <c r="E291" s="327"/>
      <c r="F291" s="481" t="s">
        <v>334</v>
      </c>
      <c r="G291" s="327"/>
      <c r="H291" s="485"/>
      <c r="I291" s="326"/>
      <c r="J291" s="327"/>
      <c r="K291" s="481" t="s">
        <v>334</v>
      </c>
      <c r="L291" s="326"/>
      <c r="M291" s="327"/>
      <c r="N291" s="486" t="s">
        <v>303</v>
      </c>
      <c r="O291" s="326"/>
      <c r="P291" s="326"/>
      <c r="Q291" s="326"/>
      <c r="R291" s="326"/>
      <c r="S291" s="326"/>
      <c r="T291" s="326"/>
      <c r="U291" s="327"/>
    </row>
    <row r="292" spans="1:21" ht="34.5" customHeight="1" x14ac:dyDescent="0.25">
      <c r="A292" s="10">
        <f t="shared" si="1"/>
        <v>278</v>
      </c>
      <c r="B292" s="479" t="s">
        <v>303</v>
      </c>
      <c r="C292" s="327"/>
      <c r="D292" s="480" t="s">
        <v>303</v>
      </c>
      <c r="E292" s="327"/>
      <c r="F292" s="481" t="s">
        <v>334</v>
      </c>
      <c r="G292" s="327"/>
      <c r="H292" s="482"/>
      <c r="I292" s="326"/>
      <c r="J292" s="327"/>
      <c r="K292" s="481" t="s">
        <v>334</v>
      </c>
      <c r="L292" s="326"/>
      <c r="M292" s="327"/>
      <c r="N292" s="439" t="s">
        <v>303</v>
      </c>
      <c r="O292" s="326"/>
      <c r="P292" s="326"/>
      <c r="Q292" s="326"/>
      <c r="R292" s="326"/>
      <c r="S292" s="326"/>
      <c r="T292" s="326"/>
      <c r="U292" s="327"/>
    </row>
    <row r="293" spans="1:21" ht="34.5" customHeight="1" x14ac:dyDescent="0.25">
      <c r="A293" s="10">
        <f t="shared" si="1"/>
        <v>279</v>
      </c>
      <c r="B293" s="483" t="s">
        <v>303</v>
      </c>
      <c r="C293" s="327"/>
      <c r="D293" s="484" t="s">
        <v>303</v>
      </c>
      <c r="E293" s="327"/>
      <c r="F293" s="481" t="s">
        <v>334</v>
      </c>
      <c r="G293" s="327"/>
      <c r="H293" s="485"/>
      <c r="I293" s="326"/>
      <c r="J293" s="327"/>
      <c r="K293" s="481" t="s">
        <v>334</v>
      </c>
      <c r="L293" s="326"/>
      <c r="M293" s="327"/>
      <c r="N293" s="486" t="s">
        <v>303</v>
      </c>
      <c r="O293" s="326"/>
      <c r="P293" s="326"/>
      <c r="Q293" s="326"/>
      <c r="R293" s="326"/>
      <c r="S293" s="326"/>
      <c r="T293" s="326"/>
      <c r="U293" s="327"/>
    </row>
    <row r="294" spans="1:21" ht="34.5" customHeight="1" x14ac:dyDescent="0.25">
      <c r="A294" s="10">
        <f t="shared" si="1"/>
        <v>280</v>
      </c>
      <c r="B294" s="479" t="s">
        <v>303</v>
      </c>
      <c r="C294" s="327"/>
      <c r="D294" s="480" t="s">
        <v>303</v>
      </c>
      <c r="E294" s="327"/>
      <c r="F294" s="481" t="s">
        <v>334</v>
      </c>
      <c r="G294" s="327"/>
      <c r="H294" s="482"/>
      <c r="I294" s="326"/>
      <c r="J294" s="327"/>
      <c r="K294" s="481" t="s">
        <v>334</v>
      </c>
      <c r="L294" s="326"/>
      <c r="M294" s="327"/>
      <c r="N294" s="439" t="s">
        <v>303</v>
      </c>
      <c r="O294" s="326"/>
      <c r="P294" s="326"/>
      <c r="Q294" s="326"/>
      <c r="R294" s="326"/>
      <c r="S294" s="326"/>
      <c r="T294" s="326"/>
      <c r="U294" s="327"/>
    </row>
    <row r="295" spans="1:21" ht="34.5" customHeight="1" x14ac:dyDescent="0.25">
      <c r="A295" s="10">
        <f t="shared" si="1"/>
        <v>281</v>
      </c>
      <c r="B295" s="483" t="s">
        <v>303</v>
      </c>
      <c r="C295" s="327"/>
      <c r="D295" s="484" t="s">
        <v>303</v>
      </c>
      <c r="E295" s="327"/>
      <c r="F295" s="481" t="s">
        <v>334</v>
      </c>
      <c r="G295" s="327"/>
      <c r="H295" s="485"/>
      <c r="I295" s="326"/>
      <c r="J295" s="327"/>
      <c r="K295" s="481" t="s">
        <v>334</v>
      </c>
      <c r="L295" s="326"/>
      <c r="M295" s="327"/>
      <c r="N295" s="486" t="s">
        <v>303</v>
      </c>
      <c r="O295" s="326"/>
      <c r="P295" s="326"/>
      <c r="Q295" s="326"/>
      <c r="R295" s="326"/>
      <c r="S295" s="326"/>
      <c r="T295" s="326"/>
      <c r="U295" s="327"/>
    </row>
    <row r="296" spans="1:21" ht="34.5" customHeight="1" x14ac:dyDescent="0.25">
      <c r="A296" s="10">
        <f t="shared" si="1"/>
        <v>282</v>
      </c>
      <c r="B296" s="479" t="s">
        <v>303</v>
      </c>
      <c r="C296" s="327"/>
      <c r="D296" s="480" t="s">
        <v>303</v>
      </c>
      <c r="E296" s="327"/>
      <c r="F296" s="481" t="s">
        <v>334</v>
      </c>
      <c r="G296" s="327"/>
      <c r="H296" s="482"/>
      <c r="I296" s="326"/>
      <c r="J296" s="327"/>
      <c r="K296" s="481" t="s">
        <v>334</v>
      </c>
      <c r="L296" s="326"/>
      <c r="M296" s="327"/>
      <c r="N296" s="439" t="s">
        <v>303</v>
      </c>
      <c r="O296" s="326"/>
      <c r="P296" s="326"/>
      <c r="Q296" s="326"/>
      <c r="R296" s="326"/>
      <c r="S296" s="326"/>
      <c r="T296" s="326"/>
      <c r="U296" s="327"/>
    </row>
    <row r="297" spans="1:21" ht="34.5" customHeight="1" x14ac:dyDescent="0.25">
      <c r="A297" s="10">
        <f t="shared" si="1"/>
        <v>283</v>
      </c>
      <c r="B297" s="483" t="s">
        <v>303</v>
      </c>
      <c r="C297" s="327"/>
      <c r="D297" s="484" t="s">
        <v>303</v>
      </c>
      <c r="E297" s="327"/>
      <c r="F297" s="481" t="s">
        <v>334</v>
      </c>
      <c r="G297" s="327"/>
      <c r="H297" s="485"/>
      <c r="I297" s="326"/>
      <c r="J297" s="327"/>
      <c r="K297" s="481" t="s">
        <v>334</v>
      </c>
      <c r="L297" s="326"/>
      <c r="M297" s="327"/>
      <c r="N297" s="486" t="s">
        <v>303</v>
      </c>
      <c r="O297" s="326"/>
      <c r="P297" s="326"/>
      <c r="Q297" s="326"/>
      <c r="R297" s="326"/>
      <c r="S297" s="326"/>
      <c r="T297" s="326"/>
      <c r="U297" s="327"/>
    </row>
    <row r="298" spans="1:21" ht="34.5" customHeight="1" x14ac:dyDescent="0.25">
      <c r="A298" s="10">
        <f t="shared" si="1"/>
        <v>284</v>
      </c>
      <c r="B298" s="479" t="s">
        <v>303</v>
      </c>
      <c r="C298" s="327"/>
      <c r="D298" s="480" t="s">
        <v>303</v>
      </c>
      <c r="E298" s="327"/>
      <c r="F298" s="481" t="s">
        <v>334</v>
      </c>
      <c r="G298" s="327"/>
      <c r="H298" s="482"/>
      <c r="I298" s="326"/>
      <c r="J298" s="327"/>
      <c r="K298" s="481" t="s">
        <v>334</v>
      </c>
      <c r="L298" s="326"/>
      <c r="M298" s="327"/>
      <c r="N298" s="439" t="s">
        <v>303</v>
      </c>
      <c r="O298" s="326"/>
      <c r="P298" s="326"/>
      <c r="Q298" s="326"/>
      <c r="R298" s="326"/>
      <c r="S298" s="326"/>
      <c r="T298" s="326"/>
      <c r="U298" s="327"/>
    </row>
    <row r="299" spans="1:21" ht="34.5" customHeight="1" x14ac:dyDescent="0.25">
      <c r="A299" s="10">
        <f t="shared" si="1"/>
        <v>285</v>
      </c>
      <c r="B299" s="483" t="s">
        <v>303</v>
      </c>
      <c r="C299" s="327"/>
      <c r="D299" s="484" t="s">
        <v>303</v>
      </c>
      <c r="E299" s="327"/>
      <c r="F299" s="481" t="s">
        <v>334</v>
      </c>
      <c r="G299" s="327"/>
      <c r="H299" s="485"/>
      <c r="I299" s="326"/>
      <c r="J299" s="327"/>
      <c r="K299" s="481" t="s">
        <v>334</v>
      </c>
      <c r="L299" s="326"/>
      <c r="M299" s="327"/>
      <c r="N299" s="486" t="s">
        <v>303</v>
      </c>
      <c r="O299" s="326"/>
      <c r="P299" s="326"/>
      <c r="Q299" s="326"/>
      <c r="R299" s="326"/>
      <c r="S299" s="326"/>
      <c r="T299" s="326"/>
      <c r="U299" s="327"/>
    </row>
    <row r="300" spans="1:21" ht="34.5" customHeight="1" x14ac:dyDescent="0.25">
      <c r="A300" s="10">
        <f t="shared" si="1"/>
        <v>286</v>
      </c>
      <c r="B300" s="479" t="s">
        <v>335</v>
      </c>
      <c r="C300" s="327"/>
      <c r="D300" s="480" t="s">
        <v>303</v>
      </c>
      <c r="E300" s="327"/>
      <c r="F300" s="481" t="s">
        <v>334</v>
      </c>
      <c r="G300" s="327"/>
      <c r="H300" s="482"/>
      <c r="I300" s="326"/>
      <c r="J300" s="327"/>
      <c r="K300" s="481" t="s">
        <v>334</v>
      </c>
      <c r="L300" s="326"/>
      <c r="M300" s="327"/>
      <c r="N300" s="439" t="s">
        <v>303</v>
      </c>
      <c r="O300" s="326"/>
      <c r="P300" s="326"/>
      <c r="Q300" s="326"/>
      <c r="R300" s="326"/>
      <c r="S300" s="326"/>
      <c r="T300" s="326"/>
      <c r="U300" s="327"/>
    </row>
    <row r="301" spans="1:21" ht="34.5" customHeight="1" x14ac:dyDescent="0.25">
      <c r="A301" s="10">
        <f t="shared" si="1"/>
        <v>287</v>
      </c>
      <c r="B301" s="483" t="s">
        <v>303</v>
      </c>
      <c r="C301" s="327"/>
      <c r="D301" s="484" t="s">
        <v>303</v>
      </c>
      <c r="E301" s="327"/>
      <c r="F301" s="481" t="s">
        <v>334</v>
      </c>
      <c r="G301" s="327"/>
      <c r="H301" s="485"/>
      <c r="I301" s="326"/>
      <c r="J301" s="327"/>
      <c r="K301" s="481" t="s">
        <v>334</v>
      </c>
      <c r="L301" s="326"/>
      <c r="M301" s="327"/>
      <c r="N301" s="486" t="s">
        <v>303</v>
      </c>
      <c r="O301" s="326"/>
      <c r="P301" s="326"/>
      <c r="Q301" s="326"/>
      <c r="R301" s="326"/>
      <c r="S301" s="326"/>
      <c r="T301" s="326"/>
      <c r="U301" s="327"/>
    </row>
    <row r="302" spans="1:21" ht="34.5" customHeight="1" x14ac:dyDescent="0.25">
      <c r="A302" s="10">
        <f t="shared" si="1"/>
        <v>288</v>
      </c>
      <c r="B302" s="479" t="s">
        <v>303</v>
      </c>
      <c r="C302" s="327"/>
      <c r="D302" s="480" t="s">
        <v>303</v>
      </c>
      <c r="E302" s="327"/>
      <c r="F302" s="481" t="s">
        <v>334</v>
      </c>
      <c r="G302" s="327"/>
      <c r="H302" s="482"/>
      <c r="I302" s="326"/>
      <c r="J302" s="327"/>
      <c r="K302" s="481" t="s">
        <v>334</v>
      </c>
      <c r="L302" s="326"/>
      <c r="M302" s="327"/>
      <c r="N302" s="439" t="s">
        <v>303</v>
      </c>
      <c r="O302" s="326"/>
      <c r="P302" s="326"/>
      <c r="Q302" s="326"/>
      <c r="R302" s="326"/>
      <c r="S302" s="326"/>
      <c r="T302" s="326"/>
      <c r="U302" s="327"/>
    </row>
    <row r="303" spans="1:21" ht="34.5" customHeight="1" x14ac:dyDescent="0.25">
      <c r="A303" s="10">
        <f t="shared" si="1"/>
        <v>289</v>
      </c>
      <c r="B303" s="483" t="s">
        <v>303</v>
      </c>
      <c r="C303" s="327"/>
      <c r="D303" s="484" t="s">
        <v>303</v>
      </c>
      <c r="E303" s="327"/>
      <c r="F303" s="481" t="s">
        <v>334</v>
      </c>
      <c r="G303" s="327"/>
      <c r="H303" s="485"/>
      <c r="I303" s="326"/>
      <c r="J303" s="327"/>
      <c r="K303" s="481" t="s">
        <v>334</v>
      </c>
      <c r="L303" s="326"/>
      <c r="M303" s="327"/>
      <c r="N303" s="486" t="s">
        <v>303</v>
      </c>
      <c r="O303" s="326"/>
      <c r="P303" s="326"/>
      <c r="Q303" s="326"/>
      <c r="R303" s="326"/>
      <c r="S303" s="326"/>
      <c r="T303" s="326"/>
      <c r="U303" s="327"/>
    </row>
    <row r="304" spans="1:21" ht="34.5" customHeight="1" x14ac:dyDescent="0.25">
      <c r="A304" s="10">
        <f t="shared" si="1"/>
        <v>290</v>
      </c>
      <c r="B304" s="479" t="s">
        <v>303</v>
      </c>
      <c r="C304" s="327"/>
      <c r="D304" s="480" t="s">
        <v>303</v>
      </c>
      <c r="E304" s="327"/>
      <c r="F304" s="481" t="s">
        <v>334</v>
      </c>
      <c r="G304" s="327"/>
      <c r="H304" s="482"/>
      <c r="I304" s="326"/>
      <c r="J304" s="327"/>
      <c r="K304" s="481" t="s">
        <v>334</v>
      </c>
      <c r="L304" s="326"/>
      <c r="M304" s="327"/>
      <c r="N304" s="439" t="s">
        <v>303</v>
      </c>
      <c r="O304" s="326"/>
      <c r="P304" s="326"/>
      <c r="Q304" s="326"/>
      <c r="R304" s="326"/>
      <c r="S304" s="326"/>
      <c r="T304" s="326"/>
      <c r="U304" s="327"/>
    </row>
    <row r="305" spans="1:21" ht="34.5" customHeight="1" x14ac:dyDescent="0.25">
      <c r="A305" s="10">
        <f t="shared" si="1"/>
        <v>291</v>
      </c>
      <c r="B305" s="483" t="s">
        <v>303</v>
      </c>
      <c r="C305" s="327"/>
      <c r="D305" s="484" t="s">
        <v>303</v>
      </c>
      <c r="E305" s="327"/>
      <c r="F305" s="481" t="s">
        <v>334</v>
      </c>
      <c r="G305" s="327"/>
      <c r="H305" s="485"/>
      <c r="I305" s="326"/>
      <c r="J305" s="327"/>
      <c r="K305" s="481" t="s">
        <v>334</v>
      </c>
      <c r="L305" s="326"/>
      <c r="M305" s="327"/>
      <c r="N305" s="486" t="s">
        <v>303</v>
      </c>
      <c r="O305" s="326"/>
      <c r="P305" s="326"/>
      <c r="Q305" s="326"/>
      <c r="R305" s="326"/>
      <c r="S305" s="326"/>
      <c r="T305" s="326"/>
      <c r="U305" s="327"/>
    </row>
    <row r="306" spans="1:21" ht="34.5" customHeight="1" x14ac:dyDescent="0.25">
      <c r="A306" s="10">
        <f t="shared" si="1"/>
        <v>292</v>
      </c>
      <c r="B306" s="479" t="s">
        <v>303</v>
      </c>
      <c r="C306" s="327"/>
      <c r="D306" s="480" t="s">
        <v>303</v>
      </c>
      <c r="E306" s="327"/>
      <c r="F306" s="481" t="s">
        <v>334</v>
      </c>
      <c r="G306" s="327"/>
      <c r="H306" s="482"/>
      <c r="I306" s="326"/>
      <c r="J306" s="327"/>
      <c r="K306" s="481" t="s">
        <v>334</v>
      </c>
      <c r="L306" s="326"/>
      <c r="M306" s="327"/>
      <c r="N306" s="439" t="s">
        <v>303</v>
      </c>
      <c r="O306" s="326"/>
      <c r="P306" s="326"/>
      <c r="Q306" s="326"/>
      <c r="R306" s="326"/>
      <c r="S306" s="326"/>
      <c r="T306" s="326"/>
      <c r="U306" s="327"/>
    </row>
    <row r="307" spans="1:21" ht="34.5" customHeight="1" x14ac:dyDescent="0.25">
      <c r="A307" s="10">
        <f t="shared" si="1"/>
        <v>293</v>
      </c>
      <c r="B307" s="483" t="s">
        <v>303</v>
      </c>
      <c r="C307" s="327"/>
      <c r="D307" s="484" t="s">
        <v>303</v>
      </c>
      <c r="E307" s="327"/>
      <c r="F307" s="481" t="s">
        <v>334</v>
      </c>
      <c r="G307" s="327"/>
      <c r="H307" s="485"/>
      <c r="I307" s="326"/>
      <c r="J307" s="327"/>
      <c r="K307" s="481" t="s">
        <v>334</v>
      </c>
      <c r="L307" s="326"/>
      <c r="M307" s="327"/>
      <c r="N307" s="486" t="s">
        <v>303</v>
      </c>
      <c r="O307" s="326"/>
      <c r="P307" s="326"/>
      <c r="Q307" s="326"/>
      <c r="R307" s="326"/>
      <c r="S307" s="326"/>
      <c r="T307" s="326"/>
      <c r="U307" s="327"/>
    </row>
    <row r="308" spans="1:21" ht="34.5" customHeight="1" x14ac:dyDescent="0.25">
      <c r="A308" s="10">
        <f t="shared" si="1"/>
        <v>294</v>
      </c>
      <c r="B308" s="479" t="s">
        <v>338</v>
      </c>
      <c r="C308" s="327"/>
      <c r="D308" s="480" t="s">
        <v>303</v>
      </c>
      <c r="E308" s="327"/>
      <c r="F308" s="481" t="s">
        <v>334</v>
      </c>
      <c r="G308" s="327"/>
      <c r="H308" s="482"/>
      <c r="I308" s="326"/>
      <c r="J308" s="327"/>
      <c r="K308" s="481" t="s">
        <v>334</v>
      </c>
      <c r="L308" s="326"/>
      <c r="M308" s="327"/>
      <c r="N308" s="439" t="s">
        <v>303</v>
      </c>
      <c r="O308" s="326"/>
      <c r="P308" s="326"/>
      <c r="Q308" s="326"/>
      <c r="R308" s="326"/>
      <c r="S308" s="326"/>
      <c r="T308" s="326"/>
      <c r="U308" s="327"/>
    </row>
    <row r="309" spans="1:21" ht="34.5" customHeight="1" x14ac:dyDescent="0.25">
      <c r="A309" s="10">
        <f t="shared" si="1"/>
        <v>295</v>
      </c>
      <c r="B309" s="483" t="s">
        <v>303</v>
      </c>
      <c r="C309" s="327"/>
      <c r="D309" s="484" t="s">
        <v>303</v>
      </c>
      <c r="E309" s="327"/>
      <c r="F309" s="481" t="s">
        <v>334</v>
      </c>
      <c r="G309" s="327"/>
      <c r="H309" s="485"/>
      <c r="I309" s="326"/>
      <c r="J309" s="327"/>
      <c r="K309" s="481" t="s">
        <v>334</v>
      </c>
      <c r="L309" s="326"/>
      <c r="M309" s="327"/>
      <c r="N309" s="486" t="s">
        <v>303</v>
      </c>
      <c r="O309" s="326"/>
      <c r="P309" s="326"/>
      <c r="Q309" s="326"/>
      <c r="R309" s="326"/>
      <c r="S309" s="326"/>
      <c r="T309" s="326"/>
      <c r="U309" s="327"/>
    </row>
    <row r="310" spans="1:21" ht="34.5" customHeight="1" x14ac:dyDescent="0.25">
      <c r="A310" s="10">
        <f t="shared" si="1"/>
        <v>296</v>
      </c>
      <c r="B310" s="479" t="s">
        <v>303</v>
      </c>
      <c r="C310" s="327"/>
      <c r="D310" s="480" t="s">
        <v>303</v>
      </c>
      <c r="E310" s="327"/>
      <c r="F310" s="481" t="s">
        <v>334</v>
      </c>
      <c r="G310" s="327"/>
      <c r="H310" s="482"/>
      <c r="I310" s="326"/>
      <c r="J310" s="327"/>
      <c r="K310" s="481" t="s">
        <v>334</v>
      </c>
      <c r="L310" s="326"/>
      <c r="M310" s="327"/>
      <c r="N310" s="439" t="s">
        <v>303</v>
      </c>
      <c r="O310" s="326"/>
      <c r="P310" s="326"/>
      <c r="Q310" s="326"/>
      <c r="R310" s="326"/>
      <c r="S310" s="326"/>
      <c r="T310" s="326"/>
      <c r="U310" s="327"/>
    </row>
    <row r="311" spans="1:21" ht="34.5" customHeight="1" x14ac:dyDescent="0.25">
      <c r="A311" s="10">
        <f t="shared" si="1"/>
        <v>297</v>
      </c>
      <c r="B311" s="483" t="s">
        <v>303</v>
      </c>
      <c r="C311" s="327"/>
      <c r="D311" s="484" t="s">
        <v>303</v>
      </c>
      <c r="E311" s="327"/>
      <c r="F311" s="481" t="s">
        <v>334</v>
      </c>
      <c r="G311" s="327"/>
      <c r="H311" s="485"/>
      <c r="I311" s="326"/>
      <c r="J311" s="327"/>
      <c r="K311" s="481" t="s">
        <v>334</v>
      </c>
      <c r="L311" s="326"/>
      <c r="M311" s="327"/>
      <c r="N311" s="486" t="s">
        <v>303</v>
      </c>
      <c r="O311" s="326"/>
      <c r="P311" s="326"/>
      <c r="Q311" s="326"/>
      <c r="R311" s="326"/>
      <c r="S311" s="326"/>
      <c r="T311" s="326"/>
      <c r="U311" s="327"/>
    </row>
    <row r="312" spans="1:21" ht="34.5" customHeight="1" x14ac:dyDescent="0.25">
      <c r="A312" s="10">
        <f t="shared" si="1"/>
        <v>298</v>
      </c>
      <c r="B312" s="479" t="s">
        <v>303</v>
      </c>
      <c r="C312" s="327"/>
      <c r="D312" s="480" t="s">
        <v>303</v>
      </c>
      <c r="E312" s="327"/>
      <c r="F312" s="481" t="s">
        <v>334</v>
      </c>
      <c r="G312" s="327"/>
      <c r="H312" s="482"/>
      <c r="I312" s="326"/>
      <c r="J312" s="327"/>
      <c r="K312" s="481" t="s">
        <v>334</v>
      </c>
      <c r="L312" s="326"/>
      <c r="M312" s="327"/>
      <c r="N312" s="439" t="s">
        <v>303</v>
      </c>
      <c r="O312" s="326"/>
      <c r="P312" s="326"/>
      <c r="Q312" s="326"/>
      <c r="R312" s="326"/>
      <c r="S312" s="326"/>
      <c r="T312" s="326"/>
      <c r="U312" s="327"/>
    </row>
    <row r="313" spans="1:21" ht="34.5" customHeight="1" x14ac:dyDescent="0.25">
      <c r="A313" s="10">
        <f t="shared" si="1"/>
        <v>299</v>
      </c>
      <c r="B313" s="483" t="s">
        <v>303</v>
      </c>
      <c r="C313" s="327"/>
      <c r="D313" s="484" t="s">
        <v>303</v>
      </c>
      <c r="E313" s="327"/>
      <c r="F313" s="481" t="s">
        <v>334</v>
      </c>
      <c r="G313" s="327"/>
      <c r="H313" s="485"/>
      <c r="I313" s="326"/>
      <c r="J313" s="327"/>
      <c r="K313" s="481" t="s">
        <v>334</v>
      </c>
      <c r="L313" s="326"/>
      <c r="M313" s="327"/>
      <c r="N313" s="486" t="s">
        <v>303</v>
      </c>
      <c r="O313" s="326"/>
      <c r="P313" s="326"/>
      <c r="Q313" s="326"/>
      <c r="R313" s="326"/>
      <c r="S313" s="326"/>
      <c r="T313" s="326"/>
      <c r="U313" s="327"/>
    </row>
    <row r="314" spans="1:21" ht="34.5" customHeight="1" x14ac:dyDescent="0.25">
      <c r="A314" s="10">
        <f t="shared" si="1"/>
        <v>300</v>
      </c>
      <c r="B314" s="479" t="s">
        <v>303</v>
      </c>
      <c r="C314" s="327"/>
      <c r="D314" s="480" t="s">
        <v>303</v>
      </c>
      <c r="E314" s="327"/>
      <c r="F314" s="481" t="s">
        <v>334</v>
      </c>
      <c r="G314" s="327"/>
      <c r="H314" s="482"/>
      <c r="I314" s="326"/>
      <c r="J314" s="327"/>
      <c r="K314" s="481" t="s">
        <v>334</v>
      </c>
      <c r="L314" s="326"/>
      <c r="M314" s="327"/>
      <c r="N314" s="439" t="s">
        <v>303</v>
      </c>
      <c r="O314" s="326"/>
      <c r="P314" s="326"/>
      <c r="Q314" s="326"/>
      <c r="R314" s="326"/>
      <c r="S314" s="326"/>
      <c r="T314" s="326"/>
      <c r="U314" s="327"/>
    </row>
    <row r="315" spans="1:21" ht="34.5" customHeight="1" x14ac:dyDescent="0.25">
      <c r="A315" s="10">
        <f t="shared" si="1"/>
        <v>301</v>
      </c>
      <c r="B315" s="483" t="s">
        <v>303</v>
      </c>
      <c r="C315" s="327"/>
      <c r="D315" s="484" t="s">
        <v>303</v>
      </c>
      <c r="E315" s="327"/>
      <c r="F315" s="481" t="s">
        <v>334</v>
      </c>
      <c r="G315" s="327"/>
      <c r="H315" s="485"/>
      <c r="I315" s="326"/>
      <c r="J315" s="327"/>
      <c r="K315" s="481" t="s">
        <v>334</v>
      </c>
      <c r="L315" s="326"/>
      <c r="M315" s="327"/>
      <c r="N315" s="486" t="s">
        <v>303</v>
      </c>
      <c r="O315" s="326"/>
      <c r="P315" s="326"/>
      <c r="Q315" s="326"/>
      <c r="R315" s="326"/>
      <c r="S315" s="326"/>
      <c r="T315" s="326"/>
      <c r="U315" s="327"/>
    </row>
    <row r="316" spans="1:21" ht="34.5" customHeight="1" x14ac:dyDescent="0.25">
      <c r="A316" s="10">
        <f t="shared" si="1"/>
        <v>302</v>
      </c>
      <c r="B316" s="479" t="s">
        <v>303</v>
      </c>
      <c r="C316" s="327"/>
      <c r="D316" s="480" t="s">
        <v>303</v>
      </c>
      <c r="E316" s="327"/>
      <c r="F316" s="481" t="s">
        <v>334</v>
      </c>
      <c r="G316" s="327"/>
      <c r="H316" s="482"/>
      <c r="I316" s="326"/>
      <c r="J316" s="327"/>
      <c r="K316" s="481" t="s">
        <v>334</v>
      </c>
      <c r="L316" s="326"/>
      <c r="M316" s="327"/>
      <c r="N316" s="439" t="s">
        <v>303</v>
      </c>
      <c r="O316" s="326"/>
      <c r="P316" s="326"/>
      <c r="Q316" s="326"/>
      <c r="R316" s="326"/>
      <c r="S316" s="326"/>
      <c r="T316" s="326"/>
      <c r="U316" s="327"/>
    </row>
    <row r="317" spans="1:21" ht="34.5" customHeight="1" x14ac:dyDescent="0.25">
      <c r="A317" s="10">
        <f t="shared" si="1"/>
        <v>303</v>
      </c>
      <c r="B317" s="483" t="s">
        <v>303</v>
      </c>
      <c r="C317" s="327"/>
      <c r="D317" s="484" t="s">
        <v>303</v>
      </c>
      <c r="E317" s="327"/>
      <c r="F317" s="481" t="s">
        <v>334</v>
      </c>
      <c r="G317" s="327"/>
      <c r="H317" s="485"/>
      <c r="I317" s="326"/>
      <c r="J317" s="327"/>
      <c r="K317" s="481" t="s">
        <v>334</v>
      </c>
      <c r="L317" s="326"/>
      <c r="M317" s="327"/>
      <c r="N317" s="486" t="s">
        <v>303</v>
      </c>
      <c r="O317" s="326"/>
      <c r="P317" s="326"/>
      <c r="Q317" s="326"/>
      <c r="R317" s="326"/>
      <c r="S317" s="326"/>
      <c r="T317" s="326"/>
      <c r="U317" s="327"/>
    </row>
    <row r="318" spans="1:21" ht="34.5" customHeight="1" x14ac:dyDescent="0.25">
      <c r="A318" s="10">
        <f t="shared" si="1"/>
        <v>304</v>
      </c>
      <c r="B318" s="479" t="s">
        <v>303</v>
      </c>
      <c r="C318" s="327"/>
      <c r="D318" s="480" t="s">
        <v>303</v>
      </c>
      <c r="E318" s="327"/>
      <c r="F318" s="481" t="s">
        <v>334</v>
      </c>
      <c r="G318" s="327"/>
      <c r="H318" s="482"/>
      <c r="I318" s="326"/>
      <c r="J318" s="327"/>
      <c r="K318" s="481" t="s">
        <v>334</v>
      </c>
      <c r="L318" s="326"/>
      <c r="M318" s="327"/>
      <c r="N318" s="439" t="s">
        <v>303</v>
      </c>
      <c r="O318" s="326"/>
      <c r="P318" s="326"/>
      <c r="Q318" s="326"/>
      <c r="R318" s="326"/>
      <c r="S318" s="326"/>
      <c r="T318" s="326"/>
      <c r="U318" s="327"/>
    </row>
    <row r="319" spans="1:21" ht="34.5" customHeight="1" x14ac:dyDescent="0.25">
      <c r="A319" s="10">
        <f t="shared" si="1"/>
        <v>305</v>
      </c>
      <c r="B319" s="483" t="s">
        <v>303</v>
      </c>
      <c r="C319" s="327"/>
      <c r="D319" s="484" t="s">
        <v>303</v>
      </c>
      <c r="E319" s="327"/>
      <c r="F319" s="481" t="s">
        <v>334</v>
      </c>
      <c r="G319" s="327"/>
      <c r="H319" s="485"/>
      <c r="I319" s="326"/>
      <c r="J319" s="327"/>
      <c r="K319" s="481" t="s">
        <v>334</v>
      </c>
      <c r="L319" s="326"/>
      <c r="M319" s="327"/>
      <c r="N319" s="486" t="s">
        <v>303</v>
      </c>
      <c r="O319" s="326"/>
      <c r="P319" s="326"/>
      <c r="Q319" s="326"/>
      <c r="R319" s="326"/>
      <c r="S319" s="326"/>
      <c r="T319" s="326"/>
      <c r="U319" s="327"/>
    </row>
    <row r="320" spans="1:21" ht="34.5" customHeight="1" x14ac:dyDescent="0.25">
      <c r="A320" s="10">
        <f t="shared" si="1"/>
        <v>306</v>
      </c>
      <c r="B320" s="479" t="s">
        <v>336</v>
      </c>
      <c r="C320" s="327"/>
      <c r="D320" s="480" t="s">
        <v>303</v>
      </c>
      <c r="E320" s="327"/>
      <c r="F320" s="481" t="s">
        <v>334</v>
      </c>
      <c r="G320" s="327"/>
      <c r="H320" s="482"/>
      <c r="I320" s="326"/>
      <c r="J320" s="327"/>
      <c r="K320" s="481" t="s">
        <v>334</v>
      </c>
      <c r="L320" s="326"/>
      <c r="M320" s="327"/>
      <c r="N320" s="439" t="s">
        <v>303</v>
      </c>
      <c r="O320" s="326"/>
      <c r="P320" s="326"/>
      <c r="Q320" s="326"/>
      <c r="R320" s="326"/>
      <c r="S320" s="326"/>
      <c r="T320" s="326"/>
      <c r="U320" s="327"/>
    </row>
    <row r="321" spans="1:21" ht="34.5" customHeight="1" x14ac:dyDescent="0.25">
      <c r="A321" s="10">
        <f t="shared" si="1"/>
        <v>307</v>
      </c>
      <c r="B321" s="483" t="s">
        <v>303</v>
      </c>
      <c r="C321" s="327"/>
      <c r="D321" s="484" t="s">
        <v>303</v>
      </c>
      <c r="E321" s="327"/>
      <c r="F321" s="481" t="s">
        <v>334</v>
      </c>
      <c r="G321" s="327"/>
      <c r="H321" s="485"/>
      <c r="I321" s="326"/>
      <c r="J321" s="327"/>
      <c r="K321" s="481" t="s">
        <v>334</v>
      </c>
      <c r="L321" s="326"/>
      <c r="M321" s="327"/>
      <c r="N321" s="486" t="s">
        <v>303</v>
      </c>
      <c r="O321" s="326"/>
      <c r="P321" s="326"/>
      <c r="Q321" s="326"/>
      <c r="R321" s="326"/>
      <c r="S321" s="326"/>
      <c r="T321" s="326"/>
      <c r="U321" s="327"/>
    </row>
    <row r="322" spans="1:21" ht="34.5" customHeight="1" x14ac:dyDescent="0.25">
      <c r="A322" s="10">
        <f t="shared" si="1"/>
        <v>308</v>
      </c>
      <c r="B322" s="479" t="s">
        <v>303</v>
      </c>
      <c r="C322" s="327"/>
      <c r="D322" s="480" t="s">
        <v>303</v>
      </c>
      <c r="E322" s="327"/>
      <c r="F322" s="481" t="s">
        <v>334</v>
      </c>
      <c r="G322" s="327"/>
      <c r="H322" s="482"/>
      <c r="I322" s="326"/>
      <c r="J322" s="327"/>
      <c r="K322" s="481" t="s">
        <v>334</v>
      </c>
      <c r="L322" s="326"/>
      <c r="M322" s="327"/>
      <c r="N322" s="439" t="s">
        <v>303</v>
      </c>
      <c r="O322" s="326"/>
      <c r="P322" s="326"/>
      <c r="Q322" s="326"/>
      <c r="R322" s="326"/>
      <c r="S322" s="326"/>
      <c r="T322" s="326"/>
      <c r="U322" s="327"/>
    </row>
    <row r="323" spans="1:21" ht="34.5" customHeight="1" x14ac:dyDescent="0.25">
      <c r="A323" s="10">
        <f t="shared" si="1"/>
        <v>309</v>
      </c>
      <c r="B323" s="483" t="s">
        <v>303</v>
      </c>
      <c r="C323" s="327"/>
      <c r="D323" s="484" t="s">
        <v>303</v>
      </c>
      <c r="E323" s="327"/>
      <c r="F323" s="481" t="s">
        <v>334</v>
      </c>
      <c r="G323" s="327"/>
      <c r="H323" s="485"/>
      <c r="I323" s="326"/>
      <c r="J323" s="327"/>
      <c r="K323" s="481" t="s">
        <v>334</v>
      </c>
      <c r="L323" s="326"/>
      <c r="M323" s="327"/>
      <c r="N323" s="486" t="s">
        <v>303</v>
      </c>
      <c r="O323" s="326"/>
      <c r="P323" s="326"/>
      <c r="Q323" s="326"/>
      <c r="R323" s="326"/>
      <c r="S323" s="326"/>
      <c r="T323" s="326"/>
      <c r="U323" s="327"/>
    </row>
    <row r="324" spans="1:21" ht="34.5" customHeight="1" x14ac:dyDescent="0.25">
      <c r="A324" s="10">
        <f t="shared" si="1"/>
        <v>310</v>
      </c>
      <c r="B324" s="479" t="s">
        <v>303</v>
      </c>
      <c r="C324" s="327"/>
      <c r="D324" s="480" t="s">
        <v>303</v>
      </c>
      <c r="E324" s="327"/>
      <c r="F324" s="481" t="s">
        <v>334</v>
      </c>
      <c r="G324" s="327"/>
      <c r="H324" s="482"/>
      <c r="I324" s="326"/>
      <c r="J324" s="327"/>
      <c r="K324" s="481" t="s">
        <v>334</v>
      </c>
      <c r="L324" s="326"/>
      <c r="M324" s="327"/>
      <c r="N324" s="439" t="s">
        <v>303</v>
      </c>
      <c r="O324" s="326"/>
      <c r="P324" s="326"/>
      <c r="Q324" s="326"/>
      <c r="R324" s="326"/>
      <c r="S324" s="326"/>
      <c r="T324" s="326"/>
      <c r="U324" s="327"/>
    </row>
    <row r="325" spans="1:21" ht="34.5" customHeight="1" x14ac:dyDescent="0.25">
      <c r="A325" s="10">
        <f t="shared" si="1"/>
        <v>311</v>
      </c>
      <c r="B325" s="483" t="s">
        <v>303</v>
      </c>
      <c r="C325" s="327"/>
      <c r="D325" s="484" t="s">
        <v>303</v>
      </c>
      <c r="E325" s="327"/>
      <c r="F325" s="481" t="s">
        <v>334</v>
      </c>
      <c r="G325" s="327"/>
      <c r="H325" s="485"/>
      <c r="I325" s="326"/>
      <c r="J325" s="327"/>
      <c r="K325" s="481" t="s">
        <v>334</v>
      </c>
      <c r="L325" s="326"/>
      <c r="M325" s="327"/>
      <c r="N325" s="486" t="s">
        <v>303</v>
      </c>
      <c r="O325" s="326"/>
      <c r="P325" s="326"/>
      <c r="Q325" s="326"/>
      <c r="R325" s="326"/>
      <c r="S325" s="326"/>
      <c r="T325" s="326"/>
      <c r="U325" s="327"/>
    </row>
    <row r="326" spans="1:21" ht="34.5" customHeight="1" x14ac:dyDescent="0.25">
      <c r="A326" s="10">
        <f t="shared" si="1"/>
        <v>312</v>
      </c>
      <c r="B326" s="479" t="s">
        <v>303</v>
      </c>
      <c r="C326" s="327"/>
      <c r="D326" s="480" t="s">
        <v>303</v>
      </c>
      <c r="E326" s="327"/>
      <c r="F326" s="481" t="s">
        <v>334</v>
      </c>
      <c r="G326" s="327"/>
      <c r="H326" s="482"/>
      <c r="I326" s="326"/>
      <c r="J326" s="327"/>
      <c r="K326" s="481" t="s">
        <v>334</v>
      </c>
      <c r="L326" s="326"/>
      <c r="M326" s="327"/>
      <c r="N326" s="439" t="s">
        <v>303</v>
      </c>
      <c r="O326" s="326"/>
      <c r="P326" s="326"/>
      <c r="Q326" s="326"/>
      <c r="R326" s="326"/>
      <c r="S326" s="326"/>
      <c r="T326" s="326"/>
      <c r="U326" s="327"/>
    </row>
    <row r="327" spans="1:21" ht="34.5" customHeight="1" x14ac:dyDescent="0.25">
      <c r="A327" s="10">
        <f t="shared" si="1"/>
        <v>313</v>
      </c>
      <c r="B327" s="483" t="s">
        <v>303</v>
      </c>
      <c r="C327" s="327"/>
      <c r="D327" s="484" t="s">
        <v>303</v>
      </c>
      <c r="E327" s="327"/>
      <c r="F327" s="481" t="s">
        <v>334</v>
      </c>
      <c r="G327" s="327"/>
      <c r="H327" s="485"/>
      <c r="I327" s="326"/>
      <c r="J327" s="327"/>
      <c r="K327" s="481" t="s">
        <v>334</v>
      </c>
      <c r="L327" s="326"/>
      <c r="M327" s="327"/>
      <c r="N327" s="486" t="s">
        <v>303</v>
      </c>
      <c r="O327" s="326"/>
      <c r="P327" s="326"/>
      <c r="Q327" s="326"/>
      <c r="R327" s="326"/>
      <c r="S327" s="326"/>
      <c r="T327" s="326"/>
      <c r="U327" s="327"/>
    </row>
    <row r="328" spans="1:21" ht="34.5" customHeight="1" x14ac:dyDescent="0.25">
      <c r="A328" s="10">
        <f t="shared" si="1"/>
        <v>314</v>
      </c>
      <c r="B328" s="479" t="s">
        <v>335</v>
      </c>
      <c r="C328" s="327"/>
      <c r="D328" s="480" t="s">
        <v>303</v>
      </c>
      <c r="E328" s="327"/>
      <c r="F328" s="481" t="s">
        <v>334</v>
      </c>
      <c r="G328" s="327"/>
      <c r="H328" s="482"/>
      <c r="I328" s="326"/>
      <c r="J328" s="327"/>
      <c r="K328" s="481" t="s">
        <v>334</v>
      </c>
      <c r="L328" s="326"/>
      <c r="M328" s="327"/>
      <c r="N328" s="439" t="s">
        <v>303</v>
      </c>
      <c r="O328" s="326"/>
      <c r="P328" s="326"/>
      <c r="Q328" s="326"/>
      <c r="R328" s="326"/>
      <c r="S328" s="326"/>
      <c r="T328" s="326"/>
      <c r="U328" s="327"/>
    </row>
    <row r="329" spans="1:21" ht="34.5" customHeight="1" x14ac:dyDescent="0.25">
      <c r="A329" s="10">
        <f t="shared" si="1"/>
        <v>315</v>
      </c>
      <c r="B329" s="483" t="s">
        <v>303</v>
      </c>
      <c r="C329" s="327"/>
      <c r="D329" s="484" t="s">
        <v>303</v>
      </c>
      <c r="E329" s="327"/>
      <c r="F329" s="481" t="s">
        <v>334</v>
      </c>
      <c r="G329" s="327"/>
      <c r="H329" s="485"/>
      <c r="I329" s="326"/>
      <c r="J329" s="327"/>
      <c r="K329" s="481" t="s">
        <v>334</v>
      </c>
      <c r="L329" s="326"/>
      <c r="M329" s="327"/>
      <c r="N329" s="486" t="s">
        <v>303</v>
      </c>
      <c r="O329" s="326"/>
      <c r="P329" s="326"/>
      <c r="Q329" s="326"/>
      <c r="R329" s="326"/>
      <c r="S329" s="326"/>
      <c r="T329" s="326"/>
      <c r="U329" s="327"/>
    </row>
    <row r="330" spans="1:21" ht="34.5" customHeight="1" x14ac:dyDescent="0.25">
      <c r="A330" s="10">
        <f t="shared" si="1"/>
        <v>316</v>
      </c>
      <c r="B330" s="479" t="s">
        <v>303</v>
      </c>
      <c r="C330" s="327"/>
      <c r="D330" s="480" t="s">
        <v>303</v>
      </c>
      <c r="E330" s="327"/>
      <c r="F330" s="481" t="s">
        <v>334</v>
      </c>
      <c r="G330" s="327"/>
      <c r="H330" s="482"/>
      <c r="I330" s="326"/>
      <c r="J330" s="327"/>
      <c r="K330" s="481" t="s">
        <v>334</v>
      </c>
      <c r="L330" s="326"/>
      <c r="M330" s="327"/>
      <c r="N330" s="439" t="s">
        <v>303</v>
      </c>
      <c r="O330" s="326"/>
      <c r="P330" s="326"/>
      <c r="Q330" s="326"/>
      <c r="R330" s="326"/>
      <c r="S330" s="326"/>
      <c r="T330" s="326"/>
      <c r="U330" s="327"/>
    </row>
    <row r="331" spans="1:21" ht="34.5" customHeight="1" x14ac:dyDescent="0.25">
      <c r="A331" s="10">
        <f t="shared" si="1"/>
        <v>317</v>
      </c>
      <c r="B331" s="483" t="s">
        <v>303</v>
      </c>
      <c r="C331" s="327"/>
      <c r="D331" s="484" t="s">
        <v>303</v>
      </c>
      <c r="E331" s="327"/>
      <c r="F331" s="481" t="s">
        <v>334</v>
      </c>
      <c r="G331" s="327"/>
      <c r="H331" s="485"/>
      <c r="I331" s="326"/>
      <c r="J331" s="327"/>
      <c r="K331" s="481" t="s">
        <v>334</v>
      </c>
      <c r="L331" s="326"/>
      <c r="M331" s="327"/>
      <c r="N331" s="486" t="s">
        <v>303</v>
      </c>
      <c r="O331" s="326"/>
      <c r="P331" s="326"/>
      <c r="Q331" s="326"/>
      <c r="R331" s="326"/>
      <c r="S331" s="326"/>
      <c r="T331" s="326"/>
      <c r="U331" s="327"/>
    </row>
    <row r="332" spans="1:21" ht="34.5" customHeight="1" x14ac:dyDescent="0.25">
      <c r="A332" s="10">
        <f t="shared" si="1"/>
        <v>318</v>
      </c>
      <c r="B332" s="479" t="s">
        <v>303</v>
      </c>
      <c r="C332" s="327"/>
      <c r="D332" s="480" t="s">
        <v>303</v>
      </c>
      <c r="E332" s="327"/>
      <c r="F332" s="481" t="s">
        <v>334</v>
      </c>
      <c r="G332" s="327"/>
      <c r="H332" s="482"/>
      <c r="I332" s="326"/>
      <c r="J332" s="327"/>
      <c r="K332" s="481" t="s">
        <v>334</v>
      </c>
      <c r="L332" s="326"/>
      <c r="M332" s="327"/>
      <c r="N332" s="439" t="s">
        <v>303</v>
      </c>
      <c r="O332" s="326"/>
      <c r="P332" s="326"/>
      <c r="Q332" s="326"/>
      <c r="R332" s="326"/>
      <c r="S332" s="326"/>
      <c r="T332" s="326"/>
      <c r="U332" s="327"/>
    </row>
    <row r="333" spans="1:21" ht="34.5" customHeight="1" x14ac:dyDescent="0.25">
      <c r="A333" s="10">
        <f t="shared" si="1"/>
        <v>319</v>
      </c>
      <c r="B333" s="483" t="s">
        <v>303</v>
      </c>
      <c r="C333" s="327"/>
      <c r="D333" s="484" t="s">
        <v>303</v>
      </c>
      <c r="E333" s="327"/>
      <c r="F333" s="481" t="s">
        <v>334</v>
      </c>
      <c r="G333" s="327"/>
      <c r="H333" s="485"/>
      <c r="I333" s="326"/>
      <c r="J333" s="327"/>
      <c r="K333" s="481" t="s">
        <v>334</v>
      </c>
      <c r="L333" s="326"/>
      <c r="M333" s="327"/>
      <c r="N333" s="486" t="s">
        <v>303</v>
      </c>
      <c r="O333" s="326"/>
      <c r="P333" s="326"/>
      <c r="Q333" s="326"/>
      <c r="R333" s="326"/>
      <c r="S333" s="326"/>
      <c r="T333" s="326"/>
      <c r="U333" s="327"/>
    </row>
    <row r="334" spans="1:21" ht="34.5" customHeight="1" x14ac:dyDescent="0.25">
      <c r="A334" s="10">
        <f t="shared" si="1"/>
        <v>320</v>
      </c>
      <c r="B334" s="479" t="s">
        <v>303</v>
      </c>
      <c r="C334" s="327"/>
      <c r="D334" s="480" t="s">
        <v>303</v>
      </c>
      <c r="E334" s="327"/>
      <c r="F334" s="481" t="s">
        <v>334</v>
      </c>
      <c r="G334" s="327"/>
      <c r="H334" s="482"/>
      <c r="I334" s="326"/>
      <c r="J334" s="327"/>
      <c r="K334" s="481" t="s">
        <v>334</v>
      </c>
      <c r="L334" s="326"/>
      <c r="M334" s="327"/>
      <c r="N334" s="439" t="s">
        <v>303</v>
      </c>
      <c r="O334" s="326"/>
      <c r="P334" s="326"/>
      <c r="Q334" s="326"/>
      <c r="R334" s="326"/>
      <c r="S334" s="326"/>
      <c r="T334" s="326"/>
      <c r="U334" s="327"/>
    </row>
    <row r="335" spans="1:21" ht="34.5" customHeight="1" x14ac:dyDescent="0.25">
      <c r="A335" s="10">
        <f t="shared" si="1"/>
        <v>321</v>
      </c>
      <c r="B335" s="483" t="s">
        <v>339</v>
      </c>
      <c r="C335" s="327"/>
      <c r="D335" s="484" t="s">
        <v>303</v>
      </c>
      <c r="E335" s="327"/>
      <c r="F335" s="481" t="s">
        <v>334</v>
      </c>
      <c r="G335" s="327"/>
      <c r="H335" s="485"/>
      <c r="I335" s="326"/>
      <c r="J335" s="327"/>
      <c r="K335" s="481" t="s">
        <v>334</v>
      </c>
      <c r="L335" s="326"/>
      <c r="M335" s="327"/>
      <c r="N335" s="486" t="s">
        <v>303</v>
      </c>
      <c r="O335" s="326"/>
      <c r="P335" s="326"/>
      <c r="Q335" s="326"/>
      <c r="R335" s="326"/>
      <c r="S335" s="326"/>
      <c r="T335" s="326"/>
      <c r="U335" s="327"/>
    </row>
    <row r="336" spans="1:21" ht="34.5" customHeight="1" x14ac:dyDescent="0.25">
      <c r="A336" s="10">
        <f t="shared" si="1"/>
        <v>322</v>
      </c>
      <c r="B336" s="479" t="s">
        <v>303</v>
      </c>
      <c r="C336" s="327"/>
      <c r="D336" s="480" t="s">
        <v>303</v>
      </c>
      <c r="E336" s="327"/>
      <c r="F336" s="481" t="s">
        <v>334</v>
      </c>
      <c r="G336" s="327"/>
      <c r="H336" s="482"/>
      <c r="I336" s="326"/>
      <c r="J336" s="327"/>
      <c r="K336" s="481" t="s">
        <v>334</v>
      </c>
      <c r="L336" s="326"/>
      <c r="M336" s="327"/>
      <c r="N336" s="439" t="s">
        <v>303</v>
      </c>
      <c r="O336" s="326"/>
      <c r="P336" s="326"/>
      <c r="Q336" s="326"/>
      <c r="R336" s="326"/>
      <c r="S336" s="326"/>
      <c r="T336" s="326"/>
      <c r="U336" s="327"/>
    </row>
    <row r="337" spans="1:21" ht="34.5" customHeight="1" x14ac:dyDescent="0.25">
      <c r="A337" s="10">
        <f t="shared" si="1"/>
        <v>323</v>
      </c>
      <c r="B337" s="483" t="s">
        <v>303</v>
      </c>
      <c r="C337" s="327"/>
      <c r="D337" s="484" t="s">
        <v>303</v>
      </c>
      <c r="E337" s="327"/>
      <c r="F337" s="481" t="s">
        <v>334</v>
      </c>
      <c r="G337" s="327"/>
      <c r="H337" s="485"/>
      <c r="I337" s="326"/>
      <c r="J337" s="327"/>
      <c r="K337" s="481" t="s">
        <v>334</v>
      </c>
      <c r="L337" s="326"/>
      <c r="M337" s="327"/>
      <c r="N337" s="486" t="s">
        <v>303</v>
      </c>
      <c r="O337" s="326"/>
      <c r="P337" s="326"/>
      <c r="Q337" s="326"/>
      <c r="R337" s="326"/>
      <c r="S337" s="326"/>
      <c r="T337" s="326"/>
      <c r="U337" s="327"/>
    </row>
    <row r="338" spans="1:21" ht="34.5" customHeight="1" x14ac:dyDescent="0.25">
      <c r="A338" s="10">
        <f t="shared" si="1"/>
        <v>324</v>
      </c>
      <c r="B338" s="479" t="s">
        <v>303</v>
      </c>
      <c r="C338" s="327"/>
      <c r="D338" s="480" t="s">
        <v>303</v>
      </c>
      <c r="E338" s="327"/>
      <c r="F338" s="481" t="s">
        <v>334</v>
      </c>
      <c r="G338" s="327"/>
      <c r="H338" s="482"/>
      <c r="I338" s="326"/>
      <c r="J338" s="327"/>
      <c r="K338" s="481" t="s">
        <v>334</v>
      </c>
      <c r="L338" s="326"/>
      <c r="M338" s="327"/>
      <c r="N338" s="439" t="s">
        <v>303</v>
      </c>
      <c r="O338" s="326"/>
      <c r="P338" s="326"/>
      <c r="Q338" s="326"/>
      <c r="R338" s="326"/>
      <c r="S338" s="326"/>
      <c r="T338" s="326"/>
      <c r="U338" s="327"/>
    </row>
    <row r="339" spans="1:21" ht="34.5" customHeight="1" x14ac:dyDescent="0.25">
      <c r="A339" s="10">
        <f t="shared" si="1"/>
        <v>325</v>
      </c>
      <c r="B339" s="483" t="s">
        <v>303</v>
      </c>
      <c r="C339" s="327"/>
      <c r="D339" s="484" t="s">
        <v>303</v>
      </c>
      <c r="E339" s="327"/>
      <c r="F339" s="481" t="s">
        <v>334</v>
      </c>
      <c r="G339" s="327"/>
      <c r="H339" s="485"/>
      <c r="I339" s="326"/>
      <c r="J339" s="327"/>
      <c r="K339" s="481" t="s">
        <v>334</v>
      </c>
      <c r="L339" s="326"/>
      <c r="M339" s="327"/>
      <c r="N339" s="486" t="s">
        <v>303</v>
      </c>
      <c r="O339" s="326"/>
      <c r="P339" s="326"/>
      <c r="Q339" s="326"/>
      <c r="R339" s="326"/>
      <c r="S339" s="326"/>
      <c r="T339" s="326"/>
      <c r="U339" s="327"/>
    </row>
    <row r="340" spans="1:21" ht="34.5" customHeight="1" x14ac:dyDescent="0.25">
      <c r="A340" s="10">
        <f t="shared" si="1"/>
        <v>326</v>
      </c>
      <c r="B340" s="479" t="s">
        <v>303</v>
      </c>
      <c r="C340" s="327"/>
      <c r="D340" s="480" t="s">
        <v>303</v>
      </c>
      <c r="E340" s="327"/>
      <c r="F340" s="481" t="s">
        <v>334</v>
      </c>
      <c r="G340" s="327"/>
      <c r="H340" s="482"/>
      <c r="I340" s="326"/>
      <c r="J340" s="327"/>
      <c r="K340" s="481" t="s">
        <v>334</v>
      </c>
      <c r="L340" s="326"/>
      <c r="M340" s="327"/>
      <c r="N340" s="439" t="s">
        <v>303</v>
      </c>
      <c r="O340" s="326"/>
      <c r="P340" s="326"/>
      <c r="Q340" s="326"/>
      <c r="R340" s="326"/>
      <c r="S340" s="326"/>
      <c r="T340" s="326"/>
      <c r="U340" s="327"/>
    </row>
    <row r="341" spans="1:21" ht="34.5" customHeight="1" x14ac:dyDescent="0.25">
      <c r="A341" s="10">
        <f t="shared" si="1"/>
        <v>327</v>
      </c>
      <c r="B341" s="483" t="s">
        <v>303</v>
      </c>
      <c r="C341" s="327"/>
      <c r="D341" s="484" t="s">
        <v>303</v>
      </c>
      <c r="E341" s="327"/>
      <c r="F341" s="481" t="s">
        <v>334</v>
      </c>
      <c r="G341" s="327"/>
      <c r="H341" s="485"/>
      <c r="I341" s="326"/>
      <c r="J341" s="327"/>
      <c r="K341" s="481" t="s">
        <v>334</v>
      </c>
      <c r="L341" s="326"/>
      <c r="M341" s="327"/>
      <c r="N341" s="486" t="s">
        <v>303</v>
      </c>
      <c r="O341" s="326"/>
      <c r="P341" s="326"/>
      <c r="Q341" s="326"/>
      <c r="R341" s="326"/>
      <c r="S341" s="326"/>
      <c r="T341" s="326"/>
      <c r="U341" s="327"/>
    </row>
    <row r="342" spans="1:21" ht="34.5" customHeight="1" x14ac:dyDescent="0.25">
      <c r="A342" s="10">
        <f t="shared" si="1"/>
        <v>328</v>
      </c>
      <c r="B342" s="479" t="s">
        <v>335</v>
      </c>
      <c r="C342" s="327"/>
      <c r="D342" s="480" t="s">
        <v>303</v>
      </c>
      <c r="E342" s="327"/>
      <c r="F342" s="481" t="s">
        <v>334</v>
      </c>
      <c r="G342" s="327"/>
      <c r="H342" s="482"/>
      <c r="I342" s="326"/>
      <c r="J342" s="327"/>
      <c r="K342" s="481" t="s">
        <v>334</v>
      </c>
      <c r="L342" s="326"/>
      <c r="M342" s="327"/>
      <c r="N342" s="439" t="s">
        <v>303</v>
      </c>
      <c r="O342" s="326"/>
      <c r="P342" s="326"/>
      <c r="Q342" s="326"/>
      <c r="R342" s="326"/>
      <c r="S342" s="326"/>
      <c r="T342" s="326"/>
      <c r="U342" s="327"/>
    </row>
    <row r="343" spans="1:21" ht="34.5" customHeight="1" x14ac:dyDescent="0.25">
      <c r="A343" s="10">
        <f t="shared" si="1"/>
        <v>329</v>
      </c>
      <c r="B343" s="483" t="s">
        <v>303</v>
      </c>
      <c r="C343" s="327"/>
      <c r="D343" s="484" t="s">
        <v>303</v>
      </c>
      <c r="E343" s="327"/>
      <c r="F343" s="481" t="s">
        <v>334</v>
      </c>
      <c r="G343" s="327"/>
      <c r="H343" s="485"/>
      <c r="I343" s="326"/>
      <c r="J343" s="327"/>
      <c r="K343" s="481" t="s">
        <v>334</v>
      </c>
      <c r="L343" s="326"/>
      <c r="M343" s="327"/>
      <c r="N343" s="486" t="s">
        <v>303</v>
      </c>
      <c r="O343" s="326"/>
      <c r="P343" s="326"/>
      <c r="Q343" s="326"/>
      <c r="R343" s="326"/>
      <c r="S343" s="326"/>
      <c r="T343" s="326"/>
      <c r="U343" s="327"/>
    </row>
    <row r="344" spans="1:21" ht="34.5" customHeight="1" x14ac:dyDescent="0.25">
      <c r="A344" s="10">
        <f t="shared" si="1"/>
        <v>330</v>
      </c>
      <c r="B344" s="479" t="s">
        <v>303</v>
      </c>
      <c r="C344" s="327"/>
      <c r="D344" s="480" t="s">
        <v>303</v>
      </c>
      <c r="E344" s="327"/>
      <c r="F344" s="481" t="s">
        <v>334</v>
      </c>
      <c r="G344" s="327"/>
      <c r="H344" s="482"/>
      <c r="I344" s="326"/>
      <c r="J344" s="327"/>
      <c r="K344" s="481" t="s">
        <v>334</v>
      </c>
      <c r="L344" s="326"/>
      <c r="M344" s="327"/>
      <c r="N344" s="439" t="s">
        <v>303</v>
      </c>
      <c r="O344" s="326"/>
      <c r="P344" s="326"/>
      <c r="Q344" s="326"/>
      <c r="R344" s="326"/>
      <c r="S344" s="326"/>
      <c r="T344" s="326"/>
      <c r="U344" s="327"/>
    </row>
    <row r="345" spans="1:21" ht="34.5" customHeight="1" x14ac:dyDescent="0.25">
      <c r="A345" s="10">
        <f t="shared" si="1"/>
        <v>331</v>
      </c>
      <c r="B345" s="483" t="s">
        <v>303</v>
      </c>
      <c r="C345" s="327"/>
      <c r="D345" s="484" t="s">
        <v>303</v>
      </c>
      <c r="E345" s="327"/>
      <c r="F345" s="481" t="s">
        <v>334</v>
      </c>
      <c r="G345" s="327"/>
      <c r="H345" s="485"/>
      <c r="I345" s="326"/>
      <c r="J345" s="327"/>
      <c r="K345" s="481" t="s">
        <v>334</v>
      </c>
      <c r="L345" s="326"/>
      <c r="M345" s="327"/>
      <c r="N345" s="486" t="s">
        <v>303</v>
      </c>
      <c r="O345" s="326"/>
      <c r="P345" s="326"/>
      <c r="Q345" s="326"/>
      <c r="R345" s="326"/>
      <c r="S345" s="326"/>
      <c r="T345" s="326"/>
      <c r="U345" s="327"/>
    </row>
    <row r="346" spans="1:21" ht="34.5" customHeight="1" x14ac:dyDescent="0.25">
      <c r="A346" s="10">
        <f t="shared" si="1"/>
        <v>332</v>
      </c>
      <c r="B346" s="479" t="s">
        <v>303</v>
      </c>
      <c r="C346" s="327"/>
      <c r="D346" s="480" t="s">
        <v>303</v>
      </c>
      <c r="E346" s="327"/>
      <c r="F346" s="481" t="s">
        <v>334</v>
      </c>
      <c r="G346" s="327"/>
      <c r="H346" s="482"/>
      <c r="I346" s="326"/>
      <c r="J346" s="327"/>
      <c r="K346" s="481" t="s">
        <v>334</v>
      </c>
      <c r="L346" s="326"/>
      <c r="M346" s="327"/>
      <c r="N346" s="439" t="s">
        <v>303</v>
      </c>
      <c r="O346" s="326"/>
      <c r="P346" s="326"/>
      <c r="Q346" s="326"/>
      <c r="R346" s="326"/>
      <c r="S346" s="326"/>
      <c r="T346" s="326"/>
      <c r="U346" s="327"/>
    </row>
    <row r="347" spans="1:21" ht="34.5" customHeight="1" x14ac:dyDescent="0.25">
      <c r="A347" s="10">
        <f t="shared" si="1"/>
        <v>333</v>
      </c>
      <c r="B347" s="483" t="s">
        <v>303</v>
      </c>
      <c r="C347" s="327"/>
      <c r="D347" s="484" t="s">
        <v>303</v>
      </c>
      <c r="E347" s="327"/>
      <c r="F347" s="481" t="s">
        <v>334</v>
      </c>
      <c r="G347" s="327"/>
      <c r="H347" s="485"/>
      <c r="I347" s="326"/>
      <c r="J347" s="327"/>
      <c r="K347" s="481" t="s">
        <v>334</v>
      </c>
      <c r="L347" s="326"/>
      <c r="M347" s="327"/>
      <c r="N347" s="486" t="s">
        <v>303</v>
      </c>
      <c r="O347" s="326"/>
      <c r="P347" s="326"/>
      <c r="Q347" s="326"/>
      <c r="R347" s="326"/>
      <c r="S347" s="326"/>
      <c r="T347" s="326"/>
      <c r="U347" s="327"/>
    </row>
    <row r="348" spans="1:21" ht="34.5" customHeight="1" x14ac:dyDescent="0.25">
      <c r="A348" s="10">
        <f t="shared" si="1"/>
        <v>334</v>
      </c>
      <c r="B348" s="479" t="s">
        <v>303</v>
      </c>
      <c r="C348" s="327"/>
      <c r="D348" s="480" t="s">
        <v>303</v>
      </c>
      <c r="E348" s="327"/>
      <c r="F348" s="481" t="s">
        <v>334</v>
      </c>
      <c r="G348" s="327"/>
      <c r="H348" s="482"/>
      <c r="I348" s="326"/>
      <c r="J348" s="327"/>
      <c r="K348" s="481" t="s">
        <v>334</v>
      </c>
      <c r="L348" s="326"/>
      <c r="M348" s="327"/>
      <c r="N348" s="439" t="s">
        <v>303</v>
      </c>
      <c r="O348" s="326"/>
      <c r="P348" s="326"/>
      <c r="Q348" s="326"/>
      <c r="R348" s="326"/>
      <c r="S348" s="326"/>
      <c r="T348" s="326"/>
      <c r="U348" s="327"/>
    </row>
    <row r="349" spans="1:21" ht="34.5" customHeight="1" x14ac:dyDescent="0.25">
      <c r="A349" s="10">
        <f t="shared" si="1"/>
        <v>335</v>
      </c>
      <c r="B349" s="483" t="s">
        <v>303</v>
      </c>
      <c r="C349" s="327"/>
      <c r="D349" s="484" t="s">
        <v>303</v>
      </c>
      <c r="E349" s="327"/>
      <c r="F349" s="481" t="s">
        <v>334</v>
      </c>
      <c r="G349" s="327"/>
      <c r="H349" s="485"/>
      <c r="I349" s="326"/>
      <c r="J349" s="327"/>
      <c r="K349" s="481" t="s">
        <v>334</v>
      </c>
      <c r="L349" s="326"/>
      <c r="M349" s="327"/>
      <c r="N349" s="486" t="s">
        <v>303</v>
      </c>
      <c r="O349" s="326"/>
      <c r="P349" s="326"/>
      <c r="Q349" s="326"/>
      <c r="R349" s="326"/>
      <c r="S349" s="326"/>
      <c r="T349" s="326"/>
      <c r="U349" s="327"/>
    </row>
    <row r="350" spans="1:21" ht="34.5" customHeight="1" x14ac:dyDescent="0.25">
      <c r="A350" s="10">
        <f t="shared" si="1"/>
        <v>336</v>
      </c>
      <c r="B350" s="479" t="s">
        <v>338</v>
      </c>
      <c r="C350" s="327"/>
      <c r="D350" s="480" t="s">
        <v>303</v>
      </c>
      <c r="E350" s="327"/>
      <c r="F350" s="481" t="s">
        <v>334</v>
      </c>
      <c r="G350" s="327"/>
      <c r="H350" s="482"/>
      <c r="I350" s="326"/>
      <c r="J350" s="327"/>
      <c r="K350" s="481" t="s">
        <v>334</v>
      </c>
      <c r="L350" s="326"/>
      <c r="M350" s="327"/>
      <c r="N350" s="439" t="s">
        <v>303</v>
      </c>
      <c r="O350" s="326"/>
      <c r="P350" s="326"/>
      <c r="Q350" s="326"/>
      <c r="R350" s="326"/>
      <c r="S350" s="326"/>
      <c r="T350" s="326"/>
      <c r="U350" s="327"/>
    </row>
    <row r="351" spans="1:21" ht="34.5" customHeight="1" x14ac:dyDescent="0.25">
      <c r="A351" s="10">
        <f t="shared" si="1"/>
        <v>337</v>
      </c>
      <c r="B351" s="483" t="s">
        <v>303</v>
      </c>
      <c r="C351" s="327"/>
      <c r="D351" s="484" t="s">
        <v>303</v>
      </c>
      <c r="E351" s="327"/>
      <c r="F351" s="481" t="s">
        <v>334</v>
      </c>
      <c r="G351" s="327"/>
      <c r="H351" s="485"/>
      <c r="I351" s="326"/>
      <c r="J351" s="327"/>
      <c r="K351" s="481" t="s">
        <v>334</v>
      </c>
      <c r="L351" s="326"/>
      <c r="M351" s="327"/>
      <c r="N351" s="486" t="s">
        <v>303</v>
      </c>
      <c r="O351" s="326"/>
      <c r="P351" s="326"/>
      <c r="Q351" s="326"/>
      <c r="R351" s="326"/>
      <c r="S351" s="326"/>
      <c r="T351" s="326"/>
      <c r="U351" s="327"/>
    </row>
    <row r="352" spans="1:21" ht="34.5" customHeight="1" x14ac:dyDescent="0.25">
      <c r="A352" s="10">
        <f t="shared" si="1"/>
        <v>338</v>
      </c>
      <c r="B352" s="479" t="s">
        <v>303</v>
      </c>
      <c r="C352" s="327"/>
      <c r="D352" s="480" t="s">
        <v>303</v>
      </c>
      <c r="E352" s="327"/>
      <c r="F352" s="481" t="s">
        <v>334</v>
      </c>
      <c r="G352" s="327"/>
      <c r="H352" s="482"/>
      <c r="I352" s="326"/>
      <c r="J352" s="327"/>
      <c r="K352" s="481" t="s">
        <v>334</v>
      </c>
      <c r="L352" s="326"/>
      <c r="M352" s="327"/>
      <c r="N352" s="439" t="s">
        <v>303</v>
      </c>
      <c r="O352" s="326"/>
      <c r="P352" s="326"/>
      <c r="Q352" s="326"/>
      <c r="R352" s="326"/>
      <c r="S352" s="326"/>
      <c r="T352" s="326"/>
      <c r="U352" s="327"/>
    </row>
    <row r="353" spans="1:21" ht="34.5" customHeight="1" x14ac:dyDescent="0.25">
      <c r="A353" s="10">
        <f t="shared" si="1"/>
        <v>339</v>
      </c>
      <c r="B353" s="483" t="s">
        <v>340</v>
      </c>
      <c r="C353" s="327"/>
      <c r="D353" s="484" t="s">
        <v>303</v>
      </c>
      <c r="E353" s="327"/>
      <c r="F353" s="481" t="s">
        <v>334</v>
      </c>
      <c r="G353" s="327"/>
      <c r="H353" s="485"/>
      <c r="I353" s="326"/>
      <c r="J353" s="327"/>
      <c r="K353" s="481" t="s">
        <v>334</v>
      </c>
      <c r="L353" s="326"/>
      <c r="M353" s="327"/>
      <c r="N353" s="486" t="s">
        <v>303</v>
      </c>
      <c r="O353" s="326"/>
      <c r="P353" s="326"/>
      <c r="Q353" s="326"/>
      <c r="R353" s="326"/>
      <c r="S353" s="326"/>
      <c r="T353" s="326"/>
      <c r="U353" s="327"/>
    </row>
    <row r="354" spans="1:21" ht="34.5" customHeight="1" x14ac:dyDescent="0.25">
      <c r="A354" s="10">
        <f t="shared" si="1"/>
        <v>340</v>
      </c>
      <c r="B354" s="479" t="s">
        <v>303</v>
      </c>
      <c r="C354" s="327"/>
      <c r="D354" s="480" t="s">
        <v>303</v>
      </c>
      <c r="E354" s="327"/>
      <c r="F354" s="481" t="s">
        <v>334</v>
      </c>
      <c r="G354" s="327"/>
      <c r="H354" s="482"/>
      <c r="I354" s="326"/>
      <c r="J354" s="327"/>
      <c r="K354" s="481" t="s">
        <v>334</v>
      </c>
      <c r="L354" s="326"/>
      <c r="M354" s="327"/>
      <c r="N354" s="439" t="s">
        <v>303</v>
      </c>
      <c r="O354" s="326"/>
      <c r="P354" s="326"/>
      <c r="Q354" s="326"/>
      <c r="R354" s="326"/>
      <c r="S354" s="326"/>
      <c r="T354" s="326"/>
      <c r="U354" s="327"/>
    </row>
    <row r="355" spans="1:21" ht="34.5" customHeight="1" x14ac:dyDescent="0.25">
      <c r="A355" s="10">
        <f t="shared" si="1"/>
        <v>341</v>
      </c>
      <c r="B355" s="483" t="s">
        <v>303</v>
      </c>
      <c r="C355" s="327"/>
      <c r="D355" s="484" t="s">
        <v>303</v>
      </c>
      <c r="E355" s="327"/>
      <c r="F355" s="481" t="s">
        <v>334</v>
      </c>
      <c r="G355" s="327"/>
      <c r="H355" s="485"/>
      <c r="I355" s="326"/>
      <c r="J355" s="327"/>
      <c r="K355" s="481" t="s">
        <v>334</v>
      </c>
      <c r="L355" s="326"/>
      <c r="M355" s="327"/>
      <c r="N355" s="486" t="s">
        <v>303</v>
      </c>
      <c r="O355" s="326"/>
      <c r="P355" s="326"/>
      <c r="Q355" s="326"/>
      <c r="R355" s="326"/>
      <c r="S355" s="326"/>
      <c r="T355" s="326"/>
      <c r="U355" s="327"/>
    </row>
    <row r="356" spans="1:21" ht="34.5" customHeight="1" x14ac:dyDescent="0.25">
      <c r="A356" s="10">
        <f t="shared" si="1"/>
        <v>342</v>
      </c>
      <c r="B356" s="479" t="s">
        <v>303</v>
      </c>
      <c r="C356" s="327"/>
      <c r="D356" s="480" t="s">
        <v>303</v>
      </c>
      <c r="E356" s="327"/>
      <c r="F356" s="481" t="s">
        <v>334</v>
      </c>
      <c r="G356" s="327"/>
      <c r="H356" s="482"/>
      <c r="I356" s="326"/>
      <c r="J356" s="327"/>
      <c r="K356" s="481" t="s">
        <v>334</v>
      </c>
      <c r="L356" s="326"/>
      <c r="M356" s="327"/>
      <c r="N356" s="439" t="s">
        <v>303</v>
      </c>
      <c r="O356" s="326"/>
      <c r="P356" s="326"/>
      <c r="Q356" s="326"/>
      <c r="R356" s="326"/>
      <c r="S356" s="326"/>
      <c r="T356" s="326"/>
      <c r="U356" s="327"/>
    </row>
    <row r="357" spans="1:21" ht="34.5" customHeight="1" x14ac:dyDescent="0.25">
      <c r="A357" s="10">
        <f t="shared" si="1"/>
        <v>343</v>
      </c>
      <c r="B357" s="483" t="s">
        <v>303</v>
      </c>
      <c r="C357" s="327"/>
      <c r="D357" s="484" t="s">
        <v>303</v>
      </c>
      <c r="E357" s="327"/>
      <c r="F357" s="481" t="s">
        <v>334</v>
      </c>
      <c r="G357" s="327"/>
      <c r="H357" s="485"/>
      <c r="I357" s="326"/>
      <c r="J357" s="327"/>
      <c r="K357" s="481" t="s">
        <v>334</v>
      </c>
      <c r="L357" s="326"/>
      <c r="M357" s="327"/>
      <c r="N357" s="486" t="s">
        <v>303</v>
      </c>
      <c r="O357" s="326"/>
      <c r="P357" s="326"/>
      <c r="Q357" s="326"/>
      <c r="R357" s="326"/>
      <c r="S357" s="326"/>
      <c r="T357" s="326"/>
      <c r="U357" s="327"/>
    </row>
    <row r="358" spans="1:21" ht="34.5" customHeight="1" x14ac:dyDescent="0.25">
      <c r="A358" s="10">
        <f t="shared" si="1"/>
        <v>344</v>
      </c>
      <c r="B358" s="479" t="s">
        <v>303</v>
      </c>
      <c r="C358" s="327"/>
      <c r="D358" s="480" t="s">
        <v>303</v>
      </c>
      <c r="E358" s="327"/>
      <c r="F358" s="481" t="s">
        <v>334</v>
      </c>
      <c r="G358" s="327"/>
      <c r="H358" s="482"/>
      <c r="I358" s="326"/>
      <c r="J358" s="327"/>
      <c r="K358" s="481" t="s">
        <v>334</v>
      </c>
      <c r="L358" s="326"/>
      <c r="M358" s="327"/>
      <c r="N358" s="439" t="s">
        <v>303</v>
      </c>
      <c r="O358" s="326"/>
      <c r="P358" s="326"/>
      <c r="Q358" s="326"/>
      <c r="R358" s="326"/>
      <c r="S358" s="326"/>
      <c r="T358" s="326"/>
      <c r="U358" s="327"/>
    </row>
    <row r="359" spans="1:21" ht="34.5" customHeight="1" x14ac:dyDescent="0.25">
      <c r="A359" s="10">
        <f t="shared" si="1"/>
        <v>345</v>
      </c>
      <c r="B359" s="483" t="s">
        <v>341</v>
      </c>
      <c r="C359" s="327"/>
      <c r="D359" s="484" t="s">
        <v>303</v>
      </c>
      <c r="E359" s="327"/>
      <c r="F359" s="481" t="s">
        <v>334</v>
      </c>
      <c r="G359" s="327"/>
      <c r="H359" s="485"/>
      <c r="I359" s="326"/>
      <c r="J359" s="327"/>
      <c r="K359" s="481" t="s">
        <v>334</v>
      </c>
      <c r="L359" s="326"/>
      <c r="M359" s="327"/>
      <c r="N359" s="486" t="s">
        <v>303</v>
      </c>
      <c r="O359" s="326"/>
      <c r="P359" s="326"/>
      <c r="Q359" s="326"/>
      <c r="R359" s="326"/>
      <c r="S359" s="326"/>
      <c r="T359" s="326"/>
      <c r="U359" s="327"/>
    </row>
    <row r="360" spans="1:21" ht="34.5" customHeight="1" x14ac:dyDescent="0.25">
      <c r="A360" s="10">
        <f t="shared" si="1"/>
        <v>346</v>
      </c>
      <c r="B360" s="479" t="s">
        <v>303</v>
      </c>
      <c r="C360" s="327"/>
      <c r="D360" s="480" t="s">
        <v>303</v>
      </c>
      <c r="E360" s="327"/>
      <c r="F360" s="481" t="s">
        <v>334</v>
      </c>
      <c r="G360" s="327"/>
      <c r="H360" s="482"/>
      <c r="I360" s="326"/>
      <c r="J360" s="327"/>
      <c r="K360" s="481" t="s">
        <v>334</v>
      </c>
      <c r="L360" s="326"/>
      <c r="M360" s="327"/>
      <c r="N360" s="439" t="s">
        <v>303</v>
      </c>
      <c r="O360" s="326"/>
      <c r="P360" s="326"/>
      <c r="Q360" s="326"/>
      <c r="R360" s="326"/>
      <c r="S360" s="326"/>
      <c r="T360" s="326"/>
      <c r="U360" s="327"/>
    </row>
    <row r="361" spans="1:21" ht="34.5" customHeight="1" x14ac:dyDescent="0.25">
      <c r="A361" s="10">
        <f t="shared" si="1"/>
        <v>347</v>
      </c>
      <c r="B361" s="483" t="s">
        <v>303</v>
      </c>
      <c r="C361" s="327"/>
      <c r="D361" s="484" t="s">
        <v>303</v>
      </c>
      <c r="E361" s="327"/>
      <c r="F361" s="481" t="s">
        <v>334</v>
      </c>
      <c r="G361" s="327"/>
      <c r="H361" s="485"/>
      <c r="I361" s="326"/>
      <c r="J361" s="327"/>
      <c r="K361" s="481" t="s">
        <v>334</v>
      </c>
      <c r="L361" s="326"/>
      <c r="M361" s="327"/>
      <c r="N361" s="486" t="s">
        <v>303</v>
      </c>
      <c r="O361" s="326"/>
      <c r="P361" s="326"/>
      <c r="Q361" s="326"/>
      <c r="R361" s="326"/>
      <c r="S361" s="326"/>
      <c r="T361" s="326"/>
      <c r="U361" s="327"/>
    </row>
    <row r="362" spans="1:21" ht="34.5" customHeight="1" x14ac:dyDescent="0.25">
      <c r="A362" s="10">
        <f t="shared" si="1"/>
        <v>348</v>
      </c>
      <c r="B362" s="479" t="s">
        <v>303</v>
      </c>
      <c r="C362" s="327"/>
      <c r="D362" s="480" t="s">
        <v>303</v>
      </c>
      <c r="E362" s="327"/>
      <c r="F362" s="481" t="s">
        <v>334</v>
      </c>
      <c r="G362" s="327"/>
      <c r="H362" s="482"/>
      <c r="I362" s="326"/>
      <c r="J362" s="327"/>
      <c r="K362" s="481" t="s">
        <v>334</v>
      </c>
      <c r="L362" s="326"/>
      <c r="M362" s="327"/>
      <c r="N362" s="439" t="s">
        <v>303</v>
      </c>
      <c r="O362" s="326"/>
      <c r="P362" s="326"/>
      <c r="Q362" s="326"/>
      <c r="R362" s="326"/>
      <c r="S362" s="326"/>
      <c r="T362" s="326"/>
      <c r="U362" s="327"/>
    </row>
    <row r="363" spans="1:21" ht="34.5" customHeight="1" x14ac:dyDescent="0.25">
      <c r="A363" s="10">
        <f t="shared" si="1"/>
        <v>349</v>
      </c>
      <c r="B363" s="483" t="s">
        <v>303</v>
      </c>
      <c r="C363" s="327"/>
      <c r="D363" s="484" t="s">
        <v>303</v>
      </c>
      <c r="E363" s="327"/>
      <c r="F363" s="481" t="s">
        <v>334</v>
      </c>
      <c r="G363" s="327"/>
      <c r="H363" s="485"/>
      <c r="I363" s="326"/>
      <c r="J363" s="327"/>
      <c r="K363" s="481" t="s">
        <v>334</v>
      </c>
      <c r="L363" s="326"/>
      <c r="M363" s="327"/>
      <c r="N363" s="486" t="s">
        <v>303</v>
      </c>
      <c r="O363" s="326"/>
      <c r="P363" s="326"/>
      <c r="Q363" s="326"/>
      <c r="R363" s="326"/>
      <c r="S363" s="326"/>
      <c r="T363" s="326"/>
      <c r="U363" s="327"/>
    </row>
    <row r="364" spans="1:21" ht="34.5" customHeight="1" x14ac:dyDescent="0.25">
      <c r="A364" s="10">
        <f t="shared" si="1"/>
        <v>350</v>
      </c>
      <c r="B364" s="479" t="s">
        <v>303</v>
      </c>
      <c r="C364" s="327"/>
      <c r="D364" s="480" t="s">
        <v>303</v>
      </c>
      <c r="E364" s="327"/>
      <c r="F364" s="481" t="s">
        <v>334</v>
      </c>
      <c r="G364" s="327"/>
      <c r="H364" s="482"/>
      <c r="I364" s="326"/>
      <c r="J364" s="327"/>
      <c r="K364" s="481" t="s">
        <v>334</v>
      </c>
      <c r="L364" s="326"/>
      <c r="M364" s="327"/>
      <c r="N364" s="439" t="s">
        <v>303</v>
      </c>
      <c r="O364" s="326"/>
      <c r="P364" s="326"/>
      <c r="Q364" s="326"/>
      <c r="R364" s="326"/>
      <c r="S364" s="326"/>
      <c r="T364" s="326"/>
      <c r="U364" s="327"/>
    </row>
    <row r="365" spans="1:21" ht="34.5" customHeight="1" x14ac:dyDescent="0.25">
      <c r="A365" s="10">
        <f t="shared" si="1"/>
        <v>351</v>
      </c>
      <c r="B365" s="483" t="s">
        <v>303</v>
      </c>
      <c r="C365" s="327"/>
      <c r="D365" s="484" t="s">
        <v>303</v>
      </c>
      <c r="E365" s="327"/>
      <c r="F365" s="481" t="s">
        <v>334</v>
      </c>
      <c r="G365" s="327"/>
      <c r="H365" s="485"/>
      <c r="I365" s="326"/>
      <c r="J365" s="327"/>
      <c r="K365" s="481" t="s">
        <v>334</v>
      </c>
      <c r="L365" s="326"/>
      <c r="M365" s="327"/>
      <c r="N365" s="486" t="s">
        <v>303</v>
      </c>
      <c r="O365" s="326"/>
      <c r="P365" s="326"/>
      <c r="Q365" s="326"/>
      <c r="R365" s="326"/>
      <c r="S365" s="326"/>
      <c r="T365" s="326"/>
      <c r="U365" s="327"/>
    </row>
    <row r="366" spans="1:21" ht="34.5" customHeight="1" x14ac:dyDescent="0.25">
      <c r="A366" s="10">
        <f t="shared" si="1"/>
        <v>352</v>
      </c>
      <c r="B366" s="479" t="s">
        <v>303</v>
      </c>
      <c r="C366" s="327"/>
      <c r="D366" s="480" t="s">
        <v>303</v>
      </c>
      <c r="E366" s="327"/>
      <c r="F366" s="481" t="s">
        <v>334</v>
      </c>
      <c r="G366" s="327"/>
      <c r="H366" s="482"/>
      <c r="I366" s="326"/>
      <c r="J366" s="327"/>
      <c r="K366" s="481" t="s">
        <v>334</v>
      </c>
      <c r="L366" s="326"/>
      <c r="M366" s="327"/>
      <c r="N366" s="439" t="s">
        <v>303</v>
      </c>
      <c r="O366" s="326"/>
      <c r="P366" s="326"/>
      <c r="Q366" s="326"/>
      <c r="R366" s="326"/>
      <c r="S366" s="326"/>
      <c r="T366" s="326"/>
      <c r="U366" s="327"/>
    </row>
    <row r="367" spans="1:21" ht="34.5" customHeight="1" x14ac:dyDescent="0.25">
      <c r="A367" s="10">
        <f t="shared" si="1"/>
        <v>353</v>
      </c>
      <c r="B367" s="483" t="s">
        <v>303</v>
      </c>
      <c r="C367" s="327"/>
      <c r="D367" s="484" t="s">
        <v>303</v>
      </c>
      <c r="E367" s="327"/>
      <c r="F367" s="481" t="s">
        <v>334</v>
      </c>
      <c r="G367" s="327"/>
      <c r="H367" s="485"/>
      <c r="I367" s="326"/>
      <c r="J367" s="327"/>
      <c r="K367" s="481" t="s">
        <v>334</v>
      </c>
      <c r="L367" s="326"/>
      <c r="M367" s="327"/>
      <c r="N367" s="486" t="s">
        <v>303</v>
      </c>
      <c r="O367" s="326"/>
      <c r="P367" s="326"/>
      <c r="Q367" s="326"/>
      <c r="R367" s="326"/>
      <c r="S367" s="326"/>
      <c r="T367" s="326"/>
      <c r="U367" s="327"/>
    </row>
    <row r="368" spans="1:21" ht="34.5" customHeight="1" x14ac:dyDescent="0.25">
      <c r="A368" s="10">
        <f t="shared" si="1"/>
        <v>354</v>
      </c>
      <c r="B368" s="479" t="s">
        <v>303</v>
      </c>
      <c r="C368" s="327"/>
      <c r="D368" s="480" t="s">
        <v>303</v>
      </c>
      <c r="E368" s="327"/>
      <c r="F368" s="481" t="s">
        <v>334</v>
      </c>
      <c r="G368" s="327"/>
      <c r="H368" s="482"/>
      <c r="I368" s="326"/>
      <c r="J368" s="327"/>
      <c r="K368" s="481" t="s">
        <v>334</v>
      </c>
      <c r="L368" s="326"/>
      <c r="M368" s="327"/>
      <c r="N368" s="439" t="s">
        <v>303</v>
      </c>
      <c r="O368" s="326"/>
      <c r="P368" s="326"/>
      <c r="Q368" s="326"/>
      <c r="R368" s="326"/>
      <c r="S368" s="326"/>
      <c r="T368" s="326"/>
      <c r="U368" s="327"/>
    </row>
    <row r="369" spans="1:21" ht="34.5" customHeight="1" x14ac:dyDescent="0.25">
      <c r="A369" s="10">
        <f t="shared" si="1"/>
        <v>355</v>
      </c>
      <c r="B369" s="483" t="s">
        <v>303</v>
      </c>
      <c r="C369" s="327"/>
      <c r="D369" s="484" t="s">
        <v>303</v>
      </c>
      <c r="E369" s="327"/>
      <c r="F369" s="481" t="s">
        <v>334</v>
      </c>
      <c r="G369" s="327"/>
      <c r="H369" s="485"/>
      <c r="I369" s="326"/>
      <c r="J369" s="327"/>
      <c r="K369" s="481" t="s">
        <v>334</v>
      </c>
      <c r="L369" s="326"/>
      <c r="M369" s="327"/>
      <c r="N369" s="486" t="s">
        <v>303</v>
      </c>
      <c r="O369" s="326"/>
      <c r="P369" s="326"/>
      <c r="Q369" s="326"/>
      <c r="R369" s="326"/>
      <c r="S369" s="326"/>
      <c r="T369" s="326"/>
      <c r="U369" s="327"/>
    </row>
    <row r="370" spans="1:21" ht="34.5" customHeight="1" x14ac:dyDescent="0.25">
      <c r="A370" s="10">
        <f t="shared" si="1"/>
        <v>356</v>
      </c>
      <c r="B370" s="479" t="s">
        <v>303</v>
      </c>
      <c r="C370" s="327"/>
      <c r="D370" s="480" t="s">
        <v>303</v>
      </c>
      <c r="E370" s="327"/>
      <c r="F370" s="481" t="s">
        <v>334</v>
      </c>
      <c r="G370" s="327"/>
      <c r="H370" s="482"/>
      <c r="I370" s="326"/>
      <c r="J370" s="327"/>
      <c r="K370" s="481" t="s">
        <v>334</v>
      </c>
      <c r="L370" s="326"/>
      <c r="M370" s="327"/>
      <c r="N370" s="439" t="s">
        <v>303</v>
      </c>
      <c r="O370" s="326"/>
      <c r="P370" s="326"/>
      <c r="Q370" s="326"/>
      <c r="R370" s="326"/>
      <c r="S370" s="326"/>
      <c r="T370" s="326"/>
      <c r="U370" s="327"/>
    </row>
    <row r="371" spans="1:21" ht="34.5" customHeight="1" x14ac:dyDescent="0.25">
      <c r="A371" s="10">
        <f t="shared" si="1"/>
        <v>357</v>
      </c>
      <c r="B371" s="483" t="s">
        <v>342</v>
      </c>
      <c r="C371" s="327"/>
      <c r="D371" s="484" t="s">
        <v>303</v>
      </c>
      <c r="E371" s="327"/>
      <c r="F371" s="481" t="s">
        <v>334</v>
      </c>
      <c r="G371" s="327"/>
      <c r="H371" s="485"/>
      <c r="I371" s="326"/>
      <c r="J371" s="327"/>
      <c r="K371" s="481" t="s">
        <v>334</v>
      </c>
      <c r="L371" s="326"/>
      <c r="M371" s="327"/>
      <c r="N371" s="486" t="s">
        <v>303</v>
      </c>
      <c r="O371" s="326"/>
      <c r="P371" s="326"/>
      <c r="Q371" s="326"/>
      <c r="R371" s="326"/>
      <c r="S371" s="326"/>
      <c r="T371" s="326"/>
      <c r="U371" s="327"/>
    </row>
    <row r="372" spans="1:21" ht="34.5" customHeight="1" x14ac:dyDescent="0.25">
      <c r="A372" s="10">
        <f t="shared" si="1"/>
        <v>358</v>
      </c>
      <c r="B372" s="479" t="s">
        <v>303</v>
      </c>
      <c r="C372" s="327"/>
      <c r="D372" s="480" t="s">
        <v>303</v>
      </c>
      <c r="E372" s="327"/>
      <c r="F372" s="481" t="s">
        <v>334</v>
      </c>
      <c r="G372" s="327"/>
      <c r="H372" s="482"/>
      <c r="I372" s="326"/>
      <c r="J372" s="327"/>
      <c r="K372" s="481" t="s">
        <v>334</v>
      </c>
      <c r="L372" s="326"/>
      <c r="M372" s="327"/>
      <c r="N372" s="439" t="s">
        <v>303</v>
      </c>
      <c r="O372" s="326"/>
      <c r="P372" s="326"/>
      <c r="Q372" s="326"/>
      <c r="R372" s="326"/>
      <c r="S372" s="326"/>
      <c r="T372" s="326"/>
      <c r="U372" s="327"/>
    </row>
    <row r="373" spans="1:21" ht="34.5" customHeight="1" x14ac:dyDescent="0.25">
      <c r="A373" s="10">
        <f t="shared" si="1"/>
        <v>359</v>
      </c>
      <c r="B373" s="483" t="s">
        <v>303</v>
      </c>
      <c r="C373" s="327"/>
      <c r="D373" s="484" t="s">
        <v>303</v>
      </c>
      <c r="E373" s="327"/>
      <c r="F373" s="481" t="s">
        <v>334</v>
      </c>
      <c r="G373" s="327"/>
      <c r="H373" s="485"/>
      <c r="I373" s="326"/>
      <c r="J373" s="327"/>
      <c r="K373" s="481" t="s">
        <v>334</v>
      </c>
      <c r="L373" s="326"/>
      <c r="M373" s="327"/>
      <c r="N373" s="486" t="s">
        <v>303</v>
      </c>
      <c r="O373" s="326"/>
      <c r="P373" s="326"/>
      <c r="Q373" s="326"/>
      <c r="R373" s="326"/>
      <c r="S373" s="326"/>
      <c r="T373" s="326"/>
      <c r="U373" s="327"/>
    </row>
    <row r="374" spans="1:21" ht="34.5" customHeight="1" x14ac:dyDescent="0.25">
      <c r="A374" s="10">
        <f t="shared" si="1"/>
        <v>360</v>
      </c>
      <c r="B374" s="479" t="s">
        <v>303</v>
      </c>
      <c r="C374" s="327"/>
      <c r="D374" s="480" t="s">
        <v>303</v>
      </c>
      <c r="E374" s="327"/>
      <c r="F374" s="481" t="s">
        <v>334</v>
      </c>
      <c r="G374" s="327"/>
      <c r="H374" s="482"/>
      <c r="I374" s="326"/>
      <c r="J374" s="327"/>
      <c r="K374" s="481" t="s">
        <v>334</v>
      </c>
      <c r="L374" s="326"/>
      <c r="M374" s="327"/>
      <c r="N374" s="439" t="s">
        <v>303</v>
      </c>
      <c r="O374" s="326"/>
      <c r="P374" s="326"/>
      <c r="Q374" s="326"/>
      <c r="R374" s="326"/>
      <c r="S374" s="326"/>
      <c r="T374" s="326"/>
      <c r="U374" s="327"/>
    </row>
    <row r="375" spans="1:21" ht="34.5" customHeight="1" x14ac:dyDescent="0.25">
      <c r="A375" s="10">
        <f t="shared" si="1"/>
        <v>361</v>
      </c>
      <c r="B375" s="483" t="s">
        <v>303</v>
      </c>
      <c r="C375" s="327"/>
      <c r="D375" s="484" t="s">
        <v>303</v>
      </c>
      <c r="E375" s="327"/>
      <c r="F375" s="481" t="s">
        <v>334</v>
      </c>
      <c r="G375" s="327"/>
      <c r="H375" s="485"/>
      <c r="I375" s="326"/>
      <c r="J375" s="327"/>
      <c r="K375" s="481" t="s">
        <v>334</v>
      </c>
      <c r="L375" s="326"/>
      <c r="M375" s="327"/>
      <c r="N375" s="486" t="s">
        <v>303</v>
      </c>
      <c r="O375" s="326"/>
      <c r="P375" s="326"/>
      <c r="Q375" s="326"/>
      <c r="R375" s="326"/>
      <c r="S375" s="326"/>
      <c r="T375" s="326"/>
      <c r="U375" s="327"/>
    </row>
    <row r="376" spans="1:21" ht="34.5" customHeight="1" x14ac:dyDescent="0.25">
      <c r="A376" s="10">
        <f t="shared" si="1"/>
        <v>362</v>
      </c>
      <c r="B376" s="479" t="s">
        <v>303</v>
      </c>
      <c r="C376" s="327"/>
      <c r="D376" s="480" t="s">
        <v>303</v>
      </c>
      <c r="E376" s="327"/>
      <c r="F376" s="481" t="s">
        <v>334</v>
      </c>
      <c r="G376" s="327"/>
      <c r="H376" s="482"/>
      <c r="I376" s="326"/>
      <c r="J376" s="327"/>
      <c r="K376" s="481" t="s">
        <v>334</v>
      </c>
      <c r="L376" s="326"/>
      <c r="M376" s="327"/>
      <c r="N376" s="439" t="s">
        <v>303</v>
      </c>
      <c r="O376" s="326"/>
      <c r="P376" s="326"/>
      <c r="Q376" s="326"/>
      <c r="R376" s="326"/>
      <c r="S376" s="326"/>
      <c r="T376" s="326"/>
      <c r="U376" s="327"/>
    </row>
    <row r="377" spans="1:21" ht="34.5" customHeight="1" x14ac:dyDescent="0.25">
      <c r="A377" s="10">
        <f t="shared" si="1"/>
        <v>363</v>
      </c>
      <c r="B377" s="483" t="s">
        <v>339</v>
      </c>
      <c r="C377" s="327"/>
      <c r="D377" s="484" t="s">
        <v>303</v>
      </c>
      <c r="E377" s="327"/>
      <c r="F377" s="481" t="s">
        <v>334</v>
      </c>
      <c r="G377" s="327"/>
      <c r="H377" s="485"/>
      <c r="I377" s="326"/>
      <c r="J377" s="327"/>
      <c r="K377" s="481" t="s">
        <v>334</v>
      </c>
      <c r="L377" s="326"/>
      <c r="M377" s="327"/>
      <c r="N377" s="486" t="s">
        <v>303</v>
      </c>
      <c r="O377" s="326"/>
      <c r="P377" s="326"/>
      <c r="Q377" s="326"/>
      <c r="R377" s="326"/>
      <c r="S377" s="326"/>
      <c r="T377" s="326"/>
      <c r="U377" s="327"/>
    </row>
    <row r="378" spans="1:21" ht="34.5" customHeight="1" x14ac:dyDescent="0.25">
      <c r="A378" s="10">
        <f t="shared" si="1"/>
        <v>364</v>
      </c>
      <c r="B378" s="479" t="s">
        <v>303</v>
      </c>
      <c r="C378" s="327"/>
      <c r="D378" s="480" t="s">
        <v>303</v>
      </c>
      <c r="E378" s="327"/>
      <c r="F378" s="481" t="s">
        <v>334</v>
      </c>
      <c r="G378" s="327"/>
      <c r="H378" s="482"/>
      <c r="I378" s="326"/>
      <c r="J378" s="327"/>
      <c r="K378" s="481" t="s">
        <v>334</v>
      </c>
      <c r="L378" s="326"/>
      <c r="M378" s="327"/>
      <c r="N378" s="439" t="s">
        <v>303</v>
      </c>
      <c r="O378" s="326"/>
      <c r="P378" s="326"/>
      <c r="Q378" s="326"/>
      <c r="R378" s="326"/>
      <c r="S378" s="326"/>
      <c r="T378" s="326"/>
      <c r="U378" s="327"/>
    </row>
    <row r="379" spans="1:21" ht="34.5" customHeight="1" x14ac:dyDescent="0.25">
      <c r="A379" s="10">
        <f t="shared" si="1"/>
        <v>365</v>
      </c>
      <c r="B379" s="483" t="s">
        <v>303</v>
      </c>
      <c r="C379" s="327"/>
      <c r="D379" s="484" t="s">
        <v>303</v>
      </c>
      <c r="E379" s="327"/>
      <c r="F379" s="481" t="s">
        <v>334</v>
      </c>
      <c r="G379" s="327"/>
      <c r="H379" s="485"/>
      <c r="I379" s="326"/>
      <c r="J379" s="327"/>
      <c r="K379" s="481" t="s">
        <v>334</v>
      </c>
      <c r="L379" s="326"/>
      <c r="M379" s="327"/>
      <c r="N379" s="486" t="s">
        <v>303</v>
      </c>
      <c r="O379" s="326"/>
      <c r="P379" s="326"/>
      <c r="Q379" s="326"/>
      <c r="R379" s="326"/>
      <c r="S379" s="326"/>
      <c r="T379" s="326"/>
      <c r="U379" s="327"/>
    </row>
    <row r="380" spans="1:21" ht="34.5" customHeight="1" x14ac:dyDescent="0.25">
      <c r="A380" s="10">
        <f t="shared" si="1"/>
        <v>366</v>
      </c>
      <c r="B380" s="479" t="s">
        <v>303</v>
      </c>
      <c r="C380" s="327"/>
      <c r="D380" s="480" t="s">
        <v>303</v>
      </c>
      <c r="E380" s="327"/>
      <c r="F380" s="481" t="s">
        <v>334</v>
      </c>
      <c r="G380" s="327"/>
      <c r="H380" s="482"/>
      <c r="I380" s="326"/>
      <c r="J380" s="327"/>
      <c r="K380" s="481" t="s">
        <v>334</v>
      </c>
      <c r="L380" s="326"/>
      <c r="M380" s="327"/>
      <c r="N380" s="439" t="s">
        <v>303</v>
      </c>
      <c r="O380" s="326"/>
      <c r="P380" s="326"/>
      <c r="Q380" s="326"/>
      <c r="R380" s="326"/>
      <c r="S380" s="326"/>
      <c r="T380" s="326"/>
      <c r="U380" s="327"/>
    </row>
    <row r="381" spans="1:21" ht="34.5" customHeight="1" x14ac:dyDescent="0.25">
      <c r="A381" s="10">
        <f t="shared" si="1"/>
        <v>367</v>
      </c>
      <c r="B381" s="483" t="s">
        <v>303</v>
      </c>
      <c r="C381" s="327"/>
      <c r="D381" s="484" t="s">
        <v>303</v>
      </c>
      <c r="E381" s="327"/>
      <c r="F381" s="481" t="s">
        <v>334</v>
      </c>
      <c r="G381" s="327"/>
      <c r="H381" s="485"/>
      <c r="I381" s="326"/>
      <c r="J381" s="327"/>
      <c r="K381" s="481" t="s">
        <v>334</v>
      </c>
      <c r="L381" s="326"/>
      <c r="M381" s="327"/>
      <c r="N381" s="486" t="s">
        <v>303</v>
      </c>
      <c r="O381" s="326"/>
      <c r="P381" s="326"/>
      <c r="Q381" s="326"/>
      <c r="R381" s="326"/>
      <c r="S381" s="326"/>
      <c r="T381" s="326"/>
      <c r="U381" s="327"/>
    </row>
    <row r="382" spans="1:21" ht="34.5" customHeight="1" x14ac:dyDescent="0.25">
      <c r="A382" s="10">
        <f t="shared" si="1"/>
        <v>368</v>
      </c>
      <c r="B382" s="479" t="s">
        <v>343</v>
      </c>
      <c r="C382" s="327"/>
      <c r="D382" s="480" t="s">
        <v>303</v>
      </c>
      <c r="E382" s="327"/>
      <c r="F382" s="481" t="s">
        <v>334</v>
      </c>
      <c r="G382" s="327"/>
      <c r="H382" s="482"/>
      <c r="I382" s="326"/>
      <c r="J382" s="327"/>
      <c r="K382" s="481" t="s">
        <v>334</v>
      </c>
      <c r="L382" s="326"/>
      <c r="M382" s="327"/>
      <c r="N382" s="439" t="s">
        <v>303</v>
      </c>
      <c r="O382" s="326"/>
      <c r="P382" s="326"/>
      <c r="Q382" s="326"/>
      <c r="R382" s="326"/>
      <c r="S382" s="326"/>
      <c r="T382" s="326"/>
      <c r="U382" s="327"/>
    </row>
    <row r="383" spans="1:21" ht="34.5" customHeight="1" x14ac:dyDescent="0.25">
      <c r="A383" s="10">
        <f t="shared" si="1"/>
        <v>369</v>
      </c>
      <c r="B383" s="483" t="s">
        <v>303</v>
      </c>
      <c r="C383" s="327"/>
      <c r="D383" s="484" t="s">
        <v>303</v>
      </c>
      <c r="E383" s="327"/>
      <c r="F383" s="481" t="s">
        <v>334</v>
      </c>
      <c r="G383" s="327"/>
      <c r="H383" s="485"/>
      <c r="I383" s="326"/>
      <c r="J383" s="327"/>
      <c r="K383" s="481" t="s">
        <v>334</v>
      </c>
      <c r="L383" s="326"/>
      <c r="M383" s="327"/>
      <c r="N383" s="486" t="s">
        <v>303</v>
      </c>
      <c r="O383" s="326"/>
      <c r="P383" s="326"/>
      <c r="Q383" s="326"/>
      <c r="R383" s="326"/>
      <c r="S383" s="326"/>
      <c r="T383" s="326"/>
      <c r="U383" s="327"/>
    </row>
    <row r="384" spans="1:21" ht="34.5" customHeight="1" x14ac:dyDescent="0.25">
      <c r="A384" s="10">
        <f t="shared" si="1"/>
        <v>370</v>
      </c>
      <c r="B384" s="479" t="s">
        <v>303</v>
      </c>
      <c r="C384" s="327"/>
      <c r="D384" s="480" t="s">
        <v>303</v>
      </c>
      <c r="E384" s="327"/>
      <c r="F384" s="481" t="s">
        <v>334</v>
      </c>
      <c r="G384" s="327"/>
      <c r="H384" s="482"/>
      <c r="I384" s="326"/>
      <c r="J384" s="327"/>
      <c r="K384" s="481" t="s">
        <v>334</v>
      </c>
      <c r="L384" s="326"/>
      <c r="M384" s="327"/>
      <c r="N384" s="439" t="s">
        <v>303</v>
      </c>
      <c r="O384" s="326"/>
      <c r="P384" s="326"/>
      <c r="Q384" s="326"/>
      <c r="R384" s="326"/>
      <c r="S384" s="326"/>
      <c r="T384" s="326"/>
      <c r="U384" s="327"/>
    </row>
    <row r="385" spans="1:21" ht="34.5" customHeight="1" x14ac:dyDescent="0.25">
      <c r="A385" s="10">
        <f t="shared" si="1"/>
        <v>371</v>
      </c>
      <c r="B385" s="483" t="s">
        <v>303</v>
      </c>
      <c r="C385" s="327"/>
      <c r="D385" s="484" t="s">
        <v>303</v>
      </c>
      <c r="E385" s="327"/>
      <c r="F385" s="481" t="s">
        <v>334</v>
      </c>
      <c r="G385" s="327"/>
      <c r="H385" s="485"/>
      <c r="I385" s="326"/>
      <c r="J385" s="327"/>
      <c r="K385" s="481" t="s">
        <v>334</v>
      </c>
      <c r="L385" s="326"/>
      <c r="M385" s="327"/>
      <c r="N385" s="486" t="s">
        <v>303</v>
      </c>
      <c r="O385" s="326"/>
      <c r="P385" s="326"/>
      <c r="Q385" s="326"/>
      <c r="R385" s="326"/>
      <c r="S385" s="326"/>
      <c r="T385" s="326"/>
      <c r="U385" s="327"/>
    </row>
    <row r="386" spans="1:21" ht="34.5" customHeight="1" x14ac:dyDescent="0.25">
      <c r="A386" s="10">
        <f t="shared" si="1"/>
        <v>372</v>
      </c>
      <c r="B386" s="479" t="s">
        <v>303</v>
      </c>
      <c r="C386" s="327"/>
      <c r="D386" s="480" t="s">
        <v>303</v>
      </c>
      <c r="E386" s="327"/>
      <c r="F386" s="481" t="s">
        <v>334</v>
      </c>
      <c r="G386" s="327"/>
      <c r="H386" s="482"/>
      <c r="I386" s="326"/>
      <c r="J386" s="327"/>
      <c r="K386" s="481" t="s">
        <v>334</v>
      </c>
      <c r="L386" s="326"/>
      <c r="M386" s="327"/>
      <c r="N386" s="439" t="s">
        <v>303</v>
      </c>
      <c r="O386" s="326"/>
      <c r="P386" s="326"/>
      <c r="Q386" s="326"/>
      <c r="R386" s="326"/>
      <c r="S386" s="326"/>
      <c r="T386" s="326"/>
      <c r="U386" s="327"/>
    </row>
    <row r="387" spans="1:21" ht="34.5" customHeight="1" x14ac:dyDescent="0.25">
      <c r="A387" s="10">
        <f t="shared" si="1"/>
        <v>373</v>
      </c>
      <c r="B387" s="483" t="s">
        <v>341</v>
      </c>
      <c r="C387" s="327"/>
      <c r="D387" s="484" t="s">
        <v>303</v>
      </c>
      <c r="E387" s="327"/>
      <c r="F387" s="481" t="s">
        <v>334</v>
      </c>
      <c r="G387" s="327"/>
      <c r="H387" s="485"/>
      <c r="I387" s="326"/>
      <c r="J387" s="327"/>
      <c r="K387" s="481" t="s">
        <v>334</v>
      </c>
      <c r="L387" s="326"/>
      <c r="M387" s="327"/>
      <c r="N387" s="486" t="s">
        <v>303</v>
      </c>
      <c r="O387" s="326"/>
      <c r="P387" s="326"/>
      <c r="Q387" s="326"/>
      <c r="R387" s="326"/>
      <c r="S387" s="326"/>
      <c r="T387" s="326"/>
      <c r="U387" s="327"/>
    </row>
    <row r="388" spans="1:21" ht="34.5" customHeight="1" x14ac:dyDescent="0.25">
      <c r="A388" s="10">
        <f t="shared" si="1"/>
        <v>374</v>
      </c>
      <c r="B388" s="479" t="s">
        <v>303</v>
      </c>
      <c r="C388" s="327"/>
      <c r="D388" s="480" t="s">
        <v>303</v>
      </c>
      <c r="E388" s="327"/>
      <c r="F388" s="481" t="s">
        <v>334</v>
      </c>
      <c r="G388" s="327"/>
      <c r="H388" s="482"/>
      <c r="I388" s="326"/>
      <c r="J388" s="327"/>
      <c r="K388" s="481" t="s">
        <v>334</v>
      </c>
      <c r="L388" s="326"/>
      <c r="M388" s="327"/>
      <c r="N388" s="439" t="s">
        <v>303</v>
      </c>
      <c r="O388" s="326"/>
      <c r="P388" s="326"/>
      <c r="Q388" s="326"/>
      <c r="R388" s="326"/>
      <c r="S388" s="326"/>
      <c r="T388" s="326"/>
      <c r="U388" s="327"/>
    </row>
    <row r="389" spans="1:21" ht="34.5" customHeight="1" x14ac:dyDescent="0.25">
      <c r="A389" s="10">
        <f t="shared" si="1"/>
        <v>375</v>
      </c>
      <c r="B389" s="483" t="s">
        <v>303</v>
      </c>
      <c r="C389" s="327"/>
      <c r="D389" s="484" t="s">
        <v>303</v>
      </c>
      <c r="E389" s="327"/>
      <c r="F389" s="481" t="s">
        <v>334</v>
      </c>
      <c r="G389" s="327"/>
      <c r="H389" s="485"/>
      <c r="I389" s="326"/>
      <c r="J389" s="327"/>
      <c r="K389" s="481" t="s">
        <v>334</v>
      </c>
      <c r="L389" s="326"/>
      <c r="M389" s="327"/>
      <c r="N389" s="486" t="s">
        <v>303</v>
      </c>
      <c r="O389" s="326"/>
      <c r="P389" s="326"/>
      <c r="Q389" s="326"/>
      <c r="R389" s="326"/>
      <c r="S389" s="326"/>
      <c r="T389" s="326"/>
      <c r="U389" s="327"/>
    </row>
    <row r="390" spans="1:21" ht="34.5" customHeight="1" x14ac:dyDescent="0.25">
      <c r="A390" s="10">
        <f t="shared" si="1"/>
        <v>376</v>
      </c>
      <c r="B390" s="479" t="s">
        <v>303</v>
      </c>
      <c r="C390" s="327"/>
      <c r="D390" s="480" t="s">
        <v>303</v>
      </c>
      <c r="E390" s="327"/>
      <c r="F390" s="481" t="s">
        <v>334</v>
      </c>
      <c r="G390" s="327"/>
      <c r="H390" s="482"/>
      <c r="I390" s="326"/>
      <c r="J390" s="327"/>
      <c r="K390" s="481" t="s">
        <v>334</v>
      </c>
      <c r="L390" s="326"/>
      <c r="M390" s="327"/>
      <c r="N390" s="439" t="s">
        <v>303</v>
      </c>
      <c r="O390" s="326"/>
      <c r="P390" s="326"/>
      <c r="Q390" s="326"/>
      <c r="R390" s="326"/>
      <c r="S390" s="326"/>
      <c r="T390" s="326"/>
      <c r="U390" s="327"/>
    </row>
    <row r="391" spans="1:21" ht="34.5" customHeight="1" x14ac:dyDescent="0.25">
      <c r="A391" s="10">
        <f t="shared" si="1"/>
        <v>377</v>
      </c>
      <c r="B391" s="483" t="s">
        <v>303</v>
      </c>
      <c r="C391" s="327"/>
      <c r="D391" s="484" t="s">
        <v>303</v>
      </c>
      <c r="E391" s="327"/>
      <c r="F391" s="481" t="s">
        <v>334</v>
      </c>
      <c r="G391" s="327"/>
      <c r="H391" s="485"/>
      <c r="I391" s="326"/>
      <c r="J391" s="327"/>
      <c r="K391" s="481" t="s">
        <v>334</v>
      </c>
      <c r="L391" s="326"/>
      <c r="M391" s="327"/>
      <c r="N391" s="486" t="s">
        <v>303</v>
      </c>
      <c r="O391" s="326"/>
      <c r="P391" s="326"/>
      <c r="Q391" s="326"/>
      <c r="R391" s="326"/>
      <c r="S391" s="326"/>
      <c r="T391" s="326"/>
      <c r="U391" s="327"/>
    </row>
    <row r="392" spans="1:21" ht="34.5" customHeight="1" x14ac:dyDescent="0.25">
      <c r="A392" s="10">
        <f t="shared" si="1"/>
        <v>378</v>
      </c>
      <c r="B392" s="479" t="s">
        <v>338</v>
      </c>
      <c r="C392" s="327"/>
      <c r="D392" s="480" t="s">
        <v>303</v>
      </c>
      <c r="E392" s="327"/>
      <c r="F392" s="481" t="s">
        <v>334</v>
      </c>
      <c r="G392" s="327"/>
      <c r="H392" s="482"/>
      <c r="I392" s="326"/>
      <c r="J392" s="327"/>
      <c r="K392" s="481" t="s">
        <v>334</v>
      </c>
      <c r="L392" s="326"/>
      <c r="M392" s="327"/>
      <c r="N392" s="439" t="s">
        <v>303</v>
      </c>
      <c r="O392" s="326"/>
      <c r="P392" s="326"/>
      <c r="Q392" s="326"/>
      <c r="R392" s="326"/>
      <c r="S392" s="326"/>
      <c r="T392" s="326"/>
      <c r="U392" s="327"/>
    </row>
    <row r="393" spans="1:21" ht="34.5" customHeight="1" x14ac:dyDescent="0.25">
      <c r="A393" s="10">
        <f t="shared" si="1"/>
        <v>379</v>
      </c>
      <c r="B393" s="483" t="s">
        <v>303</v>
      </c>
      <c r="C393" s="327"/>
      <c r="D393" s="484" t="s">
        <v>303</v>
      </c>
      <c r="E393" s="327"/>
      <c r="F393" s="481" t="s">
        <v>334</v>
      </c>
      <c r="G393" s="327"/>
      <c r="H393" s="485"/>
      <c r="I393" s="326"/>
      <c r="J393" s="327"/>
      <c r="K393" s="481" t="s">
        <v>334</v>
      </c>
      <c r="L393" s="326"/>
      <c r="M393" s="327"/>
      <c r="N393" s="486" t="s">
        <v>303</v>
      </c>
      <c r="O393" s="326"/>
      <c r="P393" s="326"/>
      <c r="Q393" s="326"/>
      <c r="R393" s="326"/>
      <c r="S393" s="326"/>
      <c r="T393" s="326"/>
      <c r="U393" s="327"/>
    </row>
    <row r="394" spans="1:21" ht="34.5" customHeight="1" x14ac:dyDescent="0.25">
      <c r="A394" s="10">
        <f t="shared" si="1"/>
        <v>380</v>
      </c>
      <c r="B394" s="479" t="s">
        <v>303</v>
      </c>
      <c r="C394" s="327"/>
      <c r="D394" s="480" t="s">
        <v>303</v>
      </c>
      <c r="E394" s="327"/>
      <c r="F394" s="481" t="s">
        <v>334</v>
      </c>
      <c r="G394" s="327"/>
      <c r="H394" s="482"/>
      <c r="I394" s="326"/>
      <c r="J394" s="327"/>
      <c r="K394" s="481" t="s">
        <v>334</v>
      </c>
      <c r="L394" s="326"/>
      <c r="M394" s="327"/>
      <c r="N394" s="439" t="s">
        <v>303</v>
      </c>
      <c r="O394" s="326"/>
      <c r="P394" s="326"/>
      <c r="Q394" s="326"/>
      <c r="R394" s="326"/>
      <c r="S394" s="326"/>
      <c r="T394" s="326"/>
      <c r="U394" s="327"/>
    </row>
    <row r="395" spans="1:21" ht="34.5" customHeight="1" x14ac:dyDescent="0.25">
      <c r="A395" s="10">
        <f t="shared" si="1"/>
        <v>381</v>
      </c>
      <c r="B395" s="483" t="s">
        <v>303</v>
      </c>
      <c r="C395" s="327"/>
      <c r="D395" s="484" t="s">
        <v>303</v>
      </c>
      <c r="E395" s="327"/>
      <c r="F395" s="481" t="s">
        <v>334</v>
      </c>
      <c r="G395" s="327"/>
      <c r="H395" s="485"/>
      <c r="I395" s="326"/>
      <c r="J395" s="327"/>
      <c r="K395" s="481" t="s">
        <v>334</v>
      </c>
      <c r="L395" s="326"/>
      <c r="M395" s="327"/>
      <c r="N395" s="486" t="s">
        <v>303</v>
      </c>
      <c r="O395" s="326"/>
      <c r="P395" s="326"/>
      <c r="Q395" s="326"/>
      <c r="R395" s="326"/>
      <c r="S395" s="326"/>
      <c r="T395" s="326"/>
      <c r="U395" s="327"/>
    </row>
    <row r="396" spans="1:21" ht="34.5" customHeight="1" x14ac:dyDescent="0.25">
      <c r="A396" s="10">
        <f t="shared" si="1"/>
        <v>382</v>
      </c>
      <c r="B396" s="479" t="s">
        <v>343</v>
      </c>
      <c r="C396" s="327"/>
      <c r="D396" s="480" t="s">
        <v>303</v>
      </c>
      <c r="E396" s="327"/>
      <c r="F396" s="481" t="s">
        <v>334</v>
      </c>
      <c r="G396" s="327"/>
      <c r="H396" s="482"/>
      <c r="I396" s="326"/>
      <c r="J396" s="327"/>
      <c r="K396" s="481" t="s">
        <v>334</v>
      </c>
      <c r="L396" s="326"/>
      <c r="M396" s="327"/>
      <c r="N396" s="439" t="s">
        <v>303</v>
      </c>
      <c r="O396" s="326"/>
      <c r="P396" s="326"/>
      <c r="Q396" s="326"/>
      <c r="R396" s="326"/>
      <c r="S396" s="326"/>
      <c r="T396" s="326"/>
      <c r="U396" s="327"/>
    </row>
    <row r="397" spans="1:21" ht="34.5" customHeight="1" x14ac:dyDescent="0.25">
      <c r="A397" s="10">
        <f t="shared" si="1"/>
        <v>383</v>
      </c>
      <c r="B397" s="483" t="s">
        <v>303</v>
      </c>
      <c r="C397" s="327"/>
      <c r="D397" s="484" t="s">
        <v>303</v>
      </c>
      <c r="E397" s="327"/>
      <c r="F397" s="481" t="s">
        <v>334</v>
      </c>
      <c r="G397" s="327"/>
      <c r="H397" s="485"/>
      <c r="I397" s="326"/>
      <c r="J397" s="327"/>
      <c r="K397" s="481" t="s">
        <v>334</v>
      </c>
      <c r="L397" s="326"/>
      <c r="M397" s="327"/>
      <c r="N397" s="486" t="s">
        <v>303</v>
      </c>
      <c r="O397" s="326"/>
      <c r="P397" s="326"/>
      <c r="Q397" s="326"/>
      <c r="R397" s="326"/>
      <c r="S397" s="326"/>
      <c r="T397" s="326"/>
      <c r="U397" s="327"/>
    </row>
    <row r="398" spans="1:21" ht="34.5" customHeight="1" x14ac:dyDescent="0.25">
      <c r="A398" s="10">
        <f t="shared" si="1"/>
        <v>384</v>
      </c>
      <c r="B398" s="479" t="s">
        <v>303</v>
      </c>
      <c r="C398" s="327"/>
      <c r="D398" s="480" t="s">
        <v>303</v>
      </c>
      <c r="E398" s="327"/>
      <c r="F398" s="481" t="s">
        <v>334</v>
      </c>
      <c r="G398" s="327"/>
      <c r="H398" s="482"/>
      <c r="I398" s="326"/>
      <c r="J398" s="327"/>
      <c r="K398" s="481" t="s">
        <v>334</v>
      </c>
      <c r="L398" s="326"/>
      <c r="M398" s="327"/>
      <c r="N398" s="439" t="s">
        <v>303</v>
      </c>
      <c r="O398" s="326"/>
      <c r="P398" s="326"/>
      <c r="Q398" s="326"/>
      <c r="R398" s="326"/>
      <c r="S398" s="326"/>
      <c r="T398" s="326"/>
      <c r="U398" s="327"/>
    </row>
    <row r="399" spans="1:21" ht="34.5" customHeight="1" x14ac:dyDescent="0.25">
      <c r="A399" s="10">
        <f t="shared" si="1"/>
        <v>385</v>
      </c>
      <c r="B399" s="483" t="s">
        <v>303</v>
      </c>
      <c r="C399" s="327"/>
      <c r="D399" s="484" t="s">
        <v>303</v>
      </c>
      <c r="E399" s="327"/>
      <c r="F399" s="481" t="s">
        <v>334</v>
      </c>
      <c r="G399" s="327"/>
      <c r="H399" s="485"/>
      <c r="I399" s="326"/>
      <c r="J399" s="327"/>
      <c r="K399" s="481" t="s">
        <v>334</v>
      </c>
      <c r="L399" s="326"/>
      <c r="M399" s="327"/>
      <c r="N399" s="486" t="s">
        <v>303</v>
      </c>
      <c r="O399" s="326"/>
      <c r="P399" s="326"/>
      <c r="Q399" s="326"/>
      <c r="R399" s="326"/>
      <c r="S399" s="326"/>
      <c r="T399" s="326"/>
      <c r="U399" s="327"/>
    </row>
    <row r="400" spans="1:21" ht="34.5" customHeight="1" x14ac:dyDescent="0.25">
      <c r="A400" s="10">
        <f t="shared" si="1"/>
        <v>386</v>
      </c>
      <c r="B400" s="479" t="s">
        <v>303</v>
      </c>
      <c r="C400" s="327"/>
      <c r="D400" s="480" t="s">
        <v>303</v>
      </c>
      <c r="E400" s="327"/>
      <c r="F400" s="481" t="s">
        <v>334</v>
      </c>
      <c r="G400" s="327"/>
      <c r="H400" s="482"/>
      <c r="I400" s="326"/>
      <c r="J400" s="327"/>
      <c r="K400" s="481" t="s">
        <v>334</v>
      </c>
      <c r="L400" s="326"/>
      <c r="M400" s="327"/>
      <c r="N400" s="439" t="s">
        <v>303</v>
      </c>
      <c r="O400" s="326"/>
      <c r="P400" s="326"/>
      <c r="Q400" s="326"/>
      <c r="R400" s="326"/>
      <c r="S400" s="326"/>
      <c r="T400" s="326"/>
      <c r="U400" s="327"/>
    </row>
    <row r="401" spans="1:21" ht="34.5" customHeight="1" x14ac:dyDescent="0.25">
      <c r="A401" s="10">
        <f t="shared" si="1"/>
        <v>387</v>
      </c>
      <c r="B401" s="483" t="s">
        <v>303</v>
      </c>
      <c r="C401" s="327"/>
      <c r="D401" s="484" t="s">
        <v>303</v>
      </c>
      <c r="E401" s="327"/>
      <c r="F401" s="481" t="s">
        <v>334</v>
      </c>
      <c r="G401" s="327"/>
      <c r="H401" s="485"/>
      <c r="I401" s="326"/>
      <c r="J401" s="327"/>
      <c r="K401" s="481" t="s">
        <v>334</v>
      </c>
      <c r="L401" s="326"/>
      <c r="M401" s="327"/>
      <c r="N401" s="486" t="s">
        <v>303</v>
      </c>
      <c r="O401" s="326"/>
      <c r="P401" s="326"/>
      <c r="Q401" s="326"/>
      <c r="R401" s="326"/>
      <c r="S401" s="326"/>
      <c r="T401" s="326"/>
      <c r="U401" s="327"/>
    </row>
    <row r="402" spans="1:21" ht="34.5" customHeight="1" x14ac:dyDescent="0.25">
      <c r="A402" s="10">
        <f t="shared" si="1"/>
        <v>388</v>
      </c>
      <c r="B402" s="479" t="s">
        <v>344</v>
      </c>
      <c r="C402" s="327"/>
      <c r="D402" s="480" t="s">
        <v>303</v>
      </c>
      <c r="E402" s="327"/>
      <c r="F402" s="481" t="s">
        <v>334</v>
      </c>
      <c r="G402" s="327"/>
      <c r="H402" s="482"/>
      <c r="I402" s="326"/>
      <c r="J402" s="327"/>
      <c r="K402" s="481" t="s">
        <v>334</v>
      </c>
      <c r="L402" s="326"/>
      <c r="M402" s="327"/>
      <c r="N402" s="439" t="s">
        <v>303</v>
      </c>
      <c r="O402" s="326"/>
      <c r="P402" s="326"/>
      <c r="Q402" s="326"/>
      <c r="R402" s="326"/>
      <c r="S402" s="326"/>
      <c r="T402" s="326"/>
      <c r="U402" s="327"/>
    </row>
    <row r="403" spans="1:21" ht="34.5" customHeight="1" x14ac:dyDescent="0.25">
      <c r="A403" s="10">
        <f t="shared" si="1"/>
        <v>389</v>
      </c>
      <c r="B403" s="483" t="s">
        <v>303</v>
      </c>
      <c r="C403" s="327"/>
      <c r="D403" s="484" t="s">
        <v>303</v>
      </c>
      <c r="E403" s="327"/>
      <c r="F403" s="481" t="s">
        <v>334</v>
      </c>
      <c r="G403" s="327"/>
      <c r="H403" s="485"/>
      <c r="I403" s="326"/>
      <c r="J403" s="327"/>
      <c r="K403" s="481" t="s">
        <v>334</v>
      </c>
      <c r="L403" s="326"/>
      <c r="M403" s="327"/>
      <c r="N403" s="486" t="s">
        <v>303</v>
      </c>
      <c r="O403" s="326"/>
      <c r="P403" s="326"/>
      <c r="Q403" s="326"/>
      <c r="R403" s="326"/>
      <c r="S403" s="326"/>
      <c r="T403" s="326"/>
      <c r="U403" s="327"/>
    </row>
    <row r="404" spans="1:21" ht="34.5" customHeight="1" x14ac:dyDescent="0.25">
      <c r="A404" s="10">
        <f t="shared" si="1"/>
        <v>390</v>
      </c>
      <c r="B404" s="479" t="s">
        <v>303</v>
      </c>
      <c r="C404" s="327"/>
      <c r="D404" s="480" t="s">
        <v>303</v>
      </c>
      <c r="E404" s="327"/>
      <c r="F404" s="481" t="s">
        <v>334</v>
      </c>
      <c r="G404" s="327"/>
      <c r="H404" s="482"/>
      <c r="I404" s="326"/>
      <c r="J404" s="327"/>
      <c r="K404" s="481" t="s">
        <v>334</v>
      </c>
      <c r="L404" s="326"/>
      <c r="M404" s="327"/>
      <c r="N404" s="439" t="s">
        <v>303</v>
      </c>
      <c r="O404" s="326"/>
      <c r="P404" s="326"/>
      <c r="Q404" s="326"/>
      <c r="R404" s="326"/>
      <c r="S404" s="326"/>
      <c r="T404" s="326"/>
      <c r="U404" s="327"/>
    </row>
    <row r="405" spans="1:21" ht="34.5" customHeight="1" x14ac:dyDescent="0.25">
      <c r="A405" s="10">
        <f t="shared" si="1"/>
        <v>391</v>
      </c>
      <c r="B405" s="483" t="s">
        <v>303</v>
      </c>
      <c r="C405" s="327"/>
      <c r="D405" s="484" t="s">
        <v>303</v>
      </c>
      <c r="E405" s="327"/>
      <c r="F405" s="481" t="s">
        <v>334</v>
      </c>
      <c r="G405" s="327"/>
      <c r="H405" s="485"/>
      <c r="I405" s="326"/>
      <c r="J405" s="327"/>
      <c r="K405" s="481" t="s">
        <v>334</v>
      </c>
      <c r="L405" s="326"/>
      <c r="M405" s="327"/>
      <c r="N405" s="486" t="s">
        <v>303</v>
      </c>
      <c r="O405" s="326"/>
      <c r="P405" s="326"/>
      <c r="Q405" s="326"/>
      <c r="R405" s="326"/>
      <c r="S405" s="326"/>
      <c r="T405" s="326"/>
      <c r="U405" s="327"/>
    </row>
    <row r="406" spans="1:21" ht="34.5" customHeight="1" x14ac:dyDescent="0.25">
      <c r="A406" s="10">
        <f t="shared" si="1"/>
        <v>392</v>
      </c>
      <c r="B406" s="479" t="s">
        <v>303</v>
      </c>
      <c r="C406" s="327"/>
      <c r="D406" s="480" t="s">
        <v>303</v>
      </c>
      <c r="E406" s="327"/>
      <c r="F406" s="481" t="s">
        <v>334</v>
      </c>
      <c r="G406" s="327"/>
      <c r="H406" s="482"/>
      <c r="I406" s="326"/>
      <c r="J406" s="327"/>
      <c r="K406" s="481" t="s">
        <v>334</v>
      </c>
      <c r="L406" s="326"/>
      <c r="M406" s="327"/>
      <c r="N406" s="439" t="s">
        <v>303</v>
      </c>
      <c r="O406" s="326"/>
      <c r="P406" s="326"/>
      <c r="Q406" s="326"/>
      <c r="R406" s="326"/>
      <c r="S406" s="326"/>
      <c r="T406" s="326"/>
      <c r="U406" s="327"/>
    </row>
    <row r="407" spans="1:21" ht="34.5" customHeight="1" x14ac:dyDescent="0.25">
      <c r="A407" s="10">
        <f t="shared" si="1"/>
        <v>393</v>
      </c>
      <c r="B407" s="483" t="s">
        <v>303</v>
      </c>
      <c r="C407" s="327"/>
      <c r="D407" s="484" t="s">
        <v>303</v>
      </c>
      <c r="E407" s="327"/>
      <c r="F407" s="481" t="s">
        <v>334</v>
      </c>
      <c r="G407" s="327"/>
      <c r="H407" s="485"/>
      <c r="I407" s="326"/>
      <c r="J407" s="327"/>
      <c r="K407" s="481" t="s">
        <v>334</v>
      </c>
      <c r="L407" s="326"/>
      <c r="M407" s="327"/>
      <c r="N407" s="486" t="s">
        <v>303</v>
      </c>
      <c r="O407" s="326"/>
      <c r="P407" s="326"/>
      <c r="Q407" s="326"/>
      <c r="R407" s="326"/>
      <c r="S407" s="326"/>
      <c r="T407" s="326"/>
      <c r="U407" s="327"/>
    </row>
    <row r="408" spans="1:21" ht="34.5" customHeight="1" x14ac:dyDescent="0.25">
      <c r="A408" s="10">
        <f t="shared" si="1"/>
        <v>394</v>
      </c>
      <c r="B408" s="479" t="s">
        <v>303</v>
      </c>
      <c r="C408" s="327"/>
      <c r="D408" s="480" t="s">
        <v>303</v>
      </c>
      <c r="E408" s="327"/>
      <c r="F408" s="481" t="s">
        <v>334</v>
      </c>
      <c r="G408" s="327"/>
      <c r="H408" s="482"/>
      <c r="I408" s="326"/>
      <c r="J408" s="327"/>
      <c r="K408" s="481" t="s">
        <v>334</v>
      </c>
      <c r="L408" s="326"/>
      <c r="M408" s="327"/>
      <c r="N408" s="439" t="s">
        <v>303</v>
      </c>
      <c r="O408" s="326"/>
      <c r="P408" s="326"/>
      <c r="Q408" s="326"/>
      <c r="R408" s="326"/>
      <c r="S408" s="326"/>
      <c r="T408" s="326"/>
      <c r="U408" s="327"/>
    </row>
    <row r="409" spans="1:21" ht="34.5" customHeight="1" x14ac:dyDescent="0.25">
      <c r="A409" s="10">
        <f t="shared" si="1"/>
        <v>395</v>
      </c>
      <c r="B409" s="479" t="s">
        <v>303</v>
      </c>
      <c r="C409" s="327"/>
      <c r="D409" s="480" t="s">
        <v>303</v>
      </c>
      <c r="E409" s="327"/>
      <c r="F409" s="481" t="s">
        <v>334</v>
      </c>
      <c r="G409" s="327"/>
      <c r="H409" s="482"/>
      <c r="I409" s="326"/>
      <c r="J409" s="327"/>
      <c r="K409" s="481" t="s">
        <v>334</v>
      </c>
      <c r="L409" s="326"/>
      <c r="M409" s="327"/>
      <c r="N409" s="439" t="s">
        <v>303</v>
      </c>
      <c r="O409" s="326"/>
      <c r="P409" s="326"/>
      <c r="Q409" s="326"/>
      <c r="R409" s="326"/>
      <c r="S409" s="326"/>
      <c r="T409" s="326"/>
      <c r="U409" s="327"/>
    </row>
    <row r="410" spans="1:21" ht="34.5" customHeight="1" x14ac:dyDescent="0.25">
      <c r="A410" s="10">
        <f t="shared" si="1"/>
        <v>396</v>
      </c>
      <c r="B410" s="483" t="s">
        <v>303</v>
      </c>
      <c r="C410" s="327"/>
      <c r="D410" s="484" t="s">
        <v>303</v>
      </c>
      <c r="E410" s="327"/>
      <c r="F410" s="481" t="s">
        <v>334</v>
      </c>
      <c r="G410" s="327"/>
      <c r="H410" s="485"/>
      <c r="I410" s="326"/>
      <c r="J410" s="327"/>
      <c r="K410" s="481" t="s">
        <v>334</v>
      </c>
      <c r="L410" s="326"/>
      <c r="M410" s="327"/>
      <c r="N410" s="486"/>
      <c r="O410" s="326"/>
      <c r="P410" s="326"/>
      <c r="Q410" s="326"/>
      <c r="R410" s="326"/>
      <c r="S410" s="326"/>
      <c r="T410" s="326"/>
      <c r="U410" s="327"/>
    </row>
    <row r="411" spans="1:21" ht="34.5" customHeight="1" x14ac:dyDescent="0.25">
      <c r="A411" s="10">
        <f t="shared" si="1"/>
        <v>397</v>
      </c>
      <c r="B411" s="479" t="s">
        <v>303</v>
      </c>
      <c r="C411" s="327"/>
      <c r="D411" s="480" t="s">
        <v>303</v>
      </c>
      <c r="E411" s="327"/>
      <c r="F411" s="481" t="s">
        <v>334</v>
      </c>
      <c r="G411" s="327"/>
      <c r="H411" s="482"/>
      <c r="I411" s="326"/>
      <c r="J411" s="327"/>
      <c r="K411" s="481" t="s">
        <v>334</v>
      </c>
      <c r="L411" s="326"/>
      <c r="M411" s="327"/>
      <c r="N411" s="439" t="s">
        <v>303</v>
      </c>
      <c r="O411" s="326"/>
      <c r="P411" s="326"/>
      <c r="Q411" s="326"/>
      <c r="R411" s="326"/>
      <c r="S411" s="326"/>
      <c r="T411" s="326"/>
      <c r="U411" s="327"/>
    </row>
    <row r="412" spans="1:21" ht="34.5" customHeight="1" x14ac:dyDescent="0.25">
      <c r="A412" s="10">
        <f t="shared" si="1"/>
        <v>398</v>
      </c>
      <c r="B412" s="483" t="s">
        <v>303</v>
      </c>
      <c r="C412" s="327"/>
      <c r="D412" s="484" t="s">
        <v>303</v>
      </c>
      <c r="E412" s="327"/>
      <c r="F412" s="481" t="s">
        <v>334</v>
      </c>
      <c r="G412" s="327"/>
      <c r="H412" s="485"/>
      <c r="I412" s="326"/>
      <c r="J412" s="327"/>
      <c r="K412" s="481" t="s">
        <v>334</v>
      </c>
      <c r="L412" s="326"/>
      <c r="M412" s="327"/>
      <c r="N412" s="486" t="s">
        <v>303</v>
      </c>
      <c r="O412" s="326"/>
      <c r="P412" s="326"/>
      <c r="Q412" s="326"/>
      <c r="R412" s="326"/>
      <c r="S412" s="326"/>
      <c r="T412" s="326"/>
      <c r="U412" s="327"/>
    </row>
    <row r="413" spans="1:21" ht="34.5" customHeight="1" x14ac:dyDescent="0.25">
      <c r="A413" s="10">
        <f t="shared" si="1"/>
        <v>399</v>
      </c>
      <c r="B413" s="479" t="s">
        <v>303</v>
      </c>
      <c r="C413" s="327"/>
      <c r="D413" s="480" t="s">
        <v>303</v>
      </c>
      <c r="E413" s="327"/>
      <c r="F413" s="481" t="s">
        <v>334</v>
      </c>
      <c r="G413" s="327"/>
      <c r="H413" s="482"/>
      <c r="I413" s="326"/>
      <c r="J413" s="327"/>
      <c r="K413" s="481" t="s">
        <v>334</v>
      </c>
      <c r="L413" s="326"/>
      <c r="M413" s="327"/>
      <c r="N413" s="439" t="s">
        <v>303</v>
      </c>
      <c r="O413" s="326"/>
      <c r="P413" s="326"/>
      <c r="Q413" s="326"/>
      <c r="R413" s="326"/>
      <c r="S413" s="326"/>
      <c r="T413" s="326"/>
      <c r="U413" s="327"/>
    </row>
    <row r="414" spans="1:21" ht="34.5" customHeight="1" x14ac:dyDescent="0.25">
      <c r="A414" s="10">
        <f t="shared" si="1"/>
        <v>400</v>
      </c>
      <c r="B414" s="483" t="s">
        <v>303</v>
      </c>
      <c r="C414" s="327"/>
      <c r="D414" s="484" t="s">
        <v>303</v>
      </c>
      <c r="E414" s="327"/>
      <c r="F414" s="481" t="s">
        <v>334</v>
      </c>
      <c r="G414" s="327"/>
      <c r="H414" s="485"/>
      <c r="I414" s="326"/>
      <c r="J414" s="327"/>
      <c r="K414" s="481" t="s">
        <v>334</v>
      </c>
      <c r="L414" s="326"/>
      <c r="M414" s="327"/>
      <c r="N414" s="486" t="s">
        <v>303</v>
      </c>
      <c r="O414" s="326"/>
      <c r="P414" s="326"/>
      <c r="Q414" s="326"/>
      <c r="R414" s="326"/>
      <c r="S414" s="326"/>
      <c r="T414" s="326"/>
      <c r="U414" s="327"/>
    </row>
    <row r="415" spans="1:21" ht="34.5" customHeight="1" x14ac:dyDescent="0.25">
      <c r="A415" s="10">
        <f t="shared" si="1"/>
        <v>401</v>
      </c>
      <c r="B415" s="479" t="s">
        <v>303</v>
      </c>
      <c r="C415" s="327"/>
      <c r="D415" s="480" t="s">
        <v>303</v>
      </c>
      <c r="E415" s="327"/>
      <c r="F415" s="481" t="s">
        <v>334</v>
      </c>
      <c r="G415" s="327"/>
      <c r="H415" s="482"/>
      <c r="I415" s="326"/>
      <c r="J415" s="327"/>
      <c r="K415" s="481" t="s">
        <v>334</v>
      </c>
      <c r="L415" s="326"/>
      <c r="M415" s="327"/>
      <c r="N415" s="439" t="s">
        <v>303</v>
      </c>
      <c r="O415" s="326"/>
      <c r="P415" s="326"/>
      <c r="Q415" s="326"/>
      <c r="R415" s="326"/>
      <c r="S415" s="326"/>
      <c r="T415" s="326"/>
      <c r="U415" s="327"/>
    </row>
    <row r="416" spans="1:21" ht="34.5" customHeight="1" x14ac:dyDescent="0.25">
      <c r="A416" s="10">
        <f t="shared" si="1"/>
        <v>402</v>
      </c>
      <c r="B416" s="483" t="s">
        <v>303</v>
      </c>
      <c r="C416" s="327"/>
      <c r="D416" s="484" t="s">
        <v>303</v>
      </c>
      <c r="E416" s="327"/>
      <c r="F416" s="481" t="s">
        <v>334</v>
      </c>
      <c r="G416" s="327"/>
      <c r="H416" s="485"/>
      <c r="I416" s="326"/>
      <c r="J416" s="327"/>
      <c r="K416" s="481" t="s">
        <v>334</v>
      </c>
      <c r="L416" s="326"/>
      <c r="M416" s="327"/>
      <c r="N416" s="486" t="s">
        <v>303</v>
      </c>
      <c r="O416" s="326"/>
      <c r="P416" s="326"/>
      <c r="Q416" s="326"/>
      <c r="R416" s="326"/>
      <c r="S416" s="326"/>
      <c r="T416" s="326"/>
      <c r="U416" s="327"/>
    </row>
    <row r="417" spans="1:21" ht="34.5" customHeight="1" x14ac:dyDescent="0.25">
      <c r="A417" s="10">
        <f t="shared" si="1"/>
        <v>403</v>
      </c>
      <c r="B417" s="479" t="s">
        <v>303</v>
      </c>
      <c r="C417" s="327"/>
      <c r="D417" s="480" t="s">
        <v>303</v>
      </c>
      <c r="E417" s="327"/>
      <c r="F417" s="481" t="s">
        <v>334</v>
      </c>
      <c r="G417" s="327"/>
      <c r="H417" s="482"/>
      <c r="I417" s="326"/>
      <c r="J417" s="327"/>
      <c r="K417" s="481" t="s">
        <v>334</v>
      </c>
      <c r="L417" s="326"/>
      <c r="M417" s="327"/>
      <c r="N417" s="439" t="s">
        <v>303</v>
      </c>
      <c r="O417" s="326"/>
      <c r="P417" s="326"/>
      <c r="Q417" s="326"/>
      <c r="R417" s="326"/>
      <c r="S417" s="326"/>
      <c r="T417" s="326"/>
      <c r="U417" s="327"/>
    </row>
    <row r="418" spans="1:21" ht="34.5" customHeight="1" x14ac:dyDescent="0.25">
      <c r="A418" s="10">
        <f t="shared" si="1"/>
        <v>404</v>
      </c>
      <c r="B418" s="483" t="s">
        <v>303</v>
      </c>
      <c r="C418" s="327"/>
      <c r="D418" s="484" t="s">
        <v>303</v>
      </c>
      <c r="E418" s="327"/>
      <c r="F418" s="481" t="s">
        <v>334</v>
      </c>
      <c r="G418" s="327"/>
      <c r="H418" s="485"/>
      <c r="I418" s="326"/>
      <c r="J418" s="327"/>
      <c r="K418" s="481" t="s">
        <v>334</v>
      </c>
      <c r="L418" s="326"/>
      <c r="M418" s="327"/>
      <c r="N418" s="486" t="s">
        <v>303</v>
      </c>
      <c r="O418" s="326"/>
      <c r="P418" s="326"/>
      <c r="Q418" s="326"/>
      <c r="R418" s="326"/>
      <c r="S418" s="326"/>
      <c r="T418" s="326"/>
      <c r="U418" s="327"/>
    </row>
    <row r="419" spans="1:21" ht="34.5" customHeight="1" x14ac:dyDescent="0.25">
      <c r="A419" s="10">
        <f t="shared" si="1"/>
        <v>405</v>
      </c>
      <c r="B419" s="479" t="s">
        <v>303</v>
      </c>
      <c r="C419" s="327"/>
      <c r="D419" s="480" t="s">
        <v>303</v>
      </c>
      <c r="E419" s="327"/>
      <c r="F419" s="481" t="s">
        <v>334</v>
      </c>
      <c r="G419" s="327"/>
      <c r="H419" s="482"/>
      <c r="I419" s="326"/>
      <c r="J419" s="327"/>
      <c r="K419" s="481" t="s">
        <v>334</v>
      </c>
      <c r="L419" s="326"/>
      <c r="M419" s="327"/>
      <c r="N419" s="439" t="s">
        <v>303</v>
      </c>
      <c r="O419" s="326"/>
      <c r="P419" s="326"/>
      <c r="Q419" s="326"/>
      <c r="R419" s="326"/>
      <c r="S419" s="326"/>
      <c r="T419" s="326"/>
      <c r="U419" s="327"/>
    </row>
    <row r="420" spans="1:21" ht="34.5" customHeight="1" x14ac:dyDescent="0.25">
      <c r="A420" s="10">
        <f t="shared" si="1"/>
        <v>406</v>
      </c>
      <c r="B420" s="483" t="s">
        <v>303</v>
      </c>
      <c r="C420" s="327"/>
      <c r="D420" s="484" t="s">
        <v>303</v>
      </c>
      <c r="E420" s="327"/>
      <c r="F420" s="481" t="s">
        <v>334</v>
      </c>
      <c r="G420" s="327"/>
      <c r="H420" s="485"/>
      <c r="I420" s="326"/>
      <c r="J420" s="327"/>
      <c r="K420" s="481" t="s">
        <v>334</v>
      </c>
      <c r="L420" s="326"/>
      <c r="M420" s="327"/>
      <c r="N420" s="486" t="s">
        <v>303</v>
      </c>
      <c r="O420" s="326"/>
      <c r="P420" s="326"/>
      <c r="Q420" s="326"/>
      <c r="R420" s="326"/>
      <c r="S420" s="326"/>
      <c r="T420" s="326"/>
      <c r="U420" s="327"/>
    </row>
    <row r="421" spans="1:21" ht="34.5" customHeight="1" x14ac:dyDescent="0.25">
      <c r="A421" s="10">
        <f t="shared" si="1"/>
        <v>407</v>
      </c>
      <c r="B421" s="479" t="s">
        <v>303</v>
      </c>
      <c r="C421" s="327"/>
      <c r="D421" s="480" t="s">
        <v>303</v>
      </c>
      <c r="E421" s="327"/>
      <c r="F421" s="481" t="s">
        <v>334</v>
      </c>
      <c r="G421" s="327"/>
      <c r="H421" s="482"/>
      <c r="I421" s="326"/>
      <c r="J421" s="327"/>
      <c r="K421" s="481" t="s">
        <v>334</v>
      </c>
      <c r="L421" s="326"/>
      <c r="M421" s="327"/>
      <c r="N421" s="439" t="s">
        <v>303</v>
      </c>
      <c r="O421" s="326"/>
      <c r="P421" s="326"/>
      <c r="Q421" s="326"/>
      <c r="R421" s="326"/>
      <c r="S421" s="326"/>
      <c r="T421" s="326"/>
      <c r="U421" s="327"/>
    </row>
    <row r="422" spans="1:21" ht="34.5" customHeight="1" x14ac:dyDescent="0.25">
      <c r="A422" s="10">
        <f t="shared" si="1"/>
        <v>408</v>
      </c>
      <c r="B422" s="483" t="s">
        <v>303</v>
      </c>
      <c r="C422" s="327"/>
      <c r="D422" s="484" t="s">
        <v>303</v>
      </c>
      <c r="E422" s="327"/>
      <c r="F422" s="481" t="s">
        <v>334</v>
      </c>
      <c r="G422" s="327"/>
      <c r="H422" s="485"/>
      <c r="I422" s="326"/>
      <c r="J422" s="327"/>
      <c r="K422" s="481" t="s">
        <v>334</v>
      </c>
      <c r="L422" s="326"/>
      <c r="M422" s="327"/>
      <c r="N422" s="486" t="s">
        <v>303</v>
      </c>
      <c r="O422" s="326"/>
      <c r="P422" s="326"/>
      <c r="Q422" s="326"/>
      <c r="R422" s="326"/>
      <c r="S422" s="326"/>
      <c r="T422" s="326"/>
      <c r="U422" s="327"/>
    </row>
    <row r="423" spans="1:21" ht="34.5" customHeight="1" x14ac:dyDescent="0.25">
      <c r="A423" s="10">
        <f t="shared" si="1"/>
        <v>409</v>
      </c>
      <c r="B423" s="479" t="s">
        <v>303</v>
      </c>
      <c r="C423" s="327"/>
      <c r="D423" s="480" t="s">
        <v>303</v>
      </c>
      <c r="E423" s="327"/>
      <c r="F423" s="481" t="s">
        <v>334</v>
      </c>
      <c r="G423" s="327"/>
      <c r="H423" s="482"/>
      <c r="I423" s="326"/>
      <c r="J423" s="327"/>
      <c r="K423" s="481" t="s">
        <v>334</v>
      </c>
      <c r="L423" s="326"/>
      <c r="M423" s="327"/>
      <c r="N423" s="439" t="s">
        <v>303</v>
      </c>
      <c r="O423" s="326"/>
      <c r="P423" s="326"/>
      <c r="Q423" s="326"/>
      <c r="R423" s="326"/>
      <c r="S423" s="326"/>
      <c r="T423" s="326"/>
      <c r="U423" s="327"/>
    </row>
    <row r="424" spans="1:21" ht="34.5" customHeight="1" x14ac:dyDescent="0.25">
      <c r="A424" s="10">
        <f t="shared" si="1"/>
        <v>410</v>
      </c>
      <c r="B424" s="483" t="s">
        <v>303</v>
      </c>
      <c r="C424" s="327"/>
      <c r="D424" s="484" t="s">
        <v>303</v>
      </c>
      <c r="E424" s="327"/>
      <c r="F424" s="481" t="s">
        <v>334</v>
      </c>
      <c r="G424" s="327"/>
      <c r="H424" s="485"/>
      <c r="I424" s="326"/>
      <c r="J424" s="327"/>
      <c r="K424" s="481" t="s">
        <v>334</v>
      </c>
      <c r="L424" s="326"/>
      <c r="M424" s="327"/>
      <c r="N424" s="486" t="s">
        <v>303</v>
      </c>
      <c r="O424" s="326"/>
      <c r="P424" s="326"/>
      <c r="Q424" s="326"/>
      <c r="R424" s="326"/>
      <c r="S424" s="326"/>
      <c r="T424" s="326"/>
      <c r="U424" s="327"/>
    </row>
    <row r="425" spans="1:21" ht="34.5" customHeight="1" x14ac:dyDescent="0.25">
      <c r="A425" s="10">
        <f t="shared" si="1"/>
        <v>411</v>
      </c>
      <c r="B425" s="479" t="s">
        <v>303</v>
      </c>
      <c r="C425" s="327"/>
      <c r="D425" s="480" t="s">
        <v>303</v>
      </c>
      <c r="E425" s="327"/>
      <c r="F425" s="481" t="s">
        <v>334</v>
      </c>
      <c r="G425" s="327"/>
      <c r="H425" s="482"/>
      <c r="I425" s="326"/>
      <c r="J425" s="327"/>
      <c r="K425" s="481" t="s">
        <v>334</v>
      </c>
      <c r="L425" s="326"/>
      <c r="M425" s="327"/>
      <c r="N425" s="439" t="s">
        <v>303</v>
      </c>
      <c r="O425" s="326"/>
      <c r="P425" s="326"/>
      <c r="Q425" s="326"/>
      <c r="R425" s="326"/>
      <c r="S425" s="326"/>
      <c r="T425" s="326"/>
      <c r="U425" s="327"/>
    </row>
    <row r="426" spans="1:21" ht="34.5" customHeight="1" x14ac:dyDescent="0.25">
      <c r="A426" s="10">
        <f t="shared" si="1"/>
        <v>412</v>
      </c>
      <c r="B426" s="483" t="s">
        <v>303</v>
      </c>
      <c r="C426" s="327"/>
      <c r="D426" s="484" t="s">
        <v>303</v>
      </c>
      <c r="E426" s="327"/>
      <c r="F426" s="481" t="s">
        <v>334</v>
      </c>
      <c r="G426" s="327"/>
      <c r="H426" s="485"/>
      <c r="I426" s="326"/>
      <c r="J426" s="327"/>
      <c r="K426" s="481" t="s">
        <v>334</v>
      </c>
      <c r="L426" s="326"/>
      <c r="M426" s="327"/>
      <c r="N426" s="486" t="s">
        <v>303</v>
      </c>
      <c r="O426" s="326"/>
      <c r="P426" s="326"/>
      <c r="Q426" s="326"/>
      <c r="R426" s="326"/>
      <c r="S426" s="326"/>
      <c r="T426" s="326"/>
      <c r="U426" s="327"/>
    </row>
    <row r="427" spans="1:21" ht="34.5" customHeight="1" x14ac:dyDescent="0.25">
      <c r="A427" s="10">
        <f t="shared" si="1"/>
        <v>413</v>
      </c>
      <c r="B427" s="479" t="s">
        <v>303</v>
      </c>
      <c r="C427" s="327"/>
      <c r="D427" s="480" t="s">
        <v>303</v>
      </c>
      <c r="E427" s="327"/>
      <c r="F427" s="481" t="s">
        <v>334</v>
      </c>
      <c r="G427" s="327"/>
      <c r="H427" s="482"/>
      <c r="I427" s="326"/>
      <c r="J427" s="327"/>
      <c r="K427" s="481" t="s">
        <v>334</v>
      </c>
      <c r="L427" s="326"/>
      <c r="M427" s="327"/>
      <c r="N427" s="439" t="s">
        <v>303</v>
      </c>
      <c r="O427" s="326"/>
      <c r="P427" s="326"/>
      <c r="Q427" s="326"/>
      <c r="R427" s="326"/>
      <c r="S427" s="326"/>
      <c r="T427" s="326"/>
      <c r="U427" s="327"/>
    </row>
    <row r="428" spans="1:21" ht="34.5" customHeight="1" x14ac:dyDescent="0.25">
      <c r="A428" s="10">
        <f t="shared" si="1"/>
        <v>414</v>
      </c>
      <c r="B428" s="483" t="s">
        <v>303</v>
      </c>
      <c r="C428" s="327"/>
      <c r="D428" s="484" t="s">
        <v>303</v>
      </c>
      <c r="E428" s="327"/>
      <c r="F428" s="481" t="s">
        <v>334</v>
      </c>
      <c r="G428" s="327"/>
      <c r="H428" s="485"/>
      <c r="I428" s="326"/>
      <c r="J428" s="327"/>
      <c r="K428" s="481" t="s">
        <v>334</v>
      </c>
      <c r="L428" s="326"/>
      <c r="M428" s="327"/>
      <c r="N428" s="486" t="s">
        <v>303</v>
      </c>
      <c r="O428" s="326"/>
      <c r="P428" s="326"/>
      <c r="Q428" s="326"/>
      <c r="R428" s="326"/>
      <c r="S428" s="326"/>
      <c r="T428" s="326"/>
      <c r="U428" s="327"/>
    </row>
    <row r="429" spans="1:21" ht="34.5" customHeight="1" x14ac:dyDescent="0.25">
      <c r="A429" s="10">
        <f t="shared" si="1"/>
        <v>415</v>
      </c>
      <c r="B429" s="479" t="s">
        <v>303</v>
      </c>
      <c r="C429" s="327"/>
      <c r="D429" s="480" t="s">
        <v>303</v>
      </c>
      <c r="E429" s="327"/>
      <c r="F429" s="481" t="s">
        <v>334</v>
      </c>
      <c r="G429" s="327"/>
      <c r="H429" s="482"/>
      <c r="I429" s="326"/>
      <c r="J429" s="327"/>
      <c r="K429" s="481" t="s">
        <v>334</v>
      </c>
      <c r="L429" s="326"/>
      <c r="M429" s="327"/>
      <c r="N429" s="439" t="s">
        <v>303</v>
      </c>
      <c r="O429" s="326"/>
      <c r="P429" s="326"/>
      <c r="Q429" s="326"/>
      <c r="R429" s="326"/>
      <c r="S429" s="326"/>
      <c r="T429" s="326"/>
      <c r="U429" s="327"/>
    </row>
    <row r="430" spans="1:21" ht="34.5" customHeight="1" x14ac:dyDescent="0.25">
      <c r="A430" s="10">
        <f t="shared" si="1"/>
        <v>416</v>
      </c>
      <c r="B430" s="483" t="s">
        <v>303</v>
      </c>
      <c r="C430" s="327"/>
      <c r="D430" s="484" t="s">
        <v>303</v>
      </c>
      <c r="E430" s="327"/>
      <c r="F430" s="481" t="s">
        <v>334</v>
      </c>
      <c r="G430" s="327"/>
      <c r="H430" s="485"/>
      <c r="I430" s="326"/>
      <c r="J430" s="327"/>
      <c r="K430" s="481" t="s">
        <v>334</v>
      </c>
      <c r="L430" s="326"/>
      <c r="M430" s="327"/>
      <c r="N430" s="486" t="s">
        <v>303</v>
      </c>
      <c r="O430" s="326"/>
      <c r="P430" s="326"/>
      <c r="Q430" s="326"/>
      <c r="R430" s="326"/>
      <c r="S430" s="326"/>
      <c r="T430" s="326"/>
      <c r="U430" s="327"/>
    </row>
    <row r="431" spans="1:21" ht="34.5" customHeight="1" x14ac:dyDescent="0.25">
      <c r="A431" s="10">
        <f t="shared" si="1"/>
        <v>417</v>
      </c>
      <c r="B431" s="479" t="s">
        <v>303</v>
      </c>
      <c r="C431" s="327"/>
      <c r="D431" s="480" t="s">
        <v>303</v>
      </c>
      <c r="E431" s="327"/>
      <c r="F431" s="481" t="s">
        <v>334</v>
      </c>
      <c r="G431" s="327"/>
      <c r="H431" s="482"/>
      <c r="I431" s="326"/>
      <c r="J431" s="327"/>
      <c r="K431" s="481" t="s">
        <v>334</v>
      </c>
      <c r="L431" s="326"/>
      <c r="M431" s="327"/>
      <c r="N431" s="439" t="s">
        <v>303</v>
      </c>
      <c r="O431" s="326"/>
      <c r="P431" s="326"/>
      <c r="Q431" s="326"/>
      <c r="R431" s="326"/>
      <c r="S431" s="326"/>
      <c r="T431" s="326"/>
      <c r="U431" s="327"/>
    </row>
    <row r="432" spans="1:21" ht="34.5" customHeight="1" x14ac:dyDescent="0.25">
      <c r="A432" s="10">
        <f t="shared" si="1"/>
        <v>418</v>
      </c>
      <c r="B432" s="483" t="s">
        <v>303</v>
      </c>
      <c r="C432" s="327"/>
      <c r="D432" s="484" t="s">
        <v>303</v>
      </c>
      <c r="E432" s="327"/>
      <c r="F432" s="481" t="s">
        <v>334</v>
      </c>
      <c r="G432" s="327"/>
      <c r="H432" s="485"/>
      <c r="I432" s="326"/>
      <c r="J432" s="327"/>
      <c r="K432" s="481" t="s">
        <v>334</v>
      </c>
      <c r="L432" s="326"/>
      <c r="M432" s="327"/>
      <c r="N432" s="486" t="s">
        <v>303</v>
      </c>
      <c r="O432" s="326"/>
      <c r="P432" s="326"/>
      <c r="Q432" s="326"/>
      <c r="R432" s="326"/>
      <c r="S432" s="326"/>
      <c r="T432" s="326"/>
      <c r="U432" s="327"/>
    </row>
    <row r="433" spans="1:21" ht="34.5" customHeight="1" x14ac:dyDescent="0.25">
      <c r="A433" s="10">
        <f t="shared" si="1"/>
        <v>419</v>
      </c>
      <c r="B433" s="479" t="s">
        <v>303</v>
      </c>
      <c r="C433" s="327"/>
      <c r="D433" s="480" t="s">
        <v>303</v>
      </c>
      <c r="E433" s="327"/>
      <c r="F433" s="481" t="s">
        <v>334</v>
      </c>
      <c r="G433" s="327"/>
      <c r="H433" s="482"/>
      <c r="I433" s="326"/>
      <c r="J433" s="327"/>
      <c r="K433" s="481" t="s">
        <v>334</v>
      </c>
      <c r="L433" s="326"/>
      <c r="M433" s="327"/>
      <c r="N433" s="439" t="s">
        <v>303</v>
      </c>
      <c r="O433" s="326"/>
      <c r="P433" s="326"/>
      <c r="Q433" s="326"/>
      <c r="R433" s="326"/>
      <c r="S433" s="326"/>
      <c r="T433" s="326"/>
      <c r="U433" s="327"/>
    </row>
    <row r="434" spans="1:21" ht="34.5" customHeight="1" x14ac:dyDescent="0.25">
      <c r="A434" s="10">
        <f t="shared" si="1"/>
        <v>420</v>
      </c>
      <c r="B434" s="483" t="s">
        <v>303</v>
      </c>
      <c r="C434" s="327"/>
      <c r="D434" s="484" t="s">
        <v>303</v>
      </c>
      <c r="E434" s="327"/>
      <c r="F434" s="481" t="s">
        <v>334</v>
      </c>
      <c r="G434" s="327"/>
      <c r="H434" s="485"/>
      <c r="I434" s="326"/>
      <c r="J434" s="327"/>
      <c r="K434" s="481" t="s">
        <v>334</v>
      </c>
      <c r="L434" s="326"/>
      <c r="M434" s="327"/>
      <c r="N434" s="486" t="s">
        <v>303</v>
      </c>
      <c r="O434" s="326"/>
      <c r="P434" s="326"/>
      <c r="Q434" s="326"/>
      <c r="R434" s="326"/>
      <c r="S434" s="326"/>
      <c r="T434" s="326"/>
      <c r="U434" s="327"/>
    </row>
    <row r="435" spans="1:21" ht="34.5" customHeight="1" x14ac:dyDescent="0.25">
      <c r="A435" s="10">
        <f t="shared" si="1"/>
        <v>421</v>
      </c>
      <c r="B435" s="479" t="s">
        <v>303</v>
      </c>
      <c r="C435" s="327"/>
      <c r="D435" s="480" t="s">
        <v>303</v>
      </c>
      <c r="E435" s="327"/>
      <c r="F435" s="481" t="s">
        <v>334</v>
      </c>
      <c r="G435" s="327"/>
      <c r="H435" s="482"/>
      <c r="I435" s="326"/>
      <c r="J435" s="327"/>
      <c r="K435" s="481" t="s">
        <v>334</v>
      </c>
      <c r="L435" s="326"/>
      <c r="M435" s="327"/>
      <c r="N435" s="439" t="s">
        <v>303</v>
      </c>
      <c r="O435" s="326"/>
      <c r="P435" s="326"/>
      <c r="Q435" s="326"/>
      <c r="R435" s="326"/>
      <c r="S435" s="326"/>
      <c r="T435" s="326"/>
      <c r="U435" s="327"/>
    </row>
    <row r="436" spans="1:21" ht="34.5" customHeight="1" x14ac:dyDescent="0.25">
      <c r="A436" s="10">
        <f t="shared" si="1"/>
        <v>422</v>
      </c>
      <c r="B436" s="483" t="s">
        <v>303</v>
      </c>
      <c r="C436" s="327"/>
      <c r="D436" s="484" t="s">
        <v>303</v>
      </c>
      <c r="E436" s="327"/>
      <c r="F436" s="481" t="s">
        <v>334</v>
      </c>
      <c r="G436" s="327"/>
      <c r="H436" s="485"/>
      <c r="I436" s="326"/>
      <c r="J436" s="327"/>
      <c r="K436" s="481" t="s">
        <v>334</v>
      </c>
      <c r="L436" s="326"/>
      <c r="M436" s="327"/>
      <c r="N436" s="486" t="s">
        <v>303</v>
      </c>
      <c r="O436" s="326"/>
      <c r="P436" s="326"/>
      <c r="Q436" s="326"/>
      <c r="R436" s="326"/>
      <c r="S436" s="326"/>
      <c r="T436" s="326"/>
      <c r="U436" s="327"/>
    </row>
    <row r="437" spans="1:21" ht="34.5" customHeight="1" x14ac:dyDescent="0.25">
      <c r="A437" s="10">
        <f t="shared" si="1"/>
        <v>423</v>
      </c>
      <c r="B437" s="479" t="s">
        <v>303</v>
      </c>
      <c r="C437" s="327"/>
      <c r="D437" s="480" t="s">
        <v>303</v>
      </c>
      <c r="E437" s="327"/>
      <c r="F437" s="481" t="s">
        <v>334</v>
      </c>
      <c r="G437" s="327"/>
      <c r="H437" s="482"/>
      <c r="I437" s="326"/>
      <c r="J437" s="327"/>
      <c r="K437" s="481" t="s">
        <v>334</v>
      </c>
      <c r="L437" s="326"/>
      <c r="M437" s="327"/>
      <c r="N437" s="439" t="s">
        <v>303</v>
      </c>
      <c r="O437" s="326"/>
      <c r="P437" s="326"/>
      <c r="Q437" s="326"/>
      <c r="R437" s="326"/>
      <c r="S437" s="326"/>
      <c r="T437" s="326"/>
      <c r="U437" s="327"/>
    </row>
    <row r="438" spans="1:21" ht="34.5" customHeight="1" x14ac:dyDescent="0.25">
      <c r="A438" s="10">
        <f t="shared" si="1"/>
        <v>424</v>
      </c>
      <c r="B438" s="483" t="s">
        <v>303</v>
      </c>
      <c r="C438" s="327"/>
      <c r="D438" s="484" t="s">
        <v>303</v>
      </c>
      <c r="E438" s="327"/>
      <c r="F438" s="481" t="s">
        <v>334</v>
      </c>
      <c r="G438" s="327"/>
      <c r="H438" s="485"/>
      <c r="I438" s="326"/>
      <c r="J438" s="327"/>
      <c r="K438" s="481" t="s">
        <v>334</v>
      </c>
      <c r="L438" s="326"/>
      <c r="M438" s="327"/>
      <c r="N438" s="486" t="s">
        <v>303</v>
      </c>
      <c r="O438" s="326"/>
      <c r="P438" s="326"/>
      <c r="Q438" s="326"/>
      <c r="R438" s="326"/>
      <c r="S438" s="326"/>
      <c r="T438" s="326"/>
      <c r="U438" s="327"/>
    </row>
    <row r="439" spans="1:21" ht="34.5" customHeight="1" x14ac:dyDescent="0.25">
      <c r="A439" s="10">
        <f t="shared" si="1"/>
        <v>425</v>
      </c>
      <c r="B439" s="479" t="s">
        <v>303</v>
      </c>
      <c r="C439" s="327"/>
      <c r="D439" s="480" t="s">
        <v>303</v>
      </c>
      <c r="E439" s="327"/>
      <c r="F439" s="481" t="s">
        <v>334</v>
      </c>
      <c r="G439" s="327"/>
      <c r="H439" s="482"/>
      <c r="I439" s="326"/>
      <c r="J439" s="327"/>
      <c r="K439" s="481" t="s">
        <v>334</v>
      </c>
      <c r="L439" s="326"/>
      <c r="M439" s="327"/>
      <c r="N439" s="439" t="s">
        <v>303</v>
      </c>
      <c r="O439" s="326"/>
      <c r="P439" s="326"/>
      <c r="Q439" s="326"/>
      <c r="R439" s="326"/>
      <c r="S439" s="326"/>
      <c r="T439" s="326"/>
      <c r="U439" s="327"/>
    </row>
    <row r="440" spans="1:21" ht="34.5" customHeight="1" x14ac:dyDescent="0.25">
      <c r="A440" s="10">
        <f t="shared" si="1"/>
        <v>426</v>
      </c>
      <c r="B440" s="483" t="s">
        <v>303</v>
      </c>
      <c r="C440" s="327"/>
      <c r="D440" s="484" t="s">
        <v>303</v>
      </c>
      <c r="E440" s="327"/>
      <c r="F440" s="481" t="s">
        <v>334</v>
      </c>
      <c r="G440" s="327"/>
      <c r="H440" s="485"/>
      <c r="I440" s="326"/>
      <c r="J440" s="327"/>
      <c r="K440" s="481" t="s">
        <v>334</v>
      </c>
      <c r="L440" s="326"/>
      <c r="M440" s="327"/>
      <c r="N440" s="486" t="s">
        <v>303</v>
      </c>
      <c r="O440" s="326"/>
      <c r="P440" s="326"/>
      <c r="Q440" s="326"/>
      <c r="R440" s="326"/>
      <c r="S440" s="326"/>
      <c r="T440" s="326"/>
      <c r="U440" s="327"/>
    </row>
    <row r="441" spans="1:21" ht="34.5" customHeight="1" x14ac:dyDescent="0.25">
      <c r="A441" s="10">
        <f t="shared" si="1"/>
        <v>427</v>
      </c>
      <c r="B441" s="479" t="s">
        <v>303</v>
      </c>
      <c r="C441" s="327"/>
      <c r="D441" s="480" t="s">
        <v>303</v>
      </c>
      <c r="E441" s="327"/>
      <c r="F441" s="481" t="s">
        <v>334</v>
      </c>
      <c r="G441" s="327"/>
      <c r="H441" s="482"/>
      <c r="I441" s="326"/>
      <c r="J441" s="327"/>
      <c r="K441" s="481" t="s">
        <v>334</v>
      </c>
      <c r="L441" s="326"/>
      <c r="M441" s="327"/>
      <c r="N441" s="439" t="s">
        <v>303</v>
      </c>
      <c r="O441" s="326"/>
      <c r="P441" s="326"/>
      <c r="Q441" s="326"/>
      <c r="R441" s="326"/>
      <c r="S441" s="326"/>
      <c r="T441" s="326"/>
      <c r="U441" s="327"/>
    </row>
    <row r="442" spans="1:21" ht="34.5" customHeight="1" x14ac:dyDescent="0.25">
      <c r="A442" s="10">
        <f t="shared" si="1"/>
        <v>428</v>
      </c>
      <c r="B442" s="483" t="s">
        <v>303</v>
      </c>
      <c r="C442" s="327"/>
      <c r="D442" s="484" t="s">
        <v>303</v>
      </c>
      <c r="E442" s="327"/>
      <c r="F442" s="481" t="s">
        <v>334</v>
      </c>
      <c r="G442" s="327"/>
      <c r="H442" s="485"/>
      <c r="I442" s="326"/>
      <c r="J442" s="327"/>
      <c r="K442" s="481" t="s">
        <v>334</v>
      </c>
      <c r="L442" s="326"/>
      <c r="M442" s="327"/>
      <c r="N442" s="486" t="s">
        <v>303</v>
      </c>
      <c r="O442" s="326"/>
      <c r="P442" s="326"/>
      <c r="Q442" s="326"/>
      <c r="R442" s="326"/>
      <c r="S442" s="326"/>
      <c r="T442" s="326"/>
      <c r="U442" s="327"/>
    </row>
    <row r="443" spans="1:21" ht="34.5" customHeight="1" x14ac:dyDescent="0.25">
      <c r="A443" s="10">
        <f t="shared" si="1"/>
        <v>429</v>
      </c>
      <c r="B443" s="479" t="s">
        <v>303</v>
      </c>
      <c r="C443" s="327"/>
      <c r="D443" s="480" t="s">
        <v>303</v>
      </c>
      <c r="E443" s="327"/>
      <c r="F443" s="481" t="s">
        <v>334</v>
      </c>
      <c r="G443" s="327"/>
      <c r="H443" s="482"/>
      <c r="I443" s="326"/>
      <c r="J443" s="327"/>
      <c r="K443" s="481" t="s">
        <v>334</v>
      </c>
      <c r="L443" s="326"/>
      <c r="M443" s="327"/>
      <c r="N443" s="439" t="s">
        <v>303</v>
      </c>
      <c r="O443" s="326"/>
      <c r="P443" s="326"/>
      <c r="Q443" s="326"/>
      <c r="R443" s="326"/>
      <c r="S443" s="326"/>
      <c r="T443" s="326"/>
      <c r="U443" s="327"/>
    </row>
    <row r="444" spans="1:21" ht="34.5" customHeight="1" x14ac:dyDescent="0.25">
      <c r="A444" s="10">
        <f t="shared" si="1"/>
        <v>430</v>
      </c>
      <c r="B444" s="483" t="s">
        <v>303</v>
      </c>
      <c r="C444" s="327"/>
      <c r="D444" s="484" t="s">
        <v>303</v>
      </c>
      <c r="E444" s="327"/>
      <c r="F444" s="481" t="s">
        <v>334</v>
      </c>
      <c r="G444" s="327"/>
      <c r="H444" s="485"/>
      <c r="I444" s="326"/>
      <c r="J444" s="327"/>
      <c r="K444" s="481" t="s">
        <v>334</v>
      </c>
      <c r="L444" s="326"/>
      <c r="M444" s="327"/>
      <c r="N444" s="486" t="s">
        <v>303</v>
      </c>
      <c r="O444" s="326"/>
      <c r="P444" s="326"/>
      <c r="Q444" s="326"/>
      <c r="R444" s="326"/>
      <c r="S444" s="326"/>
      <c r="T444" s="326"/>
      <c r="U444" s="327"/>
    </row>
    <row r="445" spans="1:21" ht="34.5" customHeight="1" x14ac:dyDescent="0.25">
      <c r="A445" s="10">
        <f t="shared" si="1"/>
        <v>431</v>
      </c>
      <c r="B445" s="479" t="s">
        <v>303</v>
      </c>
      <c r="C445" s="327"/>
      <c r="D445" s="480" t="s">
        <v>303</v>
      </c>
      <c r="E445" s="327"/>
      <c r="F445" s="481" t="s">
        <v>334</v>
      </c>
      <c r="G445" s="327"/>
      <c r="H445" s="482"/>
      <c r="I445" s="326"/>
      <c r="J445" s="327"/>
      <c r="K445" s="481" t="s">
        <v>334</v>
      </c>
      <c r="L445" s="326"/>
      <c r="M445" s="327"/>
      <c r="N445" s="439" t="s">
        <v>303</v>
      </c>
      <c r="O445" s="326"/>
      <c r="P445" s="326"/>
      <c r="Q445" s="326"/>
      <c r="R445" s="326"/>
      <c r="S445" s="326"/>
      <c r="T445" s="326"/>
      <c r="U445" s="327"/>
    </row>
    <row r="446" spans="1:21" ht="34.5" customHeight="1" x14ac:dyDescent="0.25">
      <c r="A446" s="10">
        <f t="shared" si="1"/>
        <v>432</v>
      </c>
      <c r="B446" s="483" t="s">
        <v>303</v>
      </c>
      <c r="C446" s="327"/>
      <c r="D446" s="484" t="s">
        <v>303</v>
      </c>
      <c r="E446" s="327"/>
      <c r="F446" s="481" t="s">
        <v>334</v>
      </c>
      <c r="G446" s="327"/>
      <c r="H446" s="485"/>
      <c r="I446" s="326"/>
      <c r="J446" s="327"/>
      <c r="K446" s="481" t="s">
        <v>334</v>
      </c>
      <c r="L446" s="326"/>
      <c r="M446" s="327"/>
      <c r="N446" s="486" t="s">
        <v>303</v>
      </c>
      <c r="O446" s="326"/>
      <c r="P446" s="326"/>
      <c r="Q446" s="326"/>
      <c r="R446" s="326"/>
      <c r="S446" s="326"/>
      <c r="T446" s="326"/>
      <c r="U446" s="327"/>
    </row>
    <row r="447" spans="1:21" ht="34.5" customHeight="1" x14ac:dyDescent="0.25">
      <c r="A447" s="10">
        <f t="shared" si="1"/>
        <v>433</v>
      </c>
      <c r="B447" s="479" t="s">
        <v>303</v>
      </c>
      <c r="C447" s="327"/>
      <c r="D447" s="480" t="s">
        <v>303</v>
      </c>
      <c r="E447" s="327"/>
      <c r="F447" s="481" t="s">
        <v>334</v>
      </c>
      <c r="G447" s="327"/>
      <c r="H447" s="482"/>
      <c r="I447" s="326"/>
      <c r="J447" s="327"/>
      <c r="K447" s="481" t="s">
        <v>334</v>
      </c>
      <c r="L447" s="326"/>
      <c r="M447" s="327"/>
      <c r="N447" s="439" t="s">
        <v>303</v>
      </c>
      <c r="O447" s="326"/>
      <c r="P447" s="326"/>
      <c r="Q447" s="326"/>
      <c r="R447" s="326"/>
      <c r="S447" s="326"/>
      <c r="T447" s="326"/>
      <c r="U447" s="327"/>
    </row>
    <row r="448" spans="1:21" ht="34.5" customHeight="1" x14ac:dyDescent="0.25">
      <c r="A448" s="10">
        <f t="shared" si="1"/>
        <v>434</v>
      </c>
      <c r="B448" s="483" t="s">
        <v>303</v>
      </c>
      <c r="C448" s="327"/>
      <c r="D448" s="484" t="s">
        <v>303</v>
      </c>
      <c r="E448" s="327"/>
      <c r="F448" s="481" t="s">
        <v>334</v>
      </c>
      <c r="G448" s="327"/>
      <c r="H448" s="485"/>
      <c r="I448" s="326"/>
      <c r="J448" s="327"/>
      <c r="K448" s="481" t="s">
        <v>334</v>
      </c>
      <c r="L448" s="326"/>
      <c r="M448" s="327"/>
      <c r="N448" s="486" t="s">
        <v>303</v>
      </c>
      <c r="O448" s="326"/>
      <c r="P448" s="326"/>
      <c r="Q448" s="326"/>
      <c r="R448" s="326"/>
      <c r="S448" s="326"/>
      <c r="T448" s="326"/>
      <c r="U448" s="327"/>
    </row>
    <row r="449" spans="1:21" ht="34.5" customHeight="1" x14ac:dyDescent="0.25">
      <c r="A449" s="10">
        <f t="shared" si="1"/>
        <v>435</v>
      </c>
      <c r="B449" s="479" t="s">
        <v>303</v>
      </c>
      <c r="C449" s="327"/>
      <c r="D449" s="480" t="s">
        <v>303</v>
      </c>
      <c r="E449" s="327"/>
      <c r="F449" s="481" t="s">
        <v>334</v>
      </c>
      <c r="G449" s="327"/>
      <c r="H449" s="482"/>
      <c r="I449" s="326"/>
      <c r="J449" s="327"/>
      <c r="K449" s="481" t="s">
        <v>334</v>
      </c>
      <c r="L449" s="326"/>
      <c r="M449" s="327"/>
      <c r="N449" s="439" t="s">
        <v>303</v>
      </c>
      <c r="O449" s="326"/>
      <c r="P449" s="326"/>
      <c r="Q449" s="326"/>
      <c r="R449" s="326"/>
      <c r="S449" s="326"/>
      <c r="T449" s="326"/>
      <c r="U449" s="327"/>
    </row>
    <row r="450" spans="1:21" ht="34.5" customHeight="1" x14ac:dyDescent="0.25">
      <c r="A450" s="10">
        <f t="shared" si="1"/>
        <v>436</v>
      </c>
      <c r="B450" s="483" t="s">
        <v>303</v>
      </c>
      <c r="C450" s="327"/>
      <c r="D450" s="484" t="s">
        <v>303</v>
      </c>
      <c r="E450" s="327"/>
      <c r="F450" s="481" t="s">
        <v>334</v>
      </c>
      <c r="G450" s="327"/>
      <c r="H450" s="485"/>
      <c r="I450" s="326"/>
      <c r="J450" s="327"/>
      <c r="K450" s="481" t="s">
        <v>334</v>
      </c>
      <c r="L450" s="326"/>
      <c r="M450" s="327"/>
      <c r="N450" s="486" t="s">
        <v>303</v>
      </c>
      <c r="O450" s="326"/>
      <c r="P450" s="326"/>
      <c r="Q450" s="326"/>
      <c r="R450" s="326"/>
      <c r="S450" s="326"/>
      <c r="T450" s="326"/>
      <c r="U450" s="327"/>
    </row>
    <row r="451" spans="1:21" ht="34.5" customHeight="1" x14ac:dyDescent="0.25">
      <c r="A451" s="10">
        <f t="shared" si="1"/>
        <v>437</v>
      </c>
      <c r="B451" s="479" t="s">
        <v>303</v>
      </c>
      <c r="C451" s="327"/>
      <c r="D451" s="480" t="s">
        <v>303</v>
      </c>
      <c r="E451" s="327"/>
      <c r="F451" s="481" t="s">
        <v>334</v>
      </c>
      <c r="G451" s="327"/>
      <c r="H451" s="482"/>
      <c r="I451" s="326"/>
      <c r="J451" s="327"/>
      <c r="K451" s="481" t="s">
        <v>334</v>
      </c>
      <c r="L451" s="326"/>
      <c r="M451" s="327"/>
      <c r="N451" s="439" t="s">
        <v>303</v>
      </c>
      <c r="O451" s="326"/>
      <c r="P451" s="326"/>
      <c r="Q451" s="326"/>
      <c r="R451" s="326"/>
      <c r="S451" s="326"/>
      <c r="T451" s="326"/>
      <c r="U451" s="327"/>
    </row>
    <row r="452" spans="1:21" ht="34.5" customHeight="1" x14ac:dyDescent="0.25">
      <c r="A452" s="10">
        <f t="shared" si="1"/>
        <v>438</v>
      </c>
      <c r="B452" s="483" t="s">
        <v>303</v>
      </c>
      <c r="C452" s="327"/>
      <c r="D452" s="484" t="s">
        <v>303</v>
      </c>
      <c r="E452" s="327"/>
      <c r="F452" s="481" t="s">
        <v>334</v>
      </c>
      <c r="G452" s="327"/>
      <c r="H452" s="485"/>
      <c r="I452" s="326"/>
      <c r="J452" s="327"/>
      <c r="K452" s="481" t="s">
        <v>334</v>
      </c>
      <c r="L452" s="326"/>
      <c r="M452" s="327"/>
      <c r="N452" s="486" t="s">
        <v>303</v>
      </c>
      <c r="O452" s="326"/>
      <c r="P452" s="326"/>
      <c r="Q452" s="326"/>
      <c r="R452" s="326"/>
      <c r="S452" s="326"/>
      <c r="T452" s="326"/>
      <c r="U452" s="327"/>
    </row>
    <row r="453" spans="1:21" ht="34.5" customHeight="1" x14ac:dyDescent="0.25">
      <c r="A453" s="10">
        <f t="shared" si="1"/>
        <v>439</v>
      </c>
      <c r="B453" s="479" t="s">
        <v>303</v>
      </c>
      <c r="C453" s="327"/>
      <c r="D453" s="480" t="s">
        <v>303</v>
      </c>
      <c r="E453" s="327"/>
      <c r="F453" s="481" t="s">
        <v>334</v>
      </c>
      <c r="G453" s="327"/>
      <c r="H453" s="482"/>
      <c r="I453" s="326"/>
      <c r="J453" s="327"/>
      <c r="K453" s="481" t="s">
        <v>334</v>
      </c>
      <c r="L453" s="326"/>
      <c r="M453" s="327"/>
      <c r="N453" s="439" t="s">
        <v>303</v>
      </c>
      <c r="O453" s="326"/>
      <c r="P453" s="326"/>
      <c r="Q453" s="326"/>
      <c r="R453" s="326"/>
      <c r="S453" s="326"/>
      <c r="T453" s="326"/>
      <c r="U453" s="327"/>
    </row>
    <row r="454" spans="1:21" ht="34.5" customHeight="1" x14ac:dyDescent="0.25">
      <c r="A454" s="10">
        <f t="shared" si="1"/>
        <v>440</v>
      </c>
      <c r="B454" s="483" t="s">
        <v>303</v>
      </c>
      <c r="C454" s="327"/>
      <c r="D454" s="484" t="s">
        <v>303</v>
      </c>
      <c r="E454" s="327"/>
      <c r="F454" s="481" t="s">
        <v>334</v>
      </c>
      <c r="G454" s="327"/>
      <c r="H454" s="485"/>
      <c r="I454" s="326"/>
      <c r="J454" s="327"/>
      <c r="K454" s="481" t="s">
        <v>334</v>
      </c>
      <c r="L454" s="326"/>
      <c r="M454" s="327"/>
      <c r="N454" s="486" t="s">
        <v>303</v>
      </c>
      <c r="O454" s="326"/>
      <c r="P454" s="326"/>
      <c r="Q454" s="326"/>
      <c r="R454" s="326"/>
      <c r="S454" s="326"/>
      <c r="T454" s="326"/>
      <c r="U454" s="327"/>
    </row>
    <row r="455" spans="1:21" ht="34.5" customHeight="1" x14ac:dyDescent="0.25">
      <c r="A455" s="10">
        <f t="shared" si="1"/>
        <v>441</v>
      </c>
      <c r="B455" s="479" t="s">
        <v>303</v>
      </c>
      <c r="C455" s="327"/>
      <c r="D455" s="480" t="s">
        <v>303</v>
      </c>
      <c r="E455" s="327"/>
      <c r="F455" s="481" t="s">
        <v>334</v>
      </c>
      <c r="G455" s="327"/>
      <c r="H455" s="482"/>
      <c r="I455" s="326"/>
      <c r="J455" s="327"/>
      <c r="K455" s="481" t="s">
        <v>334</v>
      </c>
      <c r="L455" s="326"/>
      <c r="M455" s="327"/>
      <c r="N455" s="439" t="s">
        <v>303</v>
      </c>
      <c r="O455" s="326"/>
      <c r="P455" s="326"/>
      <c r="Q455" s="326"/>
      <c r="R455" s="326"/>
      <c r="S455" s="326"/>
      <c r="T455" s="326"/>
      <c r="U455" s="327"/>
    </row>
    <row r="456" spans="1:21" ht="34.5" customHeight="1" x14ac:dyDescent="0.25">
      <c r="A456" s="10">
        <f t="shared" si="1"/>
        <v>442</v>
      </c>
      <c r="B456" s="483" t="s">
        <v>303</v>
      </c>
      <c r="C456" s="327"/>
      <c r="D456" s="484" t="s">
        <v>303</v>
      </c>
      <c r="E456" s="327"/>
      <c r="F456" s="481" t="s">
        <v>334</v>
      </c>
      <c r="G456" s="327"/>
      <c r="H456" s="485"/>
      <c r="I456" s="326"/>
      <c r="J456" s="327"/>
      <c r="K456" s="481" t="s">
        <v>334</v>
      </c>
      <c r="L456" s="326"/>
      <c r="M456" s="327"/>
      <c r="N456" s="486" t="s">
        <v>303</v>
      </c>
      <c r="O456" s="326"/>
      <c r="P456" s="326"/>
      <c r="Q456" s="326"/>
      <c r="R456" s="326"/>
      <c r="S456" s="326"/>
      <c r="T456" s="326"/>
      <c r="U456" s="327"/>
    </row>
    <row r="457" spans="1:21" ht="34.5" customHeight="1" x14ac:dyDescent="0.25">
      <c r="A457" s="10">
        <f t="shared" si="1"/>
        <v>443</v>
      </c>
      <c r="B457" s="479" t="s">
        <v>303</v>
      </c>
      <c r="C457" s="327"/>
      <c r="D457" s="480" t="s">
        <v>303</v>
      </c>
      <c r="E457" s="327"/>
      <c r="F457" s="481" t="s">
        <v>334</v>
      </c>
      <c r="G457" s="327"/>
      <c r="H457" s="482"/>
      <c r="I457" s="326"/>
      <c r="J457" s="327"/>
      <c r="K457" s="481" t="s">
        <v>334</v>
      </c>
      <c r="L457" s="326"/>
      <c r="M457" s="327"/>
      <c r="N457" s="439" t="s">
        <v>303</v>
      </c>
      <c r="O457" s="326"/>
      <c r="P457" s="326"/>
      <c r="Q457" s="326"/>
      <c r="R457" s="326"/>
      <c r="S457" s="326"/>
      <c r="T457" s="326"/>
      <c r="U457" s="327"/>
    </row>
    <row r="458" spans="1:21" ht="34.5" customHeight="1" x14ac:dyDescent="0.25">
      <c r="A458" s="10">
        <f t="shared" si="1"/>
        <v>444</v>
      </c>
      <c r="B458" s="483" t="s">
        <v>303</v>
      </c>
      <c r="C458" s="327"/>
      <c r="D458" s="484" t="s">
        <v>303</v>
      </c>
      <c r="E458" s="327"/>
      <c r="F458" s="481" t="s">
        <v>334</v>
      </c>
      <c r="G458" s="327"/>
      <c r="H458" s="485"/>
      <c r="I458" s="326"/>
      <c r="J458" s="327"/>
      <c r="K458" s="481" t="s">
        <v>334</v>
      </c>
      <c r="L458" s="326"/>
      <c r="M458" s="327"/>
      <c r="N458" s="486" t="s">
        <v>303</v>
      </c>
      <c r="O458" s="326"/>
      <c r="P458" s="326"/>
      <c r="Q458" s="326"/>
      <c r="R458" s="326"/>
      <c r="S458" s="326"/>
      <c r="T458" s="326"/>
      <c r="U458" s="327"/>
    </row>
    <row r="459" spans="1:21" ht="34.5" customHeight="1" x14ac:dyDescent="0.25">
      <c r="A459" s="10">
        <f t="shared" si="1"/>
        <v>445</v>
      </c>
      <c r="B459" s="479" t="s">
        <v>303</v>
      </c>
      <c r="C459" s="327"/>
      <c r="D459" s="480" t="s">
        <v>303</v>
      </c>
      <c r="E459" s="327"/>
      <c r="F459" s="481" t="s">
        <v>334</v>
      </c>
      <c r="G459" s="327"/>
      <c r="H459" s="482"/>
      <c r="I459" s="326"/>
      <c r="J459" s="327"/>
      <c r="K459" s="481" t="s">
        <v>334</v>
      </c>
      <c r="L459" s="326"/>
      <c r="M459" s="327"/>
      <c r="N459" s="439" t="s">
        <v>303</v>
      </c>
      <c r="O459" s="326"/>
      <c r="P459" s="326"/>
      <c r="Q459" s="326"/>
      <c r="R459" s="326"/>
      <c r="S459" s="326"/>
      <c r="T459" s="326"/>
      <c r="U459" s="327"/>
    </row>
    <row r="460" spans="1:21" ht="34.5" customHeight="1" x14ac:dyDescent="0.25">
      <c r="A460" s="10">
        <f t="shared" si="1"/>
        <v>446</v>
      </c>
      <c r="B460" s="483" t="s">
        <v>303</v>
      </c>
      <c r="C460" s="327"/>
      <c r="D460" s="484" t="s">
        <v>303</v>
      </c>
      <c r="E460" s="327"/>
      <c r="F460" s="481" t="s">
        <v>334</v>
      </c>
      <c r="G460" s="327"/>
      <c r="H460" s="485"/>
      <c r="I460" s="326"/>
      <c r="J460" s="327"/>
      <c r="K460" s="481" t="s">
        <v>334</v>
      </c>
      <c r="L460" s="326"/>
      <c r="M460" s="327"/>
      <c r="N460" s="486" t="s">
        <v>303</v>
      </c>
      <c r="O460" s="326"/>
      <c r="P460" s="326"/>
      <c r="Q460" s="326"/>
      <c r="R460" s="326"/>
      <c r="S460" s="326"/>
      <c r="T460" s="326"/>
      <c r="U460" s="327"/>
    </row>
    <row r="461" spans="1:21" ht="34.5" customHeight="1" x14ac:dyDescent="0.25">
      <c r="A461" s="10">
        <f t="shared" si="1"/>
        <v>447</v>
      </c>
      <c r="B461" s="479" t="s">
        <v>303</v>
      </c>
      <c r="C461" s="327"/>
      <c r="D461" s="480" t="s">
        <v>303</v>
      </c>
      <c r="E461" s="327"/>
      <c r="F461" s="481" t="s">
        <v>334</v>
      </c>
      <c r="G461" s="327"/>
      <c r="H461" s="482"/>
      <c r="I461" s="326"/>
      <c r="J461" s="327"/>
      <c r="K461" s="481" t="s">
        <v>334</v>
      </c>
      <c r="L461" s="326"/>
      <c r="M461" s="327"/>
      <c r="N461" s="439" t="s">
        <v>303</v>
      </c>
      <c r="O461" s="326"/>
      <c r="P461" s="326"/>
      <c r="Q461" s="326"/>
      <c r="R461" s="326"/>
      <c r="S461" s="326"/>
      <c r="T461" s="326"/>
      <c r="U461" s="327"/>
    </row>
    <row r="462" spans="1:21" ht="34.5" customHeight="1" x14ac:dyDescent="0.25">
      <c r="A462" s="10">
        <f t="shared" si="1"/>
        <v>448</v>
      </c>
      <c r="B462" s="483" t="s">
        <v>303</v>
      </c>
      <c r="C462" s="327"/>
      <c r="D462" s="484" t="s">
        <v>303</v>
      </c>
      <c r="E462" s="327"/>
      <c r="F462" s="481" t="s">
        <v>334</v>
      </c>
      <c r="G462" s="327"/>
      <c r="H462" s="485"/>
      <c r="I462" s="326"/>
      <c r="J462" s="327"/>
      <c r="K462" s="481" t="s">
        <v>334</v>
      </c>
      <c r="L462" s="326"/>
      <c r="M462" s="327"/>
      <c r="N462" s="486" t="s">
        <v>303</v>
      </c>
      <c r="O462" s="326"/>
      <c r="P462" s="326"/>
      <c r="Q462" s="326"/>
      <c r="R462" s="326"/>
      <c r="S462" s="326"/>
      <c r="T462" s="326"/>
      <c r="U462" s="327"/>
    </row>
    <row r="463" spans="1:21" ht="34.5" customHeight="1" x14ac:dyDescent="0.25">
      <c r="A463" s="10">
        <f t="shared" si="1"/>
        <v>449</v>
      </c>
      <c r="B463" s="479" t="s">
        <v>303</v>
      </c>
      <c r="C463" s="327"/>
      <c r="D463" s="480" t="s">
        <v>303</v>
      </c>
      <c r="E463" s="327"/>
      <c r="F463" s="481" t="s">
        <v>334</v>
      </c>
      <c r="G463" s="327"/>
      <c r="H463" s="482"/>
      <c r="I463" s="326"/>
      <c r="J463" s="327"/>
      <c r="K463" s="481" t="s">
        <v>334</v>
      </c>
      <c r="L463" s="326"/>
      <c r="M463" s="327"/>
      <c r="N463" s="439" t="s">
        <v>303</v>
      </c>
      <c r="O463" s="326"/>
      <c r="P463" s="326"/>
      <c r="Q463" s="326"/>
      <c r="R463" s="326"/>
      <c r="S463" s="326"/>
      <c r="T463" s="326"/>
      <c r="U463" s="327"/>
    </row>
    <row r="464" spans="1:21" ht="34.5" customHeight="1" x14ac:dyDescent="0.25">
      <c r="A464" s="10">
        <f t="shared" si="1"/>
        <v>450</v>
      </c>
      <c r="B464" s="483" t="s">
        <v>303</v>
      </c>
      <c r="C464" s="327"/>
      <c r="D464" s="484" t="s">
        <v>303</v>
      </c>
      <c r="E464" s="327"/>
      <c r="F464" s="481" t="s">
        <v>334</v>
      </c>
      <c r="G464" s="327"/>
      <c r="H464" s="485"/>
      <c r="I464" s="326"/>
      <c r="J464" s="327"/>
      <c r="K464" s="481" t="s">
        <v>334</v>
      </c>
      <c r="L464" s="326"/>
      <c r="M464" s="327"/>
      <c r="N464" s="486" t="s">
        <v>303</v>
      </c>
      <c r="O464" s="326"/>
      <c r="P464" s="326"/>
      <c r="Q464" s="326"/>
      <c r="R464" s="326"/>
      <c r="S464" s="326"/>
      <c r="T464" s="326"/>
      <c r="U464" s="327"/>
    </row>
    <row r="465" spans="1:21" ht="34.5" customHeight="1" x14ac:dyDescent="0.25">
      <c r="A465" s="10">
        <f t="shared" si="1"/>
        <v>451</v>
      </c>
      <c r="B465" s="479" t="s">
        <v>303</v>
      </c>
      <c r="C465" s="327"/>
      <c r="D465" s="480" t="s">
        <v>303</v>
      </c>
      <c r="E465" s="327"/>
      <c r="F465" s="481" t="s">
        <v>334</v>
      </c>
      <c r="G465" s="327"/>
      <c r="H465" s="482"/>
      <c r="I465" s="326"/>
      <c r="J465" s="327"/>
      <c r="K465" s="481" t="s">
        <v>334</v>
      </c>
      <c r="L465" s="326"/>
      <c r="M465" s="327"/>
      <c r="N465" s="439" t="s">
        <v>303</v>
      </c>
      <c r="O465" s="326"/>
      <c r="P465" s="326"/>
      <c r="Q465" s="326"/>
      <c r="R465" s="326"/>
      <c r="S465" s="326"/>
      <c r="T465" s="326"/>
      <c r="U465" s="327"/>
    </row>
    <row r="466" spans="1:21" ht="34.5" customHeight="1" x14ac:dyDescent="0.25">
      <c r="A466" s="10">
        <f t="shared" si="1"/>
        <v>452</v>
      </c>
      <c r="B466" s="483" t="s">
        <v>303</v>
      </c>
      <c r="C466" s="327"/>
      <c r="D466" s="484" t="s">
        <v>303</v>
      </c>
      <c r="E466" s="327"/>
      <c r="F466" s="481" t="s">
        <v>334</v>
      </c>
      <c r="G466" s="327"/>
      <c r="H466" s="485"/>
      <c r="I466" s="326"/>
      <c r="J466" s="327"/>
      <c r="K466" s="481" t="s">
        <v>334</v>
      </c>
      <c r="L466" s="326"/>
      <c r="M466" s="327"/>
      <c r="N466" s="486" t="s">
        <v>303</v>
      </c>
      <c r="O466" s="326"/>
      <c r="P466" s="326"/>
      <c r="Q466" s="326"/>
      <c r="R466" s="326"/>
      <c r="S466" s="326"/>
      <c r="T466" s="326"/>
      <c r="U466" s="327"/>
    </row>
    <row r="467" spans="1:21" ht="34.5" customHeight="1" x14ac:dyDescent="0.25">
      <c r="A467" s="10">
        <f t="shared" si="1"/>
        <v>453</v>
      </c>
      <c r="B467" s="479" t="s">
        <v>303</v>
      </c>
      <c r="C467" s="327"/>
      <c r="D467" s="480" t="s">
        <v>303</v>
      </c>
      <c r="E467" s="327"/>
      <c r="F467" s="481" t="s">
        <v>334</v>
      </c>
      <c r="G467" s="327"/>
      <c r="H467" s="482"/>
      <c r="I467" s="326"/>
      <c r="J467" s="327"/>
      <c r="K467" s="481" t="s">
        <v>334</v>
      </c>
      <c r="L467" s="326"/>
      <c r="M467" s="327"/>
      <c r="N467" s="439" t="s">
        <v>303</v>
      </c>
      <c r="O467" s="326"/>
      <c r="P467" s="326"/>
      <c r="Q467" s="326"/>
      <c r="R467" s="326"/>
      <c r="S467" s="326"/>
      <c r="T467" s="326"/>
      <c r="U467" s="327"/>
    </row>
    <row r="468" spans="1:21" ht="34.5" customHeight="1" x14ac:dyDescent="0.25">
      <c r="A468" s="10">
        <f t="shared" si="1"/>
        <v>454</v>
      </c>
      <c r="B468" s="483" t="s">
        <v>303</v>
      </c>
      <c r="C468" s="327"/>
      <c r="D468" s="484" t="s">
        <v>303</v>
      </c>
      <c r="E468" s="327"/>
      <c r="F468" s="481" t="s">
        <v>334</v>
      </c>
      <c r="G468" s="327"/>
      <c r="H468" s="485"/>
      <c r="I468" s="326"/>
      <c r="J468" s="327"/>
      <c r="K468" s="481" t="s">
        <v>334</v>
      </c>
      <c r="L468" s="326"/>
      <c r="M468" s="327"/>
      <c r="N468" s="486" t="s">
        <v>303</v>
      </c>
      <c r="O468" s="326"/>
      <c r="P468" s="326"/>
      <c r="Q468" s="326"/>
      <c r="R468" s="326"/>
      <c r="S468" s="326"/>
      <c r="T468" s="326"/>
      <c r="U468" s="327"/>
    </row>
    <row r="469" spans="1:21" ht="34.5" customHeight="1" x14ac:dyDescent="0.25">
      <c r="A469" s="10">
        <f t="shared" si="1"/>
        <v>455</v>
      </c>
      <c r="B469" s="479" t="s">
        <v>335</v>
      </c>
      <c r="C469" s="327"/>
      <c r="D469" s="480" t="s">
        <v>303</v>
      </c>
      <c r="E469" s="327"/>
      <c r="F469" s="481" t="s">
        <v>334</v>
      </c>
      <c r="G469" s="327"/>
      <c r="H469" s="482"/>
      <c r="I469" s="326"/>
      <c r="J469" s="327"/>
      <c r="K469" s="481" t="s">
        <v>334</v>
      </c>
      <c r="L469" s="326"/>
      <c r="M469" s="327"/>
      <c r="N469" s="439" t="s">
        <v>303</v>
      </c>
      <c r="O469" s="326"/>
      <c r="P469" s="326"/>
      <c r="Q469" s="326"/>
      <c r="R469" s="326"/>
      <c r="S469" s="326"/>
      <c r="T469" s="326"/>
      <c r="U469" s="327"/>
    </row>
    <row r="470" spans="1:21" ht="34.5" customHeight="1" x14ac:dyDescent="0.25">
      <c r="A470" s="10">
        <f t="shared" si="1"/>
        <v>456</v>
      </c>
      <c r="B470" s="483" t="s">
        <v>303</v>
      </c>
      <c r="C470" s="327"/>
      <c r="D470" s="484" t="s">
        <v>303</v>
      </c>
      <c r="E470" s="327"/>
      <c r="F470" s="481" t="s">
        <v>334</v>
      </c>
      <c r="G470" s="327"/>
      <c r="H470" s="485"/>
      <c r="I470" s="326"/>
      <c r="J470" s="327"/>
      <c r="K470" s="481" t="s">
        <v>334</v>
      </c>
      <c r="L470" s="326"/>
      <c r="M470" s="327"/>
      <c r="N470" s="486" t="s">
        <v>303</v>
      </c>
      <c r="O470" s="326"/>
      <c r="P470" s="326"/>
      <c r="Q470" s="326"/>
      <c r="R470" s="326"/>
      <c r="S470" s="326"/>
      <c r="T470" s="326"/>
      <c r="U470" s="327"/>
    </row>
    <row r="471" spans="1:21" ht="34.5" customHeight="1" x14ac:dyDescent="0.25">
      <c r="A471" s="10">
        <f t="shared" si="1"/>
        <v>457</v>
      </c>
      <c r="B471" s="479" t="s">
        <v>303</v>
      </c>
      <c r="C471" s="327"/>
      <c r="D471" s="480" t="s">
        <v>303</v>
      </c>
      <c r="E471" s="327"/>
      <c r="F471" s="481" t="s">
        <v>334</v>
      </c>
      <c r="G471" s="327"/>
      <c r="H471" s="482"/>
      <c r="I471" s="326"/>
      <c r="J471" s="327"/>
      <c r="K471" s="481" t="s">
        <v>334</v>
      </c>
      <c r="L471" s="326"/>
      <c r="M471" s="327"/>
      <c r="N471" s="439" t="s">
        <v>303</v>
      </c>
      <c r="O471" s="326"/>
      <c r="P471" s="326"/>
      <c r="Q471" s="326"/>
      <c r="R471" s="326"/>
      <c r="S471" s="326"/>
      <c r="T471" s="326"/>
      <c r="U471" s="327"/>
    </row>
    <row r="472" spans="1:21" ht="34.5" customHeight="1" x14ac:dyDescent="0.25">
      <c r="A472" s="10">
        <f t="shared" si="1"/>
        <v>458</v>
      </c>
      <c r="B472" s="483" t="s">
        <v>303</v>
      </c>
      <c r="C472" s="327"/>
      <c r="D472" s="484" t="s">
        <v>303</v>
      </c>
      <c r="E472" s="327"/>
      <c r="F472" s="481" t="s">
        <v>334</v>
      </c>
      <c r="G472" s="327"/>
      <c r="H472" s="485"/>
      <c r="I472" s="326"/>
      <c r="J472" s="327"/>
      <c r="K472" s="481" t="s">
        <v>334</v>
      </c>
      <c r="L472" s="326"/>
      <c r="M472" s="327"/>
      <c r="N472" s="486" t="s">
        <v>303</v>
      </c>
      <c r="O472" s="326"/>
      <c r="P472" s="326"/>
      <c r="Q472" s="326"/>
      <c r="R472" s="326"/>
      <c r="S472" s="326"/>
      <c r="T472" s="326"/>
      <c r="U472" s="327"/>
    </row>
    <row r="473" spans="1:21" ht="34.5" customHeight="1" x14ac:dyDescent="0.25">
      <c r="A473" s="10">
        <f t="shared" si="1"/>
        <v>459</v>
      </c>
      <c r="B473" s="479" t="s">
        <v>303</v>
      </c>
      <c r="C473" s="327"/>
      <c r="D473" s="480" t="s">
        <v>303</v>
      </c>
      <c r="E473" s="327"/>
      <c r="F473" s="481" t="s">
        <v>334</v>
      </c>
      <c r="G473" s="327"/>
      <c r="H473" s="482"/>
      <c r="I473" s="326"/>
      <c r="J473" s="327"/>
      <c r="K473" s="481" t="s">
        <v>334</v>
      </c>
      <c r="L473" s="326"/>
      <c r="M473" s="327"/>
      <c r="N473" s="439" t="s">
        <v>303</v>
      </c>
      <c r="O473" s="326"/>
      <c r="P473" s="326"/>
      <c r="Q473" s="326"/>
      <c r="R473" s="326"/>
      <c r="S473" s="326"/>
      <c r="T473" s="326"/>
      <c r="U473" s="327"/>
    </row>
    <row r="474" spans="1:21" ht="34.5" customHeight="1" x14ac:dyDescent="0.25">
      <c r="A474" s="10">
        <f t="shared" si="1"/>
        <v>460</v>
      </c>
      <c r="B474" s="483" t="s">
        <v>303</v>
      </c>
      <c r="C474" s="327"/>
      <c r="D474" s="484" t="s">
        <v>303</v>
      </c>
      <c r="E474" s="327"/>
      <c r="F474" s="481" t="s">
        <v>334</v>
      </c>
      <c r="G474" s="327"/>
      <c r="H474" s="485"/>
      <c r="I474" s="326"/>
      <c r="J474" s="327"/>
      <c r="K474" s="481" t="s">
        <v>334</v>
      </c>
      <c r="L474" s="326"/>
      <c r="M474" s="327"/>
      <c r="N474" s="486" t="s">
        <v>303</v>
      </c>
      <c r="O474" s="326"/>
      <c r="P474" s="326"/>
      <c r="Q474" s="326"/>
      <c r="R474" s="326"/>
      <c r="S474" s="326"/>
      <c r="T474" s="326"/>
      <c r="U474" s="327"/>
    </row>
    <row r="475" spans="1:21" ht="34.5" customHeight="1" x14ac:dyDescent="0.25">
      <c r="A475" s="10">
        <f t="shared" si="1"/>
        <v>461</v>
      </c>
      <c r="B475" s="479" t="s">
        <v>336</v>
      </c>
      <c r="C475" s="327"/>
      <c r="D475" s="480" t="s">
        <v>303</v>
      </c>
      <c r="E475" s="327"/>
      <c r="F475" s="481" t="s">
        <v>334</v>
      </c>
      <c r="G475" s="327"/>
      <c r="H475" s="482"/>
      <c r="I475" s="326"/>
      <c r="J475" s="327"/>
      <c r="K475" s="481" t="s">
        <v>334</v>
      </c>
      <c r="L475" s="326"/>
      <c r="M475" s="327"/>
      <c r="N475" s="439" t="s">
        <v>303</v>
      </c>
      <c r="O475" s="326"/>
      <c r="P475" s="326"/>
      <c r="Q475" s="326"/>
      <c r="R475" s="326"/>
      <c r="S475" s="326"/>
      <c r="T475" s="326"/>
      <c r="U475" s="327"/>
    </row>
    <row r="476" spans="1:21" ht="34.5" customHeight="1" x14ac:dyDescent="0.25">
      <c r="A476" s="10">
        <f t="shared" si="1"/>
        <v>462</v>
      </c>
      <c r="B476" s="483" t="s">
        <v>303</v>
      </c>
      <c r="C476" s="327"/>
      <c r="D476" s="484" t="s">
        <v>303</v>
      </c>
      <c r="E476" s="327"/>
      <c r="F476" s="481" t="s">
        <v>334</v>
      </c>
      <c r="G476" s="327"/>
      <c r="H476" s="485"/>
      <c r="I476" s="326"/>
      <c r="J476" s="327"/>
      <c r="K476" s="481" t="s">
        <v>334</v>
      </c>
      <c r="L476" s="326"/>
      <c r="M476" s="327"/>
      <c r="N476" s="486" t="s">
        <v>303</v>
      </c>
      <c r="O476" s="326"/>
      <c r="P476" s="326"/>
      <c r="Q476" s="326"/>
      <c r="R476" s="326"/>
      <c r="S476" s="326"/>
      <c r="T476" s="326"/>
      <c r="U476" s="327"/>
    </row>
    <row r="477" spans="1:21" ht="34.5" customHeight="1" x14ac:dyDescent="0.25">
      <c r="A477" s="10">
        <f t="shared" si="1"/>
        <v>463</v>
      </c>
      <c r="B477" s="479" t="s">
        <v>303</v>
      </c>
      <c r="C477" s="327"/>
      <c r="D477" s="480" t="s">
        <v>303</v>
      </c>
      <c r="E477" s="327"/>
      <c r="F477" s="481" t="s">
        <v>334</v>
      </c>
      <c r="G477" s="327"/>
      <c r="H477" s="482"/>
      <c r="I477" s="326"/>
      <c r="J477" s="327"/>
      <c r="K477" s="481" t="s">
        <v>334</v>
      </c>
      <c r="L477" s="326"/>
      <c r="M477" s="327"/>
      <c r="N477" s="439" t="s">
        <v>303</v>
      </c>
      <c r="O477" s="326"/>
      <c r="P477" s="326"/>
      <c r="Q477" s="326"/>
      <c r="R477" s="326"/>
      <c r="S477" s="326"/>
      <c r="T477" s="326"/>
      <c r="U477" s="327"/>
    </row>
    <row r="478" spans="1:21" ht="34.5" customHeight="1" x14ac:dyDescent="0.25">
      <c r="A478" s="10">
        <f t="shared" si="1"/>
        <v>464</v>
      </c>
      <c r="B478" s="483" t="s">
        <v>303</v>
      </c>
      <c r="C478" s="327"/>
      <c r="D478" s="484" t="s">
        <v>303</v>
      </c>
      <c r="E478" s="327"/>
      <c r="F478" s="481" t="s">
        <v>334</v>
      </c>
      <c r="G478" s="327"/>
      <c r="H478" s="485"/>
      <c r="I478" s="326"/>
      <c r="J478" s="327"/>
      <c r="K478" s="481" t="s">
        <v>334</v>
      </c>
      <c r="L478" s="326"/>
      <c r="M478" s="327"/>
      <c r="N478" s="486" t="s">
        <v>303</v>
      </c>
      <c r="O478" s="326"/>
      <c r="P478" s="326"/>
      <c r="Q478" s="326"/>
      <c r="R478" s="326"/>
      <c r="S478" s="326"/>
      <c r="T478" s="326"/>
      <c r="U478" s="327"/>
    </row>
    <row r="479" spans="1:21" ht="34.5" customHeight="1" x14ac:dyDescent="0.25">
      <c r="A479" s="10">
        <f t="shared" si="1"/>
        <v>465</v>
      </c>
      <c r="B479" s="479" t="s">
        <v>303</v>
      </c>
      <c r="C479" s="327"/>
      <c r="D479" s="480" t="s">
        <v>303</v>
      </c>
      <c r="E479" s="327"/>
      <c r="F479" s="481" t="s">
        <v>334</v>
      </c>
      <c r="G479" s="327"/>
      <c r="H479" s="482"/>
      <c r="I479" s="326"/>
      <c r="J479" s="327"/>
      <c r="K479" s="481" t="s">
        <v>334</v>
      </c>
      <c r="L479" s="326"/>
      <c r="M479" s="327"/>
      <c r="N479" s="439" t="s">
        <v>303</v>
      </c>
      <c r="O479" s="326"/>
      <c r="P479" s="326"/>
      <c r="Q479" s="326"/>
      <c r="R479" s="326"/>
      <c r="S479" s="326"/>
      <c r="T479" s="326"/>
      <c r="U479" s="327"/>
    </row>
    <row r="480" spans="1:21" ht="34.5" customHeight="1" x14ac:dyDescent="0.25">
      <c r="A480" s="10">
        <f t="shared" si="1"/>
        <v>466</v>
      </c>
      <c r="B480" s="483" t="s">
        <v>303</v>
      </c>
      <c r="C480" s="327"/>
      <c r="D480" s="484" t="s">
        <v>303</v>
      </c>
      <c r="E480" s="327"/>
      <c r="F480" s="481" t="s">
        <v>334</v>
      </c>
      <c r="G480" s="327"/>
      <c r="H480" s="485"/>
      <c r="I480" s="326"/>
      <c r="J480" s="327"/>
      <c r="K480" s="481" t="s">
        <v>334</v>
      </c>
      <c r="L480" s="326"/>
      <c r="M480" s="327"/>
      <c r="N480" s="486" t="s">
        <v>303</v>
      </c>
      <c r="O480" s="326"/>
      <c r="P480" s="326"/>
      <c r="Q480" s="326"/>
      <c r="R480" s="326"/>
      <c r="S480" s="326"/>
      <c r="T480" s="326"/>
      <c r="U480" s="327"/>
    </row>
    <row r="481" spans="1:21" ht="34.5" customHeight="1" x14ac:dyDescent="0.25">
      <c r="A481" s="10">
        <f t="shared" si="1"/>
        <v>467</v>
      </c>
      <c r="B481" s="479" t="s">
        <v>303</v>
      </c>
      <c r="C481" s="327"/>
      <c r="D481" s="480" t="s">
        <v>303</v>
      </c>
      <c r="E481" s="327"/>
      <c r="F481" s="481" t="s">
        <v>334</v>
      </c>
      <c r="G481" s="327"/>
      <c r="H481" s="482"/>
      <c r="I481" s="326"/>
      <c r="J481" s="327"/>
      <c r="K481" s="481" t="s">
        <v>334</v>
      </c>
      <c r="L481" s="326"/>
      <c r="M481" s="327"/>
      <c r="N481" s="439" t="s">
        <v>303</v>
      </c>
      <c r="O481" s="326"/>
      <c r="P481" s="326"/>
      <c r="Q481" s="326"/>
      <c r="R481" s="326"/>
      <c r="S481" s="326"/>
      <c r="T481" s="326"/>
      <c r="U481" s="327"/>
    </row>
    <row r="482" spans="1:21" ht="34.5" customHeight="1" x14ac:dyDescent="0.25">
      <c r="A482" s="10">
        <f t="shared" si="1"/>
        <v>468</v>
      </c>
      <c r="B482" s="483" t="s">
        <v>303</v>
      </c>
      <c r="C482" s="327"/>
      <c r="D482" s="484" t="s">
        <v>303</v>
      </c>
      <c r="E482" s="327"/>
      <c r="F482" s="481" t="s">
        <v>334</v>
      </c>
      <c r="G482" s="327"/>
      <c r="H482" s="485"/>
      <c r="I482" s="326"/>
      <c r="J482" s="327"/>
      <c r="K482" s="481" t="s">
        <v>334</v>
      </c>
      <c r="L482" s="326"/>
      <c r="M482" s="327"/>
      <c r="N482" s="486" t="s">
        <v>303</v>
      </c>
      <c r="O482" s="326"/>
      <c r="P482" s="326"/>
      <c r="Q482" s="326"/>
      <c r="R482" s="326"/>
      <c r="S482" s="326"/>
      <c r="T482" s="326"/>
      <c r="U482" s="327"/>
    </row>
    <row r="483" spans="1:21" ht="34.5" customHeight="1" x14ac:dyDescent="0.25">
      <c r="A483" s="10">
        <f t="shared" si="1"/>
        <v>469</v>
      </c>
      <c r="B483" s="479" t="s">
        <v>303</v>
      </c>
      <c r="C483" s="327"/>
      <c r="D483" s="480" t="s">
        <v>303</v>
      </c>
      <c r="E483" s="327"/>
      <c r="F483" s="481" t="s">
        <v>334</v>
      </c>
      <c r="G483" s="327"/>
      <c r="H483" s="482"/>
      <c r="I483" s="326"/>
      <c r="J483" s="327"/>
      <c r="K483" s="481" t="s">
        <v>334</v>
      </c>
      <c r="L483" s="326"/>
      <c r="M483" s="327"/>
      <c r="N483" s="439" t="s">
        <v>303</v>
      </c>
      <c r="O483" s="326"/>
      <c r="P483" s="326"/>
      <c r="Q483" s="326"/>
      <c r="R483" s="326"/>
      <c r="S483" s="326"/>
      <c r="T483" s="326"/>
      <c r="U483" s="327"/>
    </row>
    <row r="484" spans="1:21" ht="34.5" customHeight="1" x14ac:dyDescent="0.25">
      <c r="A484" s="10">
        <f t="shared" si="1"/>
        <v>470</v>
      </c>
      <c r="B484" s="483" t="s">
        <v>303</v>
      </c>
      <c r="C484" s="327"/>
      <c r="D484" s="484" t="s">
        <v>303</v>
      </c>
      <c r="E484" s="327"/>
      <c r="F484" s="481" t="s">
        <v>334</v>
      </c>
      <c r="G484" s="327"/>
      <c r="H484" s="485"/>
      <c r="I484" s="326"/>
      <c r="J484" s="327"/>
      <c r="K484" s="481" t="s">
        <v>334</v>
      </c>
      <c r="L484" s="326"/>
      <c r="M484" s="327"/>
      <c r="N484" s="486" t="s">
        <v>303</v>
      </c>
      <c r="O484" s="326"/>
      <c r="P484" s="326"/>
      <c r="Q484" s="326"/>
      <c r="R484" s="326"/>
      <c r="S484" s="326"/>
      <c r="T484" s="326"/>
      <c r="U484" s="327"/>
    </row>
    <row r="485" spans="1:21" ht="34.5" customHeight="1" x14ac:dyDescent="0.25">
      <c r="A485" s="10">
        <f t="shared" si="1"/>
        <v>471</v>
      </c>
      <c r="B485" s="479" t="s">
        <v>303</v>
      </c>
      <c r="C485" s="327"/>
      <c r="D485" s="480" t="s">
        <v>303</v>
      </c>
      <c r="E485" s="327"/>
      <c r="F485" s="481" t="s">
        <v>334</v>
      </c>
      <c r="G485" s="327"/>
      <c r="H485" s="482"/>
      <c r="I485" s="326"/>
      <c r="J485" s="327"/>
      <c r="K485" s="481" t="s">
        <v>334</v>
      </c>
      <c r="L485" s="326"/>
      <c r="M485" s="327"/>
      <c r="N485" s="439" t="s">
        <v>303</v>
      </c>
      <c r="O485" s="326"/>
      <c r="P485" s="326"/>
      <c r="Q485" s="326"/>
      <c r="R485" s="326"/>
      <c r="S485" s="326"/>
      <c r="T485" s="326"/>
      <c r="U485" s="327"/>
    </row>
    <row r="486" spans="1:21" ht="34.5" customHeight="1" x14ac:dyDescent="0.25">
      <c r="A486" s="10">
        <f t="shared" si="1"/>
        <v>472</v>
      </c>
      <c r="B486" s="483" t="s">
        <v>303</v>
      </c>
      <c r="C486" s="327"/>
      <c r="D486" s="484" t="s">
        <v>303</v>
      </c>
      <c r="E486" s="327"/>
      <c r="F486" s="481" t="s">
        <v>334</v>
      </c>
      <c r="G486" s="327"/>
      <c r="H486" s="485"/>
      <c r="I486" s="326"/>
      <c r="J486" s="327"/>
      <c r="K486" s="481" t="s">
        <v>334</v>
      </c>
      <c r="L486" s="326"/>
      <c r="M486" s="327"/>
      <c r="N486" s="486" t="s">
        <v>303</v>
      </c>
      <c r="O486" s="326"/>
      <c r="P486" s="326"/>
      <c r="Q486" s="326"/>
      <c r="R486" s="326"/>
      <c r="S486" s="326"/>
      <c r="T486" s="326"/>
      <c r="U486" s="327"/>
    </row>
    <row r="487" spans="1:21" ht="34.5" customHeight="1" x14ac:dyDescent="0.25">
      <c r="A487" s="10">
        <f t="shared" si="1"/>
        <v>473</v>
      </c>
      <c r="B487" s="479" t="s">
        <v>303</v>
      </c>
      <c r="C487" s="327"/>
      <c r="D487" s="480" t="s">
        <v>303</v>
      </c>
      <c r="E487" s="327"/>
      <c r="F487" s="481" t="s">
        <v>334</v>
      </c>
      <c r="G487" s="327"/>
      <c r="H487" s="482"/>
      <c r="I487" s="326"/>
      <c r="J487" s="327"/>
      <c r="K487" s="481" t="s">
        <v>334</v>
      </c>
      <c r="L487" s="326"/>
      <c r="M487" s="327"/>
      <c r="N487" s="439" t="s">
        <v>303</v>
      </c>
      <c r="O487" s="326"/>
      <c r="P487" s="326"/>
      <c r="Q487" s="326"/>
      <c r="R487" s="326"/>
      <c r="S487" s="326"/>
      <c r="T487" s="326"/>
      <c r="U487" s="327"/>
    </row>
    <row r="488" spans="1:21" ht="34.5" customHeight="1" x14ac:dyDescent="0.25">
      <c r="A488" s="10">
        <f t="shared" si="1"/>
        <v>474</v>
      </c>
      <c r="B488" s="483" t="s">
        <v>337</v>
      </c>
      <c r="C488" s="327"/>
      <c r="D488" s="484" t="s">
        <v>303</v>
      </c>
      <c r="E488" s="327"/>
      <c r="F488" s="481" t="s">
        <v>334</v>
      </c>
      <c r="G488" s="327"/>
      <c r="H488" s="485"/>
      <c r="I488" s="326"/>
      <c r="J488" s="327"/>
      <c r="K488" s="481" t="s">
        <v>334</v>
      </c>
      <c r="L488" s="326"/>
      <c r="M488" s="327"/>
      <c r="N488" s="486" t="s">
        <v>303</v>
      </c>
      <c r="O488" s="326"/>
      <c r="P488" s="326"/>
      <c r="Q488" s="326"/>
      <c r="R488" s="326"/>
      <c r="S488" s="326"/>
      <c r="T488" s="326"/>
      <c r="U488" s="327"/>
    </row>
    <row r="489" spans="1:21" ht="34.5" customHeight="1" x14ac:dyDescent="0.25">
      <c r="A489" s="10">
        <f t="shared" si="1"/>
        <v>475</v>
      </c>
      <c r="B489" s="479" t="s">
        <v>303</v>
      </c>
      <c r="C489" s="327"/>
      <c r="D489" s="480" t="s">
        <v>303</v>
      </c>
      <c r="E489" s="327"/>
      <c r="F489" s="481" t="s">
        <v>334</v>
      </c>
      <c r="G489" s="327"/>
      <c r="H489" s="482"/>
      <c r="I489" s="326"/>
      <c r="J489" s="327"/>
      <c r="K489" s="481" t="s">
        <v>334</v>
      </c>
      <c r="L489" s="326"/>
      <c r="M489" s="327"/>
      <c r="N489" s="439" t="s">
        <v>303</v>
      </c>
      <c r="O489" s="326"/>
      <c r="P489" s="326"/>
      <c r="Q489" s="326"/>
      <c r="R489" s="326"/>
      <c r="S489" s="326"/>
      <c r="T489" s="326"/>
      <c r="U489" s="327"/>
    </row>
    <row r="490" spans="1:21" ht="34.5" customHeight="1" x14ac:dyDescent="0.25">
      <c r="A490" s="10">
        <f t="shared" si="1"/>
        <v>476</v>
      </c>
      <c r="B490" s="483" t="s">
        <v>303</v>
      </c>
      <c r="C490" s="327"/>
      <c r="D490" s="484" t="s">
        <v>303</v>
      </c>
      <c r="E490" s="327"/>
      <c r="F490" s="481" t="s">
        <v>334</v>
      </c>
      <c r="G490" s="327"/>
      <c r="H490" s="485"/>
      <c r="I490" s="326"/>
      <c r="J490" s="327"/>
      <c r="K490" s="481" t="s">
        <v>334</v>
      </c>
      <c r="L490" s="326"/>
      <c r="M490" s="327"/>
      <c r="N490" s="486" t="s">
        <v>303</v>
      </c>
      <c r="O490" s="326"/>
      <c r="P490" s="326"/>
      <c r="Q490" s="326"/>
      <c r="R490" s="326"/>
      <c r="S490" s="326"/>
      <c r="T490" s="326"/>
      <c r="U490" s="327"/>
    </row>
    <row r="491" spans="1:21" ht="34.5" customHeight="1" x14ac:dyDescent="0.25">
      <c r="A491" s="10">
        <f t="shared" si="1"/>
        <v>477</v>
      </c>
      <c r="B491" s="479" t="s">
        <v>303</v>
      </c>
      <c r="C491" s="327"/>
      <c r="D491" s="480" t="s">
        <v>303</v>
      </c>
      <c r="E491" s="327"/>
      <c r="F491" s="481" t="s">
        <v>334</v>
      </c>
      <c r="G491" s="327"/>
      <c r="H491" s="482"/>
      <c r="I491" s="326"/>
      <c r="J491" s="327"/>
      <c r="K491" s="481" t="s">
        <v>334</v>
      </c>
      <c r="L491" s="326"/>
      <c r="M491" s="327"/>
      <c r="N491" s="439" t="s">
        <v>303</v>
      </c>
      <c r="O491" s="326"/>
      <c r="P491" s="326"/>
      <c r="Q491" s="326"/>
      <c r="R491" s="326"/>
      <c r="S491" s="326"/>
      <c r="T491" s="326"/>
      <c r="U491" s="327"/>
    </row>
    <row r="492" spans="1:21" ht="34.5" customHeight="1" x14ac:dyDescent="0.25">
      <c r="A492" s="10">
        <f t="shared" si="1"/>
        <v>478</v>
      </c>
      <c r="B492" s="483" t="s">
        <v>303</v>
      </c>
      <c r="C492" s="327"/>
      <c r="D492" s="484" t="s">
        <v>303</v>
      </c>
      <c r="E492" s="327"/>
      <c r="F492" s="481" t="s">
        <v>334</v>
      </c>
      <c r="G492" s="327"/>
      <c r="H492" s="485"/>
      <c r="I492" s="326"/>
      <c r="J492" s="327"/>
      <c r="K492" s="481" t="s">
        <v>334</v>
      </c>
      <c r="L492" s="326"/>
      <c r="M492" s="327"/>
      <c r="N492" s="486" t="s">
        <v>303</v>
      </c>
      <c r="O492" s="326"/>
      <c r="P492" s="326"/>
      <c r="Q492" s="326"/>
      <c r="R492" s="326"/>
      <c r="S492" s="326"/>
      <c r="T492" s="326"/>
      <c r="U492" s="327"/>
    </row>
    <row r="493" spans="1:21" ht="34.5" customHeight="1" x14ac:dyDescent="0.25">
      <c r="A493" s="10">
        <f t="shared" si="1"/>
        <v>479</v>
      </c>
      <c r="B493" s="479" t="s">
        <v>303</v>
      </c>
      <c r="C493" s="327"/>
      <c r="D493" s="480" t="s">
        <v>303</v>
      </c>
      <c r="E493" s="327"/>
      <c r="F493" s="481" t="s">
        <v>334</v>
      </c>
      <c r="G493" s="327"/>
      <c r="H493" s="482"/>
      <c r="I493" s="326"/>
      <c r="J493" s="327"/>
      <c r="K493" s="481" t="s">
        <v>334</v>
      </c>
      <c r="L493" s="326"/>
      <c r="M493" s="327"/>
      <c r="N493" s="439" t="s">
        <v>303</v>
      </c>
      <c r="O493" s="326"/>
      <c r="P493" s="326"/>
      <c r="Q493" s="326"/>
      <c r="R493" s="326"/>
      <c r="S493" s="326"/>
      <c r="T493" s="326"/>
      <c r="U493" s="327"/>
    </row>
    <row r="494" spans="1:21" ht="34.5" customHeight="1" x14ac:dyDescent="0.25">
      <c r="A494" s="10">
        <f t="shared" si="1"/>
        <v>480</v>
      </c>
      <c r="B494" s="483" t="s">
        <v>303</v>
      </c>
      <c r="C494" s="327"/>
      <c r="D494" s="484" t="s">
        <v>303</v>
      </c>
      <c r="E494" s="327"/>
      <c r="F494" s="481" t="s">
        <v>334</v>
      </c>
      <c r="G494" s="327"/>
      <c r="H494" s="485"/>
      <c r="I494" s="326"/>
      <c r="J494" s="327"/>
      <c r="K494" s="481" t="s">
        <v>334</v>
      </c>
      <c r="L494" s="326"/>
      <c r="M494" s="327"/>
      <c r="N494" s="486" t="s">
        <v>303</v>
      </c>
      <c r="O494" s="326"/>
      <c r="P494" s="326"/>
      <c r="Q494" s="326"/>
      <c r="R494" s="326"/>
      <c r="S494" s="326"/>
      <c r="T494" s="326"/>
      <c r="U494" s="327"/>
    </row>
    <row r="495" spans="1:21" ht="34.5" customHeight="1" x14ac:dyDescent="0.25">
      <c r="A495" s="10">
        <f t="shared" si="1"/>
        <v>481</v>
      </c>
      <c r="B495" s="479" t="s">
        <v>303</v>
      </c>
      <c r="C495" s="327"/>
      <c r="D495" s="480" t="s">
        <v>303</v>
      </c>
      <c r="E495" s="327"/>
      <c r="F495" s="481" t="s">
        <v>334</v>
      </c>
      <c r="G495" s="327"/>
      <c r="H495" s="482"/>
      <c r="I495" s="326"/>
      <c r="J495" s="327"/>
      <c r="K495" s="481" t="s">
        <v>334</v>
      </c>
      <c r="L495" s="326"/>
      <c r="M495" s="327"/>
      <c r="N495" s="439" t="s">
        <v>303</v>
      </c>
      <c r="O495" s="326"/>
      <c r="P495" s="326"/>
      <c r="Q495" s="326"/>
      <c r="R495" s="326"/>
      <c r="S495" s="326"/>
      <c r="T495" s="326"/>
      <c r="U495" s="327"/>
    </row>
    <row r="496" spans="1:21" ht="34.5" customHeight="1" x14ac:dyDescent="0.25">
      <c r="A496" s="10">
        <f t="shared" si="1"/>
        <v>482</v>
      </c>
      <c r="B496" s="483" t="s">
        <v>303</v>
      </c>
      <c r="C496" s="327"/>
      <c r="D496" s="484" t="s">
        <v>303</v>
      </c>
      <c r="E496" s="327"/>
      <c r="F496" s="481" t="s">
        <v>334</v>
      </c>
      <c r="G496" s="327"/>
      <c r="H496" s="485"/>
      <c r="I496" s="326"/>
      <c r="J496" s="327"/>
      <c r="K496" s="481" t="s">
        <v>334</v>
      </c>
      <c r="L496" s="326"/>
      <c r="M496" s="327"/>
      <c r="N496" s="486" t="s">
        <v>303</v>
      </c>
      <c r="O496" s="326"/>
      <c r="P496" s="326"/>
      <c r="Q496" s="326"/>
      <c r="R496" s="326"/>
      <c r="S496" s="326"/>
      <c r="T496" s="326"/>
      <c r="U496" s="327"/>
    </row>
    <row r="497" spans="1:21" ht="34.5" customHeight="1" x14ac:dyDescent="0.25">
      <c r="A497" s="10">
        <f t="shared" si="1"/>
        <v>483</v>
      </c>
      <c r="B497" s="479" t="s">
        <v>335</v>
      </c>
      <c r="C497" s="327"/>
      <c r="D497" s="480" t="s">
        <v>303</v>
      </c>
      <c r="E497" s="327"/>
      <c r="F497" s="481" t="s">
        <v>334</v>
      </c>
      <c r="G497" s="327"/>
      <c r="H497" s="482"/>
      <c r="I497" s="326"/>
      <c r="J497" s="327"/>
      <c r="K497" s="481" t="s">
        <v>334</v>
      </c>
      <c r="L497" s="326"/>
      <c r="M497" s="327"/>
      <c r="N497" s="439" t="s">
        <v>303</v>
      </c>
      <c r="O497" s="326"/>
      <c r="P497" s="326"/>
      <c r="Q497" s="326"/>
      <c r="R497" s="326"/>
      <c r="S497" s="326"/>
      <c r="T497" s="326"/>
      <c r="U497" s="327"/>
    </row>
    <row r="498" spans="1:21" ht="34.5" customHeight="1" x14ac:dyDescent="0.25">
      <c r="A498" s="10">
        <f t="shared" si="1"/>
        <v>484</v>
      </c>
      <c r="B498" s="483" t="s">
        <v>303</v>
      </c>
      <c r="C498" s="327"/>
      <c r="D498" s="484" t="s">
        <v>303</v>
      </c>
      <c r="E498" s="327"/>
      <c r="F498" s="481" t="s">
        <v>334</v>
      </c>
      <c r="G498" s="327"/>
      <c r="H498" s="485"/>
      <c r="I498" s="326"/>
      <c r="J498" s="327"/>
      <c r="K498" s="481" t="s">
        <v>334</v>
      </c>
      <c r="L498" s="326"/>
      <c r="M498" s="327"/>
      <c r="N498" s="486" t="s">
        <v>303</v>
      </c>
      <c r="O498" s="326"/>
      <c r="P498" s="326"/>
      <c r="Q498" s="326"/>
      <c r="R498" s="326"/>
      <c r="S498" s="326"/>
      <c r="T498" s="326"/>
      <c r="U498" s="327"/>
    </row>
    <row r="499" spans="1:21" ht="34.5" customHeight="1" x14ac:dyDescent="0.25">
      <c r="A499" s="10">
        <f t="shared" si="1"/>
        <v>485</v>
      </c>
      <c r="B499" s="479" t="s">
        <v>303</v>
      </c>
      <c r="C499" s="327"/>
      <c r="D499" s="480" t="s">
        <v>303</v>
      </c>
      <c r="E499" s="327"/>
      <c r="F499" s="481" t="s">
        <v>334</v>
      </c>
      <c r="G499" s="327"/>
      <c r="H499" s="482"/>
      <c r="I499" s="326"/>
      <c r="J499" s="327"/>
      <c r="K499" s="481" t="s">
        <v>334</v>
      </c>
      <c r="L499" s="326"/>
      <c r="M499" s="327"/>
      <c r="N499" s="439" t="s">
        <v>303</v>
      </c>
      <c r="O499" s="326"/>
      <c r="P499" s="326"/>
      <c r="Q499" s="326"/>
      <c r="R499" s="326"/>
      <c r="S499" s="326"/>
      <c r="T499" s="326"/>
      <c r="U499" s="327"/>
    </row>
    <row r="500" spans="1:21" ht="34.5" customHeight="1" x14ac:dyDescent="0.25">
      <c r="A500" s="10">
        <f t="shared" si="1"/>
        <v>486</v>
      </c>
      <c r="B500" s="483" t="s">
        <v>303</v>
      </c>
      <c r="C500" s="327"/>
      <c r="D500" s="484" t="s">
        <v>303</v>
      </c>
      <c r="E500" s="327"/>
      <c r="F500" s="481" t="s">
        <v>334</v>
      </c>
      <c r="G500" s="327"/>
      <c r="H500" s="485"/>
      <c r="I500" s="326"/>
      <c r="J500" s="327"/>
      <c r="K500" s="481" t="s">
        <v>334</v>
      </c>
      <c r="L500" s="326"/>
      <c r="M500" s="327"/>
      <c r="N500" s="486" t="s">
        <v>303</v>
      </c>
      <c r="O500" s="326"/>
      <c r="P500" s="326"/>
      <c r="Q500" s="326"/>
      <c r="R500" s="326"/>
      <c r="S500" s="326"/>
      <c r="T500" s="326"/>
      <c r="U500" s="327"/>
    </row>
    <row r="501" spans="1:21" ht="34.5" customHeight="1" x14ac:dyDescent="0.25">
      <c r="A501" s="10">
        <f t="shared" si="1"/>
        <v>487</v>
      </c>
      <c r="B501" s="479" t="s">
        <v>303</v>
      </c>
      <c r="C501" s="327"/>
      <c r="D501" s="480" t="s">
        <v>303</v>
      </c>
      <c r="E501" s="327"/>
      <c r="F501" s="481" t="s">
        <v>334</v>
      </c>
      <c r="G501" s="327"/>
      <c r="H501" s="482"/>
      <c r="I501" s="326"/>
      <c r="J501" s="327"/>
      <c r="K501" s="481" t="s">
        <v>334</v>
      </c>
      <c r="L501" s="326"/>
      <c r="M501" s="327"/>
      <c r="N501" s="439" t="s">
        <v>303</v>
      </c>
      <c r="O501" s="326"/>
      <c r="P501" s="326"/>
      <c r="Q501" s="326"/>
      <c r="R501" s="326"/>
      <c r="S501" s="326"/>
      <c r="T501" s="326"/>
      <c r="U501" s="327"/>
    </row>
    <row r="502" spans="1:21" ht="34.5" customHeight="1" x14ac:dyDescent="0.25">
      <c r="A502" s="10">
        <f t="shared" si="1"/>
        <v>488</v>
      </c>
      <c r="B502" s="483" t="s">
        <v>303</v>
      </c>
      <c r="C502" s="327"/>
      <c r="D502" s="484" t="s">
        <v>303</v>
      </c>
      <c r="E502" s="327"/>
      <c r="F502" s="481" t="s">
        <v>334</v>
      </c>
      <c r="G502" s="327"/>
      <c r="H502" s="485"/>
      <c r="I502" s="326"/>
      <c r="J502" s="327"/>
      <c r="K502" s="481" t="s">
        <v>334</v>
      </c>
      <c r="L502" s="326"/>
      <c r="M502" s="327"/>
      <c r="N502" s="486" t="s">
        <v>303</v>
      </c>
      <c r="O502" s="326"/>
      <c r="P502" s="326"/>
      <c r="Q502" s="326"/>
      <c r="R502" s="326"/>
      <c r="S502" s="326"/>
      <c r="T502" s="326"/>
      <c r="U502" s="327"/>
    </row>
    <row r="503" spans="1:21" ht="34.5" customHeight="1" x14ac:dyDescent="0.25">
      <c r="A503" s="10">
        <f t="shared" si="1"/>
        <v>489</v>
      </c>
      <c r="B503" s="479" t="s">
        <v>303</v>
      </c>
      <c r="C503" s="327"/>
      <c r="D503" s="480" t="s">
        <v>303</v>
      </c>
      <c r="E503" s="327"/>
      <c r="F503" s="481" t="s">
        <v>334</v>
      </c>
      <c r="G503" s="327"/>
      <c r="H503" s="482"/>
      <c r="I503" s="326"/>
      <c r="J503" s="327"/>
      <c r="K503" s="481" t="s">
        <v>334</v>
      </c>
      <c r="L503" s="326"/>
      <c r="M503" s="327"/>
      <c r="N503" s="439" t="s">
        <v>303</v>
      </c>
      <c r="O503" s="326"/>
      <c r="P503" s="326"/>
      <c r="Q503" s="326"/>
      <c r="R503" s="326"/>
      <c r="S503" s="326"/>
      <c r="T503" s="326"/>
      <c r="U503" s="327"/>
    </row>
    <row r="504" spans="1:21" ht="34.5" customHeight="1" x14ac:dyDescent="0.25">
      <c r="A504" s="10">
        <f t="shared" si="1"/>
        <v>490</v>
      </c>
      <c r="B504" s="483" t="s">
        <v>303</v>
      </c>
      <c r="C504" s="327"/>
      <c r="D504" s="484" t="s">
        <v>303</v>
      </c>
      <c r="E504" s="327"/>
      <c r="F504" s="481" t="s">
        <v>334</v>
      </c>
      <c r="G504" s="327"/>
      <c r="H504" s="485"/>
      <c r="I504" s="326"/>
      <c r="J504" s="327"/>
      <c r="K504" s="481" t="s">
        <v>334</v>
      </c>
      <c r="L504" s="326"/>
      <c r="M504" s="327"/>
      <c r="N504" s="486" t="s">
        <v>303</v>
      </c>
      <c r="O504" s="326"/>
      <c r="P504" s="326"/>
      <c r="Q504" s="326"/>
      <c r="R504" s="326"/>
      <c r="S504" s="326"/>
      <c r="T504" s="326"/>
      <c r="U504" s="327"/>
    </row>
    <row r="505" spans="1:21" ht="34.5" customHeight="1" x14ac:dyDescent="0.25">
      <c r="A505" s="10">
        <f t="shared" si="1"/>
        <v>491</v>
      </c>
      <c r="B505" s="479" t="s">
        <v>338</v>
      </c>
      <c r="C505" s="327"/>
      <c r="D505" s="480" t="s">
        <v>303</v>
      </c>
      <c r="E505" s="327"/>
      <c r="F505" s="481" t="s">
        <v>334</v>
      </c>
      <c r="G505" s="327"/>
      <c r="H505" s="482"/>
      <c r="I505" s="326"/>
      <c r="J505" s="327"/>
      <c r="K505" s="481" t="s">
        <v>334</v>
      </c>
      <c r="L505" s="326"/>
      <c r="M505" s="327"/>
      <c r="N505" s="439" t="s">
        <v>303</v>
      </c>
      <c r="O505" s="326"/>
      <c r="P505" s="326"/>
      <c r="Q505" s="326"/>
      <c r="R505" s="326"/>
      <c r="S505" s="326"/>
      <c r="T505" s="326"/>
      <c r="U505" s="327"/>
    </row>
    <row r="506" spans="1:21" ht="34.5" customHeight="1" x14ac:dyDescent="0.25">
      <c r="A506" s="10">
        <f t="shared" si="1"/>
        <v>492</v>
      </c>
      <c r="B506" s="483" t="s">
        <v>303</v>
      </c>
      <c r="C506" s="327"/>
      <c r="D506" s="484" t="s">
        <v>303</v>
      </c>
      <c r="E506" s="327"/>
      <c r="F506" s="481" t="s">
        <v>334</v>
      </c>
      <c r="G506" s="327"/>
      <c r="H506" s="485"/>
      <c r="I506" s="326"/>
      <c r="J506" s="327"/>
      <c r="K506" s="481" t="s">
        <v>334</v>
      </c>
      <c r="L506" s="326"/>
      <c r="M506" s="327"/>
      <c r="N506" s="486" t="s">
        <v>303</v>
      </c>
      <c r="O506" s="326"/>
      <c r="P506" s="326"/>
      <c r="Q506" s="326"/>
      <c r="R506" s="326"/>
      <c r="S506" s="326"/>
      <c r="T506" s="326"/>
      <c r="U506" s="327"/>
    </row>
    <row r="507" spans="1:21" ht="34.5" customHeight="1" x14ac:dyDescent="0.25">
      <c r="A507" s="10">
        <f t="shared" si="1"/>
        <v>493</v>
      </c>
      <c r="B507" s="479" t="s">
        <v>303</v>
      </c>
      <c r="C507" s="327"/>
      <c r="D507" s="480" t="s">
        <v>303</v>
      </c>
      <c r="E507" s="327"/>
      <c r="F507" s="481" t="s">
        <v>334</v>
      </c>
      <c r="G507" s="327"/>
      <c r="H507" s="482"/>
      <c r="I507" s="326"/>
      <c r="J507" s="327"/>
      <c r="K507" s="481" t="s">
        <v>334</v>
      </c>
      <c r="L507" s="326"/>
      <c r="M507" s="327"/>
      <c r="N507" s="439" t="s">
        <v>303</v>
      </c>
      <c r="O507" s="326"/>
      <c r="P507" s="326"/>
      <c r="Q507" s="326"/>
      <c r="R507" s="326"/>
      <c r="S507" s="326"/>
      <c r="T507" s="326"/>
      <c r="U507" s="327"/>
    </row>
    <row r="508" spans="1:21" ht="34.5" customHeight="1" x14ac:dyDescent="0.25">
      <c r="A508" s="10">
        <f t="shared" si="1"/>
        <v>494</v>
      </c>
      <c r="B508" s="483" t="s">
        <v>303</v>
      </c>
      <c r="C508" s="327"/>
      <c r="D508" s="484" t="s">
        <v>303</v>
      </c>
      <c r="E508" s="327"/>
      <c r="F508" s="481" t="s">
        <v>334</v>
      </c>
      <c r="G508" s="327"/>
      <c r="H508" s="485"/>
      <c r="I508" s="326"/>
      <c r="J508" s="327"/>
      <c r="K508" s="481" t="s">
        <v>334</v>
      </c>
      <c r="L508" s="326"/>
      <c r="M508" s="327"/>
      <c r="N508" s="486" t="s">
        <v>303</v>
      </c>
      <c r="O508" s="326"/>
      <c r="P508" s="326"/>
      <c r="Q508" s="326"/>
      <c r="R508" s="326"/>
      <c r="S508" s="326"/>
      <c r="T508" s="326"/>
      <c r="U508" s="327"/>
    </row>
    <row r="509" spans="1:21" ht="34.5" customHeight="1" x14ac:dyDescent="0.25">
      <c r="A509" s="10">
        <f t="shared" si="1"/>
        <v>495</v>
      </c>
      <c r="B509" s="479" t="s">
        <v>303</v>
      </c>
      <c r="C509" s="327"/>
      <c r="D509" s="480" t="s">
        <v>303</v>
      </c>
      <c r="E509" s="327"/>
      <c r="F509" s="481" t="s">
        <v>334</v>
      </c>
      <c r="G509" s="327"/>
      <c r="H509" s="482"/>
      <c r="I509" s="326"/>
      <c r="J509" s="327"/>
      <c r="K509" s="481" t="s">
        <v>334</v>
      </c>
      <c r="L509" s="326"/>
      <c r="M509" s="327"/>
      <c r="N509" s="439" t="s">
        <v>303</v>
      </c>
      <c r="O509" s="326"/>
      <c r="P509" s="326"/>
      <c r="Q509" s="326"/>
      <c r="R509" s="326"/>
      <c r="S509" s="326"/>
      <c r="T509" s="326"/>
      <c r="U509" s="327"/>
    </row>
    <row r="510" spans="1:21" ht="34.5" customHeight="1" x14ac:dyDescent="0.25">
      <c r="A510" s="10">
        <f t="shared" si="1"/>
        <v>496</v>
      </c>
      <c r="B510" s="483" t="s">
        <v>303</v>
      </c>
      <c r="C510" s="327"/>
      <c r="D510" s="484" t="s">
        <v>303</v>
      </c>
      <c r="E510" s="327"/>
      <c r="F510" s="481" t="s">
        <v>334</v>
      </c>
      <c r="G510" s="327"/>
      <c r="H510" s="485"/>
      <c r="I510" s="326"/>
      <c r="J510" s="327"/>
      <c r="K510" s="481" t="s">
        <v>334</v>
      </c>
      <c r="L510" s="326"/>
      <c r="M510" s="327"/>
      <c r="N510" s="486" t="s">
        <v>303</v>
      </c>
      <c r="O510" s="326"/>
      <c r="P510" s="326"/>
      <c r="Q510" s="326"/>
      <c r="R510" s="326"/>
      <c r="S510" s="326"/>
      <c r="T510" s="326"/>
      <c r="U510" s="327"/>
    </row>
    <row r="511" spans="1:21" ht="34.5" customHeight="1" x14ac:dyDescent="0.25">
      <c r="A511" s="10">
        <f t="shared" si="1"/>
        <v>497</v>
      </c>
      <c r="B511" s="479" t="s">
        <v>303</v>
      </c>
      <c r="C511" s="327"/>
      <c r="D511" s="480" t="s">
        <v>303</v>
      </c>
      <c r="E511" s="327"/>
      <c r="F511" s="481" t="s">
        <v>334</v>
      </c>
      <c r="G511" s="327"/>
      <c r="H511" s="482"/>
      <c r="I511" s="326"/>
      <c r="J511" s="327"/>
      <c r="K511" s="481" t="s">
        <v>334</v>
      </c>
      <c r="L511" s="326"/>
      <c r="M511" s="327"/>
      <c r="N511" s="439" t="s">
        <v>303</v>
      </c>
      <c r="O511" s="326"/>
      <c r="P511" s="326"/>
      <c r="Q511" s="326"/>
      <c r="R511" s="326"/>
      <c r="S511" s="326"/>
      <c r="T511" s="326"/>
      <c r="U511" s="327"/>
    </row>
    <row r="512" spans="1:21" ht="34.5" customHeight="1" x14ac:dyDescent="0.25">
      <c r="A512" s="10">
        <f t="shared" si="1"/>
        <v>498</v>
      </c>
      <c r="B512" s="483" t="s">
        <v>303</v>
      </c>
      <c r="C512" s="327"/>
      <c r="D512" s="484" t="s">
        <v>303</v>
      </c>
      <c r="E512" s="327"/>
      <c r="F512" s="481" t="s">
        <v>334</v>
      </c>
      <c r="G512" s="327"/>
      <c r="H512" s="485"/>
      <c r="I512" s="326"/>
      <c r="J512" s="327"/>
      <c r="K512" s="481" t="s">
        <v>334</v>
      </c>
      <c r="L512" s="326"/>
      <c r="M512" s="327"/>
      <c r="N512" s="486" t="s">
        <v>303</v>
      </c>
      <c r="O512" s="326"/>
      <c r="P512" s="326"/>
      <c r="Q512" s="326"/>
      <c r="R512" s="326"/>
      <c r="S512" s="326"/>
      <c r="T512" s="326"/>
      <c r="U512" s="327"/>
    </row>
    <row r="513" spans="1:21" ht="34.5" customHeight="1" x14ac:dyDescent="0.25">
      <c r="A513" s="10">
        <f t="shared" si="1"/>
        <v>499</v>
      </c>
      <c r="B513" s="479" t="s">
        <v>303</v>
      </c>
      <c r="C513" s="327"/>
      <c r="D513" s="480" t="s">
        <v>303</v>
      </c>
      <c r="E513" s="327"/>
      <c r="F513" s="481" t="s">
        <v>334</v>
      </c>
      <c r="G513" s="327"/>
      <c r="H513" s="482"/>
      <c r="I513" s="326"/>
      <c r="J513" s="327"/>
      <c r="K513" s="481" t="s">
        <v>334</v>
      </c>
      <c r="L513" s="326"/>
      <c r="M513" s="327"/>
      <c r="N513" s="439" t="s">
        <v>303</v>
      </c>
      <c r="O513" s="326"/>
      <c r="P513" s="326"/>
      <c r="Q513" s="326"/>
      <c r="R513" s="326"/>
      <c r="S513" s="326"/>
      <c r="T513" s="326"/>
      <c r="U513" s="327"/>
    </row>
    <row r="514" spans="1:21" ht="34.5" customHeight="1" x14ac:dyDescent="0.25">
      <c r="A514" s="10">
        <f t="shared" si="1"/>
        <v>500</v>
      </c>
      <c r="B514" s="483" t="s">
        <v>303</v>
      </c>
      <c r="C514" s="327"/>
      <c r="D514" s="484" t="s">
        <v>303</v>
      </c>
      <c r="E514" s="327"/>
      <c r="F514" s="481" t="s">
        <v>334</v>
      </c>
      <c r="G514" s="327"/>
      <c r="H514" s="485"/>
      <c r="I514" s="326"/>
      <c r="J514" s="327"/>
      <c r="K514" s="481" t="s">
        <v>334</v>
      </c>
      <c r="L514" s="326"/>
      <c r="M514" s="327"/>
      <c r="N514" s="486" t="s">
        <v>303</v>
      </c>
      <c r="O514" s="326"/>
      <c r="P514" s="326"/>
      <c r="Q514" s="326"/>
      <c r="R514" s="326"/>
      <c r="S514" s="326"/>
      <c r="T514" s="326"/>
      <c r="U514" s="327"/>
    </row>
    <row r="515" spans="1:21" ht="34.5" customHeight="1" x14ac:dyDescent="0.25">
      <c r="A515" s="10">
        <f t="shared" si="1"/>
        <v>501</v>
      </c>
      <c r="B515" s="479" t="s">
        <v>303</v>
      </c>
      <c r="C515" s="327"/>
      <c r="D515" s="480" t="s">
        <v>303</v>
      </c>
      <c r="E515" s="327"/>
      <c r="F515" s="481" t="s">
        <v>334</v>
      </c>
      <c r="G515" s="327"/>
      <c r="H515" s="482"/>
      <c r="I515" s="326"/>
      <c r="J515" s="327"/>
      <c r="K515" s="481" t="s">
        <v>334</v>
      </c>
      <c r="L515" s="326"/>
      <c r="M515" s="327"/>
      <c r="N515" s="439" t="s">
        <v>303</v>
      </c>
      <c r="O515" s="326"/>
      <c r="P515" s="326"/>
      <c r="Q515" s="326"/>
      <c r="R515" s="326"/>
      <c r="S515" s="326"/>
      <c r="T515" s="326"/>
      <c r="U515" s="327"/>
    </row>
    <row r="516" spans="1:21" ht="34.5" customHeight="1" x14ac:dyDescent="0.25">
      <c r="A516" s="10">
        <f t="shared" si="1"/>
        <v>502</v>
      </c>
      <c r="B516" s="483" t="s">
        <v>303</v>
      </c>
      <c r="C516" s="327"/>
      <c r="D516" s="484" t="s">
        <v>303</v>
      </c>
      <c r="E516" s="327"/>
      <c r="F516" s="481" t="s">
        <v>334</v>
      </c>
      <c r="G516" s="327"/>
      <c r="H516" s="485"/>
      <c r="I516" s="326"/>
      <c r="J516" s="327"/>
      <c r="K516" s="481" t="s">
        <v>334</v>
      </c>
      <c r="L516" s="326"/>
      <c r="M516" s="327"/>
      <c r="N516" s="486" t="s">
        <v>303</v>
      </c>
      <c r="O516" s="326"/>
      <c r="P516" s="326"/>
      <c r="Q516" s="326"/>
      <c r="R516" s="326"/>
      <c r="S516" s="326"/>
      <c r="T516" s="326"/>
      <c r="U516" s="327"/>
    </row>
    <row r="517" spans="1:21" ht="34.5" customHeight="1" x14ac:dyDescent="0.25">
      <c r="A517" s="10">
        <f t="shared" si="1"/>
        <v>503</v>
      </c>
      <c r="B517" s="479" t="s">
        <v>336</v>
      </c>
      <c r="C517" s="327"/>
      <c r="D517" s="480" t="s">
        <v>303</v>
      </c>
      <c r="E517" s="327"/>
      <c r="F517" s="481" t="s">
        <v>334</v>
      </c>
      <c r="G517" s="327"/>
      <c r="H517" s="482"/>
      <c r="I517" s="326"/>
      <c r="J517" s="327"/>
      <c r="K517" s="481" t="s">
        <v>334</v>
      </c>
      <c r="L517" s="326"/>
      <c r="M517" s="327"/>
      <c r="N517" s="439" t="s">
        <v>303</v>
      </c>
      <c r="O517" s="326"/>
      <c r="P517" s="326"/>
      <c r="Q517" s="326"/>
      <c r="R517" s="326"/>
      <c r="S517" s="326"/>
      <c r="T517" s="326"/>
      <c r="U517" s="327"/>
    </row>
    <row r="518" spans="1:21" ht="34.5" customHeight="1" x14ac:dyDescent="0.25">
      <c r="A518" s="10">
        <f t="shared" si="1"/>
        <v>504</v>
      </c>
      <c r="B518" s="483" t="s">
        <v>303</v>
      </c>
      <c r="C518" s="327"/>
      <c r="D518" s="484" t="s">
        <v>303</v>
      </c>
      <c r="E518" s="327"/>
      <c r="F518" s="481" t="s">
        <v>334</v>
      </c>
      <c r="G518" s="327"/>
      <c r="H518" s="485"/>
      <c r="I518" s="326"/>
      <c r="J518" s="327"/>
      <c r="K518" s="481" t="s">
        <v>334</v>
      </c>
      <c r="L518" s="326"/>
      <c r="M518" s="327"/>
      <c r="N518" s="486" t="s">
        <v>303</v>
      </c>
      <c r="O518" s="326"/>
      <c r="P518" s="326"/>
      <c r="Q518" s="326"/>
      <c r="R518" s="326"/>
      <c r="S518" s="326"/>
      <c r="T518" s="326"/>
      <c r="U518" s="327"/>
    </row>
    <row r="519" spans="1:21" ht="34.5" customHeight="1" x14ac:dyDescent="0.25">
      <c r="A519" s="10">
        <f t="shared" si="1"/>
        <v>505</v>
      </c>
      <c r="B519" s="479" t="s">
        <v>303</v>
      </c>
      <c r="C519" s="327"/>
      <c r="D519" s="480" t="s">
        <v>303</v>
      </c>
      <c r="E519" s="327"/>
      <c r="F519" s="481" t="s">
        <v>334</v>
      </c>
      <c r="G519" s="327"/>
      <c r="H519" s="482"/>
      <c r="I519" s="326"/>
      <c r="J519" s="327"/>
      <c r="K519" s="481" t="s">
        <v>334</v>
      </c>
      <c r="L519" s="326"/>
      <c r="M519" s="327"/>
      <c r="N519" s="439" t="s">
        <v>303</v>
      </c>
      <c r="O519" s="326"/>
      <c r="P519" s="326"/>
      <c r="Q519" s="326"/>
      <c r="R519" s="326"/>
      <c r="S519" s="326"/>
      <c r="T519" s="326"/>
      <c r="U519" s="327"/>
    </row>
    <row r="520" spans="1:21" ht="34.5" customHeight="1" x14ac:dyDescent="0.25">
      <c r="A520" s="10">
        <f t="shared" si="1"/>
        <v>506</v>
      </c>
      <c r="B520" s="483" t="s">
        <v>303</v>
      </c>
      <c r="C520" s="327"/>
      <c r="D520" s="484" t="s">
        <v>303</v>
      </c>
      <c r="E520" s="327"/>
      <c r="F520" s="481" t="s">
        <v>334</v>
      </c>
      <c r="G520" s="327"/>
      <c r="H520" s="485"/>
      <c r="I520" s="326"/>
      <c r="J520" s="327"/>
      <c r="K520" s="481" t="s">
        <v>334</v>
      </c>
      <c r="L520" s="326"/>
      <c r="M520" s="327"/>
      <c r="N520" s="486" t="s">
        <v>303</v>
      </c>
      <c r="O520" s="326"/>
      <c r="P520" s="326"/>
      <c r="Q520" s="326"/>
      <c r="R520" s="326"/>
      <c r="S520" s="326"/>
      <c r="T520" s="326"/>
      <c r="U520" s="327"/>
    </row>
    <row r="521" spans="1:21" ht="34.5" customHeight="1" x14ac:dyDescent="0.25">
      <c r="A521" s="10">
        <f t="shared" si="1"/>
        <v>507</v>
      </c>
      <c r="B521" s="479" t="s">
        <v>303</v>
      </c>
      <c r="C521" s="327"/>
      <c r="D521" s="480" t="s">
        <v>303</v>
      </c>
      <c r="E521" s="327"/>
      <c r="F521" s="481" t="s">
        <v>334</v>
      </c>
      <c r="G521" s="327"/>
      <c r="H521" s="482"/>
      <c r="I521" s="326"/>
      <c r="J521" s="327"/>
      <c r="K521" s="481" t="s">
        <v>334</v>
      </c>
      <c r="L521" s="326"/>
      <c r="M521" s="327"/>
      <c r="N521" s="439" t="s">
        <v>303</v>
      </c>
      <c r="O521" s="326"/>
      <c r="P521" s="326"/>
      <c r="Q521" s="326"/>
      <c r="R521" s="326"/>
      <c r="S521" s="326"/>
      <c r="T521" s="326"/>
      <c r="U521" s="327"/>
    </row>
    <row r="522" spans="1:21" ht="34.5" customHeight="1" x14ac:dyDescent="0.25">
      <c r="A522" s="10">
        <f t="shared" si="1"/>
        <v>508</v>
      </c>
      <c r="B522" s="483" t="s">
        <v>303</v>
      </c>
      <c r="C522" s="327"/>
      <c r="D522" s="484" t="s">
        <v>303</v>
      </c>
      <c r="E522" s="327"/>
      <c r="F522" s="481" t="s">
        <v>334</v>
      </c>
      <c r="G522" s="327"/>
      <c r="H522" s="485"/>
      <c r="I522" s="326"/>
      <c r="J522" s="327"/>
      <c r="K522" s="481" t="s">
        <v>334</v>
      </c>
      <c r="L522" s="326"/>
      <c r="M522" s="327"/>
      <c r="N522" s="486" t="s">
        <v>303</v>
      </c>
      <c r="O522" s="326"/>
      <c r="P522" s="326"/>
      <c r="Q522" s="326"/>
      <c r="R522" s="326"/>
      <c r="S522" s="326"/>
      <c r="T522" s="326"/>
      <c r="U522" s="327"/>
    </row>
    <row r="523" spans="1:21" ht="34.5" customHeight="1" x14ac:dyDescent="0.25">
      <c r="A523" s="10">
        <f t="shared" si="1"/>
        <v>509</v>
      </c>
      <c r="B523" s="479" t="s">
        <v>303</v>
      </c>
      <c r="C523" s="327"/>
      <c r="D523" s="480" t="s">
        <v>303</v>
      </c>
      <c r="E523" s="327"/>
      <c r="F523" s="481" t="s">
        <v>334</v>
      </c>
      <c r="G523" s="327"/>
      <c r="H523" s="482"/>
      <c r="I523" s="326"/>
      <c r="J523" s="327"/>
      <c r="K523" s="481" t="s">
        <v>334</v>
      </c>
      <c r="L523" s="326"/>
      <c r="M523" s="327"/>
      <c r="N523" s="439" t="s">
        <v>303</v>
      </c>
      <c r="O523" s="326"/>
      <c r="P523" s="326"/>
      <c r="Q523" s="326"/>
      <c r="R523" s="326"/>
      <c r="S523" s="326"/>
      <c r="T523" s="326"/>
      <c r="U523" s="327"/>
    </row>
    <row r="524" spans="1:21" ht="34.5" customHeight="1" x14ac:dyDescent="0.25">
      <c r="A524" s="10">
        <f t="shared" si="1"/>
        <v>510</v>
      </c>
      <c r="B524" s="483" t="s">
        <v>303</v>
      </c>
      <c r="C524" s="327"/>
      <c r="D524" s="484" t="s">
        <v>303</v>
      </c>
      <c r="E524" s="327"/>
      <c r="F524" s="481" t="s">
        <v>334</v>
      </c>
      <c r="G524" s="327"/>
      <c r="H524" s="485"/>
      <c r="I524" s="326"/>
      <c r="J524" s="327"/>
      <c r="K524" s="481" t="s">
        <v>334</v>
      </c>
      <c r="L524" s="326"/>
      <c r="M524" s="327"/>
      <c r="N524" s="486" t="s">
        <v>303</v>
      </c>
      <c r="O524" s="326"/>
      <c r="P524" s="326"/>
      <c r="Q524" s="326"/>
      <c r="R524" s="326"/>
      <c r="S524" s="326"/>
      <c r="T524" s="326"/>
      <c r="U524" s="327"/>
    </row>
    <row r="525" spans="1:21" ht="34.5" customHeight="1" x14ac:dyDescent="0.25">
      <c r="A525" s="10">
        <f t="shared" ref="A525:A779" si="2">ROW(A511)</f>
        <v>511</v>
      </c>
      <c r="B525" s="479" t="s">
        <v>335</v>
      </c>
      <c r="C525" s="327"/>
      <c r="D525" s="480" t="s">
        <v>303</v>
      </c>
      <c r="E525" s="327"/>
      <c r="F525" s="481" t="s">
        <v>334</v>
      </c>
      <c r="G525" s="327"/>
      <c r="H525" s="482"/>
      <c r="I525" s="326"/>
      <c r="J525" s="327"/>
      <c r="K525" s="481" t="s">
        <v>334</v>
      </c>
      <c r="L525" s="326"/>
      <c r="M525" s="327"/>
      <c r="N525" s="439" t="s">
        <v>303</v>
      </c>
      <c r="O525" s="326"/>
      <c r="P525" s="326"/>
      <c r="Q525" s="326"/>
      <c r="R525" s="326"/>
      <c r="S525" s="326"/>
      <c r="T525" s="326"/>
      <c r="U525" s="327"/>
    </row>
    <row r="526" spans="1:21" ht="34.5" customHeight="1" x14ac:dyDescent="0.25">
      <c r="A526" s="10">
        <f t="shared" si="2"/>
        <v>512</v>
      </c>
      <c r="B526" s="483" t="s">
        <v>303</v>
      </c>
      <c r="C526" s="327"/>
      <c r="D526" s="484" t="s">
        <v>303</v>
      </c>
      <c r="E526" s="327"/>
      <c r="F526" s="481" t="s">
        <v>334</v>
      </c>
      <c r="G526" s="327"/>
      <c r="H526" s="485"/>
      <c r="I526" s="326"/>
      <c r="J526" s="327"/>
      <c r="K526" s="481" t="s">
        <v>334</v>
      </c>
      <c r="L526" s="326"/>
      <c r="M526" s="327"/>
      <c r="N526" s="486" t="s">
        <v>303</v>
      </c>
      <c r="O526" s="326"/>
      <c r="P526" s="326"/>
      <c r="Q526" s="326"/>
      <c r="R526" s="326"/>
      <c r="S526" s="326"/>
      <c r="T526" s="326"/>
      <c r="U526" s="327"/>
    </row>
    <row r="527" spans="1:21" ht="34.5" customHeight="1" x14ac:dyDescent="0.25">
      <c r="A527" s="10">
        <f t="shared" si="2"/>
        <v>513</v>
      </c>
      <c r="B527" s="479" t="s">
        <v>303</v>
      </c>
      <c r="C527" s="327"/>
      <c r="D527" s="480" t="s">
        <v>303</v>
      </c>
      <c r="E527" s="327"/>
      <c r="F527" s="481" t="s">
        <v>334</v>
      </c>
      <c r="G527" s="327"/>
      <c r="H527" s="482"/>
      <c r="I527" s="326"/>
      <c r="J527" s="327"/>
      <c r="K527" s="481" t="s">
        <v>334</v>
      </c>
      <c r="L527" s="326"/>
      <c r="M527" s="327"/>
      <c r="N527" s="439" t="s">
        <v>303</v>
      </c>
      <c r="O527" s="326"/>
      <c r="P527" s="326"/>
      <c r="Q527" s="326"/>
      <c r="R527" s="326"/>
      <c r="S527" s="326"/>
      <c r="T527" s="326"/>
      <c r="U527" s="327"/>
    </row>
    <row r="528" spans="1:21" ht="34.5" customHeight="1" x14ac:dyDescent="0.25">
      <c r="A528" s="10">
        <f t="shared" si="2"/>
        <v>514</v>
      </c>
      <c r="B528" s="483" t="s">
        <v>303</v>
      </c>
      <c r="C528" s="327"/>
      <c r="D528" s="484" t="s">
        <v>303</v>
      </c>
      <c r="E528" s="327"/>
      <c r="F528" s="481" t="s">
        <v>334</v>
      </c>
      <c r="G528" s="327"/>
      <c r="H528" s="485"/>
      <c r="I528" s="326"/>
      <c r="J528" s="327"/>
      <c r="K528" s="481" t="s">
        <v>334</v>
      </c>
      <c r="L528" s="326"/>
      <c r="M528" s="327"/>
      <c r="N528" s="486" t="s">
        <v>303</v>
      </c>
      <c r="O528" s="326"/>
      <c r="P528" s="326"/>
      <c r="Q528" s="326"/>
      <c r="R528" s="326"/>
      <c r="S528" s="326"/>
      <c r="T528" s="326"/>
      <c r="U528" s="327"/>
    </row>
    <row r="529" spans="1:21" ht="34.5" customHeight="1" x14ac:dyDescent="0.25">
      <c r="A529" s="10">
        <f t="shared" si="2"/>
        <v>515</v>
      </c>
      <c r="B529" s="479" t="s">
        <v>303</v>
      </c>
      <c r="C529" s="327"/>
      <c r="D529" s="480" t="s">
        <v>303</v>
      </c>
      <c r="E529" s="327"/>
      <c r="F529" s="481" t="s">
        <v>334</v>
      </c>
      <c r="G529" s="327"/>
      <c r="H529" s="482"/>
      <c r="I529" s="326"/>
      <c r="J529" s="327"/>
      <c r="K529" s="481" t="s">
        <v>334</v>
      </c>
      <c r="L529" s="326"/>
      <c r="M529" s="327"/>
      <c r="N529" s="439" t="s">
        <v>303</v>
      </c>
      <c r="O529" s="326"/>
      <c r="P529" s="326"/>
      <c r="Q529" s="326"/>
      <c r="R529" s="326"/>
      <c r="S529" s="326"/>
      <c r="T529" s="326"/>
      <c r="U529" s="327"/>
    </row>
    <row r="530" spans="1:21" ht="34.5" customHeight="1" x14ac:dyDescent="0.25">
      <c r="A530" s="10">
        <f t="shared" si="2"/>
        <v>516</v>
      </c>
      <c r="B530" s="483" t="s">
        <v>303</v>
      </c>
      <c r="C530" s="327"/>
      <c r="D530" s="484" t="s">
        <v>303</v>
      </c>
      <c r="E530" s="327"/>
      <c r="F530" s="481" t="s">
        <v>334</v>
      </c>
      <c r="G530" s="327"/>
      <c r="H530" s="485"/>
      <c r="I530" s="326"/>
      <c r="J530" s="327"/>
      <c r="K530" s="481" t="s">
        <v>334</v>
      </c>
      <c r="L530" s="326"/>
      <c r="M530" s="327"/>
      <c r="N530" s="486" t="s">
        <v>303</v>
      </c>
      <c r="O530" s="326"/>
      <c r="P530" s="326"/>
      <c r="Q530" s="326"/>
      <c r="R530" s="326"/>
      <c r="S530" s="326"/>
      <c r="T530" s="326"/>
      <c r="U530" s="327"/>
    </row>
    <row r="531" spans="1:21" ht="34.5" customHeight="1" x14ac:dyDescent="0.25">
      <c r="A531" s="10">
        <f t="shared" si="2"/>
        <v>517</v>
      </c>
      <c r="B531" s="479" t="s">
        <v>303</v>
      </c>
      <c r="C531" s="327"/>
      <c r="D531" s="480" t="s">
        <v>303</v>
      </c>
      <c r="E531" s="327"/>
      <c r="F531" s="481" t="s">
        <v>334</v>
      </c>
      <c r="G531" s="327"/>
      <c r="H531" s="482"/>
      <c r="I531" s="326"/>
      <c r="J531" s="327"/>
      <c r="K531" s="481" t="s">
        <v>334</v>
      </c>
      <c r="L531" s="326"/>
      <c r="M531" s="327"/>
      <c r="N531" s="439" t="s">
        <v>303</v>
      </c>
      <c r="O531" s="326"/>
      <c r="P531" s="326"/>
      <c r="Q531" s="326"/>
      <c r="R531" s="326"/>
      <c r="S531" s="326"/>
      <c r="T531" s="326"/>
      <c r="U531" s="327"/>
    </row>
    <row r="532" spans="1:21" ht="34.5" customHeight="1" x14ac:dyDescent="0.25">
      <c r="A532" s="10">
        <f t="shared" si="2"/>
        <v>518</v>
      </c>
      <c r="B532" s="483" t="s">
        <v>339</v>
      </c>
      <c r="C532" s="327"/>
      <c r="D532" s="484" t="s">
        <v>303</v>
      </c>
      <c r="E532" s="327"/>
      <c r="F532" s="481" t="s">
        <v>334</v>
      </c>
      <c r="G532" s="327"/>
      <c r="H532" s="485"/>
      <c r="I532" s="326"/>
      <c r="J532" s="327"/>
      <c r="K532" s="481" t="s">
        <v>334</v>
      </c>
      <c r="L532" s="326"/>
      <c r="M532" s="327"/>
      <c r="N532" s="486" t="s">
        <v>303</v>
      </c>
      <c r="O532" s="326"/>
      <c r="P532" s="326"/>
      <c r="Q532" s="326"/>
      <c r="R532" s="326"/>
      <c r="S532" s="326"/>
      <c r="T532" s="326"/>
      <c r="U532" s="327"/>
    </row>
    <row r="533" spans="1:21" ht="34.5" customHeight="1" x14ac:dyDescent="0.25">
      <c r="A533" s="10">
        <f t="shared" si="2"/>
        <v>519</v>
      </c>
      <c r="B533" s="479" t="s">
        <v>303</v>
      </c>
      <c r="C533" s="327"/>
      <c r="D533" s="480" t="s">
        <v>303</v>
      </c>
      <c r="E533" s="327"/>
      <c r="F533" s="481" t="s">
        <v>334</v>
      </c>
      <c r="G533" s="327"/>
      <c r="H533" s="482"/>
      <c r="I533" s="326"/>
      <c r="J533" s="327"/>
      <c r="K533" s="481" t="s">
        <v>334</v>
      </c>
      <c r="L533" s="326"/>
      <c r="M533" s="327"/>
      <c r="N533" s="439" t="s">
        <v>303</v>
      </c>
      <c r="O533" s="326"/>
      <c r="P533" s="326"/>
      <c r="Q533" s="326"/>
      <c r="R533" s="326"/>
      <c r="S533" s="326"/>
      <c r="T533" s="326"/>
      <c r="U533" s="327"/>
    </row>
    <row r="534" spans="1:21" ht="34.5" customHeight="1" x14ac:dyDescent="0.25">
      <c r="A534" s="10">
        <f t="shared" si="2"/>
        <v>520</v>
      </c>
      <c r="B534" s="483" t="s">
        <v>303</v>
      </c>
      <c r="C534" s="327"/>
      <c r="D534" s="484" t="s">
        <v>303</v>
      </c>
      <c r="E534" s="327"/>
      <c r="F534" s="481" t="s">
        <v>334</v>
      </c>
      <c r="G534" s="327"/>
      <c r="H534" s="485"/>
      <c r="I534" s="326"/>
      <c r="J534" s="327"/>
      <c r="K534" s="481" t="s">
        <v>334</v>
      </c>
      <c r="L534" s="326"/>
      <c r="M534" s="327"/>
      <c r="N534" s="486" t="s">
        <v>303</v>
      </c>
      <c r="O534" s="326"/>
      <c r="P534" s="326"/>
      <c r="Q534" s="326"/>
      <c r="R534" s="326"/>
      <c r="S534" s="326"/>
      <c r="T534" s="326"/>
      <c r="U534" s="327"/>
    </row>
    <row r="535" spans="1:21" ht="34.5" customHeight="1" x14ac:dyDescent="0.25">
      <c r="A535" s="10">
        <f t="shared" si="2"/>
        <v>521</v>
      </c>
      <c r="B535" s="479" t="s">
        <v>303</v>
      </c>
      <c r="C535" s="327"/>
      <c r="D535" s="480" t="s">
        <v>303</v>
      </c>
      <c r="E535" s="327"/>
      <c r="F535" s="481" t="s">
        <v>334</v>
      </c>
      <c r="G535" s="327"/>
      <c r="H535" s="482"/>
      <c r="I535" s="326"/>
      <c r="J535" s="327"/>
      <c r="K535" s="481" t="s">
        <v>334</v>
      </c>
      <c r="L535" s="326"/>
      <c r="M535" s="327"/>
      <c r="N535" s="439" t="s">
        <v>303</v>
      </c>
      <c r="O535" s="326"/>
      <c r="P535" s="326"/>
      <c r="Q535" s="326"/>
      <c r="R535" s="326"/>
      <c r="S535" s="326"/>
      <c r="T535" s="326"/>
      <c r="U535" s="327"/>
    </row>
    <row r="536" spans="1:21" ht="34.5" customHeight="1" x14ac:dyDescent="0.25">
      <c r="A536" s="10">
        <f t="shared" si="2"/>
        <v>522</v>
      </c>
      <c r="B536" s="483" t="s">
        <v>303</v>
      </c>
      <c r="C536" s="327"/>
      <c r="D536" s="484" t="s">
        <v>303</v>
      </c>
      <c r="E536" s="327"/>
      <c r="F536" s="481" t="s">
        <v>334</v>
      </c>
      <c r="G536" s="327"/>
      <c r="H536" s="485"/>
      <c r="I536" s="326"/>
      <c r="J536" s="327"/>
      <c r="K536" s="481" t="s">
        <v>334</v>
      </c>
      <c r="L536" s="326"/>
      <c r="M536" s="327"/>
      <c r="N536" s="486" t="s">
        <v>303</v>
      </c>
      <c r="O536" s="326"/>
      <c r="P536" s="326"/>
      <c r="Q536" s="326"/>
      <c r="R536" s="326"/>
      <c r="S536" s="326"/>
      <c r="T536" s="326"/>
      <c r="U536" s="327"/>
    </row>
    <row r="537" spans="1:21" ht="34.5" customHeight="1" x14ac:dyDescent="0.25">
      <c r="A537" s="10">
        <f t="shared" si="2"/>
        <v>523</v>
      </c>
      <c r="B537" s="479" t="s">
        <v>303</v>
      </c>
      <c r="C537" s="327"/>
      <c r="D537" s="480" t="s">
        <v>303</v>
      </c>
      <c r="E537" s="327"/>
      <c r="F537" s="481" t="s">
        <v>334</v>
      </c>
      <c r="G537" s="327"/>
      <c r="H537" s="482"/>
      <c r="I537" s="326"/>
      <c r="J537" s="327"/>
      <c r="K537" s="481" t="s">
        <v>334</v>
      </c>
      <c r="L537" s="326"/>
      <c r="M537" s="327"/>
      <c r="N537" s="439" t="s">
        <v>303</v>
      </c>
      <c r="O537" s="326"/>
      <c r="P537" s="326"/>
      <c r="Q537" s="326"/>
      <c r="R537" s="326"/>
      <c r="S537" s="326"/>
      <c r="T537" s="326"/>
      <c r="U537" s="327"/>
    </row>
    <row r="538" spans="1:21" ht="34.5" customHeight="1" x14ac:dyDescent="0.25">
      <c r="A538" s="10">
        <f t="shared" si="2"/>
        <v>524</v>
      </c>
      <c r="B538" s="483" t="s">
        <v>303</v>
      </c>
      <c r="C538" s="327"/>
      <c r="D538" s="484" t="s">
        <v>303</v>
      </c>
      <c r="E538" s="327"/>
      <c r="F538" s="481" t="s">
        <v>334</v>
      </c>
      <c r="G538" s="327"/>
      <c r="H538" s="485"/>
      <c r="I538" s="326"/>
      <c r="J538" s="327"/>
      <c r="K538" s="481" t="s">
        <v>334</v>
      </c>
      <c r="L538" s="326"/>
      <c r="M538" s="327"/>
      <c r="N538" s="486" t="s">
        <v>303</v>
      </c>
      <c r="O538" s="326"/>
      <c r="P538" s="326"/>
      <c r="Q538" s="326"/>
      <c r="R538" s="326"/>
      <c r="S538" s="326"/>
      <c r="T538" s="326"/>
      <c r="U538" s="327"/>
    </row>
    <row r="539" spans="1:21" ht="34.5" customHeight="1" x14ac:dyDescent="0.25">
      <c r="A539" s="10">
        <f t="shared" si="2"/>
        <v>525</v>
      </c>
      <c r="B539" s="479" t="s">
        <v>335</v>
      </c>
      <c r="C539" s="327"/>
      <c r="D539" s="480" t="s">
        <v>303</v>
      </c>
      <c r="E539" s="327"/>
      <c r="F539" s="481" t="s">
        <v>334</v>
      </c>
      <c r="G539" s="327"/>
      <c r="H539" s="482"/>
      <c r="I539" s="326"/>
      <c r="J539" s="327"/>
      <c r="K539" s="481" t="s">
        <v>334</v>
      </c>
      <c r="L539" s="326"/>
      <c r="M539" s="327"/>
      <c r="N539" s="439" t="s">
        <v>303</v>
      </c>
      <c r="O539" s="326"/>
      <c r="P539" s="326"/>
      <c r="Q539" s="326"/>
      <c r="R539" s="326"/>
      <c r="S539" s="326"/>
      <c r="T539" s="326"/>
      <c r="U539" s="327"/>
    </row>
    <row r="540" spans="1:21" ht="34.5" customHeight="1" x14ac:dyDescent="0.25">
      <c r="A540" s="10">
        <f t="shared" si="2"/>
        <v>526</v>
      </c>
      <c r="B540" s="483" t="s">
        <v>303</v>
      </c>
      <c r="C540" s="327"/>
      <c r="D540" s="484" t="s">
        <v>303</v>
      </c>
      <c r="E540" s="327"/>
      <c r="F540" s="481" t="s">
        <v>334</v>
      </c>
      <c r="G540" s="327"/>
      <c r="H540" s="485"/>
      <c r="I540" s="326"/>
      <c r="J540" s="327"/>
      <c r="K540" s="481" t="s">
        <v>334</v>
      </c>
      <c r="L540" s="326"/>
      <c r="M540" s="327"/>
      <c r="N540" s="486" t="s">
        <v>303</v>
      </c>
      <c r="O540" s="326"/>
      <c r="P540" s="326"/>
      <c r="Q540" s="326"/>
      <c r="R540" s="326"/>
      <c r="S540" s="326"/>
      <c r="T540" s="326"/>
      <c r="U540" s="327"/>
    </row>
    <row r="541" spans="1:21" ht="34.5" customHeight="1" x14ac:dyDescent="0.25">
      <c r="A541" s="10">
        <f t="shared" si="2"/>
        <v>527</v>
      </c>
      <c r="B541" s="479" t="s">
        <v>303</v>
      </c>
      <c r="C541" s="327"/>
      <c r="D541" s="480" t="s">
        <v>303</v>
      </c>
      <c r="E541" s="327"/>
      <c r="F541" s="481" t="s">
        <v>334</v>
      </c>
      <c r="G541" s="327"/>
      <c r="H541" s="482"/>
      <c r="I541" s="326"/>
      <c r="J541" s="327"/>
      <c r="K541" s="481" t="s">
        <v>334</v>
      </c>
      <c r="L541" s="326"/>
      <c r="M541" s="327"/>
      <c r="N541" s="439" t="s">
        <v>303</v>
      </c>
      <c r="O541" s="326"/>
      <c r="P541" s="326"/>
      <c r="Q541" s="326"/>
      <c r="R541" s="326"/>
      <c r="S541" s="326"/>
      <c r="T541" s="326"/>
      <c r="U541" s="327"/>
    </row>
    <row r="542" spans="1:21" ht="34.5" customHeight="1" x14ac:dyDescent="0.25">
      <c r="A542" s="10">
        <f t="shared" si="2"/>
        <v>528</v>
      </c>
      <c r="B542" s="483" t="s">
        <v>303</v>
      </c>
      <c r="C542" s="327"/>
      <c r="D542" s="484" t="s">
        <v>303</v>
      </c>
      <c r="E542" s="327"/>
      <c r="F542" s="481" t="s">
        <v>334</v>
      </c>
      <c r="G542" s="327"/>
      <c r="H542" s="485"/>
      <c r="I542" s="326"/>
      <c r="J542" s="327"/>
      <c r="K542" s="481" t="s">
        <v>334</v>
      </c>
      <c r="L542" s="326"/>
      <c r="M542" s="327"/>
      <c r="N542" s="486" t="s">
        <v>303</v>
      </c>
      <c r="O542" s="326"/>
      <c r="P542" s="326"/>
      <c r="Q542" s="326"/>
      <c r="R542" s="326"/>
      <c r="S542" s="326"/>
      <c r="T542" s="326"/>
      <c r="U542" s="327"/>
    </row>
    <row r="543" spans="1:21" ht="34.5" customHeight="1" x14ac:dyDescent="0.25">
      <c r="A543" s="10">
        <f t="shared" si="2"/>
        <v>529</v>
      </c>
      <c r="B543" s="479" t="s">
        <v>303</v>
      </c>
      <c r="C543" s="327"/>
      <c r="D543" s="480" t="s">
        <v>303</v>
      </c>
      <c r="E543" s="327"/>
      <c r="F543" s="481" t="s">
        <v>334</v>
      </c>
      <c r="G543" s="327"/>
      <c r="H543" s="482"/>
      <c r="I543" s="326"/>
      <c r="J543" s="327"/>
      <c r="K543" s="481" t="s">
        <v>334</v>
      </c>
      <c r="L543" s="326"/>
      <c r="M543" s="327"/>
      <c r="N543" s="439" t="s">
        <v>303</v>
      </c>
      <c r="O543" s="326"/>
      <c r="P543" s="326"/>
      <c r="Q543" s="326"/>
      <c r="R543" s="326"/>
      <c r="S543" s="326"/>
      <c r="T543" s="326"/>
      <c r="U543" s="327"/>
    </row>
    <row r="544" spans="1:21" ht="34.5" customHeight="1" x14ac:dyDescent="0.25">
      <c r="A544" s="10">
        <f t="shared" si="2"/>
        <v>530</v>
      </c>
      <c r="B544" s="483" t="s">
        <v>303</v>
      </c>
      <c r="C544" s="327"/>
      <c r="D544" s="484" t="s">
        <v>303</v>
      </c>
      <c r="E544" s="327"/>
      <c r="F544" s="481" t="s">
        <v>334</v>
      </c>
      <c r="G544" s="327"/>
      <c r="H544" s="485"/>
      <c r="I544" s="326"/>
      <c r="J544" s="327"/>
      <c r="K544" s="481" t="s">
        <v>334</v>
      </c>
      <c r="L544" s="326"/>
      <c r="M544" s="327"/>
      <c r="N544" s="486" t="s">
        <v>303</v>
      </c>
      <c r="O544" s="326"/>
      <c r="P544" s="326"/>
      <c r="Q544" s="326"/>
      <c r="R544" s="326"/>
      <c r="S544" s="326"/>
      <c r="T544" s="326"/>
      <c r="U544" s="327"/>
    </row>
    <row r="545" spans="1:21" ht="34.5" customHeight="1" x14ac:dyDescent="0.25">
      <c r="A545" s="10">
        <f t="shared" si="2"/>
        <v>531</v>
      </c>
      <c r="B545" s="479" t="s">
        <v>303</v>
      </c>
      <c r="C545" s="327"/>
      <c r="D545" s="480" t="s">
        <v>303</v>
      </c>
      <c r="E545" s="327"/>
      <c r="F545" s="481" t="s">
        <v>334</v>
      </c>
      <c r="G545" s="327"/>
      <c r="H545" s="482"/>
      <c r="I545" s="326"/>
      <c r="J545" s="327"/>
      <c r="K545" s="481" t="s">
        <v>334</v>
      </c>
      <c r="L545" s="326"/>
      <c r="M545" s="327"/>
      <c r="N545" s="439" t="s">
        <v>303</v>
      </c>
      <c r="O545" s="326"/>
      <c r="P545" s="326"/>
      <c r="Q545" s="326"/>
      <c r="R545" s="326"/>
      <c r="S545" s="326"/>
      <c r="T545" s="326"/>
      <c r="U545" s="327"/>
    </row>
    <row r="546" spans="1:21" ht="34.5" customHeight="1" x14ac:dyDescent="0.25">
      <c r="A546" s="10">
        <f t="shared" si="2"/>
        <v>532</v>
      </c>
      <c r="B546" s="483" t="s">
        <v>303</v>
      </c>
      <c r="C546" s="327"/>
      <c r="D546" s="484" t="s">
        <v>303</v>
      </c>
      <c r="E546" s="327"/>
      <c r="F546" s="481" t="s">
        <v>334</v>
      </c>
      <c r="G546" s="327"/>
      <c r="H546" s="485"/>
      <c r="I546" s="326"/>
      <c r="J546" s="327"/>
      <c r="K546" s="481" t="s">
        <v>334</v>
      </c>
      <c r="L546" s="326"/>
      <c r="M546" s="327"/>
      <c r="N546" s="486" t="s">
        <v>303</v>
      </c>
      <c r="O546" s="326"/>
      <c r="P546" s="326"/>
      <c r="Q546" s="326"/>
      <c r="R546" s="326"/>
      <c r="S546" s="326"/>
      <c r="T546" s="326"/>
      <c r="U546" s="327"/>
    </row>
    <row r="547" spans="1:21" ht="34.5" customHeight="1" x14ac:dyDescent="0.25">
      <c r="A547" s="10">
        <f t="shared" si="2"/>
        <v>533</v>
      </c>
      <c r="B547" s="479" t="s">
        <v>338</v>
      </c>
      <c r="C547" s="327"/>
      <c r="D547" s="480" t="s">
        <v>303</v>
      </c>
      <c r="E547" s="327"/>
      <c r="F547" s="481" t="s">
        <v>334</v>
      </c>
      <c r="G547" s="327"/>
      <c r="H547" s="482"/>
      <c r="I547" s="326"/>
      <c r="J547" s="327"/>
      <c r="K547" s="481" t="s">
        <v>334</v>
      </c>
      <c r="L547" s="326"/>
      <c r="M547" s="327"/>
      <c r="N547" s="439" t="s">
        <v>303</v>
      </c>
      <c r="O547" s="326"/>
      <c r="P547" s="326"/>
      <c r="Q547" s="326"/>
      <c r="R547" s="326"/>
      <c r="S547" s="326"/>
      <c r="T547" s="326"/>
      <c r="U547" s="327"/>
    </row>
    <row r="548" spans="1:21" ht="34.5" customHeight="1" x14ac:dyDescent="0.25">
      <c r="A548" s="10">
        <f t="shared" si="2"/>
        <v>534</v>
      </c>
      <c r="B548" s="483" t="s">
        <v>303</v>
      </c>
      <c r="C548" s="327"/>
      <c r="D548" s="484" t="s">
        <v>303</v>
      </c>
      <c r="E548" s="327"/>
      <c r="F548" s="481" t="s">
        <v>334</v>
      </c>
      <c r="G548" s="327"/>
      <c r="H548" s="485"/>
      <c r="I548" s="326"/>
      <c r="J548" s="327"/>
      <c r="K548" s="481" t="s">
        <v>334</v>
      </c>
      <c r="L548" s="326"/>
      <c r="M548" s="327"/>
      <c r="N548" s="486" t="s">
        <v>303</v>
      </c>
      <c r="O548" s="326"/>
      <c r="P548" s="326"/>
      <c r="Q548" s="326"/>
      <c r="R548" s="326"/>
      <c r="S548" s="326"/>
      <c r="T548" s="326"/>
      <c r="U548" s="327"/>
    </row>
    <row r="549" spans="1:21" ht="34.5" customHeight="1" x14ac:dyDescent="0.25">
      <c r="A549" s="10">
        <f t="shared" si="2"/>
        <v>535</v>
      </c>
      <c r="B549" s="479" t="s">
        <v>303</v>
      </c>
      <c r="C549" s="327"/>
      <c r="D549" s="480" t="s">
        <v>303</v>
      </c>
      <c r="E549" s="327"/>
      <c r="F549" s="481" t="s">
        <v>334</v>
      </c>
      <c r="G549" s="327"/>
      <c r="H549" s="482"/>
      <c r="I549" s="326"/>
      <c r="J549" s="327"/>
      <c r="K549" s="481" t="s">
        <v>334</v>
      </c>
      <c r="L549" s="326"/>
      <c r="M549" s="327"/>
      <c r="N549" s="439" t="s">
        <v>303</v>
      </c>
      <c r="O549" s="326"/>
      <c r="P549" s="326"/>
      <c r="Q549" s="326"/>
      <c r="R549" s="326"/>
      <c r="S549" s="326"/>
      <c r="T549" s="326"/>
      <c r="U549" s="327"/>
    </row>
    <row r="550" spans="1:21" ht="34.5" customHeight="1" x14ac:dyDescent="0.25">
      <c r="A550" s="10">
        <f t="shared" si="2"/>
        <v>536</v>
      </c>
      <c r="B550" s="483" t="s">
        <v>340</v>
      </c>
      <c r="C550" s="327"/>
      <c r="D550" s="484" t="s">
        <v>303</v>
      </c>
      <c r="E550" s="327"/>
      <c r="F550" s="481" t="s">
        <v>334</v>
      </c>
      <c r="G550" s="327"/>
      <c r="H550" s="485"/>
      <c r="I550" s="326"/>
      <c r="J550" s="327"/>
      <c r="K550" s="481" t="s">
        <v>334</v>
      </c>
      <c r="L550" s="326"/>
      <c r="M550" s="327"/>
      <c r="N550" s="486" t="s">
        <v>303</v>
      </c>
      <c r="O550" s="326"/>
      <c r="P550" s="326"/>
      <c r="Q550" s="326"/>
      <c r="R550" s="326"/>
      <c r="S550" s="326"/>
      <c r="T550" s="326"/>
      <c r="U550" s="327"/>
    </row>
    <row r="551" spans="1:21" ht="34.5" customHeight="1" x14ac:dyDescent="0.25">
      <c r="A551" s="10">
        <f t="shared" si="2"/>
        <v>537</v>
      </c>
      <c r="B551" s="479" t="s">
        <v>303</v>
      </c>
      <c r="C551" s="327"/>
      <c r="D551" s="480" t="s">
        <v>303</v>
      </c>
      <c r="E551" s="327"/>
      <c r="F551" s="481" t="s">
        <v>334</v>
      </c>
      <c r="G551" s="327"/>
      <c r="H551" s="482"/>
      <c r="I551" s="326"/>
      <c r="J551" s="327"/>
      <c r="K551" s="481" t="s">
        <v>334</v>
      </c>
      <c r="L551" s="326"/>
      <c r="M551" s="327"/>
      <c r="N551" s="439" t="s">
        <v>303</v>
      </c>
      <c r="O551" s="326"/>
      <c r="P551" s="326"/>
      <c r="Q551" s="326"/>
      <c r="R551" s="326"/>
      <c r="S551" s="326"/>
      <c r="T551" s="326"/>
      <c r="U551" s="327"/>
    </row>
    <row r="552" spans="1:21" ht="34.5" customHeight="1" x14ac:dyDescent="0.25">
      <c r="A552" s="10">
        <f t="shared" si="2"/>
        <v>538</v>
      </c>
      <c r="B552" s="483" t="s">
        <v>303</v>
      </c>
      <c r="C552" s="327"/>
      <c r="D552" s="484" t="s">
        <v>303</v>
      </c>
      <c r="E552" s="327"/>
      <c r="F552" s="481" t="s">
        <v>334</v>
      </c>
      <c r="G552" s="327"/>
      <c r="H552" s="485"/>
      <c r="I552" s="326"/>
      <c r="J552" s="327"/>
      <c r="K552" s="481" t="s">
        <v>334</v>
      </c>
      <c r="L552" s="326"/>
      <c r="M552" s="327"/>
      <c r="N552" s="486" t="s">
        <v>303</v>
      </c>
      <c r="O552" s="326"/>
      <c r="P552" s="326"/>
      <c r="Q552" s="326"/>
      <c r="R552" s="326"/>
      <c r="S552" s="326"/>
      <c r="T552" s="326"/>
      <c r="U552" s="327"/>
    </row>
    <row r="553" spans="1:21" ht="34.5" customHeight="1" x14ac:dyDescent="0.25">
      <c r="A553" s="10">
        <f t="shared" si="2"/>
        <v>539</v>
      </c>
      <c r="B553" s="479" t="s">
        <v>303</v>
      </c>
      <c r="C553" s="327"/>
      <c r="D553" s="480" t="s">
        <v>303</v>
      </c>
      <c r="E553" s="327"/>
      <c r="F553" s="481" t="s">
        <v>334</v>
      </c>
      <c r="G553" s="327"/>
      <c r="H553" s="482"/>
      <c r="I553" s="326"/>
      <c r="J553" s="327"/>
      <c r="K553" s="481" t="s">
        <v>334</v>
      </c>
      <c r="L553" s="326"/>
      <c r="M553" s="327"/>
      <c r="N553" s="439" t="s">
        <v>303</v>
      </c>
      <c r="O553" s="326"/>
      <c r="P553" s="326"/>
      <c r="Q553" s="326"/>
      <c r="R553" s="326"/>
      <c r="S553" s="326"/>
      <c r="T553" s="326"/>
      <c r="U553" s="327"/>
    </row>
    <row r="554" spans="1:21" ht="34.5" customHeight="1" x14ac:dyDescent="0.25">
      <c r="A554" s="10">
        <f t="shared" si="2"/>
        <v>540</v>
      </c>
      <c r="B554" s="483" t="s">
        <v>303</v>
      </c>
      <c r="C554" s="327"/>
      <c r="D554" s="484" t="s">
        <v>303</v>
      </c>
      <c r="E554" s="327"/>
      <c r="F554" s="481" t="s">
        <v>334</v>
      </c>
      <c r="G554" s="327"/>
      <c r="H554" s="485"/>
      <c r="I554" s="326"/>
      <c r="J554" s="327"/>
      <c r="K554" s="481" t="s">
        <v>334</v>
      </c>
      <c r="L554" s="326"/>
      <c r="M554" s="327"/>
      <c r="N554" s="486" t="s">
        <v>303</v>
      </c>
      <c r="O554" s="326"/>
      <c r="P554" s="326"/>
      <c r="Q554" s="326"/>
      <c r="R554" s="326"/>
      <c r="S554" s="326"/>
      <c r="T554" s="326"/>
      <c r="U554" s="327"/>
    </row>
    <row r="555" spans="1:21" ht="34.5" customHeight="1" x14ac:dyDescent="0.25">
      <c r="A555" s="10">
        <f t="shared" si="2"/>
        <v>541</v>
      </c>
      <c r="B555" s="479" t="s">
        <v>303</v>
      </c>
      <c r="C555" s="327"/>
      <c r="D555" s="480" t="s">
        <v>303</v>
      </c>
      <c r="E555" s="327"/>
      <c r="F555" s="481" t="s">
        <v>334</v>
      </c>
      <c r="G555" s="327"/>
      <c r="H555" s="482"/>
      <c r="I555" s="326"/>
      <c r="J555" s="327"/>
      <c r="K555" s="481" t="s">
        <v>334</v>
      </c>
      <c r="L555" s="326"/>
      <c r="M555" s="327"/>
      <c r="N555" s="439" t="s">
        <v>303</v>
      </c>
      <c r="O555" s="326"/>
      <c r="P555" s="326"/>
      <c r="Q555" s="326"/>
      <c r="R555" s="326"/>
      <c r="S555" s="326"/>
      <c r="T555" s="326"/>
      <c r="U555" s="327"/>
    </row>
    <row r="556" spans="1:21" ht="34.5" customHeight="1" x14ac:dyDescent="0.25">
      <c r="A556" s="10">
        <f t="shared" si="2"/>
        <v>542</v>
      </c>
      <c r="B556" s="483" t="s">
        <v>341</v>
      </c>
      <c r="C556" s="327"/>
      <c r="D556" s="484" t="s">
        <v>303</v>
      </c>
      <c r="E556" s="327"/>
      <c r="F556" s="481" t="s">
        <v>334</v>
      </c>
      <c r="G556" s="327"/>
      <c r="H556" s="485"/>
      <c r="I556" s="326"/>
      <c r="J556" s="327"/>
      <c r="K556" s="481" t="s">
        <v>334</v>
      </c>
      <c r="L556" s="326"/>
      <c r="M556" s="327"/>
      <c r="N556" s="486" t="s">
        <v>303</v>
      </c>
      <c r="O556" s="326"/>
      <c r="P556" s="326"/>
      <c r="Q556" s="326"/>
      <c r="R556" s="326"/>
      <c r="S556" s="326"/>
      <c r="T556" s="326"/>
      <c r="U556" s="327"/>
    </row>
    <row r="557" spans="1:21" ht="34.5" customHeight="1" x14ac:dyDescent="0.25">
      <c r="A557" s="10">
        <f t="shared" si="2"/>
        <v>543</v>
      </c>
      <c r="B557" s="479" t="s">
        <v>303</v>
      </c>
      <c r="C557" s="327"/>
      <c r="D557" s="480" t="s">
        <v>303</v>
      </c>
      <c r="E557" s="327"/>
      <c r="F557" s="481" t="s">
        <v>334</v>
      </c>
      <c r="G557" s="327"/>
      <c r="H557" s="482"/>
      <c r="I557" s="326"/>
      <c r="J557" s="327"/>
      <c r="K557" s="481" t="s">
        <v>334</v>
      </c>
      <c r="L557" s="326"/>
      <c r="M557" s="327"/>
      <c r="N557" s="439" t="s">
        <v>303</v>
      </c>
      <c r="O557" s="326"/>
      <c r="P557" s="326"/>
      <c r="Q557" s="326"/>
      <c r="R557" s="326"/>
      <c r="S557" s="326"/>
      <c r="T557" s="326"/>
      <c r="U557" s="327"/>
    </row>
    <row r="558" spans="1:21" ht="34.5" customHeight="1" x14ac:dyDescent="0.25">
      <c r="A558" s="10">
        <f t="shared" si="2"/>
        <v>544</v>
      </c>
      <c r="B558" s="483" t="s">
        <v>303</v>
      </c>
      <c r="C558" s="327"/>
      <c r="D558" s="484" t="s">
        <v>303</v>
      </c>
      <c r="E558" s="327"/>
      <c r="F558" s="481" t="s">
        <v>334</v>
      </c>
      <c r="G558" s="327"/>
      <c r="H558" s="485"/>
      <c r="I558" s="326"/>
      <c r="J558" s="327"/>
      <c r="K558" s="481" t="s">
        <v>334</v>
      </c>
      <c r="L558" s="326"/>
      <c r="M558" s="327"/>
      <c r="N558" s="486" t="s">
        <v>303</v>
      </c>
      <c r="O558" s="326"/>
      <c r="P558" s="326"/>
      <c r="Q558" s="326"/>
      <c r="R558" s="326"/>
      <c r="S558" s="326"/>
      <c r="T558" s="326"/>
      <c r="U558" s="327"/>
    </row>
    <row r="559" spans="1:21" ht="34.5" customHeight="1" x14ac:dyDescent="0.25">
      <c r="A559" s="10">
        <f t="shared" si="2"/>
        <v>545</v>
      </c>
      <c r="B559" s="479" t="s">
        <v>303</v>
      </c>
      <c r="C559" s="327"/>
      <c r="D559" s="480" t="s">
        <v>303</v>
      </c>
      <c r="E559" s="327"/>
      <c r="F559" s="481" t="s">
        <v>334</v>
      </c>
      <c r="G559" s="327"/>
      <c r="H559" s="482"/>
      <c r="I559" s="326"/>
      <c r="J559" s="327"/>
      <c r="K559" s="481" t="s">
        <v>334</v>
      </c>
      <c r="L559" s="326"/>
      <c r="M559" s="327"/>
      <c r="N559" s="439" t="s">
        <v>303</v>
      </c>
      <c r="O559" s="326"/>
      <c r="P559" s="326"/>
      <c r="Q559" s="326"/>
      <c r="R559" s="326"/>
      <c r="S559" s="326"/>
      <c r="T559" s="326"/>
      <c r="U559" s="327"/>
    </row>
    <row r="560" spans="1:21" ht="34.5" customHeight="1" x14ac:dyDescent="0.25">
      <c r="A560" s="10">
        <f t="shared" si="2"/>
        <v>546</v>
      </c>
      <c r="B560" s="483" t="s">
        <v>303</v>
      </c>
      <c r="C560" s="327"/>
      <c r="D560" s="484" t="s">
        <v>303</v>
      </c>
      <c r="E560" s="327"/>
      <c r="F560" s="481" t="s">
        <v>334</v>
      </c>
      <c r="G560" s="327"/>
      <c r="H560" s="485"/>
      <c r="I560" s="326"/>
      <c r="J560" s="327"/>
      <c r="K560" s="481" t="s">
        <v>334</v>
      </c>
      <c r="L560" s="326"/>
      <c r="M560" s="327"/>
      <c r="N560" s="486" t="s">
        <v>303</v>
      </c>
      <c r="O560" s="326"/>
      <c r="P560" s="326"/>
      <c r="Q560" s="326"/>
      <c r="R560" s="326"/>
      <c r="S560" s="326"/>
      <c r="T560" s="326"/>
      <c r="U560" s="327"/>
    </row>
    <row r="561" spans="1:21" ht="34.5" customHeight="1" x14ac:dyDescent="0.25">
      <c r="A561" s="10">
        <f t="shared" si="2"/>
        <v>547</v>
      </c>
      <c r="B561" s="479" t="s">
        <v>303</v>
      </c>
      <c r="C561" s="327"/>
      <c r="D561" s="480" t="s">
        <v>303</v>
      </c>
      <c r="E561" s="327"/>
      <c r="F561" s="481" t="s">
        <v>334</v>
      </c>
      <c r="G561" s="327"/>
      <c r="H561" s="482"/>
      <c r="I561" s="326"/>
      <c r="J561" s="327"/>
      <c r="K561" s="481" t="s">
        <v>334</v>
      </c>
      <c r="L561" s="326"/>
      <c r="M561" s="327"/>
      <c r="N561" s="439" t="s">
        <v>303</v>
      </c>
      <c r="O561" s="326"/>
      <c r="P561" s="326"/>
      <c r="Q561" s="326"/>
      <c r="R561" s="326"/>
      <c r="S561" s="326"/>
      <c r="T561" s="326"/>
      <c r="U561" s="327"/>
    </row>
    <row r="562" spans="1:21" ht="34.5" customHeight="1" x14ac:dyDescent="0.25">
      <c r="A562" s="10">
        <f t="shared" si="2"/>
        <v>548</v>
      </c>
      <c r="B562" s="483" t="s">
        <v>303</v>
      </c>
      <c r="C562" s="327"/>
      <c r="D562" s="484" t="s">
        <v>303</v>
      </c>
      <c r="E562" s="327"/>
      <c r="F562" s="481" t="s">
        <v>334</v>
      </c>
      <c r="G562" s="327"/>
      <c r="H562" s="485"/>
      <c r="I562" s="326"/>
      <c r="J562" s="327"/>
      <c r="K562" s="481" t="s">
        <v>334</v>
      </c>
      <c r="L562" s="326"/>
      <c r="M562" s="327"/>
      <c r="N562" s="486" t="s">
        <v>303</v>
      </c>
      <c r="O562" s="326"/>
      <c r="P562" s="326"/>
      <c r="Q562" s="326"/>
      <c r="R562" s="326"/>
      <c r="S562" s="326"/>
      <c r="T562" s="326"/>
      <c r="U562" s="327"/>
    </row>
    <row r="563" spans="1:21" ht="34.5" customHeight="1" x14ac:dyDescent="0.25">
      <c r="A563" s="10">
        <f t="shared" si="2"/>
        <v>549</v>
      </c>
      <c r="B563" s="479" t="s">
        <v>303</v>
      </c>
      <c r="C563" s="327"/>
      <c r="D563" s="480" t="s">
        <v>303</v>
      </c>
      <c r="E563" s="327"/>
      <c r="F563" s="481" t="s">
        <v>334</v>
      </c>
      <c r="G563" s="327"/>
      <c r="H563" s="482"/>
      <c r="I563" s="326"/>
      <c r="J563" s="327"/>
      <c r="K563" s="481" t="s">
        <v>334</v>
      </c>
      <c r="L563" s="326"/>
      <c r="M563" s="327"/>
      <c r="N563" s="439" t="s">
        <v>303</v>
      </c>
      <c r="O563" s="326"/>
      <c r="P563" s="326"/>
      <c r="Q563" s="326"/>
      <c r="R563" s="326"/>
      <c r="S563" s="326"/>
      <c r="T563" s="326"/>
      <c r="U563" s="327"/>
    </row>
    <row r="564" spans="1:21" ht="34.5" customHeight="1" x14ac:dyDescent="0.25">
      <c r="A564" s="10">
        <f t="shared" si="2"/>
        <v>550</v>
      </c>
      <c r="B564" s="483" t="s">
        <v>303</v>
      </c>
      <c r="C564" s="327"/>
      <c r="D564" s="484" t="s">
        <v>303</v>
      </c>
      <c r="E564" s="327"/>
      <c r="F564" s="481" t="s">
        <v>334</v>
      </c>
      <c r="G564" s="327"/>
      <c r="H564" s="485"/>
      <c r="I564" s="326"/>
      <c r="J564" s="327"/>
      <c r="K564" s="481" t="s">
        <v>334</v>
      </c>
      <c r="L564" s="326"/>
      <c r="M564" s="327"/>
      <c r="N564" s="486" t="s">
        <v>303</v>
      </c>
      <c r="O564" s="326"/>
      <c r="P564" s="326"/>
      <c r="Q564" s="326"/>
      <c r="R564" s="326"/>
      <c r="S564" s="326"/>
      <c r="T564" s="326"/>
      <c r="U564" s="327"/>
    </row>
    <row r="565" spans="1:21" ht="34.5" customHeight="1" x14ac:dyDescent="0.25">
      <c r="A565" s="10">
        <f t="shared" si="2"/>
        <v>551</v>
      </c>
      <c r="B565" s="479" t="s">
        <v>303</v>
      </c>
      <c r="C565" s="327"/>
      <c r="D565" s="480" t="s">
        <v>303</v>
      </c>
      <c r="E565" s="327"/>
      <c r="F565" s="481" t="s">
        <v>334</v>
      </c>
      <c r="G565" s="327"/>
      <c r="H565" s="482"/>
      <c r="I565" s="326"/>
      <c r="J565" s="327"/>
      <c r="K565" s="481" t="s">
        <v>334</v>
      </c>
      <c r="L565" s="326"/>
      <c r="M565" s="327"/>
      <c r="N565" s="439" t="s">
        <v>303</v>
      </c>
      <c r="O565" s="326"/>
      <c r="P565" s="326"/>
      <c r="Q565" s="326"/>
      <c r="R565" s="326"/>
      <c r="S565" s="326"/>
      <c r="T565" s="326"/>
      <c r="U565" s="327"/>
    </row>
    <row r="566" spans="1:21" ht="34.5" customHeight="1" x14ac:dyDescent="0.25">
      <c r="A566" s="10">
        <f t="shared" si="2"/>
        <v>552</v>
      </c>
      <c r="B566" s="483" t="s">
        <v>303</v>
      </c>
      <c r="C566" s="327"/>
      <c r="D566" s="484" t="s">
        <v>303</v>
      </c>
      <c r="E566" s="327"/>
      <c r="F566" s="481" t="s">
        <v>334</v>
      </c>
      <c r="G566" s="327"/>
      <c r="H566" s="485"/>
      <c r="I566" s="326"/>
      <c r="J566" s="327"/>
      <c r="K566" s="481" t="s">
        <v>334</v>
      </c>
      <c r="L566" s="326"/>
      <c r="M566" s="327"/>
      <c r="N566" s="486" t="s">
        <v>303</v>
      </c>
      <c r="O566" s="326"/>
      <c r="P566" s="326"/>
      <c r="Q566" s="326"/>
      <c r="R566" s="326"/>
      <c r="S566" s="326"/>
      <c r="T566" s="326"/>
      <c r="U566" s="327"/>
    </row>
    <row r="567" spans="1:21" ht="34.5" customHeight="1" x14ac:dyDescent="0.25">
      <c r="A567" s="10">
        <f t="shared" si="2"/>
        <v>553</v>
      </c>
      <c r="B567" s="479" t="s">
        <v>303</v>
      </c>
      <c r="C567" s="327"/>
      <c r="D567" s="480" t="s">
        <v>303</v>
      </c>
      <c r="E567" s="327"/>
      <c r="F567" s="481" t="s">
        <v>334</v>
      </c>
      <c r="G567" s="327"/>
      <c r="H567" s="482"/>
      <c r="I567" s="326"/>
      <c r="J567" s="327"/>
      <c r="K567" s="481" t="s">
        <v>334</v>
      </c>
      <c r="L567" s="326"/>
      <c r="M567" s="327"/>
      <c r="N567" s="439" t="s">
        <v>303</v>
      </c>
      <c r="O567" s="326"/>
      <c r="P567" s="326"/>
      <c r="Q567" s="326"/>
      <c r="R567" s="326"/>
      <c r="S567" s="326"/>
      <c r="T567" s="326"/>
      <c r="U567" s="327"/>
    </row>
    <row r="568" spans="1:21" ht="34.5" customHeight="1" x14ac:dyDescent="0.25">
      <c r="A568" s="10">
        <f t="shared" si="2"/>
        <v>554</v>
      </c>
      <c r="B568" s="483" t="s">
        <v>342</v>
      </c>
      <c r="C568" s="327"/>
      <c r="D568" s="484" t="s">
        <v>303</v>
      </c>
      <c r="E568" s="327"/>
      <c r="F568" s="481" t="s">
        <v>334</v>
      </c>
      <c r="G568" s="327"/>
      <c r="H568" s="485"/>
      <c r="I568" s="326"/>
      <c r="J568" s="327"/>
      <c r="K568" s="481" t="s">
        <v>334</v>
      </c>
      <c r="L568" s="326"/>
      <c r="M568" s="327"/>
      <c r="N568" s="486" t="s">
        <v>303</v>
      </c>
      <c r="O568" s="326"/>
      <c r="P568" s="326"/>
      <c r="Q568" s="326"/>
      <c r="R568" s="326"/>
      <c r="S568" s="326"/>
      <c r="T568" s="326"/>
      <c r="U568" s="327"/>
    </row>
    <row r="569" spans="1:21" ht="34.5" customHeight="1" x14ac:dyDescent="0.25">
      <c r="A569" s="10">
        <f t="shared" si="2"/>
        <v>555</v>
      </c>
      <c r="B569" s="479" t="s">
        <v>303</v>
      </c>
      <c r="C569" s="327"/>
      <c r="D569" s="480" t="s">
        <v>303</v>
      </c>
      <c r="E569" s="327"/>
      <c r="F569" s="481" t="s">
        <v>334</v>
      </c>
      <c r="G569" s="327"/>
      <c r="H569" s="482"/>
      <c r="I569" s="326"/>
      <c r="J569" s="327"/>
      <c r="K569" s="481" t="s">
        <v>334</v>
      </c>
      <c r="L569" s="326"/>
      <c r="M569" s="327"/>
      <c r="N569" s="439" t="s">
        <v>303</v>
      </c>
      <c r="O569" s="326"/>
      <c r="P569" s="326"/>
      <c r="Q569" s="326"/>
      <c r="R569" s="326"/>
      <c r="S569" s="326"/>
      <c r="T569" s="326"/>
      <c r="U569" s="327"/>
    </row>
    <row r="570" spans="1:21" ht="34.5" customHeight="1" x14ac:dyDescent="0.25">
      <c r="A570" s="10">
        <f t="shared" si="2"/>
        <v>556</v>
      </c>
      <c r="B570" s="483" t="s">
        <v>303</v>
      </c>
      <c r="C570" s="327"/>
      <c r="D570" s="484" t="s">
        <v>303</v>
      </c>
      <c r="E570" s="327"/>
      <c r="F570" s="481" t="s">
        <v>334</v>
      </c>
      <c r="G570" s="327"/>
      <c r="H570" s="485"/>
      <c r="I570" s="326"/>
      <c r="J570" s="327"/>
      <c r="K570" s="481" t="s">
        <v>334</v>
      </c>
      <c r="L570" s="326"/>
      <c r="M570" s="327"/>
      <c r="N570" s="486" t="s">
        <v>303</v>
      </c>
      <c r="O570" s="326"/>
      <c r="P570" s="326"/>
      <c r="Q570" s="326"/>
      <c r="R570" s="326"/>
      <c r="S570" s="326"/>
      <c r="T570" s="326"/>
      <c r="U570" s="327"/>
    </row>
    <row r="571" spans="1:21" ht="34.5" customHeight="1" x14ac:dyDescent="0.25">
      <c r="A571" s="10">
        <f t="shared" si="2"/>
        <v>557</v>
      </c>
      <c r="B571" s="479" t="s">
        <v>303</v>
      </c>
      <c r="C571" s="327"/>
      <c r="D571" s="480" t="s">
        <v>303</v>
      </c>
      <c r="E571" s="327"/>
      <c r="F571" s="481" t="s">
        <v>334</v>
      </c>
      <c r="G571" s="327"/>
      <c r="H571" s="482"/>
      <c r="I571" s="326"/>
      <c r="J571" s="327"/>
      <c r="K571" s="481" t="s">
        <v>334</v>
      </c>
      <c r="L571" s="326"/>
      <c r="M571" s="327"/>
      <c r="N571" s="439" t="s">
        <v>303</v>
      </c>
      <c r="O571" s="326"/>
      <c r="P571" s="326"/>
      <c r="Q571" s="326"/>
      <c r="R571" s="326"/>
      <c r="S571" s="326"/>
      <c r="T571" s="326"/>
      <c r="U571" s="327"/>
    </row>
    <row r="572" spans="1:21" ht="34.5" customHeight="1" x14ac:dyDescent="0.25">
      <c r="A572" s="10">
        <f t="shared" si="2"/>
        <v>558</v>
      </c>
      <c r="B572" s="483" t="s">
        <v>303</v>
      </c>
      <c r="C572" s="327"/>
      <c r="D572" s="484" t="s">
        <v>303</v>
      </c>
      <c r="E572" s="327"/>
      <c r="F572" s="481" t="s">
        <v>334</v>
      </c>
      <c r="G572" s="327"/>
      <c r="H572" s="485"/>
      <c r="I572" s="326"/>
      <c r="J572" s="327"/>
      <c r="K572" s="481" t="s">
        <v>334</v>
      </c>
      <c r="L572" s="326"/>
      <c r="M572" s="327"/>
      <c r="N572" s="486" t="s">
        <v>303</v>
      </c>
      <c r="O572" s="326"/>
      <c r="P572" s="326"/>
      <c r="Q572" s="326"/>
      <c r="R572" s="326"/>
      <c r="S572" s="326"/>
      <c r="T572" s="326"/>
      <c r="U572" s="327"/>
    </row>
    <row r="573" spans="1:21" ht="34.5" customHeight="1" x14ac:dyDescent="0.25">
      <c r="A573" s="10">
        <f t="shared" si="2"/>
        <v>559</v>
      </c>
      <c r="B573" s="479" t="s">
        <v>303</v>
      </c>
      <c r="C573" s="327"/>
      <c r="D573" s="480" t="s">
        <v>303</v>
      </c>
      <c r="E573" s="327"/>
      <c r="F573" s="481" t="s">
        <v>334</v>
      </c>
      <c r="G573" s="327"/>
      <c r="H573" s="482"/>
      <c r="I573" s="326"/>
      <c r="J573" s="327"/>
      <c r="K573" s="481" t="s">
        <v>334</v>
      </c>
      <c r="L573" s="326"/>
      <c r="M573" s="327"/>
      <c r="N573" s="439" t="s">
        <v>303</v>
      </c>
      <c r="O573" s="326"/>
      <c r="P573" s="326"/>
      <c r="Q573" s="326"/>
      <c r="R573" s="326"/>
      <c r="S573" s="326"/>
      <c r="T573" s="326"/>
      <c r="U573" s="327"/>
    </row>
    <row r="574" spans="1:21" ht="34.5" customHeight="1" x14ac:dyDescent="0.25">
      <c r="A574" s="10">
        <f t="shared" si="2"/>
        <v>560</v>
      </c>
      <c r="B574" s="483" t="s">
        <v>339</v>
      </c>
      <c r="C574" s="327"/>
      <c r="D574" s="484" t="s">
        <v>303</v>
      </c>
      <c r="E574" s="327"/>
      <c r="F574" s="481" t="s">
        <v>334</v>
      </c>
      <c r="G574" s="327"/>
      <c r="H574" s="485"/>
      <c r="I574" s="326"/>
      <c r="J574" s="327"/>
      <c r="K574" s="481" t="s">
        <v>334</v>
      </c>
      <c r="L574" s="326"/>
      <c r="M574" s="327"/>
      <c r="N574" s="486" t="s">
        <v>303</v>
      </c>
      <c r="O574" s="326"/>
      <c r="P574" s="326"/>
      <c r="Q574" s="326"/>
      <c r="R574" s="326"/>
      <c r="S574" s="326"/>
      <c r="T574" s="326"/>
      <c r="U574" s="327"/>
    </row>
    <row r="575" spans="1:21" ht="34.5" customHeight="1" x14ac:dyDescent="0.25">
      <c r="A575" s="10">
        <f t="shared" si="2"/>
        <v>561</v>
      </c>
      <c r="B575" s="479" t="s">
        <v>303</v>
      </c>
      <c r="C575" s="327"/>
      <c r="D575" s="480" t="s">
        <v>303</v>
      </c>
      <c r="E575" s="327"/>
      <c r="F575" s="481" t="s">
        <v>334</v>
      </c>
      <c r="G575" s="327"/>
      <c r="H575" s="482"/>
      <c r="I575" s="326"/>
      <c r="J575" s="327"/>
      <c r="K575" s="481" t="s">
        <v>334</v>
      </c>
      <c r="L575" s="326"/>
      <c r="M575" s="327"/>
      <c r="N575" s="439" t="s">
        <v>303</v>
      </c>
      <c r="O575" s="326"/>
      <c r="P575" s="326"/>
      <c r="Q575" s="326"/>
      <c r="R575" s="326"/>
      <c r="S575" s="326"/>
      <c r="T575" s="326"/>
      <c r="U575" s="327"/>
    </row>
    <row r="576" spans="1:21" ht="34.5" customHeight="1" x14ac:dyDescent="0.25">
      <c r="A576" s="10">
        <f t="shared" si="2"/>
        <v>562</v>
      </c>
      <c r="B576" s="483" t="s">
        <v>303</v>
      </c>
      <c r="C576" s="327"/>
      <c r="D576" s="484" t="s">
        <v>303</v>
      </c>
      <c r="E576" s="327"/>
      <c r="F576" s="481" t="s">
        <v>334</v>
      </c>
      <c r="G576" s="327"/>
      <c r="H576" s="485"/>
      <c r="I576" s="326"/>
      <c r="J576" s="327"/>
      <c r="K576" s="481" t="s">
        <v>334</v>
      </c>
      <c r="L576" s="326"/>
      <c r="M576" s="327"/>
      <c r="N576" s="486" t="s">
        <v>303</v>
      </c>
      <c r="O576" s="326"/>
      <c r="P576" s="326"/>
      <c r="Q576" s="326"/>
      <c r="R576" s="326"/>
      <c r="S576" s="326"/>
      <c r="T576" s="326"/>
      <c r="U576" s="327"/>
    </row>
    <row r="577" spans="1:21" ht="34.5" customHeight="1" x14ac:dyDescent="0.25">
      <c r="A577" s="10">
        <f t="shared" si="2"/>
        <v>563</v>
      </c>
      <c r="B577" s="479" t="s">
        <v>303</v>
      </c>
      <c r="C577" s="327"/>
      <c r="D577" s="480" t="s">
        <v>303</v>
      </c>
      <c r="E577" s="327"/>
      <c r="F577" s="481" t="s">
        <v>334</v>
      </c>
      <c r="G577" s="327"/>
      <c r="H577" s="482"/>
      <c r="I577" s="326"/>
      <c r="J577" s="327"/>
      <c r="K577" s="481" t="s">
        <v>334</v>
      </c>
      <c r="L577" s="326"/>
      <c r="M577" s="327"/>
      <c r="N577" s="439" t="s">
        <v>303</v>
      </c>
      <c r="O577" s="326"/>
      <c r="P577" s="326"/>
      <c r="Q577" s="326"/>
      <c r="R577" s="326"/>
      <c r="S577" s="326"/>
      <c r="T577" s="326"/>
      <c r="U577" s="327"/>
    </row>
    <row r="578" spans="1:21" ht="34.5" customHeight="1" x14ac:dyDescent="0.25">
      <c r="A578" s="10">
        <f t="shared" si="2"/>
        <v>564</v>
      </c>
      <c r="B578" s="483" t="s">
        <v>303</v>
      </c>
      <c r="C578" s="327"/>
      <c r="D578" s="484" t="s">
        <v>303</v>
      </c>
      <c r="E578" s="327"/>
      <c r="F578" s="481" t="s">
        <v>334</v>
      </c>
      <c r="G578" s="327"/>
      <c r="H578" s="485"/>
      <c r="I578" s="326"/>
      <c r="J578" s="327"/>
      <c r="K578" s="481" t="s">
        <v>334</v>
      </c>
      <c r="L578" s="326"/>
      <c r="M578" s="327"/>
      <c r="N578" s="486" t="s">
        <v>303</v>
      </c>
      <c r="O578" s="326"/>
      <c r="P578" s="326"/>
      <c r="Q578" s="326"/>
      <c r="R578" s="326"/>
      <c r="S578" s="326"/>
      <c r="T578" s="326"/>
      <c r="U578" s="327"/>
    </row>
    <row r="579" spans="1:21" ht="34.5" customHeight="1" x14ac:dyDescent="0.25">
      <c r="A579" s="10">
        <f t="shared" si="2"/>
        <v>565</v>
      </c>
      <c r="B579" s="479" t="s">
        <v>343</v>
      </c>
      <c r="C579" s="327"/>
      <c r="D579" s="480" t="s">
        <v>303</v>
      </c>
      <c r="E579" s="327"/>
      <c r="F579" s="481" t="s">
        <v>334</v>
      </c>
      <c r="G579" s="327"/>
      <c r="H579" s="482"/>
      <c r="I579" s="326"/>
      <c r="J579" s="327"/>
      <c r="K579" s="481" t="s">
        <v>334</v>
      </c>
      <c r="L579" s="326"/>
      <c r="M579" s="327"/>
      <c r="N579" s="439" t="s">
        <v>303</v>
      </c>
      <c r="O579" s="326"/>
      <c r="P579" s="326"/>
      <c r="Q579" s="326"/>
      <c r="R579" s="326"/>
      <c r="S579" s="326"/>
      <c r="T579" s="326"/>
      <c r="U579" s="327"/>
    </row>
    <row r="580" spans="1:21" ht="34.5" customHeight="1" x14ac:dyDescent="0.25">
      <c r="A580" s="10">
        <f t="shared" si="2"/>
        <v>566</v>
      </c>
      <c r="B580" s="483" t="s">
        <v>303</v>
      </c>
      <c r="C580" s="327"/>
      <c r="D580" s="484" t="s">
        <v>303</v>
      </c>
      <c r="E580" s="327"/>
      <c r="F580" s="481" t="s">
        <v>334</v>
      </c>
      <c r="G580" s="327"/>
      <c r="H580" s="485"/>
      <c r="I580" s="326"/>
      <c r="J580" s="327"/>
      <c r="K580" s="481" t="s">
        <v>334</v>
      </c>
      <c r="L580" s="326"/>
      <c r="M580" s="327"/>
      <c r="N580" s="486" t="s">
        <v>303</v>
      </c>
      <c r="O580" s="326"/>
      <c r="P580" s="326"/>
      <c r="Q580" s="326"/>
      <c r="R580" s="326"/>
      <c r="S580" s="326"/>
      <c r="T580" s="326"/>
      <c r="U580" s="327"/>
    </row>
    <row r="581" spans="1:21" ht="34.5" customHeight="1" x14ac:dyDescent="0.25">
      <c r="A581" s="10">
        <f t="shared" si="2"/>
        <v>567</v>
      </c>
      <c r="B581" s="479" t="s">
        <v>303</v>
      </c>
      <c r="C581" s="327"/>
      <c r="D581" s="480" t="s">
        <v>303</v>
      </c>
      <c r="E581" s="327"/>
      <c r="F581" s="481" t="s">
        <v>334</v>
      </c>
      <c r="G581" s="327"/>
      <c r="H581" s="482"/>
      <c r="I581" s="326"/>
      <c r="J581" s="327"/>
      <c r="K581" s="481" t="s">
        <v>334</v>
      </c>
      <c r="L581" s="326"/>
      <c r="M581" s="327"/>
      <c r="N581" s="439" t="s">
        <v>303</v>
      </c>
      <c r="O581" s="326"/>
      <c r="P581" s="326"/>
      <c r="Q581" s="326"/>
      <c r="R581" s="326"/>
      <c r="S581" s="326"/>
      <c r="T581" s="326"/>
      <c r="U581" s="327"/>
    </row>
    <row r="582" spans="1:21" ht="34.5" customHeight="1" x14ac:dyDescent="0.25">
      <c r="A582" s="10">
        <f t="shared" si="2"/>
        <v>568</v>
      </c>
      <c r="B582" s="483" t="s">
        <v>303</v>
      </c>
      <c r="C582" s="327"/>
      <c r="D582" s="484" t="s">
        <v>303</v>
      </c>
      <c r="E582" s="327"/>
      <c r="F582" s="481" t="s">
        <v>334</v>
      </c>
      <c r="G582" s="327"/>
      <c r="H582" s="485"/>
      <c r="I582" s="326"/>
      <c r="J582" s="327"/>
      <c r="K582" s="481" t="s">
        <v>334</v>
      </c>
      <c r="L582" s="326"/>
      <c r="M582" s="327"/>
      <c r="N582" s="486" t="s">
        <v>303</v>
      </c>
      <c r="O582" s="326"/>
      <c r="P582" s="326"/>
      <c r="Q582" s="326"/>
      <c r="R582" s="326"/>
      <c r="S582" s="326"/>
      <c r="T582" s="326"/>
      <c r="U582" s="327"/>
    </row>
    <row r="583" spans="1:21" ht="34.5" customHeight="1" x14ac:dyDescent="0.25">
      <c r="A583" s="10">
        <f t="shared" si="2"/>
        <v>569</v>
      </c>
      <c r="B583" s="479" t="s">
        <v>303</v>
      </c>
      <c r="C583" s="327"/>
      <c r="D583" s="480" t="s">
        <v>303</v>
      </c>
      <c r="E583" s="327"/>
      <c r="F583" s="481" t="s">
        <v>334</v>
      </c>
      <c r="G583" s="327"/>
      <c r="H583" s="482"/>
      <c r="I583" s="326"/>
      <c r="J583" s="327"/>
      <c r="K583" s="481" t="s">
        <v>334</v>
      </c>
      <c r="L583" s="326"/>
      <c r="M583" s="327"/>
      <c r="N583" s="439" t="s">
        <v>303</v>
      </c>
      <c r="O583" s="326"/>
      <c r="P583" s="326"/>
      <c r="Q583" s="326"/>
      <c r="R583" s="326"/>
      <c r="S583" s="326"/>
      <c r="T583" s="326"/>
      <c r="U583" s="327"/>
    </row>
    <row r="584" spans="1:21" ht="34.5" customHeight="1" x14ac:dyDescent="0.25">
      <c r="A584" s="10">
        <f t="shared" si="2"/>
        <v>570</v>
      </c>
      <c r="B584" s="483" t="s">
        <v>341</v>
      </c>
      <c r="C584" s="327"/>
      <c r="D584" s="484" t="s">
        <v>303</v>
      </c>
      <c r="E584" s="327"/>
      <c r="F584" s="481" t="s">
        <v>334</v>
      </c>
      <c r="G584" s="327"/>
      <c r="H584" s="485"/>
      <c r="I584" s="326"/>
      <c r="J584" s="327"/>
      <c r="K584" s="481" t="s">
        <v>334</v>
      </c>
      <c r="L584" s="326"/>
      <c r="M584" s="327"/>
      <c r="N584" s="486" t="s">
        <v>303</v>
      </c>
      <c r="O584" s="326"/>
      <c r="P584" s="326"/>
      <c r="Q584" s="326"/>
      <c r="R584" s="326"/>
      <c r="S584" s="326"/>
      <c r="T584" s="326"/>
      <c r="U584" s="327"/>
    </row>
    <row r="585" spans="1:21" ht="34.5" customHeight="1" x14ac:dyDescent="0.25">
      <c r="A585" s="10">
        <f t="shared" si="2"/>
        <v>571</v>
      </c>
      <c r="B585" s="479" t="s">
        <v>303</v>
      </c>
      <c r="C585" s="327"/>
      <c r="D585" s="480" t="s">
        <v>303</v>
      </c>
      <c r="E585" s="327"/>
      <c r="F585" s="481" t="s">
        <v>334</v>
      </c>
      <c r="G585" s="327"/>
      <c r="H585" s="482"/>
      <c r="I585" s="326"/>
      <c r="J585" s="327"/>
      <c r="K585" s="481" t="s">
        <v>334</v>
      </c>
      <c r="L585" s="326"/>
      <c r="M585" s="327"/>
      <c r="N585" s="439" t="s">
        <v>303</v>
      </c>
      <c r="O585" s="326"/>
      <c r="P585" s="326"/>
      <c r="Q585" s="326"/>
      <c r="R585" s="326"/>
      <c r="S585" s="326"/>
      <c r="T585" s="326"/>
      <c r="U585" s="327"/>
    </row>
    <row r="586" spans="1:21" ht="34.5" customHeight="1" x14ac:dyDescent="0.25">
      <c r="A586" s="10">
        <f t="shared" si="2"/>
        <v>572</v>
      </c>
      <c r="B586" s="483" t="s">
        <v>303</v>
      </c>
      <c r="C586" s="327"/>
      <c r="D586" s="484" t="s">
        <v>303</v>
      </c>
      <c r="E586" s="327"/>
      <c r="F586" s="481" t="s">
        <v>334</v>
      </c>
      <c r="G586" s="327"/>
      <c r="H586" s="485"/>
      <c r="I586" s="326"/>
      <c r="J586" s="327"/>
      <c r="K586" s="481" t="s">
        <v>334</v>
      </c>
      <c r="L586" s="326"/>
      <c r="M586" s="327"/>
      <c r="N586" s="486" t="s">
        <v>303</v>
      </c>
      <c r="O586" s="326"/>
      <c r="P586" s="326"/>
      <c r="Q586" s="326"/>
      <c r="R586" s="326"/>
      <c r="S586" s="326"/>
      <c r="T586" s="326"/>
      <c r="U586" s="327"/>
    </row>
    <row r="587" spans="1:21" ht="34.5" customHeight="1" x14ac:dyDescent="0.25">
      <c r="A587" s="10">
        <f t="shared" si="2"/>
        <v>573</v>
      </c>
      <c r="B587" s="479" t="s">
        <v>303</v>
      </c>
      <c r="C587" s="327"/>
      <c r="D587" s="480" t="s">
        <v>303</v>
      </c>
      <c r="E587" s="327"/>
      <c r="F587" s="481" t="s">
        <v>334</v>
      </c>
      <c r="G587" s="327"/>
      <c r="H587" s="482"/>
      <c r="I587" s="326"/>
      <c r="J587" s="327"/>
      <c r="K587" s="481" t="s">
        <v>334</v>
      </c>
      <c r="L587" s="326"/>
      <c r="M587" s="327"/>
      <c r="N587" s="439" t="s">
        <v>303</v>
      </c>
      <c r="O587" s="326"/>
      <c r="P587" s="326"/>
      <c r="Q587" s="326"/>
      <c r="R587" s="326"/>
      <c r="S587" s="326"/>
      <c r="T587" s="326"/>
      <c r="U587" s="327"/>
    </row>
    <row r="588" spans="1:21" ht="34.5" customHeight="1" x14ac:dyDescent="0.25">
      <c r="A588" s="10">
        <f t="shared" si="2"/>
        <v>574</v>
      </c>
      <c r="B588" s="483" t="s">
        <v>303</v>
      </c>
      <c r="C588" s="327"/>
      <c r="D588" s="484" t="s">
        <v>303</v>
      </c>
      <c r="E588" s="327"/>
      <c r="F588" s="481" t="s">
        <v>334</v>
      </c>
      <c r="G588" s="327"/>
      <c r="H588" s="485"/>
      <c r="I588" s="326"/>
      <c r="J588" s="327"/>
      <c r="K588" s="481" t="s">
        <v>334</v>
      </c>
      <c r="L588" s="326"/>
      <c r="M588" s="327"/>
      <c r="N588" s="486" t="s">
        <v>303</v>
      </c>
      <c r="O588" s="326"/>
      <c r="P588" s="326"/>
      <c r="Q588" s="326"/>
      <c r="R588" s="326"/>
      <c r="S588" s="326"/>
      <c r="T588" s="326"/>
      <c r="U588" s="327"/>
    </row>
    <row r="589" spans="1:21" ht="34.5" customHeight="1" x14ac:dyDescent="0.25">
      <c r="A589" s="10">
        <f t="shared" si="2"/>
        <v>575</v>
      </c>
      <c r="B589" s="479" t="s">
        <v>338</v>
      </c>
      <c r="C589" s="327"/>
      <c r="D589" s="480" t="s">
        <v>303</v>
      </c>
      <c r="E589" s="327"/>
      <c r="F589" s="481" t="s">
        <v>334</v>
      </c>
      <c r="G589" s="327"/>
      <c r="H589" s="482"/>
      <c r="I589" s="326"/>
      <c r="J589" s="327"/>
      <c r="K589" s="481" t="s">
        <v>334</v>
      </c>
      <c r="L589" s="326"/>
      <c r="M589" s="327"/>
      <c r="N589" s="439" t="s">
        <v>303</v>
      </c>
      <c r="O589" s="326"/>
      <c r="P589" s="326"/>
      <c r="Q589" s="326"/>
      <c r="R589" s="326"/>
      <c r="S589" s="326"/>
      <c r="T589" s="326"/>
      <c r="U589" s="327"/>
    </row>
    <row r="590" spans="1:21" ht="34.5" customHeight="1" x14ac:dyDescent="0.25">
      <c r="A590" s="10">
        <f t="shared" si="2"/>
        <v>576</v>
      </c>
      <c r="B590" s="483" t="s">
        <v>303</v>
      </c>
      <c r="C590" s="327"/>
      <c r="D590" s="484" t="s">
        <v>303</v>
      </c>
      <c r="E590" s="327"/>
      <c r="F590" s="481" t="s">
        <v>334</v>
      </c>
      <c r="G590" s="327"/>
      <c r="H590" s="485"/>
      <c r="I590" s="326"/>
      <c r="J590" s="327"/>
      <c r="K590" s="481" t="s">
        <v>334</v>
      </c>
      <c r="L590" s="326"/>
      <c r="M590" s="327"/>
      <c r="N590" s="486" t="s">
        <v>303</v>
      </c>
      <c r="O590" s="326"/>
      <c r="P590" s="326"/>
      <c r="Q590" s="326"/>
      <c r="R590" s="326"/>
      <c r="S590" s="326"/>
      <c r="T590" s="326"/>
      <c r="U590" s="327"/>
    </row>
    <row r="591" spans="1:21" ht="34.5" customHeight="1" x14ac:dyDescent="0.25">
      <c r="A591" s="10">
        <f t="shared" si="2"/>
        <v>577</v>
      </c>
      <c r="B591" s="479" t="s">
        <v>303</v>
      </c>
      <c r="C591" s="327"/>
      <c r="D591" s="480" t="s">
        <v>303</v>
      </c>
      <c r="E591" s="327"/>
      <c r="F591" s="481" t="s">
        <v>334</v>
      </c>
      <c r="G591" s="327"/>
      <c r="H591" s="482"/>
      <c r="I591" s="326"/>
      <c r="J591" s="327"/>
      <c r="K591" s="481" t="s">
        <v>334</v>
      </c>
      <c r="L591" s="326"/>
      <c r="M591" s="327"/>
      <c r="N591" s="439" t="s">
        <v>303</v>
      </c>
      <c r="O591" s="326"/>
      <c r="P591" s="326"/>
      <c r="Q591" s="326"/>
      <c r="R591" s="326"/>
      <c r="S591" s="326"/>
      <c r="T591" s="326"/>
      <c r="U591" s="327"/>
    </row>
    <row r="592" spans="1:21" ht="34.5" customHeight="1" x14ac:dyDescent="0.25">
      <c r="A592" s="10">
        <f t="shared" si="2"/>
        <v>578</v>
      </c>
      <c r="B592" s="483" t="s">
        <v>303</v>
      </c>
      <c r="C592" s="327"/>
      <c r="D592" s="484" t="s">
        <v>303</v>
      </c>
      <c r="E592" s="327"/>
      <c r="F592" s="481" t="s">
        <v>334</v>
      </c>
      <c r="G592" s="327"/>
      <c r="H592" s="485"/>
      <c r="I592" s="326"/>
      <c r="J592" s="327"/>
      <c r="K592" s="481" t="s">
        <v>334</v>
      </c>
      <c r="L592" s="326"/>
      <c r="M592" s="327"/>
      <c r="N592" s="486" t="s">
        <v>303</v>
      </c>
      <c r="O592" s="326"/>
      <c r="P592" s="326"/>
      <c r="Q592" s="326"/>
      <c r="R592" s="326"/>
      <c r="S592" s="326"/>
      <c r="T592" s="326"/>
      <c r="U592" s="327"/>
    </row>
    <row r="593" spans="1:21" ht="34.5" customHeight="1" x14ac:dyDescent="0.25">
      <c r="A593" s="10">
        <f t="shared" si="2"/>
        <v>579</v>
      </c>
      <c r="B593" s="479" t="s">
        <v>343</v>
      </c>
      <c r="C593" s="327"/>
      <c r="D593" s="480" t="s">
        <v>303</v>
      </c>
      <c r="E593" s="327"/>
      <c r="F593" s="481" t="s">
        <v>334</v>
      </c>
      <c r="G593" s="327"/>
      <c r="H593" s="482"/>
      <c r="I593" s="326"/>
      <c r="J593" s="327"/>
      <c r="K593" s="481" t="s">
        <v>334</v>
      </c>
      <c r="L593" s="326"/>
      <c r="M593" s="327"/>
      <c r="N593" s="439" t="s">
        <v>303</v>
      </c>
      <c r="O593" s="326"/>
      <c r="P593" s="326"/>
      <c r="Q593" s="326"/>
      <c r="R593" s="326"/>
      <c r="S593" s="326"/>
      <c r="T593" s="326"/>
      <c r="U593" s="327"/>
    </row>
    <row r="594" spans="1:21" ht="34.5" customHeight="1" x14ac:dyDescent="0.25">
      <c r="A594" s="10">
        <f t="shared" si="2"/>
        <v>580</v>
      </c>
      <c r="B594" s="483" t="s">
        <v>303</v>
      </c>
      <c r="C594" s="327"/>
      <c r="D594" s="484" t="s">
        <v>303</v>
      </c>
      <c r="E594" s="327"/>
      <c r="F594" s="481" t="s">
        <v>334</v>
      </c>
      <c r="G594" s="327"/>
      <c r="H594" s="485"/>
      <c r="I594" s="326"/>
      <c r="J594" s="327"/>
      <c r="K594" s="481" t="s">
        <v>334</v>
      </c>
      <c r="L594" s="326"/>
      <c r="M594" s="327"/>
      <c r="N594" s="486" t="s">
        <v>303</v>
      </c>
      <c r="O594" s="326"/>
      <c r="P594" s="326"/>
      <c r="Q594" s="326"/>
      <c r="R594" s="326"/>
      <c r="S594" s="326"/>
      <c r="T594" s="326"/>
      <c r="U594" s="327"/>
    </row>
    <row r="595" spans="1:21" ht="34.5" customHeight="1" x14ac:dyDescent="0.25">
      <c r="A595" s="10">
        <f t="shared" si="2"/>
        <v>581</v>
      </c>
      <c r="B595" s="479" t="s">
        <v>303</v>
      </c>
      <c r="C595" s="327"/>
      <c r="D595" s="480" t="s">
        <v>303</v>
      </c>
      <c r="E595" s="327"/>
      <c r="F595" s="481" t="s">
        <v>334</v>
      </c>
      <c r="G595" s="327"/>
      <c r="H595" s="482"/>
      <c r="I595" s="326"/>
      <c r="J595" s="327"/>
      <c r="K595" s="481" t="s">
        <v>334</v>
      </c>
      <c r="L595" s="326"/>
      <c r="M595" s="327"/>
      <c r="N595" s="439" t="s">
        <v>303</v>
      </c>
      <c r="O595" s="326"/>
      <c r="P595" s="326"/>
      <c r="Q595" s="326"/>
      <c r="R595" s="326"/>
      <c r="S595" s="326"/>
      <c r="T595" s="326"/>
      <c r="U595" s="327"/>
    </row>
    <row r="596" spans="1:21" ht="34.5" customHeight="1" x14ac:dyDescent="0.25">
      <c r="A596" s="10">
        <f t="shared" si="2"/>
        <v>582</v>
      </c>
      <c r="B596" s="483" t="s">
        <v>303</v>
      </c>
      <c r="C596" s="327"/>
      <c r="D596" s="484" t="s">
        <v>303</v>
      </c>
      <c r="E596" s="327"/>
      <c r="F596" s="481" t="s">
        <v>334</v>
      </c>
      <c r="G596" s="327"/>
      <c r="H596" s="485"/>
      <c r="I596" s="326"/>
      <c r="J596" s="327"/>
      <c r="K596" s="481" t="s">
        <v>334</v>
      </c>
      <c r="L596" s="326"/>
      <c r="M596" s="327"/>
      <c r="N596" s="486" t="s">
        <v>303</v>
      </c>
      <c r="O596" s="326"/>
      <c r="P596" s="326"/>
      <c r="Q596" s="326"/>
      <c r="R596" s="326"/>
      <c r="S596" s="326"/>
      <c r="T596" s="326"/>
      <c r="U596" s="327"/>
    </row>
    <row r="597" spans="1:21" ht="34.5" customHeight="1" x14ac:dyDescent="0.25">
      <c r="A597" s="10">
        <f t="shared" si="2"/>
        <v>583</v>
      </c>
      <c r="B597" s="479" t="s">
        <v>303</v>
      </c>
      <c r="C597" s="327"/>
      <c r="D597" s="480" t="s">
        <v>303</v>
      </c>
      <c r="E597" s="327"/>
      <c r="F597" s="481" t="s">
        <v>334</v>
      </c>
      <c r="G597" s="327"/>
      <c r="H597" s="482"/>
      <c r="I597" s="326"/>
      <c r="J597" s="327"/>
      <c r="K597" s="481" t="s">
        <v>334</v>
      </c>
      <c r="L597" s="326"/>
      <c r="M597" s="327"/>
      <c r="N597" s="439" t="s">
        <v>303</v>
      </c>
      <c r="O597" s="326"/>
      <c r="P597" s="326"/>
      <c r="Q597" s="326"/>
      <c r="R597" s="326"/>
      <c r="S597" s="326"/>
      <c r="T597" s="326"/>
      <c r="U597" s="327"/>
    </row>
    <row r="598" spans="1:21" ht="34.5" customHeight="1" x14ac:dyDescent="0.25">
      <c r="A598" s="10">
        <f t="shared" si="2"/>
        <v>584</v>
      </c>
      <c r="B598" s="483" t="s">
        <v>303</v>
      </c>
      <c r="C598" s="327"/>
      <c r="D598" s="484" t="s">
        <v>303</v>
      </c>
      <c r="E598" s="327"/>
      <c r="F598" s="481" t="s">
        <v>334</v>
      </c>
      <c r="G598" s="327"/>
      <c r="H598" s="485"/>
      <c r="I598" s="326"/>
      <c r="J598" s="327"/>
      <c r="K598" s="481" t="s">
        <v>334</v>
      </c>
      <c r="L598" s="326"/>
      <c r="M598" s="327"/>
      <c r="N598" s="486" t="s">
        <v>303</v>
      </c>
      <c r="O598" s="326"/>
      <c r="P598" s="326"/>
      <c r="Q598" s="326"/>
      <c r="R598" s="326"/>
      <c r="S598" s="326"/>
      <c r="T598" s="326"/>
      <c r="U598" s="327"/>
    </row>
    <row r="599" spans="1:21" ht="34.5" customHeight="1" x14ac:dyDescent="0.25">
      <c r="A599" s="10">
        <f t="shared" si="2"/>
        <v>585</v>
      </c>
      <c r="B599" s="479" t="s">
        <v>344</v>
      </c>
      <c r="C599" s="327"/>
      <c r="D599" s="480" t="s">
        <v>303</v>
      </c>
      <c r="E599" s="327"/>
      <c r="F599" s="481" t="s">
        <v>334</v>
      </c>
      <c r="G599" s="327"/>
      <c r="H599" s="482"/>
      <c r="I599" s="326"/>
      <c r="J599" s="327"/>
      <c r="K599" s="481" t="s">
        <v>334</v>
      </c>
      <c r="L599" s="326"/>
      <c r="M599" s="327"/>
      <c r="N599" s="439" t="s">
        <v>303</v>
      </c>
      <c r="O599" s="326"/>
      <c r="P599" s="326"/>
      <c r="Q599" s="326"/>
      <c r="R599" s="326"/>
      <c r="S599" s="326"/>
      <c r="T599" s="326"/>
      <c r="U599" s="327"/>
    </row>
    <row r="600" spans="1:21" ht="34.5" customHeight="1" x14ac:dyDescent="0.25">
      <c r="A600" s="10">
        <f t="shared" si="2"/>
        <v>586</v>
      </c>
      <c r="B600" s="483" t="s">
        <v>303</v>
      </c>
      <c r="C600" s="327"/>
      <c r="D600" s="484" t="s">
        <v>303</v>
      </c>
      <c r="E600" s="327"/>
      <c r="F600" s="481" t="s">
        <v>334</v>
      </c>
      <c r="G600" s="327"/>
      <c r="H600" s="485"/>
      <c r="I600" s="326"/>
      <c r="J600" s="327"/>
      <c r="K600" s="481" t="s">
        <v>334</v>
      </c>
      <c r="L600" s="326"/>
      <c r="M600" s="327"/>
      <c r="N600" s="486" t="s">
        <v>303</v>
      </c>
      <c r="O600" s="326"/>
      <c r="P600" s="326"/>
      <c r="Q600" s="326"/>
      <c r="R600" s="326"/>
      <c r="S600" s="326"/>
      <c r="T600" s="326"/>
      <c r="U600" s="327"/>
    </row>
    <row r="601" spans="1:21" ht="34.5" customHeight="1" x14ac:dyDescent="0.25">
      <c r="A601" s="10">
        <f t="shared" si="2"/>
        <v>587</v>
      </c>
      <c r="B601" s="479" t="s">
        <v>303</v>
      </c>
      <c r="C601" s="327"/>
      <c r="D601" s="480" t="s">
        <v>303</v>
      </c>
      <c r="E601" s="327"/>
      <c r="F601" s="481" t="s">
        <v>334</v>
      </c>
      <c r="G601" s="327"/>
      <c r="H601" s="482"/>
      <c r="I601" s="326"/>
      <c r="J601" s="327"/>
      <c r="K601" s="481" t="s">
        <v>334</v>
      </c>
      <c r="L601" s="326"/>
      <c r="M601" s="327"/>
      <c r="N601" s="439" t="s">
        <v>303</v>
      </c>
      <c r="O601" s="326"/>
      <c r="P601" s="326"/>
      <c r="Q601" s="326"/>
      <c r="R601" s="326"/>
      <c r="S601" s="326"/>
      <c r="T601" s="326"/>
      <c r="U601" s="327"/>
    </row>
    <row r="602" spans="1:21" ht="34.5" customHeight="1" x14ac:dyDescent="0.25">
      <c r="A602" s="10">
        <f t="shared" si="2"/>
        <v>588</v>
      </c>
      <c r="B602" s="483" t="s">
        <v>303</v>
      </c>
      <c r="C602" s="327"/>
      <c r="D602" s="484" t="s">
        <v>303</v>
      </c>
      <c r="E602" s="327"/>
      <c r="F602" s="481" t="s">
        <v>334</v>
      </c>
      <c r="G602" s="327"/>
      <c r="H602" s="485"/>
      <c r="I602" s="326"/>
      <c r="J602" s="327"/>
      <c r="K602" s="481" t="s">
        <v>334</v>
      </c>
      <c r="L602" s="326"/>
      <c r="M602" s="327"/>
      <c r="N602" s="486" t="s">
        <v>303</v>
      </c>
      <c r="O602" s="326"/>
      <c r="P602" s="326"/>
      <c r="Q602" s="326"/>
      <c r="R602" s="326"/>
      <c r="S602" s="326"/>
      <c r="T602" s="326"/>
      <c r="U602" s="327"/>
    </row>
    <row r="603" spans="1:21" ht="34.5" customHeight="1" x14ac:dyDescent="0.25">
      <c r="A603" s="10">
        <f t="shared" si="2"/>
        <v>589</v>
      </c>
      <c r="B603" s="479" t="s">
        <v>303</v>
      </c>
      <c r="C603" s="327"/>
      <c r="D603" s="480" t="s">
        <v>303</v>
      </c>
      <c r="E603" s="327"/>
      <c r="F603" s="481" t="s">
        <v>334</v>
      </c>
      <c r="G603" s="327"/>
      <c r="H603" s="482"/>
      <c r="I603" s="326"/>
      <c r="J603" s="327"/>
      <c r="K603" s="481" t="s">
        <v>334</v>
      </c>
      <c r="L603" s="326"/>
      <c r="M603" s="327"/>
      <c r="N603" s="439" t="s">
        <v>303</v>
      </c>
      <c r="O603" s="326"/>
      <c r="P603" s="326"/>
      <c r="Q603" s="326"/>
      <c r="R603" s="326"/>
      <c r="S603" s="326"/>
      <c r="T603" s="326"/>
      <c r="U603" s="327"/>
    </row>
    <row r="604" spans="1:21" ht="34.5" customHeight="1" x14ac:dyDescent="0.25">
      <c r="A604" s="10">
        <f t="shared" si="2"/>
        <v>590</v>
      </c>
      <c r="B604" s="483" t="s">
        <v>303</v>
      </c>
      <c r="C604" s="327"/>
      <c r="D604" s="484" t="s">
        <v>303</v>
      </c>
      <c r="E604" s="327"/>
      <c r="F604" s="481" t="s">
        <v>334</v>
      </c>
      <c r="G604" s="327"/>
      <c r="H604" s="485"/>
      <c r="I604" s="326"/>
      <c r="J604" s="327"/>
      <c r="K604" s="481" t="s">
        <v>334</v>
      </c>
      <c r="L604" s="326"/>
      <c r="M604" s="327"/>
      <c r="N604" s="486" t="s">
        <v>303</v>
      </c>
      <c r="O604" s="326"/>
      <c r="P604" s="326"/>
      <c r="Q604" s="326"/>
      <c r="R604" s="326"/>
      <c r="S604" s="326"/>
      <c r="T604" s="326"/>
      <c r="U604" s="327"/>
    </row>
    <row r="605" spans="1:21" ht="34.5" customHeight="1" x14ac:dyDescent="0.25">
      <c r="A605" s="10">
        <f t="shared" si="2"/>
        <v>591</v>
      </c>
      <c r="B605" s="479" t="s">
        <v>303</v>
      </c>
      <c r="C605" s="327"/>
      <c r="D605" s="480" t="s">
        <v>303</v>
      </c>
      <c r="E605" s="327"/>
      <c r="F605" s="481" t="s">
        <v>334</v>
      </c>
      <c r="G605" s="327"/>
      <c r="H605" s="482"/>
      <c r="I605" s="326"/>
      <c r="J605" s="327"/>
      <c r="K605" s="481" t="s">
        <v>334</v>
      </c>
      <c r="L605" s="326"/>
      <c r="M605" s="327"/>
      <c r="N605" s="439" t="s">
        <v>303</v>
      </c>
      <c r="O605" s="326"/>
      <c r="P605" s="326"/>
      <c r="Q605" s="326"/>
      <c r="R605" s="326"/>
      <c r="S605" s="326"/>
      <c r="T605" s="326"/>
      <c r="U605" s="327"/>
    </row>
    <row r="606" spans="1:21" ht="34.5" customHeight="1" x14ac:dyDescent="0.25">
      <c r="A606" s="10">
        <f t="shared" si="2"/>
        <v>592</v>
      </c>
      <c r="B606" s="479" t="s">
        <v>303</v>
      </c>
      <c r="C606" s="327"/>
      <c r="D606" s="480" t="s">
        <v>303</v>
      </c>
      <c r="E606" s="327"/>
      <c r="F606" s="481" t="s">
        <v>334</v>
      </c>
      <c r="G606" s="327"/>
      <c r="H606" s="482"/>
      <c r="I606" s="326"/>
      <c r="J606" s="327"/>
      <c r="K606" s="481" t="s">
        <v>334</v>
      </c>
      <c r="L606" s="326"/>
      <c r="M606" s="327"/>
      <c r="N606" s="439" t="s">
        <v>303</v>
      </c>
      <c r="O606" s="326"/>
      <c r="P606" s="326"/>
      <c r="Q606" s="326"/>
      <c r="R606" s="326"/>
      <c r="S606" s="326"/>
      <c r="T606" s="326"/>
      <c r="U606" s="327"/>
    </row>
    <row r="607" spans="1:21" ht="34.5" customHeight="1" x14ac:dyDescent="0.25">
      <c r="A607" s="10">
        <f t="shared" si="2"/>
        <v>593</v>
      </c>
      <c r="B607" s="483" t="s">
        <v>303</v>
      </c>
      <c r="C607" s="327"/>
      <c r="D607" s="484" t="s">
        <v>303</v>
      </c>
      <c r="E607" s="327"/>
      <c r="F607" s="481" t="s">
        <v>334</v>
      </c>
      <c r="G607" s="327"/>
      <c r="H607" s="485"/>
      <c r="I607" s="326"/>
      <c r="J607" s="327"/>
      <c r="K607" s="481" t="s">
        <v>334</v>
      </c>
      <c r="L607" s="326"/>
      <c r="M607" s="327"/>
      <c r="N607" s="486"/>
      <c r="O607" s="326"/>
      <c r="P607" s="326"/>
      <c r="Q607" s="326"/>
      <c r="R607" s="326"/>
      <c r="S607" s="326"/>
      <c r="T607" s="326"/>
      <c r="U607" s="327"/>
    </row>
    <row r="608" spans="1:21" ht="34.5" customHeight="1" x14ac:dyDescent="0.25">
      <c r="A608" s="10">
        <f t="shared" si="2"/>
        <v>594</v>
      </c>
      <c r="B608" s="479" t="s">
        <v>303</v>
      </c>
      <c r="C608" s="327"/>
      <c r="D608" s="480" t="s">
        <v>303</v>
      </c>
      <c r="E608" s="327"/>
      <c r="F608" s="481" t="s">
        <v>334</v>
      </c>
      <c r="G608" s="327"/>
      <c r="H608" s="482"/>
      <c r="I608" s="326"/>
      <c r="J608" s="327"/>
      <c r="K608" s="481" t="s">
        <v>334</v>
      </c>
      <c r="L608" s="326"/>
      <c r="M608" s="327"/>
      <c r="N608" s="439" t="s">
        <v>303</v>
      </c>
      <c r="O608" s="326"/>
      <c r="P608" s="326"/>
      <c r="Q608" s="326"/>
      <c r="R608" s="326"/>
      <c r="S608" s="326"/>
      <c r="T608" s="326"/>
      <c r="U608" s="327"/>
    </row>
    <row r="609" spans="1:21" ht="34.5" customHeight="1" x14ac:dyDescent="0.25">
      <c r="A609" s="10">
        <f t="shared" si="2"/>
        <v>595</v>
      </c>
      <c r="B609" s="483" t="s">
        <v>303</v>
      </c>
      <c r="C609" s="327"/>
      <c r="D609" s="484" t="s">
        <v>303</v>
      </c>
      <c r="E609" s="327"/>
      <c r="F609" s="481" t="s">
        <v>334</v>
      </c>
      <c r="G609" s="327"/>
      <c r="H609" s="485"/>
      <c r="I609" s="326"/>
      <c r="J609" s="327"/>
      <c r="K609" s="481" t="s">
        <v>334</v>
      </c>
      <c r="L609" s="326"/>
      <c r="M609" s="327"/>
      <c r="N609" s="486" t="s">
        <v>303</v>
      </c>
      <c r="O609" s="326"/>
      <c r="P609" s="326"/>
      <c r="Q609" s="326"/>
      <c r="R609" s="326"/>
      <c r="S609" s="326"/>
      <c r="T609" s="326"/>
      <c r="U609" s="327"/>
    </row>
    <row r="610" spans="1:21" ht="34.5" customHeight="1" x14ac:dyDescent="0.25">
      <c r="A610" s="10">
        <f t="shared" si="2"/>
        <v>596</v>
      </c>
      <c r="B610" s="479" t="s">
        <v>303</v>
      </c>
      <c r="C610" s="327"/>
      <c r="D610" s="480" t="s">
        <v>303</v>
      </c>
      <c r="E610" s="327"/>
      <c r="F610" s="481" t="s">
        <v>334</v>
      </c>
      <c r="G610" s="327"/>
      <c r="H610" s="482"/>
      <c r="I610" s="326"/>
      <c r="J610" s="327"/>
      <c r="K610" s="481" t="s">
        <v>334</v>
      </c>
      <c r="L610" s="326"/>
      <c r="M610" s="327"/>
      <c r="N610" s="439" t="s">
        <v>303</v>
      </c>
      <c r="O610" s="326"/>
      <c r="P610" s="326"/>
      <c r="Q610" s="326"/>
      <c r="R610" s="326"/>
      <c r="S610" s="326"/>
      <c r="T610" s="326"/>
      <c r="U610" s="327"/>
    </row>
    <row r="611" spans="1:21" ht="34.5" customHeight="1" x14ac:dyDescent="0.25">
      <c r="A611" s="10">
        <f t="shared" si="2"/>
        <v>597</v>
      </c>
      <c r="B611" s="483" t="s">
        <v>303</v>
      </c>
      <c r="C611" s="327"/>
      <c r="D611" s="484" t="s">
        <v>303</v>
      </c>
      <c r="E611" s="327"/>
      <c r="F611" s="481" t="s">
        <v>334</v>
      </c>
      <c r="G611" s="327"/>
      <c r="H611" s="485"/>
      <c r="I611" s="326"/>
      <c r="J611" s="327"/>
      <c r="K611" s="481" t="s">
        <v>334</v>
      </c>
      <c r="L611" s="326"/>
      <c r="M611" s="327"/>
      <c r="N611" s="486" t="s">
        <v>303</v>
      </c>
      <c r="O611" s="326"/>
      <c r="P611" s="326"/>
      <c r="Q611" s="326"/>
      <c r="R611" s="326"/>
      <c r="S611" s="326"/>
      <c r="T611" s="326"/>
      <c r="U611" s="327"/>
    </row>
    <row r="612" spans="1:21" ht="34.5" customHeight="1" x14ac:dyDescent="0.25">
      <c r="A612" s="10">
        <f t="shared" si="2"/>
        <v>598</v>
      </c>
      <c r="B612" s="479" t="s">
        <v>303</v>
      </c>
      <c r="C612" s="327"/>
      <c r="D612" s="480" t="s">
        <v>303</v>
      </c>
      <c r="E612" s="327"/>
      <c r="F612" s="481" t="s">
        <v>334</v>
      </c>
      <c r="G612" s="327"/>
      <c r="H612" s="482"/>
      <c r="I612" s="326"/>
      <c r="J612" s="327"/>
      <c r="K612" s="481" t="s">
        <v>334</v>
      </c>
      <c r="L612" s="326"/>
      <c r="M612" s="327"/>
      <c r="N612" s="439" t="s">
        <v>303</v>
      </c>
      <c r="O612" s="326"/>
      <c r="P612" s="326"/>
      <c r="Q612" s="326"/>
      <c r="R612" s="326"/>
      <c r="S612" s="326"/>
      <c r="T612" s="326"/>
      <c r="U612" s="327"/>
    </row>
    <row r="613" spans="1:21" ht="34.5" customHeight="1" x14ac:dyDescent="0.25">
      <c r="A613" s="10">
        <f t="shared" si="2"/>
        <v>599</v>
      </c>
      <c r="B613" s="483" t="s">
        <v>303</v>
      </c>
      <c r="C613" s="327"/>
      <c r="D613" s="484" t="s">
        <v>303</v>
      </c>
      <c r="E613" s="327"/>
      <c r="F613" s="481" t="s">
        <v>334</v>
      </c>
      <c r="G613" s="327"/>
      <c r="H613" s="485"/>
      <c r="I613" s="326"/>
      <c r="J613" s="327"/>
      <c r="K613" s="481" t="s">
        <v>334</v>
      </c>
      <c r="L613" s="326"/>
      <c r="M613" s="327"/>
      <c r="N613" s="486" t="s">
        <v>303</v>
      </c>
      <c r="O613" s="326"/>
      <c r="P613" s="326"/>
      <c r="Q613" s="326"/>
      <c r="R613" s="326"/>
      <c r="S613" s="326"/>
      <c r="T613" s="326"/>
      <c r="U613" s="327"/>
    </row>
    <row r="614" spans="1:21" ht="34.5" customHeight="1" x14ac:dyDescent="0.25">
      <c r="A614" s="10">
        <f t="shared" si="2"/>
        <v>600</v>
      </c>
      <c r="B614" s="479" t="s">
        <v>303</v>
      </c>
      <c r="C614" s="327"/>
      <c r="D614" s="480" t="s">
        <v>303</v>
      </c>
      <c r="E614" s="327"/>
      <c r="F614" s="481" t="s">
        <v>334</v>
      </c>
      <c r="G614" s="327"/>
      <c r="H614" s="482"/>
      <c r="I614" s="326"/>
      <c r="J614" s="327"/>
      <c r="K614" s="481" t="s">
        <v>334</v>
      </c>
      <c r="L614" s="326"/>
      <c r="M614" s="327"/>
      <c r="N614" s="439" t="s">
        <v>303</v>
      </c>
      <c r="O614" s="326"/>
      <c r="P614" s="326"/>
      <c r="Q614" s="326"/>
      <c r="R614" s="326"/>
      <c r="S614" s="326"/>
      <c r="T614" s="326"/>
      <c r="U614" s="327"/>
    </row>
    <row r="615" spans="1:21" ht="34.5" customHeight="1" x14ac:dyDescent="0.25">
      <c r="A615" s="10">
        <f t="shared" si="2"/>
        <v>601</v>
      </c>
      <c r="B615" s="483" t="s">
        <v>303</v>
      </c>
      <c r="C615" s="327"/>
      <c r="D615" s="484" t="s">
        <v>303</v>
      </c>
      <c r="E615" s="327"/>
      <c r="F615" s="481" t="s">
        <v>334</v>
      </c>
      <c r="G615" s="327"/>
      <c r="H615" s="485"/>
      <c r="I615" s="326"/>
      <c r="J615" s="327"/>
      <c r="K615" s="481" t="s">
        <v>334</v>
      </c>
      <c r="L615" s="326"/>
      <c r="M615" s="327"/>
      <c r="N615" s="486" t="s">
        <v>303</v>
      </c>
      <c r="O615" s="326"/>
      <c r="P615" s="326"/>
      <c r="Q615" s="326"/>
      <c r="R615" s="326"/>
      <c r="S615" s="326"/>
      <c r="T615" s="326"/>
      <c r="U615" s="327"/>
    </row>
    <row r="616" spans="1:21" ht="34.5" customHeight="1" x14ac:dyDescent="0.25">
      <c r="A616" s="10">
        <f t="shared" si="2"/>
        <v>602</v>
      </c>
      <c r="B616" s="479" t="s">
        <v>303</v>
      </c>
      <c r="C616" s="327"/>
      <c r="D616" s="480" t="s">
        <v>303</v>
      </c>
      <c r="E616" s="327"/>
      <c r="F616" s="481" t="s">
        <v>334</v>
      </c>
      <c r="G616" s="327"/>
      <c r="H616" s="482"/>
      <c r="I616" s="326"/>
      <c r="J616" s="327"/>
      <c r="K616" s="481" t="s">
        <v>334</v>
      </c>
      <c r="L616" s="326"/>
      <c r="M616" s="327"/>
      <c r="N616" s="439" t="s">
        <v>303</v>
      </c>
      <c r="O616" s="326"/>
      <c r="P616" s="326"/>
      <c r="Q616" s="326"/>
      <c r="R616" s="326"/>
      <c r="S616" s="326"/>
      <c r="T616" s="326"/>
      <c r="U616" s="327"/>
    </row>
    <row r="617" spans="1:21" ht="34.5" customHeight="1" x14ac:dyDescent="0.25">
      <c r="A617" s="10">
        <f t="shared" si="2"/>
        <v>603</v>
      </c>
      <c r="B617" s="483" t="s">
        <v>303</v>
      </c>
      <c r="C617" s="327"/>
      <c r="D617" s="484" t="s">
        <v>303</v>
      </c>
      <c r="E617" s="327"/>
      <c r="F617" s="481" t="s">
        <v>334</v>
      </c>
      <c r="G617" s="327"/>
      <c r="H617" s="485"/>
      <c r="I617" s="326"/>
      <c r="J617" s="327"/>
      <c r="K617" s="481" t="s">
        <v>334</v>
      </c>
      <c r="L617" s="326"/>
      <c r="M617" s="327"/>
      <c r="N617" s="486" t="s">
        <v>303</v>
      </c>
      <c r="O617" s="326"/>
      <c r="P617" s="326"/>
      <c r="Q617" s="326"/>
      <c r="R617" s="326"/>
      <c r="S617" s="326"/>
      <c r="T617" s="326"/>
      <c r="U617" s="327"/>
    </row>
    <row r="618" spans="1:21" ht="34.5" customHeight="1" x14ac:dyDescent="0.25">
      <c r="A618" s="10">
        <f t="shared" si="2"/>
        <v>604</v>
      </c>
      <c r="B618" s="479" t="s">
        <v>303</v>
      </c>
      <c r="C618" s="327"/>
      <c r="D618" s="480" t="s">
        <v>303</v>
      </c>
      <c r="E618" s="327"/>
      <c r="F618" s="481" t="s">
        <v>334</v>
      </c>
      <c r="G618" s="327"/>
      <c r="H618" s="482"/>
      <c r="I618" s="326"/>
      <c r="J618" s="327"/>
      <c r="K618" s="481" t="s">
        <v>334</v>
      </c>
      <c r="L618" s="326"/>
      <c r="M618" s="327"/>
      <c r="N618" s="439" t="s">
        <v>303</v>
      </c>
      <c r="O618" s="326"/>
      <c r="P618" s="326"/>
      <c r="Q618" s="326"/>
      <c r="R618" s="326"/>
      <c r="S618" s="326"/>
      <c r="T618" s="326"/>
      <c r="U618" s="327"/>
    </row>
    <row r="619" spans="1:21" ht="34.5" customHeight="1" x14ac:dyDescent="0.25">
      <c r="A619" s="10">
        <f t="shared" si="2"/>
        <v>605</v>
      </c>
      <c r="B619" s="483" t="s">
        <v>303</v>
      </c>
      <c r="C619" s="327"/>
      <c r="D619" s="484" t="s">
        <v>303</v>
      </c>
      <c r="E619" s="327"/>
      <c r="F619" s="481" t="s">
        <v>334</v>
      </c>
      <c r="G619" s="327"/>
      <c r="H619" s="485"/>
      <c r="I619" s="326"/>
      <c r="J619" s="327"/>
      <c r="K619" s="481" t="s">
        <v>334</v>
      </c>
      <c r="L619" s="326"/>
      <c r="M619" s="327"/>
      <c r="N619" s="486" t="s">
        <v>303</v>
      </c>
      <c r="O619" s="326"/>
      <c r="P619" s="326"/>
      <c r="Q619" s="326"/>
      <c r="R619" s="326"/>
      <c r="S619" s="326"/>
      <c r="T619" s="326"/>
      <c r="U619" s="327"/>
    </row>
    <row r="620" spans="1:21" ht="34.5" customHeight="1" x14ac:dyDescent="0.25">
      <c r="A620" s="10">
        <f t="shared" si="2"/>
        <v>606</v>
      </c>
      <c r="B620" s="479" t="s">
        <v>303</v>
      </c>
      <c r="C620" s="327"/>
      <c r="D620" s="480" t="s">
        <v>303</v>
      </c>
      <c r="E620" s="327"/>
      <c r="F620" s="481" t="s">
        <v>334</v>
      </c>
      <c r="G620" s="327"/>
      <c r="H620" s="482"/>
      <c r="I620" s="326"/>
      <c r="J620" s="327"/>
      <c r="K620" s="481" t="s">
        <v>334</v>
      </c>
      <c r="L620" s="326"/>
      <c r="M620" s="327"/>
      <c r="N620" s="439" t="s">
        <v>303</v>
      </c>
      <c r="O620" s="326"/>
      <c r="P620" s="326"/>
      <c r="Q620" s="326"/>
      <c r="R620" s="326"/>
      <c r="S620" s="326"/>
      <c r="T620" s="326"/>
      <c r="U620" s="327"/>
    </row>
    <row r="621" spans="1:21" ht="34.5" customHeight="1" x14ac:dyDescent="0.25">
      <c r="A621" s="10">
        <f t="shared" si="2"/>
        <v>607</v>
      </c>
      <c r="B621" s="483" t="s">
        <v>303</v>
      </c>
      <c r="C621" s="327"/>
      <c r="D621" s="484" t="s">
        <v>303</v>
      </c>
      <c r="E621" s="327"/>
      <c r="F621" s="481" t="s">
        <v>334</v>
      </c>
      <c r="G621" s="327"/>
      <c r="H621" s="485"/>
      <c r="I621" s="326"/>
      <c r="J621" s="327"/>
      <c r="K621" s="481" t="s">
        <v>334</v>
      </c>
      <c r="L621" s="326"/>
      <c r="M621" s="327"/>
      <c r="N621" s="486" t="s">
        <v>303</v>
      </c>
      <c r="O621" s="326"/>
      <c r="P621" s="326"/>
      <c r="Q621" s="326"/>
      <c r="R621" s="326"/>
      <c r="S621" s="326"/>
      <c r="T621" s="326"/>
      <c r="U621" s="327"/>
    </row>
    <row r="622" spans="1:21" ht="34.5" customHeight="1" x14ac:dyDescent="0.25">
      <c r="A622" s="10">
        <f t="shared" si="2"/>
        <v>608</v>
      </c>
      <c r="B622" s="479" t="s">
        <v>303</v>
      </c>
      <c r="C622" s="327"/>
      <c r="D622" s="480" t="s">
        <v>303</v>
      </c>
      <c r="E622" s="327"/>
      <c r="F622" s="481" t="s">
        <v>334</v>
      </c>
      <c r="G622" s="327"/>
      <c r="H622" s="482"/>
      <c r="I622" s="326"/>
      <c r="J622" s="327"/>
      <c r="K622" s="481" t="s">
        <v>334</v>
      </c>
      <c r="L622" s="326"/>
      <c r="M622" s="327"/>
      <c r="N622" s="439" t="s">
        <v>303</v>
      </c>
      <c r="O622" s="326"/>
      <c r="P622" s="326"/>
      <c r="Q622" s="326"/>
      <c r="R622" s="326"/>
      <c r="S622" s="326"/>
      <c r="T622" s="326"/>
      <c r="U622" s="327"/>
    </row>
    <row r="623" spans="1:21" ht="34.5" customHeight="1" x14ac:dyDescent="0.25">
      <c r="A623" s="10">
        <f t="shared" si="2"/>
        <v>609</v>
      </c>
      <c r="B623" s="483" t="s">
        <v>303</v>
      </c>
      <c r="C623" s="327"/>
      <c r="D623" s="484" t="s">
        <v>303</v>
      </c>
      <c r="E623" s="327"/>
      <c r="F623" s="481" t="s">
        <v>334</v>
      </c>
      <c r="G623" s="327"/>
      <c r="H623" s="485"/>
      <c r="I623" s="326"/>
      <c r="J623" s="327"/>
      <c r="K623" s="481" t="s">
        <v>334</v>
      </c>
      <c r="L623" s="326"/>
      <c r="M623" s="327"/>
      <c r="N623" s="486" t="s">
        <v>303</v>
      </c>
      <c r="O623" s="326"/>
      <c r="P623" s="326"/>
      <c r="Q623" s="326"/>
      <c r="R623" s="326"/>
      <c r="S623" s="326"/>
      <c r="T623" s="326"/>
      <c r="U623" s="327"/>
    </row>
    <row r="624" spans="1:21" ht="34.5" customHeight="1" x14ac:dyDescent="0.25">
      <c r="A624" s="10">
        <f t="shared" si="2"/>
        <v>610</v>
      </c>
      <c r="B624" s="479" t="s">
        <v>303</v>
      </c>
      <c r="C624" s="327"/>
      <c r="D624" s="480" t="s">
        <v>303</v>
      </c>
      <c r="E624" s="327"/>
      <c r="F624" s="481" t="s">
        <v>334</v>
      </c>
      <c r="G624" s="327"/>
      <c r="H624" s="482"/>
      <c r="I624" s="326"/>
      <c r="J624" s="327"/>
      <c r="K624" s="481" t="s">
        <v>334</v>
      </c>
      <c r="L624" s="326"/>
      <c r="M624" s="327"/>
      <c r="N624" s="439" t="s">
        <v>303</v>
      </c>
      <c r="O624" s="326"/>
      <c r="P624" s="326"/>
      <c r="Q624" s="326"/>
      <c r="R624" s="326"/>
      <c r="S624" s="326"/>
      <c r="T624" s="326"/>
      <c r="U624" s="327"/>
    </row>
    <row r="625" spans="1:21" ht="34.5" customHeight="1" x14ac:dyDescent="0.25">
      <c r="A625" s="10">
        <f t="shared" si="2"/>
        <v>611</v>
      </c>
      <c r="B625" s="483" t="s">
        <v>303</v>
      </c>
      <c r="C625" s="327"/>
      <c r="D625" s="484" t="s">
        <v>303</v>
      </c>
      <c r="E625" s="327"/>
      <c r="F625" s="481" t="s">
        <v>334</v>
      </c>
      <c r="G625" s="327"/>
      <c r="H625" s="485"/>
      <c r="I625" s="326"/>
      <c r="J625" s="327"/>
      <c r="K625" s="481" t="s">
        <v>334</v>
      </c>
      <c r="L625" s="326"/>
      <c r="M625" s="327"/>
      <c r="N625" s="486" t="s">
        <v>303</v>
      </c>
      <c r="O625" s="326"/>
      <c r="P625" s="326"/>
      <c r="Q625" s="326"/>
      <c r="R625" s="326"/>
      <c r="S625" s="326"/>
      <c r="T625" s="326"/>
      <c r="U625" s="327"/>
    </row>
    <row r="626" spans="1:21" ht="34.5" customHeight="1" x14ac:dyDescent="0.25">
      <c r="A626" s="10">
        <f t="shared" si="2"/>
        <v>612</v>
      </c>
      <c r="B626" s="479" t="s">
        <v>303</v>
      </c>
      <c r="C626" s="327"/>
      <c r="D626" s="480" t="s">
        <v>303</v>
      </c>
      <c r="E626" s="327"/>
      <c r="F626" s="481" t="s">
        <v>334</v>
      </c>
      <c r="G626" s="327"/>
      <c r="H626" s="482"/>
      <c r="I626" s="326"/>
      <c r="J626" s="327"/>
      <c r="K626" s="481" t="s">
        <v>334</v>
      </c>
      <c r="L626" s="326"/>
      <c r="M626" s="327"/>
      <c r="N626" s="439" t="s">
        <v>303</v>
      </c>
      <c r="O626" s="326"/>
      <c r="P626" s="326"/>
      <c r="Q626" s="326"/>
      <c r="R626" s="326"/>
      <c r="S626" s="326"/>
      <c r="T626" s="326"/>
      <c r="U626" s="327"/>
    </row>
    <row r="627" spans="1:21" ht="34.5" customHeight="1" x14ac:dyDescent="0.25">
      <c r="A627" s="10">
        <f t="shared" si="2"/>
        <v>613</v>
      </c>
      <c r="B627" s="483" t="s">
        <v>303</v>
      </c>
      <c r="C627" s="327"/>
      <c r="D627" s="484" t="s">
        <v>303</v>
      </c>
      <c r="E627" s="327"/>
      <c r="F627" s="481" t="s">
        <v>334</v>
      </c>
      <c r="G627" s="327"/>
      <c r="H627" s="485"/>
      <c r="I627" s="326"/>
      <c r="J627" s="327"/>
      <c r="K627" s="481" t="s">
        <v>334</v>
      </c>
      <c r="L627" s="326"/>
      <c r="M627" s="327"/>
      <c r="N627" s="486" t="s">
        <v>303</v>
      </c>
      <c r="O627" s="326"/>
      <c r="P627" s="326"/>
      <c r="Q627" s="326"/>
      <c r="R627" s="326"/>
      <c r="S627" s="326"/>
      <c r="T627" s="326"/>
      <c r="U627" s="327"/>
    </row>
    <row r="628" spans="1:21" ht="34.5" customHeight="1" x14ac:dyDescent="0.25">
      <c r="A628" s="10">
        <f t="shared" si="2"/>
        <v>614</v>
      </c>
      <c r="B628" s="479" t="s">
        <v>303</v>
      </c>
      <c r="C628" s="327"/>
      <c r="D628" s="480" t="s">
        <v>303</v>
      </c>
      <c r="E628" s="327"/>
      <c r="F628" s="481" t="s">
        <v>334</v>
      </c>
      <c r="G628" s="327"/>
      <c r="H628" s="482"/>
      <c r="I628" s="326"/>
      <c r="J628" s="327"/>
      <c r="K628" s="481" t="s">
        <v>334</v>
      </c>
      <c r="L628" s="326"/>
      <c r="M628" s="327"/>
      <c r="N628" s="439" t="s">
        <v>303</v>
      </c>
      <c r="O628" s="326"/>
      <c r="P628" s="326"/>
      <c r="Q628" s="326"/>
      <c r="R628" s="326"/>
      <c r="S628" s="326"/>
      <c r="T628" s="326"/>
      <c r="U628" s="327"/>
    </row>
    <row r="629" spans="1:21" ht="34.5" customHeight="1" x14ac:dyDescent="0.25">
      <c r="A629" s="10">
        <f t="shared" si="2"/>
        <v>615</v>
      </c>
      <c r="B629" s="483" t="s">
        <v>303</v>
      </c>
      <c r="C629" s="327"/>
      <c r="D629" s="484" t="s">
        <v>303</v>
      </c>
      <c r="E629" s="327"/>
      <c r="F629" s="481" t="s">
        <v>334</v>
      </c>
      <c r="G629" s="327"/>
      <c r="H629" s="485"/>
      <c r="I629" s="326"/>
      <c r="J629" s="327"/>
      <c r="K629" s="481" t="s">
        <v>334</v>
      </c>
      <c r="L629" s="326"/>
      <c r="M629" s="327"/>
      <c r="N629" s="486" t="s">
        <v>303</v>
      </c>
      <c r="O629" s="326"/>
      <c r="P629" s="326"/>
      <c r="Q629" s="326"/>
      <c r="R629" s="326"/>
      <c r="S629" s="326"/>
      <c r="T629" s="326"/>
      <c r="U629" s="327"/>
    </row>
    <row r="630" spans="1:21" ht="34.5" customHeight="1" x14ac:dyDescent="0.25">
      <c r="A630" s="10">
        <f t="shared" si="2"/>
        <v>616</v>
      </c>
      <c r="B630" s="479" t="s">
        <v>303</v>
      </c>
      <c r="C630" s="327"/>
      <c r="D630" s="480" t="s">
        <v>303</v>
      </c>
      <c r="E630" s="327"/>
      <c r="F630" s="481" t="s">
        <v>334</v>
      </c>
      <c r="G630" s="327"/>
      <c r="H630" s="482"/>
      <c r="I630" s="326"/>
      <c r="J630" s="327"/>
      <c r="K630" s="481" t="s">
        <v>334</v>
      </c>
      <c r="L630" s="326"/>
      <c r="M630" s="327"/>
      <c r="N630" s="439" t="s">
        <v>303</v>
      </c>
      <c r="O630" s="326"/>
      <c r="P630" s="326"/>
      <c r="Q630" s="326"/>
      <c r="R630" s="326"/>
      <c r="S630" s="326"/>
      <c r="T630" s="326"/>
      <c r="U630" s="327"/>
    </row>
    <row r="631" spans="1:21" ht="34.5" customHeight="1" x14ac:dyDescent="0.25">
      <c r="A631" s="10">
        <f t="shared" si="2"/>
        <v>617</v>
      </c>
      <c r="B631" s="483" t="s">
        <v>303</v>
      </c>
      <c r="C631" s="327"/>
      <c r="D631" s="484" t="s">
        <v>303</v>
      </c>
      <c r="E631" s="327"/>
      <c r="F631" s="481" t="s">
        <v>334</v>
      </c>
      <c r="G631" s="327"/>
      <c r="H631" s="485"/>
      <c r="I631" s="326"/>
      <c r="J631" s="327"/>
      <c r="K631" s="481" t="s">
        <v>334</v>
      </c>
      <c r="L631" s="326"/>
      <c r="M631" s="327"/>
      <c r="N631" s="486" t="s">
        <v>303</v>
      </c>
      <c r="O631" s="326"/>
      <c r="P631" s="326"/>
      <c r="Q631" s="326"/>
      <c r="R631" s="326"/>
      <c r="S631" s="326"/>
      <c r="T631" s="326"/>
      <c r="U631" s="327"/>
    </row>
    <row r="632" spans="1:21" ht="34.5" customHeight="1" x14ac:dyDescent="0.25">
      <c r="A632" s="10">
        <f t="shared" si="2"/>
        <v>618</v>
      </c>
      <c r="B632" s="479" t="s">
        <v>303</v>
      </c>
      <c r="C632" s="327"/>
      <c r="D632" s="480" t="s">
        <v>303</v>
      </c>
      <c r="E632" s="327"/>
      <c r="F632" s="481" t="s">
        <v>334</v>
      </c>
      <c r="G632" s="327"/>
      <c r="H632" s="482"/>
      <c r="I632" s="326"/>
      <c r="J632" s="327"/>
      <c r="K632" s="481" t="s">
        <v>334</v>
      </c>
      <c r="L632" s="326"/>
      <c r="M632" s="327"/>
      <c r="N632" s="439" t="s">
        <v>303</v>
      </c>
      <c r="O632" s="326"/>
      <c r="P632" s="326"/>
      <c r="Q632" s="326"/>
      <c r="R632" s="326"/>
      <c r="S632" s="326"/>
      <c r="T632" s="326"/>
      <c r="U632" s="327"/>
    </row>
    <row r="633" spans="1:21" ht="34.5" customHeight="1" x14ac:dyDescent="0.25">
      <c r="A633" s="10">
        <f t="shared" si="2"/>
        <v>619</v>
      </c>
      <c r="B633" s="483" t="s">
        <v>303</v>
      </c>
      <c r="C633" s="327"/>
      <c r="D633" s="484" t="s">
        <v>303</v>
      </c>
      <c r="E633" s="327"/>
      <c r="F633" s="481" t="s">
        <v>334</v>
      </c>
      <c r="G633" s="327"/>
      <c r="H633" s="485"/>
      <c r="I633" s="326"/>
      <c r="J633" s="327"/>
      <c r="K633" s="481" t="s">
        <v>334</v>
      </c>
      <c r="L633" s="326"/>
      <c r="M633" s="327"/>
      <c r="N633" s="486" t="s">
        <v>303</v>
      </c>
      <c r="O633" s="326"/>
      <c r="P633" s="326"/>
      <c r="Q633" s="326"/>
      <c r="R633" s="326"/>
      <c r="S633" s="326"/>
      <c r="T633" s="326"/>
      <c r="U633" s="327"/>
    </row>
    <row r="634" spans="1:21" ht="34.5" customHeight="1" x14ac:dyDescent="0.25">
      <c r="A634" s="10">
        <f t="shared" si="2"/>
        <v>620</v>
      </c>
      <c r="B634" s="479" t="s">
        <v>303</v>
      </c>
      <c r="C634" s="327"/>
      <c r="D634" s="480" t="s">
        <v>303</v>
      </c>
      <c r="E634" s="327"/>
      <c r="F634" s="481" t="s">
        <v>334</v>
      </c>
      <c r="G634" s="327"/>
      <c r="H634" s="482"/>
      <c r="I634" s="326"/>
      <c r="J634" s="327"/>
      <c r="K634" s="481" t="s">
        <v>334</v>
      </c>
      <c r="L634" s="326"/>
      <c r="M634" s="327"/>
      <c r="N634" s="439" t="s">
        <v>303</v>
      </c>
      <c r="O634" s="326"/>
      <c r="P634" s="326"/>
      <c r="Q634" s="326"/>
      <c r="R634" s="326"/>
      <c r="S634" s="326"/>
      <c r="T634" s="326"/>
      <c r="U634" s="327"/>
    </row>
    <row r="635" spans="1:21" ht="34.5" customHeight="1" x14ac:dyDescent="0.25">
      <c r="A635" s="10">
        <f t="shared" si="2"/>
        <v>621</v>
      </c>
      <c r="B635" s="483" t="s">
        <v>303</v>
      </c>
      <c r="C635" s="327"/>
      <c r="D635" s="484" t="s">
        <v>303</v>
      </c>
      <c r="E635" s="327"/>
      <c r="F635" s="481" t="s">
        <v>334</v>
      </c>
      <c r="G635" s="327"/>
      <c r="H635" s="485"/>
      <c r="I635" s="326"/>
      <c r="J635" s="327"/>
      <c r="K635" s="481" t="s">
        <v>334</v>
      </c>
      <c r="L635" s="326"/>
      <c r="M635" s="327"/>
      <c r="N635" s="486" t="s">
        <v>303</v>
      </c>
      <c r="O635" s="326"/>
      <c r="P635" s="326"/>
      <c r="Q635" s="326"/>
      <c r="R635" s="326"/>
      <c r="S635" s="326"/>
      <c r="T635" s="326"/>
      <c r="U635" s="327"/>
    </row>
    <row r="636" spans="1:21" ht="34.5" customHeight="1" x14ac:dyDescent="0.25">
      <c r="A636" s="10">
        <f t="shared" si="2"/>
        <v>622</v>
      </c>
      <c r="B636" s="479" t="s">
        <v>303</v>
      </c>
      <c r="C636" s="327"/>
      <c r="D636" s="480" t="s">
        <v>303</v>
      </c>
      <c r="E636" s="327"/>
      <c r="F636" s="481" t="s">
        <v>334</v>
      </c>
      <c r="G636" s="327"/>
      <c r="H636" s="482"/>
      <c r="I636" s="326"/>
      <c r="J636" s="327"/>
      <c r="K636" s="481" t="s">
        <v>334</v>
      </c>
      <c r="L636" s="326"/>
      <c r="M636" s="327"/>
      <c r="N636" s="439" t="s">
        <v>303</v>
      </c>
      <c r="O636" s="326"/>
      <c r="P636" s="326"/>
      <c r="Q636" s="326"/>
      <c r="R636" s="326"/>
      <c r="S636" s="326"/>
      <c r="T636" s="326"/>
      <c r="U636" s="327"/>
    </row>
    <row r="637" spans="1:21" ht="34.5" customHeight="1" x14ac:dyDescent="0.25">
      <c r="A637" s="10">
        <f t="shared" si="2"/>
        <v>623</v>
      </c>
      <c r="B637" s="483" t="s">
        <v>303</v>
      </c>
      <c r="C637" s="327"/>
      <c r="D637" s="484" t="s">
        <v>303</v>
      </c>
      <c r="E637" s="327"/>
      <c r="F637" s="481" t="s">
        <v>334</v>
      </c>
      <c r="G637" s="327"/>
      <c r="H637" s="485"/>
      <c r="I637" s="326"/>
      <c r="J637" s="327"/>
      <c r="K637" s="481" t="s">
        <v>334</v>
      </c>
      <c r="L637" s="326"/>
      <c r="M637" s="327"/>
      <c r="N637" s="486" t="s">
        <v>303</v>
      </c>
      <c r="O637" s="326"/>
      <c r="P637" s="326"/>
      <c r="Q637" s="326"/>
      <c r="R637" s="326"/>
      <c r="S637" s="326"/>
      <c r="T637" s="326"/>
      <c r="U637" s="327"/>
    </row>
    <row r="638" spans="1:21" ht="34.5" customHeight="1" x14ac:dyDescent="0.25">
      <c r="A638" s="10">
        <f t="shared" si="2"/>
        <v>624</v>
      </c>
      <c r="B638" s="479" t="s">
        <v>303</v>
      </c>
      <c r="C638" s="327"/>
      <c r="D638" s="480" t="s">
        <v>303</v>
      </c>
      <c r="E638" s="327"/>
      <c r="F638" s="481" t="s">
        <v>334</v>
      </c>
      <c r="G638" s="327"/>
      <c r="H638" s="482"/>
      <c r="I638" s="326"/>
      <c r="J638" s="327"/>
      <c r="K638" s="481" t="s">
        <v>334</v>
      </c>
      <c r="L638" s="326"/>
      <c r="M638" s="327"/>
      <c r="N638" s="439" t="s">
        <v>303</v>
      </c>
      <c r="O638" s="326"/>
      <c r="P638" s="326"/>
      <c r="Q638" s="326"/>
      <c r="R638" s="326"/>
      <c r="S638" s="326"/>
      <c r="T638" s="326"/>
      <c r="U638" s="327"/>
    </row>
    <row r="639" spans="1:21" ht="34.5" customHeight="1" x14ac:dyDescent="0.25">
      <c r="A639" s="10">
        <f t="shared" si="2"/>
        <v>625</v>
      </c>
      <c r="B639" s="483" t="s">
        <v>303</v>
      </c>
      <c r="C639" s="327"/>
      <c r="D639" s="484" t="s">
        <v>303</v>
      </c>
      <c r="E639" s="327"/>
      <c r="F639" s="481" t="s">
        <v>334</v>
      </c>
      <c r="G639" s="327"/>
      <c r="H639" s="485"/>
      <c r="I639" s="326"/>
      <c r="J639" s="327"/>
      <c r="K639" s="481" t="s">
        <v>334</v>
      </c>
      <c r="L639" s="326"/>
      <c r="M639" s="327"/>
      <c r="N639" s="486" t="s">
        <v>303</v>
      </c>
      <c r="O639" s="326"/>
      <c r="P639" s="326"/>
      <c r="Q639" s="326"/>
      <c r="R639" s="326"/>
      <c r="S639" s="326"/>
      <c r="T639" s="326"/>
      <c r="U639" s="327"/>
    </row>
    <row r="640" spans="1:21" ht="34.5" customHeight="1" x14ac:dyDescent="0.25">
      <c r="A640" s="10">
        <f t="shared" si="2"/>
        <v>626</v>
      </c>
      <c r="B640" s="479" t="s">
        <v>303</v>
      </c>
      <c r="C640" s="327"/>
      <c r="D640" s="480" t="s">
        <v>303</v>
      </c>
      <c r="E640" s="327"/>
      <c r="F640" s="481" t="s">
        <v>334</v>
      </c>
      <c r="G640" s="327"/>
      <c r="H640" s="482"/>
      <c r="I640" s="326"/>
      <c r="J640" s="327"/>
      <c r="K640" s="481" t="s">
        <v>334</v>
      </c>
      <c r="L640" s="326"/>
      <c r="M640" s="327"/>
      <c r="N640" s="439" t="s">
        <v>303</v>
      </c>
      <c r="O640" s="326"/>
      <c r="P640" s="326"/>
      <c r="Q640" s="326"/>
      <c r="R640" s="326"/>
      <c r="S640" s="326"/>
      <c r="T640" s="326"/>
      <c r="U640" s="327"/>
    </row>
    <row r="641" spans="1:21" ht="34.5" customHeight="1" x14ac:dyDescent="0.25">
      <c r="A641" s="10">
        <f t="shared" si="2"/>
        <v>627</v>
      </c>
      <c r="B641" s="483" t="s">
        <v>303</v>
      </c>
      <c r="C641" s="327"/>
      <c r="D641" s="484" t="s">
        <v>303</v>
      </c>
      <c r="E641" s="327"/>
      <c r="F641" s="481" t="s">
        <v>334</v>
      </c>
      <c r="G641" s="327"/>
      <c r="H641" s="485"/>
      <c r="I641" s="326"/>
      <c r="J641" s="327"/>
      <c r="K641" s="481" t="s">
        <v>334</v>
      </c>
      <c r="L641" s="326"/>
      <c r="M641" s="327"/>
      <c r="N641" s="486" t="s">
        <v>303</v>
      </c>
      <c r="O641" s="326"/>
      <c r="P641" s="326"/>
      <c r="Q641" s="326"/>
      <c r="R641" s="326"/>
      <c r="S641" s="326"/>
      <c r="T641" s="326"/>
      <c r="U641" s="327"/>
    </row>
    <row r="642" spans="1:21" ht="34.5" customHeight="1" x14ac:dyDescent="0.25">
      <c r="A642" s="10">
        <f t="shared" si="2"/>
        <v>628</v>
      </c>
      <c r="B642" s="479" t="s">
        <v>303</v>
      </c>
      <c r="C642" s="327"/>
      <c r="D642" s="480" t="s">
        <v>303</v>
      </c>
      <c r="E642" s="327"/>
      <c r="F642" s="481" t="s">
        <v>334</v>
      </c>
      <c r="G642" s="327"/>
      <c r="H642" s="482"/>
      <c r="I642" s="326"/>
      <c r="J642" s="327"/>
      <c r="K642" s="481" t="s">
        <v>334</v>
      </c>
      <c r="L642" s="326"/>
      <c r="M642" s="327"/>
      <c r="N642" s="439" t="s">
        <v>303</v>
      </c>
      <c r="O642" s="326"/>
      <c r="P642" s="326"/>
      <c r="Q642" s="326"/>
      <c r="R642" s="326"/>
      <c r="S642" s="326"/>
      <c r="T642" s="326"/>
      <c r="U642" s="327"/>
    </row>
    <row r="643" spans="1:21" ht="34.5" customHeight="1" x14ac:dyDescent="0.25">
      <c r="A643" s="10">
        <f t="shared" si="2"/>
        <v>629</v>
      </c>
      <c r="B643" s="483" t="s">
        <v>303</v>
      </c>
      <c r="C643" s="327"/>
      <c r="D643" s="484" t="s">
        <v>303</v>
      </c>
      <c r="E643" s="327"/>
      <c r="F643" s="481" t="s">
        <v>334</v>
      </c>
      <c r="G643" s="327"/>
      <c r="H643" s="485"/>
      <c r="I643" s="326"/>
      <c r="J643" s="327"/>
      <c r="K643" s="481" t="s">
        <v>334</v>
      </c>
      <c r="L643" s="326"/>
      <c r="M643" s="327"/>
      <c r="N643" s="486" t="s">
        <v>303</v>
      </c>
      <c r="O643" s="326"/>
      <c r="P643" s="326"/>
      <c r="Q643" s="326"/>
      <c r="R643" s="326"/>
      <c r="S643" s="326"/>
      <c r="T643" s="326"/>
      <c r="U643" s="327"/>
    </row>
    <row r="644" spans="1:21" ht="34.5" customHeight="1" x14ac:dyDescent="0.25">
      <c r="A644" s="10">
        <f t="shared" si="2"/>
        <v>630</v>
      </c>
      <c r="B644" s="479" t="s">
        <v>303</v>
      </c>
      <c r="C644" s="327"/>
      <c r="D644" s="480" t="s">
        <v>303</v>
      </c>
      <c r="E644" s="327"/>
      <c r="F644" s="481" t="s">
        <v>334</v>
      </c>
      <c r="G644" s="327"/>
      <c r="H644" s="482"/>
      <c r="I644" s="326"/>
      <c r="J644" s="327"/>
      <c r="K644" s="481" t="s">
        <v>334</v>
      </c>
      <c r="L644" s="326"/>
      <c r="M644" s="327"/>
      <c r="N644" s="439" t="s">
        <v>303</v>
      </c>
      <c r="O644" s="326"/>
      <c r="P644" s="326"/>
      <c r="Q644" s="326"/>
      <c r="R644" s="326"/>
      <c r="S644" s="326"/>
      <c r="T644" s="326"/>
      <c r="U644" s="327"/>
    </row>
    <row r="645" spans="1:21" ht="34.5" customHeight="1" x14ac:dyDescent="0.25">
      <c r="A645" s="10">
        <f t="shared" si="2"/>
        <v>631</v>
      </c>
      <c r="B645" s="483" t="s">
        <v>303</v>
      </c>
      <c r="C645" s="327"/>
      <c r="D645" s="484" t="s">
        <v>303</v>
      </c>
      <c r="E645" s="327"/>
      <c r="F645" s="481" t="s">
        <v>334</v>
      </c>
      <c r="G645" s="327"/>
      <c r="H645" s="485"/>
      <c r="I645" s="326"/>
      <c r="J645" s="327"/>
      <c r="K645" s="481" t="s">
        <v>334</v>
      </c>
      <c r="L645" s="326"/>
      <c r="M645" s="327"/>
      <c r="N645" s="486" t="s">
        <v>303</v>
      </c>
      <c r="O645" s="326"/>
      <c r="P645" s="326"/>
      <c r="Q645" s="326"/>
      <c r="R645" s="326"/>
      <c r="S645" s="326"/>
      <c r="T645" s="326"/>
      <c r="U645" s="327"/>
    </row>
    <row r="646" spans="1:21" ht="34.5" customHeight="1" x14ac:dyDescent="0.25">
      <c r="A646" s="10">
        <f t="shared" si="2"/>
        <v>632</v>
      </c>
      <c r="B646" s="479" t="s">
        <v>303</v>
      </c>
      <c r="C646" s="327"/>
      <c r="D646" s="480" t="s">
        <v>303</v>
      </c>
      <c r="E646" s="327"/>
      <c r="F646" s="481" t="s">
        <v>334</v>
      </c>
      <c r="G646" s="327"/>
      <c r="H646" s="482"/>
      <c r="I646" s="326"/>
      <c r="J646" s="327"/>
      <c r="K646" s="481" t="s">
        <v>334</v>
      </c>
      <c r="L646" s="326"/>
      <c r="M646" s="327"/>
      <c r="N646" s="439" t="s">
        <v>303</v>
      </c>
      <c r="O646" s="326"/>
      <c r="P646" s="326"/>
      <c r="Q646" s="326"/>
      <c r="R646" s="326"/>
      <c r="S646" s="326"/>
      <c r="T646" s="326"/>
      <c r="U646" s="327"/>
    </row>
    <row r="647" spans="1:21" ht="34.5" customHeight="1" x14ac:dyDescent="0.25">
      <c r="A647" s="10">
        <f t="shared" si="2"/>
        <v>633</v>
      </c>
      <c r="B647" s="483" t="s">
        <v>303</v>
      </c>
      <c r="C647" s="327"/>
      <c r="D647" s="484" t="s">
        <v>303</v>
      </c>
      <c r="E647" s="327"/>
      <c r="F647" s="481" t="s">
        <v>334</v>
      </c>
      <c r="G647" s="327"/>
      <c r="H647" s="485"/>
      <c r="I647" s="326"/>
      <c r="J647" s="327"/>
      <c r="K647" s="481" t="s">
        <v>334</v>
      </c>
      <c r="L647" s="326"/>
      <c r="M647" s="327"/>
      <c r="N647" s="486" t="s">
        <v>303</v>
      </c>
      <c r="O647" s="326"/>
      <c r="P647" s="326"/>
      <c r="Q647" s="326"/>
      <c r="R647" s="326"/>
      <c r="S647" s="326"/>
      <c r="T647" s="326"/>
      <c r="U647" s="327"/>
    </row>
    <row r="648" spans="1:21" ht="34.5" customHeight="1" x14ac:dyDescent="0.25">
      <c r="A648" s="10">
        <f t="shared" si="2"/>
        <v>634</v>
      </c>
      <c r="B648" s="479" t="s">
        <v>303</v>
      </c>
      <c r="C648" s="327"/>
      <c r="D648" s="480" t="s">
        <v>303</v>
      </c>
      <c r="E648" s="327"/>
      <c r="F648" s="481" t="s">
        <v>334</v>
      </c>
      <c r="G648" s="327"/>
      <c r="H648" s="482"/>
      <c r="I648" s="326"/>
      <c r="J648" s="327"/>
      <c r="K648" s="481" t="s">
        <v>334</v>
      </c>
      <c r="L648" s="326"/>
      <c r="M648" s="327"/>
      <c r="N648" s="439" t="s">
        <v>303</v>
      </c>
      <c r="O648" s="326"/>
      <c r="P648" s="326"/>
      <c r="Q648" s="326"/>
      <c r="R648" s="326"/>
      <c r="S648" s="326"/>
      <c r="T648" s="326"/>
      <c r="U648" s="327"/>
    </row>
    <row r="649" spans="1:21" ht="34.5" customHeight="1" x14ac:dyDescent="0.25">
      <c r="A649" s="10">
        <f t="shared" si="2"/>
        <v>635</v>
      </c>
      <c r="B649" s="483" t="s">
        <v>303</v>
      </c>
      <c r="C649" s="327"/>
      <c r="D649" s="484" t="s">
        <v>303</v>
      </c>
      <c r="E649" s="327"/>
      <c r="F649" s="481" t="s">
        <v>334</v>
      </c>
      <c r="G649" s="327"/>
      <c r="H649" s="485"/>
      <c r="I649" s="326"/>
      <c r="J649" s="327"/>
      <c r="K649" s="481" t="s">
        <v>334</v>
      </c>
      <c r="L649" s="326"/>
      <c r="M649" s="327"/>
      <c r="N649" s="486" t="s">
        <v>303</v>
      </c>
      <c r="O649" s="326"/>
      <c r="P649" s="326"/>
      <c r="Q649" s="326"/>
      <c r="R649" s="326"/>
      <c r="S649" s="326"/>
      <c r="T649" s="326"/>
      <c r="U649" s="327"/>
    </row>
    <row r="650" spans="1:21" ht="34.5" customHeight="1" x14ac:dyDescent="0.25">
      <c r="A650" s="10">
        <f t="shared" si="2"/>
        <v>636</v>
      </c>
      <c r="B650" s="479" t="s">
        <v>303</v>
      </c>
      <c r="C650" s="327"/>
      <c r="D650" s="480" t="s">
        <v>303</v>
      </c>
      <c r="E650" s="327"/>
      <c r="F650" s="481" t="s">
        <v>334</v>
      </c>
      <c r="G650" s="327"/>
      <c r="H650" s="482"/>
      <c r="I650" s="326"/>
      <c r="J650" s="327"/>
      <c r="K650" s="481" t="s">
        <v>334</v>
      </c>
      <c r="L650" s="326"/>
      <c r="M650" s="327"/>
      <c r="N650" s="439" t="s">
        <v>303</v>
      </c>
      <c r="O650" s="326"/>
      <c r="P650" s="326"/>
      <c r="Q650" s="326"/>
      <c r="R650" s="326"/>
      <c r="S650" s="326"/>
      <c r="T650" s="326"/>
      <c r="U650" s="327"/>
    </row>
    <row r="651" spans="1:21" ht="34.5" customHeight="1" x14ac:dyDescent="0.25">
      <c r="A651" s="10">
        <f t="shared" si="2"/>
        <v>637</v>
      </c>
      <c r="B651" s="483" t="s">
        <v>303</v>
      </c>
      <c r="C651" s="327"/>
      <c r="D651" s="484" t="s">
        <v>303</v>
      </c>
      <c r="E651" s="327"/>
      <c r="F651" s="481" t="s">
        <v>334</v>
      </c>
      <c r="G651" s="327"/>
      <c r="H651" s="485"/>
      <c r="I651" s="326"/>
      <c r="J651" s="327"/>
      <c r="K651" s="481" t="s">
        <v>334</v>
      </c>
      <c r="L651" s="326"/>
      <c r="M651" s="327"/>
      <c r="N651" s="486" t="s">
        <v>303</v>
      </c>
      <c r="O651" s="326"/>
      <c r="P651" s="326"/>
      <c r="Q651" s="326"/>
      <c r="R651" s="326"/>
      <c r="S651" s="326"/>
      <c r="T651" s="326"/>
      <c r="U651" s="327"/>
    </row>
    <row r="652" spans="1:21" ht="34.5" customHeight="1" x14ac:dyDescent="0.25">
      <c r="A652" s="10">
        <f t="shared" si="2"/>
        <v>638</v>
      </c>
      <c r="B652" s="479" t="s">
        <v>303</v>
      </c>
      <c r="C652" s="327"/>
      <c r="D652" s="480" t="s">
        <v>303</v>
      </c>
      <c r="E652" s="327"/>
      <c r="F652" s="481" t="s">
        <v>334</v>
      </c>
      <c r="G652" s="327"/>
      <c r="H652" s="482"/>
      <c r="I652" s="326"/>
      <c r="J652" s="327"/>
      <c r="K652" s="481" t="s">
        <v>334</v>
      </c>
      <c r="L652" s="326"/>
      <c r="M652" s="327"/>
      <c r="N652" s="439" t="s">
        <v>303</v>
      </c>
      <c r="O652" s="326"/>
      <c r="P652" s="326"/>
      <c r="Q652" s="326"/>
      <c r="R652" s="326"/>
      <c r="S652" s="326"/>
      <c r="T652" s="326"/>
      <c r="U652" s="327"/>
    </row>
    <row r="653" spans="1:21" ht="34.5" customHeight="1" x14ac:dyDescent="0.25">
      <c r="A653" s="10">
        <f t="shared" si="2"/>
        <v>639</v>
      </c>
      <c r="B653" s="483" t="s">
        <v>303</v>
      </c>
      <c r="C653" s="327"/>
      <c r="D653" s="484" t="s">
        <v>303</v>
      </c>
      <c r="E653" s="327"/>
      <c r="F653" s="481" t="s">
        <v>334</v>
      </c>
      <c r="G653" s="327"/>
      <c r="H653" s="485"/>
      <c r="I653" s="326"/>
      <c r="J653" s="327"/>
      <c r="K653" s="481" t="s">
        <v>334</v>
      </c>
      <c r="L653" s="326"/>
      <c r="M653" s="327"/>
      <c r="N653" s="486" t="s">
        <v>303</v>
      </c>
      <c r="O653" s="326"/>
      <c r="P653" s="326"/>
      <c r="Q653" s="326"/>
      <c r="R653" s="326"/>
      <c r="S653" s="326"/>
      <c r="T653" s="326"/>
      <c r="U653" s="327"/>
    </row>
    <row r="654" spans="1:21" ht="34.5" customHeight="1" x14ac:dyDescent="0.25">
      <c r="A654" s="10">
        <f t="shared" si="2"/>
        <v>640</v>
      </c>
      <c r="B654" s="479" t="s">
        <v>303</v>
      </c>
      <c r="C654" s="327"/>
      <c r="D654" s="480" t="s">
        <v>303</v>
      </c>
      <c r="E654" s="327"/>
      <c r="F654" s="481" t="s">
        <v>334</v>
      </c>
      <c r="G654" s="327"/>
      <c r="H654" s="482"/>
      <c r="I654" s="326"/>
      <c r="J654" s="327"/>
      <c r="K654" s="481" t="s">
        <v>334</v>
      </c>
      <c r="L654" s="326"/>
      <c r="M654" s="327"/>
      <c r="N654" s="439" t="s">
        <v>303</v>
      </c>
      <c r="O654" s="326"/>
      <c r="P654" s="326"/>
      <c r="Q654" s="326"/>
      <c r="R654" s="326"/>
      <c r="S654" s="326"/>
      <c r="T654" s="326"/>
      <c r="U654" s="327"/>
    </row>
    <row r="655" spans="1:21" ht="34.5" customHeight="1" x14ac:dyDescent="0.25">
      <c r="A655" s="10">
        <f t="shared" si="2"/>
        <v>641</v>
      </c>
      <c r="B655" s="483" t="s">
        <v>303</v>
      </c>
      <c r="C655" s="327"/>
      <c r="D655" s="484" t="s">
        <v>303</v>
      </c>
      <c r="E655" s="327"/>
      <c r="F655" s="481" t="s">
        <v>334</v>
      </c>
      <c r="G655" s="327"/>
      <c r="H655" s="485"/>
      <c r="I655" s="326"/>
      <c r="J655" s="327"/>
      <c r="K655" s="481" t="s">
        <v>334</v>
      </c>
      <c r="L655" s="326"/>
      <c r="M655" s="327"/>
      <c r="N655" s="486" t="s">
        <v>303</v>
      </c>
      <c r="O655" s="326"/>
      <c r="P655" s="326"/>
      <c r="Q655" s="326"/>
      <c r="R655" s="326"/>
      <c r="S655" s="326"/>
      <c r="T655" s="326"/>
      <c r="U655" s="327"/>
    </row>
    <row r="656" spans="1:21" ht="34.5" customHeight="1" x14ac:dyDescent="0.25">
      <c r="A656" s="10">
        <f t="shared" si="2"/>
        <v>642</v>
      </c>
      <c r="B656" s="479" t="s">
        <v>303</v>
      </c>
      <c r="C656" s="327"/>
      <c r="D656" s="480" t="s">
        <v>303</v>
      </c>
      <c r="E656" s="327"/>
      <c r="F656" s="481" t="s">
        <v>334</v>
      </c>
      <c r="G656" s="327"/>
      <c r="H656" s="482"/>
      <c r="I656" s="326"/>
      <c r="J656" s="327"/>
      <c r="K656" s="481" t="s">
        <v>334</v>
      </c>
      <c r="L656" s="326"/>
      <c r="M656" s="327"/>
      <c r="N656" s="439" t="s">
        <v>303</v>
      </c>
      <c r="O656" s="326"/>
      <c r="P656" s="326"/>
      <c r="Q656" s="326"/>
      <c r="R656" s="326"/>
      <c r="S656" s="326"/>
      <c r="T656" s="326"/>
      <c r="U656" s="327"/>
    </row>
    <row r="657" spans="1:21" ht="34.5" customHeight="1" x14ac:dyDescent="0.25">
      <c r="A657" s="10">
        <f t="shared" si="2"/>
        <v>643</v>
      </c>
      <c r="B657" s="483" t="s">
        <v>303</v>
      </c>
      <c r="C657" s="327"/>
      <c r="D657" s="484" t="s">
        <v>303</v>
      </c>
      <c r="E657" s="327"/>
      <c r="F657" s="481" t="s">
        <v>334</v>
      </c>
      <c r="G657" s="327"/>
      <c r="H657" s="485"/>
      <c r="I657" s="326"/>
      <c r="J657" s="327"/>
      <c r="K657" s="481" t="s">
        <v>334</v>
      </c>
      <c r="L657" s="326"/>
      <c r="M657" s="327"/>
      <c r="N657" s="486" t="s">
        <v>303</v>
      </c>
      <c r="O657" s="326"/>
      <c r="P657" s="326"/>
      <c r="Q657" s="326"/>
      <c r="R657" s="326"/>
      <c r="S657" s="326"/>
      <c r="T657" s="326"/>
      <c r="U657" s="327"/>
    </row>
    <row r="658" spans="1:21" ht="34.5" customHeight="1" x14ac:dyDescent="0.25">
      <c r="A658" s="10">
        <f t="shared" si="2"/>
        <v>644</v>
      </c>
      <c r="B658" s="479" t="s">
        <v>303</v>
      </c>
      <c r="C658" s="327"/>
      <c r="D658" s="480" t="s">
        <v>303</v>
      </c>
      <c r="E658" s="327"/>
      <c r="F658" s="481" t="s">
        <v>334</v>
      </c>
      <c r="G658" s="327"/>
      <c r="H658" s="482"/>
      <c r="I658" s="326"/>
      <c r="J658" s="327"/>
      <c r="K658" s="481" t="s">
        <v>334</v>
      </c>
      <c r="L658" s="326"/>
      <c r="M658" s="327"/>
      <c r="N658" s="439" t="s">
        <v>303</v>
      </c>
      <c r="O658" s="326"/>
      <c r="P658" s="326"/>
      <c r="Q658" s="326"/>
      <c r="R658" s="326"/>
      <c r="S658" s="326"/>
      <c r="T658" s="326"/>
      <c r="U658" s="327"/>
    </row>
    <row r="659" spans="1:21" ht="34.5" customHeight="1" x14ac:dyDescent="0.25">
      <c r="A659" s="10">
        <f t="shared" si="2"/>
        <v>645</v>
      </c>
      <c r="B659" s="483" t="s">
        <v>303</v>
      </c>
      <c r="C659" s="327"/>
      <c r="D659" s="484" t="s">
        <v>303</v>
      </c>
      <c r="E659" s="327"/>
      <c r="F659" s="481" t="s">
        <v>334</v>
      </c>
      <c r="G659" s="327"/>
      <c r="H659" s="485"/>
      <c r="I659" s="326"/>
      <c r="J659" s="327"/>
      <c r="K659" s="481" t="s">
        <v>334</v>
      </c>
      <c r="L659" s="326"/>
      <c r="M659" s="327"/>
      <c r="N659" s="486" t="s">
        <v>303</v>
      </c>
      <c r="O659" s="326"/>
      <c r="P659" s="326"/>
      <c r="Q659" s="326"/>
      <c r="R659" s="326"/>
      <c r="S659" s="326"/>
      <c r="T659" s="326"/>
      <c r="U659" s="327"/>
    </row>
    <row r="660" spans="1:21" ht="34.5" customHeight="1" x14ac:dyDescent="0.25">
      <c r="A660" s="10">
        <f t="shared" si="2"/>
        <v>646</v>
      </c>
      <c r="B660" s="479" t="s">
        <v>303</v>
      </c>
      <c r="C660" s="327"/>
      <c r="D660" s="480" t="s">
        <v>303</v>
      </c>
      <c r="E660" s="327"/>
      <c r="F660" s="481" t="s">
        <v>334</v>
      </c>
      <c r="G660" s="327"/>
      <c r="H660" s="482"/>
      <c r="I660" s="326"/>
      <c r="J660" s="327"/>
      <c r="K660" s="481" t="s">
        <v>334</v>
      </c>
      <c r="L660" s="326"/>
      <c r="M660" s="327"/>
      <c r="N660" s="439" t="s">
        <v>303</v>
      </c>
      <c r="O660" s="326"/>
      <c r="P660" s="326"/>
      <c r="Q660" s="326"/>
      <c r="R660" s="326"/>
      <c r="S660" s="326"/>
      <c r="T660" s="326"/>
      <c r="U660" s="327"/>
    </row>
    <row r="661" spans="1:21" ht="34.5" customHeight="1" x14ac:dyDescent="0.25">
      <c r="A661" s="10">
        <f t="shared" si="2"/>
        <v>647</v>
      </c>
      <c r="B661" s="483" t="s">
        <v>303</v>
      </c>
      <c r="C661" s="327"/>
      <c r="D661" s="484" t="s">
        <v>303</v>
      </c>
      <c r="E661" s="327"/>
      <c r="F661" s="481" t="s">
        <v>334</v>
      </c>
      <c r="G661" s="327"/>
      <c r="H661" s="485"/>
      <c r="I661" s="326"/>
      <c r="J661" s="327"/>
      <c r="K661" s="481" t="s">
        <v>334</v>
      </c>
      <c r="L661" s="326"/>
      <c r="M661" s="327"/>
      <c r="N661" s="486" t="s">
        <v>303</v>
      </c>
      <c r="O661" s="326"/>
      <c r="P661" s="326"/>
      <c r="Q661" s="326"/>
      <c r="R661" s="326"/>
      <c r="S661" s="326"/>
      <c r="T661" s="326"/>
      <c r="U661" s="327"/>
    </row>
    <row r="662" spans="1:21" ht="34.5" customHeight="1" x14ac:dyDescent="0.25">
      <c r="A662" s="10">
        <f t="shared" si="2"/>
        <v>648</v>
      </c>
      <c r="B662" s="479" t="s">
        <v>303</v>
      </c>
      <c r="C662" s="327"/>
      <c r="D662" s="480" t="s">
        <v>303</v>
      </c>
      <c r="E662" s="327"/>
      <c r="F662" s="481" t="s">
        <v>334</v>
      </c>
      <c r="G662" s="327"/>
      <c r="H662" s="482"/>
      <c r="I662" s="326"/>
      <c r="J662" s="327"/>
      <c r="K662" s="481" t="s">
        <v>334</v>
      </c>
      <c r="L662" s="326"/>
      <c r="M662" s="327"/>
      <c r="N662" s="439" t="s">
        <v>303</v>
      </c>
      <c r="O662" s="326"/>
      <c r="P662" s="326"/>
      <c r="Q662" s="326"/>
      <c r="R662" s="326"/>
      <c r="S662" s="326"/>
      <c r="T662" s="326"/>
      <c r="U662" s="327"/>
    </row>
    <row r="663" spans="1:21" ht="34.5" customHeight="1" x14ac:dyDescent="0.25">
      <c r="A663" s="10">
        <f t="shared" si="2"/>
        <v>649</v>
      </c>
      <c r="B663" s="483" t="s">
        <v>303</v>
      </c>
      <c r="C663" s="327"/>
      <c r="D663" s="484" t="s">
        <v>303</v>
      </c>
      <c r="E663" s="327"/>
      <c r="F663" s="481" t="s">
        <v>334</v>
      </c>
      <c r="G663" s="327"/>
      <c r="H663" s="485"/>
      <c r="I663" s="326"/>
      <c r="J663" s="327"/>
      <c r="K663" s="481" t="s">
        <v>334</v>
      </c>
      <c r="L663" s="326"/>
      <c r="M663" s="327"/>
      <c r="N663" s="486" t="s">
        <v>303</v>
      </c>
      <c r="O663" s="326"/>
      <c r="P663" s="326"/>
      <c r="Q663" s="326"/>
      <c r="R663" s="326"/>
      <c r="S663" s="326"/>
      <c r="T663" s="326"/>
      <c r="U663" s="327"/>
    </row>
    <row r="664" spans="1:21" ht="34.5" customHeight="1" x14ac:dyDescent="0.25">
      <c r="A664" s="10">
        <f t="shared" si="2"/>
        <v>650</v>
      </c>
      <c r="B664" s="479" t="s">
        <v>303</v>
      </c>
      <c r="C664" s="327"/>
      <c r="D664" s="480" t="s">
        <v>303</v>
      </c>
      <c r="E664" s="327"/>
      <c r="F664" s="481" t="s">
        <v>334</v>
      </c>
      <c r="G664" s="327"/>
      <c r="H664" s="482"/>
      <c r="I664" s="326"/>
      <c r="J664" s="327"/>
      <c r="K664" s="481" t="s">
        <v>334</v>
      </c>
      <c r="L664" s="326"/>
      <c r="M664" s="327"/>
      <c r="N664" s="439" t="s">
        <v>303</v>
      </c>
      <c r="O664" s="326"/>
      <c r="P664" s="326"/>
      <c r="Q664" s="326"/>
      <c r="R664" s="326"/>
      <c r="S664" s="326"/>
      <c r="T664" s="326"/>
      <c r="U664" s="327"/>
    </row>
    <row r="665" spans="1:21" ht="34.5" customHeight="1" x14ac:dyDescent="0.25">
      <c r="A665" s="10">
        <f t="shared" si="2"/>
        <v>651</v>
      </c>
      <c r="B665" s="483" t="s">
        <v>303</v>
      </c>
      <c r="C665" s="327"/>
      <c r="D665" s="484" t="s">
        <v>303</v>
      </c>
      <c r="E665" s="327"/>
      <c r="F665" s="481" t="s">
        <v>334</v>
      </c>
      <c r="G665" s="327"/>
      <c r="H665" s="485"/>
      <c r="I665" s="326"/>
      <c r="J665" s="327"/>
      <c r="K665" s="481" t="s">
        <v>334</v>
      </c>
      <c r="L665" s="326"/>
      <c r="M665" s="327"/>
      <c r="N665" s="486" t="s">
        <v>303</v>
      </c>
      <c r="O665" s="326"/>
      <c r="P665" s="326"/>
      <c r="Q665" s="326"/>
      <c r="R665" s="326"/>
      <c r="S665" s="326"/>
      <c r="T665" s="326"/>
      <c r="U665" s="327"/>
    </row>
    <row r="666" spans="1:21" ht="34.5" customHeight="1" x14ac:dyDescent="0.25">
      <c r="A666" s="10">
        <f t="shared" si="2"/>
        <v>652</v>
      </c>
      <c r="B666" s="479" t="s">
        <v>335</v>
      </c>
      <c r="C666" s="327"/>
      <c r="D666" s="480" t="s">
        <v>303</v>
      </c>
      <c r="E666" s="327"/>
      <c r="F666" s="481" t="s">
        <v>334</v>
      </c>
      <c r="G666" s="327"/>
      <c r="H666" s="482"/>
      <c r="I666" s="326"/>
      <c r="J666" s="327"/>
      <c r="K666" s="481" t="s">
        <v>334</v>
      </c>
      <c r="L666" s="326"/>
      <c r="M666" s="327"/>
      <c r="N666" s="439" t="s">
        <v>303</v>
      </c>
      <c r="O666" s="326"/>
      <c r="P666" s="326"/>
      <c r="Q666" s="326"/>
      <c r="R666" s="326"/>
      <c r="S666" s="326"/>
      <c r="T666" s="326"/>
      <c r="U666" s="327"/>
    </row>
    <row r="667" spans="1:21" ht="34.5" customHeight="1" x14ac:dyDescent="0.25">
      <c r="A667" s="10">
        <f t="shared" si="2"/>
        <v>653</v>
      </c>
      <c r="B667" s="483" t="s">
        <v>303</v>
      </c>
      <c r="C667" s="327"/>
      <c r="D667" s="484" t="s">
        <v>303</v>
      </c>
      <c r="E667" s="327"/>
      <c r="F667" s="481" t="s">
        <v>334</v>
      </c>
      <c r="G667" s="327"/>
      <c r="H667" s="485"/>
      <c r="I667" s="326"/>
      <c r="J667" s="327"/>
      <c r="K667" s="481" t="s">
        <v>334</v>
      </c>
      <c r="L667" s="326"/>
      <c r="M667" s="327"/>
      <c r="N667" s="486" t="s">
        <v>303</v>
      </c>
      <c r="O667" s="326"/>
      <c r="P667" s="326"/>
      <c r="Q667" s="326"/>
      <c r="R667" s="326"/>
      <c r="S667" s="326"/>
      <c r="T667" s="326"/>
      <c r="U667" s="327"/>
    </row>
    <row r="668" spans="1:21" ht="34.5" customHeight="1" x14ac:dyDescent="0.25">
      <c r="A668" s="10">
        <f t="shared" si="2"/>
        <v>654</v>
      </c>
      <c r="B668" s="479" t="s">
        <v>303</v>
      </c>
      <c r="C668" s="327"/>
      <c r="D668" s="480" t="s">
        <v>303</v>
      </c>
      <c r="E668" s="327"/>
      <c r="F668" s="481" t="s">
        <v>334</v>
      </c>
      <c r="G668" s="327"/>
      <c r="H668" s="482"/>
      <c r="I668" s="326"/>
      <c r="J668" s="327"/>
      <c r="K668" s="481" t="s">
        <v>334</v>
      </c>
      <c r="L668" s="326"/>
      <c r="M668" s="327"/>
      <c r="N668" s="439" t="s">
        <v>303</v>
      </c>
      <c r="O668" s="326"/>
      <c r="P668" s="326"/>
      <c r="Q668" s="326"/>
      <c r="R668" s="326"/>
      <c r="S668" s="326"/>
      <c r="T668" s="326"/>
      <c r="U668" s="327"/>
    </row>
    <row r="669" spans="1:21" ht="34.5" customHeight="1" x14ac:dyDescent="0.25">
      <c r="A669" s="10">
        <f t="shared" si="2"/>
        <v>655</v>
      </c>
      <c r="B669" s="483" t="s">
        <v>303</v>
      </c>
      <c r="C669" s="327"/>
      <c r="D669" s="484" t="s">
        <v>303</v>
      </c>
      <c r="E669" s="327"/>
      <c r="F669" s="481" t="s">
        <v>334</v>
      </c>
      <c r="G669" s="327"/>
      <c r="H669" s="485"/>
      <c r="I669" s="326"/>
      <c r="J669" s="327"/>
      <c r="K669" s="481" t="s">
        <v>334</v>
      </c>
      <c r="L669" s="326"/>
      <c r="M669" s="327"/>
      <c r="N669" s="486" t="s">
        <v>303</v>
      </c>
      <c r="O669" s="326"/>
      <c r="P669" s="326"/>
      <c r="Q669" s="326"/>
      <c r="R669" s="326"/>
      <c r="S669" s="326"/>
      <c r="T669" s="326"/>
      <c r="U669" s="327"/>
    </row>
    <row r="670" spans="1:21" ht="34.5" customHeight="1" x14ac:dyDescent="0.25">
      <c r="A670" s="10">
        <f t="shared" si="2"/>
        <v>656</v>
      </c>
      <c r="B670" s="479" t="s">
        <v>303</v>
      </c>
      <c r="C670" s="327"/>
      <c r="D670" s="480" t="s">
        <v>303</v>
      </c>
      <c r="E670" s="327"/>
      <c r="F670" s="481" t="s">
        <v>334</v>
      </c>
      <c r="G670" s="327"/>
      <c r="H670" s="482"/>
      <c r="I670" s="326"/>
      <c r="J670" s="327"/>
      <c r="K670" s="481" t="s">
        <v>334</v>
      </c>
      <c r="L670" s="326"/>
      <c r="M670" s="327"/>
      <c r="N670" s="439" t="s">
        <v>303</v>
      </c>
      <c r="O670" s="326"/>
      <c r="P670" s="326"/>
      <c r="Q670" s="326"/>
      <c r="R670" s="326"/>
      <c r="S670" s="326"/>
      <c r="T670" s="326"/>
      <c r="U670" s="327"/>
    </row>
    <row r="671" spans="1:21" ht="34.5" customHeight="1" x14ac:dyDescent="0.25">
      <c r="A671" s="10">
        <f t="shared" si="2"/>
        <v>657</v>
      </c>
      <c r="B671" s="483" t="s">
        <v>303</v>
      </c>
      <c r="C671" s="327"/>
      <c r="D671" s="484" t="s">
        <v>303</v>
      </c>
      <c r="E671" s="327"/>
      <c r="F671" s="481" t="s">
        <v>334</v>
      </c>
      <c r="G671" s="327"/>
      <c r="H671" s="485"/>
      <c r="I671" s="326"/>
      <c r="J671" s="327"/>
      <c r="K671" s="481" t="s">
        <v>334</v>
      </c>
      <c r="L671" s="326"/>
      <c r="M671" s="327"/>
      <c r="N671" s="486" t="s">
        <v>303</v>
      </c>
      <c r="O671" s="326"/>
      <c r="P671" s="326"/>
      <c r="Q671" s="326"/>
      <c r="R671" s="326"/>
      <c r="S671" s="326"/>
      <c r="T671" s="326"/>
      <c r="U671" s="327"/>
    </row>
    <row r="672" spans="1:21" ht="34.5" customHeight="1" x14ac:dyDescent="0.25">
      <c r="A672" s="10">
        <f t="shared" si="2"/>
        <v>658</v>
      </c>
      <c r="B672" s="479" t="s">
        <v>336</v>
      </c>
      <c r="C672" s="327"/>
      <c r="D672" s="480" t="s">
        <v>303</v>
      </c>
      <c r="E672" s="327"/>
      <c r="F672" s="481" t="s">
        <v>334</v>
      </c>
      <c r="G672" s="327"/>
      <c r="H672" s="482"/>
      <c r="I672" s="326"/>
      <c r="J672" s="327"/>
      <c r="K672" s="481" t="s">
        <v>334</v>
      </c>
      <c r="L672" s="326"/>
      <c r="M672" s="327"/>
      <c r="N672" s="439" t="s">
        <v>303</v>
      </c>
      <c r="O672" s="326"/>
      <c r="P672" s="326"/>
      <c r="Q672" s="326"/>
      <c r="R672" s="326"/>
      <c r="S672" s="326"/>
      <c r="T672" s="326"/>
      <c r="U672" s="327"/>
    </row>
    <row r="673" spans="1:21" ht="34.5" customHeight="1" x14ac:dyDescent="0.25">
      <c r="A673" s="10">
        <f t="shared" si="2"/>
        <v>659</v>
      </c>
      <c r="B673" s="483" t="s">
        <v>303</v>
      </c>
      <c r="C673" s="327"/>
      <c r="D673" s="484" t="s">
        <v>303</v>
      </c>
      <c r="E673" s="327"/>
      <c r="F673" s="481" t="s">
        <v>334</v>
      </c>
      <c r="G673" s="327"/>
      <c r="H673" s="485"/>
      <c r="I673" s="326"/>
      <c r="J673" s="327"/>
      <c r="K673" s="481" t="s">
        <v>334</v>
      </c>
      <c r="L673" s="326"/>
      <c r="M673" s="327"/>
      <c r="N673" s="486" t="s">
        <v>303</v>
      </c>
      <c r="O673" s="326"/>
      <c r="P673" s="326"/>
      <c r="Q673" s="326"/>
      <c r="R673" s="326"/>
      <c r="S673" s="326"/>
      <c r="T673" s="326"/>
      <c r="U673" s="327"/>
    </row>
    <row r="674" spans="1:21" ht="34.5" customHeight="1" x14ac:dyDescent="0.25">
      <c r="A674" s="10">
        <f t="shared" si="2"/>
        <v>660</v>
      </c>
      <c r="B674" s="479" t="s">
        <v>303</v>
      </c>
      <c r="C674" s="327"/>
      <c r="D674" s="480" t="s">
        <v>303</v>
      </c>
      <c r="E674" s="327"/>
      <c r="F674" s="481" t="s">
        <v>334</v>
      </c>
      <c r="G674" s="327"/>
      <c r="H674" s="482"/>
      <c r="I674" s="326"/>
      <c r="J674" s="327"/>
      <c r="K674" s="481" t="s">
        <v>334</v>
      </c>
      <c r="L674" s="326"/>
      <c r="M674" s="327"/>
      <c r="N674" s="439" t="s">
        <v>303</v>
      </c>
      <c r="O674" s="326"/>
      <c r="P674" s="326"/>
      <c r="Q674" s="326"/>
      <c r="R674" s="326"/>
      <c r="S674" s="326"/>
      <c r="T674" s="326"/>
      <c r="U674" s="327"/>
    </row>
    <row r="675" spans="1:21" ht="34.5" customHeight="1" x14ac:dyDescent="0.25">
      <c r="A675" s="10">
        <f t="shared" si="2"/>
        <v>661</v>
      </c>
      <c r="B675" s="483" t="s">
        <v>303</v>
      </c>
      <c r="C675" s="327"/>
      <c r="D675" s="484" t="s">
        <v>303</v>
      </c>
      <c r="E675" s="327"/>
      <c r="F675" s="481" t="s">
        <v>334</v>
      </c>
      <c r="G675" s="327"/>
      <c r="H675" s="485"/>
      <c r="I675" s="326"/>
      <c r="J675" s="327"/>
      <c r="K675" s="481" t="s">
        <v>334</v>
      </c>
      <c r="L675" s="326"/>
      <c r="M675" s="327"/>
      <c r="N675" s="486" t="s">
        <v>303</v>
      </c>
      <c r="O675" s="326"/>
      <c r="P675" s="326"/>
      <c r="Q675" s="326"/>
      <c r="R675" s="326"/>
      <c r="S675" s="326"/>
      <c r="T675" s="326"/>
      <c r="U675" s="327"/>
    </row>
    <row r="676" spans="1:21" ht="34.5" customHeight="1" x14ac:dyDescent="0.25">
      <c r="A676" s="10">
        <f t="shared" si="2"/>
        <v>662</v>
      </c>
      <c r="B676" s="479" t="s">
        <v>303</v>
      </c>
      <c r="C676" s="327"/>
      <c r="D676" s="480" t="s">
        <v>303</v>
      </c>
      <c r="E676" s="327"/>
      <c r="F676" s="481" t="s">
        <v>334</v>
      </c>
      <c r="G676" s="327"/>
      <c r="H676" s="482"/>
      <c r="I676" s="326"/>
      <c r="J676" s="327"/>
      <c r="K676" s="481" t="s">
        <v>334</v>
      </c>
      <c r="L676" s="326"/>
      <c r="M676" s="327"/>
      <c r="N676" s="439" t="s">
        <v>303</v>
      </c>
      <c r="O676" s="326"/>
      <c r="P676" s="326"/>
      <c r="Q676" s="326"/>
      <c r="R676" s="326"/>
      <c r="S676" s="326"/>
      <c r="T676" s="326"/>
      <c r="U676" s="327"/>
    </row>
    <row r="677" spans="1:21" ht="34.5" customHeight="1" x14ac:dyDescent="0.25">
      <c r="A677" s="10">
        <f t="shared" si="2"/>
        <v>663</v>
      </c>
      <c r="B677" s="483" t="s">
        <v>303</v>
      </c>
      <c r="C677" s="327"/>
      <c r="D677" s="484" t="s">
        <v>303</v>
      </c>
      <c r="E677" s="327"/>
      <c r="F677" s="481" t="s">
        <v>334</v>
      </c>
      <c r="G677" s="327"/>
      <c r="H677" s="485"/>
      <c r="I677" s="326"/>
      <c r="J677" s="327"/>
      <c r="K677" s="481" t="s">
        <v>334</v>
      </c>
      <c r="L677" s="326"/>
      <c r="M677" s="327"/>
      <c r="N677" s="486" t="s">
        <v>303</v>
      </c>
      <c r="O677" s="326"/>
      <c r="P677" s="326"/>
      <c r="Q677" s="326"/>
      <c r="R677" s="326"/>
      <c r="S677" s="326"/>
      <c r="T677" s="326"/>
      <c r="U677" s="327"/>
    </row>
    <row r="678" spans="1:21" ht="34.5" customHeight="1" x14ac:dyDescent="0.25">
      <c r="A678" s="10">
        <f t="shared" si="2"/>
        <v>664</v>
      </c>
      <c r="B678" s="479" t="s">
        <v>303</v>
      </c>
      <c r="C678" s="327"/>
      <c r="D678" s="480" t="s">
        <v>303</v>
      </c>
      <c r="E678" s="327"/>
      <c r="F678" s="481" t="s">
        <v>334</v>
      </c>
      <c r="G678" s="327"/>
      <c r="H678" s="482"/>
      <c r="I678" s="326"/>
      <c r="J678" s="327"/>
      <c r="K678" s="481" t="s">
        <v>334</v>
      </c>
      <c r="L678" s="326"/>
      <c r="M678" s="327"/>
      <c r="N678" s="439" t="s">
        <v>303</v>
      </c>
      <c r="O678" s="326"/>
      <c r="P678" s="326"/>
      <c r="Q678" s="326"/>
      <c r="R678" s="326"/>
      <c r="S678" s="326"/>
      <c r="T678" s="326"/>
      <c r="U678" s="327"/>
    </row>
    <row r="679" spans="1:21" ht="34.5" customHeight="1" x14ac:dyDescent="0.25">
      <c r="A679" s="10">
        <f t="shared" si="2"/>
        <v>665</v>
      </c>
      <c r="B679" s="483" t="s">
        <v>303</v>
      </c>
      <c r="C679" s="327"/>
      <c r="D679" s="484" t="s">
        <v>303</v>
      </c>
      <c r="E679" s="327"/>
      <c r="F679" s="481" t="s">
        <v>334</v>
      </c>
      <c r="G679" s="327"/>
      <c r="H679" s="485"/>
      <c r="I679" s="326"/>
      <c r="J679" s="327"/>
      <c r="K679" s="481" t="s">
        <v>334</v>
      </c>
      <c r="L679" s="326"/>
      <c r="M679" s="327"/>
      <c r="N679" s="486" t="s">
        <v>303</v>
      </c>
      <c r="O679" s="326"/>
      <c r="P679" s="326"/>
      <c r="Q679" s="326"/>
      <c r="R679" s="326"/>
      <c r="S679" s="326"/>
      <c r="T679" s="326"/>
      <c r="U679" s="327"/>
    </row>
    <row r="680" spans="1:21" ht="34.5" customHeight="1" x14ac:dyDescent="0.25">
      <c r="A680" s="10">
        <f t="shared" si="2"/>
        <v>666</v>
      </c>
      <c r="B680" s="479" t="s">
        <v>303</v>
      </c>
      <c r="C680" s="327"/>
      <c r="D680" s="480" t="s">
        <v>303</v>
      </c>
      <c r="E680" s="327"/>
      <c r="F680" s="481" t="s">
        <v>334</v>
      </c>
      <c r="G680" s="327"/>
      <c r="H680" s="482"/>
      <c r="I680" s="326"/>
      <c r="J680" s="327"/>
      <c r="K680" s="481" t="s">
        <v>334</v>
      </c>
      <c r="L680" s="326"/>
      <c r="M680" s="327"/>
      <c r="N680" s="439" t="s">
        <v>303</v>
      </c>
      <c r="O680" s="326"/>
      <c r="P680" s="326"/>
      <c r="Q680" s="326"/>
      <c r="R680" s="326"/>
      <c r="S680" s="326"/>
      <c r="T680" s="326"/>
      <c r="U680" s="327"/>
    </row>
    <row r="681" spans="1:21" ht="34.5" customHeight="1" x14ac:dyDescent="0.25">
      <c r="A681" s="10">
        <f t="shared" si="2"/>
        <v>667</v>
      </c>
      <c r="B681" s="483" t="s">
        <v>303</v>
      </c>
      <c r="C681" s="327"/>
      <c r="D681" s="484" t="s">
        <v>303</v>
      </c>
      <c r="E681" s="327"/>
      <c r="F681" s="481" t="s">
        <v>334</v>
      </c>
      <c r="G681" s="327"/>
      <c r="H681" s="485"/>
      <c r="I681" s="326"/>
      <c r="J681" s="327"/>
      <c r="K681" s="481" t="s">
        <v>334</v>
      </c>
      <c r="L681" s="326"/>
      <c r="M681" s="327"/>
      <c r="N681" s="486" t="s">
        <v>303</v>
      </c>
      <c r="O681" s="326"/>
      <c r="P681" s="326"/>
      <c r="Q681" s="326"/>
      <c r="R681" s="326"/>
      <c r="S681" s="326"/>
      <c r="T681" s="326"/>
      <c r="U681" s="327"/>
    </row>
    <row r="682" spans="1:21" ht="34.5" customHeight="1" x14ac:dyDescent="0.25">
      <c r="A682" s="10">
        <f t="shared" si="2"/>
        <v>668</v>
      </c>
      <c r="B682" s="479" t="s">
        <v>303</v>
      </c>
      <c r="C682" s="327"/>
      <c r="D682" s="480" t="s">
        <v>303</v>
      </c>
      <c r="E682" s="327"/>
      <c r="F682" s="481" t="s">
        <v>334</v>
      </c>
      <c r="G682" s="327"/>
      <c r="H682" s="482"/>
      <c r="I682" s="326"/>
      <c r="J682" s="327"/>
      <c r="K682" s="481" t="s">
        <v>334</v>
      </c>
      <c r="L682" s="326"/>
      <c r="M682" s="327"/>
      <c r="N682" s="439" t="s">
        <v>303</v>
      </c>
      <c r="O682" s="326"/>
      <c r="P682" s="326"/>
      <c r="Q682" s="326"/>
      <c r="R682" s="326"/>
      <c r="S682" s="326"/>
      <c r="T682" s="326"/>
      <c r="U682" s="327"/>
    </row>
    <row r="683" spans="1:21" ht="34.5" customHeight="1" x14ac:dyDescent="0.25">
      <c r="A683" s="10">
        <f t="shared" si="2"/>
        <v>669</v>
      </c>
      <c r="B683" s="483" t="s">
        <v>303</v>
      </c>
      <c r="C683" s="327"/>
      <c r="D683" s="484" t="s">
        <v>303</v>
      </c>
      <c r="E683" s="327"/>
      <c r="F683" s="481" t="s">
        <v>334</v>
      </c>
      <c r="G683" s="327"/>
      <c r="H683" s="485"/>
      <c r="I683" s="326"/>
      <c r="J683" s="327"/>
      <c r="K683" s="481" t="s">
        <v>334</v>
      </c>
      <c r="L683" s="326"/>
      <c r="M683" s="327"/>
      <c r="N683" s="486" t="s">
        <v>303</v>
      </c>
      <c r="O683" s="326"/>
      <c r="P683" s="326"/>
      <c r="Q683" s="326"/>
      <c r="R683" s="326"/>
      <c r="S683" s="326"/>
      <c r="T683" s="326"/>
      <c r="U683" s="327"/>
    </row>
    <row r="684" spans="1:21" ht="34.5" customHeight="1" x14ac:dyDescent="0.25">
      <c r="A684" s="10">
        <f t="shared" si="2"/>
        <v>670</v>
      </c>
      <c r="B684" s="479" t="s">
        <v>303</v>
      </c>
      <c r="C684" s="327"/>
      <c r="D684" s="480" t="s">
        <v>303</v>
      </c>
      <c r="E684" s="327"/>
      <c r="F684" s="481" t="s">
        <v>334</v>
      </c>
      <c r="G684" s="327"/>
      <c r="H684" s="482"/>
      <c r="I684" s="326"/>
      <c r="J684" s="327"/>
      <c r="K684" s="481" t="s">
        <v>334</v>
      </c>
      <c r="L684" s="326"/>
      <c r="M684" s="327"/>
      <c r="N684" s="439" t="s">
        <v>303</v>
      </c>
      <c r="O684" s="326"/>
      <c r="P684" s="326"/>
      <c r="Q684" s="326"/>
      <c r="R684" s="326"/>
      <c r="S684" s="326"/>
      <c r="T684" s="326"/>
      <c r="U684" s="327"/>
    </row>
    <row r="685" spans="1:21" ht="34.5" customHeight="1" x14ac:dyDescent="0.25">
      <c r="A685" s="10">
        <f t="shared" si="2"/>
        <v>671</v>
      </c>
      <c r="B685" s="483" t="s">
        <v>337</v>
      </c>
      <c r="C685" s="327"/>
      <c r="D685" s="484" t="s">
        <v>303</v>
      </c>
      <c r="E685" s="327"/>
      <c r="F685" s="481" t="s">
        <v>334</v>
      </c>
      <c r="G685" s="327"/>
      <c r="H685" s="485"/>
      <c r="I685" s="326"/>
      <c r="J685" s="327"/>
      <c r="K685" s="481" t="s">
        <v>334</v>
      </c>
      <c r="L685" s="326"/>
      <c r="M685" s="327"/>
      <c r="N685" s="486" t="s">
        <v>303</v>
      </c>
      <c r="O685" s="326"/>
      <c r="P685" s="326"/>
      <c r="Q685" s="326"/>
      <c r="R685" s="326"/>
      <c r="S685" s="326"/>
      <c r="T685" s="326"/>
      <c r="U685" s="327"/>
    </row>
    <row r="686" spans="1:21" ht="34.5" customHeight="1" x14ac:dyDescent="0.25">
      <c r="A686" s="10">
        <f t="shared" si="2"/>
        <v>672</v>
      </c>
      <c r="B686" s="479" t="s">
        <v>303</v>
      </c>
      <c r="C686" s="327"/>
      <c r="D686" s="480" t="s">
        <v>303</v>
      </c>
      <c r="E686" s="327"/>
      <c r="F686" s="481" t="s">
        <v>334</v>
      </c>
      <c r="G686" s="327"/>
      <c r="H686" s="482"/>
      <c r="I686" s="326"/>
      <c r="J686" s="327"/>
      <c r="K686" s="481" t="s">
        <v>334</v>
      </c>
      <c r="L686" s="326"/>
      <c r="M686" s="327"/>
      <c r="N686" s="439" t="s">
        <v>303</v>
      </c>
      <c r="O686" s="326"/>
      <c r="P686" s="326"/>
      <c r="Q686" s="326"/>
      <c r="R686" s="326"/>
      <c r="S686" s="326"/>
      <c r="T686" s="326"/>
      <c r="U686" s="327"/>
    </row>
    <row r="687" spans="1:21" ht="34.5" customHeight="1" x14ac:dyDescent="0.25">
      <c r="A687" s="10">
        <f t="shared" si="2"/>
        <v>673</v>
      </c>
      <c r="B687" s="483" t="s">
        <v>303</v>
      </c>
      <c r="C687" s="327"/>
      <c r="D687" s="484" t="s">
        <v>303</v>
      </c>
      <c r="E687" s="327"/>
      <c r="F687" s="481" t="s">
        <v>334</v>
      </c>
      <c r="G687" s="327"/>
      <c r="H687" s="485"/>
      <c r="I687" s="326"/>
      <c r="J687" s="327"/>
      <c r="K687" s="481" t="s">
        <v>334</v>
      </c>
      <c r="L687" s="326"/>
      <c r="M687" s="327"/>
      <c r="N687" s="486" t="s">
        <v>303</v>
      </c>
      <c r="O687" s="326"/>
      <c r="P687" s="326"/>
      <c r="Q687" s="326"/>
      <c r="R687" s="326"/>
      <c r="S687" s="326"/>
      <c r="T687" s="326"/>
      <c r="U687" s="327"/>
    </row>
    <row r="688" spans="1:21" ht="34.5" customHeight="1" x14ac:dyDescent="0.25">
      <c r="A688" s="10">
        <f t="shared" si="2"/>
        <v>674</v>
      </c>
      <c r="B688" s="479" t="s">
        <v>303</v>
      </c>
      <c r="C688" s="327"/>
      <c r="D688" s="480" t="s">
        <v>303</v>
      </c>
      <c r="E688" s="327"/>
      <c r="F688" s="481" t="s">
        <v>334</v>
      </c>
      <c r="G688" s="327"/>
      <c r="H688" s="482"/>
      <c r="I688" s="326"/>
      <c r="J688" s="327"/>
      <c r="K688" s="481" t="s">
        <v>334</v>
      </c>
      <c r="L688" s="326"/>
      <c r="M688" s="327"/>
      <c r="N688" s="439" t="s">
        <v>303</v>
      </c>
      <c r="O688" s="326"/>
      <c r="P688" s="326"/>
      <c r="Q688" s="326"/>
      <c r="R688" s="326"/>
      <c r="S688" s="326"/>
      <c r="T688" s="326"/>
      <c r="U688" s="327"/>
    </row>
    <row r="689" spans="1:21" ht="34.5" customHeight="1" x14ac:dyDescent="0.25">
      <c r="A689" s="10">
        <f t="shared" si="2"/>
        <v>675</v>
      </c>
      <c r="B689" s="483" t="s">
        <v>303</v>
      </c>
      <c r="C689" s="327"/>
      <c r="D689" s="484" t="s">
        <v>303</v>
      </c>
      <c r="E689" s="327"/>
      <c r="F689" s="481" t="s">
        <v>334</v>
      </c>
      <c r="G689" s="327"/>
      <c r="H689" s="485"/>
      <c r="I689" s="326"/>
      <c r="J689" s="327"/>
      <c r="K689" s="481" t="s">
        <v>334</v>
      </c>
      <c r="L689" s="326"/>
      <c r="M689" s="327"/>
      <c r="N689" s="486" t="s">
        <v>303</v>
      </c>
      <c r="O689" s="326"/>
      <c r="P689" s="326"/>
      <c r="Q689" s="326"/>
      <c r="R689" s="326"/>
      <c r="S689" s="326"/>
      <c r="T689" s="326"/>
      <c r="U689" s="327"/>
    </row>
    <row r="690" spans="1:21" ht="34.5" customHeight="1" x14ac:dyDescent="0.25">
      <c r="A690" s="10">
        <f t="shared" si="2"/>
        <v>676</v>
      </c>
      <c r="B690" s="479" t="s">
        <v>303</v>
      </c>
      <c r="C690" s="327"/>
      <c r="D690" s="480" t="s">
        <v>303</v>
      </c>
      <c r="E690" s="327"/>
      <c r="F690" s="481" t="s">
        <v>334</v>
      </c>
      <c r="G690" s="327"/>
      <c r="H690" s="482"/>
      <c r="I690" s="326"/>
      <c r="J690" s="327"/>
      <c r="K690" s="481" t="s">
        <v>334</v>
      </c>
      <c r="L690" s="326"/>
      <c r="M690" s="327"/>
      <c r="N690" s="439" t="s">
        <v>303</v>
      </c>
      <c r="O690" s="326"/>
      <c r="P690" s="326"/>
      <c r="Q690" s="326"/>
      <c r="R690" s="326"/>
      <c r="S690" s="326"/>
      <c r="T690" s="326"/>
      <c r="U690" s="327"/>
    </row>
    <row r="691" spans="1:21" ht="34.5" customHeight="1" x14ac:dyDescent="0.25">
      <c r="A691" s="10">
        <f t="shared" si="2"/>
        <v>677</v>
      </c>
      <c r="B691" s="483" t="s">
        <v>303</v>
      </c>
      <c r="C691" s="327"/>
      <c r="D691" s="484" t="s">
        <v>303</v>
      </c>
      <c r="E691" s="327"/>
      <c r="F691" s="481" t="s">
        <v>334</v>
      </c>
      <c r="G691" s="327"/>
      <c r="H691" s="485"/>
      <c r="I691" s="326"/>
      <c r="J691" s="327"/>
      <c r="K691" s="481" t="s">
        <v>334</v>
      </c>
      <c r="L691" s="326"/>
      <c r="M691" s="327"/>
      <c r="N691" s="486" t="s">
        <v>303</v>
      </c>
      <c r="O691" s="326"/>
      <c r="P691" s="326"/>
      <c r="Q691" s="326"/>
      <c r="R691" s="326"/>
      <c r="S691" s="326"/>
      <c r="T691" s="326"/>
      <c r="U691" s="327"/>
    </row>
    <row r="692" spans="1:21" ht="34.5" customHeight="1" x14ac:dyDescent="0.25">
      <c r="A692" s="10">
        <f t="shared" si="2"/>
        <v>678</v>
      </c>
      <c r="B692" s="479" t="s">
        <v>303</v>
      </c>
      <c r="C692" s="327"/>
      <c r="D692" s="480" t="s">
        <v>303</v>
      </c>
      <c r="E692" s="327"/>
      <c r="F692" s="481" t="s">
        <v>334</v>
      </c>
      <c r="G692" s="327"/>
      <c r="H692" s="482"/>
      <c r="I692" s="326"/>
      <c r="J692" s="327"/>
      <c r="K692" s="481" t="s">
        <v>334</v>
      </c>
      <c r="L692" s="326"/>
      <c r="M692" s="327"/>
      <c r="N692" s="439" t="s">
        <v>303</v>
      </c>
      <c r="O692" s="326"/>
      <c r="P692" s="326"/>
      <c r="Q692" s="326"/>
      <c r="R692" s="326"/>
      <c r="S692" s="326"/>
      <c r="T692" s="326"/>
      <c r="U692" s="327"/>
    </row>
    <row r="693" spans="1:21" ht="34.5" customHeight="1" x14ac:dyDescent="0.25">
      <c r="A693" s="10">
        <f t="shared" si="2"/>
        <v>679</v>
      </c>
      <c r="B693" s="483" t="s">
        <v>303</v>
      </c>
      <c r="C693" s="327"/>
      <c r="D693" s="484" t="s">
        <v>303</v>
      </c>
      <c r="E693" s="327"/>
      <c r="F693" s="481" t="s">
        <v>334</v>
      </c>
      <c r="G693" s="327"/>
      <c r="H693" s="485"/>
      <c r="I693" s="326"/>
      <c r="J693" s="327"/>
      <c r="K693" s="481" t="s">
        <v>334</v>
      </c>
      <c r="L693" s="326"/>
      <c r="M693" s="327"/>
      <c r="N693" s="486" t="s">
        <v>303</v>
      </c>
      <c r="O693" s="326"/>
      <c r="P693" s="326"/>
      <c r="Q693" s="326"/>
      <c r="R693" s="326"/>
      <c r="S693" s="326"/>
      <c r="T693" s="326"/>
      <c r="U693" s="327"/>
    </row>
    <row r="694" spans="1:21" ht="34.5" customHeight="1" x14ac:dyDescent="0.25">
      <c r="A694" s="10">
        <f t="shared" si="2"/>
        <v>680</v>
      </c>
      <c r="B694" s="479" t="s">
        <v>335</v>
      </c>
      <c r="C694" s="327"/>
      <c r="D694" s="480" t="s">
        <v>303</v>
      </c>
      <c r="E694" s="327"/>
      <c r="F694" s="481" t="s">
        <v>334</v>
      </c>
      <c r="G694" s="327"/>
      <c r="H694" s="482"/>
      <c r="I694" s="326"/>
      <c r="J694" s="327"/>
      <c r="K694" s="481" t="s">
        <v>334</v>
      </c>
      <c r="L694" s="326"/>
      <c r="M694" s="327"/>
      <c r="N694" s="439" t="s">
        <v>303</v>
      </c>
      <c r="O694" s="326"/>
      <c r="P694" s="326"/>
      <c r="Q694" s="326"/>
      <c r="R694" s="326"/>
      <c r="S694" s="326"/>
      <c r="T694" s="326"/>
      <c r="U694" s="327"/>
    </row>
    <row r="695" spans="1:21" ht="34.5" customHeight="1" x14ac:dyDescent="0.25">
      <c r="A695" s="10">
        <f t="shared" si="2"/>
        <v>681</v>
      </c>
      <c r="B695" s="483" t="s">
        <v>303</v>
      </c>
      <c r="C695" s="327"/>
      <c r="D695" s="484" t="s">
        <v>303</v>
      </c>
      <c r="E695" s="327"/>
      <c r="F695" s="481" t="s">
        <v>334</v>
      </c>
      <c r="G695" s="327"/>
      <c r="H695" s="485"/>
      <c r="I695" s="326"/>
      <c r="J695" s="327"/>
      <c r="K695" s="481" t="s">
        <v>334</v>
      </c>
      <c r="L695" s="326"/>
      <c r="M695" s="327"/>
      <c r="N695" s="486" t="s">
        <v>303</v>
      </c>
      <c r="O695" s="326"/>
      <c r="P695" s="326"/>
      <c r="Q695" s="326"/>
      <c r="R695" s="326"/>
      <c r="S695" s="326"/>
      <c r="T695" s="326"/>
      <c r="U695" s="327"/>
    </row>
    <row r="696" spans="1:21" ht="34.5" customHeight="1" x14ac:dyDescent="0.25">
      <c r="A696" s="10">
        <f t="shared" si="2"/>
        <v>682</v>
      </c>
      <c r="B696" s="479" t="s">
        <v>303</v>
      </c>
      <c r="C696" s="327"/>
      <c r="D696" s="480" t="s">
        <v>303</v>
      </c>
      <c r="E696" s="327"/>
      <c r="F696" s="481" t="s">
        <v>334</v>
      </c>
      <c r="G696" s="327"/>
      <c r="H696" s="482"/>
      <c r="I696" s="326"/>
      <c r="J696" s="327"/>
      <c r="K696" s="481" t="s">
        <v>334</v>
      </c>
      <c r="L696" s="326"/>
      <c r="M696" s="327"/>
      <c r="N696" s="439" t="s">
        <v>303</v>
      </c>
      <c r="O696" s="326"/>
      <c r="P696" s="326"/>
      <c r="Q696" s="326"/>
      <c r="R696" s="326"/>
      <c r="S696" s="326"/>
      <c r="T696" s="326"/>
      <c r="U696" s="327"/>
    </row>
    <row r="697" spans="1:21" ht="34.5" customHeight="1" x14ac:dyDescent="0.25">
      <c r="A697" s="10">
        <f t="shared" si="2"/>
        <v>683</v>
      </c>
      <c r="B697" s="483" t="s">
        <v>303</v>
      </c>
      <c r="C697" s="327"/>
      <c r="D697" s="484" t="s">
        <v>303</v>
      </c>
      <c r="E697" s="327"/>
      <c r="F697" s="481" t="s">
        <v>334</v>
      </c>
      <c r="G697" s="327"/>
      <c r="H697" s="485"/>
      <c r="I697" s="326"/>
      <c r="J697" s="327"/>
      <c r="K697" s="481" t="s">
        <v>334</v>
      </c>
      <c r="L697" s="326"/>
      <c r="M697" s="327"/>
      <c r="N697" s="486" t="s">
        <v>303</v>
      </c>
      <c r="O697" s="326"/>
      <c r="P697" s="326"/>
      <c r="Q697" s="326"/>
      <c r="R697" s="326"/>
      <c r="S697" s="326"/>
      <c r="T697" s="326"/>
      <c r="U697" s="327"/>
    </row>
    <row r="698" spans="1:21" ht="34.5" customHeight="1" x14ac:dyDescent="0.25">
      <c r="A698" s="10">
        <f t="shared" si="2"/>
        <v>684</v>
      </c>
      <c r="B698" s="479" t="s">
        <v>303</v>
      </c>
      <c r="C698" s="327"/>
      <c r="D698" s="480" t="s">
        <v>303</v>
      </c>
      <c r="E698" s="327"/>
      <c r="F698" s="481" t="s">
        <v>334</v>
      </c>
      <c r="G698" s="327"/>
      <c r="H698" s="482"/>
      <c r="I698" s="326"/>
      <c r="J698" s="327"/>
      <c r="K698" s="481" t="s">
        <v>334</v>
      </c>
      <c r="L698" s="326"/>
      <c r="M698" s="327"/>
      <c r="N698" s="439" t="s">
        <v>303</v>
      </c>
      <c r="O698" s="326"/>
      <c r="P698" s="326"/>
      <c r="Q698" s="326"/>
      <c r="R698" s="326"/>
      <c r="S698" s="326"/>
      <c r="T698" s="326"/>
      <c r="U698" s="327"/>
    </row>
    <row r="699" spans="1:21" ht="34.5" customHeight="1" x14ac:dyDescent="0.25">
      <c r="A699" s="10">
        <f t="shared" si="2"/>
        <v>685</v>
      </c>
      <c r="B699" s="483" t="s">
        <v>303</v>
      </c>
      <c r="C699" s="327"/>
      <c r="D699" s="484" t="s">
        <v>303</v>
      </c>
      <c r="E699" s="327"/>
      <c r="F699" s="481" t="s">
        <v>334</v>
      </c>
      <c r="G699" s="327"/>
      <c r="H699" s="485"/>
      <c r="I699" s="326"/>
      <c r="J699" s="327"/>
      <c r="K699" s="481" t="s">
        <v>334</v>
      </c>
      <c r="L699" s="326"/>
      <c r="M699" s="327"/>
      <c r="N699" s="486" t="s">
        <v>303</v>
      </c>
      <c r="O699" s="326"/>
      <c r="P699" s="326"/>
      <c r="Q699" s="326"/>
      <c r="R699" s="326"/>
      <c r="S699" s="326"/>
      <c r="T699" s="326"/>
      <c r="U699" s="327"/>
    </row>
    <row r="700" spans="1:21" ht="34.5" customHeight="1" x14ac:dyDescent="0.25">
      <c r="A700" s="10">
        <f t="shared" si="2"/>
        <v>686</v>
      </c>
      <c r="B700" s="479" t="s">
        <v>303</v>
      </c>
      <c r="C700" s="327"/>
      <c r="D700" s="480" t="s">
        <v>303</v>
      </c>
      <c r="E700" s="327"/>
      <c r="F700" s="481" t="s">
        <v>334</v>
      </c>
      <c r="G700" s="327"/>
      <c r="H700" s="482"/>
      <c r="I700" s="326"/>
      <c r="J700" s="327"/>
      <c r="K700" s="481" t="s">
        <v>334</v>
      </c>
      <c r="L700" s="326"/>
      <c r="M700" s="327"/>
      <c r="N700" s="439" t="s">
        <v>303</v>
      </c>
      <c r="O700" s="326"/>
      <c r="P700" s="326"/>
      <c r="Q700" s="326"/>
      <c r="R700" s="326"/>
      <c r="S700" s="326"/>
      <c r="T700" s="326"/>
      <c r="U700" s="327"/>
    </row>
    <row r="701" spans="1:21" ht="34.5" customHeight="1" x14ac:dyDescent="0.25">
      <c r="A701" s="10">
        <f t="shared" si="2"/>
        <v>687</v>
      </c>
      <c r="B701" s="483" t="s">
        <v>303</v>
      </c>
      <c r="C701" s="327"/>
      <c r="D701" s="484" t="s">
        <v>303</v>
      </c>
      <c r="E701" s="327"/>
      <c r="F701" s="481" t="s">
        <v>334</v>
      </c>
      <c r="G701" s="327"/>
      <c r="H701" s="485"/>
      <c r="I701" s="326"/>
      <c r="J701" s="327"/>
      <c r="K701" s="481" t="s">
        <v>334</v>
      </c>
      <c r="L701" s="326"/>
      <c r="M701" s="327"/>
      <c r="N701" s="486" t="s">
        <v>303</v>
      </c>
      <c r="O701" s="326"/>
      <c r="P701" s="326"/>
      <c r="Q701" s="326"/>
      <c r="R701" s="326"/>
      <c r="S701" s="326"/>
      <c r="T701" s="326"/>
      <c r="U701" s="327"/>
    </row>
    <row r="702" spans="1:21" ht="34.5" customHeight="1" x14ac:dyDescent="0.25">
      <c r="A702" s="10">
        <f t="shared" si="2"/>
        <v>688</v>
      </c>
      <c r="B702" s="479" t="s">
        <v>338</v>
      </c>
      <c r="C702" s="327"/>
      <c r="D702" s="480" t="s">
        <v>303</v>
      </c>
      <c r="E702" s="327"/>
      <c r="F702" s="481" t="s">
        <v>334</v>
      </c>
      <c r="G702" s="327"/>
      <c r="H702" s="482"/>
      <c r="I702" s="326"/>
      <c r="J702" s="327"/>
      <c r="K702" s="481" t="s">
        <v>334</v>
      </c>
      <c r="L702" s="326"/>
      <c r="M702" s="327"/>
      <c r="N702" s="439" t="s">
        <v>303</v>
      </c>
      <c r="O702" s="326"/>
      <c r="P702" s="326"/>
      <c r="Q702" s="326"/>
      <c r="R702" s="326"/>
      <c r="S702" s="326"/>
      <c r="T702" s="326"/>
      <c r="U702" s="327"/>
    </row>
    <row r="703" spans="1:21" ht="34.5" customHeight="1" x14ac:dyDescent="0.25">
      <c r="A703" s="10">
        <f t="shared" si="2"/>
        <v>689</v>
      </c>
      <c r="B703" s="483" t="s">
        <v>303</v>
      </c>
      <c r="C703" s="327"/>
      <c r="D703" s="484" t="s">
        <v>303</v>
      </c>
      <c r="E703" s="327"/>
      <c r="F703" s="481" t="s">
        <v>334</v>
      </c>
      <c r="G703" s="327"/>
      <c r="H703" s="485"/>
      <c r="I703" s="326"/>
      <c r="J703" s="327"/>
      <c r="K703" s="481" t="s">
        <v>334</v>
      </c>
      <c r="L703" s="326"/>
      <c r="M703" s="327"/>
      <c r="N703" s="486" t="s">
        <v>303</v>
      </c>
      <c r="O703" s="326"/>
      <c r="P703" s="326"/>
      <c r="Q703" s="326"/>
      <c r="R703" s="326"/>
      <c r="S703" s="326"/>
      <c r="T703" s="326"/>
      <c r="U703" s="327"/>
    </row>
    <row r="704" spans="1:21" ht="34.5" customHeight="1" x14ac:dyDescent="0.25">
      <c r="A704" s="10">
        <f t="shared" si="2"/>
        <v>690</v>
      </c>
      <c r="B704" s="479" t="s">
        <v>303</v>
      </c>
      <c r="C704" s="327"/>
      <c r="D704" s="480" t="s">
        <v>303</v>
      </c>
      <c r="E704" s="327"/>
      <c r="F704" s="481" t="s">
        <v>334</v>
      </c>
      <c r="G704" s="327"/>
      <c r="H704" s="482"/>
      <c r="I704" s="326"/>
      <c r="J704" s="327"/>
      <c r="K704" s="481" t="s">
        <v>334</v>
      </c>
      <c r="L704" s="326"/>
      <c r="M704" s="327"/>
      <c r="N704" s="439" t="s">
        <v>303</v>
      </c>
      <c r="O704" s="326"/>
      <c r="P704" s="326"/>
      <c r="Q704" s="326"/>
      <c r="R704" s="326"/>
      <c r="S704" s="326"/>
      <c r="T704" s="326"/>
      <c r="U704" s="327"/>
    </row>
    <row r="705" spans="1:21" ht="34.5" customHeight="1" x14ac:dyDescent="0.25">
      <c r="A705" s="10">
        <f t="shared" si="2"/>
        <v>691</v>
      </c>
      <c r="B705" s="483" t="s">
        <v>303</v>
      </c>
      <c r="C705" s="327"/>
      <c r="D705" s="484" t="s">
        <v>303</v>
      </c>
      <c r="E705" s="327"/>
      <c r="F705" s="481" t="s">
        <v>334</v>
      </c>
      <c r="G705" s="327"/>
      <c r="H705" s="485"/>
      <c r="I705" s="326"/>
      <c r="J705" s="327"/>
      <c r="K705" s="481" t="s">
        <v>334</v>
      </c>
      <c r="L705" s="326"/>
      <c r="M705" s="327"/>
      <c r="N705" s="486" t="s">
        <v>303</v>
      </c>
      <c r="O705" s="326"/>
      <c r="P705" s="326"/>
      <c r="Q705" s="326"/>
      <c r="R705" s="326"/>
      <c r="S705" s="326"/>
      <c r="T705" s="326"/>
      <c r="U705" s="327"/>
    </row>
    <row r="706" spans="1:21" ht="34.5" customHeight="1" x14ac:dyDescent="0.25">
      <c r="A706" s="10">
        <f t="shared" si="2"/>
        <v>692</v>
      </c>
      <c r="B706" s="479" t="s">
        <v>303</v>
      </c>
      <c r="C706" s="327"/>
      <c r="D706" s="480" t="s">
        <v>303</v>
      </c>
      <c r="E706" s="327"/>
      <c r="F706" s="481" t="s">
        <v>334</v>
      </c>
      <c r="G706" s="327"/>
      <c r="H706" s="482"/>
      <c r="I706" s="326"/>
      <c r="J706" s="327"/>
      <c r="K706" s="481" t="s">
        <v>334</v>
      </c>
      <c r="L706" s="326"/>
      <c r="M706" s="327"/>
      <c r="N706" s="439" t="s">
        <v>303</v>
      </c>
      <c r="O706" s="326"/>
      <c r="P706" s="326"/>
      <c r="Q706" s="326"/>
      <c r="R706" s="326"/>
      <c r="S706" s="326"/>
      <c r="T706" s="326"/>
      <c r="U706" s="327"/>
    </row>
    <row r="707" spans="1:21" ht="34.5" customHeight="1" x14ac:dyDescent="0.25">
      <c r="A707" s="10">
        <f t="shared" si="2"/>
        <v>693</v>
      </c>
      <c r="B707" s="483" t="s">
        <v>303</v>
      </c>
      <c r="C707" s="327"/>
      <c r="D707" s="484" t="s">
        <v>303</v>
      </c>
      <c r="E707" s="327"/>
      <c r="F707" s="481" t="s">
        <v>334</v>
      </c>
      <c r="G707" s="327"/>
      <c r="H707" s="485"/>
      <c r="I707" s="326"/>
      <c r="J707" s="327"/>
      <c r="K707" s="481" t="s">
        <v>334</v>
      </c>
      <c r="L707" s="326"/>
      <c r="M707" s="327"/>
      <c r="N707" s="486" t="s">
        <v>303</v>
      </c>
      <c r="O707" s="326"/>
      <c r="P707" s="326"/>
      <c r="Q707" s="326"/>
      <c r="R707" s="326"/>
      <c r="S707" s="326"/>
      <c r="T707" s="326"/>
      <c r="U707" s="327"/>
    </row>
    <row r="708" spans="1:21" ht="34.5" customHeight="1" x14ac:dyDescent="0.25">
      <c r="A708" s="10">
        <f t="shared" si="2"/>
        <v>694</v>
      </c>
      <c r="B708" s="479" t="s">
        <v>303</v>
      </c>
      <c r="C708" s="327"/>
      <c r="D708" s="480" t="s">
        <v>303</v>
      </c>
      <c r="E708" s="327"/>
      <c r="F708" s="481" t="s">
        <v>334</v>
      </c>
      <c r="G708" s="327"/>
      <c r="H708" s="482"/>
      <c r="I708" s="326"/>
      <c r="J708" s="327"/>
      <c r="K708" s="481" t="s">
        <v>334</v>
      </c>
      <c r="L708" s="326"/>
      <c r="M708" s="327"/>
      <c r="N708" s="439" t="s">
        <v>303</v>
      </c>
      <c r="O708" s="326"/>
      <c r="P708" s="326"/>
      <c r="Q708" s="326"/>
      <c r="R708" s="326"/>
      <c r="S708" s="326"/>
      <c r="T708" s="326"/>
      <c r="U708" s="327"/>
    </row>
    <row r="709" spans="1:21" ht="34.5" customHeight="1" x14ac:dyDescent="0.25">
      <c r="A709" s="10">
        <f t="shared" si="2"/>
        <v>695</v>
      </c>
      <c r="B709" s="483" t="s">
        <v>303</v>
      </c>
      <c r="C709" s="327"/>
      <c r="D709" s="484" t="s">
        <v>303</v>
      </c>
      <c r="E709" s="327"/>
      <c r="F709" s="481" t="s">
        <v>334</v>
      </c>
      <c r="G709" s="327"/>
      <c r="H709" s="485"/>
      <c r="I709" s="326"/>
      <c r="J709" s="327"/>
      <c r="K709" s="481" t="s">
        <v>334</v>
      </c>
      <c r="L709" s="326"/>
      <c r="M709" s="327"/>
      <c r="N709" s="486" t="s">
        <v>303</v>
      </c>
      <c r="O709" s="326"/>
      <c r="P709" s="326"/>
      <c r="Q709" s="326"/>
      <c r="R709" s="326"/>
      <c r="S709" s="326"/>
      <c r="T709" s="326"/>
      <c r="U709" s="327"/>
    </row>
    <row r="710" spans="1:21" ht="34.5" customHeight="1" x14ac:dyDescent="0.25">
      <c r="A710" s="10">
        <f t="shared" si="2"/>
        <v>696</v>
      </c>
      <c r="B710" s="479" t="s">
        <v>303</v>
      </c>
      <c r="C710" s="327"/>
      <c r="D710" s="480" t="s">
        <v>303</v>
      </c>
      <c r="E710" s="327"/>
      <c r="F710" s="481" t="s">
        <v>334</v>
      </c>
      <c r="G710" s="327"/>
      <c r="H710" s="482"/>
      <c r="I710" s="326"/>
      <c r="J710" s="327"/>
      <c r="K710" s="481" t="s">
        <v>334</v>
      </c>
      <c r="L710" s="326"/>
      <c r="M710" s="327"/>
      <c r="N710" s="439" t="s">
        <v>303</v>
      </c>
      <c r="O710" s="326"/>
      <c r="P710" s="326"/>
      <c r="Q710" s="326"/>
      <c r="R710" s="326"/>
      <c r="S710" s="326"/>
      <c r="T710" s="326"/>
      <c r="U710" s="327"/>
    </row>
    <row r="711" spans="1:21" ht="34.5" customHeight="1" x14ac:dyDescent="0.25">
      <c r="A711" s="10">
        <f t="shared" si="2"/>
        <v>697</v>
      </c>
      <c r="B711" s="483" t="s">
        <v>303</v>
      </c>
      <c r="C711" s="327"/>
      <c r="D711" s="484" t="s">
        <v>303</v>
      </c>
      <c r="E711" s="327"/>
      <c r="F711" s="481" t="s">
        <v>334</v>
      </c>
      <c r="G711" s="327"/>
      <c r="H711" s="485"/>
      <c r="I711" s="326"/>
      <c r="J711" s="327"/>
      <c r="K711" s="481" t="s">
        <v>334</v>
      </c>
      <c r="L711" s="326"/>
      <c r="M711" s="327"/>
      <c r="N711" s="486" t="s">
        <v>303</v>
      </c>
      <c r="O711" s="326"/>
      <c r="P711" s="326"/>
      <c r="Q711" s="326"/>
      <c r="R711" s="326"/>
      <c r="S711" s="326"/>
      <c r="T711" s="326"/>
      <c r="U711" s="327"/>
    </row>
    <row r="712" spans="1:21" ht="34.5" customHeight="1" x14ac:dyDescent="0.25">
      <c r="A712" s="10">
        <f t="shared" si="2"/>
        <v>698</v>
      </c>
      <c r="B712" s="479" t="s">
        <v>303</v>
      </c>
      <c r="C712" s="327"/>
      <c r="D712" s="480" t="s">
        <v>303</v>
      </c>
      <c r="E712" s="327"/>
      <c r="F712" s="481" t="s">
        <v>334</v>
      </c>
      <c r="G712" s="327"/>
      <c r="H712" s="482"/>
      <c r="I712" s="326"/>
      <c r="J712" s="327"/>
      <c r="K712" s="481" t="s">
        <v>334</v>
      </c>
      <c r="L712" s="326"/>
      <c r="M712" s="327"/>
      <c r="N712" s="439" t="s">
        <v>303</v>
      </c>
      <c r="O712" s="326"/>
      <c r="P712" s="326"/>
      <c r="Q712" s="326"/>
      <c r="R712" s="326"/>
      <c r="S712" s="326"/>
      <c r="T712" s="326"/>
      <c r="U712" s="327"/>
    </row>
    <row r="713" spans="1:21" ht="34.5" customHeight="1" x14ac:dyDescent="0.25">
      <c r="A713" s="10">
        <f t="shared" si="2"/>
        <v>699</v>
      </c>
      <c r="B713" s="483" t="s">
        <v>303</v>
      </c>
      <c r="C713" s="327"/>
      <c r="D713" s="484" t="s">
        <v>303</v>
      </c>
      <c r="E713" s="327"/>
      <c r="F713" s="481" t="s">
        <v>334</v>
      </c>
      <c r="G713" s="327"/>
      <c r="H713" s="485"/>
      <c r="I713" s="326"/>
      <c r="J713" s="327"/>
      <c r="K713" s="481" t="s">
        <v>334</v>
      </c>
      <c r="L713" s="326"/>
      <c r="M713" s="327"/>
      <c r="N713" s="486" t="s">
        <v>303</v>
      </c>
      <c r="O713" s="326"/>
      <c r="P713" s="326"/>
      <c r="Q713" s="326"/>
      <c r="R713" s="326"/>
      <c r="S713" s="326"/>
      <c r="T713" s="326"/>
      <c r="U713" s="327"/>
    </row>
    <row r="714" spans="1:21" ht="34.5" customHeight="1" x14ac:dyDescent="0.25">
      <c r="A714" s="10">
        <f t="shared" si="2"/>
        <v>700</v>
      </c>
      <c r="B714" s="479" t="s">
        <v>336</v>
      </c>
      <c r="C714" s="327"/>
      <c r="D714" s="480" t="s">
        <v>303</v>
      </c>
      <c r="E714" s="327"/>
      <c r="F714" s="481" t="s">
        <v>334</v>
      </c>
      <c r="G714" s="327"/>
      <c r="H714" s="482"/>
      <c r="I714" s="326"/>
      <c r="J714" s="327"/>
      <c r="K714" s="481" t="s">
        <v>334</v>
      </c>
      <c r="L714" s="326"/>
      <c r="M714" s="327"/>
      <c r="N714" s="439" t="s">
        <v>303</v>
      </c>
      <c r="O714" s="326"/>
      <c r="P714" s="326"/>
      <c r="Q714" s="326"/>
      <c r="R714" s="326"/>
      <c r="S714" s="326"/>
      <c r="T714" s="326"/>
      <c r="U714" s="327"/>
    </row>
    <row r="715" spans="1:21" ht="34.5" customHeight="1" x14ac:dyDescent="0.25">
      <c r="A715" s="10">
        <f t="shared" si="2"/>
        <v>701</v>
      </c>
      <c r="B715" s="483" t="s">
        <v>303</v>
      </c>
      <c r="C715" s="327"/>
      <c r="D715" s="484" t="s">
        <v>303</v>
      </c>
      <c r="E715" s="327"/>
      <c r="F715" s="481" t="s">
        <v>334</v>
      </c>
      <c r="G715" s="327"/>
      <c r="H715" s="485"/>
      <c r="I715" s="326"/>
      <c r="J715" s="327"/>
      <c r="K715" s="481" t="s">
        <v>334</v>
      </c>
      <c r="L715" s="326"/>
      <c r="M715" s="327"/>
      <c r="N715" s="486" t="s">
        <v>303</v>
      </c>
      <c r="O715" s="326"/>
      <c r="P715" s="326"/>
      <c r="Q715" s="326"/>
      <c r="R715" s="326"/>
      <c r="S715" s="326"/>
      <c r="T715" s="326"/>
      <c r="U715" s="327"/>
    </row>
    <row r="716" spans="1:21" ht="34.5" customHeight="1" x14ac:dyDescent="0.25">
      <c r="A716" s="10">
        <f t="shared" si="2"/>
        <v>702</v>
      </c>
      <c r="B716" s="479" t="s">
        <v>303</v>
      </c>
      <c r="C716" s="327"/>
      <c r="D716" s="480" t="s">
        <v>303</v>
      </c>
      <c r="E716" s="327"/>
      <c r="F716" s="481" t="s">
        <v>334</v>
      </c>
      <c r="G716" s="327"/>
      <c r="H716" s="482"/>
      <c r="I716" s="326"/>
      <c r="J716" s="327"/>
      <c r="K716" s="481" t="s">
        <v>334</v>
      </c>
      <c r="L716" s="326"/>
      <c r="M716" s="327"/>
      <c r="N716" s="439" t="s">
        <v>303</v>
      </c>
      <c r="O716" s="326"/>
      <c r="P716" s="326"/>
      <c r="Q716" s="326"/>
      <c r="R716" s="326"/>
      <c r="S716" s="326"/>
      <c r="T716" s="326"/>
      <c r="U716" s="327"/>
    </row>
    <row r="717" spans="1:21" ht="34.5" customHeight="1" x14ac:dyDescent="0.25">
      <c r="A717" s="10">
        <f t="shared" si="2"/>
        <v>703</v>
      </c>
      <c r="B717" s="483" t="s">
        <v>303</v>
      </c>
      <c r="C717" s="327"/>
      <c r="D717" s="484" t="s">
        <v>303</v>
      </c>
      <c r="E717" s="327"/>
      <c r="F717" s="481" t="s">
        <v>334</v>
      </c>
      <c r="G717" s="327"/>
      <c r="H717" s="485"/>
      <c r="I717" s="326"/>
      <c r="J717" s="327"/>
      <c r="K717" s="481" t="s">
        <v>334</v>
      </c>
      <c r="L717" s="326"/>
      <c r="M717" s="327"/>
      <c r="N717" s="486" t="s">
        <v>303</v>
      </c>
      <c r="O717" s="326"/>
      <c r="P717" s="326"/>
      <c r="Q717" s="326"/>
      <c r="R717" s="326"/>
      <c r="S717" s="326"/>
      <c r="T717" s="326"/>
      <c r="U717" s="327"/>
    </row>
    <row r="718" spans="1:21" ht="34.5" customHeight="1" x14ac:dyDescent="0.25">
      <c r="A718" s="10">
        <f t="shared" si="2"/>
        <v>704</v>
      </c>
      <c r="B718" s="479" t="s">
        <v>303</v>
      </c>
      <c r="C718" s="327"/>
      <c r="D718" s="480" t="s">
        <v>303</v>
      </c>
      <c r="E718" s="327"/>
      <c r="F718" s="481" t="s">
        <v>334</v>
      </c>
      <c r="G718" s="327"/>
      <c r="H718" s="482"/>
      <c r="I718" s="326"/>
      <c r="J718" s="327"/>
      <c r="K718" s="481" t="s">
        <v>334</v>
      </c>
      <c r="L718" s="326"/>
      <c r="M718" s="327"/>
      <c r="N718" s="439" t="s">
        <v>303</v>
      </c>
      <c r="O718" s="326"/>
      <c r="P718" s="326"/>
      <c r="Q718" s="326"/>
      <c r="R718" s="326"/>
      <c r="S718" s="326"/>
      <c r="T718" s="326"/>
      <c r="U718" s="327"/>
    </row>
    <row r="719" spans="1:21" ht="34.5" customHeight="1" x14ac:dyDescent="0.25">
      <c r="A719" s="10">
        <f t="shared" si="2"/>
        <v>705</v>
      </c>
      <c r="B719" s="483" t="s">
        <v>303</v>
      </c>
      <c r="C719" s="327"/>
      <c r="D719" s="484" t="s">
        <v>303</v>
      </c>
      <c r="E719" s="327"/>
      <c r="F719" s="481" t="s">
        <v>334</v>
      </c>
      <c r="G719" s="327"/>
      <c r="H719" s="485"/>
      <c r="I719" s="326"/>
      <c r="J719" s="327"/>
      <c r="K719" s="481" t="s">
        <v>334</v>
      </c>
      <c r="L719" s="326"/>
      <c r="M719" s="327"/>
      <c r="N719" s="486" t="s">
        <v>303</v>
      </c>
      <c r="O719" s="326"/>
      <c r="P719" s="326"/>
      <c r="Q719" s="326"/>
      <c r="R719" s="326"/>
      <c r="S719" s="326"/>
      <c r="T719" s="326"/>
      <c r="U719" s="327"/>
    </row>
    <row r="720" spans="1:21" ht="34.5" customHeight="1" x14ac:dyDescent="0.25">
      <c r="A720" s="10">
        <f t="shared" si="2"/>
        <v>706</v>
      </c>
      <c r="B720" s="479" t="s">
        <v>303</v>
      </c>
      <c r="C720" s="327"/>
      <c r="D720" s="480" t="s">
        <v>303</v>
      </c>
      <c r="E720" s="327"/>
      <c r="F720" s="481" t="s">
        <v>334</v>
      </c>
      <c r="G720" s="327"/>
      <c r="H720" s="482"/>
      <c r="I720" s="326"/>
      <c r="J720" s="327"/>
      <c r="K720" s="481" t="s">
        <v>334</v>
      </c>
      <c r="L720" s="326"/>
      <c r="M720" s="327"/>
      <c r="N720" s="439" t="s">
        <v>303</v>
      </c>
      <c r="O720" s="326"/>
      <c r="P720" s="326"/>
      <c r="Q720" s="326"/>
      <c r="R720" s="326"/>
      <c r="S720" s="326"/>
      <c r="T720" s="326"/>
      <c r="U720" s="327"/>
    </row>
    <row r="721" spans="1:21" ht="34.5" customHeight="1" x14ac:dyDescent="0.25">
      <c r="A721" s="10">
        <f t="shared" si="2"/>
        <v>707</v>
      </c>
      <c r="B721" s="483" t="s">
        <v>303</v>
      </c>
      <c r="C721" s="327"/>
      <c r="D721" s="484" t="s">
        <v>303</v>
      </c>
      <c r="E721" s="327"/>
      <c r="F721" s="481" t="s">
        <v>334</v>
      </c>
      <c r="G721" s="327"/>
      <c r="H721" s="485"/>
      <c r="I721" s="326"/>
      <c r="J721" s="327"/>
      <c r="K721" s="481" t="s">
        <v>334</v>
      </c>
      <c r="L721" s="326"/>
      <c r="M721" s="327"/>
      <c r="N721" s="486" t="s">
        <v>303</v>
      </c>
      <c r="O721" s="326"/>
      <c r="P721" s="326"/>
      <c r="Q721" s="326"/>
      <c r="R721" s="326"/>
      <c r="S721" s="326"/>
      <c r="T721" s="326"/>
      <c r="U721" s="327"/>
    </row>
    <row r="722" spans="1:21" ht="34.5" customHeight="1" x14ac:dyDescent="0.25">
      <c r="A722" s="10">
        <f t="shared" si="2"/>
        <v>708</v>
      </c>
      <c r="B722" s="479" t="s">
        <v>335</v>
      </c>
      <c r="C722" s="327"/>
      <c r="D722" s="480" t="s">
        <v>303</v>
      </c>
      <c r="E722" s="327"/>
      <c r="F722" s="481" t="s">
        <v>334</v>
      </c>
      <c r="G722" s="327"/>
      <c r="H722" s="482"/>
      <c r="I722" s="326"/>
      <c r="J722" s="327"/>
      <c r="K722" s="481" t="s">
        <v>334</v>
      </c>
      <c r="L722" s="326"/>
      <c r="M722" s="327"/>
      <c r="N722" s="439" t="s">
        <v>303</v>
      </c>
      <c r="O722" s="326"/>
      <c r="P722" s="326"/>
      <c r="Q722" s="326"/>
      <c r="R722" s="326"/>
      <c r="S722" s="326"/>
      <c r="T722" s="326"/>
      <c r="U722" s="327"/>
    </row>
    <row r="723" spans="1:21" ht="34.5" customHeight="1" x14ac:dyDescent="0.25">
      <c r="A723" s="10">
        <f t="shared" si="2"/>
        <v>709</v>
      </c>
      <c r="B723" s="483" t="s">
        <v>303</v>
      </c>
      <c r="C723" s="327"/>
      <c r="D723" s="484" t="s">
        <v>303</v>
      </c>
      <c r="E723" s="327"/>
      <c r="F723" s="481" t="s">
        <v>334</v>
      </c>
      <c r="G723" s="327"/>
      <c r="H723" s="485"/>
      <c r="I723" s="326"/>
      <c r="J723" s="327"/>
      <c r="K723" s="481" t="s">
        <v>334</v>
      </c>
      <c r="L723" s="326"/>
      <c r="M723" s="327"/>
      <c r="N723" s="486" t="s">
        <v>303</v>
      </c>
      <c r="O723" s="326"/>
      <c r="P723" s="326"/>
      <c r="Q723" s="326"/>
      <c r="R723" s="326"/>
      <c r="S723" s="326"/>
      <c r="T723" s="326"/>
      <c r="U723" s="327"/>
    </row>
    <row r="724" spans="1:21" ht="34.5" customHeight="1" x14ac:dyDescent="0.25">
      <c r="A724" s="10">
        <f t="shared" si="2"/>
        <v>710</v>
      </c>
      <c r="B724" s="479" t="s">
        <v>303</v>
      </c>
      <c r="C724" s="327"/>
      <c r="D724" s="480" t="s">
        <v>303</v>
      </c>
      <c r="E724" s="327"/>
      <c r="F724" s="481" t="s">
        <v>334</v>
      </c>
      <c r="G724" s="327"/>
      <c r="H724" s="482"/>
      <c r="I724" s="326"/>
      <c r="J724" s="327"/>
      <c r="K724" s="481" t="s">
        <v>334</v>
      </c>
      <c r="L724" s="326"/>
      <c r="M724" s="327"/>
      <c r="N724" s="439" t="s">
        <v>303</v>
      </c>
      <c r="O724" s="326"/>
      <c r="P724" s="326"/>
      <c r="Q724" s="326"/>
      <c r="R724" s="326"/>
      <c r="S724" s="326"/>
      <c r="T724" s="326"/>
      <c r="U724" s="327"/>
    </row>
    <row r="725" spans="1:21" ht="34.5" customHeight="1" x14ac:dyDescent="0.25">
      <c r="A725" s="10">
        <f t="shared" si="2"/>
        <v>711</v>
      </c>
      <c r="B725" s="483" t="s">
        <v>303</v>
      </c>
      <c r="C725" s="327"/>
      <c r="D725" s="484" t="s">
        <v>303</v>
      </c>
      <c r="E725" s="327"/>
      <c r="F725" s="481" t="s">
        <v>334</v>
      </c>
      <c r="G725" s="327"/>
      <c r="H725" s="485"/>
      <c r="I725" s="326"/>
      <c r="J725" s="327"/>
      <c r="K725" s="481" t="s">
        <v>334</v>
      </c>
      <c r="L725" s="326"/>
      <c r="M725" s="327"/>
      <c r="N725" s="486" t="s">
        <v>303</v>
      </c>
      <c r="O725" s="326"/>
      <c r="P725" s="326"/>
      <c r="Q725" s="326"/>
      <c r="R725" s="326"/>
      <c r="S725" s="326"/>
      <c r="T725" s="326"/>
      <c r="U725" s="327"/>
    </row>
    <row r="726" spans="1:21" ht="34.5" customHeight="1" x14ac:dyDescent="0.25">
      <c r="A726" s="10">
        <f t="shared" si="2"/>
        <v>712</v>
      </c>
      <c r="B726" s="479" t="s">
        <v>303</v>
      </c>
      <c r="C726" s="327"/>
      <c r="D726" s="480" t="s">
        <v>303</v>
      </c>
      <c r="E726" s="327"/>
      <c r="F726" s="481" t="s">
        <v>334</v>
      </c>
      <c r="G726" s="327"/>
      <c r="H726" s="482"/>
      <c r="I726" s="326"/>
      <c r="J726" s="327"/>
      <c r="K726" s="481" t="s">
        <v>334</v>
      </c>
      <c r="L726" s="326"/>
      <c r="M726" s="327"/>
      <c r="N726" s="439" t="s">
        <v>303</v>
      </c>
      <c r="O726" s="326"/>
      <c r="P726" s="326"/>
      <c r="Q726" s="326"/>
      <c r="R726" s="326"/>
      <c r="S726" s="326"/>
      <c r="T726" s="326"/>
      <c r="U726" s="327"/>
    </row>
    <row r="727" spans="1:21" ht="34.5" customHeight="1" x14ac:dyDescent="0.25">
      <c r="A727" s="10">
        <f t="shared" si="2"/>
        <v>713</v>
      </c>
      <c r="B727" s="483" t="s">
        <v>303</v>
      </c>
      <c r="C727" s="327"/>
      <c r="D727" s="484" t="s">
        <v>303</v>
      </c>
      <c r="E727" s="327"/>
      <c r="F727" s="481" t="s">
        <v>334</v>
      </c>
      <c r="G727" s="327"/>
      <c r="H727" s="485"/>
      <c r="I727" s="326"/>
      <c r="J727" s="327"/>
      <c r="K727" s="481" t="s">
        <v>334</v>
      </c>
      <c r="L727" s="326"/>
      <c r="M727" s="327"/>
      <c r="N727" s="486" t="s">
        <v>303</v>
      </c>
      <c r="O727" s="326"/>
      <c r="P727" s="326"/>
      <c r="Q727" s="326"/>
      <c r="R727" s="326"/>
      <c r="S727" s="326"/>
      <c r="T727" s="326"/>
      <c r="U727" s="327"/>
    </row>
    <row r="728" spans="1:21" ht="34.5" customHeight="1" x14ac:dyDescent="0.25">
      <c r="A728" s="10">
        <f t="shared" si="2"/>
        <v>714</v>
      </c>
      <c r="B728" s="479" t="s">
        <v>303</v>
      </c>
      <c r="C728" s="327"/>
      <c r="D728" s="480" t="s">
        <v>303</v>
      </c>
      <c r="E728" s="327"/>
      <c r="F728" s="481" t="s">
        <v>334</v>
      </c>
      <c r="G728" s="327"/>
      <c r="H728" s="482"/>
      <c r="I728" s="326"/>
      <c r="J728" s="327"/>
      <c r="K728" s="481" t="s">
        <v>334</v>
      </c>
      <c r="L728" s="326"/>
      <c r="M728" s="327"/>
      <c r="N728" s="439" t="s">
        <v>303</v>
      </c>
      <c r="O728" s="326"/>
      <c r="P728" s="326"/>
      <c r="Q728" s="326"/>
      <c r="R728" s="326"/>
      <c r="S728" s="326"/>
      <c r="T728" s="326"/>
      <c r="U728" s="327"/>
    </row>
    <row r="729" spans="1:21" ht="34.5" customHeight="1" x14ac:dyDescent="0.25">
      <c r="A729" s="10">
        <f t="shared" si="2"/>
        <v>715</v>
      </c>
      <c r="B729" s="483" t="s">
        <v>339</v>
      </c>
      <c r="C729" s="327"/>
      <c r="D729" s="484" t="s">
        <v>303</v>
      </c>
      <c r="E729" s="327"/>
      <c r="F729" s="481" t="s">
        <v>334</v>
      </c>
      <c r="G729" s="327"/>
      <c r="H729" s="485"/>
      <c r="I729" s="326"/>
      <c r="J729" s="327"/>
      <c r="K729" s="481" t="s">
        <v>334</v>
      </c>
      <c r="L729" s="326"/>
      <c r="M729" s="327"/>
      <c r="N729" s="486" t="s">
        <v>303</v>
      </c>
      <c r="O729" s="326"/>
      <c r="P729" s="326"/>
      <c r="Q729" s="326"/>
      <c r="R729" s="326"/>
      <c r="S729" s="326"/>
      <c r="T729" s="326"/>
      <c r="U729" s="327"/>
    </row>
    <row r="730" spans="1:21" ht="34.5" customHeight="1" x14ac:dyDescent="0.25">
      <c r="A730" s="10">
        <f t="shared" si="2"/>
        <v>716</v>
      </c>
      <c r="B730" s="479" t="s">
        <v>303</v>
      </c>
      <c r="C730" s="327"/>
      <c r="D730" s="480" t="s">
        <v>303</v>
      </c>
      <c r="E730" s="327"/>
      <c r="F730" s="481" t="s">
        <v>334</v>
      </c>
      <c r="G730" s="327"/>
      <c r="H730" s="482"/>
      <c r="I730" s="326"/>
      <c r="J730" s="327"/>
      <c r="K730" s="481" t="s">
        <v>334</v>
      </c>
      <c r="L730" s="326"/>
      <c r="M730" s="327"/>
      <c r="N730" s="439" t="s">
        <v>303</v>
      </c>
      <c r="O730" s="326"/>
      <c r="P730" s="326"/>
      <c r="Q730" s="326"/>
      <c r="R730" s="326"/>
      <c r="S730" s="326"/>
      <c r="T730" s="326"/>
      <c r="U730" s="327"/>
    </row>
    <row r="731" spans="1:21" ht="34.5" customHeight="1" x14ac:dyDescent="0.25">
      <c r="A731" s="10">
        <f t="shared" si="2"/>
        <v>717</v>
      </c>
      <c r="B731" s="483" t="s">
        <v>303</v>
      </c>
      <c r="C731" s="327"/>
      <c r="D731" s="484" t="s">
        <v>303</v>
      </c>
      <c r="E731" s="327"/>
      <c r="F731" s="481" t="s">
        <v>334</v>
      </c>
      <c r="G731" s="327"/>
      <c r="H731" s="485"/>
      <c r="I731" s="326"/>
      <c r="J731" s="327"/>
      <c r="K731" s="481" t="s">
        <v>334</v>
      </c>
      <c r="L731" s="326"/>
      <c r="M731" s="327"/>
      <c r="N731" s="486" t="s">
        <v>303</v>
      </c>
      <c r="O731" s="326"/>
      <c r="P731" s="326"/>
      <c r="Q731" s="326"/>
      <c r="R731" s="326"/>
      <c r="S731" s="326"/>
      <c r="T731" s="326"/>
      <c r="U731" s="327"/>
    </row>
    <row r="732" spans="1:21" ht="34.5" customHeight="1" x14ac:dyDescent="0.25">
      <c r="A732" s="10">
        <f t="shared" si="2"/>
        <v>718</v>
      </c>
      <c r="B732" s="479" t="s">
        <v>303</v>
      </c>
      <c r="C732" s="327"/>
      <c r="D732" s="480" t="s">
        <v>303</v>
      </c>
      <c r="E732" s="327"/>
      <c r="F732" s="481" t="s">
        <v>334</v>
      </c>
      <c r="G732" s="327"/>
      <c r="H732" s="482"/>
      <c r="I732" s="326"/>
      <c r="J732" s="327"/>
      <c r="K732" s="481" t="s">
        <v>334</v>
      </c>
      <c r="L732" s="326"/>
      <c r="M732" s="327"/>
      <c r="N732" s="439" t="s">
        <v>303</v>
      </c>
      <c r="O732" s="326"/>
      <c r="P732" s="326"/>
      <c r="Q732" s="326"/>
      <c r="R732" s="326"/>
      <c r="S732" s="326"/>
      <c r="T732" s="326"/>
      <c r="U732" s="327"/>
    </row>
    <row r="733" spans="1:21" ht="34.5" customHeight="1" x14ac:dyDescent="0.25">
      <c r="A733" s="10">
        <f t="shared" si="2"/>
        <v>719</v>
      </c>
      <c r="B733" s="483" t="s">
        <v>303</v>
      </c>
      <c r="C733" s="327"/>
      <c r="D733" s="484" t="s">
        <v>303</v>
      </c>
      <c r="E733" s="327"/>
      <c r="F733" s="481" t="s">
        <v>334</v>
      </c>
      <c r="G733" s="327"/>
      <c r="H733" s="485"/>
      <c r="I733" s="326"/>
      <c r="J733" s="327"/>
      <c r="K733" s="481" t="s">
        <v>334</v>
      </c>
      <c r="L733" s="326"/>
      <c r="M733" s="327"/>
      <c r="N733" s="486" t="s">
        <v>303</v>
      </c>
      <c r="O733" s="326"/>
      <c r="P733" s="326"/>
      <c r="Q733" s="326"/>
      <c r="R733" s="326"/>
      <c r="S733" s="326"/>
      <c r="T733" s="326"/>
      <c r="U733" s="327"/>
    </row>
    <row r="734" spans="1:21" ht="34.5" customHeight="1" x14ac:dyDescent="0.25">
      <c r="A734" s="10">
        <f t="shared" si="2"/>
        <v>720</v>
      </c>
      <c r="B734" s="479" t="s">
        <v>303</v>
      </c>
      <c r="C734" s="327"/>
      <c r="D734" s="480" t="s">
        <v>303</v>
      </c>
      <c r="E734" s="327"/>
      <c r="F734" s="481" t="s">
        <v>334</v>
      </c>
      <c r="G734" s="327"/>
      <c r="H734" s="482"/>
      <c r="I734" s="326"/>
      <c r="J734" s="327"/>
      <c r="K734" s="481" t="s">
        <v>334</v>
      </c>
      <c r="L734" s="326"/>
      <c r="M734" s="327"/>
      <c r="N734" s="439" t="s">
        <v>303</v>
      </c>
      <c r="O734" s="326"/>
      <c r="P734" s="326"/>
      <c r="Q734" s="326"/>
      <c r="R734" s="326"/>
      <c r="S734" s="326"/>
      <c r="T734" s="326"/>
      <c r="U734" s="327"/>
    </row>
    <row r="735" spans="1:21" ht="34.5" customHeight="1" x14ac:dyDescent="0.25">
      <c r="A735" s="10">
        <f t="shared" si="2"/>
        <v>721</v>
      </c>
      <c r="B735" s="483" t="s">
        <v>303</v>
      </c>
      <c r="C735" s="327"/>
      <c r="D735" s="484" t="s">
        <v>303</v>
      </c>
      <c r="E735" s="327"/>
      <c r="F735" s="481" t="s">
        <v>334</v>
      </c>
      <c r="G735" s="327"/>
      <c r="H735" s="485"/>
      <c r="I735" s="326"/>
      <c r="J735" s="327"/>
      <c r="K735" s="481" t="s">
        <v>334</v>
      </c>
      <c r="L735" s="326"/>
      <c r="M735" s="327"/>
      <c r="N735" s="486" t="s">
        <v>303</v>
      </c>
      <c r="O735" s="326"/>
      <c r="P735" s="326"/>
      <c r="Q735" s="326"/>
      <c r="R735" s="326"/>
      <c r="S735" s="326"/>
      <c r="T735" s="326"/>
      <c r="U735" s="327"/>
    </row>
    <row r="736" spans="1:21" ht="34.5" customHeight="1" x14ac:dyDescent="0.25">
      <c r="A736" s="10">
        <f t="shared" si="2"/>
        <v>722</v>
      </c>
      <c r="B736" s="479" t="s">
        <v>335</v>
      </c>
      <c r="C736" s="327"/>
      <c r="D736" s="480" t="s">
        <v>303</v>
      </c>
      <c r="E736" s="327"/>
      <c r="F736" s="481" t="s">
        <v>334</v>
      </c>
      <c r="G736" s="327"/>
      <c r="H736" s="482"/>
      <c r="I736" s="326"/>
      <c r="J736" s="327"/>
      <c r="K736" s="481" t="s">
        <v>334</v>
      </c>
      <c r="L736" s="326"/>
      <c r="M736" s="327"/>
      <c r="N736" s="439" t="s">
        <v>303</v>
      </c>
      <c r="O736" s="326"/>
      <c r="P736" s="326"/>
      <c r="Q736" s="326"/>
      <c r="R736" s="326"/>
      <c r="S736" s="326"/>
      <c r="T736" s="326"/>
      <c r="U736" s="327"/>
    </row>
    <row r="737" spans="1:21" ht="34.5" customHeight="1" x14ac:dyDescent="0.25">
      <c r="A737" s="10">
        <f t="shared" si="2"/>
        <v>723</v>
      </c>
      <c r="B737" s="483" t="s">
        <v>303</v>
      </c>
      <c r="C737" s="327"/>
      <c r="D737" s="484" t="s">
        <v>303</v>
      </c>
      <c r="E737" s="327"/>
      <c r="F737" s="481" t="s">
        <v>334</v>
      </c>
      <c r="G737" s="327"/>
      <c r="H737" s="485"/>
      <c r="I737" s="326"/>
      <c r="J737" s="327"/>
      <c r="K737" s="481" t="s">
        <v>334</v>
      </c>
      <c r="L737" s="326"/>
      <c r="M737" s="327"/>
      <c r="N737" s="486" t="s">
        <v>303</v>
      </c>
      <c r="O737" s="326"/>
      <c r="P737" s="326"/>
      <c r="Q737" s="326"/>
      <c r="R737" s="326"/>
      <c r="S737" s="326"/>
      <c r="T737" s="326"/>
      <c r="U737" s="327"/>
    </row>
    <row r="738" spans="1:21" ht="34.5" customHeight="1" x14ac:dyDescent="0.25">
      <c r="A738" s="10">
        <f t="shared" si="2"/>
        <v>724</v>
      </c>
      <c r="B738" s="479" t="s">
        <v>303</v>
      </c>
      <c r="C738" s="327"/>
      <c r="D738" s="480" t="s">
        <v>303</v>
      </c>
      <c r="E738" s="327"/>
      <c r="F738" s="481" t="s">
        <v>334</v>
      </c>
      <c r="G738" s="327"/>
      <c r="H738" s="482"/>
      <c r="I738" s="326"/>
      <c r="J738" s="327"/>
      <c r="K738" s="481" t="s">
        <v>334</v>
      </c>
      <c r="L738" s="326"/>
      <c r="M738" s="327"/>
      <c r="N738" s="439" t="s">
        <v>303</v>
      </c>
      <c r="O738" s="326"/>
      <c r="P738" s="326"/>
      <c r="Q738" s="326"/>
      <c r="R738" s="326"/>
      <c r="S738" s="326"/>
      <c r="T738" s="326"/>
      <c r="U738" s="327"/>
    </row>
    <row r="739" spans="1:21" ht="34.5" customHeight="1" x14ac:dyDescent="0.25">
      <c r="A739" s="10">
        <f t="shared" si="2"/>
        <v>725</v>
      </c>
      <c r="B739" s="483" t="s">
        <v>303</v>
      </c>
      <c r="C739" s="327"/>
      <c r="D739" s="484" t="s">
        <v>303</v>
      </c>
      <c r="E739" s="327"/>
      <c r="F739" s="481" t="s">
        <v>334</v>
      </c>
      <c r="G739" s="327"/>
      <c r="H739" s="485"/>
      <c r="I739" s="326"/>
      <c r="J739" s="327"/>
      <c r="K739" s="481" t="s">
        <v>334</v>
      </c>
      <c r="L739" s="326"/>
      <c r="M739" s="327"/>
      <c r="N739" s="486" t="s">
        <v>303</v>
      </c>
      <c r="O739" s="326"/>
      <c r="P739" s="326"/>
      <c r="Q739" s="326"/>
      <c r="R739" s="326"/>
      <c r="S739" s="326"/>
      <c r="T739" s="326"/>
      <c r="U739" s="327"/>
    </row>
    <row r="740" spans="1:21" ht="34.5" customHeight="1" x14ac:dyDescent="0.25">
      <c r="A740" s="10">
        <f t="shared" si="2"/>
        <v>726</v>
      </c>
      <c r="B740" s="479" t="s">
        <v>303</v>
      </c>
      <c r="C740" s="327"/>
      <c r="D740" s="480" t="s">
        <v>303</v>
      </c>
      <c r="E740" s="327"/>
      <c r="F740" s="481" t="s">
        <v>334</v>
      </c>
      <c r="G740" s="327"/>
      <c r="H740" s="482"/>
      <c r="I740" s="326"/>
      <c r="J740" s="327"/>
      <c r="K740" s="481" t="s">
        <v>334</v>
      </c>
      <c r="L740" s="326"/>
      <c r="M740" s="327"/>
      <c r="N740" s="439" t="s">
        <v>303</v>
      </c>
      <c r="O740" s="326"/>
      <c r="P740" s="326"/>
      <c r="Q740" s="326"/>
      <c r="R740" s="326"/>
      <c r="S740" s="326"/>
      <c r="T740" s="326"/>
      <c r="U740" s="327"/>
    </row>
    <row r="741" spans="1:21" ht="34.5" customHeight="1" x14ac:dyDescent="0.25">
      <c r="A741" s="10">
        <f t="shared" si="2"/>
        <v>727</v>
      </c>
      <c r="B741" s="483" t="s">
        <v>303</v>
      </c>
      <c r="C741" s="327"/>
      <c r="D741" s="484" t="s">
        <v>303</v>
      </c>
      <c r="E741" s="327"/>
      <c r="F741" s="481" t="s">
        <v>334</v>
      </c>
      <c r="G741" s="327"/>
      <c r="H741" s="485"/>
      <c r="I741" s="326"/>
      <c r="J741" s="327"/>
      <c r="K741" s="481" t="s">
        <v>334</v>
      </c>
      <c r="L741" s="326"/>
      <c r="M741" s="327"/>
      <c r="N741" s="486" t="s">
        <v>303</v>
      </c>
      <c r="O741" s="326"/>
      <c r="P741" s="326"/>
      <c r="Q741" s="326"/>
      <c r="R741" s="326"/>
      <c r="S741" s="326"/>
      <c r="T741" s="326"/>
      <c r="U741" s="327"/>
    </row>
    <row r="742" spans="1:21" ht="34.5" customHeight="1" x14ac:dyDescent="0.25">
      <c r="A742" s="10">
        <f t="shared" si="2"/>
        <v>728</v>
      </c>
      <c r="B742" s="479" t="s">
        <v>303</v>
      </c>
      <c r="C742" s="327"/>
      <c r="D742" s="480" t="s">
        <v>303</v>
      </c>
      <c r="E742" s="327"/>
      <c r="F742" s="481" t="s">
        <v>334</v>
      </c>
      <c r="G742" s="327"/>
      <c r="H742" s="482"/>
      <c r="I742" s="326"/>
      <c r="J742" s="327"/>
      <c r="K742" s="481" t="s">
        <v>334</v>
      </c>
      <c r="L742" s="326"/>
      <c r="M742" s="327"/>
      <c r="N742" s="439" t="s">
        <v>303</v>
      </c>
      <c r="O742" s="326"/>
      <c r="P742" s="326"/>
      <c r="Q742" s="326"/>
      <c r="R742" s="326"/>
      <c r="S742" s="326"/>
      <c r="T742" s="326"/>
      <c r="U742" s="327"/>
    </row>
    <row r="743" spans="1:21" ht="34.5" customHeight="1" x14ac:dyDescent="0.25">
      <c r="A743" s="10">
        <f t="shared" si="2"/>
        <v>729</v>
      </c>
      <c r="B743" s="483" t="s">
        <v>303</v>
      </c>
      <c r="C743" s="327"/>
      <c r="D743" s="484" t="s">
        <v>303</v>
      </c>
      <c r="E743" s="327"/>
      <c r="F743" s="481" t="s">
        <v>334</v>
      </c>
      <c r="G743" s="327"/>
      <c r="H743" s="485"/>
      <c r="I743" s="326"/>
      <c r="J743" s="327"/>
      <c r="K743" s="481" t="s">
        <v>334</v>
      </c>
      <c r="L743" s="326"/>
      <c r="M743" s="327"/>
      <c r="N743" s="486" t="s">
        <v>303</v>
      </c>
      <c r="O743" s="326"/>
      <c r="P743" s="326"/>
      <c r="Q743" s="326"/>
      <c r="R743" s="326"/>
      <c r="S743" s="326"/>
      <c r="T743" s="326"/>
      <c r="U743" s="327"/>
    </row>
    <row r="744" spans="1:21" ht="34.5" customHeight="1" x14ac:dyDescent="0.25">
      <c r="A744" s="10">
        <f t="shared" si="2"/>
        <v>730</v>
      </c>
      <c r="B744" s="479" t="s">
        <v>338</v>
      </c>
      <c r="C744" s="327"/>
      <c r="D744" s="480" t="s">
        <v>303</v>
      </c>
      <c r="E744" s="327"/>
      <c r="F744" s="481" t="s">
        <v>334</v>
      </c>
      <c r="G744" s="327"/>
      <c r="H744" s="482"/>
      <c r="I744" s="326"/>
      <c r="J744" s="327"/>
      <c r="K744" s="481" t="s">
        <v>334</v>
      </c>
      <c r="L744" s="326"/>
      <c r="M744" s="327"/>
      <c r="N744" s="439" t="s">
        <v>303</v>
      </c>
      <c r="O744" s="326"/>
      <c r="P744" s="326"/>
      <c r="Q744" s="326"/>
      <c r="R744" s="326"/>
      <c r="S744" s="326"/>
      <c r="T744" s="326"/>
      <c r="U744" s="327"/>
    </row>
    <row r="745" spans="1:21" ht="34.5" customHeight="1" x14ac:dyDescent="0.25">
      <c r="A745" s="10">
        <f t="shared" si="2"/>
        <v>731</v>
      </c>
      <c r="B745" s="483" t="s">
        <v>303</v>
      </c>
      <c r="C745" s="327"/>
      <c r="D745" s="484" t="s">
        <v>303</v>
      </c>
      <c r="E745" s="327"/>
      <c r="F745" s="481" t="s">
        <v>334</v>
      </c>
      <c r="G745" s="327"/>
      <c r="H745" s="485"/>
      <c r="I745" s="326"/>
      <c r="J745" s="327"/>
      <c r="K745" s="481" t="s">
        <v>334</v>
      </c>
      <c r="L745" s="326"/>
      <c r="M745" s="327"/>
      <c r="N745" s="486" t="s">
        <v>303</v>
      </c>
      <c r="O745" s="326"/>
      <c r="P745" s="326"/>
      <c r="Q745" s="326"/>
      <c r="R745" s="326"/>
      <c r="S745" s="326"/>
      <c r="T745" s="326"/>
      <c r="U745" s="327"/>
    </row>
    <row r="746" spans="1:21" ht="34.5" customHeight="1" x14ac:dyDescent="0.25">
      <c r="A746" s="10">
        <f t="shared" si="2"/>
        <v>732</v>
      </c>
      <c r="B746" s="479" t="s">
        <v>303</v>
      </c>
      <c r="C746" s="327"/>
      <c r="D746" s="480" t="s">
        <v>303</v>
      </c>
      <c r="E746" s="327"/>
      <c r="F746" s="481" t="s">
        <v>334</v>
      </c>
      <c r="G746" s="327"/>
      <c r="H746" s="482"/>
      <c r="I746" s="326"/>
      <c r="J746" s="327"/>
      <c r="K746" s="481" t="s">
        <v>334</v>
      </c>
      <c r="L746" s="326"/>
      <c r="M746" s="327"/>
      <c r="N746" s="439" t="s">
        <v>303</v>
      </c>
      <c r="O746" s="326"/>
      <c r="P746" s="326"/>
      <c r="Q746" s="326"/>
      <c r="R746" s="326"/>
      <c r="S746" s="326"/>
      <c r="T746" s="326"/>
      <c r="U746" s="327"/>
    </row>
    <row r="747" spans="1:21" ht="34.5" customHeight="1" x14ac:dyDescent="0.25">
      <c r="A747" s="10">
        <f t="shared" si="2"/>
        <v>733</v>
      </c>
      <c r="B747" s="483" t="s">
        <v>340</v>
      </c>
      <c r="C747" s="327"/>
      <c r="D747" s="484" t="s">
        <v>303</v>
      </c>
      <c r="E747" s="327"/>
      <c r="F747" s="481" t="s">
        <v>334</v>
      </c>
      <c r="G747" s="327"/>
      <c r="H747" s="485"/>
      <c r="I747" s="326"/>
      <c r="J747" s="327"/>
      <c r="K747" s="481" t="s">
        <v>334</v>
      </c>
      <c r="L747" s="326"/>
      <c r="M747" s="327"/>
      <c r="N747" s="486" t="s">
        <v>303</v>
      </c>
      <c r="O747" s="326"/>
      <c r="P747" s="326"/>
      <c r="Q747" s="326"/>
      <c r="R747" s="326"/>
      <c r="S747" s="326"/>
      <c r="T747" s="326"/>
      <c r="U747" s="327"/>
    </row>
    <row r="748" spans="1:21" ht="34.5" customHeight="1" x14ac:dyDescent="0.25">
      <c r="A748" s="10">
        <f t="shared" si="2"/>
        <v>734</v>
      </c>
      <c r="B748" s="479" t="s">
        <v>303</v>
      </c>
      <c r="C748" s="327"/>
      <c r="D748" s="480" t="s">
        <v>303</v>
      </c>
      <c r="E748" s="327"/>
      <c r="F748" s="481" t="s">
        <v>334</v>
      </c>
      <c r="G748" s="327"/>
      <c r="H748" s="482"/>
      <c r="I748" s="326"/>
      <c r="J748" s="327"/>
      <c r="K748" s="481" t="s">
        <v>334</v>
      </c>
      <c r="L748" s="326"/>
      <c r="M748" s="327"/>
      <c r="N748" s="439" t="s">
        <v>303</v>
      </c>
      <c r="O748" s="326"/>
      <c r="P748" s="326"/>
      <c r="Q748" s="326"/>
      <c r="R748" s="326"/>
      <c r="S748" s="326"/>
      <c r="T748" s="326"/>
      <c r="U748" s="327"/>
    </row>
    <row r="749" spans="1:21" ht="34.5" customHeight="1" x14ac:dyDescent="0.25">
      <c r="A749" s="10">
        <f t="shared" si="2"/>
        <v>735</v>
      </c>
      <c r="B749" s="483" t="s">
        <v>303</v>
      </c>
      <c r="C749" s="327"/>
      <c r="D749" s="484" t="s">
        <v>303</v>
      </c>
      <c r="E749" s="327"/>
      <c r="F749" s="481" t="s">
        <v>334</v>
      </c>
      <c r="G749" s="327"/>
      <c r="H749" s="485"/>
      <c r="I749" s="326"/>
      <c r="J749" s="327"/>
      <c r="K749" s="481" t="s">
        <v>334</v>
      </c>
      <c r="L749" s="326"/>
      <c r="M749" s="327"/>
      <c r="N749" s="486" t="s">
        <v>303</v>
      </c>
      <c r="O749" s="326"/>
      <c r="P749" s="326"/>
      <c r="Q749" s="326"/>
      <c r="R749" s="326"/>
      <c r="S749" s="326"/>
      <c r="T749" s="326"/>
      <c r="U749" s="327"/>
    </row>
    <row r="750" spans="1:21" ht="34.5" customHeight="1" x14ac:dyDescent="0.25">
      <c r="A750" s="10">
        <f t="shared" si="2"/>
        <v>736</v>
      </c>
      <c r="B750" s="479" t="s">
        <v>303</v>
      </c>
      <c r="C750" s="327"/>
      <c r="D750" s="480" t="s">
        <v>303</v>
      </c>
      <c r="E750" s="327"/>
      <c r="F750" s="481" t="s">
        <v>334</v>
      </c>
      <c r="G750" s="327"/>
      <c r="H750" s="482"/>
      <c r="I750" s="326"/>
      <c r="J750" s="327"/>
      <c r="K750" s="481" t="s">
        <v>334</v>
      </c>
      <c r="L750" s="326"/>
      <c r="M750" s="327"/>
      <c r="N750" s="439" t="s">
        <v>303</v>
      </c>
      <c r="O750" s="326"/>
      <c r="P750" s="326"/>
      <c r="Q750" s="326"/>
      <c r="R750" s="326"/>
      <c r="S750" s="326"/>
      <c r="T750" s="326"/>
      <c r="U750" s="327"/>
    </row>
    <row r="751" spans="1:21" ht="34.5" customHeight="1" x14ac:dyDescent="0.25">
      <c r="A751" s="10">
        <f t="shared" si="2"/>
        <v>737</v>
      </c>
      <c r="B751" s="483" t="s">
        <v>303</v>
      </c>
      <c r="C751" s="327"/>
      <c r="D751" s="484" t="s">
        <v>303</v>
      </c>
      <c r="E751" s="327"/>
      <c r="F751" s="481" t="s">
        <v>334</v>
      </c>
      <c r="G751" s="327"/>
      <c r="H751" s="485"/>
      <c r="I751" s="326"/>
      <c r="J751" s="327"/>
      <c r="K751" s="481" t="s">
        <v>334</v>
      </c>
      <c r="L751" s="326"/>
      <c r="M751" s="327"/>
      <c r="N751" s="486" t="s">
        <v>303</v>
      </c>
      <c r="O751" s="326"/>
      <c r="P751" s="326"/>
      <c r="Q751" s="326"/>
      <c r="R751" s="326"/>
      <c r="S751" s="326"/>
      <c r="T751" s="326"/>
      <c r="U751" s="327"/>
    </row>
    <row r="752" spans="1:21" ht="34.5" customHeight="1" x14ac:dyDescent="0.25">
      <c r="A752" s="10">
        <f t="shared" si="2"/>
        <v>738</v>
      </c>
      <c r="B752" s="479" t="s">
        <v>303</v>
      </c>
      <c r="C752" s="327"/>
      <c r="D752" s="480" t="s">
        <v>303</v>
      </c>
      <c r="E752" s="327"/>
      <c r="F752" s="481" t="s">
        <v>334</v>
      </c>
      <c r="G752" s="327"/>
      <c r="H752" s="482"/>
      <c r="I752" s="326"/>
      <c r="J752" s="327"/>
      <c r="K752" s="481" t="s">
        <v>334</v>
      </c>
      <c r="L752" s="326"/>
      <c r="M752" s="327"/>
      <c r="N752" s="439" t="s">
        <v>303</v>
      </c>
      <c r="O752" s="326"/>
      <c r="P752" s="326"/>
      <c r="Q752" s="326"/>
      <c r="R752" s="326"/>
      <c r="S752" s="326"/>
      <c r="T752" s="326"/>
      <c r="U752" s="327"/>
    </row>
    <row r="753" spans="1:21" ht="34.5" customHeight="1" x14ac:dyDescent="0.25">
      <c r="A753" s="10">
        <f t="shared" si="2"/>
        <v>739</v>
      </c>
      <c r="B753" s="483" t="s">
        <v>341</v>
      </c>
      <c r="C753" s="327"/>
      <c r="D753" s="484" t="s">
        <v>303</v>
      </c>
      <c r="E753" s="327"/>
      <c r="F753" s="481" t="s">
        <v>334</v>
      </c>
      <c r="G753" s="327"/>
      <c r="H753" s="485"/>
      <c r="I753" s="326"/>
      <c r="J753" s="327"/>
      <c r="K753" s="481" t="s">
        <v>334</v>
      </c>
      <c r="L753" s="326"/>
      <c r="M753" s="327"/>
      <c r="N753" s="486" t="s">
        <v>303</v>
      </c>
      <c r="O753" s="326"/>
      <c r="P753" s="326"/>
      <c r="Q753" s="326"/>
      <c r="R753" s="326"/>
      <c r="S753" s="326"/>
      <c r="T753" s="326"/>
      <c r="U753" s="327"/>
    </row>
    <row r="754" spans="1:21" ht="34.5" customHeight="1" x14ac:dyDescent="0.25">
      <c r="A754" s="10">
        <f t="shared" si="2"/>
        <v>740</v>
      </c>
      <c r="B754" s="479" t="s">
        <v>303</v>
      </c>
      <c r="C754" s="327"/>
      <c r="D754" s="480" t="s">
        <v>303</v>
      </c>
      <c r="E754" s="327"/>
      <c r="F754" s="481" t="s">
        <v>334</v>
      </c>
      <c r="G754" s="327"/>
      <c r="H754" s="482"/>
      <c r="I754" s="326"/>
      <c r="J754" s="327"/>
      <c r="K754" s="481" t="s">
        <v>334</v>
      </c>
      <c r="L754" s="326"/>
      <c r="M754" s="327"/>
      <c r="N754" s="439" t="s">
        <v>303</v>
      </c>
      <c r="O754" s="326"/>
      <c r="P754" s="326"/>
      <c r="Q754" s="326"/>
      <c r="R754" s="326"/>
      <c r="S754" s="326"/>
      <c r="T754" s="326"/>
      <c r="U754" s="327"/>
    </row>
    <row r="755" spans="1:21" ht="34.5" customHeight="1" x14ac:dyDescent="0.25">
      <c r="A755" s="10">
        <f t="shared" si="2"/>
        <v>741</v>
      </c>
      <c r="B755" s="483" t="s">
        <v>303</v>
      </c>
      <c r="C755" s="327"/>
      <c r="D755" s="484" t="s">
        <v>303</v>
      </c>
      <c r="E755" s="327"/>
      <c r="F755" s="481" t="s">
        <v>334</v>
      </c>
      <c r="G755" s="327"/>
      <c r="H755" s="485"/>
      <c r="I755" s="326"/>
      <c r="J755" s="327"/>
      <c r="K755" s="481" t="s">
        <v>334</v>
      </c>
      <c r="L755" s="326"/>
      <c r="M755" s="327"/>
      <c r="N755" s="486" t="s">
        <v>303</v>
      </c>
      <c r="O755" s="326"/>
      <c r="P755" s="326"/>
      <c r="Q755" s="326"/>
      <c r="R755" s="326"/>
      <c r="S755" s="326"/>
      <c r="T755" s="326"/>
      <c r="U755" s="327"/>
    </row>
    <row r="756" spans="1:21" ht="34.5" customHeight="1" x14ac:dyDescent="0.25">
      <c r="A756" s="10">
        <f t="shared" si="2"/>
        <v>742</v>
      </c>
      <c r="B756" s="479" t="s">
        <v>303</v>
      </c>
      <c r="C756" s="327"/>
      <c r="D756" s="480" t="s">
        <v>303</v>
      </c>
      <c r="E756" s="327"/>
      <c r="F756" s="481" t="s">
        <v>334</v>
      </c>
      <c r="G756" s="327"/>
      <c r="H756" s="482"/>
      <c r="I756" s="326"/>
      <c r="J756" s="327"/>
      <c r="K756" s="481" t="s">
        <v>334</v>
      </c>
      <c r="L756" s="326"/>
      <c r="M756" s="327"/>
      <c r="N756" s="439" t="s">
        <v>303</v>
      </c>
      <c r="O756" s="326"/>
      <c r="P756" s="326"/>
      <c r="Q756" s="326"/>
      <c r="R756" s="326"/>
      <c r="S756" s="326"/>
      <c r="T756" s="326"/>
      <c r="U756" s="327"/>
    </row>
    <row r="757" spans="1:21" ht="34.5" customHeight="1" x14ac:dyDescent="0.25">
      <c r="A757" s="10">
        <f t="shared" si="2"/>
        <v>743</v>
      </c>
      <c r="B757" s="483" t="s">
        <v>303</v>
      </c>
      <c r="C757" s="327"/>
      <c r="D757" s="484" t="s">
        <v>303</v>
      </c>
      <c r="E757" s="327"/>
      <c r="F757" s="481" t="s">
        <v>334</v>
      </c>
      <c r="G757" s="327"/>
      <c r="H757" s="485"/>
      <c r="I757" s="326"/>
      <c r="J757" s="327"/>
      <c r="K757" s="481" t="s">
        <v>334</v>
      </c>
      <c r="L757" s="326"/>
      <c r="M757" s="327"/>
      <c r="N757" s="486" t="s">
        <v>303</v>
      </c>
      <c r="O757" s="326"/>
      <c r="P757" s="326"/>
      <c r="Q757" s="326"/>
      <c r="R757" s="326"/>
      <c r="S757" s="326"/>
      <c r="T757" s="326"/>
      <c r="U757" s="327"/>
    </row>
    <row r="758" spans="1:21" ht="34.5" customHeight="1" x14ac:dyDescent="0.25">
      <c r="A758" s="10">
        <f t="shared" si="2"/>
        <v>744</v>
      </c>
      <c r="B758" s="479" t="s">
        <v>303</v>
      </c>
      <c r="C758" s="327"/>
      <c r="D758" s="480" t="s">
        <v>303</v>
      </c>
      <c r="E758" s="327"/>
      <c r="F758" s="481" t="s">
        <v>334</v>
      </c>
      <c r="G758" s="327"/>
      <c r="H758" s="482"/>
      <c r="I758" s="326"/>
      <c r="J758" s="327"/>
      <c r="K758" s="481" t="s">
        <v>334</v>
      </c>
      <c r="L758" s="326"/>
      <c r="M758" s="327"/>
      <c r="N758" s="439" t="s">
        <v>303</v>
      </c>
      <c r="O758" s="326"/>
      <c r="P758" s="326"/>
      <c r="Q758" s="326"/>
      <c r="R758" s="326"/>
      <c r="S758" s="326"/>
      <c r="T758" s="326"/>
      <c r="U758" s="327"/>
    </row>
    <row r="759" spans="1:21" ht="34.5" customHeight="1" x14ac:dyDescent="0.25">
      <c r="A759" s="10">
        <f t="shared" si="2"/>
        <v>745</v>
      </c>
      <c r="B759" s="483" t="s">
        <v>303</v>
      </c>
      <c r="C759" s="327"/>
      <c r="D759" s="484" t="s">
        <v>303</v>
      </c>
      <c r="E759" s="327"/>
      <c r="F759" s="481" t="s">
        <v>334</v>
      </c>
      <c r="G759" s="327"/>
      <c r="H759" s="485"/>
      <c r="I759" s="326"/>
      <c r="J759" s="327"/>
      <c r="K759" s="481" t="s">
        <v>334</v>
      </c>
      <c r="L759" s="326"/>
      <c r="M759" s="327"/>
      <c r="N759" s="486" t="s">
        <v>303</v>
      </c>
      <c r="O759" s="326"/>
      <c r="P759" s="326"/>
      <c r="Q759" s="326"/>
      <c r="R759" s="326"/>
      <c r="S759" s="326"/>
      <c r="T759" s="326"/>
      <c r="U759" s="327"/>
    </row>
    <row r="760" spans="1:21" ht="34.5" customHeight="1" x14ac:dyDescent="0.25">
      <c r="A760" s="10">
        <f t="shared" si="2"/>
        <v>746</v>
      </c>
      <c r="B760" s="479" t="s">
        <v>303</v>
      </c>
      <c r="C760" s="327"/>
      <c r="D760" s="480" t="s">
        <v>303</v>
      </c>
      <c r="E760" s="327"/>
      <c r="F760" s="481" t="s">
        <v>334</v>
      </c>
      <c r="G760" s="327"/>
      <c r="H760" s="482"/>
      <c r="I760" s="326"/>
      <c r="J760" s="327"/>
      <c r="K760" s="481" t="s">
        <v>334</v>
      </c>
      <c r="L760" s="326"/>
      <c r="M760" s="327"/>
      <c r="N760" s="439" t="s">
        <v>303</v>
      </c>
      <c r="O760" s="326"/>
      <c r="P760" s="326"/>
      <c r="Q760" s="326"/>
      <c r="R760" s="326"/>
      <c r="S760" s="326"/>
      <c r="T760" s="326"/>
      <c r="U760" s="327"/>
    </row>
    <row r="761" spans="1:21" ht="34.5" customHeight="1" x14ac:dyDescent="0.25">
      <c r="A761" s="10">
        <f t="shared" si="2"/>
        <v>747</v>
      </c>
      <c r="B761" s="483" t="s">
        <v>303</v>
      </c>
      <c r="C761" s="327"/>
      <c r="D761" s="484" t="s">
        <v>303</v>
      </c>
      <c r="E761" s="327"/>
      <c r="F761" s="481" t="s">
        <v>334</v>
      </c>
      <c r="G761" s="327"/>
      <c r="H761" s="485"/>
      <c r="I761" s="326"/>
      <c r="J761" s="327"/>
      <c r="K761" s="481" t="s">
        <v>334</v>
      </c>
      <c r="L761" s="326"/>
      <c r="M761" s="327"/>
      <c r="N761" s="486" t="s">
        <v>303</v>
      </c>
      <c r="O761" s="326"/>
      <c r="P761" s="326"/>
      <c r="Q761" s="326"/>
      <c r="R761" s="326"/>
      <c r="S761" s="326"/>
      <c r="T761" s="326"/>
      <c r="U761" s="327"/>
    </row>
    <row r="762" spans="1:21" ht="34.5" customHeight="1" x14ac:dyDescent="0.25">
      <c r="A762" s="10">
        <f t="shared" si="2"/>
        <v>748</v>
      </c>
      <c r="B762" s="479" t="s">
        <v>303</v>
      </c>
      <c r="C762" s="327"/>
      <c r="D762" s="480" t="s">
        <v>303</v>
      </c>
      <c r="E762" s="327"/>
      <c r="F762" s="481" t="s">
        <v>334</v>
      </c>
      <c r="G762" s="327"/>
      <c r="H762" s="482"/>
      <c r="I762" s="326"/>
      <c r="J762" s="327"/>
      <c r="K762" s="481" t="s">
        <v>334</v>
      </c>
      <c r="L762" s="326"/>
      <c r="M762" s="327"/>
      <c r="N762" s="439" t="s">
        <v>303</v>
      </c>
      <c r="O762" s="326"/>
      <c r="P762" s="326"/>
      <c r="Q762" s="326"/>
      <c r="R762" s="326"/>
      <c r="S762" s="326"/>
      <c r="T762" s="326"/>
      <c r="U762" s="327"/>
    </row>
    <row r="763" spans="1:21" ht="34.5" customHeight="1" x14ac:dyDescent="0.25">
      <c r="A763" s="10">
        <f t="shared" si="2"/>
        <v>749</v>
      </c>
      <c r="B763" s="483" t="s">
        <v>303</v>
      </c>
      <c r="C763" s="327"/>
      <c r="D763" s="484" t="s">
        <v>303</v>
      </c>
      <c r="E763" s="327"/>
      <c r="F763" s="481" t="s">
        <v>334</v>
      </c>
      <c r="G763" s="327"/>
      <c r="H763" s="485"/>
      <c r="I763" s="326"/>
      <c r="J763" s="327"/>
      <c r="K763" s="481" t="s">
        <v>334</v>
      </c>
      <c r="L763" s="326"/>
      <c r="M763" s="327"/>
      <c r="N763" s="486" t="s">
        <v>303</v>
      </c>
      <c r="O763" s="326"/>
      <c r="P763" s="326"/>
      <c r="Q763" s="326"/>
      <c r="R763" s="326"/>
      <c r="S763" s="326"/>
      <c r="T763" s="326"/>
      <c r="U763" s="327"/>
    </row>
    <row r="764" spans="1:21" ht="34.5" customHeight="1" x14ac:dyDescent="0.25">
      <c r="A764" s="10">
        <f t="shared" si="2"/>
        <v>750</v>
      </c>
      <c r="B764" s="479" t="s">
        <v>303</v>
      </c>
      <c r="C764" s="327"/>
      <c r="D764" s="480" t="s">
        <v>303</v>
      </c>
      <c r="E764" s="327"/>
      <c r="F764" s="481" t="s">
        <v>334</v>
      </c>
      <c r="G764" s="327"/>
      <c r="H764" s="482"/>
      <c r="I764" s="326"/>
      <c r="J764" s="327"/>
      <c r="K764" s="481" t="s">
        <v>334</v>
      </c>
      <c r="L764" s="326"/>
      <c r="M764" s="327"/>
      <c r="N764" s="439" t="s">
        <v>303</v>
      </c>
      <c r="O764" s="326"/>
      <c r="P764" s="326"/>
      <c r="Q764" s="326"/>
      <c r="R764" s="326"/>
      <c r="S764" s="326"/>
      <c r="T764" s="326"/>
      <c r="U764" s="327"/>
    </row>
    <row r="765" spans="1:21" ht="34.5" customHeight="1" x14ac:dyDescent="0.25">
      <c r="A765" s="10">
        <f t="shared" si="2"/>
        <v>751</v>
      </c>
      <c r="B765" s="483" t="s">
        <v>342</v>
      </c>
      <c r="C765" s="327"/>
      <c r="D765" s="484" t="s">
        <v>303</v>
      </c>
      <c r="E765" s="327"/>
      <c r="F765" s="481" t="s">
        <v>334</v>
      </c>
      <c r="G765" s="327"/>
      <c r="H765" s="485"/>
      <c r="I765" s="326"/>
      <c r="J765" s="327"/>
      <c r="K765" s="481" t="s">
        <v>334</v>
      </c>
      <c r="L765" s="326"/>
      <c r="M765" s="327"/>
      <c r="N765" s="486" t="s">
        <v>303</v>
      </c>
      <c r="O765" s="326"/>
      <c r="P765" s="326"/>
      <c r="Q765" s="326"/>
      <c r="R765" s="326"/>
      <c r="S765" s="326"/>
      <c r="T765" s="326"/>
      <c r="U765" s="327"/>
    </row>
    <row r="766" spans="1:21" ht="34.5" customHeight="1" x14ac:dyDescent="0.25">
      <c r="A766" s="10">
        <f t="shared" si="2"/>
        <v>752</v>
      </c>
      <c r="B766" s="479" t="s">
        <v>303</v>
      </c>
      <c r="C766" s="327"/>
      <c r="D766" s="480" t="s">
        <v>303</v>
      </c>
      <c r="E766" s="327"/>
      <c r="F766" s="481" t="s">
        <v>334</v>
      </c>
      <c r="G766" s="327"/>
      <c r="H766" s="482"/>
      <c r="I766" s="326"/>
      <c r="J766" s="327"/>
      <c r="K766" s="481" t="s">
        <v>334</v>
      </c>
      <c r="L766" s="326"/>
      <c r="M766" s="327"/>
      <c r="N766" s="439" t="s">
        <v>303</v>
      </c>
      <c r="O766" s="326"/>
      <c r="P766" s="326"/>
      <c r="Q766" s="326"/>
      <c r="R766" s="326"/>
      <c r="S766" s="326"/>
      <c r="T766" s="326"/>
      <c r="U766" s="327"/>
    </row>
    <row r="767" spans="1:21" ht="34.5" customHeight="1" x14ac:dyDescent="0.25">
      <c r="A767" s="10">
        <f t="shared" si="2"/>
        <v>753</v>
      </c>
      <c r="B767" s="483" t="s">
        <v>303</v>
      </c>
      <c r="C767" s="327"/>
      <c r="D767" s="484" t="s">
        <v>303</v>
      </c>
      <c r="E767" s="327"/>
      <c r="F767" s="481" t="s">
        <v>334</v>
      </c>
      <c r="G767" s="327"/>
      <c r="H767" s="485"/>
      <c r="I767" s="326"/>
      <c r="J767" s="327"/>
      <c r="K767" s="481" t="s">
        <v>334</v>
      </c>
      <c r="L767" s="326"/>
      <c r="M767" s="327"/>
      <c r="N767" s="486" t="s">
        <v>303</v>
      </c>
      <c r="O767" s="326"/>
      <c r="P767" s="326"/>
      <c r="Q767" s="326"/>
      <c r="R767" s="326"/>
      <c r="S767" s="326"/>
      <c r="T767" s="326"/>
      <c r="U767" s="327"/>
    </row>
    <row r="768" spans="1:21" ht="34.5" customHeight="1" x14ac:dyDescent="0.25">
      <c r="A768" s="10">
        <f t="shared" si="2"/>
        <v>754</v>
      </c>
      <c r="B768" s="479" t="s">
        <v>303</v>
      </c>
      <c r="C768" s="327"/>
      <c r="D768" s="480" t="s">
        <v>303</v>
      </c>
      <c r="E768" s="327"/>
      <c r="F768" s="481" t="s">
        <v>334</v>
      </c>
      <c r="G768" s="327"/>
      <c r="H768" s="482"/>
      <c r="I768" s="326"/>
      <c r="J768" s="327"/>
      <c r="K768" s="481" t="s">
        <v>334</v>
      </c>
      <c r="L768" s="326"/>
      <c r="M768" s="327"/>
      <c r="N768" s="439" t="s">
        <v>303</v>
      </c>
      <c r="O768" s="326"/>
      <c r="P768" s="326"/>
      <c r="Q768" s="326"/>
      <c r="R768" s="326"/>
      <c r="S768" s="326"/>
      <c r="T768" s="326"/>
      <c r="U768" s="327"/>
    </row>
    <row r="769" spans="1:21" ht="34.5" customHeight="1" x14ac:dyDescent="0.25">
      <c r="A769" s="10">
        <f t="shared" si="2"/>
        <v>755</v>
      </c>
      <c r="B769" s="483" t="s">
        <v>303</v>
      </c>
      <c r="C769" s="327"/>
      <c r="D769" s="484" t="s">
        <v>303</v>
      </c>
      <c r="E769" s="327"/>
      <c r="F769" s="481" t="s">
        <v>334</v>
      </c>
      <c r="G769" s="327"/>
      <c r="H769" s="485"/>
      <c r="I769" s="326"/>
      <c r="J769" s="327"/>
      <c r="K769" s="481" t="s">
        <v>334</v>
      </c>
      <c r="L769" s="326"/>
      <c r="M769" s="327"/>
      <c r="N769" s="486" t="s">
        <v>303</v>
      </c>
      <c r="O769" s="326"/>
      <c r="P769" s="326"/>
      <c r="Q769" s="326"/>
      <c r="R769" s="326"/>
      <c r="S769" s="326"/>
      <c r="T769" s="326"/>
      <c r="U769" s="327"/>
    </row>
    <row r="770" spans="1:21" ht="34.5" customHeight="1" x14ac:dyDescent="0.25">
      <c r="A770" s="10">
        <f t="shared" si="2"/>
        <v>756</v>
      </c>
      <c r="B770" s="479" t="s">
        <v>303</v>
      </c>
      <c r="C770" s="327"/>
      <c r="D770" s="480" t="s">
        <v>303</v>
      </c>
      <c r="E770" s="327"/>
      <c r="F770" s="481" t="s">
        <v>334</v>
      </c>
      <c r="G770" s="327"/>
      <c r="H770" s="482"/>
      <c r="I770" s="326"/>
      <c r="J770" s="327"/>
      <c r="K770" s="481" t="s">
        <v>334</v>
      </c>
      <c r="L770" s="326"/>
      <c r="M770" s="327"/>
      <c r="N770" s="439" t="s">
        <v>303</v>
      </c>
      <c r="O770" s="326"/>
      <c r="P770" s="326"/>
      <c r="Q770" s="326"/>
      <c r="R770" s="326"/>
      <c r="S770" s="326"/>
      <c r="T770" s="326"/>
      <c r="U770" s="327"/>
    </row>
    <row r="771" spans="1:21" ht="34.5" customHeight="1" x14ac:dyDescent="0.25">
      <c r="A771" s="10">
        <f t="shared" si="2"/>
        <v>757</v>
      </c>
      <c r="B771" s="483" t="s">
        <v>339</v>
      </c>
      <c r="C771" s="327"/>
      <c r="D771" s="484" t="s">
        <v>303</v>
      </c>
      <c r="E771" s="327"/>
      <c r="F771" s="481" t="s">
        <v>334</v>
      </c>
      <c r="G771" s="327"/>
      <c r="H771" s="485"/>
      <c r="I771" s="326"/>
      <c r="J771" s="327"/>
      <c r="K771" s="481" t="s">
        <v>334</v>
      </c>
      <c r="L771" s="326"/>
      <c r="M771" s="327"/>
      <c r="N771" s="486" t="s">
        <v>303</v>
      </c>
      <c r="O771" s="326"/>
      <c r="P771" s="326"/>
      <c r="Q771" s="326"/>
      <c r="R771" s="326"/>
      <c r="S771" s="326"/>
      <c r="T771" s="326"/>
      <c r="U771" s="327"/>
    </row>
    <row r="772" spans="1:21" ht="34.5" customHeight="1" x14ac:dyDescent="0.25">
      <c r="A772" s="10">
        <f t="shared" si="2"/>
        <v>758</v>
      </c>
      <c r="B772" s="479" t="s">
        <v>303</v>
      </c>
      <c r="C772" s="327"/>
      <c r="D772" s="480" t="s">
        <v>303</v>
      </c>
      <c r="E772" s="327"/>
      <c r="F772" s="481" t="s">
        <v>334</v>
      </c>
      <c r="G772" s="327"/>
      <c r="H772" s="482"/>
      <c r="I772" s="326"/>
      <c r="J772" s="327"/>
      <c r="K772" s="481" t="s">
        <v>334</v>
      </c>
      <c r="L772" s="326"/>
      <c r="M772" s="327"/>
      <c r="N772" s="439" t="s">
        <v>303</v>
      </c>
      <c r="O772" s="326"/>
      <c r="P772" s="326"/>
      <c r="Q772" s="326"/>
      <c r="R772" s="326"/>
      <c r="S772" s="326"/>
      <c r="T772" s="326"/>
      <c r="U772" s="327"/>
    </row>
    <row r="773" spans="1:21" ht="34.5" customHeight="1" x14ac:dyDescent="0.25">
      <c r="A773" s="10">
        <f t="shared" si="2"/>
        <v>759</v>
      </c>
      <c r="B773" s="483" t="s">
        <v>303</v>
      </c>
      <c r="C773" s="327"/>
      <c r="D773" s="484" t="s">
        <v>303</v>
      </c>
      <c r="E773" s="327"/>
      <c r="F773" s="481" t="s">
        <v>334</v>
      </c>
      <c r="G773" s="327"/>
      <c r="H773" s="485"/>
      <c r="I773" s="326"/>
      <c r="J773" s="327"/>
      <c r="K773" s="481" t="s">
        <v>334</v>
      </c>
      <c r="L773" s="326"/>
      <c r="M773" s="327"/>
      <c r="N773" s="486" t="s">
        <v>303</v>
      </c>
      <c r="O773" s="326"/>
      <c r="P773" s="326"/>
      <c r="Q773" s="326"/>
      <c r="R773" s="326"/>
      <c r="S773" s="326"/>
      <c r="T773" s="326"/>
      <c r="U773" s="327"/>
    </row>
    <row r="774" spans="1:21" ht="34.5" customHeight="1" x14ac:dyDescent="0.25">
      <c r="A774" s="10">
        <f t="shared" si="2"/>
        <v>760</v>
      </c>
      <c r="B774" s="479" t="s">
        <v>303</v>
      </c>
      <c r="C774" s="327"/>
      <c r="D774" s="480" t="s">
        <v>303</v>
      </c>
      <c r="E774" s="327"/>
      <c r="F774" s="481" t="s">
        <v>334</v>
      </c>
      <c r="G774" s="327"/>
      <c r="H774" s="482"/>
      <c r="I774" s="326"/>
      <c r="J774" s="327"/>
      <c r="K774" s="481" t="s">
        <v>334</v>
      </c>
      <c r="L774" s="326"/>
      <c r="M774" s="327"/>
      <c r="N774" s="439" t="s">
        <v>303</v>
      </c>
      <c r="O774" s="326"/>
      <c r="P774" s="326"/>
      <c r="Q774" s="326"/>
      <c r="R774" s="326"/>
      <c r="S774" s="326"/>
      <c r="T774" s="326"/>
      <c r="U774" s="327"/>
    </row>
    <row r="775" spans="1:21" ht="34.5" customHeight="1" x14ac:dyDescent="0.25">
      <c r="A775" s="10">
        <f t="shared" si="2"/>
        <v>761</v>
      </c>
      <c r="B775" s="483" t="s">
        <v>303</v>
      </c>
      <c r="C775" s="327"/>
      <c r="D775" s="484" t="s">
        <v>303</v>
      </c>
      <c r="E775" s="327"/>
      <c r="F775" s="481" t="s">
        <v>334</v>
      </c>
      <c r="G775" s="327"/>
      <c r="H775" s="485"/>
      <c r="I775" s="326"/>
      <c r="J775" s="327"/>
      <c r="K775" s="481" t="s">
        <v>334</v>
      </c>
      <c r="L775" s="326"/>
      <c r="M775" s="327"/>
      <c r="N775" s="486" t="s">
        <v>303</v>
      </c>
      <c r="O775" s="326"/>
      <c r="P775" s="326"/>
      <c r="Q775" s="326"/>
      <c r="R775" s="326"/>
      <c r="S775" s="326"/>
      <c r="T775" s="326"/>
      <c r="U775" s="327"/>
    </row>
    <row r="776" spans="1:21" ht="34.5" customHeight="1" x14ac:dyDescent="0.25">
      <c r="A776" s="10">
        <f t="shared" si="2"/>
        <v>762</v>
      </c>
      <c r="B776" s="479" t="s">
        <v>343</v>
      </c>
      <c r="C776" s="327"/>
      <c r="D776" s="480" t="s">
        <v>303</v>
      </c>
      <c r="E776" s="327"/>
      <c r="F776" s="481" t="s">
        <v>334</v>
      </c>
      <c r="G776" s="327"/>
      <c r="H776" s="482"/>
      <c r="I776" s="326"/>
      <c r="J776" s="327"/>
      <c r="K776" s="481" t="s">
        <v>334</v>
      </c>
      <c r="L776" s="326"/>
      <c r="M776" s="327"/>
      <c r="N776" s="439" t="s">
        <v>303</v>
      </c>
      <c r="O776" s="326"/>
      <c r="P776" s="326"/>
      <c r="Q776" s="326"/>
      <c r="R776" s="326"/>
      <c r="S776" s="326"/>
      <c r="T776" s="326"/>
      <c r="U776" s="327"/>
    </row>
    <row r="777" spans="1:21" ht="34.5" customHeight="1" x14ac:dyDescent="0.25">
      <c r="A777" s="10">
        <f t="shared" si="2"/>
        <v>763</v>
      </c>
      <c r="B777" s="483" t="s">
        <v>303</v>
      </c>
      <c r="C777" s="327"/>
      <c r="D777" s="484" t="s">
        <v>303</v>
      </c>
      <c r="E777" s="327"/>
      <c r="F777" s="481" t="s">
        <v>334</v>
      </c>
      <c r="G777" s="327"/>
      <c r="H777" s="485"/>
      <c r="I777" s="326"/>
      <c r="J777" s="327"/>
      <c r="K777" s="481" t="s">
        <v>334</v>
      </c>
      <c r="L777" s="326"/>
      <c r="M777" s="327"/>
      <c r="N777" s="486" t="s">
        <v>303</v>
      </c>
      <c r="O777" s="326"/>
      <c r="P777" s="326"/>
      <c r="Q777" s="326"/>
      <c r="R777" s="326"/>
      <c r="S777" s="326"/>
      <c r="T777" s="326"/>
      <c r="U777" s="327"/>
    </row>
    <row r="778" spans="1:21" ht="34.5" customHeight="1" x14ac:dyDescent="0.25">
      <c r="A778" s="10">
        <f t="shared" si="2"/>
        <v>764</v>
      </c>
      <c r="B778" s="479" t="s">
        <v>303</v>
      </c>
      <c r="C778" s="327"/>
      <c r="D778" s="480" t="s">
        <v>303</v>
      </c>
      <c r="E778" s="327"/>
      <c r="F778" s="481" t="s">
        <v>334</v>
      </c>
      <c r="G778" s="327"/>
      <c r="H778" s="482"/>
      <c r="I778" s="326"/>
      <c r="J778" s="327"/>
      <c r="K778" s="481" t="s">
        <v>334</v>
      </c>
      <c r="L778" s="326"/>
      <c r="M778" s="327"/>
      <c r="N778" s="439" t="s">
        <v>303</v>
      </c>
      <c r="O778" s="326"/>
      <c r="P778" s="326"/>
      <c r="Q778" s="326"/>
      <c r="R778" s="326"/>
      <c r="S778" s="326"/>
      <c r="T778" s="326"/>
      <c r="U778" s="327"/>
    </row>
    <row r="779" spans="1:21" ht="34.5" customHeight="1" x14ac:dyDescent="0.25">
      <c r="A779" s="10">
        <f t="shared" si="2"/>
        <v>765</v>
      </c>
      <c r="B779" s="483" t="s">
        <v>303</v>
      </c>
      <c r="C779" s="327"/>
      <c r="D779" s="484" t="s">
        <v>303</v>
      </c>
      <c r="E779" s="327"/>
      <c r="F779" s="481" t="s">
        <v>334</v>
      </c>
      <c r="G779" s="327"/>
      <c r="H779" s="485"/>
      <c r="I779" s="326"/>
      <c r="J779" s="327"/>
      <c r="K779" s="481" t="s">
        <v>334</v>
      </c>
      <c r="L779" s="326"/>
      <c r="M779" s="327"/>
      <c r="N779" s="486" t="s">
        <v>303</v>
      </c>
      <c r="O779" s="326"/>
      <c r="P779" s="326"/>
      <c r="Q779" s="326"/>
      <c r="R779" s="326"/>
      <c r="S779" s="326"/>
      <c r="T779" s="326"/>
      <c r="U779" s="327"/>
    </row>
    <row r="780" spans="1:21" ht="34.5" customHeight="1" x14ac:dyDescent="0.25">
      <c r="A780" s="10">
        <f t="shared" ref="A780:A1034" si="3">ROW(A766)</f>
        <v>766</v>
      </c>
      <c r="B780" s="479" t="s">
        <v>303</v>
      </c>
      <c r="C780" s="327"/>
      <c r="D780" s="480" t="s">
        <v>303</v>
      </c>
      <c r="E780" s="327"/>
      <c r="F780" s="481" t="s">
        <v>334</v>
      </c>
      <c r="G780" s="327"/>
      <c r="H780" s="482"/>
      <c r="I780" s="326"/>
      <c r="J780" s="327"/>
      <c r="K780" s="481" t="s">
        <v>334</v>
      </c>
      <c r="L780" s="326"/>
      <c r="M780" s="327"/>
      <c r="N780" s="439" t="s">
        <v>303</v>
      </c>
      <c r="O780" s="326"/>
      <c r="P780" s="326"/>
      <c r="Q780" s="326"/>
      <c r="R780" s="326"/>
      <c r="S780" s="326"/>
      <c r="T780" s="326"/>
      <c r="U780" s="327"/>
    </row>
    <row r="781" spans="1:21" ht="34.5" customHeight="1" x14ac:dyDescent="0.25">
      <c r="A781" s="10">
        <f t="shared" si="3"/>
        <v>767</v>
      </c>
      <c r="B781" s="483" t="s">
        <v>341</v>
      </c>
      <c r="C781" s="327"/>
      <c r="D781" s="484" t="s">
        <v>303</v>
      </c>
      <c r="E781" s="327"/>
      <c r="F781" s="481" t="s">
        <v>334</v>
      </c>
      <c r="G781" s="327"/>
      <c r="H781" s="485"/>
      <c r="I781" s="326"/>
      <c r="J781" s="327"/>
      <c r="K781" s="481" t="s">
        <v>334</v>
      </c>
      <c r="L781" s="326"/>
      <c r="M781" s="327"/>
      <c r="N781" s="486" t="s">
        <v>303</v>
      </c>
      <c r="O781" s="326"/>
      <c r="P781" s="326"/>
      <c r="Q781" s="326"/>
      <c r="R781" s="326"/>
      <c r="S781" s="326"/>
      <c r="T781" s="326"/>
      <c r="U781" s="327"/>
    </row>
    <row r="782" spans="1:21" ht="34.5" customHeight="1" x14ac:dyDescent="0.25">
      <c r="A782" s="10">
        <f t="shared" si="3"/>
        <v>768</v>
      </c>
      <c r="B782" s="479" t="s">
        <v>303</v>
      </c>
      <c r="C782" s="327"/>
      <c r="D782" s="480" t="s">
        <v>303</v>
      </c>
      <c r="E782" s="327"/>
      <c r="F782" s="481" t="s">
        <v>334</v>
      </c>
      <c r="G782" s="327"/>
      <c r="H782" s="482"/>
      <c r="I782" s="326"/>
      <c r="J782" s="327"/>
      <c r="K782" s="481" t="s">
        <v>334</v>
      </c>
      <c r="L782" s="326"/>
      <c r="M782" s="327"/>
      <c r="N782" s="439" t="s">
        <v>303</v>
      </c>
      <c r="O782" s="326"/>
      <c r="P782" s="326"/>
      <c r="Q782" s="326"/>
      <c r="R782" s="326"/>
      <c r="S782" s="326"/>
      <c r="T782" s="326"/>
      <c r="U782" s="327"/>
    </row>
    <row r="783" spans="1:21" ht="34.5" customHeight="1" x14ac:dyDescent="0.25">
      <c r="A783" s="10">
        <f t="shared" si="3"/>
        <v>769</v>
      </c>
      <c r="B783" s="483" t="s">
        <v>303</v>
      </c>
      <c r="C783" s="327"/>
      <c r="D783" s="484" t="s">
        <v>303</v>
      </c>
      <c r="E783" s="327"/>
      <c r="F783" s="481" t="s">
        <v>334</v>
      </c>
      <c r="G783" s="327"/>
      <c r="H783" s="485"/>
      <c r="I783" s="326"/>
      <c r="J783" s="327"/>
      <c r="K783" s="481" t="s">
        <v>334</v>
      </c>
      <c r="L783" s="326"/>
      <c r="M783" s="327"/>
      <c r="N783" s="486" t="s">
        <v>303</v>
      </c>
      <c r="O783" s="326"/>
      <c r="P783" s="326"/>
      <c r="Q783" s="326"/>
      <c r="R783" s="326"/>
      <c r="S783" s="326"/>
      <c r="T783" s="326"/>
      <c r="U783" s="327"/>
    </row>
    <row r="784" spans="1:21" ht="34.5" customHeight="1" x14ac:dyDescent="0.25">
      <c r="A784" s="10">
        <f t="shared" si="3"/>
        <v>770</v>
      </c>
      <c r="B784" s="479" t="s">
        <v>303</v>
      </c>
      <c r="C784" s="327"/>
      <c r="D784" s="480" t="s">
        <v>303</v>
      </c>
      <c r="E784" s="327"/>
      <c r="F784" s="481" t="s">
        <v>334</v>
      </c>
      <c r="G784" s="327"/>
      <c r="H784" s="482"/>
      <c r="I784" s="326"/>
      <c r="J784" s="327"/>
      <c r="K784" s="481" t="s">
        <v>334</v>
      </c>
      <c r="L784" s="326"/>
      <c r="M784" s="327"/>
      <c r="N784" s="439" t="s">
        <v>303</v>
      </c>
      <c r="O784" s="326"/>
      <c r="P784" s="326"/>
      <c r="Q784" s="326"/>
      <c r="R784" s="326"/>
      <c r="S784" s="326"/>
      <c r="T784" s="326"/>
      <c r="U784" s="327"/>
    </row>
    <row r="785" spans="1:21" ht="34.5" customHeight="1" x14ac:dyDescent="0.25">
      <c r="A785" s="10">
        <f t="shared" si="3"/>
        <v>771</v>
      </c>
      <c r="B785" s="483" t="s">
        <v>303</v>
      </c>
      <c r="C785" s="327"/>
      <c r="D785" s="484" t="s">
        <v>303</v>
      </c>
      <c r="E785" s="327"/>
      <c r="F785" s="481" t="s">
        <v>334</v>
      </c>
      <c r="G785" s="327"/>
      <c r="H785" s="485"/>
      <c r="I785" s="326"/>
      <c r="J785" s="327"/>
      <c r="K785" s="481" t="s">
        <v>334</v>
      </c>
      <c r="L785" s="326"/>
      <c r="M785" s="327"/>
      <c r="N785" s="486" t="s">
        <v>303</v>
      </c>
      <c r="O785" s="326"/>
      <c r="P785" s="326"/>
      <c r="Q785" s="326"/>
      <c r="R785" s="326"/>
      <c r="S785" s="326"/>
      <c r="T785" s="326"/>
      <c r="U785" s="327"/>
    </row>
    <row r="786" spans="1:21" ht="34.5" customHeight="1" x14ac:dyDescent="0.25">
      <c r="A786" s="10">
        <f t="shared" si="3"/>
        <v>772</v>
      </c>
      <c r="B786" s="479" t="s">
        <v>338</v>
      </c>
      <c r="C786" s="327"/>
      <c r="D786" s="480" t="s">
        <v>303</v>
      </c>
      <c r="E786" s="327"/>
      <c r="F786" s="481" t="s">
        <v>334</v>
      </c>
      <c r="G786" s="327"/>
      <c r="H786" s="482"/>
      <c r="I786" s="326"/>
      <c r="J786" s="327"/>
      <c r="K786" s="481" t="s">
        <v>334</v>
      </c>
      <c r="L786" s="326"/>
      <c r="M786" s="327"/>
      <c r="N786" s="439" t="s">
        <v>303</v>
      </c>
      <c r="O786" s="326"/>
      <c r="P786" s="326"/>
      <c r="Q786" s="326"/>
      <c r="R786" s="326"/>
      <c r="S786" s="326"/>
      <c r="T786" s="326"/>
      <c r="U786" s="327"/>
    </row>
    <row r="787" spans="1:21" ht="34.5" customHeight="1" x14ac:dyDescent="0.25">
      <c r="A787" s="10">
        <f t="shared" si="3"/>
        <v>773</v>
      </c>
      <c r="B787" s="483" t="s">
        <v>303</v>
      </c>
      <c r="C787" s="327"/>
      <c r="D787" s="484" t="s">
        <v>303</v>
      </c>
      <c r="E787" s="327"/>
      <c r="F787" s="481" t="s">
        <v>334</v>
      </c>
      <c r="G787" s="327"/>
      <c r="H787" s="485"/>
      <c r="I787" s="326"/>
      <c r="J787" s="327"/>
      <c r="K787" s="481" t="s">
        <v>334</v>
      </c>
      <c r="L787" s="326"/>
      <c r="M787" s="327"/>
      <c r="N787" s="486" t="s">
        <v>303</v>
      </c>
      <c r="O787" s="326"/>
      <c r="P787" s="326"/>
      <c r="Q787" s="326"/>
      <c r="R787" s="326"/>
      <c r="S787" s="326"/>
      <c r="T787" s="326"/>
      <c r="U787" s="327"/>
    </row>
    <row r="788" spans="1:21" ht="34.5" customHeight="1" x14ac:dyDescent="0.25">
      <c r="A788" s="10">
        <f t="shared" si="3"/>
        <v>774</v>
      </c>
      <c r="B788" s="479" t="s">
        <v>303</v>
      </c>
      <c r="C788" s="327"/>
      <c r="D788" s="480" t="s">
        <v>303</v>
      </c>
      <c r="E788" s="327"/>
      <c r="F788" s="481" t="s">
        <v>334</v>
      </c>
      <c r="G788" s="327"/>
      <c r="H788" s="482"/>
      <c r="I788" s="326"/>
      <c r="J788" s="327"/>
      <c r="K788" s="481" t="s">
        <v>334</v>
      </c>
      <c r="L788" s="326"/>
      <c r="M788" s="327"/>
      <c r="N788" s="439" t="s">
        <v>303</v>
      </c>
      <c r="O788" s="326"/>
      <c r="P788" s="326"/>
      <c r="Q788" s="326"/>
      <c r="R788" s="326"/>
      <c r="S788" s="326"/>
      <c r="T788" s="326"/>
      <c r="U788" s="327"/>
    </row>
    <row r="789" spans="1:21" ht="34.5" customHeight="1" x14ac:dyDescent="0.25">
      <c r="A789" s="10">
        <f t="shared" si="3"/>
        <v>775</v>
      </c>
      <c r="B789" s="483" t="s">
        <v>303</v>
      </c>
      <c r="C789" s="327"/>
      <c r="D789" s="484" t="s">
        <v>303</v>
      </c>
      <c r="E789" s="327"/>
      <c r="F789" s="481" t="s">
        <v>334</v>
      </c>
      <c r="G789" s="327"/>
      <c r="H789" s="485"/>
      <c r="I789" s="326"/>
      <c r="J789" s="327"/>
      <c r="K789" s="481" t="s">
        <v>334</v>
      </c>
      <c r="L789" s="326"/>
      <c r="M789" s="327"/>
      <c r="N789" s="486" t="s">
        <v>303</v>
      </c>
      <c r="O789" s="326"/>
      <c r="P789" s="326"/>
      <c r="Q789" s="326"/>
      <c r="R789" s="326"/>
      <c r="S789" s="326"/>
      <c r="T789" s="326"/>
      <c r="U789" s="327"/>
    </row>
    <row r="790" spans="1:21" ht="34.5" customHeight="1" x14ac:dyDescent="0.25">
      <c r="A790" s="10">
        <f t="shared" si="3"/>
        <v>776</v>
      </c>
      <c r="B790" s="479" t="s">
        <v>343</v>
      </c>
      <c r="C790" s="327"/>
      <c r="D790" s="480" t="s">
        <v>303</v>
      </c>
      <c r="E790" s="327"/>
      <c r="F790" s="481" t="s">
        <v>334</v>
      </c>
      <c r="G790" s="327"/>
      <c r="H790" s="482"/>
      <c r="I790" s="326"/>
      <c r="J790" s="327"/>
      <c r="K790" s="481" t="s">
        <v>334</v>
      </c>
      <c r="L790" s="326"/>
      <c r="M790" s="327"/>
      <c r="N790" s="439" t="s">
        <v>303</v>
      </c>
      <c r="O790" s="326"/>
      <c r="P790" s="326"/>
      <c r="Q790" s="326"/>
      <c r="R790" s="326"/>
      <c r="S790" s="326"/>
      <c r="T790" s="326"/>
      <c r="U790" s="327"/>
    </row>
    <row r="791" spans="1:21" ht="34.5" customHeight="1" x14ac:dyDescent="0.25">
      <c r="A791" s="10">
        <f t="shared" si="3"/>
        <v>777</v>
      </c>
      <c r="B791" s="483" t="s">
        <v>303</v>
      </c>
      <c r="C791" s="327"/>
      <c r="D791" s="484" t="s">
        <v>303</v>
      </c>
      <c r="E791" s="327"/>
      <c r="F791" s="481" t="s">
        <v>334</v>
      </c>
      <c r="G791" s="327"/>
      <c r="H791" s="485"/>
      <c r="I791" s="326"/>
      <c r="J791" s="327"/>
      <c r="K791" s="481" t="s">
        <v>334</v>
      </c>
      <c r="L791" s="326"/>
      <c r="M791" s="327"/>
      <c r="N791" s="486" t="s">
        <v>303</v>
      </c>
      <c r="O791" s="326"/>
      <c r="P791" s="326"/>
      <c r="Q791" s="326"/>
      <c r="R791" s="326"/>
      <c r="S791" s="326"/>
      <c r="T791" s="326"/>
      <c r="U791" s="327"/>
    </row>
    <row r="792" spans="1:21" ht="34.5" customHeight="1" x14ac:dyDescent="0.25">
      <c r="A792" s="10">
        <f t="shared" si="3"/>
        <v>778</v>
      </c>
      <c r="B792" s="479" t="s">
        <v>303</v>
      </c>
      <c r="C792" s="327"/>
      <c r="D792" s="480" t="s">
        <v>303</v>
      </c>
      <c r="E792" s="327"/>
      <c r="F792" s="481" t="s">
        <v>334</v>
      </c>
      <c r="G792" s="327"/>
      <c r="H792" s="482"/>
      <c r="I792" s="326"/>
      <c r="J792" s="327"/>
      <c r="K792" s="481" t="s">
        <v>334</v>
      </c>
      <c r="L792" s="326"/>
      <c r="M792" s="327"/>
      <c r="N792" s="439" t="s">
        <v>303</v>
      </c>
      <c r="O792" s="326"/>
      <c r="P792" s="326"/>
      <c r="Q792" s="326"/>
      <c r="R792" s="326"/>
      <c r="S792" s="326"/>
      <c r="T792" s="326"/>
      <c r="U792" s="327"/>
    </row>
    <row r="793" spans="1:21" ht="34.5" customHeight="1" x14ac:dyDescent="0.25">
      <c r="A793" s="10">
        <f t="shared" si="3"/>
        <v>779</v>
      </c>
      <c r="B793" s="483" t="s">
        <v>303</v>
      </c>
      <c r="C793" s="327"/>
      <c r="D793" s="484" t="s">
        <v>303</v>
      </c>
      <c r="E793" s="327"/>
      <c r="F793" s="481" t="s">
        <v>334</v>
      </c>
      <c r="G793" s="327"/>
      <c r="H793" s="485"/>
      <c r="I793" s="326"/>
      <c r="J793" s="327"/>
      <c r="K793" s="481" t="s">
        <v>334</v>
      </c>
      <c r="L793" s="326"/>
      <c r="M793" s="327"/>
      <c r="N793" s="486" t="s">
        <v>303</v>
      </c>
      <c r="O793" s="326"/>
      <c r="P793" s="326"/>
      <c r="Q793" s="326"/>
      <c r="R793" s="326"/>
      <c r="S793" s="326"/>
      <c r="T793" s="326"/>
      <c r="U793" s="327"/>
    </row>
    <row r="794" spans="1:21" ht="34.5" customHeight="1" x14ac:dyDescent="0.25">
      <c r="A794" s="10">
        <f t="shared" si="3"/>
        <v>780</v>
      </c>
      <c r="B794" s="479" t="s">
        <v>303</v>
      </c>
      <c r="C794" s="327"/>
      <c r="D794" s="480" t="s">
        <v>303</v>
      </c>
      <c r="E794" s="327"/>
      <c r="F794" s="481" t="s">
        <v>334</v>
      </c>
      <c r="G794" s="327"/>
      <c r="H794" s="482"/>
      <c r="I794" s="326"/>
      <c r="J794" s="327"/>
      <c r="K794" s="481" t="s">
        <v>334</v>
      </c>
      <c r="L794" s="326"/>
      <c r="M794" s="327"/>
      <c r="N794" s="439" t="s">
        <v>303</v>
      </c>
      <c r="O794" s="326"/>
      <c r="P794" s="326"/>
      <c r="Q794" s="326"/>
      <c r="R794" s="326"/>
      <c r="S794" s="326"/>
      <c r="T794" s="326"/>
      <c r="U794" s="327"/>
    </row>
    <row r="795" spans="1:21" ht="34.5" customHeight="1" x14ac:dyDescent="0.25">
      <c r="A795" s="10">
        <f t="shared" si="3"/>
        <v>781</v>
      </c>
      <c r="B795" s="483" t="s">
        <v>303</v>
      </c>
      <c r="C795" s="327"/>
      <c r="D795" s="484" t="s">
        <v>303</v>
      </c>
      <c r="E795" s="327"/>
      <c r="F795" s="481" t="s">
        <v>334</v>
      </c>
      <c r="G795" s="327"/>
      <c r="H795" s="485"/>
      <c r="I795" s="326"/>
      <c r="J795" s="327"/>
      <c r="K795" s="481" t="s">
        <v>334</v>
      </c>
      <c r="L795" s="326"/>
      <c r="M795" s="327"/>
      <c r="N795" s="486" t="s">
        <v>303</v>
      </c>
      <c r="O795" s="326"/>
      <c r="P795" s="326"/>
      <c r="Q795" s="326"/>
      <c r="R795" s="326"/>
      <c r="S795" s="326"/>
      <c r="T795" s="326"/>
      <c r="U795" s="327"/>
    </row>
    <row r="796" spans="1:21" ht="34.5" customHeight="1" x14ac:dyDescent="0.25">
      <c r="A796" s="10">
        <f t="shared" si="3"/>
        <v>782</v>
      </c>
      <c r="B796" s="479" t="s">
        <v>344</v>
      </c>
      <c r="C796" s="327"/>
      <c r="D796" s="480" t="s">
        <v>303</v>
      </c>
      <c r="E796" s="327"/>
      <c r="F796" s="481" t="s">
        <v>334</v>
      </c>
      <c r="G796" s="327"/>
      <c r="H796" s="482"/>
      <c r="I796" s="326"/>
      <c r="J796" s="327"/>
      <c r="K796" s="481" t="s">
        <v>334</v>
      </c>
      <c r="L796" s="326"/>
      <c r="M796" s="327"/>
      <c r="N796" s="439" t="s">
        <v>303</v>
      </c>
      <c r="O796" s="326"/>
      <c r="P796" s="326"/>
      <c r="Q796" s="326"/>
      <c r="R796" s="326"/>
      <c r="S796" s="326"/>
      <c r="T796" s="326"/>
      <c r="U796" s="327"/>
    </row>
    <row r="797" spans="1:21" ht="34.5" customHeight="1" x14ac:dyDescent="0.25">
      <c r="A797" s="10">
        <f t="shared" si="3"/>
        <v>783</v>
      </c>
      <c r="B797" s="483" t="s">
        <v>303</v>
      </c>
      <c r="C797" s="327"/>
      <c r="D797" s="484" t="s">
        <v>303</v>
      </c>
      <c r="E797" s="327"/>
      <c r="F797" s="481" t="s">
        <v>334</v>
      </c>
      <c r="G797" s="327"/>
      <c r="H797" s="485"/>
      <c r="I797" s="326"/>
      <c r="J797" s="327"/>
      <c r="K797" s="481" t="s">
        <v>334</v>
      </c>
      <c r="L797" s="326"/>
      <c r="M797" s="327"/>
      <c r="N797" s="486" t="s">
        <v>303</v>
      </c>
      <c r="O797" s="326"/>
      <c r="P797" s="326"/>
      <c r="Q797" s="326"/>
      <c r="R797" s="326"/>
      <c r="S797" s="326"/>
      <c r="T797" s="326"/>
      <c r="U797" s="327"/>
    </row>
    <row r="798" spans="1:21" ht="34.5" customHeight="1" x14ac:dyDescent="0.25">
      <c r="A798" s="10">
        <f t="shared" si="3"/>
        <v>784</v>
      </c>
      <c r="B798" s="479" t="s">
        <v>303</v>
      </c>
      <c r="C798" s="327"/>
      <c r="D798" s="480" t="s">
        <v>303</v>
      </c>
      <c r="E798" s="327"/>
      <c r="F798" s="481" t="s">
        <v>334</v>
      </c>
      <c r="G798" s="327"/>
      <c r="H798" s="482"/>
      <c r="I798" s="326"/>
      <c r="J798" s="327"/>
      <c r="K798" s="481" t="s">
        <v>334</v>
      </c>
      <c r="L798" s="326"/>
      <c r="M798" s="327"/>
      <c r="N798" s="439" t="s">
        <v>303</v>
      </c>
      <c r="O798" s="326"/>
      <c r="P798" s="326"/>
      <c r="Q798" s="326"/>
      <c r="R798" s="326"/>
      <c r="S798" s="326"/>
      <c r="T798" s="326"/>
      <c r="U798" s="327"/>
    </row>
    <row r="799" spans="1:21" ht="34.5" customHeight="1" x14ac:dyDescent="0.25">
      <c r="A799" s="10">
        <f t="shared" si="3"/>
        <v>785</v>
      </c>
      <c r="B799" s="483" t="s">
        <v>303</v>
      </c>
      <c r="C799" s="327"/>
      <c r="D799" s="484" t="s">
        <v>303</v>
      </c>
      <c r="E799" s="327"/>
      <c r="F799" s="481" t="s">
        <v>334</v>
      </c>
      <c r="G799" s="327"/>
      <c r="H799" s="485"/>
      <c r="I799" s="326"/>
      <c r="J799" s="327"/>
      <c r="K799" s="481" t="s">
        <v>334</v>
      </c>
      <c r="L799" s="326"/>
      <c r="M799" s="327"/>
      <c r="N799" s="486" t="s">
        <v>303</v>
      </c>
      <c r="O799" s="326"/>
      <c r="P799" s="326"/>
      <c r="Q799" s="326"/>
      <c r="R799" s="326"/>
      <c r="S799" s="326"/>
      <c r="T799" s="326"/>
      <c r="U799" s="327"/>
    </row>
    <row r="800" spans="1:21" ht="34.5" customHeight="1" x14ac:dyDescent="0.25">
      <c r="A800" s="10">
        <f t="shared" si="3"/>
        <v>786</v>
      </c>
      <c r="B800" s="479" t="s">
        <v>303</v>
      </c>
      <c r="C800" s="327"/>
      <c r="D800" s="480" t="s">
        <v>303</v>
      </c>
      <c r="E800" s="327"/>
      <c r="F800" s="481" t="s">
        <v>334</v>
      </c>
      <c r="G800" s="327"/>
      <c r="H800" s="482"/>
      <c r="I800" s="326"/>
      <c r="J800" s="327"/>
      <c r="K800" s="481" t="s">
        <v>334</v>
      </c>
      <c r="L800" s="326"/>
      <c r="M800" s="327"/>
      <c r="N800" s="439" t="s">
        <v>303</v>
      </c>
      <c r="O800" s="326"/>
      <c r="P800" s="326"/>
      <c r="Q800" s="326"/>
      <c r="R800" s="326"/>
      <c r="S800" s="326"/>
      <c r="T800" s="326"/>
      <c r="U800" s="327"/>
    </row>
    <row r="801" spans="1:21" ht="34.5" customHeight="1" x14ac:dyDescent="0.25">
      <c r="A801" s="10">
        <f t="shared" si="3"/>
        <v>787</v>
      </c>
      <c r="B801" s="483" t="s">
        <v>303</v>
      </c>
      <c r="C801" s="327"/>
      <c r="D801" s="484" t="s">
        <v>303</v>
      </c>
      <c r="E801" s="327"/>
      <c r="F801" s="481" t="s">
        <v>334</v>
      </c>
      <c r="G801" s="327"/>
      <c r="H801" s="485"/>
      <c r="I801" s="326"/>
      <c r="J801" s="327"/>
      <c r="K801" s="481" t="s">
        <v>334</v>
      </c>
      <c r="L801" s="326"/>
      <c r="M801" s="327"/>
      <c r="N801" s="486" t="s">
        <v>303</v>
      </c>
      <c r="O801" s="326"/>
      <c r="P801" s="326"/>
      <c r="Q801" s="326"/>
      <c r="R801" s="326"/>
      <c r="S801" s="326"/>
      <c r="T801" s="326"/>
      <c r="U801" s="327"/>
    </row>
    <row r="802" spans="1:21" ht="34.5" customHeight="1" x14ac:dyDescent="0.25">
      <c r="A802" s="10">
        <f t="shared" si="3"/>
        <v>788</v>
      </c>
      <c r="B802" s="479" t="s">
        <v>303</v>
      </c>
      <c r="C802" s="327"/>
      <c r="D802" s="480" t="s">
        <v>303</v>
      </c>
      <c r="E802" s="327"/>
      <c r="F802" s="481" t="s">
        <v>334</v>
      </c>
      <c r="G802" s="327"/>
      <c r="H802" s="482"/>
      <c r="I802" s="326"/>
      <c r="J802" s="327"/>
      <c r="K802" s="481" t="s">
        <v>334</v>
      </c>
      <c r="L802" s="326"/>
      <c r="M802" s="327"/>
      <c r="N802" s="439" t="s">
        <v>303</v>
      </c>
      <c r="O802" s="326"/>
      <c r="P802" s="326"/>
      <c r="Q802" s="326"/>
      <c r="R802" s="326"/>
      <c r="S802" s="326"/>
      <c r="T802" s="326"/>
      <c r="U802" s="327"/>
    </row>
    <row r="803" spans="1:21" ht="34.5" customHeight="1" x14ac:dyDescent="0.25">
      <c r="A803" s="10">
        <f t="shared" si="3"/>
        <v>789</v>
      </c>
      <c r="B803" s="479" t="s">
        <v>303</v>
      </c>
      <c r="C803" s="327"/>
      <c r="D803" s="480" t="s">
        <v>303</v>
      </c>
      <c r="E803" s="327"/>
      <c r="F803" s="481" t="s">
        <v>334</v>
      </c>
      <c r="G803" s="327"/>
      <c r="H803" s="482"/>
      <c r="I803" s="326"/>
      <c r="J803" s="327"/>
      <c r="K803" s="481" t="s">
        <v>334</v>
      </c>
      <c r="L803" s="326"/>
      <c r="M803" s="327"/>
      <c r="N803" s="439" t="s">
        <v>303</v>
      </c>
      <c r="O803" s="326"/>
      <c r="P803" s="326"/>
      <c r="Q803" s="326"/>
      <c r="R803" s="326"/>
      <c r="S803" s="326"/>
      <c r="T803" s="326"/>
      <c r="U803" s="327"/>
    </row>
    <row r="804" spans="1:21" ht="34.5" customHeight="1" x14ac:dyDescent="0.25">
      <c r="A804" s="10">
        <f t="shared" si="3"/>
        <v>790</v>
      </c>
      <c r="B804" s="483" t="s">
        <v>303</v>
      </c>
      <c r="C804" s="327"/>
      <c r="D804" s="484" t="s">
        <v>303</v>
      </c>
      <c r="E804" s="327"/>
      <c r="F804" s="481" t="s">
        <v>334</v>
      </c>
      <c r="G804" s="327"/>
      <c r="H804" s="485"/>
      <c r="I804" s="326"/>
      <c r="J804" s="327"/>
      <c r="K804" s="481" t="s">
        <v>334</v>
      </c>
      <c r="L804" s="326"/>
      <c r="M804" s="327"/>
      <c r="N804" s="486"/>
      <c r="O804" s="326"/>
      <c r="P804" s="326"/>
      <c r="Q804" s="326"/>
      <c r="R804" s="326"/>
      <c r="S804" s="326"/>
      <c r="T804" s="326"/>
      <c r="U804" s="327"/>
    </row>
    <row r="805" spans="1:21" ht="34.5" customHeight="1" x14ac:dyDescent="0.25">
      <c r="A805" s="10">
        <f t="shared" si="3"/>
        <v>791</v>
      </c>
      <c r="B805" s="479" t="s">
        <v>303</v>
      </c>
      <c r="C805" s="327"/>
      <c r="D805" s="480" t="s">
        <v>303</v>
      </c>
      <c r="E805" s="327"/>
      <c r="F805" s="481" t="s">
        <v>334</v>
      </c>
      <c r="G805" s="327"/>
      <c r="H805" s="482"/>
      <c r="I805" s="326"/>
      <c r="J805" s="327"/>
      <c r="K805" s="481" t="s">
        <v>334</v>
      </c>
      <c r="L805" s="326"/>
      <c r="M805" s="327"/>
      <c r="N805" s="439" t="s">
        <v>303</v>
      </c>
      <c r="O805" s="326"/>
      <c r="P805" s="326"/>
      <c r="Q805" s="326"/>
      <c r="R805" s="326"/>
      <c r="S805" s="326"/>
      <c r="T805" s="326"/>
      <c r="U805" s="327"/>
    </row>
    <row r="806" spans="1:21" ht="34.5" customHeight="1" x14ac:dyDescent="0.25">
      <c r="A806" s="10">
        <f t="shared" si="3"/>
        <v>792</v>
      </c>
      <c r="B806" s="483" t="s">
        <v>303</v>
      </c>
      <c r="C806" s="327"/>
      <c r="D806" s="484" t="s">
        <v>303</v>
      </c>
      <c r="E806" s="327"/>
      <c r="F806" s="481" t="s">
        <v>334</v>
      </c>
      <c r="G806" s="327"/>
      <c r="H806" s="485"/>
      <c r="I806" s="326"/>
      <c r="J806" s="327"/>
      <c r="K806" s="481" t="s">
        <v>334</v>
      </c>
      <c r="L806" s="326"/>
      <c r="M806" s="327"/>
      <c r="N806" s="486" t="s">
        <v>303</v>
      </c>
      <c r="O806" s="326"/>
      <c r="P806" s="326"/>
      <c r="Q806" s="326"/>
      <c r="R806" s="326"/>
      <c r="S806" s="326"/>
      <c r="T806" s="326"/>
      <c r="U806" s="327"/>
    </row>
    <row r="807" spans="1:21" ht="34.5" customHeight="1" x14ac:dyDescent="0.25">
      <c r="A807" s="10">
        <f t="shared" si="3"/>
        <v>793</v>
      </c>
      <c r="B807" s="479" t="s">
        <v>303</v>
      </c>
      <c r="C807" s="327"/>
      <c r="D807" s="480" t="s">
        <v>303</v>
      </c>
      <c r="E807" s="327"/>
      <c r="F807" s="481" t="s">
        <v>334</v>
      </c>
      <c r="G807" s="327"/>
      <c r="H807" s="482"/>
      <c r="I807" s="326"/>
      <c r="J807" s="327"/>
      <c r="K807" s="481" t="s">
        <v>334</v>
      </c>
      <c r="L807" s="326"/>
      <c r="M807" s="327"/>
      <c r="N807" s="439" t="s">
        <v>303</v>
      </c>
      <c r="O807" s="326"/>
      <c r="P807" s="326"/>
      <c r="Q807" s="326"/>
      <c r="R807" s="326"/>
      <c r="S807" s="326"/>
      <c r="T807" s="326"/>
      <c r="U807" s="327"/>
    </row>
    <row r="808" spans="1:21" ht="34.5" customHeight="1" x14ac:dyDescent="0.25">
      <c r="A808" s="10">
        <f t="shared" si="3"/>
        <v>794</v>
      </c>
      <c r="B808" s="483" t="s">
        <v>303</v>
      </c>
      <c r="C808" s="327"/>
      <c r="D808" s="484" t="s">
        <v>303</v>
      </c>
      <c r="E808" s="327"/>
      <c r="F808" s="481" t="s">
        <v>334</v>
      </c>
      <c r="G808" s="327"/>
      <c r="H808" s="485"/>
      <c r="I808" s="326"/>
      <c r="J808" s="327"/>
      <c r="K808" s="481" t="s">
        <v>334</v>
      </c>
      <c r="L808" s="326"/>
      <c r="M808" s="327"/>
      <c r="N808" s="486" t="s">
        <v>303</v>
      </c>
      <c r="O808" s="326"/>
      <c r="P808" s="326"/>
      <c r="Q808" s="326"/>
      <c r="R808" s="326"/>
      <c r="S808" s="326"/>
      <c r="T808" s="326"/>
      <c r="U808" s="327"/>
    </row>
    <row r="809" spans="1:21" ht="34.5" customHeight="1" x14ac:dyDescent="0.25">
      <c r="A809" s="10">
        <f t="shared" si="3"/>
        <v>795</v>
      </c>
      <c r="B809" s="479" t="s">
        <v>303</v>
      </c>
      <c r="C809" s="327"/>
      <c r="D809" s="480" t="s">
        <v>303</v>
      </c>
      <c r="E809" s="327"/>
      <c r="F809" s="481" t="s">
        <v>334</v>
      </c>
      <c r="G809" s="327"/>
      <c r="H809" s="482"/>
      <c r="I809" s="326"/>
      <c r="J809" s="327"/>
      <c r="K809" s="481" t="s">
        <v>334</v>
      </c>
      <c r="L809" s="326"/>
      <c r="M809" s="327"/>
      <c r="N809" s="439" t="s">
        <v>303</v>
      </c>
      <c r="O809" s="326"/>
      <c r="P809" s="326"/>
      <c r="Q809" s="326"/>
      <c r="R809" s="326"/>
      <c r="S809" s="326"/>
      <c r="T809" s="326"/>
      <c r="U809" s="327"/>
    </row>
    <row r="810" spans="1:21" ht="34.5" customHeight="1" x14ac:dyDescent="0.25">
      <c r="A810" s="10">
        <f t="shared" si="3"/>
        <v>796</v>
      </c>
      <c r="B810" s="483" t="s">
        <v>303</v>
      </c>
      <c r="C810" s="327"/>
      <c r="D810" s="484" t="s">
        <v>303</v>
      </c>
      <c r="E810" s="327"/>
      <c r="F810" s="481" t="s">
        <v>334</v>
      </c>
      <c r="G810" s="327"/>
      <c r="H810" s="485"/>
      <c r="I810" s="326"/>
      <c r="J810" s="327"/>
      <c r="K810" s="481" t="s">
        <v>334</v>
      </c>
      <c r="L810" s="326"/>
      <c r="M810" s="327"/>
      <c r="N810" s="486" t="s">
        <v>303</v>
      </c>
      <c r="O810" s="326"/>
      <c r="P810" s="326"/>
      <c r="Q810" s="326"/>
      <c r="R810" s="326"/>
      <c r="S810" s="326"/>
      <c r="T810" s="326"/>
      <c r="U810" s="327"/>
    </row>
    <row r="811" spans="1:21" ht="34.5" customHeight="1" x14ac:dyDescent="0.25">
      <c r="A811" s="10">
        <f t="shared" si="3"/>
        <v>797</v>
      </c>
      <c r="B811" s="479" t="s">
        <v>303</v>
      </c>
      <c r="C811" s="327"/>
      <c r="D811" s="480" t="s">
        <v>303</v>
      </c>
      <c r="E811" s="327"/>
      <c r="F811" s="481" t="s">
        <v>334</v>
      </c>
      <c r="G811" s="327"/>
      <c r="H811" s="482"/>
      <c r="I811" s="326"/>
      <c r="J811" s="327"/>
      <c r="K811" s="481" t="s">
        <v>334</v>
      </c>
      <c r="L811" s="326"/>
      <c r="M811" s="327"/>
      <c r="N811" s="439" t="s">
        <v>303</v>
      </c>
      <c r="O811" s="326"/>
      <c r="P811" s="326"/>
      <c r="Q811" s="326"/>
      <c r="R811" s="326"/>
      <c r="S811" s="326"/>
      <c r="T811" s="326"/>
      <c r="U811" s="327"/>
    </row>
    <row r="812" spans="1:21" ht="34.5" customHeight="1" x14ac:dyDescent="0.25">
      <c r="A812" s="10">
        <f t="shared" si="3"/>
        <v>798</v>
      </c>
      <c r="B812" s="483" t="s">
        <v>303</v>
      </c>
      <c r="C812" s="327"/>
      <c r="D812" s="484" t="s">
        <v>303</v>
      </c>
      <c r="E812" s="327"/>
      <c r="F812" s="481" t="s">
        <v>334</v>
      </c>
      <c r="G812" s="327"/>
      <c r="H812" s="485"/>
      <c r="I812" s="326"/>
      <c r="J812" s="327"/>
      <c r="K812" s="481" t="s">
        <v>334</v>
      </c>
      <c r="L812" s="326"/>
      <c r="M812" s="327"/>
      <c r="N812" s="486" t="s">
        <v>303</v>
      </c>
      <c r="O812" s="326"/>
      <c r="P812" s="326"/>
      <c r="Q812" s="326"/>
      <c r="R812" s="326"/>
      <c r="S812" s="326"/>
      <c r="T812" s="326"/>
      <c r="U812" s="327"/>
    </row>
    <row r="813" spans="1:21" ht="34.5" customHeight="1" x14ac:dyDescent="0.25">
      <c r="A813" s="10">
        <f t="shared" si="3"/>
        <v>799</v>
      </c>
      <c r="B813" s="479" t="s">
        <v>303</v>
      </c>
      <c r="C813" s="327"/>
      <c r="D813" s="480" t="s">
        <v>303</v>
      </c>
      <c r="E813" s="327"/>
      <c r="F813" s="481" t="s">
        <v>334</v>
      </c>
      <c r="G813" s="327"/>
      <c r="H813" s="482"/>
      <c r="I813" s="326"/>
      <c r="J813" s="327"/>
      <c r="K813" s="481" t="s">
        <v>334</v>
      </c>
      <c r="L813" s="326"/>
      <c r="M813" s="327"/>
      <c r="N813" s="439" t="s">
        <v>303</v>
      </c>
      <c r="O813" s="326"/>
      <c r="P813" s="326"/>
      <c r="Q813" s="326"/>
      <c r="R813" s="326"/>
      <c r="S813" s="326"/>
      <c r="T813" s="326"/>
      <c r="U813" s="327"/>
    </row>
    <row r="814" spans="1:21" ht="34.5" customHeight="1" x14ac:dyDescent="0.25">
      <c r="A814" s="10">
        <f t="shared" si="3"/>
        <v>800</v>
      </c>
      <c r="B814" s="483" t="s">
        <v>303</v>
      </c>
      <c r="C814" s="327"/>
      <c r="D814" s="484" t="s">
        <v>303</v>
      </c>
      <c r="E814" s="327"/>
      <c r="F814" s="481" t="s">
        <v>334</v>
      </c>
      <c r="G814" s="327"/>
      <c r="H814" s="485"/>
      <c r="I814" s="326"/>
      <c r="J814" s="327"/>
      <c r="K814" s="481" t="s">
        <v>334</v>
      </c>
      <c r="L814" s="326"/>
      <c r="M814" s="327"/>
      <c r="N814" s="486" t="s">
        <v>303</v>
      </c>
      <c r="O814" s="326"/>
      <c r="P814" s="326"/>
      <c r="Q814" s="326"/>
      <c r="R814" s="326"/>
      <c r="S814" s="326"/>
      <c r="T814" s="326"/>
      <c r="U814" s="327"/>
    </row>
    <row r="815" spans="1:21" ht="34.5" customHeight="1" x14ac:dyDescent="0.25">
      <c r="A815" s="10">
        <f t="shared" si="3"/>
        <v>801</v>
      </c>
      <c r="B815" s="479" t="s">
        <v>303</v>
      </c>
      <c r="C815" s="327"/>
      <c r="D815" s="480" t="s">
        <v>303</v>
      </c>
      <c r="E815" s="327"/>
      <c r="F815" s="481" t="s">
        <v>334</v>
      </c>
      <c r="G815" s="327"/>
      <c r="H815" s="482"/>
      <c r="I815" s="326"/>
      <c r="J815" s="327"/>
      <c r="K815" s="481" t="s">
        <v>334</v>
      </c>
      <c r="L815" s="326"/>
      <c r="M815" s="327"/>
      <c r="N815" s="439" t="s">
        <v>303</v>
      </c>
      <c r="O815" s="326"/>
      <c r="P815" s="326"/>
      <c r="Q815" s="326"/>
      <c r="R815" s="326"/>
      <c r="S815" s="326"/>
      <c r="T815" s="326"/>
      <c r="U815" s="327"/>
    </row>
    <row r="816" spans="1:21" ht="34.5" customHeight="1" x14ac:dyDescent="0.25">
      <c r="A816" s="10">
        <f t="shared" si="3"/>
        <v>802</v>
      </c>
      <c r="B816" s="483" t="s">
        <v>303</v>
      </c>
      <c r="C816" s="327"/>
      <c r="D816" s="484" t="s">
        <v>303</v>
      </c>
      <c r="E816" s="327"/>
      <c r="F816" s="481" t="s">
        <v>334</v>
      </c>
      <c r="G816" s="327"/>
      <c r="H816" s="485"/>
      <c r="I816" s="326"/>
      <c r="J816" s="327"/>
      <c r="K816" s="481" t="s">
        <v>334</v>
      </c>
      <c r="L816" s="326"/>
      <c r="M816" s="327"/>
      <c r="N816" s="486" t="s">
        <v>303</v>
      </c>
      <c r="O816" s="326"/>
      <c r="P816" s="326"/>
      <c r="Q816" s="326"/>
      <c r="R816" s="326"/>
      <c r="S816" s="326"/>
      <c r="T816" s="326"/>
      <c r="U816" s="327"/>
    </row>
    <row r="817" spans="1:21" ht="34.5" customHeight="1" x14ac:dyDescent="0.25">
      <c r="A817" s="10">
        <f t="shared" si="3"/>
        <v>803</v>
      </c>
      <c r="B817" s="479" t="s">
        <v>303</v>
      </c>
      <c r="C817" s="327"/>
      <c r="D817" s="480" t="s">
        <v>303</v>
      </c>
      <c r="E817" s="327"/>
      <c r="F817" s="481" t="s">
        <v>334</v>
      </c>
      <c r="G817" s="327"/>
      <c r="H817" s="482"/>
      <c r="I817" s="326"/>
      <c r="J817" s="327"/>
      <c r="K817" s="481" t="s">
        <v>334</v>
      </c>
      <c r="L817" s="326"/>
      <c r="M817" s="327"/>
      <c r="N817" s="439" t="s">
        <v>303</v>
      </c>
      <c r="O817" s="326"/>
      <c r="P817" s="326"/>
      <c r="Q817" s="326"/>
      <c r="R817" s="326"/>
      <c r="S817" s="326"/>
      <c r="T817" s="326"/>
      <c r="U817" s="327"/>
    </row>
    <row r="818" spans="1:21" ht="34.5" customHeight="1" x14ac:dyDescent="0.25">
      <c r="A818" s="10">
        <f t="shared" si="3"/>
        <v>804</v>
      </c>
      <c r="B818" s="483" t="s">
        <v>303</v>
      </c>
      <c r="C818" s="327"/>
      <c r="D818" s="484" t="s">
        <v>303</v>
      </c>
      <c r="E818" s="327"/>
      <c r="F818" s="481" t="s">
        <v>334</v>
      </c>
      <c r="G818" s="327"/>
      <c r="H818" s="485"/>
      <c r="I818" s="326"/>
      <c r="J818" s="327"/>
      <c r="K818" s="481" t="s">
        <v>334</v>
      </c>
      <c r="L818" s="326"/>
      <c r="M818" s="327"/>
      <c r="N818" s="486" t="s">
        <v>303</v>
      </c>
      <c r="O818" s="326"/>
      <c r="P818" s="326"/>
      <c r="Q818" s="326"/>
      <c r="R818" s="326"/>
      <c r="S818" s="326"/>
      <c r="T818" s="326"/>
      <c r="U818" s="327"/>
    </row>
    <row r="819" spans="1:21" ht="34.5" customHeight="1" x14ac:dyDescent="0.25">
      <c r="A819" s="10">
        <f t="shared" si="3"/>
        <v>805</v>
      </c>
      <c r="B819" s="479" t="s">
        <v>303</v>
      </c>
      <c r="C819" s="327"/>
      <c r="D819" s="480" t="s">
        <v>303</v>
      </c>
      <c r="E819" s="327"/>
      <c r="F819" s="481" t="s">
        <v>334</v>
      </c>
      <c r="G819" s="327"/>
      <c r="H819" s="482"/>
      <c r="I819" s="326"/>
      <c r="J819" s="327"/>
      <c r="K819" s="481" t="s">
        <v>334</v>
      </c>
      <c r="L819" s="326"/>
      <c r="M819" s="327"/>
      <c r="N819" s="439" t="s">
        <v>303</v>
      </c>
      <c r="O819" s="326"/>
      <c r="P819" s="326"/>
      <c r="Q819" s="326"/>
      <c r="R819" s="326"/>
      <c r="S819" s="326"/>
      <c r="T819" s="326"/>
      <c r="U819" s="327"/>
    </row>
    <row r="820" spans="1:21" ht="34.5" customHeight="1" x14ac:dyDescent="0.25">
      <c r="A820" s="10">
        <f t="shared" si="3"/>
        <v>806</v>
      </c>
      <c r="B820" s="483" t="s">
        <v>303</v>
      </c>
      <c r="C820" s="327"/>
      <c r="D820" s="484" t="s">
        <v>303</v>
      </c>
      <c r="E820" s="327"/>
      <c r="F820" s="481" t="s">
        <v>334</v>
      </c>
      <c r="G820" s="327"/>
      <c r="H820" s="485"/>
      <c r="I820" s="326"/>
      <c r="J820" s="327"/>
      <c r="K820" s="481" t="s">
        <v>334</v>
      </c>
      <c r="L820" s="326"/>
      <c r="M820" s="327"/>
      <c r="N820" s="486" t="s">
        <v>303</v>
      </c>
      <c r="O820" s="326"/>
      <c r="P820" s="326"/>
      <c r="Q820" s="326"/>
      <c r="R820" s="326"/>
      <c r="S820" s="326"/>
      <c r="T820" s="326"/>
      <c r="U820" s="327"/>
    </row>
    <row r="821" spans="1:21" ht="34.5" customHeight="1" x14ac:dyDescent="0.25">
      <c r="A821" s="10">
        <f t="shared" si="3"/>
        <v>807</v>
      </c>
      <c r="B821" s="479" t="s">
        <v>303</v>
      </c>
      <c r="C821" s="327"/>
      <c r="D821" s="480" t="s">
        <v>303</v>
      </c>
      <c r="E821" s="327"/>
      <c r="F821" s="481" t="s">
        <v>334</v>
      </c>
      <c r="G821" s="327"/>
      <c r="H821" s="482"/>
      <c r="I821" s="326"/>
      <c r="J821" s="327"/>
      <c r="K821" s="481" t="s">
        <v>334</v>
      </c>
      <c r="L821" s="326"/>
      <c r="M821" s="327"/>
      <c r="N821" s="439" t="s">
        <v>303</v>
      </c>
      <c r="O821" s="326"/>
      <c r="P821" s="326"/>
      <c r="Q821" s="326"/>
      <c r="R821" s="326"/>
      <c r="S821" s="326"/>
      <c r="T821" s="326"/>
      <c r="U821" s="327"/>
    </row>
    <row r="822" spans="1:21" ht="34.5" customHeight="1" x14ac:dyDescent="0.25">
      <c r="A822" s="10">
        <f t="shared" si="3"/>
        <v>808</v>
      </c>
      <c r="B822" s="483" t="s">
        <v>303</v>
      </c>
      <c r="C822" s="327"/>
      <c r="D822" s="484" t="s">
        <v>303</v>
      </c>
      <c r="E822" s="327"/>
      <c r="F822" s="481" t="s">
        <v>334</v>
      </c>
      <c r="G822" s="327"/>
      <c r="H822" s="485"/>
      <c r="I822" s="326"/>
      <c r="J822" s="327"/>
      <c r="K822" s="481" t="s">
        <v>334</v>
      </c>
      <c r="L822" s="326"/>
      <c r="M822" s="327"/>
      <c r="N822" s="486" t="s">
        <v>303</v>
      </c>
      <c r="O822" s="326"/>
      <c r="P822" s="326"/>
      <c r="Q822" s="326"/>
      <c r="R822" s="326"/>
      <c r="S822" s="326"/>
      <c r="T822" s="326"/>
      <c r="U822" s="327"/>
    </row>
    <row r="823" spans="1:21" ht="34.5" customHeight="1" x14ac:dyDescent="0.25">
      <c r="A823" s="10">
        <f t="shared" si="3"/>
        <v>809</v>
      </c>
      <c r="B823" s="479" t="s">
        <v>303</v>
      </c>
      <c r="C823" s="327"/>
      <c r="D823" s="480" t="s">
        <v>303</v>
      </c>
      <c r="E823" s="327"/>
      <c r="F823" s="481" t="s">
        <v>334</v>
      </c>
      <c r="G823" s="327"/>
      <c r="H823" s="482"/>
      <c r="I823" s="326"/>
      <c r="J823" s="327"/>
      <c r="K823" s="481" t="s">
        <v>334</v>
      </c>
      <c r="L823" s="326"/>
      <c r="M823" s="327"/>
      <c r="N823" s="439" t="s">
        <v>303</v>
      </c>
      <c r="O823" s="326"/>
      <c r="P823" s="326"/>
      <c r="Q823" s="326"/>
      <c r="R823" s="326"/>
      <c r="S823" s="326"/>
      <c r="T823" s="326"/>
      <c r="U823" s="327"/>
    </row>
    <row r="824" spans="1:21" ht="34.5" customHeight="1" x14ac:dyDescent="0.25">
      <c r="A824" s="10">
        <f t="shared" si="3"/>
        <v>810</v>
      </c>
      <c r="B824" s="483" t="s">
        <v>303</v>
      </c>
      <c r="C824" s="327"/>
      <c r="D824" s="484" t="s">
        <v>303</v>
      </c>
      <c r="E824" s="327"/>
      <c r="F824" s="481" t="s">
        <v>334</v>
      </c>
      <c r="G824" s="327"/>
      <c r="H824" s="485"/>
      <c r="I824" s="326"/>
      <c r="J824" s="327"/>
      <c r="K824" s="481" t="s">
        <v>334</v>
      </c>
      <c r="L824" s="326"/>
      <c r="M824" s="327"/>
      <c r="N824" s="486" t="s">
        <v>303</v>
      </c>
      <c r="O824" s="326"/>
      <c r="P824" s="326"/>
      <c r="Q824" s="326"/>
      <c r="R824" s="326"/>
      <c r="S824" s="326"/>
      <c r="T824" s="326"/>
      <c r="U824" s="327"/>
    </row>
    <row r="825" spans="1:21" ht="34.5" customHeight="1" x14ac:dyDescent="0.25">
      <c r="A825" s="10">
        <f t="shared" si="3"/>
        <v>811</v>
      </c>
      <c r="B825" s="479" t="s">
        <v>303</v>
      </c>
      <c r="C825" s="327"/>
      <c r="D825" s="480" t="s">
        <v>303</v>
      </c>
      <c r="E825" s="327"/>
      <c r="F825" s="481" t="s">
        <v>334</v>
      </c>
      <c r="G825" s="327"/>
      <c r="H825" s="482"/>
      <c r="I825" s="326"/>
      <c r="J825" s="327"/>
      <c r="K825" s="481" t="s">
        <v>334</v>
      </c>
      <c r="L825" s="326"/>
      <c r="M825" s="327"/>
      <c r="N825" s="439" t="s">
        <v>303</v>
      </c>
      <c r="O825" s="326"/>
      <c r="P825" s="326"/>
      <c r="Q825" s="326"/>
      <c r="R825" s="326"/>
      <c r="S825" s="326"/>
      <c r="T825" s="326"/>
      <c r="U825" s="327"/>
    </row>
    <row r="826" spans="1:21" ht="34.5" customHeight="1" x14ac:dyDescent="0.25">
      <c r="A826" s="10">
        <f t="shared" si="3"/>
        <v>812</v>
      </c>
      <c r="B826" s="483" t="s">
        <v>303</v>
      </c>
      <c r="C826" s="327"/>
      <c r="D826" s="484" t="s">
        <v>303</v>
      </c>
      <c r="E826" s="327"/>
      <c r="F826" s="481" t="s">
        <v>334</v>
      </c>
      <c r="G826" s="327"/>
      <c r="H826" s="485"/>
      <c r="I826" s="326"/>
      <c r="J826" s="327"/>
      <c r="K826" s="481" t="s">
        <v>334</v>
      </c>
      <c r="L826" s="326"/>
      <c r="M826" s="327"/>
      <c r="N826" s="486" t="s">
        <v>303</v>
      </c>
      <c r="O826" s="326"/>
      <c r="P826" s="326"/>
      <c r="Q826" s="326"/>
      <c r="R826" s="326"/>
      <c r="S826" s="326"/>
      <c r="T826" s="326"/>
      <c r="U826" s="327"/>
    </row>
    <row r="827" spans="1:21" ht="34.5" customHeight="1" x14ac:dyDescent="0.25">
      <c r="A827" s="10">
        <f t="shared" si="3"/>
        <v>813</v>
      </c>
      <c r="B827" s="479" t="s">
        <v>303</v>
      </c>
      <c r="C827" s="327"/>
      <c r="D827" s="480" t="s">
        <v>303</v>
      </c>
      <c r="E827" s="327"/>
      <c r="F827" s="481" t="s">
        <v>334</v>
      </c>
      <c r="G827" s="327"/>
      <c r="H827" s="482"/>
      <c r="I827" s="326"/>
      <c r="J827" s="327"/>
      <c r="K827" s="481" t="s">
        <v>334</v>
      </c>
      <c r="L827" s="326"/>
      <c r="M827" s="327"/>
      <c r="N827" s="439" t="s">
        <v>303</v>
      </c>
      <c r="O827" s="326"/>
      <c r="P827" s="326"/>
      <c r="Q827" s="326"/>
      <c r="R827" s="326"/>
      <c r="S827" s="326"/>
      <c r="T827" s="326"/>
      <c r="U827" s="327"/>
    </row>
    <row r="828" spans="1:21" ht="34.5" customHeight="1" x14ac:dyDescent="0.25">
      <c r="A828" s="10">
        <f t="shared" si="3"/>
        <v>814</v>
      </c>
      <c r="B828" s="483" t="s">
        <v>303</v>
      </c>
      <c r="C828" s="327"/>
      <c r="D828" s="484" t="s">
        <v>303</v>
      </c>
      <c r="E828" s="327"/>
      <c r="F828" s="481" t="s">
        <v>334</v>
      </c>
      <c r="G828" s="327"/>
      <c r="H828" s="485"/>
      <c r="I828" s="326"/>
      <c r="J828" s="327"/>
      <c r="K828" s="481" t="s">
        <v>334</v>
      </c>
      <c r="L828" s="326"/>
      <c r="M828" s="327"/>
      <c r="N828" s="486" t="s">
        <v>303</v>
      </c>
      <c r="O828" s="326"/>
      <c r="P828" s="326"/>
      <c r="Q828" s="326"/>
      <c r="R828" s="326"/>
      <c r="S828" s="326"/>
      <c r="T828" s="326"/>
      <c r="U828" s="327"/>
    </row>
    <row r="829" spans="1:21" ht="34.5" customHeight="1" x14ac:dyDescent="0.25">
      <c r="A829" s="10">
        <f t="shared" si="3"/>
        <v>815</v>
      </c>
      <c r="B829" s="479" t="s">
        <v>303</v>
      </c>
      <c r="C829" s="327"/>
      <c r="D829" s="480" t="s">
        <v>303</v>
      </c>
      <c r="E829" s="327"/>
      <c r="F829" s="481" t="s">
        <v>334</v>
      </c>
      <c r="G829" s="327"/>
      <c r="H829" s="482"/>
      <c r="I829" s="326"/>
      <c r="J829" s="327"/>
      <c r="K829" s="481" t="s">
        <v>334</v>
      </c>
      <c r="L829" s="326"/>
      <c r="M829" s="327"/>
      <c r="N829" s="439" t="s">
        <v>303</v>
      </c>
      <c r="O829" s="326"/>
      <c r="P829" s="326"/>
      <c r="Q829" s="326"/>
      <c r="R829" s="326"/>
      <c r="S829" s="326"/>
      <c r="T829" s="326"/>
      <c r="U829" s="327"/>
    </row>
    <row r="830" spans="1:21" ht="34.5" customHeight="1" x14ac:dyDescent="0.25">
      <c r="A830" s="10">
        <f t="shared" si="3"/>
        <v>816</v>
      </c>
      <c r="B830" s="483" t="s">
        <v>303</v>
      </c>
      <c r="C830" s="327"/>
      <c r="D830" s="484" t="s">
        <v>303</v>
      </c>
      <c r="E830" s="327"/>
      <c r="F830" s="481" t="s">
        <v>334</v>
      </c>
      <c r="G830" s="327"/>
      <c r="H830" s="485"/>
      <c r="I830" s="326"/>
      <c r="J830" s="327"/>
      <c r="K830" s="481" t="s">
        <v>334</v>
      </c>
      <c r="L830" s="326"/>
      <c r="M830" s="327"/>
      <c r="N830" s="486" t="s">
        <v>303</v>
      </c>
      <c r="O830" s="326"/>
      <c r="P830" s="326"/>
      <c r="Q830" s="326"/>
      <c r="R830" s="326"/>
      <c r="S830" s="326"/>
      <c r="T830" s="326"/>
      <c r="U830" s="327"/>
    </row>
    <row r="831" spans="1:21" ht="34.5" customHeight="1" x14ac:dyDescent="0.25">
      <c r="A831" s="10">
        <f t="shared" si="3"/>
        <v>817</v>
      </c>
      <c r="B831" s="479" t="s">
        <v>303</v>
      </c>
      <c r="C831" s="327"/>
      <c r="D831" s="480" t="s">
        <v>303</v>
      </c>
      <c r="E831" s="327"/>
      <c r="F831" s="481" t="s">
        <v>334</v>
      </c>
      <c r="G831" s="327"/>
      <c r="H831" s="482"/>
      <c r="I831" s="326"/>
      <c r="J831" s="327"/>
      <c r="K831" s="481" t="s">
        <v>334</v>
      </c>
      <c r="L831" s="326"/>
      <c r="M831" s="327"/>
      <c r="N831" s="439" t="s">
        <v>303</v>
      </c>
      <c r="O831" s="326"/>
      <c r="P831" s="326"/>
      <c r="Q831" s="326"/>
      <c r="R831" s="326"/>
      <c r="S831" s="326"/>
      <c r="T831" s="326"/>
      <c r="U831" s="327"/>
    </row>
    <row r="832" spans="1:21" ht="34.5" customHeight="1" x14ac:dyDescent="0.25">
      <c r="A832" s="10">
        <f t="shared" si="3"/>
        <v>818</v>
      </c>
      <c r="B832" s="483" t="s">
        <v>303</v>
      </c>
      <c r="C832" s="327"/>
      <c r="D832" s="484" t="s">
        <v>303</v>
      </c>
      <c r="E832" s="327"/>
      <c r="F832" s="481" t="s">
        <v>334</v>
      </c>
      <c r="G832" s="327"/>
      <c r="H832" s="485"/>
      <c r="I832" s="326"/>
      <c r="J832" s="327"/>
      <c r="K832" s="481" t="s">
        <v>334</v>
      </c>
      <c r="L832" s="326"/>
      <c r="M832" s="327"/>
      <c r="N832" s="486" t="s">
        <v>303</v>
      </c>
      <c r="O832" s="326"/>
      <c r="P832" s="326"/>
      <c r="Q832" s="326"/>
      <c r="R832" s="326"/>
      <c r="S832" s="326"/>
      <c r="T832" s="326"/>
      <c r="U832" s="327"/>
    </row>
    <row r="833" spans="1:21" ht="34.5" customHeight="1" x14ac:dyDescent="0.25">
      <c r="A833" s="10">
        <f t="shared" si="3"/>
        <v>819</v>
      </c>
      <c r="B833" s="479" t="s">
        <v>303</v>
      </c>
      <c r="C833" s="327"/>
      <c r="D833" s="480" t="s">
        <v>303</v>
      </c>
      <c r="E833" s="327"/>
      <c r="F833" s="481" t="s">
        <v>334</v>
      </c>
      <c r="G833" s="327"/>
      <c r="H833" s="482"/>
      <c r="I833" s="326"/>
      <c r="J833" s="327"/>
      <c r="K833" s="481" t="s">
        <v>334</v>
      </c>
      <c r="L833" s="326"/>
      <c r="M833" s="327"/>
      <c r="N833" s="439" t="s">
        <v>303</v>
      </c>
      <c r="O833" s="326"/>
      <c r="P833" s="326"/>
      <c r="Q833" s="326"/>
      <c r="R833" s="326"/>
      <c r="S833" s="326"/>
      <c r="T833" s="326"/>
      <c r="U833" s="327"/>
    </row>
    <row r="834" spans="1:21" ht="34.5" customHeight="1" x14ac:dyDescent="0.25">
      <c r="A834" s="10">
        <f t="shared" si="3"/>
        <v>820</v>
      </c>
      <c r="B834" s="483" t="s">
        <v>303</v>
      </c>
      <c r="C834" s="327"/>
      <c r="D834" s="484" t="s">
        <v>303</v>
      </c>
      <c r="E834" s="327"/>
      <c r="F834" s="481" t="s">
        <v>334</v>
      </c>
      <c r="G834" s="327"/>
      <c r="H834" s="485"/>
      <c r="I834" s="326"/>
      <c r="J834" s="327"/>
      <c r="K834" s="481" t="s">
        <v>334</v>
      </c>
      <c r="L834" s="326"/>
      <c r="M834" s="327"/>
      <c r="N834" s="486" t="s">
        <v>303</v>
      </c>
      <c r="O834" s="326"/>
      <c r="P834" s="326"/>
      <c r="Q834" s="326"/>
      <c r="R834" s="326"/>
      <c r="S834" s="326"/>
      <c r="T834" s="326"/>
      <c r="U834" s="327"/>
    </row>
    <row r="835" spans="1:21" ht="34.5" customHeight="1" x14ac:dyDescent="0.25">
      <c r="A835" s="10">
        <f t="shared" si="3"/>
        <v>821</v>
      </c>
      <c r="B835" s="479" t="s">
        <v>303</v>
      </c>
      <c r="C835" s="327"/>
      <c r="D835" s="480" t="s">
        <v>303</v>
      </c>
      <c r="E835" s="327"/>
      <c r="F835" s="481" t="s">
        <v>334</v>
      </c>
      <c r="G835" s="327"/>
      <c r="H835" s="482"/>
      <c r="I835" s="326"/>
      <c r="J835" s="327"/>
      <c r="K835" s="481" t="s">
        <v>334</v>
      </c>
      <c r="L835" s="326"/>
      <c r="M835" s="327"/>
      <c r="N835" s="439" t="s">
        <v>303</v>
      </c>
      <c r="O835" s="326"/>
      <c r="P835" s="326"/>
      <c r="Q835" s="326"/>
      <c r="R835" s="326"/>
      <c r="S835" s="326"/>
      <c r="T835" s="326"/>
      <c r="U835" s="327"/>
    </row>
    <row r="836" spans="1:21" ht="34.5" customHeight="1" x14ac:dyDescent="0.25">
      <c r="A836" s="10">
        <f t="shared" si="3"/>
        <v>822</v>
      </c>
      <c r="B836" s="483" t="s">
        <v>303</v>
      </c>
      <c r="C836" s="327"/>
      <c r="D836" s="484" t="s">
        <v>303</v>
      </c>
      <c r="E836" s="327"/>
      <c r="F836" s="481" t="s">
        <v>334</v>
      </c>
      <c r="G836" s="327"/>
      <c r="H836" s="485"/>
      <c r="I836" s="326"/>
      <c r="J836" s="327"/>
      <c r="K836" s="481" t="s">
        <v>334</v>
      </c>
      <c r="L836" s="326"/>
      <c r="M836" s="327"/>
      <c r="N836" s="486" t="s">
        <v>303</v>
      </c>
      <c r="O836" s="326"/>
      <c r="P836" s="326"/>
      <c r="Q836" s="326"/>
      <c r="R836" s="326"/>
      <c r="S836" s="326"/>
      <c r="T836" s="326"/>
      <c r="U836" s="327"/>
    </row>
    <row r="837" spans="1:21" ht="34.5" customHeight="1" x14ac:dyDescent="0.25">
      <c r="A837" s="10">
        <f t="shared" si="3"/>
        <v>823</v>
      </c>
      <c r="B837" s="479" t="s">
        <v>303</v>
      </c>
      <c r="C837" s="327"/>
      <c r="D837" s="480" t="s">
        <v>303</v>
      </c>
      <c r="E837" s="327"/>
      <c r="F837" s="481" t="s">
        <v>334</v>
      </c>
      <c r="G837" s="327"/>
      <c r="H837" s="482"/>
      <c r="I837" s="326"/>
      <c r="J837" s="327"/>
      <c r="K837" s="481" t="s">
        <v>334</v>
      </c>
      <c r="L837" s="326"/>
      <c r="M837" s="327"/>
      <c r="N837" s="439" t="s">
        <v>303</v>
      </c>
      <c r="O837" s="326"/>
      <c r="P837" s="326"/>
      <c r="Q837" s="326"/>
      <c r="R837" s="326"/>
      <c r="S837" s="326"/>
      <c r="T837" s="326"/>
      <c r="U837" s="327"/>
    </row>
    <row r="838" spans="1:21" ht="34.5" customHeight="1" x14ac:dyDescent="0.25">
      <c r="A838" s="10">
        <f t="shared" si="3"/>
        <v>824</v>
      </c>
      <c r="B838" s="483" t="s">
        <v>303</v>
      </c>
      <c r="C838" s="327"/>
      <c r="D838" s="484" t="s">
        <v>303</v>
      </c>
      <c r="E838" s="327"/>
      <c r="F838" s="481" t="s">
        <v>334</v>
      </c>
      <c r="G838" s="327"/>
      <c r="H838" s="485"/>
      <c r="I838" s="326"/>
      <c r="J838" s="327"/>
      <c r="K838" s="481" t="s">
        <v>334</v>
      </c>
      <c r="L838" s="326"/>
      <c r="M838" s="327"/>
      <c r="N838" s="486" t="s">
        <v>303</v>
      </c>
      <c r="O838" s="326"/>
      <c r="P838" s="326"/>
      <c r="Q838" s="326"/>
      <c r="R838" s="326"/>
      <c r="S838" s="326"/>
      <c r="T838" s="326"/>
      <c r="U838" s="327"/>
    </row>
    <row r="839" spans="1:21" ht="34.5" customHeight="1" x14ac:dyDescent="0.25">
      <c r="A839" s="10">
        <f t="shared" si="3"/>
        <v>825</v>
      </c>
      <c r="B839" s="479" t="s">
        <v>303</v>
      </c>
      <c r="C839" s="327"/>
      <c r="D839" s="480" t="s">
        <v>303</v>
      </c>
      <c r="E839" s="327"/>
      <c r="F839" s="481" t="s">
        <v>334</v>
      </c>
      <c r="G839" s="327"/>
      <c r="H839" s="482"/>
      <c r="I839" s="326"/>
      <c r="J839" s="327"/>
      <c r="K839" s="481" t="s">
        <v>334</v>
      </c>
      <c r="L839" s="326"/>
      <c r="M839" s="327"/>
      <c r="N839" s="439" t="s">
        <v>303</v>
      </c>
      <c r="O839" s="326"/>
      <c r="P839" s="326"/>
      <c r="Q839" s="326"/>
      <c r="R839" s="326"/>
      <c r="S839" s="326"/>
      <c r="T839" s="326"/>
      <c r="U839" s="327"/>
    </row>
    <row r="840" spans="1:21" ht="34.5" customHeight="1" x14ac:dyDescent="0.25">
      <c r="A840" s="10">
        <f t="shared" si="3"/>
        <v>826</v>
      </c>
      <c r="B840" s="483" t="s">
        <v>303</v>
      </c>
      <c r="C840" s="327"/>
      <c r="D840" s="484" t="s">
        <v>303</v>
      </c>
      <c r="E840" s="327"/>
      <c r="F840" s="481" t="s">
        <v>334</v>
      </c>
      <c r="G840" s="327"/>
      <c r="H840" s="485"/>
      <c r="I840" s="326"/>
      <c r="J840" s="327"/>
      <c r="K840" s="481" t="s">
        <v>334</v>
      </c>
      <c r="L840" s="326"/>
      <c r="M840" s="327"/>
      <c r="N840" s="486" t="s">
        <v>303</v>
      </c>
      <c r="O840" s="326"/>
      <c r="P840" s="326"/>
      <c r="Q840" s="326"/>
      <c r="R840" s="326"/>
      <c r="S840" s="326"/>
      <c r="T840" s="326"/>
      <c r="U840" s="327"/>
    </row>
    <row r="841" spans="1:21" ht="34.5" customHeight="1" x14ac:dyDescent="0.25">
      <c r="A841" s="10">
        <f t="shared" si="3"/>
        <v>827</v>
      </c>
      <c r="B841" s="479" t="s">
        <v>303</v>
      </c>
      <c r="C841" s="327"/>
      <c r="D841" s="480" t="s">
        <v>303</v>
      </c>
      <c r="E841" s="327"/>
      <c r="F841" s="481" t="s">
        <v>334</v>
      </c>
      <c r="G841" s="327"/>
      <c r="H841" s="482"/>
      <c r="I841" s="326"/>
      <c r="J841" s="327"/>
      <c r="K841" s="481" t="s">
        <v>334</v>
      </c>
      <c r="L841" s="326"/>
      <c r="M841" s="327"/>
      <c r="N841" s="439" t="s">
        <v>303</v>
      </c>
      <c r="O841" s="326"/>
      <c r="P841" s="326"/>
      <c r="Q841" s="326"/>
      <c r="R841" s="326"/>
      <c r="S841" s="326"/>
      <c r="T841" s="326"/>
      <c r="U841" s="327"/>
    </row>
    <row r="842" spans="1:21" ht="34.5" customHeight="1" x14ac:dyDescent="0.25">
      <c r="A842" s="10">
        <f t="shared" si="3"/>
        <v>828</v>
      </c>
      <c r="B842" s="483" t="s">
        <v>303</v>
      </c>
      <c r="C842" s="327"/>
      <c r="D842" s="484" t="s">
        <v>303</v>
      </c>
      <c r="E842" s="327"/>
      <c r="F842" s="481" t="s">
        <v>334</v>
      </c>
      <c r="G842" s="327"/>
      <c r="H842" s="485"/>
      <c r="I842" s="326"/>
      <c r="J842" s="327"/>
      <c r="K842" s="481" t="s">
        <v>334</v>
      </c>
      <c r="L842" s="326"/>
      <c r="M842" s="327"/>
      <c r="N842" s="486" t="s">
        <v>303</v>
      </c>
      <c r="O842" s="326"/>
      <c r="P842" s="326"/>
      <c r="Q842" s="326"/>
      <c r="R842" s="326"/>
      <c r="S842" s="326"/>
      <c r="T842" s="326"/>
      <c r="U842" s="327"/>
    </row>
    <row r="843" spans="1:21" ht="34.5" customHeight="1" x14ac:dyDescent="0.25">
      <c r="A843" s="10">
        <f t="shared" si="3"/>
        <v>829</v>
      </c>
      <c r="B843" s="479" t="s">
        <v>303</v>
      </c>
      <c r="C843" s="327"/>
      <c r="D843" s="480" t="s">
        <v>303</v>
      </c>
      <c r="E843" s="327"/>
      <c r="F843" s="481" t="s">
        <v>334</v>
      </c>
      <c r="G843" s="327"/>
      <c r="H843" s="482"/>
      <c r="I843" s="326"/>
      <c r="J843" s="327"/>
      <c r="K843" s="481" t="s">
        <v>334</v>
      </c>
      <c r="L843" s="326"/>
      <c r="M843" s="327"/>
      <c r="N843" s="439" t="s">
        <v>303</v>
      </c>
      <c r="O843" s="326"/>
      <c r="P843" s="326"/>
      <c r="Q843" s="326"/>
      <c r="R843" s="326"/>
      <c r="S843" s="326"/>
      <c r="T843" s="326"/>
      <c r="U843" s="327"/>
    </row>
    <row r="844" spans="1:21" ht="34.5" customHeight="1" x14ac:dyDescent="0.25">
      <c r="A844" s="10">
        <f t="shared" si="3"/>
        <v>830</v>
      </c>
      <c r="B844" s="483" t="s">
        <v>303</v>
      </c>
      <c r="C844" s="327"/>
      <c r="D844" s="484" t="s">
        <v>303</v>
      </c>
      <c r="E844" s="327"/>
      <c r="F844" s="481" t="s">
        <v>334</v>
      </c>
      <c r="G844" s="327"/>
      <c r="H844" s="485"/>
      <c r="I844" s="326"/>
      <c r="J844" s="327"/>
      <c r="K844" s="481" t="s">
        <v>334</v>
      </c>
      <c r="L844" s="326"/>
      <c r="M844" s="327"/>
      <c r="N844" s="486" t="s">
        <v>303</v>
      </c>
      <c r="O844" s="326"/>
      <c r="P844" s="326"/>
      <c r="Q844" s="326"/>
      <c r="R844" s="326"/>
      <c r="S844" s="326"/>
      <c r="T844" s="326"/>
      <c r="U844" s="327"/>
    </row>
    <row r="845" spans="1:21" ht="34.5" customHeight="1" x14ac:dyDescent="0.25">
      <c r="A845" s="10">
        <f t="shared" si="3"/>
        <v>831</v>
      </c>
      <c r="B845" s="479" t="s">
        <v>303</v>
      </c>
      <c r="C845" s="327"/>
      <c r="D845" s="480" t="s">
        <v>303</v>
      </c>
      <c r="E845" s="327"/>
      <c r="F845" s="481" t="s">
        <v>334</v>
      </c>
      <c r="G845" s="327"/>
      <c r="H845" s="482"/>
      <c r="I845" s="326"/>
      <c r="J845" s="327"/>
      <c r="K845" s="481" t="s">
        <v>334</v>
      </c>
      <c r="L845" s="326"/>
      <c r="M845" s="327"/>
      <c r="N845" s="439" t="s">
        <v>303</v>
      </c>
      <c r="O845" s="326"/>
      <c r="P845" s="326"/>
      <c r="Q845" s="326"/>
      <c r="R845" s="326"/>
      <c r="S845" s="326"/>
      <c r="T845" s="326"/>
      <c r="U845" s="327"/>
    </row>
    <row r="846" spans="1:21" ht="34.5" customHeight="1" x14ac:dyDescent="0.25">
      <c r="A846" s="10">
        <f t="shared" si="3"/>
        <v>832</v>
      </c>
      <c r="B846" s="483" t="s">
        <v>303</v>
      </c>
      <c r="C846" s="327"/>
      <c r="D846" s="484" t="s">
        <v>303</v>
      </c>
      <c r="E846" s="327"/>
      <c r="F846" s="481" t="s">
        <v>334</v>
      </c>
      <c r="G846" s="327"/>
      <c r="H846" s="485"/>
      <c r="I846" s="326"/>
      <c r="J846" s="327"/>
      <c r="K846" s="481" t="s">
        <v>334</v>
      </c>
      <c r="L846" s="326"/>
      <c r="M846" s="327"/>
      <c r="N846" s="486" t="s">
        <v>303</v>
      </c>
      <c r="O846" s="326"/>
      <c r="P846" s="326"/>
      <c r="Q846" s="326"/>
      <c r="R846" s="326"/>
      <c r="S846" s="326"/>
      <c r="T846" s="326"/>
      <c r="U846" s="327"/>
    </row>
    <row r="847" spans="1:21" ht="34.5" customHeight="1" x14ac:dyDescent="0.25">
      <c r="A847" s="10">
        <f t="shared" si="3"/>
        <v>833</v>
      </c>
      <c r="B847" s="479" t="s">
        <v>303</v>
      </c>
      <c r="C847" s="327"/>
      <c r="D847" s="480" t="s">
        <v>303</v>
      </c>
      <c r="E847" s="327"/>
      <c r="F847" s="481" t="s">
        <v>334</v>
      </c>
      <c r="G847" s="327"/>
      <c r="H847" s="482"/>
      <c r="I847" s="326"/>
      <c r="J847" s="327"/>
      <c r="K847" s="481" t="s">
        <v>334</v>
      </c>
      <c r="L847" s="326"/>
      <c r="M847" s="327"/>
      <c r="N847" s="439" t="s">
        <v>303</v>
      </c>
      <c r="O847" s="326"/>
      <c r="P847" s="326"/>
      <c r="Q847" s="326"/>
      <c r="R847" s="326"/>
      <c r="S847" s="326"/>
      <c r="T847" s="326"/>
      <c r="U847" s="327"/>
    </row>
    <row r="848" spans="1:21" ht="34.5" customHeight="1" x14ac:dyDescent="0.25">
      <c r="A848" s="10">
        <f t="shared" si="3"/>
        <v>834</v>
      </c>
      <c r="B848" s="483" t="s">
        <v>303</v>
      </c>
      <c r="C848" s="327"/>
      <c r="D848" s="484" t="s">
        <v>303</v>
      </c>
      <c r="E848" s="327"/>
      <c r="F848" s="481" t="s">
        <v>334</v>
      </c>
      <c r="G848" s="327"/>
      <c r="H848" s="485"/>
      <c r="I848" s="326"/>
      <c r="J848" s="327"/>
      <c r="K848" s="481" t="s">
        <v>334</v>
      </c>
      <c r="L848" s="326"/>
      <c r="M848" s="327"/>
      <c r="N848" s="486" t="s">
        <v>303</v>
      </c>
      <c r="O848" s="326"/>
      <c r="P848" s="326"/>
      <c r="Q848" s="326"/>
      <c r="R848" s="326"/>
      <c r="S848" s="326"/>
      <c r="T848" s="326"/>
      <c r="U848" s="327"/>
    </row>
    <row r="849" spans="1:21" ht="34.5" customHeight="1" x14ac:dyDescent="0.25">
      <c r="A849" s="10">
        <f t="shared" si="3"/>
        <v>835</v>
      </c>
      <c r="B849" s="479" t="s">
        <v>303</v>
      </c>
      <c r="C849" s="327"/>
      <c r="D849" s="480" t="s">
        <v>303</v>
      </c>
      <c r="E849" s="327"/>
      <c r="F849" s="481" t="s">
        <v>334</v>
      </c>
      <c r="G849" s="327"/>
      <c r="H849" s="482"/>
      <c r="I849" s="326"/>
      <c r="J849" s="327"/>
      <c r="K849" s="481" t="s">
        <v>334</v>
      </c>
      <c r="L849" s="326"/>
      <c r="M849" s="327"/>
      <c r="N849" s="439" t="s">
        <v>303</v>
      </c>
      <c r="O849" s="326"/>
      <c r="P849" s="326"/>
      <c r="Q849" s="326"/>
      <c r="R849" s="326"/>
      <c r="S849" s="326"/>
      <c r="T849" s="326"/>
      <c r="U849" s="327"/>
    </row>
    <row r="850" spans="1:21" ht="34.5" customHeight="1" x14ac:dyDescent="0.25">
      <c r="A850" s="10">
        <f t="shared" si="3"/>
        <v>836</v>
      </c>
      <c r="B850" s="483" t="s">
        <v>303</v>
      </c>
      <c r="C850" s="327"/>
      <c r="D850" s="484" t="s">
        <v>303</v>
      </c>
      <c r="E850" s="327"/>
      <c r="F850" s="481" t="s">
        <v>334</v>
      </c>
      <c r="G850" s="327"/>
      <c r="H850" s="485"/>
      <c r="I850" s="326"/>
      <c r="J850" s="327"/>
      <c r="K850" s="481" t="s">
        <v>334</v>
      </c>
      <c r="L850" s="326"/>
      <c r="M850" s="327"/>
      <c r="N850" s="486" t="s">
        <v>303</v>
      </c>
      <c r="O850" s="326"/>
      <c r="P850" s="326"/>
      <c r="Q850" s="326"/>
      <c r="R850" s="326"/>
      <c r="S850" s="326"/>
      <c r="T850" s="326"/>
      <c r="U850" s="327"/>
    </row>
    <row r="851" spans="1:21" ht="34.5" customHeight="1" x14ac:dyDescent="0.25">
      <c r="A851" s="10">
        <f t="shared" si="3"/>
        <v>837</v>
      </c>
      <c r="B851" s="479" t="s">
        <v>303</v>
      </c>
      <c r="C851" s="327"/>
      <c r="D851" s="480" t="s">
        <v>303</v>
      </c>
      <c r="E851" s="327"/>
      <c r="F851" s="481" t="s">
        <v>334</v>
      </c>
      <c r="G851" s="327"/>
      <c r="H851" s="482"/>
      <c r="I851" s="326"/>
      <c r="J851" s="327"/>
      <c r="K851" s="481" t="s">
        <v>334</v>
      </c>
      <c r="L851" s="326"/>
      <c r="M851" s="327"/>
      <c r="N851" s="439" t="s">
        <v>303</v>
      </c>
      <c r="O851" s="326"/>
      <c r="P851" s="326"/>
      <c r="Q851" s="326"/>
      <c r="R851" s="326"/>
      <c r="S851" s="326"/>
      <c r="T851" s="326"/>
      <c r="U851" s="327"/>
    </row>
    <row r="852" spans="1:21" ht="34.5" customHeight="1" x14ac:dyDescent="0.25">
      <c r="A852" s="10">
        <f t="shared" si="3"/>
        <v>838</v>
      </c>
      <c r="B852" s="483" t="s">
        <v>303</v>
      </c>
      <c r="C852" s="327"/>
      <c r="D852" s="484" t="s">
        <v>303</v>
      </c>
      <c r="E852" s="327"/>
      <c r="F852" s="481" t="s">
        <v>334</v>
      </c>
      <c r="G852" s="327"/>
      <c r="H852" s="485"/>
      <c r="I852" s="326"/>
      <c r="J852" s="327"/>
      <c r="K852" s="481" t="s">
        <v>334</v>
      </c>
      <c r="L852" s="326"/>
      <c r="M852" s="327"/>
      <c r="N852" s="486" t="s">
        <v>303</v>
      </c>
      <c r="O852" s="326"/>
      <c r="P852" s="326"/>
      <c r="Q852" s="326"/>
      <c r="R852" s="326"/>
      <c r="S852" s="326"/>
      <c r="T852" s="326"/>
      <c r="U852" s="327"/>
    </row>
    <row r="853" spans="1:21" ht="34.5" customHeight="1" x14ac:dyDescent="0.25">
      <c r="A853" s="10">
        <f t="shared" si="3"/>
        <v>839</v>
      </c>
      <c r="B853" s="479" t="s">
        <v>303</v>
      </c>
      <c r="C853" s="327"/>
      <c r="D853" s="480" t="s">
        <v>303</v>
      </c>
      <c r="E853" s="327"/>
      <c r="F853" s="481" t="s">
        <v>334</v>
      </c>
      <c r="G853" s="327"/>
      <c r="H853" s="482"/>
      <c r="I853" s="326"/>
      <c r="J853" s="327"/>
      <c r="K853" s="481" t="s">
        <v>334</v>
      </c>
      <c r="L853" s="326"/>
      <c r="M853" s="327"/>
      <c r="N853" s="439" t="s">
        <v>303</v>
      </c>
      <c r="O853" s="326"/>
      <c r="P853" s="326"/>
      <c r="Q853" s="326"/>
      <c r="R853" s="326"/>
      <c r="S853" s="326"/>
      <c r="T853" s="326"/>
      <c r="U853" s="327"/>
    </row>
    <row r="854" spans="1:21" ht="34.5" customHeight="1" x14ac:dyDescent="0.25">
      <c r="A854" s="10">
        <f t="shared" si="3"/>
        <v>840</v>
      </c>
      <c r="B854" s="483" t="s">
        <v>303</v>
      </c>
      <c r="C854" s="327"/>
      <c r="D854" s="484" t="s">
        <v>303</v>
      </c>
      <c r="E854" s="327"/>
      <c r="F854" s="481" t="s">
        <v>334</v>
      </c>
      <c r="G854" s="327"/>
      <c r="H854" s="485"/>
      <c r="I854" s="326"/>
      <c r="J854" s="327"/>
      <c r="K854" s="481" t="s">
        <v>334</v>
      </c>
      <c r="L854" s="326"/>
      <c r="M854" s="327"/>
      <c r="N854" s="486" t="s">
        <v>303</v>
      </c>
      <c r="O854" s="326"/>
      <c r="P854" s="326"/>
      <c r="Q854" s="326"/>
      <c r="R854" s="326"/>
      <c r="S854" s="326"/>
      <c r="T854" s="326"/>
      <c r="U854" s="327"/>
    </row>
    <row r="855" spans="1:21" ht="34.5" customHeight="1" x14ac:dyDescent="0.25">
      <c r="A855" s="10">
        <f t="shared" si="3"/>
        <v>841</v>
      </c>
      <c r="B855" s="479" t="s">
        <v>303</v>
      </c>
      <c r="C855" s="327"/>
      <c r="D855" s="480" t="s">
        <v>303</v>
      </c>
      <c r="E855" s="327"/>
      <c r="F855" s="481" t="s">
        <v>334</v>
      </c>
      <c r="G855" s="327"/>
      <c r="H855" s="482"/>
      <c r="I855" s="326"/>
      <c r="J855" s="327"/>
      <c r="K855" s="481" t="s">
        <v>334</v>
      </c>
      <c r="L855" s="326"/>
      <c r="M855" s="327"/>
      <c r="N855" s="439" t="s">
        <v>303</v>
      </c>
      <c r="O855" s="326"/>
      <c r="P855" s="326"/>
      <c r="Q855" s="326"/>
      <c r="R855" s="326"/>
      <c r="S855" s="326"/>
      <c r="T855" s="326"/>
      <c r="U855" s="327"/>
    </row>
    <row r="856" spans="1:21" ht="34.5" customHeight="1" x14ac:dyDescent="0.25">
      <c r="A856" s="10">
        <f t="shared" si="3"/>
        <v>842</v>
      </c>
      <c r="B856" s="483" t="s">
        <v>303</v>
      </c>
      <c r="C856" s="327"/>
      <c r="D856" s="484" t="s">
        <v>303</v>
      </c>
      <c r="E856" s="327"/>
      <c r="F856" s="481" t="s">
        <v>334</v>
      </c>
      <c r="G856" s="327"/>
      <c r="H856" s="485"/>
      <c r="I856" s="326"/>
      <c r="J856" s="327"/>
      <c r="K856" s="481" t="s">
        <v>334</v>
      </c>
      <c r="L856" s="326"/>
      <c r="M856" s="327"/>
      <c r="N856" s="486" t="s">
        <v>303</v>
      </c>
      <c r="O856" s="326"/>
      <c r="P856" s="326"/>
      <c r="Q856" s="326"/>
      <c r="R856" s="326"/>
      <c r="S856" s="326"/>
      <c r="T856" s="326"/>
      <c r="U856" s="327"/>
    </row>
    <row r="857" spans="1:21" ht="34.5" customHeight="1" x14ac:dyDescent="0.25">
      <c r="A857" s="10">
        <f t="shared" si="3"/>
        <v>843</v>
      </c>
      <c r="B857" s="479" t="s">
        <v>303</v>
      </c>
      <c r="C857" s="327"/>
      <c r="D857" s="480" t="s">
        <v>303</v>
      </c>
      <c r="E857" s="327"/>
      <c r="F857" s="481" t="s">
        <v>334</v>
      </c>
      <c r="G857" s="327"/>
      <c r="H857" s="482"/>
      <c r="I857" s="326"/>
      <c r="J857" s="327"/>
      <c r="K857" s="481" t="s">
        <v>334</v>
      </c>
      <c r="L857" s="326"/>
      <c r="M857" s="327"/>
      <c r="N857" s="439" t="s">
        <v>303</v>
      </c>
      <c r="O857" s="326"/>
      <c r="P857" s="326"/>
      <c r="Q857" s="326"/>
      <c r="R857" s="326"/>
      <c r="S857" s="326"/>
      <c r="T857" s="326"/>
      <c r="U857" s="327"/>
    </row>
    <row r="858" spans="1:21" ht="34.5" customHeight="1" x14ac:dyDescent="0.25">
      <c r="A858" s="10">
        <f t="shared" si="3"/>
        <v>844</v>
      </c>
      <c r="B858" s="483" t="s">
        <v>303</v>
      </c>
      <c r="C858" s="327"/>
      <c r="D858" s="484" t="s">
        <v>303</v>
      </c>
      <c r="E858" s="327"/>
      <c r="F858" s="481" t="s">
        <v>334</v>
      </c>
      <c r="G858" s="327"/>
      <c r="H858" s="485"/>
      <c r="I858" s="326"/>
      <c r="J858" s="327"/>
      <c r="K858" s="481" t="s">
        <v>334</v>
      </c>
      <c r="L858" s="326"/>
      <c r="M858" s="327"/>
      <c r="N858" s="486" t="s">
        <v>303</v>
      </c>
      <c r="O858" s="326"/>
      <c r="P858" s="326"/>
      <c r="Q858" s="326"/>
      <c r="R858" s="326"/>
      <c r="S858" s="326"/>
      <c r="T858" s="326"/>
      <c r="U858" s="327"/>
    </row>
    <row r="859" spans="1:21" ht="34.5" customHeight="1" x14ac:dyDescent="0.25">
      <c r="A859" s="10">
        <f t="shared" si="3"/>
        <v>845</v>
      </c>
      <c r="B859" s="479" t="s">
        <v>303</v>
      </c>
      <c r="C859" s="327"/>
      <c r="D859" s="480" t="s">
        <v>303</v>
      </c>
      <c r="E859" s="327"/>
      <c r="F859" s="481" t="s">
        <v>334</v>
      </c>
      <c r="G859" s="327"/>
      <c r="H859" s="482"/>
      <c r="I859" s="326"/>
      <c r="J859" s="327"/>
      <c r="K859" s="481" t="s">
        <v>334</v>
      </c>
      <c r="L859" s="326"/>
      <c r="M859" s="327"/>
      <c r="N859" s="439" t="s">
        <v>303</v>
      </c>
      <c r="O859" s="326"/>
      <c r="P859" s="326"/>
      <c r="Q859" s="326"/>
      <c r="R859" s="326"/>
      <c r="S859" s="326"/>
      <c r="T859" s="326"/>
      <c r="U859" s="327"/>
    </row>
    <row r="860" spans="1:21" ht="34.5" customHeight="1" x14ac:dyDescent="0.25">
      <c r="A860" s="10">
        <f t="shared" si="3"/>
        <v>846</v>
      </c>
      <c r="B860" s="483" t="s">
        <v>303</v>
      </c>
      <c r="C860" s="327"/>
      <c r="D860" s="484" t="s">
        <v>303</v>
      </c>
      <c r="E860" s="327"/>
      <c r="F860" s="481" t="s">
        <v>334</v>
      </c>
      <c r="G860" s="327"/>
      <c r="H860" s="485"/>
      <c r="I860" s="326"/>
      <c r="J860" s="327"/>
      <c r="K860" s="481" t="s">
        <v>334</v>
      </c>
      <c r="L860" s="326"/>
      <c r="M860" s="327"/>
      <c r="N860" s="486" t="s">
        <v>303</v>
      </c>
      <c r="O860" s="326"/>
      <c r="P860" s="326"/>
      <c r="Q860" s="326"/>
      <c r="R860" s="326"/>
      <c r="S860" s="326"/>
      <c r="T860" s="326"/>
      <c r="U860" s="327"/>
    </row>
    <row r="861" spans="1:21" ht="34.5" customHeight="1" x14ac:dyDescent="0.25">
      <c r="A861" s="10">
        <f t="shared" si="3"/>
        <v>847</v>
      </c>
      <c r="B861" s="479" t="s">
        <v>303</v>
      </c>
      <c r="C861" s="327"/>
      <c r="D861" s="480" t="s">
        <v>303</v>
      </c>
      <c r="E861" s="327"/>
      <c r="F861" s="481" t="s">
        <v>334</v>
      </c>
      <c r="G861" s="327"/>
      <c r="H861" s="482"/>
      <c r="I861" s="326"/>
      <c r="J861" s="327"/>
      <c r="K861" s="481" t="s">
        <v>334</v>
      </c>
      <c r="L861" s="326"/>
      <c r="M861" s="327"/>
      <c r="N861" s="439" t="s">
        <v>303</v>
      </c>
      <c r="O861" s="326"/>
      <c r="P861" s="326"/>
      <c r="Q861" s="326"/>
      <c r="R861" s="326"/>
      <c r="S861" s="326"/>
      <c r="T861" s="326"/>
      <c r="U861" s="327"/>
    </row>
    <row r="862" spans="1:21" ht="34.5" customHeight="1" x14ac:dyDescent="0.25">
      <c r="A862" s="10">
        <f t="shared" si="3"/>
        <v>848</v>
      </c>
      <c r="B862" s="483" t="s">
        <v>303</v>
      </c>
      <c r="C862" s="327"/>
      <c r="D862" s="484" t="s">
        <v>303</v>
      </c>
      <c r="E862" s="327"/>
      <c r="F862" s="481" t="s">
        <v>334</v>
      </c>
      <c r="G862" s="327"/>
      <c r="H862" s="485"/>
      <c r="I862" s="326"/>
      <c r="J862" s="327"/>
      <c r="K862" s="481" t="s">
        <v>334</v>
      </c>
      <c r="L862" s="326"/>
      <c r="M862" s="327"/>
      <c r="N862" s="486" t="s">
        <v>303</v>
      </c>
      <c r="O862" s="326"/>
      <c r="P862" s="326"/>
      <c r="Q862" s="326"/>
      <c r="R862" s="326"/>
      <c r="S862" s="326"/>
      <c r="T862" s="326"/>
      <c r="U862" s="327"/>
    </row>
    <row r="863" spans="1:21" ht="34.5" customHeight="1" x14ac:dyDescent="0.25">
      <c r="A863" s="10">
        <f t="shared" si="3"/>
        <v>849</v>
      </c>
      <c r="B863" s="479" t="s">
        <v>335</v>
      </c>
      <c r="C863" s="327"/>
      <c r="D863" s="480" t="s">
        <v>303</v>
      </c>
      <c r="E863" s="327"/>
      <c r="F863" s="481" t="s">
        <v>334</v>
      </c>
      <c r="G863" s="327"/>
      <c r="H863" s="482"/>
      <c r="I863" s="326"/>
      <c r="J863" s="327"/>
      <c r="K863" s="481" t="s">
        <v>334</v>
      </c>
      <c r="L863" s="326"/>
      <c r="M863" s="327"/>
      <c r="N863" s="439" t="s">
        <v>303</v>
      </c>
      <c r="O863" s="326"/>
      <c r="P863" s="326"/>
      <c r="Q863" s="326"/>
      <c r="R863" s="326"/>
      <c r="S863" s="326"/>
      <c r="T863" s="326"/>
      <c r="U863" s="327"/>
    </row>
    <row r="864" spans="1:21" ht="34.5" customHeight="1" x14ac:dyDescent="0.25">
      <c r="A864" s="10">
        <f t="shared" si="3"/>
        <v>850</v>
      </c>
      <c r="B864" s="483" t="s">
        <v>303</v>
      </c>
      <c r="C864" s="327"/>
      <c r="D864" s="484" t="s">
        <v>303</v>
      </c>
      <c r="E864" s="327"/>
      <c r="F864" s="481" t="s">
        <v>334</v>
      </c>
      <c r="G864" s="327"/>
      <c r="H864" s="485"/>
      <c r="I864" s="326"/>
      <c r="J864" s="327"/>
      <c r="K864" s="481" t="s">
        <v>334</v>
      </c>
      <c r="L864" s="326"/>
      <c r="M864" s="327"/>
      <c r="N864" s="486" t="s">
        <v>303</v>
      </c>
      <c r="O864" s="326"/>
      <c r="P864" s="326"/>
      <c r="Q864" s="326"/>
      <c r="R864" s="326"/>
      <c r="S864" s="326"/>
      <c r="T864" s="326"/>
      <c r="U864" s="327"/>
    </row>
    <row r="865" spans="1:21" ht="34.5" customHeight="1" x14ac:dyDescent="0.25">
      <c r="A865" s="10">
        <f t="shared" si="3"/>
        <v>851</v>
      </c>
      <c r="B865" s="479" t="s">
        <v>303</v>
      </c>
      <c r="C865" s="327"/>
      <c r="D865" s="480" t="s">
        <v>303</v>
      </c>
      <c r="E865" s="327"/>
      <c r="F865" s="481" t="s">
        <v>334</v>
      </c>
      <c r="G865" s="327"/>
      <c r="H865" s="482"/>
      <c r="I865" s="326"/>
      <c r="J865" s="327"/>
      <c r="K865" s="481" t="s">
        <v>334</v>
      </c>
      <c r="L865" s="326"/>
      <c r="M865" s="327"/>
      <c r="N865" s="439" t="s">
        <v>303</v>
      </c>
      <c r="O865" s="326"/>
      <c r="P865" s="326"/>
      <c r="Q865" s="326"/>
      <c r="R865" s="326"/>
      <c r="S865" s="326"/>
      <c r="T865" s="326"/>
      <c r="U865" s="327"/>
    </row>
    <row r="866" spans="1:21" ht="34.5" customHeight="1" x14ac:dyDescent="0.25">
      <c r="A866" s="10">
        <f t="shared" si="3"/>
        <v>852</v>
      </c>
      <c r="B866" s="483" t="s">
        <v>303</v>
      </c>
      <c r="C866" s="327"/>
      <c r="D866" s="484" t="s">
        <v>303</v>
      </c>
      <c r="E866" s="327"/>
      <c r="F866" s="481" t="s">
        <v>334</v>
      </c>
      <c r="G866" s="327"/>
      <c r="H866" s="485"/>
      <c r="I866" s="326"/>
      <c r="J866" s="327"/>
      <c r="K866" s="481" t="s">
        <v>334</v>
      </c>
      <c r="L866" s="326"/>
      <c r="M866" s="327"/>
      <c r="N866" s="486" t="s">
        <v>303</v>
      </c>
      <c r="O866" s="326"/>
      <c r="P866" s="326"/>
      <c r="Q866" s="326"/>
      <c r="R866" s="326"/>
      <c r="S866" s="326"/>
      <c r="T866" s="326"/>
      <c r="U866" s="327"/>
    </row>
    <row r="867" spans="1:21" ht="34.5" customHeight="1" x14ac:dyDescent="0.25">
      <c r="A867" s="10">
        <f t="shared" si="3"/>
        <v>853</v>
      </c>
      <c r="B867" s="479" t="s">
        <v>303</v>
      </c>
      <c r="C867" s="327"/>
      <c r="D867" s="480" t="s">
        <v>303</v>
      </c>
      <c r="E867" s="327"/>
      <c r="F867" s="481" t="s">
        <v>334</v>
      </c>
      <c r="G867" s="327"/>
      <c r="H867" s="482"/>
      <c r="I867" s="326"/>
      <c r="J867" s="327"/>
      <c r="K867" s="481" t="s">
        <v>334</v>
      </c>
      <c r="L867" s="326"/>
      <c r="M867" s="327"/>
      <c r="N867" s="439" t="s">
        <v>303</v>
      </c>
      <c r="O867" s="326"/>
      <c r="P867" s="326"/>
      <c r="Q867" s="326"/>
      <c r="R867" s="326"/>
      <c r="S867" s="326"/>
      <c r="T867" s="326"/>
      <c r="U867" s="327"/>
    </row>
    <row r="868" spans="1:21" ht="34.5" customHeight="1" x14ac:dyDescent="0.25">
      <c r="A868" s="10">
        <f t="shared" si="3"/>
        <v>854</v>
      </c>
      <c r="B868" s="483" t="s">
        <v>303</v>
      </c>
      <c r="C868" s="327"/>
      <c r="D868" s="484" t="s">
        <v>303</v>
      </c>
      <c r="E868" s="327"/>
      <c r="F868" s="481" t="s">
        <v>334</v>
      </c>
      <c r="G868" s="327"/>
      <c r="H868" s="485"/>
      <c r="I868" s="326"/>
      <c r="J868" s="327"/>
      <c r="K868" s="481" t="s">
        <v>334</v>
      </c>
      <c r="L868" s="326"/>
      <c r="M868" s="327"/>
      <c r="N868" s="486" t="s">
        <v>303</v>
      </c>
      <c r="O868" s="326"/>
      <c r="P868" s="326"/>
      <c r="Q868" s="326"/>
      <c r="R868" s="326"/>
      <c r="S868" s="326"/>
      <c r="T868" s="326"/>
      <c r="U868" s="327"/>
    </row>
    <row r="869" spans="1:21" ht="34.5" customHeight="1" x14ac:dyDescent="0.25">
      <c r="A869" s="10">
        <f t="shared" si="3"/>
        <v>855</v>
      </c>
      <c r="B869" s="479" t="s">
        <v>336</v>
      </c>
      <c r="C869" s="327"/>
      <c r="D869" s="480" t="s">
        <v>303</v>
      </c>
      <c r="E869" s="327"/>
      <c r="F869" s="481" t="s">
        <v>334</v>
      </c>
      <c r="G869" s="327"/>
      <c r="H869" s="482"/>
      <c r="I869" s="326"/>
      <c r="J869" s="327"/>
      <c r="K869" s="481" t="s">
        <v>334</v>
      </c>
      <c r="L869" s="326"/>
      <c r="M869" s="327"/>
      <c r="N869" s="439" t="s">
        <v>303</v>
      </c>
      <c r="O869" s="326"/>
      <c r="P869" s="326"/>
      <c r="Q869" s="326"/>
      <c r="R869" s="326"/>
      <c r="S869" s="326"/>
      <c r="T869" s="326"/>
      <c r="U869" s="327"/>
    </row>
    <row r="870" spans="1:21" ht="34.5" customHeight="1" x14ac:dyDescent="0.25">
      <c r="A870" s="10">
        <f t="shared" si="3"/>
        <v>856</v>
      </c>
      <c r="B870" s="483" t="s">
        <v>303</v>
      </c>
      <c r="C870" s="327"/>
      <c r="D870" s="484" t="s">
        <v>303</v>
      </c>
      <c r="E870" s="327"/>
      <c r="F870" s="481" t="s">
        <v>334</v>
      </c>
      <c r="G870" s="327"/>
      <c r="H870" s="485"/>
      <c r="I870" s="326"/>
      <c r="J870" s="327"/>
      <c r="K870" s="481" t="s">
        <v>334</v>
      </c>
      <c r="L870" s="326"/>
      <c r="M870" s="327"/>
      <c r="N870" s="486" t="s">
        <v>303</v>
      </c>
      <c r="O870" s="326"/>
      <c r="P870" s="326"/>
      <c r="Q870" s="326"/>
      <c r="R870" s="326"/>
      <c r="S870" s="326"/>
      <c r="T870" s="326"/>
      <c r="U870" s="327"/>
    </row>
    <row r="871" spans="1:21" ht="34.5" customHeight="1" x14ac:dyDescent="0.25">
      <c r="A871" s="10">
        <f t="shared" si="3"/>
        <v>857</v>
      </c>
      <c r="B871" s="479" t="s">
        <v>303</v>
      </c>
      <c r="C871" s="327"/>
      <c r="D871" s="480" t="s">
        <v>303</v>
      </c>
      <c r="E871" s="327"/>
      <c r="F871" s="481" t="s">
        <v>334</v>
      </c>
      <c r="G871" s="327"/>
      <c r="H871" s="482"/>
      <c r="I871" s="326"/>
      <c r="J871" s="327"/>
      <c r="K871" s="481" t="s">
        <v>334</v>
      </c>
      <c r="L871" s="326"/>
      <c r="M871" s="327"/>
      <c r="N871" s="439" t="s">
        <v>303</v>
      </c>
      <c r="O871" s="326"/>
      <c r="P871" s="326"/>
      <c r="Q871" s="326"/>
      <c r="R871" s="326"/>
      <c r="S871" s="326"/>
      <c r="T871" s="326"/>
      <c r="U871" s="327"/>
    </row>
    <row r="872" spans="1:21" ht="34.5" customHeight="1" x14ac:dyDescent="0.25">
      <c r="A872" s="10">
        <f t="shared" si="3"/>
        <v>858</v>
      </c>
      <c r="B872" s="483" t="s">
        <v>303</v>
      </c>
      <c r="C872" s="327"/>
      <c r="D872" s="484" t="s">
        <v>303</v>
      </c>
      <c r="E872" s="327"/>
      <c r="F872" s="481" t="s">
        <v>334</v>
      </c>
      <c r="G872" s="327"/>
      <c r="H872" s="485"/>
      <c r="I872" s="326"/>
      <c r="J872" s="327"/>
      <c r="K872" s="481" t="s">
        <v>334</v>
      </c>
      <c r="L872" s="326"/>
      <c r="M872" s="327"/>
      <c r="N872" s="486" t="s">
        <v>303</v>
      </c>
      <c r="O872" s="326"/>
      <c r="P872" s="326"/>
      <c r="Q872" s="326"/>
      <c r="R872" s="326"/>
      <c r="S872" s="326"/>
      <c r="T872" s="326"/>
      <c r="U872" s="327"/>
    </row>
    <row r="873" spans="1:21" ht="34.5" customHeight="1" x14ac:dyDescent="0.25">
      <c r="A873" s="10">
        <f t="shared" si="3"/>
        <v>859</v>
      </c>
      <c r="B873" s="479" t="s">
        <v>303</v>
      </c>
      <c r="C873" s="327"/>
      <c r="D873" s="480" t="s">
        <v>303</v>
      </c>
      <c r="E873" s="327"/>
      <c r="F873" s="481" t="s">
        <v>334</v>
      </c>
      <c r="G873" s="327"/>
      <c r="H873" s="482"/>
      <c r="I873" s="326"/>
      <c r="J873" s="327"/>
      <c r="K873" s="481" t="s">
        <v>334</v>
      </c>
      <c r="L873" s="326"/>
      <c r="M873" s="327"/>
      <c r="N873" s="439" t="s">
        <v>303</v>
      </c>
      <c r="O873" s="326"/>
      <c r="P873" s="326"/>
      <c r="Q873" s="326"/>
      <c r="R873" s="326"/>
      <c r="S873" s="326"/>
      <c r="T873" s="326"/>
      <c r="U873" s="327"/>
    </row>
    <row r="874" spans="1:21" ht="34.5" customHeight="1" x14ac:dyDescent="0.25">
      <c r="A874" s="10">
        <f t="shared" si="3"/>
        <v>860</v>
      </c>
      <c r="B874" s="483" t="s">
        <v>303</v>
      </c>
      <c r="C874" s="327"/>
      <c r="D874" s="484" t="s">
        <v>303</v>
      </c>
      <c r="E874" s="327"/>
      <c r="F874" s="481" t="s">
        <v>334</v>
      </c>
      <c r="G874" s="327"/>
      <c r="H874" s="485"/>
      <c r="I874" s="326"/>
      <c r="J874" s="327"/>
      <c r="K874" s="481" t="s">
        <v>334</v>
      </c>
      <c r="L874" s="326"/>
      <c r="M874" s="327"/>
      <c r="N874" s="486" t="s">
        <v>303</v>
      </c>
      <c r="O874" s="326"/>
      <c r="P874" s="326"/>
      <c r="Q874" s="326"/>
      <c r="R874" s="326"/>
      <c r="S874" s="326"/>
      <c r="T874" s="326"/>
      <c r="U874" s="327"/>
    </row>
    <row r="875" spans="1:21" ht="34.5" customHeight="1" x14ac:dyDescent="0.25">
      <c r="A875" s="10">
        <f t="shared" si="3"/>
        <v>861</v>
      </c>
      <c r="B875" s="479" t="s">
        <v>303</v>
      </c>
      <c r="C875" s="327"/>
      <c r="D875" s="480" t="s">
        <v>303</v>
      </c>
      <c r="E875" s="327"/>
      <c r="F875" s="481" t="s">
        <v>334</v>
      </c>
      <c r="G875" s="327"/>
      <c r="H875" s="482"/>
      <c r="I875" s="326"/>
      <c r="J875" s="327"/>
      <c r="K875" s="481" t="s">
        <v>334</v>
      </c>
      <c r="L875" s="326"/>
      <c r="M875" s="327"/>
      <c r="N875" s="439" t="s">
        <v>303</v>
      </c>
      <c r="O875" s="326"/>
      <c r="P875" s="326"/>
      <c r="Q875" s="326"/>
      <c r="R875" s="326"/>
      <c r="S875" s="326"/>
      <c r="T875" s="326"/>
      <c r="U875" s="327"/>
    </row>
    <row r="876" spans="1:21" ht="34.5" customHeight="1" x14ac:dyDescent="0.25">
      <c r="A876" s="10">
        <f t="shared" si="3"/>
        <v>862</v>
      </c>
      <c r="B876" s="483" t="s">
        <v>303</v>
      </c>
      <c r="C876" s="327"/>
      <c r="D876" s="484" t="s">
        <v>303</v>
      </c>
      <c r="E876" s="327"/>
      <c r="F876" s="481" t="s">
        <v>334</v>
      </c>
      <c r="G876" s="327"/>
      <c r="H876" s="485"/>
      <c r="I876" s="326"/>
      <c r="J876" s="327"/>
      <c r="K876" s="481" t="s">
        <v>334</v>
      </c>
      <c r="L876" s="326"/>
      <c r="M876" s="327"/>
      <c r="N876" s="486" t="s">
        <v>303</v>
      </c>
      <c r="O876" s="326"/>
      <c r="P876" s="326"/>
      <c r="Q876" s="326"/>
      <c r="R876" s="326"/>
      <c r="S876" s="326"/>
      <c r="T876" s="326"/>
      <c r="U876" s="327"/>
    </row>
    <row r="877" spans="1:21" ht="34.5" customHeight="1" x14ac:dyDescent="0.25">
      <c r="A877" s="10">
        <f t="shared" si="3"/>
        <v>863</v>
      </c>
      <c r="B877" s="479" t="s">
        <v>303</v>
      </c>
      <c r="C877" s="327"/>
      <c r="D877" s="480" t="s">
        <v>303</v>
      </c>
      <c r="E877" s="327"/>
      <c r="F877" s="481" t="s">
        <v>334</v>
      </c>
      <c r="G877" s="327"/>
      <c r="H877" s="482"/>
      <c r="I877" s="326"/>
      <c r="J877" s="327"/>
      <c r="K877" s="481" t="s">
        <v>334</v>
      </c>
      <c r="L877" s="326"/>
      <c r="M877" s="327"/>
      <c r="N877" s="439" t="s">
        <v>303</v>
      </c>
      <c r="O877" s="326"/>
      <c r="P877" s="326"/>
      <c r="Q877" s="326"/>
      <c r="R877" s="326"/>
      <c r="S877" s="326"/>
      <c r="T877" s="326"/>
      <c r="U877" s="327"/>
    </row>
    <row r="878" spans="1:21" ht="34.5" customHeight="1" x14ac:dyDescent="0.25">
      <c r="A878" s="10">
        <f t="shared" si="3"/>
        <v>864</v>
      </c>
      <c r="B878" s="483" t="s">
        <v>303</v>
      </c>
      <c r="C878" s="327"/>
      <c r="D878" s="484" t="s">
        <v>303</v>
      </c>
      <c r="E878" s="327"/>
      <c r="F878" s="481" t="s">
        <v>334</v>
      </c>
      <c r="G878" s="327"/>
      <c r="H878" s="485"/>
      <c r="I878" s="326"/>
      <c r="J878" s="327"/>
      <c r="K878" s="481" t="s">
        <v>334</v>
      </c>
      <c r="L878" s="326"/>
      <c r="M878" s="327"/>
      <c r="N878" s="486" t="s">
        <v>303</v>
      </c>
      <c r="O878" s="326"/>
      <c r="P878" s="326"/>
      <c r="Q878" s="326"/>
      <c r="R878" s="326"/>
      <c r="S878" s="326"/>
      <c r="T878" s="326"/>
      <c r="U878" s="327"/>
    </row>
    <row r="879" spans="1:21" ht="34.5" customHeight="1" x14ac:dyDescent="0.25">
      <c r="A879" s="10">
        <f t="shared" si="3"/>
        <v>865</v>
      </c>
      <c r="B879" s="479" t="s">
        <v>303</v>
      </c>
      <c r="C879" s="327"/>
      <c r="D879" s="480" t="s">
        <v>303</v>
      </c>
      <c r="E879" s="327"/>
      <c r="F879" s="481" t="s">
        <v>334</v>
      </c>
      <c r="G879" s="327"/>
      <c r="H879" s="482"/>
      <c r="I879" s="326"/>
      <c r="J879" s="327"/>
      <c r="K879" s="481" t="s">
        <v>334</v>
      </c>
      <c r="L879" s="326"/>
      <c r="M879" s="327"/>
      <c r="N879" s="439" t="s">
        <v>303</v>
      </c>
      <c r="O879" s="326"/>
      <c r="P879" s="326"/>
      <c r="Q879" s="326"/>
      <c r="R879" s="326"/>
      <c r="S879" s="326"/>
      <c r="T879" s="326"/>
      <c r="U879" s="327"/>
    </row>
    <row r="880" spans="1:21" ht="34.5" customHeight="1" x14ac:dyDescent="0.25">
      <c r="A880" s="10">
        <f t="shared" si="3"/>
        <v>866</v>
      </c>
      <c r="B880" s="483" t="s">
        <v>303</v>
      </c>
      <c r="C880" s="327"/>
      <c r="D880" s="484" t="s">
        <v>303</v>
      </c>
      <c r="E880" s="327"/>
      <c r="F880" s="481" t="s">
        <v>334</v>
      </c>
      <c r="G880" s="327"/>
      <c r="H880" s="485"/>
      <c r="I880" s="326"/>
      <c r="J880" s="327"/>
      <c r="K880" s="481" t="s">
        <v>334</v>
      </c>
      <c r="L880" s="326"/>
      <c r="M880" s="327"/>
      <c r="N880" s="486" t="s">
        <v>303</v>
      </c>
      <c r="O880" s="326"/>
      <c r="P880" s="326"/>
      <c r="Q880" s="326"/>
      <c r="R880" s="326"/>
      <c r="S880" s="326"/>
      <c r="T880" s="326"/>
      <c r="U880" s="327"/>
    </row>
    <row r="881" spans="1:21" ht="34.5" customHeight="1" x14ac:dyDescent="0.25">
      <c r="A881" s="10">
        <f t="shared" si="3"/>
        <v>867</v>
      </c>
      <c r="B881" s="479" t="s">
        <v>303</v>
      </c>
      <c r="C881" s="327"/>
      <c r="D881" s="480" t="s">
        <v>303</v>
      </c>
      <c r="E881" s="327"/>
      <c r="F881" s="481" t="s">
        <v>334</v>
      </c>
      <c r="G881" s="327"/>
      <c r="H881" s="482"/>
      <c r="I881" s="326"/>
      <c r="J881" s="327"/>
      <c r="K881" s="481" t="s">
        <v>334</v>
      </c>
      <c r="L881" s="326"/>
      <c r="M881" s="327"/>
      <c r="N881" s="439" t="s">
        <v>303</v>
      </c>
      <c r="O881" s="326"/>
      <c r="P881" s="326"/>
      <c r="Q881" s="326"/>
      <c r="R881" s="326"/>
      <c r="S881" s="326"/>
      <c r="T881" s="326"/>
      <c r="U881" s="327"/>
    </row>
    <row r="882" spans="1:21" ht="34.5" customHeight="1" x14ac:dyDescent="0.25">
      <c r="A882" s="10">
        <f t="shared" si="3"/>
        <v>868</v>
      </c>
      <c r="B882" s="483" t="s">
        <v>337</v>
      </c>
      <c r="C882" s="327"/>
      <c r="D882" s="484" t="s">
        <v>303</v>
      </c>
      <c r="E882" s="327"/>
      <c r="F882" s="481" t="s">
        <v>334</v>
      </c>
      <c r="G882" s="327"/>
      <c r="H882" s="485"/>
      <c r="I882" s="326"/>
      <c r="J882" s="327"/>
      <c r="K882" s="481" t="s">
        <v>334</v>
      </c>
      <c r="L882" s="326"/>
      <c r="M882" s="327"/>
      <c r="N882" s="486" t="s">
        <v>303</v>
      </c>
      <c r="O882" s="326"/>
      <c r="P882" s="326"/>
      <c r="Q882" s="326"/>
      <c r="R882" s="326"/>
      <c r="S882" s="326"/>
      <c r="T882" s="326"/>
      <c r="U882" s="327"/>
    </row>
    <row r="883" spans="1:21" ht="34.5" customHeight="1" x14ac:dyDescent="0.25">
      <c r="A883" s="10">
        <f t="shared" si="3"/>
        <v>869</v>
      </c>
      <c r="B883" s="479" t="s">
        <v>303</v>
      </c>
      <c r="C883" s="327"/>
      <c r="D883" s="480" t="s">
        <v>303</v>
      </c>
      <c r="E883" s="327"/>
      <c r="F883" s="481" t="s">
        <v>334</v>
      </c>
      <c r="G883" s="327"/>
      <c r="H883" s="482"/>
      <c r="I883" s="326"/>
      <c r="J883" s="327"/>
      <c r="K883" s="481" t="s">
        <v>334</v>
      </c>
      <c r="L883" s="326"/>
      <c r="M883" s="327"/>
      <c r="N883" s="439" t="s">
        <v>303</v>
      </c>
      <c r="O883" s="326"/>
      <c r="P883" s="326"/>
      <c r="Q883" s="326"/>
      <c r="R883" s="326"/>
      <c r="S883" s="326"/>
      <c r="T883" s="326"/>
      <c r="U883" s="327"/>
    </row>
    <row r="884" spans="1:21" ht="34.5" customHeight="1" x14ac:dyDescent="0.25">
      <c r="A884" s="10">
        <f t="shared" si="3"/>
        <v>870</v>
      </c>
      <c r="B884" s="483" t="s">
        <v>303</v>
      </c>
      <c r="C884" s="327"/>
      <c r="D884" s="484" t="s">
        <v>303</v>
      </c>
      <c r="E884" s="327"/>
      <c r="F884" s="481" t="s">
        <v>334</v>
      </c>
      <c r="G884" s="327"/>
      <c r="H884" s="485"/>
      <c r="I884" s="326"/>
      <c r="J884" s="327"/>
      <c r="K884" s="481" t="s">
        <v>334</v>
      </c>
      <c r="L884" s="326"/>
      <c r="M884" s="327"/>
      <c r="N884" s="486" t="s">
        <v>303</v>
      </c>
      <c r="O884" s="326"/>
      <c r="P884" s="326"/>
      <c r="Q884" s="326"/>
      <c r="R884" s="326"/>
      <c r="S884" s="326"/>
      <c r="T884" s="326"/>
      <c r="U884" s="327"/>
    </row>
    <row r="885" spans="1:21" ht="34.5" customHeight="1" x14ac:dyDescent="0.25">
      <c r="A885" s="10">
        <f t="shared" si="3"/>
        <v>871</v>
      </c>
      <c r="B885" s="479" t="s">
        <v>303</v>
      </c>
      <c r="C885" s="327"/>
      <c r="D885" s="480" t="s">
        <v>303</v>
      </c>
      <c r="E885" s="327"/>
      <c r="F885" s="481" t="s">
        <v>334</v>
      </c>
      <c r="G885" s="327"/>
      <c r="H885" s="482"/>
      <c r="I885" s="326"/>
      <c r="J885" s="327"/>
      <c r="K885" s="481" t="s">
        <v>334</v>
      </c>
      <c r="L885" s="326"/>
      <c r="M885" s="327"/>
      <c r="N885" s="439" t="s">
        <v>303</v>
      </c>
      <c r="O885" s="326"/>
      <c r="P885" s="326"/>
      <c r="Q885" s="326"/>
      <c r="R885" s="326"/>
      <c r="S885" s="326"/>
      <c r="T885" s="326"/>
      <c r="U885" s="327"/>
    </row>
    <row r="886" spans="1:21" ht="34.5" customHeight="1" x14ac:dyDescent="0.25">
      <c r="A886" s="10">
        <f t="shared" si="3"/>
        <v>872</v>
      </c>
      <c r="B886" s="483" t="s">
        <v>303</v>
      </c>
      <c r="C886" s="327"/>
      <c r="D886" s="484" t="s">
        <v>303</v>
      </c>
      <c r="E886" s="327"/>
      <c r="F886" s="481" t="s">
        <v>334</v>
      </c>
      <c r="G886" s="327"/>
      <c r="H886" s="485"/>
      <c r="I886" s="326"/>
      <c r="J886" s="327"/>
      <c r="K886" s="481" t="s">
        <v>334</v>
      </c>
      <c r="L886" s="326"/>
      <c r="M886" s="327"/>
      <c r="N886" s="486" t="s">
        <v>303</v>
      </c>
      <c r="O886" s="326"/>
      <c r="P886" s="326"/>
      <c r="Q886" s="326"/>
      <c r="R886" s="326"/>
      <c r="S886" s="326"/>
      <c r="T886" s="326"/>
      <c r="U886" s="327"/>
    </row>
    <row r="887" spans="1:21" ht="34.5" customHeight="1" x14ac:dyDescent="0.25">
      <c r="A887" s="10">
        <f t="shared" si="3"/>
        <v>873</v>
      </c>
      <c r="B887" s="479" t="s">
        <v>303</v>
      </c>
      <c r="C887" s="327"/>
      <c r="D887" s="480" t="s">
        <v>303</v>
      </c>
      <c r="E887" s="327"/>
      <c r="F887" s="481" t="s">
        <v>334</v>
      </c>
      <c r="G887" s="327"/>
      <c r="H887" s="482"/>
      <c r="I887" s="326"/>
      <c r="J887" s="327"/>
      <c r="K887" s="481" t="s">
        <v>334</v>
      </c>
      <c r="L887" s="326"/>
      <c r="M887" s="327"/>
      <c r="N887" s="439" t="s">
        <v>303</v>
      </c>
      <c r="O887" s="326"/>
      <c r="P887" s="326"/>
      <c r="Q887" s="326"/>
      <c r="R887" s="326"/>
      <c r="S887" s="326"/>
      <c r="T887" s="326"/>
      <c r="U887" s="327"/>
    </row>
    <row r="888" spans="1:21" ht="34.5" customHeight="1" x14ac:dyDescent="0.25">
      <c r="A888" s="10">
        <f t="shared" si="3"/>
        <v>874</v>
      </c>
      <c r="B888" s="483" t="s">
        <v>303</v>
      </c>
      <c r="C888" s="327"/>
      <c r="D888" s="484" t="s">
        <v>303</v>
      </c>
      <c r="E888" s="327"/>
      <c r="F888" s="481" t="s">
        <v>334</v>
      </c>
      <c r="G888" s="327"/>
      <c r="H888" s="485"/>
      <c r="I888" s="326"/>
      <c r="J888" s="327"/>
      <c r="K888" s="481" t="s">
        <v>334</v>
      </c>
      <c r="L888" s="326"/>
      <c r="M888" s="327"/>
      <c r="N888" s="486" t="s">
        <v>303</v>
      </c>
      <c r="O888" s="326"/>
      <c r="P888" s="326"/>
      <c r="Q888" s="326"/>
      <c r="R888" s="326"/>
      <c r="S888" s="326"/>
      <c r="T888" s="326"/>
      <c r="U888" s="327"/>
    </row>
    <row r="889" spans="1:21" ht="34.5" customHeight="1" x14ac:dyDescent="0.25">
      <c r="A889" s="10">
        <f t="shared" si="3"/>
        <v>875</v>
      </c>
      <c r="B889" s="479" t="s">
        <v>303</v>
      </c>
      <c r="C889" s="327"/>
      <c r="D889" s="480" t="s">
        <v>303</v>
      </c>
      <c r="E889" s="327"/>
      <c r="F889" s="481" t="s">
        <v>334</v>
      </c>
      <c r="G889" s="327"/>
      <c r="H889" s="482"/>
      <c r="I889" s="326"/>
      <c r="J889" s="327"/>
      <c r="K889" s="481" t="s">
        <v>334</v>
      </c>
      <c r="L889" s="326"/>
      <c r="M889" s="327"/>
      <c r="N889" s="439" t="s">
        <v>303</v>
      </c>
      <c r="O889" s="326"/>
      <c r="P889" s="326"/>
      <c r="Q889" s="326"/>
      <c r="R889" s="326"/>
      <c r="S889" s="326"/>
      <c r="T889" s="326"/>
      <c r="U889" s="327"/>
    </row>
    <row r="890" spans="1:21" ht="34.5" customHeight="1" x14ac:dyDescent="0.25">
      <c r="A890" s="10">
        <f t="shared" si="3"/>
        <v>876</v>
      </c>
      <c r="B890" s="483" t="s">
        <v>303</v>
      </c>
      <c r="C890" s="327"/>
      <c r="D890" s="484" t="s">
        <v>303</v>
      </c>
      <c r="E890" s="327"/>
      <c r="F890" s="481" t="s">
        <v>334</v>
      </c>
      <c r="G890" s="327"/>
      <c r="H890" s="485"/>
      <c r="I890" s="326"/>
      <c r="J890" s="327"/>
      <c r="K890" s="481" t="s">
        <v>334</v>
      </c>
      <c r="L890" s="326"/>
      <c r="M890" s="327"/>
      <c r="N890" s="486" t="s">
        <v>303</v>
      </c>
      <c r="O890" s="326"/>
      <c r="P890" s="326"/>
      <c r="Q890" s="326"/>
      <c r="R890" s="326"/>
      <c r="S890" s="326"/>
      <c r="T890" s="326"/>
      <c r="U890" s="327"/>
    </row>
    <row r="891" spans="1:21" ht="34.5" customHeight="1" x14ac:dyDescent="0.25">
      <c r="A891" s="10">
        <f t="shared" si="3"/>
        <v>877</v>
      </c>
      <c r="B891" s="479" t="s">
        <v>335</v>
      </c>
      <c r="C891" s="327"/>
      <c r="D891" s="480" t="s">
        <v>303</v>
      </c>
      <c r="E891" s="327"/>
      <c r="F891" s="481" t="s">
        <v>334</v>
      </c>
      <c r="G891" s="327"/>
      <c r="H891" s="482"/>
      <c r="I891" s="326"/>
      <c r="J891" s="327"/>
      <c r="K891" s="481" t="s">
        <v>334</v>
      </c>
      <c r="L891" s="326"/>
      <c r="M891" s="327"/>
      <c r="N891" s="439" t="s">
        <v>303</v>
      </c>
      <c r="O891" s="326"/>
      <c r="P891" s="326"/>
      <c r="Q891" s="326"/>
      <c r="R891" s="326"/>
      <c r="S891" s="326"/>
      <c r="T891" s="326"/>
      <c r="U891" s="327"/>
    </row>
    <row r="892" spans="1:21" ht="34.5" customHeight="1" x14ac:dyDescent="0.25">
      <c r="A892" s="10">
        <f t="shared" si="3"/>
        <v>878</v>
      </c>
      <c r="B892" s="483" t="s">
        <v>303</v>
      </c>
      <c r="C892" s="327"/>
      <c r="D892" s="484" t="s">
        <v>303</v>
      </c>
      <c r="E892" s="327"/>
      <c r="F892" s="481" t="s">
        <v>334</v>
      </c>
      <c r="G892" s="327"/>
      <c r="H892" s="485"/>
      <c r="I892" s="326"/>
      <c r="J892" s="327"/>
      <c r="K892" s="481" t="s">
        <v>334</v>
      </c>
      <c r="L892" s="326"/>
      <c r="M892" s="327"/>
      <c r="N892" s="486" t="s">
        <v>303</v>
      </c>
      <c r="O892" s="326"/>
      <c r="P892" s="326"/>
      <c r="Q892" s="326"/>
      <c r="R892" s="326"/>
      <c r="S892" s="326"/>
      <c r="T892" s="326"/>
      <c r="U892" s="327"/>
    </row>
    <row r="893" spans="1:21" ht="34.5" customHeight="1" x14ac:dyDescent="0.25">
      <c r="A893" s="10">
        <f t="shared" si="3"/>
        <v>879</v>
      </c>
      <c r="B893" s="479" t="s">
        <v>303</v>
      </c>
      <c r="C893" s="327"/>
      <c r="D893" s="480" t="s">
        <v>303</v>
      </c>
      <c r="E893" s="327"/>
      <c r="F893" s="481" t="s">
        <v>334</v>
      </c>
      <c r="G893" s="327"/>
      <c r="H893" s="482"/>
      <c r="I893" s="326"/>
      <c r="J893" s="327"/>
      <c r="K893" s="481" t="s">
        <v>334</v>
      </c>
      <c r="L893" s="326"/>
      <c r="M893" s="327"/>
      <c r="N893" s="439" t="s">
        <v>303</v>
      </c>
      <c r="O893" s="326"/>
      <c r="P893" s="326"/>
      <c r="Q893" s="326"/>
      <c r="R893" s="326"/>
      <c r="S893" s="326"/>
      <c r="T893" s="326"/>
      <c r="U893" s="327"/>
    </row>
    <row r="894" spans="1:21" ht="34.5" customHeight="1" x14ac:dyDescent="0.25">
      <c r="A894" s="10">
        <f t="shared" si="3"/>
        <v>880</v>
      </c>
      <c r="B894" s="483" t="s">
        <v>303</v>
      </c>
      <c r="C894" s="327"/>
      <c r="D894" s="484" t="s">
        <v>303</v>
      </c>
      <c r="E894" s="327"/>
      <c r="F894" s="481" t="s">
        <v>334</v>
      </c>
      <c r="G894" s="327"/>
      <c r="H894" s="485"/>
      <c r="I894" s="326"/>
      <c r="J894" s="327"/>
      <c r="K894" s="481" t="s">
        <v>334</v>
      </c>
      <c r="L894" s="326"/>
      <c r="M894" s="327"/>
      <c r="N894" s="486" t="s">
        <v>303</v>
      </c>
      <c r="O894" s="326"/>
      <c r="P894" s="326"/>
      <c r="Q894" s="326"/>
      <c r="R894" s="326"/>
      <c r="S894" s="326"/>
      <c r="T894" s="326"/>
      <c r="U894" s="327"/>
    </row>
    <row r="895" spans="1:21" ht="34.5" customHeight="1" x14ac:dyDescent="0.25">
      <c r="A895" s="10">
        <f t="shared" si="3"/>
        <v>881</v>
      </c>
      <c r="B895" s="479" t="s">
        <v>303</v>
      </c>
      <c r="C895" s="327"/>
      <c r="D895" s="480" t="s">
        <v>303</v>
      </c>
      <c r="E895" s="327"/>
      <c r="F895" s="481" t="s">
        <v>334</v>
      </c>
      <c r="G895" s="327"/>
      <c r="H895" s="482"/>
      <c r="I895" s="326"/>
      <c r="J895" s="327"/>
      <c r="K895" s="481" t="s">
        <v>334</v>
      </c>
      <c r="L895" s="326"/>
      <c r="M895" s="327"/>
      <c r="N895" s="439" t="s">
        <v>303</v>
      </c>
      <c r="O895" s="326"/>
      <c r="P895" s="326"/>
      <c r="Q895" s="326"/>
      <c r="R895" s="326"/>
      <c r="S895" s="326"/>
      <c r="T895" s="326"/>
      <c r="U895" s="327"/>
    </row>
    <row r="896" spans="1:21" ht="34.5" customHeight="1" x14ac:dyDescent="0.25">
      <c r="A896" s="10">
        <f t="shared" si="3"/>
        <v>882</v>
      </c>
      <c r="B896" s="483" t="s">
        <v>303</v>
      </c>
      <c r="C896" s="327"/>
      <c r="D896" s="484" t="s">
        <v>303</v>
      </c>
      <c r="E896" s="327"/>
      <c r="F896" s="481" t="s">
        <v>334</v>
      </c>
      <c r="G896" s="327"/>
      <c r="H896" s="485"/>
      <c r="I896" s="326"/>
      <c r="J896" s="327"/>
      <c r="K896" s="481" t="s">
        <v>334</v>
      </c>
      <c r="L896" s="326"/>
      <c r="M896" s="327"/>
      <c r="N896" s="486" t="s">
        <v>303</v>
      </c>
      <c r="O896" s="326"/>
      <c r="P896" s="326"/>
      <c r="Q896" s="326"/>
      <c r="R896" s="326"/>
      <c r="S896" s="326"/>
      <c r="T896" s="326"/>
      <c r="U896" s="327"/>
    </row>
    <row r="897" spans="1:21" ht="34.5" customHeight="1" x14ac:dyDescent="0.25">
      <c r="A897" s="10">
        <f t="shared" si="3"/>
        <v>883</v>
      </c>
      <c r="B897" s="479" t="s">
        <v>303</v>
      </c>
      <c r="C897" s="327"/>
      <c r="D897" s="480" t="s">
        <v>303</v>
      </c>
      <c r="E897" s="327"/>
      <c r="F897" s="481" t="s">
        <v>334</v>
      </c>
      <c r="G897" s="327"/>
      <c r="H897" s="482"/>
      <c r="I897" s="326"/>
      <c r="J897" s="327"/>
      <c r="K897" s="481" t="s">
        <v>334</v>
      </c>
      <c r="L897" s="326"/>
      <c r="M897" s="327"/>
      <c r="N897" s="439" t="s">
        <v>303</v>
      </c>
      <c r="O897" s="326"/>
      <c r="P897" s="326"/>
      <c r="Q897" s="326"/>
      <c r="R897" s="326"/>
      <c r="S897" s="326"/>
      <c r="T897" s="326"/>
      <c r="U897" s="327"/>
    </row>
    <row r="898" spans="1:21" ht="34.5" customHeight="1" x14ac:dyDescent="0.25">
      <c r="A898" s="10">
        <f t="shared" si="3"/>
        <v>884</v>
      </c>
      <c r="B898" s="483" t="s">
        <v>303</v>
      </c>
      <c r="C898" s="327"/>
      <c r="D898" s="484" t="s">
        <v>303</v>
      </c>
      <c r="E898" s="327"/>
      <c r="F898" s="481" t="s">
        <v>334</v>
      </c>
      <c r="G898" s="327"/>
      <c r="H898" s="485"/>
      <c r="I898" s="326"/>
      <c r="J898" s="327"/>
      <c r="K898" s="481" t="s">
        <v>334</v>
      </c>
      <c r="L898" s="326"/>
      <c r="M898" s="327"/>
      <c r="N898" s="486" t="s">
        <v>303</v>
      </c>
      <c r="O898" s="326"/>
      <c r="P898" s="326"/>
      <c r="Q898" s="326"/>
      <c r="R898" s="326"/>
      <c r="S898" s="326"/>
      <c r="T898" s="326"/>
      <c r="U898" s="327"/>
    </row>
    <row r="899" spans="1:21" ht="34.5" customHeight="1" x14ac:dyDescent="0.25">
      <c r="A899" s="10">
        <f t="shared" si="3"/>
        <v>885</v>
      </c>
      <c r="B899" s="479" t="s">
        <v>338</v>
      </c>
      <c r="C899" s="327"/>
      <c r="D899" s="480" t="s">
        <v>303</v>
      </c>
      <c r="E899" s="327"/>
      <c r="F899" s="481" t="s">
        <v>334</v>
      </c>
      <c r="G899" s="327"/>
      <c r="H899" s="482"/>
      <c r="I899" s="326"/>
      <c r="J899" s="327"/>
      <c r="K899" s="481" t="s">
        <v>334</v>
      </c>
      <c r="L899" s="326"/>
      <c r="M899" s="327"/>
      <c r="N899" s="439" t="s">
        <v>303</v>
      </c>
      <c r="O899" s="326"/>
      <c r="P899" s="326"/>
      <c r="Q899" s="326"/>
      <c r="R899" s="326"/>
      <c r="S899" s="326"/>
      <c r="T899" s="326"/>
      <c r="U899" s="327"/>
    </row>
    <row r="900" spans="1:21" ht="34.5" customHeight="1" x14ac:dyDescent="0.25">
      <c r="A900" s="10">
        <f t="shared" si="3"/>
        <v>886</v>
      </c>
      <c r="B900" s="483" t="s">
        <v>303</v>
      </c>
      <c r="C900" s="327"/>
      <c r="D900" s="484" t="s">
        <v>303</v>
      </c>
      <c r="E900" s="327"/>
      <c r="F900" s="481" t="s">
        <v>334</v>
      </c>
      <c r="G900" s="327"/>
      <c r="H900" s="485"/>
      <c r="I900" s="326"/>
      <c r="J900" s="327"/>
      <c r="K900" s="481" t="s">
        <v>334</v>
      </c>
      <c r="L900" s="326"/>
      <c r="M900" s="327"/>
      <c r="N900" s="486" t="s">
        <v>303</v>
      </c>
      <c r="O900" s="326"/>
      <c r="P900" s="326"/>
      <c r="Q900" s="326"/>
      <c r="R900" s="326"/>
      <c r="S900" s="326"/>
      <c r="T900" s="326"/>
      <c r="U900" s="327"/>
    </row>
    <row r="901" spans="1:21" ht="34.5" customHeight="1" x14ac:dyDescent="0.25">
      <c r="A901" s="10">
        <f t="shared" si="3"/>
        <v>887</v>
      </c>
      <c r="B901" s="479" t="s">
        <v>303</v>
      </c>
      <c r="C901" s="327"/>
      <c r="D901" s="480" t="s">
        <v>303</v>
      </c>
      <c r="E901" s="327"/>
      <c r="F901" s="481" t="s">
        <v>334</v>
      </c>
      <c r="G901" s="327"/>
      <c r="H901" s="482"/>
      <c r="I901" s="326"/>
      <c r="J901" s="327"/>
      <c r="K901" s="481" t="s">
        <v>334</v>
      </c>
      <c r="L901" s="326"/>
      <c r="M901" s="327"/>
      <c r="N901" s="439" t="s">
        <v>303</v>
      </c>
      <c r="O901" s="326"/>
      <c r="P901" s="326"/>
      <c r="Q901" s="326"/>
      <c r="R901" s="326"/>
      <c r="S901" s="326"/>
      <c r="T901" s="326"/>
      <c r="U901" s="327"/>
    </row>
    <row r="902" spans="1:21" ht="34.5" customHeight="1" x14ac:dyDescent="0.25">
      <c r="A902" s="10">
        <f t="shared" si="3"/>
        <v>888</v>
      </c>
      <c r="B902" s="483" t="s">
        <v>303</v>
      </c>
      <c r="C902" s="327"/>
      <c r="D902" s="484" t="s">
        <v>303</v>
      </c>
      <c r="E902" s="327"/>
      <c r="F902" s="481" t="s">
        <v>334</v>
      </c>
      <c r="G902" s="327"/>
      <c r="H902" s="485"/>
      <c r="I902" s="326"/>
      <c r="J902" s="327"/>
      <c r="K902" s="481" t="s">
        <v>334</v>
      </c>
      <c r="L902" s="326"/>
      <c r="M902" s="327"/>
      <c r="N902" s="486" t="s">
        <v>303</v>
      </c>
      <c r="O902" s="326"/>
      <c r="P902" s="326"/>
      <c r="Q902" s="326"/>
      <c r="R902" s="326"/>
      <c r="S902" s="326"/>
      <c r="T902" s="326"/>
      <c r="U902" s="327"/>
    </row>
    <row r="903" spans="1:21" ht="34.5" customHeight="1" x14ac:dyDescent="0.25">
      <c r="A903" s="10">
        <f t="shared" si="3"/>
        <v>889</v>
      </c>
      <c r="B903" s="479" t="s">
        <v>303</v>
      </c>
      <c r="C903" s="327"/>
      <c r="D903" s="480" t="s">
        <v>303</v>
      </c>
      <c r="E903" s="327"/>
      <c r="F903" s="481" t="s">
        <v>334</v>
      </c>
      <c r="G903" s="327"/>
      <c r="H903" s="482"/>
      <c r="I903" s="326"/>
      <c r="J903" s="327"/>
      <c r="K903" s="481" t="s">
        <v>334</v>
      </c>
      <c r="L903" s="326"/>
      <c r="M903" s="327"/>
      <c r="N903" s="439" t="s">
        <v>303</v>
      </c>
      <c r="O903" s="326"/>
      <c r="P903" s="326"/>
      <c r="Q903" s="326"/>
      <c r="R903" s="326"/>
      <c r="S903" s="326"/>
      <c r="T903" s="326"/>
      <c r="U903" s="327"/>
    </row>
    <row r="904" spans="1:21" ht="34.5" customHeight="1" x14ac:dyDescent="0.25">
      <c r="A904" s="10">
        <f t="shared" si="3"/>
        <v>890</v>
      </c>
      <c r="B904" s="483" t="s">
        <v>303</v>
      </c>
      <c r="C904" s="327"/>
      <c r="D904" s="484" t="s">
        <v>303</v>
      </c>
      <c r="E904" s="327"/>
      <c r="F904" s="481" t="s">
        <v>334</v>
      </c>
      <c r="G904" s="327"/>
      <c r="H904" s="485"/>
      <c r="I904" s="326"/>
      <c r="J904" s="327"/>
      <c r="K904" s="481" t="s">
        <v>334</v>
      </c>
      <c r="L904" s="326"/>
      <c r="M904" s="327"/>
      <c r="N904" s="486" t="s">
        <v>303</v>
      </c>
      <c r="O904" s="326"/>
      <c r="P904" s="326"/>
      <c r="Q904" s="326"/>
      <c r="R904" s="326"/>
      <c r="S904" s="326"/>
      <c r="T904" s="326"/>
      <c r="U904" s="327"/>
    </row>
    <row r="905" spans="1:21" ht="34.5" customHeight="1" x14ac:dyDescent="0.25">
      <c r="A905" s="10">
        <f t="shared" si="3"/>
        <v>891</v>
      </c>
      <c r="B905" s="479" t="s">
        <v>303</v>
      </c>
      <c r="C905" s="327"/>
      <c r="D905" s="480" t="s">
        <v>303</v>
      </c>
      <c r="E905" s="327"/>
      <c r="F905" s="481" t="s">
        <v>334</v>
      </c>
      <c r="G905" s="327"/>
      <c r="H905" s="482"/>
      <c r="I905" s="326"/>
      <c r="J905" s="327"/>
      <c r="K905" s="481" t="s">
        <v>334</v>
      </c>
      <c r="L905" s="326"/>
      <c r="M905" s="327"/>
      <c r="N905" s="439" t="s">
        <v>303</v>
      </c>
      <c r="O905" s="326"/>
      <c r="P905" s="326"/>
      <c r="Q905" s="326"/>
      <c r="R905" s="326"/>
      <c r="S905" s="326"/>
      <c r="T905" s="326"/>
      <c r="U905" s="327"/>
    </row>
    <row r="906" spans="1:21" ht="34.5" customHeight="1" x14ac:dyDescent="0.25">
      <c r="A906" s="10">
        <f t="shared" si="3"/>
        <v>892</v>
      </c>
      <c r="B906" s="483" t="s">
        <v>303</v>
      </c>
      <c r="C906" s="327"/>
      <c r="D906" s="484" t="s">
        <v>303</v>
      </c>
      <c r="E906" s="327"/>
      <c r="F906" s="481" t="s">
        <v>334</v>
      </c>
      <c r="G906" s="327"/>
      <c r="H906" s="485"/>
      <c r="I906" s="326"/>
      <c r="J906" s="327"/>
      <c r="K906" s="481" t="s">
        <v>334</v>
      </c>
      <c r="L906" s="326"/>
      <c r="M906" s="327"/>
      <c r="N906" s="486" t="s">
        <v>303</v>
      </c>
      <c r="O906" s="326"/>
      <c r="P906" s="326"/>
      <c r="Q906" s="326"/>
      <c r="R906" s="326"/>
      <c r="S906" s="326"/>
      <c r="T906" s="326"/>
      <c r="U906" s="327"/>
    </row>
    <row r="907" spans="1:21" ht="34.5" customHeight="1" x14ac:dyDescent="0.25">
      <c r="A907" s="10">
        <f t="shared" si="3"/>
        <v>893</v>
      </c>
      <c r="B907" s="479" t="s">
        <v>303</v>
      </c>
      <c r="C907" s="327"/>
      <c r="D907" s="480" t="s">
        <v>303</v>
      </c>
      <c r="E907" s="327"/>
      <c r="F907" s="481" t="s">
        <v>334</v>
      </c>
      <c r="G907" s="327"/>
      <c r="H907" s="482"/>
      <c r="I907" s="326"/>
      <c r="J907" s="327"/>
      <c r="K907" s="481" t="s">
        <v>334</v>
      </c>
      <c r="L907" s="326"/>
      <c r="M907" s="327"/>
      <c r="N907" s="439" t="s">
        <v>303</v>
      </c>
      <c r="O907" s="326"/>
      <c r="P907" s="326"/>
      <c r="Q907" s="326"/>
      <c r="R907" s="326"/>
      <c r="S907" s="326"/>
      <c r="T907" s="326"/>
      <c r="U907" s="327"/>
    </row>
    <row r="908" spans="1:21" ht="34.5" customHeight="1" x14ac:dyDescent="0.25">
      <c r="A908" s="10">
        <f t="shared" si="3"/>
        <v>894</v>
      </c>
      <c r="B908" s="483" t="s">
        <v>303</v>
      </c>
      <c r="C908" s="327"/>
      <c r="D908" s="484" t="s">
        <v>303</v>
      </c>
      <c r="E908" s="327"/>
      <c r="F908" s="481" t="s">
        <v>334</v>
      </c>
      <c r="G908" s="327"/>
      <c r="H908" s="485"/>
      <c r="I908" s="326"/>
      <c r="J908" s="327"/>
      <c r="K908" s="481" t="s">
        <v>334</v>
      </c>
      <c r="L908" s="326"/>
      <c r="M908" s="327"/>
      <c r="N908" s="486" t="s">
        <v>303</v>
      </c>
      <c r="O908" s="326"/>
      <c r="P908" s="326"/>
      <c r="Q908" s="326"/>
      <c r="R908" s="326"/>
      <c r="S908" s="326"/>
      <c r="T908" s="326"/>
      <c r="U908" s="327"/>
    </row>
    <row r="909" spans="1:21" ht="34.5" customHeight="1" x14ac:dyDescent="0.25">
      <c r="A909" s="10">
        <f t="shared" si="3"/>
        <v>895</v>
      </c>
      <c r="B909" s="479" t="s">
        <v>303</v>
      </c>
      <c r="C909" s="327"/>
      <c r="D909" s="480" t="s">
        <v>303</v>
      </c>
      <c r="E909" s="327"/>
      <c r="F909" s="481" t="s">
        <v>334</v>
      </c>
      <c r="G909" s="327"/>
      <c r="H909" s="482"/>
      <c r="I909" s="326"/>
      <c r="J909" s="327"/>
      <c r="K909" s="481" t="s">
        <v>334</v>
      </c>
      <c r="L909" s="326"/>
      <c r="M909" s="327"/>
      <c r="N909" s="439" t="s">
        <v>303</v>
      </c>
      <c r="O909" s="326"/>
      <c r="P909" s="326"/>
      <c r="Q909" s="326"/>
      <c r="R909" s="326"/>
      <c r="S909" s="326"/>
      <c r="T909" s="326"/>
      <c r="U909" s="327"/>
    </row>
    <row r="910" spans="1:21" ht="34.5" customHeight="1" x14ac:dyDescent="0.25">
      <c r="A910" s="10">
        <f t="shared" si="3"/>
        <v>896</v>
      </c>
      <c r="B910" s="483" t="s">
        <v>303</v>
      </c>
      <c r="C910" s="327"/>
      <c r="D910" s="484" t="s">
        <v>303</v>
      </c>
      <c r="E910" s="327"/>
      <c r="F910" s="481" t="s">
        <v>334</v>
      </c>
      <c r="G910" s="327"/>
      <c r="H910" s="485"/>
      <c r="I910" s="326"/>
      <c r="J910" s="327"/>
      <c r="K910" s="481" t="s">
        <v>334</v>
      </c>
      <c r="L910" s="326"/>
      <c r="M910" s="327"/>
      <c r="N910" s="486" t="s">
        <v>303</v>
      </c>
      <c r="O910" s="326"/>
      <c r="P910" s="326"/>
      <c r="Q910" s="326"/>
      <c r="R910" s="326"/>
      <c r="S910" s="326"/>
      <c r="T910" s="326"/>
      <c r="U910" s="327"/>
    </row>
    <row r="911" spans="1:21" ht="34.5" customHeight="1" x14ac:dyDescent="0.25">
      <c r="A911" s="10">
        <f t="shared" si="3"/>
        <v>897</v>
      </c>
      <c r="B911" s="479" t="s">
        <v>336</v>
      </c>
      <c r="C911" s="327"/>
      <c r="D911" s="480" t="s">
        <v>303</v>
      </c>
      <c r="E911" s="327"/>
      <c r="F911" s="481" t="s">
        <v>334</v>
      </c>
      <c r="G911" s="327"/>
      <c r="H911" s="482"/>
      <c r="I911" s="326"/>
      <c r="J911" s="327"/>
      <c r="K911" s="481" t="s">
        <v>334</v>
      </c>
      <c r="L911" s="326"/>
      <c r="M911" s="327"/>
      <c r="N911" s="439" t="s">
        <v>303</v>
      </c>
      <c r="O911" s="326"/>
      <c r="P911" s="326"/>
      <c r="Q911" s="326"/>
      <c r="R911" s="326"/>
      <c r="S911" s="326"/>
      <c r="T911" s="326"/>
      <c r="U911" s="327"/>
    </row>
    <row r="912" spans="1:21" ht="34.5" customHeight="1" x14ac:dyDescent="0.25">
      <c r="A912" s="10">
        <f t="shared" si="3"/>
        <v>898</v>
      </c>
      <c r="B912" s="483" t="s">
        <v>303</v>
      </c>
      <c r="C912" s="327"/>
      <c r="D912" s="484" t="s">
        <v>303</v>
      </c>
      <c r="E912" s="327"/>
      <c r="F912" s="481" t="s">
        <v>334</v>
      </c>
      <c r="G912" s="327"/>
      <c r="H912" s="485"/>
      <c r="I912" s="326"/>
      <c r="J912" s="327"/>
      <c r="K912" s="481" t="s">
        <v>334</v>
      </c>
      <c r="L912" s="326"/>
      <c r="M912" s="327"/>
      <c r="N912" s="486" t="s">
        <v>303</v>
      </c>
      <c r="O912" s="326"/>
      <c r="P912" s="326"/>
      <c r="Q912" s="326"/>
      <c r="R912" s="326"/>
      <c r="S912" s="326"/>
      <c r="T912" s="326"/>
      <c r="U912" s="327"/>
    </row>
    <row r="913" spans="1:21" ht="34.5" customHeight="1" x14ac:dyDescent="0.25">
      <c r="A913" s="10">
        <f t="shared" si="3"/>
        <v>899</v>
      </c>
      <c r="B913" s="479" t="s">
        <v>303</v>
      </c>
      <c r="C913" s="327"/>
      <c r="D913" s="480" t="s">
        <v>303</v>
      </c>
      <c r="E913" s="327"/>
      <c r="F913" s="481" t="s">
        <v>334</v>
      </c>
      <c r="G913" s="327"/>
      <c r="H913" s="482"/>
      <c r="I913" s="326"/>
      <c r="J913" s="327"/>
      <c r="K913" s="481" t="s">
        <v>334</v>
      </c>
      <c r="L913" s="326"/>
      <c r="M913" s="327"/>
      <c r="N913" s="439" t="s">
        <v>303</v>
      </c>
      <c r="O913" s="326"/>
      <c r="P913" s="326"/>
      <c r="Q913" s="326"/>
      <c r="R913" s="326"/>
      <c r="S913" s="326"/>
      <c r="T913" s="326"/>
      <c r="U913" s="327"/>
    </row>
    <row r="914" spans="1:21" ht="34.5" customHeight="1" x14ac:dyDescent="0.25">
      <c r="A914" s="10">
        <f t="shared" si="3"/>
        <v>900</v>
      </c>
      <c r="B914" s="483" t="s">
        <v>303</v>
      </c>
      <c r="C914" s="327"/>
      <c r="D914" s="484" t="s">
        <v>303</v>
      </c>
      <c r="E914" s="327"/>
      <c r="F914" s="481" t="s">
        <v>334</v>
      </c>
      <c r="G914" s="327"/>
      <c r="H914" s="485"/>
      <c r="I914" s="326"/>
      <c r="J914" s="327"/>
      <c r="K914" s="481" t="s">
        <v>334</v>
      </c>
      <c r="L914" s="326"/>
      <c r="M914" s="327"/>
      <c r="N914" s="486" t="s">
        <v>303</v>
      </c>
      <c r="O914" s="326"/>
      <c r="P914" s="326"/>
      <c r="Q914" s="326"/>
      <c r="R914" s="326"/>
      <c r="S914" s="326"/>
      <c r="T914" s="326"/>
      <c r="U914" s="327"/>
    </row>
    <row r="915" spans="1:21" ht="34.5" customHeight="1" x14ac:dyDescent="0.25">
      <c r="A915" s="10">
        <f t="shared" si="3"/>
        <v>901</v>
      </c>
      <c r="B915" s="479" t="s">
        <v>303</v>
      </c>
      <c r="C915" s="327"/>
      <c r="D915" s="480" t="s">
        <v>303</v>
      </c>
      <c r="E915" s="327"/>
      <c r="F915" s="481" t="s">
        <v>334</v>
      </c>
      <c r="G915" s="327"/>
      <c r="H915" s="482"/>
      <c r="I915" s="326"/>
      <c r="J915" s="327"/>
      <c r="K915" s="481" t="s">
        <v>334</v>
      </c>
      <c r="L915" s="326"/>
      <c r="M915" s="327"/>
      <c r="N915" s="439" t="s">
        <v>303</v>
      </c>
      <c r="O915" s="326"/>
      <c r="P915" s="326"/>
      <c r="Q915" s="326"/>
      <c r="R915" s="326"/>
      <c r="S915" s="326"/>
      <c r="T915" s="326"/>
      <c r="U915" s="327"/>
    </row>
    <row r="916" spans="1:21" ht="34.5" customHeight="1" x14ac:dyDescent="0.25">
      <c r="A916" s="10">
        <f t="shared" si="3"/>
        <v>902</v>
      </c>
      <c r="B916" s="483" t="s">
        <v>303</v>
      </c>
      <c r="C916" s="327"/>
      <c r="D916" s="484" t="s">
        <v>303</v>
      </c>
      <c r="E916" s="327"/>
      <c r="F916" s="481" t="s">
        <v>334</v>
      </c>
      <c r="G916" s="327"/>
      <c r="H916" s="485"/>
      <c r="I916" s="326"/>
      <c r="J916" s="327"/>
      <c r="K916" s="481" t="s">
        <v>334</v>
      </c>
      <c r="L916" s="326"/>
      <c r="M916" s="327"/>
      <c r="N916" s="486" t="s">
        <v>303</v>
      </c>
      <c r="O916" s="326"/>
      <c r="P916" s="326"/>
      <c r="Q916" s="326"/>
      <c r="R916" s="326"/>
      <c r="S916" s="326"/>
      <c r="T916" s="326"/>
      <c r="U916" s="327"/>
    </row>
    <row r="917" spans="1:21" ht="34.5" customHeight="1" x14ac:dyDescent="0.25">
      <c r="A917" s="10">
        <f t="shared" si="3"/>
        <v>903</v>
      </c>
      <c r="B917" s="479" t="s">
        <v>303</v>
      </c>
      <c r="C917" s="327"/>
      <c r="D917" s="480" t="s">
        <v>303</v>
      </c>
      <c r="E917" s="327"/>
      <c r="F917" s="481" t="s">
        <v>334</v>
      </c>
      <c r="G917" s="327"/>
      <c r="H917" s="482"/>
      <c r="I917" s="326"/>
      <c r="J917" s="327"/>
      <c r="K917" s="481" t="s">
        <v>334</v>
      </c>
      <c r="L917" s="326"/>
      <c r="M917" s="327"/>
      <c r="N917" s="439" t="s">
        <v>303</v>
      </c>
      <c r="O917" s="326"/>
      <c r="P917" s="326"/>
      <c r="Q917" s="326"/>
      <c r="R917" s="326"/>
      <c r="S917" s="326"/>
      <c r="T917" s="326"/>
      <c r="U917" s="327"/>
    </row>
    <row r="918" spans="1:21" ht="34.5" customHeight="1" x14ac:dyDescent="0.25">
      <c r="A918" s="10">
        <f t="shared" si="3"/>
        <v>904</v>
      </c>
      <c r="B918" s="483" t="s">
        <v>303</v>
      </c>
      <c r="C918" s="327"/>
      <c r="D918" s="484" t="s">
        <v>303</v>
      </c>
      <c r="E918" s="327"/>
      <c r="F918" s="481" t="s">
        <v>334</v>
      </c>
      <c r="G918" s="327"/>
      <c r="H918" s="485"/>
      <c r="I918" s="326"/>
      <c r="J918" s="327"/>
      <c r="K918" s="481" t="s">
        <v>334</v>
      </c>
      <c r="L918" s="326"/>
      <c r="M918" s="327"/>
      <c r="N918" s="486" t="s">
        <v>303</v>
      </c>
      <c r="O918" s="326"/>
      <c r="P918" s="326"/>
      <c r="Q918" s="326"/>
      <c r="R918" s="326"/>
      <c r="S918" s="326"/>
      <c r="T918" s="326"/>
      <c r="U918" s="327"/>
    </row>
    <row r="919" spans="1:21" ht="34.5" customHeight="1" x14ac:dyDescent="0.25">
      <c r="A919" s="10">
        <f t="shared" si="3"/>
        <v>905</v>
      </c>
      <c r="B919" s="479" t="s">
        <v>335</v>
      </c>
      <c r="C919" s="327"/>
      <c r="D919" s="480" t="s">
        <v>303</v>
      </c>
      <c r="E919" s="327"/>
      <c r="F919" s="481" t="s">
        <v>334</v>
      </c>
      <c r="G919" s="327"/>
      <c r="H919" s="482"/>
      <c r="I919" s="326"/>
      <c r="J919" s="327"/>
      <c r="K919" s="481" t="s">
        <v>334</v>
      </c>
      <c r="L919" s="326"/>
      <c r="M919" s="327"/>
      <c r="N919" s="439" t="s">
        <v>303</v>
      </c>
      <c r="O919" s="326"/>
      <c r="P919" s="326"/>
      <c r="Q919" s="326"/>
      <c r="R919" s="326"/>
      <c r="S919" s="326"/>
      <c r="T919" s="326"/>
      <c r="U919" s="327"/>
    </row>
    <row r="920" spans="1:21" ht="34.5" customHeight="1" x14ac:dyDescent="0.25">
      <c r="A920" s="10">
        <f t="shared" si="3"/>
        <v>906</v>
      </c>
      <c r="B920" s="483" t="s">
        <v>303</v>
      </c>
      <c r="C920" s="327"/>
      <c r="D920" s="484" t="s">
        <v>303</v>
      </c>
      <c r="E920" s="327"/>
      <c r="F920" s="481" t="s">
        <v>334</v>
      </c>
      <c r="G920" s="327"/>
      <c r="H920" s="485"/>
      <c r="I920" s="326"/>
      <c r="J920" s="327"/>
      <c r="K920" s="481" t="s">
        <v>334</v>
      </c>
      <c r="L920" s="326"/>
      <c r="M920" s="327"/>
      <c r="N920" s="486" t="s">
        <v>303</v>
      </c>
      <c r="O920" s="326"/>
      <c r="P920" s="326"/>
      <c r="Q920" s="326"/>
      <c r="R920" s="326"/>
      <c r="S920" s="326"/>
      <c r="T920" s="326"/>
      <c r="U920" s="327"/>
    </row>
    <row r="921" spans="1:21" ht="34.5" customHeight="1" x14ac:dyDescent="0.25">
      <c r="A921" s="10">
        <f t="shared" si="3"/>
        <v>907</v>
      </c>
      <c r="B921" s="479" t="s">
        <v>303</v>
      </c>
      <c r="C921" s="327"/>
      <c r="D921" s="480" t="s">
        <v>303</v>
      </c>
      <c r="E921" s="327"/>
      <c r="F921" s="481" t="s">
        <v>334</v>
      </c>
      <c r="G921" s="327"/>
      <c r="H921" s="482"/>
      <c r="I921" s="326"/>
      <c r="J921" s="327"/>
      <c r="K921" s="481" t="s">
        <v>334</v>
      </c>
      <c r="L921" s="326"/>
      <c r="M921" s="327"/>
      <c r="N921" s="439" t="s">
        <v>303</v>
      </c>
      <c r="O921" s="326"/>
      <c r="P921" s="326"/>
      <c r="Q921" s="326"/>
      <c r="R921" s="326"/>
      <c r="S921" s="326"/>
      <c r="T921" s="326"/>
      <c r="U921" s="327"/>
    </row>
    <row r="922" spans="1:21" ht="34.5" customHeight="1" x14ac:dyDescent="0.25">
      <c r="A922" s="10">
        <f t="shared" si="3"/>
        <v>908</v>
      </c>
      <c r="B922" s="483" t="s">
        <v>303</v>
      </c>
      <c r="C922" s="327"/>
      <c r="D922" s="484" t="s">
        <v>303</v>
      </c>
      <c r="E922" s="327"/>
      <c r="F922" s="481" t="s">
        <v>334</v>
      </c>
      <c r="G922" s="327"/>
      <c r="H922" s="485"/>
      <c r="I922" s="326"/>
      <c r="J922" s="327"/>
      <c r="K922" s="481" t="s">
        <v>334</v>
      </c>
      <c r="L922" s="326"/>
      <c r="M922" s="327"/>
      <c r="N922" s="486" t="s">
        <v>303</v>
      </c>
      <c r="O922" s="326"/>
      <c r="P922" s="326"/>
      <c r="Q922" s="326"/>
      <c r="R922" s="326"/>
      <c r="S922" s="326"/>
      <c r="T922" s="326"/>
      <c r="U922" s="327"/>
    </row>
    <row r="923" spans="1:21" ht="34.5" customHeight="1" x14ac:dyDescent="0.25">
      <c r="A923" s="10">
        <f t="shared" si="3"/>
        <v>909</v>
      </c>
      <c r="B923" s="479" t="s">
        <v>303</v>
      </c>
      <c r="C923" s="327"/>
      <c r="D923" s="480" t="s">
        <v>303</v>
      </c>
      <c r="E923" s="327"/>
      <c r="F923" s="481" t="s">
        <v>334</v>
      </c>
      <c r="G923" s="327"/>
      <c r="H923" s="482"/>
      <c r="I923" s="326"/>
      <c r="J923" s="327"/>
      <c r="K923" s="481" t="s">
        <v>334</v>
      </c>
      <c r="L923" s="326"/>
      <c r="M923" s="327"/>
      <c r="N923" s="439" t="s">
        <v>303</v>
      </c>
      <c r="O923" s="326"/>
      <c r="P923" s="326"/>
      <c r="Q923" s="326"/>
      <c r="R923" s="326"/>
      <c r="S923" s="326"/>
      <c r="T923" s="326"/>
      <c r="U923" s="327"/>
    </row>
    <row r="924" spans="1:21" ht="34.5" customHeight="1" x14ac:dyDescent="0.25">
      <c r="A924" s="10">
        <f t="shared" si="3"/>
        <v>910</v>
      </c>
      <c r="B924" s="483" t="s">
        <v>303</v>
      </c>
      <c r="C924" s="327"/>
      <c r="D924" s="484" t="s">
        <v>303</v>
      </c>
      <c r="E924" s="327"/>
      <c r="F924" s="481" t="s">
        <v>334</v>
      </c>
      <c r="G924" s="327"/>
      <c r="H924" s="485"/>
      <c r="I924" s="326"/>
      <c r="J924" s="327"/>
      <c r="K924" s="481" t="s">
        <v>334</v>
      </c>
      <c r="L924" s="326"/>
      <c r="M924" s="327"/>
      <c r="N924" s="486" t="s">
        <v>303</v>
      </c>
      <c r="O924" s="326"/>
      <c r="P924" s="326"/>
      <c r="Q924" s="326"/>
      <c r="R924" s="326"/>
      <c r="S924" s="326"/>
      <c r="T924" s="326"/>
      <c r="U924" s="327"/>
    </row>
    <row r="925" spans="1:21" ht="34.5" customHeight="1" x14ac:dyDescent="0.25">
      <c r="A925" s="10">
        <f t="shared" si="3"/>
        <v>911</v>
      </c>
      <c r="B925" s="479" t="s">
        <v>303</v>
      </c>
      <c r="C925" s="327"/>
      <c r="D925" s="480" t="s">
        <v>303</v>
      </c>
      <c r="E925" s="327"/>
      <c r="F925" s="481" t="s">
        <v>334</v>
      </c>
      <c r="G925" s="327"/>
      <c r="H925" s="482"/>
      <c r="I925" s="326"/>
      <c r="J925" s="327"/>
      <c r="K925" s="481" t="s">
        <v>334</v>
      </c>
      <c r="L925" s="326"/>
      <c r="M925" s="327"/>
      <c r="N925" s="439" t="s">
        <v>303</v>
      </c>
      <c r="O925" s="326"/>
      <c r="P925" s="326"/>
      <c r="Q925" s="326"/>
      <c r="R925" s="326"/>
      <c r="S925" s="326"/>
      <c r="T925" s="326"/>
      <c r="U925" s="327"/>
    </row>
    <row r="926" spans="1:21" ht="34.5" customHeight="1" x14ac:dyDescent="0.25">
      <c r="A926" s="10">
        <f t="shared" si="3"/>
        <v>912</v>
      </c>
      <c r="B926" s="483" t="s">
        <v>339</v>
      </c>
      <c r="C926" s="327"/>
      <c r="D926" s="484" t="s">
        <v>303</v>
      </c>
      <c r="E926" s="327"/>
      <c r="F926" s="481" t="s">
        <v>334</v>
      </c>
      <c r="G926" s="327"/>
      <c r="H926" s="485"/>
      <c r="I926" s="326"/>
      <c r="J926" s="327"/>
      <c r="K926" s="481" t="s">
        <v>334</v>
      </c>
      <c r="L926" s="326"/>
      <c r="M926" s="327"/>
      <c r="N926" s="486" t="s">
        <v>303</v>
      </c>
      <c r="O926" s="326"/>
      <c r="P926" s="326"/>
      <c r="Q926" s="326"/>
      <c r="R926" s="326"/>
      <c r="S926" s="326"/>
      <c r="T926" s="326"/>
      <c r="U926" s="327"/>
    </row>
    <row r="927" spans="1:21" ht="34.5" customHeight="1" x14ac:dyDescent="0.25">
      <c r="A927" s="10">
        <f t="shared" si="3"/>
        <v>913</v>
      </c>
      <c r="B927" s="479" t="s">
        <v>303</v>
      </c>
      <c r="C927" s="327"/>
      <c r="D927" s="480" t="s">
        <v>303</v>
      </c>
      <c r="E927" s="327"/>
      <c r="F927" s="481" t="s">
        <v>334</v>
      </c>
      <c r="G927" s="327"/>
      <c r="H927" s="482"/>
      <c r="I927" s="326"/>
      <c r="J927" s="327"/>
      <c r="K927" s="481" t="s">
        <v>334</v>
      </c>
      <c r="L927" s="326"/>
      <c r="M927" s="327"/>
      <c r="N927" s="439" t="s">
        <v>303</v>
      </c>
      <c r="O927" s="326"/>
      <c r="P927" s="326"/>
      <c r="Q927" s="326"/>
      <c r="R927" s="326"/>
      <c r="S927" s="326"/>
      <c r="T927" s="326"/>
      <c r="U927" s="327"/>
    </row>
    <row r="928" spans="1:21" ht="34.5" customHeight="1" x14ac:dyDescent="0.25">
      <c r="A928" s="10">
        <f t="shared" si="3"/>
        <v>914</v>
      </c>
      <c r="B928" s="483" t="s">
        <v>303</v>
      </c>
      <c r="C928" s="327"/>
      <c r="D928" s="484" t="s">
        <v>303</v>
      </c>
      <c r="E928" s="327"/>
      <c r="F928" s="481" t="s">
        <v>334</v>
      </c>
      <c r="G928" s="327"/>
      <c r="H928" s="485"/>
      <c r="I928" s="326"/>
      <c r="J928" s="327"/>
      <c r="K928" s="481" t="s">
        <v>334</v>
      </c>
      <c r="L928" s="326"/>
      <c r="M928" s="327"/>
      <c r="N928" s="486" t="s">
        <v>303</v>
      </c>
      <c r="O928" s="326"/>
      <c r="P928" s="326"/>
      <c r="Q928" s="326"/>
      <c r="R928" s="326"/>
      <c r="S928" s="326"/>
      <c r="T928" s="326"/>
      <c r="U928" s="327"/>
    </row>
    <row r="929" spans="1:21" ht="34.5" customHeight="1" x14ac:dyDescent="0.25">
      <c r="A929" s="10">
        <f t="shared" si="3"/>
        <v>915</v>
      </c>
      <c r="B929" s="479" t="s">
        <v>303</v>
      </c>
      <c r="C929" s="327"/>
      <c r="D929" s="480" t="s">
        <v>303</v>
      </c>
      <c r="E929" s="327"/>
      <c r="F929" s="481" t="s">
        <v>334</v>
      </c>
      <c r="G929" s="327"/>
      <c r="H929" s="482"/>
      <c r="I929" s="326"/>
      <c r="J929" s="327"/>
      <c r="K929" s="481" t="s">
        <v>334</v>
      </c>
      <c r="L929" s="326"/>
      <c r="M929" s="327"/>
      <c r="N929" s="439" t="s">
        <v>303</v>
      </c>
      <c r="O929" s="326"/>
      <c r="P929" s="326"/>
      <c r="Q929" s="326"/>
      <c r="R929" s="326"/>
      <c r="S929" s="326"/>
      <c r="T929" s="326"/>
      <c r="U929" s="327"/>
    </row>
    <row r="930" spans="1:21" ht="34.5" customHeight="1" x14ac:dyDescent="0.25">
      <c r="A930" s="10">
        <f t="shared" si="3"/>
        <v>916</v>
      </c>
      <c r="B930" s="483" t="s">
        <v>303</v>
      </c>
      <c r="C930" s="327"/>
      <c r="D930" s="484" t="s">
        <v>303</v>
      </c>
      <c r="E930" s="327"/>
      <c r="F930" s="481" t="s">
        <v>334</v>
      </c>
      <c r="G930" s="327"/>
      <c r="H930" s="485"/>
      <c r="I930" s="326"/>
      <c r="J930" s="327"/>
      <c r="K930" s="481" t="s">
        <v>334</v>
      </c>
      <c r="L930" s="326"/>
      <c r="M930" s="327"/>
      <c r="N930" s="486" t="s">
        <v>303</v>
      </c>
      <c r="O930" s="326"/>
      <c r="P930" s="326"/>
      <c r="Q930" s="326"/>
      <c r="R930" s="326"/>
      <c r="S930" s="326"/>
      <c r="T930" s="326"/>
      <c r="U930" s="327"/>
    </row>
    <row r="931" spans="1:21" ht="34.5" customHeight="1" x14ac:dyDescent="0.25">
      <c r="A931" s="10">
        <f t="shared" si="3"/>
        <v>917</v>
      </c>
      <c r="B931" s="479" t="s">
        <v>303</v>
      </c>
      <c r="C931" s="327"/>
      <c r="D931" s="480" t="s">
        <v>303</v>
      </c>
      <c r="E931" s="327"/>
      <c r="F931" s="481" t="s">
        <v>334</v>
      </c>
      <c r="G931" s="327"/>
      <c r="H931" s="482"/>
      <c r="I931" s="326"/>
      <c r="J931" s="327"/>
      <c r="K931" s="481" t="s">
        <v>334</v>
      </c>
      <c r="L931" s="326"/>
      <c r="M931" s="327"/>
      <c r="N931" s="439" t="s">
        <v>303</v>
      </c>
      <c r="O931" s="326"/>
      <c r="P931" s="326"/>
      <c r="Q931" s="326"/>
      <c r="R931" s="326"/>
      <c r="S931" s="326"/>
      <c r="T931" s="326"/>
      <c r="U931" s="327"/>
    </row>
    <row r="932" spans="1:21" ht="34.5" customHeight="1" x14ac:dyDescent="0.25">
      <c r="A932" s="10">
        <f t="shared" si="3"/>
        <v>918</v>
      </c>
      <c r="B932" s="483" t="s">
        <v>303</v>
      </c>
      <c r="C932" s="327"/>
      <c r="D932" s="484" t="s">
        <v>303</v>
      </c>
      <c r="E932" s="327"/>
      <c r="F932" s="481" t="s">
        <v>334</v>
      </c>
      <c r="G932" s="327"/>
      <c r="H932" s="485"/>
      <c r="I932" s="326"/>
      <c r="J932" s="327"/>
      <c r="K932" s="481" t="s">
        <v>334</v>
      </c>
      <c r="L932" s="326"/>
      <c r="M932" s="327"/>
      <c r="N932" s="486" t="s">
        <v>303</v>
      </c>
      <c r="O932" s="326"/>
      <c r="P932" s="326"/>
      <c r="Q932" s="326"/>
      <c r="R932" s="326"/>
      <c r="S932" s="326"/>
      <c r="T932" s="326"/>
      <c r="U932" s="327"/>
    </row>
    <row r="933" spans="1:21" ht="34.5" customHeight="1" x14ac:dyDescent="0.25">
      <c r="A933" s="10">
        <f t="shared" si="3"/>
        <v>919</v>
      </c>
      <c r="B933" s="479" t="s">
        <v>335</v>
      </c>
      <c r="C933" s="327"/>
      <c r="D933" s="480" t="s">
        <v>303</v>
      </c>
      <c r="E933" s="327"/>
      <c r="F933" s="481" t="s">
        <v>334</v>
      </c>
      <c r="G933" s="327"/>
      <c r="H933" s="482"/>
      <c r="I933" s="326"/>
      <c r="J933" s="327"/>
      <c r="K933" s="481" t="s">
        <v>334</v>
      </c>
      <c r="L933" s="326"/>
      <c r="M933" s="327"/>
      <c r="N933" s="439" t="s">
        <v>303</v>
      </c>
      <c r="O933" s="326"/>
      <c r="P933" s="326"/>
      <c r="Q933" s="326"/>
      <c r="R933" s="326"/>
      <c r="S933" s="326"/>
      <c r="T933" s="326"/>
      <c r="U933" s="327"/>
    </row>
    <row r="934" spans="1:21" ht="34.5" customHeight="1" x14ac:dyDescent="0.25">
      <c r="A934" s="10">
        <f t="shared" si="3"/>
        <v>920</v>
      </c>
      <c r="B934" s="483" t="s">
        <v>303</v>
      </c>
      <c r="C934" s="327"/>
      <c r="D934" s="484" t="s">
        <v>303</v>
      </c>
      <c r="E934" s="327"/>
      <c r="F934" s="481" t="s">
        <v>334</v>
      </c>
      <c r="G934" s="327"/>
      <c r="H934" s="485"/>
      <c r="I934" s="326"/>
      <c r="J934" s="327"/>
      <c r="K934" s="481" t="s">
        <v>334</v>
      </c>
      <c r="L934" s="326"/>
      <c r="M934" s="327"/>
      <c r="N934" s="486" t="s">
        <v>303</v>
      </c>
      <c r="O934" s="326"/>
      <c r="P934" s="326"/>
      <c r="Q934" s="326"/>
      <c r="R934" s="326"/>
      <c r="S934" s="326"/>
      <c r="T934" s="326"/>
      <c r="U934" s="327"/>
    </row>
    <row r="935" spans="1:21" ht="34.5" customHeight="1" x14ac:dyDescent="0.25">
      <c r="A935" s="10">
        <f t="shared" si="3"/>
        <v>921</v>
      </c>
      <c r="B935" s="479" t="s">
        <v>303</v>
      </c>
      <c r="C935" s="327"/>
      <c r="D935" s="480" t="s">
        <v>303</v>
      </c>
      <c r="E935" s="327"/>
      <c r="F935" s="481" t="s">
        <v>334</v>
      </c>
      <c r="G935" s="327"/>
      <c r="H935" s="482"/>
      <c r="I935" s="326"/>
      <c r="J935" s="327"/>
      <c r="K935" s="481" t="s">
        <v>334</v>
      </c>
      <c r="L935" s="326"/>
      <c r="M935" s="327"/>
      <c r="N935" s="439" t="s">
        <v>303</v>
      </c>
      <c r="O935" s="326"/>
      <c r="P935" s="326"/>
      <c r="Q935" s="326"/>
      <c r="R935" s="326"/>
      <c r="S935" s="326"/>
      <c r="T935" s="326"/>
      <c r="U935" s="327"/>
    </row>
    <row r="936" spans="1:21" ht="34.5" customHeight="1" x14ac:dyDescent="0.25">
      <c r="A936" s="10">
        <f t="shared" si="3"/>
        <v>922</v>
      </c>
      <c r="B936" s="483" t="s">
        <v>303</v>
      </c>
      <c r="C936" s="327"/>
      <c r="D936" s="484" t="s">
        <v>303</v>
      </c>
      <c r="E936" s="327"/>
      <c r="F936" s="481" t="s">
        <v>334</v>
      </c>
      <c r="G936" s="327"/>
      <c r="H936" s="485"/>
      <c r="I936" s="326"/>
      <c r="J936" s="327"/>
      <c r="K936" s="481" t="s">
        <v>334</v>
      </c>
      <c r="L936" s="326"/>
      <c r="M936" s="327"/>
      <c r="N936" s="486" t="s">
        <v>303</v>
      </c>
      <c r="O936" s="326"/>
      <c r="P936" s="326"/>
      <c r="Q936" s="326"/>
      <c r="R936" s="326"/>
      <c r="S936" s="326"/>
      <c r="T936" s="326"/>
      <c r="U936" s="327"/>
    </row>
    <row r="937" spans="1:21" ht="34.5" customHeight="1" x14ac:dyDescent="0.25">
      <c r="A937" s="10">
        <f t="shared" si="3"/>
        <v>923</v>
      </c>
      <c r="B937" s="479" t="s">
        <v>303</v>
      </c>
      <c r="C937" s="327"/>
      <c r="D937" s="480" t="s">
        <v>303</v>
      </c>
      <c r="E937" s="327"/>
      <c r="F937" s="481" t="s">
        <v>334</v>
      </c>
      <c r="G937" s="327"/>
      <c r="H937" s="482"/>
      <c r="I937" s="326"/>
      <c r="J937" s="327"/>
      <c r="K937" s="481" t="s">
        <v>334</v>
      </c>
      <c r="L937" s="326"/>
      <c r="M937" s="327"/>
      <c r="N937" s="439" t="s">
        <v>303</v>
      </c>
      <c r="O937" s="326"/>
      <c r="P937" s="326"/>
      <c r="Q937" s="326"/>
      <c r="R937" s="326"/>
      <c r="S937" s="326"/>
      <c r="T937" s="326"/>
      <c r="U937" s="327"/>
    </row>
    <row r="938" spans="1:21" ht="34.5" customHeight="1" x14ac:dyDescent="0.25">
      <c r="A938" s="10">
        <f t="shared" si="3"/>
        <v>924</v>
      </c>
      <c r="B938" s="483" t="s">
        <v>303</v>
      </c>
      <c r="C938" s="327"/>
      <c r="D938" s="484" t="s">
        <v>303</v>
      </c>
      <c r="E938" s="327"/>
      <c r="F938" s="481" t="s">
        <v>334</v>
      </c>
      <c r="G938" s="327"/>
      <c r="H938" s="485"/>
      <c r="I938" s="326"/>
      <c r="J938" s="327"/>
      <c r="K938" s="481" t="s">
        <v>334</v>
      </c>
      <c r="L938" s="326"/>
      <c r="M938" s="327"/>
      <c r="N938" s="486" t="s">
        <v>303</v>
      </c>
      <c r="O938" s="326"/>
      <c r="P938" s="326"/>
      <c r="Q938" s="326"/>
      <c r="R938" s="326"/>
      <c r="S938" s="326"/>
      <c r="T938" s="326"/>
      <c r="U938" s="327"/>
    </row>
    <row r="939" spans="1:21" ht="34.5" customHeight="1" x14ac:dyDescent="0.25">
      <c r="A939" s="10">
        <f t="shared" si="3"/>
        <v>925</v>
      </c>
      <c r="B939" s="479" t="s">
        <v>303</v>
      </c>
      <c r="C939" s="327"/>
      <c r="D939" s="480" t="s">
        <v>303</v>
      </c>
      <c r="E939" s="327"/>
      <c r="F939" s="481" t="s">
        <v>334</v>
      </c>
      <c r="G939" s="327"/>
      <c r="H939" s="482"/>
      <c r="I939" s="326"/>
      <c r="J939" s="327"/>
      <c r="K939" s="481" t="s">
        <v>334</v>
      </c>
      <c r="L939" s="326"/>
      <c r="M939" s="327"/>
      <c r="N939" s="439" t="s">
        <v>303</v>
      </c>
      <c r="O939" s="326"/>
      <c r="P939" s="326"/>
      <c r="Q939" s="326"/>
      <c r="R939" s="326"/>
      <c r="S939" s="326"/>
      <c r="T939" s="326"/>
      <c r="U939" s="327"/>
    </row>
    <row r="940" spans="1:21" ht="34.5" customHeight="1" x14ac:dyDescent="0.25">
      <c r="A940" s="10">
        <f t="shared" si="3"/>
        <v>926</v>
      </c>
      <c r="B940" s="483" t="s">
        <v>303</v>
      </c>
      <c r="C940" s="327"/>
      <c r="D940" s="484" t="s">
        <v>303</v>
      </c>
      <c r="E940" s="327"/>
      <c r="F940" s="481" t="s">
        <v>334</v>
      </c>
      <c r="G940" s="327"/>
      <c r="H940" s="485"/>
      <c r="I940" s="326"/>
      <c r="J940" s="327"/>
      <c r="K940" s="481" t="s">
        <v>334</v>
      </c>
      <c r="L940" s="326"/>
      <c r="M940" s="327"/>
      <c r="N940" s="486" t="s">
        <v>303</v>
      </c>
      <c r="O940" s="326"/>
      <c r="P940" s="326"/>
      <c r="Q940" s="326"/>
      <c r="R940" s="326"/>
      <c r="S940" s="326"/>
      <c r="T940" s="326"/>
      <c r="U940" s="327"/>
    </row>
    <row r="941" spans="1:21" ht="34.5" customHeight="1" x14ac:dyDescent="0.25">
      <c r="A941" s="10">
        <f t="shared" si="3"/>
        <v>927</v>
      </c>
      <c r="B941" s="479" t="s">
        <v>338</v>
      </c>
      <c r="C941" s="327"/>
      <c r="D941" s="480" t="s">
        <v>303</v>
      </c>
      <c r="E941" s="327"/>
      <c r="F941" s="481" t="s">
        <v>334</v>
      </c>
      <c r="G941" s="327"/>
      <c r="H941" s="482"/>
      <c r="I941" s="326"/>
      <c r="J941" s="327"/>
      <c r="K941" s="481" t="s">
        <v>334</v>
      </c>
      <c r="L941" s="326"/>
      <c r="M941" s="327"/>
      <c r="N941" s="439" t="s">
        <v>303</v>
      </c>
      <c r="O941" s="326"/>
      <c r="P941" s="326"/>
      <c r="Q941" s="326"/>
      <c r="R941" s="326"/>
      <c r="S941" s="326"/>
      <c r="T941" s="326"/>
      <c r="U941" s="327"/>
    </row>
    <row r="942" spans="1:21" ht="34.5" customHeight="1" x14ac:dyDescent="0.25">
      <c r="A942" s="10">
        <f t="shared" si="3"/>
        <v>928</v>
      </c>
      <c r="B942" s="483" t="s">
        <v>303</v>
      </c>
      <c r="C942" s="327"/>
      <c r="D942" s="484" t="s">
        <v>303</v>
      </c>
      <c r="E942" s="327"/>
      <c r="F942" s="481" t="s">
        <v>334</v>
      </c>
      <c r="G942" s="327"/>
      <c r="H942" s="485"/>
      <c r="I942" s="326"/>
      <c r="J942" s="327"/>
      <c r="K942" s="481" t="s">
        <v>334</v>
      </c>
      <c r="L942" s="326"/>
      <c r="M942" s="327"/>
      <c r="N942" s="486" t="s">
        <v>303</v>
      </c>
      <c r="O942" s="326"/>
      <c r="P942" s="326"/>
      <c r="Q942" s="326"/>
      <c r="R942" s="326"/>
      <c r="S942" s="326"/>
      <c r="T942" s="326"/>
      <c r="U942" s="327"/>
    </row>
    <row r="943" spans="1:21" ht="34.5" customHeight="1" x14ac:dyDescent="0.25">
      <c r="A943" s="10">
        <f t="shared" si="3"/>
        <v>929</v>
      </c>
      <c r="B943" s="479" t="s">
        <v>303</v>
      </c>
      <c r="C943" s="327"/>
      <c r="D943" s="480" t="s">
        <v>303</v>
      </c>
      <c r="E943" s="327"/>
      <c r="F943" s="481" t="s">
        <v>334</v>
      </c>
      <c r="G943" s="327"/>
      <c r="H943" s="482"/>
      <c r="I943" s="326"/>
      <c r="J943" s="327"/>
      <c r="K943" s="481" t="s">
        <v>334</v>
      </c>
      <c r="L943" s="326"/>
      <c r="M943" s="327"/>
      <c r="N943" s="439" t="s">
        <v>303</v>
      </c>
      <c r="O943" s="326"/>
      <c r="P943" s="326"/>
      <c r="Q943" s="326"/>
      <c r="R943" s="326"/>
      <c r="S943" s="326"/>
      <c r="T943" s="326"/>
      <c r="U943" s="327"/>
    </row>
    <row r="944" spans="1:21" ht="34.5" customHeight="1" x14ac:dyDescent="0.25">
      <c r="A944" s="10">
        <f t="shared" si="3"/>
        <v>930</v>
      </c>
      <c r="B944" s="483" t="s">
        <v>340</v>
      </c>
      <c r="C944" s="327"/>
      <c r="D944" s="484" t="s">
        <v>303</v>
      </c>
      <c r="E944" s="327"/>
      <c r="F944" s="481" t="s">
        <v>334</v>
      </c>
      <c r="G944" s="327"/>
      <c r="H944" s="485"/>
      <c r="I944" s="326"/>
      <c r="J944" s="327"/>
      <c r="K944" s="481" t="s">
        <v>334</v>
      </c>
      <c r="L944" s="326"/>
      <c r="M944" s="327"/>
      <c r="N944" s="486" t="s">
        <v>303</v>
      </c>
      <c r="O944" s="326"/>
      <c r="P944" s="326"/>
      <c r="Q944" s="326"/>
      <c r="R944" s="326"/>
      <c r="S944" s="326"/>
      <c r="T944" s="326"/>
      <c r="U944" s="327"/>
    </row>
    <row r="945" spans="1:21" ht="34.5" customHeight="1" x14ac:dyDescent="0.25">
      <c r="A945" s="10">
        <f t="shared" si="3"/>
        <v>931</v>
      </c>
      <c r="B945" s="479" t="s">
        <v>303</v>
      </c>
      <c r="C945" s="327"/>
      <c r="D945" s="480" t="s">
        <v>303</v>
      </c>
      <c r="E945" s="327"/>
      <c r="F945" s="481" t="s">
        <v>334</v>
      </c>
      <c r="G945" s="327"/>
      <c r="H945" s="482"/>
      <c r="I945" s="326"/>
      <c r="J945" s="327"/>
      <c r="K945" s="481" t="s">
        <v>334</v>
      </c>
      <c r="L945" s="326"/>
      <c r="M945" s="327"/>
      <c r="N945" s="439" t="s">
        <v>303</v>
      </c>
      <c r="O945" s="326"/>
      <c r="P945" s="326"/>
      <c r="Q945" s="326"/>
      <c r="R945" s="326"/>
      <c r="S945" s="326"/>
      <c r="T945" s="326"/>
      <c r="U945" s="327"/>
    </row>
    <row r="946" spans="1:21" ht="34.5" customHeight="1" x14ac:dyDescent="0.25">
      <c r="A946" s="10">
        <f t="shared" si="3"/>
        <v>932</v>
      </c>
      <c r="B946" s="483" t="s">
        <v>303</v>
      </c>
      <c r="C946" s="327"/>
      <c r="D946" s="484" t="s">
        <v>303</v>
      </c>
      <c r="E946" s="327"/>
      <c r="F946" s="481" t="s">
        <v>334</v>
      </c>
      <c r="G946" s="327"/>
      <c r="H946" s="485"/>
      <c r="I946" s="326"/>
      <c r="J946" s="327"/>
      <c r="K946" s="481" t="s">
        <v>334</v>
      </c>
      <c r="L946" s="326"/>
      <c r="M946" s="327"/>
      <c r="N946" s="486" t="s">
        <v>303</v>
      </c>
      <c r="O946" s="326"/>
      <c r="P946" s="326"/>
      <c r="Q946" s="326"/>
      <c r="R946" s="326"/>
      <c r="S946" s="326"/>
      <c r="T946" s="326"/>
      <c r="U946" s="327"/>
    </row>
    <row r="947" spans="1:21" ht="34.5" customHeight="1" x14ac:dyDescent="0.25">
      <c r="A947" s="10">
        <f t="shared" si="3"/>
        <v>933</v>
      </c>
      <c r="B947" s="479" t="s">
        <v>303</v>
      </c>
      <c r="C947" s="327"/>
      <c r="D947" s="480" t="s">
        <v>303</v>
      </c>
      <c r="E947" s="327"/>
      <c r="F947" s="481" t="s">
        <v>334</v>
      </c>
      <c r="G947" s="327"/>
      <c r="H947" s="482"/>
      <c r="I947" s="326"/>
      <c r="J947" s="327"/>
      <c r="K947" s="481" t="s">
        <v>334</v>
      </c>
      <c r="L947" s="326"/>
      <c r="M947" s="327"/>
      <c r="N947" s="439" t="s">
        <v>303</v>
      </c>
      <c r="O947" s="326"/>
      <c r="P947" s="326"/>
      <c r="Q947" s="326"/>
      <c r="R947" s="326"/>
      <c r="S947" s="326"/>
      <c r="T947" s="326"/>
      <c r="U947" s="327"/>
    </row>
    <row r="948" spans="1:21" ht="34.5" customHeight="1" x14ac:dyDescent="0.25">
      <c r="A948" s="10">
        <f t="shared" si="3"/>
        <v>934</v>
      </c>
      <c r="B948" s="483" t="s">
        <v>303</v>
      </c>
      <c r="C948" s="327"/>
      <c r="D948" s="484" t="s">
        <v>303</v>
      </c>
      <c r="E948" s="327"/>
      <c r="F948" s="481" t="s">
        <v>334</v>
      </c>
      <c r="G948" s="327"/>
      <c r="H948" s="485"/>
      <c r="I948" s="326"/>
      <c r="J948" s="327"/>
      <c r="K948" s="481" t="s">
        <v>334</v>
      </c>
      <c r="L948" s="326"/>
      <c r="M948" s="327"/>
      <c r="N948" s="486" t="s">
        <v>303</v>
      </c>
      <c r="O948" s="326"/>
      <c r="P948" s="326"/>
      <c r="Q948" s="326"/>
      <c r="R948" s="326"/>
      <c r="S948" s="326"/>
      <c r="T948" s="326"/>
      <c r="U948" s="327"/>
    </row>
    <row r="949" spans="1:21" ht="34.5" customHeight="1" x14ac:dyDescent="0.25">
      <c r="A949" s="10">
        <f t="shared" si="3"/>
        <v>935</v>
      </c>
      <c r="B949" s="479" t="s">
        <v>303</v>
      </c>
      <c r="C949" s="327"/>
      <c r="D949" s="480" t="s">
        <v>303</v>
      </c>
      <c r="E949" s="327"/>
      <c r="F949" s="481" t="s">
        <v>334</v>
      </c>
      <c r="G949" s="327"/>
      <c r="H949" s="482"/>
      <c r="I949" s="326"/>
      <c r="J949" s="327"/>
      <c r="K949" s="481" t="s">
        <v>334</v>
      </c>
      <c r="L949" s="326"/>
      <c r="M949" s="327"/>
      <c r="N949" s="439" t="s">
        <v>303</v>
      </c>
      <c r="O949" s="326"/>
      <c r="P949" s="326"/>
      <c r="Q949" s="326"/>
      <c r="R949" s="326"/>
      <c r="S949" s="326"/>
      <c r="T949" s="326"/>
      <c r="U949" s="327"/>
    </row>
    <row r="950" spans="1:21" ht="34.5" customHeight="1" x14ac:dyDescent="0.25">
      <c r="A950" s="10">
        <f t="shared" si="3"/>
        <v>936</v>
      </c>
      <c r="B950" s="483" t="s">
        <v>341</v>
      </c>
      <c r="C950" s="327"/>
      <c r="D950" s="484" t="s">
        <v>303</v>
      </c>
      <c r="E950" s="327"/>
      <c r="F950" s="481" t="s">
        <v>334</v>
      </c>
      <c r="G950" s="327"/>
      <c r="H950" s="485"/>
      <c r="I950" s="326"/>
      <c r="J950" s="327"/>
      <c r="K950" s="481" t="s">
        <v>334</v>
      </c>
      <c r="L950" s="326"/>
      <c r="M950" s="327"/>
      <c r="N950" s="486" t="s">
        <v>303</v>
      </c>
      <c r="O950" s="326"/>
      <c r="P950" s="326"/>
      <c r="Q950" s="326"/>
      <c r="R950" s="326"/>
      <c r="S950" s="326"/>
      <c r="T950" s="326"/>
      <c r="U950" s="327"/>
    </row>
    <row r="951" spans="1:21" ht="34.5" customHeight="1" x14ac:dyDescent="0.25">
      <c r="A951" s="10">
        <f t="shared" si="3"/>
        <v>937</v>
      </c>
      <c r="B951" s="479" t="s">
        <v>303</v>
      </c>
      <c r="C951" s="327"/>
      <c r="D951" s="480" t="s">
        <v>303</v>
      </c>
      <c r="E951" s="327"/>
      <c r="F951" s="481" t="s">
        <v>334</v>
      </c>
      <c r="G951" s="327"/>
      <c r="H951" s="482"/>
      <c r="I951" s="326"/>
      <c r="J951" s="327"/>
      <c r="K951" s="481" t="s">
        <v>334</v>
      </c>
      <c r="L951" s="326"/>
      <c r="M951" s="327"/>
      <c r="N951" s="439" t="s">
        <v>303</v>
      </c>
      <c r="O951" s="326"/>
      <c r="P951" s="326"/>
      <c r="Q951" s="326"/>
      <c r="R951" s="326"/>
      <c r="S951" s="326"/>
      <c r="T951" s="326"/>
      <c r="U951" s="327"/>
    </row>
    <row r="952" spans="1:21" ht="34.5" customHeight="1" x14ac:dyDescent="0.25">
      <c r="A952" s="10">
        <f t="shared" si="3"/>
        <v>938</v>
      </c>
      <c r="B952" s="483" t="s">
        <v>303</v>
      </c>
      <c r="C952" s="327"/>
      <c r="D952" s="484" t="s">
        <v>303</v>
      </c>
      <c r="E952" s="327"/>
      <c r="F952" s="481" t="s">
        <v>334</v>
      </c>
      <c r="G952" s="327"/>
      <c r="H952" s="485"/>
      <c r="I952" s="326"/>
      <c r="J952" s="327"/>
      <c r="K952" s="481" t="s">
        <v>334</v>
      </c>
      <c r="L952" s="326"/>
      <c r="M952" s="327"/>
      <c r="N952" s="486" t="s">
        <v>303</v>
      </c>
      <c r="O952" s="326"/>
      <c r="P952" s="326"/>
      <c r="Q952" s="326"/>
      <c r="R952" s="326"/>
      <c r="S952" s="326"/>
      <c r="T952" s="326"/>
      <c r="U952" s="327"/>
    </row>
    <row r="953" spans="1:21" ht="34.5" customHeight="1" x14ac:dyDescent="0.25">
      <c r="A953" s="10">
        <f t="shared" si="3"/>
        <v>939</v>
      </c>
      <c r="B953" s="479" t="s">
        <v>303</v>
      </c>
      <c r="C953" s="327"/>
      <c r="D953" s="480" t="s">
        <v>303</v>
      </c>
      <c r="E953" s="327"/>
      <c r="F953" s="481" t="s">
        <v>334</v>
      </c>
      <c r="G953" s="327"/>
      <c r="H953" s="482"/>
      <c r="I953" s="326"/>
      <c r="J953" s="327"/>
      <c r="K953" s="481" t="s">
        <v>334</v>
      </c>
      <c r="L953" s="326"/>
      <c r="M953" s="327"/>
      <c r="N953" s="439" t="s">
        <v>303</v>
      </c>
      <c r="O953" s="326"/>
      <c r="P953" s="326"/>
      <c r="Q953" s="326"/>
      <c r="R953" s="326"/>
      <c r="S953" s="326"/>
      <c r="T953" s="326"/>
      <c r="U953" s="327"/>
    </row>
    <row r="954" spans="1:21" ht="34.5" customHeight="1" x14ac:dyDescent="0.25">
      <c r="A954" s="10">
        <f t="shared" si="3"/>
        <v>940</v>
      </c>
      <c r="B954" s="483" t="s">
        <v>303</v>
      </c>
      <c r="C954" s="327"/>
      <c r="D954" s="484" t="s">
        <v>303</v>
      </c>
      <c r="E954" s="327"/>
      <c r="F954" s="481" t="s">
        <v>334</v>
      </c>
      <c r="G954" s="327"/>
      <c r="H954" s="485"/>
      <c r="I954" s="326"/>
      <c r="J954" s="327"/>
      <c r="K954" s="481" t="s">
        <v>334</v>
      </c>
      <c r="L954" s="326"/>
      <c r="M954" s="327"/>
      <c r="N954" s="486" t="s">
        <v>303</v>
      </c>
      <c r="O954" s="326"/>
      <c r="P954" s="326"/>
      <c r="Q954" s="326"/>
      <c r="R954" s="326"/>
      <c r="S954" s="326"/>
      <c r="T954" s="326"/>
      <c r="U954" s="327"/>
    </row>
    <row r="955" spans="1:21" ht="34.5" customHeight="1" x14ac:dyDescent="0.25">
      <c r="A955" s="10">
        <f t="shared" si="3"/>
        <v>941</v>
      </c>
      <c r="B955" s="479" t="s">
        <v>303</v>
      </c>
      <c r="C955" s="327"/>
      <c r="D955" s="480" t="s">
        <v>303</v>
      </c>
      <c r="E955" s="327"/>
      <c r="F955" s="481" t="s">
        <v>334</v>
      </c>
      <c r="G955" s="327"/>
      <c r="H955" s="482"/>
      <c r="I955" s="326"/>
      <c r="J955" s="327"/>
      <c r="K955" s="481" t="s">
        <v>334</v>
      </c>
      <c r="L955" s="326"/>
      <c r="M955" s="327"/>
      <c r="N955" s="439" t="s">
        <v>303</v>
      </c>
      <c r="O955" s="326"/>
      <c r="P955" s="326"/>
      <c r="Q955" s="326"/>
      <c r="R955" s="326"/>
      <c r="S955" s="326"/>
      <c r="T955" s="326"/>
      <c r="U955" s="327"/>
    </row>
    <row r="956" spans="1:21" ht="34.5" customHeight="1" x14ac:dyDescent="0.25">
      <c r="A956" s="10">
        <f t="shared" si="3"/>
        <v>942</v>
      </c>
      <c r="B956" s="483" t="s">
        <v>303</v>
      </c>
      <c r="C956" s="327"/>
      <c r="D956" s="484" t="s">
        <v>303</v>
      </c>
      <c r="E956" s="327"/>
      <c r="F956" s="481" t="s">
        <v>334</v>
      </c>
      <c r="G956" s="327"/>
      <c r="H956" s="485"/>
      <c r="I956" s="326"/>
      <c r="J956" s="327"/>
      <c r="K956" s="481" t="s">
        <v>334</v>
      </c>
      <c r="L956" s="326"/>
      <c r="M956" s="327"/>
      <c r="N956" s="486" t="s">
        <v>303</v>
      </c>
      <c r="O956" s="326"/>
      <c r="P956" s="326"/>
      <c r="Q956" s="326"/>
      <c r="R956" s="326"/>
      <c r="S956" s="326"/>
      <c r="T956" s="326"/>
      <c r="U956" s="327"/>
    </row>
    <row r="957" spans="1:21" ht="34.5" customHeight="1" x14ac:dyDescent="0.25">
      <c r="A957" s="10">
        <f t="shared" si="3"/>
        <v>943</v>
      </c>
      <c r="B957" s="479" t="s">
        <v>303</v>
      </c>
      <c r="C957" s="327"/>
      <c r="D957" s="480" t="s">
        <v>303</v>
      </c>
      <c r="E957" s="327"/>
      <c r="F957" s="481" t="s">
        <v>334</v>
      </c>
      <c r="G957" s="327"/>
      <c r="H957" s="482"/>
      <c r="I957" s="326"/>
      <c r="J957" s="327"/>
      <c r="K957" s="481" t="s">
        <v>334</v>
      </c>
      <c r="L957" s="326"/>
      <c r="M957" s="327"/>
      <c r="N957" s="439" t="s">
        <v>303</v>
      </c>
      <c r="O957" s="326"/>
      <c r="P957" s="326"/>
      <c r="Q957" s="326"/>
      <c r="R957" s="326"/>
      <c r="S957" s="326"/>
      <c r="T957" s="326"/>
      <c r="U957" s="327"/>
    </row>
    <row r="958" spans="1:21" ht="34.5" customHeight="1" x14ac:dyDescent="0.25">
      <c r="A958" s="10">
        <f t="shared" si="3"/>
        <v>944</v>
      </c>
      <c r="B958" s="483" t="s">
        <v>303</v>
      </c>
      <c r="C958" s="327"/>
      <c r="D958" s="484" t="s">
        <v>303</v>
      </c>
      <c r="E958" s="327"/>
      <c r="F958" s="481" t="s">
        <v>334</v>
      </c>
      <c r="G958" s="327"/>
      <c r="H958" s="485"/>
      <c r="I958" s="326"/>
      <c r="J958" s="327"/>
      <c r="K958" s="481" t="s">
        <v>334</v>
      </c>
      <c r="L958" s="326"/>
      <c r="M958" s="327"/>
      <c r="N958" s="486" t="s">
        <v>303</v>
      </c>
      <c r="O958" s="326"/>
      <c r="P958" s="326"/>
      <c r="Q958" s="326"/>
      <c r="R958" s="326"/>
      <c r="S958" s="326"/>
      <c r="T958" s="326"/>
      <c r="U958" s="327"/>
    </row>
    <row r="959" spans="1:21" ht="34.5" customHeight="1" x14ac:dyDescent="0.25">
      <c r="A959" s="10">
        <f t="shared" si="3"/>
        <v>945</v>
      </c>
      <c r="B959" s="479" t="s">
        <v>303</v>
      </c>
      <c r="C959" s="327"/>
      <c r="D959" s="480" t="s">
        <v>303</v>
      </c>
      <c r="E959" s="327"/>
      <c r="F959" s="481" t="s">
        <v>334</v>
      </c>
      <c r="G959" s="327"/>
      <c r="H959" s="482"/>
      <c r="I959" s="326"/>
      <c r="J959" s="327"/>
      <c r="K959" s="481" t="s">
        <v>334</v>
      </c>
      <c r="L959" s="326"/>
      <c r="M959" s="327"/>
      <c r="N959" s="439" t="s">
        <v>303</v>
      </c>
      <c r="O959" s="326"/>
      <c r="P959" s="326"/>
      <c r="Q959" s="326"/>
      <c r="R959" s="326"/>
      <c r="S959" s="326"/>
      <c r="T959" s="326"/>
      <c r="U959" s="327"/>
    </row>
    <row r="960" spans="1:21" ht="34.5" customHeight="1" x14ac:dyDescent="0.25">
      <c r="A960" s="10">
        <f t="shared" si="3"/>
        <v>946</v>
      </c>
      <c r="B960" s="483" t="s">
        <v>303</v>
      </c>
      <c r="C960" s="327"/>
      <c r="D960" s="484" t="s">
        <v>303</v>
      </c>
      <c r="E960" s="327"/>
      <c r="F960" s="481" t="s">
        <v>334</v>
      </c>
      <c r="G960" s="327"/>
      <c r="H960" s="485"/>
      <c r="I960" s="326"/>
      <c r="J960" s="327"/>
      <c r="K960" s="481" t="s">
        <v>334</v>
      </c>
      <c r="L960" s="326"/>
      <c r="M960" s="327"/>
      <c r="N960" s="486" t="s">
        <v>303</v>
      </c>
      <c r="O960" s="326"/>
      <c r="P960" s="326"/>
      <c r="Q960" s="326"/>
      <c r="R960" s="326"/>
      <c r="S960" s="326"/>
      <c r="T960" s="326"/>
      <c r="U960" s="327"/>
    </row>
    <row r="961" spans="1:21" ht="34.5" customHeight="1" x14ac:dyDescent="0.25">
      <c r="A961" s="10">
        <f t="shared" si="3"/>
        <v>947</v>
      </c>
      <c r="B961" s="479" t="s">
        <v>303</v>
      </c>
      <c r="C961" s="327"/>
      <c r="D961" s="480" t="s">
        <v>303</v>
      </c>
      <c r="E961" s="327"/>
      <c r="F961" s="481" t="s">
        <v>334</v>
      </c>
      <c r="G961" s="327"/>
      <c r="H961" s="482"/>
      <c r="I961" s="326"/>
      <c r="J961" s="327"/>
      <c r="K961" s="481" t="s">
        <v>334</v>
      </c>
      <c r="L961" s="326"/>
      <c r="M961" s="327"/>
      <c r="N961" s="439" t="s">
        <v>303</v>
      </c>
      <c r="O961" s="326"/>
      <c r="P961" s="326"/>
      <c r="Q961" s="326"/>
      <c r="R961" s="326"/>
      <c r="S961" s="326"/>
      <c r="T961" s="326"/>
      <c r="U961" s="327"/>
    </row>
    <row r="962" spans="1:21" ht="34.5" customHeight="1" x14ac:dyDescent="0.25">
      <c r="A962" s="10">
        <f t="shared" si="3"/>
        <v>948</v>
      </c>
      <c r="B962" s="483" t="s">
        <v>342</v>
      </c>
      <c r="C962" s="327"/>
      <c r="D962" s="484" t="s">
        <v>303</v>
      </c>
      <c r="E962" s="327"/>
      <c r="F962" s="481" t="s">
        <v>334</v>
      </c>
      <c r="G962" s="327"/>
      <c r="H962" s="485"/>
      <c r="I962" s="326"/>
      <c r="J962" s="327"/>
      <c r="K962" s="481" t="s">
        <v>334</v>
      </c>
      <c r="L962" s="326"/>
      <c r="M962" s="327"/>
      <c r="N962" s="486" t="s">
        <v>303</v>
      </c>
      <c r="O962" s="326"/>
      <c r="P962" s="326"/>
      <c r="Q962" s="326"/>
      <c r="R962" s="326"/>
      <c r="S962" s="326"/>
      <c r="T962" s="326"/>
      <c r="U962" s="327"/>
    </row>
    <row r="963" spans="1:21" ht="34.5" customHeight="1" x14ac:dyDescent="0.25">
      <c r="A963" s="10">
        <f t="shared" si="3"/>
        <v>949</v>
      </c>
      <c r="B963" s="479" t="s">
        <v>303</v>
      </c>
      <c r="C963" s="327"/>
      <c r="D963" s="480" t="s">
        <v>303</v>
      </c>
      <c r="E963" s="327"/>
      <c r="F963" s="481" t="s">
        <v>334</v>
      </c>
      <c r="G963" s="327"/>
      <c r="H963" s="482"/>
      <c r="I963" s="326"/>
      <c r="J963" s="327"/>
      <c r="K963" s="481" t="s">
        <v>334</v>
      </c>
      <c r="L963" s="326"/>
      <c r="M963" s="327"/>
      <c r="N963" s="439" t="s">
        <v>303</v>
      </c>
      <c r="O963" s="326"/>
      <c r="P963" s="326"/>
      <c r="Q963" s="326"/>
      <c r="R963" s="326"/>
      <c r="S963" s="326"/>
      <c r="T963" s="326"/>
      <c r="U963" s="327"/>
    </row>
    <row r="964" spans="1:21" ht="34.5" customHeight="1" x14ac:dyDescent="0.25">
      <c r="A964" s="10">
        <f t="shared" si="3"/>
        <v>950</v>
      </c>
      <c r="B964" s="483" t="s">
        <v>303</v>
      </c>
      <c r="C964" s="327"/>
      <c r="D964" s="484" t="s">
        <v>303</v>
      </c>
      <c r="E964" s="327"/>
      <c r="F964" s="481" t="s">
        <v>334</v>
      </c>
      <c r="G964" s="327"/>
      <c r="H964" s="485"/>
      <c r="I964" s="326"/>
      <c r="J964" s="327"/>
      <c r="K964" s="481" t="s">
        <v>334</v>
      </c>
      <c r="L964" s="326"/>
      <c r="M964" s="327"/>
      <c r="N964" s="486" t="s">
        <v>303</v>
      </c>
      <c r="O964" s="326"/>
      <c r="P964" s="326"/>
      <c r="Q964" s="326"/>
      <c r="R964" s="326"/>
      <c r="S964" s="326"/>
      <c r="T964" s="326"/>
      <c r="U964" s="327"/>
    </row>
    <row r="965" spans="1:21" ht="34.5" customHeight="1" x14ac:dyDescent="0.25">
      <c r="A965" s="10">
        <f t="shared" si="3"/>
        <v>951</v>
      </c>
      <c r="B965" s="479" t="s">
        <v>303</v>
      </c>
      <c r="C965" s="327"/>
      <c r="D965" s="480" t="s">
        <v>303</v>
      </c>
      <c r="E965" s="327"/>
      <c r="F965" s="481" t="s">
        <v>334</v>
      </c>
      <c r="G965" s="327"/>
      <c r="H965" s="482"/>
      <c r="I965" s="326"/>
      <c r="J965" s="327"/>
      <c r="K965" s="481" t="s">
        <v>334</v>
      </c>
      <c r="L965" s="326"/>
      <c r="M965" s="327"/>
      <c r="N965" s="439" t="s">
        <v>303</v>
      </c>
      <c r="O965" s="326"/>
      <c r="P965" s="326"/>
      <c r="Q965" s="326"/>
      <c r="R965" s="326"/>
      <c r="S965" s="326"/>
      <c r="T965" s="326"/>
      <c r="U965" s="327"/>
    </row>
    <row r="966" spans="1:21" ht="34.5" customHeight="1" x14ac:dyDescent="0.25">
      <c r="A966" s="10">
        <f t="shared" si="3"/>
        <v>952</v>
      </c>
      <c r="B966" s="483" t="s">
        <v>303</v>
      </c>
      <c r="C966" s="327"/>
      <c r="D966" s="484" t="s">
        <v>303</v>
      </c>
      <c r="E966" s="327"/>
      <c r="F966" s="481" t="s">
        <v>334</v>
      </c>
      <c r="G966" s="327"/>
      <c r="H966" s="485"/>
      <c r="I966" s="326"/>
      <c r="J966" s="327"/>
      <c r="K966" s="481" t="s">
        <v>334</v>
      </c>
      <c r="L966" s="326"/>
      <c r="M966" s="327"/>
      <c r="N966" s="486" t="s">
        <v>303</v>
      </c>
      <c r="O966" s="326"/>
      <c r="P966" s="326"/>
      <c r="Q966" s="326"/>
      <c r="R966" s="326"/>
      <c r="S966" s="326"/>
      <c r="T966" s="326"/>
      <c r="U966" s="327"/>
    </row>
    <row r="967" spans="1:21" ht="34.5" customHeight="1" x14ac:dyDescent="0.25">
      <c r="A967" s="10">
        <f t="shared" si="3"/>
        <v>953</v>
      </c>
      <c r="B967" s="479" t="s">
        <v>303</v>
      </c>
      <c r="C967" s="327"/>
      <c r="D967" s="480" t="s">
        <v>303</v>
      </c>
      <c r="E967" s="327"/>
      <c r="F967" s="481" t="s">
        <v>334</v>
      </c>
      <c r="G967" s="327"/>
      <c r="H967" s="482"/>
      <c r="I967" s="326"/>
      <c r="J967" s="327"/>
      <c r="K967" s="481" t="s">
        <v>334</v>
      </c>
      <c r="L967" s="326"/>
      <c r="M967" s="327"/>
      <c r="N967" s="439" t="s">
        <v>303</v>
      </c>
      <c r="O967" s="326"/>
      <c r="P967" s="326"/>
      <c r="Q967" s="326"/>
      <c r="R967" s="326"/>
      <c r="S967" s="326"/>
      <c r="T967" s="326"/>
      <c r="U967" s="327"/>
    </row>
    <row r="968" spans="1:21" ht="34.5" customHeight="1" x14ac:dyDescent="0.25">
      <c r="A968" s="10">
        <f t="shared" si="3"/>
        <v>954</v>
      </c>
      <c r="B968" s="483" t="s">
        <v>339</v>
      </c>
      <c r="C968" s="327"/>
      <c r="D968" s="484" t="s">
        <v>303</v>
      </c>
      <c r="E968" s="327"/>
      <c r="F968" s="481" t="s">
        <v>334</v>
      </c>
      <c r="G968" s="327"/>
      <c r="H968" s="485"/>
      <c r="I968" s="326"/>
      <c r="J968" s="327"/>
      <c r="K968" s="481" t="s">
        <v>334</v>
      </c>
      <c r="L968" s="326"/>
      <c r="M968" s="327"/>
      <c r="N968" s="486" t="s">
        <v>303</v>
      </c>
      <c r="O968" s="326"/>
      <c r="P968" s="326"/>
      <c r="Q968" s="326"/>
      <c r="R968" s="326"/>
      <c r="S968" s="326"/>
      <c r="T968" s="326"/>
      <c r="U968" s="327"/>
    </row>
    <row r="969" spans="1:21" ht="34.5" customHeight="1" x14ac:dyDescent="0.25">
      <c r="A969" s="10">
        <f t="shared" si="3"/>
        <v>955</v>
      </c>
      <c r="B969" s="479" t="s">
        <v>303</v>
      </c>
      <c r="C969" s="327"/>
      <c r="D969" s="480" t="s">
        <v>303</v>
      </c>
      <c r="E969" s="327"/>
      <c r="F969" s="481" t="s">
        <v>334</v>
      </c>
      <c r="G969" s="327"/>
      <c r="H969" s="482"/>
      <c r="I969" s="326"/>
      <c r="J969" s="327"/>
      <c r="K969" s="481" t="s">
        <v>334</v>
      </c>
      <c r="L969" s="326"/>
      <c r="M969" s="327"/>
      <c r="N969" s="439" t="s">
        <v>303</v>
      </c>
      <c r="O969" s="326"/>
      <c r="P969" s="326"/>
      <c r="Q969" s="326"/>
      <c r="R969" s="326"/>
      <c r="S969" s="326"/>
      <c r="T969" s="326"/>
      <c r="U969" s="327"/>
    </row>
    <row r="970" spans="1:21" ht="34.5" customHeight="1" x14ac:dyDescent="0.25">
      <c r="A970" s="10">
        <f t="shared" si="3"/>
        <v>956</v>
      </c>
      <c r="B970" s="483" t="s">
        <v>303</v>
      </c>
      <c r="C970" s="327"/>
      <c r="D970" s="484" t="s">
        <v>303</v>
      </c>
      <c r="E970" s="327"/>
      <c r="F970" s="481" t="s">
        <v>334</v>
      </c>
      <c r="G970" s="327"/>
      <c r="H970" s="485"/>
      <c r="I970" s="326"/>
      <c r="J970" s="327"/>
      <c r="K970" s="481" t="s">
        <v>334</v>
      </c>
      <c r="L970" s="326"/>
      <c r="M970" s="327"/>
      <c r="N970" s="486" t="s">
        <v>303</v>
      </c>
      <c r="O970" s="326"/>
      <c r="P970" s="326"/>
      <c r="Q970" s="326"/>
      <c r="R970" s="326"/>
      <c r="S970" s="326"/>
      <c r="T970" s="326"/>
      <c r="U970" s="327"/>
    </row>
    <row r="971" spans="1:21" ht="34.5" customHeight="1" x14ac:dyDescent="0.25">
      <c r="A971" s="10">
        <f t="shared" si="3"/>
        <v>957</v>
      </c>
      <c r="B971" s="479" t="s">
        <v>303</v>
      </c>
      <c r="C971" s="327"/>
      <c r="D971" s="480" t="s">
        <v>303</v>
      </c>
      <c r="E971" s="327"/>
      <c r="F971" s="481" t="s">
        <v>334</v>
      </c>
      <c r="G971" s="327"/>
      <c r="H971" s="482"/>
      <c r="I971" s="326"/>
      <c r="J971" s="327"/>
      <c r="K971" s="481" t="s">
        <v>334</v>
      </c>
      <c r="L971" s="326"/>
      <c r="M971" s="327"/>
      <c r="N971" s="439" t="s">
        <v>303</v>
      </c>
      <c r="O971" s="326"/>
      <c r="P971" s="326"/>
      <c r="Q971" s="326"/>
      <c r="R971" s="326"/>
      <c r="S971" s="326"/>
      <c r="T971" s="326"/>
      <c r="U971" s="327"/>
    </row>
    <row r="972" spans="1:21" ht="34.5" customHeight="1" x14ac:dyDescent="0.25">
      <c r="A972" s="10">
        <f t="shared" si="3"/>
        <v>958</v>
      </c>
      <c r="B972" s="483" t="s">
        <v>303</v>
      </c>
      <c r="C972" s="327"/>
      <c r="D972" s="484" t="s">
        <v>303</v>
      </c>
      <c r="E972" s="327"/>
      <c r="F972" s="481" t="s">
        <v>334</v>
      </c>
      <c r="G972" s="327"/>
      <c r="H972" s="485"/>
      <c r="I972" s="326"/>
      <c r="J972" s="327"/>
      <c r="K972" s="481" t="s">
        <v>334</v>
      </c>
      <c r="L972" s="326"/>
      <c r="M972" s="327"/>
      <c r="N972" s="486" t="s">
        <v>303</v>
      </c>
      <c r="O972" s="326"/>
      <c r="P972" s="326"/>
      <c r="Q972" s="326"/>
      <c r="R972" s="326"/>
      <c r="S972" s="326"/>
      <c r="T972" s="326"/>
      <c r="U972" s="327"/>
    </row>
    <row r="973" spans="1:21" ht="34.5" customHeight="1" x14ac:dyDescent="0.25">
      <c r="A973" s="10">
        <f t="shared" si="3"/>
        <v>959</v>
      </c>
      <c r="B973" s="479" t="s">
        <v>343</v>
      </c>
      <c r="C973" s="327"/>
      <c r="D973" s="480" t="s">
        <v>303</v>
      </c>
      <c r="E973" s="327"/>
      <c r="F973" s="481" t="s">
        <v>334</v>
      </c>
      <c r="G973" s="327"/>
      <c r="H973" s="482"/>
      <c r="I973" s="326"/>
      <c r="J973" s="327"/>
      <c r="K973" s="481" t="s">
        <v>334</v>
      </c>
      <c r="L973" s="326"/>
      <c r="M973" s="327"/>
      <c r="N973" s="439" t="s">
        <v>303</v>
      </c>
      <c r="O973" s="326"/>
      <c r="P973" s="326"/>
      <c r="Q973" s="326"/>
      <c r="R973" s="326"/>
      <c r="S973" s="326"/>
      <c r="T973" s="326"/>
      <c r="U973" s="327"/>
    </row>
    <row r="974" spans="1:21" ht="34.5" customHeight="1" x14ac:dyDescent="0.25">
      <c r="A974" s="10">
        <f t="shared" si="3"/>
        <v>960</v>
      </c>
      <c r="B974" s="483" t="s">
        <v>303</v>
      </c>
      <c r="C974" s="327"/>
      <c r="D974" s="484" t="s">
        <v>303</v>
      </c>
      <c r="E974" s="327"/>
      <c r="F974" s="481" t="s">
        <v>334</v>
      </c>
      <c r="G974" s="327"/>
      <c r="H974" s="485"/>
      <c r="I974" s="326"/>
      <c r="J974" s="327"/>
      <c r="K974" s="481" t="s">
        <v>334</v>
      </c>
      <c r="L974" s="326"/>
      <c r="M974" s="327"/>
      <c r="N974" s="486" t="s">
        <v>303</v>
      </c>
      <c r="O974" s="326"/>
      <c r="P974" s="326"/>
      <c r="Q974" s="326"/>
      <c r="R974" s="326"/>
      <c r="S974" s="326"/>
      <c r="T974" s="326"/>
      <c r="U974" s="327"/>
    </row>
    <row r="975" spans="1:21" ht="34.5" customHeight="1" x14ac:dyDescent="0.25">
      <c r="A975" s="10">
        <f t="shared" si="3"/>
        <v>961</v>
      </c>
      <c r="B975" s="479" t="s">
        <v>303</v>
      </c>
      <c r="C975" s="327"/>
      <c r="D975" s="480" t="s">
        <v>303</v>
      </c>
      <c r="E975" s="327"/>
      <c r="F975" s="481" t="s">
        <v>334</v>
      </c>
      <c r="G975" s="327"/>
      <c r="H975" s="482"/>
      <c r="I975" s="326"/>
      <c r="J975" s="327"/>
      <c r="K975" s="481" t="s">
        <v>334</v>
      </c>
      <c r="L975" s="326"/>
      <c r="M975" s="327"/>
      <c r="N975" s="439" t="s">
        <v>303</v>
      </c>
      <c r="O975" s="326"/>
      <c r="P975" s="326"/>
      <c r="Q975" s="326"/>
      <c r="R975" s="326"/>
      <c r="S975" s="326"/>
      <c r="T975" s="326"/>
      <c r="U975" s="327"/>
    </row>
    <row r="976" spans="1:21" ht="34.5" customHeight="1" x14ac:dyDescent="0.25">
      <c r="A976" s="10">
        <f t="shared" si="3"/>
        <v>962</v>
      </c>
      <c r="B976" s="483" t="s">
        <v>303</v>
      </c>
      <c r="C976" s="327"/>
      <c r="D976" s="484" t="s">
        <v>303</v>
      </c>
      <c r="E976" s="327"/>
      <c r="F976" s="481" t="s">
        <v>334</v>
      </c>
      <c r="G976" s="327"/>
      <c r="H976" s="485"/>
      <c r="I976" s="326"/>
      <c r="J976" s="327"/>
      <c r="K976" s="481" t="s">
        <v>334</v>
      </c>
      <c r="L976" s="326"/>
      <c r="M976" s="327"/>
      <c r="N976" s="486" t="s">
        <v>303</v>
      </c>
      <c r="O976" s="326"/>
      <c r="P976" s="326"/>
      <c r="Q976" s="326"/>
      <c r="R976" s="326"/>
      <c r="S976" s="326"/>
      <c r="T976" s="326"/>
      <c r="U976" s="327"/>
    </row>
    <row r="977" spans="1:21" ht="34.5" customHeight="1" x14ac:dyDescent="0.25">
      <c r="A977" s="10">
        <f t="shared" si="3"/>
        <v>963</v>
      </c>
      <c r="B977" s="479" t="s">
        <v>303</v>
      </c>
      <c r="C977" s="327"/>
      <c r="D977" s="480" t="s">
        <v>303</v>
      </c>
      <c r="E977" s="327"/>
      <c r="F977" s="481" t="s">
        <v>334</v>
      </c>
      <c r="G977" s="327"/>
      <c r="H977" s="482"/>
      <c r="I977" s="326"/>
      <c r="J977" s="327"/>
      <c r="K977" s="481" t="s">
        <v>334</v>
      </c>
      <c r="L977" s="326"/>
      <c r="M977" s="327"/>
      <c r="N977" s="439" t="s">
        <v>303</v>
      </c>
      <c r="O977" s="326"/>
      <c r="P977" s="326"/>
      <c r="Q977" s="326"/>
      <c r="R977" s="326"/>
      <c r="S977" s="326"/>
      <c r="T977" s="326"/>
      <c r="U977" s="327"/>
    </row>
    <row r="978" spans="1:21" ht="34.5" customHeight="1" x14ac:dyDescent="0.25">
      <c r="A978" s="10">
        <f t="shared" si="3"/>
        <v>964</v>
      </c>
      <c r="B978" s="483" t="s">
        <v>341</v>
      </c>
      <c r="C978" s="327"/>
      <c r="D978" s="484" t="s">
        <v>303</v>
      </c>
      <c r="E978" s="327"/>
      <c r="F978" s="481" t="s">
        <v>334</v>
      </c>
      <c r="G978" s="327"/>
      <c r="H978" s="485"/>
      <c r="I978" s="326"/>
      <c r="J978" s="327"/>
      <c r="K978" s="481" t="s">
        <v>334</v>
      </c>
      <c r="L978" s="326"/>
      <c r="M978" s="327"/>
      <c r="N978" s="486" t="s">
        <v>303</v>
      </c>
      <c r="O978" s="326"/>
      <c r="P978" s="326"/>
      <c r="Q978" s="326"/>
      <c r="R978" s="326"/>
      <c r="S978" s="326"/>
      <c r="T978" s="326"/>
      <c r="U978" s="327"/>
    </row>
    <row r="979" spans="1:21" ht="34.5" customHeight="1" x14ac:dyDescent="0.25">
      <c r="A979" s="10">
        <f t="shared" si="3"/>
        <v>965</v>
      </c>
      <c r="B979" s="479" t="s">
        <v>303</v>
      </c>
      <c r="C979" s="327"/>
      <c r="D979" s="480" t="s">
        <v>303</v>
      </c>
      <c r="E979" s="327"/>
      <c r="F979" s="481" t="s">
        <v>334</v>
      </c>
      <c r="G979" s="327"/>
      <c r="H979" s="482"/>
      <c r="I979" s="326"/>
      <c r="J979" s="327"/>
      <c r="K979" s="481" t="s">
        <v>334</v>
      </c>
      <c r="L979" s="326"/>
      <c r="M979" s="327"/>
      <c r="N979" s="439" t="s">
        <v>303</v>
      </c>
      <c r="O979" s="326"/>
      <c r="P979" s="326"/>
      <c r="Q979" s="326"/>
      <c r="R979" s="326"/>
      <c r="S979" s="326"/>
      <c r="T979" s="326"/>
      <c r="U979" s="327"/>
    </row>
    <row r="980" spans="1:21" ht="34.5" customHeight="1" x14ac:dyDescent="0.25">
      <c r="A980" s="10">
        <f t="shared" si="3"/>
        <v>966</v>
      </c>
      <c r="B980" s="483" t="s">
        <v>303</v>
      </c>
      <c r="C980" s="327"/>
      <c r="D980" s="484" t="s">
        <v>303</v>
      </c>
      <c r="E980" s="327"/>
      <c r="F980" s="481" t="s">
        <v>334</v>
      </c>
      <c r="G980" s="327"/>
      <c r="H980" s="485"/>
      <c r="I980" s="326"/>
      <c r="J980" s="327"/>
      <c r="K980" s="481" t="s">
        <v>334</v>
      </c>
      <c r="L980" s="326"/>
      <c r="M980" s="327"/>
      <c r="N980" s="486" t="s">
        <v>303</v>
      </c>
      <c r="O980" s="326"/>
      <c r="P980" s="326"/>
      <c r="Q980" s="326"/>
      <c r="R980" s="326"/>
      <c r="S980" s="326"/>
      <c r="T980" s="326"/>
      <c r="U980" s="327"/>
    </row>
    <row r="981" spans="1:21" ht="34.5" customHeight="1" x14ac:dyDescent="0.25">
      <c r="A981" s="10">
        <f t="shared" si="3"/>
        <v>967</v>
      </c>
      <c r="B981" s="479" t="s">
        <v>303</v>
      </c>
      <c r="C981" s="327"/>
      <c r="D981" s="480" t="s">
        <v>303</v>
      </c>
      <c r="E981" s="327"/>
      <c r="F981" s="481" t="s">
        <v>334</v>
      </c>
      <c r="G981" s="327"/>
      <c r="H981" s="482"/>
      <c r="I981" s="326"/>
      <c r="J981" s="327"/>
      <c r="K981" s="481" t="s">
        <v>334</v>
      </c>
      <c r="L981" s="326"/>
      <c r="M981" s="327"/>
      <c r="N981" s="439" t="s">
        <v>303</v>
      </c>
      <c r="O981" s="326"/>
      <c r="P981" s="326"/>
      <c r="Q981" s="326"/>
      <c r="R981" s="326"/>
      <c r="S981" s="326"/>
      <c r="T981" s="326"/>
      <c r="U981" s="327"/>
    </row>
    <row r="982" spans="1:21" ht="34.5" customHeight="1" x14ac:dyDescent="0.25">
      <c r="A982" s="10">
        <f t="shared" si="3"/>
        <v>968</v>
      </c>
      <c r="B982" s="483" t="s">
        <v>303</v>
      </c>
      <c r="C982" s="327"/>
      <c r="D982" s="484" t="s">
        <v>303</v>
      </c>
      <c r="E982" s="327"/>
      <c r="F982" s="481" t="s">
        <v>334</v>
      </c>
      <c r="G982" s="327"/>
      <c r="H982" s="485"/>
      <c r="I982" s="326"/>
      <c r="J982" s="327"/>
      <c r="K982" s="481" t="s">
        <v>334</v>
      </c>
      <c r="L982" s="326"/>
      <c r="M982" s="327"/>
      <c r="N982" s="486" t="s">
        <v>303</v>
      </c>
      <c r="O982" s="326"/>
      <c r="P982" s="326"/>
      <c r="Q982" s="326"/>
      <c r="R982" s="326"/>
      <c r="S982" s="326"/>
      <c r="T982" s="326"/>
      <c r="U982" s="327"/>
    </row>
    <row r="983" spans="1:21" ht="34.5" customHeight="1" x14ac:dyDescent="0.25">
      <c r="A983" s="10">
        <f t="shared" si="3"/>
        <v>969</v>
      </c>
      <c r="B983" s="479" t="s">
        <v>338</v>
      </c>
      <c r="C983" s="327"/>
      <c r="D983" s="480" t="s">
        <v>303</v>
      </c>
      <c r="E983" s="327"/>
      <c r="F983" s="481" t="s">
        <v>334</v>
      </c>
      <c r="G983" s="327"/>
      <c r="H983" s="482"/>
      <c r="I983" s="326"/>
      <c r="J983" s="327"/>
      <c r="K983" s="481" t="s">
        <v>334</v>
      </c>
      <c r="L983" s="326"/>
      <c r="M983" s="327"/>
      <c r="N983" s="439" t="s">
        <v>303</v>
      </c>
      <c r="O983" s="326"/>
      <c r="P983" s="326"/>
      <c r="Q983" s="326"/>
      <c r="R983" s="326"/>
      <c r="S983" s="326"/>
      <c r="T983" s="326"/>
      <c r="U983" s="327"/>
    </row>
    <row r="984" spans="1:21" ht="34.5" customHeight="1" x14ac:dyDescent="0.25">
      <c r="A984" s="10">
        <f t="shared" si="3"/>
        <v>970</v>
      </c>
      <c r="B984" s="483" t="s">
        <v>303</v>
      </c>
      <c r="C984" s="327"/>
      <c r="D984" s="484" t="s">
        <v>303</v>
      </c>
      <c r="E984" s="327"/>
      <c r="F984" s="481" t="s">
        <v>334</v>
      </c>
      <c r="G984" s="327"/>
      <c r="H984" s="485"/>
      <c r="I984" s="326"/>
      <c r="J984" s="327"/>
      <c r="K984" s="481" t="s">
        <v>334</v>
      </c>
      <c r="L984" s="326"/>
      <c r="M984" s="327"/>
      <c r="N984" s="486" t="s">
        <v>303</v>
      </c>
      <c r="O984" s="326"/>
      <c r="P984" s="326"/>
      <c r="Q984" s="326"/>
      <c r="R984" s="326"/>
      <c r="S984" s="326"/>
      <c r="T984" s="326"/>
      <c r="U984" s="327"/>
    </row>
    <row r="985" spans="1:21" ht="34.5" customHeight="1" x14ac:dyDescent="0.25">
      <c r="A985" s="10">
        <f t="shared" si="3"/>
        <v>971</v>
      </c>
      <c r="B985" s="479" t="s">
        <v>303</v>
      </c>
      <c r="C985" s="327"/>
      <c r="D985" s="480" t="s">
        <v>303</v>
      </c>
      <c r="E985" s="327"/>
      <c r="F985" s="481" t="s">
        <v>334</v>
      </c>
      <c r="G985" s="327"/>
      <c r="H985" s="482"/>
      <c r="I985" s="326"/>
      <c r="J985" s="327"/>
      <c r="K985" s="481" t="s">
        <v>334</v>
      </c>
      <c r="L985" s="326"/>
      <c r="M985" s="327"/>
      <c r="N985" s="439" t="s">
        <v>303</v>
      </c>
      <c r="O985" s="326"/>
      <c r="P985" s="326"/>
      <c r="Q985" s="326"/>
      <c r="R985" s="326"/>
      <c r="S985" s="326"/>
      <c r="T985" s="326"/>
      <c r="U985" s="327"/>
    </row>
    <row r="986" spans="1:21" ht="34.5" customHeight="1" x14ac:dyDescent="0.25">
      <c r="A986" s="10">
        <f t="shared" si="3"/>
        <v>972</v>
      </c>
      <c r="B986" s="483" t="s">
        <v>303</v>
      </c>
      <c r="C986" s="327"/>
      <c r="D986" s="484" t="s">
        <v>303</v>
      </c>
      <c r="E986" s="327"/>
      <c r="F986" s="481" t="s">
        <v>334</v>
      </c>
      <c r="G986" s="327"/>
      <c r="H986" s="485"/>
      <c r="I986" s="326"/>
      <c r="J986" s="327"/>
      <c r="K986" s="481" t="s">
        <v>334</v>
      </c>
      <c r="L986" s="326"/>
      <c r="M986" s="327"/>
      <c r="N986" s="486" t="s">
        <v>303</v>
      </c>
      <c r="O986" s="326"/>
      <c r="P986" s="326"/>
      <c r="Q986" s="326"/>
      <c r="R986" s="326"/>
      <c r="S986" s="326"/>
      <c r="T986" s="326"/>
      <c r="U986" s="327"/>
    </row>
    <row r="987" spans="1:21" ht="34.5" customHeight="1" x14ac:dyDescent="0.25">
      <c r="A987" s="10">
        <f t="shared" si="3"/>
        <v>973</v>
      </c>
      <c r="B987" s="479" t="s">
        <v>343</v>
      </c>
      <c r="C987" s="327"/>
      <c r="D987" s="480" t="s">
        <v>303</v>
      </c>
      <c r="E987" s="327"/>
      <c r="F987" s="481" t="s">
        <v>334</v>
      </c>
      <c r="G987" s="327"/>
      <c r="H987" s="482"/>
      <c r="I987" s="326"/>
      <c r="J987" s="327"/>
      <c r="K987" s="481" t="s">
        <v>334</v>
      </c>
      <c r="L987" s="326"/>
      <c r="M987" s="327"/>
      <c r="N987" s="439" t="s">
        <v>303</v>
      </c>
      <c r="O987" s="326"/>
      <c r="P987" s="326"/>
      <c r="Q987" s="326"/>
      <c r="R987" s="326"/>
      <c r="S987" s="326"/>
      <c r="T987" s="326"/>
      <c r="U987" s="327"/>
    </row>
    <row r="988" spans="1:21" ht="34.5" customHeight="1" x14ac:dyDescent="0.25">
      <c r="A988" s="10">
        <f t="shared" si="3"/>
        <v>974</v>
      </c>
      <c r="B988" s="483" t="s">
        <v>303</v>
      </c>
      <c r="C988" s="327"/>
      <c r="D988" s="484" t="s">
        <v>303</v>
      </c>
      <c r="E988" s="327"/>
      <c r="F988" s="481" t="s">
        <v>334</v>
      </c>
      <c r="G988" s="327"/>
      <c r="H988" s="485"/>
      <c r="I988" s="326"/>
      <c r="J988" s="327"/>
      <c r="K988" s="481" t="s">
        <v>334</v>
      </c>
      <c r="L988" s="326"/>
      <c r="M988" s="327"/>
      <c r="N988" s="486" t="s">
        <v>303</v>
      </c>
      <c r="O988" s="326"/>
      <c r="P988" s="326"/>
      <c r="Q988" s="326"/>
      <c r="R988" s="326"/>
      <c r="S988" s="326"/>
      <c r="T988" s="326"/>
      <c r="U988" s="327"/>
    </row>
    <row r="989" spans="1:21" ht="34.5" customHeight="1" x14ac:dyDescent="0.25">
      <c r="A989" s="10">
        <f t="shared" si="3"/>
        <v>975</v>
      </c>
      <c r="B989" s="479" t="s">
        <v>303</v>
      </c>
      <c r="C989" s="327"/>
      <c r="D989" s="480" t="s">
        <v>303</v>
      </c>
      <c r="E989" s="327"/>
      <c r="F989" s="481" t="s">
        <v>334</v>
      </c>
      <c r="G989" s="327"/>
      <c r="H989" s="482"/>
      <c r="I989" s="326"/>
      <c r="J989" s="327"/>
      <c r="K989" s="481" t="s">
        <v>334</v>
      </c>
      <c r="L989" s="326"/>
      <c r="M989" s="327"/>
      <c r="N989" s="439" t="s">
        <v>303</v>
      </c>
      <c r="O989" s="326"/>
      <c r="P989" s="326"/>
      <c r="Q989" s="326"/>
      <c r="R989" s="326"/>
      <c r="S989" s="326"/>
      <c r="T989" s="326"/>
      <c r="U989" s="327"/>
    </row>
    <row r="990" spans="1:21" ht="34.5" customHeight="1" x14ac:dyDescent="0.25">
      <c r="A990" s="10">
        <f t="shared" si="3"/>
        <v>976</v>
      </c>
      <c r="B990" s="483" t="s">
        <v>303</v>
      </c>
      <c r="C990" s="327"/>
      <c r="D990" s="484" t="s">
        <v>303</v>
      </c>
      <c r="E990" s="327"/>
      <c r="F990" s="481" t="s">
        <v>334</v>
      </c>
      <c r="G990" s="327"/>
      <c r="H990" s="485"/>
      <c r="I990" s="326"/>
      <c r="J990" s="327"/>
      <c r="K990" s="481" t="s">
        <v>334</v>
      </c>
      <c r="L990" s="326"/>
      <c r="M990" s="327"/>
      <c r="N990" s="486" t="s">
        <v>303</v>
      </c>
      <c r="O990" s="326"/>
      <c r="P990" s="326"/>
      <c r="Q990" s="326"/>
      <c r="R990" s="326"/>
      <c r="S990" s="326"/>
      <c r="T990" s="326"/>
      <c r="U990" s="327"/>
    </row>
    <row r="991" spans="1:21" ht="34.5" customHeight="1" x14ac:dyDescent="0.25">
      <c r="A991" s="10">
        <f t="shared" si="3"/>
        <v>977</v>
      </c>
      <c r="B991" s="479" t="s">
        <v>303</v>
      </c>
      <c r="C991" s="327"/>
      <c r="D991" s="480" t="s">
        <v>303</v>
      </c>
      <c r="E991" s="327"/>
      <c r="F991" s="481" t="s">
        <v>334</v>
      </c>
      <c r="G991" s="327"/>
      <c r="H991" s="482"/>
      <c r="I991" s="326"/>
      <c r="J991" s="327"/>
      <c r="K991" s="481" t="s">
        <v>334</v>
      </c>
      <c r="L991" s="326"/>
      <c r="M991" s="327"/>
      <c r="N991" s="439" t="s">
        <v>303</v>
      </c>
      <c r="O991" s="326"/>
      <c r="P991" s="326"/>
      <c r="Q991" s="326"/>
      <c r="R991" s="326"/>
      <c r="S991" s="326"/>
      <c r="T991" s="326"/>
      <c r="U991" s="327"/>
    </row>
    <row r="992" spans="1:21" ht="34.5" customHeight="1" x14ac:dyDescent="0.25">
      <c r="A992" s="10">
        <f t="shared" si="3"/>
        <v>978</v>
      </c>
      <c r="B992" s="483" t="s">
        <v>303</v>
      </c>
      <c r="C992" s="327"/>
      <c r="D992" s="484" t="s">
        <v>303</v>
      </c>
      <c r="E992" s="327"/>
      <c r="F992" s="481" t="s">
        <v>334</v>
      </c>
      <c r="G992" s="327"/>
      <c r="H992" s="485"/>
      <c r="I992" s="326"/>
      <c r="J992" s="327"/>
      <c r="K992" s="481" t="s">
        <v>334</v>
      </c>
      <c r="L992" s="326"/>
      <c r="M992" s="327"/>
      <c r="N992" s="486" t="s">
        <v>303</v>
      </c>
      <c r="O992" s="326"/>
      <c r="P992" s="326"/>
      <c r="Q992" s="326"/>
      <c r="R992" s="326"/>
      <c r="S992" s="326"/>
      <c r="T992" s="326"/>
      <c r="U992" s="327"/>
    </row>
    <row r="993" spans="1:21" ht="34.5" customHeight="1" x14ac:dyDescent="0.25">
      <c r="A993" s="10">
        <f t="shared" si="3"/>
        <v>979</v>
      </c>
      <c r="B993" s="479" t="s">
        <v>344</v>
      </c>
      <c r="C993" s="327"/>
      <c r="D993" s="480" t="s">
        <v>303</v>
      </c>
      <c r="E993" s="327"/>
      <c r="F993" s="481" t="s">
        <v>334</v>
      </c>
      <c r="G993" s="327"/>
      <c r="H993" s="482"/>
      <c r="I993" s="326"/>
      <c r="J993" s="327"/>
      <c r="K993" s="481" t="s">
        <v>334</v>
      </c>
      <c r="L993" s="326"/>
      <c r="M993" s="327"/>
      <c r="N993" s="439" t="s">
        <v>303</v>
      </c>
      <c r="O993" s="326"/>
      <c r="P993" s="326"/>
      <c r="Q993" s="326"/>
      <c r="R993" s="326"/>
      <c r="S993" s="326"/>
      <c r="T993" s="326"/>
      <c r="U993" s="327"/>
    </row>
    <row r="994" spans="1:21" ht="34.5" customHeight="1" x14ac:dyDescent="0.25">
      <c r="A994" s="10">
        <f t="shared" si="3"/>
        <v>980</v>
      </c>
      <c r="B994" s="483" t="s">
        <v>303</v>
      </c>
      <c r="C994" s="327"/>
      <c r="D994" s="484" t="s">
        <v>303</v>
      </c>
      <c r="E994" s="327"/>
      <c r="F994" s="481" t="s">
        <v>334</v>
      </c>
      <c r="G994" s="327"/>
      <c r="H994" s="485"/>
      <c r="I994" s="326"/>
      <c r="J994" s="327"/>
      <c r="K994" s="481" t="s">
        <v>334</v>
      </c>
      <c r="L994" s="326"/>
      <c r="M994" s="327"/>
      <c r="N994" s="486" t="s">
        <v>303</v>
      </c>
      <c r="O994" s="326"/>
      <c r="P994" s="326"/>
      <c r="Q994" s="326"/>
      <c r="R994" s="326"/>
      <c r="S994" s="326"/>
      <c r="T994" s="326"/>
      <c r="U994" s="327"/>
    </row>
    <row r="995" spans="1:21" ht="34.5" customHeight="1" x14ac:dyDescent="0.25">
      <c r="A995" s="10">
        <f t="shared" si="3"/>
        <v>981</v>
      </c>
      <c r="B995" s="479" t="s">
        <v>303</v>
      </c>
      <c r="C995" s="327"/>
      <c r="D995" s="480" t="s">
        <v>303</v>
      </c>
      <c r="E995" s="327"/>
      <c r="F995" s="481" t="s">
        <v>334</v>
      </c>
      <c r="G995" s="327"/>
      <c r="H995" s="482"/>
      <c r="I995" s="326"/>
      <c r="J995" s="327"/>
      <c r="K995" s="481" t="s">
        <v>334</v>
      </c>
      <c r="L995" s="326"/>
      <c r="M995" s="327"/>
      <c r="N995" s="439" t="s">
        <v>303</v>
      </c>
      <c r="O995" s="326"/>
      <c r="P995" s="326"/>
      <c r="Q995" s="326"/>
      <c r="R995" s="326"/>
      <c r="S995" s="326"/>
      <c r="T995" s="326"/>
      <c r="U995" s="327"/>
    </row>
    <row r="996" spans="1:21" ht="34.5" customHeight="1" x14ac:dyDescent="0.25">
      <c r="A996" s="10">
        <f t="shared" si="3"/>
        <v>982</v>
      </c>
      <c r="B996" s="483" t="s">
        <v>303</v>
      </c>
      <c r="C996" s="327"/>
      <c r="D996" s="484" t="s">
        <v>303</v>
      </c>
      <c r="E996" s="327"/>
      <c r="F996" s="481" t="s">
        <v>334</v>
      </c>
      <c r="G996" s="327"/>
      <c r="H996" s="485"/>
      <c r="I996" s="326"/>
      <c r="J996" s="327"/>
      <c r="K996" s="481" t="s">
        <v>334</v>
      </c>
      <c r="L996" s="326"/>
      <c r="M996" s="327"/>
      <c r="N996" s="486" t="s">
        <v>303</v>
      </c>
      <c r="O996" s="326"/>
      <c r="P996" s="326"/>
      <c r="Q996" s="326"/>
      <c r="R996" s="326"/>
      <c r="S996" s="326"/>
      <c r="T996" s="326"/>
      <c r="U996" s="327"/>
    </row>
    <row r="997" spans="1:21" ht="34.5" customHeight="1" x14ac:dyDescent="0.25">
      <c r="A997" s="10">
        <f t="shared" si="3"/>
        <v>983</v>
      </c>
      <c r="B997" s="479" t="s">
        <v>303</v>
      </c>
      <c r="C997" s="327"/>
      <c r="D997" s="480" t="s">
        <v>303</v>
      </c>
      <c r="E997" s="327"/>
      <c r="F997" s="481" t="s">
        <v>334</v>
      </c>
      <c r="G997" s="327"/>
      <c r="H997" s="482"/>
      <c r="I997" s="326"/>
      <c r="J997" s="327"/>
      <c r="K997" s="481" t="s">
        <v>334</v>
      </c>
      <c r="L997" s="326"/>
      <c r="M997" s="327"/>
      <c r="N997" s="439" t="s">
        <v>303</v>
      </c>
      <c r="O997" s="326"/>
      <c r="P997" s="326"/>
      <c r="Q997" s="326"/>
      <c r="R997" s="326"/>
      <c r="S997" s="326"/>
      <c r="T997" s="326"/>
      <c r="U997" s="327"/>
    </row>
    <row r="998" spans="1:21" ht="34.5" customHeight="1" x14ac:dyDescent="0.25">
      <c r="A998" s="10">
        <f t="shared" si="3"/>
        <v>984</v>
      </c>
      <c r="B998" s="483" t="s">
        <v>303</v>
      </c>
      <c r="C998" s="327"/>
      <c r="D998" s="484" t="s">
        <v>303</v>
      </c>
      <c r="E998" s="327"/>
      <c r="F998" s="481" t="s">
        <v>334</v>
      </c>
      <c r="G998" s="327"/>
      <c r="H998" s="485"/>
      <c r="I998" s="326"/>
      <c r="J998" s="327"/>
      <c r="K998" s="481" t="s">
        <v>334</v>
      </c>
      <c r="L998" s="326"/>
      <c r="M998" s="327"/>
      <c r="N998" s="486" t="s">
        <v>303</v>
      </c>
      <c r="O998" s="326"/>
      <c r="P998" s="326"/>
      <c r="Q998" s="326"/>
      <c r="R998" s="326"/>
      <c r="S998" s="326"/>
      <c r="T998" s="326"/>
      <c r="U998" s="327"/>
    </row>
    <row r="999" spans="1:21" ht="34.5" customHeight="1" x14ac:dyDescent="0.25">
      <c r="A999" s="10">
        <f t="shared" si="3"/>
        <v>985</v>
      </c>
      <c r="B999" s="479" t="s">
        <v>303</v>
      </c>
      <c r="C999" s="327"/>
      <c r="D999" s="480" t="s">
        <v>303</v>
      </c>
      <c r="E999" s="327"/>
      <c r="F999" s="481" t="s">
        <v>334</v>
      </c>
      <c r="G999" s="327"/>
      <c r="H999" s="482"/>
      <c r="I999" s="326"/>
      <c r="J999" s="327"/>
      <c r="K999" s="481" t="s">
        <v>334</v>
      </c>
      <c r="L999" s="326"/>
      <c r="M999" s="327"/>
      <c r="N999" s="439" t="s">
        <v>303</v>
      </c>
      <c r="O999" s="326"/>
      <c r="P999" s="326"/>
      <c r="Q999" s="326"/>
      <c r="R999" s="326"/>
      <c r="S999" s="326"/>
      <c r="T999" s="326"/>
      <c r="U999" s="327"/>
    </row>
    <row r="1000" spans="1:21" ht="34.5" customHeight="1" x14ac:dyDescent="0.25">
      <c r="A1000" s="10">
        <f t="shared" si="3"/>
        <v>986</v>
      </c>
      <c r="B1000" s="479" t="s">
        <v>303</v>
      </c>
      <c r="C1000" s="327"/>
      <c r="D1000" s="480" t="s">
        <v>303</v>
      </c>
      <c r="E1000" s="327"/>
      <c r="F1000" s="481" t="s">
        <v>334</v>
      </c>
      <c r="G1000" s="327"/>
      <c r="H1000" s="482"/>
      <c r="I1000" s="326"/>
      <c r="J1000" s="327"/>
      <c r="K1000" s="481" t="s">
        <v>334</v>
      </c>
      <c r="L1000" s="326"/>
      <c r="M1000" s="327"/>
      <c r="N1000" s="439" t="s">
        <v>303</v>
      </c>
      <c r="O1000" s="326"/>
      <c r="P1000" s="326"/>
      <c r="Q1000" s="326"/>
      <c r="R1000" s="326"/>
      <c r="S1000" s="326"/>
      <c r="T1000" s="326"/>
      <c r="U1000" s="327"/>
    </row>
    <row r="1001" spans="1:21" ht="34.5" customHeight="1" x14ac:dyDescent="0.25">
      <c r="A1001" s="10">
        <f t="shared" si="3"/>
        <v>987</v>
      </c>
      <c r="B1001" s="483" t="s">
        <v>303</v>
      </c>
      <c r="C1001" s="327"/>
      <c r="D1001" s="484" t="s">
        <v>303</v>
      </c>
      <c r="E1001" s="327"/>
      <c r="F1001" s="481" t="s">
        <v>334</v>
      </c>
      <c r="G1001" s="327"/>
      <c r="H1001" s="485"/>
      <c r="I1001" s="326"/>
      <c r="J1001" s="327"/>
      <c r="K1001" s="481" t="s">
        <v>334</v>
      </c>
      <c r="L1001" s="326"/>
      <c r="M1001" s="327"/>
      <c r="N1001" s="486"/>
      <c r="O1001" s="326"/>
      <c r="P1001" s="326"/>
      <c r="Q1001" s="326"/>
      <c r="R1001" s="326"/>
      <c r="S1001" s="326"/>
      <c r="T1001" s="326"/>
      <c r="U1001" s="327"/>
    </row>
    <row r="1002" spans="1:21" ht="34.5" customHeight="1" x14ac:dyDescent="0.25">
      <c r="A1002" s="10">
        <f t="shared" si="3"/>
        <v>988</v>
      </c>
      <c r="B1002" s="479" t="s">
        <v>303</v>
      </c>
      <c r="C1002" s="327"/>
      <c r="D1002" s="480" t="s">
        <v>303</v>
      </c>
      <c r="E1002" s="327"/>
      <c r="F1002" s="481" t="s">
        <v>334</v>
      </c>
      <c r="G1002" s="327"/>
      <c r="H1002" s="482"/>
      <c r="I1002" s="326"/>
      <c r="J1002" s="327"/>
      <c r="K1002" s="481" t="s">
        <v>334</v>
      </c>
      <c r="L1002" s="326"/>
      <c r="M1002" s="327"/>
      <c r="N1002" s="439" t="s">
        <v>303</v>
      </c>
      <c r="O1002" s="326"/>
      <c r="P1002" s="326"/>
      <c r="Q1002" s="326"/>
      <c r="R1002" s="326"/>
      <c r="S1002" s="326"/>
      <c r="T1002" s="326"/>
      <c r="U1002" s="327"/>
    </row>
    <row r="1003" spans="1:21" ht="34.5" customHeight="1" x14ac:dyDescent="0.25">
      <c r="A1003" s="10">
        <f t="shared" si="3"/>
        <v>989</v>
      </c>
      <c r="B1003" s="483" t="s">
        <v>303</v>
      </c>
      <c r="C1003" s="327"/>
      <c r="D1003" s="484" t="s">
        <v>303</v>
      </c>
      <c r="E1003" s="327"/>
      <c r="F1003" s="481" t="s">
        <v>334</v>
      </c>
      <c r="G1003" s="327"/>
      <c r="H1003" s="485"/>
      <c r="I1003" s="326"/>
      <c r="J1003" s="327"/>
      <c r="K1003" s="481" t="s">
        <v>334</v>
      </c>
      <c r="L1003" s="326"/>
      <c r="M1003" s="327"/>
      <c r="N1003" s="486" t="s">
        <v>303</v>
      </c>
      <c r="O1003" s="326"/>
      <c r="P1003" s="326"/>
      <c r="Q1003" s="326"/>
      <c r="R1003" s="326"/>
      <c r="S1003" s="326"/>
      <c r="T1003" s="326"/>
      <c r="U1003" s="327"/>
    </row>
    <row r="1004" spans="1:21" ht="34.5" customHeight="1" x14ac:dyDescent="0.25">
      <c r="A1004" s="10">
        <f t="shared" si="3"/>
        <v>990</v>
      </c>
      <c r="B1004" s="479" t="s">
        <v>303</v>
      </c>
      <c r="C1004" s="327"/>
      <c r="D1004" s="480" t="s">
        <v>303</v>
      </c>
      <c r="E1004" s="327"/>
      <c r="F1004" s="481" t="s">
        <v>334</v>
      </c>
      <c r="G1004" s="327"/>
      <c r="H1004" s="482"/>
      <c r="I1004" s="326"/>
      <c r="J1004" s="327"/>
      <c r="K1004" s="481" t="s">
        <v>334</v>
      </c>
      <c r="L1004" s="326"/>
      <c r="M1004" s="327"/>
      <c r="N1004" s="439" t="s">
        <v>303</v>
      </c>
      <c r="O1004" s="326"/>
      <c r="P1004" s="326"/>
      <c r="Q1004" s="326"/>
      <c r="R1004" s="326"/>
      <c r="S1004" s="326"/>
      <c r="T1004" s="326"/>
      <c r="U1004" s="327"/>
    </row>
    <row r="1005" spans="1:21" ht="34.5" customHeight="1" x14ac:dyDescent="0.25">
      <c r="A1005" s="10">
        <f t="shared" si="3"/>
        <v>991</v>
      </c>
      <c r="B1005" s="483" t="s">
        <v>303</v>
      </c>
      <c r="C1005" s="327"/>
      <c r="D1005" s="484" t="s">
        <v>303</v>
      </c>
      <c r="E1005" s="327"/>
      <c r="F1005" s="481" t="s">
        <v>334</v>
      </c>
      <c r="G1005" s="327"/>
      <c r="H1005" s="485"/>
      <c r="I1005" s="326"/>
      <c r="J1005" s="327"/>
      <c r="K1005" s="481" t="s">
        <v>334</v>
      </c>
      <c r="L1005" s="326"/>
      <c r="M1005" s="327"/>
      <c r="N1005" s="486" t="s">
        <v>303</v>
      </c>
      <c r="O1005" s="326"/>
      <c r="P1005" s="326"/>
      <c r="Q1005" s="326"/>
      <c r="R1005" s="326"/>
      <c r="S1005" s="326"/>
      <c r="T1005" s="326"/>
      <c r="U1005" s="327"/>
    </row>
    <row r="1006" spans="1:21" ht="34.5" customHeight="1" x14ac:dyDescent="0.25">
      <c r="A1006" s="10">
        <f t="shared" si="3"/>
        <v>992</v>
      </c>
      <c r="B1006" s="479" t="s">
        <v>303</v>
      </c>
      <c r="C1006" s="327"/>
      <c r="D1006" s="480" t="s">
        <v>303</v>
      </c>
      <c r="E1006" s="327"/>
      <c r="F1006" s="481" t="s">
        <v>334</v>
      </c>
      <c r="G1006" s="327"/>
      <c r="H1006" s="482"/>
      <c r="I1006" s="326"/>
      <c r="J1006" s="327"/>
      <c r="K1006" s="481" t="s">
        <v>334</v>
      </c>
      <c r="L1006" s="326"/>
      <c r="M1006" s="327"/>
      <c r="N1006" s="439" t="s">
        <v>303</v>
      </c>
      <c r="O1006" s="326"/>
      <c r="P1006" s="326"/>
      <c r="Q1006" s="326"/>
      <c r="R1006" s="326"/>
      <c r="S1006" s="326"/>
      <c r="T1006" s="326"/>
      <c r="U1006" s="327"/>
    </row>
    <row r="1007" spans="1:21" ht="34.5" customHeight="1" x14ac:dyDescent="0.25">
      <c r="A1007" s="10">
        <f t="shared" si="3"/>
        <v>993</v>
      </c>
      <c r="B1007" s="483" t="s">
        <v>303</v>
      </c>
      <c r="C1007" s="327"/>
      <c r="D1007" s="484" t="s">
        <v>303</v>
      </c>
      <c r="E1007" s="327"/>
      <c r="F1007" s="481" t="s">
        <v>334</v>
      </c>
      <c r="G1007" s="327"/>
      <c r="H1007" s="485"/>
      <c r="I1007" s="326"/>
      <c r="J1007" s="327"/>
      <c r="K1007" s="481" t="s">
        <v>334</v>
      </c>
      <c r="L1007" s="326"/>
      <c r="M1007" s="327"/>
      <c r="N1007" s="486" t="s">
        <v>303</v>
      </c>
      <c r="O1007" s="326"/>
      <c r="P1007" s="326"/>
      <c r="Q1007" s="326"/>
      <c r="R1007" s="326"/>
      <c r="S1007" s="326"/>
      <c r="T1007" s="326"/>
      <c r="U1007" s="327"/>
    </row>
    <row r="1008" spans="1:21" ht="34.5" customHeight="1" x14ac:dyDescent="0.25">
      <c r="A1008" s="10">
        <f t="shared" si="3"/>
        <v>994</v>
      </c>
      <c r="B1008" s="479" t="s">
        <v>303</v>
      </c>
      <c r="C1008" s="327"/>
      <c r="D1008" s="480" t="s">
        <v>303</v>
      </c>
      <c r="E1008" s="327"/>
      <c r="F1008" s="481" t="s">
        <v>334</v>
      </c>
      <c r="G1008" s="327"/>
      <c r="H1008" s="482"/>
      <c r="I1008" s="326"/>
      <c r="J1008" s="327"/>
      <c r="K1008" s="481" t="s">
        <v>334</v>
      </c>
      <c r="L1008" s="326"/>
      <c r="M1008" s="327"/>
      <c r="N1008" s="439" t="s">
        <v>303</v>
      </c>
      <c r="O1008" s="326"/>
      <c r="P1008" s="326"/>
      <c r="Q1008" s="326"/>
      <c r="R1008" s="326"/>
      <c r="S1008" s="326"/>
      <c r="T1008" s="326"/>
      <c r="U1008" s="327"/>
    </row>
    <row r="1009" spans="1:21" ht="34.5" customHeight="1" x14ac:dyDescent="0.25">
      <c r="A1009" s="10">
        <f t="shared" si="3"/>
        <v>995</v>
      </c>
      <c r="B1009" s="483" t="s">
        <v>303</v>
      </c>
      <c r="C1009" s="327"/>
      <c r="D1009" s="484" t="s">
        <v>303</v>
      </c>
      <c r="E1009" s="327"/>
      <c r="F1009" s="481" t="s">
        <v>334</v>
      </c>
      <c r="G1009" s="327"/>
      <c r="H1009" s="485"/>
      <c r="I1009" s="326"/>
      <c r="J1009" s="327"/>
      <c r="K1009" s="481" t="s">
        <v>334</v>
      </c>
      <c r="L1009" s="326"/>
      <c r="M1009" s="327"/>
      <c r="N1009" s="486" t="s">
        <v>303</v>
      </c>
      <c r="O1009" s="326"/>
      <c r="P1009" s="326"/>
      <c r="Q1009" s="326"/>
      <c r="R1009" s="326"/>
      <c r="S1009" s="326"/>
      <c r="T1009" s="326"/>
      <c r="U1009" s="327"/>
    </row>
    <row r="1010" spans="1:21" ht="34.5" customHeight="1" x14ac:dyDescent="0.25">
      <c r="A1010" s="10">
        <f t="shared" si="3"/>
        <v>996</v>
      </c>
      <c r="B1010" s="479" t="s">
        <v>303</v>
      </c>
      <c r="C1010" s="327"/>
      <c r="D1010" s="480" t="s">
        <v>303</v>
      </c>
      <c r="E1010" s="327"/>
      <c r="F1010" s="481" t="s">
        <v>334</v>
      </c>
      <c r="G1010" s="327"/>
      <c r="H1010" s="482"/>
      <c r="I1010" s="326"/>
      <c r="J1010" s="327"/>
      <c r="K1010" s="481" t="s">
        <v>334</v>
      </c>
      <c r="L1010" s="326"/>
      <c r="M1010" s="327"/>
      <c r="N1010" s="439" t="s">
        <v>303</v>
      </c>
      <c r="O1010" s="326"/>
      <c r="P1010" s="326"/>
      <c r="Q1010" s="326"/>
      <c r="R1010" s="326"/>
      <c r="S1010" s="326"/>
      <c r="T1010" s="326"/>
      <c r="U1010" s="327"/>
    </row>
    <row r="1011" spans="1:21" ht="34.5" customHeight="1" x14ac:dyDescent="0.25">
      <c r="A1011" s="10">
        <f t="shared" si="3"/>
        <v>997</v>
      </c>
      <c r="B1011" s="483" t="s">
        <v>303</v>
      </c>
      <c r="C1011" s="327"/>
      <c r="D1011" s="484" t="s">
        <v>303</v>
      </c>
      <c r="E1011" s="327"/>
      <c r="F1011" s="481" t="s">
        <v>334</v>
      </c>
      <c r="G1011" s="327"/>
      <c r="H1011" s="485"/>
      <c r="I1011" s="326"/>
      <c r="J1011" s="327"/>
      <c r="K1011" s="481" t="s">
        <v>334</v>
      </c>
      <c r="L1011" s="326"/>
      <c r="M1011" s="327"/>
      <c r="N1011" s="486" t="s">
        <v>303</v>
      </c>
      <c r="O1011" s="326"/>
      <c r="P1011" s="326"/>
      <c r="Q1011" s="326"/>
      <c r="R1011" s="326"/>
      <c r="S1011" s="326"/>
      <c r="T1011" s="326"/>
      <c r="U1011" s="327"/>
    </row>
    <row r="1012" spans="1:21" ht="34.5" customHeight="1" x14ac:dyDescent="0.25">
      <c r="A1012" s="10">
        <f t="shared" si="3"/>
        <v>998</v>
      </c>
      <c r="B1012" s="479" t="s">
        <v>303</v>
      </c>
      <c r="C1012" s="327"/>
      <c r="D1012" s="480" t="s">
        <v>303</v>
      </c>
      <c r="E1012" s="327"/>
      <c r="F1012" s="481" t="s">
        <v>334</v>
      </c>
      <c r="G1012" s="327"/>
      <c r="H1012" s="482"/>
      <c r="I1012" s="326"/>
      <c r="J1012" s="327"/>
      <c r="K1012" s="481" t="s">
        <v>334</v>
      </c>
      <c r="L1012" s="326"/>
      <c r="M1012" s="327"/>
      <c r="N1012" s="439" t="s">
        <v>303</v>
      </c>
      <c r="O1012" s="326"/>
      <c r="P1012" s="326"/>
      <c r="Q1012" s="326"/>
      <c r="R1012" s="326"/>
      <c r="S1012" s="326"/>
      <c r="T1012" s="326"/>
      <c r="U1012" s="327"/>
    </row>
    <row r="1013" spans="1:21" ht="34.5" customHeight="1" x14ac:dyDescent="0.25">
      <c r="A1013" s="10">
        <f t="shared" si="3"/>
        <v>999</v>
      </c>
      <c r="B1013" s="483" t="s">
        <v>303</v>
      </c>
      <c r="C1013" s="327"/>
      <c r="D1013" s="484" t="s">
        <v>303</v>
      </c>
      <c r="E1013" s="327"/>
      <c r="F1013" s="481" t="s">
        <v>334</v>
      </c>
      <c r="G1013" s="327"/>
      <c r="H1013" s="485"/>
      <c r="I1013" s="326"/>
      <c r="J1013" s="327"/>
      <c r="K1013" s="481" t="s">
        <v>334</v>
      </c>
      <c r="L1013" s="326"/>
      <c r="M1013" s="327"/>
      <c r="N1013" s="486" t="s">
        <v>303</v>
      </c>
      <c r="O1013" s="326"/>
      <c r="P1013" s="326"/>
      <c r="Q1013" s="326"/>
      <c r="R1013" s="326"/>
      <c r="S1013" s="326"/>
      <c r="T1013" s="326"/>
      <c r="U1013" s="327"/>
    </row>
    <row r="1014" spans="1:21" ht="34.5" customHeight="1" x14ac:dyDescent="0.25">
      <c r="A1014" s="10">
        <f t="shared" si="3"/>
        <v>1000</v>
      </c>
      <c r="B1014" s="479" t="s">
        <v>303</v>
      </c>
      <c r="C1014" s="327"/>
      <c r="D1014" s="480" t="s">
        <v>303</v>
      </c>
      <c r="E1014" s="327"/>
      <c r="F1014" s="481" t="s">
        <v>334</v>
      </c>
      <c r="G1014" s="327"/>
      <c r="H1014" s="482"/>
      <c r="I1014" s="326"/>
      <c r="J1014" s="327"/>
      <c r="K1014" s="481" t="s">
        <v>334</v>
      </c>
      <c r="L1014" s="326"/>
      <c r="M1014" s="327"/>
      <c r="N1014" s="439" t="s">
        <v>303</v>
      </c>
      <c r="O1014" s="326"/>
      <c r="P1014" s="326"/>
      <c r="Q1014" s="326"/>
      <c r="R1014" s="326"/>
      <c r="S1014" s="326"/>
      <c r="T1014" s="326"/>
      <c r="U1014" s="327"/>
    </row>
    <row r="1015" spans="1:21" ht="34.5" customHeight="1" x14ac:dyDescent="0.25">
      <c r="A1015" s="10">
        <f t="shared" si="3"/>
        <v>1001</v>
      </c>
      <c r="B1015" s="483" t="s">
        <v>303</v>
      </c>
      <c r="C1015" s="327"/>
      <c r="D1015" s="484" t="s">
        <v>303</v>
      </c>
      <c r="E1015" s="327"/>
      <c r="F1015" s="481" t="s">
        <v>334</v>
      </c>
      <c r="G1015" s="327"/>
      <c r="H1015" s="485"/>
      <c r="I1015" s="326"/>
      <c r="J1015" s="327"/>
      <c r="K1015" s="481" t="s">
        <v>334</v>
      </c>
      <c r="L1015" s="326"/>
      <c r="M1015" s="327"/>
      <c r="N1015" s="486" t="s">
        <v>303</v>
      </c>
      <c r="O1015" s="326"/>
      <c r="P1015" s="326"/>
      <c r="Q1015" s="326"/>
      <c r="R1015" s="326"/>
      <c r="S1015" s="326"/>
      <c r="T1015" s="326"/>
      <c r="U1015" s="327"/>
    </row>
    <row r="1016" spans="1:21" ht="34.5" customHeight="1" x14ac:dyDescent="0.25">
      <c r="A1016" s="10">
        <f t="shared" si="3"/>
        <v>1002</v>
      </c>
      <c r="B1016" s="479" t="s">
        <v>303</v>
      </c>
      <c r="C1016" s="327"/>
      <c r="D1016" s="480" t="s">
        <v>303</v>
      </c>
      <c r="E1016" s="327"/>
      <c r="F1016" s="481" t="s">
        <v>334</v>
      </c>
      <c r="G1016" s="327"/>
      <c r="H1016" s="482"/>
      <c r="I1016" s="326"/>
      <c r="J1016" s="327"/>
      <c r="K1016" s="481" t="s">
        <v>334</v>
      </c>
      <c r="L1016" s="326"/>
      <c r="M1016" s="327"/>
      <c r="N1016" s="439" t="s">
        <v>303</v>
      </c>
      <c r="O1016" s="326"/>
      <c r="P1016" s="326"/>
      <c r="Q1016" s="326"/>
      <c r="R1016" s="326"/>
      <c r="S1016" s="326"/>
      <c r="T1016" s="326"/>
      <c r="U1016" s="327"/>
    </row>
    <row r="1017" spans="1:21" ht="34.5" customHeight="1" x14ac:dyDescent="0.25">
      <c r="A1017" s="10">
        <f t="shared" si="3"/>
        <v>1003</v>
      </c>
      <c r="B1017" s="483" t="s">
        <v>303</v>
      </c>
      <c r="C1017" s="327"/>
      <c r="D1017" s="484" t="s">
        <v>303</v>
      </c>
      <c r="E1017" s="327"/>
      <c r="F1017" s="481" t="s">
        <v>334</v>
      </c>
      <c r="G1017" s="327"/>
      <c r="H1017" s="485"/>
      <c r="I1017" s="326"/>
      <c r="J1017" s="327"/>
      <c r="K1017" s="481" t="s">
        <v>334</v>
      </c>
      <c r="L1017" s="326"/>
      <c r="M1017" s="327"/>
      <c r="N1017" s="486" t="s">
        <v>303</v>
      </c>
      <c r="O1017" s="326"/>
      <c r="P1017" s="326"/>
      <c r="Q1017" s="326"/>
      <c r="R1017" s="326"/>
      <c r="S1017" s="326"/>
      <c r="T1017" s="326"/>
      <c r="U1017" s="327"/>
    </row>
    <row r="1018" spans="1:21" ht="34.5" customHeight="1" x14ac:dyDescent="0.25">
      <c r="A1018" s="10">
        <f t="shared" si="3"/>
        <v>1004</v>
      </c>
      <c r="B1018" s="479" t="s">
        <v>303</v>
      </c>
      <c r="C1018" s="327"/>
      <c r="D1018" s="480" t="s">
        <v>303</v>
      </c>
      <c r="E1018" s="327"/>
      <c r="F1018" s="481" t="s">
        <v>334</v>
      </c>
      <c r="G1018" s="327"/>
      <c r="H1018" s="482"/>
      <c r="I1018" s="326"/>
      <c r="J1018" s="327"/>
      <c r="K1018" s="481" t="s">
        <v>334</v>
      </c>
      <c r="L1018" s="326"/>
      <c r="M1018" s="327"/>
      <c r="N1018" s="439" t="s">
        <v>303</v>
      </c>
      <c r="O1018" s="326"/>
      <c r="P1018" s="326"/>
      <c r="Q1018" s="326"/>
      <c r="R1018" s="326"/>
      <c r="S1018" s="326"/>
      <c r="T1018" s="326"/>
      <c r="U1018" s="327"/>
    </row>
    <row r="1019" spans="1:21" ht="34.5" customHeight="1" x14ac:dyDescent="0.25">
      <c r="A1019" s="10">
        <f t="shared" si="3"/>
        <v>1005</v>
      </c>
      <c r="B1019" s="483" t="s">
        <v>303</v>
      </c>
      <c r="C1019" s="327"/>
      <c r="D1019" s="484" t="s">
        <v>303</v>
      </c>
      <c r="E1019" s="327"/>
      <c r="F1019" s="481" t="s">
        <v>334</v>
      </c>
      <c r="G1019" s="327"/>
      <c r="H1019" s="485"/>
      <c r="I1019" s="326"/>
      <c r="J1019" s="327"/>
      <c r="K1019" s="481" t="s">
        <v>334</v>
      </c>
      <c r="L1019" s="326"/>
      <c r="M1019" s="327"/>
      <c r="N1019" s="486" t="s">
        <v>303</v>
      </c>
      <c r="O1019" s="326"/>
      <c r="P1019" s="326"/>
      <c r="Q1019" s="326"/>
      <c r="R1019" s="326"/>
      <c r="S1019" s="326"/>
      <c r="T1019" s="326"/>
      <c r="U1019" s="327"/>
    </row>
    <row r="1020" spans="1:21" ht="34.5" customHeight="1" x14ac:dyDescent="0.25">
      <c r="A1020" s="10">
        <f t="shared" si="3"/>
        <v>1006</v>
      </c>
      <c r="B1020" s="479" t="s">
        <v>303</v>
      </c>
      <c r="C1020" s="327"/>
      <c r="D1020" s="480" t="s">
        <v>303</v>
      </c>
      <c r="E1020" s="327"/>
      <c r="F1020" s="481" t="s">
        <v>334</v>
      </c>
      <c r="G1020" s="327"/>
      <c r="H1020" s="482"/>
      <c r="I1020" s="326"/>
      <c r="J1020" s="327"/>
      <c r="K1020" s="481" t="s">
        <v>334</v>
      </c>
      <c r="L1020" s="326"/>
      <c r="M1020" s="327"/>
      <c r="N1020" s="439" t="s">
        <v>303</v>
      </c>
      <c r="O1020" s="326"/>
      <c r="P1020" s="326"/>
      <c r="Q1020" s="326"/>
      <c r="R1020" s="326"/>
      <c r="S1020" s="326"/>
      <c r="T1020" s="326"/>
      <c r="U1020" s="327"/>
    </row>
    <row r="1021" spans="1:21" ht="34.5" customHeight="1" x14ac:dyDescent="0.25">
      <c r="A1021" s="10">
        <f t="shared" si="3"/>
        <v>1007</v>
      </c>
      <c r="B1021" s="483" t="s">
        <v>303</v>
      </c>
      <c r="C1021" s="327"/>
      <c r="D1021" s="484" t="s">
        <v>303</v>
      </c>
      <c r="E1021" s="327"/>
      <c r="F1021" s="481" t="s">
        <v>334</v>
      </c>
      <c r="G1021" s="327"/>
      <c r="H1021" s="485"/>
      <c r="I1021" s="326"/>
      <c r="J1021" s="327"/>
      <c r="K1021" s="481" t="s">
        <v>334</v>
      </c>
      <c r="L1021" s="326"/>
      <c r="M1021" s="327"/>
      <c r="N1021" s="486" t="s">
        <v>303</v>
      </c>
      <c r="O1021" s="326"/>
      <c r="P1021" s="326"/>
      <c r="Q1021" s="326"/>
      <c r="R1021" s="326"/>
      <c r="S1021" s="326"/>
      <c r="T1021" s="326"/>
      <c r="U1021" s="327"/>
    </row>
    <row r="1022" spans="1:21" ht="34.5" customHeight="1" x14ac:dyDescent="0.25">
      <c r="A1022" s="10">
        <f t="shared" si="3"/>
        <v>1008</v>
      </c>
      <c r="B1022" s="479" t="s">
        <v>303</v>
      </c>
      <c r="C1022" s="327"/>
      <c r="D1022" s="480" t="s">
        <v>303</v>
      </c>
      <c r="E1022" s="327"/>
      <c r="F1022" s="481" t="s">
        <v>334</v>
      </c>
      <c r="G1022" s="327"/>
      <c r="H1022" s="482"/>
      <c r="I1022" s="326"/>
      <c r="J1022" s="327"/>
      <c r="K1022" s="481" t="s">
        <v>334</v>
      </c>
      <c r="L1022" s="326"/>
      <c r="M1022" s="327"/>
      <c r="N1022" s="439" t="s">
        <v>303</v>
      </c>
      <c r="O1022" s="326"/>
      <c r="P1022" s="326"/>
      <c r="Q1022" s="326"/>
      <c r="R1022" s="326"/>
      <c r="S1022" s="326"/>
      <c r="T1022" s="326"/>
      <c r="U1022" s="327"/>
    </row>
    <row r="1023" spans="1:21" ht="34.5" customHeight="1" x14ac:dyDescent="0.25">
      <c r="A1023" s="10">
        <f t="shared" si="3"/>
        <v>1009</v>
      </c>
      <c r="B1023" s="483" t="s">
        <v>303</v>
      </c>
      <c r="C1023" s="327"/>
      <c r="D1023" s="484" t="s">
        <v>303</v>
      </c>
      <c r="E1023" s="327"/>
      <c r="F1023" s="481" t="s">
        <v>334</v>
      </c>
      <c r="G1023" s="327"/>
      <c r="H1023" s="485"/>
      <c r="I1023" s="326"/>
      <c r="J1023" s="327"/>
      <c r="K1023" s="481" t="s">
        <v>334</v>
      </c>
      <c r="L1023" s="326"/>
      <c r="M1023" s="327"/>
      <c r="N1023" s="486" t="s">
        <v>303</v>
      </c>
      <c r="O1023" s="326"/>
      <c r="P1023" s="326"/>
      <c r="Q1023" s="326"/>
      <c r="R1023" s="326"/>
      <c r="S1023" s="326"/>
      <c r="T1023" s="326"/>
      <c r="U1023" s="327"/>
    </row>
    <row r="1024" spans="1:21" ht="34.5" customHeight="1" x14ac:dyDescent="0.25">
      <c r="A1024" s="10">
        <f t="shared" si="3"/>
        <v>1010</v>
      </c>
      <c r="B1024" s="479" t="s">
        <v>303</v>
      </c>
      <c r="C1024" s="327"/>
      <c r="D1024" s="480" t="s">
        <v>303</v>
      </c>
      <c r="E1024" s="327"/>
      <c r="F1024" s="481" t="s">
        <v>334</v>
      </c>
      <c r="G1024" s="327"/>
      <c r="H1024" s="482"/>
      <c r="I1024" s="326"/>
      <c r="J1024" s="327"/>
      <c r="K1024" s="481" t="s">
        <v>334</v>
      </c>
      <c r="L1024" s="326"/>
      <c r="M1024" s="327"/>
      <c r="N1024" s="439" t="s">
        <v>303</v>
      </c>
      <c r="O1024" s="326"/>
      <c r="P1024" s="326"/>
      <c r="Q1024" s="326"/>
      <c r="R1024" s="326"/>
      <c r="S1024" s="326"/>
      <c r="T1024" s="326"/>
      <c r="U1024" s="327"/>
    </row>
    <row r="1025" spans="1:21" ht="34.5" customHeight="1" x14ac:dyDescent="0.25">
      <c r="A1025" s="10">
        <f t="shared" si="3"/>
        <v>1011</v>
      </c>
      <c r="B1025" s="483" t="s">
        <v>303</v>
      </c>
      <c r="C1025" s="327"/>
      <c r="D1025" s="484" t="s">
        <v>303</v>
      </c>
      <c r="E1025" s="327"/>
      <c r="F1025" s="481" t="s">
        <v>334</v>
      </c>
      <c r="G1025" s="327"/>
      <c r="H1025" s="485"/>
      <c r="I1025" s="326"/>
      <c r="J1025" s="327"/>
      <c r="K1025" s="481" t="s">
        <v>334</v>
      </c>
      <c r="L1025" s="326"/>
      <c r="M1025" s="327"/>
      <c r="N1025" s="486" t="s">
        <v>303</v>
      </c>
      <c r="O1025" s="326"/>
      <c r="P1025" s="326"/>
      <c r="Q1025" s="326"/>
      <c r="R1025" s="326"/>
      <c r="S1025" s="326"/>
      <c r="T1025" s="326"/>
      <c r="U1025" s="327"/>
    </row>
    <row r="1026" spans="1:21" ht="34.5" customHeight="1" x14ac:dyDescent="0.25">
      <c r="A1026" s="10">
        <f t="shared" si="3"/>
        <v>1012</v>
      </c>
      <c r="B1026" s="479" t="s">
        <v>303</v>
      </c>
      <c r="C1026" s="327"/>
      <c r="D1026" s="480" t="s">
        <v>303</v>
      </c>
      <c r="E1026" s="327"/>
      <c r="F1026" s="481" t="s">
        <v>334</v>
      </c>
      <c r="G1026" s="327"/>
      <c r="H1026" s="482"/>
      <c r="I1026" s="326"/>
      <c r="J1026" s="327"/>
      <c r="K1026" s="481" t="s">
        <v>334</v>
      </c>
      <c r="L1026" s="326"/>
      <c r="M1026" s="327"/>
      <c r="N1026" s="439" t="s">
        <v>303</v>
      </c>
      <c r="O1026" s="326"/>
      <c r="P1026" s="326"/>
      <c r="Q1026" s="326"/>
      <c r="R1026" s="326"/>
      <c r="S1026" s="326"/>
      <c r="T1026" s="326"/>
      <c r="U1026" s="327"/>
    </row>
    <row r="1027" spans="1:21" ht="34.5" customHeight="1" x14ac:dyDescent="0.25">
      <c r="A1027" s="10">
        <f t="shared" si="3"/>
        <v>1013</v>
      </c>
      <c r="B1027" s="483" t="s">
        <v>303</v>
      </c>
      <c r="C1027" s="327"/>
      <c r="D1027" s="484" t="s">
        <v>303</v>
      </c>
      <c r="E1027" s="327"/>
      <c r="F1027" s="481" t="s">
        <v>334</v>
      </c>
      <c r="G1027" s="327"/>
      <c r="H1027" s="485"/>
      <c r="I1027" s="326"/>
      <c r="J1027" s="327"/>
      <c r="K1027" s="481" t="s">
        <v>334</v>
      </c>
      <c r="L1027" s="326"/>
      <c r="M1027" s="327"/>
      <c r="N1027" s="486" t="s">
        <v>303</v>
      </c>
      <c r="O1027" s="326"/>
      <c r="P1027" s="326"/>
      <c r="Q1027" s="326"/>
      <c r="R1027" s="326"/>
      <c r="S1027" s="326"/>
      <c r="T1027" s="326"/>
      <c r="U1027" s="327"/>
    </row>
    <row r="1028" spans="1:21" ht="34.5" customHeight="1" x14ac:dyDescent="0.25">
      <c r="A1028" s="10">
        <f t="shared" si="3"/>
        <v>1014</v>
      </c>
      <c r="B1028" s="479" t="s">
        <v>303</v>
      </c>
      <c r="C1028" s="327"/>
      <c r="D1028" s="480" t="s">
        <v>303</v>
      </c>
      <c r="E1028" s="327"/>
      <c r="F1028" s="481" t="s">
        <v>334</v>
      </c>
      <c r="G1028" s="327"/>
      <c r="H1028" s="482"/>
      <c r="I1028" s="326"/>
      <c r="J1028" s="327"/>
      <c r="K1028" s="481" t="s">
        <v>334</v>
      </c>
      <c r="L1028" s="326"/>
      <c r="M1028" s="327"/>
      <c r="N1028" s="439" t="s">
        <v>303</v>
      </c>
      <c r="O1028" s="326"/>
      <c r="P1028" s="326"/>
      <c r="Q1028" s="326"/>
      <c r="R1028" s="326"/>
      <c r="S1028" s="326"/>
      <c r="T1028" s="326"/>
      <c r="U1028" s="327"/>
    </row>
    <row r="1029" spans="1:21" ht="34.5" customHeight="1" x14ac:dyDescent="0.25">
      <c r="A1029" s="10">
        <f t="shared" si="3"/>
        <v>1015</v>
      </c>
      <c r="B1029" s="483" t="s">
        <v>303</v>
      </c>
      <c r="C1029" s="327"/>
      <c r="D1029" s="484" t="s">
        <v>303</v>
      </c>
      <c r="E1029" s="327"/>
      <c r="F1029" s="481" t="s">
        <v>334</v>
      </c>
      <c r="G1029" s="327"/>
      <c r="H1029" s="485"/>
      <c r="I1029" s="326"/>
      <c r="J1029" s="327"/>
      <c r="K1029" s="481" t="s">
        <v>334</v>
      </c>
      <c r="L1029" s="326"/>
      <c r="M1029" s="327"/>
      <c r="N1029" s="486" t="s">
        <v>303</v>
      </c>
      <c r="O1029" s="326"/>
      <c r="P1029" s="326"/>
      <c r="Q1029" s="326"/>
      <c r="R1029" s="326"/>
      <c r="S1029" s="326"/>
      <c r="T1029" s="326"/>
      <c r="U1029" s="327"/>
    </row>
    <row r="1030" spans="1:21" ht="34.5" customHeight="1" x14ac:dyDescent="0.25">
      <c r="A1030" s="10">
        <f t="shared" si="3"/>
        <v>1016</v>
      </c>
      <c r="B1030" s="479" t="s">
        <v>303</v>
      </c>
      <c r="C1030" s="327"/>
      <c r="D1030" s="480" t="s">
        <v>303</v>
      </c>
      <c r="E1030" s="327"/>
      <c r="F1030" s="481" t="s">
        <v>334</v>
      </c>
      <c r="G1030" s="327"/>
      <c r="H1030" s="482"/>
      <c r="I1030" s="326"/>
      <c r="J1030" s="327"/>
      <c r="K1030" s="481" t="s">
        <v>334</v>
      </c>
      <c r="L1030" s="326"/>
      <c r="M1030" s="327"/>
      <c r="N1030" s="439" t="s">
        <v>303</v>
      </c>
      <c r="O1030" s="326"/>
      <c r="P1030" s="326"/>
      <c r="Q1030" s="326"/>
      <c r="R1030" s="326"/>
      <c r="S1030" s="326"/>
      <c r="T1030" s="326"/>
      <c r="U1030" s="327"/>
    </row>
    <row r="1031" spans="1:21" ht="34.5" customHeight="1" x14ac:dyDescent="0.25">
      <c r="A1031" s="10">
        <f t="shared" si="3"/>
        <v>1017</v>
      </c>
      <c r="B1031" s="483" t="s">
        <v>303</v>
      </c>
      <c r="C1031" s="327"/>
      <c r="D1031" s="484" t="s">
        <v>303</v>
      </c>
      <c r="E1031" s="327"/>
      <c r="F1031" s="481" t="s">
        <v>334</v>
      </c>
      <c r="G1031" s="327"/>
      <c r="H1031" s="485"/>
      <c r="I1031" s="326"/>
      <c r="J1031" s="327"/>
      <c r="K1031" s="481" t="s">
        <v>334</v>
      </c>
      <c r="L1031" s="326"/>
      <c r="M1031" s="327"/>
      <c r="N1031" s="486" t="s">
        <v>303</v>
      </c>
      <c r="O1031" s="326"/>
      <c r="P1031" s="326"/>
      <c r="Q1031" s="326"/>
      <c r="R1031" s="326"/>
      <c r="S1031" s="326"/>
      <c r="T1031" s="326"/>
      <c r="U1031" s="327"/>
    </row>
    <row r="1032" spans="1:21" ht="34.5" customHeight="1" x14ac:dyDescent="0.25">
      <c r="A1032" s="10">
        <f t="shared" si="3"/>
        <v>1018</v>
      </c>
      <c r="B1032" s="479" t="s">
        <v>303</v>
      </c>
      <c r="C1032" s="327"/>
      <c r="D1032" s="480" t="s">
        <v>303</v>
      </c>
      <c r="E1032" s="327"/>
      <c r="F1032" s="481" t="s">
        <v>334</v>
      </c>
      <c r="G1032" s="327"/>
      <c r="H1032" s="482"/>
      <c r="I1032" s="326"/>
      <c r="J1032" s="327"/>
      <c r="K1032" s="481" t="s">
        <v>334</v>
      </c>
      <c r="L1032" s="326"/>
      <c r="M1032" s="327"/>
      <c r="N1032" s="439" t="s">
        <v>303</v>
      </c>
      <c r="O1032" s="326"/>
      <c r="P1032" s="326"/>
      <c r="Q1032" s="326"/>
      <c r="R1032" s="326"/>
      <c r="S1032" s="326"/>
      <c r="T1032" s="326"/>
      <c r="U1032" s="327"/>
    </row>
    <row r="1033" spans="1:21" ht="34.5" customHeight="1" x14ac:dyDescent="0.25">
      <c r="A1033" s="10">
        <f t="shared" si="3"/>
        <v>1019</v>
      </c>
      <c r="B1033" s="483" t="s">
        <v>303</v>
      </c>
      <c r="C1033" s="327"/>
      <c r="D1033" s="484" t="s">
        <v>303</v>
      </c>
      <c r="E1033" s="327"/>
      <c r="F1033" s="481" t="s">
        <v>334</v>
      </c>
      <c r="G1033" s="327"/>
      <c r="H1033" s="485"/>
      <c r="I1033" s="326"/>
      <c r="J1033" s="327"/>
      <c r="K1033" s="481" t="s">
        <v>334</v>
      </c>
      <c r="L1033" s="326"/>
      <c r="M1033" s="327"/>
      <c r="N1033" s="486" t="s">
        <v>303</v>
      </c>
      <c r="O1033" s="326"/>
      <c r="P1033" s="326"/>
      <c r="Q1033" s="326"/>
      <c r="R1033" s="326"/>
      <c r="S1033" s="326"/>
      <c r="T1033" s="326"/>
      <c r="U1033" s="327"/>
    </row>
    <row r="1034" spans="1:21" ht="34.5" customHeight="1" x14ac:dyDescent="0.25">
      <c r="A1034" s="10">
        <f t="shared" si="3"/>
        <v>1020</v>
      </c>
      <c r="B1034" s="479" t="s">
        <v>303</v>
      </c>
      <c r="C1034" s="327"/>
      <c r="D1034" s="480" t="s">
        <v>303</v>
      </c>
      <c r="E1034" s="327"/>
      <c r="F1034" s="481" t="s">
        <v>334</v>
      </c>
      <c r="G1034" s="327"/>
      <c r="H1034" s="482"/>
      <c r="I1034" s="326"/>
      <c r="J1034" s="327"/>
      <c r="K1034" s="481" t="s">
        <v>334</v>
      </c>
      <c r="L1034" s="326"/>
      <c r="M1034" s="327"/>
      <c r="N1034" s="439" t="s">
        <v>303</v>
      </c>
      <c r="O1034" s="326"/>
      <c r="P1034" s="326"/>
      <c r="Q1034" s="326"/>
      <c r="R1034" s="326"/>
      <c r="S1034" s="326"/>
      <c r="T1034" s="326"/>
      <c r="U1034" s="327"/>
    </row>
    <row r="1035" spans="1:21" ht="34.5" customHeight="1" x14ac:dyDescent="0.25">
      <c r="A1035" s="10">
        <f t="shared" ref="A1035:A1289" si="4">ROW(A1021)</f>
        <v>1021</v>
      </c>
      <c r="B1035" s="483" t="s">
        <v>303</v>
      </c>
      <c r="C1035" s="327"/>
      <c r="D1035" s="484" t="s">
        <v>303</v>
      </c>
      <c r="E1035" s="327"/>
      <c r="F1035" s="481" t="s">
        <v>334</v>
      </c>
      <c r="G1035" s="327"/>
      <c r="H1035" s="485"/>
      <c r="I1035" s="326"/>
      <c r="J1035" s="327"/>
      <c r="K1035" s="481" t="s">
        <v>334</v>
      </c>
      <c r="L1035" s="326"/>
      <c r="M1035" s="327"/>
      <c r="N1035" s="486" t="s">
        <v>303</v>
      </c>
      <c r="O1035" s="326"/>
      <c r="P1035" s="326"/>
      <c r="Q1035" s="326"/>
      <c r="R1035" s="326"/>
      <c r="S1035" s="326"/>
      <c r="T1035" s="326"/>
      <c r="U1035" s="327"/>
    </row>
    <row r="1036" spans="1:21" ht="34.5" customHeight="1" x14ac:dyDescent="0.25">
      <c r="A1036" s="10">
        <f t="shared" si="4"/>
        <v>1022</v>
      </c>
      <c r="B1036" s="479" t="s">
        <v>303</v>
      </c>
      <c r="C1036" s="327"/>
      <c r="D1036" s="480" t="s">
        <v>303</v>
      </c>
      <c r="E1036" s="327"/>
      <c r="F1036" s="481" t="s">
        <v>334</v>
      </c>
      <c r="G1036" s="327"/>
      <c r="H1036" s="482"/>
      <c r="I1036" s="326"/>
      <c r="J1036" s="327"/>
      <c r="K1036" s="481" t="s">
        <v>334</v>
      </c>
      <c r="L1036" s="326"/>
      <c r="M1036" s="327"/>
      <c r="N1036" s="439" t="s">
        <v>303</v>
      </c>
      <c r="O1036" s="326"/>
      <c r="P1036" s="326"/>
      <c r="Q1036" s="326"/>
      <c r="R1036" s="326"/>
      <c r="S1036" s="326"/>
      <c r="T1036" s="326"/>
      <c r="U1036" s="327"/>
    </row>
    <row r="1037" spans="1:21" ht="34.5" customHeight="1" x14ac:dyDescent="0.25">
      <c r="A1037" s="10">
        <f t="shared" si="4"/>
        <v>1023</v>
      </c>
      <c r="B1037" s="483" t="s">
        <v>303</v>
      </c>
      <c r="C1037" s="327"/>
      <c r="D1037" s="484" t="s">
        <v>303</v>
      </c>
      <c r="E1037" s="327"/>
      <c r="F1037" s="481" t="s">
        <v>334</v>
      </c>
      <c r="G1037" s="327"/>
      <c r="H1037" s="485"/>
      <c r="I1037" s="326"/>
      <c r="J1037" s="327"/>
      <c r="K1037" s="481" t="s">
        <v>334</v>
      </c>
      <c r="L1037" s="326"/>
      <c r="M1037" s="327"/>
      <c r="N1037" s="486" t="s">
        <v>303</v>
      </c>
      <c r="O1037" s="326"/>
      <c r="P1037" s="326"/>
      <c r="Q1037" s="326"/>
      <c r="R1037" s="326"/>
      <c r="S1037" s="326"/>
      <c r="T1037" s="326"/>
      <c r="U1037" s="327"/>
    </row>
    <row r="1038" spans="1:21" ht="34.5" customHeight="1" x14ac:dyDescent="0.25">
      <c r="A1038" s="10">
        <f t="shared" si="4"/>
        <v>1024</v>
      </c>
      <c r="B1038" s="479" t="s">
        <v>303</v>
      </c>
      <c r="C1038" s="327"/>
      <c r="D1038" s="480" t="s">
        <v>303</v>
      </c>
      <c r="E1038" s="327"/>
      <c r="F1038" s="481" t="s">
        <v>334</v>
      </c>
      <c r="G1038" s="327"/>
      <c r="H1038" s="482"/>
      <c r="I1038" s="326"/>
      <c r="J1038" s="327"/>
      <c r="K1038" s="481" t="s">
        <v>334</v>
      </c>
      <c r="L1038" s="326"/>
      <c r="M1038" s="327"/>
      <c r="N1038" s="439" t="s">
        <v>303</v>
      </c>
      <c r="O1038" s="326"/>
      <c r="P1038" s="326"/>
      <c r="Q1038" s="326"/>
      <c r="R1038" s="326"/>
      <c r="S1038" s="326"/>
      <c r="T1038" s="326"/>
      <c r="U1038" s="327"/>
    </row>
    <row r="1039" spans="1:21" ht="34.5" customHeight="1" x14ac:dyDescent="0.25">
      <c r="A1039" s="10">
        <f t="shared" si="4"/>
        <v>1025</v>
      </c>
      <c r="B1039" s="483" t="s">
        <v>303</v>
      </c>
      <c r="C1039" s="327"/>
      <c r="D1039" s="484" t="s">
        <v>303</v>
      </c>
      <c r="E1039" s="327"/>
      <c r="F1039" s="481" t="s">
        <v>334</v>
      </c>
      <c r="G1039" s="327"/>
      <c r="H1039" s="485"/>
      <c r="I1039" s="326"/>
      <c r="J1039" s="327"/>
      <c r="K1039" s="481" t="s">
        <v>334</v>
      </c>
      <c r="L1039" s="326"/>
      <c r="M1039" s="327"/>
      <c r="N1039" s="486" t="s">
        <v>303</v>
      </c>
      <c r="O1039" s="326"/>
      <c r="P1039" s="326"/>
      <c r="Q1039" s="326"/>
      <c r="R1039" s="326"/>
      <c r="S1039" s="326"/>
      <c r="T1039" s="326"/>
      <c r="U1039" s="327"/>
    </row>
    <row r="1040" spans="1:21" ht="34.5" customHeight="1" x14ac:dyDescent="0.25">
      <c r="A1040" s="10">
        <f t="shared" si="4"/>
        <v>1026</v>
      </c>
      <c r="B1040" s="479" t="s">
        <v>303</v>
      </c>
      <c r="C1040" s="327"/>
      <c r="D1040" s="480" t="s">
        <v>303</v>
      </c>
      <c r="E1040" s="327"/>
      <c r="F1040" s="481" t="s">
        <v>334</v>
      </c>
      <c r="G1040" s="327"/>
      <c r="H1040" s="482"/>
      <c r="I1040" s="326"/>
      <c r="J1040" s="327"/>
      <c r="K1040" s="481" t="s">
        <v>334</v>
      </c>
      <c r="L1040" s="326"/>
      <c r="M1040" s="327"/>
      <c r="N1040" s="439" t="s">
        <v>303</v>
      </c>
      <c r="O1040" s="326"/>
      <c r="P1040" s="326"/>
      <c r="Q1040" s="326"/>
      <c r="R1040" s="326"/>
      <c r="S1040" s="326"/>
      <c r="T1040" s="326"/>
      <c r="U1040" s="327"/>
    </row>
    <row r="1041" spans="1:21" ht="34.5" customHeight="1" x14ac:dyDescent="0.25">
      <c r="A1041" s="10">
        <f t="shared" si="4"/>
        <v>1027</v>
      </c>
      <c r="B1041" s="483" t="s">
        <v>303</v>
      </c>
      <c r="C1041" s="327"/>
      <c r="D1041" s="484" t="s">
        <v>303</v>
      </c>
      <c r="E1041" s="327"/>
      <c r="F1041" s="481" t="s">
        <v>334</v>
      </c>
      <c r="G1041" s="327"/>
      <c r="H1041" s="485"/>
      <c r="I1041" s="326"/>
      <c r="J1041" s="327"/>
      <c r="K1041" s="481" t="s">
        <v>334</v>
      </c>
      <c r="L1041" s="326"/>
      <c r="M1041" s="327"/>
      <c r="N1041" s="486" t="s">
        <v>303</v>
      </c>
      <c r="O1041" s="326"/>
      <c r="P1041" s="326"/>
      <c r="Q1041" s="326"/>
      <c r="R1041" s="326"/>
      <c r="S1041" s="326"/>
      <c r="T1041" s="326"/>
      <c r="U1041" s="327"/>
    </row>
    <row r="1042" spans="1:21" ht="34.5" customHeight="1" x14ac:dyDescent="0.25">
      <c r="A1042" s="10">
        <f t="shared" si="4"/>
        <v>1028</v>
      </c>
      <c r="B1042" s="479" t="s">
        <v>303</v>
      </c>
      <c r="C1042" s="327"/>
      <c r="D1042" s="480" t="s">
        <v>303</v>
      </c>
      <c r="E1042" s="327"/>
      <c r="F1042" s="481" t="s">
        <v>334</v>
      </c>
      <c r="G1042" s="327"/>
      <c r="H1042" s="482"/>
      <c r="I1042" s="326"/>
      <c r="J1042" s="327"/>
      <c r="K1042" s="481" t="s">
        <v>334</v>
      </c>
      <c r="L1042" s="326"/>
      <c r="M1042" s="327"/>
      <c r="N1042" s="439" t="s">
        <v>303</v>
      </c>
      <c r="O1042" s="326"/>
      <c r="P1042" s="326"/>
      <c r="Q1042" s="326"/>
      <c r="R1042" s="326"/>
      <c r="S1042" s="326"/>
      <c r="T1042" s="326"/>
      <c r="U1042" s="327"/>
    </row>
    <row r="1043" spans="1:21" ht="34.5" customHeight="1" x14ac:dyDescent="0.25">
      <c r="A1043" s="10">
        <f t="shared" si="4"/>
        <v>1029</v>
      </c>
      <c r="B1043" s="483" t="s">
        <v>303</v>
      </c>
      <c r="C1043" s="327"/>
      <c r="D1043" s="484" t="s">
        <v>303</v>
      </c>
      <c r="E1043" s="327"/>
      <c r="F1043" s="481" t="s">
        <v>334</v>
      </c>
      <c r="G1043" s="327"/>
      <c r="H1043" s="485"/>
      <c r="I1043" s="326"/>
      <c r="J1043" s="327"/>
      <c r="K1043" s="481" t="s">
        <v>334</v>
      </c>
      <c r="L1043" s="326"/>
      <c r="M1043" s="327"/>
      <c r="N1043" s="486" t="s">
        <v>303</v>
      </c>
      <c r="O1043" s="326"/>
      <c r="P1043" s="326"/>
      <c r="Q1043" s="326"/>
      <c r="R1043" s="326"/>
      <c r="S1043" s="326"/>
      <c r="T1043" s="326"/>
      <c r="U1043" s="327"/>
    </row>
    <row r="1044" spans="1:21" ht="34.5" customHeight="1" x14ac:dyDescent="0.25">
      <c r="A1044" s="10">
        <f t="shared" si="4"/>
        <v>1030</v>
      </c>
      <c r="B1044" s="479" t="s">
        <v>303</v>
      </c>
      <c r="C1044" s="327"/>
      <c r="D1044" s="480" t="s">
        <v>303</v>
      </c>
      <c r="E1044" s="327"/>
      <c r="F1044" s="481" t="s">
        <v>334</v>
      </c>
      <c r="G1044" s="327"/>
      <c r="H1044" s="482"/>
      <c r="I1044" s="326"/>
      <c r="J1044" s="327"/>
      <c r="K1044" s="481" t="s">
        <v>334</v>
      </c>
      <c r="L1044" s="326"/>
      <c r="M1044" s="327"/>
      <c r="N1044" s="439" t="s">
        <v>303</v>
      </c>
      <c r="O1044" s="326"/>
      <c r="P1044" s="326"/>
      <c r="Q1044" s="326"/>
      <c r="R1044" s="326"/>
      <c r="S1044" s="326"/>
      <c r="T1044" s="326"/>
      <c r="U1044" s="327"/>
    </row>
    <row r="1045" spans="1:21" ht="34.5" customHeight="1" x14ac:dyDescent="0.25">
      <c r="A1045" s="10">
        <f t="shared" si="4"/>
        <v>1031</v>
      </c>
      <c r="B1045" s="483" t="s">
        <v>303</v>
      </c>
      <c r="C1045" s="327"/>
      <c r="D1045" s="484" t="s">
        <v>303</v>
      </c>
      <c r="E1045" s="327"/>
      <c r="F1045" s="481" t="s">
        <v>334</v>
      </c>
      <c r="G1045" s="327"/>
      <c r="H1045" s="485"/>
      <c r="I1045" s="326"/>
      <c r="J1045" s="327"/>
      <c r="K1045" s="481" t="s">
        <v>334</v>
      </c>
      <c r="L1045" s="326"/>
      <c r="M1045" s="327"/>
      <c r="N1045" s="486" t="s">
        <v>303</v>
      </c>
      <c r="O1045" s="326"/>
      <c r="P1045" s="326"/>
      <c r="Q1045" s="326"/>
      <c r="R1045" s="326"/>
      <c r="S1045" s="326"/>
      <c r="T1045" s="326"/>
      <c r="U1045" s="327"/>
    </row>
    <row r="1046" spans="1:21" ht="34.5" customHeight="1" x14ac:dyDescent="0.25">
      <c r="A1046" s="10">
        <f t="shared" si="4"/>
        <v>1032</v>
      </c>
      <c r="B1046" s="479" t="s">
        <v>303</v>
      </c>
      <c r="C1046" s="327"/>
      <c r="D1046" s="480" t="s">
        <v>303</v>
      </c>
      <c r="E1046" s="327"/>
      <c r="F1046" s="481" t="s">
        <v>334</v>
      </c>
      <c r="G1046" s="327"/>
      <c r="H1046" s="482"/>
      <c r="I1046" s="326"/>
      <c r="J1046" s="327"/>
      <c r="K1046" s="481" t="s">
        <v>334</v>
      </c>
      <c r="L1046" s="326"/>
      <c r="M1046" s="327"/>
      <c r="N1046" s="439" t="s">
        <v>303</v>
      </c>
      <c r="O1046" s="326"/>
      <c r="P1046" s="326"/>
      <c r="Q1046" s="326"/>
      <c r="R1046" s="326"/>
      <c r="S1046" s="326"/>
      <c r="T1046" s="326"/>
      <c r="U1046" s="327"/>
    </row>
    <row r="1047" spans="1:21" ht="34.5" customHeight="1" x14ac:dyDescent="0.25">
      <c r="A1047" s="10">
        <f t="shared" si="4"/>
        <v>1033</v>
      </c>
      <c r="B1047" s="483" t="s">
        <v>303</v>
      </c>
      <c r="C1047" s="327"/>
      <c r="D1047" s="484" t="s">
        <v>303</v>
      </c>
      <c r="E1047" s="327"/>
      <c r="F1047" s="481" t="s">
        <v>334</v>
      </c>
      <c r="G1047" s="327"/>
      <c r="H1047" s="485"/>
      <c r="I1047" s="326"/>
      <c r="J1047" s="327"/>
      <c r="K1047" s="481" t="s">
        <v>334</v>
      </c>
      <c r="L1047" s="326"/>
      <c r="M1047" s="327"/>
      <c r="N1047" s="486" t="s">
        <v>303</v>
      </c>
      <c r="O1047" s="326"/>
      <c r="P1047" s="326"/>
      <c r="Q1047" s="326"/>
      <c r="R1047" s="326"/>
      <c r="S1047" s="326"/>
      <c r="T1047" s="326"/>
      <c r="U1047" s="327"/>
    </row>
    <row r="1048" spans="1:21" ht="34.5" customHeight="1" x14ac:dyDescent="0.25">
      <c r="A1048" s="10">
        <f t="shared" si="4"/>
        <v>1034</v>
      </c>
      <c r="B1048" s="479" t="s">
        <v>303</v>
      </c>
      <c r="C1048" s="327"/>
      <c r="D1048" s="480" t="s">
        <v>303</v>
      </c>
      <c r="E1048" s="327"/>
      <c r="F1048" s="481" t="s">
        <v>334</v>
      </c>
      <c r="G1048" s="327"/>
      <c r="H1048" s="482"/>
      <c r="I1048" s="326"/>
      <c r="J1048" s="327"/>
      <c r="K1048" s="481" t="s">
        <v>334</v>
      </c>
      <c r="L1048" s="326"/>
      <c r="M1048" s="327"/>
      <c r="N1048" s="439" t="s">
        <v>303</v>
      </c>
      <c r="O1048" s="326"/>
      <c r="P1048" s="326"/>
      <c r="Q1048" s="326"/>
      <c r="R1048" s="326"/>
      <c r="S1048" s="326"/>
      <c r="T1048" s="326"/>
      <c r="U1048" s="327"/>
    </row>
    <row r="1049" spans="1:21" ht="34.5" customHeight="1" x14ac:dyDescent="0.25">
      <c r="A1049" s="10">
        <f t="shared" si="4"/>
        <v>1035</v>
      </c>
      <c r="B1049" s="483" t="s">
        <v>303</v>
      </c>
      <c r="C1049" s="327"/>
      <c r="D1049" s="484" t="s">
        <v>303</v>
      </c>
      <c r="E1049" s="327"/>
      <c r="F1049" s="481" t="s">
        <v>334</v>
      </c>
      <c r="G1049" s="327"/>
      <c r="H1049" s="485"/>
      <c r="I1049" s="326"/>
      <c r="J1049" s="327"/>
      <c r="K1049" s="481" t="s">
        <v>334</v>
      </c>
      <c r="L1049" s="326"/>
      <c r="M1049" s="327"/>
      <c r="N1049" s="486" t="s">
        <v>303</v>
      </c>
      <c r="O1049" s="326"/>
      <c r="P1049" s="326"/>
      <c r="Q1049" s="326"/>
      <c r="R1049" s="326"/>
      <c r="S1049" s="326"/>
      <c r="T1049" s="326"/>
      <c r="U1049" s="327"/>
    </row>
    <row r="1050" spans="1:21" ht="34.5" customHeight="1" x14ac:dyDescent="0.25">
      <c r="A1050" s="10">
        <f t="shared" si="4"/>
        <v>1036</v>
      </c>
      <c r="B1050" s="479" t="s">
        <v>303</v>
      </c>
      <c r="C1050" s="327"/>
      <c r="D1050" s="480" t="s">
        <v>303</v>
      </c>
      <c r="E1050" s="327"/>
      <c r="F1050" s="481" t="s">
        <v>334</v>
      </c>
      <c r="G1050" s="327"/>
      <c r="H1050" s="482"/>
      <c r="I1050" s="326"/>
      <c r="J1050" s="327"/>
      <c r="K1050" s="481" t="s">
        <v>334</v>
      </c>
      <c r="L1050" s="326"/>
      <c r="M1050" s="327"/>
      <c r="N1050" s="439" t="s">
        <v>303</v>
      </c>
      <c r="O1050" s="326"/>
      <c r="P1050" s="326"/>
      <c r="Q1050" s="326"/>
      <c r="R1050" s="326"/>
      <c r="S1050" s="326"/>
      <c r="T1050" s="326"/>
      <c r="U1050" s="327"/>
    </row>
    <row r="1051" spans="1:21" ht="34.5" customHeight="1" x14ac:dyDescent="0.25">
      <c r="A1051" s="10">
        <f t="shared" si="4"/>
        <v>1037</v>
      </c>
      <c r="B1051" s="483" t="s">
        <v>303</v>
      </c>
      <c r="C1051" s="327"/>
      <c r="D1051" s="484" t="s">
        <v>303</v>
      </c>
      <c r="E1051" s="327"/>
      <c r="F1051" s="481" t="s">
        <v>334</v>
      </c>
      <c r="G1051" s="327"/>
      <c r="H1051" s="485"/>
      <c r="I1051" s="326"/>
      <c r="J1051" s="327"/>
      <c r="K1051" s="481" t="s">
        <v>334</v>
      </c>
      <c r="L1051" s="326"/>
      <c r="M1051" s="327"/>
      <c r="N1051" s="486" t="s">
        <v>303</v>
      </c>
      <c r="O1051" s="326"/>
      <c r="P1051" s="326"/>
      <c r="Q1051" s="326"/>
      <c r="R1051" s="326"/>
      <c r="S1051" s="326"/>
      <c r="T1051" s="326"/>
      <c r="U1051" s="327"/>
    </row>
    <row r="1052" spans="1:21" ht="34.5" customHeight="1" x14ac:dyDescent="0.25">
      <c r="A1052" s="10">
        <f t="shared" si="4"/>
        <v>1038</v>
      </c>
      <c r="B1052" s="479" t="s">
        <v>303</v>
      </c>
      <c r="C1052" s="327"/>
      <c r="D1052" s="480" t="s">
        <v>303</v>
      </c>
      <c r="E1052" s="327"/>
      <c r="F1052" s="481" t="s">
        <v>334</v>
      </c>
      <c r="G1052" s="327"/>
      <c r="H1052" s="482"/>
      <c r="I1052" s="326"/>
      <c r="J1052" s="327"/>
      <c r="K1052" s="481" t="s">
        <v>334</v>
      </c>
      <c r="L1052" s="326"/>
      <c r="M1052" s="327"/>
      <c r="N1052" s="439" t="s">
        <v>303</v>
      </c>
      <c r="O1052" s="326"/>
      <c r="P1052" s="326"/>
      <c r="Q1052" s="326"/>
      <c r="R1052" s="326"/>
      <c r="S1052" s="326"/>
      <c r="T1052" s="326"/>
      <c r="U1052" s="327"/>
    </row>
    <row r="1053" spans="1:21" ht="34.5" customHeight="1" x14ac:dyDescent="0.25">
      <c r="A1053" s="10">
        <f t="shared" si="4"/>
        <v>1039</v>
      </c>
      <c r="B1053" s="483" t="s">
        <v>303</v>
      </c>
      <c r="C1053" s="327"/>
      <c r="D1053" s="484" t="s">
        <v>303</v>
      </c>
      <c r="E1053" s="327"/>
      <c r="F1053" s="481" t="s">
        <v>334</v>
      </c>
      <c r="G1053" s="327"/>
      <c r="H1053" s="485"/>
      <c r="I1053" s="326"/>
      <c r="J1053" s="327"/>
      <c r="K1053" s="481" t="s">
        <v>334</v>
      </c>
      <c r="L1053" s="326"/>
      <c r="M1053" s="327"/>
      <c r="N1053" s="486" t="s">
        <v>303</v>
      </c>
      <c r="O1053" s="326"/>
      <c r="P1053" s="326"/>
      <c r="Q1053" s="326"/>
      <c r="R1053" s="326"/>
      <c r="S1053" s="326"/>
      <c r="T1053" s="326"/>
      <c r="U1053" s="327"/>
    </row>
    <row r="1054" spans="1:21" ht="34.5" customHeight="1" x14ac:dyDescent="0.25">
      <c r="A1054" s="10">
        <f t="shared" si="4"/>
        <v>1040</v>
      </c>
      <c r="B1054" s="479" t="s">
        <v>303</v>
      </c>
      <c r="C1054" s="327"/>
      <c r="D1054" s="480" t="s">
        <v>303</v>
      </c>
      <c r="E1054" s="327"/>
      <c r="F1054" s="481" t="s">
        <v>334</v>
      </c>
      <c r="G1054" s="327"/>
      <c r="H1054" s="482"/>
      <c r="I1054" s="326"/>
      <c r="J1054" s="327"/>
      <c r="K1054" s="481" t="s">
        <v>334</v>
      </c>
      <c r="L1054" s="326"/>
      <c r="M1054" s="327"/>
      <c r="N1054" s="439" t="s">
        <v>303</v>
      </c>
      <c r="O1054" s="326"/>
      <c r="P1054" s="326"/>
      <c r="Q1054" s="326"/>
      <c r="R1054" s="326"/>
      <c r="S1054" s="326"/>
      <c r="T1054" s="326"/>
      <c r="U1054" s="327"/>
    </row>
    <row r="1055" spans="1:21" ht="34.5" customHeight="1" x14ac:dyDescent="0.25">
      <c r="A1055" s="10">
        <f t="shared" si="4"/>
        <v>1041</v>
      </c>
      <c r="B1055" s="483" t="s">
        <v>303</v>
      </c>
      <c r="C1055" s="327"/>
      <c r="D1055" s="484" t="s">
        <v>303</v>
      </c>
      <c r="E1055" s="327"/>
      <c r="F1055" s="481" t="s">
        <v>334</v>
      </c>
      <c r="G1055" s="327"/>
      <c r="H1055" s="485"/>
      <c r="I1055" s="326"/>
      <c r="J1055" s="327"/>
      <c r="K1055" s="481" t="s">
        <v>334</v>
      </c>
      <c r="L1055" s="326"/>
      <c r="M1055" s="327"/>
      <c r="N1055" s="486" t="s">
        <v>303</v>
      </c>
      <c r="O1055" s="326"/>
      <c r="P1055" s="326"/>
      <c r="Q1055" s="326"/>
      <c r="R1055" s="326"/>
      <c r="S1055" s="326"/>
      <c r="T1055" s="326"/>
      <c r="U1055" s="327"/>
    </row>
    <row r="1056" spans="1:21" ht="34.5" customHeight="1" x14ac:dyDescent="0.25">
      <c r="A1056" s="10">
        <f t="shared" si="4"/>
        <v>1042</v>
      </c>
      <c r="B1056" s="479" t="s">
        <v>303</v>
      </c>
      <c r="C1056" s="327"/>
      <c r="D1056" s="480" t="s">
        <v>303</v>
      </c>
      <c r="E1056" s="327"/>
      <c r="F1056" s="481" t="s">
        <v>334</v>
      </c>
      <c r="G1056" s="327"/>
      <c r="H1056" s="482"/>
      <c r="I1056" s="326"/>
      <c r="J1056" s="327"/>
      <c r="K1056" s="481" t="s">
        <v>334</v>
      </c>
      <c r="L1056" s="326"/>
      <c r="M1056" s="327"/>
      <c r="N1056" s="439" t="s">
        <v>303</v>
      </c>
      <c r="O1056" s="326"/>
      <c r="P1056" s="326"/>
      <c r="Q1056" s="326"/>
      <c r="R1056" s="326"/>
      <c r="S1056" s="326"/>
      <c r="T1056" s="326"/>
      <c r="U1056" s="327"/>
    </row>
    <row r="1057" spans="1:21" ht="34.5" customHeight="1" x14ac:dyDescent="0.25">
      <c r="A1057" s="10">
        <f t="shared" si="4"/>
        <v>1043</v>
      </c>
      <c r="B1057" s="483" t="s">
        <v>303</v>
      </c>
      <c r="C1057" s="327"/>
      <c r="D1057" s="484" t="s">
        <v>303</v>
      </c>
      <c r="E1057" s="327"/>
      <c r="F1057" s="481" t="s">
        <v>334</v>
      </c>
      <c r="G1057" s="327"/>
      <c r="H1057" s="485"/>
      <c r="I1057" s="326"/>
      <c r="J1057" s="327"/>
      <c r="K1057" s="481" t="s">
        <v>334</v>
      </c>
      <c r="L1057" s="326"/>
      <c r="M1057" s="327"/>
      <c r="N1057" s="486" t="s">
        <v>303</v>
      </c>
      <c r="O1057" s="326"/>
      <c r="P1057" s="326"/>
      <c r="Q1057" s="326"/>
      <c r="R1057" s="326"/>
      <c r="S1057" s="326"/>
      <c r="T1057" s="326"/>
      <c r="U1057" s="327"/>
    </row>
    <row r="1058" spans="1:21" ht="34.5" customHeight="1" x14ac:dyDescent="0.25">
      <c r="A1058" s="10">
        <f t="shared" si="4"/>
        <v>1044</v>
      </c>
      <c r="B1058" s="479" t="s">
        <v>303</v>
      </c>
      <c r="C1058" s="327"/>
      <c r="D1058" s="480" t="s">
        <v>303</v>
      </c>
      <c r="E1058" s="327"/>
      <c r="F1058" s="481" t="s">
        <v>334</v>
      </c>
      <c r="G1058" s="327"/>
      <c r="H1058" s="482"/>
      <c r="I1058" s="326"/>
      <c r="J1058" s="327"/>
      <c r="K1058" s="481" t="s">
        <v>334</v>
      </c>
      <c r="L1058" s="326"/>
      <c r="M1058" s="327"/>
      <c r="N1058" s="439" t="s">
        <v>303</v>
      </c>
      <c r="O1058" s="326"/>
      <c r="P1058" s="326"/>
      <c r="Q1058" s="326"/>
      <c r="R1058" s="326"/>
      <c r="S1058" s="326"/>
      <c r="T1058" s="326"/>
      <c r="U1058" s="327"/>
    </row>
    <row r="1059" spans="1:21" ht="34.5" customHeight="1" x14ac:dyDescent="0.25">
      <c r="A1059" s="10">
        <f t="shared" si="4"/>
        <v>1045</v>
      </c>
      <c r="B1059" s="483" t="s">
        <v>303</v>
      </c>
      <c r="C1059" s="327"/>
      <c r="D1059" s="484" t="s">
        <v>303</v>
      </c>
      <c r="E1059" s="327"/>
      <c r="F1059" s="481" t="s">
        <v>334</v>
      </c>
      <c r="G1059" s="327"/>
      <c r="H1059" s="485"/>
      <c r="I1059" s="326"/>
      <c r="J1059" s="327"/>
      <c r="K1059" s="481" t="s">
        <v>334</v>
      </c>
      <c r="L1059" s="326"/>
      <c r="M1059" s="327"/>
      <c r="N1059" s="486" t="s">
        <v>303</v>
      </c>
      <c r="O1059" s="326"/>
      <c r="P1059" s="326"/>
      <c r="Q1059" s="326"/>
      <c r="R1059" s="326"/>
      <c r="S1059" s="326"/>
      <c r="T1059" s="326"/>
      <c r="U1059" s="327"/>
    </row>
    <row r="1060" spans="1:21" ht="34.5" customHeight="1" x14ac:dyDescent="0.25">
      <c r="A1060" s="10">
        <f t="shared" si="4"/>
        <v>1046</v>
      </c>
      <c r="B1060" s="479" t="s">
        <v>335</v>
      </c>
      <c r="C1060" s="327"/>
      <c r="D1060" s="480" t="s">
        <v>303</v>
      </c>
      <c r="E1060" s="327"/>
      <c r="F1060" s="481" t="s">
        <v>334</v>
      </c>
      <c r="G1060" s="327"/>
      <c r="H1060" s="482"/>
      <c r="I1060" s="326"/>
      <c r="J1060" s="327"/>
      <c r="K1060" s="481" t="s">
        <v>334</v>
      </c>
      <c r="L1060" s="326"/>
      <c r="M1060" s="327"/>
      <c r="N1060" s="439" t="s">
        <v>303</v>
      </c>
      <c r="O1060" s="326"/>
      <c r="P1060" s="326"/>
      <c r="Q1060" s="326"/>
      <c r="R1060" s="326"/>
      <c r="S1060" s="326"/>
      <c r="T1060" s="326"/>
      <c r="U1060" s="327"/>
    </row>
    <row r="1061" spans="1:21" ht="34.5" customHeight="1" x14ac:dyDescent="0.25">
      <c r="A1061" s="10">
        <f t="shared" si="4"/>
        <v>1047</v>
      </c>
      <c r="B1061" s="483" t="s">
        <v>303</v>
      </c>
      <c r="C1061" s="327"/>
      <c r="D1061" s="484" t="s">
        <v>303</v>
      </c>
      <c r="E1061" s="327"/>
      <c r="F1061" s="481" t="s">
        <v>334</v>
      </c>
      <c r="G1061" s="327"/>
      <c r="H1061" s="485"/>
      <c r="I1061" s="326"/>
      <c r="J1061" s="327"/>
      <c r="K1061" s="481" t="s">
        <v>334</v>
      </c>
      <c r="L1061" s="326"/>
      <c r="M1061" s="327"/>
      <c r="N1061" s="486" t="s">
        <v>303</v>
      </c>
      <c r="O1061" s="326"/>
      <c r="P1061" s="326"/>
      <c r="Q1061" s="326"/>
      <c r="R1061" s="326"/>
      <c r="S1061" s="326"/>
      <c r="T1061" s="326"/>
      <c r="U1061" s="327"/>
    </row>
    <row r="1062" spans="1:21" ht="34.5" customHeight="1" x14ac:dyDescent="0.25">
      <c r="A1062" s="10">
        <f t="shared" si="4"/>
        <v>1048</v>
      </c>
      <c r="B1062" s="479" t="s">
        <v>303</v>
      </c>
      <c r="C1062" s="327"/>
      <c r="D1062" s="480" t="s">
        <v>303</v>
      </c>
      <c r="E1062" s="327"/>
      <c r="F1062" s="481" t="s">
        <v>334</v>
      </c>
      <c r="G1062" s="327"/>
      <c r="H1062" s="482"/>
      <c r="I1062" s="326"/>
      <c r="J1062" s="327"/>
      <c r="K1062" s="481" t="s">
        <v>334</v>
      </c>
      <c r="L1062" s="326"/>
      <c r="M1062" s="327"/>
      <c r="N1062" s="439" t="s">
        <v>303</v>
      </c>
      <c r="O1062" s="326"/>
      <c r="P1062" s="326"/>
      <c r="Q1062" s="326"/>
      <c r="R1062" s="326"/>
      <c r="S1062" s="326"/>
      <c r="T1062" s="326"/>
      <c r="U1062" s="327"/>
    </row>
    <row r="1063" spans="1:21" ht="34.5" customHeight="1" x14ac:dyDescent="0.25">
      <c r="A1063" s="10">
        <f t="shared" si="4"/>
        <v>1049</v>
      </c>
      <c r="B1063" s="483" t="s">
        <v>303</v>
      </c>
      <c r="C1063" s="327"/>
      <c r="D1063" s="484" t="s">
        <v>303</v>
      </c>
      <c r="E1063" s="327"/>
      <c r="F1063" s="481" t="s">
        <v>334</v>
      </c>
      <c r="G1063" s="327"/>
      <c r="H1063" s="485"/>
      <c r="I1063" s="326"/>
      <c r="J1063" s="327"/>
      <c r="K1063" s="481" t="s">
        <v>334</v>
      </c>
      <c r="L1063" s="326"/>
      <c r="M1063" s="327"/>
      <c r="N1063" s="486" t="s">
        <v>303</v>
      </c>
      <c r="O1063" s="326"/>
      <c r="P1063" s="326"/>
      <c r="Q1063" s="326"/>
      <c r="R1063" s="326"/>
      <c r="S1063" s="326"/>
      <c r="T1063" s="326"/>
      <c r="U1063" s="327"/>
    </row>
    <row r="1064" spans="1:21" ht="34.5" customHeight="1" x14ac:dyDescent="0.25">
      <c r="A1064" s="10">
        <f t="shared" si="4"/>
        <v>1050</v>
      </c>
      <c r="B1064" s="479" t="s">
        <v>303</v>
      </c>
      <c r="C1064" s="327"/>
      <c r="D1064" s="480" t="s">
        <v>303</v>
      </c>
      <c r="E1064" s="327"/>
      <c r="F1064" s="481" t="s">
        <v>334</v>
      </c>
      <c r="G1064" s="327"/>
      <c r="H1064" s="482"/>
      <c r="I1064" s="326"/>
      <c r="J1064" s="327"/>
      <c r="K1064" s="481" t="s">
        <v>334</v>
      </c>
      <c r="L1064" s="326"/>
      <c r="M1064" s="327"/>
      <c r="N1064" s="439" t="s">
        <v>303</v>
      </c>
      <c r="O1064" s="326"/>
      <c r="P1064" s="326"/>
      <c r="Q1064" s="326"/>
      <c r="R1064" s="326"/>
      <c r="S1064" s="326"/>
      <c r="T1064" s="326"/>
      <c r="U1064" s="327"/>
    </row>
    <row r="1065" spans="1:21" ht="34.5" customHeight="1" x14ac:dyDescent="0.25">
      <c r="A1065" s="10">
        <f t="shared" si="4"/>
        <v>1051</v>
      </c>
      <c r="B1065" s="483" t="s">
        <v>303</v>
      </c>
      <c r="C1065" s="327"/>
      <c r="D1065" s="484" t="s">
        <v>303</v>
      </c>
      <c r="E1065" s="327"/>
      <c r="F1065" s="481" t="s">
        <v>334</v>
      </c>
      <c r="G1065" s="327"/>
      <c r="H1065" s="485"/>
      <c r="I1065" s="326"/>
      <c r="J1065" s="327"/>
      <c r="K1065" s="481" t="s">
        <v>334</v>
      </c>
      <c r="L1065" s="326"/>
      <c r="M1065" s="327"/>
      <c r="N1065" s="486" t="s">
        <v>303</v>
      </c>
      <c r="O1065" s="326"/>
      <c r="P1065" s="326"/>
      <c r="Q1065" s="326"/>
      <c r="R1065" s="326"/>
      <c r="S1065" s="326"/>
      <c r="T1065" s="326"/>
      <c r="U1065" s="327"/>
    </row>
    <row r="1066" spans="1:21" ht="34.5" customHeight="1" x14ac:dyDescent="0.25">
      <c r="A1066" s="10">
        <f t="shared" si="4"/>
        <v>1052</v>
      </c>
      <c r="B1066" s="479" t="s">
        <v>336</v>
      </c>
      <c r="C1066" s="327"/>
      <c r="D1066" s="480" t="s">
        <v>303</v>
      </c>
      <c r="E1066" s="327"/>
      <c r="F1066" s="481" t="s">
        <v>334</v>
      </c>
      <c r="G1066" s="327"/>
      <c r="H1066" s="482"/>
      <c r="I1066" s="326"/>
      <c r="J1066" s="327"/>
      <c r="K1066" s="481" t="s">
        <v>334</v>
      </c>
      <c r="L1066" s="326"/>
      <c r="M1066" s="327"/>
      <c r="N1066" s="439" t="s">
        <v>303</v>
      </c>
      <c r="O1066" s="326"/>
      <c r="P1066" s="326"/>
      <c r="Q1066" s="326"/>
      <c r="R1066" s="326"/>
      <c r="S1066" s="326"/>
      <c r="T1066" s="326"/>
      <c r="U1066" s="327"/>
    </row>
    <row r="1067" spans="1:21" ht="34.5" customHeight="1" x14ac:dyDescent="0.25">
      <c r="A1067" s="10">
        <f t="shared" si="4"/>
        <v>1053</v>
      </c>
      <c r="B1067" s="483" t="s">
        <v>303</v>
      </c>
      <c r="C1067" s="327"/>
      <c r="D1067" s="484" t="s">
        <v>303</v>
      </c>
      <c r="E1067" s="327"/>
      <c r="F1067" s="481" t="s">
        <v>334</v>
      </c>
      <c r="G1067" s="327"/>
      <c r="H1067" s="485"/>
      <c r="I1067" s="326"/>
      <c r="J1067" s="327"/>
      <c r="K1067" s="481" t="s">
        <v>334</v>
      </c>
      <c r="L1067" s="326"/>
      <c r="M1067" s="327"/>
      <c r="N1067" s="486" t="s">
        <v>303</v>
      </c>
      <c r="O1067" s="326"/>
      <c r="P1067" s="326"/>
      <c r="Q1067" s="326"/>
      <c r="R1067" s="326"/>
      <c r="S1067" s="326"/>
      <c r="T1067" s="326"/>
      <c r="U1067" s="327"/>
    </row>
    <row r="1068" spans="1:21" ht="34.5" customHeight="1" x14ac:dyDescent="0.25">
      <c r="A1068" s="10">
        <f t="shared" si="4"/>
        <v>1054</v>
      </c>
      <c r="B1068" s="479" t="s">
        <v>303</v>
      </c>
      <c r="C1068" s="327"/>
      <c r="D1068" s="480" t="s">
        <v>303</v>
      </c>
      <c r="E1068" s="327"/>
      <c r="F1068" s="481" t="s">
        <v>334</v>
      </c>
      <c r="G1068" s="327"/>
      <c r="H1068" s="482"/>
      <c r="I1068" s="326"/>
      <c r="J1068" s="327"/>
      <c r="K1068" s="481" t="s">
        <v>334</v>
      </c>
      <c r="L1068" s="326"/>
      <c r="M1068" s="327"/>
      <c r="N1068" s="439" t="s">
        <v>303</v>
      </c>
      <c r="O1068" s="326"/>
      <c r="P1068" s="326"/>
      <c r="Q1068" s="326"/>
      <c r="R1068" s="326"/>
      <c r="S1068" s="326"/>
      <c r="T1068" s="326"/>
      <c r="U1068" s="327"/>
    </row>
    <row r="1069" spans="1:21" ht="34.5" customHeight="1" x14ac:dyDescent="0.25">
      <c r="A1069" s="10">
        <f t="shared" si="4"/>
        <v>1055</v>
      </c>
      <c r="B1069" s="483" t="s">
        <v>303</v>
      </c>
      <c r="C1069" s="327"/>
      <c r="D1069" s="484" t="s">
        <v>303</v>
      </c>
      <c r="E1069" s="327"/>
      <c r="F1069" s="481" t="s">
        <v>334</v>
      </c>
      <c r="G1069" s="327"/>
      <c r="H1069" s="485"/>
      <c r="I1069" s="326"/>
      <c r="J1069" s="327"/>
      <c r="K1069" s="481" t="s">
        <v>334</v>
      </c>
      <c r="L1069" s="326"/>
      <c r="M1069" s="327"/>
      <c r="N1069" s="486" t="s">
        <v>303</v>
      </c>
      <c r="O1069" s="326"/>
      <c r="P1069" s="326"/>
      <c r="Q1069" s="326"/>
      <c r="R1069" s="326"/>
      <c r="S1069" s="326"/>
      <c r="T1069" s="326"/>
      <c r="U1069" s="327"/>
    </row>
    <row r="1070" spans="1:21" ht="34.5" customHeight="1" x14ac:dyDescent="0.25">
      <c r="A1070" s="10">
        <f t="shared" si="4"/>
        <v>1056</v>
      </c>
      <c r="B1070" s="479" t="s">
        <v>303</v>
      </c>
      <c r="C1070" s="327"/>
      <c r="D1070" s="480" t="s">
        <v>303</v>
      </c>
      <c r="E1070" s="327"/>
      <c r="F1070" s="481" t="s">
        <v>334</v>
      </c>
      <c r="G1070" s="327"/>
      <c r="H1070" s="482"/>
      <c r="I1070" s="326"/>
      <c r="J1070" s="327"/>
      <c r="K1070" s="481" t="s">
        <v>334</v>
      </c>
      <c r="L1070" s="326"/>
      <c r="M1070" s="327"/>
      <c r="N1070" s="439" t="s">
        <v>303</v>
      </c>
      <c r="O1070" s="326"/>
      <c r="P1070" s="326"/>
      <c r="Q1070" s="326"/>
      <c r="R1070" s="326"/>
      <c r="S1070" s="326"/>
      <c r="T1070" s="326"/>
      <c r="U1070" s="327"/>
    </row>
    <row r="1071" spans="1:21" ht="34.5" customHeight="1" x14ac:dyDescent="0.25">
      <c r="A1071" s="10">
        <f t="shared" si="4"/>
        <v>1057</v>
      </c>
      <c r="B1071" s="483" t="s">
        <v>303</v>
      </c>
      <c r="C1071" s="327"/>
      <c r="D1071" s="484" t="s">
        <v>303</v>
      </c>
      <c r="E1071" s="327"/>
      <c r="F1071" s="481" t="s">
        <v>334</v>
      </c>
      <c r="G1071" s="327"/>
      <c r="H1071" s="485"/>
      <c r="I1071" s="326"/>
      <c r="J1071" s="327"/>
      <c r="K1071" s="481" t="s">
        <v>334</v>
      </c>
      <c r="L1071" s="326"/>
      <c r="M1071" s="327"/>
      <c r="N1071" s="486" t="s">
        <v>303</v>
      </c>
      <c r="O1071" s="326"/>
      <c r="P1071" s="326"/>
      <c r="Q1071" s="326"/>
      <c r="R1071" s="326"/>
      <c r="S1071" s="326"/>
      <c r="T1071" s="326"/>
      <c r="U1071" s="327"/>
    </row>
    <row r="1072" spans="1:21" ht="34.5" customHeight="1" x14ac:dyDescent="0.25">
      <c r="A1072" s="10">
        <f t="shared" si="4"/>
        <v>1058</v>
      </c>
      <c r="B1072" s="479" t="s">
        <v>303</v>
      </c>
      <c r="C1072" s="327"/>
      <c r="D1072" s="480" t="s">
        <v>303</v>
      </c>
      <c r="E1072" s="327"/>
      <c r="F1072" s="481" t="s">
        <v>334</v>
      </c>
      <c r="G1072" s="327"/>
      <c r="H1072" s="482"/>
      <c r="I1072" s="326"/>
      <c r="J1072" s="327"/>
      <c r="K1072" s="481" t="s">
        <v>334</v>
      </c>
      <c r="L1072" s="326"/>
      <c r="M1072" s="327"/>
      <c r="N1072" s="439" t="s">
        <v>303</v>
      </c>
      <c r="O1072" s="326"/>
      <c r="P1072" s="326"/>
      <c r="Q1072" s="326"/>
      <c r="R1072" s="326"/>
      <c r="S1072" s="326"/>
      <c r="T1072" s="326"/>
      <c r="U1072" s="327"/>
    </row>
    <row r="1073" spans="1:21" ht="34.5" customHeight="1" x14ac:dyDescent="0.25">
      <c r="A1073" s="10">
        <f t="shared" si="4"/>
        <v>1059</v>
      </c>
      <c r="B1073" s="483" t="s">
        <v>303</v>
      </c>
      <c r="C1073" s="327"/>
      <c r="D1073" s="484" t="s">
        <v>303</v>
      </c>
      <c r="E1073" s="327"/>
      <c r="F1073" s="481" t="s">
        <v>334</v>
      </c>
      <c r="G1073" s="327"/>
      <c r="H1073" s="485"/>
      <c r="I1073" s="326"/>
      <c r="J1073" s="327"/>
      <c r="K1073" s="481" t="s">
        <v>334</v>
      </c>
      <c r="L1073" s="326"/>
      <c r="M1073" s="327"/>
      <c r="N1073" s="486" t="s">
        <v>303</v>
      </c>
      <c r="O1073" s="326"/>
      <c r="P1073" s="326"/>
      <c r="Q1073" s="326"/>
      <c r="R1073" s="326"/>
      <c r="S1073" s="326"/>
      <c r="T1073" s="326"/>
      <c r="U1073" s="327"/>
    </row>
    <row r="1074" spans="1:21" ht="34.5" customHeight="1" x14ac:dyDescent="0.25">
      <c r="A1074" s="10">
        <f t="shared" si="4"/>
        <v>1060</v>
      </c>
      <c r="B1074" s="479" t="s">
        <v>303</v>
      </c>
      <c r="C1074" s="327"/>
      <c r="D1074" s="480" t="s">
        <v>303</v>
      </c>
      <c r="E1074" s="327"/>
      <c r="F1074" s="481" t="s">
        <v>334</v>
      </c>
      <c r="G1074" s="327"/>
      <c r="H1074" s="482"/>
      <c r="I1074" s="326"/>
      <c r="J1074" s="327"/>
      <c r="K1074" s="481" t="s">
        <v>334</v>
      </c>
      <c r="L1074" s="326"/>
      <c r="M1074" s="327"/>
      <c r="N1074" s="439" t="s">
        <v>303</v>
      </c>
      <c r="O1074" s="326"/>
      <c r="P1074" s="326"/>
      <c r="Q1074" s="326"/>
      <c r="R1074" s="326"/>
      <c r="S1074" s="326"/>
      <c r="T1074" s="326"/>
      <c r="U1074" s="327"/>
    </row>
    <row r="1075" spans="1:21" ht="34.5" customHeight="1" x14ac:dyDescent="0.25">
      <c r="A1075" s="10">
        <f t="shared" si="4"/>
        <v>1061</v>
      </c>
      <c r="B1075" s="483" t="s">
        <v>303</v>
      </c>
      <c r="C1075" s="327"/>
      <c r="D1075" s="484" t="s">
        <v>303</v>
      </c>
      <c r="E1075" s="327"/>
      <c r="F1075" s="481" t="s">
        <v>334</v>
      </c>
      <c r="G1075" s="327"/>
      <c r="H1075" s="485"/>
      <c r="I1075" s="326"/>
      <c r="J1075" s="327"/>
      <c r="K1075" s="481" t="s">
        <v>334</v>
      </c>
      <c r="L1075" s="326"/>
      <c r="M1075" s="327"/>
      <c r="N1075" s="486" t="s">
        <v>303</v>
      </c>
      <c r="O1075" s="326"/>
      <c r="P1075" s="326"/>
      <c r="Q1075" s="326"/>
      <c r="R1075" s="326"/>
      <c r="S1075" s="326"/>
      <c r="T1075" s="326"/>
      <c r="U1075" s="327"/>
    </row>
    <row r="1076" spans="1:21" ht="34.5" customHeight="1" x14ac:dyDescent="0.25">
      <c r="A1076" s="10">
        <f t="shared" si="4"/>
        <v>1062</v>
      </c>
      <c r="B1076" s="479" t="s">
        <v>303</v>
      </c>
      <c r="C1076" s="327"/>
      <c r="D1076" s="480" t="s">
        <v>303</v>
      </c>
      <c r="E1076" s="327"/>
      <c r="F1076" s="481" t="s">
        <v>334</v>
      </c>
      <c r="G1076" s="327"/>
      <c r="H1076" s="482"/>
      <c r="I1076" s="326"/>
      <c r="J1076" s="327"/>
      <c r="K1076" s="481" t="s">
        <v>334</v>
      </c>
      <c r="L1076" s="326"/>
      <c r="M1076" s="327"/>
      <c r="N1076" s="439" t="s">
        <v>303</v>
      </c>
      <c r="O1076" s="326"/>
      <c r="P1076" s="326"/>
      <c r="Q1076" s="326"/>
      <c r="R1076" s="326"/>
      <c r="S1076" s="326"/>
      <c r="T1076" s="326"/>
      <c r="U1076" s="327"/>
    </row>
    <row r="1077" spans="1:21" ht="34.5" customHeight="1" x14ac:dyDescent="0.25">
      <c r="A1077" s="10">
        <f t="shared" si="4"/>
        <v>1063</v>
      </c>
      <c r="B1077" s="483" t="s">
        <v>303</v>
      </c>
      <c r="C1077" s="327"/>
      <c r="D1077" s="484" t="s">
        <v>303</v>
      </c>
      <c r="E1077" s="327"/>
      <c r="F1077" s="481" t="s">
        <v>334</v>
      </c>
      <c r="G1077" s="327"/>
      <c r="H1077" s="485"/>
      <c r="I1077" s="326"/>
      <c r="J1077" s="327"/>
      <c r="K1077" s="481" t="s">
        <v>334</v>
      </c>
      <c r="L1077" s="326"/>
      <c r="M1077" s="327"/>
      <c r="N1077" s="486" t="s">
        <v>303</v>
      </c>
      <c r="O1077" s="326"/>
      <c r="P1077" s="326"/>
      <c r="Q1077" s="326"/>
      <c r="R1077" s="326"/>
      <c r="S1077" s="326"/>
      <c r="T1077" s="326"/>
      <c r="U1077" s="327"/>
    </row>
    <row r="1078" spans="1:21" ht="34.5" customHeight="1" x14ac:dyDescent="0.25">
      <c r="A1078" s="10">
        <f t="shared" si="4"/>
        <v>1064</v>
      </c>
      <c r="B1078" s="479" t="s">
        <v>303</v>
      </c>
      <c r="C1078" s="327"/>
      <c r="D1078" s="480" t="s">
        <v>303</v>
      </c>
      <c r="E1078" s="327"/>
      <c r="F1078" s="481" t="s">
        <v>334</v>
      </c>
      <c r="G1078" s="327"/>
      <c r="H1078" s="482"/>
      <c r="I1078" s="326"/>
      <c r="J1078" s="327"/>
      <c r="K1078" s="481" t="s">
        <v>334</v>
      </c>
      <c r="L1078" s="326"/>
      <c r="M1078" s="327"/>
      <c r="N1078" s="439" t="s">
        <v>303</v>
      </c>
      <c r="O1078" s="326"/>
      <c r="P1078" s="326"/>
      <c r="Q1078" s="326"/>
      <c r="R1078" s="326"/>
      <c r="S1078" s="326"/>
      <c r="T1078" s="326"/>
      <c r="U1078" s="327"/>
    </row>
    <row r="1079" spans="1:21" ht="34.5" customHeight="1" x14ac:dyDescent="0.25">
      <c r="A1079" s="10">
        <f t="shared" si="4"/>
        <v>1065</v>
      </c>
      <c r="B1079" s="483" t="s">
        <v>337</v>
      </c>
      <c r="C1079" s="327"/>
      <c r="D1079" s="484" t="s">
        <v>303</v>
      </c>
      <c r="E1079" s="327"/>
      <c r="F1079" s="481" t="s">
        <v>334</v>
      </c>
      <c r="G1079" s="327"/>
      <c r="H1079" s="485"/>
      <c r="I1079" s="326"/>
      <c r="J1079" s="327"/>
      <c r="K1079" s="481" t="s">
        <v>334</v>
      </c>
      <c r="L1079" s="326"/>
      <c r="M1079" s="327"/>
      <c r="N1079" s="486" t="s">
        <v>303</v>
      </c>
      <c r="O1079" s="326"/>
      <c r="P1079" s="326"/>
      <c r="Q1079" s="326"/>
      <c r="R1079" s="326"/>
      <c r="S1079" s="326"/>
      <c r="T1079" s="326"/>
      <c r="U1079" s="327"/>
    </row>
    <row r="1080" spans="1:21" ht="34.5" customHeight="1" x14ac:dyDescent="0.25">
      <c r="A1080" s="10">
        <f t="shared" si="4"/>
        <v>1066</v>
      </c>
      <c r="B1080" s="479" t="s">
        <v>303</v>
      </c>
      <c r="C1080" s="327"/>
      <c r="D1080" s="480" t="s">
        <v>303</v>
      </c>
      <c r="E1080" s="327"/>
      <c r="F1080" s="481" t="s">
        <v>334</v>
      </c>
      <c r="G1080" s="327"/>
      <c r="H1080" s="482"/>
      <c r="I1080" s="326"/>
      <c r="J1080" s="327"/>
      <c r="K1080" s="481" t="s">
        <v>334</v>
      </c>
      <c r="L1080" s="326"/>
      <c r="M1080" s="327"/>
      <c r="N1080" s="439" t="s">
        <v>303</v>
      </c>
      <c r="O1080" s="326"/>
      <c r="P1080" s="326"/>
      <c r="Q1080" s="326"/>
      <c r="R1080" s="326"/>
      <c r="S1080" s="326"/>
      <c r="T1080" s="326"/>
      <c r="U1080" s="327"/>
    </row>
    <row r="1081" spans="1:21" ht="34.5" customHeight="1" x14ac:dyDescent="0.25">
      <c r="A1081" s="10">
        <f t="shared" si="4"/>
        <v>1067</v>
      </c>
      <c r="B1081" s="483" t="s">
        <v>303</v>
      </c>
      <c r="C1081" s="327"/>
      <c r="D1081" s="484" t="s">
        <v>303</v>
      </c>
      <c r="E1081" s="327"/>
      <c r="F1081" s="481" t="s">
        <v>334</v>
      </c>
      <c r="G1081" s="327"/>
      <c r="H1081" s="485"/>
      <c r="I1081" s="326"/>
      <c r="J1081" s="327"/>
      <c r="K1081" s="481" t="s">
        <v>334</v>
      </c>
      <c r="L1081" s="326"/>
      <c r="M1081" s="327"/>
      <c r="N1081" s="486" t="s">
        <v>303</v>
      </c>
      <c r="O1081" s="326"/>
      <c r="P1081" s="326"/>
      <c r="Q1081" s="326"/>
      <c r="R1081" s="326"/>
      <c r="S1081" s="326"/>
      <c r="T1081" s="326"/>
      <c r="U1081" s="327"/>
    </row>
    <row r="1082" spans="1:21" ht="34.5" customHeight="1" x14ac:dyDescent="0.25">
      <c r="A1082" s="10">
        <f t="shared" si="4"/>
        <v>1068</v>
      </c>
      <c r="B1082" s="479" t="s">
        <v>303</v>
      </c>
      <c r="C1082" s="327"/>
      <c r="D1082" s="480" t="s">
        <v>303</v>
      </c>
      <c r="E1082" s="327"/>
      <c r="F1082" s="481" t="s">
        <v>334</v>
      </c>
      <c r="G1082" s="327"/>
      <c r="H1082" s="482"/>
      <c r="I1082" s="326"/>
      <c r="J1082" s="327"/>
      <c r="K1082" s="481" t="s">
        <v>334</v>
      </c>
      <c r="L1082" s="326"/>
      <c r="M1082" s="327"/>
      <c r="N1082" s="439" t="s">
        <v>303</v>
      </c>
      <c r="O1082" s="326"/>
      <c r="P1082" s="326"/>
      <c r="Q1082" s="326"/>
      <c r="R1082" s="326"/>
      <c r="S1082" s="326"/>
      <c r="T1082" s="326"/>
      <c r="U1082" s="327"/>
    </row>
    <row r="1083" spans="1:21" ht="34.5" customHeight="1" x14ac:dyDescent="0.25">
      <c r="A1083" s="10">
        <f t="shared" si="4"/>
        <v>1069</v>
      </c>
      <c r="B1083" s="483" t="s">
        <v>303</v>
      </c>
      <c r="C1083" s="327"/>
      <c r="D1083" s="484" t="s">
        <v>303</v>
      </c>
      <c r="E1083" s="327"/>
      <c r="F1083" s="481" t="s">
        <v>334</v>
      </c>
      <c r="G1083" s="327"/>
      <c r="H1083" s="485"/>
      <c r="I1083" s="326"/>
      <c r="J1083" s="327"/>
      <c r="K1083" s="481" t="s">
        <v>334</v>
      </c>
      <c r="L1083" s="326"/>
      <c r="M1083" s="327"/>
      <c r="N1083" s="486" t="s">
        <v>303</v>
      </c>
      <c r="O1083" s="326"/>
      <c r="P1083" s="326"/>
      <c r="Q1083" s="326"/>
      <c r="R1083" s="326"/>
      <c r="S1083" s="326"/>
      <c r="T1083" s="326"/>
      <c r="U1083" s="327"/>
    </row>
    <row r="1084" spans="1:21" ht="34.5" customHeight="1" x14ac:dyDescent="0.25">
      <c r="A1084" s="10">
        <f t="shared" si="4"/>
        <v>1070</v>
      </c>
      <c r="B1084" s="479" t="s">
        <v>303</v>
      </c>
      <c r="C1084" s="327"/>
      <c r="D1084" s="480" t="s">
        <v>303</v>
      </c>
      <c r="E1084" s="327"/>
      <c r="F1084" s="481" t="s">
        <v>334</v>
      </c>
      <c r="G1084" s="327"/>
      <c r="H1084" s="482"/>
      <c r="I1084" s="326"/>
      <c r="J1084" s="327"/>
      <c r="K1084" s="481" t="s">
        <v>334</v>
      </c>
      <c r="L1084" s="326"/>
      <c r="M1084" s="327"/>
      <c r="N1084" s="439" t="s">
        <v>303</v>
      </c>
      <c r="O1084" s="326"/>
      <c r="P1084" s="326"/>
      <c r="Q1084" s="326"/>
      <c r="R1084" s="326"/>
      <c r="S1084" s="326"/>
      <c r="T1084" s="326"/>
      <c r="U1084" s="327"/>
    </row>
    <row r="1085" spans="1:21" ht="34.5" customHeight="1" x14ac:dyDescent="0.25">
      <c r="A1085" s="10">
        <f t="shared" si="4"/>
        <v>1071</v>
      </c>
      <c r="B1085" s="483" t="s">
        <v>303</v>
      </c>
      <c r="C1085" s="327"/>
      <c r="D1085" s="484" t="s">
        <v>303</v>
      </c>
      <c r="E1085" s="327"/>
      <c r="F1085" s="481" t="s">
        <v>334</v>
      </c>
      <c r="G1085" s="327"/>
      <c r="H1085" s="485"/>
      <c r="I1085" s="326"/>
      <c r="J1085" s="327"/>
      <c r="K1085" s="481" t="s">
        <v>334</v>
      </c>
      <c r="L1085" s="326"/>
      <c r="M1085" s="327"/>
      <c r="N1085" s="486" t="s">
        <v>303</v>
      </c>
      <c r="O1085" s="326"/>
      <c r="P1085" s="326"/>
      <c r="Q1085" s="326"/>
      <c r="R1085" s="326"/>
      <c r="S1085" s="326"/>
      <c r="T1085" s="326"/>
      <c r="U1085" s="327"/>
    </row>
    <row r="1086" spans="1:21" ht="34.5" customHeight="1" x14ac:dyDescent="0.25">
      <c r="A1086" s="10">
        <f t="shared" si="4"/>
        <v>1072</v>
      </c>
      <c r="B1086" s="479" t="s">
        <v>303</v>
      </c>
      <c r="C1086" s="327"/>
      <c r="D1086" s="480" t="s">
        <v>303</v>
      </c>
      <c r="E1086" s="327"/>
      <c r="F1086" s="481" t="s">
        <v>334</v>
      </c>
      <c r="G1086" s="327"/>
      <c r="H1086" s="482"/>
      <c r="I1086" s="326"/>
      <c r="J1086" s="327"/>
      <c r="K1086" s="481" t="s">
        <v>334</v>
      </c>
      <c r="L1086" s="326"/>
      <c r="M1086" s="327"/>
      <c r="N1086" s="439" t="s">
        <v>303</v>
      </c>
      <c r="O1086" s="326"/>
      <c r="P1086" s="326"/>
      <c r="Q1086" s="326"/>
      <c r="R1086" s="326"/>
      <c r="S1086" s="326"/>
      <c r="T1086" s="326"/>
      <c r="U1086" s="327"/>
    </row>
    <row r="1087" spans="1:21" ht="34.5" customHeight="1" x14ac:dyDescent="0.25">
      <c r="A1087" s="10">
        <f t="shared" si="4"/>
        <v>1073</v>
      </c>
      <c r="B1087" s="483" t="s">
        <v>303</v>
      </c>
      <c r="C1087" s="327"/>
      <c r="D1087" s="484" t="s">
        <v>303</v>
      </c>
      <c r="E1087" s="327"/>
      <c r="F1087" s="481" t="s">
        <v>334</v>
      </c>
      <c r="G1087" s="327"/>
      <c r="H1087" s="485"/>
      <c r="I1087" s="326"/>
      <c r="J1087" s="327"/>
      <c r="K1087" s="481" t="s">
        <v>334</v>
      </c>
      <c r="L1087" s="326"/>
      <c r="M1087" s="327"/>
      <c r="N1087" s="486" t="s">
        <v>303</v>
      </c>
      <c r="O1087" s="326"/>
      <c r="P1087" s="326"/>
      <c r="Q1087" s="326"/>
      <c r="R1087" s="326"/>
      <c r="S1087" s="326"/>
      <c r="T1087" s="326"/>
      <c r="U1087" s="327"/>
    </row>
    <row r="1088" spans="1:21" ht="34.5" customHeight="1" x14ac:dyDescent="0.25">
      <c r="A1088" s="10">
        <f t="shared" si="4"/>
        <v>1074</v>
      </c>
      <c r="B1088" s="479" t="s">
        <v>335</v>
      </c>
      <c r="C1088" s="327"/>
      <c r="D1088" s="480" t="s">
        <v>303</v>
      </c>
      <c r="E1088" s="327"/>
      <c r="F1088" s="481" t="s">
        <v>334</v>
      </c>
      <c r="G1088" s="327"/>
      <c r="H1088" s="482"/>
      <c r="I1088" s="326"/>
      <c r="J1088" s="327"/>
      <c r="K1088" s="481" t="s">
        <v>334</v>
      </c>
      <c r="L1088" s="326"/>
      <c r="M1088" s="327"/>
      <c r="N1088" s="439" t="s">
        <v>303</v>
      </c>
      <c r="O1088" s="326"/>
      <c r="P1088" s="326"/>
      <c r="Q1088" s="326"/>
      <c r="R1088" s="326"/>
      <c r="S1088" s="326"/>
      <c r="T1088" s="326"/>
      <c r="U1088" s="327"/>
    </row>
    <row r="1089" spans="1:21" ht="34.5" customHeight="1" x14ac:dyDescent="0.25">
      <c r="A1089" s="10">
        <f t="shared" si="4"/>
        <v>1075</v>
      </c>
      <c r="B1089" s="483" t="s">
        <v>303</v>
      </c>
      <c r="C1089" s="327"/>
      <c r="D1089" s="484" t="s">
        <v>303</v>
      </c>
      <c r="E1089" s="327"/>
      <c r="F1089" s="481" t="s">
        <v>334</v>
      </c>
      <c r="G1089" s="327"/>
      <c r="H1089" s="485"/>
      <c r="I1089" s="326"/>
      <c r="J1089" s="327"/>
      <c r="K1089" s="481" t="s">
        <v>334</v>
      </c>
      <c r="L1089" s="326"/>
      <c r="M1089" s="327"/>
      <c r="N1089" s="486" t="s">
        <v>303</v>
      </c>
      <c r="O1089" s="326"/>
      <c r="P1089" s="326"/>
      <c r="Q1089" s="326"/>
      <c r="R1089" s="326"/>
      <c r="S1089" s="326"/>
      <c r="T1089" s="326"/>
      <c r="U1089" s="327"/>
    </row>
    <row r="1090" spans="1:21" ht="34.5" customHeight="1" x14ac:dyDescent="0.25">
      <c r="A1090" s="10">
        <f t="shared" si="4"/>
        <v>1076</v>
      </c>
      <c r="B1090" s="479" t="s">
        <v>303</v>
      </c>
      <c r="C1090" s="327"/>
      <c r="D1090" s="480" t="s">
        <v>303</v>
      </c>
      <c r="E1090" s="327"/>
      <c r="F1090" s="481" t="s">
        <v>334</v>
      </c>
      <c r="G1090" s="327"/>
      <c r="H1090" s="482"/>
      <c r="I1090" s="326"/>
      <c r="J1090" s="327"/>
      <c r="K1090" s="481" t="s">
        <v>334</v>
      </c>
      <c r="L1090" s="326"/>
      <c r="M1090" s="327"/>
      <c r="N1090" s="439" t="s">
        <v>303</v>
      </c>
      <c r="O1090" s="326"/>
      <c r="P1090" s="326"/>
      <c r="Q1090" s="326"/>
      <c r="R1090" s="326"/>
      <c r="S1090" s="326"/>
      <c r="T1090" s="326"/>
      <c r="U1090" s="327"/>
    </row>
    <row r="1091" spans="1:21" ht="34.5" customHeight="1" x14ac:dyDescent="0.25">
      <c r="A1091" s="10">
        <f t="shared" si="4"/>
        <v>1077</v>
      </c>
      <c r="B1091" s="483" t="s">
        <v>303</v>
      </c>
      <c r="C1091" s="327"/>
      <c r="D1091" s="484" t="s">
        <v>303</v>
      </c>
      <c r="E1091" s="327"/>
      <c r="F1091" s="481" t="s">
        <v>334</v>
      </c>
      <c r="G1091" s="327"/>
      <c r="H1091" s="485"/>
      <c r="I1091" s="326"/>
      <c r="J1091" s="327"/>
      <c r="K1091" s="481" t="s">
        <v>334</v>
      </c>
      <c r="L1091" s="326"/>
      <c r="M1091" s="327"/>
      <c r="N1091" s="486" t="s">
        <v>303</v>
      </c>
      <c r="O1091" s="326"/>
      <c r="P1091" s="326"/>
      <c r="Q1091" s="326"/>
      <c r="R1091" s="326"/>
      <c r="S1091" s="326"/>
      <c r="T1091" s="326"/>
      <c r="U1091" s="327"/>
    </row>
    <row r="1092" spans="1:21" ht="34.5" customHeight="1" x14ac:dyDescent="0.25">
      <c r="A1092" s="10">
        <f t="shared" si="4"/>
        <v>1078</v>
      </c>
      <c r="B1092" s="479" t="s">
        <v>303</v>
      </c>
      <c r="C1092" s="327"/>
      <c r="D1092" s="480" t="s">
        <v>303</v>
      </c>
      <c r="E1092" s="327"/>
      <c r="F1092" s="481" t="s">
        <v>334</v>
      </c>
      <c r="G1092" s="327"/>
      <c r="H1092" s="482"/>
      <c r="I1092" s="326"/>
      <c r="J1092" s="327"/>
      <c r="K1092" s="481" t="s">
        <v>334</v>
      </c>
      <c r="L1092" s="326"/>
      <c r="M1092" s="327"/>
      <c r="N1092" s="439" t="s">
        <v>303</v>
      </c>
      <c r="O1092" s="326"/>
      <c r="P1092" s="326"/>
      <c r="Q1092" s="326"/>
      <c r="R1092" s="326"/>
      <c r="S1092" s="326"/>
      <c r="T1092" s="326"/>
      <c r="U1092" s="327"/>
    </row>
    <row r="1093" spans="1:21" ht="34.5" customHeight="1" x14ac:dyDescent="0.25">
      <c r="A1093" s="10">
        <f t="shared" si="4"/>
        <v>1079</v>
      </c>
      <c r="B1093" s="483" t="s">
        <v>303</v>
      </c>
      <c r="C1093" s="327"/>
      <c r="D1093" s="484" t="s">
        <v>303</v>
      </c>
      <c r="E1093" s="327"/>
      <c r="F1093" s="481" t="s">
        <v>334</v>
      </c>
      <c r="G1093" s="327"/>
      <c r="H1093" s="485"/>
      <c r="I1093" s="326"/>
      <c r="J1093" s="327"/>
      <c r="K1093" s="481" t="s">
        <v>334</v>
      </c>
      <c r="L1093" s="326"/>
      <c r="M1093" s="327"/>
      <c r="N1093" s="486" t="s">
        <v>303</v>
      </c>
      <c r="O1093" s="326"/>
      <c r="P1093" s="326"/>
      <c r="Q1093" s="326"/>
      <c r="R1093" s="326"/>
      <c r="S1093" s="326"/>
      <c r="T1093" s="326"/>
      <c r="U1093" s="327"/>
    </row>
    <row r="1094" spans="1:21" ht="34.5" customHeight="1" x14ac:dyDescent="0.25">
      <c r="A1094" s="10">
        <f t="shared" si="4"/>
        <v>1080</v>
      </c>
      <c r="B1094" s="479" t="s">
        <v>303</v>
      </c>
      <c r="C1094" s="327"/>
      <c r="D1094" s="480" t="s">
        <v>303</v>
      </c>
      <c r="E1094" s="327"/>
      <c r="F1094" s="481" t="s">
        <v>334</v>
      </c>
      <c r="G1094" s="327"/>
      <c r="H1094" s="482"/>
      <c r="I1094" s="326"/>
      <c r="J1094" s="327"/>
      <c r="K1094" s="481" t="s">
        <v>334</v>
      </c>
      <c r="L1094" s="326"/>
      <c r="M1094" s="327"/>
      <c r="N1094" s="439" t="s">
        <v>303</v>
      </c>
      <c r="O1094" s="326"/>
      <c r="P1094" s="326"/>
      <c r="Q1094" s="326"/>
      <c r="R1094" s="326"/>
      <c r="S1094" s="326"/>
      <c r="T1094" s="326"/>
      <c r="U1094" s="327"/>
    </row>
    <row r="1095" spans="1:21" ht="34.5" customHeight="1" x14ac:dyDescent="0.25">
      <c r="A1095" s="10">
        <f t="shared" si="4"/>
        <v>1081</v>
      </c>
      <c r="B1095" s="483" t="s">
        <v>303</v>
      </c>
      <c r="C1095" s="327"/>
      <c r="D1095" s="484" t="s">
        <v>303</v>
      </c>
      <c r="E1095" s="327"/>
      <c r="F1095" s="481" t="s">
        <v>334</v>
      </c>
      <c r="G1095" s="327"/>
      <c r="H1095" s="485"/>
      <c r="I1095" s="326"/>
      <c r="J1095" s="327"/>
      <c r="K1095" s="481" t="s">
        <v>334</v>
      </c>
      <c r="L1095" s="326"/>
      <c r="M1095" s="327"/>
      <c r="N1095" s="486" t="s">
        <v>303</v>
      </c>
      <c r="O1095" s="326"/>
      <c r="P1095" s="326"/>
      <c r="Q1095" s="326"/>
      <c r="R1095" s="326"/>
      <c r="S1095" s="326"/>
      <c r="T1095" s="326"/>
      <c r="U1095" s="327"/>
    </row>
    <row r="1096" spans="1:21" ht="34.5" customHeight="1" x14ac:dyDescent="0.25">
      <c r="A1096" s="10">
        <f t="shared" si="4"/>
        <v>1082</v>
      </c>
      <c r="B1096" s="479" t="s">
        <v>338</v>
      </c>
      <c r="C1096" s="327"/>
      <c r="D1096" s="480" t="s">
        <v>303</v>
      </c>
      <c r="E1096" s="327"/>
      <c r="F1096" s="481" t="s">
        <v>334</v>
      </c>
      <c r="G1096" s="327"/>
      <c r="H1096" s="482"/>
      <c r="I1096" s="326"/>
      <c r="J1096" s="327"/>
      <c r="K1096" s="481" t="s">
        <v>334</v>
      </c>
      <c r="L1096" s="326"/>
      <c r="M1096" s="327"/>
      <c r="N1096" s="439" t="s">
        <v>303</v>
      </c>
      <c r="O1096" s="326"/>
      <c r="P1096" s="326"/>
      <c r="Q1096" s="326"/>
      <c r="R1096" s="326"/>
      <c r="S1096" s="326"/>
      <c r="T1096" s="326"/>
      <c r="U1096" s="327"/>
    </row>
    <row r="1097" spans="1:21" ht="34.5" customHeight="1" x14ac:dyDescent="0.25">
      <c r="A1097" s="10">
        <f t="shared" si="4"/>
        <v>1083</v>
      </c>
      <c r="B1097" s="483" t="s">
        <v>303</v>
      </c>
      <c r="C1097" s="327"/>
      <c r="D1097" s="484" t="s">
        <v>303</v>
      </c>
      <c r="E1097" s="327"/>
      <c r="F1097" s="481" t="s">
        <v>334</v>
      </c>
      <c r="G1097" s="327"/>
      <c r="H1097" s="485"/>
      <c r="I1097" s="326"/>
      <c r="J1097" s="327"/>
      <c r="K1097" s="481" t="s">
        <v>334</v>
      </c>
      <c r="L1097" s="326"/>
      <c r="M1097" s="327"/>
      <c r="N1097" s="486" t="s">
        <v>303</v>
      </c>
      <c r="O1097" s="326"/>
      <c r="P1097" s="326"/>
      <c r="Q1097" s="326"/>
      <c r="R1097" s="326"/>
      <c r="S1097" s="326"/>
      <c r="T1097" s="326"/>
      <c r="U1097" s="327"/>
    </row>
    <row r="1098" spans="1:21" ht="34.5" customHeight="1" x14ac:dyDescent="0.25">
      <c r="A1098" s="10">
        <f t="shared" si="4"/>
        <v>1084</v>
      </c>
      <c r="B1098" s="479" t="s">
        <v>303</v>
      </c>
      <c r="C1098" s="327"/>
      <c r="D1098" s="480" t="s">
        <v>303</v>
      </c>
      <c r="E1098" s="327"/>
      <c r="F1098" s="481" t="s">
        <v>334</v>
      </c>
      <c r="G1098" s="327"/>
      <c r="H1098" s="482"/>
      <c r="I1098" s="326"/>
      <c r="J1098" s="327"/>
      <c r="K1098" s="481" t="s">
        <v>334</v>
      </c>
      <c r="L1098" s="326"/>
      <c r="M1098" s="327"/>
      <c r="N1098" s="439" t="s">
        <v>303</v>
      </c>
      <c r="O1098" s="326"/>
      <c r="P1098" s="326"/>
      <c r="Q1098" s="326"/>
      <c r="R1098" s="326"/>
      <c r="S1098" s="326"/>
      <c r="T1098" s="326"/>
      <c r="U1098" s="327"/>
    </row>
    <row r="1099" spans="1:21" ht="34.5" customHeight="1" x14ac:dyDescent="0.25">
      <c r="A1099" s="10">
        <f t="shared" si="4"/>
        <v>1085</v>
      </c>
      <c r="B1099" s="483" t="s">
        <v>303</v>
      </c>
      <c r="C1099" s="327"/>
      <c r="D1099" s="484" t="s">
        <v>303</v>
      </c>
      <c r="E1099" s="327"/>
      <c r="F1099" s="481" t="s">
        <v>334</v>
      </c>
      <c r="G1099" s="327"/>
      <c r="H1099" s="485"/>
      <c r="I1099" s="326"/>
      <c r="J1099" s="327"/>
      <c r="K1099" s="481" t="s">
        <v>334</v>
      </c>
      <c r="L1099" s="326"/>
      <c r="M1099" s="327"/>
      <c r="N1099" s="486" t="s">
        <v>303</v>
      </c>
      <c r="O1099" s="326"/>
      <c r="P1099" s="326"/>
      <c r="Q1099" s="326"/>
      <c r="R1099" s="326"/>
      <c r="S1099" s="326"/>
      <c r="T1099" s="326"/>
      <c r="U1099" s="327"/>
    </row>
    <row r="1100" spans="1:21" ht="34.5" customHeight="1" x14ac:dyDescent="0.25">
      <c r="A1100" s="10">
        <f t="shared" si="4"/>
        <v>1086</v>
      </c>
      <c r="B1100" s="479" t="s">
        <v>303</v>
      </c>
      <c r="C1100" s="327"/>
      <c r="D1100" s="480" t="s">
        <v>303</v>
      </c>
      <c r="E1100" s="327"/>
      <c r="F1100" s="481" t="s">
        <v>334</v>
      </c>
      <c r="G1100" s="327"/>
      <c r="H1100" s="482"/>
      <c r="I1100" s="326"/>
      <c r="J1100" s="327"/>
      <c r="K1100" s="481" t="s">
        <v>334</v>
      </c>
      <c r="L1100" s="326"/>
      <c r="M1100" s="327"/>
      <c r="N1100" s="439" t="s">
        <v>303</v>
      </c>
      <c r="O1100" s="326"/>
      <c r="P1100" s="326"/>
      <c r="Q1100" s="326"/>
      <c r="R1100" s="326"/>
      <c r="S1100" s="326"/>
      <c r="T1100" s="326"/>
      <c r="U1100" s="327"/>
    </row>
    <row r="1101" spans="1:21" ht="34.5" customHeight="1" x14ac:dyDescent="0.25">
      <c r="A1101" s="10">
        <f t="shared" si="4"/>
        <v>1087</v>
      </c>
      <c r="B1101" s="483" t="s">
        <v>303</v>
      </c>
      <c r="C1101" s="327"/>
      <c r="D1101" s="484" t="s">
        <v>303</v>
      </c>
      <c r="E1101" s="327"/>
      <c r="F1101" s="481" t="s">
        <v>334</v>
      </c>
      <c r="G1101" s="327"/>
      <c r="H1101" s="485"/>
      <c r="I1101" s="326"/>
      <c r="J1101" s="327"/>
      <c r="K1101" s="481" t="s">
        <v>334</v>
      </c>
      <c r="L1101" s="326"/>
      <c r="M1101" s="327"/>
      <c r="N1101" s="486" t="s">
        <v>303</v>
      </c>
      <c r="O1101" s="326"/>
      <c r="P1101" s="326"/>
      <c r="Q1101" s="326"/>
      <c r="R1101" s="326"/>
      <c r="S1101" s="326"/>
      <c r="T1101" s="326"/>
      <c r="U1101" s="327"/>
    </row>
    <row r="1102" spans="1:21" ht="34.5" customHeight="1" x14ac:dyDescent="0.25">
      <c r="A1102" s="10">
        <f t="shared" si="4"/>
        <v>1088</v>
      </c>
      <c r="B1102" s="479" t="s">
        <v>303</v>
      </c>
      <c r="C1102" s="327"/>
      <c r="D1102" s="480" t="s">
        <v>303</v>
      </c>
      <c r="E1102" s="327"/>
      <c r="F1102" s="481" t="s">
        <v>334</v>
      </c>
      <c r="G1102" s="327"/>
      <c r="H1102" s="482"/>
      <c r="I1102" s="326"/>
      <c r="J1102" s="327"/>
      <c r="K1102" s="481" t="s">
        <v>334</v>
      </c>
      <c r="L1102" s="326"/>
      <c r="M1102" s="327"/>
      <c r="N1102" s="439" t="s">
        <v>303</v>
      </c>
      <c r="O1102" s="326"/>
      <c r="P1102" s="326"/>
      <c r="Q1102" s="326"/>
      <c r="R1102" s="326"/>
      <c r="S1102" s="326"/>
      <c r="T1102" s="326"/>
      <c r="U1102" s="327"/>
    </row>
    <row r="1103" spans="1:21" ht="34.5" customHeight="1" x14ac:dyDescent="0.25">
      <c r="A1103" s="10">
        <f t="shared" si="4"/>
        <v>1089</v>
      </c>
      <c r="B1103" s="483" t="s">
        <v>303</v>
      </c>
      <c r="C1103" s="327"/>
      <c r="D1103" s="484" t="s">
        <v>303</v>
      </c>
      <c r="E1103" s="327"/>
      <c r="F1103" s="481" t="s">
        <v>334</v>
      </c>
      <c r="G1103" s="327"/>
      <c r="H1103" s="485"/>
      <c r="I1103" s="326"/>
      <c r="J1103" s="327"/>
      <c r="K1103" s="481" t="s">
        <v>334</v>
      </c>
      <c r="L1103" s="326"/>
      <c r="M1103" s="327"/>
      <c r="N1103" s="486" t="s">
        <v>303</v>
      </c>
      <c r="O1103" s="326"/>
      <c r="P1103" s="326"/>
      <c r="Q1103" s="326"/>
      <c r="R1103" s="326"/>
      <c r="S1103" s="326"/>
      <c r="T1103" s="326"/>
      <c r="U1103" s="327"/>
    </row>
    <row r="1104" spans="1:21" ht="34.5" customHeight="1" x14ac:dyDescent="0.25">
      <c r="A1104" s="10">
        <f t="shared" si="4"/>
        <v>1090</v>
      </c>
      <c r="B1104" s="479" t="s">
        <v>303</v>
      </c>
      <c r="C1104" s="327"/>
      <c r="D1104" s="480" t="s">
        <v>303</v>
      </c>
      <c r="E1104" s="327"/>
      <c r="F1104" s="481" t="s">
        <v>334</v>
      </c>
      <c r="G1104" s="327"/>
      <c r="H1104" s="482"/>
      <c r="I1104" s="326"/>
      <c r="J1104" s="327"/>
      <c r="K1104" s="481" t="s">
        <v>334</v>
      </c>
      <c r="L1104" s="326"/>
      <c r="M1104" s="327"/>
      <c r="N1104" s="439" t="s">
        <v>303</v>
      </c>
      <c r="O1104" s="326"/>
      <c r="P1104" s="326"/>
      <c r="Q1104" s="326"/>
      <c r="R1104" s="326"/>
      <c r="S1104" s="326"/>
      <c r="T1104" s="326"/>
      <c r="U1104" s="327"/>
    </row>
    <row r="1105" spans="1:21" ht="34.5" customHeight="1" x14ac:dyDescent="0.25">
      <c r="A1105" s="10">
        <f t="shared" si="4"/>
        <v>1091</v>
      </c>
      <c r="B1105" s="483" t="s">
        <v>303</v>
      </c>
      <c r="C1105" s="327"/>
      <c r="D1105" s="484" t="s">
        <v>303</v>
      </c>
      <c r="E1105" s="327"/>
      <c r="F1105" s="481" t="s">
        <v>334</v>
      </c>
      <c r="G1105" s="327"/>
      <c r="H1105" s="485"/>
      <c r="I1105" s="326"/>
      <c r="J1105" s="327"/>
      <c r="K1105" s="481" t="s">
        <v>334</v>
      </c>
      <c r="L1105" s="326"/>
      <c r="M1105" s="327"/>
      <c r="N1105" s="486" t="s">
        <v>303</v>
      </c>
      <c r="O1105" s="326"/>
      <c r="P1105" s="326"/>
      <c r="Q1105" s="326"/>
      <c r="R1105" s="326"/>
      <c r="S1105" s="326"/>
      <c r="T1105" s="326"/>
      <c r="U1105" s="327"/>
    </row>
    <row r="1106" spans="1:21" ht="34.5" customHeight="1" x14ac:dyDescent="0.25">
      <c r="A1106" s="10">
        <f t="shared" si="4"/>
        <v>1092</v>
      </c>
      <c r="B1106" s="479" t="s">
        <v>303</v>
      </c>
      <c r="C1106" s="327"/>
      <c r="D1106" s="480" t="s">
        <v>303</v>
      </c>
      <c r="E1106" s="327"/>
      <c r="F1106" s="481" t="s">
        <v>334</v>
      </c>
      <c r="G1106" s="327"/>
      <c r="H1106" s="482"/>
      <c r="I1106" s="326"/>
      <c r="J1106" s="327"/>
      <c r="K1106" s="481" t="s">
        <v>334</v>
      </c>
      <c r="L1106" s="326"/>
      <c r="M1106" s="327"/>
      <c r="N1106" s="439" t="s">
        <v>303</v>
      </c>
      <c r="O1106" s="326"/>
      <c r="P1106" s="326"/>
      <c r="Q1106" s="326"/>
      <c r="R1106" s="326"/>
      <c r="S1106" s="326"/>
      <c r="T1106" s="326"/>
      <c r="U1106" s="327"/>
    </row>
    <row r="1107" spans="1:21" ht="34.5" customHeight="1" x14ac:dyDescent="0.25">
      <c r="A1107" s="10">
        <f t="shared" si="4"/>
        <v>1093</v>
      </c>
      <c r="B1107" s="483" t="s">
        <v>303</v>
      </c>
      <c r="C1107" s="327"/>
      <c r="D1107" s="484" t="s">
        <v>303</v>
      </c>
      <c r="E1107" s="327"/>
      <c r="F1107" s="481" t="s">
        <v>334</v>
      </c>
      <c r="G1107" s="327"/>
      <c r="H1107" s="485"/>
      <c r="I1107" s="326"/>
      <c r="J1107" s="327"/>
      <c r="K1107" s="481" t="s">
        <v>334</v>
      </c>
      <c r="L1107" s="326"/>
      <c r="M1107" s="327"/>
      <c r="N1107" s="486" t="s">
        <v>303</v>
      </c>
      <c r="O1107" s="326"/>
      <c r="P1107" s="326"/>
      <c r="Q1107" s="326"/>
      <c r="R1107" s="326"/>
      <c r="S1107" s="326"/>
      <c r="T1107" s="326"/>
      <c r="U1107" s="327"/>
    </row>
    <row r="1108" spans="1:21" ht="34.5" customHeight="1" x14ac:dyDescent="0.25">
      <c r="A1108" s="10">
        <f t="shared" si="4"/>
        <v>1094</v>
      </c>
      <c r="B1108" s="479" t="s">
        <v>336</v>
      </c>
      <c r="C1108" s="327"/>
      <c r="D1108" s="480" t="s">
        <v>303</v>
      </c>
      <c r="E1108" s="327"/>
      <c r="F1108" s="481" t="s">
        <v>334</v>
      </c>
      <c r="G1108" s="327"/>
      <c r="H1108" s="482"/>
      <c r="I1108" s="326"/>
      <c r="J1108" s="327"/>
      <c r="K1108" s="481" t="s">
        <v>334</v>
      </c>
      <c r="L1108" s="326"/>
      <c r="M1108" s="327"/>
      <c r="N1108" s="439" t="s">
        <v>303</v>
      </c>
      <c r="O1108" s="326"/>
      <c r="P1108" s="326"/>
      <c r="Q1108" s="326"/>
      <c r="R1108" s="326"/>
      <c r="S1108" s="326"/>
      <c r="T1108" s="326"/>
      <c r="U1108" s="327"/>
    </row>
    <row r="1109" spans="1:21" ht="34.5" customHeight="1" x14ac:dyDescent="0.25">
      <c r="A1109" s="10">
        <f t="shared" si="4"/>
        <v>1095</v>
      </c>
      <c r="B1109" s="483" t="s">
        <v>303</v>
      </c>
      <c r="C1109" s="327"/>
      <c r="D1109" s="484" t="s">
        <v>303</v>
      </c>
      <c r="E1109" s="327"/>
      <c r="F1109" s="481" t="s">
        <v>334</v>
      </c>
      <c r="G1109" s="327"/>
      <c r="H1109" s="485"/>
      <c r="I1109" s="326"/>
      <c r="J1109" s="327"/>
      <c r="K1109" s="481" t="s">
        <v>334</v>
      </c>
      <c r="L1109" s="326"/>
      <c r="M1109" s="327"/>
      <c r="N1109" s="486" t="s">
        <v>303</v>
      </c>
      <c r="O1109" s="326"/>
      <c r="P1109" s="326"/>
      <c r="Q1109" s="326"/>
      <c r="R1109" s="326"/>
      <c r="S1109" s="326"/>
      <c r="T1109" s="326"/>
      <c r="U1109" s="327"/>
    </row>
    <row r="1110" spans="1:21" ht="34.5" customHeight="1" x14ac:dyDescent="0.25">
      <c r="A1110" s="10">
        <f t="shared" si="4"/>
        <v>1096</v>
      </c>
      <c r="B1110" s="479" t="s">
        <v>303</v>
      </c>
      <c r="C1110" s="327"/>
      <c r="D1110" s="480" t="s">
        <v>303</v>
      </c>
      <c r="E1110" s="327"/>
      <c r="F1110" s="481" t="s">
        <v>334</v>
      </c>
      <c r="G1110" s="327"/>
      <c r="H1110" s="482"/>
      <c r="I1110" s="326"/>
      <c r="J1110" s="327"/>
      <c r="K1110" s="481" t="s">
        <v>334</v>
      </c>
      <c r="L1110" s="326"/>
      <c r="M1110" s="327"/>
      <c r="N1110" s="439" t="s">
        <v>303</v>
      </c>
      <c r="O1110" s="326"/>
      <c r="P1110" s="326"/>
      <c r="Q1110" s="326"/>
      <c r="R1110" s="326"/>
      <c r="S1110" s="326"/>
      <c r="T1110" s="326"/>
      <c r="U1110" s="327"/>
    </row>
    <row r="1111" spans="1:21" ht="34.5" customHeight="1" x14ac:dyDescent="0.25">
      <c r="A1111" s="10">
        <f t="shared" si="4"/>
        <v>1097</v>
      </c>
      <c r="B1111" s="483" t="s">
        <v>303</v>
      </c>
      <c r="C1111" s="327"/>
      <c r="D1111" s="484" t="s">
        <v>303</v>
      </c>
      <c r="E1111" s="327"/>
      <c r="F1111" s="481" t="s">
        <v>334</v>
      </c>
      <c r="G1111" s="327"/>
      <c r="H1111" s="485"/>
      <c r="I1111" s="326"/>
      <c r="J1111" s="327"/>
      <c r="K1111" s="481" t="s">
        <v>334</v>
      </c>
      <c r="L1111" s="326"/>
      <c r="M1111" s="327"/>
      <c r="N1111" s="486" t="s">
        <v>303</v>
      </c>
      <c r="O1111" s="326"/>
      <c r="P1111" s="326"/>
      <c r="Q1111" s="326"/>
      <c r="R1111" s="326"/>
      <c r="S1111" s="326"/>
      <c r="T1111" s="326"/>
      <c r="U1111" s="327"/>
    </row>
    <row r="1112" spans="1:21" ht="34.5" customHeight="1" x14ac:dyDescent="0.25">
      <c r="A1112" s="10">
        <f t="shared" si="4"/>
        <v>1098</v>
      </c>
      <c r="B1112" s="479" t="s">
        <v>303</v>
      </c>
      <c r="C1112" s="327"/>
      <c r="D1112" s="480" t="s">
        <v>303</v>
      </c>
      <c r="E1112" s="327"/>
      <c r="F1112" s="481" t="s">
        <v>334</v>
      </c>
      <c r="G1112" s="327"/>
      <c r="H1112" s="482"/>
      <c r="I1112" s="326"/>
      <c r="J1112" s="327"/>
      <c r="K1112" s="481" t="s">
        <v>334</v>
      </c>
      <c r="L1112" s="326"/>
      <c r="M1112" s="327"/>
      <c r="N1112" s="439" t="s">
        <v>303</v>
      </c>
      <c r="O1112" s="326"/>
      <c r="P1112" s="326"/>
      <c r="Q1112" s="326"/>
      <c r="R1112" s="326"/>
      <c r="S1112" s="326"/>
      <c r="T1112" s="326"/>
      <c r="U1112" s="327"/>
    </row>
    <row r="1113" spans="1:21" ht="34.5" customHeight="1" x14ac:dyDescent="0.25">
      <c r="A1113" s="10">
        <f t="shared" si="4"/>
        <v>1099</v>
      </c>
      <c r="B1113" s="483" t="s">
        <v>303</v>
      </c>
      <c r="C1113" s="327"/>
      <c r="D1113" s="484" t="s">
        <v>303</v>
      </c>
      <c r="E1113" s="327"/>
      <c r="F1113" s="481" t="s">
        <v>334</v>
      </c>
      <c r="G1113" s="327"/>
      <c r="H1113" s="485"/>
      <c r="I1113" s="326"/>
      <c r="J1113" s="327"/>
      <c r="K1113" s="481" t="s">
        <v>334</v>
      </c>
      <c r="L1113" s="326"/>
      <c r="M1113" s="327"/>
      <c r="N1113" s="486" t="s">
        <v>303</v>
      </c>
      <c r="O1113" s="326"/>
      <c r="P1113" s="326"/>
      <c r="Q1113" s="326"/>
      <c r="R1113" s="326"/>
      <c r="S1113" s="326"/>
      <c r="T1113" s="326"/>
      <c r="U1113" s="327"/>
    </row>
    <row r="1114" spans="1:21" ht="34.5" customHeight="1" x14ac:dyDescent="0.25">
      <c r="A1114" s="10">
        <f t="shared" si="4"/>
        <v>1100</v>
      </c>
      <c r="B1114" s="479" t="s">
        <v>303</v>
      </c>
      <c r="C1114" s="327"/>
      <c r="D1114" s="480" t="s">
        <v>303</v>
      </c>
      <c r="E1114" s="327"/>
      <c r="F1114" s="481" t="s">
        <v>334</v>
      </c>
      <c r="G1114" s="327"/>
      <c r="H1114" s="482"/>
      <c r="I1114" s="326"/>
      <c r="J1114" s="327"/>
      <c r="K1114" s="481" t="s">
        <v>334</v>
      </c>
      <c r="L1114" s="326"/>
      <c r="M1114" s="327"/>
      <c r="N1114" s="439" t="s">
        <v>303</v>
      </c>
      <c r="O1114" s="326"/>
      <c r="P1114" s="326"/>
      <c r="Q1114" s="326"/>
      <c r="R1114" s="326"/>
      <c r="S1114" s="326"/>
      <c r="T1114" s="326"/>
      <c r="U1114" s="327"/>
    </row>
    <row r="1115" spans="1:21" ht="34.5" customHeight="1" x14ac:dyDescent="0.25">
      <c r="A1115" s="10">
        <f t="shared" si="4"/>
        <v>1101</v>
      </c>
      <c r="B1115" s="483" t="s">
        <v>303</v>
      </c>
      <c r="C1115" s="327"/>
      <c r="D1115" s="484" t="s">
        <v>303</v>
      </c>
      <c r="E1115" s="327"/>
      <c r="F1115" s="481" t="s">
        <v>334</v>
      </c>
      <c r="G1115" s="327"/>
      <c r="H1115" s="485"/>
      <c r="I1115" s="326"/>
      <c r="J1115" s="327"/>
      <c r="K1115" s="481" t="s">
        <v>334</v>
      </c>
      <c r="L1115" s="326"/>
      <c r="M1115" s="327"/>
      <c r="N1115" s="486" t="s">
        <v>303</v>
      </c>
      <c r="O1115" s="326"/>
      <c r="P1115" s="326"/>
      <c r="Q1115" s="326"/>
      <c r="R1115" s="326"/>
      <c r="S1115" s="326"/>
      <c r="T1115" s="326"/>
      <c r="U1115" s="327"/>
    </row>
    <row r="1116" spans="1:21" ht="34.5" customHeight="1" x14ac:dyDescent="0.25">
      <c r="A1116" s="10">
        <f t="shared" si="4"/>
        <v>1102</v>
      </c>
      <c r="B1116" s="479" t="s">
        <v>335</v>
      </c>
      <c r="C1116" s="327"/>
      <c r="D1116" s="480" t="s">
        <v>303</v>
      </c>
      <c r="E1116" s="327"/>
      <c r="F1116" s="481" t="s">
        <v>334</v>
      </c>
      <c r="G1116" s="327"/>
      <c r="H1116" s="482"/>
      <c r="I1116" s="326"/>
      <c r="J1116" s="327"/>
      <c r="K1116" s="481" t="s">
        <v>334</v>
      </c>
      <c r="L1116" s="326"/>
      <c r="M1116" s="327"/>
      <c r="N1116" s="439" t="s">
        <v>303</v>
      </c>
      <c r="O1116" s="326"/>
      <c r="P1116" s="326"/>
      <c r="Q1116" s="326"/>
      <c r="R1116" s="326"/>
      <c r="S1116" s="326"/>
      <c r="T1116" s="326"/>
      <c r="U1116" s="327"/>
    </row>
    <row r="1117" spans="1:21" ht="34.5" customHeight="1" x14ac:dyDescent="0.25">
      <c r="A1117" s="10">
        <f t="shared" si="4"/>
        <v>1103</v>
      </c>
      <c r="B1117" s="483" t="s">
        <v>303</v>
      </c>
      <c r="C1117" s="327"/>
      <c r="D1117" s="484" t="s">
        <v>303</v>
      </c>
      <c r="E1117" s="327"/>
      <c r="F1117" s="481" t="s">
        <v>334</v>
      </c>
      <c r="G1117" s="327"/>
      <c r="H1117" s="485"/>
      <c r="I1117" s="326"/>
      <c r="J1117" s="327"/>
      <c r="K1117" s="481" t="s">
        <v>334</v>
      </c>
      <c r="L1117" s="326"/>
      <c r="M1117" s="327"/>
      <c r="N1117" s="486" t="s">
        <v>303</v>
      </c>
      <c r="O1117" s="326"/>
      <c r="P1117" s="326"/>
      <c r="Q1117" s="326"/>
      <c r="R1117" s="326"/>
      <c r="S1117" s="326"/>
      <c r="T1117" s="326"/>
      <c r="U1117" s="327"/>
    </row>
    <row r="1118" spans="1:21" ht="34.5" customHeight="1" x14ac:dyDescent="0.25">
      <c r="A1118" s="10">
        <f t="shared" si="4"/>
        <v>1104</v>
      </c>
      <c r="B1118" s="479" t="s">
        <v>303</v>
      </c>
      <c r="C1118" s="327"/>
      <c r="D1118" s="480" t="s">
        <v>303</v>
      </c>
      <c r="E1118" s="327"/>
      <c r="F1118" s="481" t="s">
        <v>334</v>
      </c>
      <c r="G1118" s="327"/>
      <c r="H1118" s="482"/>
      <c r="I1118" s="326"/>
      <c r="J1118" s="327"/>
      <c r="K1118" s="481" t="s">
        <v>334</v>
      </c>
      <c r="L1118" s="326"/>
      <c r="M1118" s="327"/>
      <c r="N1118" s="439" t="s">
        <v>303</v>
      </c>
      <c r="O1118" s="326"/>
      <c r="P1118" s="326"/>
      <c r="Q1118" s="326"/>
      <c r="R1118" s="326"/>
      <c r="S1118" s="326"/>
      <c r="T1118" s="326"/>
      <c r="U1118" s="327"/>
    </row>
    <row r="1119" spans="1:21" ht="34.5" customHeight="1" x14ac:dyDescent="0.25">
      <c r="A1119" s="10">
        <f t="shared" si="4"/>
        <v>1105</v>
      </c>
      <c r="B1119" s="483" t="s">
        <v>303</v>
      </c>
      <c r="C1119" s="327"/>
      <c r="D1119" s="484" t="s">
        <v>303</v>
      </c>
      <c r="E1119" s="327"/>
      <c r="F1119" s="481" t="s">
        <v>334</v>
      </c>
      <c r="G1119" s="327"/>
      <c r="H1119" s="485"/>
      <c r="I1119" s="326"/>
      <c r="J1119" s="327"/>
      <c r="K1119" s="481" t="s">
        <v>334</v>
      </c>
      <c r="L1119" s="326"/>
      <c r="M1119" s="327"/>
      <c r="N1119" s="486" t="s">
        <v>303</v>
      </c>
      <c r="O1119" s="326"/>
      <c r="P1119" s="326"/>
      <c r="Q1119" s="326"/>
      <c r="R1119" s="326"/>
      <c r="S1119" s="326"/>
      <c r="T1119" s="326"/>
      <c r="U1119" s="327"/>
    </row>
    <row r="1120" spans="1:21" ht="34.5" customHeight="1" x14ac:dyDescent="0.25">
      <c r="A1120" s="10">
        <f t="shared" si="4"/>
        <v>1106</v>
      </c>
      <c r="B1120" s="479" t="s">
        <v>303</v>
      </c>
      <c r="C1120" s="327"/>
      <c r="D1120" s="480" t="s">
        <v>303</v>
      </c>
      <c r="E1120" s="327"/>
      <c r="F1120" s="481" t="s">
        <v>334</v>
      </c>
      <c r="G1120" s="327"/>
      <c r="H1120" s="482"/>
      <c r="I1120" s="326"/>
      <c r="J1120" s="327"/>
      <c r="K1120" s="481" t="s">
        <v>334</v>
      </c>
      <c r="L1120" s="326"/>
      <c r="M1120" s="327"/>
      <c r="N1120" s="439" t="s">
        <v>303</v>
      </c>
      <c r="O1120" s="326"/>
      <c r="P1120" s="326"/>
      <c r="Q1120" s="326"/>
      <c r="R1120" s="326"/>
      <c r="S1120" s="326"/>
      <c r="T1120" s="326"/>
      <c r="U1120" s="327"/>
    </row>
    <row r="1121" spans="1:21" ht="34.5" customHeight="1" x14ac:dyDescent="0.25">
      <c r="A1121" s="10">
        <f t="shared" si="4"/>
        <v>1107</v>
      </c>
      <c r="B1121" s="483" t="s">
        <v>303</v>
      </c>
      <c r="C1121" s="327"/>
      <c r="D1121" s="484" t="s">
        <v>303</v>
      </c>
      <c r="E1121" s="327"/>
      <c r="F1121" s="481" t="s">
        <v>334</v>
      </c>
      <c r="G1121" s="327"/>
      <c r="H1121" s="485"/>
      <c r="I1121" s="326"/>
      <c r="J1121" s="327"/>
      <c r="K1121" s="481" t="s">
        <v>334</v>
      </c>
      <c r="L1121" s="326"/>
      <c r="M1121" s="327"/>
      <c r="N1121" s="486" t="s">
        <v>303</v>
      </c>
      <c r="O1121" s="326"/>
      <c r="P1121" s="326"/>
      <c r="Q1121" s="326"/>
      <c r="R1121" s="326"/>
      <c r="S1121" s="326"/>
      <c r="T1121" s="326"/>
      <c r="U1121" s="327"/>
    </row>
    <row r="1122" spans="1:21" ht="34.5" customHeight="1" x14ac:dyDescent="0.25">
      <c r="A1122" s="10">
        <f t="shared" si="4"/>
        <v>1108</v>
      </c>
      <c r="B1122" s="479" t="s">
        <v>303</v>
      </c>
      <c r="C1122" s="327"/>
      <c r="D1122" s="480" t="s">
        <v>303</v>
      </c>
      <c r="E1122" s="327"/>
      <c r="F1122" s="481" t="s">
        <v>334</v>
      </c>
      <c r="G1122" s="327"/>
      <c r="H1122" s="482"/>
      <c r="I1122" s="326"/>
      <c r="J1122" s="327"/>
      <c r="K1122" s="481" t="s">
        <v>334</v>
      </c>
      <c r="L1122" s="326"/>
      <c r="M1122" s="327"/>
      <c r="N1122" s="439" t="s">
        <v>303</v>
      </c>
      <c r="O1122" s="326"/>
      <c r="P1122" s="326"/>
      <c r="Q1122" s="326"/>
      <c r="R1122" s="326"/>
      <c r="S1122" s="326"/>
      <c r="T1122" s="326"/>
      <c r="U1122" s="327"/>
    </row>
    <row r="1123" spans="1:21" ht="34.5" customHeight="1" x14ac:dyDescent="0.25">
      <c r="A1123" s="10">
        <f t="shared" si="4"/>
        <v>1109</v>
      </c>
      <c r="B1123" s="483" t="s">
        <v>339</v>
      </c>
      <c r="C1123" s="327"/>
      <c r="D1123" s="484" t="s">
        <v>303</v>
      </c>
      <c r="E1123" s="327"/>
      <c r="F1123" s="481" t="s">
        <v>334</v>
      </c>
      <c r="G1123" s="327"/>
      <c r="H1123" s="485"/>
      <c r="I1123" s="326"/>
      <c r="J1123" s="327"/>
      <c r="K1123" s="481" t="s">
        <v>334</v>
      </c>
      <c r="L1123" s="326"/>
      <c r="M1123" s="327"/>
      <c r="N1123" s="486" t="s">
        <v>303</v>
      </c>
      <c r="O1123" s="326"/>
      <c r="P1123" s="326"/>
      <c r="Q1123" s="326"/>
      <c r="R1123" s="326"/>
      <c r="S1123" s="326"/>
      <c r="T1123" s="326"/>
      <c r="U1123" s="327"/>
    </row>
    <row r="1124" spans="1:21" ht="34.5" customHeight="1" x14ac:dyDescent="0.25">
      <c r="A1124" s="10">
        <f t="shared" si="4"/>
        <v>1110</v>
      </c>
      <c r="B1124" s="479" t="s">
        <v>303</v>
      </c>
      <c r="C1124" s="327"/>
      <c r="D1124" s="480" t="s">
        <v>303</v>
      </c>
      <c r="E1124" s="327"/>
      <c r="F1124" s="481" t="s">
        <v>334</v>
      </c>
      <c r="G1124" s="327"/>
      <c r="H1124" s="482"/>
      <c r="I1124" s="326"/>
      <c r="J1124" s="327"/>
      <c r="K1124" s="481" t="s">
        <v>334</v>
      </c>
      <c r="L1124" s="326"/>
      <c r="M1124" s="327"/>
      <c r="N1124" s="439" t="s">
        <v>303</v>
      </c>
      <c r="O1124" s="326"/>
      <c r="P1124" s="326"/>
      <c r="Q1124" s="326"/>
      <c r="R1124" s="326"/>
      <c r="S1124" s="326"/>
      <c r="T1124" s="326"/>
      <c r="U1124" s="327"/>
    </row>
    <row r="1125" spans="1:21" ht="34.5" customHeight="1" x14ac:dyDescent="0.25">
      <c r="A1125" s="10">
        <f t="shared" si="4"/>
        <v>1111</v>
      </c>
      <c r="B1125" s="483" t="s">
        <v>303</v>
      </c>
      <c r="C1125" s="327"/>
      <c r="D1125" s="484" t="s">
        <v>303</v>
      </c>
      <c r="E1125" s="327"/>
      <c r="F1125" s="481" t="s">
        <v>334</v>
      </c>
      <c r="G1125" s="327"/>
      <c r="H1125" s="485"/>
      <c r="I1125" s="326"/>
      <c r="J1125" s="327"/>
      <c r="K1125" s="481" t="s">
        <v>334</v>
      </c>
      <c r="L1125" s="326"/>
      <c r="M1125" s="327"/>
      <c r="N1125" s="486" t="s">
        <v>303</v>
      </c>
      <c r="O1125" s="326"/>
      <c r="P1125" s="326"/>
      <c r="Q1125" s="326"/>
      <c r="R1125" s="326"/>
      <c r="S1125" s="326"/>
      <c r="T1125" s="326"/>
      <c r="U1125" s="327"/>
    </row>
    <row r="1126" spans="1:21" ht="34.5" customHeight="1" x14ac:dyDescent="0.25">
      <c r="A1126" s="10">
        <f t="shared" si="4"/>
        <v>1112</v>
      </c>
      <c r="B1126" s="479" t="s">
        <v>303</v>
      </c>
      <c r="C1126" s="327"/>
      <c r="D1126" s="480" t="s">
        <v>303</v>
      </c>
      <c r="E1126" s="327"/>
      <c r="F1126" s="481" t="s">
        <v>334</v>
      </c>
      <c r="G1126" s="327"/>
      <c r="H1126" s="482"/>
      <c r="I1126" s="326"/>
      <c r="J1126" s="327"/>
      <c r="K1126" s="481" t="s">
        <v>334</v>
      </c>
      <c r="L1126" s="326"/>
      <c r="M1126" s="327"/>
      <c r="N1126" s="439" t="s">
        <v>303</v>
      </c>
      <c r="O1126" s="326"/>
      <c r="P1126" s="326"/>
      <c r="Q1126" s="326"/>
      <c r="R1126" s="326"/>
      <c r="S1126" s="326"/>
      <c r="T1126" s="326"/>
      <c r="U1126" s="327"/>
    </row>
    <row r="1127" spans="1:21" ht="34.5" customHeight="1" x14ac:dyDescent="0.25">
      <c r="A1127" s="10">
        <f t="shared" si="4"/>
        <v>1113</v>
      </c>
      <c r="B1127" s="483" t="s">
        <v>303</v>
      </c>
      <c r="C1127" s="327"/>
      <c r="D1127" s="484" t="s">
        <v>303</v>
      </c>
      <c r="E1127" s="327"/>
      <c r="F1127" s="481" t="s">
        <v>334</v>
      </c>
      <c r="G1127" s="327"/>
      <c r="H1127" s="485"/>
      <c r="I1127" s="326"/>
      <c r="J1127" s="327"/>
      <c r="K1127" s="481" t="s">
        <v>334</v>
      </c>
      <c r="L1127" s="326"/>
      <c r="M1127" s="327"/>
      <c r="N1127" s="486" t="s">
        <v>303</v>
      </c>
      <c r="O1127" s="326"/>
      <c r="P1127" s="326"/>
      <c r="Q1127" s="326"/>
      <c r="R1127" s="326"/>
      <c r="S1127" s="326"/>
      <c r="T1127" s="326"/>
      <c r="U1127" s="327"/>
    </row>
    <row r="1128" spans="1:21" ht="34.5" customHeight="1" x14ac:dyDescent="0.25">
      <c r="A1128" s="10">
        <f t="shared" si="4"/>
        <v>1114</v>
      </c>
      <c r="B1128" s="479" t="s">
        <v>303</v>
      </c>
      <c r="C1128" s="327"/>
      <c r="D1128" s="480" t="s">
        <v>303</v>
      </c>
      <c r="E1128" s="327"/>
      <c r="F1128" s="481" t="s">
        <v>334</v>
      </c>
      <c r="G1128" s="327"/>
      <c r="H1128" s="482"/>
      <c r="I1128" s="326"/>
      <c r="J1128" s="327"/>
      <c r="K1128" s="481" t="s">
        <v>334</v>
      </c>
      <c r="L1128" s="326"/>
      <c r="M1128" s="327"/>
      <c r="N1128" s="439" t="s">
        <v>303</v>
      </c>
      <c r="O1128" s="326"/>
      <c r="P1128" s="326"/>
      <c r="Q1128" s="326"/>
      <c r="R1128" s="326"/>
      <c r="S1128" s="326"/>
      <c r="T1128" s="326"/>
      <c r="U1128" s="327"/>
    </row>
    <row r="1129" spans="1:21" ht="34.5" customHeight="1" x14ac:dyDescent="0.25">
      <c r="A1129" s="10">
        <f t="shared" si="4"/>
        <v>1115</v>
      </c>
      <c r="B1129" s="483" t="s">
        <v>303</v>
      </c>
      <c r="C1129" s="327"/>
      <c r="D1129" s="484" t="s">
        <v>303</v>
      </c>
      <c r="E1129" s="327"/>
      <c r="F1129" s="481" t="s">
        <v>334</v>
      </c>
      <c r="G1129" s="327"/>
      <c r="H1129" s="485"/>
      <c r="I1129" s="326"/>
      <c r="J1129" s="327"/>
      <c r="K1129" s="481" t="s">
        <v>334</v>
      </c>
      <c r="L1129" s="326"/>
      <c r="M1129" s="327"/>
      <c r="N1129" s="486" t="s">
        <v>303</v>
      </c>
      <c r="O1129" s="326"/>
      <c r="P1129" s="326"/>
      <c r="Q1129" s="326"/>
      <c r="R1129" s="326"/>
      <c r="S1129" s="326"/>
      <c r="T1129" s="326"/>
      <c r="U1129" s="327"/>
    </row>
    <row r="1130" spans="1:21" ht="34.5" customHeight="1" x14ac:dyDescent="0.25">
      <c r="A1130" s="10">
        <f t="shared" si="4"/>
        <v>1116</v>
      </c>
      <c r="B1130" s="479" t="s">
        <v>335</v>
      </c>
      <c r="C1130" s="327"/>
      <c r="D1130" s="480" t="s">
        <v>303</v>
      </c>
      <c r="E1130" s="327"/>
      <c r="F1130" s="481" t="s">
        <v>334</v>
      </c>
      <c r="G1130" s="327"/>
      <c r="H1130" s="482"/>
      <c r="I1130" s="326"/>
      <c r="J1130" s="327"/>
      <c r="K1130" s="481" t="s">
        <v>334</v>
      </c>
      <c r="L1130" s="326"/>
      <c r="M1130" s="327"/>
      <c r="N1130" s="439" t="s">
        <v>303</v>
      </c>
      <c r="O1130" s="326"/>
      <c r="P1130" s="326"/>
      <c r="Q1130" s="326"/>
      <c r="R1130" s="326"/>
      <c r="S1130" s="326"/>
      <c r="T1130" s="326"/>
      <c r="U1130" s="327"/>
    </row>
    <row r="1131" spans="1:21" ht="34.5" customHeight="1" x14ac:dyDescent="0.25">
      <c r="A1131" s="10">
        <f t="shared" si="4"/>
        <v>1117</v>
      </c>
      <c r="B1131" s="483" t="s">
        <v>303</v>
      </c>
      <c r="C1131" s="327"/>
      <c r="D1131" s="484" t="s">
        <v>303</v>
      </c>
      <c r="E1131" s="327"/>
      <c r="F1131" s="481" t="s">
        <v>334</v>
      </c>
      <c r="G1131" s="327"/>
      <c r="H1131" s="485"/>
      <c r="I1131" s="326"/>
      <c r="J1131" s="327"/>
      <c r="K1131" s="481" t="s">
        <v>334</v>
      </c>
      <c r="L1131" s="326"/>
      <c r="M1131" s="327"/>
      <c r="N1131" s="486" t="s">
        <v>303</v>
      </c>
      <c r="O1131" s="326"/>
      <c r="P1131" s="326"/>
      <c r="Q1131" s="326"/>
      <c r="R1131" s="326"/>
      <c r="S1131" s="326"/>
      <c r="T1131" s="326"/>
      <c r="U1131" s="327"/>
    </row>
    <row r="1132" spans="1:21" ht="34.5" customHeight="1" x14ac:dyDescent="0.25">
      <c r="A1132" s="10">
        <f t="shared" si="4"/>
        <v>1118</v>
      </c>
      <c r="B1132" s="479" t="s">
        <v>303</v>
      </c>
      <c r="C1132" s="327"/>
      <c r="D1132" s="480" t="s">
        <v>303</v>
      </c>
      <c r="E1132" s="327"/>
      <c r="F1132" s="481" t="s">
        <v>334</v>
      </c>
      <c r="G1132" s="327"/>
      <c r="H1132" s="482"/>
      <c r="I1132" s="326"/>
      <c r="J1132" s="327"/>
      <c r="K1132" s="481" t="s">
        <v>334</v>
      </c>
      <c r="L1132" s="326"/>
      <c r="M1132" s="327"/>
      <c r="N1132" s="439" t="s">
        <v>303</v>
      </c>
      <c r="O1132" s="326"/>
      <c r="P1132" s="326"/>
      <c r="Q1132" s="326"/>
      <c r="R1132" s="326"/>
      <c r="S1132" s="326"/>
      <c r="T1132" s="326"/>
      <c r="U1132" s="327"/>
    </row>
    <row r="1133" spans="1:21" ht="34.5" customHeight="1" x14ac:dyDescent="0.25">
      <c r="A1133" s="10">
        <f t="shared" si="4"/>
        <v>1119</v>
      </c>
      <c r="B1133" s="483" t="s">
        <v>303</v>
      </c>
      <c r="C1133" s="327"/>
      <c r="D1133" s="484" t="s">
        <v>303</v>
      </c>
      <c r="E1133" s="327"/>
      <c r="F1133" s="481" t="s">
        <v>334</v>
      </c>
      <c r="G1133" s="327"/>
      <c r="H1133" s="485"/>
      <c r="I1133" s="326"/>
      <c r="J1133" s="327"/>
      <c r="K1133" s="481" t="s">
        <v>334</v>
      </c>
      <c r="L1133" s="326"/>
      <c r="M1133" s="327"/>
      <c r="N1133" s="486" t="s">
        <v>303</v>
      </c>
      <c r="O1133" s="326"/>
      <c r="P1133" s="326"/>
      <c r="Q1133" s="326"/>
      <c r="R1133" s="326"/>
      <c r="S1133" s="326"/>
      <c r="T1133" s="326"/>
      <c r="U1133" s="327"/>
    </row>
    <row r="1134" spans="1:21" ht="34.5" customHeight="1" x14ac:dyDescent="0.25">
      <c r="A1134" s="10">
        <f t="shared" si="4"/>
        <v>1120</v>
      </c>
      <c r="B1134" s="479" t="s">
        <v>303</v>
      </c>
      <c r="C1134" s="327"/>
      <c r="D1134" s="480" t="s">
        <v>303</v>
      </c>
      <c r="E1134" s="327"/>
      <c r="F1134" s="481" t="s">
        <v>334</v>
      </c>
      <c r="G1134" s="327"/>
      <c r="H1134" s="482"/>
      <c r="I1134" s="326"/>
      <c r="J1134" s="327"/>
      <c r="K1134" s="481" t="s">
        <v>334</v>
      </c>
      <c r="L1134" s="326"/>
      <c r="M1134" s="327"/>
      <c r="N1134" s="439" t="s">
        <v>303</v>
      </c>
      <c r="O1134" s="326"/>
      <c r="P1134" s="326"/>
      <c r="Q1134" s="326"/>
      <c r="R1134" s="326"/>
      <c r="S1134" s="326"/>
      <c r="T1134" s="326"/>
      <c r="U1134" s="327"/>
    </row>
    <row r="1135" spans="1:21" ht="34.5" customHeight="1" x14ac:dyDescent="0.25">
      <c r="A1135" s="10">
        <f t="shared" si="4"/>
        <v>1121</v>
      </c>
      <c r="B1135" s="483" t="s">
        <v>303</v>
      </c>
      <c r="C1135" s="327"/>
      <c r="D1135" s="484" t="s">
        <v>303</v>
      </c>
      <c r="E1135" s="327"/>
      <c r="F1135" s="481" t="s">
        <v>334</v>
      </c>
      <c r="G1135" s="327"/>
      <c r="H1135" s="485"/>
      <c r="I1135" s="326"/>
      <c r="J1135" s="327"/>
      <c r="K1135" s="481" t="s">
        <v>334</v>
      </c>
      <c r="L1135" s="326"/>
      <c r="M1135" s="327"/>
      <c r="N1135" s="486" t="s">
        <v>303</v>
      </c>
      <c r="O1135" s="326"/>
      <c r="P1135" s="326"/>
      <c r="Q1135" s="326"/>
      <c r="R1135" s="326"/>
      <c r="S1135" s="326"/>
      <c r="T1135" s="326"/>
      <c r="U1135" s="327"/>
    </row>
    <row r="1136" spans="1:21" ht="34.5" customHeight="1" x14ac:dyDescent="0.25">
      <c r="A1136" s="10">
        <f t="shared" si="4"/>
        <v>1122</v>
      </c>
      <c r="B1136" s="479" t="s">
        <v>303</v>
      </c>
      <c r="C1136" s="327"/>
      <c r="D1136" s="480" t="s">
        <v>303</v>
      </c>
      <c r="E1136" s="327"/>
      <c r="F1136" s="481" t="s">
        <v>334</v>
      </c>
      <c r="G1136" s="327"/>
      <c r="H1136" s="482"/>
      <c r="I1136" s="326"/>
      <c r="J1136" s="327"/>
      <c r="K1136" s="481" t="s">
        <v>334</v>
      </c>
      <c r="L1136" s="326"/>
      <c r="M1136" s="327"/>
      <c r="N1136" s="439" t="s">
        <v>303</v>
      </c>
      <c r="O1136" s="326"/>
      <c r="P1136" s="326"/>
      <c r="Q1136" s="326"/>
      <c r="R1136" s="326"/>
      <c r="S1136" s="326"/>
      <c r="T1136" s="326"/>
      <c r="U1136" s="327"/>
    </row>
    <row r="1137" spans="1:21" ht="34.5" customHeight="1" x14ac:dyDescent="0.25">
      <c r="A1137" s="10">
        <f t="shared" si="4"/>
        <v>1123</v>
      </c>
      <c r="B1137" s="483" t="s">
        <v>303</v>
      </c>
      <c r="C1137" s="327"/>
      <c r="D1137" s="484" t="s">
        <v>303</v>
      </c>
      <c r="E1137" s="327"/>
      <c r="F1137" s="481" t="s">
        <v>334</v>
      </c>
      <c r="G1137" s="327"/>
      <c r="H1137" s="485"/>
      <c r="I1137" s="326"/>
      <c r="J1137" s="327"/>
      <c r="K1137" s="481" t="s">
        <v>334</v>
      </c>
      <c r="L1137" s="326"/>
      <c r="M1137" s="327"/>
      <c r="N1137" s="486" t="s">
        <v>303</v>
      </c>
      <c r="O1137" s="326"/>
      <c r="P1137" s="326"/>
      <c r="Q1137" s="326"/>
      <c r="R1137" s="326"/>
      <c r="S1137" s="326"/>
      <c r="T1137" s="326"/>
      <c r="U1137" s="327"/>
    </row>
    <row r="1138" spans="1:21" ht="34.5" customHeight="1" x14ac:dyDescent="0.25">
      <c r="A1138" s="10">
        <f t="shared" si="4"/>
        <v>1124</v>
      </c>
      <c r="B1138" s="479" t="s">
        <v>338</v>
      </c>
      <c r="C1138" s="327"/>
      <c r="D1138" s="480" t="s">
        <v>303</v>
      </c>
      <c r="E1138" s="327"/>
      <c r="F1138" s="481" t="s">
        <v>334</v>
      </c>
      <c r="G1138" s="327"/>
      <c r="H1138" s="482"/>
      <c r="I1138" s="326"/>
      <c r="J1138" s="327"/>
      <c r="K1138" s="481" t="s">
        <v>334</v>
      </c>
      <c r="L1138" s="326"/>
      <c r="M1138" s="327"/>
      <c r="N1138" s="439" t="s">
        <v>303</v>
      </c>
      <c r="O1138" s="326"/>
      <c r="P1138" s="326"/>
      <c r="Q1138" s="326"/>
      <c r="R1138" s="326"/>
      <c r="S1138" s="326"/>
      <c r="T1138" s="326"/>
      <c r="U1138" s="327"/>
    </row>
    <row r="1139" spans="1:21" ht="34.5" customHeight="1" x14ac:dyDescent="0.25">
      <c r="A1139" s="10">
        <f t="shared" si="4"/>
        <v>1125</v>
      </c>
      <c r="B1139" s="483" t="s">
        <v>303</v>
      </c>
      <c r="C1139" s="327"/>
      <c r="D1139" s="484" t="s">
        <v>303</v>
      </c>
      <c r="E1139" s="327"/>
      <c r="F1139" s="481" t="s">
        <v>334</v>
      </c>
      <c r="G1139" s="327"/>
      <c r="H1139" s="485"/>
      <c r="I1139" s="326"/>
      <c r="J1139" s="327"/>
      <c r="K1139" s="481" t="s">
        <v>334</v>
      </c>
      <c r="L1139" s="326"/>
      <c r="M1139" s="327"/>
      <c r="N1139" s="486" t="s">
        <v>303</v>
      </c>
      <c r="O1139" s="326"/>
      <c r="P1139" s="326"/>
      <c r="Q1139" s="326"/>
      <c r="R1139" s="326"/>
      <c r="S1139" s="326"/>
      <c r="T1139" s="326"/>
      <c r="U1139" s="327"/>
    </row>
    <row r="1140" spans="1:21" ht="34.5" customHeight="1" x14ac:dyDescent="0.25">
      <c r="A1140" s="10">
        <f t="shared" si="4"/>
        <v>1126</v>
      </c>
      <c r="B1140" s="479" t="s">
        <v>303</v>
      </c>
      <c r="C1140" s="327"/>
      <c r="D1140" s="480" t="s">
        <v>303</v>
      </c>
      <c r="E1140" s="327"/>
      <c r="F1140" s="481" t="s">
        <v>334</v>
      </c>
      <c r="G1140" s="327"/>
      <c r="H1140" s="482"/>
      <c r="I1140" s="326"/>
      <c r="J1140" s="327"/>
      <c r="K1140" s="481" t="s">
        <v>334</v>
      </c>
      <c r="L1140" s="326"/>
      <c r="M1140" s="327"/>
      <c r="N1140" s="439" t="s">
        <v>303</v>
      </c>
      <c r="O1140" s="326"/>
      <c r="P1140" s="326"/>
      <c r="Q1140" s="326"/>
      <c r="R1140" s="326"/>
      <c r="S1140" s="326"/>
      <c r="T1140" s="326"/>
      <c r="U1140" s="327"/>
    </row>
    <row r="1141" spans="1:21" ht="34.5" customHeight="1" x14ac:dyDescent="0.25">
      <c r="A1141" s="10">
        <f t="shared" si="4"/>
        <v>1127</v>
      </c>
      <c r="B1141" s="483" t="s">
        <v>340</v>
      </c>
      <c r="C1141" s="327"/>
      <c r="D1141" s="484" t="s">
        <v>303</v>
      </c>
      <c r="E1141" s="327"/>
      <c r="F1141" s="481" t="s">
        <v>334</v>
      </c>
      <c r="G1141" s="327"/>
      <c r="H1141" s="485"/>
      <c r="I1141" s="326"/>
      <c r="J1141" s="327"/>
      <c r="K1141" s="481" t="s">
        <v>334</v>
      </c>
      <c r="L1141" s="326"/>
      <c r="M1141" s="327"/>
      <c r="N1141" s="486" t="s">
        <v>303</v>
      </c>
      <c r="O1141" s="326"/>
      <c r="P1141" s="326"/>
      <c r="Q1141" s="326"/>
      <c r="R1141" s="326"/>
      <c r="S1141" s="326"/>
      <c r="T1141" s="326"/>
      <c r="U1141" s="327"/>
    </row>
    <row r="1142" spans="1:21" ht="34.5" customHeight="1" x14ac:dyDescent="0.25">
      <c r="A1142" s="10">
        <f t="shared" si="4"/>
        <v>1128</v>
      </c>
      <c r="B1142" s="479" t="s">
        <v>303</v>
      </c>
      <c r="C1142" s="327"/>
      <c r="D1142" s="480" t="s">
        <v>303</v>
      </c>
      <c r="E1142" s="327"/>
      <c r="F1142" s="481" t="s">
        <v>334</v>
      </c>
      <c r="G1142" s="327"/>
      <c r="H1142" s="482"/>
      <c r="I1142" s="326"/>
      <c r="J1142" s="327"/>
      <c r="K1142" s="481" t="s">
        <v>334</v>
      </c>
      <c r="L1142" s="326"/>
      <c r="M1142" s="327"/>
      <c r="N1142" s="439" t="s">
        <v>303</v>
      </c>
      <c r="O1142" s="326"/>
      <c r="P1142" s="326"/>
      <c r="Q1142" s="326"/>
      <c r="R1142" s="326"/>
      <c r="S1142" s="326"/>
      <c r="T1142" s="326"/>
      <c r="U1142" s="327"/>
    </row>
    <row r="1143" spans="1:21" ht="34.5" customHeight="1" x14ac:dyDescent="0.25">
      <c r="A1143" s="10">
        <f t="shared" si="4"/>
        <v>1129</v>
      </c>
      <c r="B1143" s="483" t="s">
        <v>303</v>
      </c>
      <c r="C1143" s="327"/>
      <c r="D1143" s="484" t="s">
        <v>303</v>
      </c>
      <c r="E1143" s="327"/>
      <c r="F1143" s="481" t="s">
        <v>334</v>
      </c>
      <c r="G1143" s="327"/>
      <c r="H1143" s="485"/>
      <c r="I1143" s="326"/>
      <c r="J1143" s="327"/>
      <c r="K1143" s="481" t="s">
        <v>334</v>
      </c>
      <c r="L1143" s="326"/>
      <c r="M1143" s="327"/>
      <c r="N1143" s="486" t="s">
        <v>303</v>
      </c>
      <c r="O1143" s="326"/>
      <c r="P1143" s="326"/>
      <c r="Q1143" s="326"/>
      <c r="R1143" s="326"/>
      <c r="S1143" s="326"/>
      <c r="T1143" s="326"/>
      <c r="U1143" s="327"/>
    </row>
    <row r="1144" spans="1:21" ht="34.5" customHeight="1" x14ac:dyDescent="0.25">
      <c r="A1144" s="10">
        <f t="shared" si="4"/>
        <v>1130</v>
      </c>
      <c r="B1144" s="479" t="s">
        <v>303</v>
      </c>
      <c r="C1144" s="327"/>
      <c r="D1144" s="480" t="s">
        <v>303</v>
      </c>
      <c r="E1144" s="327"/>
      <c r="F1144" s="481" t="s">
        <v>334</v>
      </c>
      <c r="G1144" s="327"/>
      <c r="H1144" s="482"/>
      <c r="I1144" s="326"/>
      <c r="J1144" s="327"/>
      <c r="K1144" s="481" t="s">
        <v>334</v>
      </c>
      <c r="L1144" s="326"/>
      <c r="M1144" s="327"/>
      <c r="N1144" s="439" t="s">
        <v>303</v>
      </c>
      <c r="O1144" s="326"/>
      <c r="P1144" s="326"/>
      <c r="Q1144" s="326"/>
      <c r="R1144" s="326"/>
      <c r="S1144" s="326"/>
      <c r="T1144" s="326"/>
      <c r="U1144" s="327"/>
    </row>
    <row r="1145" spans="1:21" ht="34.5" customHeight="1" x14ac:dyDescent="0.25">
      <c r="A1145" s="10">
        <f t="shared" si="4"/>
        <v>1131</v>
      </c>
      <c r="B1145" s="483" t="s">
        <v>303</v>
      </c>
      <c r="C1145" s="327"/>
      <c r="D1145" s="484" t="s">
        <v>303</v>
      </c>
      <c r="E1145" s="327"/>
      <c r="F1145" s="481" t="s">
        <v>334</v>
      </c>
      <c r="G1145" s="327"/>
      <c r="H1145" s="485"/>
      <c r="I1145" s="326"/>
      <c r="J1145" s="327"/>
      <c r="K1145" s="481" t="s">
        <v>334</v>
      </c>
      <c r="L1145" s="326"/>
      <c r="M1145" s="327"/>
      <c r="N1145" s="486" t="s">
        <v>303</v>
      </c>
      <c r="O1145" s="326"/>
      <c r="P1145" s="326"/>
      <c r="Q1145" s="326"/>
      <c r="R1145" s="326"/>
      <c r="S1145" s="326"/>
      <c r="T1145" s="326"/>
      <c r="U1145" s="327"/>
    </row>
    <row r="1146" spans="1:21" ht="34.5" customHeight="1" x14ac:dyDescent="0.25">
      <c r="A1146" s="10">
        <f t="shared" si="4"/>
        <v>1132</v>
      </c>
      <c r="B1146" s="479" t="s">
        <v>303</v>
      </c>
      <c r="C1146" s="327"/>
      <c r="D1146" s="480" t="s">
        <v>303</v>
      </c>
      <c r="E1146" s="327"/>
      <c r="F1146" s="481" t="s">
        <v>334</v>
      </c>
      <c r="G1146" s="327"/>
      <c r="H1146" s="482"/>
      <c r="I1146" s="326"/>
      <c r="J1146" s="327"/>
      <c r="K1146" s="481" t="s">
        <v>334</v>
      </c>
      <c r="L1146" s="326"/>
      <c r="M1146" s="327"/>
      <c r="N1146" s="439" t="s">
        <v>303</v>
      </c>
      <c r="O1146" s="326"/>
      <c r="P1146" s="326"/>
      <c r="Q1146" s="326"/>
      <c r="R1146" s="326"/>
      <c r="S1146" s="326"/>
      <c r="T1146" s="326"/>
      <c r="U1146" s="327"/>
    </row>
    <row r="1147" spans="1:21" ht="34.5" customHeight="1" x14ac:dyDescent="0.25">
      <c r="A1147" s="10">
        <f t="shared" si="4"/>
        <v>1133</v>
      </c>
      <c r="B1147" s="483" t="s">
        <v>341</v>
      </c>
      <c r="C1147" s="327"/>
      <c r="D1147" s="484" t="s">
        <v>303</v>
      </c>
      <c r="E1147" s="327"/>
      <c r="F1147" s="481" t="s">
        <v>334</v>
      </c>
      <c r="G1147" s="327"/>
      <c r="H1147" s="485"/>
      <c r="I1147" s="326"/>
      <c r="J1147" s="327"/>
      <c r="K1147" s="481" t="s">
        <v>334</v>
      </c>
      <c r="L1147" s="326"/>
      <c r="M1147" s="327"/>
      <c r="N1147" s="486" t="s">
        <v>303</v>
      </c>
      <c r="O1147" s="326"/>
      <c r="P1147" s="326"/>
      <c r="Q1147" s="326"/>
      <c r="R1147" s="326"/>
      <c r="S1147" s="326"/>
      <c r="T1147" s="326"/>
      <c r="U1147" s="327"/>
    </row>
    <row r="1148" spans="1:21" ht="34.5" customHeight="1" x14ac:dyDescent="0.25">
      <c r="A1148" s="10">
        <f t="shared" si="4"/>
        <v>1134</v>
      </c>
      <c r="B1148" s="479" t="s">
        <v>303</v>
      </c>
      <c r="C1148" s="327"/>
      <c r="D1148" s="480" t="s">
        <v>303</v>
      </c>
      <c r="E1148" s="327"/>
      <c r="F1148" s="481" t="s">
        <v>334</v>
      </c>
      <c r="G1148" s="327"/>
      <c r="H1148" s="482"/>
      <c r="I1148" s="326"/>
      <c r="J1148" s="327"/>
      <c r="K1148" s="481" t="s">
        <v>334</v>
      </c>
      <c r="L1148" s="326"/>
      <c r="M1148" s="327"/>
      <c r="N1148" s="439" t="s">
        <v>303</v>
      </c>
      <c r="O1148" s="326"/>
      <c r="P1148" s="326"/>
      <c r="Q1148" s="326"/>
      <c r="R1148" s="326"/>
      <c r="S1148" s="326"/>
      <c r="T1148" s="326"/>
      <c r="U1148" s="327"/>
    </row>
    <row r="1149" spans="1:21" ht="34.5" customHeight="1" x14ac:dyDescent="0.25">
      <c r="A1149" s="10">
        <f t="shared" si="4"/>
        <v>1135</v>
      </c>
      <c r="B1149" s="483" t="s">
        <v>303</v>
      </c>
      <c r="C1149" s="327"/>
      <c r="D1149" s="484" t="s">
        <v>303</v>
      </c>
      <c r="E1149" s="327"/>
      <c r="F1149" s="481" t="s">
        <v>334</v>
      </c>
      <c r="G1149" s="327"/>
      <c r="H1149" s="485"/>
      <c r="I1149" s="326"/>
      <c r="J1149" s="327"/>
      <c r="K1149" s="481" t="s">
        <v>334</v>
      </c>
      <c r="L1149" s="326"/>
      <c r="M1149" s="327"/>
      <c r="N1149" s="486" t="s">
        <v>303</v>
      </c>
      <c r="O1149" s="326"/>
      <c r="P1149" s="326"/>
      <c r="Q1149" s="326"/>
      <c r="R1149" s="326"/>
      <c r="S1149" s="326"/>
      <c r="T1149" s="326"/>
      <c r="U1149" s="327"/>
    </row>
    <row r="1150" spans="1:21" ht="34.5" customHeight="1" x14ac:dyDescent="0.25">
      <c r="A1150" s="10">
        <f t="shared" si="4"/>
        <v>1136</v>
      </c>
      <c r="B1150" s="479" t="s">
        <v>303</v>
      </c>
      <c r="C1150" s="327"/>
      <c r="D1150" s="480" t="s">
        <v>303</v>
      </c>
      <c r="E1150" s="327"/>
      <c r="F1150" s="481" t="s">
        <v>334</v>
      </c>
      <c r="G1150" s="327"/>
      <c r="H1150" s="482"/>
      <c r="I1150" s="326"/>
      <c r="J1150" s="327"/>
      <c r="K1150" s="481" t="s">
        <v>334</v>
      </c>
      <c r="L1150" s="326"/>
      <c r="M1150" s="327"/>
      <c r="N1150" s="439" t="s">
        <v>303</v>
      </c>
      <c r="O1150" s="326"/>
      <c r="P1150" s="326"/>
      <c r="Q1150" s="326"/>
      <c r="R1150" s="326"/>
      <c r="S1150" s="326"/>
      <c r="T1150" s="326"/>
      <c r="U1150" s="327"/>
    </row>
    <row r="1151" spans="1:21" ht="34.5" customHeight="1" x14ac:dyDescent="0.25">
      <c r="A1151" s="10">
        <f t="shared" si="4"/>
        <v>1137</v>
      </c>
      <c r="B1151" s="483" t="s">
        <v>303</v>
      </c>
      <c r="C1151" s="327"/>
      <c r="D1151" s="484" t="s">
        <v>303</v>
      </c>
      <c r="E1151" s="327"/>
      <c r="F1151" s="481" t="s">
        <v>334</v>
      </c>
      <c r="G1151" s="327"/>
      <c r="H1151" s="485"/>
      <c r="I1151" s="326"/>
      <c r="J1151" s="327"/>
      <c r="K1151" s="481" t="s">
        <v>334</v>
      </c>
      <c r="L1151" s="326"/>
      <c r="M1151" s="327"/>
      <c r="N1151" s="486" t="s">
        <v>303</v>
      </c>
      <c r="O1151" s="326"/>
      <c r="P1151" s="326"/>
      <c r="Q1151" s="326"/>
      <c r="R1151" s="326"/>
      <c r="S1151" s="326"/>
      <c r="T1151" s="326"/>
      <c r="U1151" s="327"/>
    </row>
    <row r="1152" spans="1:21" ht="34.5" customHeight="1" x14ac:dyDescent="0.25">
      <c r="A1152" s="10">
        <f t="shared" si="4"/>
        <v>1138</v>
      </c>
      <c r="B1152" s="479" t="s">
        <v>303</v>
      </c>
      <c r="C1152" s="327"/>
      <c r="D1152" s="480" t="s">
        <v>303</v>
      </c>
      <c r="E1152" s="327"/>
      <c r="F1152" s="481" t="s">
        <v>334</v>
      </c>
      <c r="G1152" s="327"/>
      <c r="H1152" s="482"/>
      <c r="I1152" s="326"/>
      <c r="J1152" s="327"/>
      <c r="K1152" s="481" t="s">
        <v>334</v>
      </c>
      <c r="L1152" s="326"/>
      <c r="M1152" s="327"/>
      <c r="N1152" s="439" t="s">
        <v>303</v>
      </c>
      <c r="O1152" s="326"/>
      <c r="P1152" s="326"/>
      <c r="Q1152" s="326"/>
      <c r="R1152" s="326"/>
      <c r="S1152" s="326"/>
      <c r="T1152" s="326"/>
      <c r="U1152" s="327"/>
    </row>
    <row r="1153" spans="1:21" ht="34.5" customHeight="1" x14ac:dyDescent="0.25">
      <c r="A1153" s="10">
        <f t="shared" si="4"/>
        <v>1139</v>
      </c>
      <c r="B1153" s="483" t="s">
        <v>303</v>
      </c>
      <c r="C1153" s="327"/>
      <c r="D1153" s="484" t="s">
        <v>303</v>
      </c>
      <c r="E1153" s="327"/>
      <c r="F1153" s="481" t="s">
        <v>334</v>
      </c>
      <c r="G1153" s="327"/>
      <c r="H1153" s="485"/>
      <c r="I1153" s="326"/>
      <c r="J1153" s="327"/>
      <c r="K1153" s="481" t="s">
        <v>334</v>
      </c>
      <c r="L1153" s="326"/>
      <c r="M1153" s="327"/>
      <c r="N1153" s="486" t="s">
        <v>303</v>
      </c>
      <c r="O1153" s="326"/>
      <c r="P1153" s="326"/>
      <c r="Q1153" s="326"/>
      <c r="R1153" s="326"/>
      <c r="S1153" s="326"/>
      <c r="T1153" s="326"/>
      <c r="U1153" s="327"/>
    </row>
    <row r="1154" spans="1:21" ht="34.5" customHeight="1" x14ac:dyDescent="0.25">
      <c r="A1154" s="10">
        <f t="shared" si="4"/>
        <v>1140</v>
      </c>
      <c r="B1154" s="479" t="s">
        <v>303</v>
      </c>
      <c r="C1154" s="327"/>
      <c r="D1154" s="480" t="s">
        <v>303</v>
      </c>
      <c r="E1154" s="327"/>
      <c r="F1154" s="481" t="s">
        <v>334</v>
      </c>
      <c r="G1154" s="327"/>
      <c r="H1154" s="482"/>
      <c r="I1154" s="326"/>
      <c r="J1154" s="327"/>
      <c r="K1154" s="481" t="s">
        <v>334</v>
      </c>
      <c r="L1154" s="326"/>
      <c r="M1154" s="327"/>
      <c r="N1154" s="439" t="s">
        <v>303</v>
      </c>
      <c r="O1154" s="326"/>
      <c r="P1154" s="326"/>
      <c r="Q1154" s="326"/>
      <c r="R1154" s="326"/>
      <c r="S1154" s="326"/>
      <c r="T1154" s="326"/>
      <c r="U1154" s="327"/>
    </row>
    <row r="1155" spans="1:21" ht="34.5" customHeight="1" x14ac:dyDescent="0.25">
      <c r="A1155" s="10">
        <f t="shared" si="4"/>
        <v>1141</v>
      </c>
      <c r="B1155" s="483" t="s">
        <v>303</v>
      </c>
      <c r="C1155" s="327"/>
      <c r="D1155" s="484" t="s">
        <v>303</v>
      </c>
      <c r="E1155" s="327"/>
      <c r="F1155" s="481" t="s">
        <v>334</v>
      </c>
      <c r="G1155" s="327"/>
      <c r="H1155" s="485"/>
      <c r="I1155" s="326"/>
      <c r="J1155" s="327"/>
      <c r="K1155" s="481" t="s">
        <v>334</v>
      </c>
      <c r="L1155" s="326"/>
      <c r="M1155" s="327"/>
      <c r="N1155" s="486" t="s">
        <v>303</v>
      </c>
      <c r="O1155" s="326"/>
      <c r="P1155" s="326"/>
      <c r="Q1155" s="326"/>
      <c r="R1155" s="326"/>
      <c r="S1155" s="326"/>
      <c r="T1155" s="326"/>
      <c r="U1155" s="327"/>
    </row>
    <row r="1156" spans="1:21" ht="34.5" customHeight="1" x14ac:dyDescent="0.25">
      <c r="A1156" s="10">
        <f t="shared" si="4"/>
        <v>1142</v>
      </c>
      <c r="B1156" s="479" t="s">
        <v>303</v>
      </c>
      <c r="C1156" s="327"/>
      <c r="D1156" s="480" t="s">
        <v>303</v>
      </c>
      <c r="E1156" s="327"/>
      <c r="F1156" s="481" t="s">
        <v>334</v>
      </c>
      <c r="G1156" s="327"/>
      <c r="H1156" s="482"/>
      <c r="I1156" s="326"/>
      <c r="J1156" s="327"/>
      <c r="K1156" s="481" t="s">
        <v>334</v>
      </c>
      <c r="L1156" s="326"/>
      <c r="M1156" s="327"/>
      <c r="N1156" s="439" t="s">
        <v>303</v>
      </c>
      <c r="O1156" s="326"/>
      <c r="P1156" s="326"/>
      <c r="Q1156" s="326"/>
      <c r="R1156" s="326"/>
      <c r="S1156" s="326"/>
      <c r="T1156" s="326"/>
      <c r="U1156" s="327"/>
    </row>
    <row r="1157" spans="1:21" ht="34.5" customHeight="1" x14ac:dyDescent="0.25">
      <c r="A1157" s="10">
        <f t="shared" si="4"/>
        <v>1143</v>
      </c>
      <c r="B1157" s="483" t="s">
        <v>303</v>
      </c>
      <c r="C1157" s="327"/>
      <c r="D1157" s="484" t="s">
        <v>303</v>
      </c>
      <c r="E1157" s="327"/>
      <c r="F1157" s="481" t="s">
        <v>334</v>
      </c>
      <c r="G1157" s="327"/>
      <c r="H1157" s="485"/>
      <c r="I1157" s="326"/>
      <c r="J1157" s="327"/>
      <c r="K1157" s="481" t="s">
        <v>334</v>
      </c>
      <c r="L1157" s="326"/>
      <c r="M1157" s="327"/>
      <c r="N1157" s="486" t="s">
        <v>303</v>
      </c>
      <c r="O1157" s="326"/>
      <c r="P1157" s="326"/>
      <c r="Q1157" s="326"/>
      <c r="R1157" s="326"/>
      <c r="S1157" s="326"/>
      <c r="T1157" s="326"/>
      <c r="U1157" s="327"/>
    </row>
    <row r="1158" spans="1:21" ht="34.5" customHeight="1" x14ac:dyDescent="0.25">
      <c r="A1158" s="10">
        <f t="shared" si="4"/>
        <v>1144</v>
      </c>
      <c r="B1158" s="479" t="s">
        <v>303</v>
      </c>
      <c r="C1158" s="327"/>
      <c r="D1158" s="480" t="s">
        <v>303</v>
      </c>
      <c r="E1158" s="327"/>
      <c r="F1158" s="481" t="s">
        <v>334</v>
      </c>
      <c r="G1158" s="327"/>
      <c r="H1158" s="482"/>
      <c r="I1158" s="326"/>
      <c r="J1158" s="327"/>
      <c r="K1158" s="481" t="s">
        <v>334</v>
      </c>
      <c r="L1158" s="326"/>
      <c r="M1158" s="327"/>
      <c r="N1158" s="439" t="s">
        <v>303</v>
      </c>
      <c r="O1158" s="326"/>
      <c r="P1158" s="326"/>
      <c r="Q1158" s="326"/>
      <c r="R1158" s="326"/>
      <c r="S1158" s="326"/>
      <c r="T1158" s="326"/>
      <c r="U1158" s="327"/>
    </row>
    <row r="1159" spans="1:21" ht="34.5" customHeight="1" x14ac:dyDescent="0.25">
      <c r="A1159" s="10">
        <f t="shared" si="4"/>
        <v>1145</v>
      </c>
      <c r="B1159" s="483" t="s">
        <v>342</v>
      </c>
      <c r="C1159" s="327"/>
      <c r="D1159" s="484" t="s">
        <v>303</v>
      </c>
      <c r="E1159" s="327"/>
      <c r="F1159" s="481" t="s">
        <v>334</v>
      </c>
      <c r="G1159" s="327"/>
      <c r="H1159" s="485"/>
      <c r="I1159" s="326"/>
      <c r="J1159" s="327"/>
      <c r="K1159" s="481" t="s">
        <v>334</v>
      </c>
      <c r="L1159" s="326"/>
      <c r="M1159" s="327"/>
      <c r="N1159" s="486" t="s">
        <v>303</v>
      </c>
      <c r="O1159" s="326"/>
      <c r="P1159" s="326"/>
      <c r="Q1159" s="326"/>
      <c r="R1159" s="326"/>
      <c r="S1159" s="326"/>
      <c r="T1159" s="326"/>
      <c r="U1159" s="327"/>
    </row>
    <row r="1160" spans="1:21" ht="34.5" customHeight="1" x14ac:dyDescent="0.25">
      <c r="A1160" s="10">
        <f t="shared" si="4"/>
        <v>1146</v>
      </c>
      <c r="B1160" s="479" t="s">
        <v>303</v>
      </c>
      <c r="C1160" s="327"/>
      <c r="D1160" s="480" t="s">
        <v>303</v>
      </c>
      <c r="E1160" s="327"/>
      <c r="F1160" s="481" t="s">
        <v>334</v>
      </c>
      <c r="G1160" s="327"/>
      <c r="H1160" s="482"/>
      <c r="I1160" s="326"/>
      <c r="J1160" s="327"/>
      <c r="K1160" s="481" t="s">
        <v>334</v>
      </c>
      <c r="L1160" s="326"/>
      <c r="M1160" s="327"/>
      <c r="N1160" s="439" t="s">
        <v>303</v>
      </c>
      <c r="O1160" s="326"/>
      <c r="P1160" s="326"/>
      <c r="Q1160" s="326"/>
      <c r="R1160" s="326"/>
      <c r="S1160" s="326"/>
      <c r="T1160" s="326"/>
      <c r="U1160" s="327"/>
    </row>
    <row r="1161" spans="1:21" ht="34.5" customHeight="1" x14ac:dyDescent="0.25">
      <c r="A1161" s="10">
        <f t="shared" si="4"/>
        <v>1147</v>
      </c>
      <c r="B1161" s="483" t="s">
        <v>303</v>
      </c>
      <c r="C1161" s="327"/>
      <c r="D1161" s="484" t="s">
        <v>303</v>
      </c>
      <c r="E1161" s="327"/>
      <c r="F1161" s="481" t="s">
        <v>334</v>
      </c>
      <c r="G1161" s="327"/>
      <c r="H1161" s="485"/>
      <c r="I1161" s="326"/>
      <c r="J1161" s="327"/>
      <c r="K1161" s="481" t="s">
        <v>334</v>
      </c>
      <c r="L1161" s="326"/>
      <c r="M1161" s="327"/>
      <c r="N1161" s="486" t="s">
        <v>303</v>
      </c>
      <c r="O1161" s="326"/>
      <c r="P1161" s="326"/>
      <c r="Q1161" s="326"/>
      <c r="R1161" s="326"/>
      <c r="S1161" s="326"/>
      <c r="T1161" s="326"/>
      <c r="U1161" s="327"/>
    </row>
    <row r="1162" spans="1:21" ht="34.5" customHeight="1" x14ac:dyDescent="0.25">
      <c r="A1162" s="10">
        <f t="shared" si="4"/>
        <v>1148</v>
      </c>
      <c r="B1162" s="479" t="s">
        <v>303</v>
      </c>
      <c r="C1162" s="327"/>
      <c r="D1162" s="480" t="s">
        <v>303</v>
      </c>
      <c r="E1162" s="327"/>
      <c r="F1162" s="481" t="s">
        <v>334</v>
      </c>
      <c r="G1162" s="327"/>
      <c r="H1162" s="482"/>
      <c r="I1162" s="326"/>
      <c r="J1162" s="327"/>
      <c r="K1162" s="481" t="s">
        <v>334</v>
      </c>
      <c r="L1162" s="326"/>
      <c r="M1162" s="327"/>
      <c r="N1162" s="439" t="s">
        <v>303</v>
      </c>
      <c r="O1162" s="326"/>
      <c r="P1162" s="326"/>
      <c r="Q1162" s="326"/>
      <c r="R1162" s="326"/>
      <c r="S1162" s="326"/>
      <c r="T1162" s="326"/>
      <c r="U1162" s="327"/>
    </row>
    <row r="1163" spans="1:21" ht="34.5" customHeight="1" x14ac:dyDescent="0.25">
      <c r="A1163" s="10">
        <f t="shared" si="4"/>
        <v>1149</v>
      </c>
      <c r="B1163" s="483" t="s">
        <v>303</v>
      </c>
      <c r="C1163" s="327"/>
      <c r="D1163" s="484" t="s">
        <v>303</v>
      </c>
      <c r="E1163" s="327"/>
      <c r="F1163" s="481" t="s">
        <v>334</v>
      </c>
      <c r="G1163" s="327"/>
      <c r="H1163" s="485"/>
      <c r="I1163" s="326"/>
      <c r="J1163" s="327"/>
      <c r="K1163" s="481" t="s">
        <v>334</v>
      </c>
      <c r="L1163" s="326"/>
      <c r="M1163" s="327"/>
      <c r="N1163" s="486" t="s">
        <v>303</v>
      </c>
      <c r="O1163" s="326"/>
      <c r="P1163" s="326"/>
      <c r="Q1163" s="326"/>
      <c r="R1163" s="326"/>
      <c r="S1163" s="326"/>
      <c r="T1163" s="326"/>
      <c r="U1163" s="327"/>
    </row>
    <row r="1164" spans="1:21" ht="34.5" customHeight="1" x14ac:dyDescent="0.25">
      <c r="A1164" s="10">
        <f t="shared" si="4"/>
        <v>1150</v>
      </c>
      <c r="B1164" s="479" t="s">
        <v>303</v>
      </c>
      <c r="C1164" s="327"/>
      <c r="D1164" s="480" t="s">
        <v>303</v>
      </c>
      <c r="E1164" s="327"/>
      <c r="F1164" s="481" t="s">
        <v>334</v>
      </c>
      <c r="G1164" s="327"/>
      <c r="H1164" s="482"/>
      <c r="I1164" s="326"/>
      <c r="J1164" s="327"/>
      <c r="K1164" s="481" t="s">
        <v>334</v>
      </c>
      <c r="L1164" s="326"/>
      <c r="M1164" s="327"/>
      <c r="N1164" s="439" t="s">
        <v>303</v>
      </c>
      <c r="O1164" s="326"/>
      <c r="P1164" s="326"/>
      <c r="Q1164" s="326"/>
      <c r="R1164" s="326"/>
      <c r="S1164" s="326"/>
      <c r="T1164" s="326"/>
      <c r="U1164" s="327"/>
    </row>
    <row r="1165" spans="1:21" ht="34.5" customHeight="1" x14ac:dyDescent="0.25">
      <c r="A1165" s="10">
        <f t="shared" si="4"/>
        <v>1151</v>
      </c>
      <c r="B1165" s="483" t="s">
        <v>339</v>
      </c>
      <c r="C1165" s="327"/>
      <c r="D1165" s="484" t="s">
        <v>303</v>
      </c>
      <c r="E1165" s="327"/>
      <c r="F1165" s="481" t="s">
        <v>334</v>
      </c>
      <c r="G1165" s="327"/>
      <c r="H1165" s="485"/>
      <c r="I1165" s="326"/>
      <c r="J1165" s="327"/>
      <c r="K1165" s="481" t="s">
        <v>334</v>
      </c>
      <c r="L1165" s="326"/>
      <c r="M1165" s="327"/>
      <c r="N1165" s="486" t="s">
        <v>303</v>
      </c>
      <c r="O1165" s="326"/>
      <c r="P1165" s="326"/>
      <c r="Q1165" s="326"/>
      <c r="R1165" s="326"/>
      <c r="S1165" s="326"/>
      <c r="T1165" s="326"/>
      <c r="U1165" s="327"/>
    </row>
    <row r="1166" spans="1:21" ht="34.5" customHeight="1" x14ac:dyDescent="0.25">
      <c r="A1166" s="10">
        <f t="shared" si="4"/>
        <v>1152</v>
      </c>
      <c r="B1166" s="479" t="s">
        <v>303</v>
      </c>
      <c r="C1166" s="327"/>
      <c r="D1166" s="480" t="s">
        <v>303</v>
      </c>
      <c r="E1166" s="327"/>
      <c r="F1166" s="481" t="s">
        <v>334</v>
      </c>
      <c r="G1166" s="327"/>
      <c r="H1166" s="482"/>
      <c r="I1166" s="326"/>
      <c r="J1166" s="327"/>
      <c r="K1166" s="481" t="s">
        <v>334</v>
      </c>
      <c r="L1166" s="326"/>
      <c r="M1166" s="327"/>
      <c r="N1166" s="439" t="s">
        <v>303</v>
      </c>
      <c r="O1166" s="326"/>
      <c r="P1166" s="326"/>
      <c r="Q1166" s="326"/>
      <c r="R1166" s="326"/>
      <c r="S1166" s="326"/>
      <c r="T1166" s="326"/>
      <c r="U1166" s="327"/>
    </row>
    <row r="1167" spans="1:21" ht="34.5" customHeight="1" x14ac:dyDescent="0.25">
      <c r="A1167" s="10">
        <f t="shared" si="4"/>
        <v>1153</v>
      </c>
      <c r="B1167" s="483" t="s">
        <v>303</v>
      </c>
      <c r="C1167" s="327"/>
      <c r="D1167" s="484" t="s">
        <v>303</v>
      </c>
      <c r="E1167" s="327"/>
      <c r="F1167" s="481" t="s">
        <v>334</v>
      </c>
      <c r="G1167" s="327"/>
      <c r="H1167" s="485"/>
      <c r="I1167" s="326"/>
      <c r="J1167" s="327"/>
      <c r="K1167" s="481" t="s">
        <v>334</v>
      </c>
      <c r="L1167" s="326"/>
      <c r="M1167" s="327"/>
      <c r="N1167" s="486" t="s">
        <v>303</v>
      </c>
      <c r="O1167" s="326"/>
      <c r="P1167" s="326"/>
      <c r="Q1167" s="326"/>
      <c r="R1167" s="326"/>
      <c r="S1167" s="326"/>
      <c r="T1167" s="326"/>
      <c r="U1167" s="327"/>
    </row>
    <row r="1168" spans="1:21" ht="34.5" customHeight="1" x14ac:dyDescent="0.25">
      <c r="A1168" s="10">
        <f t="shared" si="4"/>
        <v>1154</v>
      </c>
      <c r="B1168" s="479" t="s">
        <v>303</v>
      </c>
      <c r="C1168" s="327"/>
      <c r="D1168" s="480" t="s">
        <v>303</v>
      </c>
      <c r="E1168" s="327"/>
      <c r="F1168" s="481" t="s">
        <v>334</v>
      </c>
      <c r="G1168" s="327"/>
      <c r="H1168" s="482"/>
      <c r="I1168" s="326"/>
      <c r="J1168" s="327"/>
      <c r="K1168" s="481" t="s">
        <v>334</v>
      </c>
      <c r="L1168" s="326"/>
      <c r="M1168" s="327"/>
      <c r="N1168" s="439" t="s">
        <v>303</v>
      </c>
      <c r="O1168" s="326"/>
      <c r="P1168" s="326"/>
      <c r="Q1168" s="326"/>
      <c r="R1168" s="326"/>
      <c r="S1168" s="326"/>
      <c r="T1168" s="326"/>
      <c r="U1168" s="327"/>
    </row>
    <row r="1169" spans="1:21" ht="34.5" customHeight="1" x14ac:dyDescent="0.25">
      <c r="A1169" s="10">
        <f t="shared" si="4"/>
        <v>1155</v>
      </c>
      <c r="B1169" s="483" t="s">
        <v>303</v>
      </c>
      <c r="C1169" s="327"/>
      <c r="D1169" s="484" t="s">
        <v>303</v>
      </c>
      <c r="E1169" s="327"/>
      <c r="F1169" s="481" t="s">
        <v>334</v>
      </c>
      <c r="G1169" s="327"/>
      <c r="H1169" s="485"/>
      <c r="I1169" s="326"/>
      <c r="J1169" s="327"/>
      <c r="K1169" s="481" t="s">
        <v>334</v>
      </c>
      <c r="L1169" s="326"/>
      <c r="M1169" s="327"/>
      <c r="N1169" s="486" t="s">
        <v>303</v>
      </c>
      <c r="O1169" s="326"/>
      <c r="P1169" s="326"/>
      <c r="Q1169" s="326"/>
      <c r="R1169" s="326"/>
      <c r="S1169" s="326"/>
      <c r="T1169" s="326"/>
      <c r="U1169" s="327"/>
    </row>
    <row r="1170" spans="1:21" ht="34.5" customHeight="1" x14ac:dyDescent="0.25">
      <c r="A1170" s="10">
        <f t="shared" si="4"/>
        <v>1156</v>
      </c>
      <c r="B1170" s="479" t="s">
        <v>343</v>
      </c>
      <c r="C1170" s="327"/>
      <c r="D1170" s="480" t="s">
        <v>303</v>
      </c>
      <c r="E1170" s="327"/>
      <c r="F1170" s="481" t="s">
        <v>334</v>
      </c>
      <c r="G1170" s="327"/>
      <c r="H1170" s="482"/>
      <c r="I1170" s="326"/>
      <c r="J1170" s="327"/>
      <c r="K1170" s="481" t="s">
        <v>334</v>
      </c>
      <c r="L1170" s="326"/>
      <c r="M1170" s="327"/>
      <c r="N1170" s="439" t="s">
        <v>303</v>
      </c>
      <c r="O1170" s="326"/>
      <c r="P1170" s="326"/>
      <c r="Q1170" s="326"/>
      <c r="R1170" s="326"/>
      <c r="S1170" s="326"/>
      <c r="T1170" s="326"/>
      <c r="U1170" s="327"/>
    </row>
    <row r="1171" spans="1:21" ht="34.5" customHeight="1" x14ac:dyDescent="0.25">
      <c r="A1171" s="10">
        <f t="shared" si="4"/>
        <v>1157</v>
      </c>
      <c r="B1171" s="483" t="s">
        <v>303</v>
      </c>
      <c r="C1171" s="327"/>
      <c r="D1171" s="484" t="s">
        <v>303</v>
      </c>
      <c r="E1171" s="327"/>
      <c r="F1171" s="481" t="s">
        <v>334</v>
      </c>
      <c r="G1171" s="327"/>
      <c r="H1171" s="485"/>
      <c r="I1171" s="326"/>
      <c r="J1171" s="327"/>
      <c r="K1171" s="481" t="s">
        <v>334</v>
      </c>
      <c r="L1171" s="326"/>
      <c r="M1171" s="327"/>
      <c r="N1171" s="486" t="s">
        <v>303</v>
      </c>
      <c r="O1171" s="326"/>
      <c r="P1171" s="326"/>
      <c r="Q1171" s="326"/>
      <c r="R1171" s="326"/>
      <c r="S1171" s="326"/>
      <c r="T1171" s="326"/>
      <c r="U1171" s="327"/>
    </row>
    <row r="1172" spans="1:21" ht="34.5" customHeight="1" x14ac:dyDescent="0.25">
      <c r="A1172" s="10">
        <f t="shared" si="4"/>
        <v>1158</v>
      </c>
      <c r="B1172" s="479" t="s">
        <v>303</v>
      </c>
      <c r="C1172" s="327"/>
      <c r="D1172" s="480" t="s">
        <v>303</v>
      </c>
      <c r="E1172" s="327"/>
      <c r="F1172" s="481" t="s">
        <v>334</v>
      </c>
      <c r="G1172" s="327"/>
      <c r="H1172" s="482"/>
      <c r="I1172" s="326"/>
      <c r="J1172" s="327"/>
      <c r="K1172" s="481" t="s">
        <v>334</v>
      </c>
      <c r="L1172" s="326"/>
      <c r="M1172" s="327"/>
      <c r="N1172" s="439" t="s">
        <v>303</v>
      </c>
      <c r="O1172" s="326"/>
      <c r="P1172" s="326"/>
      <c r="Q1172" s="326"/>
      <c r="R1172" s="326"/>
      <c r="S1172" s="326"/>
      <c r="T1172" s="326"/>
      <c r="U1172" s="327"/>
    </row>
    <row r="1173" spans="1:21" ht="34.5" customHeight="1" x14ac:dyDescent="0.25">
      <c r="A1173" s="10">
        <f t="shared" si="4"/>
        <v>1159</v>
      </c>
      <c r="B1173" s="483" t="s">
        <v>303</v>
      </c>
      <c r="C1173" s="327"/>
      <c r="D1173" s="484" t="s">
        <v>303</v>
      </c>
      <c r="E1173" s="327"/>
      <c r="F1173" s="481" t="s">
        <v>334</v>
      </c>
      <c r="G1173" s="327"/>
      <c r="H1173" s="485"/>
      <c r="I1173" s="326"/>
      <c r="J1173" s="327"/>
      <c r="K1173" s="481" t="s">
        <v>334</v>
      </c>
      <c r="L1173" s="326"/>
      <c r="M1173" s="327"/>
      <c r="N1173" s="486" t="s">
        <v>303</v>
      </c>
      <c r="O1173" s="326"/>
      <c r="P1173" s="326"/>
      <c r="Q1173" s="326"/>
      <c r="R1173" s="326"/>
      <c r="S1173" s="326"/>
      <c r="T1173" s="326"/>
      <c r="U1173" s="327"/>
    </row>
    <row r="1174" spans="1:21" ht="34.5" customHeight="1" x14ac:dyDescent="0.25">
      <c r="A1174" s="10">
        <f t="shared" si="4"/>
        <v>1160</v>
      </c>
      <c r="B1174" s="479" t="s">
        <v>303</v>
      </c>
      <c r="C1174" s="327"/>
      <c r="D1174" s="480" t="s">
        <v>303</v>
      </c>
      <c r="E1174" s="327"/>
      <c r="F1174" s="481" t="s">
        <v>334</v>
      </c>
      <c r="G1174" s="327"/>
      <c r="H1174" s="482"/>
      <c r="I1174" s="326"/>
      <c r="J1174" s="327"/>
      <c r="K1174" s="481" t="s">
        <v>334</v>
      </c>
      <c r="L1174" s="326"/>
      <c r="M1174" s="327"/>
      <c r="N1174" s="439" t="s">
        <v>303</v>
      </c>
      <c r="O1174" s="326"/>
      <c r="P1174" s="326"/>
      <c r="Q1174" s="326"/>
      <c r="R1174" s="326"/>
      <c r="S1174" s="326"/>
      <c r="T1174" s="326"/>
      <c r="U1174" s="327"/>
    </row>
    <row r="1175" spans="1:21" ht="34.5" customHeight="1" x14ac:dyDescent="0.25">
      <c r="A1175" s="10">
        <f t="shared" si="4"/>
        <v>1161</v>
      </c>
      <c r="B1175" s="483" t="s">
        <v>341</v>
      </c>
      <c r="C1175" s="327"/>
      <c r="D1175" s="484" t="s">
        <v>303</v>
      </c>
      <c r="E1175" s="327"/>
      <c r="F1175" s="481" t="s">
        <v>334</v>
      </c>
      <c r="G1175" s="327"/>
      <c r="H1175" s="485"/>
      <c r="I1175" s="326"/>
      <c r="J1175" s="327"/>
      <c r="K1175" s="481" t="s">
        <v>334</v>
      </c>
      <c r="L1175" s="326"/>
      <c r="M1175" s="327"/>
      <c r="N1175" s="486" t="s">
        <v>303</v>
      </c>
      <c r="O1175" s="326"/>
      <c r="P1175" s="326"/>
      <c r="Q1175" s="326"/>
      <c r="R1175" s="326"/>
      <c r="S1175" s="326"/>
      <c r="T1175" s="326"/>
      <c r="U1175" s="327"/>
    </row>
    <row r="1176" spans="1:21" ht="34.5" customHeight="1" x14ac:dyDescent="0.25">
      <c r="A1176" s="10">
        <f t="shared" si="4"/>
        <v>1162</v>
      </c>
      <c r="B1176" s="479" t="s">
        <v>303</v>
      </c>
      <c r="C1176" s="327"/>
      <c r="D1176" s="480" t="s">
        <v>303</v>
      </c>
      <c r="E1176" s="327"/>
      <c r="F1176" s="481" t="s">
        <v>334</v>
      </c>
      <c r="G1176" s="327"/>
      <c r="H1176" s="482"/>
      <c r="I1176" s="326"/>
      <c r="J1176" s="327"/>
      <c r="K1176" s="481" t="s">
        <v>334</v>
      </c>
      <c r="L1176" s="326"/>
      <c r="M1176" s="327"/>
      <c r="N1176" s="439" t="s">
        <v>303</v>
      </c>
      <c r="O1176" s="326"/>
      <c r="P1176" s="326"/>
      <c r="Q1176" s="326"/>
      <c r="R1176" s="326"/>
      <c r="S1176" s="326"/>
      <c r="T1176" s="326"/>
      <c r="U1176" s="327"/>
    </row>
    <row r="1177" spans="1:21" ht="34.5" customHeight="1" x14ac:dyDescent="0.25">
      <c r="A1177" s="10">
        <f t="shared" si="4"/>
        <v>1163</v>
      </c>
      <c r="B1177" s="483" t="s">
        <v>303</v>
      </c>
      <c r="C1177" s="327"/>
      <c r="D1177" s="484" t="s">
        <v>303</v>
      </c>
      <c r="E1177" s="327"/>
      <c r="F1177" s="481" t="s">
        <v>334</v>
      </c>
      <c r="G1177" s="327"/>
      <c r="H1177" s="485"/>
      <c r="I1177" s="326"/>
      <c r="J1177" s="327"/>
      <c r="K1177" s="481" t="s">
        <v>334</v>
      </c>
      <c r="L1177" s="326"/>
      <c r="M1177" s="327"/>
      <c r="N1177" s="486" t="s">
        <v>303</v>
      </c>
      <c r="O1177" s="326"/>
      <c r="P1177" s="326"/>
      <c r="Q1177" s="326"/>
      <c r="R1177" s="326"/>
      <c r="S1177" s="326"/>
      <c r="T1177" s="326"/>
      <c r="U1177" s="327"/>
    </row>
    <row r="1178" spans="1:21" ht="34.5" customHeight="1" x14ac:dyDescent="0.25">
      <c r="A1178" s="10">
        <f t="shared" si="4"/>
        <v>1164</v>
      </c>
      <c r="B1178" s="479" t="s">
        <v>303</v>
      </c>
      <c r="C1178" s="327"/>
      <c r="D1178" s="480" t="s">
        <v>303</v>
      </c>
      <c r="E1178" s="327"/>
      <c r="F1178" s="481" t="s">
        <v>334</v>
      </c>
      <c r="G1178" s="327"/>
      <c r="H1178" s="482"/>
      <c r="I1178" s="326"/>
      <c r="J1178" s="327"/>
      <c r="K1178" s="481" t="s">
        <v>334</v>
      </c>
      <c r="L1178" s="326"/>
      <c r="M1178" s="327"/>
      <c r="N1178" s="439" t="s">
        <v>303</v>
      </c>
      <c r="O1178" s="326"/>
      <c r="P1178" s="326"/>
      <c r="Q1178" s="326"/>
      <c r="R1178" s="326"/>
      <c r="S1178" s="326"/>
      <c r="T1178" s="326"/>
      <c r="U1178" s="327"/>
    </row>
    <row r="1179" spans="1:21" ht="34.5" customHeight="1" x14ac:dyDescent="0.25">
      <c r="A1179" s="10">
        <f t="shared" si="4"/>
        <v>1165</v>
      </c>
      <c r="B1179" s="483" t="s">
        <v>303</v>
      </c>
      <c r="C1179" s="327"/>
      <c r="D1179" s="484" t="s">
        <v>303</v>
      </c>
      <c r="E1179" s="327"/>
      <c r="F1179" s="481" t="s">
        <v>334</v>
      </c>
      <c r="G1179" s="327"/>
      <c r="H1179" s="485"/>
      <c r="I1179" s="326"/>
      <c r="J1179" s="327"/>
      <c r="K1179" s="481" t="s">
        <v>334</v>
      </c>
      <c r="L1179" s="326"/>
      <c r="M1179" s="327"/>
      <c r="N1179" s="486" t="s">
        <v>303</v>
      </c>
      <c r="O1179" s="326"/>
      <c r="P1179" s="326"/>
      <c r="Q1179" s="326"/>
      <c r="R1179" s="326"/>
      <c r="S1179" s="326"/>
      <c r="T1179" s="326"/>
      <c r="U1179" s="327"/>
    </row>
    <row r="1180" spans="1:21" ht="34.5" customHeight="1" x14ac:dyDescent="0.25">
      <c r="A1180" s="10">
        <f t="shared" si="4"/>
        <v>1166</v>
      </c>
      <c r="B1180" s="479" t="s">
        <v>338</v>
      </c>
      <c r="C1180" s="327"/>
      <c r="D1180" s="480" t="s">
        <v>303</v>
      </c>
      <c r="E1180" s="327"/>
      <c r="F1180" s="481" t="s">
        <v>334</v>
      </c>
      <c r="G1180" s="327"/>
      <c r="H1180" s="482"/>
      <c r="I1180" s="326"/>
      <c r="J1180" s="327"/>
      <c r="K1180" s="481" t="s">
        <v>334</v>
      </c>
      <c r="L1180" s="326"/>
      <c r="M1180" s="327"/>
      <c r="N1180" s="439" t="s">
        <v>303</v>
      </c>
      <c r="O1180" s="326"/>
      <c r="P1180" s="326"/>
      <c r="Q1180" s="326"/>
      <c r="R1180" s="326"/>
      <c r="S1180" s="326"/>
      <c r="T1180" s="326"/>
      <c r="U1180" s="327"/>
    </row>
    <row r="1181" spans="1:21" ht="34.5" customHeight="1" x14ac:dyDescent="0.25">
      <c r="A1181" s="10">
        <f t="shared" si="4"/>
        <v>1167</v>
      </c>
      <c r="B1181" s="483" t="s">
        <v>303</v>
      </c>
      <c r="C1181" s="327"/>
      <c r="D1181" s="484" t="s">
        <v>303</v>
      </c>
      <c r="E1181" s="327"/>
      <c r="F1181" s="481" t="s">
        <v>334</v>
      </c>
      <c r="G1181" s="327"/>
      <c r="H1181" s="485"/>
      <c r="I1181" s="326"/>
      <c r="J1181" s="327"/>
      <c r="K1181" s="481" t="s">
        <v>334</v>
      </c>
      <c r="L1181" s="326"/>
      <c r="M1181" s="327"/>
      <c r="N1181" s="486" t="s">
        <v>303</v>
      </c>
      <c r="O1181" s="326"/>
      <c r="P1181" s="326"/>
      <c r="Q1181" s="326"/>
      <c r="R1181" s="326"/>
      <c r="S1181" s="326"/>
      <c r="T1181" s="326"/>
      <c r="U1181" s="327"/>
    </row>
    <row r="1182" spans="1:21" ht="34.5" customHeight="1" x14ac:dyDescent="0.25">
      <c r="A1182" s="10">
        <f t="shared" si="4"/>
        <v>1168</v>
      </c>
      <c r="B1182" s="479" t="s">
        <v>303</v>
      </c>
      <c r="C1182" s="327"/>
      <c r="D1182" s="480" t="s">
        <v>303</v>
      </c>
      <c r="E1182" s="327"/>
      <c r="F1182" s="481" t="s">
        <v>334</v>
      </c>
      <c r="G1182" s="327"/>
      <c r="H1182" s="482"/>
      <c r="I1182" s="326"/>
      <c r="J1182" s="327"/>
      <c r="K1182" s="481" t="s">
        <v>334</v>
      </c>
      <c r="L1182" s="326"/>
      <c r="M1182" s="327"/>
      <c r="N1182" s="439" t="s">
        <v>303</v>
      </c>
      <c r="O1182" s="326"/>
      <c r="P1182" s="326"/>
      <c r="Q1182" s="326"/>
      <c r="R1182" s="326"/>
      <c r="S1182" s="326"/>
      <c r="T1182" s="326"/>
      <c r="U1182" s="327"/>
    </row>
    <row r="1183" spans="1:21" ht="34.5" customHeight="1" x14ac:dyDescent="0.25">
      <c r="A1183" s="10">
        <f t="shared" si="4"/>
        <v>1169</v>
      </c>
      <c r="B1183" s="483" t="s">
        <v>303</v>
      </c>
      <c r="C1183" s="327"/>
      <c r="D1183" s="484" t="s">
        <v>303</v>
      </c>
      <c r="E1183" s="327"/>
      <c r="F1183" s="481" t="s">
        <v>334</v>
      </c>
      <c r="G1183" s="327"/>
      <c r="H1183" s="485"/>
      <c r="I1183" s="326"/>
      <c r="J1183" s="327"/>
      <c r="K1183" s="481" t="s">
        <v>334</v>
      </c>
      <c r="L1183" s="326"/>
      <c r="M1183" s="327"/>
      <c r="N1183" s="486" t="s">
        <v>303</v>
      </c>
      <c r="O1183" s="326"/>
      <c r="P1183" s="326"/>
      <c r="Q1183" s="326"/>
      <c r="R1183" s="326"/>
      <c r="S1183" s="326"/>
      <c r="T1183" s="326"/>
      <c r="U1183" s="327"/>
    </row>
    <row r="1184" spans="1:21" ht="34.5" customHeight="1" x14ac:dyDescent="0.25">
      <c r="A1184" s="10">
        <f t="shared" si="4"/>
        <v>1170</v>
      </c>
      <c r="B1184" s="479" t="s">
        <v>343</v>
      </c>
      <c r="C1184" s="327"/>
      <c r="D1184" s="480" t="s">
        <v>303</v>
      </c>
      <c r="E1184" s="327"/>
      <c r="F1184" s="481" t="s">
        <v>334</v>
      </c>
      <c r="G1184" s="327"/>
      <c r="H1184" s="482"/>
      <c r="I1184" s="326"/>
      <c r="J1184" s="327"/>
      <c r="K1184" s="481" t="s">
        <v>334</v>
      </c>
      <c r="L1184" s="326"/>
      <c r="M1184" s="327"/>
      <c r="N1184" s="439" t="s">
        <v>303</v>
      </c>
      <c r="O1184" s="326"/>
      <c r="P1184" s="326"/>
      <c r="Q1184" s="326"/>
      <c r="R1184" s="326"/>
      <c r="S1184" s="326"/>
      <c r="T1184" s="326"/>
      <c r="U1184" s="327"/>
    </row>
    <row r="1185" spans="1:21" ht="34.5" customHeight="1" x14ac:dyDescent="0.25">
      <c r="A1185" s="10">
        <f t="shared" si="4"/>
        <v>1171</v>
      </c>
      <c r="B1185" s="483" t="s">
        <v>303</v>
      </c>
      <c r="C1185" s="327"/>
      <c r="D1185" s="484" t="s">
        <v>303</v>
      </c>
      <c r="E1185" s="327"/>
      <c r="F1185" s="481" t="s">
        <v>334</v>
      </c>
      <c r="G1185" s="327"/>
      <c r="H1185" s="485"/>
      <c r="I1185" s="326"/>
      <c r="J1185" s="327"/>
      <c r="K1185" s="481" t="s">
        <v>334</v>
      </c>
      <c r="L1185" s="326"/>
      <c r="M1185" s="327"/>
      <c r="N1185" s="486" t="s">
        <v>303</v>
      </c>
      <c r="O1185" s="326"/>
      <c r="P1185" s="326"/>
      <c r="Q1185" s="326"/>
      <c r="R1185" s="326"/>
      <c r="S1185" s="326"/>
      <c r="T1185" s="326"/>
      <c r="U1185" s="327"/>
    </row>
    <row r="1186" spans="1:21" ht="34.5" customHeight="1" x14ac:dyDescent="0.25">
      <c r="A1186" s="10">
        <f t="shared" si="4"/>
        <v>1172</v>
      </c>
      <c r="B1186" s="479" t="s">
        <v>303</v>
      </c>
      <c r="C1186" s="327"/>
      <c r="D1186" s="480" t="s">
        <v>303</v>
      </c>
      <c r="E1186" s="327"/>
      <c r="F1186" s="481" t="s">
        <v>334</v>
      </c>
      <c r="G1186" s="327"/>
      <c r="H1186" s="482"/>
      <c r="I1186" s="326"/>
      <c r="J1186" s="327"/>
      <c r="K1186" s="481" t="s">
        <v>334</v>
      </c>
      <c r="L1186" s="326"/>
      <c r="M1186" s="327"/>
      <c r="N1186" s="439" t="s">
        <v>303</v>
      </c>
      <c r="O1186" s="326"/>
      <c r="P1186" s="326"/>
      <c r="Q1186" s="326"/>
      <c r="R1186" s="326"/>
      <c r="S1186" s="326"/>
      <c r="T1186" s="326"/>
      <c r="U1186" s="327"/>
    </row>
    <row r="1187" spans="1:21" ht="34.5" customHeight="1" x14ac:dyDescent="0.25">
      <c r="A1187" s="10">
        <f t="shared" si="4"/>
        <v>1173</v>
      </c>
      <c r="B1187" s="483" t="s">
        <v>303</v>
      </c>
      <c r="C1187" s="327"/>
      <c r="D1187" s="484" t="s">
        <v>303</v>
      </c>
      <c r="E1187" s="327"/>
      <c r="F1187" s="481" t="s">
        <v>334</v>
      </c>
      <c r="G1187" s="327"/>
      <c r="H1187" s="485"/>
      <c r="I1187" s="326"/>
      <c r="J1187" s="327"/>
      <c r="K1187" s="481" t="s">
        <v>334</v>
      </c>
      <c r="L1187" s="326"/>
      <c r="M1187" s="327"/>
      <c r="N1187" s="486" t="s">
        <v>303</v>
      </c>
      <c r="O1187" s="326"/>
      <c r="P1187" s="326"/>
      <c r="Q1187" s="326"/>
      <c r="R1187" s="326"/>
      <c r="S1187" s="326"/>
      <c r="T1187" s="326"/>
      <c r="U1187" s="327"/>
    </row>
    <row r="1188" spans="1:21" ht="34.5" customHeight="1" x14ac:dyDescent="0.25">
      <c r="A1188" s="10">
        <f t="shared" si="4"/>
        <v>1174</v>
      </c>
      <c r="B1188" s="479" t="s">
        <v>303</v>
      </c>
      <c r="C1188" s="327"/>
      <c r="D1188" s="480" t="s">
        <v>303</v>
      </c>
      <c r="E1188" s="327"/>
      <c r="F1188" s="481" t="s">
        <v>334</v>
      </c>
      <c r="G1188" s="327"/>
      <c r="H1188" s="482"/>
      <c r="I1188" s="326"/>
      <c r="J1188" s="327"/>
      <c r="K1188" s="481" t="s">
        <v>334</v>
      </c>
      <c r="L1188" s="326"/>
      <c r="M1188" s="327"/>
      <c r="N1188" s="439" t="s">
        <v>303</v>
      </c>
      <c r="O1188" s="326"/>
      <c r="P1188" s="326"/>
      <c r="Q1188" s="326"/>
      <c r="R1188" s="326"/>
      <c r="S1188" s="326"/>
      <c r="T1188" s="326"/>
      <c r="U1188" s="327"/>
    </row>
    <row r="1189" spans="1:21" ht="34.5" customHeight="1" x14ac:dyDescent="0.25">
      <c r="A1189" s="10">
        <f t="shared" si="4"/>
        <v>1175</v>
      </c>
      <c r="B1189" s="483" t="s">
        <v>303</v>
      </c>
      <c r="C1189" s="327"/>
      <c r="D1189" s="484" t="s">
        <v>303</v>
      </c>
      <c r="E1189" s="327"/>
      <c r="F1189" s="481" t="s">
        <v>334</v>
      </c>
      <c r="G1189" s="327"/>
      <c r="H1189" s="485"/>
      <c r="I1189" s="326"/>
      <c r="J1189" s="327"/>
      <c r="K1189" s="481" t="s">
        <v>334</v>
      </c>
      <c r="L1189" s="326"/>
      <c r="M1189" s="327"/>
      <c r="N1189" s="486" t="s">
        <v>303</v>
      </c>
      <c r="O1189" s="326"/>
      <c r="P1189" s="326"/>
      <c r="Q1189" s="326"/>
      <c r="R1189" s="326"/>
      <c r="S1189" s="326"/>
      <c r="T1189" s="326"/>
      <c r="U1189" s="327"/>
    </row>
    <row r="1190" spans="1:21" ht="34.5" customHeight="1" x14ac:dyDescent="0.25">
      <c r="A1190" s="10">
        <f t="shared" si="4"/>
        <v>1176</v>
      </c>
      <c r="B1190" s="479" t="s">
        <v>344</v>
      </c>
      <c r="C1190" s="327"/>
      <c r="D1190" s="480" t="s">
        <v>303</v>
      </c>
      <c r="E1190" s="327"/>
      <c r="F1190" s="481" t="s">
        <v>334</v>
      </c>
      <c r="G1190" s="327"/>
      <c r="H1190" s="482"/>
      <c r="I1190" s="326"/>
      <c r="J1190" s="327"/>
      <c r="K1190" s="481" t="s">
        <v>334</v>
      </c>
      <c r="L1190" s="326"/>
      <c r="M1190" s="327"/>
      <c r="N1190" s="439" t="s">
        <v>303</v>
      </c>
      <c r="O1190" s="326"/>
      <c r="P1190" s="326"/>
      <c r="Q1190" s="326"/>
      <c r="R1190" s="326"/>
      <c r="S1190" s="326"/>
      <c r="T1190" s="326"/>
      <c r="U1190" s="327"/>
    </row>
    <row r="1191" spans="1:21" ht="34.5" customHeight="1" x14ac:dyDescent="0.25">
      <c r="A1191" s="10">
        <f t="shared" si="4"/>
        <v>1177</v>
      </c>
      <c r="B1191" s="483" t="s">
        <v>303</v>
      </c>
      <c r="C1191" s="327"/>
      <c r="D1191" s="484" t="s">
        <v>303</v>
      </c>
      <c r="E1191" s="327"/>
      <c r="F1191" s="481" t="s">
        <v>334</v>
      </c>
      <c r="G1191" s="327"/>
      <c r="H1191" s="485"/>
      <c r="I1191" s="326"/>
      <c r="J1191" s="327"/>
      <c r="K1191" s="481" t="s">
        <v>334</v>
      </c>
      <c r="L1191" s="326"/>
      <c r="M1191" s="327"/>
      <c r="N1191" s="486" t="s">
        <v>303</v>
      </c>
      <c r="O1191" s="326"/>
      <c r="P1191" s="326"/>
      <c r="Q1191" s="326"/>
      <c r="R1191" s="326"/>
      <c r="S1191" s="326"/>
      <c r="T1191" s="326"/>
      <c r="U1191" s="327"/>
    </row>
    <row r="1192" spans="1:21" ht="34.5" customHeight="1" x14ac:dyDescent="0.25">
      <c r="A1192" s="10">
        <f t="shared" si="4"/>
        <v>1178</v>
      </c>
      <c r="B1192" s="479" t="s">
        <v>303</v>
      </c>
      <c r="C1192" s="327"/>
      <c r="D1192" s="480" t="s">
        <v>303</v>
      </c>
      <c r="E1192" s="327"/>
      <c r="F1192" s="481" t="s">
        <v>334</v>
      </c>
      <c r="G1192" s="327"/>
      <c r="H1192" s="482"/>
      <c r="I1192" s="326"/>
      <c r="J1192" s="327"/>
      <c r="K1192" s="481" t="s">
        <v>334</v>
      </c>
      <c r="L1192" s="326"/>
      <c r="M1192" s="327"/>
      <c r="N1192" s="439" t="s">
        <v>303</v>
      </c>
      <c r="O1192" s="326"/>
      <c r="P1192" s="326"/>
      <c r="Q1192" s="326"/>
      <c r="R1192" s="326"/>
      <c r="S1192" s="326"/>
      <c r="T1192" s="326"/>
      <c r="U1192" s="327"/>
    </row>
    <row r="1193" spans="1:21" ht="34.5" customHeight="1" x14ac:dyDescent="0.25">
      <c r="A1193" s="10">
        <f t="shared" si="4"/>
        <v>1179</v>
      </c>
      <c r="B1193" s="483" t="s">
        <v>303</v>
      </c>
      <c r="C1193" s="327"/>
      <c r="D1193" s="484" t="s">
        <v>303</v>
      </c>
      <c r="E1193" s="327"/>
      <c r="F1193" s="481" t="s">
        <v>334</v>
      </c>
      <c r="G1193" s="327"/>
      <c r="H1193" s="485"/>
      <c r="I1193" s="326"/>
      <c r="J1193" s="327"/>
      <c r="K1193" s="481" t="s">
        <v>334</v>
      </c>
      <c r="L1193" s="326"/>
      <c r="M1193" s="327"/>
      <c r="N1193" s="486" t="s">
        <v>303</v>
      </c>
      <c r="O1193" s="326"/>
      <c r="P1193" s="326"/>
      <c r="Q1193" s="326"/>
      <c r="R1193" s="326"/>
      <c r="S1193" s="326"/>
      <c r="T1193" s="326"/>
      <c r="U1193" s="327"/>
    </row>
    <row r="1194" spans="1:21" ht="34.5" customHeight="1" x14ac:dyDescent="0.25">
      <c r="A1194" s="10">
        <f t="shared" si="4"/>
        <v>1180</v>
      </c>
      <c r="B1194" s="479" t="s">
        <v>303</v>
      </c>
      <c r="C1194" s="327"/>
      <c r="D1194" s="480" t="s">
        <v>303</v>
      </c>
      <c r="E1194" s="327"/>
      <c r="F1194" s="481" t="s">
        <v>334</v>
      </c>
      <c r="G1194" s="327"/>
      <c r="H1194" s="482"/>
      <c r="I1194" s="326"/>
      <c r="J1194" s="327"/>
      <c r="K1194" s="481" t="s">
        <v>334</v>
      </c>
      <c r="L1194" s="326"/>
      <c r="M1194" s="327"/>
      <c r="N1194" s="439" t="s">
        <v>303</v>
      </c>
      <c r="O1194" s="326"/>
      <c r="P1194" s="326"/>
      <c r="Q1194" s="326"/>
      <c r="R1194" s="326"/>
      <c r="S1194" s="326"/>
      <c r="T1194" s="326"/>
      <c r="U1194" s="327"/>
    </row>
    <row r="1195" spans="1:21" ht="34.5" customHeight="1" x14ac:dyDescent="0.25">
      <c r="A1195" s="10">
        <f t="shared" si="4"/>
        <v>1181</v>
      </c>
      <c r="B1195" s="483" t="s">
        <v>303</v>
      </c>
      <c r="C1195" s="327"/>
      <c r="D1195" s="484" t="s">
        <v>303</v>
      </c>
      <c r="E1195" s="327"/>
      <c r="F1195" s="481" t="s">
        <v>334</v>
      </c>
      <c r="G1195" s="327"/>
      <c r="H1195" s="485"/>
      <c r="I1195" s="326"/>
      <c r="J1195" s="327"/>
      <c r="K1195" s="481" t="s">
        <v>334</v>
      </c>
      <c r="L1195" s="326"/>
      <c r="M1195" s="327"/>
      <c r="N1195" s="486" t="s">
        <v>303</v>
      </c>
      <c r="O1195" s="326"/>
      <c r="P1195" s="326"/>
      <c r="Q1195" s="326"/>
      <c r="R1195" s="326"/>
      <c r="S1195" s="326"/>
      <c r="T1195" s="326"/>
      <c r="U1195" s="327"/>
    </row>
    <row r="1196" spans="1:21" ht="34.5" customHeight="1" x14ac:dyDescent="0.25">
      <c r="A1196" s="10">
        <f t="shared" si="4"/>
        <v>1182</v>
      </c>
      <c r="B1196" s="479" t="s">
        <v>303</v>
      </c>
      <c r="C1196" s="327"/>
      <c r="D1196" s="480" t="s">
        <v>303</v>
      </c>
      <c r="E1196" s="327"/>
      <c r="F1196" s="481" t="s">
        <v>334</v>
      </c>
      <c r="G1196" s="327"/>
      <c r="H1196" s="482"/>
      <c r="I1196" s="326"/>
      <c r="J1196" s="327"/>
      <c r="K1196" s="481" t="s">
        <v>334</v>
      </c>
      <c r="L1196" s="326"/>
      <c r="M1196" s="327"/>
      <c r="N1196" s="439" t="s">
        <v>303</v>
      </c>
      <c r="O1196" s="326"/>
      <c r="P1196" s="326"/>
      <c r="Q1196" s="326"/>
      <c r="R1196" s="326"/>
      <c r="S1196" s="326"/>
      <c r="T1196" s="326"/>
      <c r="U1196" s="327"/>
    </row>
    <row r="1197" spans="1:21" ht="34.5" customHeight="1" x14ac:dyDescent="0.25">
      <c r="A1197" s="10">
        <f t="shared" si="4"/>
        <v>1183</v>
      </c>
      <c r="B1197" s="479" t="s">
        <v>303</v>
      </c>
      <c r="C1197" s="327"/>
      <c r="D1197" s="480" t="s">
        <v>303</v>
      </c>
      <c r="E1197" s="327"/>
      <c r="F1197" s="481" t="s">
        <v>334</v>
      </c>
      <c r="G1197" s="327"/>
      <c r="H1197" s="482"/>
      <c r="I1197" s="326"/>
      <c r="J1197" s="327"/>
      <c r="K1197" s="481" t="s">
        <v>334</v>
      </c>
      <c r="L1197" s="326"/>
      <c r="M1197" s="327"/>
      <c r="N1197" s="439" t="s">
        <v>303</v>
      </c>
      <c r="O1197" s="326"/>
      <c r="P1197" s="326"/>
      <c r="Q1197" s="326"/>
      <c r="R1197" s="326"/>
      <c r="S1197" s="326"/>
      <c r="T1197" s="326"/>
      <c r="U1197" s="327"/>
    </row>
    <row r="1198" spans="1:21" ht="34.5" customHeight="1" x14ac:dyDescent="0.25">
      <c r="A1198" s="10">
        <f t="shared" si="4"/>
        <v>1184</v>
      </c>
      <c r="B1198" s="483" t="s">
        <v>303</v>
      </c>
      <c r="C1198" s="327"/>
      <c r="D1198" s="484" t="s">
        <v>303</v>
      </c>
      <c r="E1198" s="327"/>
      <c r="F1198" s="481" t="s">
        <v>334</v>
      </c>
      <c r="G1198" s="327"/>
      <c r="H1198" s="485"/>
      <c r="I1198" s="326"/>
      <c r="J1198" s="327"/>
      <c r="K1198" s="481" t="s">
        <v>334</v>
      </c>
      <c r="L1198" s="326"/>
      <c r="M1198" s="327"/>
      <c r="N1198" s="486"/>
      <c r="O1198" s="326"/>
      <c r="P1198" s="326"/>
      <c r="Q1198" s="326"/>
      <c r="R1198" s="326"/>
      <c r="S1198" s="326"/>
      <c r="T1198" s="326"/>
      <c r="U1198" s="327"/>
    </row>
    <row r="1199" spans="1:21" ht="34.5" customHeight="1" x14ac:dyDescent="0.25">
      <c r="A1199" s="10">
        <f t="shared" si="4"/>
        <v>1185</v>
      </c>
      <c r="B1199" s="479" t="s">
        <v>303</v>
      </c>
      <c r="C1199" s="327"/>
      <c r="D1199" s="480" t="s">
        <v>303</v>
      </c>
      <c r="E1199" s="327"/>
      <c r="F1199" s="481" t="s">
        <v>334</v>
      </c>
      <c r="G1199" s="327"/>
      <c r="H1199" s="482"/>
      <c r="I1199" s="326"/>
      <c r="J1199" s="327"/>
      <c r="K1199" s="481" t="s">
        <v>334</v>
      </c>
      <c r="L1199" s="326"/>
      <c r="M1199" s="327"/>
      <c r="N1199" s="439" t="s">
        <v>303</v>
      </c>
      <c r="O1199" s="326"/>
      <c r="P1199" s="326"/>
      <c r="Q1199" s="326"/>
      <c r="R1199" s="326"/>
      <c r="S1199" s="326"/>
      <c r="T1199" s="326"/>
      <c r="U1199" s="327"/>
    </row>
    <row r="1200" spans="1:21" ht="34.5" customHeight="1" x14ac:dyDescent="0.25">
      <c r="A1200" s="10">
        <f t="shared" si="4"/>
        <v>1186</v>
      </c>
      <c r="B1200" s="483" t="s">
        <v>303</v>
      </c>
      <c r="C1200" s="327"/>
      <c r="D1200" s="484" t="s">
        <v>303</v>
      </c>
      <c r="E1200" s="327"/>
      <c r="F1200" s="481" t="s">
        <v>334</v>
      </c>
      <c r="G1200" s="327"/>
      <c r="H1200" s="485"/>
      <c r="I1200" s="326"/>
      <c r="J1200" s="327"/>
      <c r="K1200" s="481" t="s">
        <v>334</v>
      </c>
      <c r="L1200" s="326"/>
      <c r="M1200" s="327"/>
      <c r="N1200" s="486" t="s">
        <v>303</v>
      </c>
      <c r="O1200" s="326"/>
      <c r="P1200" s="326"/>
      <c r="Q1200" s="326"/>
      <c r="R1200" s="326"/>
      <c r="S1200" s="326"/>
      <c r="T1200" s="326"/>
      <c r="U1200" s="327"/>
    </row>
    <row r="1201" spans="1:21" ht="34.5" customHeight="1" x14ac:dyDescent="0.25">
      <c r="A1201" s="10">
        <f t="shared" si="4"/>
        <v>1187</v>
      </c>
      <c r="B1201" s="479" t="s">
        <v>303</v>
      </c>
      <c r="C1201" s="327"/>
      <c r="D1201" s="480" t="s">
        <v>303</v>
      </c>
      <c r="E1201" s="327"/>
      <c r="F1201" s="481" t="s">
        <v>334</v>
      </c>
      <c r="G1201" s="327"/>
      <c r="H1201" s="482"/>
      <c r="I1201" s="326"/>
      <c r="J1201" s="327"/>
      <c r="K1201" s="481" t="s">
        <v>334</v>
      </c>
      <c r="L1201" s="326"/>
      <c r="M1201" s="327"/>
      <c r="N1201" s="439" t="s">
        <v>303</v>
      </c>
      <c r="O1201" s="326"/>
      <c r="P1201" s="326"/>
      <c r="Q1201" s="326"/>
      <c r="R1201" s="326"/>
      <c r="S1201" s="326"/>
      <c r="T1201" s="326"/>
      <c r="U1201" s="327"/>
    </row>
    <row r="1202" spans="1:21" ht="34.5" customHeight="1" x14ac:dyDescent="0.25">
      <c r="A1202" s="10">
        <f t="shared" si="4"/>
        <v>1188</v>
      </c>
      <c r="B1202" s="483" t="s">
        <v>303</v>
      </c>
      <c r="C1202" s="327"/>
      <c r="D1202" s="484" t="s">
        <v>303</v>
      </c>
      <c r="E1202" s="327"/>
      <c r="F1202" s="481" t="s">
        <v>334</v>
      </c>
      <c r="G1202" s="327"/>
      <c r="H1202" s="485"/>
      <c r="I1202" s="326"/>
      <c r="J1202" s="327"/>
      <c r="K1202" s="481" t="s">
        <v>334</v>
      </c>
      <c r="L1202" s="326"/>
      <c r="M1202" s="327"/>
      <c r="N1202" s="486" t="s">
        <v>303</v>
      </c>
      <c r="O1202" s="326"/>
      <c r="P1202" s="326"/>
      <c r="Q1202" s="326"/>
      <c r="R1202" s="326"/>
      <c r="S1202" s="326"/>
      <c r="T1202" s="326"/>
      <c r="U1202" s="327"/>
    </row>
    <row r="1203" spans="1:21" ht="34.5" customHeight="1" x14ac:dyDescent="0.25">
      <c r="A1203" s="10">
        <f t="shared" si="4"/>
        <v>1189</v>
      </c>
      <c r="B1203" s="479" t="s">
        <v>303</v>
      </c>
      <c r="C1203" s="327"/>
      <c r="D1203" s="480" t="s">
        <v>303</v>
      </c>
      <c r="E1203" s="327"/>
      <c r="F1203" s="481" t="s">
        <v>334</v>
      </c>
      <c r="G1203" s="327"/>
      <c r="H1203" s="482"/>
      <c r="I1203" s="326"/>
      <c r="J1203" s="327"/>
      <c r="K1203" s="481" t="s">
        <v>334</v>
      </c>
      <c r="L1203" s="326"/>
      <c r="M1203" s="327"/>
      <c r="N1203" s="439" t="s">
        <v>303</v>
      </c>
      <c r="O1203" s="326"/>
      <c r="P1203" s="326"/>
      <c r="Q1203" s="326"/>
      <c r="R1203" s="326"/>
      <c r="S1203" s="326"/>
      <c r="T1203" s="326"/>
      <c r="U1203" s="327"/>
    </row>
    <row r="1204" spans="1:21" ht="34.5" customHeight="1" x14ac:dyDescent="0.25">
      <c r="A1204" s="10">
        <f t="shared" si="4"/>
        <v>1190</v>
      </c>
      <c r="B1204" s="483" t="s">
        <v>303</v>
      </c>
      <c r="C1204" s="327"/>
      <c r="D1204" s="484" t="s">
        <v>303</v>
      </c>
      <c r="E1204" s="327"/>
      <c r="F1204" s="481" t="s">
        <v>334</v>
      </c>
      <c r="G1204" s="327"/>
      <c r="H1204" s="485"/>
      <c r="I1204" s="326"/>
      <c r="J1204" s="327"/>
      <c r="K1204" s="481" t="s">
        <v>334</v>
      </c>
      <c r="L1204" s="326"/>
      <c r="M1204" s="327"/>
      <c r="N1204" s="486" t="s">
        <v>303</v>
      </c>
      <c r="O1204" s="326"/>
      <c r="P1204" s="326"/>
      <c r="Q1204" s="326"/>
      <c r="R1204" s="326"/>
      <c r="S1204" s="326"/>
      <c r="T1204" s="326"/>
      <c r="U1204" s="327"/>
    </row>
    <row r="1205" spans="1:21" ht="34.5" customHeight="1" x14ac:dyDescent="0.25">
      <c r="A1205" s="10">
        <f t="shared" si="4"/>
        <v>1191</v>
      </c>
      <c r="B1205" s="479" t="s">
        <v>303</v>
      </c>
      <c r="C1205" s="327"/>
      <c r="D1205" s="480" t="s">
        <v>303</v>
      </c>
      <c r="E1205" s="327"/>
      <c r="F1205" s="481" t="s">
        <v>334</v>
      </c>
      <c r="G1205" s="327"/>
      <c r="H1205" s="482"/>
      <c r="I1205" s="326"/>
      <c r="J1205" s="327"/>
      <c r="K1205" s="481" t="s">
        <v>334</v>
      </c>
      <c r="L1205" s="326"/>
      <c r="M1205" s="327"/>
      <c r="N1205" s="439" t="s">
        <v>303</v>
      </c>
      <c r="O1205" s="326"/>
      <c r="P1205" s="326"/>
      <c r="Q1205" s="326"/>
      <c r="R1205" s="326"/>
      <c r="S1205" s="326"/>
      <c r="T1205" s="326"/>
      <c r="U1205" s="327"/>
    </row>
    <row r="1206" spans="1:21" ht="34.5" customHeight="1" x14ac:dyDescent="0.25">
      <c r="A1206" s="10">
        <f t="shared" si="4"/>
        <v>1192</v>
      </c>
      <c r="B1206" s="483" t="s">
        <v>303</v>
      </c>
      <c r="C1206" s="327"/>
      <c r="D1206" s="484" t="s">
        <v>303</v>
      </c>
      <c r="E1206" s="327"/>
      <c r="F1206" s="481" t="s">
        <v>334</v>
      </c>
      <c r="G1206" s="327"/>
      <c r="H1206" s="485"/>
      <c r="I1206" s="326"/>
      <c r="J1206" s="327"/>
      <c r="K1206" s="481" t="s">
        <v>334</v>
      </c>
      <c r="L1206" s="326"/>
      <c r="M1206" s="327"/>
      <c r="N1206" s="486" t="s">
        <v>303</v>
      </c>
      <c r="O1206" s="326"/>
      <c r="P1206" s="326"/>
      <c r="Q1206" s="326"/>
      <c r="R1206" s="326"/>
      <c r="S1206" s="326"/>
      <c r="T1206" s="326"/>
      <c r="U1206" s="327"/>
    </row>
    <row r="1207" spans="1:21" ht="34.5" customHeight="1" x14ac:dyDescent="0.25">
      <c r="A1207" s="10">
        <f t="shared" si="4"/>
        <v>1193</v>
      </c>
      <c r="B1207" s="479" t="s">
        <v>303</v>
      </c>
      <c r="C1207" s="327"/>
      <c r="D1207" s="480" t="s">
        <v>303</v>
      </c>
      <c r="E1207" s="327"/>
      <c r="F1207" s="481" t="s">
        <v>334</v>
      </c>
      <c r="G1207" s="327"/>
      <c r="H1207" s="482"/>
      <c r="I1207" s="326"/>
      <c r="J1207" s="327"/>
      <c r="K1207" s="481" t="s">
        <v>334</v>
      </c>
      <c r="L1207" s="326"/>
      <c r="M1207" s="327"/>
      <c r="N1207" s="439" t="s">
        <v>303</v>
      </c>
      <c r="O1207" s="326"/>
      <c r="P1207" s="326"/>
      <c r="Q1207" s="326"/>
      <c r="R1207" s="326"/>
      <c r="S1207" s="326"/>
      <c r="T1207" s="326"/>
      <c r="U1207" s="327"/>
    </row>
    <row r="1208" spans="1:21" ht="34.5" customHeight="1" x14ac:dyDescent="0.25">
      <c r="A1208" s="10">
        <f t="shared" si="4"/>
        <v>1194</v>
      </c>
      <c r="B1208" s="483" t="s">
        <v>303</v>
      </c>
      <c r="C1208" s="327"/>
      <c r="D1208" s="484" t="s">
        <v>303</v>
      </c>
      <c r="E1208" s="327"/>
      <c r="F1208" s="481" t="s">
        <v>334</v>
      </c>
      <c r="G1208" s="327"/>
      <c r="H1208" s="485"/>
      <c r="I1208" s="326"/>
      <c r="J1208" s="327"/>
      <c r="K1208" s="481" t="s">
        <v>334</v>
      </c>
      <c r="L1208" s="326"/>
      <c r="M1208" s="327"/>
      <c r="N1208" s="486" t="s">
        <v>303</v>
      </c>
      <c r="O1208" s="326"/>
      <c r="P1208" s="326"/>
      <c r="Q1208" s="326"/>
      <c r="R1208" s="326"/>
      <c r="S1208" s="326"/>
      <c r="T1208" s="326"/>
      <c r="U1208" s="327"/>
    </row>
    <row r="1209" spans="1:21" ht="34.5" customHeight="1" x14ac:dyDescent="0.25">
      <c r="A1209" s="10">
        <f t="shared" si="4"/>
        <v>1195</v>
      </c>
      <c r="B1209" s="479" t="s">
        <v>303</v>
      </c>
      <c r="C1209" s="327"/>
      <c r="D1209" s="480" t="s">
        <v>303</v>
      </c>
      <c r="E1209" s="327"/>
      <c r="F1209" s="481" t="s">
        <v>334</v>
      </c>
      <c r="G1209" s="327"/>
      <c r="H1209" s="482"/>
      <c r="I1209" s="326"/>
      <c r="J1209" s="327"/>
      <c r="K1209" s="481" t="s">
        <v>334</v>
      </c>
      <c r="L1209" s="326"/>
      <c r="M1209" s="327"/>
      <c r="N1209" s="439" t="s">
        <v>303</v>
      </c>
      <c r="O1209" s="326"/>
      <c r="P1209" s="326"/>
      <c r="Q1209" s="326"/>
      <c r="R1209" s="326"/>
      <c r="S1209" s="326"/>
      <c r="T1209" s="326"/>
      <c r="U1209" s="327"/>
    </row>
    <row r="1210" spans="1:21" ht="34.5" customHeight="1" x14ac:dyDescent="0.25">
      <c r="A1210" s="10">
        <f t="shared" si="4"/>
        <v>1196</v>
      </c>
      <c r="B1210" s="483" t="s">
        <v>303</v>
      </c>
      <c r="C1210" s="327"/>
      <c r="D1210" s="484" t="s">
        <v>303</v>
      </c>
      <c r="E1210" s="327"/>
      <c r="F1210" s="481" t="s">
        <v>334</v>
      </c>
      <c r="G1210" s="327"/>
      <c r="H1210" s="485"/>
      <c r="I1210" s="326"/>
      <c r="J1210" s="327"/>
      <c r="K1210" s="481" t="s">
        <v>334</v>
      </c>
      <c r="L1210" s="326"/>
      <c r="M1210" s="327"/>
      <c r="N1210" s="486" t="s">
        <v>303</v>
      </c>
      <c r="O1210" s="326"/>
      <c r="P1210" s="326"/>
      <c r="Q1210" s="326"/>
      <c r="R1210" s="326"/>
      <c r="S1210" s="326"/>
      <c r="T1210" s="326"/>
      <c r="U1210" s="327"/>
    </row>
    <row r="1211" spans="1:21" ht="34.5" customHeight="1" x14ac:dyDescent="0.25">
      <c r="A1211" s="10">
        <f t="shared" si="4"/>
        <v>1197</v>
      </c>
      <c r="B1211" s="479" t="s">
        <v>303</v>
      </c>
      <c r="C1211" s="327"/>
      <c r="D1211" s="480" t="s">
        <v>303</v>
      </c>
      <c r="E1211" s="327"/>
      <c r="F1211" s="481" t="s">
        <v>334</v>
      </c>
      <c r="G1211" s="327"/>
      <c r="H1211" s="482"/>
      <c r="I1211" s="326"/>
      <c r="J1211" s="327"/>
      <c r="K1211" s="481" t="s">
        <v>334</v>
      </c>
      <c r="L1211" s="326"/>
      <c r="M1211" s="327"/>
      <c r="N1211" s="439" t="s">
        <v>303</v>
      </c>
      <c r="O1211" s="326"/>
      <c r="P1211" s="326"/>
      <c r="Q1211" s="326"/>
      <c r="R1211" s="326"/>
      <c r="S1211" s="326"/>
      <c r="T1211" s="326"/>
      <c r="U1211" s="327"/>
    </row>
    <row r="1212" spans="1:21" ht="34.5" customHeight="1" x14ac:dyDescent="0.25">
      <c r="A1212" s="10">
        <f t="shared" si="4"/>
        <v>1198</v>
      </c>
      <c r="B1212" s="483" t="s">
        <v>303</v>
      </c>
      <c r="C1212" s="327"/>
      <c r="D1212" s="484" t="s">
        <v>303</v>
      </c>
      <c r="E1212" s="327"/>
      <c r="F1212" s="481" t="s">
        <v>334</v>
      </c>
      <c r="G1212" s="327"/>
      <c r="H1212" s="485"/>
      <c r="I1212" s="326"/>
      <c r="J1212" s="327"/>
      <c r="K1212" s="481" t="s">
        <v>334</v>
      </c>
      <c r="L1212" s="326"/>
      <c r="M1212" s="327"/>
      <c r="N1212" s="486" t="s">
        <v>303</v>
      </c>
      <c r="O1212" s="326"/>
      <c r="P1212" s="326"/>
      <c r="Q1212" s="326"/>
      <c r="R1212" s="326"/>
      <c r="S1212" s="326"/>
      <c r="T1212" s="326"/>
      <c r="U1212" s="327"/>
    </row>
    <row r="1213" spans="1:21" ht="34.5" customHeight="1" x14ac:dyDescent="0.25">
      <c r="A1213" s="10">
        <f t="shared" si="4"/>
        <v>1199</v>
      </c>
      <c r="B1213" s="479" t="s">
        <v>303</v>
      </c>
      <c r="C1213" s="327"/>
      <c r="D1213" s="480" t="s">
        <v>303</v>
      </c>
      <c r="E1213" s="327"/>
      <c r="F1213" s="481" t="s">
        <v>334</v>
      </c>
      <c r="G1213" s="327"/>
      <c r="H1213" s="482"/>
      <c r="I1213" s="326"/>
      <c r="J1213" s="327"/>
      <c r="K1213" s="481" t="s">
        <v>334</v>
      </c>
      <c r="L1213" s="326"/>
      <c r="M1213" s="327"/>
      <c r="N1213" s="439" t="s">
        <v>303</v>
      </c>
      <c r="O1213" s="326"/>
      <c r="P1213" s="326"/>
      <c r="Q1213" s="326"/>
      <c r="R1213" s="326"/>
      <c r="S1213" s="326"/>
      <c r="T1213" s="326"/>
      <c r="U1213" s="327"/>
    </row>
    <row r="1214" spans="1:21" ht="34.5" customHeight="1" x14ac:dyDescent="0.25">
      <c r="A1214" s="10">
        <f t="shared" si="4"/>
        <v>1200</v>
      </c>
      <c r="B1214" s="483" t="s">
        <v>303</v>
      </c>
      <c r="C1214" s="327"/>
      <c r="D1214" s="484" t="s">
        <v>303</v>
      </c>
      <c r="E1214" s="327"/>
      <c r="F1214" s="481" t="s">
        <v>334</v>
      </c>
      <c r="G1214" s="327"/>
      <c r="H1214" s="485"/>
      <c r="I1214" s="326"/>
      <c r="J1214" s="327"/>
      <c r="K1214" s="481" t="s">
        <v>334</v>
      </c>
      <c r="L1214" s="326"/>
      <c r="M1214" s="327"/>
      <c r="N1214" s="486" t="s">
        <v>303</v>
      </c>
      <c r="O1214" s="326"/>
      <c r="P1214" s="326"/>
      <c r="Q1214" s="326"/>
      <c r="R1214" s="326"/>
      <c r="S1214" s="326"/>
      <c r="T1214" s="326"/>
      <c r="U1214" s="327"/>
    </row>
    <row r="1215" spans="1:21" ht="34.5" customHeight="1" x14ac:dyDescent="0.25">
      <c r="A1215" s="10">
        <f t="shared" si="4"/>
        <v>1201</v>
      </c>
      <c r="B1215" s="479" t="s">
        <v>303</v>
      </c>
      <c r="C1215" s="327"/>
      <c r="D1215" s="480" t="s">
        <v>303</v>
      </c>
      <c r="E1215" s="327"/>
      <c r="F1215" s="481" t="s">
        <v>334</v>
      </c>
      <c r="G1215" s="327"/>
      <c r="H1215" s="482"/>
      <c r="I1215" s="326"/>
      <c r="J1215" s="327"/>
      <c r="K1215" s="481" t="s">
        <v>334</v>
      </c>
      <c r="L1215" s="326"/>
      <c r="M1215" s="327"/>
      <c r="N1215" s="439" t="s">
        <v>303</v>
      </c>
      <c r="O1215" s="326"/>
      <c r="P1215" s="326"/>
      <c r="Q1215" s="326"/>
      <c r="R1215" s="326"/>
      <c r="S1215" s="326"/>
      <c r="T1215" s="326"/>
      <c r="U1215" s="327"/>
    </row>
    <row r="1216" spans="1:21" ht="34.5" customHeight="1" x14ac:dyDescent="0.25">
      <c r="A1216" s="10">
        <f t="shared" si="4"/>
        <v>1202</v>
      </c>
      <c r="B1216" s="483" t="s">
        <v>303</v>
      </c>
      <c r="C1216" s="327"/>
      <c r="D1216" s="484" t="s">
        <v>303</v>
      </c>
      <c r="E1216" s="327"/>
      <c r="F1216" s="481" t="s">
        <v>334</v>
      </c>
      <c r="G1216" s="327"/>
      <c r="H1216" s="485"/>
      <c r="I1216" s="326"/>
      <c r="J1216" s="327"/>
      <c r="K1216" s="481" t="s">
        <v>334</v>
      </c>
      <c r="L1216" s="326"/>
      <c r="M1216" s="327"/>
      <c r="N1216" s="486" t="s">
        <v>303</v>
      </c>
      <c r="O1216" s="326"/>
      <c r="P1216" s="326"/>
      <c r="Q1216" s="326"/>
      <c r="R1216" s="326"/>
      <c r="S1216" s="326"/>
      <c r="T1216" s="326"/>
      <c r="U1216" s="327"/>
    </row>
    <row r="1217" spans="1:21" ht="34.5" customHeight="1" x14ac:dyDescent="0.25">
      <c r="A1217" s="10">
        <f t="shared" si="4"/>
        <v>1203</v>
      </c>
      <c r="B1217" s="479" t="s">
        <v>303</v>
      </c>
      <c r="C1217" s="327"/>
      <c r="D1217" s="480" t="s">
        <v>303</v>
      </c>
      <c r="E1217" s="327"/>
      <c r="F1217" s="481" t="s">
        <v>334</v>
      </c>
      <c r="G1217" s="327"/>
      <c r="H1217" s="482"/>
      <c r="I1217" s="326"/>
      <c r="J1217" s="327"/>
      <c r="K1217" s="481" t="s">
        <v>334</v>
      </c>
      <c r="L1217" s="326"/>
      <c r="M1217" s="327"/>
      <c r="N1217" s="439" t="s">
        <v>303</v>
      </c>
      <c r="O1217" s="326"/>
      <c r="P1217" s="326"/>
      <c r="Q1217" s="326"/>
      <c r="R1217" s="326"/>
      <c r="S1217" s="326"/>
      <c r="T1217" s="326"/>
      <c r="U1217" s="327"/>
    </row>
    <row r="1218" spans="1:21" ht="34.5" customHeight="1" x14ac:dyDescent="0.25">
      <c r="A1218" s="10">
        <f t="shared" si="4"/>
        <v>1204</v>
      </c>
      <c r="B1218" s="483" t="s">
        <v>303</v>
      </c>
      <c r="C1218" s="327"/>
      <c r="D1218" s="484" t="s">
        <v>303</v>
      </c>
      <c r="E1218" s="327"/>
      <c r="F1218" s="481" t="s">
        <v>334</v>
      </c>
      <c r="G1218" s="327"/>
      <c r="H1218" s="485"/>
      <c r="I1218" s="326"/>
      <c r="J1218" s="327"/>
      <c r="K1218" s="481" t="s">
        <v>334</v>
      </c>
      <c r="L1218" s="326"/>
      <c r="M1218" s="327"/>
      <c r="N1218" s="486" t="s">
        <v>303</v>
      </c>
      <c r="O1218" s="326"/>
      <c r="P1218" s="326"/>
      <c r="Q1218" s="326"/>
      <c r="R1218" s="326"/>
      <c r="S1218" s="326"/>
      <c r="T1218" s="326"/>
      <c r="U1218" s="327"/>
    </row>
    <row r="1219" spans="1:21" ht="34.5" customHeight="1" x14ac:dyDescent="0.25">
      <c r="A1219" s="10">
        <f t="shared" si="4"/>
        <v>1205</v>
      </c>
      <c r="B1219" s="479" t="s">
        <v>303</v>
      </c>
      <c r="C1219" s="327"/>
      <c r="D1219" s="480" t="s">
        <v>303</v>
      </c>
      <c r="E1219" s="327"/>
      <c r="F1219" s="481" t="s">
        <v>334</v>
      </c>
      <c r="G1219" s="327"/>
      <c r="H1219" s="482"/>
      <c r="I1219" s="326"/>
      <c r="J1219" s="327"/>
      <c r="K1219" s="481" t="s">
        <v>334</v>
      </c>
      <c r="L1219" s="326"/>
      <c r="M1219" s="327"/>
      <c r="N1219" s="439" t="s">
        <v>303</v>
      </c>
      <c r="O1219" s="326"/>
      <c r="P1219" s="326"/>
      <c r="Q1219" s="326"/>
      <c r="R1219" s="326"/>
      <c r="S1219" s="326"/>
      <c r="T1219" s="326"/>
      <c r="U1219" s="327"/>
    </row>
    <row r="1220" spans="1:21" ht="34.5" customHeight="1" x14ac:dyDescent="0.25">
      <c r="A1220" s="10">
        <f t="shared" si="4"/>
        <v>1206</v>
      </c>
      <c r="B1220" s="483" t="s">
        <v>303</v>
      </c>
      <c r="C1220" s="327"/>
      <c r="D1220" s="484" t="s">
        <v>303</v>
      </c>
      <c r="E1220" s="327"/>
      <c r="F1220" s="481" t="s">
        <v>334</v>
      </c>
      <c r="G1220" s="327"/>
      <c r="H1220" s="485"/>
      <c r="I1220" s="326"/>
      <c r="J1220" s="327"/>
      <c r="K1220" s="481" t="s">
        <v>334</v>
      </c>
      <c r="L1220" s="326"/>
      <c r="M1220" s="327"/>
      <c r="N1220" s="486" t="s">
        <v>303</v>
      </c>
      <c r="O1220" s="326"/>
      <c r="P1220" s="326"/>
      <c r="Q1220" s="326"/>
      <c r="R1220" s="326"/>
      <c r="S1220" s="326"/>
      <c r="T1220" s="326"/>
      <c r="U1220" s="327"/>
    </row>
    <row r="1221" spans="1:21" ht="34.5" customHeight="1" x14ac:dyDescent="0.25">
      <c r="A1221" s="10">
        <f t="shared" si="4"/>
        <v>1207</v>
      </c>
      <c r="B1221" s="479" t="s">
        <v>303</v>
      </c>
      <c r="C1221" s="327"/>
      <c r="D1221" s="480" t="s">
        <v>303</v>
      </c>
      <c r="E1221" s="327"/>
      <c r="F1221" s="481" t="s">
        <v>334</v>
      </c>
      <c r="G1221" s="327"/>
      <c r="H1221" s="482"/>
      <c r="I1221" s="326"/>
      <c r="J1221" s="327"/>
      <c r="K1221" s="481" t="s">
        <v>334</v>
      </c>
      <c r="L1221" s="326"/>
      <c r="M1221" s="327"/>
      <c r="N1221" s="439" t="s">
        <v>303</v>
      </c>
      <c r="O1221" s="326"/>
      <c r="P1221" s="326"/>
      <c r="Q1221" s="326"/>
      <c r="R1221" s="326"/>
      <c r="S1221" s="326"/>
      <c r="T1221" s="326"/>
      <c r="U1221" s="327"/>
    </row>
    <row r="1222" spans="1:21" ht="34.5" customHeight="1" x14ac:dyDescent="0.25">
      <c r="A1222" s="10">
        <f t="shared" si="4"/>
        <v>1208</v>
      </c>
      <c r="B1222" s="483" t="s">
        <v>303</v>
      </c>
      <c r="C1222" s="327"/>
      <c r="D1222" s="484" t="s">
        <v>303</v>
      </c>
      <c r="E1222" s="327"/>
      <c r="F1222" s="481" t="s">
        <v>334</v>
      </c>
      <c r="G1222" s="327"/>
      <c r="H1222" s="485"/>
      <c r="I1222" s="326"/>
      <c r="J1222" s="327"/>
      <c r="K1222" s="481" t="s">
        <v>334</v>
      </c>
      <c r="L1222" s="326"/>
      <c r="M1222" s="327"/>
      <c r="N1222" s="486" t="s">
        <v>303</v>
      </c>
      <c r="O1222" s="326"/>
      <c r="P1222" s="326"/>
      <c r="Q1222" s="326"/>
      <c r="R1222" s="326"/>
      <c r="S1222" s="326"/>
      <c r="T1222" s="326"/>
      <c r="U1222" s="327"/>
    </row>
    <row r="1223" spans="1:21" ht="34.5" customHeight="1" x14ac:dyDescent="0.25">
      <c r="A1223" s="10">
        <f t="shared" si="4"/>
        <v>1209</v>
      </c>
      <c r="B1223" s="479" t="s">
        <v>303</v>
      </c>
      <c r="C1223" s="327"/>
      <c r="D1223" s="480" t="s">
        <v>303</v>
      </c>
      <c r="E1223" s="327"/>
      <c r="F1223" s="481" t="s">
        <v>334</v>
      </c>
      <c r="G1223" s="327"/>
      <c r="H1223" s="482"/>
      <c r="I1223" s="326"/>
      <c r="J1223" s="327"/>
      <c r="K1223" s="481" t="s">
        <v>334</v>
      </c>
      <c r="L1223" s="326"/>
      <c r="M1223" s="327"/>
      <c r="N1223" s="439" t="s">
        <v>303</v>
      </c>
      <c r="O1223" s="326"/>
      <c r="P1223" s="326"/>
      <c r="Q1223" s="326"/>
      <c r="R1223" s="326"/>
      <c r="S1223" s="326"/>
      <c r="T1223" s="326"/>
      <c r="U1223" s="327"/>
    </row>
    <row r="1224" spans="1:21" ht="34.5" customHeight="1" x14ac:dyDescent="0.25">
      <c r="A1224" s="10">
        <f t="shared" si="4"/>
        <v>1210</v>
      </c>
      <c r="B1224" s="483" t="s">
        <v>303</v>
      </c>
      <c r="C1224" s="327"/>
      <c r="D1224" s="484" t="s">
        <v>303</v>
      </c>
      <c r="E1224" s="327"/>
      <c r="F1224" s="481" t="s">
        <v>334</v>
      </c>
      <c r="G1224" s="327"/>
      <c r="H1224" s="485"/>
      <c r="I1224" s="326"/>
      <c r="J1224" s="327"/>
      <c r="K1224" s="481" t="s">
        <v>334</v>
      </c>
      <c r="L1224" s="326"/>
      <c r="M1224" s="327"/>
      <c r="N1224" s="486" t="s">
        <v>303</v>
      </c>
      <c r="O1224" s="326"/>
      <c r="P1224" s="326"/>
      <c r="Q1224" s="326"/>
      <c r="R1224" s="326"/>
      <c r="S1224" s="326"/>
      <c r="T1224" s="326"/>
      <c r="U1224" s="327"/>
    </row>
    <row r="1225" spans="1:21" ht="34.5" customHeight="1" x14ac:dyDescent="0.25">
      <c r="A1225" s="10">
        <f t="shared" si="4"/>
        <v>1211</v>
      </c>
      <c r="B1225" s="479" t="s">
        <v>303</v>
      </c>
      <c r="C1225" s="327"/>
      <c r="D1225" s="480" t="s">
        <v>303</v>
      </c>
      <c r="E1225" s="327"/>
      <c r="F1225" s="481" t="s">
        <v>334</v>
      </c>
      <c r="G1225" s="327"/>
      <c r="H1225" s="482"/>
      <c r="I1225" s="326"/>
      <c r="J1225" s="327"/>
      <c r="K1225" s="481" t="s">
        <v>334</v>
      </c>
      <c r="L1225" s="326"/>
      <c r="M1225" s="327"/>
      <c r="N1225" s="439" t="s">
        <v>303</v>
      </c>
      <c r="O1225" s="326"/>
      <c r="P1225" s="326"/>
      <c r="Q1225" s="326"/>
      <c r="R1225" s="326"/>
      <c r="S1225" s="326"/>
      <c r="T1225" s="326"/>
      <c r="U1225" s="327"/>
    </row>
    <row r="1226" spans="1:21" ht="34.5" customHeight="1" x14ac:dyDescent="0.25">
      <c r="A1226" s="10">
        <f t="shared" si="4"/>
        <v>1212</v>
      </c>
      <c r="B1226" s="483" t="s">
        <v>303</v>
      </c>
      <c r="C1226" s="327"/>
      <c r="D1226" s="484" t="s">
        <v>303</v>
      </c>
      <c r="E1226" s="327"/>
      <c r="F1226" s="481" t="s">
        <v>334</v>
      </c>
      <c r="G1226" s="327"/>
      <c r="H1226" s="485"/>
      <c r="I1226" s="326"/>
      <c r="J1226" s="327"/>
      <c r="K1226" s="481" t="s">
        <v>334</v>
      </c>
      <c r="L1226" s="326"/>
      <c r="M1226" s="327"/>
      <c r="N1226" s="486" t="s">
        <v>303</v>
      </c>
      <c r="O1226" s="326"/>
      <c r="P1226" s="326"/>
      <c r="Q1226" s="326"/>
      <c r="R1226" s="326"/>
      <c r="S1226" s="326"/>
      <c r="T1226" s="326"/>
      <c r="U1226" s="327"/>
    </row>
    <row r="1227" spans="1:21" ht="34.5" customHeight="1" x14ac:dyDescent="0.25">
      <c r="A1227" s="10">
        <f t="shared" si="4"/>
        <v>1213</v>
      </c>
      <c r="B1227" s="479" t="s">
        <v>303</v>
      </c>
      <c r="C1227" s="327"/>
      <c r="D1227" s="480" t="s">
        <v>303</v>
      </c>
      <c r="E1227" s="327"/>
      <c r="F1227" s="481" t="s">
        <v>334</v>
      </c>
      <c r="G1227" s="327"/>
      <c r="H1227" s="482"/>
      <c r="I1227" s="326"/>
      <c r="J1227" s="327"/>
      <c r="K1227" s="481" t="s">
        <v>334</v>
      </c>
      <c r="L1227" s="326"/>
      <c r="M1227" s="327"/>
      <c r="N1227" s="439" t="s">
        <v>303</v>
      </c>
      <c r="O1227" s="326"/>
      <c r="P1227" s="326"/>
      <c r="Q1227" s="326"/>
      <c r="R1227" s="326"/>
      <c r="S1227" s="326"/>
      <c r="T1227" s="326"/>
      <c r="U1227" s="327"/>
    </row>
    <row r="1228" spans="1:21" ht="34.5" customHeight="1" x14ac:dyDescent="0.25">
      <c r="A1228" s="10">
        <f t="shared" si="4"/>
        <v>1214</v>
      </c>
      <c r="B1228" s="483" t="s">
        <v>303</v>
      </c>
      <c r="C1228" s="327"/>
      <c r="D1228" s="484" t="s">
        <v>303</v>
      </c>
      <c r="E1228" s="327"/>
      <c r="F1228" s="481" t="s">
        <v>334</v>
      </c>
      <c r="G1228" s="327"/>
      <c r="H1228" s="485"/>
      <c r="I1228" s="326"/>
      <c r="J1228" s="327"/>
      <c r="K1228" s="481" t="s">
        <v>334</v>
      </c>
      <c r="L1228" s="326"/>
      <c r="M1228" s="327"/>
      <c r="N1228" s="486" t="s">
        <v>303</v>
      </c>
      <c r="O1228" s="326"/>
      <c r="P1228" s="326"/>
      <c r="Q1228" s="326"/>
      <c r="R1228" s="326"/>
      <c r="S1228" s="326"/>
      <c r="T1228" s="326"/>
      <c r="U1228" s="327"/>
    </row>
    <row r="1229" spans="1:21" ht="34.5" customHeight="1" x14ac:dyDescent="0.25">
      <c r="A1229" s="10">
        <f t="shared" si="4"/>
        <v>1215</v>
      </c>
      <c r="B1229" s="479" t="s">
        <v>303</v>
      </c>
      <c r="C1229" s="327"/>
      <c r="D1229" s="480" t="s">
        <v>303</v>
      </c>
      <c r="E1229" s="327"/>
      <c r="F1229" s="481" t="s">
        <v>334</v>
      </c>
      <c r="G1229" s="327"/>
      <c r="H1229" s="482"/>
      <c r="I1229" s="326"/>
      <c r="J1229" s="327"/>
      <c r="K1229" s="481" t="s">
        <v>334</v>
      </c>
      <c r="L1229" s="326"/>
      <c r="M1229" s="327"/>
      <c r="N1229" s="439" t="s">
        <v>303</v>
      </c>
      <c r="O1229" s="326"/>
      <c r="P1229" s="326"/>
      <c r="Q1229" s="326"/>
      <c r="R1229" s="326"/>
      <c r="S1229" s="326"/>
      <c r="T1229" s="326"/>
      <c r="U1229" s="327"/>
    </row>
    <row r="1230" spans="1:21" ht="34.5" customHeight="1" x14ac:dyDescent="0.25">
      <c r="A1230" s="10">
        <f t="shared" si="4"/>
        <v>1216</v>
      </c>
      <c r="B1230" s="483" t="s">
        <v>303</v>
      </c>
      <c r="C1230" s="327"/>
      <c r="D1230" s="484" t="s">
        <v>303</v>
      </c>
      <c r="E1230" s="327"/>
      <c r="F1230" s="481" t="s">
        <v>334</v>
      </c>
      <c r="G1230" s="327"/>
      <c r="H1230" s="485"/>
      <c r="I1230" s="326"/>
      <c r="J1230" s="327"/>
      <c r="K1230" s="481" t="s">
        <v>334</v>
      </c>
      <c r="L1230" s="326"/>
      <c r="M1230" s="327"/>
      <c r="N1230" s="486" t="s">
        <v>303</v>
      </c>
      <c r="O1230" s="326"/>
      <c r="P1230" s="326"/>
      <c r="Q1230" s="326"/>
      <c r="R1230" s="326"/>
      <c r="S1230" s="326"/>
      <c r="T1230" s="326"/>
      <c r="U1230" s="327"/>
    </row>
    <row r="1231" spans="1:21" ht="34.5" customHeight="1" x14ac:dyDescent="0.25">
      <c r="A1231" s="10">
        <f t="shared" si="4"/>
        <v>1217</v>
      </c>
      <c r="B1231" s="479" t="s">
        <v>303</v>
      </c>
      <c r="C1231" s="327"/>
      <c r="D1231" s="480" t="s">
        <v>303</v>
      </c>
      <c r="E1231" s="327"/>
      <c r="F1231" s="481" t="s">
        <v>334</v>
      </c>
      <c r="G1231" s="327"/>
      <c r="H1231" s="482"/>
      <c r="I1231" s="326"/>
      <c r="J1231" s="327"/>
      <c r="K1231" s="481" t="s">
        <v>334</v>
      </c>
      <c r="L1231" s="326"/>
      <c r="M1231" s="327"/>
      <c r="N1231" s="439" t="s">
        <v>303</v>
      </c>
      <c r="O1231" s="326"/>
      <c r="P1231" s="326"/>
      <c r="Q1231" s="326"/>
      <c r="R1231" s="326"/>
      <c r="S1231" s="326"/>
      <c r="T1231" s="326"/>
      <c r="U1231" s="327"/>
    </row>
    <row r="1232" spans="1:21" ht="34.5" customHeight="1" x14ac:dyDescent="0.25">
      <c r="A1232" s="10">
        <f t="shared" si="4"/>
        <v>1218</v>
      </c>
      <c r="B1232" s="483" t="s">
        <v>303</v>
      </c>
      <c r="C1232" s="327"/>
      <c r="D1232" s="484" t="s">
        <v>303</v>
      </c>
      <c r="E1232" s="327"/>
      <c r="F1232" s="481" t="s">
        <v>334</v>
      </c>
      <c r="G1232" s="327"/>
      <c r="H1232" s="485"/>
      <c r="I1232" s="326"/>
      <c r="J1232" s="327"/>
      <c r="K1232" s="481" t="s">
        <v>334</v>
      </c>
      <c r="L1232" s="326"/>
      <c r="M1232" s="327"/>
      <c r="N1232" s="486" t="s">
        <v>303</v>
      </c>
      <c r="O1232" s="326"/>
      <c r="P1232" s="326"/>
      <c r="Q1232" s="326"/>
      <c r="R1232" s="326"/>
      <c r="S1232" s="326"/>
      <c r="T1232" s="326"/>
      <c r="U1232" s="327"/>
    </row>
    <row r="1233" spans="1:21" ht="34.5" customHeight="1" x14ac:dyDescent="0.25">
      <c r="A1233" s="10">
        <f t="shared" si="4"/>
        <v>1219</v>
      </c>
      <c r="B1233" s="479" t="s">
        <v>303</v>
      </c>
      <c r="C1233" s="327"/>
      <c r="D1233" s="480" t="s">
        <v>303</v>
      </c>
      <c r="E1233" s="327"/>
      <c r="F1233" s="481" t="s">
        <v>334</v>
      </c>
      <c r="G1233" s="327"/>
      <c r="H1233" s="482"/>
      <c r="I1233" s="326"/>
      <c r="J1233" s="327"/>
      <c r="K1233" s="481" t="s">
        <v>334</v>
      </c>
      <c r="L1233" s="326"/>
      <c r="M1233" s="327"/>
      <c r="N1233" s="439" t="s">
        <v>303</v>
      </c>
      <c r="O1233" s="326"/>
      <c r="P1233" s="326"/>
      <c r="Q1233" s="326"/>
      <c r="R1233" s="326"/>
      <c r="S1233" s="326"/>
      <c r="T1233" s="326"/>
      <c r="U1233" s="327"/>
    </row>
    <row r="1234" spans="1:21" ht="34.5" customHeight="1" x14ac:dyDescent="0.25">
      <c r="A1234" s="10">
        <f t="shared" si="4"/>
        <v>1220</v>
      </c>
      <c r="B1234" s="483" t="s">
        <v>303</v>
      </c>
      <c r="C1234" s="327"/>
      <c r="D1234" s="484" t="s">
        <v>303</v>
      </c>
      <c r="E1234" s="327"/>
      <c r="F1234" s="481" t="s">
        <v>334</v>
      </c>
      <c r="G1234" s="327"/>
      <c r="H1234" s="485"/>
      <c r="I1234" s="326"/>
      <c r="J1234" s="327"/>
      <c r="K1234" s="481" t="s">
        <v>334</v>
      </c>
      <c r="L1234" s="326"/>
      <c r="M1234" s="327"/>
      <c r="N1234" s="486" t="s">
        <v>303</v>
      </c>
      <c r="O1234" s="326"/>
      <c r="P1234" s="326"/>
      <c r="Q1234" s="326"/>
      <c r="R1234" s="326"/>
      <c r="S1234" s="326"/>
      <c r="T1234" s="326"/>
      <c r="U1234" s="327"/>
    </row>
    <row r="1235" spans="1:21" ht="34.5" customHeight="1" x14ac:dyDescent="0.25">
      <c r="A1235" s="10">
        <f t="shared" si="4"/>
        <v>1221</v>
      </c>
      <c r="B1235" s="479" t="s">
        <v>303</v>
      </c>
      <c r="C1235" s="327"/>
      <c r="D1235" s="480" t="s">
        <v>303</v>
      </c>
      <c r="E1235" s="327"/>
      <c r="F1235" s="481" t="s">
        <v>334</v>
      </c>
      <c r="G1235" s="327"/>
      <c r="H1235" s="482"/>
      <c r="I1235" s="326"/>
      <c r="J1235" s="327"/>
      <c r="K1235" s="481" t="s">
        <v>334</v>
      </c>
      <c r="L1235" s="326"/>
      <c r="M1235" s="327"/>
      <c r="N1235" s="439" t="s">
        <v>303</v>
      </c>
      <c r="O1235" s="326"/>
      <c r="P1235" s="326"/>
      <c r="Q1235" s="326"/>
      <c r="R1235" s="326"/>
      <c r="S1235" s="326"/>
      <c r="T1235" s="326"/>
      <c r="U1235" s="327"/>
    </row>
    <row r="1236" spans="1:21" ht="34.5" customHeight="1" x14ac:dyDescent="0.25">
      <c r="A1236" s="10">
        <f t="shared" si="4"/>
        <v>1222</v>
      </c>
      <c r="B1236" s="483" t="s">
        <v>303</v>
      </c>
      <c r="C1236" s="327"/>
      <c r="D1236" s="484" t="s">
        <v>303</v>
      </c>
      <c r="E1236" s="327"/>
      <c r="F1236" s="481" t="s">
        <v>334</v>
      </c>
      <c r="G1236" s="327"/>
      <c r="H1236" s="485"/>
      <c r="I1236" s="326"/>
      <c r="J1236" s="327"/>
      <c r="K1236" s="481" t="s">
        <v>334</v>
      </c>
      <c r="L1236" s="326"/>
      <c r="M1236" s="327"/>
      <c r="N1236" s="486" t="s">
        <v>303</v>
      </c>
      <c r="O1236" s="326"/>
      <c r="P1236" s="326"/>
      <c r="Q1236" s="326"/>
      <c r="R1236" s="326"/>
      <c r="S1236" s="326"/>
      <c r="T1236" s="326"/>
      <c r="U1236" s="327"/>
    </row>
    <row r="1237" spans="1:21" ht="34.5" customHeight="1" x14ac:dyDescent="0.25">
      <c r="A1237" s="10">
        <f t="shared" si="4"/>
        <v>1223</v>
      </c>
      <c r="B1237" s="479" t="s">
        <v>303</v>
      </c>
      <c r="C1237" s="327"/>
      <c r="D1237" s="480" t="s">
        <v>303</v>
      </c>
      <c r="E1237" s="327"/>
      <c r="F1237" s="481" t="s">
        <v>334</v>
      </c>
      <c r="G1237" s="327"/>
      <c r="H1237" s="482"/>
      <c r="I1237" s="326"/>
      <c r="J1237" s="327"/>
      <c r="K1237" s="481" t="s">
        <v>334</v>
      </c>
      <c r="L1237" s="326"/>
      <c r="M1237" s="327"/>
      <c r="N1237" s="439" t="s">
        <v>303</v>
      </c>
      <c r="O1237" s="326"/>
      <c r="P1237" s="326"/>
      <c r="Q1237" s="326"/>
      <c r="R1237" s="326"/>
      <c r="S1237" s="326"/>
      <c r="T1237" s="326"/>
      <c r="U1237" s="327"/>
    </row>
    <row r="1238" spans="1:21" ht="34.5" customHeight="1" x14ac:dyDescent="0.25">
      <c r="A1238" s="10">
        <f t="shared" si="4"/>
        <v>1224</v>
      </c>
      <c r="B1238" s="483" t="s">
        <v>303</v>
      </c>
      <c r="C1238" s="327"/>
      <c r="D1238" s="484" t="s">
        <v>303</v>
      </c>
      <c r="E1238" s="327"/>
      <c r="F1238" s="481" t="s">
        <v>334</v>
      </c>
      <c r="G1238" s="327"/>
      <c r="H1238" s="485"/>
      <c r="I1238" s="326"/>
      <c r="J1238" s="327"/>
      <c r="K1238" s="481" t="s">
        <v>334</v>
      </c>
      <c r="L1238" s="326"/>
      <c r="M1238" s="327"/>
      <c r="N1238" s="486" t="s">
        <v>303</v>
      </c>
      <c r="O1238" s="326"/>
      <c r="P1238" s="326"/>
      <c r="Q1238" s="326"/>
      <c r="R1238" s="326"/>
      <c r="S1238" s="326"/>
      <c r="T1238" s="326"/>
      <c r="U1238" s="327"/>
    </row>
    <row r="1239" spans="1:21" ht="34.5" customHeight="1" x14ac:dyDescent="0.25">
      <c r="A1239" s="10">
        <f t="shared" si="4"/>
        <v>1225</v>
      </c>
      <c r="B1239" s="479" t="s">
        <v>303</v>
      </c>
      <c r="C1239" s="327"/>
      <c r="D1239" s="480" t="s">
        <v>303</v>
      </c>
      <c r="E1239" s="327"/>
      <c r="F1239" s="481" t="s">
        <v>334</v>
      </c>
      <c r="G1239" s="327"/>
      <c r="H1239" s="482"/>
      <c r="I1239" s="326"/>
      <c r="J1239" s="327"/>
      <c r="K1239" s="481" t="s">
        <v>334</v>
      </c>
      <c r="L1239" s="326"/>
      <c r="M1239" s="327"/>
      <c r="N1239" s="439" t="s">
        <v>303</v>
      </c>
      <c r="O1239" s="326"/>
      <c r="P1239" s="326"/>
      <c r="Q1239" s="326"/>
      <c r="R1239" s="326"/>
      <c r="S1239" s="326"/>
      <c r="T1239" s="326"/>
      <c r="U1239" s="327"/>
    </row>
    <row r="1240" spans="1:21" ht="34.5" customHeight="1" x14ac:dyDescent="0.25">
      <c r="A1240" s="10">
        <f t="shared" si="4"/>
        <v>1226</v>
      </c>
      <c r="B1240" s="483" t="s">
        <v>303</v>
      </c>
      <c r="C1240" s="327"/>
      <c r="D1240" s="484" t="s">
        <v>303</v>
      </c>
      <c r="E1240" s="327"/>
      <c r="F1240" s="481" t="s">
        <v>334</v>
      </c>
      <c r="G1240" s="327"/>
      <c r="H1240" s="485"/>
      <c r="I1240" s="326"/>
      <c r="J1240" s="327"/>
      <c r="K1240" s="481" t="s">
        <v>334</v>
      </c>
      <c r="L1240" s="326"/>
      <c r="M1240" s="327"/>
      <c r="N1240" s="486" t="s">
        <v>303</v>
      </c>
      <c r="O1240" s="326"/>
      <c r="P1240" s="326"/>
      <c r="Q1240" s="326"/>
      <c r="R1240" s="326"/>
      <c r="S1240" s="326"/>
      <c r="T1240" s="326"/>
      <c r="U1240" s="327"/>
    </row>
    <row r="1241" spans="1:21" ht="34.5" customHeight="1" x14ac:dyDescent="0.25">
      <c r="A1241" s="10">
        <f t="shared" si="4"/>
        <v>1227</v>
      </c>
      <c r="B1241" s="479" t="s">
        <v>303</v>
      </c>
      <c r="C1241" s="327"/>
      <c r="D1241" s="480" t="s">
        <v>303</v>
      </c>
      <c r="E1241" s="327"/>
      <c r="F1241" s="481" t="s">
        <v>334</v>
      </c>
      <c r="G1241" s="327"/>
      <c r="H1241" s="482"/>
      <c r="I1241" s="326"/>
      <c r="J1241" s="327"/>
      <c r="K1241" s="481" t="s">
        <v>334</v>
      </c>
      <c r="L1241" s="326"/>
      <c r="M1241" s="327"/>
      <c r="N1241" s="439" t="s">
        <v>303</v>
      </c>
      <c r="O1241" s="326"/>
      <c r="P1241" s="326"/>
      <c r="Q1241" s="326"/>
      <c r="R1241" s="326"/>
      <c r="S1241" s="326"/>
      <c r="T1241" s="326"/>
      <c r="U1241" s="327"/>
    </row>
    <row r="1242" spans="1:21" ht="34.5" customHeight="1" x14ac:dyDescent="0.25">
      <c r="A1242" s="10">
        <f t="shared" si="4"/>
        <v>1228</v>
      </c>
      <c r="B1242" s="483" t="s">
        <v>303</v>
      </c>
      <c r="C1242" s="327"/>
      <c r="D1242" s="484" t="s">
        <v>303</v>
      </c>
      <c r="E1242" s="327"/>
      <c r="F1242" s="481" t="s">
        <v>334</v>
      </c>
      <c r="G1242" s="327"/>
      <c r="H1242" s="485"/>
      <c r="I1242" s="326"/>
      <c r="J1242" s="327"/>
      <c r="K1242" s="481" t="s">
        <v>334</v>
      </c>
      <c r="L1242" s="326"/>
      <c r="M1242" s="327"/>
      <c r="N1242" s="486" t="s">
        <v>303</v>
      </c>
      <c r="O1242" s="326"/>
      <c r="P1242" s="326"/>
      <c r="Q1242" s="326"/>
      <c r="R1242" s="326"/>
      <c r="S1242" s="326"/>
      <c r="T1242" s="326"/>
      <c r="U1242" s="327"/>
    </row>
    <row r="1243" spans="1:21" ht="34.5" customHeight="1" x14ac:dyDescent="0.25">
      <c r="A1243" s="10">
        <f t="shared" si="4"/>
        <v>1229</v>
      </c>
      <c r="B1243" s="479" t="s">
        <v>303</v>
      </c>
      <c r="C1243" s="327"/>
      <c r="D1243" s="480" t="s">
        <v>303</v>
      </c>
      <c r="E1243" s="327"/>
      <c r="F1243" s="481" t="s">
        <v>334</v>
      </c>
      <c r="G1243" s="327"/>
      <c r="H1243" s="482"/>
      <c r="I1243" s="326"/>
      <c r="J1243" s="327"/>
      <c r="K1243" s="481" t="s">
        <v>334</v>
      </c>
      <c r="L1243" s="326"/>
      <c r="M1243" s="327"/>
      <c r="N1243" s="439" t="s">
        <v>303</v>
      </c>
      <c r="O1243" s="326"/>
      <c r="P1243" s="326"/>
      <c r="Q1243" s="326"/>
      <c r="R1243" s="326"/>
      <c r="S1243" s="326"/>
      <c r="T1243" s="326"/>
      <c r="U1243" s="327"/>
    </row>
    <row r="1244" spans="1:21" ht="34.5" customHeight="1" x14ac:dyDescent="0.25">
      <c r="A1244" s="10">
        <f t="shared" si="4"/>
        <v>1230</v>
      </c>
      <c r="B1244" s="483" t="s">
        <v>303</v>
      </c>
      <c r="C1244" s="327"/>
      <c r="D1244" s="484" t="s">
        <v>303</v>
      </c>
      <c r="E1244" s="327"/>
      <c r="F1244" s="481" t="s">
        <v>334</v>
      </c>
      <c r="G1244" s="327"/>
      <c r="H1244" s="485"/>
      <c r="I1244" s="326"/>
      <c r="J1244" s="327"/>
      <c r="K1244" s="481" t="s">
        <v>334</v>
      </c>
      <c r="L1244" s="326"/>
      <c r="M1244" s="327"/>
      <c r="N1244" s="486" t="s">
        <v>303</v>
      </c>
      <c r="O1244" s="326"/>
      <c r="P1244" s="326"/>
      <c r="Q1244" s="326"/>
      <c r="R1244" s="326"/>
      <c r="S1244" s="326"/>
      <c r="T1244" s="326"/>
      <c r="U1244" s="327"/>
    </row>
    <row r="1245" spans="1:21" ht="34.5" customHeight="1" x14ac:dyDescent="0.25">
      <c r="A1245" s="10">
        <f t="shared" si="4"/>
        <v>1231</v>
      </c>
      <c r="B1245" s="479" t="s">
        <v>303</v>
      </c>
      <c r="C1245" s="327"/>
      <c r="D1245" s="480" t="s">
        <v>303</v>
      </c>
      <c r="E1245" s="327"/>
      <c r="F1245" s="481" t="s">
        <v>334</v>
      </c>
      <c r="G1245" s="327"/>
      <c r="H1245" s="482"/>
      <c r="I1245" s="326"/>
      <c r="J1245" s="327"/>
      <c r="K1245" s="481" t="s">
        <v>334</v>
      </c>
      <c r="L1245" s="326"/>
      <c r="M1245" s="327"/>
      <c r="N1245" s="439" t="s">
        <v>303</v>
      </c>
      <c r="O1245" s="326"/>
      <c r="P1245" s="326"/>
      <c r="Q1245" s="326"/>
      <c r="R1245" s="326"/>
      <c r="S1245" s="326"/>
      <c r="T1245" s="326"/>
      <c r="U1245" s="327"/>
    </row>
    <row r="1246" spans="1:21" ht="34.5" customHeight="1" x14ac:dyDescent="0.25">
      <c r="A1246" s="10">
        <f t="shared" si="4"/>
        <v>1232</v>
      </c>
      <c r="B1246" s="483" t="s">
        <v>303</v>
      </c>
      <c r="C1246" s="327"/>
      <c r="D1246" s="484" t="s">
        <v>303</v>
      </c>
      <c r="E1246" s="327"/>
      <c r="F1246" s="481" t="s">
        <v>334</v>
      </c>
      <c r="G1246" s="327"/>
      <c r="H1246" s="485"/>
      <c r="I1246" s="326"/>
      <c r="J1246" s="327"/>
      <c r="K1246" s="481" t="s">
        <v>334</v>
      </c>
      <c r="L1246" s="326"/>
      <c r="M1246" s="327"/>
      <c r="N1246" s="486" t="s">
        <v>303</v>
      </c>
      <c r="O1246" s="326"/>
      <c r="P1246" s="326"/>
      <c r="Q1246" s="326"/>
      <c r="R1246" s="326"/>
      <c r="S1246" s="326"/>
      <c r="T1246" s="326"/>
      <c r="U1246" s="327"/>
    </row>
    <row r="1247" spans="1:21" ht="34.5" customHeight="1" x14ac:dyDescent="0.25">
      <c r="A1247" s="10">
        <f t="shared" si="4"/>
        <v>1233</v>
      </c>
      <c r="B1247" s="479" t="s">
        <v>303</v>
      </c>
      <c r="C1247" s="327"/>
      <c r="D1247" s="480" t="s">
        <v>303</v>
      </c>
      <c r="E1247" s="327"/>
      <c r="F1247" s="481" t="s">
        <v>334</v>
      </c>
      <c r="G1247" s="327"/>
      <c r="H1247" s="482"/>
      <c r="I1247" s="326"/>
      <c r="J1247" s="327"/>
      <c r="K1247" s="481" t="s">
        <v>334</v>
      </c>
      <c r="L1247" s="326"/>
      <c r="M1247" s="327"/>
      <c r="N1247" s="439" t="s">
        <v>303</v>
      </c>
      <c r="O1247" s="326"/>
      <c r="P1247" s="326"/>
      <c r="Q1247" s="326"/>
      <c r="R1247" s="326"/>
      <c r="S1247" s="326"/>
      <c r="T1247" s="326"/>
      <c r="U1247" s="327"/>
    </row>
    <row r="1248" spans="1:21" ht="34.5" customHeight="1" x14ac:dyDescent="0.25">
      <c r="A1248" s="10">
        <f t="shared" si="4"/>
        <v>1234</v>
      </c>
      <c r="B1248" s="483" t="s">
        <v>303</v>
      </c>
      <c r="C1248" s="327"/>
      <c r="D1248" s="484" t="s">
        <v>303</v>
      </c>
      <c r="E1248" s="327"/>
      <c r="F1248" s="481" t="s">
        <v>334</v>
      </c>
      <c r="G1248" s="327"/>
      <c r="H1248" s="485"/>
      <c r="I1248" s="326"/>
      <c r="J1248" s="327"/>
      <c r="K1248" s="481" t="s">
        <v>334</v>
      </c>
      <c r="L1248" s="326"/>
      <c r="M1248" s="327"/>
      <c r="N1248" s="486" t="s">
        <v>303</v>
      </c>
      <c r="O1248" s="326"/>
      <c r="P1248" s="326"/>
      <c r="Q1248" s="326"/>
      <c r="R1248" s="326"/>
      <c r="S1248" s="326"/>
      <c r="T1248" s="326"/>
      <c r="U1248" s="327"/>
    </row>
    <row r="1249" spans="1:21" ht="34.5" customHeight="1" x14ac:dyDescent="0.25">
      <c r="A1249" s="10">
        <f t="shared" si="4"/>
        <v>1235</v>
      </c>
      <c r="B1249" s="479" t="s">
        <v>303</v>
      </c>
      <c r="C1249" s="327"/>
      <c r="D1249" s="480" t="s">
        <v>303</v>
      </c>
      <c r="E1249" s="327"/>
      <c r="F1249" s="481" t="s">
        <v>334</v>
      </c>
      <c r="G1249" s="327"/>
      <c r="H1249" s="482"/>
      <c r="I1249" s="326"/>
      <c r="J1249" s="327"/>
      <c r="K1249" s="481" t="s">
        <v>334</v>
      </c>
      <c r="L1249" s="326"/>
      <c r="M1249" s="327"/>
      <c r="N1249" s="439" t="s">
        <v>303</v>
      </c>
      <c r="O1249" s="326"/>
      <c r="P1249" s="326"/>
      <c r="Q1249" s="326"/>
      <c r="R1249" s="326"/>
      <c r="S1249" s="326"/>
      <c r="T1249" s="326"/>
      <c r="U1249" s="327"/>
    </row>
    <row r="1250" spans="1:21" ht="34.5" customHeight="1" x14ac:dyDescent="0.25">
      <c r="A1250" s="10">
        <f t="shared" si="4"/>
        <v>1236</v>
      </c>
      <c r="B1250" s="483" t="s">
        <v>303</v>
      </c>
      <c r="C1250" s="327"/>
      <c r="D1250" s="484" t="s">
        <v>303</v>
      </c>
      <c r="E1250" s="327"/>
      <c r="F1250" s="481" t="s">
        <v>334</v>
      </c>
      <c r="G1250" s="327"/>
      <c r="H1250" s="485"/>
      <c r="I1250" s="326"/>
      <c r="J1250" s="327"/>
      <c r="K1250" s="481" t="s">
        <v>334</v>
      </c>
      <c r="L1250" s="326"/>
      <c r="M1250" s="327"/>
      <c r="N1250" s="486" t="s">
        <v>303</v>
      </c>
      <c r="O1250" s="326"/>
      <c r="P1250" s="326"/>
      <c r="Q1250" s="326"/>
      <c r="R1250" s="326"/>
      <c r="S1250" s="326"/>
      <c r="T1250" s="326"/>
      <c r="U1250" s="327"/>
    </row>
    <row r="1251" spans="1:21" ht="34.5" customHeight="1" x14ac:dyDescent="0.25">
      <c r="A1251" s="10">
        <f t="shared" si="4"/>
        <v>1237</v>
      </c>
      <c r="B1251" s="479" t="s">
        <v>303</v>
      </c>
      <c r="C1251" s="327"/>
      <c r="D1251" s="480" t="s">
        <v>303</v>
      </c>
      <c r="E1251" s="327"/>
      <c r="F1251" s="481" t="s">
        <v>334</v>
      </c>
      <c r="G1251" s="327"/>
      <c r="H1251" s="482"/>
      <c r="I1251" s="326"/>
      <c r="J1251" s="327"/>
      <c r="K1251" s="481" t="s">
        <v>334</v>
      </c>
      <c r="L1251" s="326"/>
      <c r="M1251" s="327"/>
      <c r="N1251" s="439" t="s">
        <v>303</v>
      </c>
      <c r="O1251" s="326"/>
      <c r="P1251" s="326"/>
      <c r="Q1251" s="326"/>
      <c r="R1251" s="326"/>
      <c r="S1251" s="326"/>
      <c r="T1251" s="326"/>
      <c r="U1251" s="327"/>
    </row>
    <row r="1252" spans="1:21" ht="34.5" customHeight="1" x14ac:dyDescent="0.25">
      <c r="A1252" s="10">
        <f t="shared" si="4"/>
        <v>1238</v>
      </c>
      <c r="B1252" s="483" t="s">
        <v>303</v>
      </c>
      <c r="C1252" s="327"/>
      <c r="D1252" s="484" t="s">
        <v>303</v>
      </c>
      <c r="E1252" s="327"/>
      <c r="F1252" s="481" t="s">
        <v>334</v>
      </c>
      <c r="G1252" s="327"/>
      <c r="H1252" s="485"/>
      <c r="I1252" s="326"/>
      <c r="J1252" s="327"/>
      <c r="K1252" s="481" t="s">
        <v>334</v>
      </c>
      <c r="L1252" s="326"/>
      <c r="M1252" s="327"/>
      <c r="N1252" s="486" t="s">
        <v>303</v>
      </c>
      <c r="O1252" s="326"/>
      <c r="P1252" s="326"/>
      <c r="Q1252" s="326"/>
      <c r="R1252" s="326"/>
      <c r="S1252" s="326"/>
      <c r="T1252" s="326"/>
      <c r="U1252" s="327"/>
    </row>
    <row r="1253" spans="1:21" ht="34.5" customHeight="1" x14ac:dyDescent="0.25">
      <c r="A1253" s="10">
        <f t="shared" si="4"/>
        <v>1239</v>
      </c>
      <c r="B1253" s="479" t="s">
        <v>303</v>
      </c>
      <c r="C1253" s="327"/>
      <c r="D1253" s="480" t="s">
        <v>303</v>
      </c>
      <c r="E1253" s="327"/>
      <c r="F1253" s="481" t="s">
        <v>334</v>
      </c>
      <c r="G1253" s="327"/>
      <c r="H1253" s="482"/>
      <c r="I1253" s="326"/>
      <c r="J1253" s="327"/>
      <c r="K1253" s="481" t="s">
        <v>334</v>
      </c>
      <c r="L1253" s="326"/>
      <c r="M1253" s="327"/>
      <c r="N1253" s="439" t="s">
        <v>303</v>
      </c>
      <c r="O1253" s="326"/>
      <c r="P1253" s="326"/>
      <c r="Q1253" s="326"/>
      <c r="R1253" s="326"/>
      <c r="S1253" s="326"/>
      <c r="T1253" s="326"/>
      <c r="U1253" s="327"/>
    </row>
    <row r="1254" spans="1:21" ht="34.5" customHeight="1" x14ac:dyDescent="0.25">
      <c r="A1254" s="10">
        <f t="shared" si="4"/>
        <v>1240</v>
      </c>
      <c r="B1254" s="483" t="s">
        <v>303</v>
      </c>
      <c r="C1254" s="327"/>
      <c r="D1254" s="484" t="s">
        <v>303</v>
      </c>
      <c r="E1254" s="327"/>
      <c r="F1254" s="481" t="s">
        <v>334</v>
      </c>
      <c r="G1254" s="327"/>
      <c r="H1254" s="485"/>
      <c r="I1254" s="326"/>
      <c r="J1254" s="327"/>
      <c r="K1254" s="481" t="s">
        <v>334</v>
      </c>
      <c r="L1254" s="326"/>
      <c r="M1254" s="327"/>
      <c r="N1254" s="486" t="s">
        <v>303</v>
      </c>
      <c r="O1254" s="326"/>
      <c r="P1254" s="326"/>
      <c r="Q1254" s="326"/>
      <c r="R1254" s="326"/>
      <c r="S1254" s="326"/>
      <c r="T1254" s="326"/>
      <c r="U1254" s="327"/>
    </row>
    <row r="1255" spans="1:21" ht="34.5" customHeight="1" x14ac:dyDescent="0.25">
      <c r="A1255" s="10">
        <f t="shared" si="4"/>
        <v>1241</v>
      </c>
      <c r="B1255" s="479" t="s">
        <v>303</v>
      </c>
      <c r="C1255" s="327"/>
      <c r="D1255" s="480" t="s">
        <v>303</v>
      </c>
      <c r="E1255" s="327"/>
      <c r="F1255" s="481" t="s">
        <v>334</v>
      </c>
      <c r="G1255" s="327"/>
      <c r="H1255" s="482"/>
      <c r="I1255" s="326"/>
      <c r="J1255" s="327"/>
      <c r="K1255" s="481" t="s">
        <v>334</v>
      </c>
      <c r="L1255" s="326"/>
      <c r="M1255" s="327"/>
      <c r="N1255" s="439" t="s">
        <v>303</v>
      </c>
      <c r="O1255" s="326"/>
      <c r="P1255" s="326"/>
      <c r="Q1255" s="326"/>
      <c r="R1255" s="326"/>
      <c r="S1255" s="326"/>
      <c r="T1255" s="326"/>
      <c r="U1255" s="327"/>
    </row>
    <row r="1256" spans="1:21" ht="34.5" customHeight="1" x14ac:dyDescent="0.25">
      <c r="A1256" s="10">
        <f t="shared" si="4"/>
        <v>1242</v>
      </c>
      <c r="B1256" s="483" t="s">
        <v>303</v>
      </c>
      <c r="C1256" s="327"/>
      <c r="D1256" s="484" t="s">
        <v>303</v>
      </c>
      <c r="E1256" s="327"/>
      <c r="F1256" s="481" t="s">
        <v>334</v>
      </c>
      <c r="G1256" s="327"/>
      <c r="H1256" s="485"/>
      <c r="I1256" s="326"/>
      <c r="J1256" s="327"/>
      <c r="K1256" s="481" t="s">
        <v>334</v>
      </c>
      <c r="L1256" s="326"/>
      <c r="M1256" s="327"/>
      <c r="N1256" s="486" t="s">
        <v>303</v>
      </c>
      <c r="O1256" s="326"/>
      <c r="P1256" s="326"/>
      <c r="Q1256" s="326"/>
      <c r="R1256" s="326"/>
      <c r="S1256" s="326"/>
      <c r="T1256" s="326"/>
      <c r="U1256" s="327"/>
    </row>
    <row r="1257" spans="1:21" ht="34.5" customHeight="1" x14ac:dyDescent="0.25">
      <c r="A1257" s="10">
        <f t="shared" si="4"/>
        <v>1243</v>
      </c>
      <c r="B1257" s="479" t="s">
        <v>335</v>
      </c>
      <c r="C1257" s="327"/>
      <c r="D1257" s="480" t="s">
        <v>303</v>
      </c>
      <c r="E1257" s="327"/>
      <c r="F1257" s="481" t="s">
        <v>334</v>
      </c>
      <c r="G1257" s="327"/>
      <c r="H1257" s="482"/>
      <c r="I1257" s="326"/>
      <c r="J1257" s="327"/>
      <c r="K1257" s="481" t="s">
        <v>334</v>
      </c>
      <c r="L1257" s="326"/>
      <c r="M1257" s="327"/>
      <c r="N1257" s="439" t="s">
        <v>303</v>
      </c>
      <c r="O1257" s="326"/>
      <c r="P1257" s="326"/>
      <c r="Q1257" s="326"/>
      <c r="R1257" s="326"/>
      <c r="S1257" s="326"/>
      <c r="T1257" s="326"/>
      <c r="U1257" s="327"/>
    </row>
    <row r="1258" spans="1:21" ht="34.5" customHeight="1" x14ac:dyDescent="0.25">
      <c r="A1258" s="10">
        <f t="shared" si="4"/>
        <v>1244</v>
      </c>
      <c r="B1258" s="483" t="s">
        <v>303</v>
      </c>
      <c r="C1258" s="327"/>
      <c r="D1258" s="484" t="s">
        <v>303</v>
      </c>
      <c r="E1258" s="327"/>
      <c r="F1258" s="481" t="s">
        <v>334</v>
      </c>
      <c r="G1258" s="327"/>
      <c r="H1258" s="485"/>
      <c r="I1258" s="326"/>
      <c r="J1258" s="327"/>
      <c r="K1258" s="481" t="s">
        <v>334</v>
      </c>
      <c r="L1258" s="326"/>
      <c r="M1258" s="327"/>
      <c r="N1258" s="486" t="s">
        <v>303</v>
      </c>
      <c r="O1258" s="326"/>
      <c r="P1258" s="326"/>
      <c r="Q1258" s="326"/>
      <c r="R1258" s="326"/>
      <c r="S1258" s="326"/>
      <c r="T1258" s="326"/>
      <c r="U1258" s="327"/>
    </row>
    <row r="1259" spans="1:21" ht="34.5" customHeight="1" x14ac:dyDescent="0.25">
      <c r="A1259" s="10">
        <f t="shared" si="4"/>
        <v>1245</v>
      </c>
      <c r="B1259" s="479" t="s">
        <v>303</v>
      </c>
      <c r="C1259" s="327"/>
      <c r="D1259" s="480" t="s">
        <v>303</v>
      </c>
      <c r="E1259" s="327"/>
      <c r="F1259" s="481" t="s">
        <v>334</v>
      </c>
      <c r="G1259" s="327"/>
      <c r="H1259" s="482"/>
      <c r="I1259" s="326"/>
      <c r="J1259" s="327"/>
      <c r="K1259" s="481" t="s">
        <v>334</v>
      </c>
      <c r="L1259" s="326"/>
      <c r="M1259" s="327"/>
      <c r="N1259" s="439" t="s">
        <v>303</v>
      </c>
      <c r="O1259" s="326"/>
      <c r="P1259" s="326"/>
      <c r="Q1259" s="326"/>
      <c r="R1259" s="326"/>
      <c r="S1259" s="326"/>
      <c r="T1259" s="326"/>
      <c r="U1259" s="327"/>
    </row>
    <row r="1260" spans="1:21" ht="34.5" customHeight="1" x14ac:dyDescent="0.25">
      <c r="A1260" s="10">
        <f t="shared" si="4"/>
        <v>1246</v>
      </c>
      <c r="B1260" s="483" t="s">
        <v>303</v>
      </c>
      <c r="C1260" s="327"/>
      <c r="D1260" s="484" t="s">
        <v>303</v>
      </c>
      <c r="E1260" s="327"/>
      <c r="F1260" s="481" t="s">
        <v>334</v>
      </c>
      <c r="G1260" s="327"/>
      <c r="H1260" s="485"/>
      <c r="I1260" s="326"/>
      <c r="J1260" s="327"/>
      <c r="K1260" s="481" t="s">
        <v>334</v>
      </c>
      <c r="L1260" s="326"/>
      <c r="M1260" s="327"/>
      <c r="N1260" s="486" t="s">
        <v>303</v>
      </c>
      <c r="O1260" s="326"/>
      <c r="P1260" s="326"/>
      <c r="Q1260" s="326"/>
      <c r="R1260" s="326"/>
      <c r="S1260" s="326"/>
      <c r="T1260" s="326"/>
      <c r="U1260" s="327"/>
    </row>
    <row r="1261" spans="1:21" ht="34.5" customHeight="1" x14ac:dyDescent="0.25">
      <c r="A1261" s="10">
        <f t="shared" si="4"/>
        <v>1247</v>
      </c>
      <c r="B1261" s="479" t="s">
        <v>303</v>
      </c>
      <c r="C1261" s="327"/>
      <c r="D1261" s="480" t="s">
        <v>303</v>
      </c>
      <c r="E1261" s="327"/>
      <c r="F1261" s="481" t="s">
        <v>334</v>
      </c>
      <c r="G1261" s="327"/>
      <c r="H1261" s="482"/>
      <c r="I1261" s="326"/>
      <c r="J1261" s="327"/>
      <c r="K1261" s="481" t="s">
        <v>334</v>
      </c>
      <c r="L1261" s="326"/>
      <c r="M1261" s="327"/>
      <c r="N1261" s="439" t="s">
        <v>303</v>
      </c>
      <c r="O1261" s="326"/>
      <c r="P1261" s="326"/>
      <c r="Q1261" s="326"/>
      <c r="R1261" s="326"/>
      <c r="S1261" s="326"/>
      <c r="T1261" s="326"/>
      <c r="U1261" s="327"/>
    </row>
    <row r="1262" spans="1:21" ht="34.5" customHeight="1" x14ac:dyDescent="0.25">
      <c r="A1262" s="10">
        <f t="shared" si="4"/>
        <v>1248</v>
      </c>
      <c r="B1262" s="483" t="s">
        <v>303</v>
      </c>
      <c r="C1262" s="327"/>
      <c r="D1262" s="484" t="s">
        <v>303</v>
      </c>
      <c r="E1262" s="327"/>
      <c r="F1262" s="481" t="s">
        <v>334</v>
      </c>
      <c r="G1262" s="327"/>
      <c r="H1262" s="485"/>
      <c r="I1262" s="326"/>
      <c r="J1262" s="327"/>
      <c r="K1262" s="481" t="s">
        <v>334</v>
      </c>
      <c r="L1262" s="326"/>
      <c r="M1262" s="327"/>
      <c r="N1262" s="486" t="s">
        <v>303</v>
      </c>
      <c r="O1262" s="326"/>
      <c r="P1262" s="326"/>
      <c r="Q1262" s="326"/>
      <c r="R1262" s="326"/>
      <c r="S1262" s="326"/>
      <c r="T1262" s="326"/>
      <c r="U1262" s="327"/>
    </row>
    <row r="1263" spans="1:21" ht="34.5" customHeight="1" x14ac:dyDescent="0.25">
      <c r="A1263" s="10">
        <f t="shared" si="4"/>
        <v>1249</v>
      </c>
      <c r="B1263" s="479" t="s">
        <v>336</v>
      </c>
      <c r="C1263" s="327"/>
      <c r="D1263" s="480" t="s">
        <v>303</v>
      </c>
      <c r="E1263" s="327"/>
      <c r="F1263" s="481" t="s">
        <v>334</v>
      </c>
      <c r="G1263" s="327"/>
      <c r="H1263" s="482"/>
      <c r="I1263" s="326"/>
      <c r="J1263" s="327"/>
      <c r="K1263" s="481" t="s">
        <v>334</v>
      </c>
      <c r="L1263" s="326"/>
      <c r="M1263" s="327"/>
      <c r="N1263" s="439" t="s">
        <v>303</v>
      </c>
      <c r="O1263" s="326"/>
      <c r="P1263" s="326"/>
      <c r="Q1263" s="326"/>
      <c r="R1263" s="326"/>
      <c r="S1263" s="326"/>
      <c r="T1263" s="326"/>
      <c r="U1263" s="327"/>
    </row>
    <row r="1264" spans="1:21" ht="34.5" customHeight="1" x14ac:dyDescent="0.25">
      <c r="A1264" s="10">
        <f t="shared" si="4"/>
        <v>1250</v>
      </c>
      <c r="B1264" s="483" t="s">
        <v>303</v>
      </c>
      <c r="C1264" s="327"/>
      <c r="D1264" s="484" t="s">
        <v>303</v>
      </c>
      <c r="E1264" s="327"/>
      <c r="F1264" s="481" t="s">
        <v>334</v>
      </c>
      <c r="G1264" s="327"/>
      <c r="H1264" s="485"/>
      <c r="I1264" s="326"/>
      <c r="J1264" s="327"/>
      <c r="K1264" s="481" t="s">
        <v>334</v>
      </c>
      <c r="L1264" s="326"/>
      <c r="M1264" s="327"/>
      <c r="N1264" s="486" t="s">
        <v>303</v>
      </c>
      <c r="O1264" s="326"/>
      <c r="P1264" s="326"/>
      <c r="Q1264" s="326"/>
      <c r="R1264" s="326"/>
      <c r="S1264" s="326"/>
      <c r="T1264" s="326"/>
      <c r="U1264" s="327"/>
    </row>
    <row r="1265" spans="1:21" ht="34.5" customHeight="1" x14ac:dyDescent="0.25">
      <c r="A1265" s="10">
        <f t="shared" si="4"/>
        <v>1251</v>
      </c>
      <c r="B1265" s="479" t="s">
        <v>303</v>
      </c>
      <c r="C1265" s="327"/>
      <c r="D1265" s="480" t="s">
        <v>303</v>
      </c>
      <c r="E1265" s="327"/>
      <c r="F1265" s="481" t="s">
        <v>334</v>
      </c>
      <c r="G1265" s="327"/>
      <c r="H1265" s="482"/>
      <c r="I1265" s="326"/>
      <c r="J1265" s="327"/>
      <c r="K1265" s="481" t="s">
        <v>334</v>
      </c>
      <c r="L1265" s="326"/>
      <c r="M1265" s="327"/>
      <c r="N1265" s="439" t="s">
        <v>303</v>
      </c>
      <c r="O1265" s="326"/>
      <c r="P1265" s="326"/>
      <c r="Q1265" s="326"/>
      <c r="R1265" s="326"/>
      <c r="S1265" s="326"/>
      <c r="T1265" s="326"/>
      <c r="U1265" s="327"/>
    </row>
    <row r="1266" spans="1:21" ht="34.5" customHeight="1" x14ac:dyDescent="0.25">
      <c r="A1266" s="10">
        <f t="shared" si="4"/>
        <v>1252</v>
      </c>
      <c r="B1266" s="483" t="s">
        <v>303</v>
      </c>
      <c r="C1266" s="327"/>
      <c r="D1266" s="484" t="s">
        <v>303</v>
      </c>
      <c r="E1266" s="327"/>
      <c r="F1266" s="481" t="s">
        <v>334</v>
      </c>
      <c r="G1266" s="327"/>
      <c r="H1266" s="485"/>
      <c r="I1266" s="326"/>
      <c r="J1266" s="327"/>
      <c r="K1266" s="481" t="s">
        <v>334</v>
      </c>
      <c r="L1266" s="326"/>
      <c r="M1266" s="327"/>
      <c r="N1266" s="486" t="s">
        <v>303</v>
      </c>
      <c r="O1266" s="326"/>
      <c r="P1266" s="326"/>
      <c r="Q1266" s="326"/>
      <c r="R1266" s="326"/>
      <c r="S1266" s="326"/>
      <c r="T1266" s="326"/>
      <c r="U1266" s="327"/>
    </row>
    <row r="1267" spans="1:21" ht="34.5" customHeight="1" x14ac:dyDescent="0.25">
      <c r="A1267" s="10">
        <f t="shared" si="4"/>
        <v>1253</v>
      </c>
      <c r="B1267" s="479" t="s">
        <v>303</v>
      </c>
      <c r="C1267" s="327"/>
      <c r="D1267" s="480" t="s">
        <v>303</v>
      </c>
      <c r="E1267" s="327"/>
      <c r="F1267" s="481" t="s">
        <v>334</v>
      </c>
      <c r="G1267" s="327"/>
      <c r="H1267" s="482"/>
      <c r="I1267" s="326"/>
      <c r="J1267" s="327"/>
      <c r="K1267" s="481" t="s">
        <v>334</v>
      </c>
      <c r="L1267" s="326"/>
      <c r="M1267" s="327"/>
      <c r="N1267" s="439" t="s">
        <v>303</v>
      </c>
      <c r="O1267" s="326"/>
      <c r="P1267" s="326"/>
      <c r="Q1267" s="326"/>
      <c r="R1267" s="326"/>
      <c r="S1267" s="326"/>
      <c r="T1267" s="326"/>
      <c r="U1267" s="327"/>
    </row>
    <row r="1268" spans="1:21" ht="34.5" customHeight="1" x14ac:dyDescent="0.25">
      <c r="A1268" s="10">
        <f t="shared" si="4"/>
        <v>1254</v>
      </c>
      <c r="B1268" s="483" t="s">
        <v>303</v>
      </c>
      <c r="C1268" s="327"/>
      <c r="D1268" s="484" t="s">
        <v>303</v>
      </c>
      <c r="E1268" s="327"/>
      <c r="F1268" s="481" t="s">
        <v>334</v>
      </c>
      <c r="G1268" s="327"/>
      <c r="H1268" s="485"/>
      <c r="I1268" s="326"/>
      <c r="J1268" s="327"/>
      <c r="K1268" s="481" t="s">
        <v>334</v>
      </c>
      <c r="L1268" s="326"/>
      <c r="M1268" s="327"/>
      <c r="N1268" s="486" t="s">
        <v>303</v>
      </c>
      <c r="O1268" s="326"/>
      <c r="P1268" s="326"/>
      <c r="Q1268" s="326"/>
      <c r="R1268" s="326"/>
      <c r="S1268" s="326"/>
      <c r="T1268" s="326"/>
      <c r="U1268" s="327"/>
    </row>
    <row r="1269" spans="1:21" ht="34.5" customHeight="1" x14ac:dyDescent="0.25">
      <c r="A1269" s="10">
        <f t="shared" si="4"/>
        <v>1255</v>
      </c>
      <c r="B1269" s="479" t="s">
        <v>303</v>
      </c>
      <c r="C1269" s="327"/>
      <c r="D1269" s="480" t="s">
        <v>303</v>
      </c>
      <c r="E1269" s="327"/>
      <c r="F1269" s="481" t="s">
        <v>334</v>
      </c>
      <c r="G1269" s="327"/>
      <c r="H1269" s="482"/>
      <c r="I1269" s="326"/>
      <c r="J1269" s="327"/>
      <c r="K1269" s="481" t="s">
        <v>334</v>
      </c>
      <c r="L1269" s="326"/>
      <c r="M1269" s="327"/>
      <c r="N1269" s="439" t="s">
        <v>303</v>
      </c>
      <c r="O1269" s="326"/>
      <c r="P1269" s="326"/>
      <c r="Q1269" s="326"/>
      <c r="R1269" s="326"/>
      <c r="S1269" s="326"/>
      <c r="T1269" s="326"/>
      <c r="U1269" s="327"/>
    </row>
    <row r="1270" spans="1:21" ht="34.5" customHeight="1" x14ac:dyDescent="0.25">
      <c r="A1270" s="10">
        <f t="shared" si="4"/>
        <v>1256</v>
      </c>
      <c r="B1270" s="483" t="s">
        <v>303</v>
      </c>
      <c r="C1270" s="327"/>
      <c r="D1270" s="484" t="s">
        <v>303</v>
      </c>
      <c r="E1270" s="327"/>
      <c r="F1270" s="481" t="s">
        <v>334</v>
      </c>
      <c r="G1270" s="327"/>
      <c r="H1270" s="485"/>
      <c r="I1270" s="326"/>
      <c r="J1270" s="327"/>
      <c r="K1270" s="481" t="s">
        <v>334</v>
      </c>
      <c r="L1270" s="326"/>
      <c r="M1270" s="327"/>
      <c r="N1270" s="486" t="s">
        <v>303</v>
      </c>
      <c r="O1270" s="326"/>
      <c r="P1270" s="326"/>
      <c r="Q1270" s="326"/>
      <c r="R1270" s="326"/>
      <c r="S1270" s="326"/>
      <c r="T1270" s="326"/>
      <c r="U1270" s="327"/>
    </row>
    <row r="1271" spans="1:21" ht="34.5" customHeight="1" x14ac:dyDescent="0.25">
      <c r="A1271" s="10">
        <f t="shared" si="4"/>
        <v>1257</v>
      </c>
      <c r="B1271" s="479" t="s">
        <v>303</v>
      </c>
      <c r="C1271" s="327"/>
      <c r="D1271" s="480" t="s">
        <v>303</v>
      </c>
      <c r="E1271" s="327"/>
      <c r="F1271" s="481" t="s">
        <v>334</v>
      </c>
      <c r="G1271" s="327"/>
      <c r="H1271" s="482"/>
      <c r="I1271" s="326"/>
      <c r="J1271" s="327"/>
      <c r="K1271" s="481" t="s">
        <v>334</v>
      </c>
      <c r="L1271" s="326"/>
      <c r="M1271" s="327"/>
      <c r="N1271" s="439" t="s">
        <v>303</v>
      </c>
      <c r="O1271" s="326"/>
      <c r="P1271" s="326"/>
      <c r="Q1271" s="326"/>
      <c r="R1271" s="326"/>
      <c r="S1271" s="326"/>
      <c r="T1271" s="326"/>
      <c r="U1271" s="327"/>
    </row>
    <row r="1272" spans="1:21" ht="34.5" customHeight="1" x14ac:dyDescent="0.25">
      <c r="A1272" s="10">
        <f t="shared" si="4"/>
        <v>1258</v>
      </c>
      <c r="B1272" s="483" t="s">
        <v>303</v>
      </c>
      <c r="C1272" s="327"/>
      <c r="D1272" s="484" t="s">
        <v>303</v>
      </c>
      <c r="E1272" s="327"/>
      <c r="F1272" s="481" t="s">
        <v>334</v>
      </c>
      <c r="G1272" s="327"/>
      <c r="H1272" s="485"/>
      <c r="I1272" s="326"/>
      <c r="J1272" s="327"/>
      <c r="K1272" s="481" t="s">
        <v>334</v>
      </c>
      <c r="L1272" s="326"/>
      <c r="M1272" s="327"/>
      <c r="N1272" s="486" t="s">
        <v>303</v>
      </c>
      <c r="O1272" s="326"/>
      <c r="P1272" s="326"/>
      <c r="Q1272" s="326"/>
      <c r="R1272" s="326"/>
      <c r="S1272" s="326"/>
      <c r="T1272" s="326"/>
      <c r="U1272" s="327"/>
    </row>
    <row r="1273" spans="1:21" ht="34.5" customHeight="1" x14ac:dyDescent="0.25">
      <c r="A1273" s="10">
        <f t="shared" si="4"/>
        <v>1259</v>
      </c>
      <c r="B1273" s="479" t="s">
        <v>303</v>
      </c>
      <c r="C1273" s="327"/>
      <c r="D1273" s="480" t="s">
        <v>303</v>
      </c>
      <c r="E1273" s="327"/>
      <c r="F1273" s="481" t="s">
        <v>334</v>
      </c>
      <c r="G1273" s="327"/>
      <c r="H1273" s="482"/>
      <c r="I1273" s="326"/>
      <c r="J1273" s="327"/>
      <c r="K1273" s="481" t="s">
        <v>334</v>
      </c>
      <c r="L1273" s="326"/>
      <c r="M1273" s="327"/>
      <c r="N1273" s="439" t="s">
        <v>303</v>
      </c>
      <c r="O1273" s="326"/>
      <c r="P1273" s="326"/>
      <c r="Q1273" s="326"/>
      <c r="R1273" s="326"/>
      <c r="S1273" s="326"/>
      <c r="T1273" s="326"/>
      <c r="U1273" s="327"/>
    </row>
    <row r="1274" spans="1:21" ht="34.5" customHeight="1" x14ac:dyDescent="0.25">
      <c r="A1274" s="10">
        <f t="shared" si="4"/>
        <v>1260</v>
      </c>
      <c r="B1274" s="483" t="s">
        <v>303</v>
      </c>
      <c r="C1274" s="327"/>
      <c r="D1274" s="484" t="s">
        <v>303</v>
      </c>
      <c r="E1274" s="327"/>
      <c r="F1274" s="481" t="s">
        <v>334</v>
      </c>
      <c r="G1274" s="327"/>
      <c r="H1274" s="485"/>
      <c r="I1274" s="326"/>
      <c r="J1274" s="327"/>
      <c r="K1274" s="481" t="s">
        <v>334</v>
      </c>
      <c r="L1274" s="326"/>
      <c r="M1274" s="327"/>
      <c r="N1274" s="486" t="s">
        <v>303</v>
      </c>
      <c r="O1274" s="326"/>
      <c r="P1274" s="326"/>
      <c r="Q1274" s="326"/>
      <c r="R1274" s="326"/>
      <c r="S1274" s="326"/>
      <c r="T1274" s="326"/>
      <c r="U1274" s="327"/>
    </row>
    <row r="1275" spans="1:21" ht="34.5" customHeight="1" x14ac:dyDescent="0.25">
      <c r="A1275" s="10">
        <f t="shared" si="4"/>
        <v>1261</v>
      </c>
      <c r="B1275" s="479" t="s">
        <v>303</v>
      </c>
      <c r="C1275" s="327"/>
      <c r="D1275" s="480" t="s">
        <v>303</v>
      </c>
      <c r="E1275" s="327"/>
      <c r="F1275" s="481" t="s">
        <v>334</v>
      </c>
      <c r="G1275" s="327"/>
      <c r="H1275" s="482"/>
      <c r="I1275" s="326"/>
      <c r="J1275" s="327"/>
      <c r="K1275" s="481" t="s">
        <v>334</v>
      </c>
      <c r="L1275" s="326"/>
      <c r="M1275" s="327"/>
      <c r="N1275" s="439" t="s">
        <v>303</v>
      </c>
      <c r="O1275" s="326"/>
      <c r="P1275" s="326"/>
      <c r="Q1275" s="326"/>
      <c r="R1275" s="326"/>
      <c r="S1275" s="326"/>
      <c r="T1275" s="326"/>
      <c r="U1275" s="327"/>
    </row>
    <row r="1276" spans="1:21" ht="34.5" customHeight="1" x14ac:dyDescent="0.25">
      <c r="A1276" s="10">
        <f t="shared" si="4"/>
        <v>1262</v>
      </c>
      <c r="B1276" s="483" t="s">
        <v>337</v>
      </c>
      <c r="C1276" s="327"/>
      <c r="D1276" s="484" t="s">
        <v>303</v>
      </c>
      <c r="E1276" s="327"/>
      <c r="F1276" s="481" t="s">
        <v>334</v>
      </c>
      <c r="G1276" s="327"/>
      <c r="H1276" s="485"/>
      <c r="I1276" s="326"/>
      <c r="J1276" s="327"/>
      <c r="K1276" s="481" t="s">
        <v>334</v>
      </c>
      <c r="L1276" s="326"/>
      <c r="M1276" s="327"/>
      <c r="N1276" s="486" t="s">
        <v>303</v>
      </c>
      <c r="O1276" s="326"/>
      <c r="P1276" s="326"/>
      <c r="Q1276" s="326"/>
      <c r="R1276" s="326"/>
      <c r="S1276" s="326"/>
      <c r="T1276" s="326"/>
      <c r="U1276" s="327"/>
    </row>
    <row r="1277" spans="1:21" ht="34.5" customHeight="1" x14ac:dyDescent="0.25">
      <c r="A1277" s="10">
        <f t="shared" si="4"/>
        <v>1263</v>
      </c>
      <c r="B1277" s="479" t="s">
        <v>303</v>
      </c>
      <c r="C1277" s="327"/>
      <c r="D1277" s="480" t="s">
        <v>303</v>
      </c>
      <c r="E1277" s="327"/>
      <c r="F1277" s="481" t="s">
        <v>334</v>
      </c>
      <c r="G1277" s="327"/>
      <c r="H1277" s="482"/>
      <c r="I1277" s="326"/>
      <c r="J1277" s="327"/>
      <c r="K1277" s="481" t="s">
        <v>334</v>
      </c>
      <c r="L1277" s="326"/>
      <c r="M1277" s="327"/>
      <c r="N1277" s="439" t="s">
        <v>303</v>
      </c>
      <c r="O1277" s="326"/>
      <c r="P1277" s="326"/>
      <c r="Q1277" s="326"/>
      <c r="R1277" s="326"/>
      <c r="S1277" s="326"/>
      <c r="T1277" s="326"/>
      <c r="U1277" s="327"/>
    </row>
    <row r="1278" spans="1:21" ht="34.5" customHeight="1" x14ac:dyDescent="0.25">
      <c r="A1278" s="10">
        <f t="shared" si="4"/>
        <v>1264</v>
      </c>
      <c r="B1278" s="483" t="s">
        <v>303</v>
      </c>
      <c r="C1278" s="327"/>
      <c r="D1278" s="484" t="s">
        <v>303</v>
      </c>
      <c r="E1278" s="327"/>
      <c r="F1278" s="481" t="s">
        <v>334</v>
      </c>
      <c r="G1278" s="327"/>
      <c r="H1278" s="485"/>
      <c r="I1278" s="326"/>
      <c r="J1278" s="327"/>
      <c r="K1278" s="481" t="s">
        <v>334</v>
      </c>
      <c r="L1278" s="326"/>
      <c r="M1278" s="327"/>
      <c r="N1278" s="486" t="s">
        <v>303</v>
      </c>
      <c r="O1278" s="326"/>
      <c r="P1278" s="326"/>
      <c r="Q1278" s="326"/>
      <c r="R1278" s="326"/>
      <c r="S1278" s="326"/>
      <c r="T1278" s="326"/>
      <c r="U1278" s="327"/>
    </row>
    <row r="1279" spans="1:21" ht="34.5" customHeight="1" x14ac:dyDescent="0.25">
      <c r="A1279" s="10">
        <f t="shared" si="4"/>
        <v>1265</v>
      </c>
      <c r="B1279" s="479" t="s">
        <v>303</v>
      </c>
      <c r="C1279" s="327"/>
      <c r="D1279" s="480" t="s">
        <v>303</v>
      </c>
      <c r="E1279" s="327"/>
      <c r="F1279" s="481" t="s">
        <v>334</v>
      </c>
      <c r="G1279" s="327"/>
      <c r="H1279" s="482"/>
      <c r="I1279" s="326"/>
      <c r="J1279" s="327"/>
      <c r="K1279" s="481" t="s">
        <v>334</v>
      </c>
      <c r="L1279" s="326"/>
      <c r="M1279" s="327"/>
      <c r="N1279" s="439" t="s">
        <v>303</v>
      </c>
      <c r="O1279" s="326"/>
      <c r="P1279" s="326"/>
      <c r="Q1279" s="326"/>
      <c r="R1279" s="326"/>
      <c r="S1279" s="326"/>
      <c r="T1279" s="326"/>
      <c r="U1279" s="327"/>
    </row>
    <row r="1280" spans="1:21" ht="34.5" customHeight="1" x14ac:dyDescent="0.25">
      <c r="A1280" s="10">
        <f t="shared" si="4"/>
        <v>1266</v>
      </c>
      <c r="B1280" s="483" t="s">
        <v>303</v>
      </c>
      <c r="C1280" s="327"/>
      <c r="D1280" s="484" t="s">
        <v>303</v>
      </c>
      <c r="E1280" s="327"/>
      <c r="F1280" s="481" t="s">
        <v>334</v>
      </c>
      <c r="G1280" s="327"/>
      <c r="H1280" s="485"/>
      <c r="I1280" s="326"/>
      <c r="J1280" s="327"/>
      <c r="K1280" s="481" t="s">
        <v>334</v>
      </c>
      <c r="L1280" s="326"/>
      <c r="M1280" s="327"/>
      <c r="N1280" s="486" t="s">
        <v>303</v>
      </c>
      <c r="O1280" s="326"/>
      <c r="P1280" s="326"/>
      <c r="Q1280" s="326"/>
      <c r="R1280" s="326"/>
      <c r="S1280" s="326"/>
      <c r="T1280" s="326"/>
      <c r="U1280" s="327"/>
    </row>
    <row r="1281" spans="1:21" ht="34.5" customHeight="1" x14ac:dyDescent="0.25">
      <c r="A1281" s="10">
        <f t="shared" si="4"/>
        <v>1267</v>
      </c>
      <c r="B1281" s="479" t="s">
        <v>303</v>
      </c>
      <c r="C1281" s="327"/>
      <c r="D1281" s="480" t="s">
        <v>303</v>
      </c>
      <c r="E1281" s="327"/>
      <c r="F1281" s="481" t="s">
        <v>334</v>
      </c>
      <c r="G1281" s="327"/>
      <c r="H1281" s="482"/>
      <c r="I1281" s="326"/>
      <c r="J1281" s="327"/>
      <c r="K1281" s="481" t="s">
        <v>334</v>
      </c>
      <c r="L1281" s="326"/>
      <c r="M1281" s="327"/>
      <c r="N1281" s="439" t="s">
        <v>303</v>
      </c>
      <c r="O1281" s="326"/>
      <c r="P1281" s="326"/>
      <c r="Q1281" s="326"/>
      <c r="R1281" s="326"/>
      <c r="S1281" s="326"/>
      <c r="T1281" s="326"/>
      <c r="U1281" s="327"/>
    </row>
    <row r="1282" spans="1:21" ht="34.5" customHeight="1" x14ac:dyDescent="0.25">
      <c r="A1282" s="10">
        <f t="shared" si="4"/>
        <v>1268</v>
      </c>
      <c r="B1282" s="483" t="s">
        <v>303</v>
      </c>
      <c r="C1282" s="327"/>
      <c r="D1282" s="484" t="s">
        <v>303</v>
      </c>
      <c r="E1282" s="327"/>
      <c r="F1282" s="481" t="s">
        <v>334</v>
      </c>
      <c r="G1282" s="327"/>
      <c r="H1282" s="485"/>
      <c r="I1282" s="326"/>
      <c r="J1282" s="327"/>
      <c r="K1282" s="481" t="s">
        <v>334</v>
      </c>
      <c r="L1282" s="326"/>
      <c r="M1282" s="327"/>
      <c r="N1282" s="486" t="s">
        <v>303</v>
      </c>
      <c r="O1282" s="326"/>
      <c r="P1282" s="326"/>
      <c r="Q1282" s="326"/>
      <c r="R1282" s="326"/>
      <c r="S1282" s="326"/>
      <c r="T1282" s="326"/>
      <c r="U1282" s="327"/>
    </row>
    <row r="1283" spans="1:21" ht="34.5" customHeight="1" x14ac:dyDescent="0.25">
      <c r="A1283" s="10">
        <f t="shared" si="4"/>
        <v>1269</v>
      </c>
      <c r="B1283" s="479" t="s">
        <v>303</v>
      </c>
      <c r="C1283" s="327"/>
      <c r="D1283" s="480" t="s">
        <v>303</v>
      </c>
      <c r="E1283" s="327"/>
      <c r="F1283" s="481" t="s">
        <v>334</v>
      </c>
      <c r="G1283" s="327"/>
      <c r="H1283" s="482"/>
      <c r="I1283" s="326"/>
      <c r="J1283" s="327"/>
      <c r="K1283" s="481" t="s">
        <v>334</v>
      </c>
      <c r="L1283" s="326"/>
      <c r="M1283" s="327"/>
      <c r="N1283" s="439" t="s">
        <v>303</v>
      </c>
      <c r="O1283" s="326"/>
      <c r="P1283" s="326"/>
      <c r="Q1283" s="326"/>
      <c r="R1283" s="326"/>
      <c r="S1283" s="326"/>
      <c r="T1283" s="326"/>
      <c r="U1283" s="327"/>
    </row>
    <row r="1284" spans="1:21" ht="34.5" customHeight="1" x14ac:dyDescent="0.25">
      <c r="A1284" s="10">
        <f t="shared" si="4"/>
        <v>1270</v>
      </c>
      <c r="B1284" s="483" t="s">
        <v>303</v>
      </c>
      <c r="C1284" s="327"/>
      <c r="D1284" s="484" t="s">
        <v>303</v>
      </c>
      <c r="E1284" s="327"/>
      <c r="F1284" s="481" t="s">
        <v>334</v>
      </c>
      <c r="G1284" s="327"/>
      <c r="H1284" s="485"/>
      <c r="I1284" s="326"/>
      <c r="J1284" s="327"/>
      <c r="K1284" s="481" t="s">
        <v>334</v>
      </c>
      <c r="L1284" s="326"/>
      <c r="M1284" s="327"/>
      <c r="N1284" s="486" t="s">
        <v>303</v>
      </c>
      <c r="O1284" s="326"/>
      <c r="P1284" s="326"/>
      <c r="Q1284" s="326"/>
      <c r="R1284" s="326"/>
      <c r="S1284" s="326"/>
      <c r="T1284" s="326"/>
      <c r="U1284" s="327"/>
    </row>
    <row r="1285" spans="1:21" ht="34.5" customHeight="1" x14ac:dyDescent="0.25">
      <c r="A1285" s="10">
        <f t="shared" si="4"/>
        <v>1271</v>
      </c>
      <c r="B1285" s="479" t="s">
        <v>335</v>
      </c>
      <c r="C1285" s="327"/>
      <c r="D1285" s="480" t="s">
        <v>303</v>
      </c>
      <c r="E1285" s="327"/>
      <c r="F1285" s="481" t="s">
        <v>334</v>
      </c>
      <c r="G1285" s="327"/>
      <c r="H1285" s="482"/>
      <c r="I1285" s="326"/>
      <c r="J1285" s="327"/>
      <c r="K1285" s="481" t="s">
        <v>334</v>
      </c>
      <c r="L1285" s="326"/>
      <c r="M1285" s="327"/>
      <c r="N1285" s="439" t="s">
        <v>303</v>
      </c>
      <c r="O1285" s="326"/>
      <c r="P1285" s="326"/>
      <c r="Q1285" s="326"/>
      <c r="R1285" s="326"/>
      <c r="S1285" s="326"/>
      <c r="T1285" s="326"/>
      <c r="U1285" s="327"/>
    </row>
    <row r="1286" spans="1:21" ht="34.5" customHeight="1" x14ac:dyDescent="0.25">
      <c r="A1286" s="10">
        <f t="shared" si="4"/>
        <v>1272</v>
      </c>
      <c r="B1286" s="483" t="s">
        <v>303</v>
      </c>
      <c r="C1286" s="327"/>
      <c r="D1286" s="484" t="s">
        <v>303</v>
      </c>
      <c r="E1286" s="327"/>
      <c r="F1286" s="481" t="s">
        <v>334</v>
      </c>
      <c r="G1286" s="327"/>
      <c r="H1286" s="485"/>
      <c r="I1286" s="326"/>
      <c r="J1286" s="327"/>
      <c r="K1286" s="481" t="s">
        <v>334</v>
      </c>
      <c r="L1286" s="326"/>
      <c r="M1286" s="327"/>
      <c r="N1286" s="486" t="s">
        <v>303</v>
      </c>
      <c r="O1286" s="326"/>
      <c r="P1286" s="326"/>
      <c r="Q1286" s="326"/>
      <c r="R1286" s="326"/>
      <c r="S1286" s="326"/>
      <c r="T1286" s="326"/>
      <c r="U1286" s="327"/>
    </row>
    <row r="1287" spans="1:21" ht="34.5" customHeight="1" x14ac:dyDescent="0.25">
      <c r="A1287" s="10">
        <f t="shared" si="4"/>
        <v>1273</v>
      </c>
      <c r="B1287" s="479" t="s">
        <v>303</v>
      </c>
      <c r="C1287" s="327"/>
      <c r="D1287" s="480" t="s">
        <v>303</v>
      </c>
      <c r="E1287" s="327"/>
      <c r="F1287" s="481" t="s">
        <v>334</v>
      </c>
      <c r="G1287" s="327"/>
      <c r="H1287" s="482"/>
      <c r="I1287" s="326"/>
      <c r="J1287" s="327"/>
      <c r="K1287" s="481" t="s">
        <v>334</v>
      </c>
      <c r="L1287" s="326"/>
      <c r="M1287" s="327"/>
      <c r="N1287" s="439" t="s">
        <v>303</v>
      </c>
      <c r="O1287" s="326"/>
      <c r="P1287" s="326"/>
      <c r="Q1287" s="326"/>
      <c r="R1287" s="326"/>
      <c r="S1287" s="326"/>
      <c r="T1287" s="326"/>
      <c r="U1287" s="327"/>
    </row>
    <row r="1288" spans="1:21" ht="34.5" customHeight="1" x14ac:dyDescent="0.25">
      <c r="A1288" s="10">
        <f t="shared" si="4"/>
        <v>1274</v>
      </c>
      <c r="B1288" s="483" t="s">
        <v>303</v>
      </c>
      <c r="C1288" s="327"/>
      <c r="D1288" s="484" t="s">
        <v>303</v>
      </c>
      <c r="E1288" s="327"/>
      <c r="F1288" s="481" t="s">
        <v>334</v>
      </c>
      <c r="G1288" s="327"/>
      <c r="H1288" s="485"/>
      <c r="I1288" s="326"/>
      <c r="J1288" s="327"/>
      <c r="K1288" s="481" t="s">
        <v>334</v>
      </c>
      <c r="L1288" s="326"/>
      <c r="M1288" s="327"/>
      <c r="N1288" s="486" t="s">
        <v>303</v>
      </c>
      <c r="O1288" s="326"/>
      <c r="P1288" s="326"/>
      <c r="Q1288" s="326"/>
      <c r="R1288" s="326"/>
      <c r="S1288" s="326"/>
      <c r="T1288" s="326"/>
      <c r="U1288" s="327"/>
    </row>
    <row r="1289" spans="1:21" ht="34.5" customHeight="1" x14ac:dyDescent="0.25">
      <c r="A1289" s="10">
        <f t="shared" si="4"/>
        <v>1275</v>
      </c>
      <c r="B1289" s="479" t="s">
        <v>303</v>
      </c>
      <c r="C1289" s="327"/>
      <c r="D1289" s="480" t="s">
        <v>303</v>
      </c>
      <c r="E1289" s="327"/>
      <c r="F1289" s="481" t="s">
        <v>334</v>
      </c>
      <c r="G1289" s="327"/>
      <c r="H1289" s="482"/>
      <c r="I1289" s="326"/>
      <c r="J1289" s="327"/>
      <c r="K1289" s="481" t="s">
        <v>334</v>
      </c>
      <c r="L1289" s="326"/>
      <c r="M1289" s="327"/>
      <c r="N1289" s="439" t="s">
        <v>303</v>
      </c>
      <c r="O1289" s="326"/>
      <c r="P1289" s="326"/>
      <c r="Q1289" s="326"/>
      <c r="R1289" s="326"/>
      <c r="S1289" s="326"/>
      <c r="T1289" s="326"/>
      <c r="U1289" s="327"/>
    </row>
    <row r="1290" spans="1:21" ht="34.5" customHeight="1" x14ac:dyDescent="0.25">
      <c r="A1290" s="10">
        <f t="shared" ref="A1290:A1514" si="5">ROW(A1276)</f>
        <v>1276</v>
      </c>
      <c r="B1290" s="483" t="s">
        <v>303</v>
      </c>
      <c r="C1290" s="327"/>
      <c r="D1290" s="484" t="s">
        <v>303</v>
      </c>
      <c r="E1290" s="327"/>
      <c r="F1290" s="481" t="s">
        <v>334</v>
      </c>
      <c r="G1290" s="327"/>
      <c r="H1290" s="485"/>
      <c r="I1290" s="326"/>
      <c r="J1290" s="327"/>
      <c r="K1290" s="481" t="s">
        <v>334</v>
      </c>
      <c r="L1290" s="326"/>
      <c r="M1290" s="327"/>
      <c r="N1290" s="486" t="s">
        <v>303</v>
      </c>
      <c r="O1290" s="326"/>
      <c r="P1290" s="326"/>
      <c r="Q1290" s="326"/>
      <c r="R1290" s="326"/>
      <c r="S1290" s="326"/>
      <c r="T1290" s="326"/>
      <c r="U1290" s="327"/>
    </row>
    <row r="1291" spans="1:21" ht="34.5" customHeight="1" x14ac:dyDescent="0.25">
      <c r="A1291" s="10">
        <f t="shared" si="5"/>
        <v>1277</v>
      </c>
      <c r="B1291" s="479" t="s">
        <v>303</v>
      </c>
      <c r="C1291" s="327"/>
      <c r="D1291" s="480" t="s">
        <v>303</v>
      </c>
      <c r="E1291" s="327"/>
      <c r="F1291" s="481" t="s">
        <v>334</v>
      </c>
      <c r="G1291" s="327"/>
      <c r="H1291" s="482"/>
      <c r="I1291" s="326"/>
      <c r="J1291" s="327"/>
      <c r="K1291" s="481" t="s">
        <v>334</v>
      </c>
      <c r="L1291" s="326"/>
      <c r="M1291" s="327"/>
      <c r="N1291" s="439" t="s">
        <v>303</v>
      </c>
      <c r="O1291" s="326"/>
      <c r="P1291" s="326"/>
      <c r="Q1291" s="326"/>
      <c r="R1291" s="326"/>
      <c r="S1291" s="326"/>
      <c r="T1291" s="326"/>
      <c r="U1291" s="327"/>
    </row>
    <row r="1292" spans="1:21" ht="34.5" customHeight="1" x14ac:dyDescent="0.25">
      <c r="A1292" s="10">
        <f t="shared" si="5"/>
        <v>1278</v>
      </c>
      <c r="B1292" s="483" t="s">
        <v>303</v>
      </c>
      <c r="C1292" s="327"/>
      <c r="D1292" s="484" t="s">
        <v>303</v>
      </c>
      <c r="E1292" s="327"/>
      <c r="F1292" s="481" t="s">
        <v>334</v>
      </c>
      <c r="G1292" s="327"/>
      <c r="H1292" s="485"/>
      <c r="I1292" s="326"/>
      <c r="J1292" s="327"/>
      <c r="K1292" s="481" t="s">
        <v>334</v>
      </c>
      <c r="L1292" s="326"/>
      <c r="M1292" s="327"/>
      <c r="N1292" s="486" t="s">
        <v>303</v>
      </c>
      <c r="O1292" s="326"/>
      <c r="P1292" s="326"/>
      <c r="Q1292" s="326"/>
      <c r="R1292" s="326"/>
      <c r="S1292" s="326"/>
      <c r="T1292" s="326"/>
      <c r="U1292" s="327"/>
    </row>
    <row r="1293" spans="1:21" ht="34.5" customHeight="1" x14ac:dyDescent="0.25">
      <c r="A1293" s="10">
        <f t="shared" si="5"/>
        <v>1279</v>
      </c>
      <c r="B1293" s="479" t="s">
        <v>338</v>
      </c>
      <c r="C1293" s="327"/>
      <c r="D1293" s="480" t="s">
        <v>303</v>
      </c>
      <c r="E1293" s="327"/>
      <c r="F1293" s="481" t="s">
        <v>334</v>
      </c>
      <c r="G1293" s="327"/>
      <c r="H1293" s="482"/>
      <c r="I1293" s="326"/>
      <c r="J1293" s="327"/>
      <c r="K1293" s="481" t="s">
        <v>334</v>
      </c>
      <c r="L1293" s="326"/>
      <c r="M1293" s="327"/>
      <c r="N1293" s="439" t="s">
        <v>303</v>
      </c>
      <c r="O1293" s="326"/>
      <c r="P1293" s="326"/>
      <c r="Q1293" s="326"/>
      <c r="R1293" s="326"/>
      <c r="S1293" s="326"/>
      <c r="T1293" s="326"/>
      <c r="U1293" s="327"/>
    </row>
    <row r="1294" spans="1:21" ht="34.5" customHeight="1" x14ac:dyDescent="0.25">
      <c r="A1294" s="10">
        <f t="shared" si="5"/>
        <v>1280</v>
      </c>
      <c r="B1294" s="483" t="s">
        <v>303</v>
      </c>
      <c r="C1294" s="327"/>
      <c r="D1294" s="484" t="s">
        <v>303</v>
      </c>
      <c r="E1294" s="327"/>
      <c r="F1294" s="481" t="s">
        <v>334</v>
      </c>
      <c r="G1294" s="327"/>
      <c r="H1294" s="485"/>
      <c r="I1294" s="326"/>
      <c r="J1294" s="327"/>
      <c r="K1294" s="481" t="s">
        <v>334</v>
      </c>
      <c r="L1294" s="326"/>
      <c r="M1294" s="327"/>
      <c r="N1294" s="486" t="s">
        <v>303</v>
      </c>
      <c r="O1294" s="326"/>
      <c r="P1294" s="326"/>
      <c r="Q1294" s="326"/>
      <c r="R1294" s="326"/>
      <c r="S1294" s="326"/>
      <c r="T1294" s="326"/>
      <c r="U1294" s="327"/>
    </row>
    <row r="1295" spans="1:21" ht="34.5" customHeight="1" x14ac:dyDescent="0.25">
      <c r="A1295" s="10">
        <f t="shared" si="5"/>
        <v>1281</v>
      </c>
      <c r="B1295" s="479" t="s">
        <v>303</v>
      </c>
      <c r="C1295" s="327"/>
      <c r="D1295" s="480" t="s">
        <v>303</v>
      </c>
      <c r="E1295" s="327"/>
      <c r="F1295" s="481" t="s">
        <v>334</v>
      </c>
      <c r="G1295" s="327"/>
      <c r="H1295" s="482"/>
      <c r="I1295" s="326"/>
      <c r="J1295" s="327"/>
      <c r="K1295" s="481" t="s">
        <v>334</v>
      </c>
      <c r="L1295" s="326"/>
      <c r="M1295" s="327"/>
      <c r="N1295" s="439" t="s">
        <v>303</v>
      </c>
      <c r="O1295" s="326"/>
      <c r="P1295" s="326"/>
      <c r="Q1295" s="326"/>
      <c r="R1295" s="326"/>
      <c r="S1295" s="326"/>
      <c r="T1295" s="326"/>
      <c r="U1295" s="327"/>
    </row>
    <row r="1296" spans="1:21" ht="34.5" customHeight="1" x14ac:dyDescent="0.25">
      <c r="A1296" s="10">
        <f t="shared" si="5"/>
        <v>1282</v>
      </c>
      <c r="B1296" s="483" t="s">
        <v>303</v>
      </c>
      <c r="C1296" s="327"/>
      <c r="D1296" s="484" t="s">
        <v>303</v>
      </c>
      <c r="E1296" s="327"/>
      <c r="F1296" s="481" t="s">
        <v>334</v>
      </c>
      <c r="G1296" s="327"/>
      <c r="H1296" s="485"/>
      <c r="I1296" s="326"/>
      <c r="J1296" s="327"/>
      <c r="K1296" s="481" t="s">
        <v>334</v>
      </c>
      <c r="L1296" s="326"/>
      <c r="M1296" s="327"/>
      <c r="N1296" s="486" t="s">
        <v>303</v>
      </c>
      <c r="O1296" s="326"/>
      <c r="P1296" s="326"/>
      <c r="Q1296" s="326"/>
      <c r="R1296" s="326"/>
      <c r="S1296" s="326"/>
      <c r="T1296" s="326"/>
      <c r="U1296" s="327"/>
    </row>
    <row r="1297" spans="1:21" ht="34.5" customHeight="1" x14ac:dyDescent="0.25">
      <c r="A1297" s="10">
        <f t="shared" si="5"/>
        <v>1283</v>
      </c>
      <c r="B1297" s="479" t="s">
        <v>303</v>
      </c>
      <c r="C1297" s="327"/>
      <c r="D1297" s="480" t="s">
        <v>303</v>
      </c>
      <c r="E1297" s="327"/>
      <c r="F1297" s="481" t="s">
        <v>334</v>
      </c>
      <c r="G1297" s="327"/>
      <c r="H1297" s="482"/>
      <c r="I1297" s="326"/>
      <c r="J1297" s="327"/>
      <c r="K1297" s="481" t="s">
        <v>334</v>
      </c>
      <c r="L1297" s="326"/>
      <c r="M1297" s="327"/>
      <c r="N1297" s="439" t="s">
        <v>303</v>
      </c>
      <c r="O1297" s="326"/>
      <c r="P1297" s="326"/>
      <c r="Q1297" s="326"/>
      <c r="R1297" s="326"/>
      <c r="S1297" s="326"/>
      <c r="T1297" s="326"/>
      <c r="U1297" s="327"/>
    </row>
    <row r="1298" spans="1:21" ht="34.5" customHeight="1" x14ac:dyDescent="0.25">
      <c r="A1298" s="10">
        <f t="shared" si="5"/>
        <v>1284</v>
      </c>
      <c r="B1298" s="483" t="s">
        <v>303</v>
      </c>
      <c r="C1298" s="327"/>
      <c r="D1298" s="484" t="s">
        <v>303</v>
      </c>
      <c r="E1298" s="327"/>
      <c r="F1298" s="481" t="s">
        <v>334</v>
      </c>
      <c r="G1298" s="327"/>
      <c r="H1298" s="485"/>
      <c r="I1298" s="326"/>
      <c r="J1298" s="327"/>
      <c r="K1298" s="481" t="s">
        <v>334</v>
      </c>
      <c r="L1298" s="326"/>
      <c r="M1298" s="327"/>
      <c r="N1298" s="486" t="s">
        <v>303</v>
      </c>
      <c r="O1298" s="326"/>
      <c r="P1298" s="326"/>
      <c r="Q1298" s="326"/>
      <c r="R1298" s="326"/>
      <c r="S1298" s="326"/>
      <c r="T1298" s="326"/>
      <c r="U1298" s="327"/>
    </row>
    <row r="1299" spans="1:21" ht="34.5" customHeight="1" x14ac:dyDescent="0.25">
      <c r="A1299" s="10">
        <f t="shared" si="5"/>
        <v>1285</v>
      </c>
      <c r="B1299" s="479" t="s">
        <v>303</v>
      </c>
      <c r="C1299" s="327"/>
      <c r="D1299" s="480" t="s">
        <v>303</v>
      </c>
      <c r="E1299" s="327"/>
      <c r="F1299" s="481" t="s">
        <v>334</v>
      </c>
      <c r="G1299" s="327"/>
      <c r="H1299" s="482"/>
      <c r="I1299" s="326"/>
      <c r="J1299" s="327"/>
      <c r="K1299" s="481" t="s">
        <v>334</v>
      </c>
      <c r="L1299" s="326"/>
      <c r="M1299" s="327"/>
      <c r="N1299" s="439" t="s">
        <v>303</v>
      </c>
      <c r="O1299" s="326"/>
      <c r="P1299" s="326"/>
      <c r="Q1299" s="326"/>
      <c r="R1299" s="326"/>
      <c r="S1299" s="326"/>
      <c r="T1299" s="326"/>
      <c r="U1299" s="327"/>
    </row>
    <row r="1300" spans="1:21" ht="34.5" customHeight="1" x14ac:dyDescent="0.25">
      <c r="A1300" s="10">
        <f t="shared" si="5"/>
        <v>1286</v>
      </c>
      <c r="B1300" s="483" t="s">
        <v>303</v>
      </c>
      <c r="C1300" s="327"/>
      <c r="D1300" s="484" t="s">
        <v>303</v>
      </c>
      <c r="E1300" s="327"/>
      <c r="F1300" s="481" t="s">
        <v>334</v>
      </c>
      <c r="G1300" s="327"/>
      <c r="H1300" s="485"/>
      <c r="I1300" s="326"/>
      <c r="J1300" s="327"/>
      <c r="K1300" s="481" t="s">
        <v>334</v>
      </c>
      <c r="L1300" s="326"/>
      <c r="M1300" s="327"/>
      <c r="N1300" s="486" t="s">
        <v>303</v>
      </c>
      <c r="O1300" s="326"/>
      <c r="P1300" s="326"/>
      <c r="Q1300" s="326"/>
      <c r="R1300" s="326"/>
      <c r="S1300" s="326"/>
      <c r="T1300" s="326"/>
      <c r="U1300" s="327"/>
    </row>
    <row r="1301" spans="1:21" ht="34.5" customHeight="1" x14ac:dyDescent="0.25">
      <c r="A1301" s="10">
        <f t="shared" si="5"/>
        <v>1287</v>
      </c>
      <c r="B1301" s="479" t="s">
        <v>303</v>
      </c>
      <c r="C1301" s="327"/>
      <c r="D1301" s="480" t="s">
        <v>303</v>
      </c>
      <c r="E1301" s="327"/>
      <c r="F1301" s="481" t="s">
        <v>334</v>
      </c>
      <c r="G1301" s="327"/>
      <c r="H1301" s="482"/>
      <c r="I1301" s="326"/>
      <c r="J1301" s="327"/>
      <c r="K1301" s="481" t="s">
        <v>334</v>
      </c>
      <c r="L1301" s="326"/>
      <c r="M1301" s="327"/>
      <c r="N1301" s="439" t="s">
        <v>303</v>
      </c>
      <c r="O1301" s="326"/>
      <c r="P1301" s="326"/>
      <c r="Q1301" s="326"/>
      <c r="R1301" s="326"/>
      <c r="S1301" s="326"/>
      <c r="T1301" s="326"/>
      <c r="U1301" s="327"/>
    </row>
    <row r="1302" spans="1:21" ht="34.5" customHeight="1" x14ac:dyDescent="0.25">
      <c r="A1302" s="10">
        <f t="shared" si="5"/>
        <v>1288</v>
      </c>
      <c r="B1302" s="483" t="s">
        <v>303</v>
      </c>
      <c r="C1302" s="327"/>
      <c r="D1302" s="484" t="s">
        <v>303</v>
      </c>
      <c r="E1302" s="327"/>
      <c r="F1302" s="481" t="s">
        <v>334</v>
      </c>
      <c r="G1302" s="327"/>
      <c r="H1302" s="485"/>
      <c r="I1302" s="326"/>
      <c r="J1302" s="327"/>
      <c r="K1302" s="481" t="s">
        <v>334</v>
      </c>
      <c r="L1302" s="326"/>
      <c r="M1302" s="327"/>
      <c r="N1302" s="486" t="s">
        <v>303</v>
      </c>
      <c r="O1302" s="326"/>
      <c r="P1302" s="326"/>
      <c r="Q1302" s="326"/>
      <c r="R1302" s="326"/>
      <c r="S1302" s="326"/>
      <c r="T1302" s="326"/>
      <c r="U1302" s="327"/>
    </row>
    <row r="1303" spans="1:21" ht="34.5" customHeight="1" x14ac:dyDescent="0.25">
      <c r="A1303" s="10">
        <f t="shared" si="5"/>
        <v>1289</v>
      </c>
      <c r="B1303" s="479" t="s">
        <v>303</v>
      </c>
      <c r="C1303" s="327"/>
      <c r="D1303" s="480" t="s">
        <v>303</v>
      </c>
      <c r="E1303" s="327"/>
      <c r="F1303" s="481" t="s">
        <v>334</v>
      </c>
      <c r="G1303" s="327"/>
      <c r="H1303" s="482"/>
      <c r="I1303" s="326"/>
      <c r="J1303" s="327"/>
      <c r="K1303" s="481" t="s">
        <v>334</v>
      </c>
      <c r="L1303" s="326"/>
      <c r="M1303" s="327"/>
      <c r="N1303" s="439" t="s">
        <v>303</v>
      </c>
      <c r="O1303" s="326"/>
      <c r="P1303" s="326"/>
      <c r="Q1303" s="326"/>
      <c r="R1303" s="326"/>
      <c r="S1303" s="326"/>
      <c r="T1303" s="326"/>
      <c r="U1303" s="327"/>
    </row>
    <row r="1304" spans="1:21" ht="34.5" customHeight="1" x14ac:dyDescent="0.25">
      <c r="A1304" s="10">
        <f t="shared" si="5"/>
        <v>1290</v>
      </c>
      <c r="B1304" s="483" t="s">
        <v>303</v>
      </c>
      <c r="C1304" s="327"/>
      <c r="D1304" s="484" t="s">
        <v>303</v>
      </c>
      <c r="E1304" s="327"/>
      <c r="F1304" s="481" t="s">
        <v>334</v>
      </c>
      <c r="G1304" s="327"/>
      <c r="H1304" s="485"/>
      <c r="I1304" s="326"/>
      <c r="J1304" s="327"/>
      <c r="K1304" s="481" t="s">
        <v>334</v>
      </c>
      <c r="L1304" s="326"/>
      <c r="M1304" s="327"/>
      <c r="N1304" s="486" t="s">
        <v>303</v>
      </c>
      <c r="O1304" s="326"/>
      <c r="P1304" s="326"/>
      <c r="Q1304" s="326"/>
      <c r="R1304" s="326"/>
      <c r="S1304" s="326"/>
      <c r="T1304" s="326"/>
      <c r="U1304" s="327"/>
    </row>
    <row r="1305" spans="1:21" ht="34.5" customHeight="1" x14ac:dyDescent="0.25">
      <c r="A1305" s="10">
        <f t="shared" si="5"/>
        <v>1291</v>
      </c>
      <c r="B1305" s="479" t="s">
        <v>336</v>
      </c>
      <c r="C1305" s="327"/>
      <c r="D1305" s="480" t="s">
        <v>303</v>
      </c>
      <c r="E1305" s="327"/>
      <c r="F1305" s="481" t="s">
        <v>334</v>
      </c>
      <c r="G1305" s="327"/>
      <c r="H1305" s="482"/>
      <c r="I1305" s="326"/>
      <c r="J1305" s="327"/>
      <c r="K1305" s="481" t="s">
        <v>334</v>
      </c>
      <c r="L1305" s="326"/>
      <c r="M1305" s="327"/>
      <c r="N1305" s="439" t="s">
        <v>303</v>
      </c>
      <c r="O1305" s="326"/>
      <c r="P1305" s="326"/>
      <c r="Q1305" s="326"/>
      <c r="R1305" s="326"/>
      <c r="S1305" s="326"/>
      <c r="T1305" s="326"/>
      <c r="U1305" s="327"/>
    </row>
    <row r="1306" spans="1:21" ht="34.5" customHeight="1" x14ac:dyDescent="0.25">
      <c r="A1306" s="10">
        <f t="shared" si="5"/>
        <v>1292</v>
      </c>
      <c r="B1306" s="483" t="s">
        <v>303</v>
      </c>
      <c r="C1306" s="327"/>
      <c r="D1306" s="484" t="s">
        <v>303</v>
      </c>
      <c r="E1306" s="327"/>
      <c r="F1306" s="481" t="s">
        <v>334</v>
      </c>
      <c r="G1306" s="327"/>
      <c r="H1306" s="485"/>
      <c r="I1306" s="326"/>
      <c r="J1306" s="327"/>
      <c r="K1306" s="481" t="s">
        <v>334</v>
      </c>
      <c r="L1306" s="326"/>
      <c r="M1306" s="327"/>
      <c r="N1306" s="486" t="s">
        <v>303</v>
      </c>
      <c r="O1306" s="326"/>
      <c r="P1306" s="326"/>
      <c r="Q1306" s="326"/>
      <c r="R1306" s="326"/>
      <c r="S1306" s="326"/>
      <c r="T1306" s="326"/>
      <c r="U1306" s="327"/>
    </row>
    <row r="1307" spans="1:21" ht="34.5" customHeight="1" x14ac:dyDescent="0.25">
      <c r="A1307" s="10">
        <f t="shared" si="5"/>
        <v>1293</v>
      </c>
      <c r="B1307" s="479" t="s">
        <v>303</v>
      </c>
      <c r="C1307" s="327"/>
      <c r="D1307" s="480" t="s">
        <v>303</v>
      </c>
      <c r="E1307" s="327"/>
      <c r="F1307" s="481" t="s">
        <v>334</v>
      </c>
      <c r="G1307" s="327"/>
      <c r="H1307" s="482"/>
      <c r="I1307" s="326"/>
      <c r="J1307" s="327"/>
      <c r="K1307" s="481" t="s">
        <v>334</v>
      </c>
      <c r="L1307" s="326"/>
      <c r="M1307" s="327"/>
      <c r="N1307" s="439" t="s">
        <v>303</v>
      </c>
      <c r="O1307" s="326"/>
      <c r="P1307" s="326"/>
      <c r="Q1307" s="326"/>
      <c r="R1307" s="326"/>
      <c r="S1307" s="326"/>
      <c r="T1307" s="326"/>
      <c r="U1307" s="327"/>
    </row>
    <row r="1308" spans="1:21" ht="34.5" customHeight="1" x14ac:dyDescent="0.25">
      <c r="A1308" s="10">
        <f t="shared" si="5"/>
        <v>1294</v>
      </c>
      <c r="B1308" s="483" t="s">
        <v>303</v>
      </c>
      <c r="C1308" s="327"/>
      <c r="D1308" s="484" t="s">
        <v>303</v>
      </c>
      <c r="E1308" s="327"/>
      <c r="F1308" s="481" t="s">
        <v>334</v>
      </c>
      <c r="G1308" s="327"/>
      <c r="H1308" s="485"/>
      <c r="I1308" s="326"/>
      <c r="J1308" s="327"/>
      <c r="K1308" s="481" t="s">
        <v>334</v>
      </c>
      <c r="L1308" s="326"/>
      <c r="M1308" s="327"/>
      <c r="N1308" s="486" t="s">
        <v>303</v>
      </c>
      <c r="O1308" s="326"/>
      <c r="P1308" s="326"/>
      <c r="Q1308" s="326"/>
      <c r="R1308" s="326"/>
      <c r="S1308" s="326"/>
      <c r="T1308" s="326"/>
      <c r="U1308" s="327"/>
    </row>
    <row r="1309" spans="1:21" ht="34.5" customHeight="1" x14ac:dyDescent="0.25">
      <c r="A1309" s="10">
        <f t="shared" si="5"/>
        <v>1295</v>
      </c>
      <c r="B1309" s="479" t="s">
        <v>303</v>
      </c>
      <c r="C1309" s="327"/>
      <c r="D1309" s="480" t="s">
        <v>303</v>
      </c>
      <c r="E1309" s="327"/>
      <c r="F1309" s="481" t="s">
        <v>334</v>
      </c>
      <c r="G1309" s="327"/>
      <c r="H1309" s="482"/>
      <c r="I1309" s="326"/>
      <c r="J1309" s="327"/>
      <c r="K1309" s="481" t="s">
        <v>334</v>
      </c>
      <c r="L1309" s="326"/>
      <c r="M1309" s="327"/>
      <c r="N1309" s="439" t="s">
        <v>303</v>
      </c>
      <c r="O1309" s="326"/>
      <c r="P1309" s="326"/>
      <c r="Q1309" s="326"/>
      <c r="R1309" s="326"/>
      <c r="S1309" s="326"/>
      <c r="T1309" s="326"/>
      <c r="U1309" s="327"/>
    </row>
    <row r="1310" spans="1:21" ht="34.5" customHeight="1" x14ac:dyDescent="0.25">
      <c r="A1310" s="10">
        <f t="shared" si="5"/>
        <v>1296</v>
      </c>
      <c r="B1310" s="483" t="s">
        <v>303</v>
      </c>
      <c r="C1310" s="327"/>
      <c r="D1310" s="484" t="s">
        <v>303</v>
      </c>
      <c r="E1310" s="327"/>
      <c r="F1310" s="481" t="s">
        <v>334</v>
      </c>
      <c r="G1310" s="327"/>
      <c r="H1310" s="485"/>
      <c r="I1310" s="326"/>
      <c r="J1310" s="327"/>
      <c r="K1310" s="481" t="s">
        <v>334</v>
      </c>
      <c r="L1310" s="326"/>
      <c r="M1310" s="327"/>
      <c r="N1310" s="486" t="s">
        <v>303</v>
      </c>
      <c r="O1310" s="326"/>
      <c r="P1310" s="326"/>
      <c r="Q1310" s="326"/>
      <c r="R1310" s="326"/>
      <c r="S1310" s="326"/>
      <c r="T1310" s="326"/>
      <c r="U1310" s="327"/>
    </row>
    <row r="1311" spans="1:21" ht="34.5" customHeight="1" x14ac:dyDescent="0.25">
      <c r="A1311" s="10">
        <f t="shared" si="5"/>
        <v>1297</v>
      </c>
      <c r="B1311" s="479" t="s">
        <v>303</v>
      </c>
      <c r="C1311" s="327"/>
      <c r="D1311" s="480" t="s">
        <v>303</v>
      </c>
      <c r="E1311" s="327"/>
      <c r="F1311" s="481" t="s">
        <v>334</v>
      </c>
      <c r="G1311" s="327"/>
      <c r="H1311" s="482"/>
      <c r="I1311" s="326"/>
      <c r="J1311" s="327"/>
      <c r="K1311" s="481" t="s">
        <v>334</v>
      </c>
      <c r="L1311" s="326"/>
      <c r="M1311" s="327"/>
      <c r="N1311" s="439" t="s">
        <v>303</v>
      </c>
      <c r="O1311" s="326"/>
      <c r="P1311" s="326"/>
      <c r="Q1311" s="326"/>
      <c r="R1311" s="326"/>
      <c r="S1311" s="326"/>
      <c r="T1311" s="326"/>
      <c r="U1311" s="327"/>
    </row>
    <row r="1312" spans="1:21" ht="34.5" customHeight="1" x14ac:dyDescent="0.25">
      <c r="A1312" s="10">
        <f t="shared" si="5"/>
        <v>1298</v>
      </c>
      <c r="B1312" s="483" t="s">
        <v>303</v>
      </c>
      <c r="C1312" s="327"/>
      <c r="D1312" s="484" t="s">
        <v>303</v>
      </c>
      <c r="E1312" s="327"/>
      <c r="F1312" s="481" t="s">
        <v>334</v>
      </c>
      <c r="G1312" s="327"/>
      <c r="H1312" s="485"/>
      <c r="I1312" s="326"/>
      <c r="J1312" s="327"/>
      <c r="K1312" s="481" t="s">
        <v>334</v>
      </c>
      <c r="L1312" s="326"/>
      <c r="M1312" s="327"/>
      <c r="N1312" s="486" t="s">
        <v>303</v>
      </c>
      <c r="O1312" s="326"/>
      <c r="P1312" s="326"/>
      <c r="Q1312" s="326"/>
      <c r="R1312" s="326"/>
      <c r="S1312" s="326"/>
      <c r="T1312" s="326"/>
      <c r="U1312" s="327"/>
    </row>
    <row r="1313" spans="1:21" ht="34.5" customHeight="1" x14ac:dyDescent="0.25">
      <c r="A1313" s="10">
        <f t="shared" si="5"/>
        <v>1299</v>
      </c>
      <c r="B1313" s="479" t="s">
        <v>335</v>
      </c>
      <c r="C1313" s="327"/>
      <c r="D1313" s="480" t="s">
        <v>303</v>
      </c>
      <c r="E1313" s="327"/>
      <c r="F1313" s="481" t="s">
        <v>334</v>
      </c>
      <c r="G1313" s="327"/>
      <c r="H1313" s="482"/>
      <c r="I1313" s="326"/>
      <c r="J1313" s="327"/>
      <c r="K1313" s="481" t="s">
        <v>334</v>
      </c>
      <c r="L1313" s="326"/>
      <c r="M1313" s="327"/>
      <c r="N1313" s="439" t="s">
        <v>303</v>
      </c>
      <c r="O1313" s="326"/>
      <c r="P1313" s="326"/>
      <c r="Q1313" s="326"/>
      <c r="R1313" s="326"/>
      <c r="S1313" s="326"/>
      <c r="T1313" s="326"/>
      <c r="U1313" s="327"/>
    </row>
    <row r="1314" spans="1:21" ht="34.5" customHeight="1" x14ac:dyDescent="0.25">
      <c r="A1314" s="10">
        <f t="shared" si="5"/>
        <v>1300</v>
      </c>
      <c r="B1314" s="483" t="s">
        <v>303</v>
      </c>
      <c r="C1314" s="327"/>
      <c r="D1314" s="484" t="s">
        <v>303</v>
      </c>
      <c r="E1314" s="327"/>
      <c r="F1314" s="481" t="s">
        <v>334</v>
      </c>
      <c r="G1314" s="327"/>
      <c r="H1314" s="485"/>
      <c r="I1314" s="326"/>
      <c r="J1314" s="327"/>
      <c r="K1314" s="481" t="s">
        <v>334</v>
      </c>
      <c r="L1314" s="326"/>
      <c r="M1314" s="327"/>
      <c r="N1314" s="486" t="s">
        <v>303</v>
      </c>
      <c r="O1314" s="326"/>
      <c r="P1314" s="326"/>
      <c r="Q1314" s="326"/>
      <c r="R1314" s="326"/>
      <c r="S1314" s="326"/>
      <c r="T1314" s="326"/>
      <c r="U1314" s="327"/>
    </row>
    <row r="1315" spans="1:21" ht="34.5" customHeight="1" x14ac:dyDescent="0.25">
      <c r="A1315" s="10">
        <f t="shared" si="5"/>
        <v>1301</v>
      </c>
      <c r="B1315" s="479" t="s">
        <v>303</v>
      </c>
      <c r="C1315" s="327"/>
      <c r="D1315" s="480" t="s">
        <v>303</v>
      </c>
      <c r="E1315" s="327"/>
      <c r="F1315" s="481" t="s">
        <v>334</v>
      </c>
      <c r="G1315" s="327"/>
      <c r="H1315" s="482"/>
      <c r="I1315" s="326"/>
      <c r="J1315" s="327"/>
      <c r="K1315" s="481" t="s">
        <v>334</v>
      </c>
      <c r="L1315" s="326"/>
      <c r="M1315" s="327"/>
      <c r="N1315" s="439" t="s">
        <v>303</v>
      </c>
      <c r="O1315" s="326"/>
      <c r="P1315" s="326"/>
      <c r="Q1315" s="326"/>
      <c r="R1315" s="326"/>
      <c r="S1315" s="326"/>
      <c r="T1315" s="326"/>
      <c r="U1315" s="327"/>
    </row>
    <row r="1316" spans="1:21" ht="34.5" customHeight="1" x14ac:dyDescent="0.25">
      <c r="A1316" s="10">
        <f t="shared" si="5"/>
        <v>1302</v>
      </c>
      <c r="B1316" s="483" t="s">
        <v>303</v>
      </c>
      <c r="C1316" s="327"/>
      <c r="D1316" s="484" t="s">
        <v>303</v>
      </c>
      <c r="E1316" s="327"/>
      <c r="F1316" s="481" t="s">
        <v>334</v>
      </c>
      <c r="G1316" s="327"/>
      <c r="H1316" s="485"/>
      <c r="I1316" s="326"/>
      <c r="J1316" s="327"/>
      <c r="K1316" s="481" t="s">
        <v>334</v>
      </c>
      <c r="L1316" s="326"/>
      <c r="M1316" s="327"/>
      <c r="N1316" s="486" t="s">
        <v>303</v>
      </c>
      <c r="O1316" s="326"/>
      <c r="P1316" s="326"/>
      <c r="Q1316" s="326"/>
      <c r="R1316" s="326"/>
      <c r="S1316" s="326"/>
      <c r="T1316" s="326"/>
      <c r="U1316" s="327"/>
    </row>
    <row r="1317" spans="1:21" ht="34.5" customHeight="1" x14ac:dyDescent="0.25">
      <c r="A1317" s="10">
        <f t="shared" si="5"/>
        <v>1303</v>
      </c>
      <c r="B1317" s="479" t="s">
        <v>303</v>
      </c>
      <c r="C1317" s="327"/>
      <c r="D1317" s="480" t="s">
        <v>303</v>
      </c>
      <c r="E1317" s="327"/>
      <c r="F1317" s="481" t="s">
        <v>334</v>
      </c>
      <c r="G1317" s="327"/>
      <c r="H1317" s="482"/>
      <c r="I1317" s="326"/>
      <c r="J1317" s="327"/>
      <c r="K1317" s="481" t="s">
        <v>334</v>
      </c>
      <c r="L1317" s="326"/>
      <c r="M1317" s="327"/>
      <c r="N1317" s="439" t="s">
        <v>303</v>
      </c>
      <c r="O1317" s="326"/>
      <c r="P1317" s="326"/>
      <c r="Q1317" s="326"/>
      <c r="R1317" s="326"/>
      <c r="S1317" s="326"/>
      <c r="T1317" s="326"/>
      <c r="U1317" s="327"/>
    </row>
    <row r="1318" spans="1:21" ht="34.5" customHeight="1" x14ac:dyDescent="0.25">
      <c r="A1318" s="10">
        <f t="shared" si="5"/>
        <v>1304</v>
      </c>
      <c r="B1318" s="483" t="s">
        <v>303</v>
      </c>
      <c r="C1318" s="327"/>
      <c r="D1318" s="484" t="s">
        <v>303</v>
      </c>
      <c r="E1318" s="327"/>
      <c r="F1318" s="481" t="s">
        <v>334</v>
      </c>
      <c r="G1318" s="327"/>
      <c r="H1318" s="485"/>
      <c r="I1318" s="326"/>
      <c r="J1318" s="327"/>
      <c r="K1318" s="481" t="s">
        <v>334</v>
      </c>
      <c r="L1318" s="326"/>
      <c r="M1318" s="327"/>
      <c r="N1318" s="486" t="s">
        <v>303</v>
      </c>
      <c r="O1318" s="326"/>
      <c r="P1318" s="326"/>
      <c r="Q1318" s="326"/>
      <c r="R1318" s="326"/>
      <c r="S1318" s="326"/>
      <c r="T1318" s="326"/>
      <c r="U1318" s="327"/>
    </row>
    <row r="1319" spans="1:21" ht="34.5" customHeight="1" x14ac:dyDescent="0.25">
      <c r="A1319" s="10">
        <f t="shared" si="5"/>
        <v>1305</v>
      </c>
      <c r="B1319" s="479" t="s">
        <v>303</v>
      </c>
      <c r="C1319" s="327"/>
      <c r="D1319" s="480" t="s">
        <v>303</v>
      </c>
      <c r="E1319" s="327"/>
      <c r="F1319" s="481" t="s">
        <v>334</v>
      </c>
      <c r="G1319" s="327"/>
      <c r="H1319" s="482"/>
      <c r="I1319" s="326"/>
      <c r="J1319" s="327"/>
      <c r="K1319" s="481" t="s">
        <v>334</v>
      </c>
      <c r="L1319" s="326"/>
      <c r="M1319" s="327"/>
      <c r="N1319" s="439" t="s">
        <v>303</v>
      </c>
      <c r="O1319" s="326"/>
      <c r="P1319" s="326"/>
      <c r="Q1319" s="326"/>
      <c r="R1319" s="326"/>
      <c r="S1319" s="326"/>
      <c r="T1319" s="326"/>
      <c r="U1319" s="327"/>
    </row>
    <row r="1320" spans="1:21" ht="34.5" customHeight="1" x14ac:dyDescent="0.25">
      <c r="A1320" s="10">
        <f t="shared" si="5"/>
        <v>1306</v>
      </c>
      <c r="B1320" s="483" t="s">
        <v>339</v>
      </c>
      <c r="C1320" s="327"/>
      <c r="D1320" s="484" t="s">
        <v>303</v>
      </c>
      <c r="E1320" s="327"/>
      <c r="F1320" s="481" t="s">
        <v>334</v>
      </c>
      <c r="G1320" s="327"/>
      <c r="H1320" s="485"/>
      <c r="I1320" s="326"/>
      <c r="J1320" s="327"/>
      <c r="K1320" s="481" t="s">
        <v>334</v>
      </c>
      <c r="L1320" s="326"/>
      <c r="M1320" s="327"/>
      <c r="N1320" s="486" t="s">
        <v>303</v>
      </c>
      <c r="O1320" s="326"/>
      <c r="P1320" s="326"/>
      <c r="Q1320" s="326"/>
      <c r="R1320" s="326"/>
      <c r="S1320" s="326"/>
      <c r="T1320" s="326"/>
      <c r="U1320" s="327"/>
    </row>
    <row r="1321" spans="1:21" ht="34.5" customHeight="1" x14ac:dyDescent="0.25">
      <c r="A1321" s="10">
        <f t="shared" si="5"/>
        <v>1307</v>
      </c>
      <c r="B1321" s="479" t="s">
        <v>303</v>
      </c>
      <c r="C1321" s="327"/>
      <c r="D1321" s="480" t="s">
        <v>303</v>
      </c>
      <c r="E1321" s="327"/>
      <c r="F1321" s="481" t="s">
        <v>334</v>
      </c>
      <c r="G1321" s="327"/>
      <c r="H1321" s="482"/>
      <c r="I1321" s="326"/>
      <c r="J1321" s="327"/>
      <c r="K1321" s="481" t="s">
        <v>334</v>
      </c>
      <c r="L1321" s="326"/>
      <c r="M1321" s="327"/>
      <c r="N1321" s="439" t="s">
        <v>303</v>
      </c>
      <c r="O1321" s="326"/>
      <c r="P1321" s="326"/>
      <c r="Q1321" s="326"/>
      <c r="R1321" s="326"/>
      <c r="S1321" s="326"/>
      <c r="T1321" s="326"/>
      <c r="U1321" s="327"/>
    </row>
    <row r="1322" spans="1:21" ht="34.5" customHeight="1" x14ac:dyDescent="0.25">
      <c r="A1322" s="10">
        <f t="shared" si="5"/>
        <v>1308</v>
      </c>
      <c r="B1322" s="483" t="s">
        <v>303</v>
      </c>
      <c r="C1322" s="327"/>
      <c r="D1322" s="484" t="s">
        <v>303</v>
      </c>
      <c r="E1322" s="327"/>
      <c r="F1322" s="481" t="s">
        <v>334</v>
      </c>
      <c r="G1322" s="327"/>
      <c r="H1322" s="485"/>
      <c r="I1322" s="326"/>
      <c r="J1322" s="327"/>
      <c r="K1322" s="481" t="s">
        <v>334</v>
      </c>
      <c r="L1322" s="326"/>
      <c r="M1322" s="327"/>
      <c r="N1322" s="486" t="s">
        <v>303</v>
      </c>
      <c r="O1322" s="326"/>
      <c r="P1322" s="326"/>
      <c r="Q1322" s="326"/>
      <c r="R1322" s="326"/>
      <c r="S1322" s="326"/>
      <c r="T1322" s="326"/>
      <c r="U1322" s="327"/>
    </row>
    <row r="1323" spans="1:21" ht="34.5" customHeight="1" x14ac:dyDescent="0.25">
      <c r="A1323" s="10">
        <f t="shared" si="5"/>
        <v>1309</v>
      </c>
      <c r="B1323" s="479" t="s">
        <v>303</v>
      </c>
      <c r="C1323" s="327"/>
      <c r="D1323" s="480" t="s">
        <v>303</v>
      </c>
      <c r="E1323" s="327"/>
      <c r="F1323" s="481" t="s">
        <v>334</v>
      </c>
      <c r="G1323" s="327"/>
      <c r="H1323" s="482"/>
      <c r="I1323" s="326"/>
      <c r="J1323" s="327"/>
      <c r="K1323" s="481" t="s">
        <v>334</v>
      </c>
      <c r="L1323" s="326"/>
      <c r="M1323" s="327"/>
      <c r="N1323" s="439" t="s">
        <v>303</v>
      </c>
      <c r="O1323" s="326"/>
      <c r="P1323" s="326"/>
      <c r="Q1323" s="326"/>
      <c r="R1323" s="326"/>
      <c r="S1323" s="326"/>
      <c r="T1323" s="326"/>
      <c r="U1323" s="327"/>
    </row>
    <row r="1324" spans="1:21" ht="34.5" customHeight="1" x14ac:dyDescent="0.25">
      <c r="A1324" s="10">
        <f t="shared" si="5"/>
        <v>1310</v>
      </c>
      <c r="B1324" s="483" t="s">
        <v>303</v>
      </c>
      <c r="C1324" s="327"/>
      <c r="D1324" s="484" t="s">
        <v>303</v>
      </c>
      <c r="E1324" s="327"/>
      <c r="F1324" s="481" t="s">
        <v>334</v>
      </c>
      <c r="G1324" s="327"/>
      <c r="H1324" s="485"/>
      <c r="I1324" s="326"/>
      <c r="J1324" s="327"/>
      <c r="K1324" s="481" t="s">
        <v>334</v>
      </c>
      <c r="L1324" s="326"/>
      <c r="M1324" s="327"/>
      <c r="N1324" s="486" t="s">
        <v>303</v>
      </c>
      <c r="O1324" s="326"/>
      <c r="P1324" s="326"/>
      <c r="Q1324" s="326"/>
      <c r="R1324" s="326"/>
      <c r="S1324" s="326"/>
      <c r="T1324" s="326"/>
      <c r="U1324" s="327"/>
    </row>
    <row r="1325" spans="1:21" ht="34.5" customHeight="1" x14ac:dyDescent="0.25">
      <c r="A1325" s="10">
        <f t="shared" si="5"/>
        <v>1311</v>
      </c>
      <c r="B1325" s="479" t="s">
        <v>303</v>
      </c>
      <c r="C1325" s="327"/>
      <c r="D1325" s="480" t="s">
        <v>303</v>
      </c>
      <c r="E1325" s="327"/>
      <c r="F1325" s="481" t="s">
        <v>334</v>
      </c>
      <c r="G1325" s="327"/>
      <c r="H1325" s="482"/>
      <c r="I1325" s="326"/>
      <c r="J1325" s="327"/>
      <c r="K1325" s="481" t="s">
        <v>334</v>
      </c>
      <c r="L1325" s="326"/>
      <c r="M1325" s="327"/>
      <c r="N1325" s="439" t="s">
        <v>303</v>
      </c>
      <c r="O1325" s="326"/>
      <c r="P1325" s="326"/>
      <c r="Q1325" s="326"/>
      <c r="R1325" s="326"/>
      <c r="S1325" s="326"/>
      <c r="T1325" s="326"/>
      <c r="U1325" s="327"/>
    </row>
    <row r="1326" spans="1:21" ht="34.5" customHeight="1" x14ac:dyDescent="0.25">
      <c r="A1326" s="10">
        <f t="shared" si="5"/>
        <v>1312</v>
      </c>
      <c r="B1326" s="483" t="s">
        <v>303</v>
      </c>
      <c r="C1326" s="327"/>
      <c r="D1326" s="484" t="s">
        <v>303</v>
      </c>
      <c r="E1326" s="327"/>
      <c r="F1326" s="481" t="s">
        <v>334</v>
      </c>
      <c r="G1326" s="327"/>
      <c r="H1326" s="485"/>
      <c r="I1326" s="326"/>
      <c r="J1326" s="327"/>
      <c r="K1326" s="481" t="s">
        <v>334</v>
      </c>
      <c r="L1326" s="326"/>
      <c r="M1326" s="327"/>
      <c r="N1326" s="486" t="s">
        <v>303</v>
      </c>
      <c r="O1326" s="326"/>
      <c r="P1326" s="326"/>
      <c r="Q1326" s="326"/>
      <c r="R1326" s="326"/>
      <c r="S1326" s="326"/>
      <c r="T1326" s="326"/>
      <c r="U1326" s="327"/>
    </row>
    <row r="1327" spans="1:21" ht="34.5" customHeight="1" x14ac:dyDescent="0.25">
      <c r="A1327" s="10">
        <f t="shared" si="5"/>
        <v>1313</v>
      </c>
      <c r="B1327" s="479" t="s">
        <v>335</v>
      </c>
      <c r="C1327" s="327"/>
      <c r="D1327" s="480" t="s">
        <v>303</v>
      </c>
      <c r="E1327" s="327"/>
      <c r="F1327" s="481" t="s">
        <v>334</v>
      </c>
      <c r="G1327" s="327"/>
      <c r="H1327" s="482"/>
      <c r="I1327" s="326"/>
      <c r="J1327" s="327"/>
      <c r="K1327" s="481" t="s">
        <v>334</v>
      </c>
      <c r="L1327" s="326"/>
      <c r="M1327" s="327"/>
      <c r="N1327" s="439" t="s">
        <v>303</v>
      </c>
      <c r="O1327" s="326"/>
      <c r="P1327" s="326"/>
      <c r="Q1327" s="326"/>
      <c r="R1327" s="326"/>
      <c r="S1327" s="326"/>
      <c r="T1327" s="326"/>
      <c r="U1327" s="327"/>
    </row>
    <row r="1328" spans="1:21" ht="34.5" customHeight="1" x14ac:dyDescent="0.25">
      <c r="A1328" s="10">
        <f t="shared" si="5"/>
        <v>1314</v>
      </c>
      <c r="B1328" s="483" t="s">
        <v>303</v>
      </c>
      <c r="C1328" s="327"/>
      <c r="D1328" s="484" t="s">
        <v>303</v>
      </c>
      <c r="E1328" s="327"/>
      <c r="F1328" s="481" t="s">
        <v>334</v>
      </c>
      <c r="G1328" s="327"/>
      <c r="H1328" s="485"/>
      <c r="I1328" s="326"/>
      <c r="J1328" s="327"/>
      <c r="K1328" s="481" t="s">
        <v>334</v>
      </c>
      <c r="L1328" s="326"/>
      <c r="M1328" s="327"/>
      <c r="N1328" s="486" t="s">
        <v>303</v>
      </c>
      <c r="O1328" s="326"/>
      <c r="P1328" s="326"/>
      <c r="Q1328" s="326"/>
      <c r="R1328" s="326"/>
      <c r="S1328" s="326"/>
      <c r="T1328" s="326"/>
      <c r="U1328" s="327"/>
    </row>
    <row r="1329" spans="1:21" ht="34.5" customHeight="1" x14ac:dyDescent="0.25">
      <c r="A1329" s="10">
        <f t="shared" si="5"/>
        <v>1315</v>
      </c>
      <c r="B1329" s="479" t="s">
        <v>303</v>
      </c>
      <c r="C1329" s="327"/>
      <c r="D1329" s="480" t="s">
        <v>303</v>
      </c>
      <c r="E1329" s="327"/>
      <c r="F1329" s="481" t="s">
        <v>334</v>
      </c>
      <c r="G1329" s="327"/>
      <c r="H1329" s="482"/>
      <c r="I1329" s="326"/>
      <c r="J1329" s="327"/>
      <c r="K1329" s="481" t="s">
        <v>334</v>
      </c>
      <c r="L1329" s="326"/>
      <c r="M1329" s="327"/>
      <c r="N1329" s="439" t="s">
        <v>303</v>
      </c>
      <c r="O1329" s="326"/>
      <c r="P1329" s="326"/>
      <c r="Q1329" s="326"/>
      <c r="R1329" s="326"/>
      <c r="S1329" s="326"/>
      <c r="T1329" s="326"/>
      <c r="U1329" s="327"/>
    </row>
    <row r="1330" spans="1:21" ht="34.5" customHeight="1" x14ac:dyDescent="0.25">
      <c r="A1330" s="10">
        <f t="shared" si="5"/>
        <v>1316</v>
      </c>
      <c r="B1330" s="483" t="s">
        <v>303</v>
      </c>
      <c r="C1330" s="327"/>
      <c r="D1330" s="484" t="s">
        <v>303</v>
      </c>
      <c r="E1330" s="327"/>
      <c r="F1330" s="481" t="s">
        <v>334</v>
      </c>
      <c r="G1330" s="327"/>
      <c r="H1330" s="485"/>
      <c r="I1330" s="326"/>
      <c r="J1330" s="327"/>
      <c r="K1330" s="481" t="s">
        <v>334</v>
      </c>
      <c r="L1330" s="326"/>
      <c r="M1330" s="327"/>
      <c r="N1330" s="486" t="s">
        <v>303</v>
      </c>
      <c r="O1330" s="326"/>
      <c r="P1330" s="326"/>
      <c r="Q1330" s="326"/>
      <c r="R1330" s="326"/>
      <c r="S1330" s="326"/>
      <c r="T1330" s="326"/>
      <c r="U1330" s="327"/>
    </row>
    <row r="1331" spans="1:21" ht="34.5" customHeight="1" x14ac:dyDescent="0.25">
      <c r="A1331" s="10">
        <f t="shared" si="5"/>
        <v>1317</v>
      </c>
      <c r="B1331" s="479" t="s">
        <v>303</v>
      </c>
      <c r="C1331" s="327"/>
      <c r="D1331" s="480" t="s">
        <v>303</v>
      </c>
      <c r="E1331" s="327"/>
      <c r="F1331" s="481" t="s">
        <v>334</v>
      </c>
      <c r="G1331" s="327"/>
      <c r="H1331" s="482"/>
      <c r="I1331" s="326"/>
      <c r="J1331" s="327"/>
      <c r="K1331" s="481" t="s">
        <v>334</v>
      </c>
      <c r="L1331" s="326"/>
      <c r="M1331" s="327"/>
      <c r="N1331" s="439" t="s">
        <v>303</v>
      </c>
      <c r="O1331" s="326"/>
      <c r="P1331" s="326"/>
      <c r="Q1331" s="326"/>
      <c r="R1331" s="326"/>
      <c r="S1331" s="326"/>
      <c r="T1331" s="326"/>
      <c r="U1331" s="327"/>
    </row>
    <row r="1332" spans="1:21" ht="34.5" customHeight="1" x14ac:dyDescent="0.25">
      <c r="A1332" s="10">
        <f t="shared" si="5"/>
        <v>1318</v>
      </c>
      <c r="B1332" s="483" t="s">
        <v>303</v>
      </c>
      <c r="C1332" s="327"/>
      <c r="D1332" s="484" t="s">
        <v>303</v>
      </c>
      <c r="E1332" s="327"/>
      <c r="F1332" s="481" t="s">
        <v>334</v>
      </c>
      <c r="G1332" s="327"/>
      <c r="H1332" s="485"/>
      <c r="I1332" s="326"/>
      <c r="J1332" s="327"/>
      <c r="K1332" s="481" t="s">
        <v>334</v>
      </c>
      <c r="L1332" s="326"/>
      <c r="M1332" s="327"/>
      <c r="N1332" s="486" t="s">
        <v>303</v>
      </c>
      <c r="O1332" s="326"/>
      <c r="P1332" s="326"/>
      <c r="Q1332" s="326"/>
      <c r="R1332" s="326"/>
      <c r="S1332" s="326"/>
      <c r="T1332" s="326"/>
      <c r="U1332" s="327"/>
    </row>
    <row r="1333" spans="1:21" ht="34.5" customHeight="1" x14ac:dyDescent="0.25">
      <c r="A1333" s="10">
        <f t="shared" si="5"/>
        <v>1319</v>
      </c>
      <c r="B1333" s="479" t="s">
        <v>303</v>
      </c>
      <c r="C1333" s="327"/>
      <c r="D1333" s="480" t="s">
        <v>303</v>
      </c>
      <c r="E1333" s="327"/>
      <c r="F1333" s="481" t="s">
        <v>334</v>
      </c>
      <c r="G1333" s="327"/>
      <c r="H1333" s="482"/>
      <c r="I1333" s="326"/>
      <c r="J1333" s="327"/>
      <c r="K1333" s="481" t="s">
        <v>334</v>
      </c>
      <c r="L1333" s="326"/>
      <c r="M1333" s="327"/>
      <c r="N1333" s="439" t="s">
        <v>303</v>
      </c>
      <c r="O1333" s="326"/>
      <c r="P1333" s="326"/>
      <c r="Q1333" s="326"/>
      <c r="R1333" s="326"/>
      <c r="S1333" s="326"/>
      <c r="T1333" s="326"/>
      <c r="U1333" s="327"/>
    </row>
    <row r="1334" spans="1:21" ht="34.5" customHeight="1" x14ac:dyDescent="0.25">
      <c r="A1334" s="10">
        <f t="shared" si="5"/>
        <v>1320</v>
      </c>
      <c r="B1334" s="483" t="s">
        <v>303</v>
      </c>
      <c r="C1334" s="327"/>
      <c r="D1334" s="484" t="s">
        <v>303</v>
      </c>
      <c r="E1334" s="327"/>
      <c r="F1334" s="481" t="s">
        <v>334</v>
      </c>
      <c r="G1334" s="327"/>
      <c r="H1334" s="485"/>
      <c r="I1334" s="326"/>
      <c r="J1334" s="327"/>
      <c r="K1334" s="481" t="s">
        <v>334</v>
      </c>
      <c r="L1334" s="326"/>
      <c r="M1334" s="327"/>
      <c r="N1334" s="486" t="s">
        <v>303</v>
      </c>
      <c r="O1334" s="326"/>
      <c r="P1334" s="326"/>
      <c r="Q1334" s="326"/>
      <c r="R1334" s="326"/>
      <c r="S1334" s="326"/>
      <c r="T1334" s="326"/>
      <c r="U1334" s="327"/>
    </row>
    <row r="1335" spans="1:21" ht="34.5" customHeight="1" x14ac:dyDescent="0.25">
      <c r="A1335" s="10">
        <f t="shared" si="5"/>
        <v>1321</v>
      </c>
      <c r="B1335" s="479" t="s">
        <v>338</v>
      </c>
      <c r="C1335" s="327"/>
      <c r="D1335" s="480" t="s">
        <v>303</v>
      </c>
      <c r="E1335" s="327"/>
      <c r="F1335" s="481" t="s">
        <v>334</v>
      </c>
      <c r="G1335" s="327"/>
      <c r="H1335" s="482"/>
      <c r="I1335" s="326"/>
      <c r="J1335" s="327"/>
      <c r="K1335" s="481" t="s">
        <v>334</v>
      </c>
      <c r="L1335" s="326"/>
      <c r="M1335" s="327"/>
      <c r="N1335" s="439" t="s">
        <v>303</v>
      </c>
      <c r="O1335" s="326"/>
      <c r="P1335" s="326"/>
      <c r="Q1335" s="326"/>
      <c r="R1335" s="326"/>
      <c r="S1335" s="326"/>
      <c r="T1335" s="326"/>
      <c r="U1335" s="327"/>
    </row>
    <row r="1336" spans="1:21" ht="34.5" customHeight="1" x14ac:dyDescent="0.25">
      <c r="A1336" s="10">
        <f t="shared" si="5"/>
        <v>1322</v>
      </c>
      <c r="B1336" s="483" t="s">
        <v>303</v>
      </c>
      <c r="C1336" s="327"/>
      <c r="D1336" s="484" t="s">
        <v>303</v>
      </c>
      <c r="E1336" s="327"/>
      <c r="F1336" s="481" t="s">
        <v>334</v>
      </c>
      <c r="G1336" s="327"/>
      <c r="H1336" s="485"/>
      <c r="I1336" s="326"/>
      <c r="J1336" s="327"/>
      <c r="K1336" s="481" t="s">
        <v>334</v>
      </c>
      <c r="L1336" s="326"/>
      <c r="M1336" s="327"/>
      <c r="N1336" s="486" t="s">
        <v>303</v>
      </c>
      <c r="O1336" s="326"/>
      <c r="P1336" s="326"/>
      <c r="Q1336" s="326"/>
      <c r="R1336" s="326"/>
      <c r="S1336" s="326"/>
      <c r="T1336" s="326"/>
      <c r="U1336" s="327"/>
    </row>
    <row r="1337" spans="1:21" ht="34.5" customHeight="1" x14ac:dyDescent="0.25">
      <c r="A1337" s="10">
        <f t="shared" si="5"/>
        <v>1323</v>
      </c>
      <c r="B1337" s="479" t="s">
        <v>303</v>
      </c>
      <c r="C1337" s="327"/>
      <c r="D1337" s="480" t="s">
        <v>303</v>
      </c>
      <c r="E1337" s="327"/>
      <c r="F1337" s="481" t="s">
        <v>334</v>
      </c>
      <c r="G1337" s="327"/>
      <c r="H1337" s="482"/>
      <c r="I1337" s="326"/>
      <c r="J1337" s="327"/>
      <c r="K1337" s="481" t="s">
        <v>334</v>
      </c>
      <c r="L1337" s="326"/>
      <c r="M1337" s="327"/>
      <c r="N1337" s="439" t="s">
        <v>303</v>
      </c>
      <c r="O1337" s="326"/>
      <c r="P1337" s="326"/>
      <c r="Q1337" s="326"/>
      <c r="R1337" s="326"/>
      <c r="S1337" s="326"/>
      <c r="T1337" s="326"/>
      <c r="U1337" s="327"/>
    </row>
    <row r="1338" spans="1:21" ht="34.5" customHeight="1" x14ac:dyDescent="0.25">
      <c r="A1338" s="10">
        <f t="shared" si="5"/>
        <v>1324</v>
      </c>
      <c r="B1338" s="483" t="s">
        <v>340</v>
      </c>
      <c r="C1338" s="327"/>
      <c r="D1338" s="484" t="s">
        <v>303</v>
      </c>
      <c r="E1338" s="327"/>
      <c r="F1338" s="481" t="s">
        <v>334</v>
      </c>
      <c r="G1338" s="327"/>
      <c r="H1338" s="485"/>
      <c r="I1338" s="326"/>
      <c r="J1338" s="327"/>
      <c r="K1338" s="481" t="s">
        <v>334</v>
      </c>
      <c r="L1338" s="326"/>
      <c r="M1338" s="327"/>
      <c r="N1338" s="486" t="s">
        <v>303</v>
      </c>
      <c r="O1338" s="326"/>
      <c r="P1338" s="326"/>
      <c r="Q1338" s="326"/>
      <c r="R1338" s="326"/>
      <c r="S1338" s="326"/>
      <c r="T1338" s="326"/>
      <c r="U1338" s="327"/>
    </row>
    <row r="1339" spans="1:21" ht="34.5" customHeight="1" x14ac:dyDescent="0.25">
      <c r="A1339" s="10">
        <f t="shared" si="5"/>
        <v>1325</v>
      </c>
      <c r="B1339" s="479" t="s">
        <v>303</v>
      </c>
      <c r="C1339" s="327"/>
      <c r="D1339" s="480" t="s">
        <v>303</v>
      </c>
      <c r="E1339" s="327"/>
      <c r="F1339" s="481" t="s">
        <v>334</v>
      </c>
      <c r="G1339" s="327"/>
      <c r="H1339" s="482"/>
      <c r="I1339" s="326"/>
      <c r="J1339" s="327"/>
      <c r="K1339" s="481" t="s">
        <v>334</v>
      </c>
      <c r="L1339" s="326"/>
      <c r="M1339" s="327"/>
      <c r="N1339" s="439" t="s">
        <v>303</v>
      </c>
      <c r="O1339" s="326"/>
      <c r="P1339" s="326"/>
      <c r="Q1339" s="326"/>
      <c r="R1339" s="326"/>
      <c r="S1339" s="326"/>
      <c r="T1339" s="326"/>
      <c r="U1339" s="327"/>
    </row>
    <row r="1340" spans="1:21" ht="34.5" customHeight="1" x14ac:dyDescent="0.25">
      <c r="A1340" s="10">
        <f t="shared" si="5"/>
        <v>1326</v>
      </c>
      <c r="B1340" s="483" t="s">
        <v>303</v>
      </c>
      <c r="C1340" s="327"/>
      <c r="D1340" s="484" t="s">
        <v>303</v>
      </c>
      <c r="E1340" s="327"/>
      <c r="F1340" s="481" t="s">
        <v>334</v>
      </c>
      <c r="G1340" s="327"/>
      <c r="H1340" s="485"/>
      <c r="I1340" s="326"/>
      <c r="J1340" s="327"/>
      <c r="K1340" s="481" t="s">
        <v>334</v>
      </c>
      <c r="L1340" s="326"/>
      <c r="M1340" s="327"/>
      <c r="N1340" s="486" t="s">
        <v>303</v>
      </c>
      <c r="O1340" s="326"/>
      <c r="P1340" s="326"/>
      <c r="Q1340" s="326"/>
      <c r="R1340" s="326"/>
      <c r="S1340" s="326"/>
      <c r="T1340" s="326"/>
      <c r="U1340" s="327"/>
    </row>
    <row r="1341" spans="1:21" ht="34.5" customHeight="1" x14ac:dyDescent="0.25">
      <c r="A1341" s="10">
        <f t="shared" si="5"/>
        <v>1327</v>
      </c>
      <c r="B1341" s="479" t="s">
        <v>303</v>
      </c>
      <c r="C1341" s="327"/>
      <c r="D1341" s="480" t="s">
        <v>303</v>
      </c>
      <c r="E1341" s="327"/>
      <c r="F1341" s="481" t="s">
        <v>334</v>
      </c>
      <c r="G1341" s="327"/>
      <c r="H1341" s="482"/>
      <c r="I1341" s="326"/>
      <c r="J1341" s="327"/>
      <c r="K1341" s="481" t="s">
        <v>334</v>
      </c>
      <c r="L1341" s="326"/>
      <c r="M1341" s="327"/>
      <c r="N1341" s="439" t="s">
        <v>303</v>
      </c>
      <c r="O1341" s="326"/>
      <c r="P1341" s="326"/>
      <c r="Q1341" s="326"/>
      <c r="R1341" s="326"/>
      <c r="S1341" s="326"/>
      <c r="T1341" s="326"/>
      <c r="U1341" s="327"/>
    </row>
    <row r="1342" spans="1:21" ht="34.5" customHeight="1" x14ac:dyDescent="0.25">
      <c r="A1342" s="10">
        <f t="shared" si="5"/>
        <v>1328</v>
      </c>
      <c r="B1342" s="483" t="s">
        <v>303</v>
      </c>
      <c r="C1342" s="327"/>
      <c r="D1342" s="484" t="s">
        <v>303</v>
      </c>
      <c r="E1342" s="327"/>
      <c r="F1342" s="481" t="s">
        <v>334</v>
      </c>
      <c r="G1342" s="327"/>
      <c r="H1342" s="485"/>
      <c r="I1342" s="326"/>
      <c r="J1342" s="327"/>
      <c r="K1342" s="481" t="s">
        <v>334</v>
      </c>
      <c r="L1342" s="326"/>
      <c r="M1342" s="327"/>
      <c r="N1342" s="486" t="s">
        <v>303</v>
      </c>
      <c r="O1342" s="326"/>
      <c r="P1342" s="326"/>
      <c r="Q1342" s="326"/>
      <c r="R1342" s="326"/>
      <c r="S1342" s="326"/>
      <c r="T1342" s="326"/>
      <c r="U1342" s="327"/>
    </row>
    <row r="1343" spans="1:21" ht="34.5" customHeight="1" x14ac:dyDescent="0.25">
      <c r="A1343" s="10">
        <f t="shared" si="5"/>
        <v>1329</v>
      </c>
      <c r="B1343" s="479" t="s">
        <v>303</v>
      </c>
      <c r="C1343" s="327"/>
      <c r="D1343" s="480" t="s">
        <v>303</v>
      </c>
      <c r="E1343" s="327"/>
      <c r="F1343" s="481" t="s">
        <v>334</v>
      </c>
      <c r="G1343" s="327"/>
      <c r="H1343" s="482"/>
      <c r="I1343" s="326"/>
      <c r="J1343" s="327"/>
      <c r="K1343" s="481" t="s">
        <v>334</v>
      </c>
      <c r="L1343" s="326"/>
      <c r="M1343" s="327"/>
      <c r="N1343" s="439" t="s">
        <v>303</v>
      </c>
      <c r="O1343" s="326"/>
      <c r="P1343" s="326"/>
      <c r="Q1343" s="326"/>
      <c r="R1343" s="326"/>
      <c r="S1343" s="326"/>
      <c r="T1343" s="326"/>
      <c r="U1343" s="327"/>
    </row>
    <row r="1344" spans="1:21" ht="34.5" customHeight="1" x14ac:dyDescent="0.25">
      <c r="A1344" s="10">
        <f t="shared" si="5"/>
        <v>1330</v>
      </c>
      <c r="B1344" s="483" t="s">
        <v>341</v>
      </c>
      <c r="C1344" s="327"/>
      <c r="D1344" s="484" t="s">
        <v>303</v>
      </c>
      <c r="E1344" s="327"/>
      <c r="F1344" s="481" t="s">
        <v>334</v>
      </c>
      <c r="G1344" s="327"/>
      <c r="H1344" s="485"/>
      <c r="I1344" s="326"/>
      <c r="J1344" s="327"/>
      <c r="K1344" s="481" t="s">
        <v>334</v>
      </c>
      <c r="L1344" s="326"/>
      <c r="M1344" s="327"/>
      <c r="N1344" s="486" t="s">
        <v>303</v>
      </c>
      <c r="O1344" s="326"/>
      <c r="P1344" s="326"/>
      <c r="Q1344" s="326"/>
      <c r="R1344" s="326"/>
      <c r="S1344" s="326"/>
      <c r="T1344" s="326"/>
      <c r="U1344" s="327"/>
    </row>
    <row r="1345" spans="1:21" ht="34.5" customHeight="1" x14ac:dyDescent="0.25">
      <c r="A1345" s="10">
        <f t="shared" si="5"/>
        <v>1331</v>
      </c>
      <c r="B1345" s="479" t="s">
        <v>303</v>
      </c>
      <c r="C1345" s="327"/>
      <c r="D1345" s="480" t="s">
        <v>303</v>
      </c>
      <c r="E1345" s="327"/>
      <c r="F1345" s="481" t="s">
        <v>334</v>
      </c>
      <c r="G1345" s="327"/>
      <c r="H1345" s="482"/>
      <c r="I1345" s="326"/>
      <c r="J1345" s="327"/>
      <c r="K1345" s="481" t="s">
        <v>334</v>
      </c>
      <c r="L1345" s="326"/>
      <c r="M1345" s="327"/>
      <c r="N1345" s="439" t="s">
        <v>303</v>
      </c>
      <c r="O1345" s="326"/>
      <c r="P1345" s="326"/>
      <c r="Q1345" s="326"/>
      <c r="R1345" s="326"/>
      <c r="S1345" s="326"/>
      <c r="T1345" s="326"/>
      <c r="U1345" s="327"/>
    </row>
    <row r="1346" spans="1:21" ht="34.5" customHeight="1" x14ac:dyDescent="0.25">
      <c r="A1346" s="10">
        <f t="shared" si="5"/>
        <v>1332</v>
      </c>
      <c r="B1346" s="483" t="s">
        <v>303</v>
      </c>
      <c r="C1346" s="327"/>
      <c r="D1346" s="484" t="s">
        <v>303</v>
      </c>
      <c r="E1346" s="327"/>
      <c r="F1346" s="481" t="s">
        <v>334</v>
      </c>
      <c r="G1346" s="327"/>
      <c r="H1346" s="485"/>
      <c r="I1346" s="326"/>
      <c r="J1346" s="327"/>
      <c r="K1346" s="481" t="s">
        <v>334</v>
      </c>
      <c r="L1346" s="326"/>
      <c r="M1346" s="327"/>
      <c r="N1346" s="486" t="s">
        <v>303</v>
      </c>
      <c r="O1346" s="326"/>
      <c r="P1346" s="326"/>
      <c r="Q1346" s="326"/>
      <c r="R1346" s="326"/>
      <c r="S1346" s="326"/>
      <c r="T1346" s="326"/>
      <c r="U1346" s="327"/>
    </row>
    <row r="1347" spans="1:21" ht="34.5" customHeight="1" x14ac:dyDescent="0.25">
      <c r="A1347" s="10">
        <f t="shared" si="5"/>
        <v>1333</v>
      </c>
      <c r="B1347" s="479" t="s">
        <v>303</v>
      </c>
      <c r="C1347" s="327"/>
      <c r="D1347" s="480" t="s">
        <v>303</v>
      </c>
      <c r="E1347" s="327"/>
      <c r="F1347" s="481" t="s">
        <v>334</v>
      </c>
      <c r="G1347" s="327"/>
      <c r="H1347" s="482"/>
      <c r="I1347" s="326"/>
      <c r="J1347" s="327"/>
      <c r="K1347" s="481" t="s">
        <v>334</v>
      </c>
      <c r="L1347" s="326"/>
      <c r="M1347" s="327"/>
      <c r="N1347" s="439" t="s">
        <v>303</v>
      </c>
      <c r="O1347" s="326"/>
      <c r="P1347" s="326"/>
      <c r="Q1347" s="326"/>
      <c r="R1347" s="326"/>
      <c r="S1347" s="326"/>
      <c r="T1347" s="326"/>
      <c r="U1347" s="327"/>
    </row>
    <row r="1348" spans="1:21" ht="34.5" customHeight="1" x14ac:dyDescent="0.25">
      <c r="A1348" s="10">
        <f t="shared" si="5"/>
        <v>1334</v>
      </c>
      <c r="B1348" s="483" t="s">
        <v>303</v>
      </c>
      <c r="C1348" s="327"/>
      <c r="D1348" s="484" t="s">
        <v>303</v>
      </c>
      <c r="E1348" s="327"/>
      <c r="F1348" s="481" t="s">
        <v>334</v>
      </c>
      <c r="G1348" s="327"/>
      <c r="H1348" s="485"/>
      <c r="I1348" s="326"/>
      <c r="J1348" s="327"/>
      <c r="K1348" s="481" t="s">
        <v>334</v>
      </c>
      <c r="L1348" s="326"/>
      <c r="M1348" s="327"/>
      <c r="N1348" s="486" t="s">
        <v>303</v>
      </c>
      <c r="O1348" s="326"/>
      <c r="P1348" s="326"/>
      <c r="Q1348" s="326"/>
      <c r="R1348" s="326"/>
      <c r="S1348" s="326"/>
      <c r="T1348" s="326"/>
      <c r="U1348" s="327"/>
    </row>
    <row r="1349" spans="1:21" ht="34.5" customHeight="1" x14ac:dyDescent="0.25">
      <c r="A1349" s="10">
        <f t="shared" si="5"/>
        <v>1335</v>
      </c>
      <c r="B1349" s="479" t="s">
        <v>303</v>
      </c>
      <c r="C1349" s="327"/>
      <c r="D1349" s="480" t="s">
        <v>303</v>
      </c>
      <c r="E1349" s="327"/>
      <c r="F1349" s="481" t="s">
        <v>334</v>
      </c>
      <c r="G1349" s="327"/>
      <c r="H1349" s="482"/>
      <c r="I1349" s="326"/>
      <c r="J1349" s="327"/>
      <c r="K1349" s="481" t="s">
        <v>334</v>
      </c>
      <c r="L1349" s="326"/>
      <c r="M1349" s="327"/>
      <c r="N1349" s="439" t="s">
        <v>303</v>
      </c>
      <c r="O1349" s="326"/>
      <c r="P1349" s="326"/>
      <c r="Q1349" s="326"/>
      <c r="R1349" s="326"/>
      <c r="S1349" s="326"/>
      <c r="T1349" s="326"/>
      <c r="U1349" s="327"/>
    </row>
    <row r="1350" spans="1:21" ht="34.5" customHeight="1" x14ac:dyDescent="0.25">
      <c r="A1350" s="10">
        <f t="shared" si="5"/>
        <v>1336</v>
      </c>
      <c r="B1350" s="483" t="s">
        <v>303</v>
      </c>
      <c r="C1350" s="327"/>
      <c r="D1350" s="484" t="s">
        <v>303</v>
      </c>
      <c r="E1350" s="327"/>
      <c r="F1350" s="481" t="s">
        <v>334</v>
      </c>
      <c r="G1350" s="327"/>
      <c r="H1350" s="485"/>
      <c r="I1350" s="326"/>
      <c r="J1350" s="327"/>
      <c r="K1350" s="481" t="s">
        <v>334</v>
      </c>
      <c r="L1350" s="326"/>
      <c r="M1350" s="327"/>
      <c r="N1350" s="486" t="s">
        <v>303</v>
      </c>
      <c r="O1350" s="326"/>
      <c r="P1350" s="326"/>
      <c r="Q1350" s="326"/>
      <c r="R1350" s="326"/>
      <c r="S1350" s="326"/>
      <c r="T1350" s="326"/>
      <c r="U1350" s="327"/>
    </row>
    <row r="1351" spans="1:21" ht="34.5" customHeight="1" x14ac:dyDescent="0.25">
      <c r="A1351" s="10">
        <f t="shared" si="5"/>
        <v>1337</v>
      </c>
      <c r="B1351" s="479" t="s">
        <v>303</v>
      </c>
      <c r="C1351" s="327"/>
      <c r="D1351" s="480" t="s">
        <v>303</v>
      </c>
      <c r="E1351" s="327"/>
      <c r="F1351" s="481" t="s">
        <v>334</v>
      </c>
      <c r="G1351" s="327"/>
      <c r="H1351" s="482"/>
      <c r="I1351" s="326"/>
      <c r="J1351" s="327"/>
      <c r="K1351" s="481" t="s">
        <v>334</v>
      </c>
      <c r="L1351" s="326"/>
      <c r="M1351" s="327"/>
      <c r="N1351" s="439" t="s">
        <v>303</v>
      </c>
      <c r="O1351" s="326"/>
      <c r="P1351" s="326"/>
      <c r="Q1351" s="326"/>
      <c r="R1351" s="326"/>
      <c r="S1351" s="326"/>
      <c r="T1351" s="326"/>
      <c r="U1351" s="327"/>
    </row>
    <row r="1352" spans="1:21" ht="34.5" customHeight="1" x14ac:dyDescent="0.25">
      <c r="A1352" s="10">
        <f t="shared" si="5"/>
        <v>1338</v>
      </c>
      <c r="B1352" s="483" t="s">
        <v>303</v>
      </c>
      <c r="C1352" s="327"/>
      <c r="D1352" s="484" t="s">
        <v>303</v>
      </c>
      <c r="E1352" s="327"/>
      <c r="F1352" s="481" t="s">
        <v>334</v>
      </c>
      <c r="G1352" s="327"/>
      <c r="H1352" s="485"/>
      <c r="I1352" s="326"/>
      <c r="J1352" s="327"/>
      <c r="K1352" s="481" t="s">
        <v>334</v>
      </c>
      <c r="L1352" s="326"/>
      <c r="M1352" s="327"/>
      <c r="N1352" s="486" t="s">
        <v>303</v>
      </c>
      <c r="O1352" s="326"/>
      <c r="P1352" s="326"/>
      <c r="Q1352" s="326"/>
      <c r="R1352" s="326"/>
      <c r="S1352" s="326"/>
      <c r="T1352" s="326"/>
      <c r="U1352" s="327"/>
    </row>
    <row r="1353" spans="1:21" ht="34.5" customHeight="1" x14ac:dyDescent="0.25">
      <c r="A1353" s="10">
        <f t="shared" si="5"/>
        <v>1339</v>
      </c>
      <c r="B1353" s="479" t="s">
        <v>303</v>
      </c>
      <c r="C1353" s="327"/>
      <c r="D1353" s="480" t="s">
        <v>303</v>
      </c>
      <c r="E1353" s="327"/>
      <c r="F1353" s="481" t="s">
        <v>334</v>
      </c>
      <c r="G1353" s="327"/>
      <c r="H1353" s="482"/>
      <c r="I1353" s="326"/>
      <c r="J1353" s="327"/>
      <c r="K1353" s="481" t="s">
        <v>334</v>
      </c>
      <c r="L1353" s="326"/>
      <c r="M1353" s="327"/>
      <c r="N1353" s="439" t="s">
        <v>303</v>
      </c>
      <c r="O1353" s="326"/>
      <c r="P1353" s="326"/>
      <c r="Q1353" s="326"/>
      <c r="R1353" s="326"/>
      <c r="S1353" s="326"/>
      <c r="T1353" s="326"/>
      <c r="U1353" s="327"/>
    </row>
    <row r="1354" spans="1:21" ht="34.5" customHeight="1" x14ac:dyDescent="0.25">
      <c r="A1354" s="10">
        <f t="shared" si="5"/>
        <v>1340</v>
      </c>
      <c r="B1354" s="483" t="s">
        <v>303</v>
      </c>
      <c r="C1354" s="327"/>
      <c r="D1354" s="484" t="s">
        <v>303</v>
      </c>
      <c r="E1354" s="327"/>
      <c r="F1354" s="481" t="s">
        <v>334</v>
      </c>
      <c r="G1354" s="327"/>
      <c r="H1354" s="485"/>
      <c r="I1354" s="326"/>
      <c r="J1354" s="327"/>
      <c r="K1354" s="481" t="s">
        <v>334</v>
      </c>
      <c r="L1354" s="326"/>
      <c r="M1354" s="327"/>
      <c r="N1354" s="486" t="s">
        <v>303</v>
      </c>
      <c r="O1354" s="326"/>
      <c r="P1354" s="326"/>
      <c r="Q1354" s="326"/>
      <c r="R1354" s="326"/>
      <c r="S1354" s="326"/>
      <c r="T1354" s="326"/>
      <c r="U1354" s="327"/>
    </row>
    <row r="1355" spans="1:21" ht="34.5" customHeight="1" x14ac:dyDescent="0.25">
      <c r="A1355" s="10">
        <f t="shared" si="5"/>
        <v>1341</v>
      </c>
      <c r="B1355" s="479" t="s">
        <v>303</v>
      </c>
      <c r="C1355" s="327"/>
      <c r="D1355" s="480" t="s">
        <v>303</v>
      </c>
      <c r="E1355" s="327"/>
      <c r="F1355" s="481" t="s">
        <v>334</v>
      </c>
      <c r="G1355" s="327"/>
      <c r="H1355" s="482"/>
      <c r="I1355" s="326"/>
      <c r="J1355" s="327"/>
      <c r="K1355" s="481" t="s">
        <v>334</v>
      </c>
      <c r="L1355" s="326"/>
      <c r="M1355" s="327"/>
      <c r="N1355" s="439" t="s">
        <v>303</v>
      </c>
      <c r="O1355" s="326"/>
      <c r="P1355" s="326"/>
      <c r="Q1355" s="326"/>
      <c r="R1355" s="326"/>
      <c r="S1355" s="326"/>
      <c r="T1355" s="326"/>
      <c r="U1355" s="327"/>
    </row>
    <row r="1356" spans="1:21" ht="34.5" customHeight="1" x14ac:dyDescent="0.25">
      <c r="A1356" s="10">
        <f t="shared" si="5"/>
        <v>1342</v>
      </c>
      <c r="B1356" s="483" t="s">
        <v>342</v>
      </c>
      <c r="C1356" s="327"/>
      <c r="D1356" s="484" t="s">
        <v>303</v>
      </c>
      <c r="E1356" s="327"/>
      <c r="F1356" s="481" t="s">
        <v>334</v>
      </c>
      <c r="G1356" s="327"/>
      <c r="H1356" s="485"/>
      <c r="I1356" s="326"/>
      <c r="J1356" s="327"/>
      <c r="K1356" s="481" t="s">
        <v>334</v>
      </c>
      <c r="L1356" s="326"/>
      <c r="M1356" s="327"/>
      <c r="N1356" s="486" t="s">
        <v>303</v>
      </c>
      <c r="O1356" s="326"/>
      <c r="P1356" s="326"/>
      <c r="Q1356" s="326"/>
      <c r="R1356" s="326"/>
      <c r="S1356" s="326"/>
      <c r="T1356" s="326"/>
      <c r="U1356" s="327"/>
    </row>
    <row r="1357" spans="1:21" ht="34.5" customHeight="1" x14ac:dyDescent="0.25">
      <c r="A1357" s="10">
        <f t="shared" si="5"/>
        <v>1343</v>
      </c>
      <c r="B1357" s="479" t="s">
        <v>303</v>
      </c>
      <c r="C1357" s="327"/>
      <c r="D1357" s="480" t="s">
        <v>303</v>
      </c>
      <c r="E1357" s="327"/>
      <c r="F1357" s="481" t="s">
        <v>334</v>
      </c>
      <c r="G1357" s="327"/>
      <c r="H1357" s="482"/>
      <c r="I1357" s="326"/>
      <c r="J1357" s="327"/>
      <c r="K1357" s="481" t="s">
        <v>334</v>
      </c>
      <c r="L1357" s="326"/>
      <c r="M1357" s="327"/>
      <c r="N1357" s="439" t="s">
        <v>303</v>
      </c>
      <c r="O1357" s="326"/>
      <c r="P1357" s="326"/>
      <c r="Q1357" s="326"/>
      <c r="R1357" s="326"/>
      <c r="S1357" s="326"/>
      <c r="T1357" s="326"/>
      <c r="U1357" s="327"/>
    </row>
    <row r="1358" spans="1:21" ht="34.5" customHeight="1" x14ac:dyDescent="0.25">
      <c r="A1358" s="10">
        <f t="shared" si="5"/>
        <v>1344</v>
      </c>
      <c r="B1358" s="483" t="s">
        <v>303</v>
      </c>
      <c r="C1358" s="327"/>
      <c r="D1358" s="484" t="s">
        <v>303</v>
      </c>
      <c r="E1358" s="327"/>
      <c r="F1358" s="481" t="s">
        <v>334</v>
      </c>
      <c r="G1358" s="327"/>
      <c r="H1358" s="485"/>
      <c r="I1358" s="326"/>
      <c r="J1358" s="327"/>
      <c r="K1358" s="481" t="s">
        <v>334</v>
      </c>
      <c r="L1358" s="326"/>
      <c r="M1358" s="327"/>
      <c r="N1358" s="486" t="s">
        <v>303</v>
      </c>
      <c r="O1358" s="326"/>
      <c r="P1358" s="326"/>
      <c r="Q1358" s="326"/>
      <c r="R1358" s="326"/>
      <c r="S1358" s="326"/>
      <c r="T1358" s="326"/>
      <c r="U1358" s="327"/>
    </row>
    <row r="1359" spans="1:21" ht="34.5" customHeight="1" x14ac:dyDescent="0.25">
      <c r="A1359" s="10">
        <f t="shared" si="5"/>
        <v>1345</v>
      </c>
      <c r="B1359" s="479" t="s">
        <v>303</v>
      </c>
      <c r="C1359" s="327"/>
      <c r="D1359" s="480" t="s">
        <v>303</v>
      </c>
      <c r="E1359" s="327"/>
      <c r="F1359" s="481" t="s">
        <v>334</v>
      </c>
      <c r="G1359" s="327"/>
      <c r="H1359" s="482"/>
      <c r="I1359" s="326"/>
      <c r="J1359" s="327"/>
      <c r="K1359" s="481" t="s">
        <v>334</v>
      </c>
      <c r="L1359" s="326"/>
      <c r="M1359" s="327"/>
      <c r="N1359" s="439" t="s">
        <v>303</v>
      </c>
      <c r="O1359" s="326"/>
      <c r="P1359" s="326"/>
      <c r="Q1359" s="326"/>
      <c r="R1359" s="326"/>
      <c r="S1359" s="326"/>
      <c r="T1359" s="326"/>
      <c r="U1359" s="327"/>
    </row>
    <row r="1360" spans="1:21" ht="34.5" customHeight="1" x14ac:dyDescent="0.25">
      <c r="A1360" s="10">
        <f t="shared" si="5"/>
        <v>1346</v>
      </c>
      <c r="B1360" s="483" t="s">
        <v>303</v>
      </c>
      <c r="C1360" s="327"/>
      <c r="D1360" s="484" t="s">
        <v>303</v>
      </c>
      <c r="E1360" s="327"/>
      <c r="F1360" s="481" t="s">
        <v>334</v>
      </c>
      <c r="G1360" s="327"/>
      <c r="H1360" s="485"/>
      <c r="I1360" s="326"/>
      <c r="J1360" s="327"/>
      <c r="K1360" s="481" t="s">
        <v>334</v>
      </c>
      <c r="L1360" s="326"/>
      <c r="M1360" s="327"/>
      <c r="N1360" s="486" t="s">
        <v>303</v>
      </c>
      <c r="O1360" s="326"/>
      <c r="P1360" s="326"/>
      <c r="Q1360" s="326"/>
      <c r="R1360" s="326"/>
      <c r="S1360" s="326"/>
      <c r="T1360" s="326"/>
      <c r="U1360" s="327"/>
    </row>
    <row r="1361" spans="1:21" ht="34.5" customHeight="1" x14ac:dyDescent="0.25">
      <c r="A1361" s="10">
        <f t="shared" si="5"/>
        <v>1347</v>
      </c>
      <c r="B1361" s="479" t="s">
        <v>303</v>
      </c>
      <c r="C1361" s="327"/>
      <c r="D1361" s="480" t="s">
        <v>303</v>
      </c>
      <c r="E1361" s="327"/>
      <c r="F1361" s="481" t="s">
        <v>334</v>
      </c>
      <c r="G1361" s="327"/>
      <c r="H1361" s="482"/>
      <c r="I1361" s="326"/>
      <c r="J1361" s="327"/>
      <c r="K1361" s="481" t="s">
        <v>334</v>
      </c>
      <c r="L1361" s="326"/>
      <c r="M1361" s="327"/>
      <c r="N1361" s="439" t="s">
        <v>303</v>
      </c>
      <c r="O1361" s="326"/>
      <c r="P1361" s="326"/>
      <c r="Q1361" s="326"/>
      <c r="R1361" s="326"/>
      <c r="S1361" s="326"/>
      <c r="T1361" s="326"/>
      <c r="U1361" s="327"/>
    </row>
    <row r="1362" spans="1:21" ht="34.5" customHeight="1" x14ac:dyDescent="0.25">
      <c r="A1362" s="10">
        <f t="shared" si="5"/>
        <v>1348</v>
      </c>
      <c r="B1362" s="483" t="s">
        <v>339</v>
      </c>
      <c r="C1362" s="327"/>
      <c r="D1362" s="484" t="s">
        <v>303</v>
      </c>
      <c r="E1362" s="327"/>
      <c r="F1362" s="481" t="s">
        <v>334</v>
      </c>
      <c r="G1362" s="327"/>
      <c r="H1362" s="485"/>
      <c r="I1362" s="326"/>
      <c r="J1362" s="327"/>
      <c r="K1362" s="481" t="s">
        <v>334</v>
      </c>
      <c r="L1362" s="326"/>
      <c r="M1362" s="327"/>
      <c r="N1362" s="486" t="s">
        <v>303</v>
      </c>
      <c r="O1362" s="326"/>
      <c r="P1362" s="326"/>
      <c r="Q1362" s="326"/>
      <c r="R1362" s="326"/>
      <c r="S1362" s="326"/>
      <c r="T1362" s="326"/>
      <c r="U1362" s="327"/>
    </row>
    <row r="1363" spans="1:21" ht="34.5" customHeight="1" x14ac:dyDescent="0.25">
      <c r="A1363" s="10">
        <f t="shared" si="5"/>
        <v>1349</v>
      </c>
      <c r="B1363" s="479" t="s">
        <v>303</v>
      </c>
      <c r="C1363" s="327"/>
      <c r="D1363" s="480" t="s">
        <v>303</v>
      </c>
      <c r="E1363" s="327"/>
      <c r="F1363" s="481" t="s">
        <v>334</v>
      </c>
      <c r="G1363" s="327"/>
      <c r="H1363" s="482"/>
      <c r="I1363" s="326"/>
      <c r="J1363" s="327"/>
      <c r="K1363" s="481" t="s">
        <v>334</v>
      </c>
      <c r="L1363" s="326"/>
      <c r="M1363" s="327"/>
      <c r="N1363" s="439" t="s">
        <v>303</v>
      </c>
      <c r="O1363" s="326"/>
      <c r="P1363" s="326"/>
      <c r="Q1363" s="326"/>
      <c r="R1363" s="326"/>
      <c r="S1363" s="326"/>
      <c r="T1363" s="326"/>
      <c r="U1363" s="327"/>
    </row>
    <row r="1364" spans="1:21" ht="34.5" customHeight="1" x14ac:dyDescent="0.25">
      <c r="A1364" s="10">
        <f t="shared" si="5"/>
        <v>1350</v>
      </c>
      <c r="B1364" s="483" t="s">
        <v>303</v>
      </c>
      <c r="C1364" s="327"/>
      <c r="D1364" s="484" t="s">
        <v>303</v>
      </c>
      <c r="E1364" s="327"/>
      <c r="F1364" s="481" t="s">
        <v>334</v>
      </c>
      <c r="G1364" s="327"/>
      <c r="H1364" s="485"/>
      <c r="I1364" s="326"/>
      <c r="J1364" s="327"/>
      <c r="K1364" s="481" t="s">
        <v>334</v>
      </c>
      <c r="L1364" s="326"/>
      <c r="M1364" s="327"/>
      <c r="N1364" s="486" t="s">
        <v>303</v>
      </c>
      <c r="O1364" s="326"/>
      <c r="P1364" s="326"/>
      <c r="Q1364" s="326"/>
      <c r="R1364" s="326"/>
      <c r="S1364" s="326"/>
      <c r="T1364" s="326"/>
      <c r="U1364" s="327"/>
    </row>
    <row r="1365" spans="1:21" ht="34.5" customHeight="1" x14ac:dyDescent="0.25">
      <c r="A1365" s="10">
        <f t="shared" si="5"/>
        <v>1351</v>
      </c>
      <c r="B1365" s="479" t="s">
        <v>303</v>
      </c>
      <c r="C1365" s="327"/>
      <c r="D1365" s="480" t="s">
        <v>303</v>
      </c>
      <c r="E1365" s="327"/>
      <c r="F1365" s="481" t="s">
        <v>334</v>
      </c>
      <c r="G1365" s="327"/>
      <c r="H1365" s="482"/>
      <c r="I1365" s="326"/>
      <c r="J1365" s="327"/>
      <c r="K1365" s="481" t="s">
        <v>334</v>
      </c>
      <c r="L1365" s="326"/>
      <c r="M1365" s="327"/>
      <c r="N1365" s="439" t="s">
        <v>303</v>
      </c>
      <c r="O1365" s="326"/>
      <c r="P1365" s="326"/>
      <c r="Q1365" s="326"/>
      <c r="R1365" s="326"/>
      <c r="S1365" s="326"/>
      <c r="T1365" s="326"/>
      <c r="U1365" s="327"/>
    </row>
    <row r="1366" spans="1:21" ht="34.5" customHeight="1" x14ac:dyDescent="0.25">
      <c r="A1366" s="10">
        <f t="shared" si="5"/>
        <v>1352</v>
      </c>
      <c r="B1366" s="483" t="s">
        <v>303</v>
      </c>
      <c r="C1366" s="327"/>
      <c r="D1366" s="484" t="s">
        <v>303</v>
      </c>
      <c r="E1366" s="327"/>
      <c r="F1366" s="481" t="s">
        <v>334</v>
      </c>
      <c r="G1366" s="327"/>
      <c r="H1366" s="485"/>
      <c r="I1366" s="326"/>
      <c r="J1366" s="327"/>
      <c r="K1366" s="481" t="s">
        <v>334</v>
      </c>
      <c r="L1366" s="326"/>
      <c r="M1366" s="327"/>
      <c r="N1366" s="486" t="s">
        <v>303</v>
      </c>
      <c r="O1366" s="326"/>
      <c r="P1366" s="326"/>
      <c r="Q1366" s="326"/>
      <c r="R1366" s="326"/>
      <c r="S1366" s="326"/>
      <c r="T1366" s="326"/>
      <c r="U1366" s="327"/>
    </row>
    <row r="1367" spans="1:21" ht="34.5" customHeight="1" x14ac:dyDescent="0.25">
      <c r="A1367" s="10">
        <f t="shared" si="5"/>
        <v>1353</v>
      </c>
      <c r="B1367" s="479" t="s">
        <v>343</v>
      </c>
      <c r="C1367" s="327"/>
      <c r="D1367" s="480" t="s">
        <v>303</v>
      </c>
      <c r="E1367" s="327"/>
      <c r="F1367" s="481" t="s">
        <v>334</v>
      </c>
      <c r="G1367" s="327"/>
      <c r="H1367" s="482"/>
      <c r="I1367" s="326"/>
      <c r="J1367" s="327"/>
      <c r="K1367" s="481" t="s">
        <v>334</v>
      </c>
      <c r="L1367" s="326"/>
      <c r="M1367" s="327"/>
      <c r="N1367" s="439" t="s">
        <v>303</v>
      </c>
      <c r="O1367" s="326"/>
      <c r="P1367" s="326"/>
      <c r="Q1367" s="326"/>
      <c r="R1367" s="326"/>
      <c r="S1367" s="326"/>
      <c r="T1367" s="326"/>
      <c r="U1367" s="327"/>
    </row>
    <row r="1368" spans="1:21" ht="34.5" customHeight="1" x14ac:dyDescent="0.25">
      <c r="A1368" s="10">
        <f t="shared" si="5"/>
        <v>1354</v>
      </c>
      <c r="B1368" s="483" t="s">
        <v>303</v>
      </c>
      <c r="C1368" s="327"/>
      <c r="D1368" s="484" t="s">
        <v>303</v>
      </c>
      <c r="E1368" s="327"/>
      <c r="F1368" s="481" t="s">
        <v>334</v>
      </c>
      <c r="G1368" s="327"/>
      <c r="H1368" s="485"/>
      <c r="I1368" s="326"/>
      <c r="J1368" s="327"/>
      <c r="K1368" s="481" t="s">
        <v>334</v>
      </c>
      <c r="L1368" s="326"/>
      <c r="M1368" s="327"/>
      <c r="N1368" s="486" t="s">
        <v>303</v>
      </c>
      <c r="O1368" s="326"/>
      <c r="P1368" s="326"/>
      <c r="Q1368" s="326"/>
      <c r="R1368" s="326"/>
      <c r="S1368" s="326"/>
      <c r="T1368" s="326"/>
      <c r="U1368" s="327"/>
    </row>
    <row r="1369" spans="1:21" ht="34.5" customHeight="1" x14ac:dyDescent="0.25">
      <c r="A1369" s="10">
        <f t="shared" si="5"/>
        <v>1355</v>
      </c>
      <c r="B1369" s="479" t="s">
        <v>303</v>
      </c>
      <c r="C1369" s="327"/>
      <c r="D1369" s="480" t="s">
        <v>303</v>
      </c>
      <c r="E1369" s="327"/>
      <c r="F1369" s="481" t="s">
        <v>334</v>
      </c>
      <c r="G1369" s="327"/>
      <c r="H1369" s="482"/>
      <c r="I1369" s="326"/>
      <c r="J1369" s="327"/>
      <c r="K1369" s="481" t="s">
        <v>334</v>
      </c>
      <c r="L1369" s="326"/>
      <c r="M1369" s="327"/>
      <c r="N1369" s="439" t="s">
        <v>303</v>
      </c>
      <c r="O1369" s="326"/>
      <c r="P1369" s="326"/>
      <c r="Q1369" s="326"/>
      <c r="R1369" s="326"/>
      <c r="S1369" s="326"/>
      <c r="T1369" s="326"/>
      <c r="U1369" s="327"/>
    </row>
    <row r="1370" spans="1:21" ht="34.5" customHeight="1" x14ac:dyDescent="0.25">
      <c r="A1370" s="10">
        <f t="shared" si="5"/>
        <v>1356</v>
      </c>
      <c r="B1370" s="483" t="s">
        <v>303</v>
      </c>
      <c r="C1370" s="327"/>
      <c r="D1370" s="484" t="s">
        <v>303</v>
      </c>
      <c r="E1370" s="327"/>
      <c r="F1370" s="481" t="s">
        <v>334</v>
      </c>
      <c r="G1370" s="327"/>
      <c r="H1370" s="485"/>
      <c r="I1370" s="326"/>
      <c r="J1370" s="327"/>
      <c r="K1370" s="481" t="s">
        <v>334</v>
      </c>
      <c r="L1370" s="326"/>
      <c r="M1370" s="327"/>
      <c r="N1370" s="486" t="s">
        <v>303</v>
      </c>
      <c r="O1370" s="326"/>
      <c r="P1370" s="326"/>
      <c r="Q1370" s="326"/>
      <c r="R1370" s="326"/>
      <c r="S1370" s="326"/>
      <c r="T1370" s="326"/>
      <c r="U1370" s="327"/>
    </row>
    <row r="1371" spans="1:21" ht="34.5" customHeight="1" x14ac:dyDescent="0.25">
      <c r="A1371" s="10">
        <f t="shared" si="5"/>
        <v>1357</v>
      </c>
      <c r="B1371" s="479" t="s">
        <v>303</v>
      </c>
      <c r="C1371" s="327"/>
      <c r="D1371" s="480" t="s">
        <v>303</v>
      </c>
      <c r="E1371" s="327"/>
      <c r="F1371" s="481" t="s">
        <v>334</v>
      </c>
      <c r="G1371" s="327"/>
      <c r="H1371" s="482"/>
      <c r="I1371" s="326"/>
      <c r="J1371" s="327"/>
      <c r="K1371" s="481" t="s">
        <v>334</v>
      </c>
      <c r="L1371" s="326"/>
      <c r="M1371" s="327"/>
      <c r="N1371" s="439" t="s">
        <v>303</v>
      </c>
      <c r="O1371" s="326"/>
      <c r="P1371" s="326"/>
      <c r="Q1371" s="326"/>
      <c r="R1371" s="326"/>
      <c r="S1371" s="326"/>
      <c r="T1371" s="326"/>
      <c r="U1371" s="327"/>
    </row>
    <row r="1372" spans="1:21" ht="34.5" customHeight="1" x14ac:dyDescent="0.25">
      <c r="A1372" s="10">
        <f t="shared" si="5"/>
        <v>1358</v>
      </c>
      <c r="B1372" s="483" t="s">
        <v>341</v>
      </c>
      <c r="C1372" s="327"/>
      <c r="D1372" s="484" t="s">
        <v>303</v>
      </c>
      <c r="E1372" s="327"/>
      <c r="F1372" s="481" t="s">
        <v>334</v>
      </c>
      <c r="G1372" s="327"/>
      <c r="H1372" s="485"/>
      <c r="I1372" s="326"/>
      <c r="J1372" s="327"/>
      <c r="K1372" s="481" t="s">
        <v>334</v>
      </c>
      <c r="L1372" s="326"/>
      <c r="M1372" s="327"/>
      <c r="N1372" s="486" t="s">
        <v>303</v>
      </c>
      <c r="O1372" s="326"/>
      <c r="P1372" s="326"/>
      <c r="Q1372" s="326"/>
      <c r="R1372" s="326"/>
      <c r="S1372" s="326"/>
      <c r="T1372" s="326"/>
      <c r="U1372" s="327"/>
    </row>
    <row r="1373" spans="1:21" ht="34.5" customHeight="1" x14ac:dyDescent="0.25">
      <c r="A1373" s="10">
        <f t="shared" si="5"/>
        <v>1359</v>
      </c>
      <c r="B1373" s="479" t="s">
        <v>303</v>
      </c>
      <c r="C1373" s="327"/>
      <c r="D1373" s="480" t="s">
        <v>303</v>
      </c>
      <c r="E1373" s="327"/>
      <c r="F1373" s="481" t="s">
        <v>334</v>
      </c>
      <c r="G1373" s="327"/>
      <c r="H1373" s="482"/>
      <c r="I1373" s="326"/>
      <c r="J1373" s="327"/>
      <c r="K1373" s="481" t="s">
        <v>334</v>
      </c>
      <c r="L1373" s="326"/>
      <c r="M1373" s="327"/>
      <c r="N1373" s="439" t="s">
        <v>303</v>
      </c>
      <c r="O1373" s="326"/>
      <c r="P1373" s="326"/>
      <c r="Q1373" s="326"/>
      <c r="R1373" s="326"/>
      <c r="S1373" s="326"/>
      <c r="T1373" s="326"/>
      <c r="U1373" s="327"/>
    </row>
    <row r="1374" spans="1:21" ht="34.5" customHeight="1" x14ac:dyDescent="0.25">
      <c r="A1374" s="10">
        <f t="shared" si="5"/>
        <v>1360</v>
      </c>
      <c r="B1374" s="483" t="s">
        <v>303</v>
      </c>
      <c r="C1374" s="327"/>
      <c r="D1374" s="484" t="s">
        <v>303</v>
      </c>
      <c r="E1374" s="327"/>
      <c r="F1374" s="481" t="s">
        <v>334</v>
      </c>
      <c r="G1374" s="327"/>
      <c r="H1374" s="485"/>
      <c r="I1374" s="326"/>
      <c r="J1374" s="327"/>
      <c r="K1374" s="481" t="s">
        <v>334</v>
      </c>
      <c r="L1374" s="326"/>
      <c r="M1374" s="327"/>
      <c r="N1374" s="486" t="s">
        <v>303</v>
      </c>
      <c r="O1374" s="326"/>
      <c r="P1374" s="326"/>
      <c r="Q1374" s="326"/>
      <c r="R1374" s="326"/>
      <c r="S1374" s="326"/>
      <c r="T1374" s="326"/>
      <c r="U1374" s="327"/>
    </row>
    <row r="1375" spans="1:21" ht="34.5" customHeight="1" x14ac:dyDescent="0.25">
      <c r="A1375" s="10">
        <f t="shared" si="5"/>
        <v>1361</v>
      </c>
      <c r="B1375" s="479" t="s">
        <v>303</v>
      </c>
      <c r="C1375" s="327"/>
      <c r="D1375" s="480" t="s">
        <v>303</v>
      </c>
      <c r="E1375" s="327"/>
      <c r="F1375" s="481" t="s">
        <v>334</v>
      </c>
      <c r="G1375" s="327"/>
      <c r="H1375" s="482"/>
      <c r="I1375" s="326"/>
      <c r="J1375" s="327"/>
      <c r="K1375" s="481" t="s">
        <v>334</v>
      </c>
      <c r="L1375" s="326"/>
      <c r="M1375" s="327"/>
      <c r="N1375" s="439" t="s">
        <v>303</v>
      </c>
      <c r="O1375" s="326"/>
      <c r="P1375" s="326"/>
      <c r="Q1375" s="326"/>
      <c r="R1375" s="326"/>
      <c r="S1375" s="326"/>
      <c r="T1375" s="326"/>
      <c r="U1375" s="327"/>
    </row>
    <row r="1376" spans="1:21" ht="34.5" customHeight="1" x14ac:dyDescent="0.25">
      <c r="A1376" s="10">
        <f t="shared" si="5"/>
        <v>1362</v>
      </c>
      <c r="B1376" s="483" t="s">
        <v>303</v>
      </c>
      <c r="C1376" s="327"/>
      <c r="D1376" s="484" t="s">
        <v>303</v>
      </c>
      <c r="E1376" s="327"/>
      <c r="F1376" s="481" t="s">
        <v>334</v>
      </c>
      <c r="G1376" s="327"/>
      <c r="H1376" s="485"/>
      <c r="I1376" s="326"/>
      <c r="J1376" s="327"/>
      <c r="K1376" s="481" t="s">
        <v>334</v>
      </c>
      <c r="L1376" s="326"/>
      <c r="M1376" s="327"/>
      <c r="N1376" s="486" t="s">
        <v>303</v>
      </c>
      <c r="O1376" s="326"/>
      <c r="P1376" s="326"/>
      <c r="Q1376" s="326"/>
      <c r="R1376" s="326"/>
      <c r="S1376" s="326"/>
      <c r="T1376" s="326"/>
      <c r="U1376" s="327"/>
    </row>
    <row r="1377" spans="1:21" ht="34.5" customHeight="1" x14ac:dyDescent="0.25">
      <c r="A1377" s="10">
        <f t="shared" si="5"/>
        <v>1363</v>
      </c>
      <c r="B1377" s="479" t="s">
        <v>338</v>
      </c>
      <c r="C1377" s="327"/>
      <c r="D1377" s="480" t="s">
        <v>303</v>
      </c>
      <c r="E1377" s="327"/>
      <c r="F1377" s="481" t="s">
        <v>334</v>
      </c>
      <c r="G1377" s="327"/>
      <c r="H1377" s="482"/>
      <c r="I1377" s="326"/>
      <c r="J1377" s="327"/>
      <c r="K1377" s="481" t="s">
        <v>334</v>
      </c>
      <c r="L1377" s="326"/>
      <c r="M1377" s="327"/>
      <c r="N1377" s="439" t="s">
        <v>303</v>
      </c>
      <c r="O1377" s="326"/>
      <c r="P1377" s="326"/>
      <c r="Q1377" s="326"/>
      <c r="R1377" s="326"/>
      <c r="S1377" s="326"/>
      <c r="T1377" s="326"/>
      <c r="U1377" s="327"/>
    </row>
    <row r="1378" spans="1:21" ht="34.5" customHeight="1" x14ac:dyDescent="0.25">
      <c r="A1378" s="10">
        <f t="shared" si="5"/>
        <v>1364</v>
      </c>
      <c r="B1378" s="483" t="s">
        <v>303</v>
      </c>
      <c r="C1378" s="327"/>
      <c r="D1378" s="484" t="s">
        <v>303</v>
      </c>
      <c r="E1378" s="327"/>
      <c r="F1378" s="481" t="s">
        <v>334</v>
      </c>
      <c r="G1378" s="327"/>
      <c r="H1378" s="485"/>
      <c r="I1378" s="326"/>
      <c r="J1378" s="327"/>
      <c r="K1378" s="481" t="s">
        <v>334</v>
      </c>
      <c r="L1378" s="326"/>
      <c r="M1378" s="327"/>
      <c r="N1378" s="486" t="s">
        <v>303</v>
      </c>
      <c r="O1378" s="326"/>
      <c r="P1378" s="326"/>
      <c r="Q1378" s="326"/>
      <c r="R1378" s="326"/>
      <c r="S1378" s="326"/>
      <c r="T1378" s="326"/>
      <c r="U1378" s="327"/>
    </row>
    <row r="1379" spans="1:21" ht="34.5" customHeight="1" x14ac:dyDescent="0.25">
      <c r="A1379" s="10">
        <f t="shared" si="5"/>
        <v>1365</v>
      </c>
      <c r="B1379" s="479" t="s">
        <v>303</v>
      </c>
      <c r="C1379" s="327"/>
      <c r="D1379" s="480" t="s">
        <v>303</v>
      </c>
      <c r="E1379" s="327"/>
      <c r="F1379" s="481" t="s">
        <v>334</v>
      </c>
      <c r="G1379" s="327"/>
      <c r="H1379" s="482"/>
      <c r="I1379" s="326"/>
      <c r="J1379" s="327"/>
      <c r="K1379" s="481" t="s">
        <v>334</v>
      </c>
      <c r="L1379" s="326"/>
      <c r="M1379" s="327"/>
      <c r="N1379" s="439" t="s">
        <v>303</v>
      </c>
      <c r="O1379" s="326"/>
      <c r="P1379" s="326"/>
      <c r="Q1379" s="326"/>
      <c r="R1379" s="326"/>
      <c r="S1379" s="326"/>
      <c r="T1379" s="326"/>
      <c r="U1379" s="327"/>
    </row>
    <row r="1380" spans="1:21" ht="34.5" customHeight="1" x14ac:dyDescent="0.25">
      <c r="A1380" s="10">
        <f t="shared" si="5"/>
        <v>1366</v>
      </c>
      <c r="B1380" s="483" t="s">
        <v>303</v>
      </c>
      <c r="C1380" s="327"/>
      <c r="D1380" s="484" t="s">
        <v>303</v>
      </c>
      <c r="E1380" s="327"/>
      <c r="F1380" s="481" t="s">
        <v>334</v>
      </c>
      <c r="G1380" s="327"/>
      <c r="H1380" s="485"/>
      <c r="I1380" s="326"/>
      <c r="J1380" s="327"/>
      <c r="K1380" s="481" t="s">
        <v>334</v>
      </c>
      <c r="L1380" s="326"/>
      <c r="M1380" s="327"/>
      <c r="N1380" s="486" t="s">
        <v>303</v>
      </c>
      <c r="O1380" s="326"/>
      <c r="P1380" s="326"/>
      <c r="Q1380" s="326"/>
      <c r="R1380" s="326"/>
      <c r="S1380" s="326"/>
      <c r="T1380" s="326"/>
      <c r="U1380" s="327"/>
    </row>
    <row r="1381" spans="1:21" ht="34.5" customHeight="1" x14ac:dyDescent="0.25">
      <c r="A1381" s="10">
        <f t="shared" si="5"/>
        <v>1367</v>
      </c>
      <c r="B1381" s="479" t="s">
        <v>343</v>
      </c>
      <c r="C1381" s="327"/>
      <c r="D1381" s="480" t="s">
        <v>303</v>
      </c>
      <c r="E1381" s="327"/>
      <c r="F1381" s="481" t="s">
        <v>334</v>
      </c>
      <c r="G1381" s="327"/>
      <c r="H1381" s="482"/>
      <c r="I1381" s="326"/>
      <c r="J1381" s="327"/>
      <c r="K1381" s="481" t="s">
        <v>334</v>
      </c>
      <c r="L1381" s="326"/>
      <c r="M1381" s="327"/>
      <c r="N1381" s="439" t="s">
        <v>303</v>
      </c>
      <c r="O1381" s="326"/>
      <c r="P1381" s="326"/>
      <c r="Q1381" s="326"/>
      <c r="R1381" s="326"/>
      <c r="S1381" s="326"/>
      <c r="T1381" s="326"/>
      <c r="U1381" s="327"/>
    </row>
    <row r="1382" spans="1:21" ht="34.5" customHeight="1" x14ac:dyDescent="0.25">
      <c r="A1382" s="10">
        <f t="shared" si="5"/>
        <v>1368</v>
      </c>
      <c r="B1382" s="483" t="s">
        <v>303</v>
      </c>
      <c r="C1382" s="327"/>
      <c r="D1382" s="484" t="s">
        <v>303</v>
      </c>
      <c r="E1382" s="327"/>
      <c r="F1382" s="481" t="s">
        <v>334</v>
      </c>
      <c r="G1382" s="327"/>
      <c r="H1382" s="485"/>
      <c r="I1382" s="326"/>
      <c r="J1382" s="327"/>
      <c r="K1382" s="481" t="s">
        <v>334</v>
      </c>
      <c r="L1382" s="326"/>
      <c r="M1382" s="327"/>
      <c r="N1382" s="486" t="s">
        <v>303</v>
      </c>
      <c r="O1382" s="326"/>
      <c r="P1382" s="326"/>
      <c r="Q1382" s="326"/>
      <c r="R1382" s="326"/>
      <c r="S1382" s="326"/>
      <c r="T1382" s="326"/>
      <c r="U1382" s="327"/>
    </row>
    <row r="1383" spans="1:21" ht="34.5" customHeight="1" x14ac:dyDescent="0.25">
      <c r="A1383" s="10">
        <f t="shared" si="5"/>
        <v>1369</v>
      </c>
      <c r="B1383" s="479" t="s">
        <v>303</v>
      </c>
      <c r="C1383" s="327"/>
      <c r="D1383" s="480" t="s">
        <v>303</v>
      </c>
      <c r="E1383" s="327"/>
      <c r="F1383" s="481" t="s">
        <v>334</v>
      </c>
      <c r="G1383" s="327"/>
      <c r="H1383" s="482"/>
      <c r="I1383" s="326"/>
      <c r="J1383" s="327"/>
      <c r="K1383" s="481" t="s">
        <v>334</v>
      </c>
      <c r="L1383" s="326"/>
      <c r="M1383" s="327"/>
      <c r="N1383" s="439" t="s">
        <v>303</v>
      </c>
      <c r="O1383" s="326"/>
      <c r="P1383" s="326"/>
      <c r="Q1383" s="326"/>
      <c r="R1383" s="326"/>
      <c r="S1383" s="326"/>
      <c r="T1383" s="326"/>
      <c r="U1383" s="327"/>
    </row>
    <row r="1384" spans="1:21" ht="34.5" customHeight="1" x14ac:dyDescent="0.25">
      <c r="A1384" s="10">
        <f t="shared" si="5"/>
        <v>1370</v>
      </c>
      <c r="B1384" s="483" t="s">
        <v>303</v>
      </c>
      <c r="C1384" s="327"/>
      <c r="D1384" s="484" t="s">
        <v>303</v>
      </c>
      <c r="E1384" s="327"/>
      <c r="F1384" s="481" t="s">
        <v>334</v>
      </c>
      <c r="G1384" s="327"/>
      <c r="H1384" s="485"/>
      <c r="I1384" s="326"/>
      <c r="J1384" s="327"/>
      <c r="K1384" s="481" t="s">
        <v>334</v>
      </c>
      <c r="L1384" s="326"/>
      <c r="M1384" s="327"/>
      <c r="N1384" s="486" t="s">
        <v>303</v>
      </c>
      <c r="O1384" s="326"/>
      <c r="P1384" s="326"/>
      <c r="Q1384" s="326"/>
      <c r="R1384" s="326"/>
      <c r="S1384" s="326"/>
      <c r="T1384" s="326"/>
      <c r="U1384" s="327"/>
    </row>
    <row r="1385" spans="1:21" ht="34.5" customHeight="1" x14ac:dyDescent="0.25">
      <c r="A1385" s="10">
        <f t="shared" si="5"/>
        <v>1371</v>
      </c>
      <c r="B1385" s="479" t="s">
        <v>303</v>
      </c>
      <c r="C1385" s="327"/>
      <c r="D1385" s="480" t="s">
        <v>303</v>
      </c>
      <c r="E1385" s="327"/>
      <c r="F1385" s="481" t="s">
        <v>334</v>
      </c>
      <c r="G1385" s="327"/>
      <c r="H1385" s="482"/>
      <c r="I1385" s="326"/>
      <c r="J1385" s="327"/>
      <c r="K1385" s="481" t="s">
        <v>334</v>
      </c>
      <c r="L1385" s="326"/>
      <c r="M1385" s="327"/>
      <c r="N1385" s="439" t="s">
        <v>303</v>
      </c>
      <c r="O1385" s="326"/>
      <c r="P1385" s="326"/>
      <c r="Q1385" s="326"/>
      <c r="R1385" s="326"/>
      <c r="S1385" s="326"/>
      <c r="T1385" s="326"/>
      <c r="U1385" s="327"/>
    </row>
    <row r="1386" spans="1:21" ht="34.5" customHeight="1" x14ac:dyDescent="0.25">
      <c r="A1386" s="10">
        <f t="shared" si="5"/>
        <v>1372</v>
      </c>
      <c r="B1386" s="483" t="s">
        <v>303</v>
      </c>
      <c r="C1386" s="327"/>
      <c r="D1386" s="484" t="s">
        <v>303</v>
      </c>
      <c r="E1386" s="327"/>
      <c r="F1386" s="481" t="s">
        <v>334</v>
      </c>
      <c r="G1386" s="327"/>
      <c r="H1386" s="485"/>
      <c r="I1386" s="326"/>
      <c r="J1386" s="327"/>
      <c r="K1386" s="481" t="s">
        <v>334</v>
      </c>
      <c r="L1386" s="326"/>
      <c r="M1386" s="327"/>
      <c r="N1386" s="486" t="s">
        <v>303</v>
      </c>
      <c r="O1386" s="326"/>
      <c r="P1386" s="326"/>
      <c r="Q1386" s="326"/>
      <c r="R1386" s="326"/>
      <c r="S1386" s="326"/>
      <c r="T1386" s="326"/>
      <c r="U1386" s="327"/>
    </row>
    <row r="1387" spans="1:21" ht="34.5" customHeight="1" x14ac:dyDescent="0.25">
      <c r="A1387" s="10">
        <f t="shared" si="5"/>
        <v>1373</v>
      </c>
      <c r="B1387" s="479" t="s">
        <v>344</v>
      </c>
      <c r="C1387" s="327"/>
      <c r="D1387" s="480" t="s">
        <v>303</v>
      </c>
      <c r="E1387" s="327"/>
      <c r="F1387" s="481" t="s">
        <v>334</v>
      </c>
      <c r="G1387" s="327"/>
      <c r="H1387" s="482"/>
      <c r="I1387" s="326"/>
      <c r="J1387" s="327"/>
      <c r="K1387" s="481" t="s">
        <v>334</v>
      </c>
      <c r="L1387" s="326"/>
      <c r="M1387" s="327"/>
      <c r="N1387" s="439" t="s">
        <v>303</v>
      </c>
      <c r="O1387" s="326"/>
      <c r="P1387" s="326"/>
      <c r="Q1387" s="326"/>
      <c r="R1387" s="326"/>
      <c r="S1387" s="326"/>
      <c r="T1387" s="326"/>
      <c r="U1387" s="327"/>
    </row>
    <row r="1388" spans="1:21" ht="34.5" customHeight="1" x14ac:dyDescent="0.25">
      <c r="A1388" s="10">
        <f t="shared" si="5"/>
        <v>1374</v>
      </c>
      <c r="B1388" s="483" t="s">
        <v>303</v>
      </c>
      <c r="C1388" s="327"/>
      <c r="D1388" s="484" t="s">
        <v>303</v>
      </c>
      <c r="E1388" s="327"/>
      <c r="F1388" s="481" t="s">
        <v>334</v>
      </c>
      <c r="G1388" s="327"/>
      <c r="H1388" s="485"/>
      <c r="I1388" s="326"/>
      <c r="J1388" s="327"/>
      <c r="K1388" s="481" t="s">
        <v>334</v>
      </c>
      <c r="L1388" s="326"/>
      <c r="M1388" s="327"/>
      <c r="N1388" s="486" t="s">
        <v>303</v>
      </c>
      <c r="O1388" s="326"/>
      <c r="P1388" s="326"/>
      <c r="Q1388" s="326"/>
      <c r="R1388" s="326"/>
      <c r="S1388" s="326"/>
      <c r="T1388" s="326"/>
      <c r="U1388" s="327"/>
    </row>
    <row r="1389" spans="1:21" ht="34.5" customHeight="1" x14ac:dyDescent="0.25">
      <c r="A1389" s="10">
        <f t="shared" si="5"/>
        <v>1375</v>
      </c>
      <c r="B1389" s="479" t="s">
        <v>303</v>
      </c>
      <c r="C1389" s="327"/>
      <c r="D1389" s="480" t="s">
        <v>303</v>
      </c>
      <c r="E1389" s="327"/>
      <c r="F1389" s="481" t="s">
        <v>334</v>
      </c>
      <c r="G1389" s="327"/>
      <c r="H1389" s="482"/>
      <c r="I1389" s="326"/>
      <c r="J1389" s="327"/>
      <c r="K1389" s="481" t="s">
        <v>334</v>
      </c>
      <c r="L1389" s="326"/>
      <c r="M1389" s="327"/>
      <c r="N1389" s="439" t="s">
        <v>303</v>
      </c>
      <c r="O1389" s="326"/>
      <c r="P1389" s="326"/>
      <c r="Q1389" s="326"/>
      <c r="R1389" s="326"/>
      <c r="S1389" s="326"/>
      <c r="T1389" s="326"/>
      <c r="U1389" s="327"/>
    </row>
    <row r="1390" spans="1:21" ht="34.5" customHeight="1" x14ac:dyDescent="0.25">
      <c r="A1390" s="10">
        <f t="shared" si="5"/>
        <v>1376</v>
      </c>
      <c r="B1390" s="483" t="s">
        <v>303</v>
      </c>
      <c r="C1390" s="327"/>
      <c r="D1390" s="484" t="s">
        <v>303</v>
      </c>
      <c r="E1390" s="327"/>
      <c r="F1390" s="481" t="s">
        <v>334</v>
      </c>
      <c r="G1390" s="327"/>
      <c r="H1390" s="485"/>
      <c r="I1390" s="326"/>
      <c r="J1390" s="327"/>
      <c r="K1390" s="481" t="s">
        <v>334</v>
      </c>
      <c r="L1390" s="326"/>
      <c r="M1390" s="327"/>
      <c r="N1390" s="486" t="s">
        <v>303</v>
      </c>
      <c r="O1390" s="326"/>
      <c r="P1390" s="326"/>
      <c r="Q1390" s="326"/>
      <c r="R1390" s="326"/>
      <c r="S1390" s="326"/>
      <c r="T1390" s="326"/>
      <c r="U1390" s="327"/>
    </row>
    <row r="1391" spans="1:21" ht="34.5" customHeight="1" x14ac:dyDescent="0.25">
      <c r="A1391" s="10">
        <f t="shared" si="5"/>
        <v>1377</v>
      </c>
      <c r="B1391" s="479" t="s">
        <v>303</v>
      </c>
      <c r="C1391" s="327"/>
      <c r="D1391" s="480" t="s">
        <v>303</v>
      </c>
      <c r="E1391" s="327"/>
      <c r="F1391" s="481" t="s">
        <v>334</v>
      </c>
      <c r="G1391" s="327"/>
      <c r="H1391" s="482"/>
      <c r="I1391" s="326"/>
      <c r="J1391" s="327"/>
      <c r="K1391" s="481" t="s">
        <v>334</v>
      </c>
      <c r="L1391" s="326"/>
      <c r="M1391" s="327"/>
      <c r="N1391" s="439" t="s">
        <v>303</v>
      </c>
      <c r="O1391" s="326"/>
      <c r="P1391" s="326"/>
      <c r="Q1391" s="326"/>
      <c r="R1391" s="326"/>
      <c r="S1391" s="326"/>
      <c r="T1391" s="326"/>
      <c r="U1391" s="327"/>
    </row>
    <row r="1392" spans="1:21" ht="34.5" customHeight="1" x14ac:dyDescent="0.25">
      <c r="A1392" s="10">
        <f t="shared" si="5"/>
        <v>1378</v>
      </c>
      <c r="B1392" s="483" t="s">
        <v>303</v>
      </c>
      <c r="C1392" s="327"/>
      <c r="D1392" s="484" t="s">
        <v>303</v>
      </c>
      <c r="E1392" s="327"/>
      <c r="F1392" s="481" t="s">
        <v>334</v>
      </c>
      <c r="G1392" s="327"/>
      <c r="H1392" s="485"/>
      <c r="I1392" s="326"/>
      <c r="J1392" s="327"/>
      <c r="K1392" s="481" t="s">
        <v>334</v>
      </c>
      <c r="L1392" s="326"/>
      <c r="M1392" s="327"/>
      <c r="N1392" s="486" t="s">
        <v>303</v>
      </c>
      <c r="O1392" s="326"/>
      <c r="P1392" s="326"/>
      <c r="Q1392" s="326"/>
      <c r="R1392" s="326"/>
      <c r="S1392" s="326"/>
      <c r="T1392" s="326"/>
      <c r="U1392" s="327"/>
    </row>
    <row r="1393" spans="1:21" ht="34.5" customHeight="1" x14ac:dyDescent="0.25">
      <c r="A1393" s="10">
        <f t="shared" si="5"/>
        <v>1379</v>
      </c>
      <c r="B1393" s="479" t="s">
        <v>303</v>
      </c>
      <c r="C1393" s="327"/>
      <c r="D1393" s="480" t="s">
        <v>303</v>
      </c>
      <c r="E1393" s="327"/>
      <c r="F1393" s="481" t="s">
        <v>334</v>
      </c>
      <c r="G1393" s="327"/>
      <c r="H1393" s="482"/>
      <c r="I1393" s="326"/>
      <c r="J1393" s="327"/>
      <c r="K1393" s="481" t="s">
        <v>334</v>
      </c>
      <c r="L1393" s="326"/>
      <c r="M1393" s="327"/>
      <c r="N1393" s="439" t="s">
        <v>303</v>
      </c>
      <c r="O1393" s="326"/>
      <c r="P1393" s="326"/>
      <c r="Q1393" s="326"/>
      <c r="R1393" s="326"/>
      <c r="S1393" s="326"/>
      <c r="T1393" s="326"/>
      <c r="U1393" s="327"/>
    </row>
    <row r="1394" spans="1:21" ht="34.5" customHeight="1" x14ac:dyDescent="0.25">
      <c r="A1394" s="10">
        <f t="shared" si="5"/>
        <v>1380</v>
      </c>
      <c r="B1394" s="479" t="s">
        <v>303</v>
      </c>
      <c r="C1394" s="327"/>
      <c r="D1394" s="480" t="s">
        <v>303</v>
      </c>
      <c r="E1394" s="327"/>
      <c r="F1394" s="481" t="s">
        <v>334</v>
      </c>
      <c r="G1394" s="327"/>
      <c r="H1394" s="482"/>
      <c r="I1394" s="326"/>
      <c r="J1394" s="327"/>
      <c r="K1394" s="481" t="s">
        <v>334</v>
      </c>
      <c r="L1394" s="326"/>
      <c r="M1394" s="327"/>
      <c r="N1394" s="439" t="s">
        <v>303</v>
      </c>
      <c r="O1394" s="326"/>
      <c r="P1394" s="326"/>
      <c r="Q1394" s="326"/>
      <c r="R1394" s="326"/>
      <c r="S1394" s="326"/>
      <c r="T1394" s="326"/>
      <c r="U1394" s="327"/>
    </row>
    <row r="1395" spans="1:21" ht="34.5" customHeight="1" x14ac:dyDescent="0.25">
      <c r="A1395" s="10">
        <f t="shared" si="5"/>
        <v>1381</v>
      </c>
      <c r="B1395" s="483" t="s">
        <v>303</v>
      </c>
      <c r="C1395" s="327"/>
      <c r="D1395" s="484" t="s">
        <v>303</v>
      </c>
      <c r="E1395" s="327"/>
      <c r="F1395" s="481" t="s">
        <v>334</v>
      </c>
      <c r="G1395" s="327"/>
      <c r="H1395" s="485"/>
      <c r="I1395" s="326"/>
      <c r="J1395" s="327"/>
      <c r="K1395" s="481" t="s">
        <v>334</v>
      </c>
      <c r="L1395" s="326"/>
      <c r="M1395" s="327"/>
      <c r="N1395" s="486"/>
      <c r="O1395" s="326"/>
      <c r="P1395" s="326"/>
      <c r="Q1395" s="326"/>
      <c r="R1395" s="326"/>
      <c r="S1395" s="326"/>
      <c r="T1395" s="326"/>
      <c r="U1395" s="327"/>
    </row>
    <row r="1396" spans="1:21" ht="34.5" customHeight="1" x14ac:dyDescent="0.25">
      <c r="A1396" s="10">
        <f t="shared" si="5"/>
        <v>1382</v>
      </c>
      <c r="B1396" s="479" t="s">
        <v>303</v>
      </c>
      <c r="C1396" s="327"/>
      <c r="D1396" s="480" t="s">
        <v>303</v>
      </c>
      <c r="E1396" s="327"/>
      <c r="F1396" s="481" t="s">
        <v>334</v>
      </c>
      <c r="G1396" s="327"/>
      <c r="H1396" s="482"/>
      <c r="I1396" s="326"/>
      <c r="J1396" s="327"/>
      <c r="K1396" s="481" t="s">
        <v>334</v>
      </c>
      <c r="L1396" s="326"/>
      <c r="M1396" s="327"/>
      <c r="N1396" s="439" t="s">
        <v>303</v>
      </c>
      <c r="O1396" s="326"/>
      <c r="P1396" s="326"/>
      <c r="Q1396" s="326"/>
      <c r="R1396" s="326"/>
      <c r="S1396" s="326"/>
      <c r="T1396" s="326"/>
      <c r="U1396" s="327"/>
    </row>
    <row r="1397" spans="1:21" ht="34.5" customHeight="1" x14ac:dyDescent="0.25">
      <c r="A1397" s="10">
        <f t="shared" si="5"/>
        <v>1383</v>
      </c>
      <c r="B1397" s="483" t="s">
        <v>303</v>
      </c>
      <c r="C1397" s="327"/>
      <c r="D1397" s="484" t="s">
        <v>303</v>
      </c>
      <c r="E1397" s="327"/>
      <c r="F1397" s="481" t="s">
        <v>334</v>
      </c>
      <c r="G1397" s="327"/>
      <c r="H1397" s="485"/>
      <c r="I1397" s="326"/>
      <c r="J1397" s="327"/>
      <c r="K1397" s="481" t="s">
        <v>334</v>
      </c>
      <c r="L1397" s="326"/>
      <c r="M1397" s="327"/>
      <c r="N1397" s="486" t="s">
        <v>303</v>
      </c>
      <c r="O1397" s="326"/>
      <c r="P1397" s="326"/>
      <c r="Q1397" s="326"/>
      <c r="R1397" s="326"/>
      <c r="S1397" s="326"/>
      <c r="T1397" s="326"/>
      <c r="U1397" s="327"/>
    </row>
    <row r="1398" spans="1:21" ht="34.5" customHeight="1" x14ac:dyDescent="0.25">
      <c r="A1398" s="10">
        <f t="shared" si="5"/>
        <v>1384</v>
      </c>
      <c r="B1398" s="479" t="s">
        <v>303</v>
      </c>
      <c r="C1398" s="327"/>
      <c r="D1398" s="480" t="s">
        <v>303</v>
      </c>
      <c r="E1398" s="327"/>
      <c r="F1398" s="481" t="s">
        <v>334</v>
      </c>
      <c r="G1398" s="327"/>
      <c r="H1398" s="482"/>
      <c r="I1398" s="326"/>
      <c r="J1398" s="327"/>
      <c r="K1398" s="481" t="s">
        <v>334</v>
      </c>
      <c r="L1398" s="326"/>
      <c r="M1398" s="327"/>
      <c r="N1398" s="439" t="s">
        <v>303</v>
      </c>
      <c r="O1398" s="326"/>
      <c r="P1398" s="326"/>
      <c r="Q1398" s="326"/>
      <c r="R1398" s="326"/>
      <c r="S1398" s="326"/>
      <c r="T1398" s="326"/>
      <c r="U1398" s="327"/>
    </row>
    <row r="1399" spans="1:21" ht="34.5" customHeight="1" x14ac:dyDescent="0.25">
      <c r="A1399" s="10">
        <f t="shared" si="5"/>
        <v>1385</v>
      </c>
      <c r="B1399" s="483" t="s">
        <v>303</v>
      </c>
      <c r="C1399" s="327"/>
      <c r="D1399" s="484" t="s">
        <v>303</v>
      </c>
      <c r="E1399" s="327"/>
      <c r="F1399" s="481" t="s">
        <v>334</v>
      </c>
      <c r="G1399" s="327"/>
      <c r="H1399" s="485"/>
      <c r="I1399" s="326"/>
      <c r="J1399" s="327"/>
      <c r="K1399" s="481" t="s">
        <v>334</v>
      </c>
      <c r="L1399" s="326"/>
      <c r="M1399" s="327"/>
      <c r="N1399" s="486" t="s">
        <v>303</v>
      </c>
      <c r="O1399" s="326"/>
      <c r="P1399" s="326"/>
      <c r="Q1399" s="326"/>
      <c r="R1399" s="326"/>
      <c r="S1399" s="326"/>
      <c r="T1399" s="326"/>
      <c r="U1399" s="327"/>
    </row>
    <row r="1400" spans="1:21" ht="34.5" customHeight="1" x14ac:dyDescent="0.25">
      <c r="A1400" s="10">
        <f t="shared" si="5"/>
        <v>1386</v>
      </c>
      <c r="B1400" s="479" t="s">
        <v>303</v>
      </c>
      <c r="C1400" s="327"/>
      <c r="D1400" s="480" t="s">
        <v>303</v>
      </c>
      <c r="E1400" s="327"/>
      <c r="F1400" s="481" t="s">
        <v>334</v>
      </c>
      <c r="G1400" s="327"/>
      <c r="H1400" s="482"/>
      <c r="I1400" s="326"/>
      <c r="J1400" s="327"/>
      <c r="K1400" s="481" t="s">
        <v>334</v>
      </c>
      <c r="L1400" s="326"/>
      <c r="M1400" s="327"/>
      <c r="N1400" s="439" t="s">
        <v>303</v>
      </c>
      <c r="O1400" s="326"/>
      <c r="P1400" s="326"/>
      <c r="Q1400" s="326"/>
      <c r="R1400" s="326"/>
      <c r="S1400" s="326"/>
      <c r="T1400" s="326"/>
      <c r="U1400" s="327"/>
    </row>
    <row r="1401" spans="1:21" ht="34.5" customHeight="1" x14ac:dyDescent="0.25">
      <c r="A1401" s="10">
        <f t="shared" si="5"/>
        <v>1387</v>
      </c>
      <c r="B1401" s="483" t="s">
        <v>303</v>
      </c>
      <c r="C1401" s="327"/>
      <c r="D1401" s="484" t="s">
        <v>303</v>
      </c>
      <c r="E1401" s="327"/>
      <c r="F1401" s="481" t="s">
        <v>334</v>
      </c>
      <c r="G1401" s="327"/>
      <c r="H1401" s="485"/>
      <c r="I1401" s="326"/>
      <c r="J1401" s="327"/>
      <c r="K1401" s="481" t="s">
        <v>334</v>
      </c>
      <c r="L1401" s="326"/>
      <c r="M1401" s="327"/>
      <c r="N1401" s="486" t="s">
        <v>303</v>
      </c>
      <c r="O1401" s="326"/>
      <c r="P1401" s="326"/>
      <c r="Q1401" s="326"/>
      <c r="R1401" s="326"/>
      <c r="S1401" s="326"/>
      <c r="T1401" s="326"/>
      <c r="U1401" s="327"/>
    </row>
    <row r="1402" spans="1:21" ht="34.5" customHeight="1" x14ac:dyDescent="0.25">
      <c r="A1402" s="10">
        <f t="shared" si="5"/>
        <v>1388</v>
      </c>
      <c r="B1402" s="479" t="s">
        <v>303</v>
      </c>
      <c r="C1402" s="327"/>
      <c r="D1402" s="480" t="s">
        <v>303</v>
      </c>
      <c r="E1402" s="327"/>
      <c r="F1402" s="481" t="s">
        <v>334</v>
      </c>
      <c r="G1402" s="327"/>
      <c r="H1402" s="482"/>
      <c r="I1402" s="326"/>
      <c r="J1402" s="327"/>
      <c r="K1402" s="481" t="s">
        <v>334</v>
      </c>
      <c r="L1402" s="326"/>
      <c r="M1402" s="327"/>
      <c r="N1402" s="439" t="s">
        <v>303</v>
      </c>
      <c r="O1402" s="326"/>
      <c r="P1402" s="326"/>
      <c r="Q1402" s="326"/>
      <c r="R1402" s="326"/>
      <c r="S1402" s="326"/>
      <c r="T1402" s="326"/>
      <c r="U1402" s="327"/>
    </row>
    <row r="1403" spans="1:21" ht="34.5" customHeight="1" x14ac:dyDescent="0.25">
      <c r="A1403" s="10">
        <f t="shared" si="5"/>
        <v>1389</v>
      </c>
      <c r="B1403" s="483" t="s">
        <v>303</v>
      </c>
      <c r="C1403" s="327"/>
      <c r="D1403" s="484" t="s">
        <v>303</v>
      </c>
      <c r="E1403" s="327"/>
      <c r="F1403" s="481" t="s">
        <v>334</v>
      </c>
      <c r="G1403" s="327"/>
      <c r="H1403" s="485"/>
      <c r="I1403" s="326"/>
      <c r="J1403" s="327"/>
      <c r="K1403" s="481" t="s">
        <v>334</v>
      </c>
      <c r="L1403" s="326"/>
      <c r="M1403" s="327"/>
      <c r="N1403" s="486" t="s">
        <v>303</v>
      </c>
      <c r="O1403" s="326"/>
      <c r="P1403" s="326"/>
      <c r="Q1403" s="326"/>
      <c r="R1403" s="326"/>
      <c r="S1403" s="326"/>
      <c r="T1403" s="326"/>
      <c r="U1403" s="327"/>
    </row>
    <row r="1404" spans="1:21" ht="34.5" customHeight="1" x14ac:dyDescent="0.25">
      <c r="A1404" s="10">
        <f t="shared" si="5"/>
        <v>1390</v>
      </c>
      <c r="B1404" s="479" t="s">
        <v>303</v>
      </c>
      <c r="C1404" s="327"/>
      <c r="D1404" s="480" t="s">
        <v>303</v>
      </c>
      <c r="E1404" s="327"/>
      <c r="F1404" s="481" t="s">
        <v>334</v>
      </c>
      <c r="G1404" s="327"/>
      <c r="H1404" s="482"/>
      <c r="I1404" s="326"/>
      <c r="J1404" s="327"/>
      <c r="K1404" s="481" t="s">
        <v>334</v>
      </c>
      <c r="L1404" s="326"/>
      <c r="M1404" s="327"/>
      <c r="N1404" s="439" t="s">
        <v>303</v>
      </c>
      <c r="O1404" s="326"/>
      <c r="P1404" s="326"/>
      <c r="Q1404" s="326"/>
      <c r="R1404" s="326"/>
      <c r="S1404" s="326"/>
      <c r="T1404" s="326"/>
      <c r="U1404" s="327"/>
    </row>
    <row r="1405" spans="1:21" ht="34.5" customHeight="1" x14ac:dyDescent="0.25">
      <c r="A1405" s="10">
        <f t="shared" si="5"/>
        <v>1391</v>
      </c>
      <c r="B1405" s="483" t="s">
        <v>303</v>
      </c>
      <c r="C1405" s="327"/>
      <c r="D1405" s="484" t="s">
        <v>303</v>
      </c>
      <c r="E1405" s="327"/>
      <c r="F1405" s="481" t="s">
        <v>334</v>
      </c>
      <c r="G1405" s="327"/>
      <c r="H1405" s="485"/>
      <c r="I1405" s="326"/>
      <c r="J1405" s="327"/>
      <c r="K1405" s="481" t="s">
        <v>334</v>
      </c>
      <c r="L1405" s="326"/>
      <c r="M1405" s="327"/>
      <c r="N1405" s="486" t="s">
        <v>303</v>
      </c>
      <c r="O1405" s="326"/>
      <c r="P1405" s="326"/>
      <c r="Q1405" s="326"/>
      <c r="R1405" s="326"/>
      <c r="S1405" s="326"/>
      <c r="T1405" s="326"/>
      <c r="U1405" s="327"/>
    </row>
    <row r="1406" spans="1:21" ht="34.5" customHeight="1" x14ac:dyDescent="0.25">
      <c r="A1406" s="10">
        <f t="shared" si="5"/>
        <v>1392</v>
      </c>
      <c r="B1406" s="479" t="s">
        <v>303</v>
      </c>
      <c r="C1406" s="327"/>
      <c r="D1406" s="480" t="s">
        <v>303</v>
      </c>
      <c r="E1406" s="327"/>
      <c r="F1406" s="481" t="s">
        <v>334</v>
      </c>
      <c r="G1406" s="327"/>
      <c r="H1406" s="482"/>
      <c r="I1406" s="326"/>
      <c r="J1406" s="327"/>
      <c r="K1406" s="481" t="s">
        <v>334</v>
      </c>
      <c r="L1406" s="326"/>
      <c r="M1406" s="327"/>
      <c r="N1406" s="439" t="s">
        <v>303</v>
      </c>
      <c r="O1406" s="326"/>
      <c r="P1406" s="326"/>
      <c r="Q1406" s="326"/>
      <c r="R1406" s="326"/>
      <c r="S1406" s="326"/>
      <c r="T1406" s="326"/>
      <c r="U1406" s="327"/>
    </row>
    <row r="1407" spans="1:21" ht="34.5" customHeight="1" x14ac:dyDescent="0.25">
      <c r="A1407" s="10">
        <f t="shared" si="5"/>
        <v>1393</v>
      </c>
      <c r="B1407" s="483" t="s">
        <v>303</v>
      </c>
      <c r="C1407" s="327"/>
      <c r="D1407" s="484" t="s">
        <v>303</v>
      </c>
      <c r="E1407" s="327"/>
      <c r="F1407" s="481" t="s">
        <v>334</v>
      </c>
      <c r="G1407" s="327"/>
      <c r="H1407" s="485"/>
      <c r="I1407" s="326"/>
      <c r="J1407" s="327"/>
      <c r="K1407" s="481" t="s">
        <v>334</v>
      </c>
      <c r="L1407" s="326"/>
      <c r="M1407" s="327"/>
      <c r="N1407" s="486" t="s">
        <v>303</v>
      </c>
      <c r="O1407" s="326"/>
      <c r="P1407" s="326"/>
      <c r="Q1407" s="326"/>
      <c r="R1407" s="326"/>
      <c r="S1407" s="326"/>
      <c r="T1407" s="326"/>
      <c r="U1407" s="327"/>
    </row>
    <row r="1408" spans="1:21" ht="34.5" customHeight="1" x14ac:dyDescent="0.25">
      <c r="A1408" s="10">
        <f t="shared" si="5"/>
        <v>1394</v>
      </c>
      <c r="B1408" s="479" t="s">
        <v>303</v>
      </c>
      <c r="C1408" s="327"/>
      <c r="D1408" s="480" t="s">
        <v>303</v>
      </c>
      <c r="E1408" s="327"/>
      <c r="F1408" s="481" t="s">
        <v>334</v>
      </c>
      <c r="G1408" s="327"/>
      <c r="H1408" s="482"/>
      <c r="I1408" s="326"/>
      <c r="J1408" s="327"/>
      <c r="K1408" s="481" t="s">
        <v>334</v>
      </c>
      <c r="L1408" s="326"/>
      <c r="M1408" s="327"/>
      <c r="N1408" s="439" t="s">
        <v>303</v>
      </c>
      <c r="O1408" s="326"/>
      <c r="P1408" s="326"/>
      <c r="Q1408" s="326"/>
      <c r="R1408" s="326"/>
      <c r="S1408" s="326"/>
      <c r="T1408" s="326"/>
      <c r="U1408" s="327"/>
    </row>
    <row r="1409" spans="1:21" ht="34.5" customHeight="1" x14ac:dyDescent="0.25">
      <c r="A1409" s="10">
        <f t="shared" si="5"/>
        <v>1395</v>
      </c>
      <c r="B1409" s="483" t="s">
        <v>303</v>
      </c>
      <c r="C1409" s="327"/>
      <c r="D1409" s="484" t="s">
        <v>303</v>
      </c>
      <c r="E1409" s="327"/>
      <c r="F1409" s="481" t="s">
        <v>334</v>
      </c>
      <c r="G1409" s="327"/>
      <c r="H1409" s="485"/>
      <c r="I1409" s="326"/>
      <c r="J1409" s="327"/>
      <c r="K1409" s="481" t="s">
        <v>334</v>
      </c>
      <c r="L1409" s="326"/>
      <c r="M1409" s="327"/>
      <c r="N1409" s="486" t="s">
        <v>303</v>
      </c>
      <c r="O1409" s="326"/>
      <c r="P1409" s="326"/>
      <c r="Q1409" s="326"/>
      <c r="R1409" s="326"/>
      <c r="S1409" s="326"/>
      <c r="T1409" s="326"/>
      <c r="U1409" s="327"/>
    </row>
    <row r="1410" spans="1:21" ht="34.5" customHeight="1" x14ac:dyDescent="0.25">
      <c r="A1410" s="10">
        <f t="shared" si="5"/>
        <v>1396</v>
      </c>
      <c r="B1410" s="479" t="s">
        <v>303</v>
      </c>
      <c r="C1410" s="327"/>
      <c r="D1410" s="480" t="s">
        <v>303</v>
      </c>
      <c r="E1410" s="327"/>
      <c r="F1410" s="481" t="s">
        <v>334</v>
      </c>
      <c r="G1410" s="327"/>
      <c r="H1410" s="482"/>
      <c r="I1410" s="326"/>
      <c r="J1410" s="327"/>
      <c r="K1410" s="481" t="s">
        <v>334</v>
      </c>
      <c r="L1410" s="326"/>
      <c r="M1410" s="327"/>
      <c r="N1410" s="439" t="s">
        <v>303</v>
      </c>
      <c r="O1410" s="326"/>
      <c r="P1410" s="326"/>
      <c r="Q1410" s="326"/>
      <c r="R1410" s="326"/>
      <c r="S1410" s="326"/>
      <c r="T1410" s="326"/>
      <c r="U1410" s="327"/>
    </row>
    <row r="1411" spans="1:21" ht="34.5" customHeight="1" x14ac:dyDescent="0.25">
      <c r="A1411" s="10">
        <f t="shared" si="5"/>
        <v>1397</v>
      </c>
      <c r="B1411" s="483" t="s">
        <v>303</v>
      </c>
      <c r="C1411" s="327"/>
      <c r="D1411" s="484" t="s">
        <v>303</v>
      </c>
      <c r="E1411" s="327"/>
      <c r="F1411" s="481" t="s">
        <v>334</v>
      </c>
      <c r="G1411" s="327"/>
      <c r="H1411" s="485"/>
      <c r="I1411" s="326"/>
      <c r="J1411" s="327"/>
      <c r="K1411" s="481" t="s">
        <v>334</v>
      </c>
      <c r="L1411" s="326"/>
      <c r="M1411" s="327"/>
      <c r="N1411" s="486" t="s">
        <v>303</v>
      </c>
      <c r="O1411" s="326"/>
      <c r="P1411" s="326"/>
      <c r="Q1411" s="326"/>
      <c r="R1411" s="326"/>
      <c r="S1411" s="326"/>
      <c r="T1411" s="326"/>
      <c r="U1411" s="327"/>
    </row>
    <row r="1412" spans="1:21" ht="34.5" customHeight="1" x14ac:dyDescent="0.25">
      <c r="A1412" s="10">
        <f t="shared" si="5"/>
        <v>1398</v>
      </c>
      <c r="B1412" s="479" t="s">
        <v>303</v>
      </c>
      <c r="C1412" s="327"/>
      <c r="D1412" s="480" t="s">
        <v>303</v>
      </c>
      <c r="E1412" s="327"/>
      <c r="F1412" s="481" t="s">
        <v>334</v>
      </c>
      <c r="G1412" s="327"/>
      <c r="H1412" s="482"/>
      <c r="I1412" s="326"/>
      <c r="J1412" s="327"/>
      <c r="K1412" s="481" t="s">
        <v>334</v>
      </c>
      <c r="L1412" s="326"/>
      <c r="M1412" s="327"/>
      <c r="N1412" s="439" t="s">
        <v>303</v>
      </c>
      <c r="O1412" s="326"/>
      <c r="P1412" s="326"/>
      <c r="Q1412" s="326"/>
      <c r="R1412" s="326"/>
      <c r="S1412" s="326"/>
      <c r="T1412" s="326"/>
      <c r="U1412" s="327"/>
    </row>
    <row r="1413" spans="1:21" ht="34.5" customHeight="1" x14ac:dyDescent="0.25">
      <c r="A1413" s="10">
        <f t="shared" si="5"/>
        <v>1399</v>
      </c>
      <c r="B1413" s="483" t="s">
        <v>303</v>
      </c>
      <c r="C1413" s="327"/>
      <c r="D1413" s="484" t="s">
        <v>303</v>
      </c>
      <c r="E1413" s="327"/>
      <c r="F1413" s="481" t="s">
        <v>334</v>
      </c>
      <c r="G1413" s="327"/>
      <c r="H1413" s="485"/>
      <c r="I1413" s="326"/>
      <c r="J1413" s="327"/>
      <c r="K1413" s="481" t="s">
        <v>334</v>
      </c>
      <c r="L1413" s="326"/>
      <c r="M1413" s="327"/>
      <c r="N1413" s="486" t="s">
        <v>303</v>
      </c>
      <c r="O1413" s="326"/>
      <c r="P1413" s="326"/>
      <c r="Q1413" s="326"/>
      <c r="R1413" s="326"/>
      <c r="S1413" s="326"/>
      <c r="T1413" s="326"/>
      <c r="U1413" s="327"/>
    </row>
    <row r="1414" spans="1:21" ht="34.5" customHeight="1" x14ac:dyDescent="0.25">
      <c r="A1414" s="10">
        <f t="shared" si="5"/>
        <v>1400</v>
      </c>
      <c r="B1414" s="479" t="s">
        <v>303</v>
      </c>
      <c r="C1414" s="327"/>
      <c r="D1414" s="480" t="s">
        <v>303</v>
      </c>
      <c r="E1414" s="327"/>
      <c r="F1414" s="481" t="s">
        <v>334</v>
      </c>
      <c r="G1414" s="327"/>
      <c r="H1414" s="482"/>
      <c r="I1414" s="326"/>
      <c r="J1414" s="327"/>
      <c r="K1414" s="481" t="s">
        <v>334</v>
      </c>
      <c r="L1414" s="326"/>
      <c r="M1414" s="327"/>
      <c r="N1414" s="439" t="s">
        <v>303</v>
      </c>
      <c r="O1414" s="326"/>
      <c r="P1414" s="326"/>
      <c r="Q1414" s="326"/>
      <c r="R1414" s="326"/>
      <c r="S1414" s="326"/>
      <c r="T1414" s="326"/>
      <c r="U1414" s="327"/>
    </row>
    <row r="1415" spans="1:21" ht="34.5" customHeight="1" x14ac:dyDescent="0.25">
      <c r="A1415" s="10">
        <f t="shared" si="5"/>
        <v>1401</v>
      </c>
      <c r="B1415" s="483" t="s">
        <v>303</v>
      </c>
      <c r="C1415" s="327"/>
      <c r="D1415" s="484" t="s">
        <v>303</v>
      </c>
      <c r="E1415" s="327"/>
      <c r="F1415" s="481" t="s">
        <v>334</v>
      </c>
      <c r="G1415" s="327"/>
      <c r="H1415" s="485"/>
      <c r="I1415" s="326"/>
      <c r="J1415" s="327"/>
      <c r="K1415" s="481" t="s">
        <v>334</v>
      </c>
      <c r="L1415" s="326"/>
      <c r="M1415" s="327"/>
      <c r="N1415" s="486" t="s">
        <v>303</v>
      </c>
      <c r="O1415" s="326"/>
      <c r="P1415" s="326"/>
      <c r="Q1415" s="326"/>
      <c r="R1415" s="326"/>
      <c r="S1415" s="326"/>
      <c r="T1415" s="326"/>
      <c r="U1415" s="327"/>
    </row>
    <row r="1416" spans="1:21" ht="34.5" customHeight="1" x14ac:dyDescent="0.25">
      <c r="A1416" s="10">
        <f t="shared" si="5"/>
        <v>1402</v>
      </c>
      <c r="B1416" s="479" t="s">
        <v>303</v>
      </c>
      <c r="C1416" s="327"/>
      <c r="D1416" s="480" t="s">
        <v>303</v>
      </c>
      <c r="E1416" s="327"/>
      <c r="F1416" s="481" t="s">
        <v>334</v>
      </c>
      <c r="G1416" s="327"/>
      <c r="H1416" s="482"/>
      <c r="I1416" s="326"/>
      <c r="J1416" s="327"/>
      <c r="K1416" s="481" t="s">
        <v>334</v>
      </c>
      <c r="L1416" s="326"/>
      <c r="M1416" s="327"/>
      <c r="N1416" s="439" t="s">
        <v>303</v>
      </c>
      <c r="O1416" s="326"/>
      <c r="P1416" s="326"/>
      <c r="Q1416" s="326"/>
      <c r="R1416" s="326"/>
      <c r="S1416" s="326"/>
      <c r="T1416" s="326"/>
      <c r="U1416" s="327"/>
    </row>
    <row r="1417" spans="1:21" ht="34.5" customHeight="1" x14ac:dyDescent="0.25">
      <c r="A1417" s="10">
        <f t="shared" si="5"/>
        <v>1403</v>
      </c>
      <c r="B1417" s="483" t="s">
        <v>303</v>
      </c>
      <c r="C1417" s="327"/>
      <c r="D1417" s="484" t="s">
        <v>303</v>
      </c>
      <c r="E1417" s="327"/>
      <c r="F1417" s="481" t="s">
        <v>334</v>
      </c>
      <c r="G1417" s="327"/>
      <c r="H1417" s="485"/>
      <c r="I1417" s="326"/>
      <c r="J1417" s="327"/>
      <c r="K1417" s="481" t="s">
        <v>334</v>
      </c>
      <c r="L1417" s="326"/>
      <c r="M1417" s="327"/>
      <c r="N1417" s="486" t="s">
        <v>303</v>
      </c>
      <c r="O1417" s="326"/>
      <c r="P1417" s="326"/>
      <c r="Q1417" s="326"/>
      <c r="R1417" s="326"/>
      <c r="S1417" s="326"/>
      <c r="T1417" s="326"/>
      <c r="U1417" s="327"/>
    </row>
    <row r="1418" spans="1:21" ht="34.5" customHeight="1" x14ac:dyDescent="0.25">
      <c r="A1418" s="10">
        <f t="shared" si="5"/>
        <v>1404</v>
      </c>
      <c r="B1418" s="479" t="s">
        <v>303</v>
      </c>
      <c r="C1418" s="327"/>
      <c r="D1418" s="480" t="s">
        <v>303</v>
      </c>
      <c r="E1418" s="327"/>
      <c r="F1418" s="481" t="s">
        <v>334</v>
      </c>
      <c r="G1418" s="327"/>
      <c r="H1418" s="482"/>
      <c r="I1418" s="326"/>
      <c r="J1418" s="327"/>
      <c r="K1418" s="481" t="s">
        <v>334</v>
      </c>
      <c r="L1418" s="326"/>
      <c r="M1418" s="327"/>
      <c r="N1418" s="439" t="s">
        <v>303</v>
      </c>
      <c r="O1418" s="326"/>
      <c r="P1418" s="326"/>
      <c r="Q1418" s="326"/>
      <c r="R1418" s="326"/>
      <c r="S1418" s="326"/>
      <c r="T1418" s="326"/>
      <c r="U1418" s="327"/>
    </row>
    <row r="1419" spans="1:21" ht="34.5" customHeight="1" x14ac:dyDescent="0.25">
      <c r="A1419" s="10">
        <f t="shared" si="5"/>
        <v>1405</v>
      </c>
      <c r="B1419" s="483" t="s">
        <v>303</v>
      </c>
      <c r="C1419" s="327"/>
      <c r="D1419" s="484" t="s">
        <v>303</v>
      </c>
      <c r="E1419" s="327"/>
      <c r="F1419" s="481" t="s">
        <v>334</v>
      </c>
      <c r="G1419" s="327"/>
      <c r="H1419" s="485"/>
      <c r="I1419" s="326"/>
      <c r="J1419" s="327"/>
      <c r="K1419" s="481" t="s">
        <v>334</v>
      </c>
      <c r="L1419" s="326"/>
      <c r="M1419" s="327"/>
      <c r="N1419" s="486" t="s">
        <v>303</v>
      </c>
      <c r="O1419" s="326"/>
      <c r="P1419" s="326"/>
      <c r="Q1419" s="326"/>
      <c r="R1419" s="326"/>
      <c r="S1419" s="326"/>
      <c r="T1419" s="326"/>
      <c r="U1419" s="327"/>
    </row>
    <row r="1420" spans="1:21" ht="34.5" customHeight="1" x14ac:dyDescent="0.25">
      <c r="A1420" s="10">
        <f t="shared" si="5"/>
        <v>1406</v>
      </c>
      <c r="B1420" s="479" t="s">
        <v>303</v>
      </c>
      <c r="C1420" s="327"/>
      <c r="D1420" s="480" t="s">
        <v>303</v>
      </c>
      <c r="E1420" s="327"/>
      <c r="F1420" s="481" t="s">
        <v>334</v>
      </c>
      <c r="G1420" s="327"/>
      <c r="H1420" s="482"/>
      <c r="I1420" s="326"/>
      <c r="J1420" s="327"/>
      <c r="K1420" s="481" t="s">
        <v>334</v>
      </c>
      <c r="L1420" s="326"/>
      <c r="M1420" s="327"/>
      <c r="N1420" s="439" t="s">
        <v>303</v>
      </c>
      <c r="O1420" s="326"/>
      <c r="P1420" s="326"/>
      <c r="Q1420" s="326"/>
      <c r="R1420" s="326"/>
      <c r="S1420" s="326"/>
      <c r="T1420" s="326"/>
      <c r="U1420" s="327"/>
    </row>
    <row r="1421" spans="1:21" ht="34.5" customHeight="1" x14ac:dyDescent="0.25">
      <c r="A1421" s="10">
        <f t="shared" si="5"/>
        <v>1407</v>
      </c>
      <c r="B1421" s="483" t="s">
        <v>303</v>
      </c>
      <c r="C1421" s="327"/>
      <c r="D1421" s="484" t="s">
        <v>303</v>
      </c>
      <c r="E1421" s="327"/>
      <c r="F1421" s="481" t="s">
        <v>334</v>
      </c>
      <c r="G1421" s="327"/>
      <c r="H1421" s="485"/>
      <c r="I1421" s="326"/>
      <c r="J1421" s="327"/>
      <c r="K1421" s="481" t="s">
        <v>334</v>
      </c>
      <c r="L1421" s="326"/>
      <c r="M1421" s="327"/>
      <c r="N1421" s="486" t="s">
        <v>303</v>
      </c>
      <c r="O1421" s="326"/>
      <c r="P1421" s="326"/>
      <c r="Q1421" s="326"/>
      <c r="R1421" s="326"/>
      <c r="S1421" s="326"/>
      <c r="T1421" s="326"/>
      <c r="U1421" s="327"/>
    </row>
    <row r="1422" spans="1:21" ht="34.5" customHeight="1" x14ac:dyDescent="0.25">
      <c r="A1422" s="10">
        <f t="shared" si="5"/>
        <v>1408</v>
      </c>
      <c r="B1422" s="479" t="s">
        <v>303</v>
      </c>
      <c r="C1422" s="327"/>
      <c r="D1422" s="480" t="s">
        <v>303</v>
      </c>
      <c r="E1422" s="327"/>
      <c r="F1422" s="481" t="s">
        <v>334</v>
      </c>
      <c r="G1422" s="327"/>
      <c r="H1422" s="482"/>
      <c r="I1422" s="326"/>
      <c r="J1422" s="327"/>
      <c r="K1422" s="481" t="s">
        <v>334</v>
      </c>
      <c r="L1422" s="326"/>
      <c r="M1422" s="327"/>
      <c r="N1422" s="439" t="s">
        <v>303</v>
      </c>
      <c r="O1422" s="326"/>
      <c r="P1422" s="326"/>
      <c r="Q1422" s="326"/>
      <c r="R1422" s="326"/>
      <c r="S1422" s="326"/>
      <c r="T1422" s="326"/>
      <c r="U1422" s="327"/>
    </row>
    <row r="1423" spans="1:21" ht="34.5" customHeight="1" x14ac:dyDescent="0.25">
      <c r="A1423" s="10">
        <f t="shared" si="5"/>
        <v>1409</v>
      </c>
      <c r="B1423" s="483" t="s">
        <v>303</v>
      </c>
      <c r="C1423" s="327"/>
      <c r="D1423" s="484" t="s">
        <v>303</v>
      </c>
      <c r="E1423" s="327"/>
      <c r="F1423" s="481" t="s">
        <v>334</v>
      </c>
      <c r="G1423" s="327"/>
      <c r="H1423" s="485"/>
      <c r="I1423" s="326"/>
      <c r="J1423" s="327"/>
      <c r="K1423" s="481" t="s">
        <v>334</v>
      </c>
      <c r="L1423" s="326"/>
      <c r="M1423" s="327"/>
      <c r="N1423" s="486" t="s">
        <v>303</v>
      </c>
      <c r="O1423" s="326"/>
      <c r="P1423" s="326"/>
      <c r="Q1423" s="326"/>
      <c r="R1423" s="326"/>
      <c r="S1423" s="326"/>
      <c r="T1423" s="326"/>
      <c r="U1423" s="327"/>
    </row>
    <row r="1424" spans="1:21" ht="34.5" customHeight="1" x14ac:dyDescent="0.25">
      <c r="A1424" s="10">
        <f t="shared" si="5"/>
        <v>1410</v>
      </c>
      <c r="B1424" s="479" t="s">
        <v>303</v>
      </c>
      <c r="C1424" s="327"/>
      <c r="D1424" s="480" t="s">
        <v>303</v>
      </c>
      <c r="E1424" s="327"/>
      <c r="F1424" s="481" t="s">
        <v>334</v>
      </c>
      <c r="G1424" s="327"/>
      <c r="H1424" s="482"/>
      <c r="I1424" s="326"/>
      <c r="J1424" s="327"/>
      <c r="K1424" s="481" t="s">
        <v>334</v>
      </c>
      <c r="L1424" s="326"/>
      <c r="M1424" s="327"/>
      <c r="N1424" s="439" t="s">
        <v>303</v>
      </c>
      <c r="O1424" s="326"/>
      <c r="P1424" s="326"/>
      <c r="Q1424" s="326"/>
      <c r="R1424" s="326"/>
      <c r="S1424" s="326"/>
      <c r="T1424" s="326"/>
      <c r="U1424" s="327"/>
    </row>
    <row r="1425" spans="1:21" ht="34.5" customHeight="1" x14ac:dyDescent="0.25">
      <c r="A1425" s="10">
        <f t="shared" si="5"/>
        <v>1411</v>
      </c>
      <c r="B1425" s="483" t="s">
        <v>303</v>
      </c>
      <c r="C1425" s="327"/>
      <c r="D1425" s="484" t="s">
        <v>303</v>
      </c>
      <c r="E1425" s="327"/>
      <c r="F1425" s="481" t="s">
        <v>334</v>
      </c>
      <c r="G1425" s="327"/>
      <c r="H1425" s="485"/>
      <c r="I1425" s="326"/>
      <c r="J1425" s="327"/>
      <c r="K1425" s="481" t="s">
        <v>334</v>
      </c>
      <c r="L1425" s="326"/>
      <c r="M1425" s="327"/>
      <c r="N1425" s="486" t="s">
        <v>303</v>
      </c>
      <c r="O1425" s="326"/>
      <c r="P1425" s="326"/>
      <c r="Q1425" s="326"/>
      <c r="R1425" s="326"/>
      <c r="S1425" s="326"/>
      <c r="T1425" s="326"/>
      <c r="U1425" s="327"/>
    </row>
    <row r="1426" spans="1:21" ht="34.5" customHeight="1" x14ac:dyDescent="0.25">
      <c r="A1426" s="10">
        <f t="shared" si="5"/>
        <v>1412</v>
      </c>
      <c r="B1426" s="479" t="s">
        <v>303</v>
      </c>
      <c r="C1426" s="327"/>
      <c r="D1426" s="480" t="s">
        <v>303</v>
      </c>
      <c r="E1426" s="327"/>
      <c r="F1426" s="481" t="s">
        <v>334</v>
      </c>
      <c r="G1426" s="327"/>
      <c r="H1426" s="482"/>
      <c r="I1426" s="326"/>
      <c r="J1426" s="327"/>
      <c r="K1426" s="481" t="s">
        <v>334</v>
      </c>
      <c r="L1426" s="326"/>
      <c r="M1426" s="327"/>
      <c r="N1426" s="439" t="s">
        <v>303</v>
      </c>
      <c r="O1426" s="326"/>
      <c r="P1426" s="326"/>
      <c r="Q1426" s="326"/>
      <c r="R1426" s="326"/>
      <c r="S1426" s="326"/>
      <c r="T1426" s="326"/>
      <c r="U1426" s="327"/>
    </row>
    <row r="1427" spans="1:21" ht="34.5" customHeight="1" x14ac:dyDescent="0.25">
      <c r="A1427" s="10">
        <f t="shared" si="5"/>
        <v>1413</v>
      </c>
      <c r="B1427" s="483" t="s">
        <v>303</v>
      </c>
      <c r="C1427" s="327"/>
      <c r="D1427" s="484" t="s">
        <v>303</v>
      </c>
      <c r="E1427" s="327"/>
      <c r="F1427" s="481" t="s">
        <v>334</v>
      </c>
      <c r="G1427" s="327"/>
      <c r="H1427" s="485"/>
      <c r="I1427" s="326"/>
      <c r="J1427" s="327"/>
      <c r="K1427" s="481" t="s">
        <v>334</v>
      </c>
      <c r="L1427" s="326"/>
      <c r="M1427" s="327"/>
      <c r="N1427" s="486" t="s">
        <v>303</v>
      </c>
      <c r="O1427" s="326"/>
      <c r="P1427" s="326"/>
      <c r="Q1427" s="326"/>
      <c r="R1427" s="326"/>
      <c r="S1427" s="326"/>
      <c r="T1427" s="326"/>
      <c r="U1427" s="327"/>
    </row>
    <row r="1428" spans="1:21" ht="34.5" customHeight="1" x14ac:dyDescent="0.25">
      <c r="A1428" s="10">
        <f t="shared" si="5"/>
        <v>1414</v>
      </c>
      <c r="B1428" s="479" t="s">
        <v>303</v>
      </c>
      <c r="C1428" s="327"/>
      <c r="D1428" s="480" t="s">
        <v>303</v>
      </c>
      <c r="E1428" s="327"/>
      <c r="F1428" s="481" t="s">
        <v>334</v>
      </c>
      <c r="G1428" s="327"/>
      <c r="H1428" s="482"/>
      <c r="I1428" s="326"/>
      <c r="J1428" s="327"/>
      <c r="K1428" s="481" t="s">
        <v>334</v>
      </c>
      <c r="L1428" s="326"/>
      <c r="M1428" s="327"/>
      <c r="N1428" s="439" t="s">
        <v>303</v>
      </c>
      <c r="O1428" s="326"/>
      <c r="P1428" s="326"/>
      <c r="Q1428" s="326"/>
      <c r="R1428" s="326"/>
      <c r="S1428" s="326"/>
      <c r="T1428" s="326"/>
      <c r="U1428" s="327"/>
    </row>
    <row r="1429" spans="1:21" ht="34.5" customHeight="1" x14ac:dyDescent="0.25">
      <c r="A1429" s="10">
        <f t="shared" si="5"/>
        <v>1415</v>
      </c>
      <c r="B1429" s="483" t="s">
        <v>303</v>
      </c>
      <c r="C1429" s="327"/>
      <c r="D1429" s="484" t="s">
        <v>303</v>
      </c>
      <c r="E1429" s="327"/>
      <c r="F1429" s="481" t="s">
        <v>334</v>
      </c>
      <c r="G1429" s="327"/>
      <c r="H1429" s="485"/>
      <c r="I1429" s="326"/>
      <c r="J1429" s="327"/>
      <c r="K1429" s="481" t="s">
        <v>334</v>
      </c>
      <c r="L1429" s="326"/>
      <c r="M1429" s="327"/>
      <c r="N1429" s="486" t="s">
        <v>303</v>
      </c>
      <c r="O1429" s="326"/>
      <c r="P1429" s="326"/>
      <c r="Q1429" s="326"/>
      <c r="R1429" s="326"/>
      <c r="S1429" s="326"/>
      <c r="T1429" s="326"/>
      <c r="U1429" s="327"/>
    </row>
    <row r="1430" spans="1:21" ht="34.5" customHeight="1" x14ac:dyDescent="0.25">
      <c r="A1430" s="10">
        <f t="shared" si="5"/>
        <v>1416</v>
      </c>
      <c r="B1430" s="479" t="s">
        <v>303</v>
      </c>
      <c r="C1430" s="327"/>
      <c r="D1430" s="480" t="s">
        <v>303</v>
      </c>
      <c r="E1430" s="327"/>
      <c r="F1430" s="481" t="s">
        <v>334</v>
      </c>
      <c r="G1430" s="327"/>
      <c r="H1430" s="482"/>
      <c r="I1430" s="326"/>
      <c r="J1430" s="327"/>
      <c r="K1430" s="481" t="s">
        <v>334</v>
      </c>
      <c r="L1430" s="326"/>
      <c r="M1430" s="327"/>
      <c r="N1430" s="439" t="s">
        <v>303</v>
      </c>
      <c r="O1430" s="326"/>
      <c r="P1430" s="326"/>
      <c r="Q1430" s="326"/>
      <c r="R1430" s="326"/>
      <c r="S1430" s="326"/>
      <c r="T1430" s="326"/>
      <c r="U1430" s="327"/>
    </row>
    <row r="1431" spans="1:21" ht="34.5" customHeight="1" x14ac:dyDescent="0.25">
      <c r="A1431" s="10">
        <f t="shared" si="5"/>
        <v>1417</v>
      </c>
      <c r="B1431" s="483" t="s">
        <v>303</v>
      </c>
      <c r="C1431" s="327"/>
      <c r="D1431" s="484" t="s">
        <v>303</v>
      </c>
      <c r="E1431" s="327"/>
      <c r="F1431" s="481" t="s">
        <v>334</v>
      </c>
      <c r="G1431" s="327"/>
      <c r="H1431" s="485"/>
      <c r="I1431" s="326"/>
      <c r="J1431" s="327"/>
      <c r="K1431" s="481" t="s">
        <v>334</v>
      </c>
      <c r="L1431" s="326"/>
      <c r="M1431" s="327"/>
      <c r="N1431" s="486" t="s">
        <v>303</v>
      </c>
      <c r="O1431" s="326"/>
      <c r="P1431" s="326"/>
      <c r="Q1431" s="326"/>
      <c r="R1431" s="326"/>
      <c r="S1431" s="326"/>
      <c r="T1431" s="326"/>
      <c r="U1431" s="327"/>
    </row>
    <row r="1432" spans="1:21" ht="34.5" customHeight="1" x14ac:dyDescent="0.25">
      <c r="A1432" s="10">
        <f t="shared" si="5"/>
        <v>1418</v>
      </c>
      <c r="B1432" s="479" t="s">
        <v>303</v>
      </c>
      <c r="C1432" s="327"/>
      <c r="D1432" s="480" t="s">
        <v>303</v>
      </c>
      <c r="E1432" s="327"/>
      <c r="F1432" s="481" t="s">
        <v>334</v>
      </c>
      <c r="G1432" s="327"/>
      <c r="H1432" s="482"/>
      <c r="I1432" s="326"/>
      <c r="J1432" s="327"/>
      <c r="K1432" s="481" t="s">
        <v>334</v>
      </c>
      <c r="L1432" s="326"/>
      <c r="M1432" s="327"/>
      <c r="N1432" s="439" t="s">
        <v>303</v>
      </c>
      <c r="O1432" s="326"/>
      <c r="P1432" s="326"/>
      <c r="Q1432" s="326"/>
      <c r="R1432" s="326"/>
      <c r="S1432" s="326"/>
      <c r="T1432" s="326"/>
      <c r="U1432" s="327"/>
    </row>
    <row r="1433" spans="1:21" ht="34.5" customHeight="1" x14ac:dyDescent="0.25">
      <c r="A1433" s="10">
        <f t="shared" si="5"/>
        <v>1419</v>
      </c>
      <c r="B1433" s="483" t="s">
        <v>303</v>
      </c>
      <c r="C1433" s="327"/>
      <c r="D1433" s="484" t="s">
        <v>303</v>
      </c>
      <c r="E1433" s="327"/>
      <c r="F1433" s="481" t="s">
        <v>334</v>
      </c>
      <c r="G1433" s="327"/>
      <c r="H1433" s="485"/>
      <c r="I1433" s="326"/>
      <c r="J1433" s="327"/>
      <c r="K1433" s="481" t="s">
        <v>334</v>
      </c>
      <c r="L1433" s="326"/>
      <c r="M1433" s="327"/>
      <c r="N1433" s="486" t="s">
        <v>303</v>
      </c>
      <c r="O1433" s="326"/>
      <c r="P1433" s="326"/>
      <c r="Q1433" s="326"/>
      <c r="R1433" s="326"/>
      <c r="S1433" s="326"/>
      <c r="T1433" s="326"/>
      <c r="U1433" s="327"/>
    </row>
    <row r="1434" spans="1:21" ht="34.5" customHeight="1" x14ac:dyDescent="0.25">
      <c r="A1434" s="10">
        <f t="shared" si="5"/>
        <v>1420</v>
      </c>
      <c r="B1434" s="479" t="s">
        <v>303</v>
      </c>
      <c r="C1434" s="327"/>
      <c r="D1434" s="480" t="s">
        <v>303</v>
      </c>
      <c r="E1434" s="327"/>
      <c r="F1434" s="481" t="s">
        <v>334</v>
      </c>
      <c r="G1434" s="327"/>
      <c r="H1434" s="482"/>
      <c r="I1434" s="326"/>
      <c r="J1434" s="327"/>
      <c r="K1434" s="481" t="s">
        <v>334</v>
      </c>
      <c r="L1434" s="326"/>
      <c r="M1434" s="327"/>
      <c r="N1434" s="439" t="s">
        <v>303</v>
      </c>
      <c r="O1434" s="326"/>
      <c r="P1434" s="326"/>
      <c r="Q1434" s="326"/>
      <c r="R1434" s="326"/>
      <c r="S1434" s="326"/>
      <c r="T1434" s="326"/>
      <c r="U1434" s="327"/>
    </row>
    <row r="1435" spans="1:21" ht="34.5" customHeight="1" x14ac:dyDescent="0.25">
      <c r="A1435" s="10">
        <f t="shared" si="5"/>
        <v>1421</v>
      </c>
      <c r="B1435" s="483" t="s">
        <v>303</v>
      </c>
      <c r="C1435" s="327"/>
      <c r="D1435" s="484" t="s">
        <v>303</v>
      </c>
      <c r="E1435" s="327"/>
      <c r="F1435" s="481" t="s">
        <v>334</v>
      </c>
      <c r="G1435" s="327"/>
      <c r="H1435" s="485"/>
      <c r="I1435" s="326"/>
      <c r="J1435" s="327"/>
      <c r="K1435" s="481" t="s">
        <v>334</v>
      </c>
      <c r="L1435" s="326"/>
      <c r="M1435" s="327"/>
      <c r="N1435" s="486" t="s">
        <v>303</v>
      </c>
      <c r="O1435" s="326"/>
      <c r="P1435" s="326"/>
      <c r="Q1435" s="326"/>
      <c r="R1435" s="326"/>
      <c r="S1435" s="326"/>
      <c r="T1435" s="326"/>
      <c r="U1435" s="327"/>
    </row>
    <row r="1436" spans="1:21" ht="34.5" customHeight="1" x14ac:dyDescent="0.25">
      <c r="A1436" s="10">
        <f t="shared" si="5"/>
        <v>1422</v>
      </c>
      <c r="B1436" s="479" t="s">
        <v>303</v>
      </c>
      <c r="C1436" s="327"/>
      <c r="D1436" s="480" t="s">
        <v>303</v>
      </c>
      <c r="E1436" s="327"/>
      <c r="F1436" s="481" t="s">
        <v>334</v>
      </c>
      <c r="G1436" s="327"/>
      <c r="H1436" s="482"/>
      <c r="I1436" s="326"/>
      <c r="J1436" s="327"/>
      <c r="K1436" s="481" t="s">
        <v>334</v>
      </c>
      <c r="L1436" s="326"/>
      <c r="M1436" s="327"/>
      <c r="N1436" s="439" t="s">
        <v>303</v>
      </c>
      <c r="O1436" s="326"/>
      <c r="P1436" s="326"/>
      <c r="Q1436" s="326"/>
      <c r="R1436" s="326"/>
      <c r="S1436" s="326"/>
      <c r="T1436" s="326"/>
      <c r="U1436" s="327"/>
    </row>
    <row r="1437" spans="1:21" ht="34.5" customHeight="1" x14ac:dyDescent="0.25">
      <c r="A1437" s="10">
        <f t="shared" si="5"/>
        <v>1423</v>
      </c>
      <c r="B1437" s="483" t="s">
        <v>303</v>
      </c>
      <c r="C1437" s="327"/>
      <c r="D1437" s="484" t="s">
        <v>303</v>
      </c>
      <c r="E1437" s="327"/>
      <c r="F1437" s="481" t="s">
        <v>334</v>
      </c>
      <c r="G1437" s="327"/>
      <c r="H1437" s="485"/>
      <c r="I1437" s="326"/>
      <c r="J1437" s="327"/>
      <c r="K1437" s="481" t="s">
        <v>334</v>
      </c>
      <c r="L1437" s="326"/>
      <c r="M1437" s="327"/>
      <c r="N1437" s="486" t="s">
        <v>303</v>
      </c>
      <c r="O1437" s="326"/>
      <c r="P1437" s="326"/>
      <c r="Q1437" s="326"/>
      <c r="R1437" s="326"/>
      <c r="S1437" s="326"/>
      <c r="T1437" s="326"/>
      <c r="U1437" s="327"/>
    </row>
    <row r="1438" spans="1:21" ht="34.5" customHeight="1" x14ac:dyDescent="0.25">
      <c r="A1438" s="10">
        <f t="shared" si="5"/>
        <v>1424</v>
      </c>
      <c r="B1438" s="479" t="s">
        <v>303</v>
      </c>
      <c r="C1438" s="327"/>
      <c r="D1438" s="480" t="s">
        <v>303</v>
      </c>
      <c r="E1438" s="327"/>
      <c r="F1438" s="481" t="s">
        <v>334</v>
      </c>
      <c r="G1438" s="327"/>
      <c r="H1438" s="482"/>
      <c r="I1438" s="326"/>
      <c r="J1438" s="327"/>
      <c r="K1438" s="481" t="s">
        <v>334</v>
      </c>
      <c r="L1438" s="326"/>
      <c r="M1438" s="327"/>
      <c r="N1438" s="439" t="s">
        <v>303</v>
      </c>
      <c r="O1438" s="326"/>
      <c r="P1438" s="326"/>
      <c r="Q1438" s="326"/>
      <c r="R1438" s="326"/>
      <c r="S1438" s="326"/>
      <c r="T1438" s="326"/>
      <c r="U1438" s="327"/>
    </row>
    <row r="1439" spans="1:21" ht="34.5" customHeight="1" x14ac:dyDescent="0.25">
      <c r="A1439" s="10">
        <f t="shared" si="5"/>
        <v>1425</v>
      </c>
      <c r="B1439" s="483" t="s">
        <v>303</v>
      </c>
      <c r="C1439" s="327"/>
      <c r="D1439" s="484" t="s">
        <v>303</v>
      </c>
      <c r="E1439" s="327"/>
      <c r="F1439" s="481" t="s">
        <v>334</v>
      </c>
      <c r="G1439" s="327"/>
      <c r="H1439" s="485"/>
      <c r="I1439" s="326"/>
      <c r="J1439" s="327"/>
      <c r="K1439" s="481" t="s">
        <v>334</v>
      </c>
      <c r="L1439" s="326"/>
      <c r="M1439" s="327"/>
      <c r="N1439" s="486" t="s">
        <v>303</v>
      </c>
      <c r="O1439" s="326"/>
      <c r="P1439" s="326"/>
      <c r="Q1439" s="326"/>
      <c r="R1439" s="326"/>
      <c r="S1439" s="326"/>
      <c r="T1439" s="326"/>
      <c r="U1439" s="327"/>
    </row>
    <row r="1440" spans="1:21" ht="34.5" customHeight="1" x14ac:dyDescent="0.25">
      <c r="A1440" s="10">
        <f t="shared" si="5"/>
        <v>1426</v>
      </c>
      <c r="B1440" s="479" t="s">
        <v>303</v>
      </c>
      <c r="C1440" s="327"/>
      <c r="D1440" s="480" t="s">
        <v>303</v>
      </c>
      <c r="E1440" s="327"/>
      <c r="F1440" s="481" t="s">
        <v>334</v>
      </c>
      <c r="G1440" s="327"/>
      <c r="H1440" s="482"/>
      <c r="I1440" s="326"/>
      <c r="J1440" s="327"/>
      <c r="K1440" s="481" t="s">
        <v>334</v>
      </c>
      <c r="L1440" s="326"/>
      <c r="M1440" s="327"/>
      <c r="N1440" s="439" t="s">
        <v>303</v>
      </c>
      <c r="O1440" s="326"/>
      <c r="P1440" s="326"/>
      <c r="Q1440" s="326"/>
      <c r="R1440" s="326"/>
      <c r="S1440" s="326"/>
      <c r="T1440" s="326"/>
      <c r="U1440" s="327"/>
    </row>
    <row r="1441" spans="1:21" ht="34.5" customHeight="1" x14ac:dyDescent="0.25">
      <c r="A1441" s="10">
        <f t="shared" si="5"/>
        <v>1427</v>
      </c>
      <c r="B1441" s="483" t="s">
        <v>303</v>
      </c>
      <c r="C1441" s="327"/>
      <c r="D1441" s="484" t="s">
        <v>303</v>
      </c>
      <c r="E1441" s="327"/>
      <c r="F1441" s="481" t="s">
        <v>334</v>
      </c>
      <c r="G1441" s="327"/>
      <c r="H1441" s="485"/>
      <c r="I1441" s="326"/>
      <c r="J1441" s="327"/>
      <c r="K1441" s="481" t="s">
        <v>334</v>
      </c>
      <c r="L1441" s="326"/>
      <c r="M1441" s="327"/>
      <c r="N1441" s="486" t="s">
        <v>303</v>
      </c>
      <c r="O1441" s="326"/>
      <c r="P1441" s="326"/>
      <c r="Q1441" s="326"/>
      <c r="R1441" s="326"/>
      <c r="S1441" s="326"/>
      <c r="T1441" s="326"/>
      <c r="U1441" s="327"/>
    </row>
    <row r="1442" spans="1:21" ht="34.5" customHeight="1" x14ac:dyDescent="0.25">
      <c r="A1442" s="10">
        <f t="shared" si="5"/>
        <v>1428</v>
      </c>
      <c r="B1442" s="479" t="s">
        <v>303</v>
      </c>
      <c r="C1442" s="327"/>
      <c r="D1442" s="480" t="s">
        <v>303</v>
      </c>
      <c r="E1442" s="327"/>
      <c r="F1442" s="481" t="s">
        <v>334</v>
      </c>
      <c r="G1442" s="327"/>
      <c r="H1442" s="482"/>
      <c r="I1442" s="326"/>
      <c r="J1442" s="327"/>
      <c r="K1442" s="481" t="s">
        <v>334</v>
      </c>
      <c r="L1442" s="326"/>
      <c r="M1442" s="327"/>
      <c r="N1442" s="439" t="s">
        <v>303</v>
      </c>
      <c r="O1442" s="326"/>
      <c r="P1442" s="326"/>
      <c r="Q1442" s="326"/>
      <c r="R1442" s="326"/>
      <c r="S1442" s="326"/>
      <c r="T1442" s="326"/>
      <c r="U1442" s="327"/>
    </row>
    <row r="1443" spans="1:21" ht="34.5" customHeight="1" x14ac:dyDescent="0.25">
      <c r="A1443" s="10">
        <f t="shared" si="5"/>
        <v>1429</v>
      </c>
      <c r="B1443" s="483" t="s">
        <v>303</v>
      </c>
      <c r="C1443" s="327"/>
      <c r="D1443" s="484" t="s">
        <v>303</v>
      </c>
      <c r="E1443" s="327"/>
      <c r="F1443" s="481" t="s">
        <v>334</v>
      </c>
      <c r="G1443" s="327"/>
      <c r="H1443" s="485"/>
      <c r="I1443" s="326"/>
      <c r="J1443" s="327"/>
      <c r="K1443" s="481" t="s">
        <v>334</v>
      </c>
      <c r="L1443" s="326"/>
      <c r="M1443" s="327"/>
      <c r="N1443" s="486" t="s">
        <v>303</v>
      </c>
      <c r="O1443" s="326"/>
      <c r="P1443" s="326"/>
      <c r="Q1443" s="326"/>
      <c r="R1443" s="326"/>
      <c r="S1443" s="326"/>
      <c r="T1443" s="326"/>
      <c r="U1443" s="327"/>
    </row>
    <row r="1444" spans="1:21" ht="34.5" customHeight="1" x14ac:dyDescent="0.25">
      <c r="A1444" s="10">
        <f t="shared" si="5"/>
        <v>1430</v>
      </c>
      <c r="B1444" s="479" t="s">
        <v>303</v>
      </c>
      <c r="C1444" s="327"/>
      <c r="D1444" s="480" t="s">
        <v>303</v>
      </c>
      <c r="E1444" s="327"/>
      <c r="F1444" s="481" t="s">
        <v>334</v>
      </c>
      <c r="G1444" s="327"/>
      <c r="H1444" s="482"/>
      <c r="I1444" s="326"/>
      <c r="J1444" s="327"/>
      <c r="K1444" s="481" t="s">
        <v>334</v>
      </c>
      <c r="L1444" s="326"/>
      <c r="M1444" s="327"/>
      <c r="N1444" s="439" t="s">
        <v>303</v>
      </c>
      <c r="O1444" s="326"/>
      <c r="P1444" s="326"/>
      <c r="Q1444" s="326"/>
      <c r="R1444" s="326"/>
      <c r="S1444" s="326"/>
      <c r="T1444" s="326"/>
      <c r="U1444" s="327"/>
    </row>
    <row r="1445" spans="1:21" ht="34.5" customHeight="1" x14ac:dyDescent="0.25">
      <c r="A1445" s="10">
        <f t="shared" si="5"/>
        <v>1431</v>
      </c>
      <c r="B1445" s="483" t="s">
        <v>303</v>
      </c>
      <c r="C1445" s="327"/>
      <c r="D1445" s="484" t="s">
        <v>303</v>
      </c>
      <c r="E1445" s="327"/>
      <c r="F1445" s="481" t="s">
        <v>334</v>
      </c>
      <c r="G1445" s="327"/>
      <c r="H1445" s="485"/>
      <c r="I1445" s="326"/>
      <c r="J1445" s="327"/>
      <c r="K1445" s="481" t="s">
        <v>334</v>
      </c>
      <c r="L1445" s="326"/>
      <c r="M1445" s="327"/>
      <c r="N1445" s="486" t="s">
        <v>303</v>
      </c>
      <c r="O1445" s="326"/>
      <c r="P1445" s="326"/>
      <c r="Q1445" s="326"/>
      <c r="R1445" s="326"/>
      <c r="S1445" s="326"/>
      <c r="T1445" s="326"/>
      <c r="U1445" s="327"/>
    </row>
    <row r="1446" spans="1:21" ht="34.5" customHeight="1" x14ac:dyDescent="0.25">
      <c r="A1446" s="10">
        <f t="shared" si="5"/>
        <v>1432</v>
      </c>
      <c r="B1446" s="479" t="s">
        <v>303</v>
      </c>
      <c r="C1446" s="327"/>
      <c r="D1446" s="480" t="s">
        <v>303</v>
      </c>
      <c r="E1446" s="327"/>
      <c r="F1446" s="481" t="s">
        <v>334</v>
      </c>
      <c r="G1446" s="327"/>
      <c r="H1446" s="482"/>
      <c r="I1446" s="326"/>
      <c r="J1446" s="327"/>
      <c r="K1446" s="481" t="s">
        <v>334</v>
      </c>
      <c r="L1446" s="326"/>
      <c r="M1446" s="327"/>
      <c r="N1446" s="439" t="s">
        <v>303</v>
      </c>
      <c r="O1446" s="326"/>
      <c r="P1446" s="326"/>
      <c r="Q1446" s="326"/>
      <c r="R1446" s="326"/>
      <c r="S1446" s="326"/>
      <c r="T1446" s="326"/>
      <c r="U1446" s="327"/>
    </row>
    <row r="1447" spans="1:21" ht="34.5" customHeight="1" x14ac:dyDescent="0.25">
      <c r="A1447" s="10">
        <f t="shared" si="5"/>
        <v>1433</v>
      </c>
      <c r="B1447" s="483" t="s">
        <v>303</v>
      </c>
      <c r="C1447" s="327"/>
      <c r="D1447" s="484" t="s">
        <v>303</v>
      </c>
      <c r="E1447" s="327"/>
      <c r="F1447" s="481" t="s">
        <v>334</v>
      </c>
      <c r="G1447" s="327"/>
      <c r="H1447" s="485"/>
      <c r="I1447" s="326"/>
      <c r="J1447" s="327"/>
      <c r="K1447" s="481" t="s">
        <v>334</v>
      </c>
      <c r="L1447" s="326"/>
      <c r="M1447" s="327"/>
      <c r="N1447" s="486" t="s">
        <v>303</v>
      </c>
      <c r="O1447" s="326"/>
      <c r="P1447" s="326"/>
      <c r="Q1447" s="326"/>
      <c r="R1447" s="326"/>
      <c r="S1447" s="326"/>
      <c r="T1447" s="326"/>
      <c r="U1447" s="327"/>
    </row>
    <row r="1448" spans="1:21" ht="34.5" customHeight="1" x14ac:dyDescent="0.25">
      <c r="A1448" s="10">
        <f t="shared" si="5"/>
        <v>1434</v>
      </c>
      <c r="B1448" s="479" t="s">
        <v>303</v>
      </c>
      <c r="C1448" s="327"/>
      <c r="D1448" s="480" t="s">
        <v>303</v>
      </c>
      <c r="E1448" s="327"/>
      <c r="F1448" s="481" t="s">
        <v>334</v>
      </c>
      <c r="G1448" s="327"/>
      <c r="H1448" s="482"/>
      <c r="I1448" s="326"/>
      <c r="J1448" s="327"/>
      <c r="K1448" s="481" t="s">
        <v>334</v>
      </c>
      <c r="L1448" s="326"/>
      <c r="M1448" s="327"/>
      <c r="N1448" s="439" t="s">
        <v>303</v>
      </c>
      <c r="O1448" s="326"/>
      <c r="P1448" s="326"/>
      <c r="Q1448" s="326"/>
      <c r="R1448" s="326"/>
      <c r="S1448" s="326"/>
      <c r="T1448" s="326"/>
      <c r="U1448" s="327"/>
    </row>
    <row r="1449" spans="1:21" ht="34.5" customHeight="1" x14ac:dyDescent="0.25">
      <c r="A1449" s="10">
        <f t="shared" si="5"/>
        <v>1435</v>
      </c>
      <c r="B1449" s="483" t="s">
        <v>303</v>
      </c>
      <c r="C1449" s="327"/>
      <c r="D1449" s="484" t="s">
        <v>303</v>
      </c>
      <c r="E1449" s="327"/>
      <c r="F1449" s="481" t="s">
        <v>334</v>
      </c>
      <c r="G1449" s="327"/>
      <c r="H1449" s="485"/>
      <c r="I1449" s="326"/>
      <c r="J1449" s="327"/>
      <c r="K1449" s="481" t="s">
        <v>334</v>
      </c>
      <c r="L1449" s="326"/>
      <c r="M1449" s="327"/>
      <c r="N1449" s="486" t="s">
        <v>303</v>
      </c>
      <c r="O1449" s="326"/>
      <c r="P1449" s="326"/>
      <c r="Q1449" s="326"/>
      <c r="R1449" s="326"/>
      <c r="S1449" s="326"/>
      <c r="T1449" s="326"/>
      <c r="U1449" s="327"/>
    </row>
    <row r="1450" spans="1:21" ht="34.5" customHeight="1" x14ac:dyDescent="0.25">
      <c r="A1450" s="10">
        <f t="shared" si="5"/>
        <v>1436</v>
      </c>
      <c r="B1450" s="479" t="s">
        <v>303</v>
      </c>
      <c r="C1450" s="327"/>
      <c r="D1450" s="480" t="s">
        <v>303</v>
      </c>
      <c r="E1450" s="327"/>
      <c r="F1450" s="481" t="s">
        <v>334</v>
      </c>
      <c r="G1450" s="327"/>
      <c r="H1450" s="482"/>
      <c r="I1450" s="326"/>
      <c r="J1450" s="327"/>
      <c r="K1450" s="481" t="s">
        <v>334</v>
      </c>
      <c r="L1450" s="326"/>
      <c r="M1450" s="327"/>
      <c r="N1450" s="439" t="s">
        <v>303</v>
      </c>
      <c r="O1450" s="326"/>
      <c r="P1450" s="326"/>
      <c r="Q1450" s="326"/>
      <c r="R1450" s="326"/>
      <c r="S1450" s="326"/>
      <c r="T1450" s="326"/>
      <c r="U1450" s="327"/>
    </row>
    <row r="1451" spans="1:21" ht="34.5" customHeight="1" x14ac:dyDescent="0.25">
      <c r="A1451" s="10">
        <f t="shared" si="5"/>
        <v>1437</v>
      </c>
      <c r="B1451" s="483" t="s">
        <v>303</v>
      </c>
      <c r="C1451" s="327"/>
      <c r="D1451" s="484" t="s">
        <v>303</v>
      </c>
      <c r="E1451" s="327"/>
      <c r="F1451" s="481" t="s">
        <v>334</v>
      </c>
      <c r="G1451" s="327"/>
      <c r="H1451" s="485"/>
      <c r="I1451" s="326"/>
      <c r="J1451" s="327"/>
      <c r="K1451" s="481" t="s">
        <v>334</v>
      </c>
      <c r="L1451" s="326"/>
      <c r="M1451" s="327"/>
      <c r="N1451" s="486" t="s">
        <v>303</v>
      </c>
      <c r="O1451" s="326"/>
      <c r="P1451" s="326"/>
      <c r="Q1451" s="326"/>
      <c r="R1451" s="326"/>
      <c r="S1451" s="326"/>
      <c r="T1451" s="326"/>
      <c r="U1451" s="327"/>
    </row>
    <row r="1452" spans="1:21" ht="34.5" customHeight="1" x14ac:dyDescent="0.25">
      <c r="A1452" s="10">
        <f t="shared" si="5"/>
        <v>1438</v>
      </c>
      <c r="B1452" s="479" t="s">
        <v>303</v>
      </c>
      <c r="C1452" s="327"/>
      <c r="D1452" s="480" t="s">
        <v>303</v>
      </c>
      <c r="E1452" s="327"/>
      <c r="F1452" s="481" t="s">
        <v>334</v>
      </c>
      <c r="G1452" s="327"/>
      <c r="H1452" s="482"/>
      <c r="I1452" s="326"/>
      <c r="J1452" s="327"/>
      <c r="K1452" s="481" t="s">
        <v>334</v>
      </c>
      <c r="L1452" s="326"/>
      <c r="M1452" s="327"/>
      <c r="N1452" s="439" t="s">
        <v>303</v>
      </c>
      <c r="O1452" s="326"/>
      <c r="P1452" s="326"/>
      <c r="Q1452" s="326"/>
      <c r="R1452" s="326"/>
      <c r="S1452" s="326"/>
      <c r="T1452" s="326"/>
      <c r="U1452" s="327"/>
    </row>
    <row r="1453" spans="1:21" ht="34.5" customHeight="1" x14ac:dyDescent="0.25">
      <c r="A1453" s="10">
        <f t="shared" si="5"/>
        <v>1439</v>
      </c>
      <c r="B1453" s="483" t="s">
        <v>303</v>
      </c>
      <c r="C1453" s="327"/>
      <c r="D1453" s="484" t="s">
        <v>303</v>
      </c>
      <c r="E1453" s="327"/>
      <c r="F1453" s="481" t="s">
        <v>334</v>
      </c>
      <c r="G1453" s="327"/>
      <c r="H1453" s="485"/>
      <c r="I1453" s="326"/>
      <c r="J1453" s="327"/>
      <c r="K1453" s="481" t="s">
        <v>334</v>
      </c>
      <c r="L1453" s="326"/>
      <c r="M1453" s="327"/>
      <c r="N1453" s="486" t="s">
        <v>303</v>
      </c>
      <c r="O1453" s="326"/>
      <c r="P1453" s="326"/>
      <c r="Q1453" s="326"/>
      <c r="R1453" s="326"/>
      <c r="S1453" s="326"/>
      <c r="T1453" s="326"/>
      <c r="U1453" s="327"/>
    </row>
    <row r="1454" spans="1:21" ht="34.5" customHeight="1" x14ac:dyDescent="0.25">
      <c r="A1454" s="10">
        <f t="shared" si="5"/>
        <v>1440</v>
      </c>
      <c r="B1454" s="479" t="s">
        <v>335</v>
      </c>
      <c r="C1454" s="327"/>
      <c r="D1454" s="480" t="s">
        <v>303</v>
      </c>
      <c r="E1454" s="327"/>
      <c r="F1454" s="481" t="s">
        <v>334</v>
      </c>
      <c r="G1454" s="327"/>
      <c r="H1454" s="482"/>
      <c r="I1454" s="326"/>
      <c r="J1454" s="327"/>
      <c r="K1454" s="481" t="s">
        <v>334</v>
      </c>
      <c r="L1454" s="326"/>
      <c r="M1454" s="327"/>
      <c r="N1454" s="439" t="s">
        <v>303</v>
      </c>
      <c r="O1454" s="326"/>
      <c r="P1454" s="326"/>
      <c r="Q1454" s="326"/>
      <c r="R1454" s="326"/>
      <c r="S1454" s="326"/>
      <c r="T1454" s="326"/>
      <c r="U1454" s="327"/>
    </row>
    <row r="1455" spans="1:21" ht="34.5" customHeight="1" x14ac:dyDescent="0.25">
      <c r="A1455" s="10">
        <f t="shared" si="5"/>
        <v>1441</v>
      </c>
      <c r="B1455" s="483" t="s">
        <v>303</v>
      </c>
      <c r="C1455" s="327"/>
      <c r="D1455" s="484" t="s">
        <v>303</v>
      </c>
      <c r="E1455" s="327"/>
      <c r="F1455" s="481" t="s">
        <v>334</v>
      </c>
      <c r="G1455" s="327"/>
      <c r="H1455" s="485"/>
      <c r="I1455" s="326"/>
      <c r="J1455" s="327"/>
      <c r="K1455" s="481" t="s">
        <v>334</v>
      </c>
      <c r="L1455" s="326"/>
      <c r="M1455" s="327"/>
      <c r="N1455" s="486" t="s">
        <v>303</v>
      </c>
      <c r="O1455" s="326"/>
      <c r="P1455" s="326"/>
      <c r="Q1455" s="326"/>
      <c r="R1455" s="326"/>
      <c r="S1455" s="326"/>
      <c r="T1455" s="326"/>
      <c r="U1455" s="327"/>
    </row>
    <row r="1456" spans="1:21" ht="34.5" customHeight="1" x14ac:dyDescent="0.25">
      <c r="A1456" s="10">
        <f t="shared" si="5"/>
        <v>1442</v>
      </c>
      <c r="B1456" s="479" t="s">
        <v>303</v>
      </c>
      <c r="C1456" s="327"/>
      <c r="D1456" s="480" t="s">
        <v>303</v>
      </c>
      <c r="E1456" s="327"/>
      <c r="F1456" s="481" t="s">
        <v>334</v>
      </c>
      <c r="G1456" s="327"/>
      <c r="H1456" s="482"/>
      <c r="I1456" s="326"/>
      <c r="J1456" s="327"/>
      <c r="K1456" s="481" t="s">
        <v>334</v>
      </c>
      <c r="L1456" s="326"/>
      <c r="M1456" s="327"/>
      <c r="N1456" s="439" t="s">
        <v>303</v>
      </c>
      <c r="O1456" s="326"/>
      <c r="P1456" s="326"/>
      <c r="Q1456" s="326"/>
      <c r="R1456" s="326"/>
      <c r="S1456" s="326"/>
      <c r="T1456" s="326"/>
      <c r="U1456" s="327"/>
    </row>
    <row r="1457" spans="1:21" ht="34.5" customHeight="1" x14ac:dyDescent="0.25">
      <c r="A1457" s="10">
        <f t="shared" si="5"/>
        <v>1443</v>
      </c>
      <c r="B1457" s="483" t="s">
        <v>303</v>
      </c>
      <c r="C1457" s="327"/>
      <c r="D1457" s="484" t="s">
        <v>303</v>
      </c>
      <c r="E1457" s="327"/>
      <c r="F1457" s="481" t="s">
        <v>334</v>
      </c>
      <c r="G1457" s="327"/>
      <c r="H1457" s="485"/>
      <c r="I1457" s="326"/>
      <c r="J1457" s="327"/>
      <c r="K1457" s="481" t="s">
        <v>334</v>
      </c>
      <c r="L1457" s="326"/>
      <c r="M1457" s="327"/>
      <c r="N1457" s="486" t="s">
        <v>303</v>
      </c>
      <c r="O1457" s="326"/>
      <c r="P1457" s="326"/>
      <c r="Q1457" s="326"/>
      <c r="R1457" s="326"/>
      <c r="S1457" s="326"/>
      <c r="T1457" s="326"/>
      <c r="U1457" s="327"/>
    </row>
    <row r="1458" spans="1:21" ht="34.5" customHeight="1" x14ac:dyDescent="0.25">
      <c r="A1458" s="10">
        <f t="shared" si="5"/>
        <v>1444</v>
      </c>
      <c r="B1458" s="479" t="s">
        <v>303</v>
      </c>
      <c r="C1458" s="327"/>
      <c r="D1458" s="480" t="s">
        <v>303</v>
      </c>
      <c r="E1458" s="327"/>
      <c r="F1458" s="481" t="s">
        <v>334</v>
      </c>
      <c r="G1458" s="327"/>
      <c r="H1458" s="482"/>
      <c r="I1458" s="326"/>
      <c r="J1458" s="327"/>
      <c r="K1458" s="481" t="s">
        <v>334</v>
      </c>
      <c r="L1458" s="326"/>
      <c r="M1458" s="327"/>
      <c r="N1458" s="439" t="s">
        <v>303</v>
      </c>
      <c r="O1458" s="326"/>
      <c r="P1458" s="326"/>
      <c r="Q1458" s="326"/>
      <c r="R1458" s="326"/>
      <c r="S1458" s="326"/>
      <c r="T1458" s="326"/>
      <c r="U1458" s="327"/>
    </row>
    <row r="1459" spans="1:21" ht="34.5" customHeight="1" x14ac:dyDescent="0.25">
      <c r="A1459" s="10">
        <f t="shared" si="5"/>
        <v>1445</v>
      </c>
      <c r="B1459" s="483" t="s">
        <v>303</v>
      </c>
      <c r="C1459" s="327"/>
      <c r="D1459" s="484" t="s">
        <v>303</v>
      </c>
      <c r="E1459" s="327"/>
      <c r="F1459" s="481" t="s">
        <v>334</v>
      </c>
      <c r="G1459" s="327"/>
      <c r="H1459" s="485"/>
      <c r="I1459" s="326"/>
      <c r="J1459" s="327"/>
      <c r="K1459" s="481" t="s">
        <v>334</v>
      </c>
      <c r="L1459" s="326"/>
      <c r="M1459" s="327"/>
      <c r="N1459" s="486" t="s">
        <v>303</v>
      </c>
      <c r="O1459" s="326"/>
      <c r="P1459" s="326"/>
      <c r="Q1459" s="326"/>
      <c r="R1459" s="326"/>
      <c r="S1459" s="326"/>
      <c r="T1459" s="326"/>
      <c r="U1459" s="327"/>
    </row>
    <row r="1460" spans="1:21" ht="34.5" customHeight="1" x14ac:dyDescent="0.25">
      <c r="A1460" s="10">
        <f t="shared" si="5"/>
        <v>1446</v>
      </c>
      <c r="B1460" s="479" t="s">
        <v>336</v>
      </c>
      <c r="C1460" s="327"/>
      <c r="D1460" s="480" t="s">
        <v>303</v>
      </c>
      <c r="E1460" s="327"/>
      <c r="F1460" s="481" t="s">
        <v>334</v>
      </c>
      <c r="G1460" s="327"/>
      <c r="H1460" s="482"/>
      <c r="I1460" s="326"/>
      <c r="J1460" s="327"/>
      <c r="K1460" s="481" t="s">
        <v>334</v>
      </c>
      <c r="L1460" s="326"/>
      <c r="M1460" s="327"/>
      <c r="N1460" s="439" t="s">
        <v>303</v>
      </c>
      <c r="O1460" s="326"/>
      <c r="P1460" s="326"/>
      <c r="Q1460" s="326"/>
      <c r="R1460" s="326"/>
      <c r="S1460" s="326"/>
      <c r="T1460" s="326"/>
      <c r="U1460" s="327"/>
    </row>
    <row r="1461" spans="1:21" ht="34.5" customHeight="1" x14ac:dyDescent="0.25">
      <c r="A1461" s="10">
        <f t="shared" si="5"/>
        <v>1447</v>
      </c>
      <c r="B1461" s="483" t="s">
        <v>303</v>
      </c>
      <c r="C1461" s="327"/>
      <c r="D1461" s="484" t="s">
        <v>303</v>
      </c>
      <c r="E1461" s="327"/>
      <c r="F1461" s="481" t="s">
        <v>334</v>
      </c>
      <c r="G1461" s="327"/>
      <c r="H1461" s="485"/>
      <c r="I1461" s="326"/>
      <c r="J1461" s="327"/>
      <c r="K1461" s="481" t="s">
        <v>334</v>
      </c>
      <c r="L1461" s="326"/>
      <c r="M1461" s="327"/>
      <c r="N1461" s="486" t="s">
        <v>303</v>
      </c>
      <c r="O1461" s="326"/>
      <c r="P1461" s="326"/>
      <c r="Q1461" s="326"/>
      <c r="R1461" s="326"/>
      <c r="S1461" s="326"/>
      <c r="T1461" s="326"/>
      <c r="U1461" s="327"/>
    </row>
    <row r="1462" spans="1:21" ht="34.5" customHeight="1" x14ac:dyDescent="0.25">
      <c r="A1462" s="10">
        <f t="shared" si="5"/>
        <v>1448</v>
      </c>
      <c r="B1462" s="479" t="s">
        <v>303</v>
      </c>
      <c r="C1462" s="327"/>
      <c r="D1462" s="480" t="s">
        <v>303</v>
      </c>
      <c r="E1462" s="327"/>
      <c r="F1462" s="481" t="s">
        <v>334</v>
      </c>
      <c r="G1462" s="327"/>
      <c r="H1462" s="482"/>
      <c r="I1462" s="326"/>
      <c r="J1462" s="327"/>
      <c r="K1462" s="481" t="s">
        <v>334</v>
      </c>
      <c r="L1462" s="326"/>
      <c r="M1462" s="327"/>
      <c r="N1462" s="439" t="s">
        <v>303</v>
      </c>
      <c r="O1462" s="326"/>
      <c r="P1462" s="326"/>
      <c r="Q1462" s="326"/>
      <c r="R1462" s="326"/>
      <c r="S1462" s="326"/>
      <c r="T1462" s="326"/>
      <c r="U1462" s="327"/>
    </row>
    <row r="1463" spans="1:21" ht="34.5" customHeight="1" x14ac:dyDescent="0.25">
      <c r="A1463" s="10">
        <f t="shared" si="5"/>
        <v>1449</v>
      </c>
      <c r="B1463" s="483" t="s">
        <v>303</v>
      </c>
      <c r="C1463" s="327"/>
      <c r="D1463" s="484" t="s">
        <v>303</v>
      </c>
      <c r="E1463" s="327"/>
      <c r="F1463" s="481" t="s">
        <v>334</v>
      </c>
      <c r="G1463" s="327"/>
      <c r="H1463" s="485"/>
      <c r="I1463" s="326"/>
      <c r="J1463" s="327"/>
      <c r="K1463" s="481" t="s">
        <v>334</v>
      </c>
      <c r="L1463" s="326"/>
      <c r="M1463" s="327"/>
      <c r="N1463" s="486" t="s">
        <v>303</v>
      </c>
      <c r="O1463" s="326"/>
      <c r="P1463" s="326"/>
      <c r="Q1463" s="326"/>
      <c r="R1463" s="326"/>
      <c r="S1463" s="326"/>
      <c r="T1463" s="326"/>
      <c r="U1463" s="327"/>
    </row>
    <row r="1464" spans="1:21" ht="34.5" customHeight="1" x14ac:dyDescent="0.25">
      <c r="A1464" s="10">
        <f t="shared" si="5"/>
        <v>1450</v>
      </c>
      <c r="B1464" s="479" t="s">
        <v>303</v>
      </c>
      <c r="C1464" s="327"/>
      <c r="D1464" s="480" t="s">
        <v>303</v>
      </c>
      <c r="E1464" s="327"/>
      <c r="F1464" s="481" t="s">
        <v>334</v>
      </c>
      <c r="G1464" s="327"/>
      <c r="H1464" s="482"/>
      <c r="I1464" s="326"/>
      <c r="J1464" s="327"/>
      <c r="K1464" s="481" t="s">
        <v>334</v>
      </c>
      <c r="L1464" s="326"/>
      <c r="M1464" s="327"/>
      <c r="N1464" s="439" t="s">
        <v>303</v>
      </c>
      <c r="O1464" s="326"/>
      <c r="P1464" s="326"/>
      <c r="Q1464" s="326"/>
      <c r="R1464" s="326"/>
      <c r="S1464" s="326"/>
      <c r="T1464" s="326"/>
      <c r="U1464" s="327"/>
    </row>
    <row r="1465" spans="1:21" ht="34.5" customHeight="1" x14ac:dyDescent="0.25">
      <c r="A1465" s="10">
        <f t="shared" si="5"/>
        <v>1451</v>
      </c>
      <c r="B1465" s="483" t="s">
        <v>303</v>
      </c>
      <c r="C1465" s="327"/>
      <c r="D1465" s="484" t="s">
        <v>303</v>
      </c>
      <c r="E1465" s="327"/>
      <c r="F1465" s="481" t="s">
        <v>334</v>
      </c>
      <c r="G1465" s="327"/>
      <c r="H1465" s="485"/>
      <c r="I1465" s="326"/>
      <c r="J1465" s="327"/>
      <c r="K1465" s="481" t="s">
        <v>334</v>
      </c>
      <c r="L1465" s="326"/>
      <c r="M1465" s="327"/>
      <c r="N1465" s="486" t="s">
        <v>303</v>
      </c>
      <c r="O1465" s="326"/>
      <c r="P1465" s="326"/>
      <c r="Q1465" s="326"/>
      <c r="R1465" s="326"/>
      <c r="S1465" s="326"/>
      <c r="T1465" s="326"/>
      <c r="U1465" s="327"/>
    </row>
    <row r="1466" spans="1:21" ht="34.5" customHeight="1" x14ac:dyDescent="0.25">
      <c r="A1466" s="10">
        <f t="shared" si="5"/>
        <v>1452</v>
      </c>
      <c r="B1466" s="479" t="s">
        <v>303</v>
      </c>
      <c r="C1466" s="327"/>
      <c r="D1466" s="480" t="s">
        <v>303</v>
      </c>
      <c r="E1466" s="327"/>
      <c r="F1466" s="481" t="s">
        <v>334</v>
      </c>
      <c r="G1466" s="327"/>
      <c r="H1466" s="482"/>
      <c r="I1466" s="326"/>
      <c r="J1466" s="327"/>
      <c r="K1466" s="481" t="s">
        <v>334</v>
      </c>
      <c r="L1466" s="326"/>
      <c r="M1466" s="327"/>
      <c r="N1466" s="439" t="s">
        <v>303</v>
      </c>
      <c r="O1466" s="326"/>
      <c r="P1466" s="326"/>
      <c r="Q1466" s="326"/>
      <c r="R1466" s="326"/>
      <c r="S1466" s="326"/>
      <c r="T1466" s="326"/>
      <c r="U1466" s="327"/>
    </row>
    <row r="1467" spans="1:21" ht="34.5" customHeight="1" x14ac:dyDescent="0.25">
      <c r="A1467" s="10">
        <f t="shared" si="5"/>
        <v>1453</v>
      </c>
      <c r="B1467" s="483" t="s">
        <v>303</v>
      </c>
      <c r="C1467" s="327"/>
      <c r="D1467" s="484" t="s">
        <v>303</v>
      </c>
      <c r="E1467" s="327"/>
      <c r="F1467" s="481" t="s">
        <v>334</v>
      </c>
      <c r="G1467" s="327"/>
      <c r="H1467" s="485"/>
      <c r="I1467" s="326"/>
      <c r="J1467" s="327"/>
      <c r="K1467" s="481" t="s">
        <v>334</v>
      </c>
      <c r="L1467" s="326"/>
      <c r="M1467" s="327"/>
      <c r="N1467" s="486" t="s">
        <v>303</v>
      </c>
      <c r="O1467" s="326"/>
      <c r="P1467" s="326"/>
      <c r="Q1467" s="326"/>
      <c r="R1467" s="326"/>
      <c r="S1467" s="326"/>
      <c r="T1467" s="326"/>
      <c r="U1467" s="327"/>
    </row>
    <row r="1468" spans="1:21" ht="34.5" customHeight="1" x14ac:dyDescent="0.25">
      <c r="A1468" s="10">
        <f t="shared" si="5"/>
        <v>1454</v>
      </c>
      <c r="B1468" s="479" t="s">
        <v>303</v>
      </c>
      <c r="C1468" s="327"/>
      <c r="D1468" s="480" t="s">
        <v>303</v>
      </c>
      <c r="E1468" s="327"/>
      <c r="F1468" s="481" t="s">
        <v>334</v>
      </c>
      <c r="G1468" s="327"/>
      <c r="H1468" s="482"/>
      <c r="I1468" s="326"/>
      <c r="J1468" s="327"/>
      <c r="K1468" s="481" t="s">
        <v>334</v>
      </c>
      <c r="L1468" s="326"/>
      <c r="M1468" s="327"/>
      <c r="N1468" s="439" t="s">
        <v>303</v>
      </c>
      <c r="O1468" s="326"/>
      <c r="P1468" s="326"/>
      <c r="Q1468" s="326"/>
      <c r="R1468" s="326"/>
      <c r="S1468" s="326"/>
      <c r="T1468" s="326"/>
      <c r="U1468" s="327"/>
    </row>
    <row r="1469" spans="1:21" ht="34.5" customHeight="1" x14ac:dyDescent="0.25">
      <c r="A1469" s="10">
        <f t="shared" si="5"/>
        <v>1455</v>
      </c>
      <c r="B1469" s="483" t="s">
        <v>303</v>
      </c>
      <c r="C1469" s="327"/>
      <c r="D1469" s="484" t="s">
        <v>303</v>
      </c>
      <c r="E1469" s="327"/>
      <c r="F1469" s="481" t="s">
        <v>334</v>
      </c>
      <c r="G1469" s="327"/>
      <c r="H1469" s="485"/>
      <c r="I1469" s="326"/>
      <c r="J1469" s="327"/>
      <c r="K1469" s="481" t="s">
        <v>334</v>
      </c>
      <c r="L1469" s="326"/>
      <c r="M1469" s="327"/>
      <c r="N1469" s="486" t="s">
        <v>303</v>
      </c>
      <c r="O1469" s="326"/>
      <c r="P1469" s="326"/>
      <c r="Q1469" s="326"/>
      <c r="R1469" s="326"/>
      <c r="S1469" s="326"/>
      <c r="T1469" s="326"/>
      <c r="U1469" s="327"/>
    </row>
    <row r="1470" spans="1:21" ht="34.5" customHeight="1" x14ac:dyDescent="0.25">
      <c r="A1470" s="10">
        <f t="shared" si="5"/>
        <v>1456</v>
      </c>
      <c r="B1470" s="479" t="s">
        <v>303</v>
      </c>
      <c r="C1470" s="327"/>
      <c r="D1470" s="480" t="s">
        <v>303</v>
      </c>
      <c r="E1470" s="327"/>
      <c r="F1470" s="481" t="s">
        <v>334</v>
      </c>
      <c r="G1470" s="327"/>
      <c r="H1470" s="482"/>
      <c r="I1470" s="326"/>
      <c r="J1470" s="327"/>
      <c r="K1470" s="481" t="s">
        <v>334</v>
      </c>
      <c r="L1470" s="326"/>
      <c r="M1470" s="327"/>
      <c r="N1470" s="439" t="s">
        <v>303</v>
      </c>
      <c r="O1470" s="326"/>
      <c r="P1470" s="326"/>
      <c r="Q1470" s="326"/>
      <c r="R1470" s="326"/>
      <c r="S1470" s="326"/>
      <c r="T1470" s="326"/>
      <c r="U1470" s="327"/>
    </row>
    <row r="1471" spans="1:21" ht="34.5" customHeight="1" x14ac:dyDescent="0.25">
      <c r="A1471" s="10">
        <f t="shared" si="5"/>
        <v>1457</v>
      </c>
      <c r="B1471" s="483" t="s">
        <v>303</v>
      </c>
      <c r="C1471" s="327"/>
      <c r="D1471" s="484" t="s">
        <v>303</v>
      </c>
      <c r="E1471" s="327"/>
      <c r="F1471" s="481" t="s">
        <v>334</v>
      </c>
      <c r="G1471" s="327"/>
      <c r="H1471" s="485"/>
      <c r="I1471" s="326"/>
      <c r="J1471" s="327"/>
      <c r="K1471" s="481" t="s">
        <v>334</v>
      </c>
      <c r="L1471" s="326"/>
      <c r="M1471" s="327"/>
      <c r="N1471" s="486" t="s">
        <v>303</v>
      </c>
      <c r="O1471" s="326"/>
      <c r="P1471" s="326"/>
      <c r="Q1471" s="326"/>
      <c r="R1471" s="326"/>
      <c r="S1471" s="326"/>
      <c r="T1471" s="326"/>
      <c r="U1471" s="327"/>
    </row>
    <row r="1472" spans="1:21" ht="34.5" customHeight="1" x14ac:dyDescent="0.25">
      <c r="A1472" s="10">
        <f t="shared" si="5"/>
        <v>1458</v>
      </c>
      <c r="B1472" s="479" t="s">
        <v>303</v>
      </c>
      <c r="C1472" s="327"/>
      <c r="D1472" s="480" t="s">
        <v>303</v>
      </c>
      <c r="E1472" s="327"/>
      <c r="F1472" s="481" t="s">
        <v>334</v>
      </c>
      <c r="G1472" s="327"/>
      <c r="H1472" s="482"/>
      <c r="I1472" s="326"/>
      <c r="J1472" s="327"/>
      <c r="K1472" s="481" t="s">
        <v>334</v>
      </c>
      <c r="L1472" s="326"/>
      <c r="M1472" s="327"/>
      <c r="N1472" s="439" t="s">
        <v>303</v>
      </c>
      <c r="O1472" s="326"/>
      <c r="P1472" s="326"/>
      <c r="Q1472" s="326"/>
      <c r="R1472" s="326"/>
      <c r="S1472" s="326"/>
      <c r="T1472" s="326"/>
      <c r="U1472" s="327"/>
    </row>
    <row r="1473" spans="1:21" ht="34.5" customHeight="1" x14ac:dyDescent="0.25">
      <c r="A1473" s="10">
        <f t="shared" si="5"/>
        <v>1459</v>
      </c>
      <c r="B1473" s="483" t="s">
        <v>337</v>
      </c>
      <c r="C1473" s="327"/>
      <c r="D1473" s="484" t="s">
        <v>303</v>
      </c>
      <c r="E1473" s="327"/>
      <c r="F1473" s="481" t="s">
        <v>334</v>
      </c>
      <c r="G1473" s="327"/>
      <c r="H1473" s="485"/>
      <c r="I1473" s="326"/>
      <c r="J1473" s="327"/>
      <c r="K1473" s="481" t="s">
        <v>334</v>
      </c>
      <c r="L1473" s="326"/>
      <c r="M1473" s="327"/>
      <c r="N1473" s="486" t="s">
        <v>303</v>
      </c>
      <c r="O1473" s="326"/>
      <c r="P1473" s="326"/>
      <c r="Q1473" s="326"/>
      <c r="R1473" s="326"/>
      <c r="S1473" s="326"/>
      <c r="T1473" s="326"/>
      <c r="U1473" s="327"/>
    </row>
    <row r="1474" spans="1:21" ht="34.5" customHeight="1" x14ac:dyDescent="0.25">
      <c r="A1474" s="10">
        <f t="shared" si="5"/>
        <v>1460</v>
      </c>
      <c r="B1474" s="479" t="s">
        <v>303</v>
      </c>
      <c r="C1474" s="327"/>
      <c r="D1474" s="480" t="s">
        <v>303</v>
      </c>
      <c r="E1474" s="327"/>
      <c r="F1474" s="481" t="s">
        <v>334</v>
      </c>
      <c r="G1474" s="327"/>
      <c r="H1474" s="482"/>
      <c r="I1474" s="326"/>
      <c r="J1474" s="327"/>
      <c r="K1474" s="481" t="s">
        <v>334</v>
      </c>
      <c r="L1474" s="326"/>
      <c r="M1474" s="327"/>
      <c r="N1474" s="439" t="s">
        <v>303</v>
      </c>
      <c r="O1474" s="326"/>
      <c r="P1474" s="326"/>
      <c r="Q1474" s="326"/>
      <c r="R1474" s="326"/>
      <c r="S1474" s="326"/>
      <c r="T1474" s="326"/>
      <c r="U1474" s="327"/>
    </row>
    <row r="1475" spans="1:21" ht="34.5" customHeight="1" x14ac:dyDescent="0.25">
      <c r="A1475" s="10">
        <f t="shared" si="5"/>
        <v>1461</v>
      </c>
      <c r="B1475" s="483" t="s">
        <v>303</v>
      </c>
      <c r="C1475" s="327"/>
      <c r="D1475" s="484" t="s">
        <v>303</v>
      </c>
      <c r="E1475" s="327"/>
      <c r="F1475" s="481" t="s">
        <v>334</v>
      </c>
      <c r="G1475" s="327"/>
      <c r="H1475" s="485"/>
      <c r="I1475" s="326"/>
      <c r="J1475" s="327"/>
      <c r="K1475" s="481" t="s">
        <v>334</v>
      </c>
      <c r="L1475" s="326"/>
      <c r="M1475" s="327"/>
      <c r="N1475" s="486" t="s">
        <v>303</v>
      </c>
      <c r="O1475" s="326"/>
      <c r="P1475" s="326"/>
      <c r="Q1475" s="326"/>
      <c r="R1475" s="326"/>
      <c r="S1475" s="326"/>
      <c r="T1475" s="326"/>
      <c r="U1475" s="327"/>
    </row>
    <row r="1476" spans="1:21" ht="34.5" customHeight="1" x14ac:dyDescent="0.25">
      <c r="A1476" s="10">
        <f t="shared" si="5"/>
        <v>1462</v>
      </c>
      <c r="B1476" s="479" t="s">
        <v>303</v>
      </c>
      <c r="C1476" s="327"/>
      <c r="D1476" s="480" t="s">
        <v>303</v>
      </c>
      <c r="E1476" s="327"/>
      <c r="F1476" s="481" t="s">
        <v>334</v>
      </c>
      <c r="G1476" s="327"/>
      <c r="H1476" s="482"/>
      <c r="I1476" s="326"/>
      <c r="J1476" s="327"/>
      <c r="K1476" s="481" t="s">
        <v>334</v>
      </c>
      <c r="L1476" s="326"/>
      <c r="M1476" s="327"/>
      <c r="N1476" s="439" t="s">
        <v>303</v>
      </c>
      <c r="O1476" s="326"/>
      <c r="P1476" s="326"/>
      <c r="Q1476" s="326"/>
      <c r="R1476" s="326"/>
      <c r="S1476" s="326"/>
      <c r="T1476" s="326"/>
      <c r="U1476" s="327"/>
    </row>
    <row r="1477" spans="1:21" ht="34.5" customHeight="1" x14ac:dyDescent="0.25">
      <c r="A1477" s="10">
        <f t="shared" si="5"/>
        <v>1463</v>
      </c>
      <c r="B1477" s="483" t="s">
        <v>303</v>
      </c>
      <c r="C1477" s="327"/>
      <c r="D1477" s="484" t="s">
        <v>303</v>
      </c>
      <c r="E1477" s="327"/>
      <c r="F1477" s="481" t="s">
        <v>334</v>
      </c>
      <c r="G1477" s="327"/>
      <c r="H1477" s="485"/>
      <c r="I1477" s="326"/>
      <c r="J1477" s="327"/>
      <c r="K1477" s="481" t="s">
        <v>334</v>
      </c>
      <c r="L1477" s="326"/>
      <c r="M1477" s="327"/>
      <c r="N1477" s="486" t="s">
        <v>303</v>
      </c>
      <c r="O1477" s="326"/>
      <c r="P1477" s="326"/>
      <c r="Q1477" s="326"/>
      <c r="R1477" s="326"/>
      <c r="S1477" s="326"/>
      <c r="T1477" s="326"/>
      <c r="U1477" s="327"/>
    </row>
    <row r="1478" spans="1:21" ht="34.5" customHeight="1" x14ac:dyDescent="0.25">
      <c r="A1478" s="10">
        <f t="shared" si="5"/>
        <v>1464</v>
      </c>
      <c r="B1478" s="479" t="s">
        <v>303</v>
      </c>
      <c r="C1478" s="327"/>
      <c r="D1478" s="480" t="s">
        <v>303</v>
      </c>
      <c r="E1478" s="327"/>
      <c r="F1478" s="481" t="s">
        <v>334</v>
      </c>
      <c r="G1478" s="327"/>
      <c r="H1478" s="482"/>
      <c r="I1478" s="326"/>
      <c r="J1478" s="327"/>
      <c r="K1478" s="481" t="s">
        <v>334</v>
      </c>
      <c r="L1478" s="326"/>
      <c r="M1478" s="327"/>
      <c r="N1478" s="439" t="s">
        <v>303</v>
      </c>
      <c r="O1478" s="326"/>
      <c r="P1478" s="326"/>
      <c r="Q1478" s="326"/>
      <c r="R1478" s="326"/>
      <c r="S1478" s="326"/>
      <c r="T1478" s="326"/>
      <c r="U1478" s="327"/>
    </row>
    <row r="1479" spans="1:21" ht="34.5" customHeight="1" x14ac:dyDescent="0.25">
      <c r="A1479" s="10">
        <f t="shared" si="5"/>
        <v>1465</v>
      </c>
      <c r="B1479" s="483" t="s">
        <v>303</v>
      </c>
      <c r="C1479" s="327"/>
      <c r="D1479" s="484" t="s">
        <v>303</v>
      </c>
      <c r="E1479" s="327"/>
      <c r="F1479" s="481" t="s">
        <v>334</v>
      </c>
      <c r="G1479" s="327"/>
      <c r="H1479" s="485"/>
      <c r="I1479" s="326"/>
      <c r="J1479" s="327"/>
      <c r="K1479" s="481" t="s">
        <v>334</v>
      </c>
      <c r="L1479" s="326"/>
      <c r="M1479" s="327"/>
      <c r="N1479" s="486" t="s">
        <v>303</v>
      </c>
      <c r="O1479" s="326"/>
      <c r="P1479" s="326"/>
      <c r="Q1479" s="326"/>
      <c r="R1479" s="326"/>
      <c r="S1479" s="326"/>
      <c r="T1479" s="326"/>
      <c r="U1479" s="327"/>
    </row>
    <row r="1480" spans="1:21" ht="34.5" customHeight="1" x14ac:dyDescent="0.25">
      <c r="A1480" s="10">
        <f t="shared" si="5"/>
        <v>1466</v>
      </c>
      <c r="B1480" s="479" t="s">
        <v>303</v>
      </c>
      <c r="C1480" s="327"/>
      <c r="D1480" s="480" t="s">
        <v>303</v>
      </c>
      <c r="E1480" s="327"/>
      <c r="F1480" s="481" t="s">
        <v>334</v>
      </c>
      <c r="G1480" s="327"/>
      <c r="H1480" s="482"/>
      <c r="I1480" s="326"/>
      <c r="J1480" s="327"/>
      <c r="K1480" s="481" t="s">
        <v>334</v>
      </c>
      <c r="L1480" s="326"/>
      <c r="M1480" s="327"/>
      <c r="N1480" s="439" t="s">
        <v>303</v>
      </c>
      <c r="O1480" s="326"/>
      <c r="P1480" s="326"/>
      <c r="Q1480" s="326"/>
      <c r="R1480" s="326"/>
      <c r="S1480" s="326"/>
      <c r="T1480" s="326"/>
      <c r="U1480" s="327"/>
    </row>
    <row r="1481" spans="1:21" ht="34.5" customHeight="1" x14ac:dyDescent="0.25">
      <c r="A1481" s="10">
        <f t="shared" si="5"/>
        <v>1467</v>
      </c>
      <c r="B1481" s="483" t="s">
        <v>303</v>
      </c>
      <c r="C1481" s="327"/>
      <c r="D1481" s="484" t="s">
        <v>303</v>
      </c>
      <c r="E1481" s="327"/>
      <c r="F1481" s="481" t="s">
        <v>334</v>
      </c>
      <c r="G1481" s="327"/>
      <c r="H1481" s="485"/>
      <c r="I1481" s="326"/>
      <c r="J1481" s="327"/>
      <c r="K1481" s="481" t="s">
        <v>334</v>
      </c>
      <c r="L1481" s="326"/>
      <c r="M1481" s="327"/>
      <c r="N1481" s="486" t="s">
        <v>303</v>
      </c>
      <c r="O1481" s="326"/>
      <c r="P1481" s="326"/>
      <c r="Q1481" s="326"/>
      <c r="R1481" s="326"/>
      <c r="S1481" s="326"/>
      <c r="T1481" s="326"/>
      <c r="U1481" s="327"/>
    </row>
    <row r="1482" spans="1:21" ht="34.5" customHeight="1" x14ac:dyDescent="0.25">
      <c r="A1482" s="10">
        <f t="shared" si="5"/>
        <v>1468</v>
      </c>
      <c r="B1482" s="479" t="s">
        <v>335</v>
      </c>
      <c r="C1482" s="327"/>
      <c r="D1482" s="480" t="s">
        <v>303</v>
      </c>
      <c r="E1482" s="327"/>
      <c r="F1482" s="481" t="s">
        <v>334</v>
      </c>
      <c r="G1482" s="327"/>
      <c r="H1482" s="482"/>
      <c r="I1482" s="326"/>
      <c r="J1482" s="327"/>
      <c r="K1482" s="481" t="s">
        <v>334</v>
      </c>
      <c r="L1482" s="326"/>
      <c r="M1482" s="327"/>
      <c r="N1482" s="439" t="s">
        <v>303</v>
      </c>
      <c r="O1482" s="326"/>
      <c r="P1482" s="326"/>
      <c r="Q1482" s="326"/>
      <c r="R1482" s="326"/>
      <c r="S1482" s="326"/>
      <c r="T1482" s="326"/>
      <c r="U1482" s="327"/>
    </row>
    <row r="1483" spans="1:21" ht="34.5" customHeight="1" x14ac:dyDescent="0.25">
      <c r="A1483" s="10">
        <f t="shared" si="5"/>
        <v>1469</v>
      </c>
      <c r="B1483" s="483" t="s">
        <v>303</v>
      </c>
      <c r="C1483" s="327"/>
      <c r="D1483" s="484" t="s">
        <v>303</v>
      </c>
      <c r="E1483" s="327"/>
      <c r="F1483" s="481" t="s">
        <v>334</v>
      </c>
      <c r="G1483" s="327"/>
      <c r="H1483" s="485"/>
      <c r="I1483" s="326"/>
      <c r="J1483" s="327"/>
      <c r="K1483" s="481" t="s">
        <v>334</v>
      </c>
      <c r="L1483" s="326"/>
      <c r="M1483" s="327"/>
      <c r="N1483" s="486" t="s">
        <v>303</v>
      </c>
      <c r="O1483" s="326"/>
      <c r="P1483" s="326"/>
      <c r="Q1483" s="326"/>
      <c r="R1483" s="326"/>
      <c r="S1483" s="326"/>
      <c r="T1483" s="326"/>
      <c r="U1483" s="327"/>
    </row>
    <row r="1484" spans="1:21" ht="34.5" customHeight="1" x14ac:dyDescent="0.25">
      <c r="A1484" s="10">
        <f t="shared" si="5"/>
        <v>1470</v>
      </c>
      <c r="B1484" s="479" t="s">
        <v>303</v>
      </c>
      <c r="C1484" s="327"/>
      <c r="D1484" s="480" t="s">
        <v>303</v>
      </c>
      <c r="E1484" s="327"/>
      <c r="F1484" s="481" t="s">
        <v>334</v>
      </c>
      <c r="G1484" s="327"/>
      <c r="H1484" s="482"/>
      <c r="I1484" s="326"/>
      <c r="J1484" s="327"/>
      <c r="K1484" s="481" t="s">
        <v>334</v>
      </c>
      <c r="L1484" s="326"/>
      <c r="M1484" s="327"/>
      <c r="N1484" s="439" t="s">
        <v>303</v>
      </c>
      <c r="O1484" s="326"/>
      <c r="P1484" s="326"/>
      <c r="Q1484" s="326"/>
      <c r="R1484" s="326"/>
      <c r="S1484" s="326"/>
      <c r="T1484" s="326"/>
      <c r="U1484" s="327"/>
    </row>
    <row r="1485" spans="1:21" ht="34.5" customHeight="1" x14ac:dyDescent="0.25">
      <c r="A1485" s="10">
        <f t="shared" si="5"/>
        <v>1471</v>
      </c>
      <c r="B1485" s="483" t="s">
        <v>303</v>
      </c>
      <c r="C1485" s="327"/>
      <c r="D1485" s="484" t="s">
        <v>303</v>
      </c>
      <c r="E1485" s="327"/>
      <c r="F1485" s="481" t="s">
        <v>334</v>
      </c>
      <c r="G1485" s="327"/>
      <c r="H1485" s="485"/>
      <c r="I1485" s="326"/>
      <c r="J1485" s="327"/>
      <c r="K1485" s="481" t="s">
        <v>334</v>
      </c>
      <c r="L1485" s="326"/>
      <c r="M1485" s="327"/>
      <c r="N1485" s="486" t="s">
        <v>303</v>
      </c>
      <c r="O1485" s="326"/>
      <c r="P1485" s="326"/>
      <c r="Q1485" s="326"/>
      <c r="R1485" s="326"/>
      <c r="S1485" s="326"/>
      <c r="T1485" s="326"/>
      <c r="U1485" s="327"/>
    </row>
    <row r="1486" spans="1:21" ht="34.5" customHeight="1" x14ac:dyDescent="0.25">
      <c r="A1486" s="10">
        <f t="shared" si="5"/>
        <v>1472</v>
      </c>
      <c r="B1486" s="479" t="s">
        <v>303</v>
      </c>
      <c r="C1486" s="327"/>
      <c r="D1486" s="480" t="s">
        <v>303</v>
      </c>
      <c r="E1486" s="327"/>
      <c r="F1486" s="481" t="s">
        <v>334</v>
      </c>
      <c r="G1486" s="327"/>
      <c r="H1486" s="482"/>
      <c r="I1486" s="326"/>
      <c r="J1486" s="327"/>
      <c r="K1486" s="481" t="s">
        <v>334</v>
      </c>
      <c r="L1486" s="326"/>
      <c r="M1486" s="327"/>
      <c r="N1486" s="439" t="s">
        <v>303</v>
      </c>
      <c r="O1486" s="326"/>
      <c r="P1486" s="326"/>
      <c r="Q1486" s="326"/>
      <c r="R1486" s="326"/>
      <c r="S1486" s="326"/>
      <c r="T1486" s="326"/>
      <c r="U1486" s="327"/>
    </row>
    <row r="1487" spans="1:21" ht="34.5" customHeight="1" x14ac:dyDescent="0.25">
      <c r="A1487" s="10">
        <f t="shared" si="5"/>
        <v>1473</v>
      </c>
      <c r="B1487" s="483" t="s">
        <v>303</v>
      </c>
      <c r="C1487" s="327"/>
      <c r="D1487" s="484" t="s">
        <v>303</v>
      </c>
      <c r="E1487" s="327"/>
      <c r="F1487" s="481" t="s">
        <v>334</v>
      </c>
      <c r="G1487" s="327"/>
      <c r="H1487" s="485"/>
      <c r="I1487" s="326"/>
      <c r="J1487" s="327"/>
      <c r="K1487" s="481" t="s">
        <v>334</v>
      </c>
      <c r="L1487" s="326"/>
      <c r="M1487" s="327"/>
      <c r="N1487" s="486" t="s">
        <v>303</v>
      </c>
      <c r="O1487" s="326"/>
      <c r="P1487" s="326"/>
      <c r="Q1487" s="326"/>
      <c r="R1487" s="326"/>
      <c r="S1487" s="326"/>
      <c r="T1487" s="326"/>
      <c r="U1487" s="327"/>
    </row>
    <row r="1488" spans="1:21" ht="34.5" customHeight="1" x14ac:dyDescent="0.25">
      <c r="A1488" s="10">
        <f t="shared" si="5"/>
        <v>1474</v>
      </c>
      <c r="B1488" s="479" t="s">
        <v>303</v>
      </c>
      <c r="C1488" s="327"/>
      <c r="D1488" s="480" t="s">
        <v>303</v>
      </c>
      <c r="E1488" s="327"/>
      <c r="F1488" s="481" t="s">
        <v>334</v>
      </c>
      <c r="G1488" s="327"/>
      <c r="H1488" s="482"/>
      <c r="I1488" s="326"/>
      <c r="J1488" s="327"/>
      <c r="K1488" s="481" t="s">
        <v>334</v>
      </c>
      <c r="L1488" s="326"/>
      <c r="M1488" s="327"/>
      <c r="N1488" s="439" t="s">
        <v>303</v>
      </c>
      <c r="O1488" s="326"/>
      <c r="P1488" s="326"/>
      <c r="Q1488" s="326"/>
      <c r="R1488" s="326"/>
      <c r="S1488" s="326"/>
      <c r="T1488" s="326"/>
      <c r="U1488" s="327"/>
    </row>
    <row r="1489" spans="1:21" ht="34.5" customHeight="1" x14ac:dyDescent="0.25">
      <c r="A1489" s="10">
        <f t="shared" si="5"/>
        <v>1475</v>
      </c>
      <c r="B1489" s="483" t="s">
        <v>303</v>
      </c>
      <c r="C1489" s="327"/>
      <c r="D1489" s="484" t="s">
        <v>303</v>
      </c>
      <c r="E1489" s="327"/>
      <c r="F1489" s="481" t="s">
        <v>334</v>
      </c>
      <c r="G1489" s="327"/>
      <c r="H1489" s="485"/>
      <c r="I1489" s="326"/>
      <c r="J1489" s="327"/>
      <c r="K1489" s="481" t="s">
        <v>334</v>
      </c>
      <c r="L1489" s="326"/>
      <c r="M1489" s="327"/>
      <c r="N1489" s="486" t="s">
        <v>303</v>
      </c>
      <c r="O1489" s="326"/>
      <c r="P1489" s="326"/>
      <c r="Q1489" s="326"/>
      <c r="R1489" s="326"/>
      <c r="S1489" s="326"/>
      <c r="T1489" s="326"/>
      <c r="U1489" s="327"/>
    </row>
    <row r="1490" spans="1:21" ht="34.5" customHeight="1" x14ac:dyDescent="0.25">
      <c r="A1490" s="10">
        <f t="shared" si="5"/>
        <v>1476</v>
      </c>
      <c r="B1490" s="479" t="s">
        <v>338</v>
      </c>
      <c r="C1490" s="327"/>
      <c r="D1490" s="480" t="s">
        <v>303</v>
      </c>
      <c r="E1490" s="327"/>
      <c r="F1490" s="481" t="s">
        <v>334</v>
      </c>
      <c r="G1490" s="327"/>
      <c r="H1490" s="482"/>
      <c r="I1490" s="326"/>
      <c r="J1490" s="327"/>
      <c r="K1490" s="481" t="s">
        <v>334</v>
      </c>
      <c r="L1490" s="326"/>
      <c r="M1490" s="327"/>
      <c r="N1490" s="439" t="s">
        <v>303</v>
      </c>
      <c r="O1490" s="326"/>
      <c r="P1490" s="326"/>
      <c r="Q1490" s="326"/>
      <c r="R1490" s="326"/>
      <c r="S1490" s="326"/>
      <c r="T1490" s="326"/>
      <c r="U1490" s="327"/>
    </row>
    <row r="1491" spans="1:21" ht="34.5" customHeight="1" x14ac:dyDescent="0.25">
      <c r="A1491" s="10">
        <f t="shared" si="5"/>
        <v>1477</v>
      </c>
      <c r="B1491" s="483" t="s">
        <v>303</v>
      </c>
      <c r="C1491" s="327"/>
      <c r="D1491" s="484" t="s">
        <v>303</v>
      </c>
      <c r="E1491" s="327"/>
      <c r="F1491" s="481" t="s">
        <v>334</v>
      </c>
      <c r="G1491" s="327"/>
      <c r="H1491" s="485"/>
      <c r="I1491" s="326"/>
      <c r="J1491" s="327"/>
      <c r="K1491" s="481" t="s">
        <v>334</v>
      </c>
      <c r="L1491" s="326"/>
      <c r="M1491" s="327"/>
      <c r="N1491" s="486" t="s">
        <v>303</v>
      </c>
      <c r="O1491" s="326"/>
      <c r="P1491" s="326"/>
      <c r="Q1491" s="326"/>
      <c r="R1491" s="326"/>
      <c r="S1491" s="326"/>
      <c r="T1491" s="326"/>
      <c r="U1491" s="327"/>
    </row>
    <row r="1492" spans="1:21" ht="34.5" customHeight="1" x14ac:dyDescent="0.25">
      <c r="A1492" s="10">
        <f t="shared" si="5"/>
        <v>1478</v>
      </c>
      <c r="B1492" s="479" t="s">
        <v>303</v>
      </c>
      <c r="C1492" s="327"/>
      <c r="D1492" s="480" t="s">
        <v>303</v>
      </c>
      <c r="E1492" s="327"/>
      <c r="F1492" s="481" t="s">
        <v>334</v>
      </c>
      <c r="G1492" s="327"/>
      <c r="H1492" s="482"/>
      <c r="I1492" s="326"/>
      <c r="J1492" s="327"/>
      <c r="K1492" s="481" t="s">
        <v>334</v>
      </c>
      <c r="L1492" s="326"/>
      <c r="M1492" s="327"/>
      <c r="N1492" s="439" t="s">
        <v>303</v>
      </c>
      <c r="O1492" s="326"/>
      <c r="P1492" s="326"/>
      <c r="Q1492" s="326"/>
      <c r="R1492" s="326"/>
      <c r="S1492" s="326"/>
      <c r="T1492" s="326"/>
      <c r="U1492" s="327"/>
    </row>
    <row r="1493" spans="1:21" ht="34.5" customHeight="1" x14ac:dyDescent="0.25">
      <c r="A1493" s="10">
        <f t="shared" si="5"/>
        <v>1479</v>
      </c>
      <c r="B1493" s="483" t="s">
        <v>303</v>
      </c>
      <c r="C1493" s="327"/>
      <c r="D1493" s="484" t="s">
        <v>303</v>
      </c>
      <c r="E1493" s="327"/>
      <c r="F1493" s="481" t="s">
        <v>334</v>
      </c>
      <c r="G1493" s="327"/>
      <c r="H1493" s="485"/>
      <c r="I1493" s="326"/>
      <c r="J1493" s="327"/>
      <c r="K1493" s="481" t="s">
        <v>334</v>
      </c>
      <c r="L1493" s="326"/>
      <c r="M1493" s="327"/>
      <c r="N1493" s="486" t="s">
        <v>303</v>
      </c>
      <c r="O1493" s="326"/>
      <c r="P1493" s="326"/>
      <c r="Q1493" s="326"/>
      <c r="R1493" s="326"/>
      <c r="S1493" s="326"/>
      <c r="T1493" s="326"/>
      <c r="U1493" s="327"/>
    </row>
    <row r="1494" spans="1:21" ht="34.5" customHeight="1" x14ac:dyDescent="0.25">
      <c r="A1494" s="10">
        <f t="shared" si="5"/>
        <v>1480</v>
      </c>
      <c r="B1494" s="479" t="s">
        <v>303</v>
      </c>
      <c r="C1494" s="327"/>
      <c r="D1494" s="480" t="s">
        <v>303</v>
      </c>
      <c r="E1494" s="327"/>
      <c r="F1494" s="481" t="s">
        <v>334</v>
      </c>
      <c r="G1494" s="327"/>
      <c r="H1494" s="482"/>
      <c r="I1494" s="326"/>
      <c r="J1494" s="327"/>
      <c r="K1494" s="481" t="s">
        <v>334</v>
      </c>
      <c r="L1494" s="326"/>
      <c r="M1494" s="327"/>
      <c r="N1494" s="439" t="s">
        <v>303</v>
      </c>
      <c r="O1494" s="326"/>
      <c r="P1494" s="326"/>
      <c r="Q1494" s="326"/>
      <c r="R1494" s="326"/>
      <c r="S1494" s="326"/>
      <c r="T1494" s="326"/>
      <c r="U1494" s="327"/>
    </row>
    <row r="1495" spans="1:21" ht="34.5" customHeight="1" x14ac:dyDescent="0.25">
      <c r="A1495" s="10">
        <f t="shared" si="5"/>
        <v>1481</v>
      </c>
      <c r="B1495" s="483" t="s">
        <v>303</v>
      </c>
      <c r="C1495" s="327"/>
      <c r="D1495" s="484" t="s">
        <v>303</v>
      </c>
      <c r="E1495" s="327"/>
      <c r="F1495" s="481" t="s">
        <v>334</v>
      </c>
      <c r="G1495" s="327"/>
      <c r="H1495" s="485"/>
      <c r="I1495" s="326"/>
      <c r="J1495" s="327"/>
      <c r="K1495" s="481" t="s">
        <v>334</v>
      </c>
      <c r="L1495" s="326"/>
      <c r="M1495" s="327"/>
      <c r="N1495" s="486" t="s">
        <v>303</v>
      </c>
      <c r="O1495" s="326"/>
      <c r="P1495" s="326"/>
      <c r="Q1495" s="326"/>
      <c r="R1495" s="326"/>
      <c r="S1495" s="326"/>
      <c r="T1495" s="326"/>
      <c r="U1495" s="327"/>
    </row>
    <row r="1496" spans="1:21" ht="34.5" customHeight="1" x14ac:dyDescent="0.25">
      <c r="A1496" s="10">
        <f t="shared" si="5"/>
        <v>1482</v>
      </c>
      <c r="B1496" s="479" t="s">
        <v>303</v>
      </c>
      <c r="C1496" s="327"/>
      <c r="D1496" s="480" t="s">
        <v>303</v>
      </c>
      <c r="E1496" s="327"/>
      <c r="F1496" s="481" t="s">
        <v>334</v>
      </c>
      <c r="G1496" s="327"/>
      <c r="H1496" s="482"/>
      <c r="I1496" s="326"/>
      <c r="J1496" s="327"/>
      <c r="K1496" s="481" t="s">
        <v>334</v>
      </c>
      <c r="L1496" s="326"/>
      <c r="M1496" s="327"/>
      <c r="N1496" s="439" t="s">
        <v>303</v>
      </c>
      <c r="O1496" s="326"/>
      <c r="P1496" s="326"/>
      <c r="Q1496" s="326"/>
      <c r="R1496" s="326"/>
      <c r="S1496" s="326"/>
      <c r="T1496" s="326"/>
      <c r="U1496" s="327"/>
    </row>
    <row r="1497" spans="1:21" ht="34.5" customHeight="1" x14ac:dyDescent="0.25">
      <c r="A1497" s="10">
        <f t="shared" si="5"/>
        <v>1483</v>
      </c>
      <c r="B1497" s="483" t="s">
        <v>303</v>
      </c>
      <c r="C1497" s="327"/>
      <c r="D1497" s="484" t="s">
        <v>303</v>
      </c>
      <c r="E1497" s="327"/>
      <c r="F1497" s="481" t="s">
        <v>334</v>
      </c>
      <c r="G1497" s="327"/>
      <c r="H1497" s="485"/>
      <c r="I1497" s="326"/>
      <c r="J1497" s="327"/>
      <c r="K1497" s="481" t="s">
        <v>334</v>
      </c>
      <c r="L1497" s="326"/>
      <c r="M1497" s="327"/>
      <c r="N1497" s="486" t="s">
        <v>303</v>
      </c>
      <c r="O1497" s="326"/>
      <c r="P1497" s="326"/>
      <c r="Q1497" s="326"/>
      <c r="R1497" s="326"/>
      <c r="S1497" s="326"/>
      <c r="T1497" s="326"/>
      <c r="U1497" s="327"/>
    </row>
    <row r="1498" spans="1:21" ht="34.5" customHeight="1" x14ac:dyDescent="0.25">
      <c r="A1498" s="10">
        <f t="shared" si="5"/>
        <v>1484</v>
      </c>
      <c r="B1498" s="479" t="s">
        <v>303</v>
      </c>
      <c r="C1498" s="327"/>
      <c r="D1498" s="480" t="s">
        <v>303</v>
      </c>
      <c r="E1498" s="327"/>
      <c r="F1498" s="481" t="s">
        <v>334</v>
      </c>
      <c r="G1498" s="327"/>
      <c r="H1498" s="482"/>
      <c r="I1498" s="326"/>
      <c r="J1498" s="327"/>
      <c r="K1498" s="481" t="s">
        <v>334</v>
      </c>
      <c r="L1498" s="326"/>
      <c r="M1498" s="327"/>
      <c r="N1498" s="439" t="s">
        <v>303</v>
      </c>
      <c r="O1498" s="326"/>
      <c r="P1498" s="326"/>
      <c r="Q1498" s="326"/>
      <c r="R1498" s="326"/>
      <c r="S1498" s="326"/>
      <c r="T1498" s="326"/>
      <c r="U1498" s="327"/>
    </row>
    <row r="1499" spans="1:21" ht="34.5" customHeight="1" x14ac:dyDescent="0.25">
      <c r="A1499" s="10">
        <f t="shared" si="5"/>
        <v>1485</v>
      </c>
      <c r="B1499" s="483" t="s">
        <v>303</v>
      </c>
      <c r="C1499" s="327"/>
      <c r="D1499" s="484" t="s">
        <v>303</v>
      </c>
      <c r="E1499" s="327"/>
      <c r="F1499" s="481" t="s">
        <v>334</v>
      </c>
      <c r="G1499" s="327"/>
      <c r="H1499" s="485"/>
      <c r="I1499" s="326"/>
      <c r="J1499" s="327"/>
      <c r="K1499" s="481" t="s">
        <v>334</v>
      </c>
      <c r="L1499" s="326"/>
      <c r="M1499" s="327"/>
      <c r="N1499" s="486" t="s">
        <v>303</v>
      </c>
      <c r="O1499" s="326"/>
      <c r="P1499" s="326"/>
      <c r="Q1499" s="326"/>
      <c r="R1499" s="326"/>
      <c r="S1499" s="326"/>
      <c r="T1499" s="326"/>
      <c r="U1499" s="327"/>
    </row>
    <row r="1500" spans="1:21" ht="34.5" customHeight="1" x14ac:dyDescent="0.25">
      <c r="A1500" s="10">
        <f t="shared" si="5"/>
        <v>1486</v>
      </c>
      <c r="B1500" s="479" t="s">
        <v>303</v>
      </c>
      <c r="C1500" s="327"/>
      <c r="D1500" s="480" t="s">
        <v>303</v>
      </c>
      <c r="E1500" s="327"/>
      <c r="F1500" s="481" t="s">
        <v>334</v>
      </c>
      <c r="G1500" s="327"/>
      <c r="H1500" s="482"/>
      <c r="I1500" s="326"/>
      <c r="J1500" s="327"/>
      <c r="K1500" s="481" t="s">
        <v>334</v>
      </c>
      <c r="L1500" s="326"/>
      <c r="M1500" s="327"/>
      <c r="N1500" s="439" t="s">
        <v>303</v>
      </c>
      <c r="O1500" s="326"/>
      <c r="P1500" s="326"/>
      <c r="Q1500" s="326"/>
      <c r="R1500" s="326"/>
      <c r="S1500" s="326"/>
      <c r="T1500" s="326"/>
      <c r="U1500" s="327"/>
    </row>
    <row r="1501" spans="1:21" ht="34.5" customHeight="1" x14ac:dyDescent="0.25">
      <c r="A1501" s="10">
        <f t="shared" si="5"/>
        <v>1487</v>
      </c>
      <c r="B1501" s="483" t="s">
        <v>303</v>
      </c>
      <c r="C1501" s="327"/>
      <c r="D1501" s="484" t="s">
        <v>303</v>
      </c>
      <c r="E1501" s="327"/>
      <c r="F1501" s="481" t="s">
        <v>334</v>
      </c>
      <c r="G1501" s="327"/>
      <c r="H1501" s="485"/>
      <c r="I1501" s="326"/>
      <c r="J1501" s="327"/>
      <c r="K1501" s="481" t="s">
        <v>334</v>
      </c>
      <c r="L1501" s="326"/>
      <c r="M1501" s="327"/>
      <c r="N1501" s="486" t="s">
        <v>303</v>
      </c>
      <c r="O1501" s="326"/>
      <c r="P1501" s="326"/>
      <c r="Q1501" s="326"/>
      <c r="R1501" s="326"/>
      <c r="S1501" s="326"/>
      <c r="T1501" s="326"/>
      <c r="U1501" s="327"/>
    </row>
    <row r="1502" spans="1:21" ht="34.5" customHeight="1" x14ac:dyDescent="0.25">
      <c r="A1502" s="10">
        <f t="shared" si="5"/>
        <v>1488</v>
      </c>
      <c r="B1502" s="479" t="s">
        <v>336</v>
      </c>
      <c r="C1502" s="327"/>
      <c r="D1502" s="480" t="s">
        <v>303</v>
      </c>
      <c r="E1502" s="327"/>
      <c r="F1502" s="481" t="s">
        <v>334</v>
      </c>
      <c r="G1502" s="327"/>
      <c r="H1502" s="482"/>
      <c r="I1502" s="326"/>
      <c r="J1502" s="327"/>
      <c r="K1502" s="481" t="s">
        <v>334</v>
      </c>
      <c r="L1502" s="326"/>
      <c r="M1502" s="327"/>
      <c r="N1502" s="439" t="s">
        <v>303</v>
      </c>
      <c r="O1502" s="326"/>
      <c r="P1502" s="326"/>
      <c r="Q1502" s="326"/>
      <c r="R1502" s="326"/>
      <c r="S1502" s="326"/>
      <c r="T1502" s="326"/>
      <c r="U1502" s="327"/>
    </row>
    <row r="1503" spans="1:21" ht="34.5" customHeight="1" x14ac:dyDescent="0.25">
      <c r="A1503" s="10">
        <f t="shared" si="5"/>
        <v>1489</v>
      </c>
      <c r="B1503" s="483" t="s">
        <v>303</v>
      </c>
      <c r="C1503" s="327"/>
      <c r="D1503" s="484" t="s">
        <v>303</v>
      </c>
      <c r="E1503" s="327"/>
      <c r="F1503" s="481" t="s">
        <v>334</v>
      </c>
      <c r="G1503" s="327"/>
      <c r="H1503" s="485"/>
      <c r="I1503" s="326"/>
      <c r="J1503" s="327"/>
      <c r="K1503" s="481" t="s">
        <v>334</v>
      </c>
      <c r="L1503" s="326"/>
      <c r="M1503" s="327"/>
      <c r="N1503" s="486" t="s">
        <v>303</v>
      </c>
      <c r="O1503" s="326"/>
      <c r="P1503" s="326"/>
      <c r="Q1503" s="326"/>
      <c r="R1503" s="326"/>
      <c r="S1503" s="326"/>
      <c r="T1503" s="326"/>
      <c r="U1503" s="327"/>
    </row>
    <row r="1504" spans="1:21" ht="34.5" customHeight="1" x14ac:dyDescent="0.25">
      <c r="A1504" s="10">
        <f t="shared" si="5"/>
        <v>1490</v>
      </c>
      <c r="B1504" s="479" t="s">
        <v>303</v>
      </c>
      <c r="C1504" s="327"/>
      <c r="D1504" s="480" t="s">
        <v>303</v>
      </c>
      <c r="E1504" s="327"/>
      <c r="F1504" s="481" t="s">
        <v>334</v>
      </c>
      <c r="G1504" s="327"/>
      <c r="H1504" s="482"/>
      <c r="I1504" s="326"/>
      <c r="J1504" s="327"/>
      <c r="K1504" s="481" t="s">
        <v>334</v>
      </c>
      <c r="L1504" s="326"/>
      <c r="M1504" s="327"/>
      <c r="N1504" s="439" t="s">
        <v>303</v>
      </c>
      <c r="O1504" s="326"/>
      <c r="P1504" s="326"/>
      <c r="Q1504" s="326"/>
      <c r="R1504" s="326"/>
      <c r="S1504" s="326"/>
      <c r="T1504" s="326"/>
      <c r="U1504" s="327"/>
    </row>
    <row r="1505" spans="1:21" ht="34.5" customHeight="1" x14ac:dyDescent="0.25">
      <c r="A1505" s="10">
        <f t="shared" si="5"/>
        <v>1491</v>
      </c>
      <c r="B1505" s="483" t="s">
        <v>303</v>
      </c>
      <c r="C1505" s="327"/>
      <c r="D1505" s="484" t="s">
        <v>303</v>
      </c>
      <c r="E1505" s="327"/>
      <c r="F1505" s="481" t="s">
        <v>334</v>
      </c>
      <c r="G1505" s="327"/>
      <c r="H1505" s="485"/>
      <c r="I1505" s="326"/>
      <c r="J1505" s="327"/>
      <c r="K1505" s="481" t="s">
        <v>334</v>
      </c>
      <c r="L1505" s="326"/>
      <c r="M1505" s="327"/>
      <c r="N1505" s="486" t="s">
        <v>303</v>
      </c>
      <c r="O1505" s="326"/>
      <c r="P1505" s="326"/>
      <c r="Q1505" s="326"/>
      <c r="R1505" s="326"/>
      <c r="S1505" s="326"/>
      <c r="T1505" s="326"/>
      <c r="U1505" s="327"/>
    </row>
    <row r="1506" spans="1:21" ht="34.5" customHeight="1" x14ac:dyDescent="0.25">
      <c r="A1506" s="10">
        <f t="shared" si="5"/>
        <v>1492</v>
      </c>
      <c r="B1506" s="479" t="s">
        <v>303</v>
      </c>
      <c r="C1506" s="327"/>
      <c r="D1506" s="480" t="s">
        <v>303</v>
      </c>
      <c r="E1506" s="327"/>
      <c r="F1506" s="481" t="s">
        <v>334</v>
      </c>
      <c r="G1506" s="327"/>
      <c r="H1506" s="482"/>
      <c r="I1506" s="326"/>
      <c r="J1506" s="327"/>
      <c r="K1506" s="481" t="s">
        <v>334</v>
      </c>
      <c r="L1506" s="326"/>
      <c r="M1506" s="327"/>
      <c r="N1506" s="439" t="s">
        <v>303</v>
      </c>
      <c r="O1506" s="326"/>
      <c r="P1506" s="326"/>
      <c r="Q1506" s="326"/>
      <c r="R1506" s="326"/>
      <c r="S1506" s="326"/>
      <c r="T1506" s="326"/>
      <c r="U1506" s="327"/>
    </row>
    <row r="1507" spans="1:21" ht="34.5" customHeight="1" x14ac:dyDescent="0.25">
      <c r="A1507" s="10">
        <f t="shared" si="5"/>
        <v>1493</v>
      </c>
      <c r="B1507" s="483" t="s">
        <v>303</v>
      </c>
      <c r="C1507" s="327"/>
      <c r="D1507" s="484" t="s">
        <v>303</v>
      </c>
      <c r="E1507" s="327"/>
      <c r="F1507" s="481" t="s">
        <v>334</v>
      </c>
      <c r="G1507" s="327"/>
      <c r="H1507" s="485"/>
      <c r="I1507" s="326"/>
      <c r="J1507" s="327"/>
      <c r="K1507" s="481" t="s">
        <v>334</v>
      </c>
      <c r="L1507" s="326"/>
      <c r="M1507" s="327"/>
      <c r="N1507" s="486" t="s">
        <v>303</v>
      </c>
      <c r="O1507" s="326"/>
      <c r="P1507" s="326"/>
      <c r="Q1507" s="326"/>
      <c r="R1507" s="326"/>
      <c r="S1507" s="326"/>
      <c r="T1507" s="326"/>
      <c r="U1507" s="327"/>
    </row>
    <row r="1508" spans="1:21" ht="34.5" customHeight="1" x14ac:dyDescent="0.25">
      <c r="A1508" s="10">
        <f t="shared" si="5"/>
        <v>1494</v>
      </c>
      <c r="B1508" s="479" t="s">
        <v>303</v>
      </c>
      <c r="C1508" s="327"/>
      <c r="D1508" s="480" t="s">
        <v>303</v>
      </c>
      <c r="E1508" s="327"/>
      <c r="F1508" s="481" t="s">
        <v>334</v>
      </c>
      <c r="G1508" s="327"/>
      <c r="H1508" s="482"/>
      <c r="I1508" s="326"/>
      <c r="J1508" s="327"/>
      <c r="K1508" s="481" t="s">
        <v>334</v>
      </c>
      <c r="L1508" s="326"/>
      <c r="M1508" s="327"/>
      <c r="N1508" s="439" t="s">
        <v>303</v>
      </c>
      <c r="O1508" s="326"/>
      <c r="P1508" s="326"/>
      <c r="Q1508" s="326"/>
      <c r="R1508" s="326"/>
      <c r="S1508" s="326"/>
      <c r="T1508" s="326"/>
      <c r="U1508" s="327"/>
    </row>
    <row r="1509" spans="1:21" ht="34.5" customHeight="1" x14ac:dyDescent="0.25">
      <c r="A1509" s="10">
        <f t="shared" si="5"/>
        <v>1495</v>
      </c>
      <c r="B1509" s="483" t="s">
        <v>303</v>
      </c>
      <c r="C1509" s="327"/>
      <c r="D1509" s="484" t="s">
        <v>303</v>
      </c>
      <c r="E1509" s="327"/>
      <c r="F1509" s="481" t="s">
        <v>334</v>
      </c>
      <c r="G1509" s="327"/>
      <c r="H1509" s="485"/>
      <c r="I1509" s="326"/>
      <c r="J1509" s="327"/>
      <c r="K1509" s="481" t="s">
        <v>334</v>
      </c>
      <c r="L1509" s="326"/>
      <c r="M1509" s="327"/>
      <c r="N1509" s="486" t="s">
        <v>303</v>
      </c>
      <c r="O1509" s="326"/>
      <c r="P1509" s="326"/>
      <c r="Q1509" s="326"/>
      <c r="R1509" s="326"/>
      <c r="S1509" s="326"/>
      <c r="T1509" s="326"/>
      <c r="U1509" s="327"/>
    </row>
    <row r="1510" spans="1:21" ht="34.5" customHeight="1" x14ac:dyDescent="0.25">
      <c r="A1510" s="10">
        <f t="shared" si="5"/>
        <v>1496</v>
      </c>
      <c r="B1510" s="479" t="s">
        <v>335</v>
      </c>
      <c r="C1510" s="327"/>
      <c r="D1510" s="480" t="s">
        <v>303</v>
      </c>
      <c r="E1510" s="327"/>
      <c r="F1510" s="481" t="s">
        <v>334</v>
      </c>
      <c r="G1510" s="327"/>
      <c r="H1510" s="482"/>
      <c r="I1510" s="326"/>
      <c r="J1510" s="327"/>
      <c r="K1510" s="481" t="s">
        <v>334</v>
      </c>
      <c r="L1510" s="326"/>
      <c r="M1510" s="327"/>
      <c r="N1510" s="439" t="s">
        <v>303</v>
      </c>
      <c r="O1510" s="326"/>
      <c r="P1510" s="326"/>
      <c r="Q1510" s="326"/>
      <c r="R1510" s="326"/>
      <c r="S1510" s="326"/>
      <c r="T1510" s="326"/>
      <c r="U1510" s="327"/>
    </row>
    <row r="1511" spans="1:21" ht="34.5" customHeight="1" x14ac:dyDescent="0.25">
      <c r="A1511" s="10">
        <f t="shared" si="5"/>
        <v>1497</v>
      </c>
      <c r="B1511" s="483" t="s">
        <v>303</v>
      </c>
      <c r="C1511" s="327"/>
      <c r="D1511" s="484" t="s">
        <v>303</v>
      </c>
      <c r="E1511" s="327"/>
      <c r="F1511" s="481" t="s">
        <v>334</v>
      </c>
      <c r="G1511" s="327"/>
      <c r="H1511" s="485"/>
      <c r="I1511" s="326"/>
      <c r="J1511" s="327"/>
      <c r="K1511" s="481" t="s">
        <v>334</v>
      </c>
      <c r="L1511" s="326"/>
      <c r="M1511" s="327"/>
      <c r="N1511" s="486" t="s">
        <v>303</v>
      </c>
      <c r="O1511" s="326"/>
      <c r="P1511" s="326"/>
      <c r="Q1511" s="326"/>
      <c r="R1511" s="326"/>
      <c r="S1511" s="326"/>
      <c r="T1511" s="326"/>
      <c r="U1511" s="327"/>
    </row>
    <row r="1512" spans="1:21" ht="34.5" customHeight="1" x14ac:dyDescent="0.25">
      <c r="A1512" s="10">
        <f t="shared" si="5"/>
        <v>1498</v>
      </c>
      <c r="B1512" s="479" t="s">
        <v>303</v>
      </c>
      <c r="C1512" s="327"/>
      <c r="D1512" s="480" t="s">
        <v>303</v>
      </c>
      <c r="E1512" s="327"/>
      <c r="F1512" s="481" t="s">
        <v>334</v>
      </c>
      <c r="G1512" s="327"/>
      <c r="H1512" s="482"/>
      <c r="I1512" s="326"/>
      <c r="J1512" s="327"/>
      <c r="K1512" s="481" t="s">
        <v>334</v>
      </c>
      <c r="L1512" s="326"/>
      <c r="M1512" s="327"/>
      <c r="N1512" s="439" t="s">
        <v>303</v>
      </c>
      <c r="O1512" s="326"/>
      <c r="P1512" s="326"/>
      <c r="Q1512" s="326"/>
      <c r="R1512" s="326"/>
      <c r="S1512" s="326"/>
      <c r="T1512" s="326"/>
      <c r="U1512" s="327"/>
    </row>
    <row r="1513" spans="1:21" ht="34.5" customHeight="1" x14ac:dyDescent="0.25">
      <c r="A1513" s="10">
        <f t="shared" si="5"/>
        <v>1499</v>
      </c>
      <c r="B1513" s="483" t="s">
        <v>303</v>
      </c>
      <c r="C1513" s="327"/>
      <c r="D1513" s="484" t="s">
        <v>303</v>
      </c>
      <c r="E1513" s="327"/>
      <c r="F1513" s="481" t="s">
        <v>334</v>
      </c>
      <c r="G1513" s="327"/>
      <c r="H1513" s="485"/>
      <c r="I1513" s="326"/>
      <c r="J1513" s="327"/>
      <c r="K1513" s="481" t="s">
        <v>334</v>
      </c>
      <c r="L1513" s="326"/>
      <c r="M1513" s="327"/>
      <c r="N1513" s="486" t="s">
        <v>303</v>
      </c>
      <c r="O1513" s="326"/>
      <c r="P1513" s="326"/>
      <c r="Q1513" s="326"/>
      <c r="R1513" s="326"/>
      <c r="S1513" s="326"/>
      <c r="T1513" s="326"/>
      <c r="U1513" s="327"/>
    </row>
    <row r="1514" spans="1:21" ht="34.5" customHeight="1" x14ac:dyDescent="0.25">
      <c r="A1514" s="10">
        <f t="shared" si="5"/>
        <v>1500</v>
      </c>
      <c r="B1514" s="479" t="s">
        <v>303</v>
      </c>
      <c r="C1514" s="327"/>
      <c r="D1514" s="480" t="s">
        <v>303</v>
      </c>
      <c r="E1514" s="327"/>
      <c r="F1514" s="481" t="s">
        <v>334</v>
      </c>
      <c r="G1514" s="327"/>
      <c r="H1514" s="482"/>
      <c r="I1514" s="326"/>
      <c r="J1514" s="327"/>
      <c r="K1514" s="481" t="s">
        <v>334</v>
      </c>
      <c r="L1514" s="326"/>
      <c r="M1514" s="327"/>
      <c r="N1514" s="439" t="s">
        <v>303</v>
      </c>
      <c r="O1514" s="326"/>
      <c r="P1514" s="326"/>
      <c r="Q1514" s="326"/>
      <c r="R1514" s="326"/>
      <c r="S1514" s="326"/>
      <c r="T1514" s="326"/>
      <c r="U1514" s="327"/>
    </row>
  </sheetData>
  <mergeCells count="9040">
    <mergeCell ref="B1509:C1509"/>
    <mergeCell ref="D1509:E1509"/>
    <mergeCell ref="F1509:G1509"/>
    <mergeCell ref="H1509:J1509"/>
    <mergeCell ref="K1509:M1509"/>
    <mergeCell ref="F1511:G1511"/>
    <mergeCell ref="H1511:J1511"/>
    <mergeCell ref="H1512:J1512"/>
    <mergeCell ref="K1512:M1512"/>
    <mergeCell ref="H1513:J1513"/>
    <mergeCell ref="K1513:M1513"/>
    <mergeCell ref="B1510:C1510"/>
    <mergeCell ref="D1510:E1510"/>
    <mergeCell ref="F1510:G1510"/>
    <mergeCell ref="H1510:J1510"/>
    <mergeCell ref="K1510:M1510"/>
    <mergeCell ref="D1511:E1511"/>
    <mergeCell ref="K1511:M1511"/>
    <mergeCell ref="B1514:C1514"/>
    <mergeCell ref="D1514:E1514"/>
    <mergeCell ref="F1514:G1514"/>
    <mergeCell ref="H1514:J1514"/>
    <mergeCell ref="K1514:M1514"/>
    <mergeCell ref="B1511:C1511"/>
    <mergeCell ref="B1512:C1512"/>
    <mergeCell ref="D1512:E1512"/>
    <mergeCell ref="F1512:G1512"/>
    <mergeCell ref="B1513:C1513"/>
    <mergeCell ref="D1513:E1513"/>
    <mergeCell ref="F1513:G1513"/>
    <mergeCell ref="K1500:M1500"/>
    <mergeCell ref="D1501:E1501"/>
    <mergeCell ref="K1501:M1501"/>
    <mergeCell ref="F1506:G1506"/>
    <mergeCell ref="H1506:J1506"/>
    <mergeCell ref="H1507:J1507"/>
    <mergeCell ref="K1507:M1507"/>
    <mergeCell ref="H1508:J1508"/>
    <mergeCell ref="K1508:M1508"/>
    <mergeCell ref="B1505:C1505"/>
    <mergeCell ref="D1505:E1505"/>
    <mergeCell ref="F1505:G1505"/>
    <mergeCell ref="H1505:J1505"/>
    <mergeCell ref="K1505:M1505"/>
    <mergeCell ref="D1506:E1506"/>
    <mergeCell ref="K1506:M1506"/>
    <mergeCell ref="H1503:J1503"/>
    <mergeCell ref="K1503:M1503"/>
    <mergeCell ref="B1501:C1501"/>
    <mergeCell ref="B1502:C1502"/>
    <mergeCell ref="D1502:E1502"/>
    <mergeCell ref="F1502:G1502"/>
    <mergeCell ref="H1502:J1502"/>
    <mergeCell ref="K1502:M1502"/>
    <mergeCell ref="B1506:C1506"/>
    <mergeCell ref="B1507:C1507"/>
    <mergeCell ref="D1507:E1507"/>
    <mergeCell ref="F1507:G1507"/>
    <mergeCell ref="B1508:C1508"/>
    <mergeCell ref="D1508:E1508"/>
    <mergeCell ref="F1508:G1508"/>
    <mergeCell ref="B1480:C1480"/>
    <mergeCell ref="D1480:E1480"/>
    <mergeCell ref="F1480:G1480"/>
    <mergeCell ref="H1480:J1480"/>
    <mergeCell ref="K1480:M1480"/>
    <mergeCell ref="D1481:E1481"/>
    <mergeCell ref="K1481:M1481"/>
    <mergeCell ref="B1484:C1484"/>
    <mergeCell ref="D1484:E1484"/>
    <mergeCell ref="F1484:G1484"/>
    <mergeCell ref="H1484:J1484"/>
    <mergeCell ref="K1484:M1484"/>
    <mergeCell ref="D1488:E1488"/>
    <mergeCell ref="F1488:G1488"/>
    <mergeCell ref="B1489:C1489"/>
    <mergeCell ref="D1489:E1489"/>
    <mergeCell ref="F1489:G1489"/>
    <mergeCell ref="H1489:J1489"/>
    <mergeCell ref="K1489:M1489"/>
    <mergeCell ref="H1488:J1488"/>
    <mergeCell ref="K1488:M1488"/>
    <mergeCell ref="B1486:C1486"/>
    <mergeCell ref="B1487:C1487"/>
    <mergeCell ref="D1487:E1487"/>
    <mergeCell ref="F1487:G1487"/>
    <mergeCell ref="H1487:J1487"/>
    <mergeCell ref="K1487:M1487"/>
    <mergeCell ref="B1488:C1488"/>
    <mergeCell ref="F1481:G1481"/>
    <mergeCell ref="H1481:J1481"/>
    <mergeCell ref="F1476:G1476"/>
    <mergeCell ref="H1476:J1476"/>
    <mergeCell ref="H1477:J1477"/>
    <mergeCell ref="K1477:M1477"/>
    <mergeCell ref="H1478:J1478"/>
    <mergeCell ref="K1478:M1478"/>
    <mergeCell ref="B1475:C1475"/>
    <mergeCell ref="D1475:E1475"/>
    <mergeCell ref="F1475:G1475"/>
    <mergeCell ref="H1475:J1475"/>
    <mergeCell ref="K1475:M1475"/>
    <mergeCell ref="D1476:E1476"/>
    <mergeCell ref="K1476:M1476"/>
    <mergeCell ref="B1479:C1479"/>
    <mergeCell ref="D1479:E1479"/>
    <mergeCell ref="F1479:G1479"/>
    <mergeCell ref="H1479:J1479"/>
    <mergeCell ref="K1479:M1479"/>
    <mergeCell ref="B1476:C1476"/>
    <mergeCell ref="B1477:C1477"/>
    <mergeCell ref="D1477:E1477"/>
    <mergeCell ref="F1477:G1477"/>
    <mergeCell ref="B1478:C1478"/>
    <mergeCell ref="D1478:E1478"/>
    <mergeCell ref="F1478:G1478"/>
    <mergeCell ref="H1482:J1482"/>
    <mergeCell ref="K1482:M1482"/>
    <mergeCell ref="H1483:J1483"/>
    <mergeCell ref="K1483:M1483"/>
    <mergeCell ref="B1481:C1481"/>
    <mergeCell ref="B1482:C1482"/>
    <mergeCell ref="D1482:E1482"/>
    <mergeCell ref="F1482:G1482"/>
    <mergeCell ref="B1483:C1483"/>
    <mergeCell ref="D1483:E1483"/>
    <mergeCell ref="F1483:G1483"/>
    <mergeCell ref="F1486:G1486"/>
    <mergeCell ref="H1486:J1486"/>
    <mergeCell ref="B1485:C1485"/>
    <mergeCell ref="D1485:E1485"/>
    <mergeCell ref="F1485:G1485"/>
    <mergeCell ref="H1485:J1485"/>
    <mergeCell ref="K1485:M1485"/>
    <mergeCell ref="D1486:E1486"/>
    <mergeCell ref="K1486:M1486"/>
    <mergeCell ref="K1496:M1496"/>
    <mergeCell ref="B1499:C1499"/>
    <mergeCell ref="D1499:E1499"/>
    <mergeCell ref="F1499:G1499"/>
    <mergeCell ref="H1499:J1499"/>
    <mergeCell ref="K1499:M1499"/>
    <mergeCell ref="D1503:E1503"/>
    <mergeCell ref="F1503:G1503"/>
    <mergeCell ref="B1504:C1504"/>
    <mergeCell ref="D1504:E1504"/>
    <mergeCell ref="F1504:G1504"/>
    <mergeCell ref="H1504:J1504"/>
    <mergeCell ref="K1504:M1504"/>
    <mergeCell ref="F1496:G1496"/>
    <mergeCell ref="H1496:J1496"/>
    <mergeCell ref="H1497:J1497"/>
    <mergeCell ref="K1497:M1497"/>
    <mergeCell ref="H1498:J1498"/>
    <mergeCell ref="K1498:M1498"/>
    <mergeCell ref="B1496:C1496"/>
    <mergeCell ref="B1497:C1497"/>
    <mergeCell ref="D1497:E1497"/>
    <mergeCell ref="F1497:G1497"/>
    <mergeCell ref="B1498:C1498"/>
    <mergeCell ref="D1498:E1498"/>
    <mergeCell ref="F1498:G1498"/>
    <mergeCell ref="F1501:G1501"/>
    <mergeCell ref="H1501:J1501"/>
    <mergeCell ref="B1500:C1500"/>
    <mergeCell ref="D1500:E1500"/>
    <mergeCell ref="F1500:G1500"/>
    <mergeCell ref="H1500:J1500"/>
    <mergeCell ref="B1503:C1503"/>
    <mergeCell ref="F1491:G1491"/>
    <mergeCell ref="H1491:J1491"/>
    <mergeCell ref="H1492:J1492"/>
    <mergeCell ref="K1492:M1492"/>
    <mergeCell ref="H1493:J1493"/>
    <mergeCell ref="K1493:M1493"/>
    <mergeCell ref="B1490:C1490"/>
    <mergeCell ref="D1490:E1490"/>
    <mergeCell ref="F1490:G1490"/>
    <mergeCell ref="H1490:J1490"/>
    <mergeCell ref="K1490:M1490"/>
    <mergeCell ref="D1491:E1491"/>
    <mergeCell ref="K1491:M1491"/>
    <mergeCell ref="B1494:C1494"/>
    <mergeCell ref="D1494:E1494"/>
    <mergeCell ref="F1494:G1494"/>
    <mergeCell ref="H1494:J1494"/>
    <mergeCell ref="K1494:M1494"/>
    <mergeCell ref="B1491:C1491"/>
    <mergeCell ref="B1492:C1492"/>
    <mergeCell ref="D1492:E1492"/>
    <mergeCell ref="F1492:G1492"/>
    <mergeCell ref="B1493:C1493"/>
    <mergeCell ref="D1493:E1493"/>
    <mergeCell ref="F1493:G1493"/>
    <mergeCell ref="B1495:C1495"/>
    <mergeCell ref="D1495:E1495"/>
    <mergeCell ref="F1495:G1495"/>
    <mergeCell ref="H1495:J1495"/>
    <mergeCell ref="K1495:M1495"/>
    <mergeCell ref="D1496:E1496"/>
    <mergeCell ref="B1465:C1465"/>
    <mergeCell ref="D1465:E1465"/>
    <mergeCell ref="F1465:G1465"/>
    <mergeCell ref="H1465:J1465"/>
    <mergeCell ref="K1465:M1465"/>
    <mergeCell ref="D1466:E1466"/>
    <mergeCell ref="K1466:M1466"/>
    <mergeCell ref="B1469:C1469"/>
    <mergeCell ref="D1469:E1469"/>
    <mergeCell ref="F1469:G1469"/>
    <mergeCell ref="H1469:J1469"/>
    <mergeCell ref="K1469:M1469"/>
    <mergeCell ref="D1473:E1473"/>
    <mergeCell ref="F1473:G1473"/>
    <mergeCell ref="B1474:C1474"/>
    <mergeCell ref="D1474:E1474"/>
    <mergeCell ref="F1474:G1474"/>
    <mergeCell ref="H1474:J1474"/>
    <mergeCell ref="K1474:M1474"/>
    <mergeCell ref="H1473:J1473"/>
    <mergeCell ref="K1473:M1473"/>
    <mergeCell ref="B1471:C1471"/>
    <mergeCell ref="B1472:C1472"/>
    <mergeCell ref="D1472:E1472"/>
    <mergeCell ref="F1472:G1472"/>
    <mergeCell ref="H1472:J1472"/>
    <mergeCell ref="K1472:M1472"/>
    <mergeCell ref="B1473:C1473"/>
    <mergeCell ref="F1466:G1466"/>
    <mergeCell ref="H1466:J1466"/>
    <mergeCell ref="F1461:G1461"/>
    <mergeCell ref="H1461:J1461"/>
    <mergeCell ref="H1462:J1462"/>
    <mergeCell ref="K1462:M1462"/>
    <mergeCell ref="H1463:J1463"/>
    <mergeCell ref="K1463:M1463"/>
    <mergeCell ref="B1460:C1460"/>
    <mergeCell ref="D1460:E1460"/>
    <mergeCell ref="F1460:G1460"/>
    <mergeCell ref="H1460:J1460"/>
    <mergeCell ref="K1460:M1460"/>
    <mergeCell ref="D1461:E1461"/>
    <mergeCell ref="K1461:M1461"/>
    <mergeCell ref="B1464:C1464"/>
    <mergeCell ref="D1464:E1464"/>
    <mergeCell ref="F1464:G1464"/>
    <mergeCell ref="H1464:J1464"/>
    <mergeCell ref="K1464:M1464"/>
    <mergeCell ref="B1461:C1461"/>
    <mergeCell ref="B1462:C1462"/>
    <mergeCell ref="D1462:E1462"/>
    <mergeCell ref="F1462:G1462"/>
    <mergeCell ref="B1463:C1463"/>
    <mergeCell ref="D1463:E1463"/>
    <mergeCell ref="F1463:G1463"/>
    <mergeCell ref="H1467:J1467"/>
    <mergeCell ref="K1467:M1467"/>
    <mergeCell ref="H1468:J1468"/>
    <mergeCell ref="K1468:M1468"/>
    <mergeCell ref="B1466:C1466"/>
    <mergeCell ref="B1467:C1467"/>
    <mergeCell ref="D1467:E1467"/>
    <mergeCell ref="F1467:G1467"/>
    <mergeCell ref="B1468:C1468"/>
    <mergeCell ref="D1468:E1468"/>
    <mergeCell ref="F1468:G1468"/>
    <mergeCell ref="F1471:G1471"/>
    <mergeCell ref="H1471:J1471"/>
    <mergeCell ref="B1470:C1470"/>
    <mergeCell ref="D1470:E1470"/>
    <mergeCell ref="F1470:G1470"/>
    <mergeCell ref="H1470:J1470"/>
    <mergeCell ref="K1470:M1470"/>
    <mergeCell ref="D1471:E1471"/>
    <mergeCell ref="K1471:M1471"/>
    <mergeCell ref="B1450:C1450"/>
    <mergeCell ref="D1450:E1450"/>
    <mergeCell ref="F1450:G1450"/>
    <mergeCell ref="H1450:J1450"/>
    <mergeCell ref="K1450:M1450"/>
    <mergeCell ref="D1451:E1451"/>
    <mergeCell ref="K1451:M1451"/>
    <mergeCell ref="B1454:C1454"/>
    <mergeCell ref="D1454:E1454"/>
    <mergeCell ref="F1454:G1454"/>
    <mergeCell ref="H1454:J1454"/>
    <mergeCell ref="K1454:M1454"/>
    <mergeCell ref="D1458:E1458"/>
    <mergeCell ref="F1458:G1458"/>
    <mergeCell ref="B1459:C1459"/>
    <mergeCell ref="D1459:E1459"/>
    <mergeCell ref="F1459:G1459"/>
    <mergeCell ref="H1459:J1459"/>
    <mergeCell ref="K1459:M1459"/>
    <mergeCell ref="H1458:J1458"/>
    <mergeCell ref="K1458:M1458"/>
    <mergeCell ref="B1456:C1456"/>
    <mergeCell ref="B1457:C1457"/>
    <mergeCell ref="D1457:E1457"/>
    <mergeCell ref="F1457:G1457"/>
    <mergeCell ref="H1457:J1457"/>
    <mergeCell ref="K1457:M1457"/>
    <mergeCell ref="B1458:C1458"/>
    <mergeCell ref="F1456:G1456"/>
    <mergeCell ref="H1456:J1456"/>
    <mergeCell ref="F1446:G1446"/>
    <mergeCell ref="H1446:J1446"/>
    <mergeCell ref="H1447:J1447"/>
    <mergeCell ref="K1447:M1447"/>
    <mergeCell ref="H1448:J1448"/>
    <mergeCell ref="K1448:M1448"/>
    <mergeCell ref="B1445:C1445"/>
    <mergeCell ref="D1445:E1445"/>
    <mergeCell ref="F1445:G1445"/>
    <mergeCell ref="H1445:J1445"/>
    <mergeCell ref="K1445:M1445"/>
    <mergeCell ref="D1446:E1446"/>
    <mergeCell ref="K1446:M1446"/>
    <mergeCell ref="B1449:C1449"/>
    <mergeCell ref="D1449:E1449"/>
    <mergeCell ref="F1449:G1449"/>
    <mergeCell ref="H1449:J1449"/>
    <mergeCell ref="K1449:M1449"/>
    <mergeCell ref="B1446:C1446"/>
    <mergeCell ref="B1447:C1447"/>
    <mergeCell ref="D1447:E1447"/>
    <mergeCell ref="F1447:G1447"/>
    <mergeCell ref="B1448:C1448"/>
    <mergeCell ref="D1448:E1448"/>
    <mergeCell ref="F1448:G1448"/>
    <mergeCell ref="B1455:C1455"/>
    <mergeCell ref="D1455:E1455"/>
    <mergeCell ref="F1455:G1455"/>
    <mergeCell ref="H1455:J1455"/>
    <mergeCell ref="K1455:M1455"/>
    <mergeCell ref="D1456:E1456"/>
    <mergeCell ref="K1456:M1456"/>
    <mergeCell ref="F1451:G1451"/>
    <mergeCell ref="H1451:J1451"/>
    <mergeCell ref="H1452:J1452"/>
    <mergeCell ref="K1452:M1452"/>
    <mergeCell ref="H1453:J1453"/>
    <mergeCell ref="K1453:M1453"/>
    <mergeCell ref="B1451:C1451"/>
    <mergeCell ref="B1452:C1452"/>
    <mergeCell ref="D1452:E1452"/>
    <mergeCell ref="F1452:G1452"/>
    <mergeCell ref="B1453:C1453"/>
    <mergeCell ref="D1453:E1453"/>
    <mergeCell ref="F1453:G1453"/>
    <mergeCell ref="B1420:C1420"/>
    <mergeCell ref="D1420:E1420"/>
    <mergeCell ref="F1420:G1420"/>
    <mergeCell ref="H1420:J1420"/>
    <mergeCell ref="K1420:M1420"/>
    <mergeCell ref="D1421:E1421"/>
    <mergeCell ref="K1421:M1421"/>
    <mergeCell ref="B1424:C1424"/>
    <mergeCell ref="D1424:E1424"/>
    <mergeCell ref="F1424:G1424"/>
    <mergeCell ref="H1424:J1424"/>
    <mergeCell ref="K1424:M1424"/>
    <mergeCell ref="D1428:E1428"/>
    <mergeCell ref="F1428:G1428"/>
    <mergeCell ref="B1429:C1429"/>
    <mergeCell ref="D1429:E1429"/>
    <mergeCell ref="F1429:G1429"/>
    <mergeCell ref="H1429:J1429"/>
    <mergeCell ref="K1429:M1429"/>
    <mergeCell ref="B1421:C1421"/>
    <mergeCell ref="B1422:C1422"/>
    <mergeCell ref="D1422:E1422"/>
    <mergeCell ref="F1422:G1422"/>
    <mergeCell ref="B1423:C1423"/>
    <mergeCell ref="D1423:E1423"/>
    <mergeCell ref="F1423:G1423"/>
    <mergeCell ref="F1426:G1426"/>
    <mergeCell ref="H1426:J1426"/>
    <mergeCell ref="B1425:C1425"/>
    <mergeCell ref="D1425:E1425"/>
    <mergeCell ref="F1425:G1425"/>
    <mergeCell ref="H1425:J1425"/>
    <mergeCell ref="F1416:G1416"/>
    <mergeCell ref="H1416:J1416"/>
    <mergeCell ref="H1417:J1417"/>
    <mergeCell ref="K1417:M1417"/>
    <mergeCell ref="H1418:J1418"/>
    <mergeCell ref="K1418:M1418"/>
    <mergeCell ref="B1415:C1415"/>
    <mergeCell ref="D1415:E1415"/>
    <mergeCell ref="F1415:G1415"/>
    <mergeCell ref="H1415:J1415"/>
    <mergeCell ref="K1415:M1415"/>
    <mergeCell ref="D1416:E1416"/>
    <mergeCell ref="K1416:M1416"/>
    <mergeCell ref="B1419:C1419"/>
    <mergeCell ref="D1419:E1419"/>
    <mergeCell ref="F1419:G1419"/>
    <mergeCell ref="H1419:J1419"/>
    <mergeCell ref="K1419:M1419"/>
    <mergeCell ref="B1416:C1416"/>
    <mergeCell ref="B1417:C1417"/>
    <mergeCell ref="D1417:E1417"/>
    <mergeCell ref="F1417:G1417"/>
    <mergeCell ref="B1418:C1418"/>
    <mergeCell ref="D1418:E1418"/>
    <mergeCell ref="F1418:G1418"/>
    <mergeCell ref="K1425:M1425"/>
    <mergeCell ref="D1426:E1426"/>
    <mergeCell ref="K1426:M1426"/>
    <mergeCell ref="H1428:J1428"/>
    <mergeCell ref="K1428:M1428"/>
    <mergeCell ref="B1426:C1426"/>
    <mergeCell ref="B1427:C1427"/>
    <mergeCell ref="D1427:E1427"/>
    <mergeCell ref="F1427:G1427"/>
    <mergeCell ref="H1427:J1427"/>
    <mergeCell ref="K1427:M1427"/>
    <mergeCell ref="B1428:C1428"/>
    <mergeCell ref="N1474:U1474"/>
    <mergeCell ref="N1475:U1475"/>
    <mergeCell ref="N1476:U1476"/>
    <mergeCell ref="N1477:U1477"/>
    <mergeCell ref="N1478:U1478"/>
    <mergeCell ref="N1462:U1462"/>
    <mergeCell ref="N1463:U1463"/>
    <mergeCell ref="N1464:U1464"/>
    <mergeCell ref="N1465:U1465"/>
    <mergeCell ref="N1466:U1466"/>
    <mergeCell ref="N1467:U1467"/>
    <mergeCell ref="N1468:U1468"/>
    <mergeCell ref="N1469:U1469"/>
    <mergeCell ref="N1470:U1470"/>
    <mergeCell ref="N1471:U1471"/>
    <mergeCell ref="N1472:U1472"/>
    <mergeCell ref="N1473:U1473"/>
    <mergeCell ref="B1435:C1435"/>
    <mergeCell ref="D1435:E1435"/>
    <mergeCell ref="F1435:G1435"/>
    <mergeCell ref="N1479:U1479"/>
    <mergeCell ref="N1480:U1480"/>
    <mergeCell ref="N1481:U1481"/>
    <mergeCell ref="N1482:U1482"/>
    <mergeCell ref="N1483:U1483"/>
    <mergeCell ref="N1484:U1484"/>
    <mergeCell ref="N1485:U1485"/>
    <mergeCell ref="F1421:G1421"/>
    <mergeCell ref="H1421:J1421"/>
    <mergeCell ref="H1422:J1422"/>
    <mergeCell ref="K1422:M1422"/>
    <mergeCell ref="H1423:J1423"/>
    <mergeCell ref="K1423:M1423"/>
    <mergeCell ref="F1436:G1436"/>
    <mergeCell ref="H1436:J1436"/>
    <mergeCell ref="H1437:J1437"/>
    <mergeCell ref="K1437:M1437"/>
    <mergeCell ref="H1438:J1438"/>
    <mergeCell ref="K1438:M1438"/>
    <mergeCell ref="F1437:G1437"/>
    <mergeCell ref="F1438:G1438"/>
    <mergeCell ref="F1441:G1441"/>
    <mergeCell ref="H1441:J1441"/>
    <mergeCell ref="F1440:G1440"/>
    <mergeCell ref="H1440:J1440"/>
    <mergeCell ref="K1440:M1440"/>
    <mergeCell ref="K1441:M1441"/>
    <mergeCell ref="N1457:U1457"/>
    <mergeCell ref="N1458:U1458"/>
    <mergeCell ref="N1459:U1459"/>
    <mergeCell ref="N1460:U1460"/>
    <mergeCell ref="N1461:U1461"/>
    <mergeCell ref="N1510:U1510"/>
    <mergeCell ref="N1511:U1511"/>
    <mergeCell ref="N1512:U1512"/>
    <mergeCell ref="N1513:U1513"/>
    <mergeCell ref="N1514:U1514"/>
    <mergeCell ref="N1500:U1500"/>
    <mergeCell ref="N1501:U1501"/>
    <mergeCell ref="N1502:U1502"/>
    <mergeCell ref="N1503:U1503"/>
    <mergeCell ref="N1504:U1504"/>
    <mergeCell ref="N1505:U1505"/>
    <mergeCell ref="N1506:U1506"/>
    <mergeCell ref="B1441:C1441"/>
    <mergeCell ref="B1442:C1442"/>
    <mergeCell ref="D1442:E1442"/>
    <mergeCell ref="F1442:G1442"/>
    <mergeCell ref="H1442:J1442"/>
    <mergeCell ref="K1442:M1442"/>
    <mergeCell ref="B1443:C1443"/>
    <mergeCell ref="H1443:J1443"/>
    <mergeCell ref="K1443:M1443"/>
    <mergeCell ref="N1446:U1446"/>
    <mergeCell ref="N1447:U1447"/>
    <mergeCell ref="N1448:U1448"/>
    <mergeCell ref="N1449:U1449"/>
    <mergeCell ref="N1450:U1450"/>
    <mergeCell ref="N1451:U1451"/>
    <mergeCell ref="N1452:U1452"/>
    <mergeCell ref="N1453:U1453"/>
    <mergeCell ref="N1454:U1454"/>
    <mergeCell ref="N1455:U1455"/>
    <mergeCell ref="N1456:U1456"/>
    <mergeCell ref="N1486:U1486"/>
    <mergeCell ref="N1487:U1487"/>
    <mergeCell ref="N1488:U1488"/>
    <mergeCell ref="N1489:U1489"/>
    <mergeCell ref="N1490:U1490"/>
    <mergeCell ref="N1491:U1491"/>
    <mergeCell ref="N1492:U1492"/>
    <mergeCell ref="N1493:U1493"/>
    <mergeCell ref="N1494:U1494"/>
    <mergeCell ref="N1495:U1495"/>
    <mergeCell ref="N1496:U1496"/>
    <mergeCell ref="N1497:U1497"/>
    <mergeCell ref="N1498:U1498"/>
    <mergeCell ref="N1499:U1499"/>
    <mergeCell ref="N1507:U1507"/>
    <mergeCell ref="N1508:U1508"/>
    <mergeCell ref="N1509:U1509"/>
    <mergeCell ref="H1435:J1435"/>
    <mergeCell ref="K1435:M1435"/>
    <mergeCell ref="D1436:E1436"/>
    <mergeCell ref="K1436:M1436"/>
    <mergeCell ref="B1439:C1439"/>
    <mergeCell ref="D1439:E1439"/>
    <mergeCell ref="F1439:G1439"/>
    <mergeCell ref="H1439:J1439"/>
    <mergeCell ref="K1439:M1439"/>
    <mergeCell ref="D1443:E1443"/>
    <mergeCell ref="F1443:G1443"/>
    <mergeCell ref="B1444:C1444"/>
    <mergeCell ref="D1444:E1444"/>
    <mergeCell ref="F1444:G1444"/>
    <mergeCell ref="H1444:J1444"/>
    <mergeCell ref="K1444:M1444"/>
    <mergeCell ref="B1436:C1436"/>
    <mergeCell ref="B1437:C1437"/>
    <mergeCell ref="D1437:E1437"/>
    <mergeCell ref="B1438:C1438"/>
    <mergeCell ref="D1438:E1438"/>
    <mergeCell ref="B1440:C1440"/>
    <mergeCell ref="D1440:E1440"/>
    <mergeCell ref="D1441:E1441"/>
    <mergeCell ref="F1431:G1431"/>
    <mergeCell ref="H1431:J1431"/>
    <mergeCell ref="H1432:J1432"/>
    <mergeCell ref="K1432:M1432"/>
    <mergeCell ref="H1433:J1433"/>
    <mergeCell ref="K1433:M1433"/>
    <mergeCell ref="B1430:C1430"/>
    <mergeCell ref="D1430:E1430"/>
    <mergeCell ref="F1430:G1430"/>
    <mergeCell ref="H1430:J1430"/>
    <mergeCell ref="K1430:M1430"/>
    <mergeCell ref="D1431:E1431"/>
    <mergeCell ref="K1431:M1431"/>
    <mergeCell ref="B1434:C1434"/>
    <mergeCell ref="D1434:E1434"/>
    <mergeCell ref="F1434:G1434"/>
    <mergeCell ref="H1434:J1434"/>
    <mergeCell ref="K1434:M1434"/>
    <mergeCell ref="B1431:C1431"/>
    <mergeCell ref="B1432:C1432"/>
    <mergeCell ref="D1432:E1432"/>
    <mergeCell ref="F1432:G1432"/>
    <mergeCell ref="B1433:C1433"/>
    <mergeCell ref="D1433:E1433"/>
    <mergeCell ref="F1433:G1433"/>
    <mergeCell ref="F1201:G1201"/>
    <mergeCell ref="H1201:J1201"/>
    <mergeCell ref="B1200:C1200"/>
    <mergeCell ref="D1200:E1200"/>
    <mergeCell ref="F1200:G1200"/>
    <mergeCell ref="H1200:J1200"/>
    <mergeCell ref="K1200:M1200"/>
    <mergeCell ref="D1201:E1201"/>
    <mergeCell ref="K1201:M1201"/>
    <mergeCell ref="F1216:G1216"/>
    <mergeCell ref="H1216:J1216"/>
    <mergeCell ref="B1215:C1215"/>
    <mergeCell ref="D1215:E1215"/>
    <mergeCell ref="F1215:G1215"/>
    <mergeCell ref="H1215:J1215"/>
    <mergeCell ref="K1215:M1215"/>
    <mergeCell ref="D1216:E1216"/>
    <mergeCell ref="K1216:M1216"/>
    <mergeCell ref="H1203:J1203"/>
    <mergeCell ref="K1203:M1203"/>
    <mergeCell ref="B1201:C1201"/>
    <mergeCell ref="B1202:C1202"/>
    <mergeCell ref="D1202:E1202"/>
    <mergeCell ref="F1202:G1202"/>
    <mergeCell ref="H1202:J1202"/>
    <mergeCell ref="K1202:M1202"/>
    <mergeCell ref="B1203:C1203"/>
    <mergeCell ref="B1210:C1210"/>
    <mergeCell ref="D1210:E1210"/>
    <mergeCell ref="F1210:G1210"/>
    <mergeCell ref="B1180:C1180"/>
    <mergeCell ref="D1180:E1180"/>
    <mergeCell ref="F1180:G1180"/>
    <mergeCell ref="H1180:J1180"/>
    <mergeCell ref="K1180:M1180"/>
    <mergeCell ref="D1181:E1181"/>
    <mergeCell ref="K1181:M1181"/>
    <mergeCell ref="B1184:C1184"/>
    <mergeCell ref="D1184:E1184"/>
    <mergeCell ref="F1184:G1184"/>
    <mergeCell ref="H1184:J1184"/>
    <mergeCell ref="K1184:M1184"/>
    <mergeCell ref="D1188:E1188"/>
    <mergeCell ref="F1188:G1188"/>
    <mergeCell ref="B1189:C1189"/>
    <mergeCell ref="D1189:E1189"/>
    <mergeCell ref="F1189:G1189"/>
    <mergeCell ref="H1189:J1189"/>
    <mergeCell ref="K1189:M1189"/>
    <mergeCell ref="H1188:J1188"/>
    <mergeCell ref="K1188:M1188"/>
    <mergeCell ref="B1186:C1186"/>
    <mergeCell ref="B1187:C1187"/>
    <mergeCell ref="D1187:E1187"/>
    <mergeCell ref="F1187:G1187"/>
    <mergeCell ref="H1187:J1187"/>
    <mergeCell ref="K1187:M1187"/>
    <mergeCell ref="B1188:C1188"/>
    <mergeCell ref="F1181:G1181"/>
    <mergeCell ref="H1181:J1181"/>
    <mergeCell ref="F1176:G1176"/>
    <mergeCell ref="H1176:J1176"/>
    <mergeCell ref="H1177:J1177"/>
    <mergeCell ref="K1177:M1177"/>
    <mergeCell ref="H1178:J1178"/>
    <mergeCell ref="K1178:M1178"/>
    <mergeCell ref="B1175:C1175"/>
    <mergeCell ref="D1175:E1175"/>
    <mergeCell ref="F1175:G1175"/>
    <mergeCell ref="H1175:J1175"/>
    <mergeCell ref="K1175:M1175"/>
    <mergeCell ref="D1176:E1176"/>
    <mergeCell ref="K1176:M1176"/>
    <mergeCell ref="B1179:C1179"/>
    <mergeCell ref="D1179:E1179"/>
    <mergeCell ref="F1179:G1179"/>
    <mergeCell ref="H1179:J1179"/>
    <mergeCell ref="K1179:M1179"/>
    <mergeCell ref="B1176:C1176"/>
    <mergeCell ref="B1177:C1177"/>
    <mergeCell ref="D1177:E1177"/>
    <mergeCell ref="F1177:G1177"/>
    <mergeCell ref="B1178:C1178"/>
    <mergeCell ref="D1178:E1178"/>
    <mergeCell ref="F1178:G1178"/>
    <mergeCell ref="H1182:J1182"/>
    <mergeCell ref="K1182:M1182"/>
    <mergeCell ref="H1183:J1183"/>
    <mergeCell ref="K1183:M1183"/>
    <mergeCell ref="B1181:C1181"/>
    <mergeCell ref="B1182:C1182"/>
    <mergeCell ref="D1182:E1182"/>
    <mergeCell ref="F1182:G1182"/>
    <mergeCell ref="B1183:C1183"/>
    <mergeCell ref="D1183:E1183"/>
    <mergeCell ref="F1183:G1183"/>
    <mergeCell ref="F1186:G1186"/>
    <mergeCell ref="H1186:J1186"/>
    <mergeCell ref="B1185:C1185"/>
    <mergeCell ref="D1185:E1185"/>
    <mergeCell ref="F1185:G1185"/>
    <mergeCell ref="H1185:J1185"/>
    <mergeCell ref="K1185:M1185"/>
    <mergeCell ref="D1186:E1186"/>
    <mergeCell ref="K1186:M1186"/>
    <mergeCell ref="B1195:C1195"/>
    <mergeCell ref="D1195:E1195"/>
    <mergeCell ref="F1195:G1195"/>
    <mergeCell ref="H1195:J1195"/>
    <mergeCell ref="K1195:M1195"/>
    <mergeCell ref="D1196:E1196"/>
    <mergeCell ref="K1196:M1196"/>
    <mergeCell ref="B1199:C1199"/>
    <mergeCell ref="D1199:E1199"/>
    <mergeCell ref="F1199:G1199"/>
    <mergeCell ref="H1199:J1199"/>
    <mergeCell ref="K1199:M1199"/>
    <mergeCell ref="D1203:E1203"/>
    <mergeCell ref="F1203:G1203"/>
    <mergeCell ref="B1204:C1204"/>
    <mergeCell ref="D1204:E1204"/>
    <mergeCell ref="F1204:G1204"/>
    <mergeCell ref="H1204:J1204"/>
    <mergeCell ref="K1204:M1204"/>
    <mergeCell ref="F1196:G1196"/>
    <mergeCell ref="H1196:J1196"/>
    <mergeCell ref="H1197:J1197"/>
    <mergeCell ref="K1197:M1197"/>
    <mergeCell ref="H1198:J1198"/>
    <mergeCell ref="K1198:M1198"/>
    <mergeCell ref="B1196:C1196"/>
    <mergeCell ref="B1197:C1197"/>
    <mergeCell ref="D1197:E1197"/>
    <mergeCell ref="F1197:G1197"/>
    <mergeCell ref="B1198:C1198"/>
    <mergeCell ref="D1198:E1198"/>
    <mergeCell ref="F1198:G1198"/>
    <mergeCell ref="F1191:G1191"/>
    <mergeCell ref="H1191:J1191"/>
    <mergeCell ref="H1192:J1192"/>
    <mergeCell ref="K1192:M1192"/>
    <mergeCell ref="H1193:J1193"/>
    <mergeCell ref="K1193:M1193"/>
    <mergeCell ref="B1190:C1190"/>
    <mergeCell ref="D1190:E1190"/>
    <mergeCell ref="F1190:G1190"/>
    <mergeCell ref="H1190:J1190"/>
    <mergeCell ref="K1190:M1190"/>
    <mergeCell ref="D1191:E1191"/>
    <mergeCell ref="K1191:M1191"/>
    <mergeCell ref="B1194:C1194"/>
    <mergeCell ref="D1194:E1194"/>
    <mergeCell ref="F1194:G1194"/>
    <mergeCell ref="H1194:J1194"/>
    <mergeCell ref="K1194:M1194"/>
    <mergeCell ref="B1191:C1191"/>
    <mergeCell ref="B1192:C1192"/>
    <mergeCell ref="D1192:E1192"/>
    <mergeCell ref="F1192:G1192"/>
    <mergeCell ref="B1193:C1193"/>
    <mergeCell ref="D1193:E1193"/>
    <mergeCell ref="F1193:G1193"/>
    <mergeCell ref="H1021:J1021"/>
    <mergeCell ref="B1020:C1020"/>
    <mergeCell ref="D1020:E1020"/>
    <mergeCell ref="F1020:G1020"/>
    <mergeCell ref="H1020:J1020"/>
    <mergeCell ref="K1020:M1020"/>
    <mergeCell ref="D1021:E1021"/>
    <mergeCell ref="K1021:M1021"/>
    <mergeCell ref="F1036:G1036"/>
    <mergeCell ref="H1036:J1036"/>
    <mergeCell ref="B1035:C1035"/>
    <mergeCell ref="D1035:E1035"/>
    <mergeCell ref="F1035:G1035"/>
    <mergeCell ref="H1035:J1035"/>
    <mergeCell ref="K1035:M1035"/>
    <mergeCell ref="D1036:E1036"/>
    <mergeCell ref="K1036:M1036"/>
    <mergeCell ref="B1022:C1022"/>
    <mergeCell ref="D1022:E1022"/>
    <mergeCell ref="F1022:G1022"/>
    <mergeCell ref="H1022:J1022"/>
    <mergeCell ref="K1022:M1022"/>
    <mergeCell ref="B1023:C1023"/>
    <mergeCell ref="F1031:G1031"/>
    <mergeCell ref="H1031:J1031"/>
    <mergeCell ref="H1032:J1032"/>
    <mergeCell ref="K1032:M1032"/>
    <mergeCell ref="H1033:J1033"/>
    <mergeCell ref="K1033:M1033"/>
    <mergeCell ref="B1031:C1031"/>
    <mergeCell ref="B1032:C1032"/>
    <mergeCell ref="D1032:E1032"/>
    <mergeCell ref="B1000:C1000"/>
    <mergeCell ref="D1000:E1000"/>
    <mergeCell ref="F1000:G1000"/>
    <mergeCell ref="H1000:J1000"/>
    <mergeCell ref="K1000:M1000"/>
    <mergeCell ref="D1001:E1001"/>
    <mergeCell ref="K1001:M1001"/>
    <mergeCell ref="B1004:C1004"/>
    <mergeCell ref="D1004:E1004"/>
    <mergeCell ref="F1004:G1004"/>
    <mergeCell ref="H1004:J1004"/>
    <mergeCell ref="K1004:M1004"/>
    <mergeCell ref="D1008:E1008"/>
    <mergeCell ref="F1008:G1008"/>
    <mergeCell ref="B1009:C1009"/>
    <mergeCell ref="D1009:E1009"/>
    <mergeCell ref="F1009:G1009"/>
    <mergeCell ref="H1009:J1009"/>
    <mergeCell ref="K1009:M1009"/>
    <mergeCell ref="H1008:J1008"/>
    <mergeCell ref="K1008:M1008"/>
    <mergeCell ref="B1006:C1006"/>
    <mergeCell ref="B1007:C1007"/>
    <mergeCell ref="D1007:E1007"/>
    <mergeCell ref="F1007:G1007"/>
    <mergeCell ref="H1007:J1007"/>
    <mergeCell ref="K1007:M1007"/>
    <mergeCell ref="B1008:C1008"/>
    <mergeCell ref="F1001:G1001"/>
    <mergeCell ref="H1001:J1001"/>
    <mergeCell ref="F996:G996"/>
    <mergeCell ref="H996:J996"/>
    <mergeCell ref="H997:J997"/>
    <mergeCell ref="K997:M997"/>
    <mergeCell ref="H998:J998"/>
    <mergeCell ref="K998:M998"/>
    <mergeCell ref="B995:C995"/>
    <mergeCell ref="D995:E995"/>
    <mergeCell ref="F995:G995"/>
    <mergeCell ref="H995:J995"/>
    <mergeCell ref="K995:M995"/>
    <mergeCell ref="D996:E996"/>
    <mergeCell ref="K996:M996"/>
    <mergeCell ref="B999:C999"/>
    <mergeCell ref="D999:E999"/>
    <mergeCell ref="F999:G999"/>
    <mergeCell ref="H999:J999"/>
    <mergeCell ref="K999:M999"/>
    <mergeCell ref="B996:C996"/>
    <mergeCell ref="B997:C997"/>
    <mergeCell ref="D997:E997"/>
    <mergeCell ref="F997:G997"/>
    <mergeCell ref="B998:C998"/>
    <mergeCell ref="D998:E998"/>
    <mergeCell ref="F998:G998"/>
    <mergeCell ref="H1002:J1002"/>
    <mergeCell ref="K1002:M1002"/>
    <mergeCell ref="H1003:J1003"/>
    <mergeCell ref="K1003:M1003"/>
    <mergeCell ref="B1001:C1001"/>
    <mergeCell ref="B1002:C1002"/>
    <mergeCell ref="D1002:E1002"/>
    <mergeCell ref="F1002:G1002"/>
    <mergeCell ref="B1003:C1003"/>
    <mergeCell ref="D1003:E1003"/>
    <mergeCell ref="F1003:G1003"/>
    <mergeCell ref="F1006:G1006"/>
    <mergeCell ref="H1006:J1006"/>
    <mergeCell ref="B1005:C1005"/>
    <mergeCell ref="D1005:E1005"/>
    <mergeCell ref="F1005:G1005"/>
    <mergeCell ref="H1005:J1005"/>
    <mergeCell ref="K1005:M1005"/>
    <mergeCell ref="D1006:E1006"/>
    <mergeCell ref="K1006:M1006"/>
    <mergeCell ref="D1015:E1015"/>
    <mergeCell ref="F1015:G1015"/>
    <mergeCell ref="H1015:J1015"/>
    <mergeCell ref="K1015:M1015"/>
    <mergeCell ref="D1016:E1016"/>
    <mergeCell ref="K1016:M1016"/>
    <mergeCell ref="B1019:C1019"/>
    <mergeCell ref="D1019:E1019"/>
    <mergeCell ref="F1019:G1019"/>
    <mergeCell ref="H1019:J1019"/>
    <mergeCell ref="K1019:M1019"/>
    <mergeCell ref="D1023:E1023"/>
    <mergeCell ref="F1023:G1023"/>
    <mergeCell ref="B1024:C1024"/>
    <mergeCell ref="D1024:E1024"/>
    <mergeCell ref="F1024:G1024"/>
    <mergeCell ref="H1024:J1024"/>
    <mergeCell ref="K1024:M1024"/>
    <mergeCell ref="F1016:G1016"/>
    <mergeCell ref="H1016:J1016"/>
    <mergeCell ref="H1017:J1017"/>
    <mergeCell ref="K1017:M1017"/>
    <mergeCell ref="H1018:J1018"/>
    <mergeCell ref="K1018:M1018"/>
    <mergeCell ref="B1016:C1016"/>
    <mergeCell ref="B1017:C1017"/>
    <mergeCell ref="D1017:E1017"/>
    <mergeCell ref="F1017:G1017"/>
    <mergeCell ref="B1018:C1018"/>
    <mergeCell ref="D1018:E1018"/>
    <mergeCell ref="F1018:G1018"/>
    <mergeCell ref="F1021:G1021"/>
    <mergeCell ref="F1011:G1011"/>
    <mergeCell ref="H1011:J1011"/>
    <mergeCell ref="H1012:J1012"/>
    <mergeCell ref="K1012:M1012"/>
    <mergeCell ref="H1013:J1013"/>
    <mergeCell ref="K1013:M1013"/>
    <mergeCell ref="B1010:C1010"/>
    <mergeCell ref="D1010:E1010"/>
    <mergeCell ref="F1010:G1010"/>
    <mergeCell ref="H1010:J1010"/>
    <mergeCell ref="K1010:M1010"/>
    <mergeCell ref="D1011:E1011"/>
    <mergeCell ref="K1011:M1011"/>
    <mergeCell ref="B1014:C1014"/>
    <mergeCell ref="D1014:E1014"/>
    <mergeCell ref="F1014:G1014"/>
    <mergeCell ref="H1014:J1014"/>
    <mergeCell ref="K1014:M1014"/>
    <mergeCell ref="B1011:C1011"/>
    <mergeCell ref="B1012:C1012"/>
    <mergeCell ref="D1012:E1012"/>
    <mergeCell ref="F1012:G1012"/>
    <mergeCell ref="B1013:C1013"/>
    <mergeCell ref="D1013:E1013"/>
    <mergeCell ref="F1013:G1013"/>
    <mergeCell ref="B1015:C1015"/>
    <mergeCell ref="D894:E894"/>
    <mergeCell ref="F894:G894"/>
    <mergeCell ref="H894:J894"/>
    <mergeCell ref="K894:M894"/>
    <mergeCell ref="N894:U894"/>
    <mergeCell ref="B894:C894"/>
    <mergeCell ref="B895:C895"/>
    <mergeCell ref="D895:E895"/>
    <mergeCell ref="F895:G895"/>
    <mergeCell ref="H895:J895"/>
    <mergeCell ref="K895:M895"/>
    <mergeCell ref="N895:U895"/>
    <mergeCell ref="H897:J897"/>
    <mergeCell ref="K897:M897"/>
    <mergeCell ref="B896:C896"/>
    <mergeCell ref="D896:E896"/>
    <mergeCell ref="F896:G896"/>
    <mergeCell ref="H896:J896"/>
    <mergeCell ref="K896:M896"/>
    <mergeCell ref="N896:U896"/>
    <mergeCell ref="B897:C897"/>
    <mergeCell ref="N897:U897"/>
    <mergeCell ref="N964:U964"/>
    <mergeCell ref="N965:U965"/>
    <mergeCell ref="N966:U966"/>
    <mergeCell ref="N967:U967"/>
    <mergeCell ref="N968:U968"/>
    <mergeCell ref="N969:U969"/>
    <mergeCell ref="N970:U970"/>
    <mergeCell ref="N963:U963"/>
    <mergeCell ref="K945:M945"/>
    <mergeCell ref="N890:U890"/>
    <mergeCell ref="B890:C890"/>
    <mergeCell ref="B891:C891"/>
    <mergeCell ref="D891:E891"/>
    <mergeCell ref="F891:G891"/>
    <mergeCell ref="H891:J891"/>
    <mergeCell ref="K891:M891"/>
    <mergeCell ref="N891:U891"/>
    <mergeCell ref="H893:J893"/>
    <mergeCell ref="K893:M893"/>
    <mergeCell ref="B892:C892"/>
    <mergeCell ref="D892:E892"/>
    <mergeCell ref="F892:G892"/>
    <mergeCell ref="H892:J892"/>
    <mergeCell ref="K892:M892"/>
    <mergeCell ref="N892:U892"/>
    <mergeCell ref="B893:C893"/>
    <mergeCell ref="N893:U893"/>
    <mergeCell ref="D893:E893"/>
    <mergeCell ref="F893:G893"/>
    <mergeCell ref="B878:C878"/>
    <mergeCell ref="D878:E878"/>
    <mergeCell ref="F878:G878"/>
    <mergeCell ref="H878:J878"/>
    <mergeCell ref="K878:M878"/>
    <mergeCell ref="B880:C880"/>
    <mergeCell ref="B881:C881"/>
    <mergeCell ref="D881:E881"/>
    <mergeCell ref="F881:G881"/>
    <mergeCell ref="H881:J881"/>
    <mergeCell ref="K881:M881"/>
    <mergeCell ref="N881:U881"/>
    <mergeCell ref="H889:J889"/>
    <mergeCell ref="K889:M889"/>
    <mergeCell ref="B888:C888"/>
    <mergeCell ref="D888:E888"/>
    <mergeCell ref="F888:G888"/>
    <mergeCell ref="H888:J888"/>
    <mergeCell ref="K888:M888"/>
    <mergeCell ref="N888:U888"/>
    <mergeCell ref="B889:C889"/>
    <mergeCell ref="N889:U889"/>
    <mergeCell ref="D889:E889"/>
    <mergeCell ref="F889:G889"/>
    <mergeCell ref="N887:U887"/>
    <mergeCell ref="D883:E883"/>
    <mergeCell ref="F883:G883"/>
    <mergeCell ref="B884:C884"/>
    <mergeCell ref="D884:E884"/>
    <mergeCell ref="F884:G884"/>
    <mergeCell ref="B885:C885"/>
    <mergeCell ref="D885:E885"/>
    <mergeCell ref="D873:E873"/>
    <mergeCell ref="F873:G873"/>
    <mergeCell ref="H873:J873"/>
    <mergeCell ref="K873:M873"/>
    <mergeCell ref="B870:C870"/>
    <mergeCell ref="B871:C871"/>
    <mergeCell ref="D871:E871"/>
    <mergeCell ref="F871:G871"/>
    <mergeCell ref="B872:C872"/>
    <mergeCell ref="D872:E872"/>
    <mergeCell ref="F872:G872"/>
    <mergeCell ref="B874:C874"/>
    <mergeCell ref="D874:E874"/>
    <mergeCell ref="F874:G874"/>
    <mergeCell ref="H874:J874"/>
    <mergeCell ref="K874:M874"/>
    <mergeCell ref="D875:E875"/>
    <mergeCell ref="K875:M875"/>
    <mergeCell ref="B258:C258"/>
    <mergeCell ref="D258:E258"/>
    <mergeCell ref="F258:G258"/>
    <mergeCell ref="H258:J258"/>
    <mergeCell ref="K258:M258"/>
    <mergeCell ref="D262:E262"/>
    <mergeCell ref="F262:G262"/>
    <mergeCell ref="B263:C263"/>
    <mergeCell ref="D263:E263"/>
    <mergeCell ref="F263:G263"/>
    <mergeCell ref="H263:J263"/>
    <mergeCell ref="K263:M263"/>
    <mergeCell ref="F875:G875"/>
    <mergeCell ref="H875:J875"/>
    <mergeCell ref="H876:J876"/>
    <mergeCell ref="K876:M876"/>
    <mergeCell ref="H877:J877"/>
    <mergeCell ref="K877:M877"/>
    <mergeCell ref="B875:C875"/>
    <mergeCell ref="B876:C876"/>
    <mergeCell ref="D876:E876"/>
    <mergeCell ref="F876:G876"/>
    <mergeCell ref="B877:C877"/>
    <mergeCell ref="D877:E877"/>
    <mergeCell ref="F877:G877"/>
    <mergeCell ref="F870:G870"/>
    <mergeCell ref="H870:J870"/>
    <mergeCell ref="H871:J871"/>
    <mergeCell ref="K871:M871"/>
    <mergeCell ref="H872:J872"/>
    <mergeCell ref="K872:M872"/>
    <mergeCell ref="B869:C869"/>
    <mergeCell ref="D253:E253"/>
    <mergeCell ref="F253:G253"/>
    <mergeCell ref="H253:J253"/>
    <mergeCell ref="K253:M253"/>
    <mergeCell ref="B250:C250"/>
    <mergeCell ref="B251:C251"/>
    <mergeCell ref="D251:E251"/>
    <mergeCell ref="F251:G251"/>
    <mergeCell ref="B252:C252"/>
    <mergeCell ref="D252:E252"/>
    <mergeCell ref="F252:G252"/>
    <mergeCell ref="B254:C254"/>
    <mergeCell ref="D254:E254"/>
    <mergeCell ref="F254:G254"/>
    <mergeCell ref="H254:J254"/>
    <mergeCell ref="K254:M254"/>
    <mergeCell ref="D255:E255"/>
    <mergeCell ref="K255:M255"/>
    <mergeCell ref="F260:G260"/>
    <mergeCell ref="H260:J260"/>
    <mergeCell ref="B259:C259"/>
    <mergeCell ref="D259:E259"/>
    <mergeCell ref="F259:G259"/>
    <mergeCell ref="H259:J259"/>
    <mergeCell ref="K259:M259"/>
    <mergeCell ref="D260:E260"/>
    <mergeCell ref="K260:M260"/>
    <mergeCell ref="H262:J262"/>
    <mergeCell ref="K262:M262"/>
    <mergeCell ref="B260:C260"/>
    <mergeCell ref="B261:C261"/>
    <mergeCell ref="D261:E261"/>
    <mergeCell ref="F261:G261"/>
    <mergeCell ref="H261:J261"/>
    <mergeCell ref="K261:M261"/>
    <mergeCell ref="B262:C262"/>
    <mergeCell ref="B248:C248"/>
    <mergeCell ref="D248:E248"/>
    <mergeCell ref="F248:G248"/>
    <mergeCell ref="H248:J248"/>
    <mergeCell ref="K248:M248"/>
    <mergeCell ref="F255:G255"/>
    <mergeCell ref="H255:J255"/>
    <mergeCell ref="H256:J256"/>
    <mergeCell ref="K256:M256"/>
    <mergeCell ref="H257:J257"/>
    <mergeCell ref="K257:M257"/>
    <mergeCell ref="B255:C255"/>
    <mergeCell ref="B256:C256"/>
    <mergeCell ref="D256:E256"/>
    <mergeCell ref="F256:G256"/>
    <mergeCell ref="B257:C257"/>
    <mergeCell ref="D257:E257"/>
    <mergeCell ref="F257:G257"/>
    <mergeCell ref="F250:G250"/>
    <mergeCell ref="H250:J250"/>
    <mergeCell ref="H251:J251"/>
    <mergeCell ref="K251:M251"/>
    <mergeCell ref="H252:J252"/>
    <mergeCell ref="K252:M252"/>
    <mergeCell ref="B249:C249"/>
    <mergeCell ref="D249:E249"/>
    <mergeCell ref="F249:G249"/>
    <mergeCell ref="H249:J249"/>
    <mergeCell ref="K249:M249"/>
    <mergeCell ref="D250:E250"/>
    <mergeCell ref="K250:M250"/>
    <mergeCell ref="B253:C253"/>
    <mergeCell ref="B239:C239"/>
    <mergeCell ref="D239:E239"/>
    <mergeCell ref="F239:G239"/>
    <mergeCell ref="H239:J239"/>
    <mergeCell ref="K239:M239"/>
    <mergeCell ref="D240:E240"/>
    <mergeCell ref="K240:M240"/>
    <mergeCell ref="B243:C243"/>
    <mergeCell ref="D243:E243"/>
    <mergeCell ref="F243:G243"/>
    <mergeCell ref="H243:J243"/>
    <mergeCell ref="K243:M243"/>
    <mergeCell ref="D247:E247"/>
    <mergeCell ref="F247:G247"/>
    <mergeCell ref="F242:G242"/>
    <mergeCell ref="H247:J247"/>
    <mergeCell ref="K247:M247"/>
    <mergeCell ref="B245:C245"/>
    <mergeCell ref="B246:C246"/>
    <mergeCell ref="D246:E246"/>
    <mergeCell ref="F246:G246"/>
    <mergeCell ref="H246:J246"/>
    <mergeCell ref="K246:M246"/>
    <mergeCell ref="B247:C247"/>
    <mergeCell ref="F235:G235"/>
    <mergeCell ref="H235:J235"/>
    <mergeCell ref="H236:J236"/>
    <mergeCell ref="K236:M236"/>
    <mergeCell ref="H237:J237"/>
    <mergeCell ref="K237:M237"/>
    <mergeCell ref="B234:C234"/>
    <mergeCell ref="D234:E234"/>
    <mergeCell ref="F234:G234"/>
    <mergeCell ref="H234:J234"/>
    <mergeCell ref="K234:M234"/>
    <mergeCell ref="D235:E235"/>
    <mergeCell ref="K235:M235"/>
    <mergeCell ref="B238:C238"/>
    <mergeCell ref="D238:E238"/>
    <mergeCell ref="F238:G238"/>
    <mergeCell ref="H238:J238"/>
    <mergeCell ref="K238:M238"/>
    <mergeCell ref="B235:C235"/>
    <mergeCell ref="B236:C236"/>
    <mergeCell ref="D236:E236"/>
    <mergeCell ref="F236:G236"/>
    <mergeCell ref="B237:C237"/>
    <mergeCell ref="D237:E237"/>
    <mergeCell ref="F237:G237"/>
    <mergeCell ref="D227:E227"/>
    <mergeCell ref="F227:G227"/>
    <mergeCell ref="F230:G230"/>
    <mergeCell ref="H230:J230"/>
    <mergeCell ref="B229:C229"/>
    <mergeCell ref="D229:E229"/>
    <mergeCell ref="F229:G229"/>
    <mergeCell ref="H229:J229"/>
    <mergeCell ref="K229:M229"/>
    <mergeCell ref="D230:E230"/>
    <mergeCell ref="K230:M230"/>
    <mergeCell ref="F245:G245"/>
    <mergeCell ref="H245:J245"/>
    <mergeCell ref="B244:C244"/>
    <mergeCell ref="D244:E244"/>
    <mergeCell ref="F244:G244"/>
    <mergeCell ref="H244:J244"/>
    <mergeCell ref="K244:M244"/>
    <mergeCell ref="D245:E245"/>
    <mergeCell ref="K245:M245"/>
    <mergeCell ref="F240:G240"/>
    <mergeCell ref="H240:J240"/>
    <mergeCell ref="H241:J241"/>
    <mergeCell ref="K241:M241"/>
    <mergeCell ref="H242:J242"/>
    <mergeCell ref="K242:M242"/>
    <mergeCell ref="B240:C240"/>
    <mergeCell ref="B241:C241"/>
    <mergeCell ref="D241:E241"/>
    <mergeCell ref="F241:G241"/>
    <mergeCell ref="B242:C242"/>
    <mergeCell ref="D242:E242"/>
    <mergeCell ref="D209:E209"/>
    <mergeCell ref="F209:G209"/>
    <mergeCell ref="H209:J209"/>
    <mergeCell ref="K209:M209"/>
    <mergeCell ref="D210:E210"/>
    <mergeCell ref="K210:M210"/>
    <mergeCell ref="B213:C213"/>
    <mergeCell ref="D213:E213"/>
    <mergeCell ref="F213:G213"/>
    <mergeCell ref="H213:J213"/>
    <mergeCell ref="K213:M213"/>
    <mergeCell ref="D217:E217"/>
    <mergeCell ref="F217:G217"/>
    <mergeCell ref="B218:C218"/>
    <mergeCell ref="D218:E218"/>
    <mergeCell ref="F218:G218"/>
    <mergeCell ref="H218:J218"/>
    <mergeCell ref="K218:M218"/>
    <mergeCell ref="B216:C216"/>
    <mergeCell ref="D216:E216"/>
    <mergeCell ref="F216:G216"/>
    <mergeCell ref="H216:J216"/>
    <mergeCell ref="K216:M216"/>
    <mergeCell ref="B217:C217"/>
    <mergeCell ref="B209:C209"/>
    <mergeCell ref="F205:G205"/>
    <mergeCell ref="H205:J205"/>
    <mergeCell ref="H206:J206"/>
    <mergeCell ref="K206:M206"/>
    <mergeCell ref="H207:J207"/>
    <mergeCell ref="K207:M207"/>
    <mergeCell ref="B204:C204"/>
    <mergeCell ref="D204:E204"/>
    <mergeCell ref="F204:G204"/>
    <mergeCell ref="H204:J204"/>
    <mergeCell ref="K204:M204"/>
    <mergeCell ref="D205:E205"/>
    <mergeCell ref="K205:M205"/>
    <mergeCell ref="B208:C208"/>
    <mergeCell ref="D208:E208"/>
    <mergeCell ref="F208:G208"/>
    <mergeCell ref="H208:J208"/>
    <mergeCell ref="K208:M208"/>
    <mergeCell ref="B205:C205"/>
    <mergeCell ref="B206:C206"/>
    <mergeCell ref="D206:E206"/>
    <mergeCell ref="F206:G206"/>
    <mergeCell ref="B207:C207"/>
    <mergeCell ref="D207:E207"/>
    <mergeCell ref="F207:G207"/>
    <mergeCell ref="D232:E232"/>
    <mergeCell ref="F232:G232"/>
    <mergeCell ref="B233:C233"/>
    <mergeCell ref="D233:E233"/>
    <mergeCell ref="F233:G233"/>
    <mergeCell ref="H233:J233"/>
    <mergeCell ref="K233:M233"/>
    <mergeCell ref="F210:G210"/>
    <mergeCell ref="H210:J210"/>
    <mergeCell ref="H211:J211"/>
    <mergeCell ref="K211:M211"/>
    <mergeCell ref="H212:J212"/>
    <mergeCell ref="K212:M212"/>
    <mergeCell ref="B210:C210"/>
    <mergeCell ref="B211:C211"/>
    <mergeCell ref="D211:E211"/>
    <mergeCell ref="F211:G211"/>
    <mergeCell ref="B212:C212"/>
    <mergeCell ref="D212:E212"/>
    <mergeCell ref="F212:G212"/>
    <mergeCell ref="F215:G215"/>
    <mergeCell ref="H215:J215"/>
    <mergeCell ref="B214:C214"/>
    <mergeCell ref="D214:E214"/>
    <mergeCell ref="F214:G214"/>
    <mergeCell ref="H214:J214"/>
    <mergeCell ref="K214:M214"/>
    <mergeCell ref="D215:E215"/>
    <mergeCell ref="K215:M215"/>
    <mergeCell ref="H217:J217"/>
    <mergeCell ref="K217:M217"/>
    <mergeCell ref="B215:C215"/>
    <mergeCell ref="H223:J223"/>
    <mergeCell ref="K223:M223"/>
    <mergeCell ref="B220:C220"/>
    <mergeCell ref="B221:C221"/>
    <mergeCell ref="D221:E221"/>
    <mergeCell ref="F221:G221"/>
    <mergeCell ref="B222:C222"/>
    <mergeCell ref="D222:E222"/>
    <mergeCell ref="F222:G222"/>
    <mergeCell ref="B224:C224"/>
    <mergeCell ref="D224:E224"/>
    <mergeCell ref="F224:G224"/>
    <mergeCell ref="H224:J224"/>
    <mergeCell ref="K224:M224"/>
    <mergeCell ref="D225:E225"/>
    <mergeCell ref="K225:M225"/>
    <mergeCell ref="B228:C228"/>
    <mergeCell ref="D228:E228"/>
    <mergeCell ref="F228:G228"/>
    <mergeCell ref="H228:J228"/>
    <mergeCell ref="K228:M228"/>
    <mergeCell ref="F225:G225"/>
    <mergeCell ref="H225:J225"/>
    <mergeCell ref="H226:J226"/>
    <mergeCell ref="K226:M226"/>
    <mergeCell ref="H227:J227"/>
    <mergeCell ref="K227:M227"/>
    <mergeCell ref="B225:C225"/>
    <mergeCell ref="B226:C226"/>
    <mergeCell ref="D226:E226"/>
    <mergeCell ref="F226:G226"/>
    <mergeCell ref="B227:C227"/>
    <mergeCell ref="D202:E202"/>
    <mergeCell ref="F202:G202"/>
    <mergeCell ref="B203:C203"/>
    <mergeCell ref="D203:E203"/>
    <mergeCell ref="F203:G203"/>
    <mergeCell ref="H203:J203"/>
    <mergeCell ref="K203:M203"/>
    <mergeCell ref="H232:J232"/>
    <mergeCell ref="K232:M232"/>
    <mergeCell ref="B230:C230"/>
    <mergeCell ref="B231:C231"/>
    <mergeCell ref="D231:E231"/>
    <mergeCell ref="F231:G231"/>
    <mergeCell ref="H231:J231"/>
    <mergeCell ref="K231:M231"/>
    <mergeCell ref="B232:C232"/>
    <mergeCell ref="F220:G220"/>
    <mergeCell ref="H220:J220"/>
    <mergeCell ref="H221:J221"/>
    <mergeCell ref="K221:M221"/>
    <mergeCell ref="H222:J222"/>
    <mergeCell ref="K222:M222"/>
    <mergeCell ref="B219:C219"/>
    <mergeCell ref="D219:E219"/>
    <mergeCell ref="F219:G219"/>
    <mergeCell ref="H219:J219"/>
    <mergeCell ref="K219:M219"/>
    <mergeCell ref="D220:E220"/>
    <mergeCell ref="K220:M220"/>
    <mergeCell ref="B223:C223"/>
    <mergeCell ref="D223:E223"/>
    <mergeCell ref="F223:G223"/>
    <mergeCell ref="H202:J202"/>
    <mergeCell ref="K202:M202"/>
    <mergeCell ref="B200:C200"/>
    <mergeCell ref="B201:C201"/>
    <mergeCell ref="D201:E201"/>
    <mergeCell ref="F201:G201"/>
    <mergeCell ref="H201:J201"/>
    <mergeCell ref="K201:M201"/>
    <mergeCell ref="B202:C202"/>
    <mergeCell ref="F190:G190"/>
    <mergeCell ref="H190:J190"/>
    <mergeCell ref="H191:J191"/>
    <mergeCell ref="K191:M191"/>
    <mergeCell ref="H192:J192"/>
    <mergeCell ref="K192:M192"/>
    <mergeCell ref="B189:C189"/>
    <mergeCell ref="D189:E189"/>
    <mergeCell ref="F189:G189"/>
    <mergeCell ref="H189:J189"/>
    <mergeCell ref="K189:M189"/>
    <mergeCell ref="D190:E190"/>
    <mergeCell ref="K190:M190"/>
    <mergeCell ref="B193:C193"/>
    <mergeCell ref="D193:E193"/>
    <mergeCell ref="F193:G193"/>
    <mergeCell ref="H193:J193"/>
    <mergeCell ref="K193:M193"/>
    <mergeCell ref="B190:C190"/>
    <mergeCell ref="B191:C191"/>
    <mergeCell ref="D191:E191"/>
    <mergeCell ref="F191:G191"/>
    <mergeCell ref="B192:C192"/>
    <mergeCell ref="B185:C185"/>
    <mergeCell ref="B186:C186"/>
    <mergeCell ref="D186:E186"/>
    <mergeCell ref="F186:G186"/>
    <mergeCell ref="H186:J186"/>
    <mergeCell ref="H197:J197"/>
    <mergeCell ref="K197:M197"/>
    <mergeCell ref="B195:C195"/>
    <mergeCell ref="B196:C196"/>
    <mergeCell ref="D196:E196"/>
    <mergeCell ref="F196:G196"/>
    <mergeCell ref="B197:C197"/>
    <mergeCell ref="D197:E197"/>
    <mergeCell ref="F197:G197"/>
    <mergeCell ref="F200:G200"/>
    <mergeCell ref="H200:J200"/>
    <mergeCell ref="B199:C199"/>
    <mergeCell ref="D199:E199"/>
    <mergeCell ref="F199:G199"/>
    <mergeCell ref="H199:J199"/>
    <mergeCell ref="K199:M199"/>
    <mergeCell ref="D200:E200"/>
    <mergeCell ref="K200:M200"/>
    <mergeCell ref="D195:E195"/>
    <mergeCell ref="K195:M195"/>
    <mergeCell ref="B198:C198"/>
    <mergeCell ref="D198:E198"/>
    <mergeCell ref="F198:G198"/>
    <mergeCell ref="H198:J198"/>
    <mergeCell ref="K198:M198"/>
    <mergeCell ref="D187:E187"/>
    <mergeCell ref="F187:G187"/>
    <mergeCell ref="B188:C188"/>
    <mergeCell ref="D188:E188"/>
    <mergeCell ref="F188:G188"/>
    <mergeCell ref="H188:J188"/>
    <mergeCell ref="K188:M188"/>
    <mergeCell ref="F195:G195"/>
    <mergeCell ref="H195:J195"/>
    <mergeCell ref="H196:J196"/>
    <mergeCell ref="K196:M196"/>
    <mergeCell ref="D192:E192"/>
    <mergeCell ref="F192:G192"/>
    <mergeCell ref="B194:C194"/>
    <mergeCell ref="D194:E194"/>
    <mergeCell ref="F194:G194"/>
    <mergeCell ref="H194:J194"/>
    <mergeCell ref="K194:M194"/>
    <mergeCell ref="H187:J187"/>
    <mergeCell ref="K187:M187"/>
    <mergeCell ref="K186:M186"/>
    <mergeCell ref="B187:C187"/>
    <mergeCell ref="F175:G175"/>
    <mergeCell ref="H175:J175"/>
    <mergeCell ref="H176:J176"/>
    <mergeCell ref="K176:M176"/>
    <mergeCell ref="H177:J177"/>
    <mergeCell ref="K177:M177"/>
    <mergeCell ref="B174:C174"/>
    <mergeCell ref="D174:E174"/>
    <mergeCell ref="F174:G174"/>
    <mergeCell ref="H174:J174"/>
    <mergeCell ref="K174:M174"/>
    <mergeCell ref="D175:E175"/>
    <mergeCell ref="K175:M175"/>
    <mergeCell ref="B178:C178"/>
    <mergeCell ref="D178:E178"/>
    <mergeCell ref="F178:G178"/>
    <mergeCell ref="H178:J178"/>
    <mergeCell ref="K178:M178"/>
    <mergeCell ref="B175:C175"/>
    <mergeCell ref="B176:C176"/>
    <mergeCell ref="D176:E176"/>
    <mergeCell ref="F176:G176"/>
    <mergeCell ref="B177:C177"/>
    <mergeCell ref="D180:E180"/>
    <mergeCell ref="K180:M180"/>
    <mergeCell ref="B183:C183"/>
    <mergeCell ref="D183:E183"/>
    <mergeCell ref="F183:G183"/>
    <mergeCell ref="H183:J183"/>
    <mergeCell ref="K183:M183"/>
    <mergeCell ref="K169:M169"/>
    <mergeCell ref="D170:E170"/>
    <mergeCell ref="K170:M170"/>
    <mergeCell ref="F185:G185"/>
    <mergeCell ref="H185:J185"/>
    <mergeCell ref="B184:C184"/>
    <mergeCell ref="D184:E184"/>
    <mergeCell ref="F184:G184"/>
    <mergeCell ref="H184:J184"/>
    <mergeCell ref="K184:M184"/>
    <mergeCell ref="D185:E185"/>
    <mergeCell ref="K185:M185"/>
    <mergeCell ref="F180:G180"/>
    <mergeCell ref="H180:J180"/>
    <mergeCell ref="H181:J181"/>
    <mergeCell ref="K181:M181"/>
    <mergeCell ref="H182:J182"/>
    <mergeCell ref="K182:M182"/>
    <mergeCell ref="B180:C180"/>
    <mergeCell ref="B181:C181"/>
    <mergeCell ref="D181:E181"/>
    <mergeCell ref="F181:G181"/>
    <mergeCell ref="B182:C182"/>
    <mergeCell ref="D182:E182"/>
    <mergeCell ref="F182:G182"/>
    <mergeCell ref="D177:E177"/>
    <mergeCell ref="F177:G177"/>
    <mergeCell ref="B179:C179"/>
    <mergeCell ref="D179:E179"/>
    <mergeCell ref="F179:G179"/>
    <mergeCell ref="H179:J179"/>
    <mergeCell ref="K179:M179"/>
    <mergeCell ref="D150:E150"/>
    <mergeCell ref="K150:M150"/>
    <mergeCell ref="B153:C153"/>
    <mergeCell ref="D153:E153"/>
    <mergeCell ref="F153:G153"/>
    <mergeCell ref="H153:J153"/>
    <mergeCell ref="K153:M153"/>
    <mergeCell ref="D157:E157"/>
    <mergeCell ref="F157:G157"/>
    <mergeCell ref="B158:C158"/>
    <mergeCell ref="D158:E158"/>
    <mergeCell ref="F158:G158"/>
    <mergeCell ref="H158:J158"/>
    <mergeCell ref="K158:M158"/>
    <mergeCell ref="F165:G165"/>
    <mergeCell ref="H165:J165"/>
    <mergeCell ref="H166:J166"/>
    <mergeCell ref="K166:M166"/>
    <mergeCell ref="B165:C165"/>
    <mergeCell ref="B166:C166"/>
    <mergeCell ref="D166:E166"/>
    <mergeCell ref="F166:G166"/>
    <mergeCell ref="F155:G155"/>
    <mergeCell ref="H155:J155"/>
    <mergeCell ref="B154:C154"/>
    <mergeCell ref="D154:E154"/>
    <mergeCell ref="F154:G154"/>
    <mergeCell ref="H154:J154"/>
    <mergeCell ref="K154:M154"/>
    <mergeCell ref="D155:E155"/>
    <mergeCell ref="K155:M155"/>
    <mergeCell ref="H157:J157"/>
    <mergeCell ref="B148:C148"/>
    <mergeCell ref="D148:E148"/>
    <mergeCell ref="F148:G148"/>
    <mergeCell ref="H148:J148"/>
    <mergeCell ref="K148:M148"/>
    <mergeCell ref="B145:C145"/>
    <mergeCell ref="B146:C146"/>
    <mergeCell ref="D146:E146"/>
    <mergeCell ref="F146:G146"/>
    <mergeCell ref="B147:C147"/>
    <mergeCell ref="D147:E147"/>
    <mergeCell ref="F147:G147"/>
    <mergeCell ref="B149:C149"/>
    <mergeCell ref="D149:E149"/>
    <mergeCell ref="F149:G149"/>
    <mergeCell ref="H149:J149"/>
    <mergeCell ref="K149:M149"/>
    <mergeCell ref="H147:J147"/>
    <mergeCell ref="K147:M147"/>
    <mergeCell ref="K157:M157"/>
    <mergeCell ref="B155:C155"/>
    <mergeCell ref="B156:C156"/>
    <mergeCell ref="D156:E156"/>
    <mergeCell ref="F156:G156"/>
    <mergeCell ref="H156:J156"/>
    <mergeCell ref="K156:M156"/>
    <mergeCell ref="B157:C157"/>
    <mergeCell ref="N113:U113"/>
    <mergeCell ref="N114:U114"/>
    <mergeCell ref="N115:U115"/>
    <mergeCell ref="N116:U116"/>
    <mergeCell ref="N117:U117"/>
    <mergeCell ref="N118:U118"/>
    <mergeCell ref="N119:U119"/>
    <mergeCell ref="F150:G150"/>
    <mergeCell ref="H150:J150"/>
    <mergeCell ref="H151:J151"/>
    <mergeCell ref="K151:M151"/>
    <mergeCell ref="H152:J152"/>
    <mergeCell ref="K152:M152"/>
    <mergeCell ref="B150:C150"/>
    <mergeCell ref="B151:C151"/>
    <mergeCell ref="D151:E151"/>
    <mergeCell ref="F151:G151"/>
    <mergeCell ref="B152:C152"/>
    <mergeCell ref="D152:E152"/>
    <mergeCell ref="F152:G152"/>
    <mergeCell ref="F145:G145"/>
    <mergeCell ref="H145:J145"/>
    <mergeCell ref="H146:J146"/>
    <mergeCell ref="K146:M146"/>
    <mergeCell ref="D145:E145"/>
    <mergeCell ref="N96:U96"/>
    <mergeCell ref="N97:U97"/>
    <mergeCell ref="N98:U98"/>
    <mergeCell ref="N99:U99"/>
    <mergeCell ref="N100:U100"/>
    <mergeCell ref="N101:U101"/>
    <mergeCell ref="N102:U102"/>
    <mergeCell ref="N103:U103"/>
    <mergeCell ref="N104:U104"/>
    <mergeCell ref="N105:U105"/>
    <mergeCell ref="N106:U106"/>
    <mergeCell ref="N107:U107"/>
    <mergeCell ref="N108:U108"/>
    <mergeCell ref="N109:U109"/>
    <mergeCell ref="N110:U110"/>
    <mergeCell ref="N111:U111"/>
    <mergeCell ref="N112:U112"/>
    <mergeCell ref="N140:U140"/>
    <mergeCell ref="N141:U141"/>
    <mergeCell ref="N142:U142"/>
    <mergeCell ref="N143:U143"/>
    <mergeCell ref="N144:U144"/>
    <mergeCell ref="N145:U145"/>
    <mergeCell ref="D132:E132"/>
    <mergeCell ref="F132:G132"/>
    <mergeCell ref="K145:M145"/>
    <mergeCell ref="N88:U88"/>
    <mergeCell ref="N89:U89"/>
    <mergeCell ref="N90:U90"/>
    <mergeCell ref="N91:U91"/>
    <mergeCell ref="N92:U92"/>
    <mergeCell ref="N93:U93"/>
    <mergeCell ref="N94:U94"/>
    <mergeCell ref="N95:U95"/>
    <mergeCell ref="H75:J75"/>
    <mergeCell ref="K75:M75"/>
    <mergeCell ref="D76:E76"/>
    <mergeCell ref="K76:M76"/>
    <mergeCell ref="D82:E82"/>
    <mergeCell ref="B144:C144"/>
    <mergeCell ref="D144:E144"/>
    <mergeCell ref="F144:G144"/>
    <mergeCell ref="H144:J144"/>
    <mergeCell ref="K144:M144"/>
    <mergeCell ref="B134:C134"/>
    <mergeCell ref="N71:U71"/>
    <mergeCell ref="N72:U72"/>
    <mergeCell ref="N73:U73"/>
    <mergeCell ref="N74:U74"/>
    <mergeCell ref="N75:U75"/>
    <mergeCell ref="N76:U76"/>
    <mergeCell ref="N77:U77"/>
    <mergeCell ref="N78:U78"/>
    <mergeCell ref="N79:U79"/>
    <mergeCell ref="N80:U80"/>
    <mergeCell ref="N81:U81"/>
    <mergeCell ref="N82:U82"/>
    <mergeCell ref="N83:U83"/>
    <mergeCell ref="N84:U84"/>
    <mergeCell ref="N85:U85"/>
    <mergeCell ref="N86:U86"/>
    <mergeCell ref="N87:U87"/>
    <mergeCell ref="F83:G83"/>
    <mergeCell ref="H83:J83"/>
    <mergeCell ref="K83:M83"/>
    <mergeCell ref="F90:G90"/>
    <mergeCell ref="H90:J90"/>
    <mergeCell ref="H91:J91"/>
    <mergeCell ref="K91:M91"/>
    <mergeCell ref="H92:J92"/>
    <mergeCell ref="K92:M92"/>
    <mergeCell ref="B90:C90"/>
    <mergeCell ref="B91:C91"/>
    <mergeCell ref="D91:E91"/>
    <mergeCell ref="F91:G91"/>
    <mergeCell ref="B92:C92"/>
    <mergeCell ref="D92:E92"/>
    <mergeCell ref="F92:G92"/>
    <mergeCell ref="H82:J82"/>
    <mergeCell ref="K82:M82"/>
    <mergeCell ref="D90:E90"/>
    <mergeCell ref="K90:M90"/>
    <mergeCell ref="K85:M85"/>
    <mergeCell ref="B88:C88"/>
    <mergeCell ref="D88:E88"/>
    <mergeCell ref="F88:G88"/>
    <mergeCell ref="H88:J88"/>
    <mergeCell ref="K88:M88"/>
    <mergeCell ref="B85:C85"/>
    <mergeCell ref="B86:C86"/>
    <mergeCell ref="D86:E86"/>
    <mergeCell ref="D68:E68"/>
    <mergeCell ref="F71:G71"/>
    <mergeCell ref="H71:J71"/>
    <mergeCell ref="H72:J72"/>
    <mergeCell ref="K72:M72"/>
    <mergeCell ref="H73:J73"/>
    <mergeCell ref="K73:M73"/>
    <mergeCell ref="B70:C70"/>
    <mergeCell ref="D70:E70"/>
    <mergeCell ref="F70:G70"/>
    <mergeCell ref="H70:J70"/>
    <mergeCell ref="K70:M70"/>
    <mergeCell ref="D71:E71"/>
    <mergeCell ref="K71:M71"/>
    <mergeCell ref="B74:C74"/>
    <mergeCell ref="D74:E74"/>
    <mergeCell ref="F74:G74"/>
    <mergeCell ref="F68:G68"/>
    <mergeCell ref="H68:J68"/>
    <mergeCell ref="K68:M68"/>
    <mergeCell ref="N68:U68"/>
    <mergeCell ref="B69:C69"/>
    <mergeCell ref="D69:E69"/>
    <mergeCell ref="F69:G69"/>
    <mergeCell ref="H69:J69"/>
    <mergeCell ref="K69:M69"/>
    <mergeCell ref="N69:U69"/>
    <mergeCell ref="N70:U70"/>
    <mergeCell ref="F80:G80"/>
    <mergeCell ref="H80:J80"/>
    <mergeCell ref="B79:C79"/>
    <mergeCell ref="D79:E79"/>
    <mergeCell ref="F79:G79"/>
    <mergeCell ref="H79:J79"/>
    <mergeCell ref="K79:M79"/>
    <mergeCell ref="D80:E80"/>
    <mergeCell ref="K80:M80"/>
    <mergeCell ref="H74:J74"/>
    <mergeCell ref="K74:M74"/>
    <mergeCell ref="B71:C71"/>
    <mergeCell ref="B72:C72"/>
    <mergeCell ref="D72:E72"/>
    <mergeCell ref="F72:G72"/>
    <mergeCell ref="B73:C73"/>
    <mergeCell ref="D73:E73"/>
    <mergeCell ref="F73:G73"/>
    <mergeCell ref="B75:C75"/>
    <mergeCell ref="D75:E75"/>
    <mergeCell ref="F75:G75"/>
    <mergeCell ref="B80:C80"/>
    <mergeCell ref="B68:C68"/>
    <mergeCell ref="B63:C63"/>
    <mergeCell ref="B64:C64"/>
    <mergeCell ref="D64:E64"/>
    <mergeCell ref="F64:G64"/>
    <mergeCell ref="H64:J64"/>
    <mergeCell ref="K64:M64"/>
    <mergeCell ref="N64:U64"/>
    <mergeCell ref="H66:J66"/>
    <mergeCell ref="K66:M66"/>
    <mergeCell ref="H67:J67"/>
    <mergeCell ref="K67:M67"/>
    <mergeCell ref="N67:U67"/>
    <mergeCell ref="B65:C65"/>
    <mergeCell ref="D65:E65"/>
    <mergeCell ref="F65:G65"/>
    <mergeCell ref="H65:J65"/>
    <mergeCell ref="K65:M65"/>
    <mergeCell ref="N65:U65"/>
    <mergeCell ref="B66:C66"/>
    <mergeCell ref="N66:U66"/>
    <mergeCell ref="D66:E66"/>
    <mergeCell ref="F66:G66"/>
    <mergeCell ref="B67:C67"/>
    <mergeCell ref="D67:E67"/>
    <mergeCell ref="F67:G67"/>
    <mergeCell ref="B854:C854"/>
    <mergeCell ref="D854:E854"/>
    <mergeCell ref="F854:G854"/>
    <mergeCell ref="H854:J854"/>
    <mergeCell ref="K854:M854"/>
    <mergeCell ref="N854:U854"/>
    <mergeCell ref="N855:U855"/>
    <mergeCell ref="F865:G865"/>
    <mergeCell ref="H865:J865"/>
    <mergeCell ref="B864:C864"/>
    <mergeCell ref="D864:E864"/>
    <mergeCell ref="F864:G864"/>
    <mergeCell ref="H864:J864"/>
    <mergeCell ref="K864:M864"/>
    <mergeCell ref="D865:E865"/>
    <mergeCell ref="K865:M865"/>
    <mergeCell ref="F880:G880"/>
    <mergeCell ref="H880:J880"/>
    <mergeCell ref="B879:C879"/>
    <mergeCell ref="D879:E879"/>
    <mergeCell ref="F879:G879"/>
    <mergeCell ref="H879:J879"/>
    <mergeCell ref="K879:M879"/>
    <mergeCell ref="D880:E880"/>
    <mergeCell ref="K880:M880"/>
    <mergeCell ref="D869:E869"/>
    <mergeCell ref="F869:G869"/>
    <mergeCell ref="H869:J869"/>
    <mergeCell ref="K869:M869"/>
    <mergeCell ref="D870:E870"/>
    <mergeCell ref="K870:M870"/>
    <mergeCell ref="B873:C873"/>
    <mergeCell ref="H851:J851"/>
    <mergeCell ref="K851:M851"/>
    <mergeCell ref="H852:J852"/>
    <mergeCell ref="K852:M852"/>
    <mergeCell ref="N852:U852"/>
    <mergeCell ref="B850:C850"/>
    <mergeCell ref="D850:E850"/>
    <mergeCell ref="F850:G850"/>
    <mergeCell ref="H850:J850"/>
    <mergeCell ref="K850:M850"/>
    <mergeCell ref="N850:U850"/>
    <mergeCell ref="B851:C851"/>
    <mergeCell ref="N851:U851"/>
    <mergeCell ref="F853:G853"/>
    <mergeCell ref="H853:J853"/>
    <mergeCell ref="K853:M853"/>
    <mergeCell ref="N853:U853"/>
    <mergeCell ref="F848:G848"/>
    <mergeCell ref="H848:J848"/>
    <mergeCell ref="N848:U848"/>
    <mergeCell ref="B847:C847"/>
    <mergeCell ref="D847:E847"/>
    <mergeCell ref="F847:G847"/>
    <mergeCell ref="H847:J847"/>
    <mergeCell ref="K847:M847"/>
    <mergeCell ref="D848:E848"/>
    <mergeCell ref="K848:M848"/>
    <mergeCell ref="B848:C848"/>
    <mergeCell ref="B849:C849"/>
    <mergeCell ref="D849:E849"/>
    <mergeCell ref="F849:G849"/>
    <mergeCell ref="H849:J849"/>
    <mergeCell ref="K849:M849"/>
    <mergeCell ref="N849:U849"/>
    <mergeCell ref="N864:U864"/>
    <mergeCell ref="N865:U865"/>
    <mergeCell ref="N866:U866"/>
    <mergeCell ref="N867:U867"/>
    <mergeCell ref="N868:U868"/>
    <mergeCell ref="N869:U869"/>
    <mergeCell ref="N877:U877"/>
    <mergeCell ref="N878:U878"/>
    <mergeCell ref="N879:U879"/>
    <mergeCell ref="N880:U880"/>
    <mergeCell ref="N870:U870"/>
    <mergeCell ref="N871:U871"/>
    <mergeCell ref="N872:U872"/>
    <mergeCell ref="N873:U873"/>
    <mergeCell ref="N874:U874"/>
    <mergeCell ref="N875:U875"/>
    <mergeCell ref="N876:U876"/>
    <mergeCell ref="F861:G861"/>
    <mergeCell ref="H861:J861"/>
    <mergeCell ref="H862:J862"/>
    <mergeCell ref="K862:M862"/>
    <mergeCell ref="H863:J863"/>
    <mergeCell ref="K863:M863"/>
    <mergeCell ref="B861:C861"/>
    <mergeCell ref="B862:C862"/>
    <mergeCell ref="D862:E862"/>
    <mergeCell ref="F862:G862"/>
    <mergeCell ref="B863:C863"/>
    <mergeCell ref="D863:E863"/>
    <mergeCell ref="F863:G863"/>
    <mergeCell ref="N856:U856"/>
    <mergeCell ref="N857:U857"/>
    <mergeCell ref="N858:U858"/>
    <mergeCell ref="N859:U859"/>
    <mergeCell ref="N860:U860"/>
    <mergeCell ref="N861:U861"/>
    <mergeCell ref="N862:U862"/>
    <mergeCell ref="N863:U863"/>
    <mergeCell ref="D861:E861"/>
    <mergeCell ref="K861:M861"/>
    <mergeCell ref="F859:G859"/>
    <mergeCell ref="H859:J859"/>
    <mergeCell ref="K859:M859"/>
    <mergeCell ref="B856:C856"/>
    <mergeCell ref="B857:C857"/>
    <mergeCell ref="D857:E857"/>
    <mergeCell ref="F857:G857"/>
    <mergeCell ref="B858:C858"/>
    <mergeCell ref="D858:E858"/>
    <mergeCell ref="H844:J844"/>
    <mergeCell ref="K844:M844"/>
    <mergeCell ref="H845:J845"/>
    <mergeCell ref="K845:M845"/>
    <mergeCell ref="B842:C842"/>
    <mergeCell ref="D842:E842"/>
    <mergeCell ref="F842:G842"/>
    <mergeCell ref="H842:J842"/>
    <mergeCell ref="K842:M842"/>
    <mergeCell ref="D843:E843"/>
    <mergeCell ref="K843:M843"/>
    <mergeCell ref="B846:C846"/>
    <mergeCell ref="D846:E846"/>
    <mergeCell ref="F846:G846"/>
    <mergeCell ref="H846:J846"/>
    <mergeCell ref="K846:M846"/>
    <mergeCell ref="B843:C843"/>
    <mergeCell ref="B844:C844"/>
    <mergeCell ref="D844:E844"/>
    <mergeCell ref="F844:G844"/>
    <mergeCell ref="B845:C845"/>
    <mergeCell ref="D845:E845"/>
    <mergeCell ref="F845:G845"/>
    <mergeCell ref="B838:C838"/>
    <mergeCell ref="N838:U838"/>
    <mergeCell ref="N842:U842"/>
    <mergeCell ref="N843:U843"/>
    <mergeCell ref="N844:U844"/>
    <mergeCell ref="N845:U845"/>
    <mergeCell ref="N846:U846"/>
    <mergeCell ref="N847:U847"/>
    <mergeCell ref="H838:J838"/>
    <mergeCell ref="K838:M838"/>
    <mergeCell ref="H839:J839"/>
    <mergeCell ref="K839:M839"/>
    <mergeCell ref="N839:U839"/>
    <mergeCell ref="N840:U840"/>
    <mergeCell ref="N841:U841"/>
    <mergeCell ref="F840:G840"/>
    <mergeCell ref="H840:J840"/>
    <mergeCell ref="K840:M840"/>
    <mergeCell ref="B841:C841"/>
    <mergeCell ref="D841:E841"/>
    <mergeCell ref="F841:G841"/>
    <mergeCell ref="H841:J841"/>
    <mergeCell ref="K841:M841"/>
    <mergeCell ref="D838:E838"/>
    <mergeCell ref="F838:G838"/>
    <mergeCell ref="B839:C839"/>
    <mergeCell ref="D839:E839"/>
    <mergeCell ref="F839:G839"/>
    <mergeCell ref="B840:C840"/>
    <mergeCell ref="D840:E840"/>
    <mergeCell ref="F843:G843"/>
    <mergeCell ref="H843:J843"/>
    <mergeCell ref="N829:U829"/>
    <mergeCell ref="N830:U830"/>
    <mergeCell ref="N831:U831"/>
    <mergeCell ref="N832:U832"/>
    <mergeCell ref="N833:U833"/>
    <mergeCell ref="N834:U834"/>
    <mergeCell ref="B836:C836"/>
    <mergeCell ref="D836:E836"/>
    <mergeCell ref="F836:G836"/>
    <mergeCell ref="H836:J836"/>
    <mergeCell ref="K836:M836"/>
    <mergeCell ref="N836:U836"/>
    <mergeCell ref="B837:C837"/>
    <mergeCell ref="D837:E837"/>
    <mergeCell ref="F837:G837"/>
    <mergeCell ref="H837:J837"/>
    <mergeCell ref="K837:M837"/>
    <mergeCell ref="N837:U837"/>
    <mergeCell ref="F831:G831"/>
    <mergeCell ref="H831:J831"/>
    <mergeCell ref="K831:M831"/>
    <mergeCell ref="B832:C832"/>
    <mergeCell ref="D867:E867"/>
    <mergeCell ref="F867:G867"/>
    <mergeCell ref="B868:C868"/>
    <mergeCell ref="D868:E868"/>
    <mergeCell ref="F868:G868"/>
    <mergeCell ref="H868:J868"/>
    <mergeCell ref="K868:M868"/>
    <mergeCell ref="N806:U806"/>
    <mergeCell ref="N807:U807"/>
    <mergeCell ref="N808:U808"/>
    <mergeCell ref="N809:U809"/>
    <mergeCell ref="N810:U810"/>
    <mergeCell ref="N811:U811"/>
    <mergeCell ref="N812:U812"/>
    <mergeCell ref="N813:U813"/>
    <mergeCell ref="N814:U814"/>
    <mergeCell ref="N815:U815"/>
    <mergeCell ref="N816:U816"/>
    <mergeCell ref="N817:U817"/>
    <mergeCell ref="N818:U818"/>
    <mergeCell ref="N819:U819"/>
    <mergeCell ref="N820:U820"/>
    <mergeCell ref="N821:U821"/>
    <mergeCell ref="N822:U822"/>
    <mergeCell ref="N823:U823"/>
    <mergeCell ref="N824:U824"/>
    <mergeCell ref="N825:U825"/>
    <mergeCell ref="N826:U826"/>
    <mergeCell ref="N827:U827"/>
    <mergeCell ref="N828:U828"/>
    <mergeCell ref="B859:C859"/>
    <mergeCell ref="D859:E859"/>
    <mergeCell ref="F858:G858"/>
    <mergeCell ref="B860:C860"/>
    <mergeCell ref="D860:E860"/>
    <mergeCell ref="F860:G860"/>
    <mergeCell ref="H860:J860"/>
    <mergeCell ref="K860:M860"/>
    <mergeCell ref="N803:U803"/>
    <mergeCell ref="N804:U804"/>
    <mergeCell ref="N805:U805"/>
    <mergeCell ref="H867:J867"/>
    <mergeCell ref="K867:M867"/>
    <mergeCell ref="B865:C865"/>
    <mergeCell ref="B866:C866"/>
    <mergeCell ref="D866:E866"/>
    <mergeCell ref="F866:G866"/>
    <mergeCell ref="H866:J866"/>
    <mergeCell ref="K866:M866"/>
    <mergeCell ref="B867:C867"/>
    <mergeCell ref="D851:E851"/>
    <mergeCell ref="F851:G851"/>
    <mergeCell ref="B852:C852"/>
    <mergeCell ref="D852:E852"/>
    <mergeCell ref="F852:G852"/>
    <mergeCell ref="B853:C853"/>
    <mergeCell ref="D853:E853"/>
    <mergeCell ref="F856:G856"/>
    <mergeCell ref="H856:J856"/>
    <mergeCell ref="H857:J857"/>
    <mergeCell ref="K857:M857"/>
    <mergeCell ref="H858:J858"/>
    <mergeCell ref="K858:M858"/>
    <mergeCell ref="B855:C855"/>
    <mergeCell ref="D855:E855"/>
    <mergeCell ref="F855:G855"/>
    <mergeCell ref="H855:J855"/>
    <mergeCell ref="K855:M855"/>
    <mergeCell ref="D856:E856"/>
    <mergeCell ref="K856:M856"/>
    <mergeCell ref="N786:U786"/>
    <mergeCell ref="N787:U787"/>
    <mergeCell ref="N788:U788"/>
    <mergeCell ref="N789:U789"/>
    <mergeCell ref="N790:U790"/>
    <mergeCell ref="N791:U791"/>
    <mergeCell ref="N792:U792"/>
    <mergeCell ref="N793:U793"/>
    <mergeCell ref="N794:U794"/>
    <mergeCell ref="N795:U795"/>
    <mergeCell ref="N796:U796"/>
    <mergeCell ref="N797:U797"/>
    <mergeCell ref="N798:U798"/>
    <mergeCell ref="N799:U799"/>
    <mergeCell ref="N800:U800"/>
    <mergeCell ref="N801:U801"/>
    <mergeCell ref="N802:U802"/>
    <mergeCell ref="D799:E799"/>
    <mergeCell ref="F799:G799"/>
    <mergeCell ref="H799:J799"/>
    <mergeCell ref="K799:M799"/>
    <mergeCell ref="D800:E800"/>
    <mergeCell ref="K800:M800"/>
    <mergeCell ref="H802:J802"/>
    <mergeCell ref="K802:M802"/>
    <mergeCell ref="D789:E789"/>
    <mergeCell ref="N769:U769"/>
    <mergeCell ref="N770:U770"/>
    <mergeCell ref="N771:U771"/>
    <mergeCell ref="N772:U772"/>
    <mergeCell ref="N773:U773"/>
    <mergeCell ref="N774:U774"/>
    <mergeCell ref="N775:U775"/>
    <mergeCell ref="N776:U776"/>
    <mergeCell ref="N777:U777"/>
    <mergeCell ref="N778:U778"/>
    <mergeCell ref="N779:U779"/>
    <mergeCell ref="N780:U780"/>
    <mergeCell ref="N781:U781"/>
    <mergeCell ref="N782:U782"/>
    <mergeCell ref="N783:U783"/>
    <mergeCell ref="N784:U784"/>
    <mergeCell ref="N785:U785"/>
    <mergeCell ref="N752:U752"/>
    <mergeCell ref="N753:U753"/>
    <mergeCell ref="N754:U754"/>
    <mergeCell ref="N755:U755"/>
    <mergeCell ref="N756:U756"/>
    <mergeCell ref="N757:U757"/>
    <mergeCell ref="N758:U758"/>
    <mergeCell ref="N759:U759"/>
    <mergeCell ref="N760:U760"/>
    <mergeCell ref="N761:U761"/>
    <mergeCell ref="N762:U762"/>
    <mergeCell ref="N763:U763"/>
    <mergeCell ref="N764:U764"/>
    <mergeCell ref="N765:U765"/>
    <mergeCell ref="N766:U766"/>
    <mergeCell ref="N767:U767"/>
    <mergeCell ref="N768:U768"/>
    <mergeCell ref="N735:U735"/>
    <mergeCell ref="N736:U736"/>
    <mergeCell ref="N737:U737"/>
    <mergeCell ref="N738:U738"/>
    <mergeCell ref="N739:U739"/>
    <mergeCell ref="N740:U740"/>
    <mergeCell ref="N741:U741"/>
    <mergeCell ref="N742:U742"/>
    <mergeCell ref="N743:U743"/>
    <mergeCell ref="N744:U744"/>
    <mergeCell ref="N745:U745"/>
    <mergeCell ref="N746:U746"/>
    <mergeCell ref="N747:U747"/>
    <mergeCell ref="N748:U748"/>
    <mergeCell ref="N749:U749"/>
    <mergeCell ref="N750:U750"/>
    <mergeCell ref="N751:U751"/>
    <mergeCell ref="N718:U718"/>
    <mergeCell ref="N719:U719"/>
    <mergeCell ref="N720:U720"/>
    <mergeCell ref="N721:U721"/>
    <mergeCell ref="N722:U722"/>
    <mergeCell ref="N723:U723"/>
    <mergeCell ref="N724:U724"/>
    <mergeCell ref="N725:U725"/>
    <mergeCell ref="N726:U726"/>
    <mergeCell ref="N727:U727"/>
    <mergeCell ref="N728:U728"/>
    <mergeCell ref="N729:U729"/>
    <mergeCell ref="N730:U730"/>
    <mergeCell ref="N731:U731"/>
    <mergeCell ref="N732:U732"/>
    <mergeCell ref="N733:U733"/>
    <mergeCell ref="N734:U734"/>
    <mergeCell ref="N701:U701"/>
    <mergeCell ref="N702:U702"/>
    <mergeCell ref="N703:U703"/>
    <mergeCell ref="N704:U704"/>
    <mergeCell ref="N705:U705"/>
    <mergeCell ref="N706:U706"/>
    <mergeCell ref="N707:U707"/>
    <mergeCell ref="N708:U708"/>
    <mergeCell ref="N709:U709"/>
    <mergeCell ref="N710:U710"/>
    <mergeCell ref="N711:U711"/>
    <mergeCell ref="N712:U712"/>
    <mergeCell ref="N713:U713"/>
    <mergeCell ref="N714:U714"/>
    <mergeCell ref="N715:U715"/>
    <mergeCell ref="N716:U716"/>
    <mergeCell ref="N717:U717"/>
    <mergeCell ref="N684:U684"/>
    <mergeCell ref="N685:U685"/>
    <mergeCell ref="N686:U686"/>
    <mergeCell ref="N687:U687"/>
    <mergeCell ref="N688:U688"/>
    <mergeCell ref="N689:U689"/>
    <mergeCell ref="N690:U690"/>
    <mergeCell ref="N691:U691"/>
    <mergeCell ref="N692:U692"/>
    <mergeCell ref="N693:U693"/>
    <mergeCell ref="N694:U694"/>
    <mergeCell ref="N695:U695"/>
    <mergeCell ref="N696:U696"/>
    <mergeCell ref="N697:U697"/>
    <mergeCell ref="N698:U698"/>
    <mergeCell ref="N699:U699"/>
    <mergeCell ref="N700:U700"/>
    <mergeCell ref="N667:U667"/>
    <mergeCell ref="N668:U668"/>
    <mergeCell ref="N669:U669"/>
    <mergeCell ref="N670:U670"/>
    <mergeCell ref="N671:U671"/>
    <mergeCell ref="N672:U672"/>
    <mergeCell ref="N673:U673"/>
    <mergeCell ref="N674:U674"/>
    <mergeCell ref="N675:U675"/>
    <mergeCell ref="N676:U676"/>
    <mergeCell ref="N677:U677"/>
    <mergeCell ref="N678:U678"/>
    <mergeCell ref="N679:U679"/>
    <mergeCell ref="N680:U680"/>
    <mergeCell ref="N681:U681"/>
    <mergeCell ref="N682:U682"/>
    <mergeCell ref="N683:U683"/>
    <mergeCell ref="N650:U650"/>
    <mergeCell ref="N651:U651"/>
    <mergeCell ref="N652:U652"/>
    <mergeCell ref="N653:U653"/>
    <mergeCell ref="N654:U654"/>
    <mergeCell ref="N655:U655"/>
    <mergeCell ref="N656:U656"/>
    <mergeCell ref="N657:U657"/>
    <mergeCell ref="N658:U658"/>
    <mergeCell ref="N659:U659"/>
    <mergeCell ref="N660:U660"/>
    <mergeCell ref="N661:U661"/>
    <mergeCell ref="N662:U662"/>
    <mergeCell ref="N663:U663"/>
    <mergeCell ref="N664:U664"/>
    <mergeCell ref="N665:U665"/>
    <mergeCell ref="N666:U666"/>
    <mergeCell ref="N633:U633"/>
    <mergeCell ref="N634:U634"/>
    <mergeCell ref="N635:U635"/>
    <mergeCell ref="N636:U636"/>
    <mergeCell ref="N637:U637"/>
    <mergeCell ref="N638:U638"/>
    <mergeCell ref="N639:U639"/>
    <mergeCell ref="N640:U640"/>
    <mergeCell ref="N641:U641"/>
    <mergeCell ref="N642:U642"/>
    <mergeCell ref="N643:U643"/>
    <mergeCell ref="N644:U644"/>
    <mergeCell ref="N645:U645"/>
    <mergeCell ref="N646:U646"/>
    <mergeCell ref="N647:U647"/>
    <mergeCell ref="N648:U648"/>
    <mergeCell ref="N649:U649"/>
    <mergeCell ref="N616:U616"/>
    <mergeCell ref="N617:U617"/>
    <mergeCell ref="N618:U618"/>
    <mergeCell ref="N619:U619"/>
    <mergeCell ref="N620:U620"/>
    <mergeCell ref="N621:U621"/>
    <mergeCell ref="N622:U622"/>
    <mergeCell ref="N623:U623"/>
    <mergeCell ref="N624:U624"/>
    <mergeCell ref="N625:U625"/>
    <mergeCell ref="N626:U626"/>
    <mergeCell ref="N627:U627"/>
    <mergeCell ref="N628:U628"/>
    <mergeCell ref="N629:U629"/>
    <mergeCell ref="N630:U630"/>
    <mergeCell ref="N631:U631"/>
    <mergeCell ref="N632:U632"/>
    <mergeCell ref="N599:U599"/>
    <mergeCell ref="N600:U600"/>
    <mergeCell ref="N601:U601"/>
    <mergeCell ref="N602:U602"/>
    <mergeCell ref="N603:U603"/>
    <mergeCell ref="N604:U604"/>
    <mergeCell ref="N605:U605"/>
    <mergeCell ref="N606:U606"/>
    <mergeCell ref="N607:U607"/>
    <mergeCell ref="N608:U608"/>
    <mergeCell ref="N609:U609"/>
    <mergeCell ref="N610:U610"/>
    <mergeCell ref="N611:U611"/>
    <mergeCell ref="N612:U612"/>
    <mergeCell ref="N613:U613"/>
    <mergeCell ref="N614:U614"/>
    <mergeCell ref="N615:U615"/>
    <mergeCell ref="N582:U582"/>
    <mergeCell ref="N583:U583"/>
    <mergeCell ref="N584:U584"/>
    <mergeCell ref="N585:U585"/>
    <mergeCell ref="N586:U586"/>
    <mergeCell ref="N587:U587"/>
    <mergeCell ref="N588:U588"/>
    <mergeCell ref="N589:U589"/>
    <mergeCell ref="N590:U590"/>
    <mergeCell ref="N591:U591"/>
    <mergeCell ref="N592:U592"/>
    <mergeCell ref="N593:U593"/>
    <mergeCell ref="N594:U594"/>
    <mergeCell ref="N595:U595"/>
    <mergeCell ref="N596:U596"/>
    <mergeCell ref="N597:U597"/>
    <mergeCell ref="N598:U598"/>
    <mergeCell ref="N565:U565"/>
    <mergeCell ref="N566:U566"/>
    <mergeCell ref="N567:U567"/>
    <mergeCell ref="N568:U568"/>
    <mergeCell ref="N569:U569"/>
    <mergeCell ref="N570:U570"/>
    <mergeCell ref="N571:U571"/>
    <mergeCell ref="N572:U572"/>
    <mergeCell ref="N573:U573"/>
    <mergeCell ref="N574:U574"/>
    <mergeCell ref="N575:U575"/>
    <mergeCell ref="N576:U576"/>
    <mergeCell ref="N577:U577"/>
    <mergeCell ref="N578:U578"/>
    <mergeCell ref="N579:U579"/>
    <mergeCell ref="N580:U580"/>
    <mergeCell ref="N581:U581"/>
    <mergeCell ref="N548:U548"/>
    <mergeCell ref="N549:U549"/>
    <mergeCell ref="N550:U550"/>
    <mergeCell ref="N551:U551"/>
    <mergeCell ref="N552:U552"/>
    <mergeCell ref="N553:U553"/>
    <mergeCell ref="N554:U554"/>
    <mergeCell ref="N555:U555"/>
    <mergeCell ref="N556:U556"/>
    <mergeCell ref="N557:U557"/>
    <mergeCell ref="N558:U558"/>
    <mergeCell ref="N559:U559"/>
    <mergeCell ref="N560:U560"/>
    <mergeCell ref="N561:U561"/>
    <mergeCell ref="N562:U562"/>
    <mergeCell ref="N563:U563"/>
    <mergeCell ref="N564:U564"/>
    <mergeCell ref="N531:U531"/>
    <mergeCell ref="N532:U532"/>
    <mergeCell ref="N533:U533"/>
    <mergeCell ref="N534:U534"/>
    <mergeCell ref="N535:U535"/>
    <mergeCell ref="N536:U536"/>
    <mergeCell ref="N537:U537"/>
    <mergeCell ref="N538:U538"/>
    <mergeCell ref="N539:U539"/>
    <mergeCell ref="N540:U540"/>
    <mergeCell ref="N541:U541"/>
    <mergeCell ref="N542:U542"/>
    <mergeCell ref="N543:U543"/>
    <mergeCell ref="N544:U544"/>
    <mergeCell ref="N545:U545"/>
    <mergeCell ref="N546:U546"/>
    <mergeCell ref="N547:U547"/>
    <mergeCell ref="N514:U514"/>
    <mergeCell ref="N515:U515"/>
    <mergeCell ref="N516:U516"/>
    <mergeCell ref="N517:U517"/>
    <mergeCell ref="N518:U518"/>
    <mergeCell ref="N519:U519"/>
    <mergeCell ref="N520:U520"/>
    <mergeCell ref="N521:U521"/>
    <mergeCell ref="N522:U522"/>
    <mergeCell ref="N523:U523"/>
    <mergeCell ref="N524:U524"/>
    <mergeCell ref="N525:U525"/>
    <mergeCell ref="N526:U526"/>
    <mergeCell ref="N527:U527"/>
    <mergeCell ref="N528:U528"/>
    <mergeCell ref="N529:U529"/>
    <mergeCell ref="N530:U530"/>
    <mergeCell ref="N497:U497"/>
    <mergeCell ref="N498:U498"/>
    <mergeCell ref="N499:U499"/>
    <mergeCell ref="N500:U500"/>
    <mergeCell ref="N501:U501"/>
    <mergeCell ref="N502:U502"/>
    <mergeCell ref="N503:U503"/>
    <mergeCell ref="N504:U504"/>
    <mergeCell ref="N505:U505"/>
    <mergeCell ref="N506:U506"/>
    <mergeCell ref="N507:U507"/>
    <mergeCell ref="N508:U508"/>
    <mergeCell ref="N509:U509"/>
    <mergeCell ref="N510:U510"/>
    <mergeCell ref="N511:U511"/>
    <mergeCell ref="N512:U512"/>
    <mergeCell ref="N513:U513"/>
    <mergeCell ref="N480:U480"/>
    <mergeCell ref="N481:U481"/>
    <mergeCell ref="N482:U482"/>
    <mergeCell ref="N483:U483"/>
    <mergeCell ref="N484:U484"/>
    <mergeCell ref="N485:U485"/>
    <mergeCell ref="N486:U486"/>
    <mergeCell ref="N487:U487"/>
    <mergeCell ref="N488:U488"/>
    <mergeCell ref="N489:U489"/>
    <mergeCell ref="N490:U490"/>
    <mergeCell ref="N491:U491"/>
    <mergeCell ref="N492:U492"/>
    <mergeCell ref="N493:U493"/>
    <mergeCell ref="N494:U494"/>
    <mergeCell ref="N495:U495"/>
    <mergeCell ref="N496:U496"/>
    <mergeCell ref="N463:U463"/>
    <mergeCell ref="N464:U464"/>
    <mergeCell ref="N465:U465"/>
    <mergeCell ref="N466:U466"/>
    <mergeCell ref="N467:U467"/>
    <mergeCell ref="N468:U468"/>
    <mergeCell ref="N469:U469"/>
    <mergeCell ref="N470:U470"/>
    <mergeCell ref="N471:U471"/>
    <mergeCell ref="N472:U472"/>
    <mergeCell ref="N473:U473"/>
    <mergeCell ref="N474:U474"/>
    <mergeCell ref="N475:U475"/>
    <mergeCell ref="N476:U476"/>
    <mergeCell ref="N477:U477"/>
    <mergeCell ref="N478:U478"/>
    <mergeCell ref="N479:U479"/>
    <mergeCell ref="N446:U446"/>
    <mergeCell ref="N447:U447"/>
    <mergeCell ref="N448:U448"/>
    <mergeCell ref="N449:U449"/>
    <mergeCell ref="N450:U450"/>
    <mergeCell ref="N451:U451"/>
    <mergeCell ref="N452:U452"/>
    <mergeCell ref="N453:U453"/>
    <mergeCell ref="N454:U454"/>
    <mergeCell ref="N455:U455"/>
    <mergeCell ref="N456:U456"/>
    <mergeCell ref="N457:U457"/>
    <mergeCell ref="N458:U458"/>
    <mergeCell ref="N459:U459"/>
    <mergeCell ref="N460:U460"/>
    <mergeCell ref="N461:U461"/>
    <mergeCell ref="N462:U462"/>
    <mergeCell ref="N429:U429"/>
    <mergeCell ref="N430:U430"/>
    <mergeCell ref="N431:U431"/>
    <mergeCell ref="N432:U432"/>
    <mergeCell ref="N433:U433"/>
    <mergeCell ref="N434:U434"/>
    <mergeCell ref="N435:U435"/>
    <mergeCell ref="N436:U436"/>
    <mergeCell ref="N437:U437"/>
    <mergeCell ref="N438:U438"/>
    <mergeCell ref="N439:U439"/>
    <mergeCell ref="N440:U440"/>
    <mergeCell ref="N441:U441"/>
    <mergeCell ref="N442:U442"/>
    <mergeCell ref="N443:U443"/>
    <mergeCell ref="N444:U444"/>
    <mergeCell ref="N445:U445"/>
    <mergeCell ref="N412:U412"/>
    <mergeCell ref="N413:U413"/>
    <mergeCell ref="N414:U414"/>
    <mergeCell ref="N415:U415"/>
    <mergeCell ref="N416:U416"/>
    <mergeCell ref="N417:U417"/>
    <mergeCell ref="N418:U418"/>
    <mergeCell ref="N419:U419"/>
    <mergeCell ref="N420:U420"/>
    <mergeCell ref="N421:U421"/>
    <mergeCell ref="N422:U422"/>
    <mergeCell ref="N423:U423"/>
    <mergeCell ref="N424:U424"/>
    <mergeCell ref="N425:U425"/>
    <mergeCell ref="N426:U426"/>
    <mergeCell ref="N427:U427"/>
    <mergeCell ref="N428:U428"/>
    <mergeCell ref="N395:U395"/>
    <mergeCell ref="N396:U396"/>
    <mergeCell ref="N397:U397"/>
    <mergeCell ref="N398:U398"/>
    <mergeCell ref="N399:U399"/>
    <mergeCell ref="N400:U400"/>
    <mergeCell ref="N401:U401"/>
    <mergeCell ref="N402:U402"/>
    <mergeCell ref="N403:U403"/>
    <mergeCell ref="N404:U404"/>
    <mergeCell ref="N405:U405"/>
    <mergeCell ref="N406:U406"/>
    <mergeCell ref="N407:U407"/>
    <mergeCell ref="N408:U408"/>
    <mergeCell ref="N409:U409"/>
    <mergeCell ref="N410:U410"/>
    <mergeCell ref="N411:U411"/>
    <mergeCell ref="N378:U378"/>
    <mergeCell ref="N379:U379"/>
    <mergeCell ref="N380:U380"/>
    <mergeCell ref="N381:U381"/>
    <mergeCell ref="N382:U382"/>
    <mergeCell ref="N383:U383"/>
    <mergeCell ref="N384:U384"/>
    <mergeCell ref="N385:U385"/>
    <mergeCell ref="N386:U386"/>
    <mergeCell ref="N387:U387"/>
    <mergeCell ref="N388:U388"/>
    <mergeCell ref="N389:U389"/>
    <mergeCell ref="N390:U390"/>
    <mergeCell ref="N391:U391"/>
    <mergeCell ref="N392:U392"/>
    <mergeCell ref="N393:U393"/>
    <mergeCell ref="N394:U394"/>
    <mergeCell ref="N361:U361"/>
    <mergeCell ref="N362:U362"/>
    <mergeCell ref="N363:U363"/>
    <mergeCell ref="N364:U364"/>
    <mergeCell ref="N365:U365"/>
    <mergeCell ref="N366:U366"/>
    <mergeCell ref="N367:U367"/>
    <mergeCell ref="N368:U368"/>
    <mergeCell ref="N369:U369"/>
    <mergeCell ref="N370:U370"/>
    <mergeCell ref="N371:U371"/>
    <mergeCell ref="N372:U372"/>
    <mergeCell ref="N373:U373"/>
    <mergeCell ref="N374:U374"/>
    <mergeCell ref="N375:U375"/>
    <mergeCell ref="N376:U376"/>
    <mergeCell ref="N377:U377"/>
    <mergeCell ref="N344:U344"/>
    <mergeCell ref="N345:U345"/>
    <mergeCell ref="N346:U346"/>
    <mergeCell ref="N347:U347"/>
    <mergeCell ref="N348:U348"/>
    <mergeCell ref="N349:U349"/>
    <mergeCell ref="N350:U350"/>
    <mergeCell ref="N351:U351"/>
    <mergeCell ref="N352:U352"/>
    <mergeCell ref="N353:U353"/>
    <mergeCell ref="N354:U354"/>
    <mergeCell ref="N355:U355"/>
    <mergeCell ref="N356:U356"/>
    <mergeCell ref="N357:U357"/>
    <mergeCell ref="N358:U358"/>
    <mergeCell ref="N359:U359"/>
    <mergeCell ref="N360:U360"/>
    <mergeCell ref="N327:U327"/>
    <mergeCell ref="N328:U328"/>
    <mergeCell ref="N329:U329"/>
    <mergeCell ref="N330:U330"/>
    <mergeCell ref="N331:U331"/>
    <mergeCell ref="N332:U332"/>
    <mergeCell ref="N333:U333"/>
    <mergeCell ref="N334:U334"/>
    <mergeCell ref="N335:U335"/>
    <mergeCell ref="N336:U336"/>
    <mergeCell ref="N337:U337"/>
    <mergeCell ref="N338:U338"/>
    <mergeCell ref="N339:U339"/>
    <mergeCell ref="N340:U340"/>
    <mergeCell ref="N341:U341"/>
    <mergeCell ref="N342:U342"/>
    <mergeCell ref="N343:U343"/>
    <mergeCell ref="N310:U310"/>
    <mergeCell ref="N311:U311"/>
    <mergeCell ref="N312:U312"/>
    <mergeCell ref="N313:U313"/>
    <mergeCell ref="N314:U314"/>
    <mergeCell ref="N315:U315"/>
    <mergeCell ref="N316:U316"/>
    <mergeCell ref="N317:U317"/>
    <mergeCell ref="N318:U318"/>
    <mergeCell ref="N319:U319"/>
    <mergeCell ref="N320:U320"/>
    <mergeCell ref="N321:U321"/>
    <mergeCell ref="N322:U322"/>
    <mergeCell ref="N323:U323"/>
    <mergeCell ref="N324:U324"/>
    <mergeCell ref="N325:U325"/>
    <mergeCell ref="N326:U326"/>
    <mergeCell ref="N293:U293"/>
    <mergeCell ref="N294:U294"/>
    <mergeCell ref="N295:U295"/>
    <mergeCell ref="N296:U296"/>
    <mergeCell ref="N297:U297"/>
    <mergeCell ref="N298:U298"/>
    <mergeCell ref="N299:U299"/>
    <mergeCell ref="N300:U300"/>
    <mergeCell ref="N301:U301"/>
    <mergeCell ref="N302:U302"/>
    <mergeCell ref="N303:U303"/>
    <mergeCell ref="N304:U304"/>
    <mergeCell ref="N305:U305"/>
    <mergeCell ref="N306:U306"/>
    <mergeCell ref="N307:U307"/>
    <mergeCell ref="N308:U308"/>
    <mergeCell ref="N309:U309"/>
    <mergeCell ref="N276:U276"/>
    <mergeCell ref="N277:U277"/>
    <mergeCell ref="N278:U278"/>
    <mergeCell ref="N279:U279"/>
    <mergeCell ref="N280:U280"/>
    <mergeCell ref="N281:U281"/>
    <mergeCell ref="N282:U282"/>
    <mergeCell ref="N283:U283"/>
    <mergeCell ref="N284:U284"/>
    <mergeCell ref="N285:U285"/>
    <mergeCell ref="N286:U286"/>
    <mergeCell ref="N287:U287"/>
    <mergeCell ref="N288:U288"/>
    <mergeCell ref="N289:U289"/>
    <mergeCell ref="N290:U290"/>
    <mergeCell ref="N291:U291"/>
    <mergeCell ref="N292:U292"/>
    <mergeCell ref="N259:U259"/>
    <mergeCell ref="N260:U260"/>
    <mergeCell ref="N261:U261"/>
    <mergeCell ref="N262:U262"/>
    <mergeCell ref="N263:U263"/>
    <mergeCell ref="N264:U264"/>
    <mergeCell ref="N265:U265"/>
    <mergeCell ref="N266:U266"/>
    <mergeCell ref="N267:U267"/>
    <mergeCell ref="N268:U268"/>
    <mergeCell ref="N269:U269"/>
    <mergeCell ref="N270:U270"/>
    <mergeCell ref="N271:U271"/>
    <mergeCell ref="N272:U272"/>
    <mergeCell ref="N273:U273"/>
    <mergeCell ref="N274:U274"/>
    <mergeCell ref="N275:U275"/>
    <mergeCell ref="N242:U242"/>
    <mergeCell ref="N243:U243"/>
    <mergeCell ref="N244:U244"/>
    <mergeCell ref="N245:U245"/>
    <mergeCell ref="N246:U246"/>
    <mergeCell ref="N247:U247"/>
    <mergeCell ref="N248:U248"/>
    <mergeCell ref="N249:U249"/>
    <mergeCell ref="N250:U250"/>
    <mergeCell ref="N251:U251"/>
    <mergeCell ref="N252:U252"/>
    <mergeCell ref="N253:U253"/>
    <mergeCell ref="N254:U254"/>
    <mergeCell ref="N255:U255"/>
    <mergeCell ref="N256:U256"/>
    <mergeCell ref="N257:U257"/>
    <mergeCell ref="N258:U258"/>
    <mergeCell ref="N225:U225"/>
    <mergeCell ref="N226:U226"/>
    <mergeCell ref="N227:U227"/>
    <mergeCell ref="N228:U228"/>
    <mergeCell ref="N229:U229"/>
    <mergeCell ref="N230:U230"/>
    <mergeCell ref="N231:U231"/>
    <mergeCell ref="N232:U232"/>
    <mergeCell ref="N233:U233"/>
    <mergeCell ref="N234:U234"/>
    <mergeCell ref="N235:U235"/>
    <mergeCell ref="N236:U236"/>
    <mergeCell ref="N237:U237"/>
    <mergeCell ref="N238:U238"/>
    <mergeCell ref="N239:U239"/>
    <mergeCell ref="N240:U240"/>
    <mergeCell ref="N241:U241"/>
    <mergeCell ref="N208:U208"/>
    <mergeCell ref="N209:U209"/>
    <mergeCell ref="N210:U210"/>
    <mergeCell ref="N211:U211"/>
    <mergeCell ref="N212:U212"/>
    <mergeCell ref="N213:U213"/>
    <mergeCell ref="N214:U214"/>
    <mergeCell ref="N215:U215"/>
    <mergeCell ref="N216:U216"/>
    <mergeCell ref="N217:U217"/>
    <mergeCell ref="N218:U218"/>
    <mergeCell ref="N219:U219"/>
    <mergeCell ref="N220:U220"/>
    <mergeCell ref="N221:U221"/>
    <mergeCell ref="N222:U222"/>
    <mergeCell ref="N223:U223"/>
    <mergeCell ref="N224:U224"/>
    <mergeCell ref="N191:U191"/>
    <mergeCell ref="N192:U192"/>
    <mergeCell ref="N193:U193"/>
    <mergeCell ref="N194:U194"/>
    <mergeCell ref="N195:U195"/>
    <mergeCell ref="N196:U196"/>
    <mergeCell ref="N197:U197"/>
    <mergeCell ref="N198:U198"/>
    <mergeCell ref="N199:U199"/>
    <mergeCell ref="N200:U200"/>
    <mergeCell ref="N201:U201"/>
    <mergeCell ref="N202:U202"/>
    <mergeCell ref="N203:U203"/>
    <mergeCell ref="N204:U204"/>
    <mergeCell ref="N205:U205"/>
    <mergeCell ref="N206:U206"/>
    <mergeCell ref="N207:U207"/>
    <mergeCell ref="N174:U174"/>
    <mergeCell ref="N175:U175"/>
    <mergeCell ref="N176:U176"/>
    <mergeCell ref="N177:U177"/>
    <mergeCell ref="N178:U178"/>
    <mergeCell ref="N179:U179"/>
    <mergeCell ref="N180:U180"/>
    <mergeCell ref="N181:U181"/>
    <mergeCell ref="N182:U182"/>
    <mergeCell ref="N183:U183"/>
    <mergeCell ref="N184:U184"/>
    <mergeCell ref="N185:U185"/>
    <mergeCell ref="N186:U186"/>
    <mergeCell ref="N187:U187"/>
    <mergeCell ref="N188:U188"/>
    <mergeCell ref="N189:U189"/>
    <mergeCell ref="N190:U190"/>
    <mergeCell ref="N157:U157"/>
    <mergeCell ref="N158:U158"/>
    <mergeCell ref="N159:U159"/>
    <mergeCell ref="N160:U160"/>
    <mergeCell ref="N161:U161"/>
    <mergeCell ref="N162:U162"/>
    <mergeCell ref="N163:U163"/>
    <mergeCell ref="N164:U164"/>
    <mergeCell ref="N165:U165"/>
    <mergeCell ref="N166:U166"/>
    <mergeCell ref="N167:U167"/>
    <mergeCell ref="N168:U168"/>
    <mergeCell ref="N169:U169"/>
    <mergeCell ref="N170:U170"/>
    <mergeCell ref="N171:U171"/>
    <mergeCell ref="N172:U172"/>
    <mergeCell ref="N173:U173"/>
    <mergeCell ref="N146:U146"/>
    <mergeCell ref="N147:U147"/>
    <mergeCell ref="N148:U148"/>
    <mergeCell ref="N149:U149"/>
    <mergeCell ref="N150:U150"/>
    <mergeCell ref="N151:U151"/>
    <mergeCell ref="N152:U152"/>
    <mergeCell ref="N153:U153"/>
    <mergeCell ref="N154:U154"/>
    <mergeCell ref="N155:U155"/>
    <mergeCell ref="N156:U156"/>
    <mergeCell ref="B798:C798"/>
    <mergeCell ref="D798:E798"/>
    <mergeCell ref="F798:G798"/>
    <mergeCell ref="H798:J798"/>
    <mergeCell ref="K798:M798"/>
    <mergeCell ref="D802:E802"/>
    <mergeCell ref="F802:G802"/>
    <mergeCell ref="F791:G791"/>
    <mergeCell ref="B792:C792"/>
    <mergeCell ref="D792:E792"/>
    <mergeCell ref="F792:G792"/>
    <mergeCell ref="B794:C794"/>
    <mergeCell ref="D794:E794"/>
    <mergeCell ref="F794:G794"/>
    <mergeCell ref="H794:J794"/>
    <mergeCell ref="K794:M794"/>
    <mergeCell ref="D795:E795"/>
    <mergeCell ref="K795:M795"/>
    <mergeCell ref="F800:G800"/>
    <mergeCell ref="H800:J800"/>
    <mergeCell ref="B799:C799"/>
    <mergeCell ref="B803:C803"/>
    <mergeCell ref="D803:E803"/>
    <mergeCell ref="F803:G803"/>
    <mergeCell ref="H803:J803"/>
    <mergeCell ref="K803:M803"/>
    <mergeCell ref="N120:U120"/>
    <mergeCell ref="N121:U121"/>
    <mergeCell ref="N122:U122"/>
    <mergeCell ref="N123:U123"/>
    <mergeCell ref="N124:U124"/>
    <mergeCell ref="N125:U125"/>
    <mergeCell ref="N126:U126"/>
    <mergeCell ref="N127:U127"/>
    <mergeCell ref="N128:U128"/>
    <mergeCell ref="N129:U129"/>
    <mergeCell ref="N130:U130"/>
    <mergeCell ref="N131:U131"/>
    <mergeCell ref="N132:U132"/>
    <mergeCell ref="N133:U133"/>
    <mergeCell ref="N134:U134"/>
    <mergeCell ref="N135:U135"/>
    <mergeCell ref="N136:U136"/>
    <mergeCell ref="N137:U137"/>
    <mergeCell ref="N138:U138"/>
    <mergeCell ref="N139:U139"/>
    <mergeCell ref="D793:E793"/>
    <mergeCell ref="F793:G793"/>
    <mergeCell ref="H793:J793"/>
    <mergeCell ref="K793:M793"/>
    <mergeCell ref="B790:C790"/>
    <mergeCell ref="B791:C791"/>
    <mergeCell ref="D791:E791"/>
    <mergeCell ref="B800:C800"/>
    <mergeCell ref="B801:C801"/>
    <mergeCell ref="D801:E801"/>
    <mergeCell ref="F801:G801"/>
    <mergeCell ref="H801:J801"/>
    <mergeCell ref="K801:M801"/>
    <mergeCell ref="B802:C802"/>
    <mergeCell ref="B788:C788"/>
    <mergeCell ref="D788:E788"/>
    <mergeCell ref="F788:G788"/>
    <mergeCell ref="H788:J788"/>
    <mergeCell ref="K788:M788"/>
    <mergeCell ref="F795:G795"/>
    <mergeCell ref="H795:J795"/>
    <mergeCell ref="H796:J796"/>
    <mergeCell ref="K796:M796"/>
    <mergeCell ref="H797:J797"/>
    <mergeCell ref="K797:M797"/>
    <mergeCell ref="B795:C795"/>
    <mergeCell ref="B796:C796"/>
    <mergeCell ref="D796:E796"/>
    <mergeCell ref="F796:G796"/>
    <mergeCell ref="B797:C797"/>
    <mergeCell ref="D797:E797"/>
    <mergeCell ref="F797:G797"/>
    <mergeCell ref="F790:G790"/>
    <mergeCell ref="H790:J790"/>
    <mergeCell ref="H791:J791"/>
    <mergeCell ref="K791:M791"/>
    <mergeCell ref="H792:J792"/>
    <mergeCell ref="K792:M792"/>
    <mergeCell ref="B789:C789"/>
    <mergeCell ref="F789:G789"/>
    <mergeCell ref="H789:J789"/>
    <mergeCell ref="K789:M789"/>
    <mergeCell ref="D790:E790"/>
    <mergeCell ref="K790:M790"/>
    <mergeCell ref="B793:C793"/>
    <mergeCell ref="B777:C777"/>
    <mergeCell ref="D777:E777"/>
    <mergeCell ref="F777:G777"/>
    <mergeCell ref="B779:C779"/>
    <mergeCell ref="D779:E779"/>
    <mergeCell ref="F779:G779"/>
    <mergeCell ref="H779:J779"/>
    <mergeCell ref="K779:M779"/>
    <mergeCell ref="D780:E780"/>
    <mergeCell ref="K780:M780"/>
    <mergeCell ref="B783:C783"/>
    <mergeCell ref="D783:E783"/>
    <mergeCell ref="F783:G783"/>
    <mergeCell ref="H783:J783"/>
    <mergeCell ref="K783:M783"/>
    <mergeCell ref="D787:E787"/>
    <mergeCell ref="F787:G787"/>
    <mergeCell ref="F782:G782"/>
    <mergeCell ref="H787:J787"/>
    <mergeCell ref="K787:M787"/>
    <mergeCell ref="B785:C785"/>
    <mergeCell ref="B786:C786"/>
    <mergeCell ref="D786:E786"/>
    <mergeCell ref="F786:G786"/>
    <mergeCell ref="H786:J786"/>
    <mergeCell ref="K786:M786"/>
    <mergeCell ref="B787:C787"/>
    <mergeCell ref="F775:G775"/>
    <mergeCell ref="H775:J775"/>
    <mergeCell ref="H776:J776"/>
    <mergeCell ref="K776:M776"/>
    <mergeCell ref="H777:J777"/>
    <mergeCell ref="K777:M777"/>
    <mergeCell ref="B774:C774"/>
    <mergeCell ref="D774:E774"/>
    <mergeCell ref="F774:G774"/>
    <mergeCell ref="H774:J774"/>
    <mergeCell ref="K774:M774"/>
    <mergeCell ref="D775:E775"/>
    <mergeCell ref="K775:M775"/>
    <mergeCell ref="B778:C778"/>
    <mergeCell ref="D778:E778"/>
    <mergeCell ref="F778:G778"/>
    <mergeCell ref="H778:J778"/>
    <mergeCell ref="K778:M778"/>
    <mergeCell ref="B775:C775"/>
    <mergeCell ref="B776:C776"/>
    <mergeCell ref="D776:E776"/>
    <mergeCell ref="F776:G776"/>
    <mergeCell ref="B734:C734"/>
    <mergeCell ref="D734:E734"/>
    <mergeCell ref="F734:G734"/>
    <mergeCell ref="H734:J734"/>
    <mergeCell ref="K734:M734"/>
    <mergeCell ref="D735:E735"/>
    <mergeCell ref="K735:M735"/>
    <mergeCell ref="B738:C738"/>
    <mergeCell ref="D738:E738"/>
    <mergeCell ref="F738:G738"/>
    <mergeCell ref="H738:J738"/>
    <mergeCell ref="K738:M738"/>
    <mergeCell ref="D742:E742"/>
    <mergeCell ref="F742:G742"/>
    <mergeCell ref="B743:C743"/>
    <mergeCell ref="D743:E743"/>
    <mergeCell ref="F743:G743"/>
    <mergeCell ref="H743:J743"/>
    <mergeCell ref="K743:M743"/>
    <mergeCell ref="H742:J742"/>
    <mergeCell ref="K742:M742"/>
    <mergeCell ref="B740:C740"/>
    <mergeCell ref="B741:C741"/>
    <mergeCell ref="D741:E741"/>
    <mergeCell ref="F741:G741"/>
    <mergeCell ref="H741:J741"/>
    <mergeCell ref="K741:M741"/>
    <mergeCell ref="B742:C742"/>
    <mergeCell ref="F735:G735"/>
    <mergeCell ref="H735:J735"/>
    <mergeCell ref="F730:G730"/>
    <mergeCell ref="H730:J730"/>
    <mergeCell ref="H731:J731"/>
    <mergeCell ref="K731:M731"/>
    <mergeCell ref="H732:J732"/>
    <mergeCell ref="K732:M732"/>
    <mergeCell ref="B729:C729"/>
    <mergeCell ref="D729:E729"/>
    <mergeCell ref="F729:G729"/>
    <mergeCell ref="H729:J729"/>
    <mergeCell ref="K729:M729"/>
    <mergeCell ref="D730:E730"/>
    <mergeCell ref="K730:M730"/>
    <mergeCell ref="B733:C733"/>
    <mergeCell ref="D733:E733"/>
    <mergeCell ref="F733:G733"/>
    <mergeCell ref="H733:J733"/>
    <mergeCell ref="K733:M733"/>
    <mergeCell ref="B730:C730"/>
    <mergeCell ref="B731:C731"/>
    <mergeCell ref="D731:E731"/>
    <mergeCell ref="F731:G731"/>
    <mergeCell ref="B732:C732"/>
    <mergeCell ref="D732:E732"/>
    <mergeCell ref="F732:G732"/>
    <mergeCell ref="H736:J736"/>
    <mergeCell ref="K736:M736"/>
    <mergeCell ref="H737:J737"/>
    <mergeCell ref="K737:M737"/>
    <mergeCell ref="B735:C735"/>
    <mergeCell ref="B736:C736"/>
    <mergeCell ref="D736:E736"/>
    <mergeCell ref="F736:G736"/>
    <mergeCell ref="B737:C737"/>
    <mergeCell ref="D737:E737"/>
    <mergeCell ref="F737:G737"/>
    <mergeCell ref="F740:G740"/>
    <mergeCell ref="H740:J740"/>
    <mergeCell ref="B739:C739"/>
    <mergeCell ref="D739:E739"/>
    <mergeCell ref="F739:G739"/>
    <mergeCell ref="H739:J739"/>
    <mergeCell ref="K739:M739"/>
    <mergeCell ref="D740:E740"/>
    <mergeCell ref="K740:M740"/>
    <mergeCell ref="B719:C719"/>
    <mergeCell ref="D719:E719"/>
    <mergeCell ref="F719:G719"/>
    <mergeCell ref="H719:J719"/>
    <mergeCell ref="K719:M719"/>
    <mergeCell ref="D720:E720"/>
    <mergeCell ref="K720:M720"/>
    <mergeCell ref="B723:C723"/>
    <mergeCell ref="D723:E723"/>
    <mergeCell ref="F723:G723"/>
    <mergeCell ref="H723:J723"/>
    <mergeCell ref="K723:M723"/>
    <mergeCell ref="D727:E727"/>
    <mergeCell ref="F727:G727"/>
    <mergeCell ref="B728:C728"/>
    <mergeCell ref="D728:E728"/>
    <mergeCell ref="F728:G728"/>
    <mergeCell ref="H728:J728"/>
    <mergeCell ref="K728:M728"/>
    <mergeCell ref="H727:J727"/>
    <mergeCell ref="K727:M727"/>
    <mergeCell ref="B725:C725"/>
    <mergeCell ref="B726:C726"/>
    <mergeCell ref="D726:E726"/>
    <mergeCell ref="F726:G726"/>
    <mergeCell ref="H726:J726"/>
    <mergeCell ref="K726:M726"/>
    <mergeCell ref="B727:C727"/>
    <mergeCell ref="F715:G715"/>
    <mergeCell ref="H715:J715"/>
    <mergeCell ref="H716:J716"/>
    <mergeCell ref="K716:M716"/>
    <mergeCell ref="H717:J717"/>
    <mergeCell ref="K717:M717"/>
    <mergeCell ref="B714:C714"/>
    <mergeCell ref="D714:E714"/>
    <mergeCell ref="F714:G714"/>
    <mergeCell ref="H714:J714"/>
    <mergeCell ref="K714:M714"/>
    <mergeCell ref="D715:E715"/>
    <mergeCell ref="K715:M715"/>
    <mergeCell ref="B718:C718"/>
    <mergeCell ref="D718:E718"/>
    <mergeCell ref="F718:G718"/>
    <mergeCell ref="H718:J718"/>
    <mergeCell ref="K718:M718"/>
    <mergeCell ref="B715:C715"/>
    <mergeCell ref="B716:C716"/>
    <mergeCell ref="D716:E716"/>
    <mergeCell ref="F716:G716"/>
    <mergeCell ref="B717:C717"/>
    <mergeCell ref="F717:G717"/>
    <mergeCell ref="F710:G710"/>
    <mergeCell ref="H710:J710"/>
    <mergeCell ref="B709:C709"/>
    <mergeCell ref="D709:E709"/>
    <mergeCell ref="F709:G709"/>
    <mergeCell ref="H709:J709"/>
    <mergeCell ref="K709:M709"/>
    <mergeCell ref="D710:E710"/>
    <mergeCell ref="K710:M710"/>
    <mergeCell ref="F725:G725"/>
    <mergeCell ref="H725:J725"/>
    <mergeCell ref="B724:C724"/>
    <mergeCell ref="D724:E724"/>
    <mergeCell ref="F724:G724"/>
    <mergeCell ref="H724:J724"/>
    <mergeCell ref="K724:M724"/>
    <mergeCell ref="D725:E725"/>
    <mergeCell ref="K725:M725"/>
    <mergeCell ref="F720:G720"/>
    <mergeCell ref="H720:J720"/>
    <mergeCell ref="H721:J721"/>
    <mergeCell ref="K721:M721"/>
    <mergeCell ref="H722:J722"/>
    <mergeCell ref="K722:M722"/>
    <mergeCell ref="B720:C720"/>
    <mergeCell ref="B721:C721"/>
    <mergeCell ref="D721:E721"/>
    <mergeCell ref="F721:G721"/>
    <mergeCell ref="B722:C722"/>
    <mergeCell ref="D722:E722"/>
    <mergeCell ref="F722:G722"/>
    <mergeCell ref="D717:E717"/>
    <mergeCell ref="B698:C698"/>
    <mergeCell ref="D698:E698"/>
    <mergeCell ref="F698:G698"/>
    <mergeCell ref="H698:J698"/>
    <mergeCell ref="K698:M698"/>
    <mergeCell ref="F705:G705"/>
    <mergeCell ref="H705:J705"/>
    <mergeCell ref="H706:J706"/>
    <mergeCell ref="K706:M706"/>
    <mergeCell ref="H707:J707"/>
    <mergeCell ref="K707:M707"/>
    <mergeCell ref="B705:C705"/>
    <mergeCell ref="B706:C706"/>
    <mergeCell ref="D706:E706"/>
    <mergeCell ref="F706:G706"/>
    <mergeCell ref="B707:C707"/>
    <mergeCell ref="D707:E707"/>
    <mergeCell ref="F707:G707"/>
    <mergeCell ref="D705:E705"/>
    <mergeCell ref="K705:M705"/>
    <mergeCell ref="B703:C703"/>
    <mergeCell ref="D703:E703"/>
    <mergeCell ref="F703:G703"/>
    <mergeCell ref="H703:J703"/>
    <mergeCell ref="K703:M703"/>
    <mergeCell ref="B700:C700"/>
    <mergeCell ref="B701:C701"/>
    <mergeCell ref="D701:E701"/>
    <mergeCell ref="F701:G701"/>
    <mergeCell ref="B702:C702"/>
    <mergeCell ref="D702:E702"/>
    <mergeCell ref="B684:C684"/>
    <mergeCell ref="D684:E684"/>
    <mergeCell ref="F684:G684"/>
    <mergeCell ref="H684:J684"/>
    <mergeCell ref="K684:M684"/>
    <mergeCell ref="D685:E685"/>
    <mergeCell ref="K685:M685"/>
    <mergeCell ref="B688:C688"/>
    <mergeCell ref="D688:E688"/>
    <mergeCell ref="F688:G688"/>
    <mergeCell ref="H688:J688"/>
    <mergeCell ref="K688:M688"/>
    <mergeCell ref="B685:C685"/>
    <mergeCell ref="B686:C686"/>
    <mergeCell ref="D686:E686"/>
    <mergeCell ref="F686:G686"/>
    <mergeCell ref="B687:C687"/>
    <mergeCell ref="D687:E687"/>
    <mergeCell ref="F687:G687"/>
    <mergeCell ref="B695:C695"/>
    <mergeCell ref="B696:C696"/>
    <mergeCell ref="D696:E696"/>
    <mergeCell ref="F696:G696"/>
    <mergeCell ref="H696:J696"/>
    <mergeCell ref="K696:M696"/>
    <mergeCell ref="B697:C697"/>
    <mergeCell ref="F685:G685"/>
    <mergeCell ref="H685:J685"/>
    <mergeCell ref="H686:J686"/>
    <mergeCell ref="K686:M686"/>
    <mergeCell ref="H687:J687"/>
    <mergeCell ref="K687:M687"/>
    <mergeCell ref="B689:C689"/>
    <mergeCell ref="D689:E689"/>
    <mergeCell ref="F689:G689"/>
    <mergeCell ref="H689:J689"/>
    <mergeCell ref="K689:M689"/>
    <mergeCell ref="D690:E690"/>
    <mergeCell ref="K690:M690"/>
    <mergeCell ref="B693:C693"/>
    <mergeCell ref="D693:E693"/>
    <mergeCell ref="F693:G693"/>
    <mergeCell ref="H693:J693"/>
    <mergeCell ref="K693:M693"/>
    <mergeCell ref="D697:E697"/>
    <mergeCell ref="F697:G697"/>
    <mergeCell ref="F712:G712"/>
    <mergeCell ref="B713:C713"/>
    <mergeCell ref="D713:E713"/>
    <mergeCell ref="F713:G713"/>
    <mergeCell ref="H713:J713"/>
    <mergeCell ref="K713:M713"/>
    <mergeCell ref="F690:G690"/>
    <mergeCell ref="H690:J690"/>
    <mergeCell ref="H691:J691"/>
    <mergeCell ref="K691:M691"/>
    <mergeCell ref="H692:J692"/>
    <mergeCell ref="K692:M692"/>
    <mergeCell ref="B690:C690"/>
    <mergeCell ref="B691:C691"/>
    <mergeCell ref="D691:E691"/>
    <mergeCell ref="F691:G691"/>
    <mergeCell ref="B692:C692"/>
    <mergeCell ref="D692:E692"/>
    <mergeCell ref="F692:G692"/>
    <mergeCell ref="F695:G695"/>
    <mergeCell ref="H695:J695"/>
    <mergeCell ref="B694:C694"/>
    <mergeCell ref="D694:E694"/>
    <mergeCell ref="F694:G694"/>
    <mergeCell ref="D700:E700"/>
    <mergeCell ref="K700:M700"/>
    <mergeCell ref="H694:J694"/>
    <mergeCell ref="K694:M694"/>
    <mergeCell ref="D695:E695"/>
    <mergeCell ref="K695:M695"/>
    <mergeCell ref="H697:J697"/>
    <mergeCell ref="K697:M697"/>
    <mergeCell ref="B678:C678"/>
    <mergeCell ref="D678:E678"/>
    <mergeCell ref="F678:G678"/>
    <mergeCell ref="H678:J678"/>
    <mergeCell ref="K678:M678"/>
    <mergeCell ref="D682:E682"/>
    <mergeCell ref="F682:G682"/>
    <mergeCell ref="B683:C683"/>
    <mergeCell ref="D683:E683"/>
    <mergeCell ref="F683:G683"/>
    <mergeCell ref="H683:J683"/>
    <mergeCell ref="K683:M683"/>
    <mergeCell ref="F680:G680"/>
    <mergeCell ref="H680:J680"/>
    <mergeCell ref="B679:C679"/>
    <mergeCell ref="D679:E679"/>
    <mergeCell ref="F679:G679"/>
    <mergeCell ref="H679:J679"/>
    <mergeCell ref="K679:M679"/>
    <mergeCell ref="D680:E680"/>
    <mergeCell ref="K680:M680"/>
    <mergeCell ref="H682:J682"/>
    <mergeCell ref="K682:M682"/>
    <mergeCell ref="B680:C680"/>
    <mergeCell ref="B681:C681"/>
    <mergeCell ref="D681:E681"/>
    <mergeCell ref="H712:J712"/>
    <mergeCell ref="K712:M712"/>
    <mergeCell ref="B710:C710"/>
    <mergeCell ref="B711:C711"/>
    <mergeCell ref="D711:E711"/>
    <mergeCell ref="F711:G711"/>
    <mergeCell ref="H711:J711"/>
    <mergeCell ref="K711:M711"/>
    <mergeCell ref="B712:C712"/>
    <mergeCell ref="F700:G700"/>
    <mergeCell ref="H700:J700"/>
    <mergeCell ref="H701:J701"/>
    <mergeCell ref="K701:M701"/>
    <mergeCell ref="H702:J702"/>
    <mergeCell ref="K702:M702"/>
    <mergeCell ref="B699:C699"/>
    <mergeCell ref="D699:E699"/>
    <mergeCell ref="F699:G699"/>
    <mergeCell ref="H699:J699"/>
    <mergeCell ref="K699:M699"/>
    <mergeCell ref="F702:G702"/>
    <mergeCell ref="B704:C704"/>
    <mergeCell ref="D704:E704"/>
    <mergeCell ref="F704:G704"/>
    <mergeCell ref="H704:J704"/>
    <mergeCell ref="K704:M704"/>
    <mergeCell ref="B708:C708"/>
    <mergeCell ref="D708:E708"/>
    <mergeCell ref="F708:G708"/>
    <mergeCell ref="H708:J708"/>
    <mergeCell ref="K708:M708"/>
    <mergeCell ref="D712:E712"/>
    <mergeCell ref="F673:G673"/>
    <mergeCell ref="H673:J673"/>
    <mergeCell ref="K673:M673"/>
    <mergeCell ref="B670:C670"/>
    <mergeCell ref="B671:C671"/>
    <mergeCell ref="D671:E671"/>
    <mergeCell ref="F671:G671"/>
    <mergeCell ref="B672:C672"/>
    <mergeCell ref="D672:E672"/>
    <mergeCell ref="F672:G672"/>
    <mergeCell ref="B674:C674"/>
    <mergeCell ref="D674:E674"/>
    <mergeCell ref="F674:G674"/>
    <mergeCell ref="H674:J674"/>
    <mergeCell ref="K674:M674"/>
    <mergeCell ref="D675:E675"/>
    <mergeCell ref="K675:M675"/>
    <mergeCell ref="F681:G681"/>
    <mergeCell ref="H681:J681"/>
    <mergeCell ref="K681:M681"/>
    <mergeCell ref="B682:C682"/>
    <mergeCell ref="B668:C668"/>
    <mergeCell ref="D668:E668"/>
    <mergeCell ref="F668:G668"/>
    <mergeCell ref="H668:J668"/>
    <mergeCell ref="K668:M668"/>
    <mergeCell ref="F675:G675"/>
    <mergeCell ref="H675:J675"/>
    <mergeCell ref="H676:J676"/>
    <mergeCell ref="K676:M676"/>
    <mergeCell ref="H677:J677"/>
    <mergeCell ref="K677:M677"/>
    <mergeCell ref="B675:C675"/>
    <mergeCell ref="B676:C676"/>
    <mergeCell ref="D676:E676"/>
    <mergeCell ref="F676:G676"/>
    <mergeCell ref="B677:C677"/>
    <mergeCell ref="D677:E677"/>
    <mergeCell ref="F677:G677"/>
    <mergeCell ref="F670:G670"/>
    <mergeCell ref="H670:J670"/>
    <mergeCell ref="H671:J671"/>
    <mergeCell ref="K671:M671"/>
    <mergeCell ref="H672:J672"/>
    <mergeCell ref="K672:M672"/>
    <mergeCell ref="B669:C669"/>
    <mergeCell ref="D669:E669"/>
    <mergeCell ref="F669:G669"/>
    <mergeCell ref="H669:J669"/>
    <mergeCell ref="K669:M669"/>
    <mergeCell ref="D670:E670"/>
    <mergeCell ref="K670:M670"/>
    <mergeCell ref="B673:C673"/>
    <mergeCell ref="B657:C657"/>
    <mergeCell ref="D657:E657"/>
    <mergeCell ref="F657:G657"/>
    <mergeCell ref="B659:C659"/>
    <mergeCell ref="D659:E659"/>
    <mergeCell ref="F659:G659"/>
    <mergeCell ref="H659:J659"/>
    <mergeCell ref="K659:M659"/>
    <mergeCell ref="D660:E660"/>
    <mergeCell ref="K660:M660"/>
    <mergeCell ref="B663:C663"/>
    <mergeCell ref="D663:E663"/>
    <mergeCell ref="F663:G663"/>
    <mergeCell ref="H663:J663"/>
    <mergeCell ref="K663:M663"/>
    <mergeCell ref="D667:E667"/>
    <mergeCell ref="F667:G667"/>
    <mergeCell ref="F662:G662"/>
    <mergeCell ref="H667:J667"/>
    <mergeCell ref="K667:M667"/>
    <mergeCell ref="B665:C665"/>
    <mergeCell ref="B666:C666"/>
    <mergeCell ref="D666:E666"/>
    <mergeCell ref="F666:G666"/>
    <mergeCell ref="H666:J666"/>
    <mergeCell ref="K666:M666"/>
    <mergeCell ref="B667:C667"/>
    <mergeCell ref="D673:E673"/>
    <mergeCell ref="F655:G655"/>
    <mergeCell ref="H655:J655"/>
    <mergeCell ref="H656:J656"/>
    <mergeCell ref="K656:M656"/>
    <mergeCell ref="H657:J657"/>
    <mergeCell ref="K657:M657"/>
    <mergeCell ref="B654:C654"/>
    <mergeCell ref="D654:E654"/>
    <mergeCell ref="F654:G654"/>
    <mergeCell ref="H654:J654"/>
    <mergeCell ref="K654:M654"/>
    <mergeCell ref="D655:E655"/>
    <mergeCell ref="K655:M655"/>
    <mergeCell ref="B658:C658"/>
    <mergeCell ref="D658:E658"/>
    <mergeCell ref="F658:G658"/>
    <mergeCell ref="H658:J658"/>
    <mergeCell ref="K658:M658"/>
    <mergeCell ref="B655:C655"/>
    <mergeCell ref="B656:C656"/>
    <mergeCell ref="D656:E656"/>
    <mergeCell ref="F656:G656"/>
    <mergeCell ref="D647:E647"/>
    <mergeCell ref="F647:G647"/>
    <mergeCell ref="F650:G650"/>
    <mergeCell ref="H650:J650"/>
    <mergeCell ref="B649:C649"/>
    <mergeCell ref="D649:E649"/>
    <mergeCell ref="F649:G649"/>
    <mergeCell ref="H649:J649"/>
    <mergeCell ref="K649:M649"/>
    <mergeCell ref="D650:E650"/>
    <mergeCell ref="K650:M650"/>
    <mergeCell ref="F665:G665"/>
    <mergeCell ref="H665:J665"/>
    <mergeCell ref="B664:C664"/>
    <mergeCell ref="D664:E664"/>
    <mergeCell ref="F664:G664"/>
    <mergeCell ref="H664:J664"/>
    <mergeCell ref="K664:M664"/>
    <mergeCell ref="D665:E665"/>
    <mergeCell ref="K665:M665"/>
    <mergeCell ref="F660:G660"/>
    <mergeCell ref="H660:J660"/>
    <mergeCell ref="H661:J661"/>
    <mergeCell ref="K661:M661"/>
    <mergeCell ref="H662:J662"/>
    <mergeCell ref="K662:M662"/>
    <mergeCell ref="B660:C660"/>
    <mergeCell ref="B661:C661"/>
    <mergeCell ref="D661:E661"/>
    <mergeCell ref="F661:G661"/>
    <mergeCell ref="B662:C662"/>
    <mergeCell ref="D662:E662"/>
    <mergeCell ref="B629:C629"/>
    <mergeCell ref="D629:E629"/>
    <mergeCell ref="F629:G629"/>
    <mergeCell ref="H629:J629"/>
    <mergeCell ref="K629:M629"/>
    <mergeCell ref="D630:E630"/>
    <mergeCell ref="K630:M630"/>
    <mergeCell ref="B633:C633"/>
    <mergeCell ref="D633:E633"/>
    <mergeCell ref="F633:G633"/>
    <mergeCell ref="H633:J633"/>
    <mergeCell ref="K633:M633"/>
    <mergeCell ref="D637:E637"/>
    <mergeCell ref="F637:G637"/>
    <mergeCell ref="B638:C638"/>
    <mergeCell ref="D638:E638"/>
    <mergeCell ref="F638:G638"/>
    <mergeCell ref="H638:J638"/>
    <mergeCell ref="K638:M638"/>
    <mergeCell ref="H637:J637"/>
    <mergeCell ref="K637:M637"/>
    <mergeCell ref="B635:C635"/>
    <mergeCell ref="B636:C636"/>
    <mergeCell ref="D636:E636"/>
    <mergeCell ref="F636:G636"/>
    <mergeCell ref="H636:J636"/>
    <mergeCell ref="K636:M636"/>
    <mergeCell ref="B637:C637"/>
    <mergeCell ref="F630:G630"/>
    <mergeCell ref="H630:J630"/>
    <mergeCell ref="F625:G625"/>
    <mergeCell ref="H625:J625"/>
    <mergeCell ref="H626:J626"/>
    <mergeCell ref="K626:M626"/>
    <mergeCell ref="H627:J627"/>
    <mergeCell ref="K627:M627"/>
    <mergeCell ref="B624:C624"/>
    <mergeCell ref="D624:E624"/>
    <mergeCell ref="F624:G624"/>
    <mergeCell ref="H624:J624"/>
    <mergeCell ref="K624:M624"/>
    <mergeCell ref="D625:E625"/>
    <mergeCell ref="K625:M625"/>
    <mergeCell ref="B628:C628"/>
    <mergeCell ref="D628:E628"/>
    <mergeCell ref="F628:G628"/>
    <mergeCell ref="H628:J628"/>
    <mergeCell ref="K628:M628"/>
    <mergeCell ref="B625:C625"/>
    <mergeCell ref="B626:C626"/>
    <mergeCell ref="D626:E626"/>
    <mergeCell ref="F626:G626"/>
    <mergeCell ref="B627:C627"/>
    <mergeCell ref="D627:E627"/>
    <mergeCell ref="F627:G627"/>
    <mergeCell ref="H631:J631"/>
    <mergeCell ref="K631:M631"/>
    <mergeCell ref="H632:J632"/>
    <mergeCell ref="K632:M632"/>
    <mergeCell ref="B630:C630"/>
    <mergeCell ref="B631:C631"/>
    <mergeCell ref="D631:E631"/>
    <mergeCell ref="F631:G631"/>
    <mergeCell ref="B632:C632"/>
    <mergeCell ref="D632:E632"/>
    <mergeCell ref="F632:G632"/>
    <mergeCell ref="F635:G635"/>
    <mergeCell ref="H635:J635"/>
    <mergeCell ref="B634:C634"/>
    <mergeCell ref="D634:E634"/>
    <mergeCell ref="F634:G634"/>
    <mergeCell ref="H634:J634"/>
    <mergeCell ref="K634:M634"/>
    <mergeCell ref="D635:E635"/>
    <mergeCell ref="K635:M635"/>
    <mergeCell ref="D642:E642"/>
    <mergeCell ref="F642:G642"/>
    <mergeCell ref="B644:C644"/>
    <mergeCell ref="D644:E644"/>
    <mergeCell ref="F644:G644"/>
    <mergeCell ref="H644:J644"/>
    <mergeCell ref="K644:M644"/>
    <mergeCell ref="D645:E645"/>
    <mergeCell ref="K645:M645"/>
    <mergeCell ref="B648:C648"/>
    <mergeCell ref="D648:E648"/>
    <mergeCell ref="F648:G648"/>
    <mergeCell ref="H648:J648"/>
    <mergeCell ref="K648:M648"/>
    <mergeCell ref="D652:E652"/>
    <mergeCell ref="F652:G652"/>
    <mergeCell ref="B653:C653"/>
    <mergeCell ref="D653:E653"/>
    <mergeCell ref="F653:G653"/>
    <mergeCell ref="H653:J653"/>
    <mergeCell ref="K653:M653"/>
    <mergeCell ref="F645:G645"/>
    <mergeCell ref="H645:J645"/>
    <mergeCell ref="H646:J646"/>
    <mergeCell ref="K646:M646"/>
    <mergeCell ref="H647:J647"/>
    <mergeCell ref="K647:M647"/>
    <mergeCell ref="B645:C645"/>
    <mergeCell ref="B646:C646"/>
    <mergeCell ref="D646:E646"/>
    <mergeCell ref="F646:G646"/>
    <mergeCell ref="B647:C647"/>
    <mergeCell ref="H652:J652"/>
    <mergeCell ref="K652:M652"/>
    <mergeCell ref="B650:C650"/>
    <mergeCell ref="B651:C651"/>
    <mergeCell ref="D651:E651"/>
    <mergeCell ref="F651:G651"/>
    <mergeCell ref="H651:J651"/>
    <mergeCell ref="K651:M651"/>
    <mergeCell ref="B652:C652"/>
    <mergeCell ref="F640:G640"/>
    <mergeCell ref="H640:J640"/>
    <mergeCell ref="H641:J641"/>
    <mergeCell ref="K641:M641"/>
    <mergeCell ref="H642:J642"/>
    <mergeCell ref="K642:M642"/>
    <mergeCell ref="B639:C639"/>
    <mergeCell ref="D639:E639"/>
    <mergeCell ref="F639:G639"/>
    <mergeCell ref="H639:J639"/>
    <mergeCell ref="K639:M639"/>
    <mergeCell ref="D640:E640"/>
    <mergeCell ref="K640:M640"/>
    <mergeCell ref="B643:C643"/>
    <mergeCell ref="D643:E643"/>
    <mergeCell ref="F643:G643"/>
    <mergeCell ref="H643:J643"/>
    <mergeCell ref="K643:M643"/>
    <mergeCell ref="B640:C640"/>
    <mergeCell ref="B641:C641"/>
    <mergeCell ref="D641:E641"/>
    <mergeCell ref="F641:G641"/>
    <mergeCell ref="B642:C642"/>
    <mergeCell ref="B1405:C1405"/>
    <mergeCell ref="D1405:E1405"/>
    <mergeCell ref="F1405:G1405"/>
    <mergeCell ref="H1405:J1405"/>
    <mergeCell ref="K1405:M1405"/>
    <mergeCell ref="D1406:E1406"/>
    <mergeCell ref="K1406:M1406"/>
    <mergeCell ref="B1409:C1409"/>
    <mergeCell ref="D1409:E1409"/>
    <mergeCell ref="F1409:G1409"/>
    <mergeCell ref="H1409:J1409"/>
    <mergeCell ref="K1409:M1409"/>
    <mergeCell ref="D1413:E1413"/>
    <mergeCell ref="F1413:G1413"/>
    <mergeCell ref="B1414:C1414"/>
    <mergeCell ref="D1414:E1414"/>
    <mergeCell ref="F1414:G1414"/>
    <mergeCell ref="H1414:J1414"/>
    <mergeCell ref="K1414:M1414"/>
    <mergeCell ref="F1411:G1411"/>
    <mergeCell ref="H1411:J1411"/>
    <mergeCell ref="B1410:C1410"/>
    <mergeCell ref="D1410:E1410"/>
    <mergeCell ref="F1410:G1410"/>
    <mergeCell ref="H1410:J1410"/>
    <mergeCell ref="K1410:M1410"/>
    <mergeCell ref="D1411:E1411"/>
    <mergeCell ref="K1411:M1411"/>
    <mergeCell ref="H1413:J1413"/>
    <mergeCell ref="K1413:M1413"/>
    <mergeCell ref="B1411:C1411"/>
    <mergeCell ref="B1412:C1412"/>
    <mergeCell ref="D1400:E1400"/>
    <mergeCell ref="F1400:G1400"/>
    <mergeCell ref="H1400:J1400"/>
    <mergeCell ref="K1400:M1400"/>
    <mergeCell ref="D1401:E1401"/>
    <mergeCell ref="K1401:M1401"/>
    <mergeCell ref="B1404:C1404"/>
    <mergeCell ref="D1404:E1404"/>
    <mergeCell ref="F1404:G1404"/>
    <mergeCell ref="H1404:J1404"/>
    <mergeCell ref="K1404:M1404"/>
    <mergeCell ref="B1401:C1401"/>
    <mergeCell ref="B1402:C1402"/>
    <mergeCell ref="D1402:E1402"/>
    <mergeCell ref="F1402:G1402"/>
    <mergeCell ref="B1403:C1403"/>
    <mergeCell ref="D1403:E1403"/>
    <mergeCell ref="F1403:G1403"/>
    <mergeCell ref="H1402:J1402"/>
    <mergeCell ref="K1402:M1402"/>
    <mergeCell ref="H1403:J1403"/>
    <mergeCell ref="K1403:M1403"/>
    <mergeCell ref="B1400:C1400"/>
    <mergeCell ref="D1412:E1412"/>
    <mergeCell ref="F1412:G1412"/>
    <mergeCell ref="H1412:J1412"/>
    <mergeCell ref="K1412:M1412"/>
    <mergeCell ref="B1413:C1413"/>
    <mergeCell ref="B1394:C1394"/>
    <mergeCell ref="D1394:E1394"/>
    <mergeCell ref="F1394:G1394"/>
    <mergeCell ref="H1394:J1394"/>
    <mergeCell ref="K1394:M1394"/>
    <mergeCell ref="D1398:E1398"/>
    <mergeCell ref="F1398:G1398"/>
    <mergeCell ref="B1399:C1399"/>
    <mergeCell ref="D1399:E1399"/>
    <mergeCell ref="F1399:G1399"/>
    <mergeCell ref="H1399:J1399"/>
    <mergeCell ref="K1399:M1399"/>
    <mergeCell ref="F1406:G1406"/>
    <mergeCell ref="H1406:J1406"/>
    <mergeCell ref="H1407:J1407"/>
    <mergeCell ref="K1407:M1407"/>
    <mergeCell ref="H1408:J1408"/>
    <mergeCell ref="K1408:M1408"/>
    <mergeCell ref="B1406:C1406"/>
    <mergeCell ref="B1407:C1407"/>
    <mergeCell ref="D1407:E1407"/>
    <mergeCell ref="F1407:G1407"/>
    <mergeCell ref="B1408:C1408"/>
    <mergeCell ref="D1408:E1408"/>
    <mergeCell ref="F1408:G1408"/>
    <mergeCell ref="F1401:G1401"/>
    <mergeCell ref="H1401:J1401"/>
    <mergeCell ref="B1396:C1396"/>
    <mergeCell ref="B1397:C1397"/>
    <mergeCell ref="D1397:E1397"/>
    <mergeCell ref="F1397:G1397"/>
    <mergeCell ref="H1397:J1397"/>
    <mergeCell ref="K1397:M1397"/>
    <mergeCell ref="B1398:C1398"/>
    <mergeCell ref="F1386:G1386"/>
    <mergeCell ref="H1386:J1386"/>
    <mergeCell ref="H1387:J1387"/>
    <mergeCell ref="K1387:M1387"/>
    <mergeCell ref="H1388:J1388"/>
    <mergeCell ref="K1388:M1388"/>
    <mergeCell ref="B1385:C1385"/>
    <mergeCell ref="D1385:E1385"/>
    <mergeCell ref="F1385:G1385"/>
    <mergeCell ref="H1385:J1385"/>
    <mergeCell ref="K1385:M1385"/>
    <mergeCell ref="D1386:E1386"/>
    <mergeCell ref="K1386:M1386"/>
    <mergeCell ref="B1389:C1389"/>
    <mergeCell ref="D1389:E1389"/>
    <mergeCell ref="F1389:G1389"/>
    <mergeCell ref="H1389:J1389"/>
    <mergeCell ref="K1389:M1389"/>
    <mergeCell ref="B1386:C1386"/>
    <mergeCell ref="B1387:C1387"/>
    <mergeCell ref="D1387:E1387"/>
    <mergeCell ref="F1387:G1387"/>
    <mergeCell ref="B1388:C1388"/>
    <mergeCell ref="D1388:E1388"/>
    <mergeCell ref="F1388:G1388"/>
    <mergeCell ref="D1383:E1383"/>
    <mergeCell ref="F1383:G1383"/>
    <mergeCell ref="B1384:C1384"/>
    <mergeCell ref="D1384:E1384"/>
    <mergeCell ref="F1384:G1384"/>
    <mergeCell ref="H1384:J1384"/>
    <mergeCell ref="K1384:M1384"/>
    <mergeCell ref="F1391:G1391"/>
    <mergeCell ref="H1391:J1391"/>
    <mergeCell ref="H1392:J1392"/>
    <mergeCell ref="K1392:M1392"/>
    <mergeCell ref="H1393:J1393"/>
    <mergeCell ref="K1393:M1393"/>
    <mergeCell ref="B1391:C1391"/>
    <mergeCell ref="B1392:C1392"/>
    <mergeCell ref="D1392:E1392"/>
    <mergeCell ref="F1392:G1392"/>
    <mergeCell ref="B1393:C1393"/>
    <mergeCell ref="D1393:E1393"/>
    <mergeCell ref="F1393:G1393"/>
    <mergeCell ref="B1390:C1390"/>
    <mergeCell ref="D1390:E1390"/>
    <mergeCell ref="F1390:G1390"/>
    <mergeCell ref="H1390:J1390"/>
    <mergeCell ref="K1390:M1390"/>
    <mergeCell ref="D1391:E1391"/>
    <mergeCell ref="K1391:M1391"/>
    <mergeCell ref="D1371:E1371"/>
    <mergeCell ref="K1371:M1371"/>
    <mergeCell ref="B1374:C1374"/>
    <mergeCell ref="D1374:E1374"/>
    <mergeCell ref="F1374:G1374"/>
    <mergeCell ref="H1374:J1374"/>
    <mergeCell ref="K1374:M1374"/>
    <mergeCell ref="B1371:C1371"/>
    <mergeCell ref="B1372:C1372"/>
    <mergeCell ref="D1372:E1372"/>
    <mergeCell ref="F1372:G1372"/>
    <mergeCell ref="B1373:C1373"/>
    <mergeCell ref="D1373:E1373"/>
    <mergeCell ref="F1373:G1373"/>
    <mergeCell ref="B1375:C1375"/>
    <mergeCell ref="D1375:E1375"/>
    <mergeCell ref="F1375:G1375"/>
    <mergeCell ref="H1375:J1375"/>
    <mergeCell ref="K1375:M1375"/>
    <mergeCell ref="B1349:C1349"/>
    <mergeCell ref="D1349:E1349"/>
    <mergeCell ref="F1349:G1349"/>
    <mergeCell ref="H1349:J1349"/>
    <mergeCell ref="K1349:M1349"/>
    <mergeCell ref="D1353:E1353"/>
    <mergeCell ref="F1353:G1353"/>
    <mergeCell ref="B1354:C1354"/>
    <mergeCell ref="D1354:E1354"/>
    <mergeCell ref="F1354:G1354"/>
    <mergeCell ref="H1354:J1354"/>
    <mergeCell ref="K1354:M1354"/>
    <mergeCell ref="H1383:J1383"/>
    <mergeCell ref="K1383:M1383"/>
    <mergeCell ref="B1381:C1381"/>
    <mergeCell ref="B1382:C1382"/>
    <mergeCell ref="D1382:E1382"/>
    <mergeCell ref="F1382:G1382"/>
    <mergeCell ref="H1382:J1382"/>
    <mergeCell ref="K1382:M1382"/>
    <mergeCell ref="B1383:C1383"/>
    <mergeCell ref="F1371:G1371"/>
    <mergeCell ref="H1371:J1371"/>
    <mergeCell ref="H1372:J1372"/>
    <mergeCell ref="K1372:M1372"/>
    <mergeCell ref="H1373:J1373"/>
    <mergeCell ref="K1373:M1373"/>
    <mergeCell ref="B1370:C1370"/>
    <mergeCell ref="D1370:E1370"/>
    <mergeCell ref="F1370:G1370"/>
    <mergeCell ref="H1370:J1370"/>
    <mergeCell ref="K1370:M1370"/>
    <mergeCell ref="D1344:E1344"/>
    <mergeCell ref="F1344:G1344"/>
    <mergeCell ref="H1344:J1344"/>
    <mergeCell ref="K1344:M1344"/>
    <mergeCell ref="B1341:C1341"/>
    <mergeCell ref="B1342:C1342"/>
    <mergeCell ref="D1342:E1342"/>
    <mergeCell ref="F1342:G1342"/>
    <mergeCell ref="B1343:C1343"/>
    <mergeCell ref="D1343:E1343"/>
    <mergeCell ref="F1343:G1343"/>
    <mergeCell ref="B1345:C1345"/>
    <mergeCell ref="D1345:E1345"/>
    <mergeCell ref="F1345:G1345"/>
    <mergeCell ref="H1345:J1345"/>
    <mergeCell ref="K1345:M1345"/>
    <mergeCell ref="D1346:E1346"/>
    <mergeCell ref="K1346:M1346"/>
    <mergeCell ref="F1351:G1351"/>
    <mergeCell ref="H1351:J1351"/>
    <mergeCell ref="B1350:C1350"/>
    <mergeCell ref="D1350:E1350"/>
    <mergeCell ref="F1350:G1350"/>
    <mergeCell ref="H1350:J1350"/>
    <mergeCell ref="K1350:M1350"/>
    <mergeCell ref="D1351:E1351"/>
    <mergeCell ref="K1351:M1351"/>
    <mergeCell ref="H1353:J1353"/>
    <mergeCell ref="K1353:M1353"/>
    <mergeCell ref="B1351:C1351"/>
    <mergeCell ref="B1352:C1352"/>
    <mergeCell ref="D1352:E1352"/>
    <mergeCell ref="F1352:G1352"/>
    <mergeCell ref="H1352:J1352"/>
    <mergeCell ref="K1352:M1352"/>
    <mergeCell ref="B1353:C1353"/>
    <mergeCell ref="B1339:C1339"/>
    <mergeCell ref="D1339:E1339"/>
    <mergeCell ref="F1339:G1339"/>
    <mergeCell ref="H1339:J1339"/>
    <mergeCell ref="K1339:M1339"/>
    <mergeCell ref="F1346:G1346"/>
    <mergeCell ref="H1346:J1346"/>
    <mergeCell ref="H1347:J1347"/>
    <mergeCell ref="K1347:M1347"/>
    <mergeCell ref="H1348:J1348"/>
    <mergeCell ref="K1348:M1348"/>
    <mergeCell ref="B1346:C1346"/>
    <mergeCell ref="B1347:C1347"/>
    <mergeCell ref="D1347:E1347"/>
    <mergeCell ref="F1347:G1347"/>
    <mergeCell ref="B1348:C1348"/>
    <mergeCell ref="D1348:E1348"/>
    <mergeCell ref="F1348:G1348"/>
    <mergeCell ref="F1341:G1341"/>
    <mergeCell ref="H1341:J1341"/>
    <mergeCell ref="H1342:J1342"/>
    <mergeCell ref="K1342:M1342"/>
    <mergeCell ref="H1343:J1343"/>
    <mergeCell ref="K1343:M1343"/>
    <mergeCell ref="B1340:C1340"/>
    <mergeCell ref="D1340:E1340"/>
    <mergeCell ref="F1340:G1340"/>
    <mergeCell ref="H1340:J1340"/>
    <mergeCell ref="K1340:M1340"/>
    <mergeCell ref="D1341:E1341"/>
    <mergeCell ref="K1341:M1341"/>
    <mergeCell ref="B1344:C1344"/>
    <mergeCell ref="B1330:C1330"/>
    <mergeCell ref="D1330:E1330"/>
    <mergeCell ref="F1330:G1330"/>
    <mergeCell ref="H1330:J1330"/>
    <mergeCell ref="K1330:M1330"/>
    <mergeCell ref="D1331:E1331"/>
    <mergeCell ref="K1331:M1331"/>
    <mergeCell ref="B1334:C1334"/>
    <mergeCell ref="D1334:E1334"/>
    <mergeCell ref="F1334:G1334"/>
    <mergeCell ref="H1334:J1334"/>
    <mergeCell ref="K1334:M1334"/>
    <mergeCell ref="D1338:E1338"/>
    <mergeCell ref="F1338:G1338"/>
    <mergeCell ref="F1333:G1333"/>
    <mergeCell ref="H1338:J1338"/>
    <mergeCell ref="K1338:M1338"/>
    <mergeCell ref="B1336:C1336"/>
    <mergeCell ref="B1337:C1337"/>
    <mergeCell ref="D1337:E1337"/>
    <mergeCell ref="F1337:G1337"/>
    <mergeCell ref="H1337:J1337"/>
    <mergeCell ref="K1337:M1337"/>
    <mergeCell ref="B1338:C1338"/>
    <mergeCell ref="F1326:G1326"/>
    <mergeCell ref="H1326:J1326"/>
    <mergeCell ref="H1327:J1327"/>
    <mergeCell ref="K1327:M1327"/>
    <mergeCell ref="H1328:J1328"/>
    <mergeCell ref="K1328:M1328"/>
    <mergeCell ref="B1325:C1325"/>
    <mergeCell ref="D1325:E1325"/>
    <mergeCell ref="F1325:G1325"/>
    <mergeCell ref="H1325:J1325"/>
    <mergeCell ref="K1325:M1325"/>
    <mergeCell ref="D1326:E1326"/>
    <mergeCell ref="K1326:M1326"/>
    <mergeCell ref="B1329:C1329"/>
    <mergeCell ref="D1329:E1329"/>
    <mergeCell ref="F1329:G1329"/>
    <mergeCell ref="H1329:J1329"/>
    <mergeCell ref="K1329:M1329"/>
    <mergeCell ref="B1326:C1326"/>
    <mergeCell ref="B1327:C1327"/>
    <mergeCell ref="D1327:E1327"/>
    <mergeCell ref="F1327:G1327"/>
    <mergeCell ref="B1328:C1328"/>
    <mergeCell ref="D1328:E1328"/>
    <mergeCell ref="F1328:G1328"/>
    <mergeCell ref="D1318:E1318"/>
    <mergeCell ref="F1318:G1318"/>
    <mergeCell ref="F1321:G1321"/>
    <mergeCell ref="H1321:J1321"/>
    <mergeCell ref="B1320:C1320"/>
    <mergeCell ref="D1320:E1320"/>
    <mergeCell ref="F1320:G1320"/>
    <mergeCell ref="H1320:J1320"/>
    <mergeCell ref="K1320:M1320"/>
    <mergeCell ref="D1321:E1321"/>
    <mergeCell ref="K1321:M1321"/>
    <mergeCell ref="F1336:G1336"/>
    <mergeCell ref="H1336:J1336"/>
    <mergeCell ref="B1335:C1335"/>
    <mergeCell ref="D1335:E1335"/>
    <mergeCell ref="F1335:G1335"/>
    <mergeCell ref="H1335:J1335"/>
    <mergeCell ref="K1335:M1335"/>
    <mergeCell ref="D1336:E1336"/>
    <mergeCell ref="K1336:M1336"/>
    <mergeCell ref="F1331:G1331"/>
    <mergeCell ref="H1331:J1331"/>
    <mergeCell ref="H1332:J1332"/>
    <mergeCell ref="K1332:M1332"/>
    <mergeCell ref="H1333:J1333"/>
    <mergeCell ref="K1333:M1333"/>
    <mergeCell ref="B1331:C1331"/>
    <mergeCell ref="B1332:C1332"/>
    <mergeCell ref="D1332:E1332"/>
    <mergeCell ref="F1332:G1332"/>
    <mergeCell ref="B1333:C1333"/>
    <mergeCell ref="D1333:E1333"/>
    <mergeCell ref="B1300:C1300"/>
    <mergeCell ref="D1300:E1300"/>
    <mergeCell ref="F1300:G1300"/>
    <mergeCell ref="H1300:J1300"/>
    <mergeCell ref="K1300:M1300"/>
    <mergeCell ref="D1301:E1301"/>
    <mergeCell ref="K1301:M1301"/>
    <mergeCell ref="B1304:C1304"/>
    <mergeCell ref="D1304:E1304"/>
    <mergeCell ref="F1304:G1304"/>
    <mergeCell ref="H1304:J1304"/>
    <mergeCell ref="K1304:M1304"/>
    <mergeCell ref="D1308:E1308"/>
    <mergeCell ref="F1308:G1308"/>
    <mergeCell ref="B1309:C1309"/>
    <mergeCell ref="D1309:E1309"/>
    <mergeCell ref="F1309:G1309"/>
    <mergeCell ref="H1309:J1309"/>
    <mergeCell ref="K1309:M1309"/>
    <mergeCell ref="H1308:J1308"/>
    <mergeCell ref="K1308:M1308"/>
    <mergeCell ref="B1306:C1306"/>
    <mergeCell ref="B1307:C1307"/>
    <mergeCell ref="D1307:E1307"/>
    <mergeCell ref="F1307:G1307"/>
    <mergeCell ref="H1307:J1307"/>
    <mergeCell ref="K1307:M1307"/>
    <mergeCell ref="B1308:C1308"/>
    <mergeCell ref="F1301:G1301"/>
    <mergeCell ref="H1301:J1301"/>
    <mergeCell ref="F1296:G1296"/>
    <mergeCell ref="H1296:J1296"/>
    <mergeCell ref="H1297:J1297"/>
    <mergeCell ref="K1297:M1297"/>
    <mergeCell ref="H1298:J1298"/>
    <mergeCell ref="K1298:M1298"/>
    <mergeCell ref="B1295:C1295"/>
    <mergeCell ref="D1295:E1295"/>
    <mergeCell ref="F1295:G1295"/>
    <mergeCell ref="H1295:J1295"/>
    <mergeCell ref="K1295:M1295"/>
    <mergeCell ref="D1296:E1296"/>
    <mergeCell ref="K1296:M1296"/>
    <mergeCell ref="B1299:C1299"/>
    <mergeCell ref="D1299:E1299"/>
    <mergeCell ref="F1299:G1299"/>
    <mergeCell ref="H1299:J1299"/>
    <mergeCell ref="K1299:M1299"/>
    <mergeCell ref="B1296:C1296"/>
    <mergeCell ref="B1297:C1297"/>
    <mergeCell ref="D1297:E1297"/>
    <mergeCell ref="F1297:G1297"/>
    <mergeCell ref="B1298:C1298"/>
    <mergeCell ref="D1298:E1298"/>
    <mergeCell ref="F1298:G1298"/>
    <mergeCell ref="H1302:J1302"/>
    <mergeCell ref="K1302:M1302"/>
    <mergeCell ref="H1303:J1303"/>
    <mergeCell ref="K1303:M1303"/>
    <mergeCell ref="B1301:C1301"/>
    <mergeCell ref="B1302:C1302"/>
    <mergeCell ref="D1302:E1302"/>
    <mergeCell ref="F1302:G1302"/>
    <mergeCell ref="B1303:C1303"/>
    <mergeCell ref="D1303:E1303"/>
    <mergeCell ref="F1303:G1303"/>
    <mergeCell ref="F1306:G1306"/>
    <mergeCell ref="H1306:J1306"/>
    <mergeCell ref="B1305:C1305"/>
    <mergeCell ref="D1305:E1305"/>
    <mergeCell ref="F1305:G1305"/>
    <mergeCell ref="H1305:J1305"/>
    <mergeCell ref="K1305:M1305"/>
    <mergeCell ref="D1306:E1306"/>
    <mergeCell ref="K1306:M1306"/>
    <mergeCell ref="D1313:E1313"/>
    <mergeCell ref="F1313:G1313"/>
    <mergeCell ref="B1315:C1315"/>
    <mergeCell ref="D1315:E1315"/>
    <mergeCell ref="F1315:G1315"/>
    <mergeCell ref="H1315:J1315"/>
    <mergeCell ref="K1315:M1315"/>
    <mergeCell ref="D1316:E1316"/>
    <mergeCell ref="K1316:M1316"/>
    <mergeCell ref="B1319:C1319"/>
    <mergeCell ref="D1319:E1319"/>
    <mergeCell ref="F1319:G1319"/>
    <mergeCell ref="H1319:J1319"/>
    <mergeCell ref="K1319:M1319"/>
    <mergeCell ref="D1323:E1323"/>
    <mergeCell ref="F1323:G1323"/>
    <mergeCell ref="B1324:C1324"/>
    <mergeCell ref="D1324:E1324"/>
    <mergeCell ref="F1324:G1324"/>
    <mergeCell ref="H1324:J1324"/>
    <mergeCell ref="K1324:M1324"/>
    <mergeCell ref="F1316:G1316"/>
    <mergeCell ref="H1316:J1316"/>
    <mergeCell ref="H1317:J1317"/>
    <mergeCell ref="K1317:M1317"/>
    <mergeCell ref="H1318:J1318"/>
    <mergeCell ref="K1318:M1318"/>
    <mergeCell ref="B1316:C1316"/>
    <mergeCell ref="B1317:C1317"/>
    <mergeCell ref="D1317:E1317"/>
    <mergeCell ref="F1317:G1317"/>
    <mergeCell ref="B1318:C1318"/>
    <mergeCell ref="H1323:J1323"/>
    <mergeCell ref="K1323:M1323"/>
    <mergeCell ref="B1321:C1321"/>
    <mergeCell ref="B1322:C1322"/>
    <mergeCell ref="D1322:E1322"/>
    <mergeCell ref="F1322:G1322"/>
    <mergeCell ref="H1322:J1322"/>
    <mergeCell ref="K1322:M1322"/>
    <mergeCell ref="B1323:C1323"/>
    <mergeCell ref="F1311:G1311"/>
    <mergeCell ref="H1311:J1311"/>
    <mergeCell ref="H1312:J1312"/>
    <mergeCell ref="K1312:M1312"/>
    <mergeCell ref="H1313:J1313"/>
    <mergeCell ref="K1313:M1313"/>
    <mergeCell ref="B1310:C1310"/>
    <mergeCell ref="D1310:E1310"/>
    <mergeCell ref="F1310:G1310"/>
    <mergeCell ref="H1310:J1310"/>
    <mergeCell ref="K1310:M1310"/>
    <mergeCell ref="D1311:E1311"/>
    <mergeCell ref="K1311:M1311"/>
    <mergeCell ref="B1314:C1314"/>
    <mergeCell ref="D1314:E1314"/>
    <mergeCell ref="F1314:G1314"/>
    <mergeCell ref="H1314:J1314"/>
    <mergeCell ref="K1314:M1314"/>
    <mergeCell ref="B1311:C1311"/>
    <mergeCell ref="B1312:C1312"/>
    <mergeCell ref="D1312:E1312"/>
    <mergeCell ref="F1312:G1312"/>
    <mergeCell ref="B1313:C1313"/>
    <mergeCell ref="B1285:C1285"/>
    <mergeCell ref="D1285:E1285"/>
    <mergeCell ref="F1285:G1285"/>
    <mergeCell ref="H1285:J1285"/>
    <mergeCell ref="K1285:M1285"/>
    <mergeCell ref="D1286:E1286"/>
    <mergeCell ref="K1286:M1286"/>
    <mergeCell ref="B1289:C1289"/>
    <mergeCell ref="D1289:E1289"/>
    <mergeCell ref="F1289:G1289"/>
    <mergeCell ref="H1289:J1289"/>
    <mergeCell ref="K1289:M1289"/>
    <mergeCell ref="D1293:E1293"/>
    <mergeCell ref="F1293:G1293"/>
    <mergeCell ref="B1294:C1294"/>
    <mergeCell ref="D1294:E1294"/>
    <mergeCell ref="F1294:G1294"/>
    <mergeCell ref="H1294:J1294"/>
    <mergeCell ref="K1294:M1294"/>
    <mergeCell ref="H1293:J1293"/>
    <mergeCell ref="K1293:M1293"/>
    <mergeCell ref="B1291:C1291"/>
    <mergeCell ref="B1292:C1292"/>
    <mergeCell ref="D1292:E1292"/>
    <mergeCell ref="F1292:G1292"/>
    <mergeCell ref="H1292:J1292"/>
    <mergeCell ref="K1292:M1292"/>
    <mergeCell ref="B1293:C1293"/>
    <mergeCell ref="F1286:G1286"/>
    <mergeCell ref="H1286:J1286"/>
    <mergeCell ref="F1281:G1281"/>
    <mergeCell ref="H1281:J1281"/>
    <mergeCell ref="H1282:J1282"/>
    <mergeCell ref="K1282:M1282"/>
    <mergeCell ref="H1283:J1283"/>
    <mergeCell ref="K1283:M1283"/>
    <mergeCell ref="B1280:C1280"/>
    <mergeCell ref="D1280:E1280"/>
    <mergeCell ref="F1280:G1280"/>
    <mergeCell ref="H1280:J1280"/>
    <mergeCell ref="K1280:M1280"/>
    <mergeCell ref="D1281:E1281"/>
    <mergeCell ref="K1281:M1281"/>
    <mergeCell ref="B1284:C1284"/>
    <mergeCell ref="D1284:E1284"/>
    <mergeCell ref="F1284:G1284"/>
    <mergeCell ref="H1284:J1284"/>
    <mergeCell ref="K1284:M1284"/>
    <mergeCell ref="B1281:C1281"/>
    <mergeCell ref="B1282:C1282"/>
    <mergeCell ref="D1282:E1282"/>
    <mergeCell ref="F1282:G1282"/>
    <mergeCell ref="B1283:C1283"/>
    <mergeCell ref="D1283:E1283"/>
    <mergeCell ref="F1283:G1283"/>
    <mergeCell ref="H1287:J1287"/>
    <mergeCell ref="K1287:M1287"/>
    <mergeCell ref="H1288:J1288"/>
    <mergeCell ref="K1288:M1288"/>
    <mergeCell ref="B1286:C1286"/>
    <mergeCell ref="B1287:C1287"/>
    <mergeCell ref="D1287:E1287"/>
    <mergeCell ref="F1287:G1287"/>
    <mergeCell ref="B1288:C1288"/>
    <mergeCell ref="D1288:E1288"/>
    <mergeCell ref="F1288:G1288"/>
    <mergeCell ref="F1291:G1291"/>
    <mergeCell ref="H1291:J1291"/>
    <mergeCell ref="B1290:C1290"/>
    <mergeCell ref="D1290:E1290"/>
    <mergeCell ref="F1290:G1290"/>
    <mergeCell ref="H1290:J1290"/>
    <mergeCell ref="K1290:M1290"/>
    <mergeCell ref="D1291:E1291"/>
    <mergeCell ref="K1291:M1291"/>
    <mergeCell ref="B1270:C1270"/>
    <mergeCell ref="D1270:E1270"/>
    <mergeCell ref="F1270:G1270"/>
    <mergeCell ref="H1270:J1270"/>
    <mergeCell ref="K1270:M1270"/>
    <mergeCell ref="D1271:E1271"/>
    <mergeCell ref="K1271:M1271"/>
    <mergeCell ref="B1274:C1274"/>
    <mergeCell ref="D1274:E1274"/>
    <mergeCell ref="F1274:G1274"/>
    <mergeCell ref="H1274:J1274"/>
    <mergeCell ref="K1274:M1274"/>
    <mergeCell ref="D1278:E1278"/>
    <mergeCell ref="F1278:G1278"/>
    <mergeCell ref="B1279:C1279"/>
    <mergeCell ref="D1279:E1279"/>
    <mergeCell ref="F1279:G1279"/>
    <mergeCell ref="H1279:J1279"/>
    <mergeCell ref="K1279:M1279"/>
    <mergeCell ref="H1278:J1278"/>
    <mergeCell ref="K1278:M1278"/>
    <mergeCell ref="B1276:C1276"/>
    <mergeCell ref="B1277:C1277"/>
    <mergeCell ref="D1277:E1277"/>
    <mergeCell ref="F1277:G1277"/>
    <mergeCell ref="H1277:J1277"/>
    <mergeCell ref="K1277:M1277"/>
    <mergeCell ref="B1278:C1278"/>
    <mergeCell ref="F1276:G1276"/>
    <mergeCell ref="H1276:J1276"/>
    <mergeCell ref="F1266:G1266"/>
    <mergeCell ref="H1266:J1266"/>
    <mergeCell ref="H1267:J1267"/>
    <mergeCell ref="K1267:M1267"/>
    <mergeCell ref="H1268:J1268"/>
    <mergeCell ref="K1268:M1268"/>
    <mergeCell ref="B1265:C1265"/>
    <mergeCell ref="D1265:E1265"/>
    <mergeCell ref="F1265:G1265"/>
    <mergeCell ref="H1265:J1265"/>
    <mergeCell ref="K1265:M1265"/>
    <mergeCell ref="D1266:E1266"/>
    <mergeCell ref="K1266:M1266"/>
    <mergeCell ref="B1269:C1269"/>
    <mergeCell ref="D1269:E1269"/>
    <mergeCell ref="F1269:G1269"/>
    <mergeCell ref="H1269:J1269"/>
    <mergeCell ref="K1269:M1269"/>
    <mergeCell ref="B1266:C1266"/>
    <mergeCell ref="B1267:C1267"/>
    <mergeCell ref="D1267:E1267"/>
    <mergeCell ref="F1267:G1267"/>
    <mergeCell ref="B1268:C1268"/>
    <mergeCell ref="D1268:E1268"/>
    <mergeCell ref="F1268:G1268"/>
    <mergeCell ref="B1275:C1275"/>
    <mergeCell ref="D1275:E1275"/>
    <mergeCell ref="F1275:G1275"/>
    <mergeCell ref="H1275:J1275"/>
    <mergeCell ref="K1275:M1275"/>
    <mergeCell ref="D1276:E1276"/>
    <mergeCell ref="K1276:M1276"/>
    <mergeCell ref="F1271:G1271"/>
    <mergeCell ref="H1271:J1271"/>
    <mergeCell ref="H1272:J1272"/>
    <mergeCell ref="K1272:M1272"/>
    <mergeCell ref="H1273:J1273"/>
    <mergeCell ref="K1273:M1273"/>
    <mergeCell ref="B1271:C1271"/>
    <mergeCell ref="B1272:C1272"/>
    <mergeCell ref="D1272:E1272"/>
    <mergeCell ref="F1272:G1272"/>
    <mergeCell ref="B1273:C1273"/>
    <mergeCell ref="D1273:E1273"/>
    <mergeCell ref="F1273:G1273"/>
    <mergeCell ref="H1258:J1258"/>
    <mergeCell ref="K1258:M1258"/>
    <mergeCell ref="B1256:C1256"/>
    <mergeCell ref="B1257:C1257"/>
    <mergeCell ref="D1257:E1257"/>
    <mergeCell ref="F1257:G1257"/>
    <mergeCell ref="B1258:C1258"/>
    <mergeCell ref="D1258:E1258"/>
    <mergeCell ref="F1258:G1258"/>
    <mergeCell ref="F1261:G1261"/>
    <mergeCell ref="H1261:J1261"/>
    <mergeCell ref="B1260:C1260"/>
    <mergeCell ref="D1260:E1260"/>
    <mergeCell ref="F1260:G1260"/>
    <mergeCell ref="H1260:J1260"/>
    <mergeCell ref="K1260:M1260"/>
    <mergeCell ref="D1261:E1261"/>
    <mergeCell ref="K1261:M1261"/>
    <mergeCell ref="B1240:C1240"/>
    <mergeCell ref="D1240:E1240"/>
    <mergeCell ref="F1240:G1240"/>
    <mergeCell ref="H1240:J1240"/>
    <mergeCell ref="K1240:M1240"/>
    <mergeCell ref="D1241:E1241"/>
    <mergeCell ref="K1241:M1241"/>
    <mergeCell ref="B1244:C1244"/>
    <mergeCell ref="D1244:E1244"/>
    <mergeCell ref="F1244:G1244"/>
    <mergeCell ref="H1244:J1244"/>
    <mergeCell ref="K1244:M1244"/>
    <mergeCell ref="D1248:E1248"/>
    <mergeCell ref="F1248:G1248"/>
    <mergeCell ref="B1249:C1249"/>
    <mergeCell ref="D1249:E1249"/>
    <mergeCell ref="F1249:G1249"/>
    <mergeCell ref="H1249:J1249"/>
    <mergeCell ref="K1249:M1249"/>
    <mergeCell ref="H1248:J1248"/>
    <mergeCell ref="K1248:M1248"/>
    <mergeCell ref="B1246:C1246"/>
    <mergeCell ref="B1247:C1247"/>
    <mergeCell ref="D1247:E1247"/>
    <mergeCell ref="F1247:G1247"/>
    <mergeCell ref="H1247:J1247"/>
    <mergeCell ref="K1247:M1247"/>
    <mergeCell ref="B1248:C1248"/>
    <mergeCell ref="F1241:G1241"/>
    <mergeCell ref="H1241:J1241"/>
    <mergeCell ref="F1236:G1236"/>
    <mergeCell ref="H1236:J1236"/>
    <mergeCell ref="H1237:J1237"/>
    <mergeCell ref="K1237:M1237"/>
    <mergeCell ref="H1238:J1238"/>
    <mergeCell ref="K1238:M1238"/>
    <mergeCell ref="B1235:C1235"/>
    <mergeCell ref="D1235:E1235"/>
    <mergeCell ref="F1235:G1235"/>
    <mergeCell ref="H1235:J1235"/>
    <mergeCell ref="K1235:M1235"/>
    <mergeCell ref="D1236:E1236"/>
    <mergeCell ref="K1236:M1236"/>
    <mergeCell ref="B1239:C1239"/>
    <mergeCell ref="D1239:E1239"/>
    <mergeCell ref="F1239:G1239"/>
    <mergeCell ref="H1239:J1239"/>
    <mergeCell ref="K1239:M1239"/>
    <mergeCell ref="B1236:C1236"/>
    <mergeCell ref="B1237:C1237"/>
    <mergeCell ref="D1237:E1237"/>
    <mergeCell ref="F1237:G1237"/>
    <mergeCell ref="B1238:C1238"/>
    <mergeCell ref="D1238:E1238"/>
    <mergeCell ref="F1238:G1238"/>
    <mergeCell ref="H1242:J1242"/>
    <mergeCell ref="K1242:M1242"/>
    <mergeCell ref="H1243:J1243"/>
    <mergeCell ref="K1243:M1243"/>
    <mergeCell ref="B1241:C1241"/>
    <mergeCell ref="B1242:C1242"/>
    <mergeCell ref="D1242:E1242"/>
    <mergeCell ref="F1242:G1242"/>
    <mergeCell ref="B1243:C1243"/>
    <mergeCell ref="D1243:E1243"/>
    <mergeCell ref="F1243:G1243"/>
    <mergeCell ref="F1246:G1246"/>
    <mergeCell ref="H1246:J1246"/>
    <mergeCell ref="B1245:C1245"/>
    <mergeCell ref="D1245:E1245"/>
    <mergeCell ref="F1245:G1245"/>
    <mergeCell ref="H1245:J1245"/>
    <mergeCell ref="K1245:M1245"/>
    <mergeCell ref="D1246:E1246"/>
    <mergeCell ref="K1246:M1246"/>
    <mergeCell ref="B1376:C1376"/>
    <mergeCell ref="B1377:C1377"/>
    <mergeCell ref="D1377:E1377"/>
    <mergeCell ref="F1377:G1377"/>
    <mergeCell ref="B1378:C1378"/>
    <mergeCell ref="D1378:E1378"/>
    <mergeCell ref="F1378:G1378"/>
    <mergeCell ref="F1381:G1381"/>
    <mergeCell ref="H1381:J1381"/>
    <mergeCell ref="B1380:C1380"/>
    <mergeCell ref="D1380:E1380"/>
    <mergeCell ref="F1380:G1380"/>
    <mergeCell ref="H1380:J1380"/>
    <mergeCell ref="K1380:M1380"/>
    <mergeCell ref="D1381:E1381"/>
    <mergeCell ref="K1381:M1381"/>
    <mergeCell ref="F1396:G1396"/>
    <mergeCell ref="H1396:J1396"/>
    <mergeCell ref="B1395:C1395"/>
    <mergeCell ref="D1395:E1395"/>
    <mergeCell ref="F1395:G1395"/>
    <mergeCell ref="H1395:J1395"/>
    <mergeCell ref="K1395:M1395"/>
    <mergeCell ref="D1396:E1396"/>
    <mergeCell ref="K1396:M1396"/>
    <mergeCell ref="D1376:E1376"/>
    <mergeCell ref="K1376:M1376"/>
    <mergeCell ref="B1379:C1379"/>
    <mergeCell ref="D1379:E1379"/>
    <mergeCell ref="F1379:G1379"/>
    <mergeCell ref="H1379:J1379"/>
    <mergeCell ref="K1379:M1379"/>
    <mergeCell ref="D1368:E1368"/>
    <mergeCell ref="F1368:G1368"/>
    <mergeCell ref="B1369:C1369"/>
    <mergeCell ref="D1369:E1369"/>
    <mergeCell ref="F1369:G1369"/>
    <mergeCell ref="H1369:J1369"/>
    <mergeCell ref="K1369:M1369"/>
    <mergeCell ref="B1361:C1361"/>
    <mergeCell ref="B1362:C1362"/>
    <mergeCell ref="D1362:E1362"/>
    <mergeCell ref="F1362:G1362"/>
    <mergeCell ref="B1363:C1363"/>
    <mergeCell ref="D1363:E1363"/>
    <mergeCell ref="F1363:G1363"/>
    <mergeCell ref="F1366:G1366"/>
    <mergeCell ref="H1366:J1366"/>
    <mergeCell ref="B1365:C1365"/>
    <mergeCell ref="D1365:E1365"/>
    <mergeCell ref="F1365:G1365"/>
    <mergeCell ref="H1365:J1365"/>
    <mergeCell ref="B1355:C1355"/>
    <mergeCell ref="D1355:E1355"/>
    <mergeCell ref="F1355:G1355"/>
    <mergeCell ref="H1355:J1355"/>
    <mergeCell ref="K1355:M1355"/>
    <mergeCell ref="D1356:E1356"/>
    <mergeCell ref="K1356:M1356"/>
    <mergeCell ref="B1359:C1359"/>
    <mergeCell ref="D1359:E1359"/>
    <mergeCell ref="F1359:G1359"/>
    <mergeCell ref="H1359:J1359"/>
    <mergeCell ref="K1359:M1359"/>
    <mergeCell ref="B1356:C1356"/>
    <mergeCell ref="B1357:C1357"/>
    <mergeCell ref="D1357:E1357"/>
    <mergeCell ref="F1357:G1357"/>
    <mergeCell ref="B1358:C1358"/>
    <mergeCell ref="D1358:E1358"/>
    <mergeCell ref="F1358:G1358"/>
    <mergeCell ref="D1366:E1366"/>
    <mergeCell ref="K1366:M1366"/>
    <mergeCell ref="H1368:J1368"/>
    <mergeCell ref="K1368:M1368"/>
    <mergeCell ref="B1366:C1366"/>
    <mergeCell ref="B1367:C1367"/>
    <mergeCell ref="D1367:E1367"/>
    <mergeCell ref="F1367:G1367"/>
    <mergeCell ref="H1367:J1367"/>
    <mergeCell ref="K1367:M1367"/>
    <mergeCell ref="B1368:C1368"/>
    <mergeCell ref="N1390:U1390"/>
    <mergeCell ref="N1391:U1391"/>
    <mergeCell ref="N1392:U1392"/>
    <mergeCell ref="N1393:U1393"/>
    <mergeCell ref="N1394:U1394"/>
    <mergeCell ref="F1356:G1356"/>
    <mergeCell ref="H1356:J1356"/>
    <mergeCell ref="H1357:J1357"/>
    <mergeCell ref="K1357:M1357"/>
    <mergeCell ref="H1358:J1358"/>
    <mergeCell ref="K1358:M1358"/>
    <mergeCell ref="B1360:C1360"/>
    <mergeCell ref="D1360:E1360"/>
    <mergeCell ref="F1360:G1360"/>
    <mergeCell ref="H1360:J1360"/>
    <mergeCell ref="K1360:M1360"/>
    <mergeCell ref="D1361:E1361"/>
    <mergeCell ref="K1361:M1361"/>
    <mergeCell ref="B1364:C1364"/>
    <mergeCell ref="D1364:E1364"/>
    <mergeCell ref="F1364:G1364"/>
    <mergeCell ref="N1395:U1395"/>
    <mergeCell ref="N1396:U1396"/>
    <mergeCell ref="N1397:U1397"/>
    <mergeCell ref="N1398:U1398"/>
    <mergeCell ref="N1399:U1399"/>
    <mergeCell ref="N1400:U1400"/>
    <mergeCell ref="N1401:U1401"/>
    <mergeCell ref="N1402:U1402"/>
    <mergeCell ref="N1403:U1403"/>
    <mergeCell ref="F1361:G1361"/>
    <mergeCell ref="H1361:J1361"/>
    <mergeCell ref="H1362:J1362"/>
    <mergeCell ref="K1362:M1362"/>
    <mergeCell ref="H1363:J1363"/>
    <mergeCell ref="K1363:M1363"/>
    <mergeCell ref="F1376:G1376"/>
    <mergeCell ref="H1376:J1376"/>
    <mergeCell ref="H1377:J1377"/>
    <mergeCell ref="K1377:M1377"/>
    <mergeCell ref="H1378:J1378"/>
    <mergeCell ref="K1378:M1378"/>
    <mergeCell ref="H1398:J1398"/>
    <mergeCell ref="K1398:M1398"/>
    <mergeCell ref="K1365:M1365"/>
    <mergeCell ref="H1364:J1364"/>
    <mergeCell ref="K1364:M1364"/>
    <mergeCell ref="N1441:U1441"/>
    <mergeCell ref="N1442:U1442"/>
    <mergeCell ref="N1443:U1443"/>
    <mergeCell ref="N1444:U1444"/>
    <mergeCell ref="N1445:U1445"/>
    <mergeCell ref="N1432:U1432"/>
    <mergeCell ref="N1433:U1433"/>
    <mergeCell ref="N1434:U1434"/>
    <mergeCell ref="N1435:U1435"/>
    <mergeCell ref="N1436:U1436"/>
    <mergeCell ref="N1437:U1437"/>
    <mergeCell ref="N1438:U1438"/>
    <mergeCell ref="N1355:U1355"/>
    <mergeCell ref="N1356:U1356"/>
    <mergeCell ref="N1357:U1357"/>
    <mergeCell ref="N1358:U1358"/>
    <mergeCell ref="N1359:U1359"/>
    <mergeCell ref="N1360:U1360"/>
    <mergeCell ref="N1361:U1361"/>
    <mergeCell ref="N1362:U1362"/>
    <mergeCell ref="N1363:U1363"/>
    <mergeCell ref="N1364:U1364"/>
    <mergeCell ref="N1365:U1365"/>
    <mergeCell ref="N1366:U1366"/>
    <mergeCell ref="N1367:U1367"/>
    <mergeCell ref="N1368:U1368"/>
    <mergeCell ref="N1369:U1369"/>
    <mergeCell ref="N1370:U1370"/>
    <mergeCell ref="N1371:U1371"/>
    <mergeCell ref="N1372:U1372"/>
    <mergeCell ref="N1373:U1373"/>
    <mergeCell ref="N1374:U1374"/>
    <mergeCell ref="N1417:U1417"/>
    <mergeCell ref="N1418:U1418"/>
    <mergeCell ref="N1419:U1419"/>
    <mergeCell ref="N1420:U1420"/>
    <mergeCell ref="N1421:U1421"/>
    <mergeCell ref="N1422:U1422"/>
    <mergeCell ref="N1423:U1423"/>
    <mergeCell ref="N1424:U1424"/>
    <mergeCell ref="N1425:U1425"/>
    <mergeCell ref="N1426:U1426"/>
    <mergeCell ref="N1427:U1427"/>
    <mergeCell ref="N1428:U1428"/>
    <mergeCell ref="N1429:U1429"/>
    <mergeCell ref="N1430:U1430"/>
    <mergeCell ref="N1431:U1431"/>
    <mergeCell ref="N1439:U1439"/>
    <mergeCell ref="N1440:U1440"/>
    <mergeCell ref="N1351:U1351"/>
    <mergeCell ref="N1352:U1352"/>
    <mergeCell ref="N1353:U1353"/>
    <mergeCell ref="N1354:U1354"/>
    <mergeCell ref="N1404:U1404"/>
    <mergeCell ref="N1405:U1405"/>
    <mergeCell ref="N1406:U1406"/>
    <mergeCell ref="N1407:U1407"/>
    <mergeCell ref="N1408:U1408"/>
    <mergeCell ref="N1409:U1409"/>
    <mergeCell ref="N1410:U1410"/>
    <mergeCell ref="N1411:U1411"/>
    <mergeCell ref="N1412:U1412"/>
    <mergeCell ref="N1413:U1413"/>
    <mergeCell ref="N1414:U1414"/>
    <mergeCell ref="N1415:U1415"/>
    <mergeCell ref="N1416:U1416"/>
    <mergeCell ref="N1375:U1375"/>
    <mergeCell ref="N1376:U1376"/>
    <mergeCell ref="N1377:U1377"/>
    <mergeCell ref="N1378:U1378"/>
    <mergeCell ref="N1379:U1379"/>
    <mergeCell ref="N1380:U1380"/>
    <mergeCell ref="N1381:U1381"/>
    <mergeCell ref="N1382:U1382"/>
    <mergeCell ref="N1383:U1383"/>
    <mergeCell ref="N1384:U1384"/>
    <mergeCell ref="N1385:U1385"/>
    <mergeCell ref="N1386:U1386"/>
    <mergeCell ref="N1387:U1387"/>
    <mergeCell ref="N1388:U1388"/>
    <mergeCell ref="N1389:U1389"/>
    <mergeCell ref="N1334:U1334"/>
    <mergeCell ref="N1335:U1335"/>
    <mergeCell ref="N1336:U1336"/>
    <mergeCell ref="N1337:U1337"/>
    <mergeCell ref="N1338:U1338"/>
    <mergeCell ref="N1339:U1339"/>
    <mergeCell ref="N1340:U1340"/>
    <mergeCell ref="N1341:U1341"/>
    <mergeCell ref="N1342:U1342"/>
    <mergeCell ref="N1343:U1343"/>
    <mergeCell ref="N1344:U1344"/>
    <mergeCell ref="N1345:U1345"/>
    <mergeCell ref="N1346:U1346"/>
    <mergeCell ref="N1347:U1347"/>
    <mergeCell ref="N1348:U1348"/>
    <mergeCell ref="N1349:U1349"/>
    <mergeCell ref="N1350:U1350"/>
    <mergeCell ref="N1317:U1317"/>
    <mergeCell ref="N1318:U1318"/>
    <mergeCell ref="N1319:U1319"/>
    <mergeCell ref="N1320:U1320"/>
    <mergeCell ref="N1321:U1321"/>
    <mergeCell ref="N1322:U1322"/>
    <mergeCell ref="N1323:U1323"/>
    <mergeCell ref="N1324:U1324"/>
    <mergeCell ref="N1325:U1325"/>
    <mergeCell ref="N1326:U1326"/>
    <mergeCell ref="N1327:U1327"/>
    <mergeCell ref="N1328:U1328"/>
    <mergeCell ref="N1329:U1329"/>
    <mergeCell ref="N1330:U1330"/>
    <mergeCell ref="N1331:U1331"/>
    <mergeCell ref="N1332:U1332"/>
    <mergeCell ref="N1333:U1333"/>
    <mergeCell ref="N1300:U1300"/>
    <mergeCell ref="N1301:U1301"/>
    <mergeCell ref="N1302:U1302"/>
    <mergeCell ref="N1303:U1303"/>
    <mergeCell ref="N1304:U1304"/>
    <mergeCell ref="N1305:U1305"/>
    <mergeCell ref="N1306:U1306"/>
    <mergeCell ref="N1307:U1307"/>
    <mergeCell ref="N1308:U1308"/>
    <mergeCell ref="N1309:U1309"/>
    <mergeCell ref="N1310:U1310"/>
    <mergeCell ref="N1311:U1311"/>
    <mergeCell ref="N1312:U1312"/>
    <mergeCell ref="N1313:U1313"/>
    <mergeCell ref="N1314:U1314"/>
    <mergeCell ref="N1315:U1315"/>
    <mergeCell ref="N1316:U1316"/>
    <mergeCell ref="N1283:U1283"/>
    <mergeCell ref="N1284:U1284"/>
    <mergeCell ref="N1285:U1285"/>
    <mergeCell ref="N1286:U1286"/>
    <mergeCell ref="N1287:U1287"/>
    <mergeCell ref="N1288:U1288"/>
    <mergeCell ref="N1289:U1289"/>
    <mergeCell ref="N1290:U1290"/>
    <mergeCell ref="N1291:U1291"/>
    <mergeCell ref="N1292:U1292"/>
    <mergeCell ref="N1293:U1293"/>
    <mergeCell ref="N1294:U1294"/>
    <mergeCell ref="N1295:U1295"/>
    <mergeCell ref="N1296:U1296"/>
    <mergeCell ref="N1297:U1297"/>
    <mergeCell ref="N1298:U1298"/>
    <mergeCell ref="N1299:U1299"/>
    <mergeCell ref="N1266:U1266"/>
    <mergeCell ref="N1267:U1267"/>
    <mergeCell ref="N1268:U1268"/>
    <mergeCell ref="N1269:U1269"/>
    <mergeCell ref="N1270:U1270"/>
    <mergeCell ref="N1271:U1271"/>
    <mergeCell ref="N1272:U1272"/>
    <mergeCell ref="N1273:U1273"/>
    <mergeCell ref="N1274:U1274"/>
    <mergeCell ref="N1275:U1275"/>
    <mergeCell ref="N1276:U1276"/>
    <mergeCell ref="N1277:U1277"/>
    <mergeCell ref="N1278:U1278"/>
    <mergeCell ref="N1279:U1279"/>
    <mergeCell ref="N1280:U1280"/>
    <mergeCell ref="N1281:U1281"/>
    <mergeCell ref="N1282:U1282"/>
    <mergeCell ref="B1255:C1255"/>
    <mergeCell ref="D1255:E1255"/>
    <mergeCell ref="F1255:G1255"/>
    <mergeCell ref="H1255:J1255"/>
    <mergeCell ref="K1255:M1255"/>
    <mergeCell ref="D1256:E1256"/>
    <mergeCell ref="K1256:M1256"/>
    <mergeCell ref="B1259:C1259"/>
    <mergeCell ref="D1259:E1259"/>
    <mergeCell ref="F1259:G1259"/>
    <mergeCell ref="H1259:J1259"/>
    <mergeCell ref="K1259:M1259"/>
    <mergeCell ref="D1263:E1263"/>
    <mergeCell ref="F1263:G1263"/>
    <mergeCell ref="B1264:C1264"/>
    <mergeCell ref="D1264:E1264"/>
    <mergeCell ref="F1264:G1264"/>
    <mergeCell ref="H1264:J1264"/>
    <mergeCell ref="K1264:M1264"/>
    <mergeCell ref="B1261:C1261"/>
    <mergeCell ref="B1262:C1262"/>
    <mergeCell ref="D1262:E1262"/>
    <mergeCell ref="F1262:G1262"/>
    <mergeCell ref="H1262:J1262"/>
    <mergeCell ref="K1262:M1262"/>
    <mergeCell ref="B1263:C1263"/>
    <mergeCell ref="H1263:J1263"/>
    <mergeCell ref="K1263:M1263"/>
    <mergeCell ref="F1256:G1256"/>
    <mergeCell ref="H1256:J1256"/>
    <mergeCell ref="H1257:J1257"/>
    <mergeCell ref="K1257:M1257"/>
    <mergeCell ref="F1251:G1251"/>
    <mergeCell ref="H1251:J1251"/>
    <mergeCell ref="H1252:J1252"/>
    <mergeCell ref="K1252:M1252"/>
    <mergeCell ref="H1253:J1253"/>
    <mergeCell ref="K1253:M1253"/>
    <mergeCell ref="B1250:C1250"/>
    <mergeCell ref="D1250:E1250"/>
    <mergeCell ref="F1250:G1250"/>
    <mergeCell ref="H1250:J1250"/>
    <mergeCell ref="K1250:M1250"/>
    <mergeCell ref="D1251:E1251"/>
    <mergeCell ref="K1251:M1251"/>
    <mergeCell ref="B1254:C1254"/>
    <mergeCell ref="D1254:E1254"/>
    <mergeCell ref="F1254:G1254"/>
    <mergeCell ref="H1254:J1254"/>
    <mergeCell ref="K1254:M1254"/>
    <mergeCell ref="B1251:C1251"/>
    <mergeCell ref="B1252:C1252"/>
    <mergeCell ref="D1252:E1252"/>
    <mergeCell ref="F1252:G1252"/>
    <mergeCell ref="B1253:C1253"/>
    <mergeCell ref="D1253:E1253"/>
    <mergeCell ref="F1253:G1253"/>
    <mergeCell ref="B1225:C1225"/>
    <mergeCell ref="D1225:E1225"/>
    <mergeCell ref="F1225:G1225"/>
    <mergeCell ref="H1225:J1225"/>
    <mergeCell ref="K1225:M1225"/>
    <mergeCell ref="D1226:E1226"/>
    <mergeCell ref="K1226:M1226"/>
    <mergeCell ref="B1229:C1229"/>
    <mergeCell ref="D1229:E1229"/>
    <mergeCell ref="F1229:G1229"/>
    <mergeCell ref="H1229:J1229"/>
    <mergeCell ref="K1229:M1229"/>
    <mergeCell ref="D1233:E1233"/>
    <mergeCell ref="F1233:G1233"/>
    <mergeCell ref="B1234:C1234"/>
    <mergeCell ref="D1234:E1234"/>
    <mergeCell ref="F1234:G1234"/>
    <mergeCell ref="H1234:J1234"/>
    <mergeCell ref="K1234:M1234"/>
    <mergeCell ref="H1233:J1233"/>
    <mergeCell ref="K1233:M1233"/>
    <mergeCell ref="B1231:C1231"/>
    <mergeCell ref="B1232:C1232"/>
    <mergeCell ref="D1232:E1232"/>
    <mergeCell ref="F1232:G1232"/>
    <mergeCell ref="H1232:J1232"/>
    <mergeCell ref="K1232:M1232"/>
    <mergeCell ref="B1233:C1233"/>
    <mergeCell ref="F1226:G1226"/>
    <mergeCell ref="H1226:J1226"/>
    <mergeCell ref="F1221:G1221"/>
    <mergeCell ref="H1221:J1221"/>
    <mergeCell ref="H1222:J1222"/>
    <mergeCell ref="K1222:M1222"/>
    <mergeCell ref="H1223:J1223"/>
    <mergeCell ref="K1223:M1223"/>
    <mergeCell ref="B1220:C1220"/>
    <mergeCell ref="D1220:E1220"/>
    <mergeCell ref="F1220:G1220"/>
    <mergeCell ref="H1220:J1220"/>
    <mergeCell ref="K1220:M1220"/>
    <mergeCell ref="D1221:E1221"/>
    <mergeCell ref="K1221:M1221"/>
    <mergeCell ref="B1224:C1224"/>
    <mergeCell ref="D1224:E1224"/>
    <mergeCell ref="F1224:G1224"/>
    <mergeCell ref="H1224:J1224"/>
    <mergeCell ref="K1224:M1224"/>
    <mergeCell ref="B1221:C1221"/>
    <mergeCell ref="B1222:C1222"/>
    <mergeCell ref="D1222:E1222"/>
    <mergeCell ref="F1222:G1222"/>
    <mergeCell ref="B1223:C1223"/>
    <mergeCell ref="D1223:E1223"/>
    <mergeCell ref="F1223:G1223"/>
    <mergeCell ref="H1227:J1227"/>
    <mergeCell ref="K1227:M1227"/>
    <mergeCell ref="H1228:J1228"/>
    <mergeCell ref="K1228:M1228"/>
    <mergeCell ref="B1226:C1226"/>
    <mergeCell ref="B1227:C1227"/>
    <mergeCell ref="D1227:E1227"/>
    <mergeCell ref="F1227:G1227"/>
    <mergeCell ref="B1228:C1228"/>
    <mergeCell ref="D1228:E1228"/>
    <mergeCell ref="F1228:G1228"/>
    <mergeCell ref="F1231:G1231"/>
    <mergeCell ref="H1231:J1231"/>
    <mergeCell ref="B1230:C1230"/>
    <mergeCell ref="D1230:E1230"/>
    <mergeCell ref="F1230:G1230"/>
    <mergeCell ref="H1230:J1230"/>
    <mergeCell ref="K1230:M1230"/>
    <mergeCell ref="D1231:E1231"/>
    <mergeCell ref="K1231:M1231"/>
    <mergeCell ref="H1210:J1210"/>
    <mergeCell ref="K1210:M1210"/>
    <mergeCell ref="D1211:E1211"/>
    <mergeCell ref="K1211:M1211"/>
    <mergeCell ref="B1214:C1214"/>
    <mergeCell ref="D1214:E1214"/>
    <mergeCell ref="F1214:G1214"/>
    <mergeCell ref="H1214:J1214"/>
    <mergeCell ref="K1214:M1214"/>
    <mergeCell ref="D1218:E1218"/>
    <mergeCell ref="F1218:G1218"/>
    <mergeCell ref="B1219:C1219"/>
    <mergeCell ref="D1219:E1219"/>
    <mergeCell ref="F1219:G1219"/>
    <mergeCell ref="H1219:J1219"/>
    <mergeCell ref="K1219:M1219"/>
    <mergeCell ref="F1206:G1206"/>
    <mergeCell ref="H1206:J1206"/>
    <mergeCell ref="H1207:J1207"/>
    <mergeCell ref="K1207:M1207"/>
    <mergeCell ref="H1208:J1208"/>
    <mergeCell ref="K1208:M1208"/>
    <mergeCell ref="F1211:G1211"/>
    <mergeCell ref="H1211:J1211"/>
    <mergeCell ref="H1212:J1212"/>
    <mergeCell ref="K1212:M1212"/>
    <mergeCell ref="H1213:J1213"/>
    <mergeCell ref="K1213:M1213"/>
    <mergeCell ref="B1211:C1211"/>
    <mergeCell ref="B1212:C1212"/>
    <mergeCell ref="D1212:E1212"/>
    <mergeCell ref="F1212:G1212"/>
    <mergeCell ref="B1205:C1205"/>
    <mergeCell ref="D1205:E1205"/>
    <mergeCell ref="F1205:G1205"/>
    <mergeCell ref="H1205:J1205"/>
    <mergeCell ref="K1205:M1205"/>
    <mergeCell ref="D1206:E1206"/>
    <mergeCell ref="K1206:M1206"/>
    <mergeCell ref="B1209:C1209"/>
    <mergeCell ref="D1209:E1209"/>
    <mergeCell ref="F1209:G1209"/>
    <mergeCell ref="H1209:J1209"/>
    <mergeCell ref="K1209:M1209"/>
    <mergeCell ref="B1206:C1206"/>
    <mergeCell ref="B1207:C1207"/>
    <mergeCell ref="D1207:E1207"/>
    <mergeCell ref="F1207:G1207"/>
    <mergeCell ref="B1208:C1208"/>
    <mergeCell ref="D1208:E1208"/>
    <mergeCell ref="F1208:G1208"/>
    <mergeCell ref="B1213:C1213"/>
    <mergeCell ref="D1213:E1213"/>
    <mergeCell ref="F1213:G1213"/>
    <mergeCell ref="H1218:J1218"/>
    <mergeCell ref="K1218:M1218"/>
    <mergeCell ref="B1216:C1216"/>
    <mergeCell ref="B1217:C1217"/>
    <mergeCell ref="D1217:E1217"/>
    <mergeCell ref="F1217:G1217"/>
    <mergeCell ref="H1217:J1217"/>
    <mergeCell ref="K1217:M1217"/>
    <mergeCell ref="B1218:C1218"/>
    <mergeCell ref="D1163:E1163"/>
    <mergeCell ref="F1163:G1163"/>
    <mergeCell ref="B1165:C1165"/>
    <mergeCell ref="D1165:E1165"/>
    <mergeCell ref="F1165:G1165"/>
    <mergeCell ref="H1165:J1165"/>
    <mergeCell ref="K1165:M1165"/>
    <mergeCell ref="D1166:E1166"/>
    <mergeCell ref="K1166:M1166"/>
    <mergeCell ref="B1169:C1169"/>
    <mergeCell ref="D1169:E1169"/>
    <mergeCell ref="F1169:G1169"/>
    <mergeCell ref="H1169:J1169"/>
    <mergeCell ref="K1169:M1169"/>
    <mergeCell ref="D1173:E1173"/>
    <mergeCell ref="F1173:G1173"/>
    <mergeCell ref="B1174:C1174"/>
    <mergeCell ref="D1174:E1174"/>
    <mergeCell ref="F1174:G1174"/>
    <mergeCell ref="H1174:J1174"/>
    <mergeCell ref="K1174:M1174"/>
    <mergeCell ref="H1173:J1173"/>
    <mergeCell ref="K1173:M1173"/>
    <mergeCell ref="B1171:C1171"/>
    <mergeCell ref="B1172:C1172"/>
    <mergeCell ref="D1172:E1172"/>
    <mergeCell ref="F1172:G1172"/>
    <mergeCell ref="H1172:J1172"/>
    <mergeCell ref="K1172:M1172"/>
    <mergeCell ref="B1173:C1173"/>
    <mergeCell ref="F1161:G1161"/>
    <mergeCell ref="H1161:J1161"/>
    <mergeCell ref="H1162:J1162"/>
    <mergeCell ref="K1162:M1162"/>
    <mergeCell ref="H1163:J1163"/>
    <mergeCell ref="K1163:M1163"/>
    <mergeCell ref="B1160:C1160"/>
    <mergeCell ref="D1160:E1160"/>
    <mergeCell ref="F1160:G1160"/>
    <mergeCell ref="H1160:J1160"/>
    <mergeCell ref="K1160:M1160"/>
    <mergeCell ref="D1161:E1161"/>
    <mergeCell ref="K1161:M1161"/>
    <mergeCell ref="B1164:C1164"/>
    <mergeCell ref="D1164:E1164"/>
    <mergeCell ref="F1164:G1164"/>
    <mergeCell ref="H1164:J1164"/>
    <mergeCell ref="K1164:M1164"/>
    <mergeCell ref="B1161:C1161"/>
    <mergeCell ref="B1162:C1162"/>
    <mergeCell ref="D1162:E1162"/>
    <mergeCell ref="F1162:G1162"/>
    <mergeCell ref="B1163:C1163"/>
    <mergeCell ref="F1166:G1166"/>
    <mergeCell ref="H1166:J1166"/>
    <mergeCell ref="H1167:J1167"/>
    <mergeCell ref="K1167:M1167"/>
    <mergeCell ref="H1168:J1168"/>
    <mergeCell ref="K1168:M1168"/>
    <mergeCell ref="B1166:C1166"/>
    <mergeCell ref="B1167:C1167"/>
    <mergeCell ref="D1167:E1167"/>
    <mergeCell ref="F1167:G1167"/>
    <mergeCell ref="B1168:C1168"/>
    <mergeCell ref="D1168:E1168"/>
    <mergeCell ref="F1168:G1168"/>
    <mergeCell ref="F1171:G1171"/>
    <mergeCell ref="H1171:J1171"/>
    <mergeCell ref="B1170:C1170"/>
    <mergeCell ref="D1170:E1170"/>
    <mergeCell ref="F1170:G1170"/>
    <mergeCell ref="H1170:J1170"/>
    <mergeCell ref="K1170:M1170"/>
    <mergeCell ref="D1171:E1171"/>
    <mergeCell ref="K1171:M1171"/>
    <mergeCell ref="B1150:C1150"/>
    <mergeCell ref="D1150:E1150"/>
    <mergeCell ref="F1150:G1150"/>
    <mergeCell ref="H1150:J1150"/>
    <mergeCell ref="K1150:M1150"/>
    <mergeCell ref="D1151:E1151"/>
    <mergeCell ref="K1151:M1151"/>
    <mergeCell ref="B1154:C1154"/>
    <mergeCell ref="D1154:E1154"/>
    <mergeCell ref="F1154:G1154"/>
    <mergeCell ref="H1154:J1154"/>
    <mergeCell ref="K1154:M1154"/>
    <mergeCell ref="D1158:E1158"/>
    <mergeCell ref="F1158:G1158"/>
    <mergeCell ref="B1159:C1159"/>
    <mergeCell ref="D1159:E1159"/>
    <mergeCell ref="F1159:G1159"/>
    <mergeCell ref="H1159:J1159"/>
    <mergeCell ref="K1159:M1159"/>
    <mergeCell ref="H1158:J1158"/>
    <mergeCell ref="K1158:M1158"/>
    <mergeCell ref="B1156:C1156"/>
    <mergeCell ref="B1157:C1157"/>
    <mergeCell ref="D1157:E1157"/>
    <mergeCell ref="F1157:G1157"/>
    <mergeCell ref="H1157:J1157"/>
    <mergeCell ref="K1157:M1157"/>
    <mergeCell ref="B1158:C1158"/>
    <mergeCell ref="F1146:G1146"/>
    <mergeCell ref="H1146:J1146"/>
    <mergeCell ref="H1147:J1147"/>
    <mergeCell ref="K1147:M1147"/>
    <mergeCell ref="H1148:J1148"/>
    <mergeCell ref="K1148:M1148"/>
    <mergeCell ref="B1145:C1145"/>
    <mergeCell ref="D1145:E1145"/>
    <mergeCell ref="F1145:G1145"/>
    <mergeCell ref="H1145:J1145"/>
    <mergeCell ref="K1145:M1145"/>
    <mergeCell ref="D1146:E1146"/>
    <mergeCell ref="K1146:M1146"/>
    <mergeCell ref="B1149:C1149"/>
    <mergeCell ref="D1149:E1149"/>
    <mergeCell ref="F1149:G1149"/>
    <mergeCell ref="H1149:J1149"/>
    <mergeCell ref="K1149:M1149"/>
    <mergeCell ref="B1146:C1146"/>
    <mergeCell ref="B1147:C1147"/>
    <mergeCell ref="D1147:E1147"/>
    <mergeCell ref="F1147:G1147"/>
    <mergeCell ref="B1148:C1148"/>
    <mergeCell ref="F1148:G1148"/>
    <mergeCell ref="F1141:G1141"/>
    <mergeCell ref="H1141:J1141"/>
    <mergeCell ref="B1140:C1140"/>
    <mergeCell ref="D1140:E1140"/>
    <mergeCell ref="F1140:G1140"/>
    <mergeCell ref="H1140:J1140"/>
    <mergeCell ref="K1140:M1140"/>
    <mergeCell ref="D1141:E1141"/>
    <mergeCell ref="K1141:M1141"/>
    <mergeCell ref="F1156:G1156"/>
    <mergeCell ref="H1156:J1156"/>
    <mergeCell ref="B1155:C1155"/>
    <mergeCell ref="D1155:E1155"/>
    <mergeCell ref="F1155:G1155"/>
    <mergeCell ref="H1155:J1155"/>
    <mergeCell ref="K1155:M1155"/>
    <mergeCell ref="D1156:E1156"/>
    <mergeCell ref="K1156:M1156"/>
    <mergeCell ref="F1151:G1151"/>
    <mergeCell ref="H1151:J1151"/>
    <mergeCell ref="H1152:J1152"/>
    <mergeCell ref="K1152:M1152"/>
    <mergeCell ref="H1153:J1153"/>
    <mergeCell ref="K1153:M1153"/>
    <mergeCell ref="B1151:C1151"/>
    <mergeCell ref="B1152:C1152"/>
    <mergeCell ref="D1152:E1152"/>
    <mergeCell ref="F1152:G1152"/>
    <mergeCell ref="B1153:C1153"/>
    <mergeCell ref="D1153:E1153"/>
    <mergeCell ref="F1153:G1153"/>
    <mergeCell ref="D1148:E1148"/>
    <mergeCell ref="B1129:C1129"/>
    <mergeCell ref="D1129:E1129"/>
    <mergeCell ref="F1129:G1129"/>
    <mergeCell ref="H1129:J1129"/>
    <mergeCell ref="K1129:M1129"/>
    <mergeCell ref="F1136:G1136"/>
    <mergeCell ref="H1136:J1136"/>
    <mergeCell ref="H1137:J1137"/>
    <mergeCell ref="K1137:M1137"/>
    <mergeCell ref="H1138:J1138"/>
    <mergeCell ref="K1138:M1138"/>
    <mergeCell ref="B1136:C1136"/>
    <mergeCell ref="B1137:C1137"/>
    <mergeCell ref="D1137:E1137"/>
    <mergeCell ref="F1137:G1137"/>
    <mergeCell ref="B1138:C1138"/>
    <mergeCell ref="D1138:E1138"/>
    <mergeCell ref="F1138:G1138"/>
    <mergeCell ref="D1136:E1136"/>
    <mergeCell ref="K1136:M1136"/>
    <mergeCell ref="B1134:C1134"/>
    <mergeCell ref="D1134:E1134"/>
    <mergeCell ref="F1134:G1134"/>
    <mergeCell ref="H1134:J1134"/>
    <mergeCell ref="K1134:M1134"/>
    <mergeCell ref="B1131:C1131"/>
    <mergeCell ref="B1132:C1132"/>
    <mergeCell ref="D1132:E1132"/>
    <mergeCell ref="F1132:G1132"/>
    <mergeCell ref="B1133:C1133"/>
    <mergeCell ref="D1133:E1133"/>
    <mergeCell ref="B1115:C1115"/>
    <mergeCell ref="D1115:E1115"/>
    <mergeCell ref="F1115:G1115"/>
    <mergeCell ref="H1115:J1115"/>
    <mergeCell ref="K1115:M1115"/>
    <mergeCell ref="D1116:E1116"/>
    <mergeCell ref="K1116:M1116"/>
    <mergeCell ref="B1119:C1119"/>
    <mergeCell ref="D1119:E1119"/>
    <mergeCell ref="F1119:G1119"/>
    <mergeCell ref="H1119:J1119"/>
    <mergeCell ref="K1119:M1119"/>
    <mergeCell ref="B1116:C1116"/>
    <mergeCell ref="B1117:C1117"/>
    <mergeCell ref="D1117:E1117"/>
    <mergeCell ref="F1117:G1117"/>
    <mergeCell ref="B1118:C1118"/>
    <mergeCell ref="D1118:E1118"/>
    <mergeCell ref="F1118:G1118"/>
    <mergeCell ref="B1126:C1126"/>
    <mergeCell ref="B1127:C1127"/>
    <mergeCell ref="D1127:E1127"/>
    <mergeCell ref="F1127:G1127"/>
    <mergeCell ref="H1127:J1127"/>
    <mergeCell ref="K1127:M1127"/>
    <mergeCell ref="B1128:C1128"/>
    <mergeCell ref="F1116:G1116"/>
    <mergeCell ref="H1116:J1116"/>
    <mergeCell ref="H1117:J1117"/>
    <mergeCell ref="K1117:M1117"/>
    <mergeCell ref="H1118:J1118"/>
    <mergeCell ref="K1118:M1118"/>
    <mergeCell ref="B1120:C1120"/>
    <mergeCell ref="D1120:E1120"/>
    <mergeCell ref="F1120:G1120"/>
    <mergeCell ref="H1120:J1120"/>
    <mergeCell ref="K1120:M1120"/>
    <mergeCell ref="D1121:E1121"/>
    <mergeCell ref="K1121:M1121"/>
    <mergeCell ref="B1124:C1124"/>
    <mergeCell ref="D1124:E1124"/>
    <mergeCell ref="F1124:G1124"/>
    <mergeCell ref="H1124:J1124"/>
    <mergeCell ref="K1124:M1124"/>
    <mergeCell ref="D1128:E1128"/>
    <mergeCell ref="F1128:G1128"/>
    <mergeCell ref="F1143:G1143"/>
    <mergeCell ref="B1144:C1144"/>
    <mergeCell ref="D1144:E1144"/>
    <mergeCell ref="F1144:G1144"/>
    <mergeCell ref="H1144:J1144"/>
    <mergeCell ref="K1144:M1144"/>
    <mergeCell ref="F1121:G1121"/>
    <mergeCell ref="H1121:J1121"/>
    <mergeCell ref="H1122:J1122"/>
    <mergeCell ref="K1122:M1122"/>
    <mergeCell ref="H1123:J1123"/>
    <mergeCell ref="K1123:M1123"/>
    <mergeCell ref="B1121:C1121"/>
    <mergeCell ref="B1122:C1122"/>
    <mergeCell ref="D1122:E1122"/>
    <mergeCell ref="F1122:G1122"/>
    <mergeCell ref="B1123:C1123"/>
    <mergeCell ref="D1123:E1123"/>
    <mergeCell ref="F1123:G1123"/>
    <mergeCell ref="F1126:G1126"/>
    <mergeCell ref="H1126:J1126"/>
    <mergeCell ref="B1125:C1125"/>
    <mergeCell ref="D1125:E1125"/>
    <mergeCell ref="F1125:G1125"/>
    <mergeCell ref="D1131:E1131"/>
    <mergeCell ref="K1131:M1131"/>
    <mergeCell ref="H1125:J1125"/>
    <mergeCell ref="K1125:M1125"/>
    <mergeCell ref="D1126:E1126"/>
    <mergeCell ref="K1126:M1126"/>
    <mergeCell ref="H1128:J1128"/>
    <mergeCell ref="K1128:M1128"/>
    <mergeCell ref="B1109:C1109"/>
    <mergeCell ref="D1109:E1109"/>
    <mergeCell ref="F1109:G1109"/>
    <mergeCell ref="H1109:J1109"/>
    <mergeCell ref="K1109:M1109"/>
    <mergeCell ref="D1113:E1113"/>
    <mergeCell ref="F1113:G1113"/>
    <mergeCell ref="B1114:C1114"/>
    <mergeCell ref="D1114:E1114"/>
    <mergeCell ref="F1114:G1114"/>
    <mergeCell ref="H1114:J1114"/>
    <mergeCell ref="K1114:M1114"/>
    <mergeCell ref="F1111:G1111"/>
    <mergeCell ref="H1111:J1111"/>
    <mergeCell ref="B1110:C1110"/>
    <mergeCell ref="D1110:E1110"/>
    <mergeCell ref="F1110:G1110"/>
    <mergeCell ref="H1110:J1110"/>
    <mergeCell ref="K1110:M1110"/>
    <mergeCell ref="D1111:E1111"/>
    <mergeCell ref="K1111:M1111"/>
    <mergeCell ref="H1113:J1113"/>
    <mergeCell ref="K1113:M1113"/>
    <mergeCell ref="B1111:C1111"/>
    <mergeCell ref="B1112:C1112"/>
    <mergeCell ref="D1112:E1112"/>
    <mergeCell ref="H1143:J1143"/>
    <mergeCell ref="K1143:M1143"/>
    <mergeCell ref="B1141:C1141"/>
    <mergeCell ref="B1142:C1142"/>
    <mergeCell ref="D1142:E1142"/>
    <mergeCell ref="F1142:G1142"/>
    <mergeCell ref="H1142:J1142"/>
    <mergeCell ref="K1142:M1142"/>
    <mergeCell ref="B1143:C1143"/>
    <mergeCell ref="F1131:G1131"/>
    <mergeCell ref="H1131:J1131"/>
    <mergeCell ref="H1132:J1132"/>
    <mergeCell ref="K1132:M1132"/>
    <mergeCell ref="H1133:J1133"/>
    <mergeCell ref="K1133:M1133"/>
    <mergeCell ref="B1130:C1130"/>
    <mergeCell ref="D1130:E1130"/>
    <mergeCell ref="F1130:G1130"/>
    <mergeCell ref="H1130:J1130"/>
    <mergeCell ref="K1130:M1130"/>
    <mergeCell ref="F1133:G1133"/>
    <mergeCell ref="B1135:C1135"/>
    <mergeCell ref="D1135:E1135"/>
    <mergeCell ref="F1135:G1135"/>
    <mergeCell ref="H1135:J1135"/>
    <mergeCell ref="K1135:M1135"/>
    <mergeCell ref="B1139:C1139"/>
    <mergeCell ref="D1139:E1139"/>
    <mergeCell ref="F1139:G1139"/>
    <mergeCell ref="H1139:J1139"/>
    <mergeCell ref="K1139:M1139"/>
    <mergeCell ref="D1143:E1143"/>
    <mergeCell ref="F1104:G1104"/>
    <mergeCell ref="H1104:J1104"/>
    <mergeCell ref="K1104:M1104"/>
    <mergeCell ref="B1101:C1101"/>
    <mergeCell ref="B1102:C1102"/>
    <mergeCell ref="D1102:E1102"/>
    <mergeCell ref="F1102:G1102"/>
    <mergeCell ref="B1103:C1103"/>
    <mergeCell ref="D1103:E1103"/>
    <mergeCell ref="F1103:G1103"/>
    <mergeCell ref="B1105:C1105"/>
    <mergeCell ref="D1105:E1105"/>
    <mergeCell ref="F1105:G1105"/>
    <mergeCell ref="H1105:J1105"/>
    <mergeCell ref="K1105:M1105"/>
    <mergeCell ref="D1106:E1106"/>
    <mergeCell ref="K1106:M1106"/>
    <mergeCell ref="F1112:G1112"/>
    <mergeCell ref="H1112:J1112"/>
    <mergeCell ref="K1112:M1112"/>
    <mergeCell ref="B1113:C1113"/>
    <mergeCell ref="B1099:C1099"/>
    <mergeCell ref="D1099:E1099"/>
    <mergeCell ref="F1099:G1099"/>
    <mergeCell ref="H1099:J1099"/>
    <mergeCell ref="K1099:M1099"/>
    <mergeCell ref="F1106:G1106"/>
    <mergeCell ref="H1106:J1106"/>
    <mergeCell ref="H1107:J1107"/>
    <mergeCell ref="K1107:M1107"/>
    <mergeCell ref="H1108:J1108"/>
    <mergeCell ref="K1108:M1108"/>
    <mergeCell ref="B1106:C1106"/>
    <mergeCell ref="B1107:C1107"/>
    <mergeCell ref="D1107:E1107"/>
    <mergeCell ref="F1107:G1107"/>
    <mergeCell ref="B1108:C1108"/>
    <mergeCell ref="D1108:E1108"/>
    <mergeCell ref="F1108:G1108"/>
    <mergeCell ref="F1101:G1101"/>
    <mergeCell ref="H1101:J1101"/>
    <mergeCell ref="H1102:J1102"/>
    <mergeCell ref="K1102:M1102"/>
    <mergeCell ref="H1103:J1103"/>
    <mergeCell ref="K1103:M1103"/>
    <mergeCell ref="B1100:C1100"/>
    <mergeCell ref="D1100:E1100"/>
    <mergeCell ref="F1100:G1100"/>
    <mergeCell ref="H1100:J1100"/>
    <mergeCell ref="K1100:M1100"/>
    <mergeCell ref="D1101:E1101"/>
    <mergeCell ref="K1101:M1101"/>
    <mergeCell ref="B1104:C1104"/>
    <mergeCell ref="B1088:C1088"/>
    <mergeCell ref="D1088:E1088"/>
    <mergeCell ref="F1088:G1088"/>
    <mergeCell ref="B1090:C1090"/>
    <mergeCell ref="D1090:E1090"/>
    <mergeCell ref="F1090:G1090"/>
    <mergeCell ref="H1090:J1090"/>
    <mergeCell ref="K1090:M1090"/>
    <mergeCell ref="D1091:E1091"/>
    <mergeCell ref="K1091:M1091"/>
    <mergeCell ref="B1094:C1094"/>
    <mergeCell ref="D1094:E1094"/>
    <mergeCell ref="F1094:G1094"/>
    <mergeCell ref="H1094:J1094"/>
    <mergeCell ref="K1094:M1094"/>
    <mergeCell ref="D1098:E1098"/>
    <mergeCell ref="F1098:G1098"/>
    <mergeCell ref="F1093:G1093"/>
    <mergeCell ref="H1098:J1098"/>
    <mergeCell ref="K1098:M1098"/>
    <mergeCell ref="B1096:C1096"/>
    <mergeCell ref="B1097:C1097"/>
    <mergeCell ref="D1097:E1097"/>
    <mergeCell ref="F1097:G1097"/>
    <mergeCell ref="H1097:J1097"/>
    <mergeCell ref="K1097:M1097"/>
    <mergeCell ref="B1098:C1098"/>
    <mergeCell ref="D1104:E1104"/>
    <mergeCell ref="F1086:G1086"/>
    <mergeCell ref="H1086:J1086"/>
    <mergeCell ref="H1087:J1087"/>
    <mergeCell ref="K1087:M1087"/>
    <mergeCell ref="H1088:J1088"/>
    <mergeCell ref="K1088:M1088"/>
    <mergeCell ref="B1085:C1085"/>
    <mergeCell ref="D1085:E1085"/>
    <mergeCell ref="F1085:G1085"/>
    <mergeCell ref="H1085:J1085"/>
    <mergeCell ref="K1085:M1085"/>
    <mergeCell ref="D1086:E1086"/>
    <mergeCell ref="K1086:M1086"/>
    <mergeCell ref="B1089:C1089"/>
    <mergeCell ref="D1089:E1089"/>
    <mergeCell ref="F1089:G1089"/>
    <mergeCell ref="H1089:J1089"/>
    <mergeCell ref="K1089:M1089"/>
    <mergeCell ref="B1086:C1086"/>
    <mergeCell ref="B1087:C1087"/>
    <mergeCell ref="D1087:E1087"/>
    <mergeCell ref="F1087:G1087"/>
    <mergeCell ref="D1078:E1078"/>
    <mergeCell ref="F1078:G1078"/>
    <mergeCell ref="F1081:G1081"/>
    <mergeCell ref="H1081:J1081"/>
    <mergeCell ref="B1080:C1080"/>
    <mergeCell ref="D1080:E1080"/>
    <mergeCell ref="F1080:G1080"/>
    <mergeCell ref="H1080:J1080"/>
    <mergeCell ref="K1080:M1080"/>
    <mergeCell ref="D1081:E1081"/>
    <mergeCell ref="K1081:M1081"/>
    <mergeCell ref="F1096:G1096"/>
    <mergeCell ref="H1096:J1096"/>
    <mergeCell ref="B1095:C1095"/>
    <mergeCell ref="D1095:E1095"/>
    <mergeCell ref="F1095:G1095"/>
    <mergeCell ref="H1095:J1095"/>
    <mergeCell ref="K1095:M1095"/>
    <mergeCell ref="D1096:E1096"/>
    <mergeCell ref="K1096:M1096"/>
    <mergeCell ref="F1091:G1091"/>
    <mergeCell ref="H1091:J1091"/>
    <mergeCell ref="H1092:J1092"/>
    <mergeCell ref="K1092:M1092"/>
    <mergeCell ref="H1093:J1093"/>
    <mergeCell ref="K1093:M1093"/>
    <mergeCell ref="B1091:C1091"/>
    <mergeCell ref="B1092:C1092"/>
    <mergeCell ref="D1092:E1092"/>
    <mergeCell ref="F1092:G1092"/>
    <mergeCell ref="B1093:C1093"/>
    <mergeCell ref="D1093:E1093"/>
    <mergeCell ref="B1060:C1060"/>
    <mergeCell ref="D1060:E1060"/>
    <mergeCell ref="F1060:G1060"/>
    <mergeCell ref="H1060:J1060"/>
    <mergeCell ref="K1060:M1060"/>
    <mergeCell ref="D1061:E1061"/>
    <mergeCell ref="K1061:M1061"/>
    <mergeCell ref="B1064:C1064"/>
    <mergeCell ref="D1064:E1064"/>
    <mergeCell ref="F1064:G1064"/>
    <mergeCell ref="H1064:J1064"/>
    <mergeCell ref="K1064:M1064"/>
    <mergeCell ref="D1068:E1068"/>
    <mergeCell ref="F1068:G1068"/>
    <mergeCell ref="B1069:C1069"/>
    <mergeCell ref="D1069:E1069"/>
    <mergeCell ref="F1069:G1069"/>
    <mergeCell ref="H1069:J1069"/>
    <mergeCell ref="K1069:M1069"/>
    <mergeCell ref="H1068:J1068"/>
    <mergeCell ref="K1068:M1068"/>
    <mergeCell ref="B1066:C1066"/>
    <mergeCell ref="B1067:C1067"/>
    <mergeCell ref="D1067:E1067"/>
    <mergeCell ref="F1067:G1067"/>
    <mergeCell ref="H1067:J1067"/>
    <mergeCell ref="K1067:M1067"/>
    <mergeCell ref="B1068:C1068"/>
    <mergeCell ref="F1061:G1061"/>
    <mergeCell ref="H1061:J1061"/>
    <mergeCell ref="F1056:G1056"/>
    <mergeCell ref="H1056:J1056"/>
    <mergeCell ref="H1057:J1057"/>
    <mergeCell ref="K1057:M1057"/>
    <mergeCell ref="H1058:J1058"/>
    <mergeCell ref="K1058:M1058"/>
    <mergeCell ref="B1055:C1055"/>
    <mergeCell ref="D1055:E1055"/>
    <mergeCell ref="F1055:G1055"/>
    <mergeCell ref="H1055:J1055"/>
    <mergeCell ref="K1055:M1055"/>
    <mergeCell ref="D1056:E1056"/>
    <mergeCell ref="K1056:M1056"/>
    <mergeCell ref="B1059:C1059"/>
    <mergeCell ref="D1059:E1059"/>
    <mergeCell ref="F1059:G1059"/>
    <mergeCell ref="H1059:J1059"/>
    <mergeCell ref="K1059:M1059"/>
    <mergeCell ref="B1056:C1056"/>
    <mergeCell ref="B1057:C1057"/>
    <mergeCell ref="D1057:E1057"/>
    <mergeCell ref="F1057:G1057"/>
    <mergeCell ref="B1058:C1058"/>
    <mergeCell ref="D1058:E1058"/>
    <mergeCell ref="F1058:G1058"/>
    <mergeCell ref="H1062:J1062"/>
    <mergeCell ref="K1062:M1062"/>
    <mergeCell ref="H1063:J1063"/>
    <mergeCell ref="K1063:M1063"/>
    <mergeCell ref="B1061:C1061"/>
    <mergeCell ref="B1062:C1062"/>
    <mergeCell ref="D1062:E1062"/>
    <mergeCell ref="F1062:G1062"/>
    <mergeCell ref="B1063:C1063"/>
    <mergeCell ref="D1063:E1063"/>
    <mergeCell ref="F1063:G1063"/>
    <mergeCell ref="F1066:G1066"/>
    <mergeCell ref="H1066:J1066"/>
    <mergeCell ref="B1065:C1065"/>
    <mergeCell ref="D1065:E1065"/>
    <mergeCell ref="F1065:G1065"/>
    <mergeCell ref="H1065:J1065"/>
    <mergeCell ref="K1065:M1065"/>
    <mergeCell ref="D1066:E1066"/>
    <mergeCell ref="K1066:M1066"/>
    <mergeCell ref="D1073:E1073"/>
    <mergeCell ref="F1073:G1073"/>
    <mergeCell ref="B1075:C1075"/>
    <mergeCell ref="D1075:E1075"/>
    <mergeCell ref="F1075:G1075"/>
    <mergeCell ref="H1075:J1075"/>
    <mergeCell ref="K1075:M1075"/>
    <mergeCell ref="D1076:E1076"/>
    <mergeCell ref="K1076:M1076"/>
    <mergeCell ref="B1079:C1079"/>
    <mergeCell ref="D1079:E1079"/>
    <mergeCell ref="F1079:G1079"/>
    <mergeCell ref="H1079:J1079"/>
    <mergeCell ref="K1079:M1079"/>
    <mergeCell ref="D1083:E1083"/>
    <mergeCell ref="F1083:G1083"/>
    <mergeCell ref="B1084:C1084"/>
    <mergeCell ref="D1084:E1084"/>
    <mergeCell ref="F1084:G1084"/>
    <mergeCell ref="H1084:J1084"/>
    <mergeCell ref="K1084:M1084"/>
    <mergeCell ref="F1076:G1076"/>
    <mergeCell ref="H1076:J1076"/>
    <mergeCell ref="H1077:J1077"/>
    <mergeCell ref="K1077:M1077"/>
    <mergeCell ref="H1078:J1078"/>
    <mergeCell ref="K1078:M1078"/>
    <mergeCell ref="B1076:C1076"/>
    <mergeCell ref="B1077:C1077"/>
    <mergeCell ref="D1077:E1077"/>
    <mergeCell ref="F1077:G1077"/>
    <mergeCell ref="B1078:C1078"/>
    <mergeCell ref="H1083:J1083"/>
    <mergeCell ref="K1083:M1083"/>
    <mergeCell ref="B1081:C1081"/>
    <mergeCell ref="B1082:C1082"/>
    <mergeCell ref="D1082:E1082"/>
    <mergeCell ref="F1082:G1082"/>
    <mergeCell ref="H1082:J1082"/>
    <mergeCell ref="K1082:M1082"/>
    <mergeCell ref="B1083:C1083"/>
    <mergeCell ref="F1071:G1071"/>
    <mergeCell ref="H1071:J1071"/>
    <mergeCell ref="H1072:J1072"/>
    <mergeCell ref="K1072:M1072"/>
    <mergeCell ref="H1073:J1073"/>
    <mergeCell ref="K1073:M1073"/>
    <mergeCell ref="B1070:C1070"/>
    <mergeCell ref="D1070:E1070"/>
    <mergeCell ref="F1070:G1070"/>
    <mergeCell ref="H1070:J1070"/>
    <mergeCell ref="K1070:M1070"/>
    <mergeCell ref="D1071:E1071"/>
    <mergeCell ref="K1071:M1071"/>
    <mergeCell ref="B1074:C1074"/>
    <mergeCell ref="D1074:E1074"/>
    <mergeCell ref="F1074:G1074"/>
    <mergeCell ref="H1074:J1074"/>
    <mergeCell ref="K1074:M1074"/>
    <mergeCell ref="B1071:C1071"/>
    <mergeCell ref="B1072:C1072"/>
    <mergeCell ref="D1072:E1072"/>
    <mergeCell ref="F1072:G1072"/>
    <mergeCell ref="B1073:C1073"/>
    <mergeCell ref="B1054:C1054"/>
    <mergeCell ref="D1054:E1054"/>
    <mergeCell ref="F1054:G1054"/>
    <mergeCell ref="H1054:J1054"/>
    <mergeCell ref="K1054:M1054"/>
    <mergeCell ref="F1051:G1051"/>
    <mergeCell ref="H1051:J1051"/>
    <mergeCell ref="B1050:C1050"/>
    <mergeCell ref="D1050:E1050"/>
    <mergeCell ref="F1050:G1050"/>
    <mergeCell ref="H1050:J1050"/>
    <mergeCell ref="K1050:M1050"/>
    <mergeCell ref="D1051:E1051"/>
    <mergeCell ref="K1051:M1051"/>
    <mergeCell ref="H1053:J1053"/>
    <mergeCell ref="K1053:M1053"/>
    <mergeCell ref="B1051:C1051"/>
    <mergeCell ref="B1052:C1052"/>
    <mergeCell ref="K1042:M1042"/>
    <mergeCell ref="H1043:J1043"/>
    <mergeCell ref="K1043:M1043"/>
    <mergeCell ref="B1040:C1040"/>
    <mergeCell ref="B1045:C1045"/>
    <mergeCell ref="D1045:E1045"/>
    <mergeCell ref="F1045:G1045"/>
    <mergeCell ref="H1045:J1045"/>
    <mergeCell ref="K1045:M1045"/>
    <mergeCell ref="D1046:E1046"/>
    <mergeCell ref="K1046:M1046"/>
    <mergeCell ref="B1049:C1049"/>
    <mergeCell ref="D1049:E1049"/>
    <mergeCell ref="F1049:G1049"/>
    <mergeCell ref="H1049:J1049"/>
    <mergeCell ref="K1049:M1049"/>
    <mergeCell ref="D1053:E1053"/>
    <mergeCell ref="F1053:G1053"/>
    <mergeCell ref="B1053:C1053"/>
    <mergeCell ref="B1034:C1034"/>
    <mergeCell ref="D1034:E1034"/>
    <mergeCell ref="F1034:G1034"/>
    <mergeCell ref="H1034:J1034"/>
    <mergeCell ref="K1034:M1034"/>
    <mergeCell ref="D1038:E1038"/>
    <mergeCell ref="F1038:G1038"/>
    <mergeCell ref="B1039:C1039"/>
    <mergeCell ref="D1039:E1039"/>
    <mergeCell ref="F1039:G1039"/>
    <mergeCell ref="H1039:J1039"/>
    <mergeCell ref="K1039:M1039"/>
    <mergeCell ref="F1046:G1046"/>
    <mergeCell ref="H1046:J1046"/>
    <mergeCell ref="H1047:J1047"/>
    <mergeCell ref="K1047:M1047"/>
    <mergeCell ref="H1048:J1048"/>
    <mergeCell ref="K1048:M1048"/>
    <mergeCell ref="B1046:C1046"/>
    <mergeCell ref="B1047:C1047"/>
    <mergeCell ref="D1047:E1047"/>
    <mergeCell ref="F1047:G1047"/>
    <mergeCell ref="B1048:C1048"/>
    <mergeCell ref="D1048:E1048"/>
    <mergeCell ref="F1048:G1048"/>
    <mergeCell ref="F1041:G1041"/>
    <mergeCell ref="H1041:J1041"/>
    <mergeCell ref="D1040:E1040"/>
    <mergeCell ref="F1040:G1040"/>
    <mergeCell ref="H1040:J1040"/>
    <mergeCell ref="K1040:M1040"/>
    <mergeCell ref="K1025:M1025"/>
    <mergeCell ref="D1026:E1026"/>
    <mergeCell ref="K1026:M1026"/>
    <mergeCell ref="B1029:C1029"/>
    <mergeCell ref="D1029:E1029"/>
    <mergeCell ref="F1029:G1029"/>
    <mergeCell ref="H1029:J1029"/>
    <mergeCell ref="K1029:M1029"/>
    <mergeCell ref="B1026:C1026"/>
    <mergeCell ref="B1027:C1027"/>
    <mergeCell ref="D1027:E1027"/>
    <mergeCell ref="F1027:G1027"/>
    <mergeCell ref="B1028:C1028"/>
    <mergeCell ref="D1052:E1052"/>
    <mergeCell ref="F1052:G1052"/>
    <mergeCell ref="H1052:J1052"/>
    <mergeCell ref="K1052:M1052"/>
    <mergeCell ref="D1041:E1041"/>
    <mergeCell ref="K1041:M1041"/>
    <mergeCell ref="B1044:C1044"/>
    <mergeCell ref="D1044:E1044"/>
    <mergeCell ref="F1044:G1044"/>
    <mergeCell ref="H1044:J1044"/>
    <mergeCell ref="K1044:M1044"/>
    <mergeCell ref="B1041:C1041"/>
    <mergeCell ref="B1042:C1042"/>
    <mergeCell ref="D1042:E1042"/>
    <mergeCell ref="F1042:G1042"/>
    <mergeCell ref="B1043:C1043"/>
    <mergeCell ref="D1043:E1043"/>
    <mergeCell ref="F1043:G1043"/>
    <mergeCell ref="H1042:J1042"/>
    <mergeCell ref="N950:U950"/>
    <mergeCell ref="N951:U951"/>
    <mergeCell ref="N952:U952"/>
    <mergeCell ref="N953:U953"/>
    <mergeCell ref="N954:U954"/>
    <mergeCell ref="N955:U955"/>
    <mergeCell ref="N956:U956"/>
    <mergeCell ref="N957:U957"/>
    <mergeCell ref="N958:U958"/>
    <mergeCell ref="N959:U959"/>
    <mergeCell ref="N960:U960"/>
    <mergeCell ref="N961:U961"/>
    <mergeCell ref="N962:U962"/>
    <mergeCell ref="H1038:J1038"/>
    <mergeCell ref="K1038:M1038"/>
    <mergeCell ref="B1036:C1036"/>
    <mergeCell ref="B1037:C1037"/>
    <mergeCell ref="D1037:E1037"/>
    <mergeCell ref="F1037:G1037"/>
    <mergeCell ref="H1037:J1037"/>
    <mergeCell ref="K1037:M1037"/>
    <mergeCell ref="B1038:C1038"/>
    <mergeCell ref="F1026:G1026"/>
    <mergeCell ref="H1026:J1026"/>
    <mergeCell ref="H1027:J1027"/>
    <mergeCell ref="K1027:M1027"/>
    <mergeCell ref="H1028:J1028"/>
    <mergeCell ref="K1028:M1028"/>
    <mergeCell ref="B1025:C1025"/>
    <mergeCell ref="D1025:E1025"/>
    <mergeCell ref="F1025:G1025"/>
    <mergeCell ref="H1025:J1025"/>
    <mergeCell ref="N939:U939"/>
    <mergeCell ref="N940:U940"/>
    <mergeCell ref="N941:U941"/>
    <mergeCell ref="N942:U942"/>
    <mergeCell ref="N943:U943"/>
    <mergeCell ref="N944:U944"/>
    <mergeCell ref="N945:U945"/>
    <mergeCell ref="N946:U946"/>
    <mergeCell ref="D926:E926"/>
    <mergeCell ref="F926:G926"/>
    <mergeCell ref="H926:J926"/>
    <mergeCell ref="K926:M926"/>
    <mergeCell ref="D927:E927"/>
    <mergeCell ref="F1032:G1032"/>
    <mergeCell ref="B1033:C1033"/>
    <mergeCell ref="D1033:E1033"/>
    <mergeCell ref="F1033:G1033"/>
    <mergeCell ref="D1028:E1028"/>
    <mergeCell ref="F1028:G1028"/>
    <mergeCell ref="B1030:C1030"/>
    <mergeCell ref="D1030:E1030"/>
    <mergeCell ref="F1030:G1030"/>
    <mergeCell ref="H1030:J1030"/>
    <mergeCell ref="K1030:M1030"/>
    <mergeCell ref="D1031:E1031"/>
    <mergeCell ref="K1031:M1031"/>
    <mergeCell ref="H1023:J1023"/>
    <mergeCell ref="K1023:M1023"/>
    <mergeCell ref="B1021:C1021"/>
    <mergeCell ref="N947:U947"/>
    <mergeCell ref="N948:U948"/>
    <mergeCell ref="N949:U949"/>
    <mergeCell ref="B932:C932"/>
    <mergeCell ref="D932:E932"/>
    <mergeCell ref="F932:G932"/>
    <mergeCell ref="H932:J932"/>
    <mergeCell ref="K932:M932"/>
    <mergeCell ref="B933:C933"/>
    <mergeCell ref="D938:E938"/>
    <mergeCell ref="F938:G938"/>
    <mergeCell ref="B940:C940"/>
    <mergeCell ref="D940:E940"/>
    <mergeCell ref="F940:G940"/>
    <mergeCell ref="H940:J940"/>
    <mergeCell ref="K940:M940"/>
    <mergeCell ref="D946:E946"/>
    <mergeCell ref="K946:M946"/>
    <mergeCell ref="N922:U922"/>
    <mergeCell ref="N923:U923"/>
    <mergeCell ref="N924:U924"/>
    <mergeCell ref="N925:U925"/>
    <mergeCell ref="N926:U926"/>
    <mergeCell ref="N927:U927"/>
    <mergeCell ref="N928:U928"/>
    <mergeCell ref="N929:U929"/>
    <mergeCell ref="N930:U930"/>
    <mergeCell ref="N931:U931"/>
    <mergeCell ref="N932:U932"/>
    <mergeCell ref="N933:U933"/>
    <mergeCell ref="N934:U934"/>
    <mergeCell ref="N935:U935"/>
    <mergeCell ref="N936:U936"/>
    <mergeCell ref="N937:U937"/>
    <mergeCell ref="N938:U938"/>
    <mergeCell ref="D933:E933"/>
    <mergeCell ref="F933:G933"/>
    <mergeCell ref="B934:C934"/>
    <mergeCell ref="D934:E934"/>
    <mergeCell ref="F934:G934"/>
    <mergeCell ref="H934:J934"/>
    <mergeCell ref="K934:M934"/>
    <mergeCell ref="F941:G941"/>
    <mergeCell ref="H941:J941"/>
    <mergeCell ref="H942:J942"/>
    <mergeCell ref="K942:M942"/>
    <mergeCell ref="B941:C941"/>
    <mergeCell ref="B942:C942"/>
    <mergeCell ref="D942:E942"/>
    <mergeCell ref="F942:G942"/>
    <mergeCell ref="H933:J933"/>
    <mergeCell ref="K933:M933"/>
    <mergeCell ref="D917:E917"/>
    <mergeCell ref="F917:G917"/>
    <mergeCell ref="B918:C918"/>
    <mergeCell ref="D918:E918"/>
    <mergeCell ref="F918:G918"/>
    <mergeCell ref="B919:C919"/>
    <mergeCell ref="D919:E919"/>
    <mergeCell ref="F922:G922"/>
    <mergeCell ref="H922:J922"/>
    <mergeCell ref="H923:J923"/>
    <mergeCell ref="K923:M923"/>
    <mergeCell ref="H924:J924"/>
    <mergeCell ref="K924:M924"/>
    <mergeCell ref="B921:C921"/>
    <mergeCell ref="D921:E921"/>
    <mergeCell ref="F921:G921"/>
    <mergeCell ref="H921:J921"/>
    <mergeCell ref="K921:M921"/>
    <mergeCell ref="D922:E922"/>
    <mergeCell ref="K922:M922"/>
    <mergeCell ref="D924:E924"/>
    <mergeCell ref="F924:G924"/>
    <mergeCell ref="H917:J917"/>
    <mergeCell ref="H919:J919"/>
    <mergeCell ref="K919:M919"/>
    <mergeCell ref="N919:U919"/>
    <mergeCell ref="B920:C920"/>
    <mergeCell ref="D920:E920"/>
    <mergeCell ref="F920:G920"/>
    <mergeCell ref="H920:J920"/>
    <mergeCell ref="K920:M920"/>
    <mergeCell ref="N920:U920"/>
    <mergeCell ref="N921:U921"/>
    <mergeCell ref="F931:G931"/>
    <mergeCell ref="H931:J931"/>
    <mergeCell ref="B930:C930"/>
    <mergeCell ref="D930:E930"/>
    <mergeCell ref="F930:G930"/>
    <mergeCell ref="H930:J930"/>
    <mergeCell ref="K930:M930"/>
    <mergeCell ref="D931:E931"/>
    <mergeCell ref="K931:M931"/>
    <mergeCell ref="H925:J925"/>
    <mergeCell ref="K925:M925"/>
    <mergeCell ref="B922:C922"/>
    <mergeCell ref="B923:C923"/>
    <mergeCell ref="D923:E923"/>
    <mergeCell ref="F923:G923"/>
    <mergeCell ref="B924:C924"/>
    <mergeCell ref="K927:M927"/>
    <mergeCell ref="B931:C931"/>
    <mergeCell ref="N1206:U1206"/>
    <mergeCell ref="N1207:U1207"/>
    <mergeCell ref="N1208:U1208"/>
    <mergeCell ref="N1209:U1209"/>
    <mergeCell ref="N1210:U1210"/>
    <mergeCell ref="N1211:U1211"/>
    <mergeCell ref="N1212:U1212"/>
    <mergeCell ref="N1213:U1213"/>
    <mergeCell ref="N1214:U1214"/>
    <mergeCell ref="N1215:U1215"/>
    <mergeCell ref="B912:C912"/>
    <mergeCell ref="D912:E912"/>
    <mergeCell ref="F912:G912"/>
    <mergeCell ref="H912:J912"/>
    <mergeCell ref="K912:M912"/>
    <mergeCell ref="N912:U912"/>
    <mergeCell ref="B913:C913"/>
    <mergeCell ref="H913:J913"/>
    <mergeCell ref="K913:M913"/>
    <mergeCell ref="D914:E914"/>
    <mergeCell ref="F914:G914"/>
    <mergeCell ref="H914:J914"/>
    <mergeCell ref="K914:M914"/>
    <mergeCell ref="N914:U914"/>
    <mergeCell ref="B914:C914"/>
    <mergeCell ref="B915:C915"/>
    <mergeCell ref="D915:E915"/>
    <mergeCell ref="F915:G915"/>
    <mergeCell ref="H915:J915"/>
    <mergeCell ref="K915:M915"/>
    <mergeCell ref="N915:U915"/>
    <mergeCell ref="B925:C925"/>
    <mergeCell ref="N1265:U1265"/>
    <mergeCell ref="N1251:U1251"/>
    <mergeCell ref="N1252:U1252"/>
    <mergeCell ref="N1253:U1253"/>
    <mergeCell ref="N1254:U1254"/>
    <mergeCell ref="N1255:U1255"/>
    <mergeCell ref="N1256:U1256"/>
    <mergeCell ref="N1257:U1257"/>
    <mergeCell ref="N1167:U1167"/>
    <mergeCell ref="N1168:U1168"/>
    <mergeCell ref="N1169:U1169"/>
    <mergeCell ref="N1170:U1170"/>
    <mergeCell ref="N1171:U1171"/>
    <mergeCell ref="N1172:U1172"/>
    <mergeCell ref="N1173:U1173"/>
    <mergeCell ref="N1174:U1174"/>
    <mergeCell ref="N1175:U1175"/>
    <mergeCell ref="N1176:U1176"/>
    <mergeCell ref="N1177:U1177"/>
    <mergeCell ref="N1178:U1178"/>
    <mergeCell ref="N1179:U1179"/>
    <mergeCell ref="N1180:U1180"/>
    <mergeCell ref="N1181:U1181"/>
    <mergeCell ref="N1182:U1182"/>
    <mergeCell ref="N1183:U1183"/>
    <mergeCell ref="N1184:U1184"/>
    <mergeCell ref="N1185:U1185"/>
    <mergeCell ref="N1186:U1186"/>
    <mergeCell ref="N1187:U1187"/>
    <mergeCell ref="N1188:U1188"/>
    <mergeCell ref="N1189:U1189"/>
    <mergeCell ref="N1190:U1190"/>
    <mergeCell ref="N1241:U1241"/>
    <mergeCell ref="N1242:U1242"/>
    <mergeCell ref="N1243:U1243"/>
    <mergeCell ref="N1244:U1244"/>
    <mergeCell ref="N1245:U1245"/>
    <mergeCell ref="N1246:U1246"/>
    <mergeCell ref="N1247:U1247"/>
    <mergeCell ref="N1248:U1248"/>
    <mergeCell ref="N1249:U1249"/>
    <mergeCell ref="N1250:U1250"/>
    <mergeCell ref="N1258:U1258"/>
    <mergeCell ref="N1259:U1259"/>
    <mergeCell ref="N1260:U1260"/>
    <mergeCell ref="N1261:U1261"/>
    <mergeCell ref="N1262:U1262"/>
    <mergeCell ref="N1263:U1263"/>
    <mergeCell ref="N1264:U1264"/>
    <mergeCell ref="N1224:U1224"/>
    <mergeCell ref="N1225:U1225"/>
    <mergeCell ref="N1226:U1226"/>
    <mergeCell ref="N1227:U1227"/>
    <mergeCell ref="N1228:U1228"/>
    <mergeCell ref="N1229:U1229"/>
    <mergeCell ref="N1230:U1230"/>
    <mergeCell ref="N1231:U1231"/>
    <mergeCell ref="N1232:U1232"/>
    <mergeCell ref="N1233:U1233"/>
    <mergeCell ref="N1234:U1234"/>
    <mergeCell ref="N1235:U1235"/>
    <mergeCell ref="N1236:U1236"/>
    <mergeCell ref="N1237:U1237"/>
    <mergeCell ref="N1238:U1238"/>
    <mergeCell ref="N1239:U1239"/>
    <mergeCell ref="N1240:U1240"/>
    <mergeCell ref="N1158:U1158"/>
    <mergeCell ref="N1159:U1159"/>
    <mergeCell ref="N1160:U1160"/>
    <mergeCell ref="N1161:U1161"/>
    <mergeCell ref="N1162:U1162"/>
    <mergeCell ref="N1163:U1163"/>
    <mergeCell ref="N1164:U1164"/>
    <mergeCell ref="N1165:U1165"/>
    <mergeCell ref="N1166:U1166"/>
    <mergeCell ref="N1216:U1216"/>
    <mergeCell ref="N1217:U1217"/>
    <mergeCell ref="N1218:U1218"/>
    <mergeCell ref="N1219:U1219"/>
    <mergeCell ref="N1220:U1220"/>
    <mergeCell ref="N1221:U1221"/>
    <mergeCell ref="N1222:U1222"/>
    <mergeCell ref="N1223:U1223"/>
    <mergeCell ref="N1191:U1191"/>
    <mergeCell ref="N1192:U1192"/>
    <mergeCell ref="N1193:U1193"/>
    <mergeCell ref="N1194:U1194"/>
    <mergeCell ref="N1195:U1195"/>
    <mergeCell ref="N1196:U1196"/>
    <mergeCell ref="N1197:U1197"/>
    <mergeCell ref="N1198:U1198"/>
    <mergeCell ref="N1199:U1199"/>
    <mergeCell ref="N1200:U1200"/>
    <mergeCell ref="N1201:U1201"/>
    <mergeCell ref="N1202:U1202"/>
    <mergeCell ref="N1203:U1203"/>
    <mergeCell ref="N1204:U1204"/>
    <mergeCell ref="N1205:U1205"/>
    <mergeCell ref="N1141:U1141"/>
    <mergeCell ref="N1142:U1142"/>
    <mergeCell ref="N1143:U1143"/>
    <mergeCell ref="N1144:U1144"/>
    <mergeCell ref="N1145:U1145"/>
    <mergeCell ref="N1146:U1146"/>
    <mergeCell ref="N1147:U1147"/>
    <mergeCell ref="N1148:U1148"/>
    <mergeCell ref="N1149:U1149"/>
    <mergeCell ref="N1150:U1150"/>
    <mergeCell ref="N1151:U1151"/>
    <mergeCell ref="N1152:U1152"/>
    <mergeCell ref="N1153:U1153"/>
    <mergeCell ref="N1154:U1154"/>
    <mergeCell ref="N1155:U1155"/>
    <mergeCell ref="N1156:U1156"/>
    <mergeCell ref="N1157:U1157"/>
    <mergeCell ref="N1124:U1124"/>
    <mergeCell ref="N1125:U1125"/>
    <mergeCell ref="N1126:U1126"/>
    <mergeCell ref="N1127:U1127"/>
    <mergeCell ref="N1128:U1128"/>
    <mergeCell ref="N1129:U1129"/>
    <mergeCell ref="N1130:U1130"/>
    <mergeCell ref="N1131:U1131"/>
    <mergeCell ref="N1132:U1132"/>
    <mergeCell ref="N1133:U1133"/>
    <mergeCell ref="N1134:U1134"/>
    <mergeCell ref="N1135:U1135"/>
    <mergeCell ref="N1136:U1136"/>
    <mergeCell ref="N1137:U1137"/>
    <mergeCell ref="N1138:U1138"/>
    <mergeCell ref="N1139:U1139"/>
    <mergeCell ref="N1140:U1140"/>
    <mergeCell ref="N1107:U1107"/>
    <mergeCell ref="N1108:U1108"/>
    <mergeCell ref="N1109:U1109"/>
    <mergeCell ref="N1110:U1110"/>
    <mergeCell ref="N1111:U1111"/>
    <mergeCell ref="N1112:U1112"/>
    <mergeCell ref="N1113:U1113"/>
    <mergeCell ref="N1114:U1114"/>
    <mergeCell ref="N1115:U1115"/>
    <mergeCell ref="N1116:U1116"/>
    <mergeCell ref="N1117:U1117"/>
    <mergeCell ref="N1118:U1118"/>
    <mergeCell ref="N1119:U1119"/>
    <mergeCell ref="N1120:U1120"/>
    <mergeCell ref="N1121:U1121"/>
    <mergeCell ref="N1122:U1122"/>
    <mergeCell ref="N1123:U1123"/>
    <mergeCell ref="N1090:U1090"/>
    <mergeCell ref="N1091:U1091"/>
    <mergeCell ref="N1092:U1092"/>
    <mergeCell ref="N1093:U1093"/>
    <mergeCell ref="N1094:U1094"/>
    <mergeCell ref="N1095:U1095"/>
    <mergeCell ref="N1096:U1096"/>
    <mergeCell ref="N1097:U1097"/>
    <mergeCell ref="N1098:U1098"/>
    <mergeCell ref="N1099:U1099"/>
    <mergeCell ref="N1100:U1100"/>
    <mergeCell ref="N1101:U1101"/>
    <mergeCell ref="N1102:U1102"/>
    <mergeCell ref="N1103:U1103"/>
    <mergeCell ref="N1104:U1104"/>
    <mergeCell ref="N1105:U1105"/>
    <mergeCell ref="N1106:U1106"/>
    <mergeCell ref="N1073:U1073"/>
    <mergeCell ref="N1074:U1074"/>
    <mergeCell ref="N1075:U1075"/>
    <mergeCell ref="N1076:U1076"/>
    <mergeCell ref="N1077:U1077"/>
    <mergeCell ref="N1078:U1078"/>
    <mergeCell ref="N1079:U1079"/>
    <mergeCell ref="N1080:U1080"/>
    <mergeCell ref="N1081:U1081"/>
    <mergeCell ref="N1082:U1082"/>
    <mergeCell ref="N1083:U1083"/>
    <mergeCell ref="N1084:U1084"/>
    <mergeCell ref="N1085:U1085"/>
    <mergeCell ref="N1086:U1086"/>
    <mergeCell ref="N1087:U1087"/>
    <mergeCell ref="N1088:U1088"/>
    <mergeCell ref="N1089:U1089"/>
    <mergeCell ref="N1056:U1056"/>
    <mergeCell ref="N1057:U1057"/>
    <mergeCell ref="N1058:U1058"/>
    <mergeCell ref="N1059:U1059"/>
    <mergeCell ref="N1060:U1060"/>
    <mergeCell ref="N1061:U1061"/>
    <mergeCell ref="N1062:U1062"/>
    <mergeCell ref="N1063:U1063"/>
    <mergeCell ref="N1064:U1064"/>
    <mergeCell ref="N1065:U1065"/>
    <mergeCell ref="N1066:U1066"/>
    <mergeCell ref="N1067:U1067"/>
    <mergeCell ref="N1068:U1068"/>
    <mergeCell ref="N1069:U1069"/>
    <mergeCell ref="N1070:U1070"/>
    <mergeCell ref="N1071:U1071"/>
    <mergeCell ref="N1072:U1072"/>
    <mergeCell ref="N1039:U1039"/>
    <mergeCell ref="N1040:U1040"/>
    <mergeCell ref="N1041:U1041"/>
    <mergeCell ref="N1042:U1042"/>
    <mergeCell ref="N1043:U1043"/>
    <mergeCell ref="N1044:U1044"/>
    <mergeCell ref="N1045:U1045"/>
    <mergeCell ref="N1046:U1046"/>
    <mergeCell ref="N1047:U1047"/>
    <mergeCell ref="N1048:U1048"/>
    <mergeCell ref="N1049:U1049"/>
    <mergeCell ref="N1050:U1050"/>
    <mergeCell ref="N1051:U1051"/>
    <mergeCell ref="N1052:U1052"/>
    <mergeCell ref="N1053:U1053"/>
    <mergeCell ref="N1054:U1054"/>
    <mergeCell ref="N1055:U1055"/>
    <mergeCell ref="N1022:U1022"/>
    <mergeCell ref="N1023:U1023"/>
    <mergeCell ref="N1024:U1024"/>
    <mergeCell ref="N1025:U1025"/>
    <mergeCell ref="N1026:U1026"/>
    <mergeCell ref="N1027:U1027"/>
    <mergeCell ref="N1028:U1028"/>
    <mergeCell ref="N1029:U1029"/>
    <mergeCell ref="N1030:U1030"/>
    <mergeCell ref="N1031:U1031"/>
    <mergeCell ref="N1032:U1032"/>
    <mergeCell ref="N1033:U1033"/>
    <mergeCell ref="N1034:U1034"/>
    <mergeCell ref="N1035:U1035"/>
    <mergeCell ref="N1036:U1036"/>
    <mergeCell ref="N1037:U1037"/>
    <mergeCell ref="N1038:U1038"/>
    <mergeCell ref="N1005:U1005"/>
    <mergeCell ref="N1006:U1006"/>
    <mergeCell ref="N1007:U1007"/>
    <mergeCell ref="N1008:U1008"/>
    <mergeCell ref="N1009:U1009"/>
    <mergeCell ref="N1010:U1010"/>
    <mergeCell ref="N1011:U1011"/>
    <mergeCell ref="N1012:U1012"/>
    <mergeCell ref="N1013:U1013"/>
    <mergeCell ref="N1014:U1014"/>
    <mergeCell ref="N1015:U1015"/>
    <mergeCell ref="N1016:U1016"/>
    <mergeCell ref="N1017:U1017"/>
    <mergeCell ref="N1018:U1018"/>
    <mergeCell ref="N1019:U1019"/>
    <mergeCell ref="N1020:U1020"/>
    <mergeCell ref="N1021:U1021"/>
    <mergeCell ref="N988:U988"/>
    <mergeCell ref="N989:U989"/>
    <mergeCell ref="N990:U990"/>
    <mergeCell ref="N991:U991"/>
    <mergeCell ref="N992:U992"/>
    <mergeCell ref="N993:U993"/>
    <mergeCell ref="N994:U994"/>
    <mergeCell ref="N995:U995"/>
    <mergeCell ref="N996:U996"/>
    <mergeCell ref="N997:U997"/>
    <mergeCell ref="N998:U998"/>
    <mergeCell ref="N999:U999"/>
    <mergeCell ref="N1000:U1000"/>
    <mergeCell ref="N1001:U1001"/>
    <mergeCell ref="N1002:U1002"/>
    <mergeCell ref="N1003:U1003"/>
    <mergeCell ref="N1004:U1004"/>
    <mergeCell ref="N971:U971"/>
    <mergeCell ref="N972:U972"/>
    <mergeCell ref="N973:U973"/>
    <mergeCell ref="N974:U974"/>
    <mergeCell ref="N975:U975"/>
    <mergeCell ref="N976:U976"/>
    <mergeCell ref="N977:U977"/>
    <mergeCell ref="N978:U978"/>
    <mergeCell ref="N979:U979"/>
    <mergeCell ref="N980:U980"/>
    <mergeCell ref="N981:U981"/>
    <mergeCell ref="N982:U982"/>
    <mergeCell ref="N983:U983"/>
    <mergeCell ref="N984:U984"/>
    <mergeCell ref="N985:U985"/>
    <mergeCell ref="N986:U986"/>
    <mergeCell ref="N987:U987"/>
    <mergeCell ref="B985:C985"/>
    <mergeCell ref="D985:E985"/>
    <mergeCell ref="F985:G985"/>
    <mergeCell ref="H985:J985"/>
    <mergeCell ref="K985:M985"/>
    <mergeCell ref="D986:E986"/>
    <mergeCell ref="K986:M986"/>
    <mergeCell ref="B989:C989"/>
    <mergeCell ref="D989:E989"/>
    <mergeCell ref="F989:G989"/>
    <mergeCell ref="H989:J989"/>
    <mergeCell ref="K989:M989"/>
    <mergeCell ref="D993:E993"/>
    <mergeCell ref="F993:G993"/>
    <mergeCell ref="B994:C994"/>
    <mergeCell ref="D994:E994"/>
    <mergeCell ref="F994:G994"/>
    <mergeCell ref="H994:J994"/>
    <mergeCell ref="K994:M994"/>
    <mergeCell ref="H993:J993"/>
    <mergeCell ref="K993:M993"/>
    <mergeCell ref="B991:C991"/>
    <mergeCell ref="B992:C992"/>
    <mergeCell ref="D992:E992"/>
    <mergeCell ref="F992:G992"/>
    <mergeCell ref="H992:J992"/>
    <mergeCell ref="K992:M992"/>
    <mergeCell ref="B993:C993"/>
    <mergeCell ref="F986:G986"/>
    <mergeCell ref="H986:J986"/>
    <mergeCell ref="F981:G981"/>
    <mergeCell ref="H981:J981"/>
    <mergeCell ref="H982:J982"/>
    <mergeCell ref="K982:M982"/>
    <mergeCell ref="H983:J983"/>
    <mergeCell ref="K983:M983"/>
    <mergeCell ref="B980:C980"/>
    <mergeCell ref="D980:E980"/>
    <mergeCell ref="F980:G980"/>
    <mergeCell ref="H980:J980"/>
    <mergeCell ref="K980:M980"/>
    <mergeCell ref="D981:E981"/>
    <mergeCell ref="K981:M981"/>
    <mergeCell ref="B984:C984"/>
    <mergeCell ref="D984:E984"/>
    <mergeCell ref="F984:G984"/>
    <mergeCell ref="H984:J984"/>
    <mergeCell ref="K984:M984"/>
    <mergeCell ref="B981:C981"/>
    <mergeCell ref="B982:C982"/>
    <mergeCell ref="D982:E982"/>
    <mergeCell ref="F982:G982"/>
    <mergeCell ref="B983:C983"/>
    <mergeCell ref="D983:E983"/>
    <mergeCell ref="F983:G983"/>
    <mergeCell ref="H987:J987"/>
    <mergeCell ref="K987:M987"/>
    <mergeCell ref="H988:J988"/>
    <mergeCell ref="K988:M988"/>
    <mergeCell ref="B986:C986"/>
    <mergeCell ref="B987:C987"/>
    <mergeCell ref="D987:E987"/>
    <mergeCell ref="F987:G987"/>
    <mergeCell ref="B988:C988"/>
    <mergeCell ref="D988:E988"/>
    <mergeCell ref="F988:G988"/>
    <mergeCell ref="F991:G991"/>
    <mergeCell ref="H991:J991"/>
    <mergeCell ref="B990:C990"/>
    <mergeCell ref="D990:E990"/>
    <mergeCell ref="F990:G990"/>
    <mergeCell ref="H990:J990"/>
    <mergeCell ref="K990:M990"/>
    <mergeCell ref="D991:E991"/>
    <mergeCell ref="K991:M991"/>
    <mergeCell ref="B970:C970"/>
    <mergeCell ref="D970:E970"/>
    <mergeCell ref="F970:G970"/>
    <mergeCell ref="H970:J970"/>
    <mergeCell ref="K970:M970"/>
    <mergeCell ref="D971:E971"/>
    <mergeCell ref="K971:M971"/>
    <mergeCell ref="B974:C974"/>
    <mergeCell ref="D974:E974"/>
    <mergeCell ref="F974:G974"/>
    <mergeCell ref="H974:J974"/>
    <mergeCell ref="K974:M974"/>
    <mergeCell ref="D978:E978"/>
    <mergeCell ref="F978:G978"/>
    <mergeCell ref="B979:C979"/>
    <mergeCell ref="D979:E979"/>
    <mergeCell ref="F979:G979"/>
    <mergeCell ref="H979:J979"/>
    <mergeCell ref="K979:M979"/>
    <mergeCell ref="H978:J978"/>
    <mergeCell ref="K978:M978"/>
    <mergeCell ref="B976:C976"/>
    <mergeCell ref="B977:C977"/>
    <mergeCell ref="D977:E977"/>
    <mergeCell ref="F977:G977"/>
    <mergeCell ref="H977:J977"/>
    <mergeCell ref="K977:M977"/>
    <mergeCell ref="B978:C978"/>
    <mergeCell ref="F976:G976"/>
    <mergeCell ref="H976:J976"/>
    <mergeCell ref="F966:G966"/>
    <mergeCell ref="H966:J966"/>
    <mergeCell ref="H967:J967"/>
    <mergeCell ref="K967:M967"/>
    <mergeCell ref="H968:J968"/>
    <mergeCell ref="K968:M968"/>
    <mergeCell ref="B965:C965"/>
    <mergeCell ref="D965:E965"/>
    <mergeCell ref="F965:G965"/>
    <mergeCell ref="H965:J965"/>
    <mergeCell ref="K965:M965"/>
    <mergeCell ref="D966:E966"/>
    <mergeCell ref="K966:M966"/>
    <mergeCell ref="B969:C969"/>
    <mergeCell ref="D969:E969"/>
    <mergeCell ref="F969:G969"/>
    <mergeCell ref="H969:J969"/>
    <mergeCell ref="K969:M969"/>
    <mergeCell ref="B966:C966"/>
    <mergeCell ref="B967:C967"/>
    <mergeCell ref="D967:E967"/>
    <mergeCell ref="F967:G967"/>
    <mergeCell ref="B968:C968"/>
    <mergeCell ref="D968:E968"/>
    <mergeCell ref="F968:G968"/>
    <mergeCell ref="B975:C975"/>
    <mergeCell ref="D975:E975"/>
    <mergeCell ref="F975:G975"/>
    <mergeCell ref="H975:J975"/>
    <mergeCell ref="K975:M975"/>
    <mergeCell ref="D976:E976"/>
    <mergeCell ref="K976:M976"/>
    <mergeCell ref="F971:G971"/>
    <mergeCell ref="H971:J971"/>
    <mergeCell ref="H972:J972"/>
    <mergeCell ref="K972:M972"/>
    <mergeCell ref="H973:J973"/>
    <mergeCell ref="K973:M973"/>
    <mergeCell ref="B971:C971"/>
    <mergeCell ref="B972:C972"/>
    <mergeCell ref="D972:E972"/>
    <mergeCell ref="F972:G972"/>
    <mergeCell ref="B973:C973"/>
    <mergeCell ref="D973:E973"/>
    <mergeCell ref="F973:G973"/>
    <mergeCell ref="B955:C955"/>
    <mergeCell ref="D955:E955"/>
    <mergeCell ref="F955:G955"/>
    <mergeCell ref="H955:J955"/>
    <mergeCell ref="K955:M955"/>
    <mergeCell ref="D956:E956"/>
    <mergeCell ref="K956:M956"/>
    <mergeCell ref="B959:C959"/>
    <mergeCell ref="D959:E959"/>
    <mergeCell ref="F959:G959"/>
    <mergeCell ref="H959:J959"/>
    <mergeCell ref="K959:M959"/>
    <mergeCell ref="D963:E963"/>
    <mergeCell ref="F963:G963"/>
    <mergeCell ref="B964:C964"/>
    <mergeCell ref="D964:E964"/>
    <mergeCell ref="F964:G964"/>
    <mergeCell ref="H964:J964"/>
    <mergeCell ref="K964:M964"/>
    <mergeCell ref="H963:J963"/>
    <mergeCell ref="K963:M963"/>
    <mergeCell ref="B961:C961"/>
    <mergeCell ref="B962:C962"/>
    <mergeCell ref="D962:E962"/>
    <mergeCell ref="F962:G962"/>
    <mergeCell ref="H962:J962"/>
    <mergeCell ref="K962:M962"/>
    <mergeCell ref="B963:C963"/>
    <mergeCell ref="F956:G956"/>
    <mergeCell ref="H956:J956"/>
    <mergeCell ref="F951:G951"/>
    <mergeCell ref="H951:J951"/>
    <mergeCell ref="H952:J952"/>
    <mergeCell ref="K952:M952"/>
    <mergeCell ref="H953:J953"/>
    <mergeCell ref="K953:M953"/>
    <mergeCell ref="B950:C950"/>
    <mergeCell ref="D950:E950"/>
    <mergeCell ref="F950:G950"/>
    <mergeCell ref="H950:J950"/>
    <mergeCell ref="K950:M950"/>
    <mergeCell ref="D951:E951"/>
    <mergeCell ref="K951:M951"/>
    <mergeCell ref="B954:C954"/>
    <mergeCell ref="D954:E954"/>
    <mergeCell ref="F954:G954"/>
    <mergeCell ref="H954:J954"/>
    <mergeCell ref="K954:M954"/>
    <mergeCell ref="B951:C951"/>
    <mergeCell ref="B952:C952"/>
    <mergeCell ref="D952:E952"/>
    <mergeCell ref="F952:G952"/>
    <mergeCell ref="B953:C953"/>
    <mergeCell ref="D953:E953"/>
    <mergeCell ref="F953:G953"/>
    <mergeCell ref="H957:J957"/>
    <mergeCell ref="K957:M957"/>
    <mergeCell ref="H958:J958"/>
    <mergeCell ref="K958:M958"/>
    <mergeCell ref="B956:C956"/>
    <mergeCell ref="B957:C957"/>
    <mergeCell ref="D957:E957"/>
    <mergeCell ref="F957:G957"/>
    <mergeCell ref="B958:C958"/>
    <mergeCell ref="D958:E958"/>
    <mergeCell ref="F958:G958"/>
    <mergeCell ref="F961:G961"/>
    <mergeCell ref="H961:J961"/>
    <mergeCell ref="B960:C960"/>
    <mergeCell ref="D960:E960"/>
    <mergeCell ref="F960:G960"/>
    <mergeCell ref="H960:J960"/>
    <mergeCell ref="K960:M960"/>
    <mergeCell ref="D961:E961"/>
    <mergeCell ref="K961:M961"/>
    <mergeCell ref="D948:E948"/>
    <mergeCell ref="F948:G948"/>
    <mergeCell ref="B949:C949"/>
    <mergeCell ref="D949:E949"/>
    <mergeCell ref="F949:G949"/>
    <mergeCell ref="H949:J949"/>
    <mergeCell ref="K949:M949"/>
    <mergeCell ref="H943:J943"/>
    <mergeCell ref="K943:M943"/>
    <mergeCell ref="B943:C943"/>
    <mergeCell ref="D943:E943"/>
    <mergeCell ref="F943:G943"/>
    <mergeCell ref="F946:G946"/>
    <mergeCell ref="H946:J946"/>
    <mergeCell ref="B945:C945"/>
    <mergeCell ref="D945:E945"/>
    <mergeCell ref="F945:G945"/>
    <mergeCell ref="H945:J945"/>
    <mergeCell ref="H948:J948"/>
    <mergeCell ref="K948:M948"/>
    <mergeCell ref="B946:C946"/>
    <mergeCell ref="B947:C947"/>
    <mergeCell ref="D947:E947"/>
    <mergeCell ref="F947:G947"/>
    <mergeCell ref="H947:J947"/>
    <mergeCell ref="K947:M947"/>
    <mergeCell ref="B948:C948"/>
    <mergeCell ref="F936:G936"/>
    <mergeCell ref="H936:J936"/>
    <mergeCell ref="H937:J937"/>
    <mergeCell ref="K937:M937"/>
    <mergeCell ref="H938:J938"/>
    <mergeCell ref="K938:M938"/>
    <mergeCell ref="B935:C935"/>
    <mergeCell ref="D935:E935"/>
    <mergeCell ref="F935:G935"/>
    <mergeCell ref="H935:J935"/>
    <mergeCell ref="K935:M935"/>
    <mergeCell ref="D936:E936"/>
    <mergeCell ref="K936:M936"/>
    <mergeCell ref="B939:C939"/>
    <mergeCell ref="D939:E939"/>
    <mergeCell ref="F939:G939"/>
    <mergeCell ref="H939:J939"/>
    <mergeCell ref="K939:M939"/>
    <mergeCell ref="B936:C936"/>
    <mergeCell ref="B937:C937"/>
    <mergeCell ref="D937:E937"/>
    <mergeCell ref="F937:G937"/>
    <mergeCell ref="B938:C938"/>
    <mergeCell ref="D941:E941"/>
    <mergeCell ref="K941:M941"/>
    <mergeCell ref="B944:C944"/>
    <mergeCell ref="D944:E944"/>
    <mergeCell ref="F944:G944"/>
    <mergeCell ref="H944:J944"/>
    <mergeCell ref="K944:M944"/>
    <mergeCell ref="N908:U908"/>
    <mergeCell ref="B909:C909"/>
    <mergeCell ref="N909:U909"/>
    <mergeCell ref="F927:G927"/>
    <mergeCell ref="H927:J927"/>
    <mergeCell ref="H928:J928"/>
    <mergeCell ref="K928:M928"/>
    <mergeCell ref="H929:J929"/>
    <mergeCell ref="K929:M929"/>
    <mergeCell ref="B927:C927"/>
    <mergeCell ref="B928:C928"/>
    <mergeCell ref="D928:E928"/>
    <mergeCell ref="F928:G928"/>
    <mergeCell ref="B929:C929"/>
    <mergeCell ref="D929:E929"/>
    <mergeCell ref="F929:G929"/>
    <mergeCell ref="K917:M917"/>
    <mergeCell ref="H918:J918"/>
    <mergeCell ref="K918:M918"/>
    <mergeCell ref="N918:U918"/>
    <mergeCell ref="B916:C916"/>
    <mergeCell ref="D916:E916"/>
    <mergeCell ref="F916:G916"/>
    <mergeCell ref="H916:J916"/>
    <mergeCell ref="K916:M916"/>
    <mergeCell ref="N916:U916"/>
    <mergeCell ref="B926:C926"/>
    <mergeCell ref="D925:E925"/>
    <mergeCell ref="F925:G925"/>
    <mergeCell ref="B917:C917"/>
    <mergeCell ref="N917:U917"/>
    <mergeCell ref="F919:G919"/>
    <mergeCell ref="N904:U904"/>
    <mergeCell ref="B905:C905"/>
    <mergeCell ref="N905:U905"/>
    <mergeCell ref="D905:E905"/>
    <mergeCell ref="F905:G905"/>
    <mergeCell ref="D906:E906"/>
    <mergeCell ref="F906:G906"/>
    <mergeCell ref="H906:J906"/>
    <mergeCell ref="K906:M906"/>
    <mergeCell ref="N906:U906"/>
    <mergeCell ref="B906:C906"/>
    <mergeCell ref="B907:C907"/>
    <mergeCell ref="D907:E907"/>
    <mergeCell ref="F907:G907"/>
    <mergeCell ref="H907:J907"/>
    <mergeCell ref="K907:M907"/>
    <mergeCell ref="N907:U907"/>
    <mergeCell ref="N900:U900"/>
    <mergeCell ref="B901:C901"/>
    <mergeCell ref="N901:U901"/>
    <mergeCell ref="D901:E901"/>
    <mergeCell ref="F901:G901"/>
    <mergeCell ref="D902:E902"/>
    <mergeCell ref="F902:G902"/>
    <mergeCell ref="H902:J902"/>
    <mergeCell ref="K902:M902"/>
    <mergeCell ref="N902:U902"/>
    <mergeCell ref="B902:C902"/>
    <mergeCell ref="B903:C903"/>
    <mergeCell ref="D903:E903"/>
    <mergeCell ref="F903:G903"/>
    <mergeCell ref="H903:J903"/>
    <mergeCell ref="K903:M903"/>
    <mergeCell ref="N903:U903"/>
    <mergeCell ref="D913:E913"/>
    <mergeCell ref="F913:G913"/>
    <mergeCell ref="N913:U913"/>
    <mergeCell ref="D897:E897"/>
    <mergeCell ref="F897:G897"/>
    <mergeCell ref="D898:E898"/>
    <mergeCell ref="F898:G898"/>
    <mergeCell ref="H898:J898"/>
    <mergeCell ref="K898:M898"/>
    <mergeCell ref="N898:U898"/>
    <mergeCell ref="B898:C898"/>
    <mergeCell ref="B899:C899"/>
    <mergeCell ref="D899:E899"/>
    <mergeCell ref="F899:G899"/>
    <mergeCell ref="H899:J899"/>
    <mergeCell ref="K899:M899"/>
    <mergeCell ref="N899:U899"/>
    <mergeCell ref="H901:J901"/>
    <mergeCell ref="K901:M901"/>
    <mergeCell ref="B900:C900"/>
    <mergeCell ref="D900:E900"/>
    <mergeCell ref="F900:G900"/>
    <mergeCell ref="H900:J900"/>
    <mergeCell ref="K900:M900"/>
    <mergeCell ref="N910:U910"/>
    <mergeCell ref="B910:C910"/>
    <mergeCell ref="B911:C911"/>
    <mergeCell ref="D911:E911"/>
    <mergeCell ref="F911:G911"/>
    <mergeCell ref="H911:J911"/>
    <mergeCell ref="K911:M911"/>
    <mergeCell ref="N911:U911"/>
    <mergeCell ref="H883:J883"/>
    <mergeCell ref="K883:M883"/>
    <mergeCell ref="H884:J884"/>
    <mergeCell ref="K884:M884"/>
    <mergeCell ref="N884:U884"/>
    <mergeCell ref="B882:C882"/>
    <mergeCell ref="D882:E882"/>
    <mergeCell ref="F882:G882"/>
    <mergeCell ref="H882:J882"/>
    <mergeCell ref="K882:M882"/>
    <mergeCell ref="N882:U882"/>
    <mergeCell ref="B883:C883"/>
    <mergeCell ref="N883:U883"/>
    <mergeCell ref="F885:G885"/>
    <mergeCell ref="H885:J885"/>
    <mergeCell ref="K885:M885"/>
    <mergeCell ref="N885:U885"/>
    <mergeCell ref="B886:C886"/>
    <mergeCell ref="D886:E886"/>
    <mergeCell ref="F886:G886"/>
    <mergeCell ref="H886:J886"/>
    <mergeCell ref="K886:M886"/>
    <mergeCell ref="N886:U886"/>
    <mergeCell ref="B887:C887"/>
    <mergeCell ref="H829:J829"/>
    <mergeCell ref="K829:M829"/>
    <mergeCell ref="D830:E830"/>
    <mergeCell ref="K830:M830"/>
    <mergeCell ref="F835:G835"/>
    <mergeCell ref="H835:J835"/>
    <mergeCell ref="B834:C834"/>
    <mergeCell ref="D834:E834"/>
    <mergeCell ref="F834:G834"/>
    <mergeCell ref="H834:J834"/>
    <mergeCell ref="K834:M834"/>
    <mergeCell ref="B835:C835"/>
    <mergeCell ref="D835:E835"/>
    <mergeCell ref="K835:M835"/>
    <mergeCell ref="B833:C833"/>
    <mergeCell ref="D833:E833"/>
    <mergeCell ref="F833:G833"/>
    <mergeCell ref="H833:J833"/>
    <mergeCell ref="K833:M833"/>
    <mergeCell ref="H832:J832"/>
    <mergeCell ref="K832:M832"/>
    <mergeCell ref="N835:U835"/>
    <mergeCell ref="B830:C830"/>
    <mergeCell ref="B831:C831"/>
    <mergeCell ref="D831:E831"/>
    <mergeCell ref="D909:E909"/>
    <mergeCell ref="F909:G909"/>
    <mergeCell ref="D910:E910"/>
    <mergeCell ref="F910:G910"/>
    <mergeCell ref="H910:J910"/>
    <mergeCell ref="K910:M910"/>
    <mergeCell ref="D887:E887"/>
    <mergeCell ref="F887:G887"/>
    <mergeCell ref="H887:J887"/>
    <mergeCell ref="K887:M887"/>
    <mergeCell ref="H905:J905"/>
    <mergeCell ref="K905:M905"/>
    <mergeCell ref="B904:C904"/>
    <mergeCell ref="D904:E904"/>
    <mergeCell ref="F904:G904"/>
    <mergeCell ref="H904:J904"/>
    <mergeCell ref="K904:M904"/>
    <mergeCell ref="H909:J909"/>
    <mergeCell ref="K909:M909"/>
    <mergeCell ref="B908:C908"/>
    <mergeCell ref="D908:E908"/>
    <mergeCell ref="F908:G908"/>
    <mergeCell ref="H908:J908"/>
    <mergeCell ref="K908:M908"/>
    <mergeCell ref="D890:E890"/>
    <mergeCell ref="F890:G890"/>
    <mergeCell ref="H890:J890"/>
    <mergeCell ref="K890:M890"/>
    <mergeCell ref="H809:J809"/>
    <mergeCell ref="K809:M809"/>
    <mergeCell ref="D810:E810"/>
    <mergeCell ref="K810:M810"/>
    <mergeCell ref="B813:C813"/>
    <mergeCell ref="D813:E813"/>
    <mergeCell ref="F813:G813"/>
    <mergeCell ref="H813:J813"/>
    <mergeCell ref="K813:M813"/>
    <mergeCell ref="D817:E817"/>
    <mergeCell ref="F817:G817"/>
    <mergeCell ref="B818:C818"/>
    <mergeCell ref="D818:E818"/>
    <mergeCell ref="F818:G818"/>
    <mergeCell ref="H818:J818"/>
    <mergeCell ref="K818:M818"/>
    <mergeCell ref="F825:G825"/>
    <mergeCell ref="H825:J825"/>
    <mergeCell ref="B825:C825"/>
    <mergeCell ref="F816:G816"/>
    <mergeCell ref="H816:J816"/>
    <mergeCell ref="K816:M816"/>
    <mergeCell ref="B817:C817"/>
    <mergeCell ref="B809:C809"/>
    <mergeCell ref="D809:E809"/>
    <mergeCell ref="F809:G809"/>
    <mergeCell ref="F810:G810"/>
    <mergeCell ref="H810:J810"/>
    <mergeCell ref="H811:J811"/>
    <mergeCell ref="K811:M811"/>
    <mergeCell ref="H812:J812"/>
    <mergeCell ref="K812:M812"/>
    <mergeCell ref="F805:G805"/>
    <mergeCell ref="H805:J805"/>
    <mergeCell ref="H806:J806"/>
    <mergeCell ref="K806:M806"/>
    <mergeCell ref="H807:J807"/>
    <mergeCell ref="K807:M807"/>
    <mergeCell ref="B804:C804"/>
    <mergeCell ref="D804:E804"/>
    <mergeCell ref="F804:G804"/>
    <mergeCell ref="H804:J804"/>
    <mergeCell ref="K804:M804"/>
    <mergeCell ref="D805:E805"/>
    <mergeCell ref="K805:M805"/>
    <mergeCell ref="B808:C808"/>
    <mergeCell ref="D808:E808"/>
    <mergeCell ref="F808:G808"/>
    <mergeCell ref="H808:J808"/>
    <mergeCell ref="K808:M808"/>
    <mergeCell ref="B805:C805"/>
    <mergeCell ref="B806:C806"/>
    <mergeCell ref="D806:E806"/>
    <mergeCell ref="F806:G806"/>
    <mergeCell ref="B807:C807"/>
    <mergeCell ref="D807:E807"/>
    <mergeCell ref="F807:G807"/>
    <mergeCell ref="B810:C810"/>
    <mergeCell ref="B811:C811"/>
    <mergeCell ref="D811:E811"/>
    <mergeCell ref="F811:G811"/>
    <mergeCell ref="B812:C812"/>
    <mergeCell ref="D812:E812"/>
    <mergeCell ref="F812:G812"/>
    <mergeCell ref="F815:G815"/>
    <mergeCell ref="H815:J815"/>
    <mergeCell ref="B814:C814"/>
    <mergeCell ref="D814:E814"/>
    <mergeCell ref="F814:G814"/>
    <mergeCell ref="H814:J814"/>
    <mergeCell ref="K814:M814"/>
    <mergeCell ref="D815:E815"/>
    <mergeCell ref="K815:M815"/>
    <mergeCell ref="H817:J817"/>
    <mergeCell ref="K817:M817"/>
    <mergeCell ref="B815:C815"/>
    <mergeCell ref="B816:C816"/>
    <mergeCell ref="D816:E816"/>
    <mergeCell ref="B824:C824"/>
    <mergeCell ref="D824:E824"/>
    <mergeCell ref="F824:G824"/>
    <mergeCell ref="H824:J824"/>
    <mergeCell ref="K824:M824"/>
    <mergeCell ref="D825:E825"/>
    <mergeCell ref="K825:M825"/>
    <mergeCell ref="B828:C828"/>
    <mergeCell ref="D828:E828"/>
    <mergeCell ref="F828:G828"/>
    <mergeCell ref="H828:J828"/>
    <mergeCell ref="K828:M828"/>
    <mergeCell ref="D832:E832"/>
    <mergeCell ref="F832:G832"/>
    <mergeCell ref="H826:J826"/>
    <mergeCell ref="K826:M826"/>
    <mergeCell ref="H827:J827"/>
    <mergeCell ref="K827:M827"/>
    <mergeCell ref="B826:C826"/>
    <mergeCell ref="D826:E826"/>
    <mergeCell ref="F826:G826"/>
    <mergeCell ref="B827:C827"/>
    <mergeCell ref="D827:E827"/>
    <mergeCell ref="F827:G827"/>
    <mergeCell ref="F830:G830"/>
    <mergeCell ref="H830:J830"/>
    <mergeCell ref="B829:C829"/>
    <mergeCell ref="D829:E829"/>
    <mergeCell ref="F829:G829"/>
    <mergeCell ref="F820:G820"/>
    <mergeCell ref="H820:J820"/>
    <mergeCell ref="H821:J821"/>
    <mergeCell ref="K821:M821"/>
    <mergeCell ref="H822:J822"/>
    <mergeCell ref="K822:M822"/>
    <mergeCell ref="B819:C819"/>
    <mergeCell ref="D819:E819"/>
    <mergeCell ref="F819:G819"/>
    <mergeCell ref="H819:J819"/>
    <mergeCell ref="K819:M819"/>
    <mergeCell ref="D820:E820"/>
    <mergeCell ref="K820:M820"/>
    <mergeCell ref="B823:C823"/>
    <mergeCell ref="D823:E823"/>
    <mergeCell ref="F823:G823"/>
    <mergeCell ref="H823:J823"/>
    <mergeCell ref="K823:M823"/>
    <mergeCell ref="B820:C820"/>
    <mergeCell ref="B821:C821"/>
    <mergeCell ref="D821:E821"/>
    <mergeCell ref="F821:G821"/>
    <mergeCell ref="B822:C822"/>
    <mergeCell ref="D822:E822"/>
    <mergeCell ref="F822:G822"/>
    <mergeCell ref="D767:E767"/>
    <mergeCell ref="F767:G767"/>
    <mergeCell ref="F770:G770"/>
    <mergeCell ref="H770:J770"/>
    <mergeCell ref="B769:C769"/>
    <mergeCell ref="D769:E769"/>
    <mergeCell ref="F769:G769"/>
    <mergeCell ref="H769:J769"/>
    <mergeCell ref="K769:M769"/>
    <mergeCell ref="D770:E770"/>
    <mergeCell ref="K770:M770"/>
    <mergeCell ref="F785:G785"/>
    <mergeCell ref="H785:J785"/>
    <mergeCell ref="B784:C784"/>
    <mergeCell ref="D784:E784"/>
    <mergeCell ref="F784:G784"/>
    <mergeCell ref="H784:J784"/>
    <mergeCell ref="K784:M784"/>
    <mergeCell ref="D785:E785"/>
    <mergeCell ref="K785:M785"/>
    <mergeCell ref="F780:G780"/>
    <mergeCell ref="H780:J780"/>
    <mergeCell ref="H781:J781"/>
    <mergeCell ref="K781:M781"/>
    <mergeCell ref="H782:J782"/>
    <mergeCell ref="K782:M782"/>
    <mergeCell ref="B780:C780"/>
    <mergeCell ref="B781:C781"/>
    <mergeCell ref="D781:E781"/>
    <mergeCell ref="F781:G781"/>
    <mergeCell ref="B782:C782"/>
    <mergeCell ref="D782:E782"/>
    <mergeCell ref="B749:C749"/>
    <mergeCell ref="D749:E749"/>
    <mergeCell ref="F749:G749"/>
    <mergeCell ref="H749:J749"/>
    <mergeCell ref="K749:M749"/>
    <mergeCell ref="D750:E750"/>
    <mergeCell ref="K750:M750"/>
    <mergeCell ref="B753:C753"/>
    <mergeCell ref="D753:E753"/>
    <mergeCell ref="F753:G753"/>
    <mergeCell ref="H753:J753"/>
    <mergeCell ref="K753:M753"/>
    <mergeCell ref="D757:E757"/>
    <mergeCell ref="F757:G757"/>
    <mergeCell ref="B758:C758"/>
    <mergeCell ref="D758:E758"/>
    <mergeCell ref="F758:G758"/>
    <mergeCell ref="H758:J758"/>
    <mergeCell ref="K758:M758"/>
    <mergeCell ref="H757:J757"/>
    <mergeCell ref="K757:M757"/>
    <mergeCell ref="B755:C755"/>
    <mergeCell ref="B756:C756"/>
    <mergeCell ref="D756:E756"/>
    <mergeCell ref="F756:G756"/>
    <mergeCell ref="H756:J756"/>
    <mergeCell ref="K756:M756"/>
    <mergeCell ref="B757:C757"/>
    <mergeCell ref="F750:G750"/>
    <mergeCell ref="H750:J750"/>
    <mergeCell ref="F745:G745"/>
    <mergeCell ref="H745:J745"/>
    <mergeCell ref="H746:J746"/>
    <mergeCell ref="K746:M746"/>
    <mergeCell ref="H747:J747"/>
    <mergeCell ref="K747:M747"/>
    <mergeCell ref="B744:C744"/>
    <mergeCell ref="D744:E744"/>
    <mergeCell ref="F744:G744"/>
    <mergeCell ref="H744:J744"/>
    <mergeCell ref="K744:M744"/>
    <mergeCell ref="D745:E745"/>
    <mergeCell ref="K745:M745"/>
    <mergeCell ref="B748:C748"/>
    <mergeCell ref="D748:E748"/>
    <mergeCell ref="F748:G748"/>
    <mergeCell ref="H748:J748"/>
    <mergeCell ref="K748:M748"/>
    <mergeCell ref="B745:C745"/>
    <mergeCell ref="B746:C746"/>
    <mergeCell ref="D746:E746"/>
    <mergeCell ref="F746:G746"/>
    <mergeCell ref="B747:C747"/>
    <mergeCell ref="D747:E747"/>
    <mergeCell ref="F747:G747"/>
    <mergeCell ref="H751:J751"/>
    <mergeCell ref="K751:M751"/>
    <mergeCell ref="H752:J752"/>
    <mergeCell ref="K752:M752"/>
    <mergeCell ref="B750:C750"/>
    <mergeCell ref="B751:C751"/>
    <mergeCell ref="D751:E751"/>
    <mergeCell ref="F751:G751"/>
    <mergeCell ref="B752:C752"/>
    <mergeCell ref="D752:E752"/>
    <mergeCell ref="F752:G752"/>
    <mergeCell ref="F755:G755"/>
    <mergeCell ref="H755:J755"/>
    <mergeCell ref="B754:C754"/>
    <mergeCell ref="D754:E754"/>
    <mergeCell ref="F754:G754"/>
    <mergeCell ref="H754:J754"/>
    <mergeCell ref="K754:M754"/>
    <mergeCell ref="D755:E755"/>
    <mergeCell ref="K755:M755"/>
    <mergeCell ref="D762:E762"/>
    <mergeCell ref="F762:G762"/>
    <mergeCell ref="B764:C764"/>
    <mergeCell ref="D764:E764"/>
    <mergeCell ref="F764:G764"/>
    <mergeCell ref="H764:J764"/>
    <mergeCell ref="K764:M764"/>
    <mergeCell ref="D765:E765"/>
    <mergeCell ref="K765:M765"/>
    <mergeCell ref="B768:C768"/>
    <mergeCell ref="D768:E768"/>
    <mergeCell ref="F768:G768"/>
    <mergeCell ref="H768:J768"/>
    <mergeCell ref="K768:M768"/>
    <mergeCell ref="D772:E772"/>
    <mergeCell ref="F772:G772"/>
    <mergeCell ref="B773:C773"/>
    <mergeCell ref="D773:E773"/>
    <mergeCell ref="F773:G773"/>
    <mergeCell ref="H773:J773"/>
    <mergeCell ref="K773:M773"/>
    <mergeCell ref="F765:G765"/>
    <mergeCell ref="H765:J765"/>
    <mergeCell ref="H766:J766"/>
    <mergeCell ref="K766:M766"/>
    <mergeCell ref="H767:J767"/>
    <mergeCell ref="K767:M767"/>
    <mergeCell ref="B765:C765"/>
    <mergeCell ref="B766:C766"/>
    <mergeCell ref="D766:E766"/>
    <mergeCell ref="F766:G766"/>
    <mergeCell ref="B767:C767"/>
    <mergeCell ref="H772:J772"/>
    <mergeCell ref="K772:M772"/>
    <mergeCell ref="B770:C770"/>
    <mergeCell ref="B771:C771"/>
    <mergeCell ref="D771:E771"/>
    <mergeCell ref="F771:G771"/>
    <mergeCell ref="H771:J771"/>
    <mergeCell ref="K771:M771"/>
    <mergeCell ref="B772:C772"/>
    <mergeCell ref="F760:G760"/>
    <mergeCell ref="H760:J760"/>
    <mergeCell ref="H761:J761"/>
    <mergeCell ref="K761:M761"/>
    <mergeCell ref="H762:J762"/>
    <mergeCell ref="K762:M762"/>
    <mergeCell ref="B759:C759"/>
    <mergeCell ref="D759:E759"/>
    <mergeCell ref="F759:G759"/>
    <mergeCell ref="H759:J759"/>
    <mergeCell ref="K759:M759"/>
    <mergeCell ref="D760:E760"/>
    <mergeCell ref="K760:M760"/>
    <mergeCell ref="B763:C763"/>
    <mergeCell ref="D763:E763"/>
    <mergeCell ref="F763:G763"/>
    <mergeCell ref="H763:J763"/>
    <mergeCell ref="K763:M763"/>
    <mergeCell ref="B760:C760"/>
    <mergeCell ref="B761:C761"/>
    <mergeCell ref="D761:E761"/>
    <mergeCell ref="F761:G761"/>
    <mergeCell ref="B762:C762"/>
    <mergeCell ref="B614:C614"/>
    <mergeCell ref="D614:E614"/>
    <mergeCell ref="F614:G614"/>
    <mergeCell ref="H614:J614"/>
    <mergeCell ref="K614:M614"/>
    <mergeCell ref="D615:E615"/>
    <mergeCell ref="K615:M615"/>
    <mergeCell ref="B618:C618"/>
    <mergeCell ref="D618:E618"/>
    <mergeCell ref="F618:G618"/>
    <mergeCell ref="H618:J618"/>
    <mergeCell ref="K618:M618"/>
    <mergeCell ref="D622:E622"/>
    <mergeCell ref="F622:G622"/>
    <mergeCell ref="B623:C623"/>
    <mergeCell ref="D623:E623"/>
    <mergeCell ref="F623:G623"/>
    <mergeCell ref="H623:J623"/>
    <mergeCell ref="K623:M623"/>
    <mergeCell ref="H622:J622"/>
    <mergeCell ref="K622:M622"/>
    <mergeCell ref="B620:C620"/>
    <mergeCell ref="B621:C621"/>
    <mergeCell ref="D621:E621"/>
    <mergeCell ref="F621:G621"/>
    <mergeCell ref="H621:J621"/>
    <mergeCell ref="K621:M621"/>
    <mergeCell ref="B622:C622"/>
    <mergeCell ref="F615:G615"/>
    <mergeCell ref="H615:J615"/>
    <mergeCell ref="F610:G610"/>
    <mergeCell ref="H610:J610"/>
    <mergeCell ref="H611:J611"/>
    <mergeCell ref="K611:M611"/>
    <mergeCell ref="H612:J612"/>
    <mergeCell ref="K612:M612"/>
    <mergeCell ref="B609:C609"/>
    <mergeCell ref="D609:E609"/>
    <mergeCell ref="F609:G609"/>
    <mergeCell ref="H609:J609"/>
    <mergeCell ref="K609:M609"/>
    <mergeCell ref="D610:E610"/>
    <mergeCell ref="K610:M610"/>
    <mergeCell ref="B613:C613"/>
    <mergeCell ref="D613:E613"/>
    <mergeCell ref="F613:G613"/>
    <mergeCell ref="H613:J613"/>
    <mergeCell ref="K613:M613"/>
    <mergeCell ref="B610:C610"/>
    <mergeCell ref="B611:C611"/>
    <mergeCell ref="D611:E611"/>
    <mergeCell ref="F611:G611"/>
    <mergeCell ref="B612:C612"/>
    <mergeCell ref="D612:E612"/>
    <mergeCell ref="F612:G612"/>
    <mergeCell ref="H616:J616"/>
    <mergeCell ref="K616:M616"/>
    <mergeCell ref="H617:J617"/>
    <mergeCell ref="K617:M617"/>
    <mergeCell ref="B615:C615"/>
    <mergeCell ref="B616:C616"/>
    <mergeCell ref="D616:E616"/>
    <mergeCell ref="F616:G616"/>
    <mergeCell ref="B617:C617"/>
    <mergeCell ref="D617:E617"/>
    <mergeCell ref="F617:G617"/>
    <mergeCell ref="F620:G620"/>
    <mergeCell ref="H620:J620"/>
    <mergeCell ref="B619:C619"/>
    <mergeCell ref="D619:E619"/>
    <mergeCell ref="F619:G619"/>
    <mergeCell ref="H619:J619"/>
    <mergeCell ref="K619:M619"/>
    <mergeCell ref="D620:E620"/>
    <mergeCell ref="K620:M620"/>
    <mergeCell ref="B599:C599"/>
    <mergeCell ref="D599:E599"/>
    <mergeCell ref="F599:G599"/>
    <mergeCell ref="H599:J599"/>
    <mergeCell ref="K599:M599"/>
    <mergeCell ref="D600:E600"/>
    <mergeCell ref="K600:M600"/>
    <mergeCell ref="B603:C603"/>
    <mergeCell ref="D603:E603"/>
    <mergeCell ref="F603:G603"/>
    <mergeCell ref="H603:J603"/>
    <mergeCell ref="K603:M603"/>
    <mergeCell ref="D607:E607"/>
    <mergeCell ref="F607:G607"/>
    <mergeCell ref="B608:C608"/>
    <mergeCell ref="D608:E608"/>
    <mergeCell ref="F608:G608"/>
    <mergeCell ref="H608:J608"/>
    <mergeCell ref="K608:M608"/>
    <mergeCell ref="H607:J607"/>
    <mergeCell ref="K607:M607"/>
    <mergeCell ref="B605:C605"/>
    <mergeCell ref="B606:C606"/>
    <mergeCell ref="D606:E606"/>
    <mergeCell ref="F606:G606"/>
    <mergeCell ref="H606:J606"/>
    <mergeCell ref="K606:M606"/>
    <mergeCell ref="B607:C607"/>
    <mergeCell ref="F595:G595"/>
    <mergeCell ref="H595:J595"/>
    <mergeCell ref="H596:J596"/>
    <mergeCell ref="K596:M596"/>
    <mergeCell ref="H597:J597"/>
    <mergeCell ref="K597:M597"/>
    <mergeCell ref="B594:C594"/>
    <mergeCell ref="D594:E594"/>
    <mergeCell ref="F594:G594"/>
    <mergeCell ref="H594:J594"/>
    <mergeCell ref="K594:M594"/>
    <mergeCell ref="D595:E595"/>
    <mergeCell ref="K595:M595"/>
    <mergeCell ref="B598:C598"/>
    <mergeCell ref="D598:E598"/>
    <mergeCell ref="F598:G598"/>
    <mergeCell ref="H598:J598"/>
    <mergeCell ref="K598:M598"/>
    <mergeCell ref="B595:C595"/>
    <mergeCell ref="B596:C596"/>
    <mergeCell ref="D596:E596"/>
    <mergeCell ref="F596:G596"/>
    <mergeCell ref="B597:C597"/>
    <mergeCell ref="F597:G597"/>
    <mergeCell ref="B554:C554"/>
    <mergeCell ref="D554:E554"/>
    <mergeCell ref="F554:G554"/>
    <mergeCell ref="H554:J554"/>
    <mergeCell ref="K554:M554"/>
    <mergeCell ref="D555:E555"/>
    <mergeCell ref="K555:M555"/>
    <mergeCell ref="B558:C558"/>
    <mergeCell ref="D558:E558"/>
    <mergeCell ref="F558:G558"/>
    <mergeCell ref="H558:J558"/>
    <mergeCell ref="K558:M558"/>
    <mergeCell ref="D562:E562"/>
    <mergeCell ref="F562:G562"/>
    <mergeCell ref="B563:C563"/>
    <mergeCell ref="D563:E563"/>
    <mergeCell ref="F563:G563"/>
    <mergeCell ref="H563:J563"/>
    <mergeCell ref="K563:M563"/>
    <mergeCell ref="H562:J562"/>
    <mergeCell ref="K562:M562"/>
    <mergeCell ref="B560:C560"/>
    <mergeCell ref="B561:C561"/>
    <mergeCell ref="D561:E561"/>
    <mergeCell ref="F561:G561"/>
    <mergeCell ref="H561:J561"/>
    <mergeCell ref="K561:M561"/>
    <mergeCell ref="B562:C562"/>
    <mergeCell ref="F555:G555"/>
    <mergeCell ref="H555:J555"/>
    <mergeCell ref="F550:G550"/>
    <mergeCell ref="H550:J550"/>
    <mergeCell ref="H551:J551"/>
    <mergeCell ref="K551:M551"/>
    <mergeCell ref="H552:J552"/>
    <mergeCell ref="K552:M552"/>
    <mergeCell ref="B549:C549"/>
    <mergeCell ref="D549:E549"/>
    <mergeCell ref="F549:G549"/>
    <mergeCell ref="H549:J549"/>
    <mergeCell ref="K549:M549"/>
    <mergeCell ref="D550:E550"/>
    <mergeCell ref="K550:M550"/>
    <mergeCell ref="B553:C553"/>
    <mergeCell ref="D553:E553"/>
    <mergeCell ref="F553:G553"/>
    <mergeCell ref="H553:J553"/>
    <mergeCell ref="K553:M553"/>
    <mergeCell ref="B550:C550"/>
    <mergeCell ref="B551:C551"/>
    <mergeCell ref="D551:E551"/>
    <mergeCell ref="F551:G551"/>
    <mergeCell ref="B552:C552"/>
    <mergeCell ref="D552:E552"/>
    <mergeCell ref="F552:G552"/>
    <mergeCell ref="H556:J556"/>
    <mergeCell ref="K556:M556"/>
    <mergeCell ref="H557:J557"/>
    <mergeCell ref="K557:M557"/>
    <mergeCell ref="B555:C555"/>
    <mergeCell ref="B556:C556"/>
    <mergeCell ref="D556:E556"/>
    <mergeCell ref="F556:G556"/>
    <mergeCell ref="B557:C557"/>
    <mergeCell ref="D557:E557"/>
    <mergeCell ref="F557:G557"/>
    <mergeCell ref="F560:G560"/>
    <mergeCell ref="H560:J560"/>
    <mergeCell ref="B559:C559"/>
    <mergeCell ref="D559:E559"/>
    <mergeCell ref="F559:G559"/>
    <mergeCell ref="H559:J559"/>
    <mergeCell ref="K559:M559"/>
    <mergeCell ref="D560:E560"/>
    <mergeCell ref="K560:M560"/>
    <mergeCell ref="B539:C539"/>
    <mergeCell ref="D539:E539"/>
    <mergeCell ref="F539:G539"/>
    <mergeCell ref="H539:J539"/>
    <mergeCell ref="K539:M539"/>
    <mergeCell ref="D540:E540"/>
    <mergeCell ref="K540:M540"/>
    <mergeCell ref="B543:C543"/>
    <mergeCell ref="D543:E543"/>
    <mergeCell ref="F543:G543"/>
    <mergeCell ref="H543:J543"/>
    <mergeCell ref="K543:M543"/>
    <mergeCell ref="D547:E547"/>
    <mergeCell ref="F547:G547"/>
    <mergeCell ref="B548:C548"/>
    <mergeCell ref="D548:E548"/>
    <mergeCell ref="F548:G548"/>
    <mergeCell ref="H548:J548"/>
    <mergeCell ref="K548:M548"/>
    <mergeCell ref="H547:J547"/>
    <mergeCell ref="K547:M547"/>
    <mergeCell ref="B545:C545"/>
    <mergeCell ref="B546:C546"/>
    <mergeCell ref="D546:E546"/>
    <mergeCell ref="F546:G546"/>
    <mergeCell ref="H546:J546"/>
    <mergeCell ref="K546:M546"/>
    <mergeCell ref="B547:C547"/>
    <mergeCell ref="F535:G535"/>
    <mergeCell ref="H535:J535"/>
    <mergeCell ref="H536:J536"/>
    <mergeCell ref="K536:M536"/>
    <mergeCell ref="H537:J537"/>
    <mergeCell ref="K537:M537"/>
    <mergeCell ref="B534:C534"/>
    <mergeCell ref="D534:E534"/>
    <mergeCell ref="F534:G534"/>
    <mergeCell ref="H534:J534"/>
    <mergeCell ref="K534:M534"/>
    <mergeCell ref="D535:E535"/>
    <mergeCell ref="K535:M535"/>
    <mergeCell ref="B538:C538"/>
    <mergeCell ref="D538:E538"/>
    <mergeCell ref="F538:G538"/>
    <mergeCell ref="H538:J538"/>
    <mergeCell ref="K538:M538"/>
    <mergeCell ref="B535:C535"/>
    <mergeCell ref="B536:C536"/>
    <mergeCell ref="D536:E536"/>
    <mergeCell ref="F536:G536"/>
    <mergeCell ref="B537:C537"/>
    <mergeCell ref="F537:G537"/>
    <mergeCell ref="F530:G530"/>
    <mergeCell ref="H530:J530"/>
    <mergeCell ref="B529:C529"/>
    <mergeCell ref="D529:E529"/>
    <mergeCell ref="F529:G529"/>
    <mergeCell ref="H529:J529"/>
    <mergeCell ref="K529:M529"/>
    <mergeCell ref="D530:E530"/>
    <mergeCell ref="K530:M530"/>
    <mergeCell ref="F545:G545"/>
    <mergeCell ref="H545:J545"/>
    <mergeCell ref="B544:C544"/>
    <mergeCell ref="D544:E544"/>
    <mergeCell ref="F544:G544"/>
    <mergeCell ref="H544:J544"/>
    <mergeCell ref="K544:M544"/>
    <mergeCell ref="D545:E545"/>
    <mergeCell ref="K545:M545"/>
    <mergeCell ref="F540:G540"/>
    <mergeCell ref="H540:J540"/>
    <mergeCell ref="H541:J541"/>
    <mergeCell ref="K541:M541"/>
    <mergeCell ref="H542:J542"/>
    <mergeCell ref="K542:M542"/>
    <mergeCell ref="B540:C540"/>
    <mergeCell ref="B541:C541"/>
    <mergeCell ref="D541:E541"/>
    <mergeCell ref="F541:G541"/>
    <mergeCell ref="B542:C542"/>
    <mergeCell ref="D542:E542"/>
    <mergeCell ref="F542:G542"/>
    <mergeCell ref="D537:E537"/>
    <mergeCell ref="B518:C518"/>
    <mergeCell ref="D518:E518"/>
    <mergeCell ref="F518:G518"/>
    <mergeCell ref="H518:J518"/>
    <mergeCell ref="K518:M518"/>
    <mergeCell ref="F525:G525"/>
    <mergeCell ref="H525:J525"/>
    <mergeCell ref="H526:J526"/>
    <mergeCell ref="K526:M526"/>
    <mergeCell ref="H527:J527"/>
    <mergeCell ref="K527:M527"/>
    <mergeCell ref="B525:C525"/>
    <mergeCell ref="B526:C526"/>
    <mergeCell ref="D526:E526"/>
    <mergeCell ref="F526:G526"/>
    <mergeCell ref="B527:C527"/>
    <mergeCell ref="D527:E527"/>
    <mergeCell ref="F527:G527"/>
    <mergeCell ref="D525:E525"/>
    <mergeCell ref="K525:M525"/>
    <mergeCell ref="B523:C523"/>
    <mergeCell ref="D523:E523"/>
    <mergeCell ref="F523:G523"/>
    <mergeCell ref="H523:J523"/>
    <mergeCell ref="K523:M523"/>
    <mergeCell ref="B520:C520"/>
    <mergeCell ref="B521:C521"/>
    <mergeCell ref="D521:E521"/>
    <mergeCell ref="F521:G521"/>
    <mergeCell ref="B522:C522"/>
    <mergeCell ref="D522:E522"/>
    <mergeCell ref="B504:C504"/>
    <mergeCell ref="D504:E504"/>
    <mergeCell ref="F504:G504"/>
    <mergeCell ref="H504:J504"/>
    <mergeCell ref="K504:M504"/>
    <mergeCell ref="D505:E505"/>
    <mergeCell ref="K505:M505"/>
    <mergeCell ref="B508:C508"/>
    <mergeCell ref="D508:E508"/>
    <mergeCell ref="F508:G508"/>
    <mergeCell ref="H508:J508"/>
    <mergeCell ref="K508:M508"/>
    <mergeCell ref="B505:C505"/>
    <mergeCell ref="B506:C506"/>
    <mergeCell ref="D506:E506"/>
    <mergeCell ref="F506:G506"/>
    <mergeCell ref="B507:C507"/>
    <mergeCell ref="D507:E507"/>
    <mergeCell ref="F507:G507"/>
    <mergeCell ref="B515:C515"/>
    <mergeCell ref="B516:C516"/>
    <mergeCell ref="D516:E516"/>
    <mergeCell ref="F516:G516"/>
    <mergeCell ref="H516:J516"/>
    <mergeCell ref="K516:M516"/>
    <mergeCell ref="B517:C517"/>
    <mergeCell ref="F505:G505"/>
    <mergeCell ref="H505:J505"/>
    <mergeCell ref="H506:J506"/>
    <mergeCell ref="K506:M506"/>
    <mergeCell ref="H507:J507"/>
    <mergeCell ref="K507:M507"/>
    <mergeCell ref="B509:C509"/>
    <mergeCell ref="D509:E509"/>
    <mergeCell ref="F509:G509"/>
    <mergeCell ref="H509:J509"/>
    <mergeCell ref="K509:M509"/>
    <mergeCell ref="D510:E510"/>
    <mergeCell ref="K510:M510"/>
    <mergeCell ref="B513:C513"/>
    <mergeCell ref="D513:E513"/>
    <mergeCell ref="F513:G513"/>
    <mergeCell ref="H513:J513"/>
    <mergeCell ref="K513:M513"/>
    <mergeCell ref="D517:E517"/>
    <mergeCell ref="F517:G517"/>
    <mergeCell ref="F532:G532"/>
    <mergeCell ref="B533:C533"/>
    <mergeCell ref="D533:E533"/>
    <mergeCell ref="F533:G533"/>
    <mergeCell ref="H533:J533"/>
    <mergeCell ref="K533:M533"/>
    <mergeCell ref="F510:G510"/>
    <mergeCell ref="H510:J510"/>
    <mergeCell ref="H511:J511"/>
    <mergeCell ref="K511:M511"/>
    <mergeCell ref="H512:J512"/>
    <mergeCell ref="K512:M512"/>
    <mergeCell ref="B510:C510"/>
    <mergeCell ref="B511:C511"/>
    <mergeCell ref="D511:E511"/>
    <mergeCell ref="F511:G511"/>
    <mergeCell ref="B512:C512"/>
    <mergeCell ref="D512:E512"/>
    <mergeCell ref="F512:G512"/>
    <mergeCell ref="F515:G515"/>
    <mergeCell ref="H515:J515"/>
    <mergeCell ref="B514:C514"/>
    <mergeCell ref="D514:E514"/>
    <mergeCell ref="F514:G514"/>
    <mergeCell ref="D520:E520"/>
    <mergeCell ref="K520:M520"/>
    <mergeCell ref="H514:J514"/>
    <mergeCell ref="K514:M514"/>
    <mergeCell ref="D515:E515"/>
    <mergeCell ref="K515:M515"/>
    <mergeCell ref="H517:J517"/>
    <mergeCell ref="K517:M517"/>
    <mergeCell ref="B498:C498"/>
    <mergeCell ref="D498:E498"/>
    <mergeCell ref="F498:G498"/>
    <mergeCell ref="H498:J498"/>
    <mergeCell ref="K498:M498"/>
    <mergeCell ref="D502:E502"/>
    <mergeCell ref="F502:G502"/>
    <mergeCell ref="B503:C503"/>
    <mergeCell ref="D503:E503"/>
    <mergeCell ref="F503:G503"/>
    <mergeCell ref="H503:J503"/>
    <mergeCell ref="K503:M503"/>
    <mergeCell ref="F500:G500"/>
    <mergeCell ref="H500:J500"/>
    <mergeCell ref="B499:C499"/>
    <mergeCell ref="D499:E499"/>
    <mergeCell ref="F499:G499"/>
    <mergeCell ref="H499:J499"/>
    <mergeCell ref="K499:M499"/>
    <mergeCell ref="D500:E500"/>
    <mergeCell ref="K500:M500"/>
    <mergeCell ref="H502:J502"/>
    <mergeCell ref="K502:M502"/>
    <mergeCell ref="B500:C500"/>
    <mergeCell ref="B501:C501"/>
    <mergeCell ref="D501:E501"/>
    <mergeCell ref="H532:J532"/>
    <mergeCell ref="K532:M532"/>
    <mergeCell ref="B530:C530"/>
    <mergeCell ref="B531:C531"/>
    <mergeCell ref="D531:E531"/>
    <mergeCell ref="F531:G531"/>
    <mergeCell ref="H531:J531"/>
    <mergeCell ref="K531:M531"/>
    <mergeCell ref="B532:C532"/>
    <mergeCell ref="F520:G520"/>
    <mergeCell ref="H520:J520"/>
    <mergeCell ref="H521:J521"/>
    <mergeCell ref="K521:M521"/>
    <mergeCell ref="H522:J522"/>
    <mergeCell ref="K522:M522"/>
    <mergeCell ref="B519:C519"/>
    <mergeCell ref="D519:E519"/>
    <mergeCell ref="F519:G519"/>
    <mergeCell ref="H519:J519"/>
    <mergeCell ref="K519:M519"/>
    <mergeCell ref="F522:G522"/>
    <mergeCell ref="B524:C524"/>
    <mergeCell ref="D524:E524"/>
    <mergeCell ref="F524:G524"/>
    <mergeCell ref="H524:J524"/>
    <mergeCell ref="K524:M524"/>
    <mergeCell ref="B528:C528"/>
    <mergeCell ref="D528:E528"/>
    <mergeCell ref="F528:G528"/>
    <mergeCell ref="H528:J528"/>
    <mergeCell ref="K528:M528"/>
    <mergeCell ref="D532:E532"/>
    <mergeCell ref="F493:G493"/>
    <mergeCell ref="H493:J493"/>
    <mergeCell ref="K493:M493"/>
    <mergeCell ref="B490:C490"/>
    <mergeCell ref="B491:C491"/>
    <mergeCell ref="D491:E491"/>
    <mergeCell ref="F491:G491"/>
    <mergeCell ref="B492:C492"/>
    <mergeCell ref="D492:E492"/>
    <mergeCell ref="F492:G492"/>
    <mergeCell ref="B494:C494"/>
    <mergeCell ref="D494:E494"/>
    <mergeCell ref="F494:G494"/>
    <mergeCell ref="H494:J494"/>
    <mergeCell ref="K494:M494"/>
    <mergeCell ref="D495:E495"/>
    <mergeCell ref="K495:M495"/>
    <mergeCell ref="F501:G501"/>
    <mergeCell ref="H501:J501"/>
    <mergeCell ref="K501:M501"/>
    <mergeCell ref="B502:C502"/>
    <mergeCell ref="B488:C488"/>
    <mergeCell ref="D488:E488"/>
    <mergeCell ref="F488:G488"/>
    <mergeCell ref="H488:J488"/>
    <mergeCell ref="K488:M488"/>
    <mergeCell ref="F495:G495"/>
    <mergeCell ref="H495:J495"/>
    <mergeCell ref="H496:J496"/>
    <mergeCell ref="K496:M496"/>
    <mergeCell ref="H497:J497"/>
    <mergeCell ref="K497:M497"/>
    <mergeCell ref="B495:C495"/>
    <mergeCell ref="B496:C496"/>
    <mergeCell ref="D496:E496"/>
    <mergeCell ref="F496:G496"/>
    <mergeCell ref="B497:C497"/>
    <mergeCell ref="D497:E497"/>
    <mergeCell ref="F497:G497"/>
    <mergeCell ref="F490:G490"/>
    <mergeCell ref="H490:J490"/>
    <mergeCell ref="H491:J491"/>
    <mergeCell ref="K491:M491"/>
    <mergeCell ref="H492:J492"/>
    <mergeCell ref="K492:M492"/>
    <mergeCell ref="B489:C489"/>
    <mergeCell ref="D489:E489"/>
    <mergeCell ref="F489:G489"/>
    <mergeCell ref="H489:J489"/>
    <mergeCell ref="K489:M489"/>
    <mergeCell ref="D490:E490"/>
    <mergeCell ref="K490:M490"/>
    <mergeCell ref="B493:C493"/>
    <mergeCell ref="B477:C477"/>
    <mergeCell ref="D477:E477"/>
    <mergeCell ref="F477:G477"/>
    <mergeCell ref="B479:C479"/>
    <mergeCell ref="D479:E479"/>
    <mergeCell ref="F479:G479"/>
    <mergeCell ref="H479:J479"/>
    <mergeCell ref="K479:M479"/>
    <mergeCell ref="D480:E480"/>
    <mergeCell ref="K480:M480"/>
    <mergeCell ref="B483:C483"/>
    <mergeCell ref="D483:E483"/>
    <mergeCell ref="F483:G483"/>
    <mergeCell ref="H483:J483"/>
    <mergeCell ref="K483:M483"/>
    <mergeCell ref="D487:E487"/>
    <mergeCell ref="F487:G487"/>
    <mergeCell ref="F482:G482"/>
    <mergeCell ref="H487:J487"/>
    <mergeCell ref="K487:M487"/>
    <mergeCell ref="B485:C485"/>
    <mergeCell ref="B486:C486"/>
    <mergeCell ref="D486:E486"/>
    <mergeCell ref="F486:G486"/>
    <mergeCell ref="H486:J486"/>
    <mergeCell ref="K486:M486"/>
    <mergeCell ref="B487:C487"/>
    <mergeCell ref="D493:E493"/>
    <mergeCell ref="F475:G475"/>
    <mergeCell ref="H475:J475"/>
    <mergeCell ref="H476:J476"/>
    <mergeCell ref="K476:M476"/>
    <mergeCell ref="H477:J477"/>
    <mergeCell ref="K477:M477"/>
    <mergeCell ref="B474:C474"/>
    <mergeCell ref="D474:E474"/>
    <mergeCell ref="F474:G474"/>
    <mergeCell ref="H474:J474"/>
    <mergeCell ref="K474:M474"/>
    <mergeCell ref="D475:E475"/>
    <mergeCell ref="K475:M475"/>
    <mergeCell ref="B478:C478"/>
    <mergeCell ref="D478:E478"/>
    <mergeCell ref="F478:G478"/>
    <mergeCell ref="H478:J478"/>
    <mergeCell ref="K478:M478"/>
    <mergeCell ref="B475:C475"/>
    <mergeCell ref="B476:C476"/>
    <mergeCell ref="D476:E476"/>
    <mergeCell ref="F476:G476"/>
    <mergeCell ref="D467:E467"/>
    <mergeCell ref="F467:G467"/>
    <mergeCell ref="F470:G470"/>
    <mergeCell ref="H470:J470"/>
    <mergeCell ref="B469:C469"/>
    <mergeCell ref="D469:E469"/>
    <mergeCell ref="F469:G469"/>
    <mergeCell ref="H469:J469"/>
    <mergeCell ref="K469:M469"/>
    <mergeCell ref="D470:E470"/>
    <mergeCell ref="K470:M470"/>
    <mergeCell ref="F485:G485"/>
    <mergeCell ref="H485:J485"/>
    <mergeCell ref="B484:C484"/>
    <mergeCell ref="D484:E484"/>
    <mergeCell ref="F484:G484"/>
    <mergeCell ref="H484:J484"/>
    <mergeCell ref="K484:M484"/>
    <mergeCell ref="D485:E485"/>
    <mergeCell ref="K485:M485"/>
    <mergeCell ref="F480:G480"/>
    <mergeCell ref="H480:J480"/>
    <mergeCell ref="H481:J481"/>
    <mergeCell ref="K481:M481"/>
    <mergeCell ref="H482:J482"/>
    <mergeCell ref="K482:M482"/>
    <mergeCell ref="B480:C480"/>
    <mergeCell ref="B481:C481"/>
    <mergeCell ref="D481:E481"/>
    <mergeCell ref="F481:G481"/>
    <mergeCell ref="B482:C482"/>
    <mergeCell ref="D482:E482"/>
    <mergeCell ref="B449:C449"/>
    <mergeCell ref="D449:E449"/>
    <mergeCell ref="F449:G449"/>
    <mergeCell ref="H449:J449"/>
    <mergeCell ref="K449:M449"/>
    <mergeCell ref="D450:E450"/>
    <mergeCell ref="K450:M450"/>
    <mergeCell ref="B453:C453"/>
    <mergeCell ref="D453:E453"/>
    <mergeCell ref="F453:G453"/>
    <mergeCell ref="H453:J453"/>
    <mergeCell ref="K453:M453"/>
    <mergeCell ref="D457:E457"/>
    <mergeCell ref="F457:G457"/>
    <mergeCell ref="B458:C458"/>
    <mergeCell ref="D458:E458"/>
    <mergeCell ref="F458:G458"/>
    <mergeCell ref="H458:J458"/>
    <mergeCell ref="K458:M458"/>
    <mergeCell ref="H457:J457"/>
    <mergeCell ref="K457:M457"/>
    <mergeCell ref="B455:C455"/>
    <mergeCell ref="B456:C456"/>
    <mergeCell ref="D456:E456"/>
    <mergeCell ref="F456:G456"/>
    <mergeCell ref="H456:J456"/>
    <mergeCell ref="K456:M456"/>
    <mergeCell ref="B457:C457"/>
    <mergeCell ref="F450:G450"/>
    <mergeCell ref="H450:J450"/>
    <mergeCell ref="F445:G445"/>
    <mergeCell ref="H445:J445"/>
    <mergeCell ref="H446:J446"/>
    <mergeCell ref="K446:M446"/>
    <mergeCell ref="H447:J447"/>
    <mergeCell ref="K447:M447"/>
    <mergeCell ref="B444:C444"/>
    <mergeCell ref="D444:E444"/>
    <mergeCell ref="F444:G444"/>
    <mergeCell ref="H444:J444"/>
    <mergeCell ref="K444:M444"/>
    <mergeCell ref="D445:E445"/>
    <mergeCell ref="K445:M445"/>
    <mergeCell ref="B448:C448"/>
    <mergeCell ref="D448:E448"/>
    <mergeCell ref="F448:G448"/>
    <mergeCell ref="H448:J448"/>
    <mergeCell ref="K448:M448"/>
    <mergeCell ref="B445:C445"/>
    <mergeCell ref="B446:C446"/>
    <mergeCell ref="D446:E446"/>
    <mergeCell ref="F446:G446"/>
    <mergeCell ref="B447:C447"/>
    <mergeCell ref="D447:E447"/>
    <mergeCell ref="F447:G447"/>
    <mergeCell ref="H451:J451"/>
    <mergeCell ref="K451:M451"/>
    <mergeCell ref="H452:J452"/>
    <mergeCell ref="K452:M452"/>
    <mergeCell ref="B450:C450"/>
    <mergeCell ref="B451:C451"/>
    <mergeCell ref="D451:E451"/>
    <mergeCell ref="F451:G451"/>
    <mergeCell ref="B452:C452"/>
    <mergeCell ref="D452:E452"/>
    <mergeCell ref="F452:G452"/>
    <mergeCell ref="F455:G455"/>
    <mergeCell ref="H455:J455"/>
    <mergeCell ref="B454:C454"/>
    <mergeCell ref="D454:E454"/>
    <mergeCell ref="F454:G454"/>
    <mergeCell ref="H454:J454"/>
    <mergeCell ref="K454:M454"/>
    <mergeCell ref="D455:E455"/>
    <mergeCell ref="K455:M455"/>
    <mergeCell ref="D462:E462"/>
    <mergeCell ref="F462:G462"/>
    <mergeCell ref="B464:C464"/>
    <mergeCell ref="D464:E464"/>
    <mergeCell ref="F464:G464"/>
    <mergeCell ref="H464:J464"/>
    <mergeCell ref="K464:M464"/>
    <mergeCell ref="D465:E465"/>
    <mergeCell ref="K465:M465"/>
    <mergeCell ref="B468:C468"/>
    <mergeCell ref="D468:E468"/>
    <mergeCell ref="F468:G468"/>
    <mergeCell ref="H468:J468"/>
    <mergeCell ref="K468:M468"/>
    <mergeCell ref="D472:E472"/>
    <mergeCell ref="F472:G472"/>
    <mergeCell ref="B473:C473"/>
    <mergeCell ref="D473:E473"/>
    <mergeCell ref="F473:G473"/>
    <mergeCell ref="H473:J473"/>
    <mergeCell ref="K473:M473"/>
    <mergeCell ref="F465:G465"/>
    <mergeCell ref="H465:J465"/>
    <mergeCell ref="H466:J466"/>
    <mergeCell ref="K466:M466"/>
    <mergeCell ref="H467:J467"/>
    <mergeCell ref="K467:M467"/>
    <mergeCell ref="B465:C465"/>
    <mergeCell ref="B466:C466"/>
    <mergeCell ref="D466:E466"/>
    <mergeCell ref="F466:G466"/>
    <mergeCell ref="B467:C467"/>
    <mergeCell ref="H472:J472"/>
    <mergeCell ref="K472:M472"/>
    <mergeCell ref="B470:C470"/>
    <mergeCell ref="B471:C471"/>
    <mergeCell ref="D471:E471"/>
    <mergeCell ref="F471:G471"/>
    <mergeCell ref="H471:J471"/>
    <mergeCell ref="K471:M471"/>
    <mergeCell ref="B472:C472"/>
    <mergeCell ref="F460:G460"/>
    <mergeCell ref="H460:J460"/>
    <mergeCell ref="H461:J461"/>
    <mergeCell ref="K461:M461"/>
    <mergeCell ref="H462:J462"/>
    <mergeCell ref="K462:M462"/>
    <mergeCell ref="B459:C459"/>
    <mergeCell ref="D459:E459"/>
    <mergeCell ref="F459:G459"/>
    <mergeCell ref="H459:J459"/>
    <mergeCell ref="K459:M459"/>
    <mergeCell ref="D460:E460"/>
    <mergeCell ref="K460:M460"/>
    <mergeCell ref="B463:C463"/>
    <mergeCell ref="D463:E463"/>
    <mergeCell ref="F463:G463"/>
    <mergeCell ref="H463:J463"/>
    <mergeCell ref="K463:M463"/>
    <mergeCell ref="B460:C460"/>
    <mergeCell ref="B461:C461"/>
    <mergeCell ref="D461:E461"/>
    <mergeCell ref="F461:G461"/>
    <mergeCell ref="B462:C462"/>
    <mergeCell ref="F590:G590"/>
    <mergeCell ref="H590:J590"/>
    <mergeCell ref="B589:C589"/>
    <mergeCell ref="D589:E589"/>
    <mergeCell ref="F589:G589"/>
    <mergeCell ref="H589:J589"/>
    <mergeCell ref="K589:M589"/>
    <mergeCell ref="D590:E590"/>
    <mergeCell ref="K590:M590"/>
    <mergeCell ref="F605:G605"/>
    <mergeCell ref="H605:J605"/>
    <mergeCell ref="B604:C604"/>
    <mergeCell ref="D604:E604"/>
    <mergeCell ref="F604:G604"/>
    <mergeCell ref="H604:J604"/>
    <mergeCell ref="K604:M604"/>
    <mergeCell ref="D605:E605"/>
    <mergeCell ref="K605:M605"/>
    <mergeCell ref="F600:G600"/>
    <mergeCell ref="H600:J600"/>
    <mergeCell ref="H601:J601"/>
    <mergeCell ref="K601:M601"/>
    <mergeCell ref="H602:J602"/>
    <mergeCell ref="K602:M602"/>
    <mergeCell ref="B600:C600"/>
    <mergeCell ref="B601:C601"/>
    <mergeCell ref="D601:E601"/>
    <mergeCell ref="F601:G601"/>
    <mergeCell ref="B602:C602"/>
    <mergeCell ref="D602:E602"/>
    <mergeCell ref="F602:G602"/>
    <mergeCell ref="D597:E597"/>
    <mergeCell ref="B578:C578"/>
    <mergeCell ref="D578:E578"/>
    <mergeCell ref="F578:G578"/>
    <mergeCell ref="H578:J578"/>
    <mergeCell ref="K578:M578"/>
    <mergeCell ref="F585:G585"/>
    <mergeCell ref="H585:J585"/>
    <mergeCell ref="H586:J586"/>
    <mergeCell ref="K586:M586"/>
    <mergeCell ref="H587:J587"/>
    <mergeCell ref="K587:M587"/>
    <mergeCell ref="B585:C585"/>
    <mergeCell ref="B586:C586"/>
    <mergeCell ref="D586:E586"/>
    <mergeCell ref="F586:G586"/>
    <mergeCell ref="B587:C587"/>
    <mergeCell ref="D587:E587"/>
    <mergeCell ref="F587:G587"/>
    <mergeCell ref="D585:E585"/>
    <mergeCell ref="K585:M585"/>
    <mergeCell ref="B583:C583"/>
    <mergeCell ref="D583:E583"/>
    <mergeCell ref="F583:G583"/>
    <mergeCell ref="H583:J583"/>
    <mergeCell ref="K583:M583"/>
    <mergeCell ref="B580:C580"/>
    <mergeCell ref="B581:C581"/>
    <mergeCell ref="D581:E581"/>
    <mergeCell ref="F581:G581"/>
    <mergeCell ref="B582:C582"/>
    <mergeCell ref="D582:E582"/>
    <mergeCell ref="B564:C564"/>
    <mergeCell ref="D564:E564"/>
    <mergeCell ref="F564:G564"/>
    <mergeCell ref="H564:J564"/>
    <mergeCell ref="K564:M564"/>
    <mergeCell ref="D565:E565"/>
    <mergeCell ref="K565:M565"/>
    <mergeCell ref="B568:C568"/>
    <mergeCell ref="D568:E568"/>
    <mergeCell ref="F568:G568"/>
    <mergeCell ref="H568:J568"/>
    <mergeCell ref="K568:M568"/>
    <mergeCell ref="B565:C565"/>
    <mergeCell ref="B566:C566"/>
    <mergeCell ref="D566:E566"/>
    <mergeCell ref="F566:G566"/>
    <mergeCell ref="B567:C567"/>
    <mergeCell ref="D567:E567"/>
    <mergeCell ref="F567:G567"/>
    <mergeCell ref="B575:C575"/>
    <mergeCell ref="B576:C576"/>
    <mergeCell ref="D576:E576"/>
    <mergeCell ref="F576:G576"/>
    <mergeCell ref="H576:J576"/>
    <mergeCell ref="K576:M576"/>
    <mergeCell ref="B577:C577"/>
    <mergeCell ref="F565:G565"/>
    <mergeCell ref="H565:J565"/>
    <mergeCell ref="H566:J566"/>
    <mergeCell ref="K566:M566"/>
    <mergeCell ref="H567:J567"/>
    <mergeCell ref="K567:M567"/>
    <mergeCell ref="B569:C569"/>
    <mergeCell ref="D569:E569"/>
    <mergeCell ref="F569:G569"/>
    <mergeCell ref="H569:J569"/>
    <mergeCell ref="K569:M569"/>
    <mergeCell ref="D570:E570"/>
    <mergeCell ref="K570:M570"/>
    <mergeCell ref="B573:C573"/>
    <mergeCell ref="D573:E573"/>
    <mergeCell ref="F573:G573"/>
    <mergeCell ref="H573:J573"/>
    <mergeCell ref="K573:M573"/>
    <mergeCell ref="D577:E577"/>
    <mergeCell ref="F577:G577"/>
    <mergeCell ref="F592:G592"/>
    <mergeCell ref="B593:C593"/>
    <mergeCell ref="D593:E593"/>
    <mergeCell ref="F593:G593"/>
    <mergeCell ref="H593:J593"/>
    <mergeCell ref="K593:M593"/>
    <mergeCell ref="F570:G570"/>
    <mergeCell ref="H570:J570"/>
    <mergeCell ref="H571:J571"/>
    <mergeCell ref="K571:M571"/>
    <mergeCell ref="H572:J572"/>
    <mergeCell ref="K572:M572"/>
    <mergeCell ref="B570:C570"/>
    <mergeCell ref="B571:C571"/>
    <mergeCell ref="D571:E571"/>
    <mergeCell ref="F571:G571"/>
    <mergeCell ref="B572:C572"/>
    <mergeCell ref="D572:E572"/>
    <mergeCell ref="F572:G572"/>
    <mergeCell ref="F575:G575"/>
    <mergeCell ref="H575:J575"/>
    <mergeCell ref="B574:C574"/>
    <mergeCell ref="D574:E574"/>
    <mergeCell ref="F574:G574"/>
    <mergeCell ref="D580:E580"/>
    <mergeCell ref="K580:M580"/>
    <mergeCell ref="H574:J574"/>
    <mergeCell ref="K574:M574"/>
    <mergeCell ref="D575:E575"/>
    <mergeCell ref="K575:M575"/>
    <mergeCell ref="H577:J577"/>
    <mergeCell ref="K577:M577"/>
    <mergeCell ref="B438:C438"/>
    <mergeCell ref="D438:E438"/>
    <mergeCell ref="F438:G438"/>
    <mergeCell ref="H438:J438"/>
    <mergeCell ref="K438:M438"/>
    <mergeCell ref="D442:E442"/>
    <mergeCell ref="F442:G442"/>
    <mergeCell ref="B443:C443"/>
    <mergeCell ref="D443:E443"/>
    <mergeCell ref="F443:G443"/>
    <mergeCell ref="H443:J443"/>
    <mergeCell ref="K443:M443"/>
    <mergeCell ref="F440:G440"/>
    <mergeCell ref="H440:J440"/>
    <mergeCell ref="B439:C439"/>
    <mergeCell ref="D439:E439"/>
    <mergeCell ref="F439:G439"/>
    <mergeCell ref="H439:J439"/>
    <mergeCell ref="K439:M439"/>
    <mergeCell ref="D440:E440"/>
    <mergeCell ref="K440:M440"/>
    <mergeCell ref="H442:J442"/>
    <mergeCell ref="K442:M442"/>
    <mergeCell ref="B440:C440"/>
    <mergeCell ref="B441:C441"/>
    <mergeCell ref="D441:E441"/>
    <mergeCell ref="H592:J592"/>
    <mergeCell ref="K592:M592"/>
    <mergeCell ref="B590:C590"/>
    <mergeCell ref="B591:C591"/>
    <mergeCell ref="D591:E591"/>
    <mergeCell ref="F591:G591"/>
    <mergeCell ref="H591:J591"/>
    <mergeCell ref="K591:M591"/>
    <mergeCell ref="B592:C592"/>
    <mergeCell ref="F580:G580"/>
    <mergeCell ref="H580:J580"/>
    <mergeCell ref="H581:J581"/>
    <mergeCell ref="K581:M581"/>
    <mergeCell ref="H582:J582"/>
    <mergeCell ref="K582:M582"/>
    <mergeCell ref="B579:C579"/>
    <mergeCell ref="D579:E579"/>
    <mergeCell ref="F579:G579"/>
    <mergeCell ref="H579:J579"/>
    <mergeCell ref="K579:M579"/>
    <mergeCell ref="F582:G582"/>
    <mergeCell ref="B584:C584"/>
    <mergeCell ref="D584:E584"/>
    <mergeCell ref="F584:G584"/>
    <mergeCell ref="H584:J584"/>
    <mergeCell ref="K584:M584"/>
    <mergeCell ref="B588:C588"/>
    <mergeCell ref="D588:E588"/>
    <mergeCell ref="F588:G588"/>
    <mergeCell ref="H588:J588"/>
    <mergeCell ref="K588:M588"/>
    <mergeCell ref="D592:E592"/>
    <mergeCell ref="F433:G433"/>
    <mergeCell ref="H433:J433"/>
    <mergeCell ref="K433:M433"/>
    <mergeCell ref="B430:C430"/>
    <mergeCell ref="B431:C431"/>
    <mergeCell ref="D431:E431"/>
    <mergeCell ref="F431:G431"/>
    <mergeCell ref="B432:C432"/>
    <mergeCell ref="D432:E432"/>
    <mergeCell ref="F432:G432"/>
    <mergeCell ref="B434:C434"/>
    <mergeCell ref="D434:E434"/>
    <mergeCell ref="F434:G434"/>
    <mergeCell ref="H434:J434"/>
    <mergeCell ref="K434:M434"/>
    <mergeCell ref="D435:E435"/>
    <mergeCell ref="K435:M435"/>
    <mergeCell ref="F441:G441"/>
    <mergeCell ref="H441:J441"/>
    <mergeCell ref="K441:M441"/>
    <mergeCell ref="B442:C442"/>
    <mergeCell ref="B428:C428"/>
    <mergeCell ref="D428:E428"/>
    <mergeCell ref="F428:G428"/>
    <mergeCell ref="H428:J428"/>
    <mergeCell ref="K428:M428"/>
    <mergeCell ref="F435:G435"/>
    <mergeCell ref="H435:J435"/>
    <mergeCell ref="H436:J436"/>
    <mergeCell ref="K436:M436"/>
    <mergeCell ref="H437:J437"/>
    <mergeCell ref="K437:M437"/>
    <mergeCell ref="B435:C435"/>
    <mergeCell ref="B436:C436"/>
    <mergeCell ref="D436:E436"/>
    <mergeCell ref="F436:G436"/>
    <mergeCell ref="B437:C437"/>
    <mergeCell ref="D437:E437"/>
    <mergeCell ref="F437:G437"/>
    <mergeCell ref="F430:G430"/>
    <mergeCell ref="H430:J430"/>
    <mergeCell ref="H431:J431"/>
    <mergeCell ref="K431:M431"/>
    <mergeCell ref="H432:J432"/>
    <mergeCell ref="K432:M432"/>
    <mergeCell ref="B429:C429"/>
    <mergeCell ref="D429:E429"/>
    <mergeCell ref="F429:G429"/>
    <mergeCell ref="H429:J429"/>
    <mergeCell ref="K429:M429"/>
    <mergeCell ref="D430:E430"/>
    <mergeCell ref="K430:M430"/>
    <mergeCell ref="B433:C433"/>
    <mergeCell ref="B417:C417"/>
    <mergeCell ref="D417:E417"/>
    <mergeCell ref="F417:G417"/>
    <mergeCell ref="B419:C419"/>
    <mergeCell ref="D419:E419"/>
    <mergeCell ref="F419:G419"/>
    <mergeCell ref="H419:J419"/>
    <mergeCell ref="K419:M419"/>
    <mergeCell ref="D420:E420"/>
    <mergeCell ref="K420:M420"/>
    <mergeCell ref="B423:C423"/>
    <mergeCell ref="D423:E423"/>
    <mergeCell ref="F423:G423"/>
    <mergeCell ref="H423:J423"/>
    <mergeCell ref="K423:M423"/>
    <mergeCell ref="D427:E427"/>
    <mergeCell ref="F427:G427"/>
    <mergeCell ref="F422:G422"/>
    <mergeCell ref="H427:J427"/>
    <mergeCell ref="K427:M427"/>
    <mergeCell ref="B425:C425"/>
    <mergeCell ref="B426:C426"/>
    <mergeCell ref="D426:E426"/>
    <mergeCell ref="F426:G426"/>
    <mergeCell ref="H426:J426"/>
    <mergeCell ref="K426:M426"/>
    <mergeCell ref="B427:C427"/>
    <mergeCell ref="D433:E433"/>
    <mergeCell ref="F415:G415"/>
    <mergeCell ref="H415:J415"/>
    <mergeCell ref="H416:J416"/>
    <mergeCell ref="K416:M416"/>
    <mergeCell ref="H417:J417"/>
    <mergeCell ref="K417:M417"/>
    <mergeCell ref="B414:C414"/>
    <mergeCell ref="D414:E414"/>
    <mergeCell ref="F414:G414"/>
    <mergeCell ref="H414:J414"/>
    <mergeCell ref="K414:M414"/>
    <mergeCell ref="D415:E415"/>
    <mergeCell ref="K415:M415"/>
    <mergeCell ref="B418:C418"/>
    <mergeCell ref="D418:E418"/>
    <mergeCell ref="F418:G418"/>
    <mergeCell ref="H418:J418"/>
    <mergeCell ref="K418:M418"/>
    <mergeCell ref="B415:C415"/>
    <mergeCell ref="B416:C416"/>
    <mergeCell ref="D416:E416"/>
    <mergeCell ref="F416:G416"/>
    <mergeCell ref="B374:C374"/>
    <mergeCell ref="D374:E374"/>
    <mergeCell ref="F374:G374"/>
    <mergeCell ref="H374:J374"/>
    <mergeCell ref="K374:M374"/>
    <mergeCell ref="D375:E375"/>
    <mergeCell ref="K375:M375"/>
    <mergeCell ref="B378:C378"/>
    <mergeCell ref="D378:E378"/>
    <mergeCell ref="F378:G378"/>
    <mergeCell ref="H378:J378"/>
    <mergeCell ref="K378:M378"/>
    <mergeCell ref="D382:E382"/>
    <mergeCell ref="F382:G382"/>
    <mergeCell ref="B383:C383"/>
    <mergeCell ref="D383:E383"/>
    <mergeCell ref="F383:G383"/>
    <mergeCell ref="H383:J383"/>
    <mergeCell ref="K383:M383"/>
    <mergeCell ref="H382:J382"/>
    <mergeCell ref="K382:M382"/>
    <mergeCell ref="B380:C380"/>
    <mergeCell ref="B381:C381"/>
    <mergeCell ref="D381:E381"/>
    <mergeCell ref="F381:G381"/>
    <mergeCell ref="H381:J381"/>
    <mergeCell ref="K381:M381"/>
    <mergeCell ref="B382:C382"/>
    <mergeCell ref="F375:G375"/>
    <mergeCell ref="H375:J375"/>
    <mergeCell ref="F370:G370"/>
    <mergeCell ref="H370:J370"/>
    <mergeCell ref="H371:J371"/>
    <mergeCell ref="K371:M371"/>
    <mergeCell ref="H372:J372"/>
    <mergeCell ref="K372:M372"/>
    <mergeCell ref="B369:C369"/>
    <mergeCell ref="D369:E369"/>
    <mergeCell ref="F369:G369"/>
    <mergeCell ref="H369:J369"/>
    <mergeCell ref="K369:M369"/>
    <mergeCell ref="D370:E370"/>
    <mergeCell ref="K370:M370"/>
    <mergeCell ref="B373:C373"/>
    <mergeCell ref="D373:E373"/>
    <mergeCell ref="F373:G373"/>
    <mergeCell ref="H373:J373"/>
    <mergeCell ref="K373:M373"/>
    <mergeCell ref="B370:C370"/>
    <mergeCell ref="B371:C371"/>
    <mergeCell ref="D371:E371"/>
    <mergeCell ref="F371:G371"/>
    <mergeCell ref="B372:C372"/>
    <mergeCell ref="D372:E372"/>
    <mergeCell ref="F372:G372"/>
    <mergeCell ref="H376:J376"/>
    <mergeCell ref="K376:M376"/>
    <mergeCell ref="H377:J377"/>
    <mergeCell ref="K377:M377"/>
    <mergeCell ref="B375:C375"/>
    <mergeCell ref="B376:C376"/>
    <mergeCell ref="D376:E376"/>
    <mergeCell ref="F376:G376"/>
    <mergeCell ref="B377:C377"/>
    <mergeCell ref="D377:E377"/>
    <mergeCell ref="F377:G377"/>
    <mergeCell ref="F380:G380"/>
    <mergeCell ref="H380:J380"/>
    <mergeCell ref="B379:C379"/>
    <mergeCell ref="D379:E379"/>
    <mergeCell ref="F379:G379"/>
    <mergeCell ref="H379:J379"/>
    <mergeCell ref="K379:M379"/>
    <mergeCell ref="D380:E380"/>
    <mergeCell ref="K380:M380"/>
    <mergeCell ref="B359:C359"/>
    <mergeCell ref="D359:E359"/>
    <mergeCell ref="F359:G359"/>
    <mergeCell ref="H359:J359"/>
    <mergeCell ref="K359:M359"/>
    <mergeCell ref="D360:E360"/>
    <mergeCell ref="K360:M360"/>
    <mergeCell ref="B363:C363"/>
    <mergeCell ref="D363:E363"/>
    <mergeCell ref="F363:G363"/>
    <mergeCell ref="H363:J363"/>
    <mergeCell ref="K363:M363"/>
    <mergeCell ref="D367:E367"/>
    <mergeCell ref="F367:G367"/>
    <mergeCell ref="B368:C368"/>
    <mergeCell ref="D368:E368"/>
    <mergeCell ref="F368:G368"/>
    <mergeCell ref="H368:J368"/>
    <mergeCell ref="K368:M368"/>
    <mergeCell ref="H367:J367"/>
    <mergeCell ref="K367:M367"/>
    <mergeCell ref="B365:C365"/>
    <mergeCell ref="B366:C366"/>
    <mergeCell ref="D366:E366"/>
    <mergeCell ref="F366:G366"/>
    <mergeCell ref="H366:J366"/>
    <mergeCell ref="K366:M366"/>
    <mergeCell ref="B367:C367"/>
    <mergeCell ref="F355:G355"/>
    <mergeCell ref="H355:J355"/>
    <mergeCell ref="H356:J356"/>
    <mergeCell ref="K356:M356"/>
    <mergeCell ref="H357:J357"/>
    <mergeCell ref="K357:M357"/>
    <mergeCell ref="B354:C354"/>
    <mergeCell ref="D354:E354"/>
    <mergeCell ref="F354:G354"/>
    <mergeCell ref="H354:J354"/>
    <mergeCell ref="K354:M354"/>
    <mergeCell ref="D355:E355"/>
    <mergeCell ref="K355:M355"/>
    <mergeCell ref="B358:C358"/>
    <mergeCell ref="D358:E358"/>
    <mergeCell ref="F358:G358"/>
    <mergeCell ref="H358:J358"/>
    <mergeCell ref="K358:M358"/>
    <mergeCell ref="B355:C355"/>
    <mergeCell ref="B356:C356"/>
    <mergeCell ref="D356:E356"/>
    <mergeCell ref="F356:G356"/>
    <mergeCell ref="B357:C357"/>
    <mergeCell ref="F357:G357"/>
    <mergeCell ref="F350:G350"/>
    <mergeCell ref="H350:J350"/>
    <mergeCell ref="B349:C349"/>
    <mergeCell ref="D349:E349"/>
    <mergeCell ref="F349:G349"/>
    <mergeCell ref="H349:J349"/>
    <mergeCell ref="K349:M349"/>
    <mergeCell ref="D350:E350"/>
    <mergeCell ref="K350:M350"/>
    <mergeCell ref="F365:G365"/>
    <mergeCell ref="H365:J365"/>
    <mergeCell ref="B364:C364"/>
    <mergeCell ref="D364:E364"/>
    <mergeCell ref="F364:G364"/>
    <mergeCell ref="H364:J364"/>
    <mergeCell ref="K364:M364"/>
    <mergeCell ref="D365:E365"/>
    <mergeCell ref="K365:M365"/>
    <mergeCell ref="F360:G360"/>
    <mergeCell ref="H360:J360"/>
    <mergeCell ref="H361:J361"/>
    <mergeCell ref="K361:M361"/>
    <mergeCell ref="H362:J362"/>
    <mergeCell ref="K362:M362"/>
    <mergeCell ref="B360:C360"/>
    <mergeCell ref="B361:C361"/>
    <mergeCell ref="D361:E361"/>
    <mergeCell ref="F361:G361"/>
    <mergeCell ref="B362:C362"/>
    <mergeCell ref="D362:E362"/>
    <mergeCell ref="F362:G362"/>
    <mergeCell ref="D357:E357"/>
    <mergeCell ref="B338:C338"/>
    <mergeCell ref="D338:E338"/>
    <mergeCell ref="F338:G338"/>
    <mergeCell ref="H338:J338"/>
    <mergeCell ref="K338:M338"/>
    <mergeCell ref="F345:G345"/>
    <mergeCell ref="H345:J345"/>
    <mergeCell ref="H346:J346"/>
    <mergeCell ref="K346:M346"/>
    <mergeCell ref="H347:J347"/>
    <mergeCell ref="K347:M347"/>
    <mergeCell ref="B345:C345"/>
    <mergeCell ref="B346:C346"/>
    <mergeCell ref="D346:E346"/>
    <mergeCell ref="F346:G346"/>
    <mergeCell ref="B347:C347"/>
    <mergeCell ref="D347:E347"/>
    <mergeCell ref="F347:G347"/>
    <mergeCell ref="D345:E345"/>
    <mergeCell ref="K345:M345"/>
    <mergeCell ref="B343:C343"/>
    <mergeCell ref="D343:E343"/>
    <mergeCell ref="F343:G343"/>
    <mergeCell ref="H343:J343"/>
    <mergeCell ref="K343:M343"/>
    <mergeCell ref="B340:C340"/>
    <mergeCell ref="B341:C341"/>
    <mergeCell ref="D341:E341"/>
    <mergeCell ref="F341:G341"/>
    <mergeCell ref="B342:C342"/>
    <mergeCell ref="D342:E342"/>
    <mergeCell ref="B324:C324"/>
    <mergeCell ref="D324:E324"/>
    <mergeCell ref="F324:G324"/>
    <mergeCell ref="H324:J324"/>
    <mergeCell ref="K324:M324"/>
    <mergeCell ref="D325:E325"/>
    <mergeCell ref="K325:M325"/>
    <mergeCell ref="B328:C328"/>
    <mergeCell ref="D328:E328"/>
    <mergeCell ref="F328:G328"/>
    <mergeCell ref="H328:J328"/>
    <mergeCell ref="K328:M328"/>
    <mergeCell ref="B325:C325"/>
    <mergeCell ref="B326:C326"/>
    <mergeCell ref="D326:E326"/>
    <mergeCell ref="F326:G326"/>
    <mergeCell ref="B327:C327"/>
    <mergeCell ref="D327:E327"/>
    <mergeCell ref="F327:G327"/>
    <mergeCell ref="B335:C335"/>
    <mergeCell ref="B336:C336"/>
    <mergeCell ref="D336:E336"/>
    <mergeCell ref="F336:G336"/>
    <mergeCell ref="H336:J336"/>
    <mergeCell ref="K336:M336"/>
    <mergeCell ref="B337:C337"/>
    <mergeCell ref="F325:G325"/>
    <mergeCell ref="H325:J325"/>
    <mergeCell ref="H326:J326"/>
    <mergeCell ref="K326:M326"/>
    <mergeCell ref="H327:J327"/>
    <mergeCell ref="K327:M327"/>
    <mergeCell ref="B329:C329"/>
    <mergeCell ref="D329:E329"/>
    <mergeCell ref="F329:G329"/>
    <mergeCell ref="H329:J329"/>
    <mergeCell ref="K329:M329"/>
    <mergeCell ref="D330:E330"/>
    <mergeCell ref="K330:M330"/>
    <mergeCell ref="B333:C333"/>
    <mergeCell ref="D333:E333"/>
    <mergeCell ref="F333:G333"/>
    <mergeCell ref="H333:J333"/>
    <mergeCell ref="K333:M333"/>
    <mergeCell ref="D337:E337"/>
    <mergeCell ref="F337:G337"/>
    <mergeCell ref="F352:G352"/>
    <mergeCell ref="B353:C353"/>
    <mergeCell ref="D353:E353"/>
    <mergeCell ref="F353:G353"/>
    <mergeCell ref="H353:J353"/>
    <mergeCell ref="K353:M353"/>
    <mergeCell ref="F330:G330"/>
    <mergeCell ref="H330:J330"/>
    <mergeCell ref="H331:J331"/>
    <mergeCell ref="K331:M331"/>
    <mergeCell ref="H332:J332"/>
    <mergeCell ref="K332:M332"/>
    <mergeCell ref="B330:C330"/>
    <mergeCell ref="B331:C331"/>
    <mergeCell ref="D331:E331"/>
    <mergeCell ref="F331:G331"/>
    <mergeCell ref="B332:C332"/>
    <mergeCell ref="D332:E332"/>
    <mergeCell ref="F332:G332"/>
    <mergeCell ref="F335:G335"/>
    <mergeCell ref="H335:J335"/>
    <mergeCell ref="B334:C334"/>
    <mergeCell ref="D334:E334"/>
    <mergeCell ref="F334:G334"/>
    <mergeCell ref="D340:E340"/>
    <mergeCell ref="K340:M340"/>
    <mergeCell ref="H334:J334"/>
    <mergeCell ref="K334:M334"/>
    <mergeCell ref="D335:E335"/>
    <mergeCell ref="K335:M335"/>
    <mergeCell ref="H337:J337"/>
    <mergeCell ref="K337:M337"/>
    <mergeCell ref="B318:C318"/>
    <mergeCell ref="D318:E318"/>
    <mergeCell ref="F318:G318"/>
    <mergeCell ref="H318:J318"/>
    <mergeCell ref="K318:M318"/>
    <mergeCell ref="D322:E322"/>
    <mergeCell ref="F322:G322"/>
    <mergeCell ref="B323:C323"/>
    <mergeCell ref="D323:E323"/>
    <mergeCell ref="F323:G323"/>
    <mergeCell ref="H323:J323"/>
    <mergeCell ref="K323:M323"/>
    <mergeCell ref="F320:G320"/>
    <mergeCell ref="H320:J320"/>
    <mergeCell ref="B319:C319"/>
    <mergeCell ref="D319:E319"/>
    <mergeCell ref="F319:G319"/>
    <mergeCell ref="H319:J319"/>
    <mergeCell ref="K319:M319"/>
    <mergeCell ref="D320:E320"/>
    <mergeCell ref="K320:M320"/>
    <mergeCell ref="H322:J322"/>
    <mergeCell ref="K322:M322"/>
    <mergeCell ref="B320:C320"/>
    <mergeCell ref="B321:C321"/>
    <mergeCell ref="D321:E321"/>
    <mergeCell ref="H352:J352"/>
    <mergeCell ref="K352:M352"/>
    <mergeCell ref="B350:C350"/>
    <mergeCell ref="B351:C351"/>
    <mergeCell ref="D351:E351"/>
    <mergeCell ref="F351:G351"/>
    <mergeCell ref="H351:J351"/>
    <mergeCell ref="K351:M351"/>
    <mergeCell ref="B352:C352"/>
    <mergeCell ref="F340:G340"/>
    <mergeCell ref="H340:J340"/>
    <mergeCell ref="H341:J341"/>
    <mergeCell ref="K341:M341"/>
    <mergeCell ref="H342:J342"/>
    <mergeCell ref="K342:M342"/>
    <mergeCell ref="B339:C339"/>
    <mergeCell ref="D339:E339"/>
    <mergeCell ref="F339:G339"/>
    <mergeCell ref="H339:J339"/>
    <mergeCell ref="K339:M339"/>
    <mergeCell ref="F342:G342"/>
    <mergeCell ref="B344:C344"/>
    <mergeCell ref="D344:E344"/>
    <mergeCell ref="F344:G344"/>
    <mergeCell ref="H344:J344"/>
    <mergeCell ref="K344:M344"/>
    <mergeCell ref="B348:C348"/>
    <mergeCell ref="D348:E348"/>
    <mergeCell ref="F348:G348"/>
    <mergeCell ref="H348:J348"/>
    <mergeCell ref="K348:M348"/>
    <mergeCell ref="D352:E352"/>
    <mergeCell ref="F313:G313"/>
    <mergeCell ref="H313:J313"/>
    <mergeCell ref="K313:M313"/>
    <mergeCell ref="B310:C310"/>
    <mergeCell ref="B311:C311"/>
    <mergeCell ref="D311:E311"/>
    <mergeCell ref="F311:G311"/>
    <mergeCell ref="B312:C312"/>
    <mergeCell ref="D312:E312"/>
    <mergeCell ref="F312:G312"/>
    <mergeCell ref="B314:C314"/>
    <mergeCell ref="D314:E314"/>
    <mergeCell ref="F314:G314"/>
    <mergeCell ref="H314:J314"/>
    <mergeCell ref="K314:M314"/>
    <mergeCell ref="D315:E315"/>
    <mergeCell ref="K315:M315"/>
    <mergeCell ref="F321:G321"/>
    <mergeCell ref="H321:J321"/>
    <mergeCell ref="K321:M321"/>
    <mergeCell ref="B322:C322"/>
    <mergeCell ref="B308:C308"/>
    <mergeCell ref="D308:E308"/>
    <mergeCell ref="F308:G308"/>
    <mergeCell ref="H308:J308"/>
    <mergeCell ref="K308:M308"/>
    <mergeCell ref="F315:G315"/>
    <mergeCell ref="H315:J315"/>
    <mergeCell ref="H316:J316"/>
    <mergeCell ref="K316:M316"/>
    <mergeCell ref="H317:J317"/>
    <mergeCell ref="K317:M317"/>
    <mergeCell ref="B315:C315"/>
    <mergeCell ref="B316:C316"/>
    <mergeCell ref="D316:E316"/>
    <mergeCell ref="F316:G316"/>
    <mergeCell ref="B317:C317"/>
    <mergeCell ref="D317:E317"/>
    <mergeCell ref="F317:G317"/>
    <mergeCell ref="F310:G310"/>
    <mergeCell ref="H310:J310"/>
    <mergeCell ref="H311:J311"/>
    <mergeCell ref="K311:M311"/>
    <mergeCell ref="H312:J312"/>
    <mergeCell ref="K312:M312"/>
    <mergeCell ref="B309:C309"/>
    <mergeCell ref="D309:E309"/>
    <mergeCell ref="F309:G309"/>
    <mergeCell ref="H309:J309"/>
    <mergeCell ref="K309:M309"/>
    <mergeCell ref="D310:E310"/>
    <mergeCell ref="K310:M310"/>
    <mergeCell ref="B313:C313"/>
    <mergeCell ref="B297:C297"/>
    <mergeCell ref="D297:E297"/>
    <mergeCell ref="F297:G297"/>
    <mergeCell ref="B299:C299"/>
    <mergeCell ref="D299:E299"/>
    <mergeCell ref="F299:G299"/>
    <mergeCell ref="H299:J299"/>
    <mergeCell ref="K299:M299"/>
    <mergeCell ref="D300:E300"/>
    <mergeCell ref="K300:M300"/>
    <mergeCell ref="B303:C303"/>
    <mergeCell ref="D303:E303"/>
    <mergeCell ref="F303:G303"/>
    <mergeCell ref="H303:J303"/>
    <mergeCell ref="K303:M303"/>
    <mergeCell ref="D307:E307"/>
    <mergeCell ref="F307:G307"/>
    <mergeCell ref="F302:G302"/>
    <mergeCell ref="H307:J307"/>
    <mergeCell ref="K307:M307"/>
    <mergeCell ref="B305:C305"/>
    <mergeCell ref="B306:C306"/>
    <mergeCell ref="D306:E306"/>
    <mergeCell ref="F306:G306"/>
    <mergeCell ref="H306:J306"/>
    <mergeCell ref="K306:M306"/>
    <mergeCell ref="B307:C307"/>
    <mergeCell ref="D313:E313"/>
    <mergeCell ref="F295:G295"/>
    <mergeCell ref="H295:J295"/>
    <mergeCell ref="H296:J296"/>
    <mergeCell ref="K296:M296"/>
    <mergeCell ref="H297:J297"/>
    <mergeCell ref="K297:M297"/>
    <mergeCell ref="B294:C294"/>
    <mergeCell ref="D294:E294"/>
    <mergeCell ref="F294:G294"/>
    <mergeCell ref="H294:J294"/>
    <mergeCell ref="K294:M294"/>
    <mergeCell ref="D295:E295"/>
    <mergeCell ref="K295:M295"/>
    <mergeCell ref="B298:C298"/>
    <mergeCell ref="D298:E298"/>
    <mergeCell ref="F298:G298"/>
    <mergeCell ref="H298:J298"/>
    <mergeCell ref="K298:M298"/>
    <mergeCell ref="B295:C295"/>
    <mergeCell ref="B296:C296"/>
    <mergeCell ref="D296:E296"/>
    <mergeCell ref="F296:G296"/>
    <mergeCell ref="D287:E287"/>
    <mergeCell ref="F287:G287"/>
    <mergeCell ref="F290:G290"/>
    <mergeCell ref="H290:J290"/>
    <mergeCell ref="B289:C289"/>
    <mergeCell ref="D289:E289"/>
    <mergeCell ref="F289:G289"/>
    <mergeCell ref="H289:J289"/>
    <mergeCell ref="K289:M289"/>
    <mergeCell ref="D290:E290"/>
    <mergeCell ref="K290:M290"/>
    <mergeCell ref="F305:G305"/>
    <mergeCell ref="H305:J305"/>
    <mergeCell ref="B304:C304"/>
    <mergeCell ref="D304:E304"/>
    <mergeCell ref="F304:G304"/>
    <mergeCell ref="H304:J304"/>
    <mergeCell ref="K304:M304"/>
    <mergeCell ref="D305:E305"/>
    <mergeCell ref="K305:M305"/>
    <mergeCell ref="F300:G300"/>
    <mergeCell ref="H300:J300"/>
    <mergeCell ref="H301:J301"/>
    <mergeCell ref="K301:M301"/>
    <mergeCell ref="H302:J302"/>
    <mergeCell ref="K302:M302"/>
    <mergeCell ref="B300:C300"/>
    <mergeCell ref="B301:C301"/>
    <mergeCell ref="D301:E301"/>
    <mergeCell ref="F301:G301"/>
    <mergeCell ref="B302:C302"/>
    <mergeCell ref="D302:E302"/>
    <mergeCell ref="B269:C269"/>
    <mergeCell ref="D269:E269"/>
    <mergeCell ref="F269:G269"/>
    <mergeCell ref="H269:J269"/>
    <mergeCell ref="K269:M269"/>
    <mergeCell ref="D270:E270"/>
    <mergeCell ref="K270:M270"/>
    <mergeCell ref="B273:C273"/>
    <mergeCell ref="D273:E273"/>
    <mergeCell ref="F273:G273"/>
    <mergeCell ref="H273:J273"/>
    <mergeCell ref="K273:M273"/>
    <mergeCell ref="D277:E277"/>
    <mergeCell ref="F277:G277"/>
    <mergeCell ref="B278:C278"/>
    <mergeCell ref="D278:E278"/>
    <mergeCell ref="F278:G278"/>
    <mergeCell ref="H278:J278"/>
    <mergeCell ref="K278:M278"/>
    <mergeCell ref="H277:J277"/>
    <mergeCell ref="K277:M277"/>
    <mergeCell ref="B275:C275"/>
    <mergeCell ref="B276:C276"/>
    <mergeCell ref="D276:E276"/>
    <mergeCell ref="F276:G276"/>
    <mergeCell ref="H276:J276"/>
    <mergeCell ref="K276:M276"/>
    <mergeCell ref="B277:C277"/>
    <mergeCell ref="F270:G270"/>
    <mergeCell ref="H270:J270"/>
    <mergeCell ref="F265:G265"/>
    <mergeCell ref="H265:J265"/>
    <mergeCell ref="H266:J266"/>
    <mergeCell ref="K266:M266"/>
    <mergeCell ref="H267:J267"/>
    <mergeCell ref="K267:M267"/>
    <mergeCell ref="B264:C264"/>
    <mergeCell ref="D264:E264"/>
    <mergeCell ref="F264:G264"/>
    <mergeCell ref="H264:J264"/>
    <mergeCell ref="K264:M264"/>
    <mergeCell ref="D265:E265"/>
    <mergeCell ref="K265:M265"/>
    <mergeCell ref="B268:C268"/>
    <mergeCell ref="D268:E268"/>
    <mergeCell ref="F268:G268"/>
    <mergeCell ref="H268:J268"/>
    <mergeCell ref="K268:M268"/>
    <mergeCell ref="B265:C265"/>
    <mergeCell ref="B266:C266"/>
    <mergeCell ref="D266:E266"/>
    <mergeCell ref="F266:G266"/>
    <mergeCell ref="B267:C267"/>
    <mergeCell ref="D267:E267"/>
    <mergeCell ref="F267:G267"/>
    <mergeCell ref="H271:J271"/>
    <mergeCell ref="K271:M271"/>
    <mergeCell ref="H272:J272"/>
    <mergeCell ref="K272:M272"/>
    <mergeCell ref="B270:C270"/>
    <mergeCell ref="B271:C271"/>
    <mergeCell ref="D271:E271"/>
    <mergeCell ref="F271:G271"/>
    <mergeCell ref="B272:C272"/>
    <mergeCell ref="D272:E272"/>
    <mergeCell ref="F272:G272"/>
    <mergeCell ref="F275:G275"/>
    <mergeCell ref="H275:J275"/>
    <mergeCell ref="B274:C274"/>
    <mergeCell ref="D274:E274"/>
    <mergeCell ref="F274:G274"/>
    <mergeCell ref="H274:J274"/>
    <mergeCell ref="K274:M274"/>
    <mergeCell ref="D275:E275"/>
    <mergeCell ref="K275:M275"/>
    <mergeCell ref="D282:E282"/>
    <mergeCell ref="F282:G282"/>
    <mergeCell ref="B284:C284"/>
    <mergeCell ref="D284:E284"/>
    <mergeCell ref="F284:G284"/>
    <mergeCell ref="H284:J284"/>
    <mergeCell ref="K284:M284"/>
    <mergeCell ref="D285:E285"/>
    <mergeCell ref="K285:M285"/>
    <mergeCell ref="B288:C288"/>
    <mergeCell ref="D288:E288"/>
    <mergeCell ref="F288:G288"/>
    <mergeCell ref="H288:J288"/>
    <mergeCell ref="K288:M288"/>
    <mergeCell ref="D292:E292"/>
    <mergeCell ref="F292:G292"/>
    <mergeCell ref="B293:C293"/>
    <mergeCell ref="D293:E293"/>
    <mergeCell ref="F293:G293"/>
    <mergeCell ref="H293:J293"/>
    <mergeCell ref="K293:M293"/>
    <mergeCell ref="F285:G285"/>
    <mergeCell ref="H285:J285"/>
    <mergeCell ref="H286:J286"/>
    <mergeCell ref="K286:M286"/>
    <mergeCell ref="H287:J287"/>
    <mergeCell ref="K287:M287"/>
    <mergeCell ref="B285:C285"/>
    <mergeCell ref="B286:C286"/>
    <mergeCell ref="D286:E286"/>
    <mergeCell ref="F286:G286"/>
    <mergeCell ref="B287:C287"/>
    <mergeCell ref="H292:J292"/>
    <mergeCell ref="K292:M292"/>
    <mergeCell ref="B290:C290"/>
    <mergeCell ref="B291:C291"/>
    <mergeCell ref="D291:E291"/>
    <mergeCell ref="F291:G291"/>
    <mergeCell ref="H291:J291"/>
    <mergeCell ref="K291:M291"/>
    <mergeCell ref="B292:C292"/>
    <mergeCell ref="F280:G280"/>
    <mergeCell ref="H280:J280"/>
    <mergeCell ref="H281:J281"/>
    <mergeCell ref="K281:M281"/>
    <mergeCell ref="H282:J282"/>
    <mergeCell ref="K282:M282"/>
    <mergeCell ref="B279:C279"/>
    <mergeCell ref="D279:E279"/>
    <mergeCell ref="F279:G279"/>
    <mergeCell ref="H279:J279"/>
    <mergeCell ref="K279:M279"/>
    <mergeCell ref="D280:E280"/>
    <mergeCell ref="K280:M280"/>
    <mergeCell ref="B283:C283"/>
    <mergeCell ref="D283:E283"/>
    <mergeCell ref="F283:G283"/>
    <mergeCell ref="H283:J283"/>
    <mergeCell ref="K283:M283"/>
    <mergeCell ref="B280:C280"/>
    <mergeCell ref="B281:C281"/>
    <mergeCell ref="D281:E281"/>
    <mergeCell ref="F281:G281"/>
    <mergeCell ref="B282:C282"/>
    <mergeCell ref="D407:E407"/>
    <mergeCell ref="F407:G407"/>
    <mergeCell ref="F410:G410"/>
    <mergeCell ref="H410:J410"/>
    <mergeCell ref="B409:C409"/>
    <mergeCell ref="D409:E409"/>
    <mergeCell ref="F409:G409"/>
    <mergeCell ref="H409:J409"/>
    <mergeCell ref="K409:M409"/>
    <mergeCell ref="D410:E410"/>
    <mergeCell ref="K410:M410"/>
    <mergeCell ref="F425:G425"/>
    <mergeCell ref="H425:J425"/>
    <mergeCell ref="B424:C424"/>
    <mergeCell ref="D424:E424"/>
    <mergeCell ref="F424:G424"/>
    <mergeCell ref="H424:J424"/>
    <mergeCell ref="K424:M424"/>
    <mergeCell ref="D425:E425"/>
    <mergeCell ref="K425:M425"/>
    <mergeCell ref="F420:G420"/>
    <mergeCell ref="H420:J420"/>
    <mergeCell ref="H421:J421"/>
    <mergeCell ref="K421:M421"/>
    <mergeCell ref="H422:J422"/>
    <mergeCell ref="K422:M422"/>
    <mergeCell ref="B420:C420"/>
    <mergeCell ref="B421:C421"/>
    <mergeCell ref="D421:E421"/>
    <mergeCell ref="F421:G421"/>
    <mergeCell ref="B422:C422"/>
    <mergeCell ref="D422:E422"/>
    <mergeCell ref="B389:C389"/>
    <mergeCell ref="D389:E389"/>
    <mergeCell ref="F389:G389"/>
    <mergeCell ref="H389:J389"/>
    <mergeCell ref="K389:M389"/>
    <mergeCell ref="D390:E390"/>
    <mergeCell ref="K390:M390"/>
    <mergeCell ref="B393:C393"/>
    <mergeCell ref="D393:E393"/>
    <mergeCell ref="F393:G393"/>
    <mergeCell ref="H393:J393"/>
    <mergeCell ref="K393:M393"/>
    <mergeCell ref="D397:E397"/>
    <mergeCell ref="F397:G397"/>
    <mergeCell ref="B398:C398"/>
    <mergeCell ref="D398:E398"/>
    <mergeCell ref="F398:G398"/>
    <mergeCell ref="H398:J398"/>
    <mergeCell ref="K398:M398"/>
    <mergeCell ref="H397:J397"/>
    <mergeCell ref="K397:M397"/>
    <mergeCell ref="B395:C395"/>
    <mergeCell ref="B396:C396"/>
    <mergeCell ref="D396:E396"/>
    <mergeCell ref="F396:G396"/>
    <mergeCell ref="H396:J396"/>
    <mergeCell ref="K396:M396"/>
    <mergeCell ref="B397:C397"/>
    <mergeCell ref="F390:G390"/>
    <mergeCell ref="H390:J390"/>
    <mergeCell ref="F385:G385"/>
    <mergeCell ref="H385:J385"/>
    <mergeCell ref="H386:J386"/>
    <mergeCell ref="K386:M386"/>
    <mergeCell ref="H387:J387"/>
    <mergeCell ref="K387:M387"/>
    <mergeCell ref="B384:C384"/>
    <mergeCell ref="D384:E384"/>
    <mergeCell ref="F384:G384"/>
    <mergeCell ref="H384:J384"/>
    <mergeCell ref="K384:M384"/>
    <mergeCell ref="D385:E385"/>
    <mergeCell ref="K385:M385"/>
    <mergeCell ref="B388:C388"/>
    <mergeCell ref="D388:E388"/>
    <mergeCell ref="F388:G388"/>
    <mergeCell ref="H388:J388"/>
    <mergeCell ref="K388:M388"/>
    <mergeCell ref="B385:C385"/>
    <mergeCell ref="B386:C386"/>
    <mergeCell ref="D386:E386"/>
    <mergeCell ref="F386:G386"/>
    <mergeCell ref="B387:C387"/>
    <mergeCell ref="D387:E387"/>
    <mergeCell ref="F387:G387"/>
    <mergeCell ref="H391:J391"/>
    <mergeCell ref="K391:M391"/>
    <mergeCell ref="H392:J392"/>
    <mergeCell ref="K392:M392"/>
    <mergeCell ref="B390:C390"/>
    <mergeCell ref="B391:C391"/>
    <mergeCell ref="D391:E391"/>
    <mergeCell ref="F391:G391"/>
    <mergeCell ref="B392:C392"/>
    <mergeCell ref="D392:E392"/>
    <mergeCell ref="F392:G392"/>
    <mergeCell ref="F395:G395"/>
    <mergeCell ref="H395:J395"/>
    <mergeCell ref="B394:C394"/>
    <mergeCell ref="D394:E394"/>
    <mergeCell ref="F394:G394"/>
    <mergeCell ref="H394:J394"/>
    <mergeCell ref="K394:M394"/>
    <mergeCell ref="D395:E395"/>
    <mergeCell ref="K395:M395"/>
    <mergeCell ref="D402:E402"/>
    <mergeCell ref="F402:G402"/>
    <mergeCell ref="B404:C404"/>
    <mergeCell ref="D404:E404"/>
    <mergeCell ref="F404:G404"/>
    <mergeCell ref="H404:J404"/>
    <mergeCell ref="K404:M404"/>
    <mergeCell ref="D405:E405"/>
    <mergeCell ref="K405:M405"/>
    <mergeCell ref="B408:C408"/>
    <mergeCell ref="D408:E408"/>
    <mergeCell ref="F408:G408"/>
    <mergeCell ref="H408:J408"/>
    <mergeCell ref="K408:M408"/>
    <mergeCell ref="D412:E412"/>
    <mergeCell ref="F412:G412"/>
    <mergeCell ref="B413:C413"/>
    <mergeCell ref="D413:E413"/>
    <mergeCell ref="F413:G413"/>
    <mergeCell ref="H413:J413"/>
    <mergeCell ref="K413:M413"/>
    <mergeCell ref="F405:G405"/>
    <mergeCell ref="H405:J405"/>
    <mergeCell ref="H406:J406"/>
    <mergeCell ref="K406:M406"/>
    <mergeCell ref="H407:J407"/>
    <mergeCell ref="K407:M407"/>
    <mergeCell ref="B405:C405"/>
    <mergeCell ref="B406:C406"/>
    <mergeCell ref="D406:E406"/>
    <mergeCell ref="F406:G406"/>
    <mergeCell ref="B407:C407"/>
    <mergeCell ref="H412:J412"/>
    <mergeCell ref="K412:M412"/>
    <mergeCell ref="B410:C410"/>
    <mergeCell ref="B411:C411"/>
    <mergeCell ref="D411:E411"/>
    <mergeCell ref="F411:G411"/>
    <mergeCell ref="H411:J411"/>
    <mergeCell ref="K411:M411"/>
    <mergeCell ref="B412:C412"/>
    <mergeCell ref="F400:G400"/>
    <mergeCell ref="H400:J400"/>
    <mergeCell ref="H401:J401"/>
    <mergeCell ref="K401:M401"/>
    <mergeCell ref="H402:J402"/>
    <mergeCell ref="K402:M402"/>
    <mergeCell ref="B399:C399"/>
    <mergeCell ref="D399:E399"/>
    <mergeCell ref="F399:G399"/>
    <mergeCell ref="H399:J399"/>
    <mergeCell ref="K399:M399"/>
    <mergeCell ref="D400:E400"/>
    <mergeCell ref="K400:M400"/>
    <mergeCell ref="B403:C403"/>
    <mergeCell ref="D403:E403"/>
    <mergeCell ref="F403:G403"/>
    <mergeCell ref="H403:J403"/>
    <mergeCell ref="K403:M403"/>
    <mergeCell ref="B400:C400"/>
    <mergeCell ref="B401:C401"/>
    <mergeCell ref="D401:E401"/>
    <mergeCell ref="F401:G401"/>
    <mergeCell ref="B402:C402"/>
    <mergeCell ref="D162:E162"/>
    <mergeCell ref="F162:G162"/>
    <mergeCell ref="B164:C164"/>
    <mergeCell ref="D164:E164"/>
    <mergeCell ref="F164:G164"/>
    <mergeCell ref="H164:J164"/>
    <mergeCell ref="K164:M164"/>
    <mergeCell ref="D165:E165"/>
    <mergeCell ref="K165:M165"/>
    <mergeCell ref="B168:C168"/>
    <mergeCell ref="D168:E168"/>
    <mergeCell ref="F168:G168"/>
    <mergeCell ref="H168:J168"/>
    <mergeCell ref="K168:M168"/>
    <mergeCell ref="D172:E172"/>
    <mergeCell ref="F172:G172"/>
    <mergeCell ref="B173:C173"/>
    <mergeCell ref="D173:E173"/>
    <mergeCell ref="F173:G173"/>
    <mergeCell ref="H173:J173"/>
    <mergeCell ref="K173:M173"/>
    <mergeCell ref="H167:J167"/>
    <mergeCell ref="K167:M167"/>
    <mergeCell ref="B167:C167"/>
    <mergeCell ref="D167:E167"/>
    <mergeCell ref="F167:G167"/>
    <mergeCell ref="F170:G170"/>
    <mergeCell ref="H170:J170"/>
    <mergeCell ref="B169:C169"/>
    <mergeCell ref="D169:E169"/>
    <mergeCell ref="F169:G169"/>
    <mergeCell ref="H169:J169"/>
    <mergeCell ref="H172:J172"/>
    <mergeCell ref="K172:M172"/>
    <mergeCell ref="B170:C170"/>
    <mergeCell ref="B171:C171"/>
    <mergeCell ref="D171:E171"/>
    <mergeCell ref="F171:G171"/>
    <mergeCell ref="H171:J171"/>
    <mergeCell ref="K171:M171"/>
    <mergeCell ref="B172:C172"/>
    <mergeCell ref="F160:G160"/>
    <mergeCell ref="H160:J160"/>
    <mergeCell ref="H161:J161"/>
    <mergeCell ref="K161:M161"/>
    <mergeCell ref="H162:J162"/>
    <mergeCell ref="K162:M162"/>
    <mergeCell ref="B159:C159"/>
    <mergeCell ref="D159:E159"/>
    <mergeCell ref="F159:G159"/>
    <mergeCell ref="H159:J159"/>
    <mergeCell ref="K159:M159"/>
    <mergeCell ref="D160:E160"/>
    <mergeCell ref="K160:M160"/>
    <mergeCell ref="B163:C163"/>
    <mergeCell ref="D163:E163"/>
    <mergeCell ref="F163:G163"/>
    <mergeCell ref="H163:J163"/>
    <mergeCell ref="K163:M163"/>
    <mergeCell ref="B160:C160"/>
    <mergeCell ref="B161:C161"/>
    <mergeCell ref="D161:E161"/>
    <mergeCell ref="F161:G161"/>
    <mergeCell ref="B162:C162"/>
    <mergeCell ref="D134:E134"/>
    <mergeCell ref="F134:G134"/>
    <mergeCell ref="H134:J134"/>
    <mergeCell ref="K134:M134"/>
    <mergeCell ref="D135:E135"/>
    <mergeCell ref="K135:M135"/>
    <mergeCell ref="B138:C138"/>
    <mergeCell ref="D138:E138"/>
    <mergeCell ref="F138:G138"/>
    <mergeCell ref="H138:J138"/>
    <mergeCell ref="K138:M138"/>
    <mergeCell ref="D142:E142"/>
    <mergeCell ref="F142:G142"/>
    <mergeCell ref="B143:C143"/>
    <mergeCell ref="D143:E143"/>
    <mergeCell ref="F143:G143"/>
    <mergeCell ref="H143:J143"/>
    <mergeCell ref="K143:M143"/>
    <mergeCell ref="H142:J142"/>
    <mergeCell ref="K142:M142"/>
    <mergeCell ref="B140:C140"/>
    <mergeCell ref="B141:C141"/>
    <mergeCell ref="D141:E141"/>
    <mergeCell ref="F141:G141"/>
    <mergeCell ref="H141:J141"/>
    <mergeCell ref="K141:M141"/>
    <mergeCell ref="B142:C142"/>
    <mergeCell ref="F135:G135"/>
    <mergeCell ref="H135:J135"/>
    <mergeCell ref="H136:J136"/>
    <mergeCell ref="K136:M136"/>
    <mergeCell ref="H137:J137"/>
    <mergeCell ref="F130:G130"/>
    <mergeCell ref="H130:J130"/>
    <mergeCell ref="H131:J131"/>
    <mergeCell ref="K131:M131"/>
    <mergeCell ref="H132:J132"/>
    <mergeCell ref="K132:M132"/>
    <mergeCell ref="B129:C129"/>
    <mergeCell ref="D129:E129"/>
    <mergeCell ref="F129:G129"/>
    <mergeCell ref="H129:J129"/>
    <mergeCell ref="K129:M129"/>
    <mergeCell ref="D130:E130"/>
    <mergeCell ref="K130:M130"/>
    <mergeCell ref="B133:C133"/>
    <mergeCell ref="D133:E133"/>
    <mergeCell ref="F133:G133"/>
    <mergeCell ref="H133:J133"/>
    <mergeCell ref="K133:M133"/>
    <mergeCell ref="B130:C130"/>
    <mergeCell ref="B131:C131"/>
    <mergeCell ref="D131:E131"/>
    <mergeCell ref="F131:G131"/>
    <mergeCell ref="B132:C132"/>
    <mergeCell ref="K137:M137"/>
    <mergeCell ref="B135:C135"/>
    <mergeCell ref="B136:C136"/>
    <mergeCell ref="D136:E136"/>
    <mergeCell ref="F136:G136"/>
    <mergeCell ref="B137:C137"/>
    <mergeCell ref="D137:E137"/>
    <mergeCell ref="F137:G137"/>
    <mergeCell ref="F140:G140"/>
    <mergeCell ref="H140:J140"/>
    <mergeCell ref="B139:C139"/>
    <mergeCell ref="D139:E139"/>
    <mergeCell ref="F139:G139"/>
    <mergeCell ref="H139:J139"/>
    <mergeCell ref="K139:M139"/>
    <mergeCell ref="D140:E140"/>
    <mergeCell ref="K140:M140"/>
    <mergeCell ref="D119:E119"/>
    <mergeCell ref="F119:G119"/>
    <mergeCell ref="H119:J119"/>
    <mergeCell ref="K119:M119"/>
    <mergeCell ref="D120:E120"/>
    <mergeCell ref="K120:M120"/>
    <mergeCell ref="B123:C123"/>
    <mergeCell ref="D123:E123"/>
    <mergeCell ref="F123:G123"/>
    <mergeCell ref="H123:J123"/>
    <mergeCell ref="K123:M123"/>
    <mergeCell ref="D127:E127"/>
    <mergeCell ref="F127:G127"/>
    <mergeCell ref="B128:C128"/>
    <mergeCell ref="D128:E128"/>
    <mergeCell ref="F128:G128"/>
    <mergeCell ref="H128:J128"/>
    <mergeCell ref="K128:M128"/>
    <mergeCell ref="H127:J127"/>
    <mergeCell ref="K127:M127"/>
    <mergeCell ref="B125:C125"/>
    <mergeCell ref="B126:C126"/>
    <mergeCell ref="D126:E126"/>
    <mergeCell ref="F126:G126"/>
    <mergeCell ref="H126:J126"/>
    <mergeCell ref="K126:M126"/>
    <mergeCell ref="B127:C127"/>
    <mergeCell ref="F115:G115"/>
    <mergeCell ref="H115:J115"/>
    <mergeCell ref="H116:J116"/>
    <mergeCell ref="K116:M116"/>
    <mergeCell ref="H117:J117"/>
    <mergeCell ref="K117:M117"/>
    <mergeCell ref="B114:C114"/>
    <mergeCell ref="D114:E114"/>
    <mergeCell ref="F114:G114"/>
    <mergeCell ref="H114:J114"/>
    <mergeCell ref="K114:M114"/>
    <mergeCell ref="D115:E115"/>
    <mergeCell ref="K115:M115"/>
    <mergeCell ref="B118:C118"/>
    <mergeCell ref="D118:E118"/>
    <mergeCell ref="F118:G118"/>
    <mergeCell ref="H118:J118"/>
    <mergeCell ref="K118:M118"/>
    <mergeCell ref="B115:C115"/>
    <mergeCell ref="B116:C116"/>
    <mergeCell ref="D116:E116"/>
    <mergeCell ref="F116:G116"/>
    <mergeCell ref="B117:C117"/>
    <mergeCell ref="D112:E112"/>
    <mergeCell ref="F112:G112"/>
    <mergeCell ref="B113:C113"/>
    <mergeCell ref="D113:E113"/>
    <mergeCell ref="F113:G113"/>
    <mergeCell ref="H113:J113"/>
    <mergeCell ref="K113:M113"/>
    <mergeCell ref="F125:G125"/>
    <mergeCell ref="H125:J125"/>
    <mergeCell ref="B124:C124"/>
    <mergeCell ref="D124:E124"/>
    <mergeCell ref="F124:G124"/>
    <mergeCell ref="H124:J124"/>
    <mergeCell ref="K124:M124"/>
    <mergeCell ref="D125:E125"/>
    <mergeCell ref="K125:M125"/>
    <mergeCell ref="F120:G120"/>
    <mergeCell ref="H120:J120"/>
    <mergeCell ref="H121:J121"/>
    <mergeCell ref="K121:M121"/>
    <mergeCell ref="H122:J122"/>
    <mergeCell ref="K122:M122"/>
    <mergeCell ref="B120:C120"/>
    <mergeCell ref="B121:C121"/>
    <mergeCell ref="D121:E121"/>
    <mergeCell ref="F121:G121"/>
    <mergeCell ref="B122:C122"/>
    <mergeCell ref="D122:E122"/>
    <mergeCell ref="F122:G122"/>
    <mergeCell ref="D117:E117"/>
    <mergeCell ref="F117:G117"/>
    <mergeCell ref="B119:C119"/>
    <mergeCell ref="H112:J112"/>
    <mergeCell ref="K112:M112"/>
    <mergeCell ref="B110:C110"/>
    <mergeCell ref="B111:C111"/>
    <mergeCell ref="D111:E111"/>
    <mergeCell ref="F111:G111"/>
    <mergeCell ref="H111:J111"/>
    <mergeCell ref="K111:M111"/>
    <mergeCell ref="B112:C112"/>
    <mergeCell ref="F100:G100"/>
    <mergeCell ref="H100:J100"/>
    <mergeCell ref="H101:J101"/>
    <mergeCell ref="K101:M101"/>
    <mergeCell ref="H102:J102"/>
    <mergeCell ref="K102:M102"/>
    <mergeCell ref="B99:C99"/>
    <mergeCell ref="D99:E99"/>
    <mergeCell ref="F99:G99"/>
    <mergeCell ref="H99:J99"/>
    <mergeCell ref="K99:M99"/>
    <mergeCell ref="D100:E100"/>
    <mergeCell ref="K100:M100"/>
    <mergeCell ref="B103:C103"/>
    <mergeCell ref="D103:E103"/>
    <mergeCell ref="F103:G103"/>
    <mergeCell ref="H103:J103"/>
    <mergeCell ref="K103:M103"/>
    <mergeCell ref="B100:C100"/>
    <mergeCell ref="B101:C101"/>
    <mergeCell ref="D101:E101"/>
    <mergeCell ref="F101:G101"/>
    <mergeCell ref="B102:C102"/>
    <mergeCell ref="H107:J107"/>
    <mergeCell ref="K107:M107"/>
    <mergeCell ref="B105:C105"/>
    <mergeCell ref="B106:C106"/>
    <mergeCell ref="D106:E106"/>
    <mergeCell ref="F106:G106"/>
    <mergeCell ref="B107:C107"/>
    <mergeCell ref="D107:E107"/>
    <mergeCell ref="F107:G107"/>
    <mergeCell ref="F110:G110"/>
    <mergeCell ref="H110:J110"/>
    <mergeCell ref="B109:C109"/>
    <mergeCell ref="D109:E109"/>
    <mergeCell ref="F109:G109"/>
    <mergeCell ref="H109:J109"/>
    <mergeCell ref="K109:M109"/>
    <mergeCell ref="D110:E110"/>
    <mergeCell ref="K110:M110"/>
    <mergeCell ref="D105:E105"/>
    <mergeCell ref="K105:M105"/>
    <mergeCell ref="B108:C108"/>
    <mergeCell ref="D108:E108"/>
    <mergeCell ref="F108:G108"/>
    <mergeCell ref="H108:J108"/>
    <mergeCell ref="K108:M108"/>
    <mergeCell ref="B98:C98"/>
    <mergeCell ref="D98:E98"/>
    <mergeCell ref="F98:G98"/>
    <mergeCell ref="H98:J98"/>
    <mergeCell ref="K98:M98"/>
    <mergeCell ref="F105:G105"/>
    <mergeCell ref="H105:J105"/>
    <mergeCell ref="H106:J106"/>
    <mergeCell ref="K106:M106"/>
    <mergeCell ref="D102:E102"/>
    <mergeCell ref="F102:G102"/>
    <mergeCell ref="B104:C104"/>
    <mergeCell ref="D104:E104"/>
    <mergeCell ref="F104:G104"/>
    <mergeCell ref="H104:J104"/>
    <mergeCell ref="K104:M104"/>
    <mergeCell ref="F95:G95"/>
    <mergeCell ref="H95:J95"/>
    <mergeCell ref="H97:J97"/>
    <mergeCell ref="K97:M97"/>
    <mergeCell ref="D95:E95"/>
    <mergeCell ref="K95:M95"/>
    <mergeCell ref="H77:J77"/>
    <mergeCell ref="K77:M77"/>
    <mergeCell ref="H78:J78"/>
    <mergeCell ref="K78:M78"/>
    <mergeCell ref="B76:C76"/>
    <mergeCell ref="B77:C77"/>
    <mergeCell ref="D77:E77"/>
    <mergeCell ref="F77:G77"/>
    <mergeCell ref="B78:C78"/>
    <mergeCell ref="D78:E78"/>
    <mergeCell ref="F78:G78"/>
    <mergeCell ref="B93:C93"/>
    <mergeCell ref="D93:E93"/>
    <mergeCell ref="F93:G93"/>
    <mergeCell ref="H93:J93"/>
    <mergeCell ref="K93:M93"/>
    <mergeCell ref="D97:E97"/>
    <mergeCell ref="F97:G97"/>
    <mergeCell ref="B94:C94"/>
    <mergeCell ref="D94:E94"/>
    <mergeCell ref="F94:G94"/>
    <mergeCell ref="H94:J94"/>
    <mergeCell ref="K94:M94"/>
    <mergeCell ref="B81:C81"/>
    <mergeCell ref="D81:E81"/>
    <mergeCell ref="F81:G81"/>
    <mergeCell ref="H81:J81"/>
    <mergeCell ref="K81:M81"/>
    <mergeCell ref="B82:C82"/>
    <mergeCell ref="F82:G82"/>
    <mergeCell ref="B83:C83"/>
    <mergeCell ref="D83:E83"/>
    <mergeCell ref="B95:C95"/>
    <mergeCell ref="B96:C96"/>
    <mergeCell ref="D96:E96"/>
    <mergeCell ref="F96:G96"/>
    <mergeCell ref="H96:J96"/>
    <mergeCell ref="K96:M96"/>
    <mergeCell ref="B97:C97"/>
    <mergeCell ref="F85:G85"/>
    <mergeCell ref="H85:J85"/>
    <mergeCell ref="H86:J86"/>
    <mergeCell ref="K86:M86"/>
    <mergeCell ref="H87:J87"/>
    <mergeCell ref="K87:M87"/>
    <mergeCell ref="B84:C84"/>
    <mergeCell ref="D84:E84"/>
    <mergeCell ref="F84:G84"/>
    <mergeCell ref="H84:J84"/>
    <mergeCell ref="K84:M84"/>
    <mergeCell ref="D85:E85"/>
    <mergeCell ref="F86:G86"/>
    <mergeCell ref="B87:C87"/>
    <mergeCell ref="D87:E87"/>
    <mergeCell ref="F87:G87"/>
    <mergeCell ref="B89:C89"/>
    <mergeCell ref="D89:E89"/>
    <mergeCell ref="F89:G89"/>
    <mergeCell ref="H89:J89"/>
    <mergeCell ref="K89:M89"/>
    <mergeCell ref="B56:C56"/>
    <mergeCell ref="D56:E56"/>
    <mergeCell ref="F56:G56"/>
    <mergeCell ref="H56:J56"/>
    <mergeCell ref="K56:M56"/>
    <mergeCell ref="N56:U56"/>
    <mergeCell ref="H58:J58"/>
    <mergeCell ref="K58:M58"/>
    <mergeCell ref="B57:C57"/>
    <mergeCell ref="D57:E57"/>
    <mergeCell ref="F57:G57"/>
    <mergeCell ref="H57:J57"/>
    <mergeCell ref="K57:M57"/>
    <mergeCell ref="N57:U57"/>
    <mergeCell ref="B58:C58"/>
    <mergeCell ref="N58:U58"/>
    <mergeCell ref="F76:G76"/>
    <mergeCell ref="H76:J76"/>
    <mergeCell ref="B61:C61"/>
    <mergeCell ref="D61:E61"/>
    <mergeCell ref="F61:G61"/>
    <mergeCell ref="H61:J61"/>
    <mergeCell ref="K61:M61"/>
    <mergeCell ref="N61:U61"/>
    <mergeCell ref="B62:C62"/>
    <mergeCell ref="H62:J62"/>
    <mergeCell ref="K62:M62"/>
    <mergeCell ref="D63:E63"/>
    <mergeCell ref="F63:G63"/>
    <mergeCell ref="H63:J63"/>
    <mergeCell ref="K63:M63"/>
    <mergeCell ref="N63:U63"/>
    <mergeCell ref="K52:M52"/>
    <mergeCell ref="N52:U52"/>
    <mergeCell ref="H54:J54"/>
    <mergeCell ref="K54:M54"/>
    <mergeCell ref="B53:C53"/>
    <mergeCell ref="D53:E53"/>
    <mergeCell ref="F53:G53"/>
    <mergeCell ref="H53:J53"/>
    <mergeCell ref="K53:M53"/>
    <mergeCell ref="N53:U53"/>
    <mergeCell ref="B54:C54"/>
    <mergeCell ref="N54:U54"/>
    <mergeCell ref="D54:E54"/>
    <mergeCell ref="F54:G54"/>
    <mergeCell ref="D55:E55"/>
    <mergeCell ref="F55:G55"/>
    <mergeCell ref="H55:J55"/>
    <mergeCell ref="K55:M55"/>
    <mergeCell ref="N55:U55"/>
    <mergeCell ref="B55:C55"/>
    <mergeCell ref="D62:E62"/>
    <mergeCell ref="F62:G62"/>
    <mergeCell ref="N62:U62"/>
    <mergeCell ref="D46:E46"/>
    <mergeCell ref="F46:G46"/>
    <mergeCell ref="D47:E47"/>
    <mergeCell ref="F47:G47"/>
    <mergeCell ref="H47:J47"/>
    <mergeCell ref="K47:M47"/>
    <mergeCell ref="N47:U47"/>
    <mergeCell ref="B47:C47"/>
    <mergeCell ref="B48:C48"/>
    <mergeCell ref="D48:E48"/>
    <mergeCell ref="F48:G48"/>
    <mergeCell ref="H48:J48"/>
    <mergeCell ref="K48:M48"/>
    <mergeCell ref="N48:U48"/>
    <mergeCell ref="H50:J50"/>
    <mergeCell ref="K50:M50"/>
    <mergeCell ref="B49:C49"/>
    <mergeCell ref="D49:E49"/>
    <mergeCell ref="F49:G49"/>
    <mergeCell ref="H49:J49"/>
    <mergeCell ref="K49:M49"/>
    <mergeCell ref="N49:U49"/>
    <mergeCell ref="B50:C50"/>
    <mergeCell ref="N50:U50"/>
    <mergeCell ref="D50:E50"/>
    <mergeCell ref="F50:G50"/>
    <mergeCell ref="D51:E51"/>
    <mergeCell ref="F51:G51"/>
    <mergeCell ref="H51:J51"/>
    <mergeCell ref="B16:C16"/>
    <mergeCell ref="D16:E16"/>
    <mergeCell ref="F16:G16"/>
    <mergeCell ref="H16:J16"/>
    <mergeCell ref="K16:M16"/>
    <mergeCell ref="N16:U16"/>
    <mergeCell ref="B17:C17"/>
    <mergeCell ref="N17:U17"/>
    <mergeCell ref="F19:G19"/>
    <mergeCell ref="H19:J19"/>
    <mergeCell ref="K19:M19"/>
    <mergeCell ref="N19:U19"/>
    <mergeCell ref="B20:C20"/>
    <mergeCell ref="D20:E20"/>
    <mergeCell ref="F20:G20"/>
    <mergeCell ref="H20:J20"/>
    <mergeCell ref="K20:M20"/>
    <mergeCell ref="N20:U20"/>
    <mergeCell ref="D17:E17"/>
    <mergeCell ref="F17:G17"/>
    <mergeCell ref="B18:C18"/>
    <mergeCell ref="D18:E18"/>
    <mergeCell ref="F18:G18"/>
    <mergeCell ref="B19:C19"/>
    <mergeCell ref="D19:E19"/>
    <mergeCell ref="D58:E58"/>
    <mergeCell ref="F58:G58"/>
    <mergeCell ref="D59:E59"/>
    <mergeCell ref="F59:G59"/>
    <mergeCell ref="H59:J59"/>
    <mergeCell ref="K59:M59"/>
    <mergeCell ref="N59:U59"/>
    <mergeCell ref="B59:C59"/>
    <mergeCell ref="B60:C60"/>
    <mergeCell ref="D60:E60"/>
    <mergeCell ref="F60:G60"/>
    <mergeCell ref="H60:J60"/>
    <mergeCell ref="K60:M60"/>
    <mergeCell ref="N60:U60"/>
    <mergeCell ref="H17:J17"/>
    <mergeCell ref="K17:M17"/>
    <mergeCell ref="H18:J18"/>
    <mergeCell ref="K18:M18"/>
    <mergeCell ref="N18:U18"/>
    <mergeCell ref="B21:C21"/>
    <mergeCell ref="D21:E21"/>
    <mergeCell ref="F21:G21"/>
    <mergeCell ref="H21:J21"/>
    <mergeCell ref="K21:M21"/>
    <mergeCell ref="N21:U21"/>
    <mergeCell ref="K51:M51"/>
    <mergeCell ref="N51:U51"/>
    <mergeCell ref="B51:C51"/>
    <mergeCell ref="B52:C52"/>
    <mergeCell ref="D52:E52"/>
    <mergeCell ref="F52:G52"/>
    <mergeCell ref="H52:J52"/>
    <mergeCell ref="D43:E43"/>
    <mergeCell ref="F43:G43"/>
    <mergeCell ref="H43:J43"/>
    <mergeCell ref="K43:M43"/>
    <mergeCell ref="N43:U43"/>
    <mergeCell ref="B43:C43"/>
    <mergeCell ref="B44:C44"/>
    <mergeCell ref="D44:E44"/>
    <mergeCell ref="F44:G44"/>
    <mergeCell ref="H44:J44"/>
    <mergeCell ref="K44:M44"/>
    <mergeCell ref="N44:U44"/>
    <mergeCell ref="H46:J46"/>
    <mergeCell ref="K46:M46"/>
    <mergeCell ref="B45:C45"/>
    <mergeCell ref="D45:E45"/>
    <mergeCell ref="F45:G45"/>
    <mergeCell ref="H45:J45"/>
    <mergeCell ref="K45:M45"/>
    <mergeCell ref="N45:U45"/>
    <mergeCell ref="B46:C46"/>
    <mergeCell ref="N46:U46"/>
    <mergeCell ref="D39:E39"/>
    <mergeCell ref="F39:G39"/>
    <mergeCell ref="H39:J39"/>
    <mergeCell ref="K39:M39"/>
    <mergeCell ref="N39:U39"/>
    <mergeCell ref="B39:C39"/>
    <mergeCell ref="B40:C40"/>
    <mergeCell ref="D40:E40"/>
    <mergeCell ref="F40:G40"/>
    <mergeCell ref="H40:J40"/>
    <mergeCell ref="K40:M40"/>
    <mergeCell ref="N40:U40"/>
    <mergeCell ref="H42:J42"/>
    <mergeCell ref="K42:M42"/>
    <mergeCell ref="B41:C41"/>
    <mergeCell ref="D41:E41"/>
    <mergeCell ref="F41:G41"/>
    <mergeCell ref="H41:J41"/>
    <mergeCell ref="K41:M41"/>
    <mergeCell ref="N41:U41"/>
    <mergeCell ref="B42:C42"/>
    <mergeCell ref="N42:U42"/>
    <mergeCell ref="D42:E42"/>
    <mergeCell ref="F42:G42"/>
    <mergeCell ref="K36:M36"/>
    <mergeCell ref="N36:U36"/>
    <mergeCell ref="D35:E35"/>
    <mergeCell ref="F35:G35"/>
    <mergeCell ref="N35:U35"/>
    <mergeCell ref="B36:C36"/>
    <mergeCell ref="D36:E36"/>
    <mergeCell ref="F36:G36"/>
    <mergeCell ref="H36:J36"/>
    <mergeCell ref="H38:J38"/>
    <mergeCell ref="K38:M38"/>
    <mergeCell ref="B37:C37"/>
    <mergeCell ref="D37:E37"/>
    <mergeCell ref="F37:G37"/>
    <mergeCell ref="H37:J37"/>
    <mergeCell ref="K37:M37"/>
    <mergeCell ref="N37:U37"/>
    <mergeCell ref="B38:C38"/>
    <mergeCell ref="N38:U38"/>
    <mergeCell ref="D38:E38"/>
    <mergeCell ref="F38:G38"/>
    <mergeCell ref="H35:J35"/>
    <mergeCell ref="K35:M35"/>
    <mergeCell ref="B34:C34"/>
    <mergeCell ref="D34:E34"/>
    <mergeCell ref="F34:G34"/>
    <mergeCell ref="H34:J34"/>
    <mergeCell ref="K34:M34"/>
    <mergeCell ref="N34:U34"/>
    <mergeCell ref="B35:C35"/>
    <mergeCell ref="D31:E31"/>
    <mergeCell ref="F31:G31"/>
    <mergeCell ref="D32:E32"/>
    <mergeCell ref="F32:G32"/>
    <mergeCell ref="H32:J32"/>
    <mergeCell ref="K32:M32"/>
    <mergeCell ref="N32:U32"/>
    <mergeCell ref="B32:C32"/>
    <mergeCell ref="B33:C33"/>
    <mergeCell ref="D33:E33"/>
    <mergeCell ref="F33:G33"/>
    <mergeCell ref="H33:J33"/>
    <mergeCell ref="K33:M33"/>
    <mergeCell ref="N33:U33"/>
    <mergeCell ref="D28:E28"/>
    <mergeCell ref="F28:G28"/>
    <mergeCell ref="H28:J28"/>
    <mergeCell ref="K28:M28"/>
    <mergeCell ref="N28:U28"/>
    <mergeCell ref="B28:C28"/>
    <mergeCell ref="B29:C29"/>
    <mergeCell ref="D29:E29"/>
    <mergeCell ref="F29:G29"/>
    <mergeCell ref="H29:J29"/>
    <mergeCell ref="K29:M29"/>
    <mergeCell ref="N29:U29"/>
    <mergeCell ref="H31:J31"/>
    <mergeCell ref="K31:M31"/>
    <mergeCell ref="B30:C30"/>
    <mergeCell ref="D30:E30"/>
    <mergeCell ref="F30:G30"/>
    <mergeCell ref="H30:J30"/>
    <mergeCell ref="K30:M30"/>
    <mergeCell ref="N30:U30"/>
    <mergeCell ref="B31:C31"/>
    <mergeCell ref="N31:U31"/>
    <mergeCell ref="B25:C25"/>
    <mergeCell ref="D25:E25"/>
    <mergeCell ref="F25:G25"/>
    <mergeCell ref="H25:J25"/>
    <mergeCell ref="K25:M25"/>
    <mergeCell ref="N25:U25"/>
    <mergeCell ref="H27:J27"/>
    <mergeCell ref="K27:M27"/>
    <mergeCell ref="B26:C26"/>
    <mergeCell ref="D26:E26"/>
    <mergeCell ref="F26:G26"/>
    <mergeCell ref="H26:J26"/>
    <mergeCell ref="K26:M26"/>
    <mergeCell ref="N26:U26"/>
    <mergeCell ref="B27:C27"/>
    <mergeCell ref="N27:U27"/>
    <mergeCell ref="D27:E27"/>
    <mergeCell ref="F27:G27"/>
    <mergeCell ref="H23:J23"/>
    <mergeCell ref="K23:M23"/>
    <mergeCell ref="B22:C22"/>
    <mergeCell ref="D22:E22"/>
    <mergeCell ref="F22:G22"/>
    <mergeCell ref="H22:J22"/>
    <mergeCell ref="K22:M22"/>
    <mergeCell ref="N22:U22"/>
    <mergeCell ref="B23:C23"/>
    <mergeCell ref="N23:U23"/>
    <mergeCell ref="D23:E23"/>
    <mergeCell ref="F23:G23"/>
    <mergeCell ref="D24:E24"/>
    <mergeCell ref="F24:G24"/>
    <mergeCell ref="H24:J24"/>
    <mergeCell ref="K24:M24"/>
    <mergeCell ref="N24:U24"/>
    <mergeCell ref="B24:C24"/>
    <mergeCell ref="K14:M14"/>
    <mergeCell ref="N14:U14"/>
    <mergeCell ref="N15:U15"/>
    <mergeCell ref="A10:AU10"/>
    <mergeCell ref="A11:AU11"/>
    <mergeCell ref="A12:E13"/>
    <mergeCell ref="F12:M13"/>
    <mergeCell ref="N12:U13"/>
    <mergeCell ref="B14:C14"/>
    <mergeCell ref="D14:E14"/>
    <mergeCell ref="F14:G14"/>
    <mergeCell ref="H14:J14"/>
    <mergeCell ref="B15:C15"/>
    <mergeCell ref="D15:E15"/>
    <mergeCell ref="F15:G15"/>
    <mergeCell ref="H15:J15"/>
    <mergeCell ref="K15:M15"/>
    <mergeCell ref="B1:C1"/>
    <mergeCell ref="D1:E1"/>
    <mergeCell ref="F1:G1"/>
    <mergeCell ref="H1:J1"/>
    <mergeCell ref="K1:M1"/>
    <mergeCell ref="N1:U1"/>
    <mergeCell ref="A2:AU2"/>
    <mergeCell ref="AE5:AJ5"/>
    <mergeCell ref="AE6:AJ6"/>
    <mergeCell ref="AE7:AJ7"/>
    <mergeCell ref="AK7:AU7"/>
    <mergeCell ref="AE8:AJ8"/>
    <mergeCell ref="AK8:AU8"/>
    <mergeCell ref="AE9:AJ9"/>
    <mergeCell ref="AK9:AU9"/>
    <mergeCell ref="A3:AU3"/>
    <mergeCell ref="A4:AU4"/>
    <mergeCell ref="A5:O5"/>
    <mergeCell ref="P5:AC5"/>
    <mergeCell ref="AK5:AU5"/>
    <mergeCell ref="P6:AC6"/>
    <mergeCell ref="AK6:AU6"/>
    <mergeCell ref="A6:O6"/>
    <mergeCell ref="A7:O7"/>
    <mergeCell ref="P7:AC8"/>
    <mergeCell ref="A8:O8"/>
    <mergeCell ref="A9:O9"/>
    <mergeCell ref="P9:Y9"/>
    <mergeCell ref="Z9:AC9"/>
  </mergeCells>
  <conditionalFormatting sqref="A15:E1514">
    <cfRule type="expression" dxfId="19" priority="1">
      <formula>#REF!="YES"</formula>
    </cfRule>
  </conditionalFormatting>
  <pageMargins left="0" right="0" top="0.75" bottom="0.75" header="0" footer="0"/>
  <pageSetup paperSize="3"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'Drop-Down Boxes '!$H$3:$H$11</xm:f>
          </x14:formula1>
          <xm:sqref>Z9</xm:sqref>
        </x14:dataValidation>
        <x14:dataValidation type="list" allowBlank="1" showErrorMessage="1" xr:uid="{00000000-0002-0000-0200-000001000000}">
          <x14:formula1>
            <xm:f>'Drop-Down Boxes '!$O$84:$O$86</xm:f>
          </x14:formula1>
          <xm:sqref>H15:H1514</xm:sqref>
        </x14:dataValidation>
        <x14:dataValidation type="list" allowBlank="1" showErrorMessage="1" xr:uid="{00000000-0002-0000-0200-000002000000}">
          <x14:formula1>
            <xm:f>'Drop-Down Boxes '!$D$3:$D$14</xm:f>
          </x14:formula1>
          <xm:sqref>P9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BV1724"/>
  <sheetViews>
    <sheetView workbookViewId="0">
      <pane ySplit="1" topLeftCell="A2" activePane="bottomLeft" state="frozen"/>
      <selection pane="bottomLeft" activeCell="A3" sqref="A3:BV3"/>
    </sheetView>
  </sheetViews>
  <sheetFormatPr defaultColWidth="14.42578125" defaultRowHeight="15" customHeight="1" x14ac:dyDescent="0.25"/>
  <cols>
    <col min="1" max="1" width="5.28515625" customWidth="1"/>
    <col min="2" max="6" width="5.7109375" customWidth="1"/>
    <col min="7" max="7" width="4.85546875" customWidth="1"/>
    <col min="8" max="11" width="5.7109375" customWidth="1"/>
    <col min="12" max="12" width="6.7109375" customWidth="1"/>
    <col min="13" max="13" width="6.85546875" customWidth="1"/>
    <col min="14" max="14" width="6.5703125" customWidth="1"/>
    <col min="15" max="15" width="6" customWidth="1"/>
    <col min="16" max="19" width="5.7109375" customWidth="1"/>
    <col min="20" max="20" width="4.85546875" customWidth="1"/>
    <col min="21" max="21" width="4.42578125" customWidth="1"/>
    <col min="22" max="33" width="5.7109375" customWidth="1"/>
    <col min="34" max="34" width="6.5703125" customWidth="1"/>
    <col min="35" max="35" width="6.7109375" customWidth="1"/>
    <col min="36" max="36" width="7.28515625" customWidth="1"/>
    <col min="37" max="37" width="7.5703125" customWidth="1"/>
    <col min="38" max="42" width="5.7109375" customWidth="1"/>
    <col min="43" max="43" width="6.7109375" customWidth="1"/>
    <col min="44" max="44" width="6.5703125" customWidth="1"/>
    <col min="45" max="45" width="7.140625" customWidth="1"/>
    <col min="46" max="49" width="5.7109375" customWidth="1"/>
    <col min="50" max="52" width="4.7109375" customWidth="1"/>
    <col min="53" max="54" width="5.7109375" customWidth="1"/>
    <col min="55" max="55" width="6.140625" customWidth="1"/>
    <col min="56" max="56" width="4.7109375" customWidth="1"/>
    <col min="57" max="57" width="6.140625" customWidth="1"/>
    <col min="58" max="63" width="4.7109375" customWidth="1"/>
    <col min="64" max="64" width="5.85546875" customWidth="1"/>
    <col min="65" max="74" width="4.7109375" customWidth="1"/>
  </cols>
  <sheetData>
    <row r="1" spans="1:74" ht="64.5" customHeight="1" x14ac:dyDescent="0.25">
      <c r="A1" s="10" t="s">
        <v>294</v>
      </c>
      <c r="B1" s="522" t="s">
        <v>319</v>
      </c>
      <c r="C1" s="327"/>
      <c r="D1" s="523" t="s">
        <v>320</v>
      </c>
      <c r="E1" s="327"/>
      <c r="F1" s="451" t="s">
        <v>345</v>
      </c>
      <c r="G1" s="327"/>
      <c r="H1" s="451" t="s">
        <v>346</v>
      </c>
      <c r="I1" s="327"/>
      <c r="J1" s="497" t="s">
        <v>347</v>
      </c>
      <c r="K1" s="327"/>
      <c r="L1" s="506" t="s">
        <v>348</v>
      </c>
      <c r="M1" s="327"/>
      <c r="N1" s="12" t="s">
        <v>349</v>
      </c>
      <c r="O1" s="13" t="s">
        <v>350</v>
      </c>
      <c r="P1" s="524" t="s">
        <v>351</v>
      </c>
      <c r="Q1" s="327"/>
      <c r="R1" s="516" t="s">
        <v>352</v>
      </c>
      <c r="S1" s="327"/>
      <c r="T1" s="525" t="s">
        <v>353</v>
      </c>
      <c r="U1" s="327"/>
      <c r="V1" s="512" t="s">
        <v>354</v>
      </c>
      <c r="W1" s="327"/>
      <c r="X1" s="526" t="s">
        <v>355</v>
      </c>
      <c r="Y1" s="326"/>
      <c r="Z1" s="326"/>
      <c r="AA1" s="327"/>
      <c r="AB1" s="451" t="s">
        <v>356</v>
      </c>
      <c r="AC1" s="326"/>
      <c r="AD1" s="326"/>
      <c r="AE1" s="327"/>
      <c r="AF1" s="514" t="s">
        <v>357</v>
      </c>
      <c r="AG1" s="327"/>
      <c r="AH1" s="515" t="s">
        <v>358</v>
      </c>
      <c r="AI1" s="327"/>
      <c r="AJ1" s="527" t="s">
        <v>359</v>
      </c>
      <c r="AK1" s="327"/>
      <c r="AL1" s="451" t="s">
        <v>360</v>
      </c>
      <c r="AM1" s="327"/>
      <c r="AN1" s="526" t="s">
        <v>361</v>
      </c>
      <c r="AO1" s="327"/>
      <c r="AP1" s="497" t="s">
        <v>362</v>
      </c>
      <c r="AQ1" s="327"/>
      <c r="AR1" s="527" t="s">
        <v>363</v>
      </c>
      <c r="AS1" s="327"/>
      <c r="AT1" s="497" t="s">
        <v>364</v>
      </c>
      <c r="AU1" s="327"/>
      <c r="AV1" s="451" t="s">
        <v>365</v>
      </c>
      <c r="AW1" s="327"/>
      <c r="AX1" s="529" t="s">
        <v>366</v>
      </c>
      <c r="AY1" s="326"/>
      <c r="AZ1" s="327"/>
      <c r="BA1" s="530" t="s">
        <v>367</v>
      </c>
      <c r="BB1" s="327"/>
      <c r="BC1" s="14" t="s">
        <v>368</v>
      </c>
      <c r="BD1" s="531" t="s">
        <v>369</v>
      </c>
      <c r="BE1" s="327"/>
      <c r="BF1" s="530" t="s">
        <v>370</v>
      </c>
      <c r="BG1" s="326"/>
      <c r="BH1" s="326"/>
      <c r="BI1" s="327"/>
      <c r="BJ1" s="449" t="s">
        <v>371</v>
      </c>
      <c r="BK1" s="326"/>
      <c r="BL1" s="326"/>
      <c r="BM1" s="327"/>
      <c r="BN1" s="503" t="s">
        <v>324</v>
      </c>
      <c r="BO1" s="326"/>
      <c r="BP1" s="326"/>
      <c r="BQ1" s="326"/>
      <c r="BR1" s="326"/>
      <c r="BS1" s="326"/>
      <c r="BT1" s="326"/>
      <c r="BU1" s="326"/>
      <c r="BV1" s="327"/>
    </row>
    <row r="2" spans="1:74" ht="19.5" customHeight="1" x14ac:dyDescent="0.25">
      <c r="A2" s="432" t="str">
        <f>'GRANTEE SET UP INFO &amp; DATE '!A1</f>
        <v>WV Bureau for Behavioral Healh - Peer Recovery Support Services  V 20200110</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47"/>
      <c r="BU2" s="347"/>
      <c r="BV2" s="354"/>
    </row>
    <row r="3" spans="1:74" ht="19.5" customHeight="1" x14ac:dyDescent="0.25">
      <c r="A3" s="433" t="str">
        <f>'GRANTEE SET UP INFO &amp; DATE '!A2</f>
        <v>Program reports need to be submitted electronically, via e-mail to BBHReporting@wv.gov within 25 calendar days of the end of each month.</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47"/>
      <c r="AV3" s="347"/>
      <c r="AW3" s="347"/>
      <c r="AX3" s="347"/>
      <c r="AY3" s="347"/>
      <c r="AZ3" s="347"/>
      <c r="BA3" s="347"/>
      <c r="BB3" s="347"/>
      <c r="BC3" s="347"/>
      <c r="BD3" s="347"/>
      <c r="BE3" s="347"/>
      <c r="BF3" s="347"/>
      <c r="BG3" s="347"/>
      <c r="BH3" s="347"/>
      <c r="BI3" s="347"/>
      <c r="BJ3" s="347"/>
      <c r="BK3" s="347"/>
      <c r="BL3" s="347"/>
      <c r="BM3" s="347"/>
      <c r="BN3" s="347"/>
      <c r="BO3" s="347"/>
      <c r="BP3" s="347"/>
      <c r="BQ3" s="347"/>
      <c r="BR3" s="347"/>
      <c r="BS3" s="347"/>
      <c r="BT3" s="347"/>
      <c r="BU3" s="347"/>
      <c r="BV3" s="354"/>
    </row>
    <row r="4" spans="1:74" ht="9.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row>
    <row r="5" spans="1:74" ht="27.75" customHeight="1" x14ac:dyDescent="0.25">
      <c r="A5" s="459" t="s">
        <v>372</v>
      </c>
      <c r="B5" s="347"/>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7"/>
      <c r="AK5" s="347"/>
      <c r="AL5" s="347"/>
      <c r="AM5" s="347"/>
      <c r="AN5" s="347"/>
      <c r="AO5" s="354"/>
      <c r="AP5" s="8"/>
      <c r="AQ5" s="8"/>
      <c r="AR5" s="528"/>
      <c r="AS5" s="332"/>
      <c r="AT5" s="332"/>
      <c r="AU5" s="332"/>
      <c r="AV5" s="332"/>
      <c r="AW5" s="332"/>
      <c r="AX5" s="332"/>
      <c r="AY5" s="332"/>
      <c r="AZ5" s="332"/>
      <c r="BA5" s="332"/>
      <c r="BB5" s="332"/>
      <c r="BC5" s="332"/>
      <c r="BD5" s="332"/>
      <c r="BE5" s="332"/>
      <c r="BF5" s="332"/>
      <c r="BG5" s="332"/>
      <c r="BH5" s="332"/>
      <c r="BI5" s="332"/>
      <c r="BJ5" s="332"/>
      <c r="BK5" s="332"/>
      <c r="BL5" s="332"/>
      <c r="BM5" s="332"/>
      <c r="BN5" s="332"/>
      <c r="BO5" s="332"/>
      <c r="BP5" s="332"/>
      <c r="BQ5" s="332"/>
      <c r="BR5" s="332"/>
      <c r="BS5" s="332"/>
      <c r="BT5" s="332"/>
      <c r="BU5" s="332"/>
      <c r="BV5" s="333"/>
    </row>
    <row r="6" spans="1:74" ht="30" customHeight="1" x14ac:dyDescent="0.25">
      <c r="A6" s="460" t="s">
        <v>373</v>
      </c>
      <c r="B6" s="350"/>
      <c r="C6" s="350"/>
      <c r="D6" s="350"/>
      <c r="E6" s="350"/>
      <c r="F6" s="350"/>
      <c r="G6" s="358"/>
      <c r="H6" s="461" t="str">
        <f>'GRANTEE SET UP INFO &amp; DATE '!H4</f>
        <v xml:space="preserve">SA Peer Recovery Support Specialist </v>
      </c>
      <c r="I6" s="338"/>
      <c r="J6" s="338"/>
      <c r="K6" s="338"/>
      <c r="L6" s="338"/>
      <c r="M6" s="338"/>
      <c r="N6" s="338"/>
      <c r="O6" s="338"/>
      <c r="P6" s="338"/>
      <c r="Q6" s="338"/>
      <c r="R6" s="338"/>
      <c r="S6" s="338"/>
      <c r="T6" s="338"/>
      <c r="U6" s="339"/>
      <c r="V6" s="454" t="s">
        <v>31</v>
      </c>
      <c r="W6" s="326"/>
      <c r="X6" s="326"/>
      <c r="Y6" s="326"/>
      <c r="Z6" s="326"/>
      <c r="AA6" s="326"/>
      <c r="AB6" s="327"/>
      <c r="AC6" s="462" t="str">
        <f>'GRANTEE SET UP INFO &amp; DATE '!Z4</f>
        <v xml:space="preserve">Grantee formal Name (name on grant agreement) </v>
      </c>
      <c r="AD6" s="326"/>
      <c r="AE6" s="326"/>
      <c r="AF6" s="326"/>
      <c r="AG6" s="326"/>
      <c r="AH6" s="326"/>
      <c r="AI6" s="326"/>
      <c r="AJ6" s="326"/>
      <c r="AK6" s="326"/>
      <c r="AL6" s="326"/>
      <c r="AM6" s="326"/>
      <c r="AN6" s="326"/>
      <c r="AO6" s="326"/>
      <c r="AP6" s="326"/>
      <c r="AQ6" s="327"/>
      <c r="AR6" s="334"/>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6"/>
    </row>
    <row r="7" spans="1:74" x14ac:dyDescent="0.25">
      <c r="A7" s="456" t="s">
        <v>374</v>
      </c>
      <c r="B7" s="326"/>
      <c r="C7" s="326"/>
      <c r="D7" s="326"/>
      <c r="E7" s="326"/>
      <c r="F7" s="326"/>
      <c r="G7" s="408"/>
      <c r="H7" s="381" t="str">
        <f>'GRANTEE SET UP INFO &amp; DATE '!H5</f>
        <v xml:space="preserve"> SA Peer Recovery Support Specialist </v>
      </c>
      <c r="I7" s="326"/>
      <c r="J7" s="326"/>
      <c r="K7" s="326"/>
      <c r="L7" s="326"/>
      <c r="M7" s="326"/>
      <c r="N7" s="326"/>
      <c r="O7" s="326"/>
      <c r="P7" s="326"/>
      <c r="Q7" s="326"/>
      <c r="R7" s="326"/>
      <c r="S7" s="326"/>
      <c r="T7" s="326"/>
      <c r="U7" s="327"/>
      <c r="V7" s="455" t="s">
        <v>35</v>
      </c>
      <c r="W7" s="326"/>
      <c r="X7" s="326"/>
      <c r="Y7" s="326"/>
      <c r="Z7" s="326"/>
      <c r="AA7" s="326"/>
      <c r="AB7" s="327"/>
      <c r="AC7" s="382" t="str">
        <f>'GRANTEE SET UP INFO &amp; DATE '!Z5</f>
        <v>Names of Contact(s):</v>
      </c>
      <c r="AD7" s="326"/>
      <c r="AE7" s="326"/>
      <c r="AF7" s="326"/>
      <c r="AG7" s="326"/>
      <c r="AH7" s="326"/>
      <c r="AI7" s="326"/>
      <c r="AJ7" s="326"/>
      <c r="AK7" s="326"/>
      <c r="AL7" s="326"/>
      <c r="AM7" s="326"/>
      <c r="AN7" s="326"/>
      <c r="AO7" s="326"/>
      <c r="AP7" s="326"/>
      <c r="AQ7" s="327"/>
      <c r="AR7" s="334"/>
      <c r="AS7" s="335"/>
      <c r="AT7" s="335"/>
      <c r="AU7" s="335"/>
      <c r="AV7" s="335"/>
      <c r="AW7" s="335"/>
      <c r="AX7" s="335"/>
      <c r="AY7" s="335"/>
      <c r="AZ7" s="335"/>
      <c r="BA7" s="335"/>
      <c r="BB7" s="335"/>
      <c r="BC7" s="335"/>
      <c r="BD7" s="335"/>
      <c r="BE7" s="335"/>
      <c r="BF7" s="335"/>
      <c r="BG7" s="335"/>
      <c r="BH7" s="335"/>
      <c r="BI7" s="335"/>
      <c r="BJ7" s="335"/>
      <c r="BK7" s="335"/>
      <c r="BL7" s="335"/>
      <c r="BM7" s="335"/>
      <c r="BN7" s="335"/>
      <c r="BO7" s="335"/>
      <c r="BP7" s="335"/>
      <c r="BQ7" s="335"/>
      <c r="BR7" s="335"/>
      <c r="BS7" s="335"/>
      <c r="BT7" s="335"/>
      <c r="BU7" s="335"/>
      <c r="BV7" s="336"/>
    </row>
    <row r="8" spans="1:74" ht="14.25" customHeight="1" x14ac:dyDescent="0.25">
      <c r="A8" s="463" t="s">
        <v>37</v>
      </c>
      <c r="B8" s="344"/>
      <c r="C8" s="344"/>
      <c r="D8" s="344"/>
      <c r="E8" s="344"/>
      <c r="F8" s="344"/>
      <c r="G8" s="470"/>
      <c r="H8" s="464" t="str">
        <f>'GRANTEE SET UP INFO &amp; DATE '!H6</f>
        <v>123 Any Street, Any City, WV 12345</v>
      </c>
      <c r="I8" s="332"/>
      <c r="J8" s="332"/>
      <c r="K8" s="332"/>
      <c r="L8" s="332"/>
      <c r="M8" s="332"/>
      <c r="N8" s="332"/>
      <c r="O8" s="332"/>
      <c r="P8" s="332"/>
      <c r="Q8" s="332"/>
      <c r="R8" s="332"/>
      <c r="S8" s="332"/>
      <c r="T8" s="332"/>
      <c r="U8" s="333"/>
      <c r="V8" s="456" t="s">
        <v>375</v>
      </c>
      <c r="W8" s="326"/>
      <c r="X8" s="326"/>
      <c r="Y8" s="326"/>
      <c r="Z8" s="326"/>
      <c r="AA8" s="326"/>
      <c r="AB8" s="327"/>
      <c r="AC8" s="381" t="str">
        <f>'GRANTEE SET UP INFO &amp; DATE '!Z6</f>
        <v>Phone numbers for contacts</v>
      </c>
      <c r="AD8" s="326"/>
      <c r="AE8" s="326"/>
      <c r="AF8" s="326"/>
      <c r="AG8" s="326"/>
      <c r="AH8" s="326"/>
      <c r="AI8" s="326"/>
      <c r="AJ8" s="326"/>
      <c r="AK8" s="326"/>
      <c r="AL8" s="326"/>
      <c r="AM8" s="326"/>
      <c r="AN8" s="326"/>
      <c r="AO8" s="326"/>
      <c r="AP8" s="326"/>
      <c r="AQ8" s="327"/>
      <c r="AR8" s="334"/>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6"/>
    </row>
    <row r="9" spans="1:74" x14ac:dyDescent="0.25">
      <c r="A9" s="465"/>
      <c r="B9" s="350"/>
      <c r="C9" s="350"/>
      <c r="D9" s="350"/>
      <c r="E9" s="350"/>
      <c r="F9" s="350"/>
      <c r="G9" s="358"/>
      <c r="H9" s="337"/>
      <c r="I9" s="338"/>
      <c r="J9" s="338"/>
      <c r="K9" s="338"/>
      <c r="L9" s="338"/>
      <c r="M9" s="338"/>
      <c r="N9" s="338"/>
      <c r="O9" s="338"/>
      <c r="P9" s="338"/>
      <c r="Q9" s="338"/>
      <c r="R9" s="338"/>
      <c r="S9" s="338"/>
      <c r="T9" s="338"/>
      <c r="U9" s="339"/>
      <c r="V9" s="456" t="s">
        <v>376</v>
      </c>
      <c r="W9" s="326"/>
      <c r="X9" s="326"/>
      <c r="Y9" s="326"/>
      <c r="Z9" s="326"/>
      <c r="AA9" s="326"/>
      <c r="AB9" s="327"/>
      <c r="AC9" s="381" t="str">
        <f>'GRANTEE SET UP INFO &amp; DATE '!Z7</f>
        <v xml:space="preserve">number on grant agreement or TFB </v>
      </c>
      <c r="AD9" s="326"/>
      <c r="AE9" s="326"/>
      <c r="AF9" s="326"/>
      <c r="AG9" s="326"/>
      <c r="AH9" s="326"/>
      <c r="AI9" s="326"/>
      <c r="AJ9" s="326"/>
      <c r="AK9" s="326"/>
      <c r="AL9" s="326"/>
      <c r="AM9" s="326"/>
      <c r="AN9" s="326"/>
      <c r="AO9" s="326"/>
      <c r="AP9" s="326"/>
      <c r="AQ9" s="327"/>
      <c r="AR9" s="334"/>
      <c r="AS9" s="335"/>
      <c r="AT9" s="335"/>
      <c r="AU9" s="335"/>
      <c r="AV9" s="335"/>
      <c r="AW9" s="335"/>
      <c r="AX9" s="335"/>
      <c r="AY9" s="335"/>
      <c r="AZ9" s="335"/>
      <c r="BA9" s="335"/>
      <c r="BB9" s="335"/>
      <c r="BC9" s="335"/>
      <c r="BD9" s="335"/>
      <c r="BE9" s="335"/>
      <c r="BF9" s="335"/>
      <c r="BG9" s="335"/>
      <c r="BH9" s="335"/>
      <c r="BI9" s="335"/>
      <c r="BJ9" s="335"/>
      <c r="BK9" s="335"/>
      <c r="BL9" s="335"/>
      <c r="BM9" s="335"/>
      <c r="BN9" s="335"/>
      <c r="BO9" s="335"/>
      <c r="BP9" s="335"/>
      <c r="BQ9" s="335"/>
      <c r="BR9" s="335"/>
      <c r="BS9" s="335"/>
      <c r="BT9" s="335"/>
      <c r="BU9" s="335"/>
      <c r="BV9" s="336"/>
    </row>
    <row r="10" spans="1:74" ht="19.5" customHeight="1" x14ac:dyDescent="0.25">
      <c r="A10" s="466" t="s">
        <v>377</v>
      </c>
      <c r="B10" s="326"/>
      <c r="C10" s="326"/>
      <c r="D10" s="326"/>
      <c r="E10" s="326"/>
      <c r="F10" s="326"/>
      <c r="G10" s="408"/>
      <c r="H10" s="443" t="str">
        <f>'GRANTEE SET UP INFO &amp; DATE '!H8</f>
        <v>October 1 - 31</v>
      </c>
      <c r="I10" s="326"/>
      <c r="J10" s="326"/>
      <c r="K10" s="326"/>
      <c r="L10" s="326"/>
      <c r="M10" s="326"/>
      <c r="N10" s="326"/>
      <c r="O10" s="326"/>
      <c r="P10" s="326"/>
      <c r="Q10" s="327"/>
      <c r="R10" s="443">
        <f>'GRANTEE SET UP INFO &amp; DATE '!P8</f>
        <v>2026</v>
      </c>
      <c r="S10" s="326"/>
      <c r="T10" s="326"/>
      <c r="U10" s="327"/>
      <c r="V10" s="457" t="s">
        <v>378</v>
      </c>
      <c r="W10" s="326"/>
      <c r="X10" s="326"/>
      <c r="Y10" s="326"/>
      <c r="Z10" s="326"/>
      <c r="AA10" s="326"/>
      <c r="AB10" s="327"/>
      <c r="AC10" s="458" t="str">
        <f>'GRANTEE SET UP INFO &amp; DATE '!Z8</f>
        <v>program code can locate on SOW or  TFB</v>
      </c>
      <c r="AD10" s="326"/>
      <c r="AE10" s="326"/>
      <c r="AF10" s="326"/>
      <c r="AG10" s="326"/>
      <c r="AH10" s="326"/>
      <c r="AI10" s="326"/>
      <c r="AJ10" s="326"/>
      <c r="AK10" s="326"/>
      <c r="AL10" s="326"/>
      <c r="AM10" s="326"/>
      <c r="AN10" s="326"/>
      <c r="AO10" s="326"/>
      <c r="AP10" s="326"/>
      <c r="AQ10" s="327"/>
      <c r="AR10" s="334"/>
      <c r="AS10" s="335"/>
      <c r="AT10" s="335"/>
      <c r="AU10" s="335"/>
      <c r="AV10" s="335"/>
      <c r="AW10" s="335"/>
      <c r="AX10" s="335"/>
      <c r="AY10" s="335"/>
      <c r="AZ10" s="335"/>
      <c r="BA10" s="335"/>
      <c r="BB10" s="335"/>
      <c r="BC10" s="335"/>
      <c r="BD10" s="335"/>
      <c r="BE10" s="335"/>
      <c r="BF10" s="335"/>
      <c r="BG10" s="335"/>
      <c r="BH10" s="335"/>
      <c r="BI10" s="335"/>
      <c r="BJ10" s="335"/>
      <c r="BK10" s="335"/>
      <c r="BL10" s="335"/>
      <c r="BM10" s="335"/>
      <c r="BN10" s="335"/>
      <c r="BO10" s="335"/>
      <c r="BP10" s="335"/>
      <c r="BQ10" s="335"/>
      <c r="BR10" s="335"/>
      <c r="BS10" s="335"/>
      <c r="BT10" s="335"/>
      <c r="BU10" s="335"/>
      <c r="BV10" s="336"/>
    </row>
    <row r="11" spans="1:74" ht="34.5" customHeight="1" x14ac:dyDescent="0.25">
      <c r="A11" s="532" t="s">
        <v>379</v>
      </c>
      <c r="B11" s="533"/>
      <c r="C11" s="533"/>
      <c r="D11" s="533"/>
      <c r="E11" s="533"/>
      <c r="F11" s="533"/>
      <c r="G11" s="533"/>
      <c r="H11" s="533"/>
      <c r="I11" s="533"/>
      <c r="J11" s="533"/>
      <c r="K11" s="533"/>
      <c r="L11" s="533"/>
      <c r="M11" s="533"/>
      <c r="N11" s="533"/>
      <c r="O11" s="533"/>
      <c r="P11" s="533"/>
      <c r="Q11" s="533"/>
      <c r="R11" s="533"/>
      <c r="S11" s="533"/>
      <c r="T11" s="533"/>
      <c r="U11" s="533"/>
      <c r="V11" s="533"/>
      <c r="W11" s="533"/>
      <c r="X11" s="533"/>
      <c r="Y11" s="533"/>
      <c r="Z11" s="533"/>
      <c r="AA11" s="533"/>
      <c r="AB11" s="533"/>
      <c r="AC11" s="533"/>
      <c r="AD11" s="533"/>
      <c r="AE11" s="534"/>
      <c r="AF11" s="16"/>
      <c r="AG11" s="16"/>
      <c r="AH11" s="16"/>
      <c r="AI11" s="16"/>
      <c r="AJ11" s="9"/>
      <c r="AK11" s="9"/>
      <c r="AL11" s="9"/>
      <c r="AM11" s="9"/>
      <c r="AN11" s="9"/>
      <c r="AO11" s="9"/>
      <c r="AP11" s="9"/>
      <c r="AQ11" s="9"/>
      <c r="AR11" s="334"/>
      <c r="AS11" s="335"/>
      <c r="AT11" s="335"/>
      <c r="AU11" s="335"/>
      <c r="AV11" s="335"/>
      <c r="AW11" s="335"/>
      <c r="AX11" s="335"/>
      <c r="AY11" s="335"/>
      <c r="AZ11" s="335"/>
      <c r="BA11" s="335"/>
      <c r="BB11" s="335"/>
      <c r="BC11" s="335"/>
      <c r="BD11" s="335"/>
      <c r="BE11" s="335"/>
      <c r="BF11" s="335"/>
      <c r="BG11" s="335"/>
      <c r="BH11" s="335"/>
      <c r="BI11" s="335"/>
      <c r="BJ11" s="335"/>
      <c r="BK11" s="335"/>
      <c r="BL11" s="335"/>
      <c r="BM11" s="335"/>
      <c r="BN11" s="335"/>
      <c r="BO11" s="335"/>
      <c r="BP11" s="335"/>
      <c r="BQ11" s="335"/>
      <c r="BR11" s="335"/>
      <c r="BS11" s="335"/>
      <c r="BT11" s="335"/>
      <c r="BU11" s="335"/>
      <c r="BV11" s="336"/>
    </row>
    <row r="12" spans="1:74" ht="39.75" customHeight="1" x14ac:dyDescent="0.25">
      <c r="A12" s="471" t="s">
        <v>380</v>
      </c>
      <c r="B12" s="347"/>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54"/>
      <c r="AQ12" s="8"/>
      <c r="AR12" s="337"/>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9"/>
    </row>
    <row r="13" spans="1:74" ht="90" customHeight="1" x14ac:dyDescent="0.25">
      <c r="A13" s="487" t="s">
        <v>332</v>
      </c>
      <c r="B13" s="326"/>
      <c r="C13" s="326"/>
      <c r="D13" s="326"/>
      <c r="E13" s="327"/>
      <c r="F13" s="488" t="s">
        <v>381</v>
      </c>
      <c r="G13" s="326"/>
      <c r="H13" s="326"/>
      <c r="I13" s="326"/>
      <c r="J13" s="326"/>
      <c r="K13" s="326"/>
      <c r="L13" s="326"/>
      <c r="M13" s="326"/>
      <c r="N13" s="326"/>
      <c r="O13" s="326"/>
      <c r="P13" s="326"/>
      <c r="Q13" s="326"/>
      <c r="R13" s="326"/>
      <c r="S13" s="326"/>
      <c r="T13" s="326"/>
      <c r="U13" s="326"/>
      <c r="V13" s="326"/>
      <c r="W13" s="327"/>
      <c r="X13" s="489" t="s">
        <v>382</v>
      </c>
      <c r="Y13" s="326"/>
      <c r="Z13" s="326"/>
      <c r="AA13" s="408"/>
      <c r="AB13" s="490" t="s">
        <v>383</v>
      </c>
      <c r="AC13" s="326"/>
      <c r="AD13" s="326"/>
      <c r="AE13" s="327"/>
      <c r="AF13" s="491" t="s">
        <v>384</v>
      </c>
      <c r="AG13" s="348"/>
      <c r="AH13" s="492" t="s">
        <v>385</v>
      </c>
      <c r="AI13" s="327"/>
      <c r="AJ13" s="493" t="s">
        <v>386</v>
      </c>
      <c r="AK13" s="326"/>
      <c r="AL13" s="326"/>
      <c r="AM13" s="326"/>
      <c r="AN13" s="326"/>
      <c r="AO13" s="327"/>
      <c r="AP13" s="493" t="s">
        <v>387</v>
      </c>
      <c r="AQ13" s="326"/>
      <c r="AR13" s="326"/>
      <c r="AS13" s="326"/>
      <c r="AT13" s="326"/>
      <c r="AU13" s="326"/>
      <c r="AV13" s="326"/>
      <c r="AW13" s="326"/>
      <c r="AX13" s="326"/>
      <c r="AY13" s="326"/>
      <c r="AZ13" s="326"/>
      <c r="BA13" s="326"/>
      <c r="BB13" s="327"/>
      <c r="BC13" s="493" t="s">
        <v>388</v>
      </c>
      <c r="BD13" s="326"/>
      <c r="BE13" s="326"/>
      <c r="BF13" s="326"/>
      <c r="BG13" s="326"/>
      <c r="BH13" s="326"/>
      <c r="BI13" s="326"/>
      <c r="BJ13" s="326"/>
      <c r="BK13" s="326"/>
      <c r="BL13" s="326"/>
      <c r="BM13" s="327"/>
      <c r="BN13" s="535" t="s">
        <v>324</v>
      </c>
      <c r="BO13" s="326"/>
      <c r="BP13" s="326"/>
      <c r="BQ13" s="326"/>
      <c r="BR13" s="326"/>
      <c r="BS13" s="326"/>
      <c r="BT13" s="326"/>
      <c r="BU13" s="326"/>
      <c r="BV13" s="327"/>
    </row>
    <row r="14" spans="1:74" ht="69.75" customHeight="1" x14ac:dyDescent="0.25">
      <c r="A14" s="11" t="s">
        <v>294</v>
      </c>
      <c r="B14" s="504" t="s">
        <v>319</v>
      </c>
      <c r="C14" s="327"/>
      <c r="D14" s="505" t="s">
        <v>320</v>
      </c>
      <c r="E14" s="327"/>
      <c r="F14" s="477" t="s">
        <v>345</v>
      </c>
      <c r="G14" s="327"/>
      <c r="H14" s="467" t="s">
        <v>346</v>
      </c>
      <c r="I14" s="327"/>
      <c r="J14" s="497" t="s">
        <v>347</v>
      </c>
      <c r="K14" s="327"/>
      <c r="L14" s="506" t="s">
        <v>389</v>
      </c>
      <c r="M14" s="327"/>
      <c r="N14" s="17" t="s">
        <v>349</v>
      </c>
      <c r="O14" s="18" t="s">
        <v>350</v>
      </c>
      <c r="P14" s="507" t="s">
        <v>351</v>
      </c>
      <c r="Q14" s="327"/>
      <c r="R14" s="510" t="s">
        <v>352</v>
      </c>
      <c r="S14" s="327"/>
      <c r="T14" s="511" t="s">
        <v>353</v>
      </c>
      <c r="U14" s="327"/>
      <c r="V14" s="512" t="s">
        <v>354</v>
      </c>
      <c r="W14" s="327"/>
      <c r="X14" s="513" t="s">
        <v>390</v>
      </c>
      <c r="Y14" s="326"/>
      <c r="Z14" s="326"/>
      <c r="AA14" s="327"/>
      <c r="AB14" s="467" t="s">
        <v>391</v>
      </c>
      <c r="AC14" s="326"/>
      <c r="AD14" s="326"/>
      <c r="AE14" s="327"/>
      <c r="AF14" s="514" t="s">
        <v>357</v>
      </c>
      <c r="AG14" s="327"/>
      <c r="AH14" s="515" t="s">
        <v>358</v>
      </c>
      <c r="AI14" s="327"/>
      <c r="AJ14" s="508" t="s">
        <v>359</v>
      </c>
      <c r="AK14" s="327"/>
      <c r="AL14" s="509" t="s">
        <v>360</v>
      </c>
      <c r="AM14" s="327"/>
      <c r="AN14" s="496" t="s">
        <v>361</v>
      </c>
      <c r="AO14" s="327"/>
      <c r="AP14" s="497" t="s">
        <v>392</v>
      </c>
      <c r="AQ14" s="327"/>
      <c r="AR14" s="498" t="s">
        <v>393</v>
      </c>
      <c r="AS14" s="327"/>
      <c r="AT14" s="499" t="s">
        <v>394</v>
      </c>
      <c r="AU14" s="327"/>
      <c r="AV14" s="451" t="s">
        <v>395</v>
      </c>
      <c r="AW14" s="327"/>
      <c r="AX14" s="500" t="s">
        <v>396</v>
      </c>
      <c r="AY14" s="326"/>
      <c r="AZ14" s="327"/>
      <c r="BA14" s="501" t="s">
        <v>397</v>
      </c>
      <c r="BB14" s="327"/>
      <c r="BC14" s="19" t="s">
        <v>368</v>
      </c>
      <c r="BD14" s="494" t="s">
        <v>369</v>
      </c>
      <c r="BE14" s="351"/>
      <c r="BF14" s="495" t="s">
        <v>370</v>
      </c>
      <c r="BG14" s="350"/>
      <c r="BH14" s="350"/>
      <c r="BI14" s="351"/>
      <c r="BJ14" s="502" t="s">
        <v>398</v>
      </c>
      <c r="BK14" s="350"/>
      <c r="BL14" s="350"/>
      <c r="BM14" s="351"/>
      <c r="BN14" s="503" t="s">
        <v>324</v>
      </c>
      <c r="BO14" s="326"/>
      <c r="BP14" s="326"/>
      <c r="BQ14" s="326"/>
      <c r="BR14" s="326"/>
      <c r="BS14" s="326"/>
      <c r="BT14" s="326"/>
      <c r="BU14" s="326"/>
      <c r="BV14" s="327"/>
    </row>
    <row r="15" spans="1:74" ht="45" customHeight="1" x14ac:dyDescent="0.25">
      <c r="A15" s="10">
        <f t="shared" ref="A15:A269" si="0">ROW(A1)</f>
        <v>1</v>
      </c>
      <c r="B15" s="564" t="s">
        <v>303</v>
      </c>
      <c r="C15" s="327"/>
      <c r="D15" s="565" t="s">
        <v>307</v>
      </c>
      <c r="E15" s="327"/>
      <c r="F15" s="537" t="s">
        <v>334</v>
      </c>
      <c r="G15" s="327"/>
      <c r="H15" s="566" t="s">
        <v>334</v>
      </c>
      <c r="I15" s="327"/>
      <c r="J15" s="567"/>
      <c r="K15" s="327"/>
      <c r="L15" s="567"/>
      <c r="M15" s="327"/>
      <c r="N15" s="20"/>
      <c r="O15" s="21"/>
      <c r="P15" s="524"/>
      <c r="Q15" s="327"/>
      <c r="R15" s="516"/>
      <c r="S15" s="327"/>
      <c r="T15" s="517"/>
      <c r="U15" s="327"/>
      <c r="V15" s="518"/>
      <c r="W15" s="327"/>
      <c r="X15" s="438" t="s">
        <v>303</v>
      </c>
      <c r="Y15" s="326"/>
      <c r="Z15" s="326"/>
      <c r="AA15" s="327"/>
      <c r="AB15" s="519" t="s">
        <v>303</v>
      </c>
      <c r="AC15" s="326"/>
      <c r="AD15" s="326"/>
      <c r="AE15" s="327"/>
      <c r="AF15" s="520"/>
      <c r="AG15" s="327"/>
      <c r="AH15" s="520"/>
      <c r="AI15" s="327"/>
      <c r="AJ15" s="554"/>
      <c r="AK15" s="327"/>
      <c r="AL15" s="556" t="s">
        <v>334</v>
      </c>
      <c r="AM15" s="327"/>
      <c r="AN15" s="553" t="s">
        <v>334</v>
      </c>
      <c r="AO15" s="327"/>
      <c r="AP15" s="554"/>
      <c r="AQ15" s="327"/>
      <c r="AR15" s="555"/>
      <c r="AS15" s="327"/>
      <c r="AT15" s="549"/>
      <c r="AU15" s="327"/>
      <c r="AV15" s="553" t="s">
        <v>334</v>
      </c>
      <c r="AW15" s="327"/>
      <c r="AX15" s="521"/>
      <c r="AY15" s="326"/>
      <c r="AZ15" s="327"/>
      <c r="BA15" s="536"/>
      <c r="BB15" s="327"/>
      <c r="BC15" s="22"/>
      <c r="BD15" s="551" t="s">
        <v>399</v>
      </c>
      <c r="BE15" s="327"/>
      <c r="BF15" s="508"/>
      <c r="BG15" s="326"/>
      <c r="BH15" s="326"/>
      <c r="BI15" s="327"/>
      <c r="BJ15" s="451" t="s">
        <v>303</v>
      </c>
      <c r="BK15" s="326"/>
      <c r="BL15" s="326"/>
      <c r="BM15" s="327"/>
      <c r="BN15" s="558" t="s">
        <v>303</v>
      </c>
      <c r="BO15" s="326"/>
      <c r="BP15" s="326"/>
      <c r="BQ15" s="326"/>
      <c r="BR15" s="326"/>
      <c r="BS15" s="326"/>
      <c r="BT15" s="326"/>
      <c r="BU15" s="326"/>
      <c r="BV15" s="327"/>
    </row>
    <row r="16" spans="1:74" ht="45" customHeight="1" x14ac:dyDescent="0.25">
      <c r="A16" s="10">
        <f t="shared" si="0"/>
        <v>2</v>
      </c>
      <c r="B16" s="559" t="s">
        <v>303</v>
      </c>
      <c r="C16" s="327"/>
      <c r="D16" s="560" t="s">
        <v>307</v>
      </c>
      <c r="E16" s="327"/>
      <c r="F16" s="537" t="s">
        <v>334</v>
      </c>
      <c r="G16" s="327"/>
      <c r="H16" s="561" t="s">
        <v>334</v>
      </c>
      <c r="I16" s="327"/>
      <c r="J16" s="562"/>
      <c r="K16" s="327"/>
      <c r="L16" s="562"/>
      <c r="M16" s="327"/>
      <c r="N16" s="23"/>
      <c r="O16" s="24"/>
      <c r="P16" s="563"/>
      <c r="Q16" s="327"/>
      <c r="R16" s="538"/>
      <c r="S16" s="327"/>
      <c r="T16" s="539"/>
      <c r="U16" s="327"/>
      <c r="V16" s="540"/>
      <c r="W16" s="327"/>
      <c r="X16" s="541" t="s">
        <v>303</v>
      </c>
      <c r="Y16" s="326"/>
      <c r="Z16" s="326"/>
      <c r="AA16" s="327"/>
      <c r="AB16" s="542" t="s">
        <v>303</v>
      </c>
      <c r="AC16" s="326"/>
      <c r="AD16" s="326"/>
      <c r="AE16" s="327"/>
      <c r="AF16" s="543"/>
      <c r="AG16" s="327"/>
      <c r="AH16" s="543"/>
      <c r="AI16" s="327"/>
      <c r="AJ16" s="536"/>
      <c r="AK16" s="327"/>
      <c r="AL16" s="537" t="s">
        <v>334</v>
      </c>
      <c r="AM16" s="327"/>
      <c r="AN16" s="546" t="s">
        <v>334</v>
      </c>
      <c r="AO16" s="327"/>
      <c r="AP16" s="547"/>
      <c r="AQ16" s="327"/>
      <c r="AR16" s="548"/>
      <c r="AS16" s="327"/>
      <c r="AT16" s="549"/>
      <c r="AU16" s="327"/>
      <c r="AV16" s="546" t="s">
        <v>334</v>
      </c>
      <c r="AW16" s="327"/>
      <c r="AX16" s="521"/>
      <c r="AY16" s="326"/>
      <c r="AZ16" s="327"/>
      <c r="BA16" s="550"/>
      <c r="BB16" s="327"/>
      <c r="BC16" s="25"/>
      <c r="BD16" s="544" t="s">
        <v>334</v>
      </c>
      <c r="BE16" s="327"/>
      <c r="BF16" s="545"/>
      <c r="BG16" s="326"/>
      <c r="BH16" s="326"/>
      <c r="BI16" s="327"/>
      <c r="BJ16" s="557" t="s">
        <v>303</v>
      </c>
      <c r="BK16" s="326"/>
      <c r="BL16" s="326"/>
      <c r="BM16" s="327"/>
      <c r="BN16" s="558" t="s">
        <v>303</v>
      </c>
      <c r="BO16" s="326"/>
      <c r="BP16" s="326"/>
      <c r="BQ16" s="326"/>
      <c r="BR16" s="326"/>
      <c r="BS16" s="326"/>
      <c r="BT16" s="326"/>
      <c r="BU16" s="326"/>
      <c r="BV16" s="327"/>
    </row>
    <row r="17" spans="1:74" ht="45" customHeight="1" x14ac:dyDescent="0.25">
      <c r="A17" s="10">
        <f t="shared" si="0"/>
        <v>3</v>
      </c>
      <c r="B17" s="564" t="s">
        <v>303</v>
      </c>
      <c r="C17" s="327"/>
      <c r="D17" s="565" t="s">
        <v>307</v>
      </c>
      <c r="E17" s="327"/>
      <c r="F17" s="537" t="s">
        <v>334</v>
      </c>
      <c r="G17" s="327"/>
      <c r="H17" s="566" t="s">
        <v>334</v>
      </c>
      <c r="I17" s="327"/>
      <c r="J17" s="567"/>
      <c r="K17" s="327"/>
      <c r="L17" s="567"/>
      <c r="M17" s="327"/>
      <c r="N17" s="20"/>
      <c r="O17" s="21"/>
      <c r="P17" s="524"/>
      <c r="Q17" s="327"/>
      <c r="R17" s="516"/>
      <c r="S17" s="327"/>
      <c r="T17" s="517"/>
      <c r="U17" s="327"/>
      <c r="V17" s="518"/>
      <c r="W17" s="327"/>
      <c r="X17" s="438" t="s">
        <v>303</v>
      </c>
      <c r="Y17" s="326"/>
      <c r="Z17" s="326"/>
      <c r="AA17" s="327"/>
      <c r="AB17" s="519" t="s">
        <v>303</v>
      </c>
      <c r="AC17" s="326"/>
      <c r="AD17" s="326"/>
      <c r="AE17" s="327"/>
      <c r="AF17" s="520"/>
      <c r="AG17" s="327"/>
      <c r="AH17" s="520"/>
      <c r="AI17" s="327"/>
      <c r="AJ17" s="554"/>
      <c r="AK17" s="327"/>
      <c r="AL17" s="556" t="s">
        <v>334</v>
      </c>
      <c r="AM17" s="327"/>
      <c r="AN17" s="553" t="s">
        <v>334</v>
      </c>
      <c r="AO17" s="327"/>
      <c r="AP17" s="554"/>
      <c r="AQ17" s="327"/>
      <c r="AR17" s="555"/>
      <c r="AS17" s="327"/>
      <c r="AT17" s="549"/>
      <c r="AU17" s="327"/>
      <c r="AV17" s="553" t="s">
        <v>334</v>
      </c>
      <c r="AW17" s="327"/>
      <c r="AX17" s="521"/>
      <c r="AY17" s="326"/>
      <c r="AZ17" s="327"/>
      <c r="BA17" s="536"/>
      <c r="BB17" s="327"/>
      <c r="BC17" s="22"/>
      <c r="BD17" s="551" t="s">
        <v>399</v>
      </c>
      <c r="BE17" s="327"/>
      <c r="BF17" s="552"/>
      <c r="BG17" s="326"/>
      <c r="BH17" s="326"/>
      <c r="BI17" s="327"/>
      <c r="BJ17" s="451" t="s">
        <v>303</v>
      </c>
      <c r="BK17" s="326"/>
      <c r="BL17" s="326"/>
      <c r="BM17" s="327"/>
      <c r="BN17" s="558" t="s">
        <v>303</v>
      </c>
      <c r="BO17" s="326"/>
      <c r="BP17" s="326"/>
      <c r="BQ17" s="326"/>
      <c r="BR17" s="326"/>
      <c r="BS17" s="326"/>
      <c r="BT17" s="326"/>
      <c r="BU17" s="326"/>
      <c r="BV17" s="327"/>
    </row>
    <row r="18" spans="1:74" ht="45" customHeight="1" x14ac:dyDescent="0.25">
      <c r="A18" s="10">
        <f t="shared" si="0"/>
        <v>4</v>
      </c>
      <c r="B18" s="559" t="s">
        <v>303</v>
      </c>
      <c r="C18" s="327"/>
      <c r="D18" s="560" t="s">
        <v>307</v>
      </c>
      <c r="E18" s="327"/>
      <c r="F18" s="537" t="s">
        <v>334</v>
      </c>
      <c r="G18" s="327"/>
      <c r="H18" s="561" t="s">
        <v>334</v>
      </c>
      <c r="I18" s="327"/>
      <c r="J18" s="562"/>
      <c r="K18" s="327"/>
      <c r="L18" s="562"/>
      <c r="M18" s="327"/>
      <c r="N18" s="23"/>
      <c r="O18" s="24"/>
      <c r="P18" s="563"/>
      <c r="Q18" s="327"/>
      <c r="R18" s="538"/>
      <c r="S18" s="327"/>
      <c r="T18" s="539"/>
      <c r="U18" s="327"/>
      <c r="V18" s="540"/>
      <c r="W18" s="327"/>
      <c r="X18" s="541" t="s">
        <v>303</v>
      </c>
      <c r="Y18" s="326"/>
      <c r="Z18" s="326"/>
      <c r="AA18" s="327"/>
      <c r="AB18" s="542" t="s">
        <v>303</v>
      </c>
      <c r="AC18" s="326"/>
      <c r="AD18" s="326"/>
      <c r="AE18" s="327"/>
      <c r="AF18" s="543"/>
      <c r="AG18" s="327"/>
      <c r="AH18" s="543"/>
      <c r="AI18" s="327"/>
      <c r="AJ18" s="536"/>
      <c r="AK18" s="327"/>
      <c r="AL18" s="537" t="s">
        <v>334</v>
      </c>
      <c r="AM18" s="327"/>
      <c r="AN18" s="546" t="s">
        <v>334</v>
      </c>
      <c r="AO18" s="327"/>
      <c r="AP18" s="547"/>
      <c r="AQ18" s="327"/>
      <c r="AR18" s="548"/>
      <c r="AS18" s="327"/>
      <c r="AT18" s="549"/>
      <c r="AU18" s="327"/>
      <c r="AV18" s="546" t="s">
        <v>334</v>
      </c>
      <c r="AW18" s="327"/>
      <c r="AX18" s="521"/>
      <c r="AY18" s="326"/>
      <c r="AZ18" s="327"/>
      <c r="BA18" s="550"/>
      <c r="BB18" s="327"/>
      <c r="BC18" s="25"/>
      <c r="BD18" s="544" t="s">
        <v>334</v>
      </c>
      <c r="BE18" s="327"/>
      <c r="BF18" s="545"/>
      <c r="BG18" s="326"/>
      <c r="BH18" s="326"/>
      <c r="BI18" s="327"/>
      <c r="BJ18" s="557" t="s">
        <v>303</v>
      </c>
      <c r="BK18" s="326"/>
      <c r="BL18" s="326"/>
      <c r="BM18" s="327"/>
      <c r="BN18" s="558" t="s">
        <v>303</v>
      </c>
      <c r="BO18" s="326"/>
      <c r="BP18" s="326"/>
      <c r="BQ18" s="326"/>
      <c r="BR18" s="326"/>
      <c r="BS18" s="326"/>
      <c r="BT18" s="326"/>
      <c r="BU18" s="326"/>
      <c r="BV18" s="327"/>
    </row>
    <row r="19" spans="1:74" ht="45" customHeight="1" x14ac:dyDescent="0.25">
      <c r="A19" s="10">
        <f t="shared" si="0"/>
        <v>5</v>
      </c>
      <c r="B19" s="564" t="s">
        <v>303</v>
      </c>
      <c r="C19" s="327"/>
      <c r="D19" s="565" t="s">
        <v>307</v>
      </c>
      <c r="E19" s="327"/>
      <c r="F19" s="537" t="s">
        <v>334</v>
      </c>
      <c r="G19" s="327"/>
      <c r="H19" s="566" t="s">
        <v>334</v>
      </c>
      <c r="I19" s="327"/>
      <c r="J19" s="567"/>
      <c r="K19" s="327"/>
      <c r="L19" s="567"/>
      <c r="M19" s="327"/>
      <c r="N19" s="20"/>
      <c r="O19" s="21"/>
      <c r="P19" s="524"/>
      <c r="Q19" s="327"/>
      <c r="R19" s="516"/>
      <c r="S19" s="327"/>
      <c r="T19" s="517"/>
      <c r="U19" s="327"/>
      <c r="V19" s="518"/>
      <c r="W19" s="327"/>
      <c r="X19" s="438" t="s">
        <v>303</v>
      </c>
      <c r="Y19" s="326"/>
      <c r="Z19" s="326"/>
      <c r="AA19" s="327"/>
      <c r="AB19" s="519" t="s">
        <v>303</v>
      </c>
      <c r="AC19" s="326"/>
      <c r="AD19" s="326"/>
      <c r="AE19" s="327"/>
      <c r="AF19" s="520"/>
      <c r="AG19" s="327"/>
      <c r="AH19" s="520"/>
      <c r="AI19" s="327"/>
      <c r="AJ19" s="554"/>
      <c r="AK19" s="327"/>
      <c r="AL19" s="556" t="s">
        <v>334</v>
      </c>
      <c r="AM19" s="327"/>
      <c r="AN19" s="553" t="s">
        <v>334</v>
      </c>
      <c r="AO19" s="327"/>
      <c r="AP19" s="554"/>
      <c r="AQ19" s="327"/>
      <c r="AR19" s="555"/>
      <c r="AS19" s="327"/>
      <c r="AT19" s="549"/>
      <c r="AU19" s="327"/>
      <c r="AV19" s="553" t="s">
        <v>334</v>
      </c>
      <c r="AW19" s="327"/>
      <c r="AX19" s="521"/>
      <c r="AY19" s="326"/>
      <c r="AZ19" s="327"/>
      <c r="BA19" s="536"/>
      <c r="BB19" s="327"/>
      <c r="BC19" s="22"/>
      <c r="BD19" s="551" t="s">
        <v>399</v>
      </c>
      <c r="BE19" s="327"/>
      <c r="BF19" s="508"/>
      <c r="BG19" s="326"/>
      <c r="BH19" s="326"/>
      <c r="BI19" s="327"/>
      <c r="BJ19" s="451" t="s">
        <v>303</v>
      </c>
      <c r="BK19" s="326"/>
      <c r="BL19" s="326"/>
      <c r="BM19" s="327"/>
      <c r="BN19" s="558" t="s">
        <v>303</v>
      </c>
      <c r="BO19" s="326"/>
      <c r="BP19" s="326"/>
      <c r="BQ19" s="326"/>
      <c r="BR19" s="326"/>
      <c r="BS19" s="326"/>
      <c r="BT19" s="326"/>
      <c r="BU19" s="326"/>
      <c r="BV19" s="327"/>
    </row>
    <row r="20" spans="1:74" ht="45" customHeight="1" x14ac:dyDescent="0.25">
      <c r="A20" s="10">
        <f t="shared" si="0"/>
        <v>6</v>
      </c>
      <c r="B20" s="559" t="s">
        <v>303</v>
      </c>
      <c r="C20" s="327"/>
      <c r="D20" s="560" t="s">
        <v>307</v>
      </c>
      <c r="E20" s="327"/>
      <c r="F20" s="537" t="s">
        <v>334</v>
      </c>
      <c r="G20" s="327"/>
      <c r="H20" s="561" t="s">
        <v>334</v>
      </c>
      <c r="I20" s="327"/>
      <c r="J20" s="562"/>
      <c r="K20" s="327"/>
      <c r="L20" s="562"/>
      <c r="M20" s="327"/>
      <c r="N20" s="23"/>
      <c r="O20" s="24"/>
      <c r="P20" s="563"/>
      <c r="Q20" s="327"/>
      <c r="R20" s="538"/>
      <c r="S20" s="327"/>
      <c r="T20" s="539"/>
      <c r="U20" s="327"/>
      <c r="V20" s="540"/>
      <c r="W20" s="327"/>
      <c r="X20" s="541" t="s">
        <v>303</v>
      </c>
      <c r="Y20" s="326"/>
      <c r="Z20" s="326"/>
      <c r="AA20" s="327"/>
      <c r="AB20" s="542" t="s">
        <v>303</v>
      </c>
      <c r="AC20" s="326"/>
      <c r="AD20" s="326"/>
      <c r="AE20" s="327"/>
      <c r="AF20" s="543"/>
      <c r="AG20" s="327"/>
      <c r="AH20" s="543"/>
      <c r="AI20" s="327"/>
      <c r="AJ20" s="536"/>
      <c r="AK20" s="327"/>
      <c r="AL20" s="537" t="s">
        <v>334</v>
      </c>
      <c r="AM20" s="327"/>
      <c r="AN20" s="546" t="s">
        <v>334</v>
      </c>
      <c r="AO20" s="327"/>
      <c r="AP20" s="547"/>
      <c r="AQ20" s="327"/>
      <c r="AR20" s="548"/>
      <c r="AS20" s="327"/>
      <c r="AT20" s="549"/>
      <c r="AU20" s="327"/>
      <c r="AV20" s="546" t="s">
        <v>334</v>
      </c>
      <c r="AW20" s="327"/>
      <c r="AX20" s="521"/>
      <c r="AY20" s="326"/>
      <c r="AZ20" s="327"/>
      <c r="BA20" s="550"/>
      <c r="BB20" s="327"/>
      <c r="BC20" s="25"/>
      <c r="BD20" s="544" t="s">
        <v>334</v>
      </c>
      <c r="BE20" s="327"/>
      <c r="BF20" s="545"/>
      <c r="BG20" s="326"/>
      <c r="BH20" s="326"/>
      <c r="BI20" s="327"/>
      <c r="BJ20" s="557" t="s">
        <v>303</v>
      </c>
      <c r="BK20" s="326"/>
      <c r="BL20" s="326"/>
      <c r="BM20" s="327"/>
      <c r="BN20" s="558" t="s">
        <v>303</v>
      </c>
      <c r="BO20" s="326"/>
      <c r="BP20" s="326"/>
      <c r="BQ20" s="326"/>
      <c r="BR20" s="326"/>
      <c r="BS20" s="326"/>
      <c r="BT20" s="326"/>
      <c r="BU20" s="326"/>
      <c r="BV20" s="327"/>
    </row>
    <row r="21" spans="1:74" ht="45" customHeight="1" x14ac:dyDescent="0.25">
      <c r="A21" s="10">
        <f t="shared" si="0"/>
        <v>7</v>
      </c>
      <c r="B21" s="564" t="s">
        <v>303</v>
      </c>
      <c r="C21" s="327"/>
      <c r="D21" s="565" t="s">
        <v>307</v>
      </c>
      <c r="E21" s="327"/>
      <c r="F21" s="537" t="s">
        <v>334</v>
      </c>
      <c r="G21" s="327"/>
      <c r="H21" s="566" t="s">
        <v>334</v>
      </c>
      <c r="I21" s="327"/>
      <c r="J21" s="567"/>
      <c r="K21" s="327"/>
      <c r="L21" s="567"/>
      <c r="M21" s="327"/>
      <c r="N21" s="20"/>
      <c r="O21" s="21"/>
      <c r="P21" s="524"/>
      <c r="Q21" s="327"/>
      <c r="R21" s="516"/>
      <c r="S21" s="327"/>
      <c r="T21" s="517"/>
      <c r="U21" s="327"/>
      <c r="V21" s="518"/>
      <c r="W21" s="327"/>
      <c r="X21" s="438" t="s">
        <v>303</v>
      </c>
      <c r="Y21" s="326"/>
      <c r="Z21" s="326"/>
      <c r="AA21" s="327"/>
      <c r="AB21" s="519" t="s">
        <v>303</v>
      </c>
      <c r="AC21" s="326"/>
      <c r="AD21" s="326"/>
      <c r="AE21" s="327"/>
      <c r="AF21" s="520"/>
      <c r="AG21" s="327"/>
      <c r="AH21" s="520"/>
      <c r="AI21" s="327"/>
      <c r="AJ21" s="554"/>
      <c r="AK21" s="327"/>
      <c r="AL21" s="556" t="s">
        <v>334</v>
      </c>
      <c r="AM21" s="327"/>
      <c r="AN21" s="553" t="s">
        <v>334</v>
      </c>
      <c r="AO21" s="327"/>
      <c r="AP21" s="554"/>
      <c r="AQ21" s="327"/>
      <c r="AR21" s="555"/>
      <c r="AS21" s="327"/>
      <c r="AT21" s="549"/>
      <c r="AU21" s="327"/>
      <c r="AV21" s="553" t="s">
        <v>334</v>
      </c>
      <c r="AW21" s="327"/>
      <c r="AX21" s="521"/>
      <c r="AY21" s="326"/>
      <c r="AZ21" s="327"/>
      <c r="BA21" s="536"/>
      <c r="BB21" s="327"/>
      <c r="BC21" s="22"/>
      <c r="BD21" s="551" t="s">
        <v>399</v>
      </c>
      <c r="BE21" s="327"/>
      <c r="BF21" s="552"/>
      <c r="BG21" s="326"/>
      <c r="BH21" s="326"/>
      <c r="BI21" s="327"/>
      <c r="BJ21" s="451" t="s">
        <v>303</v>
      </c>
      <c r="BK21" s="326"/>
      <c r="BL21" s="326"/>
      <c r="BM21" s="327"/>
      <c r="BN21" s="558" t="s">
        <v>303</v>
      </c>
      <c r="BO21" s="326"/>
      <c r="BP21" s="326"/>
      <c r="BQ21" s="326"/>
      <c r="BR21" s="326"/>
      <c r="BS21" s="326"/>
      <c r="BT21" s="326"/>
      <c r="BU21" s="326"/>
      <c r="BV21" s="327"/>
    </row>
    <row r="22" spans="1:74" ht="45" customHeight="1" x14ac:dyDescent="0.25">
      <c r="A22" s="10">
        <f t="shared" si="0"/>
        <v>8</v>
      </c>
      <c r="B22" s="559" t="s">
        <v>303</v>
      </c>
      <c r="C22" s="327"/>
      <c r="D22" s="560" t="s">
        <v>307</v>
      </c>
      <c r="E22" s="327"/>
      <c r="F22" s="537" t="s">
        <v>334</v>
      </c>
      <c r="G22" s="327"/>
      <c r="H22" s="561" t="s">
        <v>334</v>
      </c>
      <c r="I22" s="327"/>
      <c r="J22" s="562"/>
      <c r="K22" s="327"/>
      <c r="L22" s="562"/>
      <c r="M22" s="327"/>
      <c r="N22" s="23"/>
      <c r="O22" s="24"/>
      <c r="P22" s="563"/>
      <c r="Q22" s="327"/>
      <c r="R22" s="538"/>
      <c r="S22" s="327"/>
      <c r="T22" s="539"/>
      <c r="U22" s="327"/>
      <c r="V22" s="540"/>
      <c r="W22" s="327"/>
      <c r="X22" s="541" t="s">
        <v>303</v>
      </c>
      <c r="Y22" s="326"/>
      <c r="Z22" s="326"/>
      <c r="AA22" s="327"/>
      <c r="AB22" s="542" t="s">
        <v>303</v>
      </c>
      <c r="AC22" s="326"/>
      <c r="AD22" s="326"/>
      <c r="AE22" s="327"/>
      <c r="AF22" s="543"/>
      <c r="AG22" s="327"/>
      <c r="AH22" s="543"/>
      <c r="AI22" s="327"/>
      <c r="AJ22" s="536"/>
      <c r="AK22" s="327"/>
      <c r="AL22" s="537" t="s">
        <v>334</v>
      </c>
      <c r="AM22" s="327"/>
      <c r="AN22" s="546" t="s">
        <v>334</v>
      </c>
      <c r="AO22" s="327"/>
      <c r="AP22" s="547"/>
      <c r="AQ22" s="327"/>
      <c r="AR22" s="548"/>
      <c r="AS22" s="327"/>
      <c r="AT22" s="549"/>
      <c r="AU22" s="327"/>
      <c r="AV22" s="546" t="s">
        <v>334</v>
      </c>
      <c r="AW22" s="327"/>
      <c r="AX22" s="521"/>
      <c r="AY22" s="326"/>
      <c r="AZ22" s="327"/>
      <c r="BA22" s="550"/>
      <c r="BB22" s="327"/>
      <c r="BC22" s="25"/>
      <c r="BD22" s="544" t="s">
        <v>334</v>
      </c>
      <c r="BE22" s="327"/>
      <c r="BF22" s="545"/>
      <c r="BG22" s="326"/>
      <c r="BH22" s="326"/>
      <c r="BI22" s="327"/>
      <c r="BJ22" s="557" t="s">
        <v>303</v>
      </c>
      <c r="BK22" s="326"/>
      <c r="BL22" s="326"/>
      <c r="BM22" s="327"/>
      <c r="BN22" s="558" t="s">
        <v>303</v>
      </c>
      <c r="BO22" s="326"/>
      <c r="BP22" s="326"/>
      <c r="BQ22" s="326"/>
      <c r="BR22" s="326"/>
      <c r="BS22" s="326"/>
      <c r="BT22" s="326"/>
      <c r="BU22" s="326"/>
      <c r="BV22" s="327"/>
    </row>
    <row r="23" spans="1:74" ht="45" customHeight="1" x14ac:dyDescent="0.25">
      <c r="A23" s="10">
        <f t="shared" si="0"/>
        <v>9</v>
      </c>
      <c r="B23" s="564" t="s">
        <v>303</v>
      </c>
      <c r="C23" s="327"/>
      <c r="D23" s="565" t="s">
        <v>307</v>
      </c>
      <c r="E23" s="327"/>
      <c r="F23" s="537" t="s">
        <v>334</v>
      </c>
      <c r="G23" s="327"/>
      <c r="H23" s="566" t="s">
        <v>334</v>
      </c>
      <c r="I23" s="327"/>
      <c r="J23" s="567"/>
      <c r="K23" s="327"/>
      <c r="L23" s="567"/>
      <c r="M23" s="327"/>
      <c r="N23" s="20"/>
      <c r="O23" s="21"/>
      <c r="P23" s="524"/>
      <c r="Q23" s="327"/>
      <c r="R23" s="516"/>
      <c r="S23" s="327"/>
      <c r="T23" s="517"/>
      <c r="U23" s="327"/>
      <c r="V23" s="518"/>
      <c r="W23" s="327"/>
      <c r="X23" s="438" t="s">
        <v>303</v>
      </c>
      <c r="Y23" s="326"/>
      <c r="Z23" s="326"/>
      <c r="AA23" s="327"/>
      <c r="AB23" s="519" t="s">
        <v>303</v>
      </c>
      <c r="AC23" s="326"/>
      <c r="AD23" s="326"/>
      <c r="AE23" s="327"/>
      <c r="AF23" s="520"/>
      <c r="AG23" s="327"/>
      <c r="AH23" s="520"/>
      <c r="AI23" s="327"/>
      <c r="AJ23" s="554"/>
      <c r="AK23" s="327"/>
      <c r="AL23" s="556" t="s">
        <v>334</v>
      </c>
      <c r="AM23" s="327"/>
      <c r="AN23" s="553" t="s">
        <v>334</v>
      </c>
      <c r="AO23" s="327"/>
      <c r="AP23" s="554"/>
      <c r="AQ23" s="327"/>
      <c r="AR23" s="555"/>
      <c r="AS23" s="327"/>
      <c r="AT23" s="549"/>
      <c r="AU23" s="327"/>
      <c r="AV23" s="553" t="s">
        <v>334</v>
      </c>
      <c r="AW23" s="327"/>
      <c r="AX23" s="521"/>
      <c r="AY23" s="326"/>
      <c r="AZ23" s="327"/>
      <c r="BA23" s="536"/>
      <c r="BB23" s="327"/>
      <c r="BC23" s="22"/>
      <c r="BD23" s="551" t="s">
        <v>399</v>
      </c>
      <c r="BE23" s="327"/>
      <c r="BF23" s="508"/>
      <c r="BG23" s="326"/>
      <c r="BH23" s="326"/>
      <c r="BI23" s="327"/>
      <c r="BJ23" s="451" t="s">
        <v>303</v>
      </c>
      <c r="BK23" s="326"/>
      <c r="BL23" s="326"/>
      <c r="BM23" s="327"/>
      <c r="BN23" s="558" t="s">
        <v>303</v>
      </c>
      <c r="BO23" s="326"/>
      <c r="BP23" s="326"/>
      <c r="BQ23" s="326"/>
      <c r="BR23" s="326"/>
      <c r="BS23" s="326"/>
      <c r="BT23" s="326"/>
      <c r="BU23" s="326"/>
      <c r="BV23" s="327"/>
    </row>
    <row r="24" spans="1:74" ht="45" customHeight="1" x14ac:dyDescent="0.25">
      <c r="A24" s="10">
        <f t="shared" si="0"/>
        <v>10</v>
      </c>
      <c r="B24" s="559" t="s">
        <v>303</v>
      </c>
      <c r="C24" s="327"/>
      <c r="D24" s="560" t="s">
        <v>307</v>
      </c>
      <c r="E24" s="327"/>
      <c r="F24" s="537" t="s">
        <v>334</v>
      </c>
      <c r="G24" s="327"/>
      <c r="H24" s="561" t="s">
        <v>334</v>
      </c>
      <c r="I24" s="327"/>
      <c r="J24" s="562"/>
      <c r="K24" s="327"/>
      <c r="L24" s="562"/>
      <c r="M24" s="327"/>
      <c r="N24" s="23"/>
      <c r="O24" s="24"/>
      <c r="P24" s="563"/>
      <c r="Q24" s="327"/>
      <c r="R24" s="538"/>
      <c r="S24" s="327"/>
      <c r="T24" s="539"/>
      <c r="U24" s="327"/>
      <c r="V24" s="540"/>
      <c r="W24" s="327"/>
      <c r="X24" s="541" t="s">
        <v>303</v>
      </c>
      <c r="Y24" s="326"/>
      <c r="Z24" s="326"/>
      <c r="AA24" s="327"/>
      <c r="AB24" s="542" t="s">
        <v>303</v>
      </c>
      <c r="AC24" s="326"/>
      <c r="AD24" s="326"/>
      <c r="AE24" s="327"/>
      <c r="AF24" s="543"/>
      <c r="AG24" s="327"/>
      <c r="AH24" s="543"/>
      <c r="AI24" s="327"/>
      <c r="AJ24" s="536"/>
      <c r="AK24" s="327"/>
      <c r="AL24" s="537" t="s">
        <v>334</v>
      </c>
      <c r="AM24" s="327"/>
      <c r="AN24" s="546" t="s">
        <v>334</v>
      </c>
      <c r="AO24" s="327"/>
      <c r="AP24" s="547"/>
      <c r="AQ24" s="327"/>
      <c r="AR24" s="548"/>
      <c r="AS24" s="327"/>
      <c r="AT24" s="549"/>
      <c r="AU24" s="327"/>
      <c r="AV24" s="546" t="s">
        <v>334</v>
      </c>
      <c r="AW24" s="327"/>
      <c r="AX24" s="521"/>
      <c r="AY24" s="326"/>
      <c r="AZ24" s="327"/>
      <c r="BA24" s="550"/>
      <c r="BB24" s="327"/>
      <c r="BC24" s="25"/>
      <c r="BD24" s="544" t="s">
        <v>334</v>
      </c>
      <c r="BE24" s="327"/>
      <c r="BF24" s="545"/>
      <c r="BG24" s="326"/>
      <c r="BH24" s="326"/>
      <c r="BI24" s="327"/>
      <c r="BJ24" s="557" t="s">
        <v>303</v>
      </c>
      <c r="BK24" s="326"/>
      <c r="BL24" s="326"/>
      <c r="BM24" s="327"/>
      <c r="BN24" s="558" t="s">
        <v>303</v>
      </c>
      <c r="BO24" s="326"/>
      <c r="BP24" s="326"/>
      <c r="BQ24" s="326"/>
      <c r="BR24" s="326"/>
      <c r="BS24" s="326"/>
      <c r="BT24" s="326"/>
      <c r="BU24" s="326"/>
      <c r="BV24" s="327"/>
    </row>
    <row r="25" spans="1:74" ht="45" customHeight="1" x14ac:dyDescent="0.25">
      <c r="A25" s="10">
        <f t="shared" si="0"/>
        <v>11</v>
      </c>
      <c r="B25" s="564" t="s">
        <v>303</v>
      </c>
      <c r="C25" s="327"/>
      <c r="D25" s="565" t="s">
        <v>307</v>
      </c>
      <c r="E25" s="327"/>
      <c r="F25" s="537" t="s">
        <v>334</v>
      </c>
      <c r="G25" s="327"/>
      <c r="H25" s="566" t="s">
        <v>334</v>
      </c>
      <c r="I25" s="327"/>
      <c r="J25" s="567"/>
      <c r="K25" s="327"/>
      <c r="L25" s="567"/>
      <c r="M25" s="327"/>
      <c r="N25" s="20"/>
      <c r="O25" s="21"/>
      <c r="P25" s="524"/>
      <c r="Q25" s="327"/>
      <c r="R25" s="516"/>
      <c r="S25" s="327"/>
      <c r="T25" s="517"/>
      <c r="U25" s="327"/>
      <c r="V25" s="518"/>
      <c r="W25" s="327"/>
      <c r="X25" s="438" t="s">
        <v>303</v>
      </c>
      <c r="Y25" s="326"/>
      <c r="Z25" s="326"/>
      <c r="AA25" s="327"/>
      <c r="AB25" s="519" t="s">
        <v>303</v>
      </c>
      <c r="AC25" s="326"/>
      <c r="AD25" s="326"/>
      <c r="AE25" s="327"/>
      <c r="AF25" s="520"/>
      <c r="AG25" s="327"/>
      <c r="AH25" s="520"/>
      <c r="AI25" s="327"/>
      <c r="AJ25" s="554"/>
      <c r="AK25" s="327"/>
      <c r="AL25" s="556" t="s">
        <v>334</v>
      </c>
      <c r="AM25" s="327"/>
      <c r="AN25" s="553" t="s">
        <v>334</v>
      </c>
      <c r="AO25" s="327"/>
      <c r="AP25" s="554"/>
      <c r="AQ25" s="327"/>
      <c r="AR25" s="555"/>
      <c r="AS25" s="327"/>
      <c r="AT25" s="549"/>
      <c r="AU25" s="327"/>
      <c r="AV25" s="553" t="s">
        <v>334</v>
      </c>
      <c r="AW25" s="327"/>
      <c r="AX25" s="521"/>
      <c r="AY25" s="326"/>
      <c r="AZ25" s="327"/>
      <c r="BA25" s="536"/>
      <c r="BB25" s="327"/>
      <c r="BC25" s="22"/>
      <c r="BD25" s="551" t="s">
        <v>399</v>
      </c>
      <c r="BE25" s="327"/>
      <c r="BF25" s="508"/>
      <c r="BG25" s="326"/>
      <c r="BH25" s="326"/>
      <c r="BI25" s="327"/>
      <c r="BJ25" s="451" t="s">
        <v>303</v>
      </c>
      <c r="BK25" s="326"/>
      <c r="BL25" s="326"/>
      <c r="BM25" s="327"/>
      <c r="BN25" s="558" t="s">
        <v>303</v>
      </c>
      <c r="BO25" s="326"/>
      <c r="BP25" s="326"/>
      <c r="BQ25" s="326"/>
      <c r="BR25" s="326"/>
      <c r="BS25" s="326"/>
      <c r="BT25" s="326"/>
      <c r="BU25" s="326"/>
      <c r="BV25" s="327"/>
    </row>
    <row r="26" spans="1:74" ht="45" customHeight="1" x14ac:dyDescent="0.25">
      <c r="A26" s="10">
        <f t="shared" si="0"/>
        <v>12</v>
      </c>
      <c r="B26" s="559" t="s">
        <v>303</v>
      </c>
      <c r="C26" s="327"/>
      <c r="D26" s="560" t="s">
        <v>307</v>
      </c>
      <c r="E26" s="327"/>
      <c r="F26" s="537" t="s">
        <v>334</v>
      </c>
      <c r="G26" s="327"/>
      <c r="H26" s="561" t="s">
        <v>334</v>
      </c>
      <c r="I26" s="327"/>
      <c r="J26" s="562"/>
      <c r="K26" s="327"/>
      <c r="L26" s="562"/>
      <c r="M26" s="327"/>
      <c r="N26" s="23"/>
      <c r="O26" s="24"/>
      <c r="P26" s="563"/>
      <c r="Q26" s="327"/>
      <c r="R26" s="538"/>
      <c r="S26" s="327"/>
      <c r="T26" s="539"/>
      <c r="U26" s="327"/>
      <c r="V26" s="540"/>
      <c r="W26" s="327"/>
      <c r="X26" s="541" t="s">
        <v>303</v>
      </c>
      <c r="Y26" s="326"/>
      <c r="Z26" s="326"/>
      <c r="AA26" s="327"/>
      <c r="AB26" s="542" t="s">
        <v>303</v>
      </c>
      <c r="AC26" s="326"/>
      <c r="AD26" s="326"/>
      <c r="AE26" s="327"/>
      <c r="AF26" s="543"/>
      <c r="AG26" s="327"/>
      <c r="AH26" s="543"/>
      <c r="AI26" s="327"/>
      <c r="AJ26" s="536"/>
      <c r="AK26" s="327"/>
      <c r="AL26" s="537" t="s">
        <v>334</v>
      </c>
      <c r="AM26" s="327"/>
      <c r="AN26" s="546" t="s">
        <v>334</v>
      </c>
      <c r="AO26" s="327"/>
      <c r="AP26" s="547"/>
      <c r="AQ26" s="327"/>
      <c r="AR26" s="548"/>
      <c r="AS26" s="327"/>
      <c r="AT26" s="549"/>
      <c r="AU26" s="327"/>
      <c r="AV26" s="546" t="s">
        <v>334</v>
      </c>
      <c r="AW26" s="327"/>
      <c r="AX26" s="521"/>
      <c r="AY26" s="326"/>
      <c r="AZ26" s="327"/>
      <c r="BA26" s="550"/>
      <c r="BB26" s="327"/>
      <c r="BC26" s="25"/>
      <c r="BD26" s="544" t="s">
        <v>334</v>
      </c>
      <c r="BE26" s="327"/>
      <c r="BF26" s="545"/>
      <c r="BG26" s="326"/>
      <c r="BH26" s="326"/>
      <c r="BI26" s="327"/>
      <c r="BJ26" s="557" t="s">
        <v>303</v>
      </c>
      <c r="BK26" s="326"/>
      <c r="BL26" s="326"/>
      <c r="BM26" s="327"/>
      <c r="BN26" s="558" t="s">
        <v>303</v>
      </c>
      <c r="BO26" s="326"/>
      <c r="BP26" s="326"/>
      <c r="BQ26" s="326"/>
      <c r="BR26" s="326"/>
      <c r="BS26" s="326"/>
      <c r="BT26" s="326"/>
      <c r="BU26" s="326"/>
      <c r="BV26" s="327"/>
    </row>
    <row r="27" spans="1:74" ht="45" customHeight="1" x14ac:dyDescent="0.25">
      <c r="A27" s="10">
        <f t="shared" si="0"/>
        <v>13</v>
      </c>
      <c r="B27" s="564" t="s">
        <v>303</v>
      </c>
      <c r="C27" s="327"/>
      <c r="D27" s="565" t="s">
        <v>307</v>
      </c>
      <c r="E27" s="327"/>
      <c r="F27" s="537" t="s">
        <v>334</v>
      </c>
      <c r="G27" s="327"/>
      <c r="H27" s="566" t="s">
        <v>334</v>
      </c>
      <c r="I27" s="327"/>
      <c r="J27" s="567"/>
      <c r="K27" s="327"/>
      <c r="L27" s="567"/>
      <c r="M27" s="327"/>
      <c r="N27" s="20"/>
      <c r="O27" s="21"/>
      <c r="P27" s="524"/>
      <c r="Q27" s="327"/>
      <c r="R27" s="516"/>
      <c r="S27" s="327"/>
      <c r="T27" s="517"/>
      <c r="U27" s="327"/>
      <c r="V27" s="518"/>
      <c r="W27" s="327"/>
      <c r="X27" s="438" t="s">
        <v>303</v>
      </c>
      <c r="Y27" s="326"/>
      <c r="Z27" s="326"/>
      <c r="AA27" s="327"/>
      <c r="AB27" s="519" t="s">
        <v>303</v>
      </c>
      <c r="AC27" s="326"/>
      <c r="AD27" s="326"/>
      <c r="AE27" s="327"/>
      <c r="AF27" s="520"/>
      <c r="AG27" s="327"/>
      <c r="AH27" s="520"/>
      <c r="AI27" s="327"/>
      <c r="AJ27" s="554"/>
      <c r="AK27" s="327"/>
      <c r="AL27" s="556" t="s">
        <v>334</v>
      </c>
      <c r="AM27" s="327"/>
      <c r="AN27" s="553" t="s">
        <v>334</v>
      </c>
      <c r="AO27" s="327"/>
      <c r="AP27" s="554"/>
      <c r="AQ27" s="327"/>
      <c r="AR27" s="555"/>
      <c r="AS27" s="327"/>
      <c r="AT27" s="549"/>
      <c r="AU27" s="327"/>
      <c r="AV27" s="553" t="s">
        <v>334</v>
      </c>
      <c r="AW27" s="327"/>
      <c r="AX27" s="521"/>
      <c r="AY27" s="326"/>
      <c r="AZ27" s="327"/>
      <c r="BA27" s="536"/>
      <c r="BB27" s="327"/>
      <c r="BC27" s="22"/>
      <c r="BD27" s="551" t="s">
        <v>399</v>
      </c>
      <c r="BE27" s="327"/>
      <c r="BF27" s="552"/>
      <c r="BG27" s="326"/>
      <c r="BH27" s="326"/>
      <c r="BI27" s="327"/>
      <c r="BJ27" s="451" t="s">
        <v>303</v>
      </c>
      <c r="BK27" s="326"/>
      <c r="BL27" s="326"/>
      <c r="BM27" s="327"/>
      <c r="BN27" s="558" t="s">
        <v>303</v>
      </c>
      <c r="BO27" s="326"/>
      <c r="BP27" s="326"/>
      <c r="BQ27" s="326"/>
      <c r="BR27" s="326"/>
      <c r="BS27" s="326"/>
      <c r="BT27" s="326"/>
      <c r="BU27" s="326"/>
      <c r="BV27" s="327"/>
    </row>
    <row r="28" spans="1:74" ht="45" customHeight="1" x14ac:dyDescent="0.25">
      <c r="A28" s="10">
        <f t="shared" si="0"/>
        <v>14</v>
      </c>
      <c r="B28" s="559" t="s">
        <v>303</v>
      </c>
      <c r="C28" s="327"/>
      <c r="D28" s="560" t="s">
        <v>307</v>
      </c>
      <c r="E28" s="327"/>
      <c r="F28" s="537" t="s">
        <v>334</v>
      </c>
      <c r="G28" s="327"/>
      <c r="H28" s="561" t="s">
        <v>334</v>
      </c>
      <c r="I28" s="327"/>
      <c r="J28" s="562"/>
      <c r="K28" s="327"/>
      <c r="L28" s="562"/>
      <c r="M28" s="327"/>
      <c r="N28" s="23"/>
      <c r="O28" s="24"/>
      <c r="P28" s="563"/>
      <c r="Q28" s="327"/>
      <c r="R28" s="538"/>
      <c r="S28" s="327"/>
      <c r="T28" s="539"/>
      <c r="U28" s="327"/>
      <c r="V28" s="540"/>
      <c r="W28" s="327"/>
      <c r="X28" s="541" t="s">
        <v>303</v>
      </c>
      <c r="Y28" s="326"/>
      <c r="Z28" s="326"/>
      <c r="AA28" s="327"/>
      <c r="AB28" s="542" t="s">
        <v>303</v>
      </c>
      <c r="AC28" s="326"/>
      <c r="AD28" s="326"/>
      <c r="AE28" s="327"/>
      <c r="AF28" s="543"/>
      <c r="AG28" s="327"/>
      <c r="AH28" s="543"/>
      <c r="AI28" s="327"/>
      <c r="AJ28" s="536"/>
      <c r="AK28" s="327"/>
      <c r="AL28" s="537" t="s">
        <v>334</v>
      </c>
      <c r="AM28" s="327"/>
      <c r="AN28" s="546" t="s">
        <v>334</v>
      </c>
      <c r="AO28" s="327"/>
      <c r="AP28" s="547"/>
      <c r="AQ28" s="327"/>
      <c r="AR28" s="548"/>
      <c r="AS28" s="327"/>
      <c r="AT28" s="549"/>
      <c r="AU28" s="327"/>
      <c r="AV28" s="546" t="s">
        <v>334</v>
      </c>
      <c r="AW28" s="327"/>
      <c r="AX28" s="521"/>
      <c r="AY28" s="326"/>
      <c r="AZ28" s="327"/>
      <c r="BA28" s="550"/>
      <c r="BB28" s="327"/>
      <c r="BC28" s="25"/>
      <c r="BD28" s="544" t="s">
        <v>334</v>
      </c>
      <c r="BE28" s="327"/>
      <c r="BF28" s="545"/>
      <c r="BG28" s="326"/>
      <c r="BH28" s="326"/>
      <c r="BI28" s="327"/>
      <c r="BJ28" s="557" t="s">
        <v>303</v>
      </c>
      <c r="BK28" s="326"/>
      <c r="BL28" s="326"/>
      <c r="BM28" s="327"/>
      <c r="BN28" s="558" t="s">
        <v>303</v>
      </c>
      <c r="BO28" s="326"/>
      <c r="BP28" s="326"/>
      <c r="BQ28" s="326"/>
      <c r="BR28" s="326"/>
      <c r="BS28" s="326"/>
      <c r="BT28" s="326"/>
      <c r="BU28" s="326"/>
      <c r="BV28" s="327"/>
    </row>
    <row r="29" spans="1:74" ht="45" customHeight="1" x14ac:dyDescent="0.25">
      <c r="A29" s="10">
        <f t="shared" si="0"/>
        <v>15</v>
      </c>
      <c r="B29" s="564" t="s">
        <v>303</v>
      </c>
      <c r="C29" s="327"/>
      <c r="D29" s="565" t="s">
        <v>307</v>
      </c>
      <c r="E29" s="327"/>
      <c r="F29" s="537" t="s">
        <v>334</v>
      </c>
      <c r="G29" s="327"/>
      <c r="H29" s="566" t="s">
        <v>334</v>
      </c>
      <c r="I29" s="327"/>
      <c r="J29" s="567"/>
      <c r="K29" s="327"/>
      <c r="L29" s="567"/>
      <c r="M29" s="327"/>
      <c r="N29" s="20"/>
      <c r="O29" s="21"/>
      <c r="P29" s="524"/>
      <c r="Q29" s="327"/>
      <c r="R29" s="516"/>
      <c r="S29" s="327"/>
      <c r="T29" s="517"/>
      <c r="U29" s="327"/>
      <c r="V29" s="518"/>
      <c r="W29" s="327"/>
      <c r="X29" s="438" t="s">
        <v>303</v>
      </c>
      <c r="Y29" s="326"/>
      <c r="Z29" s="326"/>
      <c r="AA29" s="327"/>
      <c r="AB29" s="519" t="s">
        <v>303</v>
      </c>
      <c r="AC29" s="326"/>
      <c r="AD29" s="326"/>
      <c r="AE29" s="327"/>
      <c r="AF29" s="520"/>
      <c r="AG29" s="327"/>
      <c r="AH29" s="520"/>
      <c r="AI29" s="327"/>
      <c r="AJ29" s="554"/>
      <c r="AK29" s="327"/>
      <c r="AL29" s="556" t="s">
        <v>334</v>
      </c>
      <c r="AM29" s="327"/>
      <c r="AN29" s="553" t="s">
        <v>334</v>
      </c>
      <c r="AO29" s="327"/>
      <c r="AP29" s="554"/>
      <c r="AQ29" s="327"/>
      <c r="AR29" s="555"/>
      <c r="AS29" s="327"/>
      <c r="AT29" s="549"/>
      <c r="AU29" s="327"/>
      <c r="AV29" s="553" t="s">
        <v>334</v>
      </c>
      <c r="AW29" s="327"/>
      <c r="AX29" s="521"/>
      <c r="AY29" s="326"/>
      <c r="AZ29" s="327"/>
      <c r="BA29" s="536"/>
      <c r="BB29" s="327"/>
      <c r="BC29" s="22"/>
      <c r="BD29" s="551" t="s">
        <v>399</v>
      </c>
      <c r="BE29" s="327"/>
      <c r="BF29" s="508"/>
      <c r="BG29" s="326"/>
      <c r="BH29" s="326"/>
      <c r="BI29" s="327"/>
      <c r="BJ29" s="451" t="s">
        <v>303</v>
      </c>
      <c r="BK29" s="326"/>
      <c r="BL29" s="326"/>
      <c r="BM29" s="327"/>
      <c r="BN29" s="558" t="s">
        <v>303</v>
      </c>
      <c r="BO29" s="326"/>
      <c r="BP29" s="326"/>
      <c r="BQ29" s="326"/>
      <c r="BR29" s="326"/>
      <c r="BS29" s="326"/>
      <c r="BT29" s="326"/>
      <c r="BU29" s="326"/>
      <c r="BV29" s="327"/>
    </row>
    <row r="30" spans="1:74" ht="45" customHeight="1" x14ac:dyDescent="0.25">
      <c r="A30" s="10">
        <f t="shared" si="0"/>
        <v>16</v>
      </c>
      <c r="B30" s="559" t="s">
        <v>303</v>
      </c>
      <c r="C30" s="327"/>
      <c r="D30" s="560" t="s">
        <v>307</v>
      </c>
      <c r="E30" s="327"/>
      <c r="F30" s="537" t="s">
        <v>334</v>
      </c>
      <c r="G30" s="327"/>
      <c r="H30" s="561" t="s">
        <v>334</v>
      </c>
      <c r="I30" s="327"/>
      <c r="J30" s="562"/>
      <c r="K30" s="327"/>
      <c r="L30" s="562"/>
      <c r="M30" s="327"/>
      <c r="N30" s="23"/>
      <c r="O30" s="24"/>
      <c r="P30" s="563"/>
      <c r="Q30" s="327"/>
      <c r="R30" s="538"/>
      <c r="S30" s="327"/>
      <c r="T30" s="539"/>
      <c r="U30" s="327"/>
      <c r="V30" s="540"/>
      <c r="W30" s="327"/>
      <c r="X30" s="541" t="s">
        <v>303</v>
      </c>
      <c r="Y30" s="326"/>
      <c r="Z30" s="326"/>
      <c r="AA30" s="327"/>
      <c r="AB30" s="542" t="s">
        <v>303</v>
      </c>
      <c r="AC30" s="326"/>
      <c r="AD30" s="326"/>
      <c r="AE30" s="327"/>
      <c r="AF30" s="543"/>
      <c r="AG30" s="327"/>
      <c r="AH30" s="543"/>
      <c r="AI30" s="327"/>
      <c r="AJ30" s="536"/>
      <c r="AK30" s="327"/>
      <c r="AL30" s="537" t="s">
        <v>334</v>
      </c>
      <c r="AM30" s="327"/>
      <c r="AN30" s="546" t="s">
        <v>334</v>
      </c>
      <c r="AO30" s="327"/>
      <c r="AP30" s="547"/>
      <c r="AQ30" s="327"/>
      <c r="AR30" s="548"/>
      <c r="AS30" s="327"/>
      <c r="AT30" s="549"/>
      <c r="AU30" s="327"/>
      <c r="AV30" s="546" t="s">
        <v>334</v>
      </c>
      <c r="AW30" s="327"/>
      <c r="AX30" s="521"/>
      <c r="AY30" s="326"/>
      <c r="AZ30" s="327"/>
      <c r="BA30" s="550"/>
      <c r="BB30" s="327"/>
      <c r="BC30" s="25"/>
      <c r="BD30" s="544" t="s">
        <v>334</v>
      </c>
      <c r="BE30" s="327"/>
      <c r="BF30" s="545"/>
      <c r="BG30" s="326"/>
      <c r="BH30" s="326"/>
      <c r="BI30" s="327"/>
      <c r="BJ30" s="557" t="s">
        <v>303</v>
      </c>
      <c r="BK30" s="326"/>
      <c r="BL30" s="326"/>
      <c r="BM30" s="327"/>
      <c r="BN30" s="558" t="s">
        <v>303</v>
      </c>
      <c r="BO30" s="326"/>
      <c r="BP30" s="326"/>
      <c r="BQ30" s="326"/>
      <c r="BR30" s="326"/>
      <c r="BS30" s="326"/>
      <c r="BT30" s="326"/>
      <c r="BU30" s="326"/>
      <c r="BV30" s="327"/>
    </row>
    <row r="31" spans="1:74" ht="45" customHeight="1" x14ac:dyDescent="0.25">
      <c r="A31" s="10">
        <f t="shared" si="0"/>
        <v>17</v>
      </c>
      <c r="B31" s="564" t="s">
        <v>303</v>
      </c>
      <c r="C31" s="327"/>
      <c r="D31" s="565" t="s">
        <v>307</v>
      </c>
      <c r="E31" s="327"/>
      <c r="F31" s="537" t="s">
        <v>334</v>
      </c>
      <c r="G31" s="327"/>
      <c r="H31" s="566" t="s">
        <v>334</v>
      </c>
      <c r="I31" s="327"/>
      <c r="J31" s="567"/>
      <c r="K31" s="327"/>
      <c r="L31" s="567"/>
      <c r="M31" s="327"/>
      <c r="N31" s="20"/>
      <c r="O31" s="21"/>
      <c r="P31" s="524"/>
      <c r="Q31" s="327"/>
      <c r="R31" s="516"/>
      <c r="S31" s="327"/>
      <c r="T31" s="517"/>
      <c r="U31" s="327"/>
      <c r="V31" s="518"/>
      <c r="W31" s="327"/>
      <c r="X31" s="438" t="s">
        <v>303</v>
      </c>
      <c r="Y31" s="326"/>
      <c r="Z31" s="326"/>
      <c r="AA31" s="327"/>
      <c r="AB31" s="519" t="s">
        <v>303</v>
      </c>
      <c r="AC31" s="326"/>
      <c r="AD31" s="326"/>
      <c r="AE31" s="327"/>
      <c r="AF31" s="520"/>
      <c r="AG31" s="327"/>
      <c r="AH31" s="520"/>
      <c r="AI31" s="327"/>
      <c r="AJ31" s="554"/>
      <c r="AK31" s="327"/>
      <c r="AL31" s="556" t="s">
        <v>334</v>
      </c>
      <c r="AM31" s="327"/>
      <c r="AN31" s="553" t="s">
        <v>334</v>
      </c>
      <c r="AO31" s="327"/>
      <c r="AP31" s="554"/>
      <c r="AQ31" s="327"/>
      <c r="AR31" s="555"/>
      <c r="AS31" s="327"/>
      <c r="AT31" s="549"/>
      <c r="AU31" s="327"/>
      <c r="AV31" s="553" t="s">
        <v>334</v>
      </c>
      <c r="AW31" s="327"/>
      <c r="AX31" s="521"/>
      <c r="AY31" s="326"/>
      <c r="AZ31" s="327"/>
      <c r="BA31" s="536"/>
      <c r="BB31" s="327"/>
      <c r="BC31" s="22"/>
      <c r="BD31" s="551" t="s">
        <v>399</v>
      </c>
      <c r="BE31" s="327"/>
      <c r="BF31" s="552"/>
      <c r="BG31" s="326"/>
      <c r="BH31" s="326"/>
      <c r="BI31" s="327"/>
      <c r="BJ31" s="451" t="s">
        <v>303</v>
      </c>
      <c r="BK31" s="326"/>
      <c r="BL31" s="326"/>
      <c r="BM31" s="327"/>
      <c r="BN31" s="558" t="s">
        <v>303</v>
      </c>
      <c r="BO31" s="326"/>
      <c r="BP31" s="326"/>
      <c r="BQ31" s="326"/>
      <c r="BR31" s="326"/>
      <c r="BS31" s="326"/>
      <c r="BT31" s="326"/>
      <c r="BU31" s="326"/>
      <c r="BV31" s="327"/>
    </row>
    <row r="32" spans="1:74" ht="45" customHeight="1" x14ac:dyDescent="0.25">
      <c r="A32" s="10">
        <f t="shared" si="0"/>
        <v>18</v>
      </c>
      <c r="B32" s="559" t="s">
        <v>303</v>
      </c>
      <c r="C32" s="327"/>
      <c r="D32" s="560" t="s">
        <v>307</v>
      </c>
      <c r="E32" s="327"/>
      <c r="F32" s="537" t="s">
        <v>334</v>
      </c>
      <c r="G32" s="327"/>
      <c r="H32" s="561" t="s">
        <v>334</v>
      </c>
      <c r="I32" s="327"/>
      <c r="J32" s="562"/>
      <c r="K32" s="327"/>
      <c r="L32" s="562"/>
      <c r="M32" s="327"/>
      <c r="N32" s="23"/>
      <c r="O32" s="24"/>
      <c r="P32" s="563"/>
      <c r="Q32" s="327"/>
      <c r="R32" s="538"/>
      <c r="S32" s="327"/>
      <c r="T32" s="539"/>
      <c r="U32" s="327"/>
      <c r="V32" s="540"/>
      <c r="W32" s="327"/>
      <c r="X32" s="541" t="s">
        <v>303</v>
      </c>
      <c r="Y32" s="326"/>
      <c r="Z32" s="326"/>
      <c r="AA32" s="327"/>
      <c r="AB32" s="542" t="s">
        <v>303</v>
      </c>
      <c r="AC32" s="326"/>
      <c r="AD32" s="326"/>
      <c r="AE32" s="327"/>
      <c r="AF32" s="543"/>
      <c r="AG32" s="327"/>
      <c r="AH32" s="543"/>
      <c r="AI32" s="327"/>
      <c r="AJ32" s="536"/>
      <c r="AK32" s="327"/>
      <c r="AL32" s="537" t="s">
        <v>334</v>
      </c>
      <c r="AM32" s="327"/>
      <c r="AN32" s="546" t="s">
        <v>334</v>
      </c>
      <c r="AO32" s="327"/>
      <c r="AP32" s="547"/>
      <c r="AQ32" s="327"/>
      <c r="AR32" s="548"/>
      <c r="AS32" s="327"/>
      <c r="AT32" s="549"/>
      <c r="AU32" s="327"/>
      <c r="AV32" s="546" t="s">
        <v>334</v>
      </c>
      <c r="AW32" s="327"/>
      <c r="AX32" s="521"/>
      <c r="AY32" s="326"/>
      <c r="AZ32" s="327"/>
      <c r="BA32" s="550"/>
      <c r="BB32" s="327"/>
      <c r="BC32" s="25"/>
      <c r="BD32" s="544" t="s">
        <v>334</v>
      </c>
      <c r="BE32" s="327"/>
      <c r="BF32" s="545"/>
      <c r="BG32" s="326"/>
      <c r="BH32" s="326"/>
      <c r="BI32" s="327"/>
      <c r="BJ32" s="557" t="s">
        <v>303</v>
      </c>
      <c r="BK32" s="326"/>
      <c r="BL32" s="326"/>
      <c r="BM32" s="327"/>
      <c r="BN32" s="558" t="s">
        <v>303</v>
      </c>
      <c r="BO32" s="326"/>
      <c r="BP32" s="326"/>
      <c r="BQ32" s="326"/>
      <c r="BR32" s="326"/>
      <c r="BS32" s="326"/>
      <c r="BT32" s="326"/>
      <c r="BU32" s="326"/>
      <c r="BV32" s="327"/>
    </row>
    <row r="33" spans="1:74" ht="45" customHeight="1" x14ac:dyDescent="0.25">
      <c r="A33" s="10">
        <f t="shared" si="0"/>
        <v>19</v>
      </c>
      <c r="B33" s="564" t="s">
        <v>303</v>
      </c>
      <c r="C33" s="327"/>
      <c r="D33" s="565" t="s">
        <v>307</v>
      </c>
      <c r="E33" s="327"/>
      <c r="F33" s="537" t="s">
        <v>334</v>
      </c>
      <c r="G33" s="327"/>
      <c r="H33" s="566" t="s">
        <v>334</v>
      </c>
      <c r="I33" s="327"/>
      <c r="J33" s="567"/>
      <c r="K33" s="327"/>
      <c r="L33" s="567"/>
      <c r="M33" s="327"/>
      <c r="N33" s="20"/>
      <c r="O33" s="21"/>
      <c r="P33" s="524"/>
      <c r="Q33" s="327"/>
      <c r="R33" s="516"/>
      <c r="S33" s="327"/>
      <c r="T33" s="517"/>
      <c r="U33" s="327"/>
      <c r="V33" s="518"/>
      <c r="W33" s="327"/>
      <c r="X33" s="438" t="s">
        <v>303</v>
      </c>
      <c r="Y33" s="326"/>
      <c r="Z33" s="326"/>
      <c r="AA33" s="327"/>
      <c r="AB33" s="519" t="s">
        <v>303</v>
      </c>
      <c r="AC33" s="326"/>
      <c r="AD33" s="326"/>
      <c r="AE33" s="327"/>
      <c r="AF33" s="520"/>
      <c r="AG33" s="327"/>
      <c r="AH33" s="520"/>
      <c r="AI33" s="327"/>
      <c r="AJ33" s="554"/>
      <c r="AK33" s="327"/>
      <c r="AL33" s="556" t="s">
        <v>334</v>
      </c>
      <c r="AM33" s="327"/>
      <c r="AN33" s="553" t="s">
        <v>334</v>
      </c>
      <c r="AO33" s="327"/>
      <c r="AP33" s="554"/>
      <c r="AQ33" s="327"/>
      <c r="AR33" s="555"/>
      <c r="AS33" s="327"/>
      <c r="AT33" s="549"/>
      <c r="AU33" s="327"/>
      <c r="AV33" s="553" t="s">
        <v>334</v>
      </c>
      <c r="AW33" s="327"/>
      <c r="AX33" s="521"/>
      <c r="AY33" s="326"/>
      <c r="AZ33" s="327"/>
      <c r="BA33" s="536"/>
      <c r="BB33" s="327"/>
      <c r="BC33" s="22"/>
      <c r="BD33" s="551" t="s">
        <v>399</v>
      </c>
      <c r="BE33" s="327"/>
      <c r="BF33" s="508"/>
      <c r="BG33" s="326"/>
      <c r="BH33" s="326"/>
      <c r="BI33" s="327"/>
      <c r="BJ33" s="451" t="s">
        <v>303</v>
      </c>
      <c r="BK33" s="326"/>
      <c r="BL33" s="326"/>
      <c r="BM33" s="327"/>
      <c r="BN33" s="558" t="s">
        <v>303</v>
      </c>
      <c r="BO33" s="326"/>
      <c r="BP33" s="326"/>
      <c r="BQ33" s="326"/>
      <c r="BR33" s="326"/>
      <c r="BS33" s="326"/>
      <c r="BT33" s="326"/>
      <c r="BU33" s="326"/>
      <c r="BV33" s="327"/>
    </row>
    <row r="34" spans="1:74" ht="45" customHeight="1" x14ac:dyDescent="0.25">
      <c r="A34" s="10">
        <f t="shared" si="0"/>
        <v>20</v>
      </c>
      <c r="B34" s="559" t="s">
        <v>303</v>
      </c>
      <c r="C34" s="327"/>
      <c r="D34" s="560" t="s">
        <v>307</v>
      </c>
      <c r="E34" s="327"/>
      <c r="F34" s="537" t="s">
        <v>334</v>
      </c>
      <c r="G34" s="327"/>
      <c r="H34" s="561" t="s">
        <v>334</v>
      </c>
      <c r="I34" s="327"/>
      <c r="J34" s="562"/>
      <c r="K34" s="327"/>
      <c r="L34" s="562"/>
      <c r="M34" s="327"/>
      <c r="N34" s="23"/>
      <c r="O34" s="24"/>
      <c r="P34" s="563"/>
      <c r="Q34" s="327"/>
      <c r="R34" s="538"/>
      <c r="S34" s="327"/>
      <c r="T34" s="539"/>
      <c r="U34" s="327"/>
      <c r="V34" s="540"/>
      <c r="W34" s="327"/>
      <c r="X34" s="541" t="s">
        <v>303</v>
      </c>
      <c r="Y34" s="326"/>
      <c r="Z34" s="326"/>
      <c r="AA34" s="327"/>
      <c r="AB34" s="542" t="s">
        <v>303</v>
      </c>
      <c r="AC34" s="326"/>
      <c r="AD34" s="326"/>
      <c r="AE34" s="327"/>
      <c r="AF34" s="543"/>
      <c r="AG34" s="327"/>
      <c r="AH34" s="543"/>
      <c r="AI34" s="327"/>
      <c r="AJ34" s="536"/>
      <c r="AK34" s="327"/>
      <c r="AL34" s="537" t="s">
        <v>334</v>
      </c>
      <c r="AM34" s="327"/>
      <c r="AN34" s="546" t="s">
        <v>334</v>
      </c>
      <c r="AO34" s="327"/>
      <c r="AP34" s="547"/>
      <c r="AQ34" s="327"/>
      <c r="AR34" s="548"/>
      <c r="AS34" s="327"/>
      <c r="AT34" s="549"/>
      <c r="AU34" s="327"/>
      <c r="AV34" s="546" t="s">
        <v>334</v>
      </c>
      <c r="AW34" s="327"/>
      <c r="AX34" s="521"/>
      <c r="AY34" s="326"/>
      <c r="AZ34" s="327"/>
      <c r="BA34" s="550"/>
      <c r="BB34" s="327"/>
      <c r="BC34" s="25"/>
      <c r="BD34" s="544" t="s">
        <v>334</v>
      </c>
      <c r="BE34" s="327"/>
      <c r="BF34" s="545"/>
      <c r="BG34" s="326"/>
      <c r="BH34" s="326"/>
      <c r="BI34" s="327"/>
      <c r="BJ34" s="557" t="s">
        <v>303</v>
      </c>
      <c r="BK34" s="326"/>
      <c r="BL34" s="326"/>
      <c r="BM34" s="327"/>
      <c r="BN34" s="558" t="s">
        <v>303</v>
      </c>
      <c r="BO34" s="326"/>
      <c r="BP34" s="326"/>
      <c r="BQ34" s="326"/>
      <c r="BR34" s="326"/>
      <c r="BS34" s="326"/>
      <c r="BT34" s="326"/>
      <c r="BU34" s="326"/>
      <c r="BV34" s="327"/>
    </row>
    <row r="35" spans="1:74" ht="45" customHeight="1" x14ac:dyDescent="0.25">
      <c r="A35" s="10">
        <f t="shared" si="0"/>
        <v>21</v>
      </c>
      <c r="B35" s="564" t="s">
        <v>303</v>
      </c>
      <c r="C35" s="327"/>
      <c r="D35" s="565" t="s">
        <v>307</v>
      </c>
      <c r="E35" s="327"/>
      <c r="F35" s="537" t="s">
        <v>334</v>
      </c>
      <c r="G35" s="327"/>
      <c r="H35" s="566" t="s">
        <v>334</v>
      </c>
      <c r="I35" s="327"/>
      <c r="J35" s="567"/>
      <c r="K35" s="327"/>
      <c r="L35" s="567"/>
      <c r="M35" s="327"/>
      <c r="N35" s="20"/>
      <c r="O35" s="21"/>
      <c r="P35" s="524"/>
      <c r="Q35" s="327"/>
      <c r="R35" s="516"/>
      <c r="S35" s="327"/>
      <c r="T35" s="517"/>
      <c r="U35" s="327"/>
      <c r="V35" s="518"/>
      <c r="W35" s="327"/>
      <c r="X35" s="438" t="s">
        <v>303</v>
      </c>
      <c r="Y35" s="326"/>
      <c r="Z35" s="326"/>
      <c r="AA35" s="327"/>
      <c r="AB35" s="519" t="s">
        <v>303</v>
      </c>
      <c r="AC35" s="326"/>
      <c r="AD35" s="326"/>
      <c r="AE35" s="327"/>
      <c r="AF35" s="520"/>
      <c r="AG35" s="327"/>
      <c r="AH35" s="520"/>
      <c r="AI35" s="327"/>
      <c r="AJ35" s="554"/>
      <c r="AK35" s="327"/>
      <c r="AL35" s="556" t="s">
        <v>334</v>
      </c>
      <c r="AM35" s="327"/>
      <c r="AN35" s="553" t="s">
        <v>334</v>
      </c>
      <c r="AO35" s="327"/>
      <c r="AP35" s="554"/>
      <c r="AQ35" s="327"/>
      <c r="AR35" s="555"/>
      <c r="AS35" s="327"/>
      <c r="AT35" s="549"/>
      <c r="AU35" s="327"/>
      <c r="AV35" s="553" t="s">
        <v>334</v>
      </c>
      <c r="AW35" s="327"/>
      <c r="AX35" s="521"/>
      <c r="AY35" s="326"/>
      <c r="AZ35" s="327"/>
      <c r="BA35" s="536"/>
      <c r="BB35" s="327"/>
      <c r="BC35" s="22"/>
      <c r="BD35" s="551" t="s">
        <v>399</v>
      </c>
      <c r="BE35" s="327"/>
      <c r="BF35" s="508"/>
      <c r="BG35" s="326"/>
      <c r="BH35" s="326"/>
      <c r="BI35" s="327"/>
      <c r="BJ35" s="451" t="s">
        <v>303</v>
      </c>
      <c r="BK35" s="326"/>
      <c r="BL35" s="326"/>
      <c r="BM35" s="327"/>
      <c r="BN35" s="558" t="s">
        <v>303</v>
      </c>
      <c r="BO35" s="326"/>
      <c r="BP35" s="326"/>
      <c r="BQ35" s="326"/>
      <c r="BR35" s="326"/>
      <c r="BS35" s="326"/>
      <c r="BT35" s="326"/>
      <c r="BU35" s="326"/>
      <c r="BV35" s="327"/>
    </row>
    <row r="36" spans="1:74" ht="45" customHeight="1" x14ac:dyDescent="0.25">
      <c r="A36" s="10">
        <f t="shared" si="0"/>
        <v>22</v>
      </c>
      <c r="B36" s="559" t="s">
        <v>303</v>
      </c>
      <c r="C36" s="327"/>
      <c r="D36" s="560" t="s">
        <v>307</v>
      </c>
      <c r="E36" s="327"/>
      <c r="F36" s="537" t="s">
        <v>334</v>
      </c>
      <c r="G36" s="327"/>
      <c r="H36" s="561" t="s">
        <v>334</v>
      </c>
      <c r="I36" s="327"/>
      <c r="J36" s="562"/>
      <c r="K36" s="327"/>
      <c r="L36" s="562"/>
      <c r="M36" s="327"/>
      <c r="N36" s="23"/>
      <c r="O36" s="24"/>
      <c r="P36" s="563"/>
      <c r="Q36" s="327"/>
      <c r="R36" s="538"/>
      <c r="S36" s="327"/>
      <c r="T36" s="539"/>
      <c r="U36" s="327"/>
      <c r="V36" s="540"/>
      <c r="W36" s="327"/>
      <c r="X36" s="541" t="s">
        <v>303</v>
      </c>
      <c r="Y36" s="326"/>
      <c r="Z36" s="326"/>
      <c r="AA36" s="327"/>
      <c r="AB36" s="542" t="s">
        <v>303</v>
      </c>
      <c r="AC36" s="326"/>
      <c r="AD36" s="326"/>
      <c r="AE36" s="327"/>
      <c r="AF36" s="543"/>
      <c r="AG36" s="327"/>
      <c r="AH36" s="543"/>
      <c r="AI36" s="327"/>
      <c r="AJ36" s="536"/>
      <c r="AK36" s="327"/>
      <c r="AL36" s="537" t="s">
        <v>334</v>
      </c>
      <c r="AM36" s="327"/>
      <c r="AN36" s="546" t="s">
        <v>334</v>
      </c>
      <c r="AO36" s="327"/>
      <c r="AP36" s="547"/>
      <c r="AQ36" s="327"/>
      <c r="AR36" s="548"/>
      <c r="AS36" s="327"/>
      <c r="AT36" s="549"/>
      <c r="AU36" s="327"/>
      <c r="AV36" s="546" t="s">
        <v>334</v>
      </c>
      <c r="AW36" s="327"/>
      <c r="AX36" s="521"/>
      <c r="AY36" s="326"/>
      <c r="AZ36" s="327"/>
      <c r="BA36" s="550"/>
      <c r="BB36" s="327"/>
      <c r="BC36" s="25"/>
      <c r="BD36" s="544" t="s">
        <v>334</v>
      </c>
      <c r="BE36" s="327"/>
      <c r="BF36" s="545"/>
      <c r="BG36" s="326"/>
      <c r="BH36" s="326"/>
      <c r="BI36" s="327"/>
      <c r="BJ36" s="557" t="s">
        <v>303</v>
      </c>
      <c r="BK36" s="326"/>
      <c r="BL36" s="326"/>
      <c r="BM36" s="327"/>
      <c r="BN36" s="558" t="s">
        <v>303</v>
      </c>
      <c r="BO36" s="326"/>
      <c r="BP36" s="326"/>
      <c r="BQ36" s="326"/>
      <c r="BR36" s="326"/>
      <c r="BS36" s="326"/>
      <c r="BT36" s="326"/>
      <c r="BU36" s="326"/>
      <c r="BV36" s="327"/>
    </row>
    <row r="37" spans="1:74" ht="45" customHeight="1" x14ac:dyDescent="0.25">
      <c r="A37" s="10">
        <f t="shared" si="0"/>
        <v>23</v>
      </c>
      <c r="B37" s="564" t="s">
        <v>303</v>
      </c>
      <c r="C37" s="327"/>
      <c r="D37" s="565" t="s">
        <v>307</v>
      </c>
      <c r="E37" s="327"/>
      <c r="F37" s="537" t="s">
        <v>334</v>
      </c>
      <c r="G37" s="327"/>
      <c r="H37" s="566" t="s">
        <v>334</v>
      </c>
      <c r="I37" s="327"/>
      <c r="J37" s="567"/>
      <c r="K37" s="327"/>
      <c r="L37" s="567"/>
      <c r="M37" s="327"/>
      <c r="N37" s="20"/>
      <c r="O37" s="21"/>
      <c r="P37" s="524"/>
      <c r="Q37" s="327"/>
      <c r="R37" s="516"/>
      <c r="S37" s="327"/>
      <c r="T37" s="517"/>
      <c r="U37" s="327"/>
      <c r="V37" s="518"/>
      <c r="W37" s="327"/>
      <c r="X37" s="438" t="s">
        <v>303</v>
      </c>
      <c r="Y37" s="326"/>
      <c r="Z37" s="326"/>
      <c r="AA37" s="327"/>
      <c r="AB37" s="519" t="s">
        <v>303</v>
      </c>
      <c r="AC37" s="326"/>
      <c r="AD37" s="326"/>
      <c r="AE37" s="327"/>
      <c r="AF37" s="520"/>
      <c r="AG37" s="327"/>
      <c r="AH37" s="520"/>
      <c r="AI37" s="327"/>
      <c r="AJ37" s="554"/>
      <c r="AK37" s="327"/>
      <c r="AL37" s="556" t="s">
        <v>334</v>
      </c>
      <c r="AM37" s="327"/>
      <c r="AN37" s="553" t="s">
        <v>334</v>
      </c>
      <c r="AO37" s="327"/>
      <c r="AP37" s="554"/>
      <c r="AQ37" s="327"/>
      <c r="AR37" s="555"/>
      <c r="AS37" s="327"/>
      <c r="AT37" s="549"/>
      <c r="AU37" s="327"/>
      <c r="AV37" s="553" t="s">
        <v>334</v>
      </c>
      <c r="AW37" s="327"/>
      <c r="AX37" s="521"/>
      <c r="AY37" s="326"/>
      <c r="AZ37" s="327"/>
      <c r="BA37" s="536"/>
      <c r="BB37" s="327"/>
      <c r="BC37" s="22"/>
      <c r="BD37" s="551" t="s">
        <v>399</v>
      </c>
      <c r="BE37" s="327"/>
      <c r="BF37" s="552"/>
      <c r="BG37" s="326"/>
      <c r="BH37" s="326"/>
      <c r="BI37" s="327"/>
      <c r="BJ37" s="451" t="s">
        <v>303</v>
      </c>
      <c r="BK37" s="326"/>
      <c r="BL37" s="326"/>
      <c r="BM37" s="327"/>
      <c r="BN37" s="558" t="s">
        <v>303</v>
      </c>
      <c r="BO37" s="326"/>
      <c r="BP37" s="326"/>
      <c r="BQ37" s="326"/>
      <c r="BR37" s="326"/>
      <c r="BS37" s="326"/>
      <c r="BT37" s="326"/>
      <c r="BU37" s="326"/>
      <c r="BV37" s="327"/>
    </row>
    <row r="38" spans="1:74" ht="45" customHeight="1" x14ac:dyDescent="0.25">
      <c r="A38" s="10">
        <f t="shared" si="0"/>
        <v>24</v>
      </c>
      <c r="B38" s="559" t="s">
        <v>303</v>
      </c>
      <c r="C38" s="327"/>
      <c r="D38" s="560" t="s">
        <v>307</v>
      </c>
      <c r="E38" s="327"/>
      <c r="F38" s="537" t="s">
        <v>334</v>
      </c>
      <c r="G38" s="327"/>
      <c r="H38" s="561" t="s">
        <v>334</v>
      </c>
      <c r="I38" s="327"/>
      <c r="J38" s="562"/>
      <c r="K38" s="327"/>
      <c r="L38" s="562"/>
      <c r="M38" s="327"/>
      <c r="N38" s="23"/>
      <c r="O38" s="24"/>
      <c r="P38" s="563"/>
      <c r="Q38" s="327"/>
      <c r="R38" s="538"/>
      <c r="S38" s="327"/>
      <c r="T38" s="539"/>
      <c r="U38" s="327"/>
      <c r="V38" s="540"/>
      <c r="W38" s="327"/>
      <c r="X38" s="541" t="s">
        <v>303</v>
      </c>
      <c r="Y38" s="326"/>
      <c r="Z38" s="326"/>
      <c r="AA38" s="327"/>
      <c r="AB38" s="542" t="s">
        <v>303</v>
      </c>
      <c r="AC38" s="326"/>
      <c r="AD38" s="326"/>
      <c r="AE38" s="327"/>
      <c r="AF38" s="543"/>
      <c r="AG38" s="327"/>
      <c r="AH38" s="543"/>
      <c r="AI38" s="327"/>
      <c r="AJ38" s="536"/>
      <c r="AK38" s="327"/>
      <c r="AL38" s="537" t="s">
        <v>334</v>
      </c>
      <c r="AM38" s="327"/>
      <c r="AN38" s="546" t="s">
        <v>334</v>
      </c>
      <c r="AO38" s="327"/>
      <c r="AP38" s="547"/>
      <c r="AQ38" s="327"/>
      <c r="AR38" s="548"/>
      <c r="AS38" s="327"/>
      <c r="AT38" s="549"/>
      <c r="AU38" s="327"/>
      <c r="AV38" s="546" t="s">
        <v>334</v>
      </c>
      <c r="AW38" s="327"/>
      <c r="AX38" s="521"/>
      <c r="AY38" s="326"/>
      <c r="AZ38" s="327"/>
      <c r="BA38" s="550"/>
      <c r="BB38" s="327"/>
      <c r="BC38" s="25"/>
      <c r="BD38" s="544" t="s">
        <v>334</v>
      </c>
      <c r="BE38" s="327"/>
      <c r="BF38" s="545"/>
      <c r="BG38" s="326"/>
      <c r="BH38" s="326"/>
      <c r="BI38" s="327"/>
      <c r="BJ38" s="557" t="s">
        <v>303</v>
      </c>
      <c r="BK38" s="326"/>
      <c r="BL38" s="326"/>
      <c r="BM38" s="327"/>
      <c r="BN38" s="558" t="s">
        <v>303</v>
      </c>
      <c r="BO38" s="326"/>
      <c r="BP38" s="326"/>
      <c r="BQ38" s="326"/>
      <c r="BR38" s="326"/>
      <c r="BS38" s="326"/>
      <c r="BT38" s="326"/>
      <c r="BU38" s="326"/>
      <c r="BV38" s="327"/>
    </row>
    <row r="39" spans="1:74" ht="45" customHeight="1" x14ac:dyDescent="0.25">
      <c r="A39" s="10">
        <f t="shared" si="0"/>
        <v>25</v>
      </c>
      <c r="B39" s="564" t="s">
        <v>303</v>
      </c>
      <c r="C39" s="327"/>
      <c r="D39" s="565" t="s">
        <v>307</v>
      </c>
      <c r="E39" s="327"/>
      <c r="F39" s="537" t="s">
        <v>334</v>
      </c>
      <c r="G39" s="327"/>
      <c r="H39" s="566" t="s">
        <v>334</v>
      </c>
      <c r="I39" s="327"/>
      <c r="J39" s="567"/>
      <c r="K39" s="327"/>
      <c r="L39" s="567"/>
      <c r="M39" s="327"/>
      <c r="N39" s="20"/>
      <c r="O39" s="21"/>
      <c r="P39" s="524"/>
      <c r="Q39" s="327"/>
      <c r="R39" s="516"/>
      <c r="S39" s="327"/>
      <c r="T39" s="517"/>
      <c r="U39" s="327"/>
      <c r="V39" s="518"/>
      <c r="W39" s="327"/>
      <c r="X39" s="438" t="s">
        <v>303</v>
      </c>
      <c r="Y39" s="326"/>
      <c r="Z39" s="326"/>
      <c r="AA39" s="327"/>
      <c r="AB39" s="519" t="s">
        <v>303</v>
      </c>
      <c r="AC39" s="326"/>
      <c r="AD39" s="326"/>
      <c r="AE39" s="327"/>
      <c r="AF39" s="520"/>
      <c r="AG39" s="327"/>
      <c r="AH39" s="520"/>
      <c r="AI39" s="327"/>
      <c r="AJ39" s="554"/>
      <c r="AK39" s="327"/>
      <c r="AL39" s="556" t="s">
        <v>334</v>
      </c>
      <c r="AM39" s="327"/>
      <c r="AN39" s="553" t="s">
        <v>334</v>
      </c>
      <c r="AO39" s="327"/>
      <c r="AP39" s="554"/>
      <c r="AQ39" s="327"/>
      <c r="AR39" s="555"/>
      <c r="AS39" s="327"/>
      <c r="AT39" s="549"/>
      <c r="AU39" s="327"/>
      <c r="AV39" s="553" t="s">
        <v>334</v>
      </c>
      <c r="AW39" s="327"/>
      <c r="AX39" s="521"/>
      <c r="AY39" s="326"/>
      <c r="AZ39" s="327"/>
      <c r="BA39" s="536"/>
      <c r="BB39" s="327"/>
      <c r="BC39" s="22"/>
      <c r="BD39" s="551" t="s">
        <v>399</v>
      </c>
      <c r="BE39" s="327"/>
      <c r="BF39" s="508"/>
      <c r="BG39" s="326"/>
      <c r="BH39" s="326"/>
      <c r="BI39" s="327"/>
      <c r="BJ39" s="451" t="s">
        <v>303</v>
      </c>
      <c r="BK39" s="326"/>
      <c r="BL39" s="326"/>
      <c r="BM39" s="327"/>
      <c r="BN39" s="558" t="s">
        <v>303</v>
      </c>
      <c r="BO39" s="326"/>
      <c r="BP39" s="326"/>
      <c r="BQ39" s="326"/>
      <c r="BR39" s="326"/>
      <c r="BS39" s="326"/>
      <c r="BT39" s="326"/>
      <c r="BU39" s="326"/>
      <c r="BV39" s="327"/>
    </row>
    <row r="40" spans="1:74" ht="45" customHeight="1" x14ac:dyDescent="0.25">
      <c r="A40" s="10">
        <f t="shared" si="0"/>
        <v>26</v>
      </c>
      <c r="B40" s="559" t="s">
        <v>303</v>
      </c>
      <c r="C40" s="327"/>
      <c r="D40" s="560" t="s">
        <v>307</v>
      </c>
      <c r="E40" s="327"/>
      <c r="F40" s="537" t="s">
        <v>334</v>
      </c>
      <c r="G40" s="327"/>
      <c r="H40" s="561" t="s">
        <v>334</v>
      </c>
      <c r="I40" s="327"/>
      <c r="J40" s="562"/>
      <c r="K40" s="327"/>
      <c r="L40" s="562"/>
      <c r="M40" s="327"/>
      <c r="N40" s="23"/>
      <c r="O40" s="24"/>
      <c r="P40" s="563"/>
      <c r="Q40" s="327"/>
      <c r="R40" s="538"/>
      <c r="S40" s="327"/>
      <c r="T40" s="539"/>
      <c r="U40" s="327"/>
      <c r="V40" s="540"/>
      <c r="W40" s="327"/>
      <c r="X40" s="541" t="s">
        <v>303</v>
      </c>
      <c r="Y40" s="326"/>
      <c r="Z40" s="326"/>
      <c r="AA40" s="327"/>
      <c r="AB40" s="542" t="s">
        <v>303</v>
      </c>
      <c r="AC40" s="326"/>
      <c r="AD40" s="326"/>
      <c r="AE40" s="327"/>
      <c r="AF40" s="543"/>
      <c r="AG40" s="327"/>
      <c r="AH40" s="543"/>
      <c r="AI40" s="327"/>
      <c r="AJ40" s="536"/>
      <c r="AK40" s="327"/>
      <c r="AL40" s="537" t="s">
        <v>334</v>
      </c>
      <c r="AM40" s="327"/>
      <c r="AN40" s="546" t="s">
        <v>334</v>
      </c>
      <c r="AO40" s="327"/>
      <c r="AP40" s="547"/>
      <c r="AQ40" s="327"/>
      <c r="AR40" s="548"/>
      <c r="AS40" s="327"/>
      <c r="AT40" s="549"/>
      <c r="AU40" s="327"/>
      <c r="AV40" s="546" t="s">
        <v>334</v>
      </c>
      <c r="AW40" s="327"/>
      <c r="AX40" s="521"/>
      <c r="AY40" s="326"/>
      <c r="AZ40" s="327"/>
      <c r="BA40" s="550"/>
      <c r="BB40" s="327"/>
      <c r="BC40" s="25"/>
      <c r="BD40" s="544" t="s">
        <v>334</v>
      </c>
      <c r="BE40" s="327"/>
      <c r="BF40" s="545"/>
      <c r="BG40" s="326"/>
      <c r="BH40" s="326"/>
      <c r="BI40" s="327"/>
      <c r="BJ40" s="557" t="s">
        <v>303</v>
      </c>
      <c r="BK40" s="326"/>
      <c r="BL40" s="326"/>
      <c r="BM40" s="327"/>
      <c r="BN40" s="558" t="s">
        <v>303</v>
      </c>
      <c r="BO40" s="326"/>
      <c r="BP40" s="326"/>
      <c r="BQ40" s="326"/>
      <c r="BR40" s="326"/>
      <c r="BS40" s="326"/>
      <c r="BT40" s="326"/>
      <c r="BU40" s="326"/>
      <c r="BV40" s="327"/>
    </row>
    <row r="41" spans="1:74" ht="45" customHeight="1" x14ac:dyDescent="0.25">
      <c r="A41" s="10">
        <f t="shared" si="0"/>
        <v>27</v>
      </c>
      <c r="B41" s="564" t="s">
        <v>303</v>
      </c>
      <c r="C41" s="327"/>
      <c r="D41" s="565" t="s">
        <v>307</v>
      </c>
      <c r="E41" s="327"/>
      <c r="F41" s="537" t="s">
        <v>334</v>
      </c>
      <c r="G41" s="327"/>
      <c r="H41" s="566" t="s">
        <v>334</v>
      </c>
      <c r="I41" s="327"/>
      <c r="J41" s="567"/>
      <c r="K41" s="327"/>
      <c r="L41" s="567"/>
      <c r="M41" s="327"/>
      <c r="N41" s="20"/>
      <c r="O41" s="21"/>
      <c r="P41" s="524"/>
      <c r="Q41" s="327"/>
      <c r="R41" s="516"/>
      <c r="S41" s="327"/>
      <c r="T41" s="517"/>
      <c r="U41" s="327"/>
      <c r="V41" s="518"/>
      <c r="W41" s="327"/>
      <c r="X41" s="438" t="s">
        <v>303</v>
      </c>
      <c r="Y41" s="326"/>
      <c r="Z41" s="326"/>
      <c r="AA41" s="327"/>
      <c r="AB41" s="519" t="s">
        <v>303</v>
      </c>
      <c r="AC41" s="326"/>
      <c r="AD41" s="326"/>
      <c r="AE41" s="327"/>
      <c r="AF41" s="520"/>
      <c r="AG41" s="327"/>
      <c r="AH41" s="520"/>
      <c r="AI41" s="327"/>
      <c r="AJ41" s="554"/>
      <c r="AK41" s="327"/>
      <c r="AL41" s="556" t="s">
        <v>334</v>
      </c>
      <c r="AM41" s="327"/>
      <c r="AN41" s="553" t="s">
        <v>334</v>
      </c>
      <c r="AO41" s="327"/>
      <c r="AP41" s="554"/>
      <c r="AQ41" s="327"/>
      <c r="AR41" s="555"/>
      <c r="AS41" s="327"/>
      <c r="AT41" s="549"/>
      <c r="AU41" s="327"/>
      <c r="AV41" s="553" t="s">
        <v>334</v>
      </c>
      <c r="AW41" s="327"/>
      <c r="AX41" s="521"/>
      <c r="AY41" s="326"/>
      <c r="AZ41" s="327"/>
      <c r="BA41" s="536"/>
      <c r="BB41" s="327"/>
      <c r="BC41" s="22"/>
      <c r="BD41" s="551" t="s">
        <v>399</v>
      </c>
      <c r="BE41" s="327"/>
      <c r="BF41" s="552"/>
      <c r="BG41" s="326"/>
      <c r="BH41" s="326"/>
      <c r="BI41" s="327"/>
      <c r="BJ41" s="451" t="s">
        <v>303</v>
      </c>
      <c r="BK41" s="326"/>
      <c r="BL41" s="326"/>
      <c r="BM41" s="327"/>
      <c r="BN41" s="558" t="s">
        <v>303</v>
      </c>
      <c r="BO41" s="326"/>
      <c r="BP41" s="326"/>
      <c r="BQ41" s="326"/>
      <c r="BR41" s="326"/>
      <c r="BS41" s="326"/>
      <c r="BT41" s="326"/>
      <c r="BU41" s="326"/>
      <c r="BV41" s="327"/>
    </row>
    <row r="42" spans="1:74" ht="45" customHeight="1" x14ac:dyDescent="0.25">
      <c r="A42" s="10">
        <f t="shared" si="0"/>
        <v>28</v>
      </c>
      <c r="B42" s="559" t="s">
        <v>303</v>
      </c>
      <c r="C42" s="327"/>
      <c r="D42" s="560" t="s">
        <v>307</v>
      </c>
      <c r="E42" s="327"/>
      <c r="F42" s="537" t="s">
        <v>334</v>
      </c>
      <c r="G42" s="327"/>
      <c r="H42" s="561" t="s">
        <v>334</v>
      </c>
      <c r="I42" s="327"/>
      <c r="J42" s="562"/>
      <c r="K42" s="327"/>
      <c r="L42" s="562"/>
      <c r="M42" s="327"/>
      <c r="N42" s="23"/>
      <c r="O42" s="24"/>
      <c r="P42" s="563"/>
      <c r="Q42" s="327"/>
      <c r="R42" s="538"/>
      <c r="S42" s="327"/>
      <c r="T42" s="539"/>
      <c r="U42" s="327"/>
      <c r="V42" s="540"/>
      <c r="W42" s="327"/>
      <c r="X42" s="541" t="s">
        <v>303</v>
      </c>
      <c r="Y42" s="326"/>
      <c r="Z42" s="326"/>
      <c r="AA42" s="327"/>
      <c r="AB42" s="542" t="s">
        <v>303</v>
      </c>
      <c r="AC42" s="326"/>
      <c r="AD42" s="326"/>
      <c r="AE42" s="327"/>
      <c r="AF42" s="543"/>
      <c r="AG42" s="327"/>
      <c r="AH42" s="543"/>
      <c r="AI42" s="327"/>
      <c r="AJ42" s="536"/>
      <c r="AK42" s="327"/>
      <c r="AL42" s="537" t="s">
        <v>334</v>
      </c>
      <c r="AM42" s="327"/>
      <c r="AN42" s="546" t="s">
        <v>334</v>
      </c>
      <c r="AO42" s="327"/>
      <c r="AP42" s="547"/>
      <c r="AQ42" s="327"/>
      <c r="AR42" s="548"/>
      <c r="AS42" s="327"/>
      <c r="AT42" s="549"/>
      <c r="AU42" s="327"/>
      <c r="AV42" s="546" t="s">
        <v>334</v>
      </c>
      <c r="AW42" s="327"/>
      <c r="AX42" s="521"/>
      <c r="AY42" s="326"/>
      <c r="AZ42" s="327"/>
      <c r="BA42" s="550"/>
      <c r="BB42" s="327"/>
      <c r="BC42" s="25"/>
      <c r="BD42" s="544" t="s">
        <v>334</v>
      </c>
      <c r="BE42" s="327"/>
      <c r="BF42" s="545"/>
      <c r="BG42" s="326"/>
      <c r="BH42" s="326"/>
      <c r="BI42" s="327"/>
      <c r="BJ42" s="557" t="s">
        <v>303</v>
      </c>
      <c r="BK42" s="326"/>
      <c r="BL42" s="326"/>
      <c r="BM42" s="327"/>
      <c r="BN42" s="558" t="s">
        <v>303</v>
      </c>
      <c r="BO42" s="326"/>
      <c r="BP42" s="326"/>
      <c r="BQ42" s="326"/>
      <c r="BR42" s="326"/>
      <c r="BS42" s="326"/>
      <c r="BT42" s="326"/>
      <c r="BU42" s="326"/>
      <c r="BV42" s="327"/>
    </row>
    <row r="43" spans="1:74" ht="45" customHeight="1" x14ac:dyDescent="0.25">
      <c r="A43" s="10">
        <f t="shared" si="0"/>
        <v>29</v>
      </c>
      <c r="B43" s="564" t="s">
        <v>303</v>
      </c>
      <c r="C43" s="327"/>
      <c r="D43" s="565" t="s">
        <v>307</v>
      </c>
      <c r="E43" s="327"/>
      <c r="F43" s="537" t="s">
        <v>334</v>
      </c>
      <c r="G43" s="327"/>
      <c r="H43" s="566" t="s">
        <v>334</v>
      </c>
      <c r="I43" s="327"/>
      <c r="J43" s="567"/>
      <c r="K43" s="327"/>
      <c r="L43" s="567"/>
      <c r="M43" s="327"/>
      <c r="N43" s="20"/>
      <c r="O43" s="21"/>
      <c r="P43" s="524"/>
      <c r="Q43" s="327"/>
      <c r="R43" s="516"/>
      <c r="S43" s="327"/>
      <c r="T43" s="517"/>
      <c r="U43" s="327"/>
      <c r="V43" s="518"/>
      <c r="W43" s="327"/>
      <c r="X43" s="438" t="s">
        <v>303</v>
      </c>
      <c r="Y43" s="326"/>
      <c r="Z43" s="326"/>
      <c r="AA43" s="327"/>
      <c r="AB43" s="519" t="s">
        <v>303</v>
      </c>
      <c r="AC43" s="326"/>
      <c r="AD43" s="326"/>
      <c r="AE43" s="327"/>
      <c r="AF43" s="520"/>
      <c r="AG43" s="327"/>
      <c r="AH43" s="520"/>
      <c r="AI43" s="327"/>
      <c r="AJ43" s="554"/>
      <c r="AK43" s="327"/>
      <c r="AL43" s="556" t="s">
        <v>334</v>
      </c>
      <c r="AM43" s="327"/>
      <c r="AN43" s="553" t="s">
        <v>334</v>
      </c>
      <c r="AO43" s="327"/>
      <c r="AP43" s="554"/>
      <c r="AQ43" s="327"/>
      <c r="AR43" s="555"/>
      <c r="AS43" s="327"/>
      <c r="AT43" s="549"/>
      <c r="AU43" s="327"/>
      <c r="AV43" s="553" t="s">
        <v>334</v>
      </c>
      <c r="AW43" s="327"/>
      <c r="AX43" s="521"/>
      <c r="AY43" s="326"/>
      <c r="AZ43" s="327"/>
      <c r="BA43" s="536"/>
      <c r="BB43" s="327"/>
      <c r="BC43" s="22"/>
      <c r="BD43" s="551" t="s">
        <v>399</v>
      </c>
      <c r="BE43" s="327"/>
      <c r="BF43" s="508"/>
      <c r="BG43" s="326"/>
      <c r="BH43" s="326"/>
      <c r="BI43" s="327"/>
      <c r="BJ43" s="451" t="s">
        <v>303</v>
      </c>
      <c r="BK43" s="326"/>
      <c r="BL43" s="326"/>
      <c r="BM43" s="327"/>
      <c r="BN43" s="558" t="s">
        <v>303</v>
      </c>
      <c r="BO43" s="326"/>
      <c r="BP43" s="326"/>
      <c r="BQ43" s="326"/>
      <c r="BR43" s="326"/>
      <c r="BS43" s="326"/>
      <c r="BT43" s="326"/>
      <c r="BU43" s="326"/>
      <c r="BV43" s="327"/>
    </row>
    <row r="44" spans="1:74" ht="45" customHeight="1" x14ac:dyDescent="0.25">
      <c r="A44" s="10">
        <f t="shared" si="0"/>
        <v>30</v>
      </c>
      <c r="B44" s="559" t="s">
        <v>303</v>
      </c>
      <c r="C44" s="327"/>
      <c r="D44" s="560" t="s">
        <v>307</v>
      </c>
      <c r="E44" s="327"/>
      <c r="F44" s="537" t="s">
        <v>334</v>
      </c>
      <c r="G44" s="327"/>
      <c r="H44" s="561" t="s">
        <v>334</v>
      </c>
      <c r="I44" s="327"/>
      <c r="J44" s="562"/>
      <c r="K44" s="327"/>
      <c r="L44" s="562"/>
      <c r="M44" s="327"/>
      <c r="N44" s="23"/>
      <c r="O44" s="24"/>
      <c r="P44" s="563"/>
      <c r="Q44" s="327"/>
      <c r="R44" s="538"/>
      <c r="S44" s="327"/>
      <c r="T44" s="539"/>
      <c r="U44" s="327"/>
      <c r="V44" s="540"/>
      <c r="W44" s="327"/>
      <c r="X44" s="541" t="s">
        <v>303</v>
      </c>
      <c r="Y44" s="326"/>
      <c r="Z44" s="326"/>
      <c r="AA44" s="327"/>
      <c r="AB44" s="542" t="s">
        <v>303</v>
      </c>
      <c r="AC44" s="326"/>
      <c r="AD44" s="326"/>
      <c r="AE44" s="327"/>
      <c r="AF44" s="543"/>
      <c r="AG44" s="327"/>
      <c r="AH44" s="543"/>
      <c r="AI44" s="327"/>
      <c r="AJ44" s="536"/>
      <c r="AK44" s="327"/>
      <c r="AL44" s="537" t="s">
        <v>334</v>
      </c>
      <c r="AM44" s="327"/>
      <c r="AN44" s="546" t="s">
        <v>334</v>
      </c>
      <c r="AO44" s="327"/>
      <c r="AP44" s="547"/>
      <c r="AQ44" s="327"/>
      <c r="AR44" s="548"/>
      <c r="AS44" s="327"/>
      <c r="AT44" s="549"/>
      <c r="AU44" s="327"/>
      <c r="AV44" s="546" t="s">
        <v>334</v>
      </c>
      <c r="AW44" s="327"/>
      <c r="AX44" s="521"/>
      <c r="AY44" s="326"/>
      <c r="AZ44" s="327"/>
      <c r="BA44" s="550"/>
      <c r="BB44" s="327"/>
      <c r="BC44" s="25"/>
      <c r="BD44" s="544" t="s">
        <v>334</v>
      </c>
      <c r="BE44" s="327"/>
      <c r="BF44" s="545"/>
      <c r="BG44" s="326"/>
      <c r="BH44" s="326"/>
      <c r="BI44" s="327"/>
      <c r="BJ44" s="557" t="s">
        <v>303</v>
      </c>
      <c r="BK44" s="326"/>
      <c r="BL44" s="326"/>
      <c r="BM44" s="327"/>
      <c r="BN44" s="558" t="s">
        <v>303</v>
      </c>
      <c r="BO44" s="326"/>
      <c r="BP44" s="326"/>
      <c r="BQ44" s="326"/>
      <c r="BR44" s="326"/>
      <c r="BS44" s="326"/>
      <c r="BT44" s="326"/>
      <c r="BU44" s="326"/>
      <c r="BV44" s="327"/>
    </row>
    <row r="45" spans="1:74" ht="45" customHeight="1" x14ac:dyDescent="0.25">
      <c r="A45" s="10">
        <f t="shared" si="0"/>
        <v>31</v>
      </c>
      <c r="B45" s="564" t="s">
        <v>303</v>
      </c>
      <c r="C45" s="327"/>
      <c r="D45" s="565" t="s">
        <v>307</v>
      </c>
      <c r="E45" s="327"/>
      <c r="F45" s="537" t="s">
        <v>334</v>
      </c>
      <c r="G45" s="327"/>
      <c r="H45" s="566" t="s">
        <v>334</v>
      </c>
      <c r="I45" s="327"/>
      <c r="J45" s="567"/>
      <c r="K45" s="327"/>
      <c r="L45" s="567"/>
      <c r="M45" s="327"/>
      <c r="N45" s="20"/>
      <c r="O45" s="21"/>
      <c r="P45" s="524"/>
      <c r="Q45" s="327"/>
      <c r="R45" s="516"/>
      <c r="S45" s="327"/>
      <c r="T45" s="517"/>
      <c r="U45" s="327"/>
      <c r="V45" s="518"/>
      <c r="W45" s="327"/>
      <c r="X45" s="438" t="s">
        <v>303</v>
      </c>
      <c r="Y45" s="326"/>
      <c r="Z45" s="326"/>
      <c r="AA45" s="327"/>
      <c r="AB45" s="519" t="s">
        <v>303</v>
      </c>
      <c r="AC45" s="326"/>
      <c r="AD45" s="326"/>
      <c r="AE45" s="327"/>
      <c r="AF45" s="520"/>
      <c r="AG45" s="327"/>
      <c r="AH45" s="520"/>
      <c r="AI45" s="327"/>
      <c r="AJ45" s="554"/>
      <c r="AK45" s="327"/>
      <c r="AL45" s="556" t="s">
        <v>334</v>
      </c>
      <c r="AM45" s="327"/>
      <c r="AN45" s="553" t="s">
        <v>334</v>
      </c>
      <c r="AO45" s="327"/>
      <c r="AP45" s="554"/>
      <c r="AQ45" s="327"/>
      <c r="AR45" s="555"/>
      <c r="AS45" s="327"/>
      <c r="AT45" s="549"/>
      <c r="AU45" s="327"/>
      <c r="AV45" s="553" t="s">
        <v>334</v>
      </c>
      <c r="AW45" s="327"/>
      <c r="AX45" s="521"/>
      <c r="AY45" s="326"/>
      <c r="AZ45" s="327"/>
      <c r="BA45" s="536"/>
      <c r="BB45" s="327"/>
      <c r="BC45" s="22"/>
      <c r="BD45" s="551" t="s">
        <v>399</v>
      </c>
      <c r="BE45" s="327"/>
      <c r="BF45" s="508"/>
      <c r="BG45" s="326"/>
      <c r="BH45" s="326"/>
      <c r="BI45" s="327"/>
      <c r="BJ45" s="451" t="s">
        <v>303</v>
      </c>
      <c r="BK45" s="326"/>
      <c r="BL45" s="326"/>
      <c r="BM45" s="327"/>
      <c r="BN45" s="558" t="s">
        <v>303</v>
      </c>
      <c r="BO45" s="326"/>
      <c r="BP45" s="326"/>
      <c r="BQ45" s="326"/>
      <c r="BR45" s="326"/>
      <c r="BS45" s="326"/>
      <c r="BT45" s="326"/>
      <c r="BU45" s="326"/>
      <c r="BV45" s="327"/>
    </row>
    <row r="46" spans="1:74" ht="45" customHeight="1" x14ac:dyDescent="0.25">
      <c r="A46" s="10">
        <f t="shared" si="0"/>
        <v>32</v>
      </c>
      <c r="B46" s="559" t="s">
        <v>303</v>
      </c>
      <c r="C46" s="327"/>
      <c r="D46" s="560" t="s">
        <v>307</v>
      </c>
      <c r="E46" s="327"/>
      <c r="F46" s="537" t="s">
        <v>334</v>
      </c>
      <c r="G46" s="327"/>
      <c r="H46" s="561" t="s">
        <v>334</v>
      </c>
      <c r="I46" s="327"/>
      <c r="J46" s="562"/>
      <c r="K46" s="327"/>
      <c r="L46" s="562"/>
      <c r="M46" s="327"/>
      <c r="N46" s="23"/>
      <c r="O46" s="24"/>
      <c r="P46" s="563"/>
      <c r="Q46" s="327"/>
      <c r="R46" s="538"/>
      <c r="S46" s="327"/>
      <c r="T46" s="539"/>
      <c r="U46" s="327"/>
      <c r="V46" s="540"/>
      <c r="W46" s="327"/>
      <c r="X46" s="541" t="s">
        <v>303</v>
      </c>
      <c r="Y46" s="326"/>
      <c r="Z46" s="326"/>
      <c r="AA46" s="327"/>
      <c r="AB46" s="542" t="s">
        <v>303</v>
      </c>
      <c r="AC46" s="326"/>
      <c r="AD46" s="326"/>
      <c r="AE46" s="327"/>
      <c r="AF46" s="543"/>
      <c r="AG46" s="327"/>
      <c r="AH46" s="543"/>
      <c r="AI46" s="327"/>
      <c r="AJ46" s="536"/>
      <c r="AK46" s="327"/>
      <c r="AL46" s="537" t="s">
        <v>334</v>
      </c>
      <c r="AM46" s="327"/>
      <c r="AN46" s="546" t="s">
        <v>334</v>
      </c>
      <c r="AO46" s="327"/>
      <c r="AP46" s="547"/>
      <c r="AQ46" s="327"/>
      <c r="AR46" s="548"/>
      <c r="AS46" s="327"/>
      <c r="AT46" s="549"/>
      <c r="AU46" s="327"/>
      <c r="AV46" s="546" t="s">
        <v>334</v>
      </c>
      <c r="AW46" s="327"/>
      <c r="AX46" s="521"/>
      <c r="AY46" s="326"/>
      <c r="AZ46" s="327"/>
      <c r="BA46" s="550"/>
      <c r="BB46" s="327"/>
      <c r="BC46" s="25"/>
      <c r="BD46" s="544" t="s">
        <v>334</v>
      </c>
      <c r="BE46" s="327"/>
      <c r="BF46" s="545"/>
      <c r="BG46" s="326"/>
      <c r="BH46" s="326"/>
      <c r="BI46" s="327"/>
      <c r="BJ46" s="557" t="s">
        <v>303</v>
      </c>
      <c r="BK46" s="326"/>
      <c r="BL46" s="326"/>
      <c r="BM46" s="327"/>
      <c r="BN46" s="558" t="s">
        <v>303</v>
      </c>
      <c r="BO46" s="326"/>
      <c r="BP46" s="326"/>
      <c r="BQ46" s="326"/>
      <c r="BR46" s="326"/>
      <c r="BS46" s="326"/>
      <c r="BT46" s="326"/>
      <c r="BU46" s="326"/>
      <c r="BV46" s="327"/>
    </row>
    <row r="47" spans="1:74" ht="45" customHeight="1" x14ac:dyDescent="0.25">
      <c r="A47" s="10">
        <f t="shared" si="0"/>
        <v>33</v>
      </c>
      <c r="B47" s="564" t="s">
        <v>303</v>
      </c>
      <c r="C47" s="327"/>
      <c r="D47" s="565" t="s">
        <v>307</v>
      </c>
      <c r="E47" s="327"/>
      <c r="F47" s="537" t="s">
        <v>334</v>
      </c>
      <c r="G47" s="327"/>
      <c r="H47" s="566" t="s">
        <v>334</v>
      </c>
      <c r="I47" s="327"/>
      <c r="J47" s="567"/>
      <c r="K47" s="327"/>
      <c r="L47" s="567"/>
      <c r="M47" s="327"/>
      <c r="N47" s="20"/>
      <c r="O47" s="21"/>
      <c r="P47" s="524"/>
      <c r="Q47" s="327"/>
      <c r="R47" s="516"/>
      <c r="S47" s="327"/>
      <c r="T47" s="517"/>
      <c r="U47" s="327"/>
      <c r="V47" s="518"/>
      <c r="W47" s="327"/>
      <c r="X47" s="438" t="s">
        <v>303</v>
      </c>
      <c r="Y47" s="326"/>
      <c r="Z47" s="326"/>
      <c r="AA47" s="327"/>
      <c r="AB47" s="519" t="s">
        <v>303</v>
      </c>
      <c r="AC47" s="326"/>
      <c r="AD47" s="326"/>
      <c r="AE47" s="327"/>
      <c r="AF47" s="520"/>
      <c r="AG47" s="327"/>
      <c r="AH47" s="520"/>
      <c r="AI47" s="327"/>
      <c r="AJ47" s="554"/>
      <c r="AK47" s="327"/>
      <c r="AL47" s="556" t="s">
        <v>334</v>
      </c>
      <c r="AM47" s="327"/>
      <c r="AN47" s="553" t="s">
        <v>334</v>
      </c>
      <c r="AO47" s="327"/>
      <c r="AP47" s="554"/>
      <c r="AQ47" s="327"/>
      <c r="AR47" s="555"/>
      <c r="AS47" s="327"/>
      <c r="AT47" s="549"/>
      <c r="AU47" s="327"/>
      <c r="AV47" s="553" t="s">
        <v>334</v>
      </c>
      <c r="AW47" s="327"/>
      <c r="AX47" s="521"/>
      <c r="AY47" s="326"/>
      <c r="AZ47" s="327"/>
      <c r="BA47" s="536"/>
      <c r="BB47" s="327"/>
      <c r="BC47" s="22"/>
      <c r="BD47" s="551" t="s">
        <v>399</v>
      </c>
      <c r="BE47" s="327"/>
      <c r="BF47" s="552"/>
      <c r="BG47" s="326"/>
      <c r="BH47" s="326"/>
      <c r="BI47" s="327"/>
      <c r="BJ47" s="451" t="s">
        <v>303</v>
      </c>
      <c r="BK47" s="326"/>
      <c r="BL47" s="326"/>
      <c r="BM47" s="327"/>
      <c r="BN47" s="558" t="s">
        <v>303</v>
      </c>
      <c r="BO47" s="326"/>
      <c r="BP47" s="326"/>
      <c r="BQ47" s="326"/>
      <c r="BR47" s="326"/>
      <c r="BS47" s="326"/>
      <c r="BT47" s="326"/>
      <c r="BU47" s="326"/>
      <c r="BV47" s="327"/>
    </row>
    <row r="48" spans="1:74" ht="45" customHeight="1" x14ac:dyDescent="0.25">
      <c r="A48" s="10">
        <f t="shared" si="0"/>
        <v>34</v>
      </c>
      <c r="B48" s="559" t="s">
        <v>303</v>
      </c>
      <c r="C48" s="327"/>
      <c r="D48" s="560" t="s">
        <v>307</v>
      </c>
      <c r="E48" s="327"/>
      <c r="F48" s="537" t="s">
        <v>334</v>
      </c>
      <c r="G48" s="327"/>
      <c r="H48" s="561" t="s">
        <v>334</v>
      </c>
      <c r="I48" s="327"/>
      <c r="J48" s="562"/>
      <c r="K48" s="327"/>
      <c r="L48" s="562"/>
      <c r="M48" s="327"/>
      <c r="N48" s="23"/>
      <c r="O48" s="24"/>
      <c r="P48" s="563"/>
      <c r="Q48" s="327"/>
      <c r="R48" s="538"/>
      <c r="S48" s="327"/>
      <c r="T48" s="539"/>
      <c r="U48" s="327"/>
      <c r="V48" s="540"/>
      <c r="W48" s="327"/>
      <c r="X48" s="541" t="s">
        <v>303</v>
      </c>
      <c r="Y48" s="326"/>
      <c r="Z48" s="326"/>
      <c r="AA48" s="327"/>
      <c r="AB48" s="542" t="s">
        <v>303</v>
      </c>
      <c r="AC48" s="326"/>
      <c r="AD48" s="326"/>
      <c r="AE48" s="327"/>
      <c r="AF48" s="543"/>
      <c r="AG48" s="327"/>
      <c r="AH48" s="543"/>
      <c r="AI48" s="327"/>
      <c r="AJ48" s="536"/>
      <c r="AK48" s="327"/>
      <c r="AL48" s="537" t="s">
        <v>334</v>
      </c>
      <c r="AM48" s="327"/>
      <c r="AN48" s="546" t="s">
        <v>334</v>
      </c>
      <c r="AO48" s="327"/>
      <c r="AP48" s="547"/>
      <c r="AQ48" s="327"/>
      <c r="AR48" s="548"/>
      <c r="AS48" s="327"/>
      <c r="AT48" s="549"/>
      <c r="AU48" s="327"/>
      <c r="AV48" s="546" t="s">
        <v>334</v>
      </c>
      <c r="AW48" s="327"/>
      <c r="AX48" s="521"/>
      <c r="AY48" s="326"/>
      <c r="AZ48" s="327"/>
      <c r="BA48" s="550"/>
      <c r="BB48" s="327"/>
      <c r="BC48" s="25"/>
      <c r="BD48" s="544" t="s">
        <v>334</v>
      </c>
      <c r="BE48" s="327"/>
      <c r="BF48" s="545"/>
      <c r="BG48" s="326"/>
      <c r="BH48" s="326"/>
      <c r="BI48" s="327"/>
      <c r="BJ48" s="557" t="s">
        <v>303</v>
      </c>
      <c r="BK48" s="326"/>
      <c r="BL48" s="326"/>
      <c r="BM48" s="327"/>
      <c r="BN48" s="558" t="s">
        <v>303</v>
      </c>
      <c r="BO48" s="326"/>
      <c r="BP48" s="326"/>
      <c r="BQ48" s="326"/>
      <c r="BR48" s="326"/>
      <c r="BS48" s="326"/>
      <c r="BT48" s="326"/>
      <c r="BU48" s="326"/>
      <c r="BV48" s="327"/>
    </row>
    <row r="49" spans="1:74" ht="45" customHeight="1" x14ac:dyDescent="0.25">
      <c r="A49" s="10">
        <f t="shared" si="0"/>
        <v>35</v>
      </c>
      <c r="B49" s="564" t="s">
        <v>303</v>
      </c>
      <c r="C49" s="327"/>
      <c r="D49" s="565" t="s">
        <v>307</v>
      </c>
      <c r="E49" s="327"/>
      <c r="F49" s="537" t="s">
        <v>334</v>
      </c>
      <c r="G49" s="327"/>
      <c r="H49" s="566" t="s">
        <v>334</v>
      </c>
      <c r="I49" s="327"/>
      <c r="J49" s="567"/>
      <c r="K49" s="327"/>
      <c r="L49" s="567"/>
      <c r="M49" s="327"/>
      <c r="N49" s="20"/>
      <c r="O49" s="21"/>
      <c r="P49" s="524"/>
      <c r="Q49" s="327"/>
      <c r="R49" s="516"/>
      <c r="S49" s="327"/>
      <c r="T49" s="517"/>
      <c r="U49" s="327"/>
      <c r="V49" s="518"/>
      <c r="W49" s="327"/>
      <c r="X49" s="438" t="s">
        <v>303</v>
      </c>
      <c r="Y49" s="326"/>
      <c r="Z49" s="326"/>
      <c r="AA49" s="327"/>
      <c r="AB49" s="519" t="s">
        <v>303</v>
      </c>
      <c r="AC49" s="326"/>
      <c r="AD49" s="326"/>
      <c r="AE49" s="327"/>
      <c r="AF49" s="520"/>
      <c r="AG49" s="327"/>
      <c r="AH49" s="520"/>
      <c r="AI49" s="327"/>
      <c r="AJ49" s="554"/>
      <c r="AK49" s="327"/>
      <c r="AL49" s="556" t="s">
        <v>334</v>
      </c>
      <c r="AM49" s="327"/>
      <c r="AN49" s="553" t="s">
        <v>334</v>
      </c>
      <c r="AO49" s="327"/>
      <c r="AP49" s="554"/>
      <c r="AQ49" s="327"/>
      <c r="AR49" s="555"/>
      <c r="AS49" s="327"/>
      <c r="AT49" s="549"/>
      <c r="AU49" s="327"/>
      <c r="AV49" s="553" t="s">
        <v>334</v>
      </c>
      <c r="AW49" s="327"/>
      <c r="AX49" s="521"/>
      <c r="AY49" s="326"/>
      <c r="AZ49" s="327"/>
      <c r="BA49" s="536"/>
      <c r="BB49" s="327"/>
      <c r="BC49" s="22"/>
      <c r="BD49" s="551" t="s">
        <v>399</v>
      </c>
      <c r="BE49" s="327"/>
      <c r="BF49" s="508"/>
      <c r="BG49" s="326"/>
      <c r="BH49" s="326"/>
      <c r="BI49" s="327"/>
      <c r="BJ49" s="451" t="s">
        <v>303</v>
      </c>
      <c r="BK49" s="326"/>
      <c r="BL49" s="326"/>
      <c r="BM49" s="327"/>
      <c r="BN49" s="558" t="s">
        <v>303</v>
      </c>
      <c r="BO49" s="326"/>
      <c r="BP49" s="326"/>
      <c r="BQ49" s="326"/>
      <c r="BR49" s="326"/>
      <c r="BS49" s="326"/>
      <c r="BT49" s="326"/>
      <c r="BU49" s="326"/>
      <c r="BV49" s="327"/>
    </row>
    <row r="50" spans="1:74" ht="45" customHeight="1" x14ac:dyDescent="0.25">
      <c r="A50" s="10">
        <f t="shared" si="0"/>
        <v>36</v>
      </c>
      <c r="B50" s="559" t="s">
        <v>303</v>
      </c>
      <c r="C50" s="327"/>
      <c r="D50" s="560" t="s">
        <v>307</v>
      </c>
      <c r="E50" s="327"/>
      <c r="F50" s="537" t="s">
        <v>334</v>
      </c>
      <c r="G50" s="327"/>
      <c r="H50" s="561" t="s">
        <v>334</v>
      </c>
      <c r="I50" s="327"/>
      <c r="J50" s="562"/>
      <c r="K50" s="327"/>
      <c r="L50" s="562"/>
      <c r="M50" s="327"/>
      <c r="N50" s="23"/>
      <c r="O50" s="24"/>
      <c r="P50" s="563"/>
      <c r="Q50" s="327"/>
      <c r="R50" s="538"/>
      <c r="S50" s="327"/>
      <c r="T50" s="539"/>
      <c r="U50" s="327"/>
      <c r="V50" s="540"/>
      <c r="W50" s="327"/>
      <c r="X50" s="541" t="s">
        <v>303</v>
      </c>
      <c r="Y50" s="326"/>
      <c r="Z50" s="326"/>
      <c r="AA50" s="327"/>
      <c r="AB50" s="542" t="s">
        <v>303</v>
      </c>
      <c r="AC50" s="326"/>
      <c r="AD50" s="326"/>
      <c r="AE50" s="327"/>
      <c r="AF50" s="543"/>
      <c r="AG50" s="327"/>
      <c r="AH50" s="543"/>
      <c r="AI50" s="327"/>
      <c r="AJ50" s="536"/>
      <c r="AK50" s="327"/>
      <c r="AL50" s="537" t="s">
        <v>334</v>
      </c>
      <c r="AM50" s="327"/>
      <c r="AN50" s="546" t="s">
        <v>334</v>
      </c>
      <c r="AO50" s="327"/>
      <c r="AP50" s="547"/>
      <c r="AQ50" s="327"/>
      <c r="AR50" s="548"/>
      <c r="AS50" s="327"/>
      <c r="AT50" s="549"/>
      <c r="AU50" s="327"/>
      <c r="AV50" s="546" t="s">
        <v>334</v>
      </c>
      <c r="AW50" s="327"/>
      <c r="AX50" s="521"/>
      <c r="AY50" s="326"/>
      <c r="AZ50" s="327"/>
      <c r="BA50" s="550"/>
      <c r="BB50" s="327"/>
      <c r="BC50" s="25"/>
      <c r="BD50" s="544" t="s">
        <v>334</v>
      </c>
      <c r="BE50" s="327"/>
      <c r="BF50" s="545"/>
      <c r="BG50" s="326"/>
      <c r="BH50" s="326"/>
      <c r="BI50" s="327"/>
      <c r="BJ50" s="557" t="s">
        <v>303</v>
      </c>
      <c r="BK50" s="326"/>
      <c r="BL50" s="326"/>
      <c r="BM50" s="327"/>
      <c r="BN50" s="558" t="s">
        <v>303</v>
      </c>
      <c r="BO50" s="326"/>
      <c r="BP50" s="326"/>
      <c r="BQ50" s="326"/>
      <c r="BR50" s="326"/>
      <c r="BS50" s="326"/>
      <c r="BT50" s="326"/>
      <c r="BU50" s="326"/>
      <c r="BV50" s="327"/>
    </row>
    <row r="51" spans="1:74" ht="45" customHeight="1" x14ac:dyDescent="0.25">
      <c r="A51" s="10">
        <f t="shared" si="0"/>
        <v>37</v>
      </c>
      <c r="B51" s="564" t="s">
        <v>303</v>
      </c>
      <c r="C51" s="327"/>
      <c r="D51" s="565" t="s">
        <v>307</v>
      </c>
      <c r="E51" s="327"/>
      <c r="F51" s="537" t="s">
        <v>334</v>
      </c>
      <c r="G51" s="327"/>
      <c r="H51" s="566" t="s">
        <v>334</v>
      </c>
      <c r="I51" s="327"/>
      <c r="J51" s="567"/>
      <c r="K51" s="327"/>
      <c r="L51" s="567"/>
      <c r="M51" s="327"/>
      <c r="N51" s="20"/>
      <c r="O51" s="21"/>
      <c r="P51" s="524"/>
      <c r="Q51" s="327"/>
      <c r="R51" s="516"/>
      <c r="S51" s="327"/>
      <c r="T51" s="517"/>
      <c r="U51" s="327"/>
      <c r="V51" s="518"/>
      <c r="W51" s="327"/>
      <c r="X51" s="438" t="s">
        <v>303</v>
      </c>
      <c r="Y51" s="326"/>
      <c r="Z51" s="326"/>
      <c r="AA51" s="327"/>
      <c r="AB51" s="519" t="s">
        <v>303</v>
      </c>
      <c r="AC51" s="326"/>
      <c r="AD51" s="326"/>
      <c r="AE51" s="327"/>
      <c r="AF51" s="520"/>
      <c r="AG51" s="327"/>
      <c r="AH51" s="520"/>
      <c r="AI51" s="327"/>
      <c r="AJ51" s="554"/>
      <c r="AK51" s="327"/>
      <c r="AL51" s="556" t="s">
        <v>334</v>
      </c>
      <c r="AM51" s="327"/>
      <c r="AN51" s="553" t="s">
        <v>334</v>
      </c>
      <c r="AO51" s="327"/>
      <c r="AP51" s="554"/>
      <c r="AQ51" s="327"/>
      <c r="AR51" s="555"/>
      <c r="AS51" s="327"/>
      <c r="AT51" s="549"/>
      <c r="AU51" s="327"/>
      <c r="AV51" s="553" t="s">
        <v>334</v>
      </c>
      <c r="AW51" s="327"/>
      <c r="AX51" s="521"/>
      <c r="AY51" s="326"/>
      <c r="AZ51" s="327"/>
      <c r="BA51" s="536"/>
      <c r="BB51" s="327"/>
      <c r="BC51" s="22"/>
      <c r="BD51" s="551" t="s">
        <v>399</v>
      </c>
      <c r="BE51" s="327"/>
      <c r="BF51" s="552"/>
      <c r="BG51" s="326"/>
      <c r="BH51" s="326"/>
      <c r="BI51" s="327"/>
      <c r="BJ51" s="451" t="s">
        <v>303</v>
      </c>
      <c r="BK51" s="326"/>
      <c r="BL51" s="326"/>
      <c r="BM51" s="327"/>
      <c r="BN51" s="558" t="s">
        <v>303</v>
      </c>
      <c r="BO51" s="326"/>
      <c r="BP51" s="326"/>
      <c r="BQ51" s="326"/>
      <c r="BR51" s="326"/>
      <c r="BS51" s="326"/>
      <c r="BT51" s="326"/>
      <c r="BU51" s="326"/>
      <c r="BV51" s="327"/>
    </row>
    <row r="52" spans="1:74" ht="45" customHeight="1" x14ac:dyDescent="0.25">
      <c r="A52" s="10">
        <f t="shared" si="0"/>
        <v>38</v>
      </c>
      <c r="B52" s="559" t="s">
        <v>303</v>
      </c>
      <c r="C52" s="327"/>
      <c r="D52" s="560" t="s">
        <v>307</v>
      </c>
      <c r="E52" s="327"/>
      <c r="F52" s="537" t="s">
        <v>334</v>
      </c>
      <c r="G52" s="327"/>
      <c r="H52" s="561" t="s">
        <v>334</v>
      </c>
      <c r="I52" s="327"/>
      <c r="J52" s="562"/>
      <c r="K52" s="327"/>
      <c r="L52" s="562"/>
      <c r="M52" s="327"/>
      <c r="N52" s="23"/>
      <c r="O52" s="24"/>
      <c r="P52" s="563"/>
      <c r="Q52" s="327"/>
      <c r="R52" s="538"/>
      <c r="S52" s="327"/>
      <c r="T52" s="539"/>
      <c r="U52" s="327"/>
      <c r="V52" s="540"/>
      <c r="W52" s="327"/>
      <c r="X52" s="541" t="s">
        <v>303</v>
      </c>
      <c r="Y52" s="326"/>
      <c r="Z52" s="326"/>
      <c r="AA52" s="327"/>
      <c r="AB52" s="542" t="s">
        <v>303</v>
      </c>
      <c r="AC52" s="326"/>
      <c r="AD52" s="326"/>
      <c r="AE52" s="327"/>
      <c r="AF52" s="543"/>
      <c r="AG52" s="327"/>
      <c r="AH52" s="543"/>
      <c r="AI52" s="327"/>
      <c r="AJ52" s="536"/>
      <c r="AK52" s="327"/>
      <c r="AL52" s="537" t="s">
        <v>334</v>
      </c>
      <c r="AM52" s="327"/>
      <c r="AN52" s="546" t="s">
        <v>334</v>
      </c>
      <c r="AO52" s="327"/>
      <c r="AP52" s="547"/>
      <c r="AQ52" s="327"/>
      <c r="AR52" s="548"/>
      <c r="AS52" s="327"/>
      <c r="AT52" s="549"/>
      <c r="AU52" s="327"/>
      <c r="AV52" s="546" t="s">
        <v>334</v>
      </c>
      <c r="AW52" s="327"/>
      <c r="AX52" s="521"/>
      <c r="AY52" s="326"/>
      <c r="AZ52" s="327"/>
      <c r="BA52" s="550"/>
      <c r="BB52" s="327"/>
      <c r="BC52" s="25"/>
      <c r="BD52" s="544" t="s">
        <v>334</v>
      </c>
      <c r="BE52" s="327"/>
      <c r="BF52" s="545"/>
      <c r="BG52" s="326"/>
      <c r="BH52" s="326"/>
      <c r="BI52" s="327"/>
      <c r="BJ52" s="557" t="s">
        <v>303</v>
      </c>
      <c r="BK52" s="326"/>
      <c r="BL52" s="326"/>
      <c r="BM52" s="327"/>
      <c r="BN52" s="558" t="s">
        <v>303</v>
      </c>
      <c r="BO52" s="326"/>
      <c r="BP52" s="326"/>
      <c r="BQ52" s="326"/>
      <c r="BR52" s="326"/>
      <c r="BS52" s="326"/>
      <c r="BT52" s="326"/>
      <c r="BU52" s="326"/>
      <c r="BV52" s="327"/>
    </row>
    <row r="53" spans="1:74" ht="45" customHeight="1" x14ac:dyDescent="0.25">
      <c r="A53" s="10">
        <f t="shared" si="0"/>
        <v>39</v>
      </c>
      <c r="B53" s="564" t="s">
        <v>303</v>
      </c>
      <c r="C53" s="327"/>
      <c r="D53" s="565" t="s">
        <v>307</v>
      </c>
      <c r="E53" s="327"/>
      <c r="F53" s="537" t="s">
        <v>334</v>
      </c>
      <c r="G53" s="327"/>
      <c r="H53" s="566" t="s">
        <v>334</v>
      </c>
      <c r="I53" s="327"/>
      <c r="J53" s="567"/>
      <c r="K53" s="327"/>
      <c r="L53" s="567"/>
      <c r="M53" s="327"/>
      <c r="N53" s="20"/>
      <c r="O53" s="21"/>
      <c r="P53" s="524"/>
      <c r="Q53" s="327"/>
      <c r="R53" s="516"/>
      <c r="S53" s="327"/>
      <c r="T53" s="517"/>
      <c r="U53" s="327"/>
      <c r="V53" s="518"/>
      <c r="W53" s="327"/>
      <c r="X53" s="438" t="s">
        <v>303</v>
      </c>
      <c r="Y53" s="326"/>
      <c r="Z53" s="326"/>
      <c r="AA53" s="327"/>
      <c r="AB53" s="519" t="s">
        <v>303</v>
      </c>
      <c r="AC53" s="326"/>
      <c r="AD53" s="326"/>
      <c r="AE53" s="327"/>
      <c r="AF53" s="520"/>
      <c r="AG53" s="327"/>
      <c r="AH53" s="520"/>
      <c r="AI53" s="327"/>
      <c r="AJ53" s="554"/>
      <c r="AK53" s="327"/>
      <c r="AL53" s="556" t="s">
        <v>334</v>
      </c>
      <c r="AM53" s="327"/>
      <c r="AN53" s="553" t="s">
        <v>334</v>
      </c>
      <c r="AO53" s="327"/>
      <c r="AP53" s="554"/>
      <c r="AQ53" s="327"/>
      <c r="AR53" s="555"/>
      <c r="AS53" s="327"/>
      <c r="AT53" s="549"/>
      <c r="AU53" s="327"/>
      <c r="AV53" s="553" t="s">
        <v>334</v>
      </c>
      <c r="AW53" s="327"/>
      <c r="AX53" s="521"/>
      <c r="AY53" s="326"/>
      <c r="AZ53" s="327"/>
      <c r="BA53" s="536"/>
      <c r="BB53" s="327"/>
      <c r="BC53" s="22"/>
      <c r="BD53" s="551" t="s">
        <v>399</v>
      </c>
      <c r="BE53" s="327"/>
      <c r="BF53" s="508"/>
      <c r="BG53" s="326"/>
      <c r="BH53" s="326"/>
      <c r="BI53" s="327"/>
      <c r="BJ53" s="451" t="s">
        <v>303</v>
      </c>
      <c r="BK53" s="326"/>
      <c r="BL53" s="326"/>
      <c r="BM53" s="327"/>
      <c r="BN53" s="558" t="s">
        <v>303</v>
      </c>
      <c r="BO53" s="326"/>
      <c r="BP53" s="326"/>
      <c r="BQ53" s="326"/>
      <c r="BR53" s="326"/>
      <c r="BS53" s="326"/>
      <c r="BT53" s="326"/>
      <c r="BU53" s="326"/>
      <c r="BV53" s="327"/>
    </row>
    <row r="54" spans="1:74" ht="45" customHeight="1" x14ac:dyDescent="0.25">
      <c r="A54" s="10">
        <f t="shared" si="0"/>
        <v>40</v>
      </c>
      <c r="B54" s="559" t="s">
        <v>303</v>
      </c>
      <c r="C54" s="327"/>
      <c r="D54" s="560" t="s">
        <v>307</v>
      </c>
      <c r="E54" s="327"/>
      <c r="F54" s="537" t="s">
        <v>334</v>
      </c>
      <c r="G54" s="327"/>
      <c r="H54" s="561" t="s">
        <v>334</v>
      </c>
      <c r="I54" s="327"/>
      <c r="J54" s="562"/>
      <c r="K54" s="327"/>
      <c r="L54" s="562"/>
      <c r="M54" s="327"/>
      <c r="N54" s="23"/>
      <c r="O54" s="24"/>
      <c r="P54" s="563"/>
      <c r="Q54" s="327"/>
      <c r="R54" s="538"/>
      <c r="S54" s="327"/>
      <c r="T54" s="539"/>
      <c r="U54" s="327"/>
      <c r="V54" s="540"/>
      <c r="W54" s="327"/>
      <c r="X54" s="541" t="s">
        <v>303</v>
      </c>
      <c r="Y54" s="326"/>
      <c r="Z54" s="326"/>
      <c r="AA54" s="327"/>
      <c r="AB54" s="542" t="s">
        <v>303</v>
      </c>
      <c r="AC54" s="326"/>
      <c r="AD54" s="326"/>
      <c r="AE54" s="327"/>
      <c r="AF54" s="543"/>
      <c r="AG54" s="327"/>
      <c r="AH54" s="543"/>
      <c r="AI54" s="327"/>
      <c r="AJ54" s="536"/>
      <c r="AK54" s="327"/>
      <c r="AL54" s="537" t="s">
        <v>334</v>
      </c>
      <c r="AM54" s="327"/>
      <c r="AN54" s="546" t="s">
        <v>334</v>
      </c>
      <c r="AO54" s="327"/>
      <c r="AP54" s="547"/>
      <c r="AQ54" s="327"/>
      <c r="AR54" s="548"/>
      <c r="AS54" s="327"/>
      <c r="AT54" s="549"/>
      <c r="AU54" s="327"/>
      <c r="AV54" s="546" t="s">
        <v>334</v>
      </c>
      <c r="AW54" s="327"/>
      <c r="AX54" s="521"/>
      <c r="AY54" s="326"/>
      <c r="AZ54" s="327"/>
      <c r="BA54" s="550"/>
      <c r="BB54" s="327"/>
      <c r="BC54" s="25"/>
      <c r="BD54" s="544" t="s">
        <v>334</v>
      </c>
      <c r="BE54" s="327"/>
      <c r="BF54" s="545"/>
      <c r="BG54" s="326"/>
      <c r="BH54" s="326"/>
      <c r="BI54" s="327"/>
      <c r="BJ54" s="557" t="s">
        <v>303</v>
      </c>
      <c r="BK54" s="326"/>
      <c r="BL54" s="326"/>
      <c r="BM54" s="327"/>
      <c r="BN54" s="558" t="s">
        <v>303</v>
      </c>
      <c r="BO54" s="326"/>
      <c r="BP54" s="326"/>
      <c r="BQ54" s="326"/>
      <c r="BR54" s="326"/>
      <c r="BS54" s="326"/>
      <c r="BT54" s="326"/>
      <c r="BU54" s="326"/>
      <c r="BV54" s="327"/>
    </row>
    <row r="55" spans="1:74" ht="45" customHeight="1" x14ac:dyDescent="0.25">
      <c r="A55" s="10">
        <f t="shared" si="0"/>
        <v>41</v>
      </c>
      <c r="B55" s="564" t="s">
        <v>303</v>
      </c>
      <c r="C55" s="327"/>
      <c r="D55" s="565" t="s">
        <v>307</v>
      </c>
      <c r="E55" s="327"/>
      <c r="F55" s="537" t="s">
        <v>334</v>
      </c>
      <c r="G55" s="327"/>
      <c r="H55" s="566" t="s">
        <v>334</v>
      </c>
      <c r="I55" s="327"/>
      <c r="J55" s="567"/>
      <c r="K55" s="327"/>
      <c r="L55" s="567"/>
      <c r="M55" s="327"/>
      <c r="N55" s="20"/>
      <c r="O55" s="21"/>
      <c r="P55" s="524"/>
      <c r="Q55" s="327"/>
      <c r="R55" s="516"/>
      <c r="S55" s="327"/>
      <c r="T55" s="517"/>
      <c r="U55" s="327"/>
      <c r="V55" s="518"/>
      <c r="W55" s="327"/>
      <c r="X55" s="438" t="s">
        <v>303</v>
      </c>
      <c r="Y55" s="326"/>
      <c r="Z55" s="326"/>
      <c r="AA55" s="327"/>
      <c r="AB55" s="519" t="s">
        <v>303</v>
      </c>
      <c r="AC55" s="326"/>
      <c r="AD55" s="326"/>
      <c r="AE55" s="327"/>
      <c r="AF55" s="520"/>
      <c r="AG55" s="327"/>
      <c r="AH55" s="520"/>
      <c r="AI55" s="327"/>
      <c r="AJ55" s="554"/>
      <c r="AK55" s="327"/>
      <c r="AL55" s="556" t="s">
        <v>334</v>
      </c>
      <c r="AM55" s="327"/>
      <c r="AN55" s="553" t="s">
        <v>334</v>
      </c>
      <c r="AO55" s="327"/>
      <c r="AP55" s="554"/>
      <c r="AQ55" s="327"/>
      <c r="AR55" s="555"/>
      <c r="AS55" s="327"/>
      <c r="AT55" s="549"/>
      <c r="AU55" s="327"/>
      <c r="AV55" s="553" t="s">
        <v>334</v>
      </c>
      <c r="AW55" s="327"/>
      <c r="AX55" s="521"/>
      <c r="AY55" s="326"/>
      <c r="AZ55" s="327"/>
      <c r="BA55" s="536"/>
      <c r="BB55" s="327"/>
      <c r="BC55" s="22"/>
      <c r="BD55" s="551" t="s">
        <v>399</v>
      </c>
      <c r="BE55" s="327"/>
      <c r="BF55" s="508"/>
      <c r="BG55" s="326"/>
      <c r="BH55" s="326"/>
      <c r="BI55" s="327"/>
      <c r="BJ55" s="451" t="s">
        <v>303</v>
      </c>
      <c r="BK55" s="326"/>
      <c r="BL55" s="326"/>
      <c r="BM55" s="327"/>
      <c r="BN55" s="558" t="s">
        <v>303</v>
      </c>
      <c r="BO55" s="326"/>
      <c r="BP55" s="326"/>
      <c r="BQ55" s="326"/>
      <c r="BR55" s="326"/>
      <c r="BS55" s="326"/>
      <c r="BT55" s="326"/>
      <c r="BU55" s="326"/>
      <c r="BV55" s="327"/>
    </row>
    <row r="56" spans="1:74" ht="45" customHeight="1" x14ac:dyDescent="0.25">
      <c r="A56" s="10">
        <f t="shared" si="0"/>
        <v>42</v>
      </c>
      <c r="B56" s="559" t="s">
        <v>303</v>
      </c>
      <c r="C56" s="327"/>
      <c r="D56" s="560" t="s">
        <v>307</v>
      </c>
      <c r="E56" s="327"/>
      <c r="F56" s="537" t="s">
        <v>334</v>
      </c>
      <c r="G56" s="327"/>
      <c r="H56" s="561" t="s">
        <v>334</v>
      </c>
      <c r="I56" s="327"/>
      <c r="J56" s="562"/>
      <c r="K56" s="327"/>
      <c r="L56" s="562"/>
      <c r="M56" s="327"/>
      <c r="N56" s="23"/>
      <c r="O56" s="24"/>
      <c r="P56" s="563"/>
      <c r="Q56" s="327"/>
      <c r="R56" s="538"/>
      <c r="S56" s="327"/>
      <c r="T56" s="539"/>
      <c r="U56" s="327"/>
      <c r="V56" s="540"/>
      <c r="W56" s="327"/>
      <c r="X56" s="541" t="s">
        <v>303</v>
      </c>
      <c r="Y56" s="326"/>
      <c r="Z56" s="326"/>
      <c r="AA56" s="327"/>
      <c r="AB56" s="542" t="s">
        <v>303</v>
      </c>
      <c r="AC56" s="326"/>
      <c r="AD56" s="326"/>
      <c r="AE56" s="327"/>
      <c r="AF56" s="543"/>
      <c r="AG56" s="327"/>
      <c r="AH56" s="543"/>
      <c r="AI56" s="327"/>
      <c r="AJ56" s="536"/>
      <c r="AK56" s="327"/>
      <c r="AL56" s="537" t="s">
        <v>334</v>
      </c>
      <c r="AM56" s="327"/>
      <c r="AN56" s="546" t="s">
        <v>334</v>
      </c>
      <c r="AO56" s="327"/>
      <c r="AP56" s="547"/>
      <c r="AQ56" s="327"/>
      <c r="AR56" s="548"/>
      <c r="AS56" s="327"/>
      <c r="AT56" s="549"/>
      <c r="AU56" s="327"/>
      <c r="AV56" s="546" t="s">
        <v>334</v>
      </c>
      <c r="AW56" s="327"/>
      <c r="AX56" s="521"/>
      <c r="AY56" s="326"/>
      <c r="AZ56" s="327"/>
      <c r="BA56" s="550"/>
      <c r="BB56" s="327"/>
      <c r="BC56" s="25"/>
      <c r="BD56" s="544" t="s">
        <v>334</v>
      </c>
      <c r="BE56" s="327"/>
      <c r="BF56" s="545"/>
      <c r="BG56" s="326"/>
      <c r="BH56" s="326"/>
      <c r="BI56" s="327"/>
      <c r="BJ56" s="557" t="s">
        <v>303</v>
      </c>
      <c r="BK56" s="326"/>
      <c r="BL56" s="326"/>
      <c r="BM56" s="327"/>
      <c r="BN56" s="558" t="s">
        <v>303</v>
      </c>
      <c r="BO56" s="326"/>
      <c r="BP56" s="326"/>
      <c r="BQ56" s="326"/>
      <c r="BR56" s="326"/>
      <c r="BS56" s="326"/>
      <c r="BT56" s="326"/>
      <c r="BU56" s="326"/>
      <c r="BV56" s="327"/>
    </row>
    <row r="57" spans="1:74" ht="45" customHeight="1" x14ac:dyDescent="0.25">
      <c r="A57" s="10">
        <f t="shared" si="0"/>
        <v>43</v>
      </c>
      <c r="B57" s="564" t="s">
        <v>303</v>
      </c>
      <c r="C57" s="327"/>
      <c r="D57" s="565" t="s">
        <v>307</v>
      </c>
      <c r="E57" s="327"/>
      <c r="F57" s="537" t="s">
        <v>334</v>
      </c>
      <c r="G57" s="327"/>
      <c r="H57" s="566" t="s">
        <v>334</v>
      </c>
      <c r="I57" s="327"/>
      <c r="J57" s="567"/>
      <c r="K57" s="327"/>
      <c r="L57" s="567"/>
      <c r="M57" s="327"/>
      <c r="N57" s="20"/>
      <c r="O57" s="21"/>
      <c r="P57" s="524"/>
      <c r="Q57" s="327"/>
      <c r="R57" s="516"/>
      <c r="S57" s="327"/>
      <c r="T57" s="517"/>
      <c r="U57" s="327"/>
      <c r="V57" s="518"/>
      <c r="W57" s="327"/>
      <c r="X57" s="438" t="s">
        <v>303</v>
      </c>
      <c r="Y57" s="326"/>
      <c r="Z57" s="326"/>
      <c r="AA57" s="327"/>
      <c r="AB57" s="519" t="s">
        <v>303</v>
      </c>
      <c r="AC57" s="326"/>
      <c r="AD57" s="326"/>
      <c r="AE57" s="327"/>
      <c r="AF57" s="520"/>
      <c r="AG57" s="327"/>
      <c r="AH57" s="520"/>
      <c r="AI57" s="327"/>
      <c r="AJ57" s="554"/>
      <c r="AK57" s="327"/>
      <c r="AL57" s="556" t="s">
        <v>334</v>
      </c>
      <c r="AM57" s="327"/>
      <c r="AN57" s="553" t="s">
        <v>334</v>
      </c>
      <c r="AO57" s="327"/>
      <c r="AP57" s="554"/>
      <c r="AQ57" s="327"/>
      <c r="AR57" s="555"/>
      <c r="AS57" s="327"/>
      <c r="AT57" s="549"/>
      <c r="AU57" s="327"/>
      <c r="AV57" s="553" t="s">
        <v>334</v>
      </c>
      <c r="AW57" s="327"/>
      <c r="AX57" s="521"/>
      <c r="AY57" s="326"/>
      <c r="AZ57" s="327"/>
      <c r="BA57" s="536"/>
      <c r="BB57" s="327"/>
      <c r="BC57" s="22"/>
      <c r="BD57" s="551" t="s">
        <v>399</v>
      </c>
      <c r="BE57" s="327"/>
      <c r="BF57" s="552"/>
      <c r="BG57" s="326"/>
      <c r="BH57" s="326"/>
      <c r="BI57" s="327"/>
      <c r="BJ57" s="451" t="s">
        <v>303</v>
      </c>
      <c r="BK57" s="326"/>
      <c r="BL57" s="326"/>
      <c r="BM57" s="327"/>
      <c r="BN57" s="558" t="s">
        <v>303</v>
      </c>
      <c r="BO57" s="326"/>
      <c r="BP57" s="326"/>
      <c r="BQ57" s="326"/>
      <c r="BR57" s="326"/>
      <c r="BS57" s="326"/>
      <c r="BT57" s="326"/>
      <c r="BU57" s="326"/>
      <c r="BV57" s="327"/>
    </row>
    <row r="58" spans="1:74" ht="45" customHeight="1" x14ac:dyDescent="0.25">
      <c r="A58" s="10">
        <f t="shared" si="0"/>
        <v>44</v>
      </c>
      <c r="B58" s="559" t="s">
        <v>303</v>
      </c>
      <c r="C58" s="327"/>
      <c r="D58" s="560" t="s">
        <v>307</v>
      </c>
      <c r="E58" s="327"/>
      <c r="F58" s="537" t="s">
        <v>334</v>
      </c>
      <c r="G58" s="327"/>
      <c r="H58" s="561" t="s">
        <v>334</v>
      </c>
      <c r="I58" s="327"/>
      <c r="J58" s="562"/>
      <c r="K58" s="327"/>
      <c r="L58" s="562"/>
      <c r="M58" s="327"/>
      <c r="N58" s="23"/>
      <c r="O58" s="24"/>
      <c r="P58" s="563"/>
      <c r="Q58" s="327"/>
      <c r="R58" s="538"/>
      <c r="S58" s="327"/>
      <c r="T58" s="539"/>
      <c r="U58" s="327"/>
      <c r="V58" s="540"/>
      <c r="W58" s="327"/>
      <c r="X58" s="541" t="s">
        <v>303</v>
      </c>
      <c r="Y58" s="326"/>
      <c r="Z58" s="326"/>
      <c r="AA58" s="327"/>
      <c r="AB58" s="542" t="s">
        <v>303</v>
      </c>
      <c r="AC58" s="326"/>
      <c r="AD58" s="326"/>
      <c r="AE58" s="327"/>
      <c r="AF58" s="543"/>
      <c r="AG58" s="327"/>
      <c r="AH58" s="543"/>
      <c r="AI58" s="327"/>
      <c r="AJ58" s="536"/>
      <c r="AK58" s="327"/>
      <c r="AL58" s="537" t="s">
        <v>334</v>
      </c>
      <c r="AM58" s="327"/>
      <c r="AN58" s="546" t="s">
        <v>334</v>
      </c>
      <c r="AO58" s="327"/>
      <c r="AP58" s="547"/>
      <c r="AQ58" s="327"/>
      <c r="AR58" s="548"/>
      <c r="AS58" s="327"/>
      <c r="AT58" s="549"/>
      <c r="AU58" s="327"/>
      <c r="AV58" s="546" t="s">
        <v>334</v>
      </c>
      <c r="AW58" s="327"/>
      <c r="AX58" s="521"/>
      <c r="AY58" s="326"/>
      <c r="AZ58" s="327"/>
      <c r="BA58" s="550"/>
      <c r="BB58" s="327"/>
      <c r="BC58" s="25"/>
      <c r="BD58" s="544" t="s">
        <v>334</v>
      </c>
      <c r="BE58" s="327"/>
      <c r="BF58" s="545"/>
      <c r="BG58" s="326"/>
      <c r="BH58" s="326"/>
      <c r="BI58" s="327"/>
      <c r="BJ58" s="557" t="s">
        <v>303</v>
      </c>
      <c r="BK58" s="326"/>
      <c r="BL58" s="326"/>
      <c r="BM58" s="327"/>
      <c r="BN58" s="558" t="s">
        <v>303</v>
      </c>
      <c r="BO58" s="326"/>
      <c r="BP58" s="326"/>
      <c r="BQ58" s="326"/>
      <c r="BR58" s="326"/>
      <c r="BS58" s="326"/>
      <c r="BT58" s="326"/>
      <c r="BU58" s="326"/>
      <c r="BV58" s="327"/>
    </row>
    <row r="59" spans="1:74" ht="45" customHeight="1" x14ac:dyDescent="0.25">
      <c r="A59" s="10">
        <f t="shared" si="0"/>
        <v>45</v>
      </c>
      <c r="B59" s="564" t="s">
        <v>303</v>
      </c>
      <c r="C59" s="327"/>
      <c r="D59" s="565" t="s">
        <v>307</v>
      </c>
      <c r="E59" s="327"/>
      <c r="F59" s="537" t="s">
        <v>334</v>
      </c>
      <c r="G59" s="327"/>
      <c r="H59" s="566" t="s">
        <v>334</v>
      </c>
      <c r="I59" s="327"/>
      <c r="J59" s="567"/>
      <c r="K59" s="327"/>
      <c r="L59" s="567"/>
      <c r="M59" s="327"/>
      <c r="N59" s="20"/>
      <c r="O59" s="21"/>
      <c r="P59" s="524"/>
      <c r="Q59" s="327"/>
      <c r="R59" s="516"/>
      <c r="S59" s="327"/>
      <c r="T59" s="517"/>
      <c r="U59" s="327"/>
      <c r="V59" s="518"/>
      <c r="W59" s="327"/>
      <c r="X59" s="438" t="s">
        <v>303</v>
      </c>
      <c r="Y59" s="326"/>
      <c r="Z59" s="326"/>
      <c r="AA59" s="327"/>
      <c r="AB59" s="519" t="s">
        <v>303</v>
      </c>
      <c r="AC59" s="326"/>
      <c r="AD59" s="326"/>
      <c r="AE59" s="327"/>
      <c r="AF59" s="520"/>
      <c r="AG59" s="327"/>
      <c r="AH59" s="520"/>
      <c r="AI59" s="327"/>
      <c r="AJ59" s="554"/>
      <c r="AK59" s="327"/>
      <c r="AL59" s="556" t="s">
        <v>334</v>
      </c>
      <c r="AM59" s="327"/>
      <c r="AN59" s="553" t="s">
        <v>334</v>
      </c>
      <c r="AO59" s="327"/>
      <c r="AP59" s="554"/>
      <c r="AQ59" s="327"/>
      <c r="AR59" s="555"/>
      <c r="AS59" s="327"/>
      <c r="AT59" s="549"/>
      <c r="AU59" s="327"/>
      <c r="AV59" s="553" t="s">
        <v>334</v>
      </c>
      <c r="AW59" s="327"/>
      <c r="AX59" s="521"/>
      <c r="AY59" s="326"/>
      <c r="AZ59" s="327"/>
      <c r="BA59" s="536"/>
      <c r="BB59" s="327"/>
      <c r="BC59" s="22"/>
      <c r="BD59" s="551" t="s">
        <v>399</v>
      </c>
      <c r="BE59" s="327"/>
      <c r="BF59" s="508"/>
      <c r="BG59" s="326"/>
      <c r="BH59" s="326"/>
      <c r="BI59" s="327"/>
      <c r="BJ59" s="451" t="s">
        <v>303</v>
      </c>
      <c r="BK59" s="326"/>
      <c r="BL59" s="326"/>
      <c r="BM59" s="327"/>
      <c r="BN59" s="558" t="s">
        <v>303</v>
      </c>
      <c r="BO59" s="326"/>
      <c r="BP59" s="326"/>
      <c r="BQ59" s="326"/>
      <c r="BR59" s="326"/>
      <c r="BS59" s="326"/>
      <c r="BT59" s="326"/>
      <c r="BU59" s="326"/>
      <c r="BV59" s="327"/>
    </row>
    <row r="60" spans="1:74" ht="45" customHeight="1" x14ac:dyDescent="0.25">
      <c r="A60" s="10">
        <f t="shared" si="0"/>
        <v>46</v>
      </c>
      <c r="B60" s="559" t="s">
        <v>303</v>
      </c>
      <c r="C60" s="327"/>
      <c r="D60" s="560" t="s">
        <v>307</v>
      </c>
      <c r="E60" s="327"/>
      <c r="F60" s="537" t="s">
        <v>334</v>
      </c>
      <c r="G60" s="327"/>
      <c r="H60" s="561" t="s">
        <v>334</v>
      </c>
      <c r="I60" s="327"/>
      <c r="J60" s="562"/>
      <c r="K60" s="327"/>
      <c r="L60" s="562"/>
      <c r="M60" s="327"/>
      <c r="N60" s="23"/>
      <c r="O60" s="24"/>
      <c r="P60" s="563"/>
      <c r="Q60" s="327"/>
      <c r="R60" s="538"/>
      <c r="S60" s="327"/>
      <c r="T60" s="539"/>
      <c r="U60" s="327"/>
      <c r="V60" s="540"/>
      <c r="W60" s="327"/>
      <c r="X60" s="541" t="s">
        <v>303</v>
      </c>
      <c r="Y60" s="326"/>
      <c r="Z60" s="326"/>
      <c r="AA60" s="327"/>
      <c r="AB60" s="542" t="s">
        <v>303</v>
      </c>
      <c r="AC60" s="326"/>
      <c r="AD60" s="326"/>
      <c r="AE60" s="327"/>
      <c r="AF60" s="543"/>
      <c r="AG60" s="327"/>
      <c r="AH60" s="543"/>
      <c r="AI60" s="327"/>
      <c r="AJ60" s="536"/>
      <c r="AK60" s="327"/>
      <c r="AL60" s="537" t="s">
        <v>334</v>
      </c>
      <c r="AM60" s="327"/>
      <c r="AN60" s="546" t="s">
        <v>334</v>
      </c>
      <c r="AO60" s="327"/>
      <c r="AP60" s="547"/>
      <c r="AQ60" s="327"/>
      <c r="AR60" s="548"/>
      <c r="AS60" s="327"/>
      <c r="AT60" s="549"/>
      <c r="AU60" s="327"/>
      <c r="AV60" s="546" t="s">
        <v>334</v>
      </c>
      <c r="AW60" s="327"/>
      <c r="AX60" s="521"/>
      <c r="AY60" s="326"/>
      <c r="AZ60" s="327"/>
      <c r="BA60" s="550"/>
      <c r="BB60" s="327"/>
      <c r="BC60" s="25"/>
      <c r="BD60" s="544" t="s">
        <v>334</v>
      </c>
      <c r="BE60" s="327"/>
      <c r="BF60" s="545"/>
      <c r="BG60" s="326"/>
      <c r="BH60" s="326"/>
      <c r="BI60" s="327"/>
      <c r="BJ60" s="557" t="s">
        <v>303</v>
      </c>
      <c r="BK60" s="326"/>
      <c r="BL60" s="326"/>
      <c r="BM60" s="327"/>
      <c r="BN60" s="558" t="s">
        <v>303</v>
      </c>
      <c r="BO60" s="326"/>
      <c r="BP60" s="326"/>
      <c r="BQ60" s="326"/>
      <c r="BR60" s="326"/>
      <c r="BS60" s="326"/>
      <c r="BT60" s="326"/>
      <c r="BU60" s="326"/>
      <c r="BV60" s="327"/>
    </row>
    <row r="61" spans="1:74" ht="45" customHeight="1" x14ac:dyDescent="0.25">
      <c r="A61" s="10">
        <f t="shared" si="0"/>
        <v>47</v>
      </c>
      <c r="B61" s="564" t="s">
        <v>303</v>
      </c>
      <c r="C61" s="327"/>
      <c r="D61" s="565" t="s">
        <v>307</v>
      </c>
      <c r="E61" s="327"/>
      <c r="F61" s="537" t="s">
        <v>334</v>
      </c>
      <c r="G61" s="327"/>
      <c r="H61" s="566" t="s">
        <v>334</v>
      </c>
      <c r="I61" s="327"/>
      <c r="J61" s="567"/>
      <c r="K61" s="327"/>
      <c r="L61" s="567"/>
      <c r="M61" s="327"/>
      <c r="N61" s="20"/>
      <c r="O61" s="21"/>
      <c r="P61" s="524"/>
      <c r="Q61" s="327"/>
      <c r="R61" s="516"/>
      <c r="S61" s="327"/>
      <c r="T61" s="517"/>
      <c r="U61" s="327"/>
      <c r="V61" s="518"/>
      <c r="W61" s="327"/>
      <c r="X61" s="438" t="s">
        <v>303</v>
      </c>
      <c r="Y61" s="326"/>
      <c r="Z61" s="326"/>
      <c r="AA61" s="327"/>
      <c r="AB61" s="519" t="s">
        <v>303</v>
      </c>
      <c r="AC61" s="326"/>
      <c r="AD61" s="326"/>
      <c r="AE61" s="327"/>
      <c r="AF61" s="520"/>
      <c r="AG61" s="327"/>
      <c r="AH61" s="520"/>
      <c r="AI61" s="327"/>
      <c r="AJ61" s="554"/>
      <c r="AK61" s="327"/>
      <c r="AL61" s="556" t="s">
        <v>334</v>
      </c>
      <c r="AM61" s="327"/>
      <c r="AN61" s="553" t="s">
        <v>334</v>
      </c>
      <c r="AO61" s="327"/>
      <c r="AP61" s="554"/>
      <c r="AQ61" s="327"/>
      <c r="AR61" s="555"/>
      <c r="AS61" s="327"/>
      <c r="AT61" s="549"/>
      <c r="AU61" s="327"/>
      <c r="AV61" s="553" t="s">
        <v>334</v>
      </c>
      <c r="AW61" s="327"/>
      <c r="AX61" s="521"/>
      <c r="AY61" s="326"/>
      <c r="AZ61" s="327"/>
      <c r="BA61" s="536"/>
      <c r="BB61" s="327"/>
      <c r="BC61" s="22"/>
      <c r="BD61" s="551" t="s">
        <v>399</v>
      </c>
      <c r="BE61" s="327"/>
      <c r="BF61" s="552"/>
      <c r="BG61" s="326"/>
      <c r="BH61" s="326"/>
      <c r="BI61" s="327"/>
      <c r="BJ61" s="451" t="s">
        <v>303</v>
      </c>
      <c r="BK61" s="326"/>
      <c r="BL61" s="326"/>
      <c r="BM61" s="327"/>
      <c r="BN61" s="558" t="s">
        <v>303</v>
      </c>
      <c r="BO61" s="326"/>
      <c r="BP61" s="326"/>
      <c r="BQ61" s="326"/>
      <c r="BR61" s="326"/>
      <c r="BS61" s="326"/>
      <c r="BT61" s="326"/>
      <c r="BU61" s="326"/>
      <c r="BV61" s="327"/>
    </row>
    <row r="62" spans="1:74" ht="45" customHeight="1" x14ac:dyDescent="0.25">
      <c r="A62" s="10">
        <f t="shared" si="0"/>
        <v>48</v>
      </c>
      <c r="B62" s="559" t="s">
        <v>303</v>
      </c>
      <c r="C62" s="327"/>
      <c r="D62" s="560" t="s">
        <v>307</v>
      </c>
      <c r="E62" s="327"/>
      <c r="F62" s="537" t="s">
        <v>334</v>
      </c>
      <c r="G62" s="327"/>
      <c r="H62" s="561" t="s">
        <v>334</v>
      </c>
      <c r="I62" s="327"/>
      <c r="J62" s="562"/>
      <c r="K62" s="327"/>
      <c r="L62" s="562"/>
      <c r="M62" s="327"/>
      <c r="N62" s="23"/>
      <c r="O62" s="24"/>
      <c r="P62" s="563"/>
      <c r="Q62" s="327"/>
      <c r="R62" s="538"/>
      <c r="S62" s="327"/>
      <c r="T62" s="539"/>
      <c r="U62" s="327"/>
      <c r="V62" s="540"/>
      <c r="W62" s="327"/>
      <c r="X62" s="541" t="s">
        <v>303</v>
      </c>
      <c r="Y62" s="326"/>
      <c r="Z62" s="326"/>
      <c r="AA62" s="327"/>
      <c r="AB62" s="542" t="s">
        <v>303</v>
      </c>
      <c r="AC62" s="326"/>
      <c r="AD62" s="326"/>
      <c r="AE62" s="327"/>
      <c r="AF62" s="543"/>
      <c r="AG62" s="327"/>
      <c r="AH62" s="543"/>
      <c r="AI62" s="327"/>
      <c r="AJ62" s="536"/>
      <c r="AK62" s="327"/>
      <c r="AL62" s="537" t="s">
        <v>334</v>
      </c>
      <c r="AM62" s="327"/>
      <c r="AN62" s="546" t="s">
        <v>334</v>
      </c>
      <c r="AO62" s="327"/>
      <c r="AP62" s="547"/>
      <c r="AQ62" s="327"/>
      <c r="AR62" s="548"/>
      <c r="AS62" s="327"/>
      <c r="AT62" s="549"/>
      <c r="AU62" s="327"/>
      <c r="AV62" s="546" t="s">
        <v>334</v>
      </c>
      <c r="AW62" s="327"/>
      <c r="AX62" s="521"/>
      <c r="AY62" s="326"/>
      <c r="AZ62" s="327"/>
      <c r="BA62" s="550"/>
      <c r="BB62" s="327"/>
      <c r="BC62" s="25"/>
      <c r="BD62" s="544" t="s">
        <v>334</v>
      </c>
      <c r="BE62" s="327"/>
      <c r="BF62" s="545"/>
      <c r="BG62" s="326"/>
      <c r="BH62" s="326"/>
      <c r="BI62" s="327"/>
      <c r="BJ62" s="557" t="s">
        <v>303</v>
      </c>
      <c r="BK62" s="326"/>
      <c r="BL62" s="326"/>
      <c r="BM62" s="327"/>
      <c r="BN62" s="558" t="s">
        <v>303</v>
      </c>
      <c r="BO62" s="326"/>
      <c r="BP62" s="326"/>
      <c r="BQ62" s="326"/>
      <c r="BR62" s="326"/>
      <c r="BS62" s="326"/>
      <c r="BT62" s="326"/>
      <c r="BU62" s="326"/>
      <c r="BV62" s="327"/>
    </row>
    <row r="63" spans="1:74" ht="45" customHeight="1" x14ac:dyDescent="0.25">
      <c r="A63" s="10">
        <f t="shared" si="0"/>
        <v>49</v>
      </c>
      <c r="B63" s="564" t="s">
        <v>303</v>
      </c>
      <c r="C63" s="327"/>
      <c r="D63" s="565" t="s">
        <v>307</v>
      </c>
      <c r="E63" s="327"/>
      <c r="F63" s="537" t="s">
        <v>334</v>
      </c>
      <c r="G63" s="327"/>
      <c r="H63" s="566" t="s">
        <v>334</v>
      </c>
      <c r="I63" s="327"/>
      <c r="J63" s="567"/>
      <c r="K63" s="327"/>
      <c r="L63" s="567"/>
      <c r="M63" s="327"/>
      <c r="N63" s="20"/>
      <c r="O63" s="21"/>
      <c r="P63" s="524"/>
      <c r="Q63" s="327"/>
      <c r="R63" s="516"/>
      <c r="S63" s="327"/>
      <c r="T63" s="517"/>
      <c r="U63" s="327"/>
      <c r="V63" s="518"/>
      <c r="W63" s="327"/>
      <c r="X63" s="438" t="s">
        <v>303</v>
      </c>
      <c r="Y63" s="326"/>
      <c r="Z63" s="326"/>
      <c r="AA63" s="327"/>
      <c r="AB63" s="519" t="s">
        <v>303</v>
      </c>
      <c r="AC63" s="326"/>
      <c r="AD63" s="326"/>
      <c r="AE63" s="327"/>
      <c r="AF63" s="520"/>
      <c r="AG63" s="327"/>
      <c r="AH63" s="520"/>
      <c r="AI63" s="327"/>
      <c r="AJ63" s="554"/>
      <c r="AK63" s="327"/>
      <c r="AL63" s="556" t="s">
        <v>334</v>
      </c>
      <c r="AM63" s="327"/>
      <c r="AN63" s="553" t="s">
        <v>334</v>
      </c>
      <c r="AO63" s="327"/>
      <c r="AP63" s="554"/>
      <c r="AQ63" s="327"/>
      <c r="AR63" s="555"/>
      <c r="AS63" s="327"/>
      <c r="AT63" s="549"/>
      <c r="AU63" s="327"/>
      <c r="AV63" s="553" t="s">
        <v>334</v>
      </c>
      <c r="AW63" s="327"/>
      <c r="AX63" s="521"/>
      <c r="AY63" s="326"/>
      <c r="AZ63" s="327"/>
      <c r="BA63" s="536"/>
      <c r="BB63" s="327"/>
      <c r="BC63" s="22"/>
      <c r="BD63" s="551" t="s">
        <v>399</v>
      </c>
      <c r="BE63" s="327"/>
      <c r="BF63" s="508"/>
      <c r="BG63" s="326"/>
      <c r="BH63" s="326"/>
      <c r="BI63" s="327"/>
      <c r="BJ63" s="451" t="s">
        <v>303</v>
      </c>
      <c r="BK63" s="326"/>
      <c r="BL63" s="326"/>
      <c r="BM63" s="327"/>
      <c r="BN63" s="558" t="s">
        <v>303</v>
      </c>
      <c r="BO63" s="326"/>
      <c r="BP63" s="326"/>
      <c r="BQ63" s="326"/>
      <c r="BR63" s="326"/>
      <c r="BS63" s="326"/>
      <c r="BT63" s="326"/>
      <c r="BU63" s="326"/>
      <c r="BV63" s="327"/>
    </row>
    <row r="64" spans="1:74" ht="45" customHeight="1" x14ac:dyDescent="0.25">
      <c r="A64" s="10">
        <f t="shared" si="0"/>
        <v>50</v>
      </c>
      <c r="B64" s="559" t="s">
        <v>303</v>
      </c>
      <c r="C64" s="327"/>
      <c r="D64" s="560" t="s">
        <v>307</v>
      </c>
      <c r="E64" s="327"/>
      <c r="F64" s="537" t="s">
        <v>334</v>
      </c>
      <c r="G64" s="327"/>
      <c r="H64" s="561" t="s">
        <v>334</v>
      </c>
      <c r="I64" s="327"/>
      <c r="J64" s="562"/>
      <c r="K64" s="327"/>
      <c r="L64" s="562"/>
      <c r="M64" s="327"/>
      <c r="N64" s="23"/>
      <c r="O64" s="24"/>
      <c r="P64" s="563"/>
      <c r="Q64" s="327"/>
      <c r="R64" s="538"/>
      <c r="S64" s="327"/>
      <c r="T64" s="539"/>
      <c r="U64" s="327"/>
      <c r="V64" s="540"/>
      <c r="W64" s="327"/>
      <c r="X64" s="541" t="s">
        <v>303</v>
      </c>
      <c r="Y64" s="326"/>
      <c r="Z64" s="326"/>
      <c r="AA64" s="327"/>
      <c r="AB64" s="542" t="s">
        <v>303</v>
      </c>
      <c r="AC64" s="326"/>
      <c r="AD64" s="326"/>
      <c r="AE64" s="327"/>
      <c r="AF64" s="543"/>
      <c r="AG64" s="327"/>
      <c r="AH64" s="543"/>
      <c r="AI64" s="327"/>
      <c r="AJ64" s="536"/>
      <c r="AK64" s="327"/>
      <c r="AL64" s="537" t="s">
        <v>334</v>
      </c>
      <c r="AM64" s="327"/>
      <c r="AN64" s="546" t="s">
        <v>334</v>
      </c>
      <c r="AO64" s="327"/>
      <c r="AP64" s="547"/>
      <c r="AQ64" s="327"/>
      <c r="AR64" s="548"/>
      <c r="AS64" s="327"/>
      <c r="AT64" s="549"/>
      <c r="AU64" s="327"/>
      <c r="AV64" s="546" t="s">
        <v>334</v>
      </c>
      <c r="AW64" s="327"/>
      <c r="AX64" s="521"/>
      <c r="AY64" s="326"/>
      <c r="AZ64" s="327"/>
      <c r="BA64" s="550"/>
      <c r="BB64" s="327"/>
      <c r="BC64" s="25"/>
      <c r="BD64" s="544" t="s">
        <v>334</v>
      </c>
      <c r="BE64" s="327"/>
      <c r="BF64" s="545"/>
      <c r="BG64" s="326"/>
      <c r="BH64" s="326"/>
      <c r="BI64" s="327"/>
      <c r="BJ64" s="557" t="s">
        <v>303</v>
      </c>
      <c r="BK64" s="326"/>
      <c r="BL64" s="326"/>
      <c r="BM64" s="327"/>
      <c r="BN64" s="558" t="s">
        <v>303</v>
      </c>
      <c r="BO64" s="326"/>
      <c r="BP64" s="326"/>
      <c r="BQ64" s="326"/>
      <c r="BR64" s="326"/>
      <c r="BS64" s="326"/>
      <c r="BT64" s="326"/>
      <c r="BU64" s="326"/>
      <c r="BV64" s="327"/>
    </row>
    <row r="65" spans="1:74" ht="45" customHeight="1" x14ac:dyDescent="0.25">
      <c r="A65" s="10">
        <f t="shared" si="0"/>
        <v>51</v>
      </c>
      <c r="B65" s="564" t="s">
        <v>303</v>
      </c>
      <c r="C65" s="327"/>
      <c r="D65" s="565" t="s">
        <v>307</v>
      </c>
      <c r="E65" s="327"/>
      <c r="F65" s="537" t="s">
        <v>334</v>
      </c>
      <c r="G65" s="327"/>
      <c r="H65" s="566" t="s">
        <v>334</v>
      </c>
      <c r="I65" s="327"/>
      <c r="J65" s="567"/>
      <c r="K65" s="327"/>
      <c r="L65" s="567"/>
      <c r="M65" s="327"/>
      <c r="N65" s="20"/>
      <c r="O65" s="21"/>
      <c r="P65" s="524"/>
      <c r="Q65" s="327"/>
      <c r="R65" s="516"/>
      <c r="S65" s="327"/>
      <c r="T65" s="517"/>
      <c r="U65" s="327"/>
      <c r="V65" s="518"/>
      <c r="W65" s="327"/>
      <c r="X65" s="438" t="s">
        <v>303</v>
      </c>
      <c r="Y65" s="326"/>
      <c r="Z65" s="326"/>
      <c r="AA65" s="327"/>
      <c r="AB65" s="519" t="s">
        <v>303</v>
      </c>
      <c r="AC65" s="326"/>
      <c r="AD65" s="326"/>
      <c r="AE65" s="327"/>
      <c r="AF65" s="520"/>
      <c r="AG65" s="327"/>
      <c r="AH65" s="520"/>
      <c r="AI65" s="327"/>
      <c r="AJ65" s="554"/>
      <c r="AK65" s="327"/>
      <c r="AL65" s="556" t="s">
        <v>334</v>
      </c>
      <c r="AM65" s="327"/>
      <c r="AN65" s="553" t="s">
        <v>334</v>
      </c>
      <c r="AO65" s="327"/>
      <c r="AP65" s="554"/>
      <c r="AQ65" s="327"/>
      <c r="AR65" s="555"/>
      <c r="AS65" s="327"/>
      <c r="AT65" s="549"/>
      <c r="AU65" s="327"/>
      <c r="AV65" s="553" t="s">
        <v>334</v>
      </c>
      <c r="AW65" s="327"/>
      <c r="AX65" s="521"/>
      <c r="AY65" s="326"/>
      <c r="AZ65" s="327"/>
      <c r="BA65" s="536"/>
      <c r="BB65" s="327"/>
      <c r="BC65" s="22"/>
      <c r="BD65" s="551" t="s">
        <v>399</v>
      </c>
      <c r="BE65" s="327"/>
      <c r="BF65" s="508"/>
      <c r="BG65" s="326"/>
      <c r="BH65" s="326"/>
      <c r="BI65" s="327"/>
      <c r="BJ65" s="451" t="s">
        <v>303</v>
      </c>
      <c r="BK65" s="326"/>
      <c r="BL65" s="326"/>
      <c r="BM65" s="327"/>
      <c r="BN65" s="558" t="s">
        <v>303</v>
      </c>
      <c r="BO65" s="326"/>
      <c r="BP65" s="326"/>
      <c r="BQ65" s="326"/>
      <c r="BR65" s="326"/>
      <c r="BS65" s="326"/>
      <c r="BT65" s="326"/>
      <c r="BU65" s="326"/>
      <c r="BV65" s="327"/>
    </row>
    <row r="66" spans="1:74" ht="45" customHeight="1" x14ac:dyDescent="0.25">
      <c r="A66" s="10">
        <f t="shared" si="0"/>
        <v>52</v>
      </c>
      <c r="B66" s="559" t="s">
        <v>303</v>
      </c>
      <c r="C66" s="327"/>
      <c r="D66" s="560" t="s">
        <v>307</v>
      </c>
      <c r="E66" s="327"/>
      <c r="F66" s="537" t="s">
        <v>334</v>
      </c>
      <c r="G66" s="327"/>
      <c r="H66" s="561" t="s">
        <v>334</v>
      </c>
      <c r="I66" s="327"/>
      <c r="J66" s="562"/>
      <c r="K66" s="327"/>
      <c r="L66" s="562"/>
      <c r="M66" s="327"/>
      <c r="N66" s="23"/>
      <c r="O66" s="24"/>
      <c r="P66" s="563"/>
      <c r="Q66" s="327"/>
      <c r="R66" s="538"/>
      <c r="S66" s="327"/>
      <c r="T66" s="539"/>
      <c r="U66" s="327"/>
      <c r="V66" s="540"/>
      <c r="W66" s="327"/>
      <c r="X66" s="541" t="s">
        <v>303</v>
      </c>
      <c r="Y66" s="326"/>
      <c r="Z66" s="326"/>
      <c r="AA66" s="327"/>
      <c r="AB66" s="542" t="s">
        <v>303</v>
      </c>
      <c r="AC66" s="326"/>
      <c r="AD66" s="326"/>
      <c r="AE66" s="327"/>
      <c r="AF66" s="543"/>
      <c r="AG66" s="327"/>
      <c r="AH66" s="543"/>
      <c r="AI66" s="327"/>
      <c r="AJ66" s="536"/>
      <c r="AK66" s="327"/>
      <c r="AL66" s="537" t="s">
        <v>334</v>
      </c>
      <c r="AM66" s="327"/>
      <c r="AN66" s="546" t="s">
        <v>334</v>
      </c>
      <c r="AO66" s="327"/>
      <c r="AP66" s="547"/>
      <c r="AQ66" s="327"/>
      <c r="AR66" s="548"/>
      <c r="AS66" s="327"/>
      <c r="AT66" s="549"/>
      <c r="AU66" s="327"/>
      <c r="AV66" s="546" t="s">
        <v>334</v>
      </c>
      <c r="AW66" s="327"/>
      <c r="AX66" s="521"/>
      <c r="AY66" s="326"/>
      <c r="AZ66" s="327"/>
      <c r="BA66" s="550"/>
      <c r="BB66" s="327"/>
      <c r="BC66" s="25"/>
      <c r="BD66" s="544" t="s">
        <v>334</v>
      </c>
      <c r="BE66" s="327"/>
      <c r="BF66" s="545"/>
      <c r="BG66" s="326"/>
      <c r="BH66" s="326"/>
      <c r="BI66" s="327"/>
      <c r="BJ66" s="557" t="s">
        <v>303</v>
      </c>
      <c r="BK66" s="326"/>
      <c r="BL66" s="326"/>
      <c r="BM66" s="327"/>
      <c r="BN66" s="558" t="s">
        <v>303</v>
      </c>
      <c r="BO66" s="326"/>
      <c r="BP66" s="326"/>
      <c r="BQ66" s="326"/>
      <c r="BR66" s="326"/>
      <c r="BS66" s="326"/>
      <c r="BT66" s="326"/>
      <c r="BU66" s="326"/>
      <c r="BV66" s="327"/>
    </row>
    <row r="67" spans="1:74" ht="45" customHeight="1" x14ac:dyDescent="0.25">
      <c r="A67" s="10">
        <f t="shared" si="0"/>
        <v>53</v>
      </c>
      <c r="B67" s="564" t="s">
        <v>303</v>
      </c>
      <c r="C67" s="327"/>
      <c r="D67" s="565" t="s">
        <v>307</v>
      </c>
      <c r="E67" s="327"/>
      <c r="F67" s="537" t="s">
        <v>334</v>
      </c>
      <c r="G67" s="327"/>
      <c r="H67" s="566" t="s">
        <v>334</v>
      </c>
      <c r="I67" s="327"/>
      <c r="J67" s="567"/>
      <c r="K67" s="327"/>
      <c r="L67" s="567"/>
      <c r="M67" s="327"/>
      <c r="N67" s="20"/>
      <c r="O67" s="24"/>
      <c r="P67" s="524"/>
      <c r="Q67" s="327"/>
      <c r="R67" s="516"/>
      <c r="S67" s="327"/>
      <c r="T67" s="517"/>
      <c r="U67" s="327"/>
      <c r="V67" s="518"/>
      <c r="W67" s="327"/>
      <c r="X67" s="438" t="s">
        <v>303</v>
      </c>
      <c r="Y67" s="326"/>
      <c r="Z67" s="326"/>
      <c r="AA67" s="327"/>
      <c r="AB67" s="519" t="s">
        <v>303</v>
      </c>
      <c r="AC67" s="326"/>
      <c r="AD67" s="326"/>
      <c r="AE67" s="327"/>
      <c r="AF67" s="520"/>
      <c r="AG67" s="327"/>
      <c r="AH67" s="520"/>
      <c r="AI67" s="327"/>
      <c r="AJ67" s="554"/>
      <c r="AK67" s="327"/>
      <c r="AL67" s="556" t="s">
        <v>334</v>
      </c>
      <c r="AM67" s="327"/>
      <c r="AN67" s="553" t="s">
        <v>334</v>
      </c>
      <c r="AO67" s="327"/>
      <c r="AP67" s="554"/>
      <c r="AQ67" s="327"/>
      <c r="AR67" s="555"/>
      <c r="AS67" s="327"/>
      <c r="AT67" s="549"/>
      <c r="AU67" s="327"/>
      <c r="AV67" s="553" t="s">
        <v>334</v>
      </c>
      <c r="AW67" s="327"/>
      <c r="AX67" s="521"/>
      <c r="AY67" s="326"/>
      <c r="AZ67" s="327"/>
      <c r="BA67" s="536"/>
      <c r="BB67" s="327"/>
      <c r="BC67" s="22"/>
      <c r="BD67" s="551" t="s">
        <v>399</v>
      </c>
      <c r="BE67" s="327"/>
      <c r="BF67" s="552"/>
      <c r="BG67" s="326"/>
      <c r="BH67" s="326"/>
      <c r="BI67" s="327"/>
      <c r="BJ67" s="451" t="s">
        <v>303</v>
      </c>
      <c r="BK67" s="326"/>
      <c r="BL67" s="326"/>
      <c r="BM67" s="327"/>
      <c r="BN67" s="558" t="s">
        <v>303</v>
      </c>
      <c r="BO67" s="326"/>
      <c r="BP67" s="326"/>
      <c r="BQ67" s="326"/>
      <c r="BR67" s="326"/>
      <c r="BS67" s="326"/>
      <c r="BT67" s="326"/>
      <c r="BU67" s="326"/>
      <c r="BV67" s="327"/>
    </row>
    <row r="68" spans="1:74" ht="45" customHeight="1" x14ac:dyDescent="0.25">
      <c r="A68" s="10">
        <f t="shared" si="0"/>
        <v>54</v>
      </c>
      <c r="B68" s="559" t="s">
        <v>303</v>
      </c>
      <c r="C68" s="327"/>
      <c r="D68" s="560" t="s">
        <v>307</v>
      </c>
      <c r="E68" s="327"/>
      <c r="F68" s="537" t="s">
        <v>334</v>
      </c>
      <c r="G68" s="327"/>
      <c r="H68" s="561" t="s">
        <v>334</v>
      </c>
      <c r="I68" s="327"/>
      <c r="J68" s="562"/>
      <c r="K68" s="327"/>
      <c r="L68" s="562"/>
      <c r="M68" s="327"/>
      <c r="N68" s="23"/>
      <c r="O68" s="21"/>
      <c r="P68" s="563"/>
      <c r="Q68" s="327"/>
      <c r="R68" s="538"/>
      <c r="S68" s="327"/>
      <c r="T68" s="539"/>
      <c r="U68" s="327"/>
      <c r="V68" s="540"/>
      <c r="W68" s="327"/>
      <c r="X68" s="541" t="s">
        <v>303</v>
      </c>
      <c r="Y68" s="326"/>
      <c r="Z68" s="326"/>
      <c r="AA68" s="327"/>
      <c r="AB68" s="542" t="s">
        <v>303</v>
      </c>
      <c r="AC68" s="326"/>
      <c r="AD68" s="326"/>
      <c r="AE68" s="327"/>
      <c r="AF68" s="543"/>
      <c r="AG68" s="327"/>
      <c r="AH68" s="543"/>
      <c r="AI68" s="327"/>
      <c r="AJ68" s="536"/>
      <c r="AK68" s="327"/>
      <c r="AL68" s="537" t="s">
        <v>334</v>
      </c>
      <c r="AM68" s="327"/>
      <c r="AN68" s="546" t="s">
        <v>334</v>
      </c>
      <c r="AO68" s="327"/>
      <c r="AP68" s="547"/>
      <c r="AQ68" s="327"/>
      <c r="AR68" s="548"/>
      <c r="AS68" s="327"/>
      <c r="AT68" s="549"/>
      <c r="AU68" s="327"/>
      <c r="AV68" s="546" t="s">
        <v>334</v>
      </c>
      <c r="AW68" s="327"/>
      <c r="AX68" s="521"/>
      <c r="AY68" s="326"/>
      <c r="AZ68" s="327"/>
      <c r="BA68" s="550"/>
      <c r="BB68" s="327"/>
      <c r="BC68" s="25"/>
      <c r="BD68" s="544" t="s">
        <v>334</v>
      </c>
      <c r="BE68" s="327"/>
      <c r="BF68" s="545"/>
      <c r="BG68" s="326"/>
      <c r="BH68" s="326"/>
      <c r="BI68" s="327"/>
      <c r="BJ68" s="557" t="s">
        <v>303</v>
      </c>
      <c r="BK68" s="326"/>
      <c r="BL68" s="326"/>
      <c r="BM68" s="327"/>
      <c r="BN68" s="558" t="s">
        <v>303</v>
      </c>
      <c r="BO68" s="326"/>
      <c r="BP68" s="326"/>
      <c r="BQ68" s="326"/>
      <c r="BR68" s="326"/>
      <c r="BS68" s="326"/>
      <c r="BT68" s="326"/>
      <c r="BU68" s="326"/>
      <c r="BV68" s="327"/>
    </row>
    <row r="69" spans="1:74" ht="45" customHeight="1" x14ac:dyDescent="0.25">
      <c r="A69" s="10">
        <f t="shared" si="0"/>
        <v>55</v>
      </c>
      <c r="B69" s="564" t="s">
        <v>303</v>
      </c>
      <c r="C69" s="327"/>
      <c r="D69" s="565" t="s">
        <v>307</v>
      </c>
      <c r="E69" s="327"/>
      <c r="F69" s="537" t="s">
        <v>334</v>
      </c>
      <c r="G69" s="327"/>
      <c r="H69" s="566" t="s">
        <v>334</v>
      </c>
      <c r="I69" s="327"/>
      <c r="J69" s="567"/>
      <c r="K69" s="327"/>
      <c r="L69" s="567"/>
      <c r="M69" s="327"/>
      <c r="N69" s="20"/>
      <c r="O69" s="24"/>
      <c r="P69" s="524"/>
      <c r="Q69" s="327"/>
      <c r="R69" s="516"/>
      <c r="S69" s="327"/>
      <c r="T69" s="517"/>
      <c r="U69" s="327"/>
      <c r="V69" s="518"/>
      <c r="W69" s="327"/>
      <c r="X69" s="438" t="s">
        <v>303</v>
      </c>
      <c r="Y69" s="326"/>
      <c r="Z69" s="326"/>
      <c r="AA69" s="327"/>
      <c r="AB69" s="519" t="s">
        <v>303</v>
      </c>
      <c r="AC69" s="326"/>
      <c r="AD69" s="326"/>
      <c r="AE69" s="327"/>
      <c r="AF69" s="520"/>
      <c r="AG69" s="327"/>
      <c r="AH69" s="520"/>
      <c r="AI69" s="327"/>
      <c r="AJ69" s="554"/>
      <c r="AK69" s="327"/>
      <c r="AL69" s="556" t="s">
        <v>334</v>
      </c>
      <c r="AM69" s="327"/>
      <c r="AN69" s="553" t="s">
        <v>334</v>
      </c>
      <c r="AO69" s="327"/>
      <c r="AP69" s="554"/>
      <c r="AQ69" s="327"/>
      <c r="AR69" s="555"/>
      <c r="AS69" s="327"/>
      <c r="AT69" s="549"/>
      <c r="AU69" s="327"/>
      <c r="AV69" s="553" t="s">
        <v>334</v>
      </c>
      <c r="AW69" s="327"/>
      <c r="AX69" s="521"/>
      <c r="AY69" s="326"/>
      <c r="AZ69" s="327"/>
      <c r="BA69" s="536"/>
      <c r="BB69" s="327"/>
      <c r="BC69" s="22"/>
      <c r="BD69" s="551" t="s">
        <v>399</v>
      </c>
      <c r="BE69" s="327"/>
      <c r="BF69" s="508"/>
      <c r="BG69" s="326"/>
      <c r="BH69" s="326"/>
      <c r="BI69" s="327"/>
      <c r="BJ69" s="451" t="s">
        <v>303</v>
      </c>
      <c r="BK69" s="326"/>
      <c r="BL69" s="326"/>
      <c r="BM69" s="327"/>
      <c r="BN69" s="558" t="s">
        <v>303</v>
      </c>
      <c r="BO69" s="326"/>
      <c r="BP69" s="326"/>
      <c r="BQ69" s="326"/>
      <c r="BR69" s="326"/>
      <c r="BS69" s="326"/>
      <c r="BT69" s="326"/>
      <c r="BU69" s="326"/>
      <c r="BV69" s="327"/>
    </row>
    <row r="70" spans="1:74" ht="45" customHeight="1" x14ac:dyDescent="0.25">
      <c r="A70" s="10">
        <f t="shared" si="0"/>
        <v>56</v>
      </c>
      <c r="B70" s="559" t="s">
        <v>303</v>
      </c>
      <c r="C70" s="327"/>
      <c r="D70" s="560" t="s">
        <v>307</v>
      </c>
      <c r="E70" s="327"/>
      <c r="F70" s="537" t="s">
        <v>334</v>
      </c>
      <c r="G70" s="327"/>
      <c r="H70" s="561" t="s">
        <v>334</v>
      </c>
      <c r="I70" s="327"/>
      <c r="J70" s="562"/>
      <c r="K70" s="327"/>
      <c r="L70" s="562"/>
      <c r="M70" s="327"/>
      <c r="N70" s="23"/>
      <c r="O70" s="21"/>
      <c r="P70" s="563"/>
      <c r="Q70" s="327"/>
      <c r="R70" s="538"/>
      <c r="S70" s="327"/>
      <c r="T70" s="539"/>
      <c r="U70" s="327"/>
      <c r="V70" s="540"/>
      <c r="W70" s="327"/>
      <c r="X70" s="541" t="s">
        <v>303</v>
      </c>
      <c r="Y70" s="326"/>
      <c r="Z70" s="326"/>
      <c r="AA70" s="327"/>
      <c r="AB70" s="542" t="s">
        <v>303</v>
      </c>
      <c r="AC70" s="326"/>
      <c r="AD70" s="326"/>
      <c r="AE70" s="327"/>
      <c r="AF70" s="543"/>
      <c r="AG70" s="327"/>
      <c r="AH70" s="543"/>
      <c r="AI70" s="327"/>
      <c r="AJ70" s="536"/>
      <c r="AK70" s="327"/>
      <c r="AL70" s="537" t="s">
        <v>334</v>
      </c>
      <c r="AM70" s="327"/>
      <c r="AN70" s="546" t="s">
        <v>334</v>
      </c>
      <c r="AO70" s="327"/>
      <c r="AP70" s="547"/>
      <c r="AQ70" s="327"/>
      <c r="AR70" s="548"/>
      <c r="AS70" s="327"/>
      <c r="AT70" s="549"/>
      <c r="AU70" s="327"/>
      <c r="AV70" s="546" t="s">
        <v>334</v>
      </c>
      <c r="AW70" s="327"/>
      <c r="AX70" s="521"/>
      <c r="AY70" s="326"/>
      <c r="AZ70" s="327"/>
      <c r="BA70" s="550"/>
      <c r="BB70" s="327"/>
      <c r="BC70" s="25"/>
      <c r="BD70" s="544" t="s">
        <v>334</v>
      </c>
      <c r="BE70" s="327"/>
      <c r="BF70" s="545"/>
      <c r="BG70" s="326"/>
      <c r="BH70" s="326"/>
      <c r="BI70" s="327"/>
      <c r="BJ70" s="557" t="s">
        <v>303</v>
      </c>
      <c r="BK70" s="326"/>
      <c r="BL70" s="326"/>
      <c r="BM70" s="327"/>
      <c r="BN70" s="558" t="s">
        <v>303</v>
      </c>
      <c r="BO70" s="326"/>
      <c r="BP70" s="326"/>
      <c r="BQ70" s="326"/>
      <c r="BR70" s="326"/>
      <c r="BS70" s="326"/>
      <c r="BT70" s="326"/>
      <c r="BU70" s="326"/>
      <c r="BV70" s="327"/>
    </row>
    <row r="71" spans="1:74" ht="45" customHeight="1" x14ac:dyDescent="0.25">
      <c r="A71" s="10">
        <f t="shared" si="0"/>
        <v>57</v>
      </c>
      <c r="B71" s="564" t="s">
        <v>303</v>
      </c>
      <c r="C71" s="327"/>
      <c r="D71" s="565" t="s">
        <v>307</v>
      </c>
      <c r="E71" s="327"/>
      <c r="F71" s="537" t="s">
        <v>334</v>
      </c>
      <c r="G71" s="327"/>
      <c r="H71" s="566" t="s">
        <v>334</v>
      </c>
      <c r="I71" s="327"/>
      <c r="J71" s="567"/>
      <c r="K71" s="327"/>
      <c r="L71" s="567"/>
      <c r="M71" s="327"/>
      <c r="N71" s="20"/>
      <c r="O71" s="24"/>
      <c r="P71" s="524"/>
      <c r="Q71" s="327"/>
      <c r="R71" s="516"/>
      <c r="S71" s="327"/>
      <c r="T71" s="517"/>
      <c r="U71" s="327"/>
      <c r="V71" s="518"/>
      <c r="W71" s="327"/>
      <c r="X71" s="438" t="s">
        <v>303</v>
      </c>
      <c r="Y71" s="326"/>
      <c r="Z71" s="326"/>
      <c r="AA71" s="327"/>
      <c r="AB71" s="519" t="s">
        <v>303</v>
      </c>
      <c r="AC71" s="326"/>
      <c r="AD71" s="326"/>
      <c r="AE71" s="327"/>
      <c r="AF71" s="520"/>
      <c r="AG71" s="327"/>
      <c r="AH71" s="520"/>
      <c r="AI71" s="327"/>
      <c r="AJ71" s="554"/>
      <c r="AK71" s="327"/>
      <c r="AL71" s="556" t="s">
        <v>334</v>
      </c>
      <c r="AM71" s="327"/>
      <c r="AN71" s="553" t="s">
        <v>334</v>
      </c>
      <c r="AO71" s="327"/>
      <c r="AP71" s="554"/>
      <c r="AQ71" s="327"/>
      <c r="AR71" s="555"/>
      <c r="AS71" s="327"/>
      <c r="AT71" s="549"/>
      <c r="AU71" s="327"/>
      <c r="AV71" s="553" t="s">
        <v>334</v>
      </c>
      <c r="AW71" s="327"/>
      <c r="AX71" s="521"/>
      <c r="AY71" s="326"/>
      <c r="AZ71" s="327"/>
      <c r="BA71" s="536"/>
      <c r="BB71" s="327"/>
      <c r="BC71" s="22"/>
      <c r="BD71" s="551" t="s">
        <v>399</v>
      </c>
      <c r="BE71" s="327"/>
      <c r="BF71" s="552"/>
      <c r="BG71" s="326"/>
      <c r="BH71" s="326"/>
      <c r="BI71" s="327"/>
      <c r="BJ71" s="451" t="s">
        <v>303</v>
      </c>
      <c r="BK71" s="326"/>
      <c r="BL71" s="326"/>
      <c r="BM71" s="327"/>
      <c r="BN71" s="558" t="s">
        <v>303</v>
      </c>
      <c r="BO71" s="326"/>
      <c r="BP71" s="326"/>
      <c r="BQ71" s="326"/>
      <c r="BR71" s="326"/>
      <c r="BS71" s="326"/>
      <c r="BT71" s="326"/>
      <c r="BU71" s="326"/>
      <c r="BV71" s="327"/>
    </row>
    <row r="72" spans="1:74" ht="45" customHeight="1" x14ac:dyDescent="0.25">
      <c r="A72" s="10">
        <f t="shared" si="0"/>
        <v>58</v>
      </c>
      <c r="B72" s="559" t="s">
        <v>303</v>
      </c>
      <c r="C72" s="327"/>
      <c r="D72" s="560" t="s">
        <v>307</v>
      </c>
      <c r="E72" s="327"/>
      <c r="F72" s="537" t="s">
        <v>334</v>
      </c>
      <c r="G72" s="327"/>
      <c r="H72" s="561" t="s">
        <v>334</v>
      </c>
      <c r="I72" s="327"/>
      <c r="J72" s="562"/>
      <c r="K72" s="327"/>
      <c r="L72" s="562"/>
      <c r="M72" s="327"/>
      <c r="N72" s="23"/>
      <c r="O72" s="21"/>
      <c r="P72" s="563"/>
      <c r="Q72" s="327"/>
      <c r="R72" s="538"/>
      <c r="S72" s="327"/>
      <c r="T72" s="539"/>
      <c r="U72" s="327"/>
      <c r="V72" s="540"/>
      <c r="W72" s="327"/>
      <c r="X72" s="541" t="s">
        <v>303</v>
      </c>
      <c r="Y72" s="326"/>
      <c r="Z72" s="326"/>
      <c r="AA72" s="327"/>
      <c r="AB72" s="542" t="s">
        <v>303</v>
      </c>
      <c r="AC72" s="326"/>
      <c r="AD72" s="326"/>
      <c r="AE72" s="327"/>
      <c r="AF72" s="543"/>
      <c r="AG72" s="327"/>
      <c r="AH72" s="543"/>
      <c r="AI72" s="327"/>
      <c r="AJ72" s="536"/>
      <c r="AK72" s="327"/>
      <c r="AL72" s="537" t="s">
        <v>334</v>
      </c>
      <c r="AM72" s="327"/>
      <c r="AN72" s="546" t="s">
        <v>334</v>
      </c>
      <c r="AO72" s="327"/>
      <c r="AP72" s="547"/>
      <c r="AQ72" s="327"/>
      <c r="AR72" s="548"/>
      <c r="AS72" s="327"/>
      <c r="AT72" s="549"/>
      <c r="AU72" s="327"/>
      <c r="AV72" s="546" t="s">
        <v>334</v>
      </c>
      <c r="AW72" s="327"/>
      <c r="AX72" s="521"/>
      <c r="AY72" s="326"/>
      <c r="AZ72" s="327"/>
      <c r="BA72" s="550"/>
      <c r="BB72" s="327"/>
      <c r="BC72" s="25"/>
      <c r="BD72" s="544" t="s">
        <v>334</v>
      </c>
      <c r="BE72" s="327"/>
      <c r="BF72" s="545"/>
      <c r="BG72" s="326"/>
      <c r="BH72" s="326"/>
      <c r="BI72" s="327"/>
      <c r="BJ72" s="557" t="s">
        <v>303</v>
      </c>
      <c r="BK72" s="326"/>
      <c r="BL72" s="326"/>
      <c r="BM72" s="327"/>
      <c r="BN72" s="558" t="s">
        <v>303</v>
      </c>
      <c r="BO72" s="326"/>
      <c r="BP72" s="326"/>
      <c r="BQ72" s="326"/>
      <c r="BR72" s="326"/>
      <c r="BS72" s="326"/>
      <c r="BT72" s="326"/>
      <c r="BU72" s="326"/>
      <c r="BV72" s="327"/>
    </row>
    <row r="73" spans="1:74" ht="45" customHeight="1" x14ac:dyDescent="0.25">
      <c r="A73" s="10">
        <f t="shared" si="0"/>
        <v>59</v>
      </c>
      <c r="B73" s="564" t="s">
        <v>303</v>
      </c>
      <c r="C73" s="327"/>
      <c r="D73" s="565" t="s">
        <v>307</v>
      </c>
      <c r="E73" s="327"/>
      <c r="F73" s="537" t="s">
        <v>334</v>
      </c>
      <c r="G73" s="327"/>
      <c r="H73" s="566" t="s">
        <v>334</v>
      </c>
      <c r="I73" s="327"/>
      <c r="J73" s="567"/>
      <c r="K73" s="327"/>
      <c r="L73" s="567"/>
      <c r="M73" s="327"/>
      <c r="N73" s="20"/>
      <c r="O73" s="24"/>
      <c r="P73" s="524"/>
      <c r="Q73" s="327"/>
      <c r="R73" s="516"/>
      <c r="S73" s="327"/>
      <c r="T73" s="517"/>
      <c r="U73" s="327"/>
      <c r="V73" s="518"/>
      <c r="W73" s="327"/>
      <c r="X73" s="438" t="s">
        <v>303</v>
      </c>
      <c r="Y73" s="326"/>
      <c r="Z73" s="326"/>
      <c r="AA73" s="327"/>
      <c r="AB73" s="519" t="s">
        <v>303</v>
      </c>
      <c r="AC73" s="326"/>
      <c r="AD73" s="326"/>
      <c r="AE73" s="327"/>
      <c r="AF73" s="520"/>
      <c r="AG73" s="327"/>
      <c r="AH73" s="520"/>
      <c r="AI73" s="327"/>
      <c r="AJ73" s="554"/>
      <c r="AK73" s="327"/>
      <c r="AL73" s="556" t="s">
        <v>334</v>
      </c>
      <c r="AM73" s="327"/>
      <c r="AN73" s="553" t="s">
        <v>334</v>
      </c>
      <c r="AO73" s="327"/>
      <c r="AP73" s="554"/>
      <c r="AQ73" s="327"/>
      <c r="AR73" s="555"/>
      <c r="AS73" s="327"/>
      <c r="AT73" s="549"/>
      <c r="AU73" s="327"/>
      <c r="AV73" s="553" t="s">
        <v>334</v>
      </c>
      <c r="AW73" s="327"/>
      <c r="AX73" s="521"/>
      <c r="AY73" s="326"/>
      <c r="AZ73" s="327"/>
      <c r="BA73" s="536"/>
      <c r="BB73" s="327"/>
      <c r="BC73" s="22"/>
      <c r="BD73" s="551" t="s">
        <v>399</v>
      </c>
      <c r="BE73" s="327"/>
      <c r="BF73" s="508"/>
      <c r="BG73" s="326"/>
      <c r="BH73" s="326"/>
      <c r="BI73" s="327"/>
      <c r="BJ73" s="451" t="s">
        <v>303</v>
      </c>
      <c r="BK73" s="326"/>
      <c r="BL73" s="326"/>
      <c r="BM73" s="327"/>
      <c r="BN73" s="558" t="s">
        <v>303</v>
      </c>
      <c r="BO73" s="326"/>
      <c r="BP73" s="326"/>
      <c r="BQ73" s="326"/>
      <c r="BR73" s="326"/>
      <c r="BS73" s="326"/>
      <c r="BT73" s="326"/>
      <c r="BU73" s="326"/>
      <c r="BV73" s="327"/>
    </row>
    <row r="74" spans="1:74" ht="45" customHeight="1" x14ac:dyDescent="0.25">
      <c r="A74" s="10">
        <f t="shared" si="0"/>
        <v>60</v>
      </c>
      <c r="B74" s="559" t="s">
        <v>303</v>
      </c>
      <c r="C74" s="327"/>
      <c r="D74" s="560" t="s">
        <v>307</v>
      </c>
      <c r="E74" s="327"/>
      <c r="F74" s="537" t="s">
        <v>334</v>
      </c>
      <c r="G74" s="327"/>
      <c r="H74" s="561" t="s">
        <v>334</v>
      </c>
      <c r="I74" s="327"/>
      <c r="J74" s="562"/>
      <c r="K74" s="327"/>
      <c r="L74" s="562"/>
      <c r="M74" s="327"/>
      <c r="N74" s="23"/>
      <c r="O74" s="21"/>
      <c r="P74" s="563"/>
      <c r="Q74" s="327"/>
      <c r="R74" s="538"/>
      <c r="S74" s="327"/>
      <c r="T74" s="539"/>
      <c r="U74" s="327"/>
      <c r="V74" s="540"/>
      <c r="W74" s="327"/>
      <c r="X74" s="541" t="s">
        <v>303</v>
      </c>
      <c r="Y74" s="326"/>
      <c r="Z74" s="326"/>
      <c r="AA74" s="327"/>
      <c r="AB74" s="542" t="s">
        <v>303</v>
      </c>
      <c r="AC74" s="326"/>
      <c r="AD74" s="326"/>
      <c r="AE74" s="327"/>
      <c r="AF74" s="543"/>
      <c r="AG74" s="327"/>
      <c r="AH74" s="543"/>
      <c r="AI74" s="327"/>
      <c r="AJ74" s="536"/>
      <c r="AK74" s="327"/>
      <c r="AL74" s="537" t="s">
        <v>334</v>
      </c>
      <c r="AM74" s="327"/>
      <c r="AN74" s="546" t="s">
        <v>334</v>
      </c>
      <c r="AO74" s="327"/>
      <c r="AP74" s="547"/>
      <c r="AQ74" s="327"/>
      <c r="AR74" s="548"/>
      <c r="AS74" s="327"/>
      <c r="AT74" s="549"/>
      <c r="AU74" s="327"/>
      <c r="AV74" s="546" t="s">
        <v>334</v>
      </c>
      <c r="AW74" s="327"/>
      <c r="AX74" s="521"/>
      <c r="AY74" s="326"/>
      <c r="AZ74" s="327"/>
      <c r="BA74" s="550"/>
      <c r="BB74" s="327"/>
      <c r="BC74" s="25"/>
      <c r="BD74" s="544" t="s">
        <v>334</v>
      </c>
      <c r="BE74" s="327"/>
      <c r="BF74" s="545"/>
      <c r="BG74" s="326"/>
      <c r="BH74" s="326"/>
      <c r="BI74" s="327"/>
      <c r="BJ74" s="557" t="s">
        <v>303</v>
      </c>
      <c r="BK74" s="326"/>
      <c r="BL74" s="326"/>
      <c r="BM74" s="327"/>
      <c r="BN74" s="558" t="s">
        <v>303</v>
      </c>
      <c r="BO74" s="326"/>
      <c r="BP74" s="326"/>
      <c r="BQ74" s="326"/>
      <c r="BR74" s="326"/>
      <c r="BS74" s="326"/>
      <c r="BT74" s="326"/>
      <c r="BU74" s="326"/>
      <c r="BV74" s="327"/>
    </row>
    <row r="75" spans="1:74" ht="45" customHeight="1" x14ac:dyDescent="0.25">
      <c r="A75" s="10">
        <f t="shared" si="0"/>
        <v>61</v>
      </c>
      <c r="B75" s="564" t="s">
        <v>303</v>
      </c>
      <c r="C75" s="327"/>
      <c r="D75" s="565" t="s">
        <v>307</v>
      </c>
      <c r="E75" s="327"/>
      <c r="F75" s="537" t="s">
        <v>334</v>
      </c>
      <c r="G75" s="327"/>
      <c r="H75" s="566" t="s">
        <v>334</v>
      </c>
      <c r="I75" s="327"/>
      <c r="J75" s="567"/>
      <c r="K75" s="327"/>
      <c r="L75" s="567"/>
      <c r="M75" s="327"/>
      <c r="N75" s="20"/>
      <c r="O75" s="24"/>
      <c r="P75" s="524"/>
      <c r="Q75" s="327"/>
      <c r="R75" s="516"/>
      <c r="S75" s="327"/>
      <c r="T75" s="517"/>
      <c r="U75" s="327"/>
      <c r="V75" s="518"/>
      <c r="W75" s="327"/>
      <c r="X75" s="438" t="s">
        <v>303</v>
      </c>
      <c r="Y75" s="326"/>
      <c r="Z75" s="326"/>
      <c r="AA75" s="327"/>
      <c r="AB75" s="519" t="s">
        <v>303</v>
      </c>
      <c r="AC75" s="326"/>
      <c r="AD75" s="326"/>
      <c r="AE75" s="327"/>
      <c r="AF75" s="520"/>
      <c r="AG75" s="327"/>
      <c r="AH75" s="520"/>
      <c r="AI75" s="327"/>
      <c r="AJ75" s="554"/>
      <c r="AK75" s="327"/>
      <c r="AL75" s="556" t="s">
        <v>334</v>
      </c>
      <c r="AM75" s="327"/>
      <c r="AN75" s="553" t="s">
        <v>334</v>
      </c>
      <c r="AO75" s="327"/>
      <c r="AP75" s="554"/>
      <c r="AQ75" s="327"/>
      <c r="AR75" s="555"/>
      <c r="AS75" s="327"/>
      <c r="AT75" s="549"/>
      <c r="AU75" s="327"/>
      <c r="AV75" s="553" t="s">
        <v>334</v>
      </c>
      <c r="AW75" s="327"/>
      <c r="AX75" s="521"/>
      <c r="AY75" s="326"/>
      <c r="AZ75" s="327"/>
      <c r="BA75" s="536"/>
      <c r="BB75" s="327"/>
      <c r="BC75" s="22"/>
      <c r="BD75" s="551" t="s">
        <v>399</v>
      </c>
      <c r="BE75" s="327"/>
      <c r="BF75" s="508"/>
      <c r="BG75" s="326"/>
      <c r="BH75" s="326"/>
      <c r="BI75" s="327"/>
      <c r="BJ75" s="451" t="s">
        <v>303</v>
      </c>
      <c r="BK75" s="326"/>
      <c r="BL75" s="326"/>
      <c r="BM75" s="327"/>
      <c r="BN75" s="558" t="s">
        <v>303</v>
      </c>
      <c r="BO75" s="326"/>
      <c r="BP75" s="326"/>
      <c r="BQ75" s="326"/>
      <c r="BR75" s="326"/>
      <c r="BS75" s="326"/>
      <c r="BT75" s="326"/>
      <c r="BU75" s="326"/>
      <c r="BV75" s="327"/>
    </row>
    <row r="76" spans="1:74" ht="45" customHeight="1" x14ac:dyDescent="0.25">
      <c r="A76" s="10">
        <f t="shared" si="0"/>
        <v>62</v>
      </c>
      <c r="B76" s="559" t="s">
        <v>303</v>
      </c>
      <c r="C76" s="327"/>
      <c r="D76" s="560" t="s">
        <v>307</v>
      </c>
      <c r="E76" s="327"/>
      <c r="F76" s="537" t="s">
        <v>334</v>
      </c>
      <c r="G76" s="327"/>
      <c r="H76" s="561" t="s">
        <v>334</v>
      </c>
      <c r="I76" s="327"/>
      <c r="J76" s="562"/>
      <c r="K76" s="327"/>
      <c r="L76" s="562"/>
      <c r="M76" s="327"/>
      <c r="N76" s="23"/>
      <c r="O76" s="21"/>
      <c r="P76" s="563"/>
      <c r="Q76" s="327"/>
      <c r="R76" s="538"/>
      <c r="S76" s="327"/>
      <c r="T76" s="539"/>
      <c r="U76" s="327"/>
      <c r="V76" s="540"/>
      <c r="W76" s="327"/>
      <c r="X76" s="541" t="s">
        <v>303</v>
      </c>
      <c r="Y76" s="326"/>
      <c r="Z76" s="326"/>
      <c r="AA76" s="327"/>
      <c r="AB76" s="542" t="s">
        <v>303</v>
      </c>
      <c r="AC76" s="326"/>
      <c r="AD76" s="326"/>
      <c r="AE76" s="327"/>
      <c r="AF76" s="543"/>
      <c r="AG76" s="327"/>
      <c r="AH76" s="543"/>
      <c r="AI76" s="327"/>
      <c r="AJ76" s="536"/>
      <c r="AK76" s="327"/>
      <c r="AL76" s="537" t="s">
        <v>334</v>
      </c>
      <c r="AM76" s="327"/>
      <c r="AN76" s="546" t="s">
        <v>334</v>
      </c>
      <c r="AO76" s="327"/>
      <c r="AP76" s="547"/>
      <c r="AQ76" s="327"/>
      <c r="AR76" s="548"/>
      <c r="AS76" s="327"/>
      <c r="AT76" s="549"/>
      <c r="AU76" s="327"/>
      <c r="AV76" s="546" t="s">
        <v>334</v>
      </c>
      <c r="AW76" s="327"/>
      <c r="AX76" s="521"/>
      <c r="AY76" s="326"/>
      <c r="AZ76" s="327"/>
      <c r="BA76" s="550"/>
      <c r="BB76" s="327"/>
      <c r="BC76" s="25"/>
      <c r="BD76" s="544" t="s">
        <v>334</v>
      </c>
      <c r="BE76" s="327"/>
      <c r="BF76" s="545"/>
      <c r="BG76" s="326"/>
      <c r="BH76" s="326"/>
      <c r="BI76" s="327"/>
      <c r="BJ76" s="557" t="s">
        <v>303</v>
      </c>
      <c r="BK76" s="326"/>
      <c r="BL76" s="326"/>
      <c r="BM76" s="327"/>
      <c r="BN76" s="558" t="s">
        <v>303</v>
      </c>
      <c r="BO76" s="326"/>
      <c r="BP76" s="326"/>
      <c r="BQ76" s="326"/>
      <c r="BR76" s="326"/>
      <c r="BS76" s="326"/>
      <c r="BT76" s="326"/>
      <c r="BU76" s="326"/>
      <c r="BV76" s="327"/>
    </row>
    <row r="77" spans="1:74" ht="45" customHeight="1" x14ac:dyDescent="0.25">
      <c r="A77" s="10">
        <f t="shared" si="0"/>
        <v>63</v>
      </c>
      <c r="B77" s="564" t="s">
        <v>303</v>
      </c>
      <c r="C77" s="327"/>
      <c r="D77" s="565" t="s">
        <v>307</v>
      </c>
      <c r="E77" s="327"/>
      <c r="F77" s="537" t="s">
        <v>334</v>
      </c>
      <c r="G77" s="327"/>
      <c r="H77" s="566" t="s">
        <v>334</v>
      </c>
      <c r="I77" s="327"/>
      <c r="J77" s="567"/>
      <c r="K77" s="327"/>
      <c r="L77" s="567"/>
      <c r="M77" s="327"/>
      <c r="N77" s="20"/>
      <c r="O77" s="24"/>
      <c r="P77" s="524"/>
      <c r="Q77" s="327"/>
      <c r="R77" s="516"/>
      <c r="S77" s="327"/>
      <c r="T77" s="517"/>
      <c r="U77" s="327"/>
      <c r="V77" s="518"/>
      <c r="W77" s="327"/>
      <c r="X77" s="438" t="s">
        <v>303</v>
      </c>
      <c r="Y77" s="326"/>
      <c r="Z77" s="326"/>
      <c r="AA77" s="327"/>
      <c r="AB77" s="519" t="s">
        <v>303</v>
      </c>
      <c r="AC77" s="326"/>
      <c r="AD77" s="326"/>
      <c r="AE77" s="327"/>
      <c r="AF77" s="520"/>
      <c r="AG77" s="327"/>
      <c r="AH77" s="520"/>
      <c r="AI77" s="327"/>
      <c r="AJ77" s="554"/>
      <c r="AK77" s="327"/>
      <c r="AL77" s="556" t="s">
        <v>334</v>
      </c>
      <c r="AM77" s="327"/>
      <c r="AN77" s="553" t="s">
        <v>334</v>
      </c>
      <c r="AO77" s="327"/>
      <c r="AP77" s="554"/>
      <c r="AQ77" s="327"/>
      <c r="AR77" s="555"/>
      <c r="AS77" s="327"/>
      <c r="AT77" s="549"/>
      <c r="AU77" s="327"/>
      <c r="AV77" s="553" t="s">
        <v>334</v>
      </c>
      <c r="AW77" s="327"/>
      <c r="AX77" s="521"/>
      <c r="AY77" s="326"/>
      <c r="AZ77" s="327"/>
      <c r="BA77" s="536"/>
      <c r="BB77" s="327"/>
      <c r="BC77" s="22"/>
      <c r="BD77" s="551" t="s">
        <v>399</v>
      </c>
      <c r="BE77" s="327"/>
      <c r="BF77" s="552"/>
      <c r="BG77" s="326"/>
      <c r="BH77" s="326"/>
      <c r="BI77" s="327"/>
      <c r="BJ77" s="451" t="s">
        <v>303</v>
      </c>
      <c r="BK77" s="326"/>
      <c r="BL77" s="326"/>
      <c r="BM77" s="327"/>
      <c r="BN77" s="558" t="s">
        <v>303</v>
      </c>
      <c r="BO77" s="326"/>
      <c r="BP77" s="326"/>
      <c r="BQ77" s="326"/>
      <c r="BR77" s="326"/>
      <c r="BS77" s="326"/>
      <c r="BT77" s="326"/>
      <c r="BU77" s="326"/>
      <c r="BV77" s="327"/>
    </row>
    <row r="78" spans="1:74" ht="45" customHeight="1" x14ac:dyDescent="0.25">
      <c r="A78" s="10">
        <f t="shared" si="0"/>
        <v>64</v>
      </c>
      <c r="B78" s="559" t="s">
        <v>303</v>
      </c>
      <c r="C78" s="327"/>
      <c r="D78" s="560" t="s">
        <v>307</v>
      </c>
      <c r="E78" s="327"/>
      <c r="F78" s="537" t="s">
        <v>334</v>
      </c>
      <c r="G78" s="327"/>
      <c r="H78" s="561" t="s">
        <v>334</v>
      </c>
      <c r="I78" s="327"/>
      <c r="J78" s="562"/>
      <c r="K78" s="327"/>
      <c r="L78" s="562"/>
      <c r="M78" s="327"/>
      <c r="N78" s="23"/>
      <c r="O78" s="21"/>
      <c r="P78" s="563"/>
      <c r="Q78" s="327"/>
      <c r="R78" s="538"/>
      <c r="S78" s="327"/>
      <c r="T78" s="539"/>
      <c r="U78" s="327"/>
      <c r="V78" s="540"/>
      <c r="W78" s="327"/>
      <c r="X78" s="541" t="s">
        <v>303</v>
      </c>
      <c r="Y78" s="326"/>
      <c r="Z78" s="326"/>
      <c r="AA78" s="327"/>
      <c r="AB78" s="542" t="s">
        <v>303</v>
      </c>
      <c r="AC78" s="326"/>
      <c r="AD78" s="326"/>
      <c r="AE78" s="327"/>
      <c r="AF78" s="543"/>
      <c r="AG78" s="327"/>
      <c r="AH78" s="543"/>
      <c r="AI78" s="327"/>
      <c r="AJ78" s="536"/>
      <c r="AK78" s="327"/>
      <c r="AL78" s="537" t="s">
        <v>334</v>
      </c>
      <c r="AM78" s="327"/>
      <c r="AN78" s="546" t="s">
        <v>334</v>
      </c>
      <c r="AO78" s="327"/>
      <c r="AP78" s="547"/>
      <c r="AQ78" s="327"/>
      <c r="AR78" s="548"/>
      <c r="AS78" s="327"/>
      <c r="AT78" s="549"/>
      <c r="AU78" s="327"/>
      <c r="AV78" s="546" t="s">
        <v>334</v>
      </c>
      <c r="AW78" s="327"/>
      <c r="AX78" s="521"/>
      <c r="AY78" s="326"/>
      <c r="AZ78" s="327"/>
      <c r="BA78" s="550"/>
      <c r="BB78" s="327"/>
      <c r="BC78" s="25"/>
      <c r="BD78" s="544" t="s">
        <v>334</v>
      </c>
      <c r="BE78" s="327"/>
      <c r="BF78" s="545"/>
      <c r="BG78" s="326"/>
      <c r="BH78" s="326"/>
      <c r="BI78" s="327"/>
      <c r="BJ78" s="557" t="s">
        <v>303</v>
      </c>
      <c r="BK78" s="326"/>
      <c r="BL78" s="326"/>
      <c r="BM78" s="327"/>
      <c r="BN78" s="558" t="s">
        <v>303</v>
      </c>
      <c r="BO78" s="326"/>
      <c r="BP78" s="326"/>
      <c r="BQ78" s="326"/>
      <c r="BR78" s="326"/>
      <c r="BS78" s="326"/>
      <c r="BT78" s="326"/>
      <c r="BU78" s="326"/>
      <c r="BV78" s="327"/>
    </row>
    <row r="79" spans="1:74" ht="45" customHeight="1" x14ac:dyDescent="0.25">
      <c r="A79" s="10">
        <f t="shared" si="0"/>
        <v>65</v>
      </c>
      <c r="B79" s="564" t="s">
        <v>303</v>
      </c>
      <c r="C79" s="327"/>
      <c r="D79" s="565" t="s">
        <v>307</v>
      </c>
      <c r="E79" s="327"/>
      <c r="F79" s="537" t="s">
        <v>334</v>
      </c>
      <c r="G79" s="327"/>
      <c r="H79" s="566" t="s">
        <v>334</v>
      </c>
      <c r="I79" s="327"/>
      <c r="J79" s="567"/>
      <c r="K79" s="327"/>
      <c r="L79" s="567"/>
      <c r="M79" s="327"/>
      <c r="N79" s="20"/>
      <c r="O79" s="24"/>
      <c r="P79" s="524"/>
      <c r="Q79" s="327"/>
      <c r="R79" s="516"/>
      <c r="S79" s="327"/>
      <c r="T79" s="517"/>
      <c r="U79" s="327"/>
      <c r="V79" s="518"/>
      <c r="W79" s="327"/>
      <c r="X79" s="438" t="s">
        <v>303</v>
      </c>
      <c r="Y79" s="326"/>
      <c r="Z79" s="326"/>
      <c r="AA79" s="327"/>
      <c r="AB79" s="519" t="s">
        <v>303</v>
      </c>
      <c r="AC79" s="326"/>
      <c r="AD79" s="326"/>
      <c r="AE79" s="327"/>
      <c r="AF79" s="520"/>
      <c r="AG79" s="327"/>
      <c r="AH79" s="520"/>
      <c r="AI79" s="327"/>
      <c r="AJ79" s="554"/>
      <c r="AK79" s="327"/>
      <c r="AL79" s="556" t="s">
        <v>334</v>
      </c>
      <c r="AM79" s="327"/>
      <c r="AN79" s="553" t="s">
        <v>334</v>
      </c>
      <c r="AO79" s="327"/>
      <c r="AP79" s="554"/>
      <c r="AQ79" s="327"/>
      <c r="AR79" s="555"/>
      <c r="AS79" s="327"/>
      <c r="AT79" s="549"/>
      <c r="AU79" s="327"/>
      <c r="AV79" s="553" t="s">
        <v>334</v>
      </c>
      <c r="AW79" s="327"/>
      <c r="AX79" s="521"/>
      <c r="AY79" s="326"/>
      <c r="AZ79" s="327"/>
      <c r="BA79" s="536"/>
      <c r="BB79" s="327"/>
      <c r="BC79" s="22"/>
      <c r="BD79" s="551" t="s">
        <v>399</v>
      </c>
      <c r="BE79" s="327"/>
      <c r="BF79" s="508"/>
      <c r="BG79" s="326"/>
      <c r="BH79" s="326"/>
      <c r="BI79" s="327"/>
      <c r="BJ79" s="451" t="s">
        <v>303</v>
      </c>
      <c r="BK79" s="326"/>
      <c r="BL79" s="326"/>
      <c r="BM79" s="327"/>
      <c r="BN79" s="558" t="s">
        <v>303</v>
      </c>
      <c r="BO79" s="326"/>
      <c r="BP79" s="326"/>
      <c r="BQ79" s="326"/>
      <c r="BR79" s="326"/>
      <c r="BS79" s="326"/>
      <c r="BT79" s="326"/>
      <c r="BU79" s="326"/>
      <c r="BV79" s="327"/>
    </row>
    <row r="80" spans="1:74" ht="45" customHeight="1" x14ac:dyDescent="0.25">
      <c r="A80" s="10">
        <f t="shared" si="0"/>
        <v>66</v>
      </c>
      <c r="B80" s="559" t="s">
        <v>303</v>
      </c>
      <c r="C80" s="327"/>
      <c r="D80" s="560" t="s">
        <v>307</v>
      </c>
      <c r="E80" s="327"/>
      <c r="F80" s="537" t="s">
        <v>334</v>
      </c>
      <c r="G80" s="327"/>
      <c r="H80" s="561" t="s">
        <v>334</v>
      </c>
      <c r="I80" s="327"/>
      <c r="J80" s="562"/>
      <c r="K80" s="327"/>
      <c r="L80" s="562"/>
      <c r="M80" s="327"/>
      <c r="N80" s="23"/>
      <c r="O80" s="21"/>
      <c r="P80" s="563"/>
      <c r="Q80" s="327"/>
      <c r="R80" s="538"/>
      <c r="S80" s="327"/>
      <c r="T80" s="539"/>
      <c r="U80" s="327"/>
      <c r="V80" s="540"/>
      <c r="W80" s="327"/>
      <c r="X80" s="541" t="s">
        <v>303</v>
      </c>
      <c r="Y80" s="326"/>
      <c r="Z80" s="326"/>
      <c r="AA80" s="327"/>
      <c r="AB80" s="542" t="s">
        <v>303</v>
      </c>
      <c r="AC80" s="326"/>
      <c r="AD80" s="326"/>
      <c r="AE80" s="327"/>
      <c r="AF80" s="543"/>
      <c r="AG80" s="327"/>
      <c r="AH80" s="543"/>
      <c r="AI80" s="327"/>
      <c r="AJ80" s="536"/>
      <c r="AK80" s="327"/>
      <c r="AL80" s="537" t="s">
        <v>334</v>
      </c>
      <c r="AM80" s="327"/>
      <c r="AN80" s="546" t="s">
        <v>334</v>
      </c>
      <c r="AO80" s="327"/>
      <c r="AP80" s="547"/>
      <c r="AQ80" s="327"/>
      <c r="AR80" s="548"/>
      <c r="AS80" s="327"/>
      <c r="AT80" s="549"/>
      <c r="AU80" s="327"/>
      <c r="AV80" s="546" t="s">
        <v>334</v>
      </c>
      <c r="AW80" s="327"/>
      <c r="AX80" s="521"/>
      <c r="AY80" s="326"/>
      <c r="AZ80" s="327"/>
      <c r="BA80" s="550"/>
      <c r="BB80" s="327"/>
      <c r="BC80" s="25"/>
      <c r="BD80" s="544" t="s">
        <v>334</v>
      </c>
      <c r="BE80" s="327"/>
      <c r="BF80" s="545"/>
      <c r="BG80" s="326"/>
      <c r="BH80" s="326"/>
      <c r="BI80" s="327"/>
      <c r="BJ80" s="557" t="s">
        <v>303</v>
      </c>
      <c r="BK80" s="326"/>
      <c r="BL80" s="326"/>
      <c r="BM80" s="327"/>
      <c r="BN80" s="558" t="s">
        <v>303</v>
      </c>
      <c r="BO80" s="326"/>
      <c r="BP80" s="326"/>
      <c r="BQ80" s="326"/>
      <c r="BR80" s="326"/>
      <c r="BS80" s="326"/>
      <c r="BT80" s="326"/>
      <c r="BU80" s="326"/>
      <c r="BV80" s="327"/>
    </row>
    <row r="81" spans="1:74" ht="45" customHeight="1" x14ac:dyDescent="0.25">
      <c r="A81" s="10">
        <f t="shared" si="0"/>
        <v>67</v>
      </c>
      <c r="B81" s="564" t="s">
        <v>303</v>
      </c>
      <c r="C81" s="327"/>
      <c r="D81" s="565" t="s">
        <v>307</v>
      </c>
      <c r="E81" s="327"/>
      <c r="F81" s="537" t="s">
        <v>334</v>
      </c>
      <c r="G81" s="327"/>
      <c r="H81" s="566" t="s">
        <v>334</v>
      </c>
      <c r="I81" s="327"/>
      <c r="J81" s="567"/>
      <c r="K81" s="327"/>
      <c r="L81" s="567"/>
      <c r="M81" s="327"/>
      <c r="N81" s="20"/>
      <c r="O81" s="24"/>
      <c r="P81" s="524"/>
      <c r="Q81" s="327"/>
      <c r="R81" s="516"/>
      <c r="S81" s="327"/>
      <c r="T81" s="517"/>
      <c r="U81" s="327"/>
      <c r="V81" s="518"/>
      <c r="W81" s="327"/>
      <c r="X81" s="438" t="s">
        <v>303</v>
      </c>
      <c r="Y81" s="326"/>
      <c r="Z81" s="326"/>
      <c r="AA81" s="327"/>
      <c r="AB81" s="519" t="s">
        <v>303</v>
      </c>
      <c r="AC81" s="326"/>
      <c r="AD81" s="326"/>
      <c r="AE81" s="327"/>
      <c r="AF81" s="520"/>
      <c r="AG81" s="327"/>
      <c r="AH81" s="520"/>
      <c r="AI81" s="327"/>
      <c r="AJ81" s="554"/>
      <c r="AK81" s="327"/>
      <c r="AL81" s="556" t="s">
        <v>334</v>
      </c>
      <c r="AM81" s="327"/>
      <c r="AN81" s="553" t="s">
        <v>334</v>
      </c>
      <c r="AO81" s="327"/>
      <c r="AP81" s="554"/>
      <c r="AQ81" s="327"/>
      <c r="AR81" s="555"/>
      <c r="AS81" s="327"/>
      <c r="AT81" s="549"/>
      <c r="AU81" s="327"/>
      <c r="AV81" s="553" t="s">
        <v>334</v>
      </c>
      <c r="AW81" s="327"/>
      <c r="AX81" s="521"/>
      <c r="AY81" s="326"/>
      <c r="AZ81" s="327"/>
      <c r="BA81" s="536"/>
      <c r="BB81" s="327"/>
      <c r="BC81" s="22"/>
      <c r="BD81" s="551" t="s">
        <v>399</v>
      </c>
      <c r="BE81" s="327"/>
      <c r="BF81" s="552"/>
      <c r="BG81" s="326"/>
      <c r="BH81" s="326"/>
      <c r="BI81" s="327"/>
      <c r="BJ81" s="451" t="s">
        <v>303</v>
      </c>
      <c r="BK81" s="326"/>
      <c r="BL81" s="326"/>
      <c r="BM81" s="327"/>
      <c r="BN81" s="558" t="s">
        <v>303</v>
      </c>
      <c r="BO81" s="326"/>
      <c r="BP81" s="326"/>
      <c r="BQ81" s="326"/>
      <c r="BR81" s="326"/>
      <c r="BS81" s="326"/>
      <c r="BT81" s="326"/>
      <c r="BU81" s="326"/>
      <c r="BV81" s="327"/>
    </row>
    <row r="82" spans="1:74" ht="45" customHeight="1" x14ac:dyDescent="0.25">
      <c r="A82" s="10">
        <f t="shared" si="0"/>
        <v>68</v>
      </c>
      <c r="B82" s="559" t="s">
        <v>303</v>
      </c>
      <c r="C82" s="327"/>
      <c r="D82" s="560" t="s">
        <v>307</v>
      </c>
      <c r="E82" s="327"/>
      <c r="F82" s="537" t="s">
        <v>334</v>
      </c>
      <c r="G82" s="327"/>
      <c r="H82" s="561" t="s">
        <v>334</v>
      </c>
      <c r="I82" s="327"/>
      <c r="J82" s="562"/>
      <c r="K82" s="327"/>
      <c r="L82" s="562"/>
      <c r="M82" s="327"/>
      <c r="N82" s="23"/>
      <c r="O82" s="21"/>
      <c r="P82" s="563"/>
      <c r="Q82" s="327"/>
      <c r="R82" s="538"/>
      <c r="S82" s="327"/>
      <c r="T82" s="539"/>
      <c r="U82" s="327"/>
      <c r="V82" s="540"/>
      <c r="W82" s="327"/>
      <c r="X82" s="541" t="s">
        <v>303</v>
      </c>
      <c r="Y82" s="326"/>
      <c r="Z82" s="326"/>
      <c r="AA82" s="327"/>
      <c r="AB82" s="542" t="s">
        <v>303</v>
      </c>
      <c r="AC82" s="326"/>
      <c r="AD82" s="326"/>
      <c r="AE82" s="327"/>
      <c r="AF82" s="543"/>
      <c r="AG82" s="327"/>
      <c r="AH82" s="543"/>
      <c r="AI82" s="327"/>
      <c r="AJ82" s="536"/>
      <c r="AK82" s="327"/>
      <c r="AL82" s="537" t="s">
        <v>334</v>
      </c>
      <c r="AM82" s="327"/>
      <c r="AN82" s="546" t="s">
        <v>334</v>
      </c>
      <c r="AO82" s="327"/>
      <c r="AP82" s="547"/>
      <c r="AQ82" s="327"/>
      <c r="AR82" s="548"/>
      <c r="AS82" s="327"/>
      <c r="AT82" s="549"/>
      <c r="AU82" s="327"/>
      <c r="AV82" s="546" t="s">
        <v>334</v>
      </c>
      <c r="AW82" s="327"/>
      <c r="AX82" s="521"/>
      <c r="AY82" s="326"/>
      <c r="AZ82" s="327"/>
      <c r="BA82" s="550"/>
      <c r="BB82" s="327"/>
      <c r="BC82" s="25"/>
      <c r="BD82" s="544" t="s">
        <v>334</v>
      </c>
      <c r="BE82" s="327"/>
      <c r="BF82" s="545"/>
      <c r="BG82" s="326"/>
      <c r="BH82" s="326"/>
      <c r="BI82" s="327"/>
      <c r="BJ82" s="557" t="s">
        <v>303</v>
      </c>
      <c r="BK82" s="326"/>
      <c r="BL82" s="326"/>
      <c r="BM82" s="327"/>
      <c r="BN82" s="558" t="s">
        <v>303</v>
      </c>
      <c r="BO82" s="326"/>
      <c r="BP82" s="326"/>
      <c r="BQ82" s="326"/>
      <c r="BR82" s="326"/>
      <c r="BS82" s="326"/>
      <c r="BT82" s="326"/>
      <c r="BU82" s="326"/>
      <c r="BV82" s="327"/>
    </row>
    <row r="83" spans="1:74" ht="45" customHeight="1" x14ac:dyDescent="0.25">
      <c r="A83" s="10">
        <f t="shared" si="0"/>
        <v>69</v>
      </c>
      <c r="B83" s="564" t="s">
        <v>303</v>
      </c>
      <c r="C83" s="327"/>
      <c r="D83" s="565" t="s">
        <v>307</v>
      </c>
      <c r="E83" s="327"/>
      <c r="F83" s="537" t="s">
        <v>334</v>
      </c>
      <c r="G83" s="327"/>
      <c r="H83" s="566" t="s">
        <v>334</v>
      </c>
      <c r="I83" s="327"/>
      <c r="J83" s="567"/>
      <c r="K83" s="327"/>
      <c r="L83" s="567"/>
      <c r="M83" s="327"/>
      <c r="N83" s="20"/>
      <c r="O83" s="24"/>
      <c r="P83" s="524"/>
      <c r="Q83" s="327"/>
      <c r="R83" s="516"/>
      <c r="S83" s="327"/>
      <c r="T83" s="517"/>
      <c r="U83" s="327"/>
      <c r="V83" s="518"/>
      <c r="W83" s="327"/>
      <c r="X83" s="438" t="s">
        <v>303</v>
      </c>
      <c r="Y83" s="326"/>
      <c r="Z83" s="326"/>
      <c r="AA83" s="327"/>
      <c r="AB83" s="519" t="s">
        <v>303</v>
      </c>
      <c r="AC83" s="326"/>
      <c r="AD83" s="326"/>
      <c r="AE83" s="327"/>
      <c r="AF83" s="520"/>
      <c r="AG83" s="327"/>
      <c r="AH83" s="520"/>
      <c r="AI83" s="327"/>
      <c r="AJ83" s="554"/>
      <c r="AK83" s="327"/>
      <c r="AL83" s="556" t="s">
        <v>334</v>
      </c>
      <c r="AM83" s="327"/>
      <c r="AN83" s="553" t="s">
        <v>334</v>
      </c>
      <c r="AO83" s="327"/>
      <c r="AP83" s="554"/>
      <c r="AQ83" s="327"/>
      <c r="AR83" s="555"/>
      <c r="AS83" s="327"/>
      <c r="AT83" s="549"/>
      <c r="AU83" s="327"/>
      <c r="AV83" s="553" t="s">
        <v>334</v>
      </c>
      <c r="AW83" s="327"/>
      <c r="AX83" s="521"/>
      <c r="AY83" s="326"/>
      <c r="AZ83" s="327"/>
      <c r="BA83" s="536"/>
      <c r="BB83" s="327"/>
      <c r="BC83" s="22"/>
      <c r="BD83" s="551" t="s">
        <v>334</v>
      </c>
      <c r="BE83" s="327"/>
      <c r="BF83" s="508"/>
      <c r="BG83" s="326"/>
      <c r="BH83" s="326"/>
      <c r="BI83" s="327"/>
      <c r="BJ83" s="451" t="s">
        <v>303</v>
      </c>
      <c r="BK83" s="326"/>
      <c r="BL83" s="326"/>
      <c r="BM83" s="327"/>
      <c r="BN83" s="558" t="s">
        <v>303</v>
      </c>
      <c r="BO83" s="326"/>
      <c r="BP83" s="326"/>
      <c r="BQ83" s="326"/>
      <c r="BR83" s="326"/>
      <c r="BS83" s="326"/>
      <c r="BT83" s="326"/>
      <c r="BU83" s="326"/>
      <c r="BV83" s="327"/>
    </row>
    <row r="84" spans="1:74" ht="45" customHeight="1" x14ac:dyDescent="0.25">
      <c r="A84" s="10">
        <f t="shared" si="0"/>
        <v>70</v>
      </c>
      <c r="B84" s="559" t="s">
        <v>303</v>
      </c>
      <c r="C84" s="327"/>
      <c r="D84" s="560" t="s">
        <v>307</v>
      </c>
      <c r="E84" s="327"/>
      <c r="F84" s="537" t="s">
        <v>334</v>
      </c>
      <c r="G84" s="327"/>
      <c r="H84" s="561" t="s">
        <v>334</v>
      </c>
      <c r="I84" s="327"/>
      <c r="J84" s="562"/>
      <c r="K84" s="327"/>
      <c r="L84" s="562"/>
      <c r="M84" s="327"/>
      <c r="N84" s="23"/>
      <c r="O84" s="21"/>
      <c r="P84" s="563"/>
      <c r="Q84" s="327"/>
      <c r="R84" s="538"/>
      <c r="S84" s="327"/>
      <c r="T84" s="539"/>
      <c r="U84" s="327"/>
      <c r="V84" s="540"/>
      <c r="W84" s="327"/>
      <c r="X84" s="541" t="s">
        <v>303</v>
      </c>
      <c r="Y84" s="326"/>
      <c r="Z84" s="326"/>
      <c r="AA84" s="327"/>
      <c r="AB84" s="542" t="s">
        <v>303</v>
      </c>
      <c r="AC84" s="326"/>
      <c r="AD84" s="326"/>
      <c r="AE84" s="327"/>
      <c r="AF84" s="543"/>
      <c r="AG84" s="327"/>
      <c r="AH84" s="543"/>
      <c r="AI84" s="327"/>
      <c r="AJ84" s="536"/>
      <c r="AK84" s="327"/>
      <c r="AL84" s="537" t="s">
        <v>334</v>
      </c>
      <c r="AM84" s="327"/>
      <c r="AN84" s="546" t="s">
        <v>334</v>
      </c>
      <c r="AO84" s="327"/>
      <c r="AP84" s="547"/>
      <c r="AQ84" s="327"/>
      <c r="AR84" s="548"/>
      <c r="AS84" s="327"/>
      <c r="AT84" s="549"/>
      <c r="AU84" s="327"/>
      <c r="AV84" s="546" t="s">
        <v>334</v>
      </c>
      <c r="AW84" s="327"/>
      <c r="AX84" s="521"/>
      <c r="AY84" s="326"/>
      <c r="AZ84" s="327"/>
      <c r="BA84" s="550"/>
      <c r="BB84" s="327"/>
      <c r="BC84" s="25"/>
      <c r="BD84" s="544" t="s">
        <v>334</v>
      </c>
      <c r="BE84" s="327"/>
      <c r="BF84" s="545"/>
      <c r="BG84" s="326"/>
      <c r="BH84" s="326"/>
      <c r="BI84" s="327"/>
      <c r="BJ84" s="557" t="s">
        <v>303</v>
      </c>
      <c r="BK84" s="326"/>
      <c r="BL84" s="326"/>
      <c r="BM84" s="327"/>
      <c r="BN84" s="558" t="s">
        <v>303</v>
      </c>
      <c r="BO84" s="326"/>
      <c r="BP84" s="326"/>
      <c r="BQ84" s="326"/>
      <c r="BR84" s="326"/>
      <c r="BS84" s="326"/>
      <c r="BT84" s="326"/>
      <c r="BU84" s="326"/>
      <c r="BV84" s="327"/>
    </row>
    <row r="85" spans="1:74" ht="45" customHeight="1" x14ac:dyDescent="0.25">
      <c r="A85" s="10">
        <f t="shared" si="0"/>
        <v>71</v>
      </c>
      <c r="B85" s="564" t="s">
        <v>303</v>
      </c>
      <c r="C85" s="327"/>
      <c r="D85" s="565" t="s">
        <v>307</v>
      </c>
      <c r="E85" s="327"/>
      <c r="F85" s="537" t="s">
        <v>334</v>
      </c>
      <c r="G85" s="327"/>
      <c r="H85" s="566" t="s">
        <v>334</v>
      </c>
      <c r="I85" s="327"/>
      <c r="J85" s="567"/>
      <c r="K85" s="327"/>
      <c r="L85" s="567"/>
      <c r="M85" s="327"/>
      <c r="N85" s="20"/>
      <c r="O85" s="24"/>
      <c r="P85" s="524"/>
      <c r="Q85" s="327"/>
      <c r="R85" s="516"/>
      <c r="S85" s="327"/>
      <c r="T85" s="517"/>
      <c r="U85" s="327"/>
      <c r="V85" s="518"/>
      <c r="W85" s="327"/>
      <c r="X85" s="438" t="s">
        <v>303</v>
      </c>
      <c r="Y85" s="326"/>
      <c r="Z85" s="326"/>
      <c r="AA85" s="327"/>
      <c r="AB85" s="519" t="s">
        <v>303</v>
      </c>
      <c r="AC85" s="326"/>
      <c r="AD85" s="326"/>
      <c r="AE85" s="327"/>
      <c r="AF85" s="520"/>
      <c r="AG85" s="327"/>
      <c r="AH85" s="520"/>
      <c r="AI85" s="327"/>
      <c r="AJ85" s="554"/>
      <c r="AK85" s="327"/>
      <c r="AL85" s="556" t="s">
        <v>334</v>
      </c>
      <c r="AM85" s="327"/>
      <c r="AN85" s="553" t="s">
        <v>334</v>
      </c>
      <c r="AO85" s="327"/>
      <c r="AP85" s="554"/>
      <c r="AQ85" s="327"/>
      <c r="AR85" s="555"/>
      <c r="AS85" s="327"/>
      <c r="AT85" s="549"/>
      <c r="AU85" s="327"/>
      <c r="AV85" s="553" t="s">
        <v>334</v>
      </c>
      <c r="AW85" s="327"/>
      <c r="AX85" s="521"/>
      <c r="AY85" s="326"/>
      <c r="AZ85" s="327"/>
      <c r="BA85" s="536"/>
      <c r="BB85" s="327"/>
      <c r="BC85" s="22"/>
      <c r="BD85" s="551" t="s">
        <v>334</v>
      </c>
      <c r="BE85" s="327"/>
      <c r="BF85" s="508"/>
      <c r="BG85" s="326"/>
      <c r="BH85" s="326"/>
      <c r="BI85" s="327"/>
      <c r="BJ85" s="451" t="s">
        <v>303</v>
      </c>
      <c r="BK85" s="326"/>
      <c r="BL85" s="326"/>
      <c r="BM85" s="327"/>
      <c r="BN85" s="558" t="s">
        <v>303</v>
      </c>
      <c r="BO85" s="326"/>
      <c r="BP85" s="326"/>
      <c r="BQ85" s="326"/>
      <c r="BR85" s="326"/>
      <c r="BS85" s="326"/>
      <c r="BT85" s="326"/>
      <c r="BU85" s="326"/>
      <c r="BV85" s="327"/>
    </row>
    <row r="86" spans="1:74" ht="45" customHeight="1" x14ac:dyDescent="0.25">
      <c r="A86" s="10">
        <f t="shared" si="0"/>
        <v>72</v>
      </c>
      <c r="B86" s="559" t="s">
        <v>303</v>
      </c>
      <c r="C86" s="327"/>
      <c r="D86" s="560" t="s">
        <v>307</v>
      </c>
      <c r="E86" s="327"/>
      <c r="F86" s="537" t="s">
        <v>334</v>
      </c>
      <c r="G86" s="327"/>
      <c r="H86" s="561" t="s">
        <v>334</v>
      </c>
      <c r="I86" s="327"/>
      <c r="J86" s="562"/>
      <c r="K86" s="327"/>
      <c r="L86" s="562"/>
      <c r="M86" s="327"/>
      <c r="N86" s="23"/>
      <c r="O86" s="21"/>
      <c r="P86" s="563"/>
      <c r="Q86" s="327"/>
      <c r="R86" s="538"/>
      <c r="S86" s="327"/>
      <c r="T86" s="539"/>
      <c r="U86" s="327"/>
      <c r="V86" s="540"/>
      <c r="W86" s="327"/>
      <c r="X86" s="541" t="s">
        <v>303</v>
      </c>
      <c r="Y86" s="326"/>
      <c r="Z86" s="326"/>
      <c r="AA86" s="327"/>
      <c r="AB86" s="542" t="s">
        <v>303</v>
      </c>
      <c r="AC86" s="326"/>
      <c r="AD86" s="326"/>
      <c r="AE86" s="327"/>
      <c r="AF86" s="543"/>
      <c r="AG86" s="327"/>
      <c r="AH86" s="543"/>
      <c r="AI86" s="327"/>
      <c r="AJ86" s="536"/>
      <c r="AK86" s="327"/>
      <c r="AL86" s="537" t="s">
        <v>334</v>
      </c>
      <c r="AM86" s="327"/>
      <c r="AN86" s="546" t="s">
        <v>334</v>
      </c>
      <c r="AO86" s="327"/>
      <c r="AP86" s="547"/>
      <c r="AQ86" s="327"/>
      <c r="AR86" s="548"/>
      <c r="AS86" s="327"/>
      <c r="AT86" s="549"/>
      <c r="AU86" s="327"/>
      <c r="AV86" s="546" t="s">
        <v>334</v>
      </c>
      <c r="AW86" s="327"/>
      <c r="AX86" s="521"/>
      <c r="AY86" s="326"/>
      <c r="AZ86" s="327"/>
      <c r="BA86" s="550"/>
      <c r="BB86" s="327"/>
      <c r="BC86" s="25"/>
      <c r="BD86" s="544" t="s">
        <v>334</v>
      </c>
      <c r="BE86" s="327"/>
      <c r="BF86" s="545"/>
      <c r="BG86" s="326"/>
      <c r="BH86" s="326"/>
      <c r="BI86" s="327"/>
      <c r="BJ86" s="557" t="s">
        <v>303</v>
      </c>
      <c r="BK86" s="326"/>
      <c r="BL86" s="326"/>
      <c r="BM86" s="327"/>
      <c r="BN86" s="558" t="s">
        <v>303</v>
      </c>
      <c r="BO86" s="326"/>
      <c r="BP86" s="326"/>
      <c r="BQ86" s="326"/>
      <c r="BR86" s="326"/>
      <c r="BS86" s="326"/>
      <c r="BT86" s="326"/>
      <c r="BU86" s="326"/>
      <c r="BV86" s="327"/>
    </row>
    <row r="87" spans="1:74" ht="45" customHeight="1" x14ac:dyDescent="0.25">
      <c r="A87" s="10">
        <f t="shared" si="0"/>
        <v>73</v>
      </c>
      <c r="B87" s="564" t="s">
        <v>303</v>
      </c>
      <c r="C87" s="327"/>
      <c r="D87" s="565" t="s">
        <v>307</v>
      </c>
      <c r="E87" s="327"/>
      <c r="F87" s="537" t="s">
        <v>334</v>
      </c>
      <c r="G87" s="327"/>
      <c r="H87" s="566" t="s">
        <v>334</v>
      </c>
      <c r="I87" s="327"/>
      <c r="J87" s="567"/>
      <c r="K87" s="327"/>
      <c r="L87" s="567"/>
      <c r="M87" s="327"/>
      <c r="N87" s="20"/>
      <c r="O87" s="24"/>
      <c r="P87" s="524"/>
      <c r="Q87" s="327"/>
      <c r="R87" s="516"/>
      <c r="S87" s="327"/>
      <c r="T87" s="517"/>
      <c r="U87" s="327"/>
      <c r="V87" s="518"/>
      <c r="W87" s="327"/>
      <c r="X87" s="438" t="s">
        <v>303</v>
      </c>
      <c r="Y87" s="326"/>
      <c r="Z87" s="326"/>
      <c r="AA87" s="327"/>
      <c r="AB87" s="519" t="s">
        <v>303</v>
      </c>
      <c r="AC87" s="326"/>
      <c r="AD87" s="326"/>
      <c r="AE87" s="327"/>
      <c r="AF87" s="520"/>
      <c r="AG87" s="327"/>
      <c r="AH87" s="520"/>
      <c r="AI87" s="327"/>
      <c r="AJ87" s="554"/>
      <c r="AK87" s="327"/>
      <c r="AL87" s="556" t="s">
        <v>334</v>
      </c>
      <c r="AM87" s="327"/>
      <c r="AN87" s="553" t="s">
        <v>334</v>
      </c>
      <c r="AO87" s="327"/>
      <c r="AP87" s="554"/>
      <c r="AQ87" s="327"/>
      <c r="AR87" s="555"/>
      <c r="AS87" s="327"/>
      <c r="AT87" s="549"/>
      <c r="AU87" s="327"/>
      <c r="AV87" s="553" t="s">
        <v>334</v>
      </c>
      <c r="AW87" s="327"/>
      <c r="AX87" s="521"/>
      <c r="AY87" s="326"/>
      <c r="AZ87" s="327"/>
      <c r="BA87" s="536"/>
      <c r="BB87" s="327"/>
      <c r="BC87" s="22"/>
      <c r="BD87" s="551" t="s">
        <v>334</v>
      </c>
      <c r="BE87" s="327"/>
      <c r="BF87" s="552"/>
      <c r="BG87" s="326"/>
      <c r="BH87" s="326"/>
      <c r="BI87" s="327"/>
      <c r="BJ87" s="451" t="s">
        <v>303</v>
      </c>
      <c r="BK87" s="326"/>
      <c r="BL87" s="326"/>
      <c r="BM87" s="327"/>
      <c r="BN87" s="558" t="s">
        <v>303</v>
      </c>
      <c r="BO87" s="326"/>
      <c r="BP87" s="326"/>
      <c r="BQ87" s="326"/>
      <c r="BR87" s="326"/>
      <c r="BS87" s="326"/>
      <c r="BT87" s="326"/>
      <c r="BU87" s="326"/>
      <c r="BV87" s="327"/>
    </row>
    <row r="88" spans="1:74" ht="45" customHeight="1" x14ac:dyDescent="0.25">
      <c r="A88" s="10">
        <f t="shared" si="0"/>
        <v>74</v>
      </c>
      <c r="B88" s="559" t="s">
        <v>303</v>
      </c>
      <c r="C88" s="327"/>
      <c r="D88" s="560" t="s">
        <v>307</v>
      </c>
      <c r="E88" s="327"/>
      <c r="F88" s="537" t="s">
        <v>334</v>
      </c>
      <c r="G88" s="327"/>
      <c r="H88" s="561" t="s">
        <v>334</v>
      </c>
      <c r="I88" s="327"/>
      <c r="J88" s="562"/>
      <c r="K88" s="327"/>
      <c r="L88" s="562"/>
      <c r="M88" s="327"/>
      <c r="N88" s="23"/>
      <c r="O88" s="21"/>
      <c r="P88" s="563"/>
      <c r="Q88" s="327"/>
      <c r="R88" s="538"/>
      <c r="S88" s="327"/>
      <c r="T88" s="539"/>
      <c r="U88" s="327"/>
      <c r="V88" s="540"/>
      <c r="W88" s="327"/>
      <c r="X88" s="541" t="s">
        <v>303</v>
      </c>
      <c r="Y88" s="326"/>
      <c r="Z88" s="326"/>
      <c r="AA88" s="327"/>
      <c r="AB88" s="542" t="s">
        <v>303</v>
      </c>
      <c r="AC88" s="326"/>
      <c r="AD88" s="326"/>
      <c r="AE88" s="327"/>
      <c r="AF88" s="543"/>
      <c r="AG88" s="327"/>
      <c r="AH88" s="543"/>
      <c r="AI88" s="327"/>
      <c r="AJ88" s="536"/>
      <c r="AK88" s="327"/>
      <c r="AL88" s="537" t="s">
        <v>334</v>
      </c>
      <c r="AM88" s="327"/>
      <c r="AN88" s="546" t="s">
        <v>334</v>
      </c>
      <c r="AO88" s="327"/>
      <c r="AP88" s="547"/>
      <c r="AQ88" s="327"/>
      <c r="AR88" s="548"/>
      <c r="AS88" s="327"/>
      <c r="AT88" s="549"/>
      <c r="AU88" s="327"/>
      <c r="AV88" s="546" t="s">
        <v>334</v>
      </c>
      <c r="AW88" s="327"/>
      <c r="AX88" s="521"/>
      <c r="AY88" s="326"/>
      <c r="AZ88" s="327"/>
      <c r="BA88" s="550"/>
      <c r="BB88" s="327"/>
      <c r="BC88" s="25"/>
      <c r="BD88" s="544" t="s">
        <v>334</v>
      </c>
      <c r="BE88" s="327"/>
      <c r="BF88" s="545"/>
      <c r="BG88" s="326"/>
      <c r="BH88" s="326"/>
      <c r="BI88" s="327"/>
      <c r="BJ88" s="557" t="s">
        <v>303</v>
      </c>
      <c r="BK88" s="326"/>
      <c r="BL88" s="326"/>
      <c r="BM88" s="327"/>
      <c r="BN88" s="558" t="s">
        <v>303</v>
      </c>
      <c r="BO88" s="326"/>
      <c r="BP88" s="326"/>
      <c r="BQ88" s="326"/>
      <c r="BR88" s="326"/>
      <c r="BS88" s="326"/>
      <c r="BT88" s="326"/>
      <c r="BU88" s="326"/>
      <c r="BV88" s="327"/>
    </row>
    <row r="89" spans="1:74" ht="45" customHeight="1" x14ac:dyDescent="0.25">
      <c r="A89" s="10">
        <f t="shared" si="0"/>
        <v>75</v>
      </c>
      <c r="B89" s="564" t="s">
        <v>303</v>
      </c>
      <c r="C89" s="327"/>
      <c r="D89" s="565" t="s">
        <v>307</v>
      </c>
      <c r="E89" s="327"/>
      <c r="F89" s="537" t="s">
        <v>334</v>
      </c>
      <c r="G89" s="327"/>
      <c r="H89" s="566" t="s">
        <v>334</v>
      </c>
      <c r="I89" s="327"/>
      <c r="J89" s="567"/>
      <c r="K89" s="327"/>
      <c r="L89" s="567"/>
      <c r="M89" s="327"/>
      <c r="N89" s="20"/>
      <c r="O89" s="24"/>
      <c r="P89" s="524"/>
      <c r="Q89" s="327"/>
      <c r="R89" s="516"/>
      <c r="S89" s="327"/>
      <c r="T89" s="517"/>
      <c r="U89" s="327"/>
      <c r="V89" s="518"/>
      <c r="W89" s="327"/>
      <c r="X89" s="438" t="s">
        <v>303</v>
      </c>
      <c r="Y89" s="326"/>
      <c r="Z89" s="326"/>
      <c r="AA89" s="327"/>
      <c r="AB89" s="519" t="s">
        <v>303</v>
      </c>
      <c r="AC89" s="326"/>
      <c r="AD89" s="326"/>
      <c r="AE89" s="327"/>
      <c r="AF89" s="520"/>
      <c r="AG89" s="327"/>
      <c r="AH89" s="520"/>
      <c r="AI89" s="327"/>
      <c r="AJ89" s="554"/>
      <c r="AK89" s="327"/>
      <c r="AL89" s="556" t="s">
        <v>334</v>
      </c>
      <c r="AM89" s="327"/>
      <c r="AN89" s="553" t="s">
        <v>334</v>
      </c>
      <c r="AO89" s="327"/>
      <c r="AP89" s="554"/>
      <c r="AQ89" s="327"/>
      <c r="AR89" s="555"/>
      <c r="AS89" s="327"/>
      <c r="AT89" s="549"/>
      <c r="AU89" s="327"/>
      <c r="AV89" s="553" t="s">
        <v>334</v>
      </c>
      <c r="AW89" s="327"/>
      <c r="AX89" s="521"/>
      <c r="AY89" s="326"/>
      <c r="AZ89" s="327"/>
      <c r="BA89" s="536"/>
      <c r="BB89" s="327"/>
      <c r="BC89" s="22"/>
      <c r="BD89" s="551" t="s">
        <v>334</v>
      </c>
      <c r="BE89" s="327"/>
      <c r="BF89" s="508"/>
      <c r="BG89" s="326"/>
      <c r="BH89" s="326"/>
      <c r="BI89" s="327"/>
      <c r="BJ89" s="451" t="s">
        <v>303</v>
      </c>
      <c r="BK89" s="326"/>
      <c r="BL89" s="326"/>
      <c r="BM89" s="327"/>
      <c r="BN89" s="558" t="s">
        <v>303</v>
      </c>
      <c r="BO89" s="326"/>
      <c r="BP89" s="326"/>
      <c r="BQ89" s="326"/>
      <c r="BR89" s="326"/>
      <c r="BS89" s="326"/>
      <c r="BT89" s="326"/>
      <c r="BU89" s="326"/>
      <c r="BV89" s="327"/>
    </row>
    <row r="90" spans="1:74" ht="45" customHeight="1" x14ac:dyDescent="0.25">
      <c r="A90" s="10">
        <f t="shared" si="0"/>
        <v>76</v>
      </c>
      <c r="B90" s="559" t="s">
        <v>303</v>
      </c>
      <c r="C90" s="327"/>
      <c r="D90" s="560" t="s">
        <v>307</v>
      </c>
      <c r="E90" s="327"/>
      <c r="F90" s="537" t="s">
        <v>334</v>
      </c>
      <c r="G90" s="327"/>
      <c r="H90" s="561" t="s">
        <v>334</v>
      </c>
      <c r="I90" s="327"/>
      <c r="J90" s="562"/>
      <c r="K90" s="327"/>
      <c r="L90" s="562"/>
      <c r="M90" s="327"/>
      <c r="N90" s="23"/>
      <c r="O90" s="21"/>
      <c r="P90" s="563"/>
      <c r="Q90" s="327"/>
      <c r="R90" s="538"/>
      <c r="S90" s="327"/>
      <c r="T90" s="539"/>
      <c r="U90" s="327"/>
      <c r="V90" s="540"/>
      <c r="W90" s="327"/>
      <c r="X90" s="541" t="s">
        <v>303</v>
      </c>
      <c r="Y90" s="326"/>
      <c r="Z90" s="326"/>
      <c r="AA90" s="327"/>
      <c r="AB90" s="542" t="s">
        <v>303</v>
      </c>
      <c r="AC90" s="326"/>
      <c r="AD90" s="326"/>
      <c r="AE90" s="327"/>
      <c r="AF90" s="543"/>
      <c r="AG90" s="327"/>
      <c r="AH90" s="543"/>
      <c r="AI90" s="327"/>
      <c r="AJ90" s="536"/>
      <c r="AK90" s="327"/>
      <c r="AL90" s="537" t="s">
        <v>334</v>
      </c>
      <c r="AM90" s="327"/>
      <c r="AN90" s="546" t="s">
        <v>334</v>
      </c>
      <c r="AO90" s="327"/>
      <c r="AP90" s="547"/>
      <c r="AQ90" s="327"/>
      <c r="AR90" s="548"/>
      <c r="AS90" s="327"/>
      <c r="AT90" s="549"/>
      <c r="AU90" s="327"/>
      <c r="AV90" s="546" t="s">
        <v>334</v>
      </c>
      <c r="AW90" s="327"/>
      <c r="AX90" s="521"/>
      <c r="AY90" s="326"/>
      <c r="AZ90" s="327"/>
      <c r="BA90" s="550"/>
      <c r="BB90" s="327"/>
      <c r="BC90" s="25"/>
      <c r="BD90" s="544" t="s">
        <v>334</v>
      </c>
      <c r="BE90" s="327"/>
      <c r="BF90" s="545"/>
      <c r="BG90" s="326"/>
      <c r="BH90" s="326"/>
      <c r="BI90" s="327"/>
      <c r="BJ90" s="557" t="s">
        <v>303</v>
      </c>
      <c r="BK90" s="326"/>
      <c r="BL90" s="326"/>
      <c r="BM90" s="327"/>
      <c r="BN90" s="558" t="s">
        <v>303</v>
      </c>
      <c r="BO90" s="326"/>
      <c r="BP90" s="326"/>
      <c r="BQ90" s="326"/>
      <c r="BR90" s="326"/>
      <c r="BS90" s="326"/>
      <c r="BT90" s="326"/>
      <c r="BU90" s="326"/>
      <c r="BV90" s="327"/>
    </row>
    <row r="91" spans="1:74" ht="45" customHeight="1" x14ac:dyDescent="0.25">
      <c r="A91" s="10">
        <f t="shared" si="0"/>
        <v>77</v>
      </c>
      <c r="B91" s="564" t="s">
        <v>303</v>
      </c>
      <c r="C91" s="327"/>
      <c r="D91" s="565" t="s">
        <v>307</v>
      </c>
      <c r="E91" s="327"/>
      <c r="F91" s="537" t="s">
        <v>334</v>
      </c>
      <c r="G91" s="327"/>
      <c r="H91" s="566" t="s">
        <v>334</v>
      </c>
      <c r="I91" s="327"/>
      <c r="J91" s="567"/>
      <c r="K91" s="327"/>
      <c r="L91" s="567"/>
      <c r="M91" s="327"/>
      <c r="N91" s="20"/>
      <c r="O91" s="24"/>
      <c r="P91" s="524"/>
      <c r="Q91" s="327"/>
      <c r="R91" s="516"/>
      <c r="S91" s="327"/>
      <c r="T91" s="517"/>
      <c r="U91" s="327"/>
      <c r="V91" s="518"/>
      <c r="W91" s="327"/>
      <c r="X91" s="438" t="s">
        <v>303</v>
      </c>
      <c r="Y91" s="326"/>
      <c r="Z91" s="326"/>
      <c r="AA91" s="327"/>
      <c r="AB91" s="519" t="s">
        <v>303</v>
      </c>
      <c r="AC91" s="326"/>
      <c r="AD91" s="326"/>
      <c r="AE91" s="327"/>
      <c r="AF91" s="520"/>
      <c r="AG91" s="327"/>
      <c r="AH91" s="520"/>
      <c r="AI91" s="327"/>
      <c r="AJ91" s="554"/>
      <c r="AK91" s="327"/>
      <c r="AL91" s="556" t="s">
        <v>334</v>
      </c>
      <c r="AM91" s="327"/>
      <c r="AN91" s="553" t="s">
        <v>334</v>
      </c>
      <c r="AO91" s="327"/>
      <c r="AP91" s="554"/>
      <c r="AQ91" s="327"/>
      <c r="AR91" s="555"/>
      <c r="AS91" s="327"/>
      <c r="AT91" s="549"/>
      <c r="AU91" s="327"/>
      <c r="AV91" s="553" t="s">
        <v>334</v>
      </c>
      <c r="AW91" s="327"/>
      <c r="AX91" s="521"/>
      <c r="AY91" s="326"/>
      <c r="AZ91" s="327"/>
      <c r="BA91" s="536"/>
      <c r="BB91" s="327"/>
      <c r="BC91" s="22"/>
      <c r="BD91" s="551" t="s">
        <v>334</v>
      </c>
      <c r="BE91" s="327"/>
      <c r="BF91" s="552"/>
      <c r="BG91" s="326"/>
      <c r="BH91" s="326"/>
      <c r="BI91" s="327"/>
      <c r="BJ91" s="451" t="s">
        <v>303</v>
      </c>
      <c r="BK91" s="326"/>
      <c r="BL91" s="326"/>
      <c r="BM91" s="327"/>
      <c r="BN91" s="558" t="s">
        <v>303</v>
      </c>
      <c r="BO91" s="326"/>
      <c r="BP91" s="326"/>
      <c r="BQ91" s="326"/>
      <c r="BR91" s="326"/>
      <c r="BS91" s="326"/>
      <c r="BT91" s="326"/>
      <c r="BU91" s="326"/>
      <c r="BV91" s="327"/>
    </row>
    <row r="92" spans="1:74" ht="45" customHeight="1" x14ac:dyDescent="0.25">
      <c r="A92" s="10">
        <f t="shared" si="0"/>
        <v>78</v>
      </c>
      <c r="B92" s="559" t="s">
        <v>303</v>
      </c>
      <c r="C92" s="327"/>
      <c r="D92" s="560" t="s">
        <v>307</v>
      </c>
      <c r="E92" s="327"/>
      <c r="F92" s="537" t="s">
        <v>334</v>
      </c>
      <c r="G92" s="327"/>
      <c r="H92" s="561" t="s">
        <v>334</v>
      </c>
      <c r="I92" s="327"/>
      <c r="J92" s="562"/>
      <c r="K92" s="327"/>
      <c r="L92" s="562"/>
      <c r="M92" s="327"/>
      <c r="N92" s="23"/>
      <c r="O92" s="21"/>
      <c r="P92" s="563"/>
      <c r="Q92" s="327"/>
      <c r="R92" s="538"/>
      <c r="S92" s="327"/>
      <c r="T92" s="539"/>
      <c r="U92" s="327"/>
      <c r="V92" s="540"/>
      <c r="W92" s="327"/>
      <c r="X92" s="541" t="s">
        <v>303</v>
      </c>
      <c r="Y92" s="326"/>
      <c r="Z92" s="326"/>
      <c r="AA92" s="327"/>
      <c r="AB92" s="542" t="s">
        <v>303</v>
      </c>
      <c r="AC92" s="326"/>
      <c r="AD92" s="326"/>
      <c r="AE92" s="327"/>
      <c r="AF92" s="543"/>
      <c r="AG92" s="327"/>
      <c r="AH92" s="543"/>
      <c r="AI92" s="327"/>
      <c r="AJ92" s="536"/>
      <c r="AK92" s="327"/>
      <c r="AL92" s="537" t="s">
        <v>334</v>
      </c>
      <c r="AM92" s="327"/>
      <c r="AN92" s="546" t="s">
        <v>334</v>
      </c>
      <c r="AO92" s="327"/>
      <c r="AP92" s="547"/>
      <c r="AQ92" s="327"/>
      <c r="AR92" s="548"/>
      <c r="AS92" s="327"/>
      <c r="AT92" s="549"/>
      <c r="AU92" s="327"/>
      <c r="AV92" s="546" t="s">
        <v>334</v>
      </c>
      <c r="AW92" s="327"/>
      <c r="AX92" s="521"/>
      <c r="AY92" s="326"/>
      <c r="AZ92" s="327"/>
      <c r="BA92" s="550"/>
      <c r="BB92" s="327"/>
      <c r="BC92" s="25"/>
      <c r="BD92" s="544" t="s">
        <v>334</v>
      </c>
      <c r="BE92" s="327"/>
      <c r="BF92" s="545"/>
      <c r="BG92" s="326"/>
      <c r="BH92" s="326"/>
      <c r="BI92" s="327"/>
      <c r="BJ92" s="557" t="s">
        <v>303</v>
      </c>
      <c r="BK92" s="326"/>
      <c r="BL92" s="326"/>
      <c r="BM92" s="327"/>
      <c r="BN92" s="558" t="s">
        <v>303</v>
      </c>
      <c r="BO92" s="326"/>
      <c r="BP92" s="326"/>
      <c r="BQ92" s="326"/>
      <c r="BR92" s="326"/>
      <c r="BS92" s="326"/>
      <c r="BT92" s="326"/>
      <c r="BU92" s="326"/>
      <c r="BV92" s="327"/>
    </row>
    <row r="93" spans="1:74" ht="45" customHeight="1" x14ac:dyDescent="0.25">
      <c r="A93" s="10">
        <f t="shared" si="0"/>
        <v>79</v>
      </c>
      <c r="B93" s="564" t="s">
        <v>303</v>
      </c>
      <c r="C93" s="327"/>
      <c r="D93" s="565" t="s">
        <v>307</v>
      </c>
      <c r="E93" s="327"/>
      <c r="F93" s="537" t="s">
        <v>334</v>
      </c>
      <c r="G93" s="327"/>
      <c r="H93" s="566" t="s">
        <v>334</v>
      </c>
      <c r="I93" s="327"/>
      <c r="J93" s="567"/>
      <c r="K93" s="327"/>
      <c r="L93" s="567"/>
      <c r="M93" s="327"/>
      <c r="N93" s="20"/>
      <c r="O93" s="24"/>
      <c r="P93" s="524"/>
      <c r="Q93" s="327"/>
      <c r="R93" s="516"/>
      <c r="S93" s="327"/>
      <c r="T93" s="517"/>
      <c r="U93" s="327"/>
      <c r="V93" s="518"/>
      <c r="W93" s="327"/>
      <c r="X93" s="438" t="s">
        <v>303</v>
      </c>
      <c r="Y93" s="326"/>
      <c r="Z93" s="326"/>
      <c r="AA93" s="327"/>
      <c r="AB93" s="519" t="s">
        <v>303</v>
      </c>
      <c r="AC93" s="326"/>
      <c r="AD93" s="326"/>
      <c r="AE93" s="327"/>
      <c r="AF93" s="520"/>
      <c r="AG93" s="327"/>
      <c r="AH93" s="520"/>
      <c r="AI93" s="327"/>
      <c r="AJ93" s="554"/>
      <c r="AK93" s="327"/>
      <c r="AL93" s="556" t="s">
        <v>334</v>
      </c>
      <c r="AM93" s="327"/>
      <c r="AN93" s="553" t="s">
        <v>334</v>
      </c>
      <c r="AO93" s="327"/>
      <c r="AP93" s="554"/>
      <c r="AQ93" s="327"/>
      <c r="AR93" s="555"/>
      <c r="AS93" s="327"/>
      <c r="AT93" s="549"/>
      <c r="AU93" s="327"/>
      <c r="AV93" s="553" t="s">
        <v>334</v>
      </c>
      <c r="AW93" s="327"/>
      <c r="AX93" s="521"/>
      <c r="AY93" s="326"/>
      <c r="AZ93" s="327"/>
      <c r="BA93" s="536"/>
      <c r="BB93" s="327"/>
      <c r="BC93" s="22"/>
      <c r="BD93" s="551" t="s">
        <v>334</v>
      </c>
      <c r="BE93" s="327"/>
      <c r="BF93" s="508"/>
      <c r="BG93" s="326"/>
      <c r="BH93" s="326"/>
      <c r="BI93" s="327"/>
      <c r="BJ93" s="451" t="s">
        <v>303</v>
      </c>
      <c r="BK93" s="326"/>
      <c r="BL93" s="326"/>
      <c r="BM93" s="327"/>
      <c r="BN93" s="558" t="s">
        <v>303</v>
      </c>
      <c r="BO93" s="326"/>
      <c r="BP93" s="326"/>
      <c r="BQ93" s="326"/>
      <c r="BR93" s="326"/>
      <c r="BS93" s="326"/>
      <c r="BT93" s="326"/>
      <c r="BU93" s="326"/>
      <c r="BV93" s="327"/>
    </row>
    <row r="94" spans="1:74" ht="45" customHeight="1" x14ac:dyDescent="0.25">
      <c r="A94" s="10">
        <f t="shared" si="0"/>
        <v>80</v>
      </c>
      <c r="B94" s="559" t="s">
        <v>303</v>
      </c>
      <c r="C94" s="327"/>
      <c r="D94" s="560" t="s">
        <v>307</v>
      </c>
      <c r="E94" s="327"/>
      <c r="F94" s="537" t="s">
        <v>334</v>
      </c>
      <c r="G94" s="327"/>
      <c r="H94" s="561" t="s">
        <v>334</v>
      </c>
      <c r="I94" s="327"/>
      <c r="J94" s="562"/>
      <c r="K94" s="327"/>
      <c r="L94" s="562"/>
      <c r="M94" s="327"/>
      <c r="N94" s="23"/>
      <c r="O94" s="21"/>
      <c r="P94" s="563"/>
      <c r="Q94" s="327"/>
      <c r="R94" s="538"/>
      <c r="S94" s="327"/>
      <c r="T94" s="539"/>
      <c r="U94" s="327"/>
      <c r="V94" s="540"/>
      <c r="W94" s="327"/>
      <c r="X94" s="541" t="s">
        <v>303</v>
      </c>
      <c r="Y94" s="326"/>
      <c r="Z94" s="326"/>
      <c r="AA94" s="327"/>
      <c r="AB94" s="542" t="s">
        <v>303</v>
      </c>
      <c r="AC94" s="326"/>
      <c r="AD94" s="326"/>
      <c r="AE94" s="327"/>
      <c r="AF94" s="543"/>
      <c r="AG94" s="327"/>
      <c r="AH94" s="543"/>
      <c r="AI94" s="327"/>
      <c r="AJ94" s="536"/>
      <c r="AK94" s="327"/>
      <c r="AL94" s="537" t="s">
        <v>334</v>
      </c>
      <c r="AM94" s="327"/>
      <c r="AN94" s="546" t="s">
        <v>334</v>
      </c>
      <c r="AO94" s="327"/>
      <c r="AP94" s="547"/>
      <c r="AQ94" s="327"/>
      <c r="AR94" s="548"/>
      <c r="AS94" s="327"/>
      <c r="AT94" s="549"/>
      <c r="AU94" s="327"/>
      <c r="AV94" s="546" t="s">
        <v>334</v>
      </c>
      <c r="AW94" s="327"/>
      <c r="AX94" s="521"/>
      <c r="AY94" s="326"/>
      <c r="AZ94" s="327"/>
      <c r="BA94" s="550"/>
      <c r="BB94" s="327"/>
      <c r="BC94" s="25"/>
      <c r="BD94" s="544" t="s">
        <v>334</v>
      </c>
      <c r="BE94" s="327"/>
      <c r="BF94" s="545"/>
      <c r="BG94" s="326"/>
      <c r="BH94" s="326"/>
      <c r="BI94" s="327"/>
      <c r="BJ94" s="557" t="s">
        <v>303</v>
      </c>
      <c r="BK94" s="326"/>
      <c r="BL94" s="326"/>
      <c r="BM94" s="327"/>
      <c r="BN94" s="558" t="s">
        <v>303</v>
      </c>
      <c r="BO94" s="326"/>
      <c r="BP94" s="326"/>
      <c r="BQ94" s="326"/>
      <c r="BR94" s="326"/>
      <c r="BS94" s="326"/>
      <c r="BT94" s="326"/>
      <c r="BU94" s="326"/>
      <c r="BV94" s="327"/>
    </row>
    <row r="95" spans="1:74" ht="45" customHeight="1" x14ac:dyDescent="0.25">
      <c r="A95" s="10">
        <f t="shared" si="0"/>
        <v>81</v>
      </c>
      <c r="B95" s="564" t="s">
        <v>303</v>
      </c>
      <c r="C95" s="327"/>
      <c r="D95" s="565" t="s">
        <v>307</v>
      </c>
      <c r="E95" s="327"/>
      <c r="F95" s="537" t="s">
        <v>334</v>
      </c>
      <c r="G95" s="327"/>
      <c r="H95" s="566" t="s">
        <v>334</v>
      </c>
      <c r="I95" s="327"/>
      <c r="J95" s="567"/>
      <c r="K95" s="327"/>
      <c r="L95" s="567"/>
      <c r="M95" s="327"/>
      <c r="N95" s="20"/>
      <c r="O95" s="24"/>
      <c r="P95" s="524"/>
      <c r="Q95" s="327"/>
      <c r="R95" s="516"/>
      <c r="S95" s="327"/>
      <c r="T95" s="517"/>
      <c r="U95" s="327"/>
      <c r="V95" s="518"/>
      <c r="W95" s="327"/>
      <c r="X95" s="438" t="s">
        <v>303</v>
      </c>
      <c r="Y95" s="326"/>
      <c r="Z95" s="326"/>
      <c r="AA95" s="327"/>
      <c r="AB95" s="519" t="s">
        <v>303</v>
      </c>
      <c r="AC95" s="326"/>
      <c r="AD95" s="326"/>
      <c r="AE95" s="327"/>
      <c r="AF95" s="520"/>
      <c r="AG95" s="327"/>
      <c r="AH95" s="520"/>
      <c r="AI95" s="327"/>
      <c r="AJ95" s="554"/>
      <c r="AK95" s="327"/>
      <c r="AL95" s="556" t="s">
        <v>334</v>
      </c>
      <c r="AM95" s="327"/>
      <c r="AN95" s="553" t="s">
        <v>334</v>
      </c>
      <c r="AO95" s="327"/>
      <c r="AP95" s="554"/>
      <c r="AQ95" s="327"/>
      <c r="AR95" s="555"/>
      <c r="AS95" s="327"/>
      <c r="AT95" s="549"/>
      <c r="AU95" s="327"/>
      <c r="AV95" s="553" t="s">
        <v>334</v>
      </c>
      <c r="AW95" s="327"/>
      <c r="AX95" s="521"/>
      <c r="AY95" s="326"/>
      <c r="AZ95" s="327"/>
      <c r="BA95" s="536"/>
      <c r="BB95" s="327"/>
      <c r="BC95" s="22"/>
      <c r="BD95" s="551" t="s">
        <v>334</v>
      </c>
      <c r="BE95" s="327"/>
      <c r="BF95" s="508"/>
      <c r="BG95" s="326"/>
      <c r="BH95" s="326"/>
      <c r="BI95" s="327"/>
      <c r="BJ95" s="451" t="s">
        <v>303</v>
      </c>
      <c r="BK95" s="326"/>
      <c r="BL95" s="326"/>
      <c r="BM95" s="327"/>
      <c r="BN95" s="558" t="s">
        <v>303</v>
      </c>
      <c r="BO95" s="326"/>
      <c r="BP95" s="326"/>
      <c r="BQ95" s="326"/>
      <c r="BR95" s="326"/>
      <c r="BS95" s="326"/>
      <c r="BT95" s="326"/>
      <c r="BU95" s="326"/>
      <c r="BV95" s="327"/>
    </row>
    <row r="96" spans="1:74" ht="45" customHeight="1" x14ac:dyDescent="0.25">
      <c r="A96" s="10">
        <f t="shared" si="0"/>
        <v>82</v>
      </c>
      <c r="B96" s="559" t="s">
        <v>303</v>
      </c>
      <c r="C96" s="327"/>
      <c r="D96" s="560" t="s">
        <v>307</v>
      </c>
      <c r="E96" s="327"/>
      <c r="F96" s="537" t="s">
        <v>334</v>
      </c>
      <c r="G96" s="327"/>
      <c r="H96" s="561" t="s">
        <v>334</v>
      </c>
      <c r="I96" s="327"/>
      <c r="J96" s="562"/>
      <c r="K96" s="327"/>
      <c r="L96" s="562"/>
      <c r="M96" s="327"/>
      <c r="N96" s="23"/>
      <c r="O96" s="21"/>
      <c r="P96" s="563"/>
      <c r="Q96" s="327"/>
      <c r="R96" s="538"/>
      <c r="S96" s="327"/>
      <c r="T96" s="539"/>
      <c r="U96" s="327"/>
      <c r="V96" s="540"/>
      <c r="W96" s="327"/>
      <c r="X96" s="541" t="s">
        <v>303</v>
      </c>
      <c r="Y96" s="326"/>
      <c r="Z96" s="326"/>
      <c r="AA96" s="327"/>
      <c r="AB96" s="542" t="s">
        <v>303</v>
      </c>
      <c r="AC96" s="326"/>
      <c r="AD96" s="326"/>
      <c r="AE96" s="327"/>
      <c r="AF96" s="543"/>
      <c r="AG96" s="327"/>
      <c r="AH96" s="543"/>
      <c r="AI96" s="327"/>
      <c r="AJ96" s="536"/>
      <c r="AK96" s="327"/>
      <c r="AL96" s="537" t="s">
        <v>334</v>
      </c>
      <c r="AM96" s="327"/>
      <c r="AN96" s="546" t="s">
        <v>334</v>
      </c>
      <c r="AO96" s="327"/>
      <c r="AP96" s="547"/>
      <c r="AQ96" s="327"/>
      <c r="AR96" s="548"/>
      <c r="AS96" s="327"/>
      <c r="AT96" s="549"/>
      <c r="AU96" s="327"/>
      <c r="AV96" s="546" t="s">
        <v>334</v>
      </c>
      <c r="AW96" s="327"/>
      <c r="AX96" s="521"/>
      <c r="AY96" s="326"/>
      <c r="AZ96" s="327"/>
      <c r="BA96" s="550"/>
      <c r="BB96" s="327"/>
      <c r="BC96" s="25"/>
      <c r="BD96" s="544" t="s">
        <v>334</v>
      </c>
      <c r="BE96" s="327"/>
      <c r="BF96" s="545"/>
      <c r="BG96" s="326"/>
      <c r="BH96" s="326"/>
      <c r="BI96" s="327"/>
      <c r="BJ96" s="557" t="s">
        <v>303</v>
      </c>
      <c r="BK96" s="326"/>
      <c r="BL96" s="326"/>
      <c r="BM96" s="327"/>
      <c r="BN96" s="558" t="s">
        <v>303</v>
      </c>
      <c r="BO96" s="326"/>
      <c r="BP96" s="326"/>
      <c r="BQ96" s="326"/>
      <c r="BR96" s="326"/>
      <c r="BS96" s="326"/>
      <c r="BT96" s="326"/>
      <c r="BU96" s="326"/>
      <c r="BV96" s="327"/>
    </row>
    <row r="97" spans="1:74" ht="45" customHeight="1" x14ac:dyDescent="0.25">
      <c r="A97" s="10">
        <f t="shared" si="0"/>
        <v>83</v>
      </c>
      <c r="B97" s="564" t="s">
        <v>303</v>
      </c>
      <c r="C97" s="327"/>
      <c r="D97" s="565" t="s">
        <v>307</v>
      </c>
      <c r="E97" s="327"/>
      <c r="F97" s="537" t="s">
        <v>334</v>
      </c>
      <c r="G97" s="327"/>
      <c r="H97" s="566" t="s">
        <v>334</v>
      </c>
      <c r="I97" s="327"/>
      <c r="J97" s="567"/>
      <c r="K97" s="327"/>
      <c r="L97" s="567"/>
      <c r="M97" s="327"/>
      <c r="N97" s="20"/>
      <c r="O97" s="24"/>
      <c r="P97" s="524"/>
      <c r="Q97" s="327"/>
      <c r="R97" s="516"/>
      <c r="S97" s="327"/>
      <c r="T97" s="517"/>
      <c r="U97" s="327"/>
      <c r="V97" s="518"/>
      <c r="W97" s="327"/>
      <c r="X97" s="438" t="s">
        <v>303</v>
      </c>
      <c r="Y97" s="326"/>
      <c r="Z97" s="326"/>
      <c r="AA97" s="327"/>
      <c r="AB97" s="519" t="s">
        <v>303</v>
      </c>
      <c r="AC97" s="326"/>
      <c r="AD97" s="326"/>
      <c r="AE97" s="327"/>
      <c r="AF97" s="520"/>
      <c r="AG97" s="327"/>
      <c r="AH97" s="520"/>
      <c r="AI97" s="327"/>
      <c r="AJ97" s="554"/>
      <c r="AK97" s="327"/>
      <c r="AL97" s="556" t="s">
        <v>334</v>
      </c>
      <c r="AM97" s="327"/>
      <c r="AN97" s="553" t="s">
        <v>334</v>
      </c>
      <c r="AO97" s="327"/>
      <c r="AP97" s="554"/>
      <c r="AQ97" s="327"/>
      <c r="AR97" s="555"/>
      <c r="AS97" s="327"/>
      <c r="AT97" s="549"/>
      <c r="AU97" s="327"/>
      <c r="AV97" s="553" t="s">
        <v>334</v>
      </c>
      <c r="AW97" s="327"/>
      <c r="AX97" s="521"/>
      <c r="AY97" s="326"/>
      <c r="AZ97" s="327"/>
      <c r="BA97" s="536"/>
      <c r="BB97" s="327"/>
      <c r="BC97" s="22"/>
      <c r="BD97" s="551" t="s">
        <v>334</v>
      </c>
      <c r="BE97" s="327"/>
      <c r="BF97" s="552"/>
      <c r="BG97" s="326"/>
      <c r="BH97" s="326"/>
      <c r="BI97" s="327"/>
      <c r="BJ97" s="451" t="s">
        <v>303</v>
      </c>
      <c r="BK97" s="326"/>
      <c r="BL97" s="326"/>
      <c r="BM97" s="327"/>
      <c r="BN97" s="558" t="s">
        <v>303</v>
      </c>
      <c r="BO97" s="326"/>
      <c r="BP97" s="326"/>
      <c r="BQ97" s="326"/>
      <c r="BR97" s="326"/>
      <c r="BS97" s="326"/>
      <c r="BT97" s="326"/>
      <c r="BU97" s="326"/>
      <c r="BV97" s="327"/>
    </row>
    <row r="98" spans="1:74" ht="45" customHeight="1" x14ac:dyDescent="0.25">
      <c r="A98" s="10">
        <f t="shared" si="0"/>
        <v>84</v>
      </c>
      <c r="B98" s="559" t="s">
        <v>303</v>
      </c>
      <c r="C98" s="327"/>
      <c r="D98" s="560" t="s">
        <v>307</v>
      </c>
      <c r="E98" s="327"/>
      <c r="F98" s="537" t="s">
        <v>334</v>
      </c>
      <c r="G98" s="327"/>
      <c r="H98" s="561" t="s">
        <v>334</v>
      </c>
      <c r="I98" s="327"/>
      <c r="J98" s="562"/>
      <c r="K98" s="327"/>
      <c r="L98" s="562"/>
      <c r="M98" s="327"/>
      <c r="N98" s="23"/>
      <c r="O98" s="21"/>
      <c r="P98" s="563"/>
      <c r="Q98" s="327"/>
      <c r="R98" s="538"/>
      <c r="S98" s="327"/>
      <c r="T98" s="539"/>
      <c r="U98" s="327"/>
      <c r="V98" s="540"/>
      <c r="W98" s="327"/>
      <c r="X98" s="541" t="s">
        <v>303</v>
      </c>
      <c r="Y98" s="326"/>
      <c r="Z98" s="326"/>
      <c r="AA98" s="327"/>
      <c r="AB98" s="542" t="s">
        <v>303</v>
      </c>
      <c r="AC98" s="326"/>
      <c r="AD98" s="326"/>
      <c r="AE98" s="327"/>
      <c r="AF98" s="543"/>
      <c r="AG98" s="327"/>
      <c r="AH98" s="543"/>
      <c r="AI98" s="327"/>
      <c r="AJ98" s="536"/>
      <c r="AK98" s="327"/>
      <c r="AL98" s="537" t="s">
        <v>334</v>
      </c>
      <c r="AM98" s="327"/>
      <c r="AN98" s="546" t="s">
        <v>334</v>
      </c>
      <c r="AO98" s="327"/>
      <c r="AP98" s="547"/>
      <c r="AQ98" s="327"/>
      <c r="AR98" s="548"/>
      <c r="AS98" s="327"/>
      <c r="AT98" s="549"/>
      <c r="AU98" s="327"/>
      <c r="AV98" s="546" t="s">
        <v>334</v>
      </c>
      <c r="AW98" s="327"/>
      <c r="AX98" s="521"/>
      <c r="AY98" s="326"/>
      <c r="AZ98" s="327"/>
      <c r="BA98" s="550"/>
      <c r="BB98" s="327"/>
      <c r="BC98" s="25"/>
      <c r="BD98" s="544" t="s">
        <v>334</v>
      </c>
      <c r="BE98" s="327"/>
      <c r="BF98" s="545"/>
      <c r="BG98" s="326"/>
      <c r="BH98" s="326"/>
      <c r="BI98" s="327"/>
      <c r="BJ98" s="557" t="s">
        <v>303</v>
      </c>
      <c r="BK98" s="326"/>
      <c r="BL98" s="326"/>
      <c r="BM98" s="327"/>
      <c r="BN98" s="558" t="s">
        <v>303</v>
      </c>
      <c r="BO98" s="326"/>
      <c r="BP98" s="326"/>
      <c r="BQ98" s="326"/>
      <c r="BR98" s="326"/>
      <c r="BS98" s="326"/>
      <c r="BT98" s="326"/>
      <c r="BU98" s="326"/>
      <c r="BV98" s="327"/>
    </row>
    <row r="99" spans="1:74" ht="45" customHeight="1" x14ac:dyDescent="0.25">
      <c r="A99" s="10">
        <f t="shared" si="0"/>
        <v>85</v>
      </c>
      <c r="B99" s="564" t="s">
        <v>303</v>
      </c>
      <c r="C99" s="327"/>
      <c r="D99" s="565" t="s">
        <v>307</v>
      </c>
      <c r="E99" s="327"/>
      <c r="F99" s="537" t="s">
        <v>334</v>
      </c>
      <c r="G99" s="327"/>
      <c r="H99" s="566" t="s">
        <v>334</v>
      </c>
      <c r="I99" s="327"/>
      <c r="J99" s="567"/>
      <c r="K99" s="327"/>
      <c r="L99" s="567"/>
      <c r="M99" s="327"/>
      <c r="N99" s="20"/>
      <c r="O99" s="24"/>
      <c r="P99" s="524"/>
      <c r="Q99" s="327"/>
      <c r="R99" s="516"/>
      <c r="S99" s="327"/>
      <c r="T99" s="517"/>
      <c r="U99" s="327"/>
      <c r="V99" s="518"/>
      <c r="W99" s="327"/>
      <c r="X99" s="438" t="s">
        <v>303</v>
      </c>
      <c r="Y99" s="326"/>
      <c r="Z99" s="326"/>
      <c r="AA99" s="327"/>
      <c r="AB99" s="519" t="s">
        <v>303</v>
      </c>
      <c r="AC99" s="326"/>
      <c r="AD99" s="326"/>
      <c r="AE99" s="327"/>
      <c r="AF99" s="520"/>
      <c r="AG99" s="327"/>
      <c r="AH99" s="520"/>
      <c r="AI99" s="327"/>
      <c r="AJ99" s="554"/>
      <c r="AK99" s="327"/>
      <c r="AL99" s="556" t="s">
        <v>334</v>
      </c>
      <c r="AM99" s="327"/>
      <c r="AN99" s="553" t="s">
        <v>334</v>
      </c>
      <c r="AO99" s="327"/>
      <c r="AP99" s="554"/>
      <c r="AQ99" s="327"/>
      <c r="AR99" s="555"/>
      <c r="AS99" s="327"/>
      <c r="AT99" s="549"/>
      <c r="AU99" s="327"/>
      <c r="AV99" s="553" t="s">
        <v>334</v>
      </c>
      <c r="AW99" s="327"/>
      <c r="AX99" s="521"/>
      <c r="AY99" s="326"/>
      <c r="AZ99" s="327"/>
      <c r="BA99" s="536"/>
      <c r="BB99" s="327"/>
      <c r="BC99" s="22"/>
      <c r="BD99" s="551" t="s">
        <v>334</v>
      </c>
      <c r="BE99" s="327"/>
      <c r="BF99" s="508"/>
      <c r="BG99" s="326"/>
      <c r="BH99" s="326"/>
      <c r="BI99" s="327"/>
      <c r="BJ99" s="451" t="s">
        <v>303</v>
      </c>
      <c r="BK99" s="326"/>
      <c r="BL99" s="326"/>
      <c r="BM99" s="327"/>
      <c r="BN99" s="558" t="s">
        <v>303</v>
      </c>
      <c r="BO99" s="326"/>
      <c r="BP99" s="326"/>
      <c r="BQ99" s="326"/>
      <c r="BR99" s="326"/>
      <c r="BS99" s="326"/>
      <c r="BT99" s="326"/>
      <c r="BU99" s="326"/>
      <c r="BV99" s="327"/>
    </row>
    <row r="100" spans="1:74" ht="45" customHeight="1" x14ac:dyDescent="0.25">
      <c r="A100" s="10">
        <f t="shared" si="0"/>
        <v>86</v>
      </c>
      <c r="B100" s="559" t="s">
        <v>303</v>
      </c>
      <c r="C100" s="327"/>
      <c r="D100" s="560" t="s">
        <v>307</v>
      </c>
      <c r="E100" s="327"/>
      <c r="F100" s="537" t="s">
        <v>334</v>
      </c>
      <c r="G100" s="327"/>
      <c r="H100" s="561" t="s">
        <v>334</v>
      </c>
      <c r="I100" s="327"/>
      <c r="J100" s="562"/>
      <c r="K100" s="327"/>
      <c r="L100" s="562"/>
      <c r="M100" s="327"/>
      <c r="N100" s="23"/>
      <c r="O100" s="21"/>
      <c r="P100" s="563"/>
      <c r="Q100" s="327"/>
      <c r="R100" s="538"/>
      <c r="S100" s="327"/>
      <c r="T100" s="539"/>
      <c r="U100" s="327"/>
      <c r="V100" s="540"/>
      <c r="W100" s="327"/>
      <c r="X100" s="541" t="s">
        <v>303</v>
      </c>
      <c r="Y100" s="326"/>
      <c r="Z100" s="326"/>
      <c r="AA100" s="327"/>
      <c r="AB100" s="542" t="s">
        <v>303</v>
      </c>
      <c r="AC100" s="326"/>
      <c r="AD100" s="326"/>
      <c r="AE100" s="327"/>
      <c r="AF100" s="543"/>
      <c r="AG100" s="327"/>
      <c r="AH100" s="543"/>
      <c r="AI100" s="327"/>
      <c r="AJ100" s="536"/>
      <c r="AK100" s="327"/>
      <c r="AL100" s="537" t="s">
        <v>334</v>
      </c>
      <c r="AM100" s="327"/>
      <c r="AN100" s="546" t="s">
        <v>334</v>
      </c>
      <c r="AO100" s="327"/>
      <c r="AP100" s="547"/>
      <c r="AQ100" s="327"/>
      <c r="AR100" s="548"/>
      <c r="AS100" s="327"/>
      <c r="AT100" s="549"/>
      <c r="AU100" s="327"/>
      <c r="AV100" s="546" t="s">
        <v>334</v>
      </c>
      <c r="AW100" s="327"/>
      <c r="AX100" s="521"/>
      <c r="AY100" s="326"/>
      <c r="AZ100" s="327"/>
      <c r="BA100" s="550"/>
      <c r="BB100" s="327"/>
      <c r="BC100" s="25"/>
      <c r="BD100" s="544" t="s">
        <v>334</v>
      </c>
      <c r="BE100" s="327"/>
      <c r="BF100" s="545"/>
      <c r="BG100" s="326"/>
      <c r="BH100" s="326"/>
      <c r="BI100" s="327"/>
      <c r="BJ100" s="557" t="s">
        <v>303</v>
      </c>
      <c r="BK100" s="326"/>
      <c r="BL100" s="326"/>
      <c r="BM100" s="327"/>
      <c r="BN100" s="558" t="s">
        <v>303</v>
      </c>
      <c r="BO100" s="326"/>
      <c r="BP100" s="326"/>
      <c r="BQ100" s="326"/>
      <c r="BR100" s="326"/>
      <c r="BS100" s="326"/>
      <c r="BT100" s="326"/>
      <c r="BU100" s="326"/>
      <c r="BV100" s="327"/>
    </row>
    <row r="101" spans="1:74" ht="45" customHeight="1" x14ac:dyDescent="0.25">
      <c r="A101" s="10">
        <f t="shared" si="0"/>
        <v>87</v>
      </c>
      <c r="B101" s="564" t="s">
        <v>303</v>
      </c>
      <c r="C101" s="327"/>
      <c r="D101" s="565" t="s">
        <v>307</v>
      </c>
      <c r="E101" s="327"/>
      <c r="F101" s="537" t="s">
        <v>334</v>
      </c>
      <c r="G101" s="327"/>
      <c r="H101" s="566" t="s">
        <v>334</v>
      </c>
      <c r="I101" s="327"/>
      <c r="J101" s="567"/>
      <c r="K101" s="327"/>
      <c r="L101" s="567"/>
      <c r="M101" s="327"/>
      <c r="N101" s="20"/>
      <c r="O101" s="24"/>
      <c r="P101" s="524"/>
      <c r="Q101" s="327"/>
      <c r="R101" s="516"/>
      <c r="S101" s="327"/>
      <c r="T101" s="517"/>
      <c r="U101" s="327"/>
      <c r="V101" s="518"/>
      <c r="W101" s="327"/>
      <c r="X101" s="438" t="s">
        <v>303</v>
      </c>
      <c r="Y101" s="326"/>
      <c r="Z101" s="326"/>
      <c r="AA101" s="327"/>
      <c r="AB101" s="519" t="s">
        <v>303</v>
      </c>
      <c r="AC101" s="326"/>
      <c r="AD101" s="326"/>
      <c r="AE101" s="327"/>
      <c r="AF101" s="520"/>
      <c r="AG101" s="327"/>
      <c r="AH101" s="520"/>
      <c r="AI101" s="327"/>
      <c r="AJ101" s="554"/>
      <c r="AK101" s="327"/>
      <c r="AL101" s="556" t="s">
        <v>334</v>
      </c>
      <c r="AM101" s="327"/>
      <c r="AN101" s="553" t="s">
        <v>334</v>
      </c>
      <c r="AO101" s="327"/>
      <c r="AP101" s="554"/>
      <c r="AQ101" s="327"/>
      <c r="AR101" s="555"/>
      <c r="AS101" s="327"/>
      <c r="AT101" s="549"/>
      <c r="AU101" s="327"/>
      <c r="AV101" s="553" t="s">
        <v>334</v>
      </c>
      <c r="AW101" s="327"/>
      <c r="AX101" s="521"/>
      <c r="AY101" s="326"/>
      <c r="AZ101" s="327"/>
      <c r="BA101" s="536"/>
      <c r="BB101" s="327"/>
      <c r="BC101" s="22"/>
      <c r="BD101" s="551" t="s">
        <v>334</v>
      </c>
      <c r="BE101" s="327"/>
      <c r="BF101" s="552"/>
      <c r="BG101" s="326"/>
      <c r="BH101" s="326"/>
      <c r="BI101" s="327"/>
      <c r="BJ101" s="451" t="s">
        <v>303</v>
      </c>
      <c r="BK101" s="326"/>
      <c r="BL101" s="326"/>
      <c r="BM101" s="327"/>
      <c r="BN101" s="558" t="s">
        <v>303</v>
      </c>
      <c r="BO101" s="326"/>
      <c r="BP101" s="326"/>
      <c r="BQ101" s="326"/>
      <c r="BR101" s="326"/>
      <c r="BS101" s="326"/>
      <c r="BT101" s="326"/>
      <c r="BU101" s="326"/>
      <c r="BV101" s="327"/>
    </row>
    <row r="102" spans="1:74" ht="45" customHeight="1" x14ac:dyDescent="0.25">
      <c r="A102" s="10">
        <f t="shared" si="0"/>
        <v>88</v>
      </c>
      <c r="B102" s="559" t="s">
        <v>303</v>
      </c>
      <c r="C102" s="327"/>
      <c r="D102" s="560" t="s">
        <v>307</v>
      </c>
      <c r="E102" s="327"/>
      <c r="F102" s="537" t="s">
        <v>334</v>
      </c>
      <c r="G102" s="327"/>
      <c r="H102" s="561" t="s">
        <v>334</v>
      </c>
      <c r="I102" s="327"/>
      <c r="J102" s="562"/>
      <c r="K102" s="327"/>
      <c r="L102" s="562"/>
      <c r="M102" s="327"/>
      <c r="N102" s="23"/>
      <c r="O102" s="21"/>
      <c r="P102" s="563"/>
      <c r="Q102" s="327"/>
      <c r="R102" s="538"/>
      <c r="S102" s="327"/>
      <c r="T102" s="539"/>
      <c r="U102" s="327"/>
      <c r="V102" s="540"/>
      <c r="W102" s="327"/>
      <c r="X102" s="541" t="s">
        <v>303</v>
      </c>
      <c r="Y102" s="326"/>
      <c r="Z102" s="326"/>
      <c r="AA102" s="327"/>
      <c r="AB102" s="542" t="s">
        <v>303</v>
      </c>
      <c r="AC102" s="326"/>
      <c r="AD102" s="326"/>
      <c r="AE102" s="327"/>
      <c r="AF102" s="543"/>
      <c r="AG102" s="327"/>
      <c r="AH102" s="543"/>
      <c r="AI102" s="327"/>
      <c r="AJ102" s="536"/>
      <c r="AK102" s="327"/>
      <c r="AL102" s="537" t="s">
        <v>334</v>
      </c>
      <c r="AM102" s="327"/>
      <c r="AN102" s="546" t="s">
        <v>334</v>
      </c>
      <c r="AO102" s="327"/>
      <c r="AP102" s="547"/>
      <c r="AQ102" s="327"/>
      <c r="AR102" s="548"/>
      <c r="AS102" s="327"/>
      <c r="AT102" s="549"/>
      <c r="AU102" s="327"/>
      <c r="AV102" s="546" t="s">
        <v>334</v>
      </c>
      <c r="AW102" s="327"/>
      <c r="AX102" s="521"/>
      <c r="AY102" s="326"/>
      <c r="AZ102" s="327"/>
      <c r="BA102" s="550"/>
      <c r="BB102" s="327"/>
      <c r="BC102" s="25"/>
      <c r="BD102" s="544" t="s">
        <v>334</v>
      </c>
      <c r="BE102" s="327"/>
      <c r="BF102" s="545"/>
      <c r="BG102" s="326"/>
      <c r="BH102" s="326"/>
      <c r="BI102" s="327"/>
      <c r="BJ102" s="557" t="s">
        <v>303</v>
      </c>
      <c r="BK102" s="326"/>
      <c r="BL102" s="326"/>
      <c r="BM102" s="327"/>
      <c r="BN102" s="558" t="s">
        <v>303</v>
      </c>
      <c r="BO102" s="326"/>
      <c r="BP102" s="326"/>
      <c r="BQ102" s="326"/>
      <c r="BR102" s="326"/>
      <c r="BS102" s="326"/>
      <c r="BT102" s="326"/>
      <c r="BU102" s="326"/>
      <c r="BV102" s="327"/>
    </row>
    <row r="103" spans="1:74" ht="45" customHeight="1" x14ac:dyDescent="0.25">
      <c r="A103" s="10">
        <f t="shared" si="0"/>
        <v>89</v>
      </c>
      <c r="B103" s="564" t="s">
        <v>303</v>
      </c>
      <c r="C103" s="327"/>
      <c r="D103" s="565" t="s">
        <v>307</v>
      </c>
      <c r="E103" s="327"/>
      <c r="F103" s="537" t="s">
        <v>334</v>
      </c>
      <c r="G103" s="327"/>
      <c r="H103" s="566" t="s">
        <v>334</v>
      </c>
      <c r="I103" s="327"/>
      <c r="J103" s="567"/>
      <c r="K103" s="327"/>
      <c r="L103" s="567"/>
      <c r="M103" s="327"/>
      <c r="N103" s="20"/>
      <c r="O103" s="24"/>
      <c r="P103" s="524"/>
      <c r="Q103" s="327"/>
      <c r="R103" s="516"/>
      <c r="S103" s="327"/>
      <c r="T103" s="517"/>
      <c r="U103" s="327"/>
      <c r="V103" s="518"/>
      <c r="W103" s="327"/>
      <c r="X103" s="438" t="s">
        <v>303</v>
      </c>
      <c r="Y103" s="326"/>
      <c r="Z103" s="326"/>
      <c r="AA103" s="327"/>
      <c r="AB103" s="519" t="s">
        <v>303</v>
      </c>
      <c r="AC103" s="326"/>
      <c r="AD103" s="326"/>
      <c r="AE103" s="327"/>
      <c r="AF103" s="520"/>
      <c r="AG103" s="327"/>
      <c r="AH103" s="520"/>
      <c r="AI103" s="327"/>
      <c r="AJ103" s="554"/>
      <c r="AK103" s="327"/>
      <c r="AL103" s="556" t="s">
        <v>334</v>
      </c>
      <c r="AM103" s="327"/>
      <c r="AN103" s="553" t="s">
        <v>334</v>
      </c>
      <c r="AO103" s="327"/>
      <c r="AP103" s="554"/>
      <c r="AQ103" s="327"/>
      <c r="AR103" s="555"/>
      <c r="AS103" s="327"/>
      <c r="AT103" s="549"/>
      <c r="AU103" s="327"/>
      <c r="AV103" s="553" t="s">
        <v>334</v>
      </c>
      <c r="AW103" s="327"/>
      <c r="AX103" s="521"/>
      <c r="AY103" s="326"/>
      <c r="AZ103" s="327"/>
      <c r="BA103" s="536"/>
      <c r="BB103" s="327"/>
      <c r="BC103" s="22"/>
      <c r="BD103" s="551" t="s">
        <v>334</v>
      </c>
      <c r="BE103" s="327"/>
      <c r="BF103" s="508"/>
      <c r="BG103" s="326"/>
      <c r="BH103" s="326"/>
      <c r="BI103" s="327"/>
      <c r="BJ103" s="451" t="s">
        <v>303</v>
      </c>
      <c r="BK103" s="326"/>
      <c r="BL103" s="326"/>
      <c r="BM103" s="327"/>
      <c r="BN103" s="558" t="s">
        <v>303</v>
      </c>
      <c r="BO103" s="326"/>
      <c r="BP103" s="326"/>
      <c r="BQ103" s="326"/>
      <c r="BR103" s="326"/>
      <c r="BS103" s="326"/>
      <c r="BT103" s="326"/>
      <c r="BU103" s="326"/>
      <c r="BV103" s="327"/>
    </row>
    <row r="104" spans="1:74" ht="45" customHeight="1" x14ac:dyDescent="0.25">
      <c r="A104" s="10">
        <f t="shared" si="0"/>
        <v>90</v>
      </c>
      <c r="B104" s="559" t="s">
        <v>303</v>
      </c>
      <c r="C104" s="327"/>
      <c r="D104" s="560" t="s">
        <v>307</v>
      </c>
      <c r="E104" s="327"/>
      <c r="F104" s="537" t="s">
        <v>334</v>
      </c>
      <c r="G104" s="327"/>
      <c r="H104" s="561" t="s">
        <v>334</v>
      </c>
      <c r="I104" s="327"/>
      <c r="J104" s="562"/>
      <c r="K104" s="327"/>
      <c r="L104" s="562"/>
      <c r="M104" s="327"/>
      <c r="N104" s="23"/>
      <c r="O104" s="21"/>
      <c r="P104" s="563"/>
      <c r="Q104" s="327"/>
      <c r="R104" s="538"/>
      <c r="S104" s="327"/>
      <c r="T104" s="539"/>
      <c r="U104" s="327"/>
      <c r="V104" s="540"/>
      <c r="W104" s="327"/>
      <c r="X104" s="541" t="s">
        <v>303</v>
      </c>
      <c r="Y104" s="326"/>
      <c r="Z104" s="326"/>
      <c r="AA104" s="327"/>
      <c r="AB104" s="542" t="s">
        <v>303</v>
      </c>
      <c r="AC104" s="326"/>
      <c r="AD104" s="326"/>
      <c r="AE104" s="327"/>
      <c r="AF104" s="543"/>
      <c r="AG104" s="327"/>
      <c r="AH104" s="543"/>
      <c r="AI104" s="327"/>
      <c r="AJ104" s="536"/>
      <c r="AK104" s="327"/>
      <c r="AL104" s="537" t="s">
        <v>334</v>
      </c>
      <c r="AM104" s="327"/>
      <c r="AN104" s="546" t="s">
        <v>334</v>
      </c>
      <c r="AO104" s="327"/>
      <c r="AP104" s="547"/>
      <c r="AQ104" s="327"/>
      <c r="AR104" s="548"/>
      <c r="AS104" s="327"/>
      <c r="AT104" s="549"/>
      <c r="AU104" s="327"/>
      <c r="AV104" s="546" t="s">
        <v>334</v>
      </c>
      <c r="AW104" s="327"/>
      <c r="AX104" s="521"/>
      <c r="AY104" s="326"/>
      <c r="AZ104" s="327"/>
      <c r="BA104" s="550"/>
      <c r="BB104" s="327"/>
      <c r="BC104" s="25"/>
      <c r="BD104" s="544" t="s">
        <v>334</v>
      </c>
      <c r="BE104" s="327"/>
      <c r="BF104" s="545"/>
      <c r="BG104" s="326"/>
      <c r="BH104" s="326"/>
      <c r="BI104" s="327"/>
      <c r="BJ104" s="557" t="s">
        <v>303</v>
      </c>
      <c r="BK104" s="326"/>
      <c r="BL104" s="326"/>
      <c r="BM104" s="327"/>
      <c r="BN104" s="558" t="s">
        <v>303</v>
      </c>
      <c r="BO104" s="326"/>
      <c r="BP104" s="326"/>
      <c r="BQ104" s="326"/>
      <c r="BR104" s="326"/>
      <c r="BS104" s="326"/>
      <c r="BT104" s="326"/>
      <c r="BU104" s="326"/>
      <c r="BV104" s="327"/>
    </row>
    <row r="105" spans="1:74" ht="45" customHeight="1" x14ac:dyDescent="0.25">
      <c r="A105" s="10">
        <f t="shared" si="0"/>
        <v>91</v>
      </c>
      <c r="B105" s="564" t="s">
        <v>303</v>
      </c>
      <c r="C105" s="327"/>
      <c r="D105" s="565" t="s">
        <v>307</v>
      </c>
      <c r="E105" s="327"/>
      <c r="F105" s="537" t="s">
        <v>334</v>
      </c>
      <c r="G105" s="327"/>
      <c r="H105" s="566" t="s">
        <v>334</v>
      </c>
      <c r="I105" s="327"/>
      <c r="J105" s="567"/>
      <c r="K105" s="327"/>
      <c r="L105" s="567"/>
      <c r="M105" s="327"/>
      <c r="N105" s="20"/>
      <c r="O105" s="24"/>
      <c r="P105" s="524"/>
      <c r="Q105" s="327"/>
      <c r="R105" s="516"/>
      <c r="S105" s="327"/>
      <c r="T105" s="517"/>
      <c r="U105" s="327"/>
      <c r="V105" s="518"/>
      <c r="W105" s="327"/>
      <c r="X105" s="438" t="s">
        <v>303</v>
      </c>
      <c r="Y105" s="326"/>
      <c r="Z105" s="326"/>
      <c r="AA105" s="327"/>
      <c r="AB105" s="519" t="s">
        <v>303</v>
      </c>
      <c r="AC105" s="326"/>
      <c r="AD105" s="326"/>
      <c r="AE105" s="327"/>
      <c r="AF105" s="520"/>
      <c r="AG105" s="327"/>
      <c r="AH105" s="520"/>
      <c r="AI105" s="327"/>
      <c r="AJ105" s="554"/>
      <c r="AK105" s="327"/>
      <c r="AL105" s="556" t="s">
        <v>334</v>
      </c>
      <c r="AM105" s="327"/>
      <c r="AN105" s="553" t="s">
        <v>334</v>
      </c>
      <c r="AO105" s="327"/>
      <c r="AP105" s="554"/>
      <c r="AQ105" s="327"/>
      <c r="AR105" s="555"/>
      <c r="AS105" s="327"/>
      <c r="AT105" s="549"/>
      <c r="AU105" s="327"/>
      <c r="AV105" s="553" t="s">
        <v>334</v>
      </c>
      <c r="AW105" s="327"/>
      <c r="AX105" s="521"/>
      <c r="AY105" s="326"/>
      <c r="AZ105" s="327"/>
      <c r="BA105" s="536"/>
      <c r="BB105" s="327"/>
      <c r="BC105" s="22"/>
      <c r="BD105" s="551" t="s">
        <v>334</v>
      </c>
      <c r="BE105" s="327"/>
      <c r="BF105" s="508"/>
      <c r="BG105" s="326"/>
      <c r="BH105" s="326"/>
      <c r="BI105" s="327"/>
      <c r="BJ105" s="451" t="s">
        <v>303</v>
      </c>
      <c r="BK105" s="326"/>
      <c r="BL105" s="326"/>
      <c r="BM105" s="327"/>
      <c r="BN105" s="558" t="s">
        <v>303</v>
      </c>
      <c r="BO105" s="326"/>
      <c r="BP105" s="326"/>
      <c r="BQ105" s="326"/>
      <c r="BR105" s="326"/>
      <c r="BS105" s="326"/>
      <c r="BT105" s="326"/>
      <c r="BU105" s="326"/>
      <c r="BV105" s="327"/>
    </row>
    <row r="106" spans="1:74" ht="45" customHeight="1" x14ac:dyDescent="0.25">
      <c r="A106" s="10">
        <f t="shared" si="0"/>
        <v>92</v>
      </c>
      <c r="B106" s="559" t="s">
        <v>303</v>
      </c>
      <c r="C106" s="327"/>
      <c r="D106" s="560" t="s">
        <v>307</v>
      </c>
      <c r="E106" s="327"/>
      <c r="F106" s="537" t="s">
        <v>334</v>
      </c>
      <c r="G106" s="327"/>
      <c r="H106" s="561" t="s">
        <v>334</v>
      </c>
      <c r="I106" s="327"/>
      <c r="J106" s="562"/>
      <c r="K106" s="327"/>
      <c r="L106" s="562"/>
      <c r="M106" s="327"/>
      <c r="N106" s="23"/>
      <c r="O106" s="21"/>
      <c r="P106" s="563"/>
      <c r="Q106" s="327"/>
      <c r="R106" s="538"/>
      <c r="S106" s="327"/>
      <c r="T106" s="539"/>
      <c r="U106" s="327"/>
      <c r="V106" s="540"/>
      <c r="W106" s="327"/>
      <c r="X106" s="541" t="s">
        <v>303</v>
      </c>
      <c r="Y106" s="326"/>
      <c r="Z106" s="326"/>
      <c r="AA106" s="327"/>
      <c r="AB106" s="542" t="s">
        <v>303</v>
      </c>
      <c r="AC106" s="326"/>
      <c r="AD106" s="326"/>
      <c r="AE106" s="327"/>
      <c r="AF106" s="543"/>
      <c r="AG106" s="327"/>
      <c r="AH106" s="543"/>
      <c r="AI106" s="327"/>
      <c r="AJ106" s="536"/>
      <c r="AK106" s="327"/>
      <c r="AL106" s="537" t="s">
        <v>334</v>
      </c>
      <c r="AM106" s="327"/>
      <c r="AN106" s="546" t="s">
        <v>334</v>
      </c>
      <c r="AO106" s="327"/>
      <c r="AP106" s="547"/>
      <c r="AQ106" s="327"/>
      <c r="AR106" s="548"/>
      <c r="AS106" s="327"/>
      <c r="AT106" s="549"/>
      <c r="AU106" s="327"/>
      <c r="AV106" s="546" t="s">
        <v>334</v>
      </c>
      <c r="AW106" s="327"/>
      <c r="AX106" s="521"/>
      <c r="AY106" s="326"/>
      <c r="AZ106" s="327"/>
      <c r="BA106" s="550"/>
      <c r="BB106" s="327"/>
      <c r="BC106" s="25"/>
      <c r="BD106" s="544" t="s">
        <v>334</v>
      </c>
      <c r="BE106" s="327"/>
      <c r="BF106" s="545"/>
      <c r="BG106" s="326"/>
      <c r="BH106" s="326"/>
      <c r="BI106" s="327"/>
      <c r="BJ106" s="557" t="s">
        <v>303</v>
      </c>
      <c r="BK106" s="326"/>
      <c r="BL106" s="326"/>
      <c r="BM106" s="327"/>
      <c r="BN106" s="558" t="s">
        <v>303</v>
      </c>
      <c r="BO106" s="326"/>
      <c r="BP106" s="326"/>
      <c r="BQ106" s="326"/>
      <c r="BR106" s="326"/>
      <c r="BS106" s="326"/>
      <c r="BT106" s="326"/>
      <c r="BU106" s="326"/>
      <c r="BV106" s="327"/>
    </row>
    <row r="107" spans="1:74" ht="45" customHeight="1" x14ac:dyDescent="0.25">
      <c r="A107" s="10">
        <f t="shared" si="0"/>
        <v>93</v>
      </c>
      <c r="B107" s="564" t="s">
        <v>303</v>
      </c>
      <c r="C107" s="327"/>
      <c r="D107" s="565" t="s">
        <v>307</v>
      </c>
      <c r="E107" s="327"/>
      <c r="F107" s="537" t="s">
        <v>334</v>
      </c>
      <c r="G107" s="327"/>
      <c r="H107" s="566" t="s">
        <v>334</v>
      </c>
      <c r="I107" s="327"/>
      <c r="J107" s="567"/>
      <c r="K107" s="327"/>
      <c r="L107" s="567"/>
      <c r="M107" s="327"/>
      <c r="N107" s="20"/>
      <c r="O107" s="24"/>
      <c r="P107" s="524"/>
      <c r="Q107" s="327"/>
      <c r="R107" s="516"/>
      <c r="S107" s="327"/>
      <c r="T107" s="517"/>
      <c r="U107" s="327"/>
      <c r="V107" s="518"/>
      <c r="W107" s="327"/>
      <c r="X107" s="438" t="s">
        <v>303</v>
      </c>
      <c r="Y107" s="326"/>
      <c r="Z107" s="326"/>
      <c r="AA107" s="327"/>
      <c r="AB107" s="519" t="s">
        <v>303</v>
      </c>
      <c r="AC107" s="326"/>
      <c r="AD107" s="326"/>
      <c r="AE107" s="327"/>
      <c r="AF107" s="520"/>
      <c r="AG107" s="327"/>
      <c r="AH107" s="520"/>
      <c r="AI107" s="327"/>
      <c r="AJ107" s="554"/>
      <c r="AK107" s="327"/>
      <c r="AL107" s="556" t="s">
        <v>334</v>
      </c>
      <c r="AM107" s="327"/>
      <c r="AN107" s="553" t="s">
        <v>334</v>
      </c>
      <c r="AO107" s="327"/>
      <c r="AP107" s="554"/>
      <c r="AQ107" s="327"/>
      <c r="AR107" s="555"/>
      <c r="AS107" s="327"/>
      <c r="AT107" s="549"/>
      <c r="AU107" s="327"/>
      <c r="AV107" s="553" t="s">
        <v>334</v>
      </c>
      <c r="AW107" s="327"/>
      <c r="AX107" s="521"/>
      <c r="AY107" s="326"/>
      <c r="AZ107" s="327"/>
      <c r="BA107" s="536"/>
      <c r="BB107" s="327"/>
      <c r="BC107" s="22"/>
      <c r="BD107" s="551" t="s">
        <v>334</v>
      </c>
      <c r="BE107" s="327"/>
      <c r="BF107" s="552"/>
      <c r="BG107" s="326"/>
      <c r="BH107" s="326"/>
      <c r="BI107" s="327"/>
      <c r="BJ107" s="451" t="s">
        <v>303</v>
      </c>
      <c r="BK107" s="326"/>
      <c r="BL107" s="326"/>
      <c r="BM107" s="327"/>
      <c r="BN107" s="558" t="s">
        <v>303</v>
      </c>
      <c r="BO107" s="326"/>
      <c r="BP107" s="326"/>
      <c r="BQ107" s="326"/>
      <c r="BR107" s="326"/>
      <c r="BS107" s="326"/>
      <c r="BT107" s="326"/>
      <c r="BU107" s="326"/>
      <c r="BV107" s="327"/>
    </row>
    <row r="108" spans="1:74" ht="45" customHeight="1" x14ac:dyDescent="0.25">
      <c r="A108" s="10">
        <f t="shared" si="0"/>
        <v>94</v>
      </c>
      <c r="B108" s="559" t="s">
        <v>303</v>
      </c>
      <c r="C108" s="327"/>
      <c r="D108" s="560" t="s">
        <v>307</v>
      </c>
      <c r="E108" s="327"/>
      <c r="F108" s="537" t="s">
        <v>334</v>
      </c>
      <c r="G108" s="327"/>
      <c r="H108" s="561" t="s">
        <v>334</v>
      </c>
      <c r="I108" s="327"/>
      <c r="J108" s="562"/>
      <c r="K108" s="327"/>
      <c r="L108" s="562"/>
      <c r="M108" s="327"/>
      <c r="N108" s="23"/>
      <c r="O108" s="21"/>
      <c r="P108" s="563"/>
      <c r="Q108" s="327"/>
      <c r="R108" s="538"/>
      <c r="S108" s="327"/>
      <c r="T108" s="539"/>
      <c r="U108" s="327"/>
      <c r="V108" s="540"/>
      <c r="W108" s="327"/>
      <c r="X108" s="541" t="s">
        <v>303</v>
      </c>
      <c r="Y108" s="326"/>
      <c r="Z108" s="326"/>
      <c r="AA108" s="327"/>
      <c r="AB108" s="542" t="s">
        <v>303</v>
      </c>
      <c r="AC108" s="326"/>
      <c r="AD108" s="326"/>
      <c r="AE108" s="327"/>
      <c r="AF108" s="543"/>
      <c r="AG108" s="327"/>
      <c r="AH108" s="543"/>
      <c r="AI108" s="327"/>
      <c r="AJ108" s="536"/>
      <c r="AK108" s="327"/>
      <c r="AL108" s="537" t="s">
        <v>334</v>
      </c>
      <c r="AM108" s="327"/>
      <c r="AN108" s="546" t="s">
        <v>334</v>
      </c>
      <c r="AO108" s="327"/>
      <c r="AP108" s="547"/>
      <c r="AQ108" s="327"/>
      <c r="AR108" s="548"/>
      <c r="AS108" s="327"/>
      <c r="AT108" s="549"/>
      <c r="AU108" s="327"/>
      <c r="AV108" s="546" t="s">
        <v>334</v>
      </c>
      <c r="AW108" s="327"/>
      <c r="AX108" s="521"/>
      <c r="AY108" s="326"/>
      <c r="AZ108" s="327"/>
      <c r="BA108" s="550"/>
      <c r="BB108" s="327"/>
      <c r="BC108" s="25"/>
      <c r="BD108" s="544" t="s">
        <v>334</v>
      </c>
      <c r="BE108" s="327"/>
      <c r="BF108" s="545"/>
      <c r="BG108" s="326"/>
      <c r="BH108" s="326"/>
      <c r="BI108" s="327"/>
      <c r="BJ108" s="557" t="s">
        <v>303</v>
      </c>
      <c r="BK108" s="326"/>
      <c r="BL108" s="326"/>
      <c r="BM108" s="327"/>
      <c r="BN108" s="558" t="s">
        <v>303</v>
      </c>
      <c r="BO108" s="326"/>
      <c r="BP108" s="326"/>
      <c r="BQ108" s="326"/>
      <c r="BR108" s="326"/>
      <c r="BS108" s="326"/>
      <c r="BT108" s="326"/>
      <c r="BU108" s="326"/>
      <c r="BV108" s="327"/>
    </row>
    <row r="109" spans="1:74" ht="45" customHeight="1" x14ac:dyDescent="0.25">
      <c r="A109" s="10">
        <f t="shared" si="0"/>
        <v>95</v>
      </c>
      <c r="B109" s="564" t="s">
        <v>303</v>
      </c>
      <c r="C109" s="327"/>
      <c r="D109" s="565" t="s">
        <v>307</v>
      </c>
      <c r="E109" s="327"/>
      <c r="F109" s="537" t="s">
        <v>334</v>
      </c>
      <c r="G109" s="327"/>
      <c r="H109" s="566" t="s">
        <v>334</v>
      </c>
      <c r="I109" s="327"/>
      <c r="J109" s="567"/>
      <c r="K109" s="327"/>
      <c r="L109" s="567"/>
      <c r="M109" s="327"/>
      <c r="N109" s="20"/>
      <c r="O109" s="24"/>
      <c r="P109" s="524"/>
      <c r="Q109" s="327"/>
      <c r="R109" s="516"/>
      <c r="S109" s="327"/>
      <c r="T109" s="517"/>
      <c r="U109" s="327"/>
      <c r="V109" s="518"/>
      <c r="W109" s="327"/>
      <c r="X109" s="438" t="s">
        <v>303</v>
      </c>
      <c r="Y109" s="326"/>
      <c r="Z109" s="326"/>
      <c r="AA109" s="327"/>
      <c r="AB109" s="519" t="s">
        <v>303</v>
      </c>
      <c r="AC109" s="326"/>
      <c r="AD109" s="326"/>
      <c r="AE109" s="327"/>
      <c r="AF109" s="520"/>
      <c r="AG109" s="327"/>
      <c r="AH109" s="520"/>
      <c r="AI109" s="327"/>
      <c r="AJ109" s="554"/>
      <c r="AK109" s="327"/>
      <c r="AL109" s="556" t="s">
        <v>334</v>
      </c>
      <c r="AM109" s="327"/>
      <c r="AN109" s="553" t="s">
        <v>334</v>
      </c>
      <c r="AO109" s="327"/>
      <c r="AP109" s="554"/>
      <c r="AQ109" s="327"/>
      <c r="AR109" s="555"/>
      <c r="AS109" s="327"/>
      <c r="AT109" s="549"/>
      <c r="AU109" s="327"/>
      <c r="AV109" s="553" t="s">
        <v>334</v>
      </c>
      <c r="AW109" s="327"/>
      <c r="AX109" s="521"/>
      <c r="AY109" s="326"/>
      <c r="AZ109" s="327"/>
      <c r="BA109" s="536"/>
      <c r="BB109" s="327"/>
      <c r="BC109" s="22"/>
      <c r="BD109" s="551" t="s">
        <v>334</v>
      </c>
      <c r="BE109" s="327"/>
      <c r="BF109" s="508"/>
      <c r="BG109" s="326"/>
      <c r="BH109" s="326"/>
      <c r="BI109" s="327"/>
      <c r="BJ109" s="451" t="s">
        <v>303</v>
      </c>
      <c r="BK109" s="326"/>
      <c r="BL109" s="326"/>
      <c r="BM109" s="327"/>
      <c r="BN109" s="558" t="s">
        <v>303</v>
      </c>
      <c r="BO109" s="326"/>
      <c r="BP109" s="326"/>
      <c r="BQ109" s="326"/>
      <c r="BR109" s="326"/>
      <c r="BS109" s="326"/>
      <c r="BT109" s="326"/>
      <c r="BU109" s="326"/>
      <c r="BV109" s="327"/>
    </row>
    <row r="110" spans="1:74" ht="45" customHeight="1" x14ac:dyDescent="0.25">
      <c r="A110" s="10">
        <f t="shared" si="0"/>
        <v>96</v>
      </c>
      <c r="B110" s="559" t="s">
        <v>303</v>
      </c>
      <c r="C110" s="327"/>
      <c r="D110" s="560" t="s">
        <v>307</v>
      </c>
      <c r="E110" s="327"/>
      <c r="F110" s="537" t="s">
        <v>334</v>
      </c>
      <c r="G110" s="327"/>
      <c r="H110" s="561" t="s">
        <v>334</v>
      </c>
      <c r="I110" s="327"/>
      <c r="J110" s="562"/>
      <c r="K110" s="327"/>
      <c r="L110" s="562"/>
      <c r="M110" s="327"/>
      <c r="N110" s="23"/>
      <c r="O110" s="21"/>
      <c r="P110" s="563"/>
      <c r="Q110" s="327"/>
      <c r="R110" s="538"/>
      <c r="S110" s="327"/>
      <c r="T110" s="539"/>
      <c r="U110" s="327"/>
      <c r="V110" s="540"/>
      <c r="W110" s="327"/>
      <c r="X110" s="541" t="s">
        <v>303</v>
      </c>
      <c r="Y110" s="326"/>
      <c r="Z110" s="326"/>
      <c r="AA110" s="327"/>
      <c r="AB110" s="542" t="s">
        <v>303</v>
      </c>
      <c r="AC110" s="326"/>
      <c r="AD110" s="326"/>
      <c r="AE110" s="327"/>
      <c r="AF110" s="543"/>
      <c r="AG110" s="327"/>
      <c r="AH110" s="543"/>
      <c r="AI110" s="327"/>
      <c r="AJ110" s="536"/>
      <c r="AK110" s="327"/>
      <c r="AL110" s="537" t="s">
        <v>334</v>
      </c>
      <c r="AM110" s="327"/>
      <c r="AN110" s="546" t="s">
        <v>334</v>
      </c>
      <c r="AO110" s="327"/>
      <c r="AP110" s="547"/>
      <c r="AQ110" s="327"/>
      <c r="AR110" s="548"/>
      <c r="AS110" s="327"/>
      <c r="AT110" s="549"/>
      <c r="AU110" s="327"/>
      <c r="AV110" s="546" t="s">
        <v>334</v>
      </c>
      <c r="AW110" s="327"/>
      <c r="AX110" s="521"/>
      <c r="AY110" s="326"/>
      <c r="AZ110" s="327"/>
      <c r="BA110" s="550"/>
      <c r="BB110" s="327"/>
      <c r="BC110" s="25"/>
      <c r="BD110" s="544" t="s">
        <v>334</v>
      </c>
      <c r="BE110" s="327"/>
      <c r="BF110" s="545"/>
      <c r="BG110" s="326"/>
      <c r="BH110" s="326"/>
      <c r="BI110" s="327"/>
      <c r="BJ110" s="557" t="s">
        <v>303</v>
      </c>
      <c r="BK110" s="326"/>
      <c r="BL110" s="326"/>
      <c r="BM110" s="327"/>
      <c r="BN110" s="558" t="s">
        <v>303</v>
      </c>
      <c r="BO110" s="326"/>
      <c r="BP110" s="326"/>
      <c r="BQ110" s="326"/>
      <c r="BR110" s="326"/>
      <c r="BS110" s="326"/>
      <c r="BT110" s="326"/>
      <c r="BU110" s="326"/>
      <c r="BV110" s="327"/>
    </row>
    <row r="111" spans="1:74" ht="45" customHeight="1" x14ac:dyDescent="0.25">
      <c r="A111" s="10">
        <f t="shared" si="0"/>
        <v>97</v>
      </c>
      <c r="B111" s="564" t="s">
        <v>303</v>
      </c>
      <c r="C111" s="327"/>
      <c r="D111" s="565" t="s">
        <v>307</v>
      </c>
      <c r="E111" s="327"/>
      <c r="F111" s="537" t="s">
        <v>334</v>
      </c>
      <c r="G111" s="327"/>
      <c r="H111" s="566" t="s">
        <v>334</v>
      </c>
      <c r="I111" s="327"/>
      <c r="J111" s="567"/>
      <c r="K111" s="327"/>
      <c r="L111" s="567"/>
      <c r="M111" s="327"/>
      <c r="N111" s="20"/>
      <c r="O111" s="24"/>
      <c r="P111" s="524"/>
      <c r="Q111" s="327"/>
      <c r="R111" s="516"/>
      <c r="S111" s="327"/>
      <c r="T111" s="517"/>
      <c r="U111" s="327"/>
      <c r="V111" s="518"/>
      <c r="W111" s="327"/>
      <c r="X111" s="438" t="s">
        <v>303</v>
      </c>
      <c r="Y111" s="326"/>
      <c r="Z111" s="326"/>
      <c r="AA111" s="327"/>
      <c r="AB111" s="519" t="s">
        <v>303</v>
      </c>
      <c r="AC111" s="326"/>
      <c r="AD111" s="326"/>
      <c r="AE111" s="327"/>
      <c r="AF111" s="520"/>
      <c r="AG111" s="327"/>
      <c r="AH111" s="520"/>
      <c r="AI111" s="327"/>
      <c r="AJ111" s="554"/>
      <c r="AK111" s="327"/>
      <c r="AL111" s="556" t="s">
        <v>334</v>
      </c>
      <c r="AM111" s="327"/>
      <c r="AN111" s="553" t="s">
        <v>334</v>
      </c>
      <c r="AO111" s="327"/>
      <c r="AP111" s="554"/>
      <c r="AQ111" s="327"/>
      <c r="AR111" s="555"/>
      <c r="AS111" s="327"/>
      <c r="AT111" s="549"/>
      <c r="AU111" s="327"/>
      <c r="AV111" s="553" t="s">
        <v>334</v>
      </c>
      <c r="AW111" s="327"/>
      <c r="AX111" s="521"/>
      <c r="AY111" s="326"/>
      <c r="AZ111" s="327"/>
      <c r="BA111" s="536"/>
      <c r="BB111" s="327"/>
      <c r="BC111" s="22"/>
      <c r="BD111" s="551" t="s">
        <v>334</v>
      </c>
      <c r="BE111" s="327"/>
      <c r="BF111" s="552"/>
      <c r="BG111" s="326"/>
      <c r="BH111" s="326"/>
      <c r="BI111" s="327"/>
      <c r="BJ111" s="451" t="s">
        <v>303</v>
      </c>
      <c r="BK111" s="326"/>
      <c r="BL111" s="326"/>
      <c r="BM111" s="327"/>
      <c r="BN111" s="558" t="s">
        <v>303</v>
      </c>
      <c r="BO111" s="326"/>
      <c r="BP111" s="326"/>
      <c r="BQ111" s="326"/>
      <c r="BR111" s="326"/>
      <c r="BS111" s="326"/>
      <c r="BT111" s="326"/>
      <c r="BU111" s="326"/>
      <c r="BV111" s="327"/>
    </row>
    <row r="112" spans="1:74" ht="45" customHeight="1" x14ac:dyDescent="0.25">
      <c r="A112" s="10">
        <f t="shared" si="0"/>
        <v>98</v>
      </c>
      <c r="B112" s="559" t="s">
        <v>303</v>
      </c>
      <c r="C112" s="327"/>
      <c r="D112" s="560" t="s">
        <v>307</v>
      </c>
      <c r="E112" s="327"/>
      <c r="F112" s="537" t="s">
        <v>334</v>
      </c>
      <c r="G112" s="327"/>
      <c r="H112" s="561" t="s">
        <v>334</v>
      </c>
      <c r="I112" s="327"/>
      <c r="J112" s="562"/>
      <c r="K112" s="327"/>
      <c r="L112" s="562"/>
      <c r="M112" s="327"/>
      <c r="N112" s="23"/>
      <c r="O112" s="21"/>
      <c r="P112" s="563"/>
      <c r="Q112" s="327"/>
      <c r="R112" s="538"/>
      <c r="S112" s="327"/>
      <c r="T112" s="539"/>
      <c r="U112" s="327"/>
      <c r="V112" s="540"/>
      <c r="W112" s="327"/>
      <c r="X112" s="541" t="s">
        <v>303</v>
      </c>
      <c r="Y112" s="326"/>
      <c r="Z112" s="326"/>
      <c r="AA112" s="327"/>
      <c r="AB112" s="542" t="s">
        <v>303</v>
      </c>
      <c r="AC112" s="326"/>
      <c r="AD112" s="326"/>
      <c r="AE112" s="327"/>
      <c r="AF112" s="543"/>
      <c r="AG112" s="327"/>
      <c r="AH112" s="543"/>
      <c r="AI112" s="327"/>
      <c r="AJ112" s="536"/>
      <c r="AK112" s="327"/>
      <c r="AL112" s="537" t="s">
        <v>334</v>
      </c>
      <c r="AM112" s="327"/>
      <c r="AN112" s="546" t="s">
        <v>334</v>
      </c>
      <c r="AO112" s="327"/>
      <c r="AP112" s="547"/>
      <c r="AQ112" s="327"/>
      <c r="AR112" s="548"/>
      <c r="AS112" s="327"/>
      <c r="AT112" s="549"/>
      <c r="AU112" s="327"/>
      <c r="AV112" s="546" t="s">
        <v>334</v>
      </c>
      <c r="AW112" s="327"/>
      <c r="AX112" s="521"/>
      <c r="AY112" s="326"/>
      <c r="AZ112" s="327"/>
      <c r="BA112" s="550"/>
      <c r="BB112" s="327"/>
      <c r="BC112" s="25"/>
      <c r="BD112" s="544" t="s">
        <v>334</v>
      </c>
      <c r="BE112" s="327"/>
      <c r="BF112" s="545"/>
      <c r="BG112" s="326"/>
      <c r="BH112" s="326"/>
      <c r="BI112" s="327"/>
      <c r="BJ112" s="557" t="s">
        <v>303</v>
      </c>
      <c r="BK112" s="326"/>
      <c r="BL112" s="326"/>
      <c r="BM112" s="327"/>
      <c r="BN112" s="558" t="s">
        <v>303</v>
      </c>
      <c r="BO112" s="326"/>
      <c r="BP112" s="326"/>
      <c r="BQ112" s="326"/>
      <c r="BR112" s="326"/>
      <c r="BS112" s="326"/>
      <c r="BT112" s="326"/>
      <c r="BU112" s="326"/>
      <c r="BV112" s="327"/>
    </row>
    <row r="113" spans="1:74" ht="45" customHeight="1" x14ac:dyDescent="0.25">
      <c r="A113" s="10">
        <f t="shared" si="0"/>
        <v>99</v>
      </c>
      <c r="B113" s="564" t="s">
        <v>303</v>
      </c>
      <c r="C113" s="327"/>
      <c r="D113" s="565" t="s">
        <v>307</v>
      </c>
      <c r="E113" s="327"/>
      <c r="F113" s="537" t="s">
        <v>334</v>
      </c>
      <c r="G113" s="327"/>
      <c r="H113" s="566" t="s">
        <v>334</v>
      </c>
      <c r="I113" s="327"/>
      <c r="J113" s="567"/>
      <c r="K113" s="327"/>
      <c r="L113" s="567"/>
      <c r="M113" s="327"/>
      <c r="N113" s="20"/>
      <c r="O113" s="24"/>
      <c r="P113" s="524"/>
      <c r="Q113" s="327"/>
      <c r="R113" s="516"/>
      <c r="S113" s="327"/>
      <c r="T113" s="517"/>
      <c r="U113" s="327"/>
      <c r="V113" s="518"/>
      <c r="W113" s="327"/>
      <c r="X113" s="438" t="s">
        <v>303</v>
      </c>
      <c r="Y113" s="326"/>
      <c r="Z113" s="326"/>
      <c r="AA113" s="327"/>
      <c r="AB113" s="519" t="s">
        <v>303</v>
      </c>
      <c r="AC113" s="326"/>
      <c r="AD113" s="326"/>
      <c r="AE113" s="327"/>
      <c r="AF113" s="520"/>
      <c r="AG113" s="327"/>
      <c r="AH113" s="520"/>
      <c r="AI113" s="327"/>
      <c r="AJ113" s="554"/>
      <c r="AK113" s="327"/>
      <c r="AL113" s="556" t="s">
        <v>334</v>
      </c>
      <c r="AM113" s="327"/>
      <c r="AN113" s="553" t="s">
        <v>334</v>
      </c>
      <c r="AO113" s="327"/>
      <c r="AP113" s="554"/>
      <c r="AQ113" s="327"/>
      <c r="AR113" s="555"/>
      <c r="AS113" s="327"/>
      <c r="AT113" s="549"/>
      <c r="AU113" s="327"/>
      <c r="AV113" s="553" t="s">
        <v>334</v>
      </c>
      <c r="AW113" s="327"/>
      <c r="AX113" s="521"/>
      <c r="AY113" s="326"/>
      <c r="AZ113" s="327"/>
      <c r="BA113" s="536"/>
      <c r="BB113" s="327"/>
      <c r="BC113" s="22"/>
      <c r="BD113" s="551" t="s">
        <v>334</v>
      </c>
      <c r="BE113" s="327"/>
      <c r="BF113" s="508"/>
      <c r="BG113" s="326"/>
      <c r="BH113" s="326"/>
      <c r="BI113" s="327"/>
      <c r="BJ113" s="451" t="s">
        <v>303</v>
      </c>
      <c r="BK113" s="326"/>
      <c r="BL113" s="326"/>
      <c r="BM113" s="327"/>
      <c r="BN113" s="558" t="s">
        <v>303</v>
      </c>
      <c r="BO113" s="326"/>
      <c r="BP113" s="326"/>
      <c r="BQ113" s="326"/>
      <c r="BR113" s="326"/>
      <c r="BS113" s="326"/>
      <c r="BT113" s="326"/>
      <c r="BU113" s="326"/>
      <c r="BV113" s="327"/>
    </row>
    <row r="114" spans="1:74" ht="45" customHeight="1" x14ac:dyDescent="0.25">
      <c r="A114" s="10">
        <f t="shared" si="0"/>
        <v>100</v>
      </c>
      <c r="B114" s="559" t="s">
        <v>303</v>
      </c>
      <c r="C114" s="327"/>
      <c r="D114" s="560" t="s">
        <v>307</v>
      </c>
      <c r="E114" s="327"/>
      <c r="F114" s="537" t="s">
        <v>334</v>
      </c>
      <c r="G114" s="327"/>
      <c r="H114" s="561" t="s">
        <v>334</v>
      </c>
      <c r="I114" s="327"/>
      <c r="J114" s="562"/>
      <c r="K114" s="327"/>
      <c r="L114" s="562"/>
      <c r="M114" s="327"/>
      <c r="N114" s="23"/>
      <c r="O114" s="21"/>
      <c r="P114" s="563"/>
      <c r="Q114" s="327"/>
      <c r="R114" s="538"/>
      <c r="S114" s="327"/>
      <c r="T114" s="539"/>
      <c r="U114" s="327"/>
      <c r="V114" s="540"/>
      <c r="W114" s="327"/>
      <c r="X114" s="541" t="s">
        <v>303</v>
      </c>
      <c r="Y114" s="326"/>
      <c r="Z114" s="326"/>
      <c r="AA114" s="327"/>
      <c r="AB114" s="542" t="s">
        <v>303</v>
      </c>
      <c r="AC114" s="326"/>
      <c r="AD114" s="326"/>
      <c r="AE114" s="327"/>
      <c r="AF114" s="543"/>
      <c r="AG114" s="327"/>
      <c r="AH114" s="543"/>
      <c r="AI114" s="327"/>
      <c r="AJ114" s="536"/>
      <c r="AK114" s="327"/>
      <c r="AL114" s="537" t="s">
        <v>334</v>
      </c>
      <c r="AM114" s="327"/>
      <c r="AN114" s="546" t="s">
        <v>334</v>
      </c>
      <c r="AO114" s="327"/>
      <c r="AP114" s="547"/>
      <c r="AQ114" s="327"/>
      <c r="AR114" s="548"/>
      <c r="AS114" s="327"/>
      <c r="AT114" s="549"/>
      <c r="AU114" s="327"/>
      <c r="AV114" s="546" t="s">
        <v>334</v>
      </c>
      <c r="AW114" s="327"/>
      <c r="AX114" s="521"/>
      <c r="AY114" s="326"/>
      <c r="AZ114" s="327"/>
      <c r="BA114" s="550"/>
      <c r="BB114" s="327"/>
      <c r="BC114" s="25"/>
      <c r="BD114" s="544" t="s">
        <v>334</v>
      </c>
      <c r="BE114" s="327"/>
      <c r="BF114" s="545"/>
      <c r="BG114" s="326"/>
      <c r="BH114" s="326"/>
      <c r="BI114" s="327"/>
      <c r="BJ114" s="557" t="s">
        <v>303</v>
      </c>
      <c r="BK114" s="326"/>
      <c r="BL114" s="326"/>
      <c r="BM114" s="327"/>
      <c r="BN114" s="558" t="s">
        <v>303</v>
      </c>
      <c r="BO114" s="326"/>
      <c r="BP114" s="326"/>
      <c r="BQ114" s="326"/>
      <c r="BR114" s="326"/>
      <c r="BS114" s="326"/>
      <c r="BT114" s="326"/>
      <c r="BU114" s="326"/>
      <c r="BV114" s="327"/>
    </row>
    <row r="115" spans="1:74" ht="45" customHeight="1" x14ac:dyDescent="0.25">
      <c r="A115" s="10">
        <f t="shared" si="0"/>
        <v>101</v>
      </c>
      <c r="B115" s="564" t="s">
        <v>303</v>
      </c>
      <c r="C115" s="327"/>
      <c r="D115" s="565" t="s">
        <v>307</v>
      </c>
      <c r="E115" s="327"/>
      <c r="F115" s="537" t="s">
        <v>334</v>
      </c>
      <c r="G115" s="327"/>
      <c r="H115" s="566" t="s">
        <v>334</v>
      </c>
      <c r="I115" s="327"/>
      <c r="J115" s="567"/>
      <c r="K115" s="327"/>
      <c r="L115" s="567"/>
      <c r="M115" s="327"/>
      <c r="N115" s="20"/>
      <c r="O115" s="24"/>
      <c r="P115" s="524"/>
      <c r="Q115" s="327"/>
      <c r="R115" s="516"/>
      <c r="S115" s="327"/>
      <c r="T115" s="517"/>
      <c r="U115" s="327"/>
      <c r="V115" s="518"/>
      <c r="W115" s="327"/>
      <c r="X115" s="438" t="s">
        <v>303</v>
      </c>
      <c r="Y115" s="326"/>
      <c r="Z115" s="326"/>
      <c r="AA115" s="327"/>
      <c r="AB115" s="519" t="s">
        <v>303</v>
      </c>
      <c r="AC115" s="326"/>
      <c r="AD115" s="326"/>
      <c r="AE115" s="327"/>
      <c r="AF115" s="520"/>
      <c r="AG115" s="327"/>
      <c r="AH115" s="520"/>
      <c r="AI115" s="327"/>
      <c r="AJ115" s="554"/>
      <c r="AK115" s="327"/>
      <c r="AL115" s="556" t="s">
        <v>334</v>
      </c>
      <c r="AM115" s="327"/>
      <c r="AN115" s="553" t="s">
        <v>334</v>
      </c>
      <c r="AO115" s="327"/>
      <c r="AP115" s="554"/>
      <c r="AQ115" s="327"/>
      <c r="AR115" s="555"/>
      <c r="AS115" s="327"/>
      <c r="AT115" s="549"/>
      <c r="AU115" s="327"/>
      <c r="AV115" s="553" t="s">
        <v>334</v>
      </c>
      <c r="AW115" s="327"/>
      <c r="AX115" s="521"/>
      <c r="AY115" s="326"/>
      <c r="AZ115" s="327"/>
      <c r="BA115" s="536"/>
      <c r="BB115" s="327"/>
      <c r="BC115" s="22"/>
      <c r="BD115" s="551" t="s">
        <v>334</v>
      </c>
      <c r="BE115" s="327"/>
      <c r="BF115" s="508"/>
      <c r="BG115" s="326"/>
      <c r="BH115" s="326"/>
      <c r="BI115" s="327"/>
      <c r="BJ115" s="451" t="s">
        <v>303</v>
      </c>
      <c r="BK115" s="326"/>
      <c r="BL115" s="326"/>
      <c r="BM115" s="327"/>
      <c r="BN115" s="558" t="s">
        <v>303</v>
      </c>
      <c r="BO115" s="326"/>
      <c r="BP115" s="326"/>
      <c r="BQ115" s="326"/>
      <c r="BR115" s="326"/>
      <c r="BS115" s="326"/>
      <c r="BT115" s="326"/>
      <c r="BU115" s="326"/>
      <c r="BV115" s="327"/>
    </row>
    <row r="116" spans="1:74" ht="45" customHeight="1" x14ac:dyDescent="0.25">
      <c r="A116" s="10">
        <f t="shared" si="0"/>
        <v>102</v>
      </c>
      <c r="B116" s="559" t="s">
        <v>303</v>
      </c>
      <c r="C116" s="327"/>
      <c r="D116" s="560" t="s">
        <v>307</v>
      </c>
      <c r="E116" s="327"/>
      <c r="F116" s="537" t="s">
        <v>334</v>
      </c>
      <c r="G116" s="327"/>
      <c r="H116" s="561" t="s">
        <v>334</v>
      </c>
      <c r="I116" s="327"/>
      <c r="J116" s="562"/>
      <c r="K116" s="327"/>
      <c r="L116" s="562"/>
      <c r="M116" s="327"/>
      <c r="N116" s="23"/>
      <c r="O116" s="21"/>
      <c r="P116" s="563"/>
      <c r="Q116" s="327"/>
      <c r="R116" s="538"/>
      <c r="S116" s="327"/>
      <c r="T116" s="539"/>
      <c r="U116" s="327"/>
      <c r="V116" s="540"/>
      <c r="W116" s="327"/>
      <c r="X116" s="541" t="s">
        <v>303</v>
      </c>
      <c r="Y116" s="326"/>
      <c r="Z116" s="326"/>
      <c r="AA116" s="327"/>
      <c r="AB116" s="542" t="s">
        <v>303</v>
      </c>
      <c r="AC116" s="326"/>
      <c r="AD116" s="326"/>
      <c r="AE116" s="327"/>
      <c r="AF116" s="543"/>
      <c r="AG116" s="327"/>
      <c r="AH116" s="543"/>
      <c r="AI116" s="327"/>
      <c r="AJ116" s="536"/>
      <c r="AK116" s="327"/>
      <c r="AL116" s="537" t="s">
        <v>334</v>
      </c>
      <c r="AM116" s="327"/>
      <c r="AN116" s="546" t="s">
        <v>334</v>
      </c>
      <c r="AO116" s="327"/>
      <c r="AP116" s="547"/>
      <c r="AQ116" s="327"/>
      <c r="AR116" s="548"/>
      <c r="AS116" s="327"/>
      <c r="AT116" s="549"/>
      <c r="AU116" s="327"/>
      <c r="AV116" s="546" t="s">
        <v>334</v>
      </c>
      <c r="AW116" s="327"/>
      <c r="AX116" s="521"/>
      <c r="AY116" s="326"/>
      <c r="AZ116" s="327"/>
      <c r="BA116" s="550"/>
      <c r="BB116" s="327"/>
      <c r="BC116" s="25"/>
      <c r="BD116" s="544" t="s">
        <v>334</v>
      </c>
      <c r="BE116" s="327"/>
      <c r="BF116" s="545"/>
      <c r="BG116" s="326"/>
      <c r="BH116" s="326"/>
      <c r="BI116" s="327"/>
      <c r="BJ116" s="557" t="s">
        <v>303</v>
      </c>
      <c r="BK116" s="326"/>
      <c r="BL116" s="326"/>
      <c r="BM116" s="327"/>
      <c r="BN116" s="558" t="s">
        <v>303</v>
      </c>
      <c r="BO116" s="326"/>
      <c r="BP116" s="326"/>
      <c r="BQ116" s="326"/>
      <c r="BR116" s="326"/>
      <c r="BS116" s="326"/>
      <c r="BT116" s="326"/>
      <c r="BU116" s="326"/>
      <c r="BV116" s="327"/>
    </row>
    <row r="117" spans="1:74" ht="45" customHeight="1" x14ac:dyDescent="0.25">
      <c r="A117" s="10">
        <f t="shared" si="0"/>
        <v>103</v>
      </c>
      <c r="B117" s="564" t="s">
        <v>303</v>
      </c>
      <c r="C117" s="327"/>
      <c r="D117" s="565" t="s">
        <v>307</v>
      </c>
      <c r="E117" s="327"/>
      <c r="F117" s="537" t="s">
        <v>334</v>
      </c>
      <c r="G117" s="327"/>
      <c r="H117" s="566" t="s">
        <v>334</v>
      </c>
      <c r="I117" s="327"/>
      <c r="J117" s="567"/>
      <c r="K117" s="327"/>
      <c r="L117" s="567"/>
      <c r="M117" s="327"/>
      <c r="N117" s="20"/>
      <c r="O117" s="24"/>
      <c r="P117" s="524"/>
      <c r="Q117" s="327"/>
      <c r="R117" s="516"/>
      <c r="S117" s="327"/>
      <c r="T117" s="517"/>
      <c r="U117" s="327"/>
      <c r="V117" s="518"/>
      <c r="W117" s="327"/>
      <c r="X117" s="438" t="s">
        <v>303</v>
      </c>
      <c r="Y117" s="326"/>
      <c r="Z117" s="326"/>
      <c r="AA117" s="327"/>
      <c r="AB117" s="519" t="s">
        <v>303</v>
      </c>
      <c r="AC117" s="326"/>
      <c r="AD117" s="326"/>
      <c r="AE117" s="327"/>
      <c r="AF117" s="520"/>
      <c r="AG117" s="327"/>
      <c r="AH117" s="520"/>
      <c r="AI117" s="327"/>
      <c r="AJ117" s="554"/>
      <c r="AK117" s="327"/>
      <c r="AL117" s="556" t="s">
        <v>334</v>
      </c>
      <c r="AM117" s="327"/>
      <c r="AN117" s="553" t="s">
        <v>334</v>
      </c>
      <c r="AO117" s="327"/>
      <c r="AP117" s="554"/>
      <c r="AQ117" s="327"/>
      <c r="AR117" s="555"/>
      <c r="AS117" s="327"/>
      <c r="AT117" s="549"/>
      <c r="AU117" s="327"/>
      <c r="AV117" s="553" t="s">
        <v>334</v>
      </c>
      <c r="AW117" s="327"/>
      <c r="AX117" s="521"/>
      <c r="AY117" s="326"/>
      <c r="AZ117" s="327"/>
      <c r="BA117" s="536"/>
      <c r="BB117" s="327"/>
      <c r="BC117" s="22"/>
      <c r="BD117" s="551" t="s">
        <v>334</v>
      </c>
      <c r="BE117" s="327"/>
      <c r="BF117" s="552"/>
      <c r="BG117" s="326"/>
      <c r="BH117" s="326"/>
      <c r="BI117" s="327"/>
      <c r="BJ117" s="451" t="s">
        <v>303</v>
      </c>
      <c r="BK117" s="326"/>
      <c r="BL117" s="326"/>
      <c r="BM117" s="327"/>
      <c r="BN117" s="558" t="s">
        <v>303</v>
      </c>
      <c r="BO117" s="326"/>
      <c r="BP117" s="326"/>
      <c r="BQ117" s="326"/>
      <c r="BR117" s="326"/>
      <c r="BS117" s="326"/>
      <c r="BT117" s="326"/>
      <c r="BU117" s="326"/>
      <c r="BV117" s="327"/>
    </row>
    <row r="118" spans="1:74" ht="45" customHeight="1" x14ac:dyDescent="0.25">
      <c r="A118" s="10">
        <f t="shared" si="0"/>
        <v>104</v>
      </c>
      <c r="B118" s="559" t="s">
        <v>303</v>
      </c>
      <c r="C118" s="327"/>
      <c r="D118" s="560" t="s">
        <v>307</v>
      </c>
      <c r="E118" s="327"/>
      <c r="F118" s="537" t="s">
        <v>334</v>
      </c>
      <c r="G118" s="327"/>
      <c r="H118" s="561" t="s">
        <v>334</v>
      </c>
      <c r="I118" s="327"/>
      <c r="J118" s="562"/>
      <c r="K118" s="327"/>
      <c r="L118" s="562"/>
      <c r="M118" s="327"/>
      <c r="N118" s="23"/>
      <c r="O118" s="21"/>
      <c r="P118" s="563"/>
      <c r="Q118" s="327"/>
      <c r="R118" s="538"/>
      <c r="S118" s="327"/>
      <c r="T118" s="539"/>
      <c r="U118" s="327"/>
      <c r="V118" s="540"/>
      <c r="W118" s="327"/>
      <c r="X118" s="541" t="s">
        <v>303</v>
      </c>
      <c r="Y118" s="326"/>
      <c r="Z118" s="326"/>
      <c r="AA118" s="327"/>
      <c r="AB118" s="542" t="s">
        <v>303</v>
      </c>
      <c r="AC118" s="326"/>
      <c r="AD118" s="326"/>
      <c r="AE118" s="327"/>
      <c r="AF118" s="543"/>
      <c r="AG118" s="327"/>
      <c r="AH118" s="543"/>
      <c r="AI118" s="327"/>
      <c r="AJ118" s="536"/>
      <c r="AK118" s="327"/>
      <c r="AL118" s="537" t="s">
        <v>334</v>
      </c>
      <c r="AM118" s="327"/>
      <c r="AN118" s="546" t="s">
        <v>334</v>
      </c>
      <c r="AO118" s="327"/>
      <c r="AP118" s="547"/>
      <c r="AQ118" s="327"/>
      <c r="AR118" s="548"/>
      <c r="AS118" s="327"/>
      <c r="AT118" s="549"/>
      <c r="AU118" s="327"/>
      <c r="AV118" s="546" t="s">
        <v>334</v>
      </c>
      <c r="AW118" s="327"/>
      <c r="AX118" s="521"/>
      <c r="AY118" s="326"/>
      <c r="AZ118" s="327"/>
      <c r="BA118" s="550"/>
      <c r="BB118" s="327"/>
      <c r="BC118" s="25"/>
      <c r="BD118" s="544" t="s">
        <v>334</v>
      </c>
      <c r="BE118" s="327"/>
      <c r="BF118" s="545"/>
      <c r="BG118" s="326"/>
      <c r="BH118" s="326"/>
      <c r="BI118" s="327"/>
      <c r="BJ118" s="557" t="s">
        <v>303</v>
      </c>
      <c r="BK118" s="326"/>
      <c r="BL118" s="326"/>
      <c r="BM118" s="327"/>
      <c r="BN118" s="558" t="s">
        <v>303</v>
      </c>
      <c r="BO118" s="326"/>
      <c r="BP118" s="326"/>
      <c r="BQ118" s="326"/>
      <c r="BR118" s="326"/>
      <c r="BS118" s="326"/>
      <c r="BT118" s="326"/>
      <c r="BU118" s="326"/>
      <c r="BV118" s="327"/>
    </row>
    <row r="119" spans="1:74" ht="45" customHeight="1" x14ac:dyDescent="0.25">
      <c r="A119" s="10">
        <f t="shared" si="0"/>
        <v>105</v>
      </c>
      <c r="B119" s="564" t="s">
        <v>303</v>
      </c>
      <c r="C119" s="327"/>
      <c r="D119" s="565" t="s">
        <v>307</v>
      </c>
      <c r="E119" s="327"/>
      <c r="F119" s="537" t="s">
        <v>334</v>
      </c>
      <c r="G119" s="327"/>
      <c r="H119" s="566" t="s">
        <v>334</v>
      </c>
      <c r="I119" s="327"/>
      <c r="J119" s="567"/>
      <c r="K119" s="327"/>
      <c r="L119" s="567"/>
      <c r="M119" s="327"/>
      <c r="N119" s="20"/>
      <c r="O119" s="24"/>
      <c r="P119" s="524"/>
      <c r="Q119" s="327"/>
      <c r="R119" s="516"/>
      <c r="S119" s="327"/>
      <c r="T119" s="517"/>
      <c r="U119" s="327"/>
      <c r="V119" s="518"/>
      <c r="W119" s="327"/>
      <c r="X119" s="438" t="s">
        <v>303</v>
      </c>
      <c r="Y119" s="326"/>
      <c r="Z119" s="326"/>
      <c r="AA119" s="327"/>
      <c r="AB119" s="519" t="s">
        <v>303</v>
      </c>
      <c r="AC119" s="326"/>
      <c r="AD119" s="326"/>
      <c r="AE119" s="327"/>
      <c r="AF119" s="520"/>
      <c r="AG119" s="327"/>
      <c r="AH119" s="520"/>
      <c r="AI119" s="327"/>
      <c r="AJ119" s="554"/>
      <c r="AK119" s="327"/>
      <c r="AL119" s="556" t="s">
        <v>334</v>
      </c>
      <c r="AM119" s="327"/>
      <c r="AN119" s="553" t="s">
        <v>334</v>
      </c>
      <c r="AO119" s="327"/>
      <c r="AP119" s="554"/>
      <c r="AQ119" s="327"/>
      <c r="AR119" s="555"/>
      <c r="AS119" s="327"/>
      <c r="AT119" s="549"/>
      <c r="AU119" s="327"/>
      <c r="AV119" s="553" t="s">
        <v>334</v>
      </c>
      <c r="AW119" s="327"/>
      <c r="AX119" s="521"/>
      <c r="AY119" s="326"/>
      <c r="AZ119" s="327"/>
      <c r="BA119" s="536"/>
      <c r="BB119" s="327"/>
      <c r="BC119" s="22"/>
      <c r="BD119" s="551" t="s">
        <v>334</v>
      </c>
      <c r="BE119" s="327"/>
      <c r="BF119" s="508"/>
      <c r="BG119" s="326"/>
      <c r="BH119" s="326"/>
      <c r="BI119" s="327"/>
      <c r="BJ119" s="451" t="s">
        <v>303</v>
      </c>
      <c r="BK119" s="326"/>
      <c r="BL119" s="326"/>
      <c r="BM119" s="327"/>
      <c r="BN119" s="558" t="s">
        <v>303</v>
      </c>
      <c r="BO119" s="326"/>
      <c r="BP119" s="326"/>
      <c r="BQ119" s="326"/>
      <c r="BR119" s="326"/>
      <c r="BS119" s="326"/>
      <c r="BT119" s="326"/>
      <c r="BU119" s="326"/>
      <c r="BV119" s="327"/>
    </row>
    <row r="120" spans="1:74" ht="45" customHeight="1" x14ac:dyDescent="0.25">
      <c r="A120" s="10">
        <f t="shared" si="0"/>
        <v>106</v>
      </c>
      <c r="B120" s="559" t="s">
        <v>303</v>
      </c>
      <c r="C120" s="327"/>
      <c r="D120" s="560" t="s">
        <v>307</v>
      </c>
      <c r="E120" s="327"/>
      <c r="F120" s="537" t="s">
        <v>334</v>
      </c>
      <c r="G120" s="327"/>
      <c r="H120" s="561" t="s">
        <v>334</v>
      </c>
      <c r="I120" s="327"/>
      <c r="J120" s="562"/>
      <c r="K120" s="327"/>
      <c r="L120" s="562"/>
      <c r="M120" s="327"/>
      <c r="N120" s="23"/>
      <c r="O120" s="21"/>
      <c r="P120" s="563"/>
      <c r="Q120" s="327"/>
      <c r="R120" s="538"/>
      <c r="S120" s="327"/>
      <c r="T120" s="539"/>
      <c r="U120" s="327"/>
      <c r="V120" s="540"/>
      <c r="W120" s="327"/>
      <c r="X120" s="541" t="s">
        <v>303</v>
      </c>
      <c r="Y120" s="326"/>
      <c r="Z120" s="326"/>
      <c r="AA120" s="327"/>
      <c r="AB120" s="542" t="s">
        <v>303</v>
      </c>
      <c r="AC120" s="326"/>
      <c r="AD120" s="326"/>
      <c r="AE120" s="327"/>
      <c r="AF120" s="543"/>
      <c r="AG120" s="327"/>
      <c r="AH120" s="543"/>
      <c r="AI120" s="327"/>
      <c r="AJ120" s="536"/>
      <c r="AK120" s="327"/>
      <c r="AL120" s="537" t="s">
        <v>334</v>
      </c>
      <c r="AM120" s="327"/>
      <c r="AN120" s="546" t="s">
        <v>334</v>
      </c>
      <c r="AO120" s="327"/>
      <c r="AP120" s="547"/>
      <c r="AQ120" s="327"/>
      <c r="AR120" s="548"/>
      <c r="AS120" s="327"/>
      <c r="AT120" s="549"/>
      <c r="AU120" s="327"/>
      <c r="AV120" s="546" t="s">
        <v>334</v>
      </c>
      <c r="AW120" s="327"/>
      <c r="AX120" s="521"/>
      <c r="AY120" s="326"/>
      <c r="AZ120" s="327"/>
      <c r="BA120" s="550"/>
      <c r="BB120" s="327"/>
      <c r="BC120" s="25"/>
      <c r="BD120" s="544" t="s">
        <v>334</v>
      </c>
      <c r="BE120" s="327"/>
      <c r="BF120" s="545"/>
      <c r="BG120" s="326"/>
      <c r="BH120" s="326"/>
      <c r="BI120" s="327"/>
      <c r="BJ120" s="557" t="s">
        <v>303</v>
      </c>
      <c r="BK120" s="326"/>
      <c r="BL120" s="326"/>
      <c r="BM120" s="327"/>
      <c r="BN120" s="558" t="s">
        <v>303</v>
      </c>
      <c r="BO120" s="326"/>
      <c r="BP120" s="326"/>
      <c r="BQ120" s="326"/>
      <c r="BR120" s="326"/>
      <c r="BS120" s="326"/>
      <c r="BT120" s="326"/>
      <c r="BU120" s="326"/>
      <c r="BV120" s="327"/>
    </row>
    <row r="121" spans="1:74" ht="45" customHeight="1" x14ac:dyDescent="0.25">
      <c r="A121" s="10">
        <f t="shared" si="0"/>
        <v>107</v>
      </c>
      <c r="B121" s="564" t="s">
        <v>303</v>
      </c>
      <c r="C121" s="327"/>
      <c r="D121" s="565" t="s">
        <v>307</v>
      </c>
      <c r="E121" s="327"/>
      <c r="F121" s="537" t="s">
        <v>334</v>
      </c>
      <c r="G121" s="327"/>
      <c r="H121" s="566" t="s">
        <v>334</v>
      </c>
      <c r="I121" s="327"/>
      <c r="J121" s="567"/>
      <c r="K121" s="327"/>
      <c r="L121" s="567"/>
      <c r="M121" s="327"/>
      <c r="N121" s="20"/>
      <c r="O121" s="24"/>
      <c r="P121" s="524"/>
      <c r="Q121" s="327"/>
      <c r="R121" s="516"/>
      <c r="S121" s="327"/>
      <c r="T121" s="517"/>
      <c r="U121" s="327"/>
      <c r="V121" s="518"/>
      <c r="W121" s="327"/>
      <c r="X121" s="438" t="s">
        <v>303</v>
      </c>
      <c r="Y121" s="326"/>
      <c r="Z121" s="326"/>
      <c r="AA121" s="327"/>
      <c r="AB121" s="519" t="s">
        <v>303</v>
      </c>
      <c r="AC121" s="326"/>
      <c r="AD121" s="326"/>
      <c r="AE121" s="327"/>
      <c r="AF121" s="520"/>
      <c r="AG121" s="327"/>
      <c r="AH121" s="520"/>
      <c r="AI121" s="327"/>
      <c r="AJ121" s="554"/>
      <c r="AK121" s="327"/>
      <c r="AL121" s="556" t="s">
        <v>334</v>
      </c>
      <c r="AM121" s="327"/>
      <c r="AN121" s="553" t="s">
        <v>334</v>
      </c>
      <c r="AO121" s="327"/>
      <c r="AP121" s="554"/>
      <c r="AQ121" s="327"/>
      <c r="AR121" s="555"/>
      <c r="AS121" s="327"/>
      <c r="AT121" s="549"/>
      <c r="AU121" s="327"/>
      <c r="AV121" s="553" t="s">
        <v>334</v>
      </c>
      <c r="AW121" s="327"/>
      <c r="AX121" s="521"/>
      <c r="AY121" s="326"/>
      <c r="AZ121" s="327"/>
      <c r="BA121" s="536"/>
      <c r="BB121" s="327"/>
      <c r="BC121" s="22"/>
      <c r="BD121" s="551" t="s">
        <v>334</v>
      </c>
      <c r="BE121" s="327"/>
      <c r="BF121" s="552"/>
      <c r="BG121" s="326"/>
      <c r="BH121" s="326"/>
      <c r="BI121" s="327"/>
      <c r="BJ121" s="451" t="s">
        <v>303</v>
      </c>
      <c r="BK121" s="326"/>
      <c r="BL121" s="326"/>
      <c r="BM121" s="327"/>
      <c r="BN121" s="558" t="s">
        <v>303</v>
      </c>
      <c r="BO121" s="326"/>
      <c r="BP121" s="326"/>
      <c r="BQ121" s="326"/>
      <c r="BR121" s="326"/>
      <c r="BS121" s="326"/>
      <c r="BT121" s="326"/>
      <c r="BU121" s="326"/>
      <c r="BV121" s="327"/>
    </row>
    <row r="122" spans="1:74" ht="45" customHeight="1" x14ac:dyDescent="0.25">
      <c r="A122" s="10">
        <f t="shared" si="0"/>
        <v>108</v>
      </c>
      <c r="B122" s="559" t="s">
        <v>303</v>
      </c>
      <c r="C122" s="327"/>
      <c r="D122" s="560" t="s">
        <v>307</v>
      </c>
      <c r="E122" s="327"/>
      <c r="F122" s="537" t="s">
        <v>334</v>
      </c>
      <c r="G122" s="327"/>
      <c r="H122" s="561" t="s">
        <v>334</v>
      </c>
      <c r="I122" s="327"/>
      <c r="J122" s="562"/>
      <c r="K122" s="327"/>
      <c r="L122" s="562"/>
      <c r="M122" s="327"/>
      <c r="N122" s="23"/>
      <c r="O122" s="21"/>
      <c r="P122" s="563"/>
      <c r="Q122" s="327"/>
      <c r="R122" s="538"/>
      <c r="S122" s="327"/>
      <c r="T122" s="539"/>
      <c r="U122" s="327"/>
      <c r="V122" s="540"/>
      <c r="W122" s="327"/>
      <c r="X122" s="541" t="s">
        <v>303</v>
      </c>
      <c r="Y122" s="326"/>
      <c r="Z122" s="326"/>
      <c r="AA122" s="327"/>
      <c r="AB122" s="542" t="s">
        <v>303</v>
      </c>
      <c r="AC122" s="326"/>
      <c r="AD122" s="326"/>
      <c r="AE122" s="327"/>
      <c r="AF122" s="543"/>
      <c r="AG122" s="327"/>
      <c r="AH122" s="543"/>
      <c r="AI122" s="327"/>
      <c r="AJ122" s="536"/>
      <c r="AK122" s="327"/>
      <c r="AL122" s="537" t="s">
        <v>334</v>
      </c>
      <c r="AM122" s="327"/>
      <c r="AN122" s="546" t="s">
        <v>334</v>
      </c>
      <c r="AO122" s="327"/>
      <c r="AP122" s="547"/>
      <c r="AQ122" s="327"/>
      <c r="AR122" s="548"/>
      <c r="AS122" s="327"/>
      <c r="AT122" s="549"/>
      <c r="AU122" s="327"/>
      <c r="AV122" s="546" t="s">
        <v>334</v>
      </c>
      <c r="AW122" s="327"/>
      <c r="AX122" s="521"/>
      <c r="AY122" s="326"/>
      <c r="AZ122" s="327"/>
      <c r="BA122" s="550"/>
      <c r="BB122" s="327"/>
      <c r="BC122" s="25"/>
      <c r="BD122" s="544" t="s">
        <v>334</v>
      </c>
      <c r="BE122" s="327"/>
      <c r="BF122" s="545"/>
      <c r="BG122" s="326"/>
      <c r="BH122" s="326"/>
      <c r="BI122" s="327"/>
      <c r="BJ122" s="557" t="s">
        <v>303</v>
      </c>
      <c r="BK122" s="326"/>
      <c r="BL122" s="326"/>
      <c r="BM122" s="327"/>
      <c r="BN122" s="558" t="s">
        <v>303</v>
      </c>
      <c r="BO122" s="326"/>
      <c r="BP122" s="326"/>
      <c r="BQ122" s="326"/>
      <c r="BR122" s="326"/>
      <c r="BS122" s="326"/>
      <c r="BT122" s="326"/>
      <c r="BU122" s="326"/>
      <c r="BV122" s="327"/>
    </row>
    <row r="123" spans="1:74" ht="45" customHeight="1" x14ac:dyDescent="0.25">
      <c r="A123" s="10">
        <f t="shared" si="0"/>
        <v>109</v>
      </c>
      <c r="B123" s="564" t="s">
        <v>303</v>
      </c>
      <c r="C123" s="327"/>
      <c r="D123" s="565" t="s">
        <v>307</v>
      </c>
      <c r="E123" s="327"/>
      <c r="F123" s="537" t="s">
        <v>334</v>
      </c>
      <c r="G123" s="327"/>
      <c r="H123" s="566" t="s">
        <v>334</v>
      </c>
      <c r="I123" s="327"/>
      <c r="J123" s="567"/>
      <c r="K123" s="327"/>
      <c r="L123" s="567"/>
      <c r="M123" s="327"/>
      <c r="N123" s="20"/>
      <c r="O123" s="24"/>
      <c r="P123" s="524"/>
      <c r="Q123" s="327"/>
      <c r="R123" s="516"/>
      <c r="S123" s="327"/>
      <c r="T123" s="517"/>
      <c r="U123" s="327"/>
      <c r="V123" s="518"/>
      <c r="W123" s="327"/>
      <c r="X123" s="438" t="s">
        <v>303</v>
      </c>
      <c r="Y123" s="326"/>
      <c r="Z123" s="326"/>
      <c r="AA123" s="327"/>
      <c r="AB123" s="519" t="s">
        <v>303</v>
      </c>
      <c r="AC123" s="326"/>
      <c r="AD123" s="326"/>
      <c r="AE123" s="327"/>
      <c r="AF123" s="520"/>
      <c r="AG123" s="327"/>
      <c r="AH123" s="520"/>
      <c r="AI123" s="327"/>
      <c r="AJ123" s="554"/>
      <c r="AK123" s="327"/>
      <c r="AL123" s="556" t="s">
        <v>334</v>
      </c>
      <c r="AM123" s="327"/>
      <c r="AN123" s="553" t="s">
        <v>334</v>
      </c>
      <c r="AO123" s="327"/>
      <c r="AP123" s="554"/>
      <c r="AQ123" s="327"/>
      <c r="AR123" s="555"/>
      <c r="AS123" s="327"/>
      <c r="AT123" s="549"/>
      <c r="AU123" s="327"/>
      <c r="AV123" s="553" t="s">
        <v>334</v>
      </c>
      <c r="AW123" s="327"/>
      <c r="AX123" s="521"/>
      <c r="AY123" s="326"/>
      <c r="AZ123" s="327"/>
      <c r="BA123" s="536"/>
      <c r="BB123" s="327"/>
      <c r="BC123" s="22"/>
      <c r="BD123" s="551" t="s">
        <v>334</v>
      </c>
      <c r="BE123" s="327"/>
      <c r="BF123" s="508"/>
      <c r="BG123" s="326"/>
      <c r="BH123" s="326"/>
      <c r="BI123" s="327"/>
      <c r="BJ123" s="451" t="s">
        <v>303</v>
      </c>
      <c r="BK123" s="326"/>
      <c r="BL123" s="326"/>
      <c r="BM123" s="327"/>
      <c r="BN123" s="558" t="s">
        <v>303</v>
      </c>
      <c r="BO123" s="326"/>
      <c r="BP123" s="326"/>
      <c r="BQ123" s="326"/>
      <c r="BR123" s="326"/>
      <c r="BS123" s="326"/>
      <c r="BT123" s="326"/>
      <c r="BU123" s="326"/>
      <c r="BV123" s="327"/>
    </row>
    <row r="124" spans="1:74" ht="45" customHeight="1" x14ac:dyDescent="0.25">
      <c r="A124" s="10">
        <f t="shared" si="0"/>
        <v>110</v>
      </c>
      <c r="B124" s="559" t="s">
        <v>303</v>
      </c>
      <c r="C124" s="327"/>
      <c r="D124" s="560" t="s">
        <v>307</v>
      </c>
      <c r="E124" s="327"/>
      <c r="F124" s="537" t="s">
        <v>334</v>
      </c>
      <c r="G124" s="327"/>
      <c r="H124" s="561" t="s">
        <v>334</v>
      </c>
      <c r="I124" s="327"/>
      <c r="J124" s="562"/>
      <c r="K124" s="327"/>
      <c r="L124" s="562"/>
      <c r="M124" s="327"/>
      <c r="N124" s="23"/>
      <c r="O124" s="21"/>
      <c r="P124" s="563"/>
      <c r="Q124" s="327"/>
      <c r="R124" s="538"/>
      <c r="S124" s="327"/>
      <c r="T124" s="539"/>
      <c r="U124" s="327"/>
      <c r="V124" s="540"/>
      <c r="W124" s="327"/>
      <c r="X124" s="541" t="s">
        <v>303</v>
      </c>
      <c r="Y124" s="326"/>
      <c r="Z124" s="326"/>
      <c r="AA124" s="327"/>
      <c r="AB124" s="542" t="s">
        <v>303</v>
      </c>
      <c r="AC124" s="326"/>
      <c r="AD124" s="326"/>
      <c r="AE124" s="327"/>
      <c r="AF124" s="543"/>
      <c r="AG124" s="327"/>
      <c r="AH124" s="543"/>
      <c r="AI124" s="327"/>
      <c r="AJ124" s="536"/>
      <c r="AK124" s="327"/>
      <c r="AL124" s="537" t="s">
        <v>334</v>
      </c>
      <c r="AM124" s="327"/>
      <c r="AN124" s="546" t="s">
        <v>334</v>
      </c>
      <c r="AO124" s="327"/>
      <c r="AP124" s="547"/>
      <c r="AQ124" s="327"/>
      <c r="AR124" s="548"/>
      <c r="AS124" s="327"/>
      <c r="AT124" s="549"/>
      <c r="AU124" s="327"/>
      <c r="AV124" s="546" t="s">
        <v>334</v>
      </c>
      <c r="AW124" s="327"/>
      <c r="AX124" s="521"/>
      <c r="AY124" s="326"/>
      <c r="AZ124" s="327"/>
      <c r="BA124" s="550"/>
      <c r="BB124" s="327"/>
      <c r="BC124" s="25"/>
      <c r="BD124" s="544" t="s">
        <v>334</v>
      </c>
      <c r="BE124" s="327"/>
      <c r="BF124" s="545"/>
      <c r="BG124" s="326"/>
      <c r="BH124" s="326"/>
      <c r="BI124" s="327"/>
      <c r="BJ124" s="557" t="s">
        <v>303</v>
      </c>
      <c r="BK124" s="326"/>
      <c r="BL124" s="326"/>
      <c r="BM124" s="327"/>
      <c r="BN124" s="558" t="s">
        <v>303</v>
      </c>
      <c r="BO124" s="326"/>
      <c r="BP124" s="326"/>
      <c r="BQ124" s="326"/>
      <c r="BR124" s="326"/>
      <c r="BS124" s="326"/>
      <c r="BT124" s="326"/>
      <c r="BU124" s="326"/>
      <c r="BV124" s="327"/>
    </row>
    <row r="125" spans="1:74" ht="45" customHeight="1" x14ac:dyDescent="0.25">
      <c r="A125" s="10">
        <f t="shared" si="0"/>
        <v>111</v>
      </c>
      <c r="B125" s="564" t="s">
        <v>303</v>
      </c>
      <c r="C125" s="327"/>
      <c r="D125" s="565" t="s">
        <v>307</v>
      </c>
      <c r="E125" s="327"/>
      <c r="F125" s="537" t="s">
        <v>334</v>
      </c>
      <c r="G125" s="327"/>
      <c r="H125" s="566" t="s">
        <v>334</v>
      </c>
      <c r="I125" s="327"/>
      <c r="J125" s="567"/>
      <c r="K125" s="327"/>
      <c r="L125" s="567"/>
      <c r="M125" s="327"/>
      <c r="N125" s="20"/>
      <c r="O125" s="24"/>
      <c r="P125" s="524"/>
      <c r="Q125" s="327"/>
      <c r="R125" s="516"/>
      <c r="S125" s="327"/>
      <c r="T125" s="517"/>
      <c r="U125" s="327"/>
      <c r="V125" s="518"/>
      <c r="W125" s="327"/>
      <c r="X125" s="438" t="s">
        <v>303</v>
      </c>
      <c r="Y125" s="326"/>
      <c r="Z125" s="326"/>
      <c r="AA125" s="327"/>
      <c r="AB125" s="519" t="s">
        <v>303</v>
      </c>
      <c r="AC125" s="326"/>
      <c r="AD125" s="326"/>
      <c r="AE125" s="327"/>
      <c r="AF125" s="520"/>
      <c r="AG125" s="327"/>
      <c r="AH125" s="520"/>
      <c r="AI125" s="327"/>
      <c r="AJ125" s="554"/>
      <c r="AK125" s="327"/>
      <c r="AL125" s="556" t="s">
        <v>334</v>
      </c>
      <c r="AM125" s="327"/>
      <c r="AN125" s="553" t="s">
        <v>334</v>
      </c>
      <c r="AO125" s="327"/>
      <c r="AP125" s="554"/>
      <c r="AQ125" s="327"/>
      <c r="AR125" s="555"/>
      <c r="AS125" s="327"/>
      <c r="AT125" s="549"/>
      <c r="AU125" s="327"/>
      <c r="AV125" s="553" t="s">
        <v>334</v>
      </c>
      <c r="AW125" s="327"/>
      <c r="AX125" s="521"/>
      <c r="AY125" s="326"/>
      <c r="AZ125" s="327"/>
      <c r="BA125" s="536"/>
      <c r="BB125" s="327"/>
      <c r="BC125" s="22"/>
      <c r="BD125" s="551" t="s">
        <v>334</v>
      </c>
      <c r="BE125" s="327"/>
      <c r="BF125" s="508"/>
      <c r="BG125" s="326"/>
      <c r="BH125" s="326"/>
      <c r="BI125" s="327"/>
      <c r="BJ125" s="451" t="s">
        <v>303</v>
      </c>
      <c r="BK125" s="326"/>
      <c r="BL125" s="326"/>
      <c r="BM125" s="327"/>
      <c r="BN125" s="558" t="s">
        <v>303</v>
      </c>
      <c r="BO125" s="326"/>
      <c r="BP125" s="326"/>
      <c r="BQ125" s="326"/>
      <c r="BR125" s="326"/>
      <c r="BS125" s="326"/>
      <c r="BT125" s="326"/>
      <c r="BU125" s="326"/>
      <c r="BV125" s="327"/>
    </row>
    <row r="126" spans="1:74" ht="45" customHeight="1" x14ac:dyDescent="0.25">
      <c r="A126" s="10">
        <f t="shared" si="0"/>
        <v>112</v>
      </c>
      <c r="B126" s="559" t="s">
        <v>303</v>
      </c>
      <c r="C126" s="327"/>
      <c r="D126" s="560" t="s">
        <v>307</v>
      </c>
      <c r="E126" s="327"/>
      <c r="F126" s="537" t="s">
        <v>334</v>
      </c>
      <c r="G126" s="327"/>
      <c r="H126" s="561" t="s">
        <v>334</v>
      </c>
      <c r="I126" s="327"/>
      <c r="J126" s="562"/>
      <c r="K126" s="327"/>
      <c r="L126" s="562"/>
      <c r="M126" s="327"/>
      <c r="N126" s="23"/>
      <c r="O126" s="21"/>
      <c r="P126" s="563"/>
      <c r="Q126" s="327"/>
      <c r="R126" s="538"/>
      <c r="S126" s="327"/>
      <c r="T126" s="539"/>
      <c r="U126" s="327"/>
      <c r="V126" s="540"/>
      <c r="W126" s="327"/>
      <c r="X126" s="541" t="s">
        <v>303</v>
      </c>
      <c r="Y126" s="326"/>
      <c r="Z126" s="326"/>
      <c r="AA126" s="327"/>
      <c r="AB126" s="542" t="s">
        <v>303</v>
      </c>
      <c r="AC126" s="326"/>
      <c r="AD126" s="326"/>
      <c r="AE126" s="327"/>
      <c r="AF126" s="543"/>
      <c r="AG126" s="327"/>
      <c r="AH126" s="543"/>
      <c r="AI126" s="327"/>
      <c r="AJ126" s="536"/>
      <c r="AK126" s="327"/>
      <c r="AL126" s="537" t="s">
        <v>334</v>
      </c>
      <c r="AM126" s="327"/>
      <c r="AN126" s="546" t="s">
        <v>334</v>
      </c>
      <c r="AO126" s="327"/>
      <c r="AP126" s="547"/>
      <c r="AQ126" s="327"/>
      <c r="AR126" s="548"/>
      <c r="AS126" s="327"/>
      <c r="AT126" s="549"/>
      <c r="AU126" s="327"/>
      <c r="AV126" s="546" t="s">
        <v>334</v>
      </c>
      <c r="AW126" s="327"/>
      <c r="AX126" s="521"/>
      <c r="AY126" s="326"/>
      <c r="AZ126" s="327"/>
      <c r="BA126" s="550"/>
      <c r="BB126" s="327"/>
      <c r="BC126" s="25"/>
      <c r="BD126" s="544" t="s">
        <v>334</v>
      </c>
      <c r="BE126" s="327"/>
      <c r="BF126" s="545"/>
      <c r="BG126" s="326"/>
      <c r="BH126" s="326"/>
      <c r="BI126" s="327"/>
      <c r="BJ126" s="557" t="s">
        <v>303</v>
      </c>
      <c r="BK126" s="326"/>
      <c r="BL126" s="326"/>
      <c r="BM126" s="327"/>
      <c r="BN126" s="558" t="s">
        <v>303</v>
      </c>
      <c r="BO126" s="326"/>
      <c r="BP126" s="326"/>
      <c r="BQ126" s="326"/>
      <c r="BR126" s="326"/>
      <c r="BS126" s="326"/>
      <c r="BT126" s="326"/>
      <c r="BU126" s="326"/>
      <c r="BV126" s="327"/>
    </row>
    <row r="127" spans="1:74" ht="45" customHeight="1" x14ac:dyDescent="0.25">
      <c r="A127" s="10">
        <f t="shared" si="0"/>
        <v>113</v>
      </c>
      <c r="B127" s="564" t="s">
        <v>303</v>
      </c>
      <c r="C127" s="327"/>
      <c r="D127" s="565" t="s">
        <v>307</v>
      </c>
      <c r="E127" s="327"/>
      <c r="F127" s="537" t="s">
        <v>334</v>
      </c>
      <c r="G127" s="327"/>
      <c r="H127" s="566" t="s">
        <v>334</v>
      </c>
      <c r="I127" s="327"/>
      <c r="J127" s="567"/>
      <c r="K127" s="327"/>
      <c r="L127" s="567"/>
      <c r="M127" s="327"/>
      <c r="N127" s="20"/>
      <c r="O127" s="24"/>
      <c r="P127" s="524"/>
      <c r="Q127" s="327"/>
      <c r="R127" s="516"/>
      <c r="S127" s="327"/>
      <c r="T127" s="517"/>
      <c r="U127" s="327"/>
      <c r="V127" s="518"/>
      <c r="W127" s="327"/>
      <c r="X127" s="438" t="s">
        <v>303</v>
      </c>
      <c r="Y127" s="326"/>
      <c r="Z127" s="326"/>
      <c r="AA127" s="327"/>
      <c r="AB127" s="519" t="s">
        <v>303</v>
      </c>
      <c r="AC127" s="326"/>
      <c r="AD127" s="326"/>
      <c r="AE127" s="327"/>
      <c r="AF127" s="520"/>
      <c r="AG127" s="327"/>
      <c r="AH127" s="520"/>
      <c r="AI127" s="327"/>
      <c r="AJ127" s="554"/>
      <c r="AK127" s="327"/>
      <c r="AL127" s="556" t="s">
        <v>334</v>
      </c>
      <c r="AM127" s="327"/>
      <c r="AN127" s="553" t="s">
        <v>334</v>
      </c>
      <c r="AO127" s="327"/>
      <c r="AP127" s="554"/>
      <c r="AQ127" s="327"/>
      <c r="AR127" s="555"/>
      <c r="AS127" s="327"/>
      <c r="AT127" s="549"/>
      <c r="AU127" s="327"/>
      <c r="AV127" s="553" t="s">
        <v>334</v>
      </c>
      <c r="AW127" s="327"/>
      <c r="AX127" s="521"/>
      <c r="AY127" s="326"/>
      <c r="AZ127" s="327"/>
      <c r="BA127" s="536"/>
      <c r="BB127" s="327"/>
      <c r="BC127" s="22"/>
      <c r="BD127" s="551" t="s">
        <v>334</v>
      </c>
      <c r="BE127" s="327"/>
      <c r="BF127" s="552"/>
      <c r="BG127" s="326"/>
      <c r="BH127" s="326"/>
      <c r="BI127" s="327"/>
      <c r="BJ127" s="451" t="s">
        <v>303</v>
      </c>
      <c r="BK127" s="326"/>
      <c r="BL127" s="326"/>
      <c r="BM127" s="327"/>
      <c r="BN127" s="558" t="s">
        <v>303</v>
      </c>
      <c r="BO127" s="326"/>
      <c r="BP127" s="326"/>
      <c r="BQ127" s="326"/>
      <c r="BR127" s="326"/>
      <c r="BS127" s="326"/>
      <c r="BT127" s="326"/>
      <c r="BU127" s="326"/>
      <c r="BV127" s="327"/>
    </row>
    <row r="128" spans="1:74" ht="45" customHeight="1" x14ac:dyDescent="0.25">
      <c r="A128" s="10">
        <f t="shared" si="0"/>
        <v>114</v>
      </c>
      <c r="B128" s="559" t="s">
        <v>303</v>
      </c>
      <c r="C128" s="327"/>
      <c r="D128" s="560" t="s">
        <v>307</v>
      </c>
      <c r="E128" s="327"/>
      <c r="F128" s="537" t="s">
        <v>334</v>
      </c>
      <c r="G128" s="327"/>
      <c r="H128" s="561" t="s">
        <v>334</v>
      </c>
      <c r="I128" s="327"/>
      <c r="J128" s="562"/>
      <c r="K128" s="327"/>
      <c r="L128" s="562"/>
      <c r="M128" s="327"/>
      <c r="N128" s="23"/>
      <c r="O128" s="21"/>
      <c r="P128" s="563"/>
      <c r="Q128" s="327"/>
      <c r="R128" s="538"/>
      <c r="S128" s="327"/>
      <c r="T128" s="539"/>
      <c r="U128" s="327"/>
      <c r="V128" s="540"/>
      <c r="W128" s="327"/>
      <c r="X128" s="541" t="s">
        <v>303</v>
      </c>
      <c r="Y128" s="326"/>
      <c r="Z128" s="326"/>
      <c r="AA128" s="327"/>
      <c r="AB128" s="542" t="s">
        <v>303</v>
      </c>
      <c r="AC128" s="326"/>
      <c r="AD128" s="326"/>
      <c r="AE128" s="327"/>
      <c r="AF128" s="543"/>
      <c r="AG128" s="327"/>
      <c r="AH128" s="543"/>
      <c r="AI128" s="327"/>
      <c r="AJ128" s="536"/>
      <c r="AK128" s="327"/>
      <c r="AL128" s="537" t="s">
        <v>334</v>
      </c>
      <c r="AM128" s="327"/>
      <c r="AN128" s="546" t="s">
        <v>334</v>
      </c>
      <c r="AO128" s="327"/>
      <c r="AP128" s="547"/>
      <c r="AQ128" s="327"/>
      <c r="AR128" s="548"/>
      <c r="AS128" s="327"/>
      <c r="AT128" s="549"/>
      <c r="AU128" s="327"/>
      <c r="AV128" s="546" t="s">
        <v>334</v>
      </c>
      <c r="AW128" s="327"/>
      <c r="AX128" s="521"/>
      <c r="AY128" s="326"/>
      <c r="AZ128" s="327"/>
      <c r="BA128" s="550"/>
      <c r="BB128" s="327"/>
      <c r="BC128" s="25"/>
      <c r="BD128" s="544" t="s">
        <v>334</v>
      </c>
      <c r="BE128" s="327"/>
      <c r="BF128" s="545"/>
      <c r="BG128" s="326"/>
      <c r="BH128" s="326"/>
      <c r="BI128" s="327"/>
      <c r="BJ128" s="557" t="s">
        <v>303</v>
      </c>
      <c r="BK128" s="326"/>
      <c r="BL128" s="326"/>
      <c r="BM128" s="327"/>
      <c r="BN128" s="558" t="s">
        <v>303</v>
      </c>
      <c r="BO128" s="326"/>
      <c r="BP128" s="326"/>
      <c r="BQ128" s="326"/>
      <c r="BR128" s="326"/>
      <c r="BS128" s="326"/>
      <c r="BT128" s="326"/>
      <c r="BU128" s="326"/>
      <c r="BV128" s="327"/>
    </row>
    <row r="129" spans="1:74" ht="45" customHeight="1" x14ac:dyDescent="0.25">
      <c r="A129" s="10">
        <f t="shared" si="0"/>
        <v>115</v>
      </c>
      <c r="B129" s="564" t="s">
        <v>303</v>
      </c>
      <c r="C129" s="327"/>
      <c r="D129" s="565" t="s">
        <v>307</v>
      </c>
      <c r="E129" s="327"/>
      <c r="F129" s="537" t="s">
        <v>334</v>
      </c>
      <c r="G129" s="327"/>
      <c r="H129" s="566" t="s">
        <v>334</v>
      </c>
      <c r="I129" s="327"/>
      <c r="J129" s="567"/>
      <c r="K129" s="327"/>
      <c r="L129" s="567"/>
      <c r="M129" s="327"/>
      <c r="N129" s="20"/>
      <c r="O129" s="24"/>
      <c r="P129" s="524"/>
      <c r="Q129" s="327"/>
      <c r="R129" s="516"/>
      <c r="S129" s="327"/>
      <c r="T129" s="517"/>
      <c r="U129" s="327"/>
      <c r="V129" s="518"/>
      <c r="W129" s="327"/>
      <c r="X129" s="438" t="s">
        <v>303</v>
      </c>
      <c r="Y129" s="326"/>
      <c r="Z129" s="326"/>
      <c r="AA129" s="327"/>
      <c r="AB129" s="519" t="s">
        <v>303</v>
      </c>
      <c r="AC129" s="326"/>
      <c r="AD129" s="326"/>
      <c r="AE129" s="327"/>
      <c r="AF129" s="520"/>
      <c r="AG129" s="327"/>
      <c r="AH129" s="520"/>
      <c r="AI129" s="327"/>
      <c r="AJ129" s="554"/>
      <c r="AK129" s="327"/>
      <c r="AL129" s="556" t="s">
        <v>334</v>
      </c>
      <c r="AM129" s="327"/>
      <c r="AN129" s="553" t="s">
        <v>334</v>
      </c>
      <c r="AO129" s="327"/>
      <c r="AP129" s="554"/>
      <c r="AQ129" s="327"/>
      <c r="AR129" s="555"/>
      <c r="AS129" s="327"/>
      <c r="AT129" s="549"/>
      <c r="AU129" s="327"/>
      <c r="AV129" s="553" t="s">
        <v>334</v>
      </c>
      <c r="AW129" s="327"/>
      <c r="AX129" s="521"/>
      <c r="AY129" s="326"/>
      <c r="AZ129" s="327"/>
      <c r="BA129" s="536"/>
      <c r="BB129" s="327"/>
      <c r="BC129" s="22"/>
      <c r="BD129" s="551" t="s">
        <v>334</v>
      </c>
      <c r="BE129" s="327"/>
      <c r="BF129" s="508"/>
      <c r="BG129" s="326"/>
      <c r="BH129" s="326"/>
      <c r="BI129" s="327"/>
      <c r="BJ129" s="451" t="s">
        <v>303</v>
      </c>
      <c r="BK129" s="326"/>
      <c r="BL129" s="326"/>
      <c r="BM129" s="327"/>
      <c r="BN129" s="558" t="s">
        <v>303</v>
      </c>
      <c r="BO129" s="326"/>
      <c r="BP129" s="326"/>
      <c r="BQ129" s="326"/>
      <c r="BR129" s="326"/>
      <c r="BS129" s="326"/>
      <c r="BT129" s="326"/>
      <c r="BU129" s="326"/>
      <c r="BV129" s="327"/>
    </row>
    <row r="130" spans="1:74" ht="45" customHeight="1" x14ac:dyDescent="0.25">
      <c r="A130" s="10">
        <f t="shared" si="0"/>
        <v>116</v>
      </c>
      <c r="B130" s="559" t="s">
        <v>303</v>
      </c>
      <c r="C130" s="327"/>
      <c r="D130" s="560" t="s">
        <v>307</v>
      </c>
      <c r="E130" s="327"/>
      <c r="F130" s="537" t="s">
        <v>334</v>
      </c>
      <c r="G130" s="327"/>
      <c r="H130" s="561" t="s">
        <v>334</v>
      </c>
      <c r="I130" s="327"/>
      <c r="J130" s="562"/>
      <c r="K130" s="327"/>
      <c r="L130" s="562"/>
      <c r="M130" s="327"/>
      <c r="N130" s="23"/>
      <c r="O130" s="24"/>
      <c r="P130" s="563"/>
      <c r="Q130" s="327"/>
      <c r="R130" s="538"/>
      <c r="S130" s="327"/>
      <c r="T130" s="539"/>
      <c r="U130" s="327"/>
      <c r="V130" s="540"/>
      <c r="W130" s="327"/>
      <c r="X130" s="541" t="s">
        <v>303</v>
      </c>
      <c r="Y130" s="326"/>
      <c r="Z130" s="326"/>
      <c r="AA130" s="327"/>
      <c r="AB130" s="542" t="s">
        <v>303</v>
      </c>
      <c r="AC130" s="326"/>
      <c r="AD130" s="326"/>
      <c r="AE130" s="327"/>
      <c r="AF130" s="543"/>
      <c r="AG130" s="327"/>
      <c r="AH130" s="543"/>
      <c r="AI130" s="327"/>
      <c r="AJ130" s="536"/>
      <c r="AK130" s="327"/>
      <c r="AL130" s="537" t="s">
        <v>334</v>
      </c>
      <c r="AM130" s="327"/>
      <c r="AN130" s="546" t="s">
        <v>334</v>
      </c>
      <c r="AO130" s="327"/>
      <c r="AP130" s="547"/>
      <c r="AQ130" s="327"/>
      <c r="AR130" s="548"/>
      <c r="AS130" s="327"/>
      <c r="AT130" s="549"/>
      <c r="AU130" s="327"/>
      <c r="AV130" s="546" t="s">
        <v>334</v>
      </c>
      <c r="AW130" s="327"/>
      <c r="AX130" s="521"/>
      <c r="AY130" s="326"/>
      <c r="AZ130" s="327"/>
      <c r="BA130" s="550"/>
      <c r="BB130" s="327"/>
      <c r="BC130" s="25"/>
      <c r="BD130" s="544" t="s">
        <v>334</v>
      </c>
      <c r="BE130" s="327"/>
      <c r="BF130" s="545"/>
      <c r="BG130" s="326"/>
      <c r="BH130" s="326"/>
      <c r="BI130" s="327"/>
      <c r="BJ130" s="557" t="s">
        <v>303</v>
      </c>
      <c r="BK130" s="326"/>
      <c r="BL130" s="326"/>
      <c r="BM130" s="327"/>
      <c r="BN130" s="558" t="s">
        <v>303</v>
      </c>
      <c r="BO130" s="326"/>
      <c r="BP130" s="326"/>
      <c r="BQ130" s="326"/>
      <c r="BR130" s="326"/>
      <c r="BS130" s="326"/>
      <c r="BT130" s="326"/>
      <c r="BU130" s="326"/>
      <c r="BV130" s="327"/>
    </row>
    <row r="131" spans="1:74" ht="45" customHeight="1" x14ac:dyDescent="0.25">
      <c r="A131" s="10">
        <f t="shared" si="0"/>
        <v>117</v>
      </c>
      <c r="B131" s="564" t="s">
        <v>303</v>
      </c>
      <c r="C131" s="327"/>
      <c r="D131" s="565" t="s">
        <v>307</v>
      </c>
      <c r="E131" s="327"/>
      <c r="F131" s="537" t="s">
        <v>334</v>
      </c>
      <c r="G131" s="327"/>
      <c r="H131" s="566" t="s">
        <v>334</v>
      </c>
      <c r="I131" s="327"/>
      <c r="J131" s="567"/>
      <c r="K131" s="327"/>
      <c r="L131" s="567"/>
      <c r="M131" s="327"/>
      <c r="N131" s="20"/>
      <c r="O131" s="21"/>
      <c r="P131" s="524"/>
      <c r="Q131" s="327"/>
      <c r="R131" s="516"/>
      <c r="S131" s="327"/>
      <c r="T131" s="517"/>
      <c r="U131" s="327"/>
      <c r="V131" s="518"/>
      <c r="W131" s="327"/>
      <c r="X131" s="438" t="s">
        <v>303</v>
      </c>
      <c r="Y131" s="326"/>
      <c r="Z131" s="326"/>
      <c r="AA131" s="327"/>
      <c r="AB131" s="519" t="s">
        <v>303</v>
      </c>
      <c r="AC131" s="326"/>
      <c r="AD131" s="326"/>
      <c r="AE131" s="327"/>
      <c r="AF131" s="520"/>
      <c r="AG131" s="327"/>
      <c r="AH131" s="520"/>
      <c r="AI131" s="327"/>
      <c r="AJ131" s="554"/>
      <c r="AK131" s="327"/>
      <c r="AL131" s="556" t="s">
        <v>334</v>
      </c>
      <c r="AM131" s="327"/>
      <c r="AN131" s="553" t="s">
        <v>334</v>
      </c>
      <c r="AO131" s="327"/>
      <c r="AP131" s="554"/>
      <c r="AQ131" s="327"/>
      <c r="AR131" s="555"/>
      <c r="AS131" s="327"/>
      <c r="AT131" s="549"/>
      <c r="AU131" s="327"/>
      <c r="AV131" s="553" t="s">
        <v>334</v>
      </c>
      <c r="AW131" s="327"/>
      <c r="AX131" s="521"/>
      <c r="AY131" s="326"/>
      <c r="AZ131" s="327"/>
      <c r="BA131" s="536"/>
      <c r="BB131" s="327"/>
      <c r="BC131" s="22"/>
      <c r="BD131" s="551" t="s">
        <v>334</v>
      </c>
      <c r="BE131" s="327"/>
      <c r="BF131" s="552"/>
      <c r="BG131" s="326"/>
      <c r="BH131" s="326"/>
      <c r="BI131" s="327"/>
      <c r="BJ131" s="451" t="s">
        <v>303</v>
      </c>
      <c r="BK131" s="326"/>
      <c r="BL131" s="326"/>
      <c r="BM131" s="327"/>
      <c r="BN131" s="558" t="s">
        <v>303</v>
      </c>
      <c r="BO131" s="326"/>
      <c r="BP131" s="326"/>
      <c r="BQ131" s="326"/>
      <c r="BR131" s="326"/>
      <c r="BS131" s="326"/>
      <c r="BT131" s="326"/>
      <c r="BU131" s="326"/>
      <c r="BV131" s="327"/>
    </row>
    <row r="132" spans="1:74" ht="45" customHeight="1" x14ac:dyDescent="0.25">
      <c r="A132" s="10">
        <f t="shared" si="0"/>
        <v>118</v>
      </c>
      <c r="B132" s="559" t="s">
        <v>303</v>
      </c>
      <c r="C132" s="327"/>
      <c r="D132" s="560" t="s">
        <v>307</v>
      </c>
      <c r="E132" s="327"/>
      <c r="F132" s="537" t="s">
        <v>334</v>
      </c>
      <c r="G132" s="327"/>
      <c r="H132" s="561" t="s">
        <v>334</v>
      </c>
      <c r="I132" s="327"/>
      <c r="J132" s="562"/>
      <c r="K132" s="327"/>
      <c r="L132" s="562"/>
      <c r="M132" s="327"/>
      <c r="N132" s="23"/>
      <c r="O132" s="24"/>
      <c r="P132" s="563"/>
      <c r="Q132" s="327"/>
      <c r="R132" s="538"/>
      <c r="S132" s="327"/>
      <c r="T132" s="539"/>
      <c r="U132" s="327"/>
      <c r="V132" s="540"/>
      <c r="W132" s="327"/>
      <c r="X132" s="541" t="s">
        <v>303</v>
      </c>
      <c r="Y132" s="326"/>
      <c r="Z132" s="326"/>
      <c r="AA132" s="327"/>
      <c r="AB132" s="542" t="s">
        <v>303</v>
      </c>
      <c r="AC132" s="326"/>
      <c r="AD132" s="326"/>
      <c r="AE132" s="327"/>
      <c r="AF132" s="543"/>
      <c r="AG132" s="327"/>
      <c r="AH132" s="543"/>
      <c r="AI132" s="327"/>
      <c r="AJ132" s="536"/>
      <c r="AK132" s="327"/>
      <c r="AL132" s="537" t="s">
        <v>334</v>
      </c>
      <c r="AM132" s="327"/>
      <c r="AN132" s="546" t="s">
        <v>334</v>
      </c>
      <c r="AO132" s="327"/>
      <c r="AP132" s="547"/>
      <c r="AQ132" s="327"/>
      <c r="AR132" s="548"/>
      <c r="AS132" s="327"/>
      <c r="AT132" s="549"/>
      <c r="AU132" s="327"/>
      <c r="AV132" s="546" t="s">
        <v>334</v>
      </c>
      <c r="AW132" s="327"/>
      <c r="AX132" s="521"/>
      <c r="AY132" s="326"/>
      <c r="AZ132" s="327"/>
      <c r="BA132" s="550"/>
      <c r="BB132" s="327"/>
      <c r="BC132" s="25"/>
      <c r="BD132" s="544" t="s">
        <v>334</v>
      </c>
      <c r="BE132" s="327"/>
      <c r="BF132" s="545"/>
      <c r="BG132" s="326"/>
      <c r="BH132" s="326"/>
      <c r="BI132" s="327"/>
      <c r="BJ132" s="557" t="s">
        <v>303</v>
      </c>
      <c r="BK132" s="326"/>
      <c r="BL132" s="326"/>
      <c r="BM132" s="327"/>
      <c r="BN132" s="558" t="s">
        <v>303</v>
      </c>
      <c r="BO132" s="326"/>
      <c r="BP132" s="326"/>
      <c r="BQ132" s="326"/>
      <c r="BR132" s="326"/>
      <c r="BS132" s="326"/>
      <c r="BT132" s="326"/>
      <c r="BU132" s="326"/>
      <c r="BV132" s="327"/>
    </row>
    <row r="133" spans="1:74" ht="45" customHeight="1" x14ac:dyDescent="0.25">
      <c r="A133" s="10">
        <f t="shared" si="0"/>
        <v>119</v>
      </c>
      <c r="B133" s="564" t="s">
        <v>303</v>
      </c>
      <c r="C133" s="327"/>
      <c r="D133" s="565" t="s">
        <v>307</v>
      </c>
      <c r="E133" s="327"/>
      <c r="F133" s="537" t="s">
        <v>334</v>
      </c>
      <c r="G133" s="327"/>
      <c r="H133" s="566" t="s">
        <v>334</v>
      </c>
      <c r="I133" s="327"/>
      <c r="J133" s="567"/>
      <c r="K133" s="327"/>
      <c r="L133" s="567"/>
      <c r="M133" s="327"/>
      <c r="N133" s="20"/>
      <c r="O133" s="21"/>
      <c r="P133" s="524"/>
      <c r="Q133" s="327"/>
      <c r="R133" s="516"/>
      <c r="S133" s="327"/>
      <c r="T133" s="517"/>
      <c r="U133" s="327"/>
      <c r="V133" s="518"/>
      <c r="W133" s="327"/>
      <c r="X133" s="438" t="s">
        <v>303</v>
      </c>
      <c r="Y133" s="326"/>
      <c r="Z133" s="326"/>
      <c r="AA133" s="327"/>
      <c r="AB133" s="519" t="s">
        <v>303</v>
      </c>
      <c r="AC133" s="326"/>
      <c r="AD133" s="326"/>
      <c r="AE133" s="327"/>
      <c r="AF133" s="520"/>
      <c r="AG133" s="327"/>
      <c r="AH133" s="520"/>
      <c r="AI133" s="327"/>
      <c r="AJ133" s="554"/>
      <c r="AK133" s="327"/>
      <c r="AL133" s="556" t="s">
        <v>334</v>
      </c>
      <c r="AM133" s="327"/>
      <c r="AN133" s="553" t="s">
        <v>334</v>
      </c>
      <c r="AO133" s="327"/>
      <c r="AP133" s="554"/>
      <c r="AQ133" s="327"/>
      <c r="AR133" s="555"/>
      <c r="AS133" s="327"/>
      <c r="AT133" s="549"/>
      <c r="AU133" s="327"/>
      <c r="AV133" s="553" t="s">
        <v>334</v>
      </c>
      <c r="AW133" s="327"/>
      <c r="AX133" s="521"/>
      <c r="AY133" s="326"/>
      <c r="AZ133" s="327"/>
      <c r="BA133" s="536"/>
      <c r="BB133" s="327"/>
      <c r="BC133" s="22"/>
      <c r="BD133" s="551" t="s">
        <v>334</v>
      </c>
      <c r="BE133" s="327"/>
      <c r="BF133" s="508"/>
      <c r="BG133" s="326"/>
      <c r="BH133" s="326"/>
      <c r="BI133" s="327"/>
      <c r="BJ133" s="451" t="s">
        <v>303</v>
      </c>
      <c r="BK133" s="326"/>
      <c r="BL133" s="326"/>
      <c r="BM133" s="327"/>
      <c r="BN133" s="558" t="s">
        <v>303</v>
      </c>
      <c r="BO133" s="326"/>
      <c r="BP133" s="326"/>
      <c r="BQ133" s="326"/>
      <c r="BR133" s="326"/>
      <c r="BS133" s="326"/>
      <c r="BT133" s="326"/>
      <c r="BU133" s="326"/>
      <c r="BV133" s="327"/>
    </row>
    <row r="134" spans="1:74" ht="45" customHeight="1" x14ac:dyDescent="0.25">
      <c r="A134" s="10">
        <f t="shared" si="0"/>
        <v>120</v>
      </c>
      <c r="B134" s="559" t="s">
        <v>303</v>
      </c>
      <c r="C134" s="327"/>
      <c r="D134" s="560" t="s">
        <v>307</v>
      </c>
      <c r="E134" s="327"/>
      <c r="F134" s="537" t="s">
        <v>334</v>
      </c>
      <c r="G134" s="327"/>
      <c r="H134" s="561" t="s">
        <v>334</v>
      </c>
      <c r="I134" s="327"/>
      <c r="J134" s="562"/>
      <c r="K134" s="327"/>
      <c r="L134" s="562"/>
      <c r="M134" s="327"/>
      <c r="N134" s="23"/>
      <c r="O134" s="24"/>
      <c r="P134" s="563"/>
      <c r="Q134" s="327"/>
      <c r="R134" s="538"/>
      <c r="S134" s="327"/>
      <c r="T134" s="539"/>
      <c r="U134" s="327"/>
      <c r="V134" s="540"/>
      <c r="W134" s="327"/>
      <c r="X134" s="541" t="s">
        <v>303</v>
      </c>
      <c r="Y134" s="326"/>
      <c r="Z134" s="326"/>
      <c r="AA134" s="327"/>
      <c r="AB134" s="542" t="s">
        <v>303</v>
      </c>
      <c r="AC134" s="326"/>
      <c r="AD134" s="326"/>
      <c r="AE134" s="327"/>
      <c r="AF134" s="543"/>
      <c r="AG134" s="327"/>
      <c r="AH134" s="543"/>
      <c r="AI134" s="327"/>
      <c r="AJ134" s="536"/>
      <c r="AK134" s="327"/>
      <c r="AL134" s="537" t="s">
        <v>334</v>
      </c>
      <c r="AM134" s="327"/>
      <c r="AN134" s="546" t="s">
        <v>334</v>
      </c>
      <c r="AO134" s="327"/>
      <c r="AP134" s="547"/>
      <c r="AQ134" s="327"/>
      <c r="AR134" s="548"/>
      <c r="AS134" s="327"/>
      <c r="AT134" s="549"/>
      <c r="AU134" s="327"/>
      <c r="AV134" s="546" t="s">
        <v>334</v>
      </c>
      <c r="AW134" s="327"/>
      <c r="AX134" s="521"/>
      <c r="AY134" s="326"/>
      <c r="AZ134" s="327"/>
      <c r="BA134" s="550"/>
      <c r="BB134" s="327"/>
      <c r="BC134" s="25"/>
      <c r="BD134" s="544" t="s">
        <v>334</v>
      </c>
      <c r="BE134" s="327"/>
      <c r="BF134" s="545"/>
      <c r="BG134" s="326"/>
      <c r="BH134" s="326"/>
      <c r="BI134" s="327"/>
      <c r="BJ134" s="557" t="s">
        <v>303</v>
      </c>
      <c r="BK134" s="326"/>
      <c r="BL134" s="326"/>
      <c r="BM134" s="327"/>
      <c r="BN134" s="558" t="s">
        <v>303</v>
      </c>
      <c r="BO134" s="326"/>
      <c r="BP134" s="326"/>
      <c r="BQ134" s="326"/>
      <c r="BR134" s="326"/>
      <c r="BS134" s="326"/>
      <c r="BT134" s="326"/>
      <c r="BU134" s="326"/>
      <c r="BV134" s="327"/>
    </row>
    <row r="135" spans="1:74" ht="45" customHeight="1" x14ac:dyDescent="0.25">
      <c r="A135" s="10">
        <f t="shared" si="0"/>
        <v>121</v>
      </c>
      <c r="B135" s="564" t="s">
        <v>303</v>
      </c>
      <c r="C135" s="327"/>
      <c r="D135" s="565" t="s">
        <v>307</v>
      </c>
      <c r="E135" s="327"/>
      <c r="F135" s="537" t="s">
        <v>334</v>
      </c>
      <c r="G135" s="327"/>
      <c r="H135" s="566" t="s">
        <v>334</v>
      </c>
      <c r="I135" s="327"/>
      <c r="J135" s="567"/>
      <c r="K135" s="327"/>
      <c r="L135" s="567"/>
      <c r="M135" s="327"/>
      <c r="N135" s="20"/>
      <c r="O135" s="21"/>
      <c r="P135" s="524"/>
      <c r="Q135" s="327"/>
      <c r="R135" s="516"/>
      <c r="S135" s="327"/>
      <c r="T135" s="517"/>
      <c r="U135" s="327"/>
      <c r="V135" s="518"/>
      <c r="W135" s="327"/>
      <c r="X135" s="438" t="s">
        <v>303</v>
      </c>
      <c r="Y135" s="326"/>
      <c r="Z135" s="326"/>
      <c r="AA135" s="327"/>
      <c r="AB135" s="519" t="s">
        <v>303</v>
      </c>
      <c r="AC135" s="326"/>
      <c r="AD135" s="326"/>
      <c r="AE135" s="327"/>
      <c r="AF135" s="520"/>
      <c r="AG135" s="327"/>
      <c r="AH135" s="520"/>
      <c r="AI135" s="327"/>
      <c r="AJ135" s="554"/>
      <c r="AK135" s="327"/>
      <c r="AL135" s="556" t="s">
        <v>334</v>
      </c>
      <c r="AM135" s="327"/>
      <c r="AN135" s="553" t="s">
        <v>334</v>
      </c>
      <c r="AO135" s="327"/>
      <c r="AP135" s="554"/>
      <c r="AQ135" s="327"/>
      <c r="AR135" s="555"/>
      <c r="AS135" s="327"/>
      <c r="AT135" s="549"/>
      <c r="AU135" s="327"/>
      <c r="AV135" s="553" t="s">
        <v>334</v>
      </c>
      <c r="AW135" s="327"/>
      <c r="AX135" s="521"/>
      <c r="AY135" s="326"/>
      <c r="AZ135" s="327"/>
      <c r="BA135" s="536"/>
      <c r="BB135" s="327"/>
      <c r="BC135" s="22"/>
      <c r="BD135" s="551" t="s">
        <v>334</v>
      </c>
      <c r="BE135" s="327"/>
      <c r="BF135" s="508"/>
      <c r="BG135" s="326"/>
      <c r="BH135" s="326"/>
      <c r="BI135" s="327"/>
      <c r="BJ135" s="451" t="s">
        <v>303</v>
      </c>
      <c r="BK135" s="326"/>
      <c r="BL135" s="326"/>
      <c r="BM135" s="327"/>
      <c r="BN135" s="558" t="s">
        <v>303</v>
      </c>
      <c r="BO135" s="326"/>
      <c r="BP135" s="326"/>
      <c r="BQ135" s="326"/>
      <c r="BR135" s="326"/>
      <c r="BS135" s="326"/>
      <c r="BT135" s="326"/>
      <c r="BU135" s="326"/>
      <c r="BV135" s="327"/>
    </row>
    <row r="136" spans="1:74" ht="45" customHeight="1" x14ac:dyDescent="0.25">
      <c r="A136" s="10">
        <f t="shared" si="0"/>
        <v>122</v>
      </c>
      <c r="B136" s="559" t="s">
        <v>303</v>
      </c>
      <c r="C136" s="327"/>
      <c r="D136" s="560" t="s">
        <v>307</v>
      </c>
      <c r="E136" s="327"/>
      <c r="F136" s="537" t="s">
        <v>334</v>
      </c>
      <c r="G136" s="327"/>
      <c r="H136" s="561" t="s">
        <v>334</v>
      </c>
      <c r="I136" s="327"/>
      <c r="J136" s="562"/>
      <c r="K136" s="327"/>
      <c r="L136" s="562"/>
      <c r="M136" s="327"/>
      <c r="N136" s="23"/>
      <c r="O136" s="24"/>
      <c r="P136" s="563"/>
      <c r="Q136" s="327"/>
      <c r="R136" s="538"/>
      <c r="S136" s="327"/>
      <c r="T136" s="539"/>
      <c r="U136" s="327"/>
      <c r="V136" s="540"/>
      <c r="W136" s="327"/>
      <c r="X136" s="541" t="s">
        <v>303</v>
      </c>
      <c r="Y136" s="326"/>
      <c r="Z136" s="326"/>
      <c r="AA136" s="327"/>
      <c r="AB136" s="542" t="s">
        <v>303</v>
      </c>
      <c r="AC136" s="326"/>
      <c r="AD136" s="326"/>
      <c r="AE136" s="327"/>
      <c r="AF136" s="543"/>
      <c r="AG136" s="327"/>
      <c r="AH136" s="543"/>
      <c r="AI136" s="327"/>
      <c r="AJ136" s="536"/>
      <c r="AK136" s="327"/>
      <c r="AL136" s="537" t="s">
        <v>334</v>
      </c>
      <c r="AM136" s="327"/>
      <c r="AN136" s="546" t="s">
        <v>334</v>
      </c>
      <c r="AO136" s="327"/>
      <c r="AP136" s="547"/>
      <c r="AQ136" s="327"/>
      <c r="AR136" s="548"/>
      <c r="AS136" s="327"/>
      <c r="AT136" s="549"/>
      <c r="AU136" s="327"/>
      <c r="AV136" s="546" t="s">
        <v>334</v>
      </c>
      <c r="AW136" s="327"/>
      <c r="AX136" s="521"/>
      <c r="AY136" s="326"/>
      <c r="AZ136" s="327"/>
      <c r="BA136" s="550"/>
      <c r="BB136" s="327"/>
      <c r="BC136" s="25"/>
      <c r="BD136" s="544" t="s">
        <v>334</v>
      </c>
      <c r="BE136" s="327"/>
      <c r="BF136" s="545"/>
      <c r="BG136" s="326"/>
      <c r="BH136" s="326"/>
      <c r="BI136" s="327"/>
      <c r="BJ136" s="557" t="s">
        <v>303</v>
      </c>
      <c r="BK136" s="326"/>
      <c r="BL136" s="326"/>
      <c r="BM136" s="327"/>
      <c r="BN136" s="558" t="s">
        <v>303</v>
      </c>
      <c r="BO136" s="326"/>
      <c r="BP136" s="326"/>
      <c r="BQ136" s="326"/>
      <c r="BR136" s="326"/>
      <c r="BS136" s="326"/>
      <c r="BT136" s="326"/>
      <c r="BU136" s="326"/>
      <c r="BV136" s="327"/>
    </row>
    <row r="137" spans="1:74" ht="45" customHeight="1" x14ac:dyDescent="0.25">
      <c r="A137" s="10">
        <f t="shared" si="0"/>
        <v>123</v>
      </c>
      <c r="B137" s="564" t="s">
        <v>303</v>
      </c>
      <c r="C137" s="327"/>
      <c r="D137" s="565" t="s">
        <v>307</v>
      </c>
      <c r="E137" s="327"/>
      <c r="F137" s="537" t="s">
        <v>334</v>
      </c>
      <c r="G137" s="327"/>
      <c r="H137" s="566" t="s">
        <v>334</v>
      </c>
      <c r="I137" s="327"/>
      <c r="J137" s="567"/>
      <c r="K137" s="327"/>
      <c r="L137" s="567"/>
      <c r="M137" s="327"/>
      <c r="N137" s="20"/>
      <c r="O137" s="21"/>
      <c r="P137" s="524"/>
      <c r="Q137" s="327"/>
      <c r="R137" s="516"/>
      <c r="S137" s="327"/>
      <c r="T137" s="517"/>
      <c r="U137" s="327"/>
      <c r="V137" s="518"/>
      <c r="W137" s="327"/>
      <c r="X137" s="438" t="s">
        <v>303</v>
      </c>
      <c r="Y137" s="326"/>
      <c r="Z137" s="326"/>
      <c r="AA137" s="327"/>
      <c r="AB137" s="519" t="s">
        <v>303</v>
      </c>
      <c r="AC137" s="326"/>
      <c r="AD137" s="326"/>
      <c r="AE137" s="327"/>
      <c r="AF137" s="520"/>
      <c r="AG137" s="327"/>
      <c r="AH137" s="520"/>
      <c r="AI137" s="327"/>
      <c r="AJ137" s="554"/>
      <c r="AK137" s="327"/>
      <c r="AL137" s="556" t="s">
        <v>334</v>
      </c>
      <c r="AM137" s="327"/>
      <c r="AN137" s="553" t="s">
        <v>334</v>
      </c>
      <c r="AO137" s="327"/>
      <c r="AP137" s="554"/>
      <c r="AQ137" s="327"/>
      <c r="AR137" s="555"/>
      <c r="AS137" s="327"/>
      <c r="AT137" s="549"/>
      <c r="AU137" s="327"/>
      <c r="AV137" s="553" t="s">
        <v>334</v>
      </c>
      <c r="AW137" s="327"/>
      <c r="AX137" s="521"/>
      <c r="AY137" s="326"/>
      <c r="AZ137" s="327"/>
      <c r="BA137" s="536"/>
      <c r="BB137" s="327"/>
      <c r="BC137" s="22"/>
      <c r="BD137" s="551" t="s">
        <v>334</v>
      </c>
      <c r="BE137" s="327"/>
      <c r="BF137" s="552"/>
      <c r="BG137" s="326"/>
      <c r="BH137" s="326"/>
      <c r="BI137" s="327"/>
      <c r="BJ137" s="451" t="s">
        <v>303</v>
      </c>
      <c r="BK137" s="326"/>
      <c r="BL137" s="326"/>
      <c r="BM137" s="327"/>
      <c r="BN137" s="558" t="s">
        <v>303</v>
      </c>
      <c r="BO137" s="326"/>
      <c r="BP137" s="326"/>
      <c r="BQ137" s="326"/>
      <c r="BR137" s="326"/>
      <c r="BS137" s="326"/>
      <c r="BT137" s="326"/>
      <c r="BU137" s="326"/>
      <c r="BV137" s="327"/>
    </row>
    <row r="138" spans="1:74" ht="45" customHeight="1" x14ac:dyDescent="0.25">
      <c r="A138" s="10">
        <f t="shared" si="0"/>
        <v>124</v>
      </c>
      <c r="B138" s="559" t="s">
        <v>303</v>
      </c>
      <c r="C138" s="327"/>
      <c r="D138" s="560" t="s">
        <v>307</v>
      </c>
      <c r="E138" s="327"/>
      <c r="F138" s="537" t="s">
        <v>334</v>
      </c>
      <c r="G138" s="327"/>
      <c r="H138" s="561" t="s">
        <v>334</v>
      </c>
      <c r="I138" s="327"/>
      <c r="J138" s="562"/>
      <c r="K138" s="327"/>
      <c r="L138" s="562"/>
      <c r="M138" s="327"/>
      <c r="N138" s="23"/>
      <c r="O138" s="24"/>
      <c r="P138" s="563"/>
      <c r="Q138" s="327"/>
      <c r="R138" s="538"/>
      <c r="S138" s="327"/>
      <c r="T138" s="539"/>
      <c r="U138" s="327"/>
      <c r="V138" s="540"/>
      <c r="W138" s="327"/>
      <c r="X138" s="541" t="s">
        <v>303</v>
      </c>
      <c r="Y138" s="326"/>
      <c r="Z138" s="326"/>
      <c r="AA138" s="327"/>
      <c r="AB138" s="542" t="s">
        <v>303</v>
      </c>
      <c r="AC138" s="326"/>
      <c r="AD138" s="326"/>
      <c r="AE138" s="327"/>
      <c r="AF138" s="543"/>
      <c r="AG138" s="327"/>
      <c r="AH138" s="543"/>
      <c r="AI138" s="327"/>
      <c r="AJ138" s="536"/>
      <c r="AK138" s="327"/>
      <c r="AL138" s="537" t="s">
        <v>334</v>
      </c>
      <c r="AM138" s="327"/>
      <c r="AN138" s="546" t="s">
        <v>334</v>
      </c>
      <c r="AO138" s="327"/>
      <c r="AP138" s="547"/>
      <c r="AQ138" s="327"/>
      <c r="AR138" s="548"/>
      <c r="AS138" s="327"/>
      <c r="AT138" s="549"/>
      <c r="AU138" s="327"/>
      <c r="AV138" s="546" t="s">
        <v>334</v>
      </c>
      <c r="AW138" s="327"/>
      <c r="AX138" s="521"/>
      <c r="AY138" s="326"/>
      <c r="AZ138" s="327"/>
      <c r="BA138" s="550"/>
      <c r="BB138" s="327"/>
      <c r="BC138" s="25"/>
      <c r="BD138" s="544" t="s">
        <v>334</v>
      </c>
      <c r="BE138" s="327"/>
      <c r="BF138" s="545"/>
      <c r="BG138" s="326"/>
      <c r="BH138" s="326"/>
      <c r="BI138" s="327"/>
      <c r="BJ138" s="557" t="s">
        <v>303</v>
      </c>
      <c r="BK138" s="326"/>
      <c r="BL138" s="326"/>
      <c r="BM138" s="327"/>
      <c r="BN138" s="558" t="s">
        <v>303</v>
      </c>
      <c r="BO138" s="326"/>
      <c r="BP138" s="326"/>
      <c r="BQ138" s="326"/>
      <c r="BR138" s="326"/>
      <c r="BS138" s="326"/>
      <c r="BT138" s="326"/>
      <c r="BU138" s="326"/>
      <c r="BV138" s="327"/>
    </row>
    <row r="139" spans="1:74" ht="45" customHeight="1" x14ac:dyDescent="0.25">
      <c r="A139" s="10">
        <f t="shared" si="0"/>
        <v>125</v>
      </c>
      <c r="B139" s="564" t="s">
        <v>303</v>
      </c>
      <c r="C139" s="327"/>
      <c r="D139" s="565" t="s">
        <v>307</v>
      </c>
      <c r="E139" s="327"/>
      <c r="F139" s="537" t="s">
        <v>334</v>
      </c>
      <c r="G139" s="327"/>
      <c r="H139" s="566" t="s">
        <v>334</v>
      </c>
      <c r="I139" s="327"/>
      <c r="J139" s="567"/>
      <c r="K139" s="327"/>
      <c r="L139" s="567"/>
      <c r="M139" s="327"/>
      <c r="N139" s="20"/>
      <c r="O139" s="21"/>
      <c r="P139" s="524"/>
      <c r="Q139" s="327"/>
      <c r="R139" s="516"/>
      <c r="S139" s="327"/>
      <c r="T139" s="517"/>
      <c r="U139" s="327"/>
      <c r="V139" s="518"/>
      <c r="W139" s="327"/>
      <c r="X139" s="438" t="s">
        <v>303</v>
      </c>
      <c r="Y139" s="326"/>
      <c r="Z139" s="326"/>
      <c r="AA139" s="327"/>
      <c r="AB139" s="519" t="s">
        <v>303</v>
      </c>
      <c r="AC139" s="326"/>
      <c r="AD139" s="326"/>
      <c r="AE139" s="327"/>
      <c r="AF139" s="520"/>
      <c r="AG139" s="327"/>
      <c r="AH139" s="520"/>
      <c r="AI139" s="327"/>
      <c r="AJ139" s="554"/>
      <c r="AK139" s="327"/>
      <c r="AL139" s="556" t="s">
        <v>334</v>
      </c>
      <c r="AM139" s="327"/>
      <c r="AN139" s="553" t="s">
        <v>334</v>
      </c>
      <c r="AO139" s="327"/>
      <c r="AP139" s="554"/>
      <c r="AQ139" s="327"/>
      <c r="AR139" s="555"/>
      <c r="AS139" s="327"/>
      <c r="AT139" s="549"/>
      <c r="AU139" s="327"/>
      <c r="AV139" s="553" t="s">
        <v>334</v>
      </c>
      <c r="AW139" s="327"/>
      <c r="AX139" s="521"/>
      <c r="AY139" s="326"/>
      <c r="AZ139" s="327"/>
      <c r="BA139" s="536"/>
      <c r="BB139" s="327"/>
      <c r="BC139" s="22"/>
      <c r="BD139" s="551" t="s">
        <v>334</v>
      </c>
      <c r="BE139" s="327"/>
      <c r="BF139" s="508"/>
      <c r="BG139" s="326"/>
      <c r="BH139" s="326"/>
      <c r="BI139" s="327"/>
      <c r="BJ139" s="451" t="s">
        <v>303</v>
      </c>
      <c r="BK139" s="326"/>
      <c r="BL139" s="326"/>
      <c r="BM139" s="327"/>
      <c r="BN139" s="558" t="s">
        <v>303</v>
      </c>
      <c r="BO139" s="326"/>
      <c r="BP139" s="326"/>
      <c r="BQ139" s="326"/>
      <c r="BR139" s="326"/>
      <c r="BS139" s="326"/>
      <c r="BT139" s="326"/>
      <c r="BU139" s="326"/>
      <c r="BV139" s="327"/>
    </row>
    <row r="140" spans="1:74" ht="45" customHeight="1" x14ac:dyDescent="0.25">
      <c r="A140" s="10">
        <f t="shared" si="0"/>
        <v>126</v>
      </c>
      <c r="B140" s="559" t="s">
        <v>303</v>
      </c>
      <c r="C140" s="327"/>
      <c r="D140" s="560" t="s">
        <v>307</v>
      </c>
      <c r="E140" s="327"/>
      <c r="F140" s="537" t="s">
        <v>334</v>
      </c>
      <c r="G140" s="327"/>
      <c r="H140" s="561" t="s">
        <v>334</v>
      </c>
      <c r="I140" s="327"/>
      <c r="J140" s="562"/>
      <c r="K140" s="327"/>
      <c r="L140" s="562"/>
      <c r="M140" s="327"/>
      <c r="N140" s="23"/>
      <c r="O140" s="24"/>
      <c r="P140" s="563"/>
      <c r="Q140" s="327"/>
      <c r="R140" s="538"/>
      <c r="S140" s="327"/>
      <c r="T140" s="539"/>
      <c r="U140" s="327"/>
      <c r="V140" s="540"/>
      <c r="W140" s="327"/>
      <c r="X140" s="541" t="s">
        <v>303</v>
      </c>
      <c r="Y140" s="326"/>
      <c r="Z140" s="326"/>
      <c r="AA140" s="327"/>
      <c r="AB140" s="542" t="s">
        <v>303</v>
      </c>
      <c r="AC140" s="326"/>
      <c r="AD140" s="326"/>
      <c r="AE140" s="327"/>
      <c r="AF140" s="543"/>
      <c r="AG140" s="327"/>
      <c r="AH140" s="543"/>
      <c r="AI140" s="327"/>
      <c r="AJ140" s="536"/>
      <c r="AK140" s="327"/>
      <c r="AL140" s="537" t="s">
        <v>334</v>
      </c>
      <c r="AM140" s="327"/>
      <c r="AN140" s="546" t="s">
        <v>334</v>
      </c>
      <c r="AO140" s="327"/>
      <c r="AP140" s="547"/>
      <c r="AQ140" s="327"/>
      <c r="AR140" s="548"/>
      <c r="AS140" s="327"/>
      <c r="AT140" s="549"/>
      <c r="AU140" s="327"/>
      <c r="AV140" s="546" t="s">
        <v>334</v>
      </c>
      <c r="AW140" s="327"/>
      <c r="AX140" s="521"/>
      <c r="AY140" s="326"/>
      <c r="AZ140" s="327"/>
      <c r="BA140" s="550"/>
      <c r="BB140" s="327"/>
      <c r="BC140" s="25"/>
      <c r="BD140" s="544" t="s">
        <v>334</v>
      </c>
      <c r="BE140" s="327"/>
      <c r="BF140" s="545"/>
      <c r="BG140" s="326"/>
      <c r="BH140" s="326"/>
      <c r="BI140" s="327"/>
      <c r="BJ140" s="557" t="s">
        <v>303</v>
      </c>
      <c r="BK140" s="326"/>
      <c r="BL140" s="326"/>
      <c r="BM140" s="327"/>
      <c r="BN140" s="558" t="s">
        <v>303</v>
      </c>
      <c r="BO140" s="326"/>
      <c r="BP140" s="326"/>
      <c r="BQ140" s="326"/>
      <c r="BR140" s="326"/>
      <c r="BS140" s="326"/>
      <c r="BT140" s="326"/>
      <c r="BU140" s="326"/>
      <c r="BV140" s="327"/>
    </row>
    <row r="141" spans="1:74" ht="45" customHeight="1" x14ac:dyDescent="0.25">
      <c r="A141" s="10">
        <f t="shared" si="0"/>
        <v>127</v>
      </c>
      <c r="B141" s="564" t="s">
        <v>303</v>
      </c>
      <c r="C141" s="327"/>
      <c r="D141" s="565" t="s">
        <v>307</v>
      </c>
      <c r="E141" s="327"/>
      <c r="F141" s="537" t="s">
        <v>334</v>
      </c>
      <c r="G141" s="327"/>
      <c r="H141" s="566" t="s">
        <v>334</v>
      </c>
      <c r="I141" s="327"/>
      <c r="J141" s="567"/>
      <c r="K141" s="327"/>
      <c r="L141" s="567"/>
      <c r="M141" s="327"/>
      <c r="N141" s="20"/>
      <c r="O141" s="21"/>
      <c r="P141" s="524"/>
      <c r="Q141" s="327"/>
      <c r="R141" s="516"/>
      <c r="S141" s="327"/>
      <c r="T141" s="517"/>
      <c r="U141" s="327"/>
      <c r="V141" s="518"/>
      <c r="W141" s="327"/>
      <c r="X141" s="438" t="s">
        <v>303</v>
      </c>
      <c r="Y141" s="326"/>
      <c r="Z141" s="326"/>
      <c r="AA141" s="327"/>
      <c r="AB141" s="519" t="s">
        <v>303</v>
      </c>
      <c r="AC141" s="326"/>
      <c r="AD141" s="326"/>
      <c r="AE141" s="327"/>
      <c r="AF141" s="520"/>
      <c r="AG141" s="327"/>
      <c r="AH141" s="520"/>
      <c r="AI141" s="327"/>
      <c r="AJ141" s="554"/>
      <c r="AK141" s="327"/>
      <c r="AL141" s="556" t="s">
        <v>334</v>
      </c>
      <c r="AM141" s="327"/>
      <c r="AN141" s="553" t="s">
        <v>334</v>
      </c>
      <c r="AO141" s="327"/>
      <c r="AP141" s="554"/>
      <c r="AQ141" s="327"/>
      <c r="AR141" s="555"/>
      <c r="AS141" s="327"/>
      <c r="AT141" s="549"/>
      <c r="AU141" s="327"/>
      <c r="AV141" s="553" t="s">
        <v>334</v>
      </c>
      <c r="AW141" s="327"/>
      <c r="AX141" s="521"/>
      <c r="AY141" s="326"/>
      <c r="AZ141" s="327"/>
      <c r="BA141" s="536"/>
      <c r="BB141" s="327"/>
      <c r="BC141" s="22"/>
      <c r="BD141" s="551" t="s">
        <v>334</v>
      </c>
      <c r="BE141" s="327"/>
      <c r="BF141" s="552"/>
      <c r="BG141" s="326"/>
      <c r="BH141" s="326"/>
      <c r="BI141" s="327"/>
      <c r="BJ141" s="451" t="s">
        <v>303</v>
      </c>
      <c r="BK141" s="326"/>
      <c r="BL141" s="326"/>
      <c r="BM141" s="327"/>
      <c r="BN141" s="558" t="s">
        <v>303</v>
      </c>
      <c r="BO141" s="326"/>
      <c r="BP141" s="326"/>
      <c r="BQ141" s="326"/>
      <c r="BR141" s="326"/>
      <c r="BS141" s="326"/>
      <c r="BT141" s="326"/>
      <c r="BU141" s="326"/>
      <c r="BV141" s="327"/>
    </row>
    <row r="142" spans="1:74" ht="45" customHeight="1" x14ac:dyDescent="0.25">
      <c r="A142" s="10">
        <f t="shared" si="0"/>
        <v>128</v>
      </c>
      <c r="B142" s="559" t="s">
        <v>303</v>
      </c>
      <c r="C142" s="327"/>
      <c r="D142" s="560" t="s">
        <v>307</v>
      </c>
      <c r="E142" s="327"/>
      <c r="F142" s="537" t="s">
        <v>334</v>
      </c>
      <c r="G142" s="327"/>
      <c r="H142" s="561" t="s">
        <v>334</v>
      </c>
      <c r="I142" s="327"/>
      <c r="J142" s="562"/>
      <c r="K142" s="327"/>
      <c r="L142" s="562"/>
      <c r="M142" s="327"/>
      <c r="N142" s="23"/>
      <c r="O142" s="24"/>
      <c r="P142" s="563"/>
      <c r="Q142" s="327"/>
      <c r="R142" s="538"/>
      <c r="S142" s="327"/>
      <c r="T142" s="539"/>
      <c r="U142" s="327"/>
      <c r="V142" s="540"/>
      <c r="W142" s="327"/>
      <c r="X142" s="541" t="s">
        <v>303</v>
      </c>
      <c r="Y142" s="326"/>
      <c r="Z142" s="326"/>
      <c r="AA142" s="327"/>
      <c r="AB142" s="542" t="s">
        <v>303</v>
      </c>
      <c r="AC142" s="326"/>
      <c r="AD142" s="326"/>
      <c r="AE142" s="327"/>
      <c r="AF142" s="543"/>
      <c r="AG142" s="327"/>
      <c r="AH142" s="543"/>
      <c r="AI142" s="327"/>
      <c r="AJ142" s="536"/>
      <c r="AK142" s="327"/>
      <c r="AL142" s="537" t="s">
        <v>334</v>
      </c>
      <c r="AM142" s="327"/>
      <c r="AN142" s="546" t="s">
        <v>334</v>
      </c>
      <c r="AO142" s="327"/>
      <c r="AP142" s="547"/>
      <c r="AQ142" s="327"/>
      <c r="AR142" s="548"/>
      <c r="AS142" s="327"/>
      <c r="AT142" s="549"/>
      <c r="AU142" s="327"/>
      <c r="AV142" s="546" t="s">
        <v>334</v>
      </c>
      <c r="AW142" s="327"/>
      <c r="AX142" s="521"/>
      <c r="AY142" s="326"/>
      <c r="AZ142" s="327"/>
      <c r="BA142" s="550"/>
      <c r="BB142" s="327"/>
      <c r="BC142" s="25"/>
      <c r="BD142" s="544" t="s">
        <v>334</v>
      </c>
      <c r="BE142" s="327"/>
      <c r="BF142" s="545"/>
      <c r="BG142" s="326"/>
      <c r="BH142" s="326"/>
      <c r="BI142" s="327"/>
      <c r="BJ142" s="557" t="s">
        <v>303</v>
      </c>
      <c r="BK142" s="326"/>
      <c r="BL142" s="326"/>
      <c r="BM142" s="327"/>
      <c r="BN142" s="558" t="s">
        <v>303</v>
      </c>
      <c r="BO142" s="326"/>
      <c r="BP142" s="326"/>
      <c r="BQ142" s="326"/>
      <c r="BR142" s="326"/>
      <c r="BS142" s="326"/>
      <c r="BT142" s="326"/>
      <c r="BU142" s="326"/>
      <c r="BV142" s="327"/>
    </row>
    <row r="143" spans="1:74" ht="45" customHeight="1" x14ac:dyDescent="0.25">
      <c r="A143" s="10">
        <f t="shared" si="0"/>
        <v>129</v>
      </c>
      <c r="B143" s="564" t="s">
        <v>303</v>
      </c>
      <c r="C143" s="327"/>
      <c r="D143" s="565" t="s">
        <v>307</v>
      </c>
      <c r="E143" s="327"/>
      <c r="F143" s="537" t="s">
        <v>334</v>
      </c>
      <c r="G143" s="327"/>
      <c r="H143" s="566" t="s">
        <v>334</v>
      </c>
      <c r="I143" s="327"/>
      <c r="J143" s="567"/>
      <c r="K143" s="327"/>
      <c r="L143" s="567"/>
      <c r="M143" s="327"/>
      <c r="N143" s="20"/>
      <c r="O143" s="21"/>
      <c r="P143" s="524"/>
      <c r="Q143" s="327"/>
      <c r="R143" s="516"/>
      <c r="S143" s="327"/>
      <c r="T143" s="517"/>
      <c r="U143" s="327"/>
      <c r="V143" s="518"/>
      <c r="W143" s="327"/>
      <c r="X143" s="438" t="s">
        <v>303</v>
      </c>
      <c r="Y143" s="326"/>
      <c r="Z143" s="326"/>
      <c r="AA143" s="327"/>
      <c r="AB143" s="519" t="s">
        <v>303</v>
      </c>
      <c r="AC143" s="326"/>
      <c r="AD143" s="326"/>
      <c r="AE143" s="327"/>
      <c r="AF143" s="520"/>
      <c r="AG143" s="327"/>
      <c r="AH143" s="520"/>
      <c r="AI143" s="327"/>
      <c r="AJ143" s="554"/>
      <c r="AK143" s="327"/>
      <c r="AL143" s="556" t="s">
        <v>334</v>
      </c>
      <c r="AM143" s="327"/>
      <c r="AN143" s="553" t="s">
        <v>334</v>
      </c>
      <c r="AO143" s="327"/>
      <c r="AP143" s="554"/>
      <c r="AQ143" s="327"/>
      <c r="AR143" s="555"/>
      <c r="AS143" s="327"/>
      <c r="AT143" s="549"/>
      <c r="AU143" s="327"/>
      <c r="AV143" s="553" t="s">
        <v>334</v>
      </c>
      <c r="AW143" s="327"/>
      <c r="AX143" s="521"/>
      <c r="AY143" s="326"/>
      <c r="AZ143" s="327"/>
      <c r="BA143" s="536"/>
      <c r="BB143" s="327"/>
      <c r="BC143" s="22"/>
      <c r="BD143" s="551" t="s">
        <v>334</v>
      </c>
      <c r="BE143" s="327"/>
      <c r="BF143" s="508"/>
      <c r="BG143" s="326"/>
      <c r="BH143" s="326"/>
      <c r="BI143" s="327"/>
      <c r="BJ143" s="451" t="s">
        <v>303</v>
      </c>
      <c r="BK143" s="326"/>
      <c r="BL143" s="326"/>
      <c r="BM143" s="327"/>
      <c r="BN143" s="558" t="s">
        <v>303</v>
      </c>
      <c r="BO143" s="326"/>
      <c r="BP143" s="326"/>
      <c r="BQ143" s="326"/>
      <c r="BR143" s="326"/>
      <c r="BS143" s="326"/>
      <c r="BT143" s="326"/>
      <c r="BU143" s="326"/>
      <c r="BV143" s="327"/>
    </row>
    <row r="144" spans="1:74" ht="45" customHeight="1" x14ac:dyDescent="0.25">
      <c r="A144" s="10">
        <f t="shared" si="0"/>
        <v>130</v>
      </c>
      <c r="B144" s="559" t="s">
        <v>303</v>
      </c>
      <c r="C144" s="327"/>
      <c r="D144" s="560" t="s">
        <v>307</v>
      </c>
      <c r="E144" s="327"/>
      <c r="F144" s="537" t="s">
        <v>334</v>
      </c>
      <c r="G144" s="327"/>
      <c r="H144" s="561" t="s">
        <v>334</v>
      </c>
      <c r="I144" s="327"/>
      <c r="J144" s="562"/>
      <c r="K144" s="327"/>
      <c r="L144" s="562"/>
      <c r="M144" s="327"/>
      <c r="N144" s="23"/>
      <c r="O144" s="24"/>
      <c r="P144" s="563"/>
      <c r="Q144" s="327"/>
      <c r="R144" s="538"/>
      <c r="S144" s="327"/>
      <c r="T144" s="539"/>
      <c r="U144" s="327"/>
      <c r="V144" s="540"/>
      <c r="W144" s="327"/>
      <c r="X144" s="541" t="s">
        <v>303</v>
      </c>
      <c r="Y144" s="326"/>
      <c r="Z144" s="326"/>
      <c r="AA144" s="327"/>
      <c r="AB144" s="542" t="s">
        <v>303</v>
      </c>
      <c r="AC144" s="326"/>
      <c r="AD144" s="326"/>
      <c r="AE144" s="327"/>
      <c r="AF144" s="543"/>
      <c r="AG144" s="327"/>
      <c r="AH144" s="543"/>
      <c r="AI144" s="327"/>
      <c r="AJ144" s="536"/>
      <c r="AK144" s="327"/>
      <c r="AL144" s="537" t="s">
        <v>334</v>
      </c>
      <c r="AM144" s="327"/>
      <c r="AN144" s="546" t="s">
        <v>334</v>
      </c>
      <c r="AO144" s="327"/>
      <c r="AP144" s="547"/>
      <c r="AQ144" s="327"/>
      <c r="AR144" s="548"/>
      <c r="AS144" s="327"/>
      <c r="AT144" s="549"/>
      <c r="AU144" s="327"/>
      <c r="AV144" s="546" t="s">
        <v>334</v>
      </c>
      <c r="AW144" s="327"/>
      <c r="AX144" s="521"/>
      <c r="AY144" s="326"/>
      <c r="AZ144" s="327"/>
      <c r="BA144" s="550"/>
      <c r="BB144" s="327"/>
      <c r="BC144" s="25"/>
      <c r="BD144" s="544" t="s">
        <v>334</v>
      </c>
      <c r="BE144" s="327"/>
      <c r="BF144" s="545"/>
      <c r="BG144" s="326"/>
      <c r="BH144" s="326"/>
      <c r="BI144" s="327"/>
      <c r="BJ144" s="557" t="s">
        <v>303</v>
      </c>
      <c r="BK144" s="326"/>
      <c r="BL144" s="326"/>
      <c r="BM144" s="327"/>
      <c r="BN144" s="558" t="s">
        <v>303</v>
      </c>
      <c r="BO144" s="326"/>
      <c r="BP144" s="326"/>
      <c r="BQ144" s="326"/>
      <c r="BR144" s="326"/>
      <c r="BS144" s="326"/>
      <c r="BT144" s="326"/>
      <c r="BU144" s="326"/>
      <c r="BV144" s="327"/>
    </row>
    <row r="145" spans="1:74" ht="45" customHeight="1" x14ac:dyDescent="0.25">
      <c r="A145" s="10">
        <f t="shared" si="0"/>
        <v>131</v>
      </c>
      <c r="B145" s="564" t="s">
        <v>303</v>
      </c>
      <c r="C145" s="327"/>
      <c r="D145" s="565" t="s">
        <v>307</v>
      </c>
      <c r="E145" s="327"/>
      <c r="F145" s="537" t="s">
        <v>334</v>
      </c>
      <c r="G145" s="327"/>
      <c r="H145" s="566" t="s">
        <v>334</v>
      </c>
      <c r="I145" s="327"/>
      <c r="J145" s="567"/>
      <c r="K145" s="327"/>
      <c r="L145" s="567"/>
      <c r="M145" s="327"/>
      <c r="N145" s="20"/>
      <c r="O145" s="21"/>
      <c r="P145" s="524"/>
      <c r="Q145" s="327"/>
      <c r="R145" s="516"/>
      <c r="S145" s="327"/>
      <c r="T145" s="517"/>
      <c r="U145" s="327"/>
      <c r="V145" s="518"/>
      <c r="W145" s="327"/>
      <c r="X145" s="438" t="s">
        <v>303</v>
      </c>
      <c r="Y145" s="326"/>
      <c r="Z145" s="326"/>
      <c r="AA145" s="327"/>
      <c r="AB145" s="519" t="s">
        <v>303</v>
      </c>
      <c r="AC145" s="326"/>
      <c r="AD145" s="326"/>
      <c r="AE145" s="327"/>
      <c r="AF145" s="520"/>
      <c r="AG145" s="327"/>
      <c r="AH145" s="520"/>
      <c r="AI145" s="327"/>
      <c r="AJ145" s="554"/>
      <c r="AK145" s="327"/>
      <c r="AL145" s="556" t="s">
        <v>334</v>
      </c>
      <c r="AM145" s="327"/>
      <c r="AN145" s="553" t="s">
        <v>334</v>
      </c>
      <c r="AO145" s="327"/>
      <c r="AP145" s="554"/>
      <c r="AQ145" s="327"/>
      <c r="AR145" s="555"/>
      <c r="AS145" s="327"/>
      <c r="AT145" s="549"/>
      <c r="AU145" s="327"/>
      <c r="AV145" s="553" t="s">
        <v>334</v>
      </c>
      <c r="AW145" s="327"/>
      <c r="AX145" s="521"/>
      <c r="AY145" s="326"/>
      <c r="AZ145" s="327"/>
      <c r="BA145" s="536"/>
      <c r="BB145" s="327"/>
      <c r="BC145" s="22"/>
      <c r="BD145" s="551" t="s">
        <v>334</v>
      </c>
      <c r="BE145" s="327"/>
      <c r="BF145" s="508"/>
      <c r="BG145" s="326"/>
      <c r="BH145" s="326"/>
      <c r="BI145" s="327"/>
      <c r="BJ145" s="451" t="s">
        <v>303</v>
      </c>
      <c r="BK145" s="326"/>
      <c r="BL145" s="326"/>
      <c r="BM145" s="327"/>
      <c r="BN145" s="558" t="s">
        <v>303</v>
      </c>
      <c r="BO145" s="326"/>
      <c r="BP145" s="326"/>
      <c r="BQ145" s="326"/>
      <c r="BR145" s="326"/>
      <c r="BS145" s="326"/>
      <c r="BT145" s="326"/>
      <c r="BU145" s="326"/>
      <c r="BV145" s="327"/>
    </row>
    <row r="146" spans="1:74" ht="45" customHeight="1" x14ac:dyDescent="0.25">
      <c r="A146" s="10">
        <f t="shared" si="0"/>
        <v>132</v>
      </c>
      <c r="B146" s="559" t="s">
        <v>303</v>
      </c>
      <c r="C146" s="327"/>
      <c r="D146" s="560" t="s">
        <v>307</v>
      </c>
      <c r="E146" s="327"/>
      <c r="F146" s="537" t="s">
        <v>334</v>
      </c>
      <c r="G146" s="327"/>
      <c r="H146" s="561" t="s">
        <v>334</v>
      </c>
      <c r="I146" s="327"/>
      <c r="J146" s="562"/>
      <c r="K146" s="327"/>
      <c r="L146" s="562"/>
      <c r="M146" s="327"/>
      <c r="N146" s="23"/>
      <c r="O146" s="24"/>
      <c r="P146" s="563"/>
      <c r="Q146" s="327"/>
      <c r="R146" s="538"/>
      <c r="S146" s="327"/>
      <c r="T146" s="539"/>
      <c r="U146" s="327"/>
      <c r="V146" s="540"/>
      <c r="W146" s="327"/>
      <c r="X146" s="541" t="s">
        <v>303</v>
      </c>
      <c r="Y146" s="326"/>
      <c r="Z146" s="326"/>
      <c r="AA146" s="327"/>
      <c r="AB146" s="542" t="s">
        <v>303</v>
      </c>
      <c r="AC146" s="326"/>
      <c r="AD146" s="326"/>
      <c r="AE146" s="327"/>
      <c r="AF146" s="543"/>
      <c r="AG146" s="327"/>
      <c r="AH146" s="543"/>
      <c r="AI146" s="327"/>
      <c r="AJ146" s="536"/>
      <c r="AK146" s="327"/>
      <c r="AL146" s="537" t="s">
        <v>334</v>
      </c>
      <c r="AM146" s="327"/>
      <c r="AN146" s="546" t="s">
        <v>334</v>
      </c>
      <c r="AO146" s="327"/>
      <c r="AP146" s="547"/>
      <c r="AQ146" s="327"/>
      <c r="AR146" s="548"/>
      <c r="AS146" s="327"/>
      <c r="AT146" s="549"/>
      <c r="AU146" s="327"/>
      <c r="AV146" s="546" t="s">
        <v>334</v>
      </c>
      <c r="AW146" s="327"/>
      <c r="AX146" s="521"/>
      <c r="AY146" s="326"/>
      <c r="AZ146" s="327"/>
      <c r="BA146" s="550"/>
      <c r="BB146" s="327"/>
      <c r="BC146" s="25"/>
      <c r="BD146" s="544" t="s">
        <v>334</v>
      </c>
      <c r="BE146" s="327"/>
      <c r="BF146" s="545"/>
      <c r="BG146" s="326"/>
      <c r="BH146" s="326"/>
      <c r="BI146" s="327"/>
      <c r="BJ146" s="557" t="s">
        <v>303</v>
      </c>
      <c r="BK146" s="326"/>
      <c r="BL146" s="326"/>
      <c r="BM146" s="327"/>
      <c r="BN146" s="558" t="s">
        <v>303</v>
      </c>
      <c r="BO146" s="326"/>
      <c r="BP146" s="326"/>
      <c r="BQ146" s="326"/>
      <c r="BR146" s="326"/>
      <c r="BS146" s="326"/>
      <c r="BT146" s="326"/>
      <c r="BU146" s="326"/>
      <c r="BV146" s="327"/>
    </row>
    <row r="147" spans="1:74" ht="45" customHeight="1" x14ac:dyDescent="0.25">
      <c r="A147" s="10">
        <f t="shared" si="0"/>
        <v>133</v>
      </c>
      <c r="B147" s="564" t="s">
        <v>303</v>
      </c>
      <c r="C147" s="327"/>
      <c r="D147" s="565" t="s">
        <v>307</v>
      </c>
      <c r="E147" s="327"/>
      <c r="F147" s="537" t="s">
        <v>334</v>
      </c>
      <c r="G147" s="327"/>
      <c r="H147" s="566" t="s">
        <v>334</v>
      </c>
      <c r="I147" s="327"/>
      <c r="J147" s="567"/>
      <c r="K147" s="327"/>
      <c r="L147" s="567"/>
      <c r="M147" s="327"/>
      <c r="N147" s="20"/>
      <c r="O147" s="21"/>
      <c r="P147" s="524"/>
      <c r="Q147" s="327"/>
      <c r="R147" s="516"/>
      <c r="S147" s="327"/>
      <c r="T147" s="517"/>
      <c r="U147" s="327"/>
      <c r="V147" s="518"/>
      <c r="W147" s="327"/>
      <c r="X147" s="438" t="s">
        <v>303</v>
      </c>
      <c r="Y147" s="326"/>
      <c r="Z147" s="326"/>
      <c r="AA147" s="327"/>
      <c r="AB147" s="519" t="s">
        <v>303</v>
      </c>
      <c r="AC147" s="326"/>
      <c r="AD147" s="326"/>
      <c r="AE147" s="327"/>
      <c r="AF147" s="520"/>
      <c r="AG147" s="327"/>
      <c r="AH147" s="520"/>
      <c r="AI147" s="327"/>
      <c r="AJ147" s="554"/>
      <c r="AK147" s="327"/>
      <c r="AL147" s="556" t="s">
        <v>334</v>
      </c>
      <c r="AM147" s="327"/>
      <c r="AN147" s="553" t="s">
        <v>334</v>
      </c>
      <c r="AO147" s="327"/>
      <c r="AP147" s="554"/>
      <c r="AQ147" s="327"/>
      <c r="AR147" s="555"/>
      <c r="AS147" s="327"/>
      <c r="AT147" s="549"/>
      <c r="AU147" s="327"/>
      <c r="AV147" s="553" t="s">
        <v>334</v>
      </c>
      <c r="AW147" s="327"/>
      <c r="AX147" s="521"/>
      <c r="AY147" s="326"/>
      <c r="AZ147" s="327"/>
      <c r="BA147" s="536"/>
      <c r="BB147" s="327"/>
      <c r="BC147" s="22"/>
      <c r="BD147" s="551" t="s">
        <v>334</v>
      </c>
      <c r="BE147" s="327"/>
      <c r="BF147" s="552"/>
      <c r="BG147" s="326"/>
      <c r="BH147" s="326"/>
      <c r="BI147" s="327"/>
      <c r="BJ147" s="451" t="s">
        <v>303</v>
      </c>
      <c r="BK147" s="326"/>
      <c r="BL147" s="326"/>
      <c r="BM147" s="327"/>
      <c r="BN147" s="558" t="s">
        <v>303</v>
      </c>
      <c r="BO147" s="326"/>
      <c r="BP147" s="326"/>
      <c r="BQ147" s="326"/>
      <c r="BR147" s="326"/>
      <c r="BS147" s="326"/>
      <c r="BT147" s="326"/>
      <c r="BU147" s="326"/>
      <c r="BV147" s="327"/>
    </row>
    <row r="148" spans="1:74" ht="45" customHeight="1" x14ac:dyDescent="0.25">
      <c r="A148" s="10">
        <f t="shared" si="0"/>
        <v>134</v>
      </c>
      <c r="B148" s="559" t="s">
        <v>303</v>
      </c>
      <c r="C148" s="327"/>
      <c r="D148" s="560" t="s">
        <v>307</v>
      </c>
      <c r="E148" s="327"/>
      <c r="F148" s="537" t="s">
        <v>334</v>
      </c>
      <c r="G148" s="327"/>
      <c r="H148" s="561" t="s">
        <v>334</v>
      </c>
      <c r="I148" s="327"/>
      <c r="J148" s="562"/>
      <c r="K148" s="327"/>
      <c r="L148" s="562"/>
      <c r="M148" s="327"/>
      <c r="N148" s="23"/>
      <c r="O148" s="24"/>
      <c r="P148" s="563"/>
      <c r="Q148" s="327"/>
      <c r="R148" s="538"/>
      <c r="S148" s="327"/>
      <c r="T148" s="539"/>
      <c r="U148" s="327"/>
      <c r="V148" s="540"/>
      <c r="W148" s="327"/>
      <c r="X148" s="541" t="s">
        <v>303</v>
      </c>
      <c r="Y148" s="326"/>
      <c r="Z148" s="326"/>
      <c r="AA148" s="327"/>
      <c r="AB148" s="542" t="s">
        <v>303</v>
      </c>
      <c r="AC148" s="326"/>
      <c r="AD148" s="326"/>
      <c r="AE148" s="327"/>
      <c r="AF148" s="543"/>
      <c r="AG148" s="327"/>
      <c r="AH148" s="543"/>
      <c r="AI148" s="327"/>
      <c r="AJ148" s="536"/>
      <c r="AK148" s="327"/>
      <c r="AL148" s="537" t="s">
        <v>334</v>
      </c>
      <c r="AM148" s="327"/>
      <c r="AN148" s="546" t="s">
        <v>334</v>
      </c>
      <c r="AO148" s="327"/>
      <c r="AP148" s="547"/>
      <c r="AQ148" s="327"/>
      <c r="AR148" s="548"/>
      <c r="AS148" s="327"/>
      <c r="AT148" s="549"/>
      <c r="AU148" s="327"/>
      <c r="AV148" s="546" t="s">
        <v>334</v>
      </c>
      <c r="AW148" s="327"/>
      <c r="AX148" s="521"/>
      <c r="AY148" s="326"/>
      <c r="AZ148" s="327"/>
      <c r="BA148" s="550"/>
      <c r="BB148" s="327"/>
      <c r="BC148" s="25"/>
      <c r="BD148" s="544" t="s">
        <v>334</v>
      </c>
      <c r="BE148" s="327"/>
      <c r="BF148" s="545"/>
      <c r="BG148" s="326"/>
      <c r="BH148" s="326"/>
      <c r="BI148" s="327"/>
      <c r="BJ148" s="557" t="s">
        <v>303</v>
      </c>
      <c r="BK148" s="326"/>
      <c r="BL148" s="326"/>
      <c r="BM148" s="327"/>
      <c r="BN148" s="558" t="s">
        <v>303</v>
      </c>
      <c r="BO148" s="326"/>
      <c r="BP148" s="326"/>
      <c r="BQ148" s="326"/>
      <c r="BR148" s="326"/>
      <c r="BS148" s="326"/>
      <c r="BT148" s="326"/>
      <c r="BU148" s="326"/>
      <c r="BV148" s="327"/>
    </row>
    <row r="149" spans="1:74" ht="45" customHeight="1" x14ac:dyDescent="0.25">
      <c r="A149" s="10">
        <f t="shared" si="0"/>
        <v>135</v>
      </c>
      <c r="B149" s="564" t="s">
        <v>303</v>
      </c>
      <c r="C149" s="327"/>
      <c r="D149" s="565" t="s">
        <v>307</v>
      </c>
      <c r="E149" s="327"/>
      <c r="F149" s="537" t="s">
        <v>334</v>
      </c>
      <c r="G149" s="327"/>
      <c r="H149" s="566" t="s">
        <v>334</v>
      </c>
      <c r="I149" s="327"/>
      <c r="J149" s="567"/>
      <c r="K149" s="327"/>
      <c r="L149" s="567"/>
      <c r="M149" s="327"/>
      <c r="N149" s="20"/>
      <c r="O149" s="21"/>
      <c r="P149" s="524"/>
      <c r="Q149" s="327"/>
      <c r="R149" s="516"/>
      <c r="S149" s="327"/>
      <c r="T149" s="517"/>
      <c r="U149" s="327"/>
      <c r="V149" s="518"/>
      <c r="W149" s="327"/>
      <c r="X149" s="438" t="s">
        <v>303</v>
      </c>
      <c r="Y149" s="326"/>
      <c r="Z149" s="326"/>
      <c r="AA149" s="327"/>
      <c r="AB149" s="519" t="s">
        <v>303</v>
      </c>
      <c r="AC149" s="326"/>
      <c r="AD149" s="326"/>
      <c r="AE149" s="327"/>
      <c r="AF149" s="520"/>
      <c r="AG149" s="327"/>
      <c r="AH149" s="520"/>
      <c r="AI149" s="327"/>
      <c r="AJ149" s="554"/>
      <c r="AK149" s="327"/>
      <c r="AL149" s="556" t="s">
        <v>334</v>
      </c>
      <c r="AM149" s="327"/>
      <c r="AN149" s="553" t="s">
        <v>334</v>
      </c>
      <c r="AO149" s="327"/>
      <c r="AP149" s="554"/>
      <c r="AQ149" s="327"/>
      <c r="AR149" s="555"/>
      <c r="AS149" s="327"/>
      <c r="AT149" s="549"/>
      <c r="AU149" s="327"/>
      <c r="AV149" s="553" t="s">
        <v>334</v>
      </c>
      <c r="AW149" s="327"/>
      <c r="AX149" s="521"/>
      <c r="AY149" s="326"/>
      <c r="AZ149" s="327"/>
      <c r="BA149" s="536"/>
      <c r="BB149" s="327"/>
      <c r="BC149" s="22"/>
      <c r="BD149" s="551" t="s">
        <v>334</v>
      </c>
      <c r="BE149" s="327"/>
      <c r="BF149" s="508"/>
      <c r="BG149" s="326"/>
      <c r="BH149" s="326"/>
      <c r="BI149" s="327"/>
      <c r="BJ149" s="451" t="s">
        <v>303</v>
      </c>
      <c r="BK149" s="326"/>
      <c r="BL149" s="326"/>
      <c r="BM149" s="327"/>
      <c r="BN149" s="558" t="s">
        <v>303</v>
      </c>
      <c r="BO149" s="326"/>
      <c r="BP149" s="326"/>
      <c r="BQ149" s="326"/>
      <c r="BR149" s="326"/>
      <c r="BS149" s="326"/>
      <c r="BT149" s="326"/>
      <c r="BU149" s="326"/>
      <c r="BV149" s="327"/>
    </row>
    <row r="150" spans="1:74" ht="45" customHeight="1" x14ac:dyDescent="0.25">
      <c r="A150" s="10">
        <f t="shared" si="0"/>
        <v>136</v>
      </c>
      <c r="B150" s="559" t="s">
        <v>303</v>
      </c>
      <c r="C150" s="327"/>
      <c r="D150" s="560" t="s">
        <v>307</v>
      </c>
      <c r="E150" s="327"/>
      <c r="F150" s="537" t="s">
        <v>334</v>
      </c>
      <c r="G150" s="327"/>
      <c r="H150" s="561" t="s">
        <v>334</v>
      </c>
      <c r="I150" s="327"/>
      <c r="J150" s="562"/>
      <c r="K150" s="327"/>
      <c r="L150" s="562"/>
      <c r="M150" s="327"/>
      <c r="N150" s="23"/>
      <c r="O150" s="24"/>
      <c r="P150" s="563"/>
      <c r="Q150" s="327"/>
      <c r="R150" s="538"/>
      <c r="S150" s="327"/>
      <c r="T150" s="539"/>
      <c r="U150" s="327"/>
      <c r="V150" s="540"/>
      <c r="W150" s="327"/>
      <c r="X150" s="541" t="s">
        <v>303</v>
      </c>
      <c r="Y150" s="326"/>
      <c r="Z150" s="326"/>
      <c r="AA150" s="327"/>
      <c r="AB150" s="542" t="s">
        <v>303</v>
      </c>
      <c r="AC150" s="326"/>
      <c r="AD150" s="326"/>
      <c r="AE150" s="327"/>
      <c r="AF150" s="543"/>
      <c r="AG150" s="327"/>
      <c r="AH150" s="543"/>
      <c r="AI150" s="327"/>
      <c r="AJ150" s="536"/>
      <c r="AK150" s="327"/>
      <c r="AL150" s="537" t="s">
        <v>334</v>
      </c>
      <c r="AM150" s="327"/>
      <c r="AN150" s="546" t="s">
        <v>334</v>
      </c>
      <c r="AO150" s="327"/>
      <c r="AP150" s="547"/>
      <c r="AQ150" s="327"/>
      <c r="AR150" s="548"/>
      <c r="AS150" s="327"/>
      <c r="AT150" s="549"/>
      <c r="AU150" s="327"/>
      <c r="AV150" s="546" t="s">
        <v>334</v>
      </c>
      <c r="AW150" s="327"/>
      <c r="AX150" s="521"/>
      <c r="AY150" s="326"/>
      <c r="AZ150" s="327"/>
      <c r="BA150" s="550"/>
      <c r="BB150" s="327"/>
      <c r="BC150" s="25"/>
      <c r="BD150" s="544" t="s">
        <v>334</v>
      </c>
      <c r="BE150" s="327"/>
      <c r="BF150" s="545"/>
      <c r="BG150" s="326"/>
      <c r="BH150" s="326"/>
      <c r="BI150" s="327"/>
      <c r="BJ150" s="557" t="s">
        <v>303</v>
      </c>
      <c r="BK150" s="326"/>
      <c r="BL150" s="326"/>
      <c r="BM150" s="327"/>
      <c r="BN150" s="558" t="s">
        <v>303</v>
      </c>
      <c r="BO150" s="326"/>
      <c r="BP150" s="326"/>
      <c r="BQ150" s="326"/>
      <c r="BR150" s="326"/>
      <c r="BS150" s="326"/>
      <c r="BT150" s="326"/>
      <c r="BU150" s="326"/>
      <c r="BV150" s="327"/>
    </row>
    <row r="151" spans="1:74" ht="45" customHeight="1" x14ac:dyDescent="0.25">
      <c r="A151" s="10">
        <f t="shared" si="0"/>
        <v>137</v>
      </c>
      <c r="B151" s="564" t="s">
        <v>303</v>
      </c>
      <c r="C151" s="327"/>
      <c r="D151" s="565" t="s">
        <v>307</v>
      </c>
      <c r="E151" s="327"/>
      <c r="F151" s="537" t="s">
        <v>334</v>
      </c>
      <c r="G151" s="327"/>
      <c r="H151" s="566" t="s">
        <v>334</v>
      </c>
      <c r="I151" s="327"/>
      <c r="J151" s="567"/>
      <c r="K151" s="327"/>
      <c r="L151" s="567"/>
      <c r="M151" s="327"/>
      <c r="N151" s="20"/>
      <c r="O151" s="21"/>
      <c r="P151" s="524"/>
      <c r="Q151" s="327"/>
      <c r="R151" s="516"/>
      <c r="S151" s="327"/>
      <c r="T151" s="517"/>
      <c r="U151" s="327"/>
      <c r="V151" s="518"/>
      <c r="W151" s="327"/>
      <c r="X151" s="438" t="s">
        <v>303</v>
      </c>
      <c r="Y151" s="326"/>
      <c r="Z151" s="326"/>
      <c r="AA151" s="327"/>
      <c r="AB151" s="519" t="s">
        <v>303</v>
      </c>
      <c r="AC151" s="326"/>
      <c r="AD151" s="326"/>
      <c r="AE151" s="327"/>
      <c r="AF151" s="520"/>
      <c r="AG151" s="327"/>
      <c r="AH151" s="520"/>
      <c r="AI151" s="327"/>
      <c r="AJ151" s="554"/>
      <c r="AK151" s="327"/>
      <c r="AL151" s="556" t="s">
        <v>334</v>
      </c>
      <c r="AM151" s="327"/>
      <c r="AN151" s="553" t="s">
        <v>334</v>
      </c>
      <c r="AO151" s="327"/>
      <c r="AP151" s="554"/>
      <c r="AQ151" s="327"/>
      <c r="AR151" s="555"/>
      <c r="AS151" s="327"/>
      <c r="AT151" s="549"/>
      <c r="AU151" s="327"/>
      <c r="AV151" s="553" t="s">
        <v>334</v>
      </c>
      <c r="AW151" s="327"/>
      <c r="AX151" s="521"/>
      <c r="AY151" s="326"/>
      <c r="AZ151" s="327"/>
      <c r="BA151" s="536"/>
      <c r="BB151" s="327"/>
      <c r="BC151" s="22"/>
      <c r="BD151" s="551" t="s">
        <v>334</v>
      </c>
      <c r="BE151" s="327"/>
      <c r="BF151" s="552"/>
      <c r="BG151" s="326"/>
      <c r="BH151" s="326"/>
      <c r="BI151" s="327"/>
      <c r="BJ151" s="451" t="s">
        <v>303</v>
      </c>
      <c r="BK151" s="326"/>
      <c r="BL151" s="326"/>
      <c r="BM151" s="327"/>
      <c r="BN151" s="558" t="s">
        <v>303</v>
      </c>
      <c r="BO151" s="326"/>
      <c r="BP151" s="326"/>
      <c r="BQ151" s="326"/>
      <c r="BR151" s="326"/>
      <c r="BS151" s="326"/>
      <c r="BT151" s="326"/>
      <c r="BU151" s="326"/>
      <c r="BV151" s="327"/>
    </row>
    <row r="152" spans="1:74" ht="45" customHeight="1" x14ac:dyDescent="0.25">
      <c r="A152" s="10">
        <f t="shared" si="0"/>
        <v>138</v>
      </c>
      <c r="B152" s="559" t="s">
        <v>303</v>
      </c>
      <c r="C152" s="327"/>
      <c r="D152" s="560" t="s">
        <v>307</v>
      </c>
      <c r="E152" s="327"/>
      <c r="F152" s="537" t="s">
        <v>334</v>
      </c>
      <c r="G152" s="327"/>
      <c r="H152" s="561" t="s">
        <v>334</v>
      </c>
      <c r="I152" s="327"/>
      <c r="J152" s="562"/>
      <c r="K152" s="327"/>
      <c r="L152" s="562"/>
      <c r="M152" s="327"/>
      <c r="N152" s="23"/>
      <c r="O152" s="24"/>
      <c r="P152" s="563"/>
      <c r="Q152" s="327"/>
      <c r="R152" s="538"/>
      <c r="S152" s="327"/>
      <c r="T152" s="539"/>
      <c r="U152" s="327"/>
      <c r="V152" s="540"/>
      <c r="W152" s="327"/>
      <c r="X152" s="541" t="s">
        <v>303</v>
      </c>
      <c r="Y152" s="326"/>
      <c r="Z152" s="326"/>
      <c r="AA152" s="327"/>
      <c r="AB152" s="542" t="s">
        <v>303</v>
      </c>
      <c r="AC152" s="326"/>
      <c r="AD152" s="326"/>
      <c r="AE152" s="327"/>
      <c r="AF152" s="543"/>
      <c r="AG152" s="327"/>
      <c r="AH152" s="543"/>
      <c r="AI152" s="327"/>
      <c r="AJ152" s="536"/>
      <c r="AK152" s="327"/>
      <c r="AL152" s="537" t="s">
        <v>334</v>
      </c>
      <c r="AM152" s="327"/>
      <c r="AN152" s="546" t="s">
        <v>334</v>
      </c>
      <c r="AO152" s="327"/>
      <c r="AP152" s="547"/>
      <c r="AQ152" s="327"/>
      <c r="AR152" s="548"/>
      <c r="AS152" s="327"/>
      <c r="AT152" s="549"/>
      <c r="AU152" s="327"/>
      <c r="AV152" s="546" t="s">
        <v>334</v>
      </c>
      <c r="AW152" s="327"/>
      <c r="AX152" s="521"/>
      <c r="AY152" s="326"/>
      <c r="AZ152" s="327"/>
      <c r="BA152" s="550"/>
      <c r="BB152" s="327"/>
      <c r="BC152" s="25"/>
      <c r="BD152" s="551" t="s">
        <v>334</v>
      </c>
      <c r="BE152" s="327"/>
      <c r="BF152" s="545"/>
      <c r="BG152" s="326"/>
      <c r="BH152" s="326"/>
      <c r="BI152" s="327"/>
      <c r="BJ152" s="557" t="s">
        <v>303</v>
      </c>
      <c r="BK152" s="326"/>
      <c r="BL152" s="326"/>
      <c r="BM152" s="327"/>
      <c r="BN152" s="558" t="s">
        <v>303</v>
      </c>
      <c r="BO152" s="326"/>
      <c r="BP152" s="326"/>
      <c r="BQ152" s="326"/>
      <c r="BR152" s="326"/>
      <c r="BS152" s="326"/>
      <c r="BT152" s="326"/>
      <c r="BU152" s="326"/>
      <c r="BV152" s="327"/>
    </row>
    <row r="153" spans="1:74" ht="45" customHeight="1" x14ac:dyDescent="0.25">
      <c r="A153" s="10">
        <f t="shared" si="0"/>
        <v>139</v>
      </c>
      <c r="B153" s="564" t="s">
        <v>303</v>
      </c>
      <c r="C153" s="327"/>
      <c r="D153" s="565" t="s">
        <v>307</v>
      </c>
      <c r="E153" s="327"/>
      <c r="F153" s="537" t="s">
        <v>334</v>
      </c>
      <c r="G153" s="327"/>
      <c r="H153" s="566" t="s">
        <v>334</v>
      </c>
      <c r="I153" s="327"/>
      <c r="J153" s="567"/>
      <c r="K153" s="327"/>
      <c r="L153" s="567"/>
      <c r="M153" s="327"/>
      <c r="N153" s="20"/>
      <c r="O153" s="21"/>
      <c r="P153" s="524"/>
      <c r="Q153" s="327"/>
      <c r="R153" s="516"/>
      <c r="S153" s="327"/>
      <c r="T153" s="517"/>
      <c r="U153" s="327"/>
      <c r="V153" s="518"/>
      <c r="W153" s="327"/>
      <c r="X153" s="438" t="s">
        <v>303</v>
      </c>
      <c r="Y153" s="326"/>
      <c r="Z153" s="326"/>
      <c r="AA153" s="327"/>
      <c r="AB153" s="519" t="s">
        <v>303</v>
      </c>
      <c r="AC153" s="326"/>
      <c r="AD153" s="326"/>
      <c r="AE153" s="327"/>
      <c r="AF153" s="520"/>
      <c r="AG153" s="327"/>
      <c r="AH153" s="520"/>
      <c r="AI153" s="327"/>
      <c r="AJ153" s="554"/>
      <c r="AK153" s="327"/>
      <c r="AL153" s="556" t="s">
        <v>334</v>
      </c>
      <c r="AM153" s="327"/>
      <c r="AN153" s="553" t="s">
        <v>334</v>
      </c>
      <c r="AO153" s="327"/>
      <c r="AP153" s="554"/>
      <c r="AQ153" s="327"/>
      <c r="AR153" s="555"/>
      <c r="AS153" s="327"/>
      <c r="AT153" s="549"/>
      <c r="AU153" s="327"/>
      <c r="AV153" s="553" t="s">
        <v>334</v>
      </c>
      <c r="AW153" s="327"/>
      <c r="AX153" s="521"/>
      <c r="AY153" s="326"/>
      <c r="AZ153" s="327"/>
      <c r="BA153" s="536"/>
      <c r="BB153" s="327"/>
      <c r="BC153" s="22"/>
      <c r="BD153" s="544" t="s">
        <v>334</v>
      </c>
      <c r="BE153" s="327"/>
      <c r="BF153" s="508"/>
      <c r="BG153" s="326"/>
      <c r="BH153" s="326"/>
      <c r="BI153" s="327"/>
      <c r="BJ153" s="451" t="s">
        <v>303</v>
      </c>
      <c r="BK153" s="326"/>
      <c r="BL153" s="326"/>
      <c r="BM153" s="327"/>
      <c r="BN153" s="558" t="s">
        <v>303</v>
      </c>
      <c r="BO153" s="326"/>
      <c r="BP153" s="326"/>
      <c r="BQ153" s="326"/>
      <c r="BR153" s="326"/>
      <c r="BS153" s="326"/>
      <c r="BT153" s="326"/>
      <c r="BU153" s="326"/>
      <c r="BV153" s="327"/>
    </row>
    <row r="154" spans="1:74" ht="45" customHeight="1" x14ac:dyDescent="0.25">
      <c r="A154" s="10">
        <f t="shared" si="0"/>
        <v>140</v>
      </c>
      <c r="B154" s="559" t="s">
        <v>303</v>
      </c>
      <c r="C154" s="327"/>
      <c r="D154" s="560" t="s">
        <v>307</v>
      </c>
      <c r="E154" s="327"/>
      <c r="F154" s="537" t="s">
        <v>334</v>
      </c>
      <c r="G154" s="327"/>
      <c r="H154" s="561" t="s">
        <v>334</v>
      </c>
      <c r="I154" s="327"/>
      <c r="J154" s="562"/>
      <c r="K154" s="327"/>
      <c r="L154" s="562"/>
      <c r="M154" s="327"/>
      <c r="N154" s="23"/>
      <c r="O154" s="24"/>
      <c r="P154" s="563"/>
      <c r="Q154" s="327"/>
      <c r="R154" s="538"/>
      <c r="S154" s="327"/>
      <c r="T154" s="539"/>
      <c r="U154" s="327"/>
      <c r="V154" s="540"/>
      <c r="W154" s="327"/>
      <c r="X154" s="541" t="s">
        <v>303</v>
      </c>
      <c r="Y154" s="326"/>
      <c r="Z154" s="326"/>
      <c r="AA154" s="327"/>
      <c r="AB154" s="542" t="s">
        <v>303</v>
      </c>
      <c r="AC154" s="326"/>
      <c r="AD154" s="326"/>
      <c r="AE154" s="327"/>
      <c r="AF154" s="543"/>
      <c r="AG154" s="327"/>
      <c r="AH154" s="543"/>
      <c r="AI154" s="327"/>
      <c r="AJ154" s="536"/>
      <c r="AK154" s="327"/>
      <c r="AL154" s="537" t="s">
        <v>334</v>
      </c>
      <c r="AM154" s="327"/>
      <c r="AN154" s="546" t="s">
        <v>334</v>
      </c>
      <c r="AO154" s="327"/>
      <c r="AP154" s="547"/>
      <c r="AQ154" s="327"/>
      <c r="AR154" s="548"/>
      <c r="AS154" s="327"/>
      <c r="AT154" s="549"/>
      <c r="AU154" s="327"/>
      <c r="AV154" s="546" t="s">
        <v>334</v>
      </c>
      <c r="AW154" s="327"/>
      <c r="AX154" s="521"/>
      <c r="AY154" s="326"/>
      <c r="AZ154" s="327"/>
      <c r="BA154" s="550"/>
      <c r="BB154" s="327"/>
      <c r="BC154" s="25"/>
      <c r="BD154" s="551" t="s">
        <v>334</v>
      </c>
      <c r="BE154" s="327"/>
      <c r="BF154" s="545"/>
      <c r="BG154" s="326"/>
      <c r="BH154" s="326"/>
      <c r="BI154" s="327"/>
      <c r="BJ154" s="557" t="s">
        <v>303</v>
      </c>
      <c r="BK154" s="326"/>
      <c r="BL154" s="326"/>
      <c r="BM154" s="327"/>
      <c r="BN154" s="558" t="s">
        <v>303</v>
      </c>
      <c r="BO154" s="326"/>
      <c r="BP154" s="326"/>
      <c r="BQ154" s="326"/>
      <c r="BR154" s="326"/>
      <c r="BS154" s="326"/>
      <c r="BT154" s="326"/>
      <c r="BU154" s="326"/>
      <c r="BV154" s="327"/>
    </row>
    <row r="155" spans="1:74" ht="45" customHeight="1" x14ac:dyDescent="0.25">
      <c r="A155" s="10">
        <f t="shared" si="0"/>
        <v>141</v>
      </c>
      <c r="B155" s="564" t="s">
        <v>303</v>
      </c>
      <c r="C155" s="327"/>
      <c r="D155" s="565" t="s">
        <v>307</v>
      </c>
      <c r="E155" s="327"/>
      <c r="F155" s="537" t="s">
        <v>334</v>
      </c>
      <c r="G155" s="327"/>
      <c r="H155" s="566" t="s">
        <v>334</v>
      </c>
      <c r="I155" s="327"/>
      <c r="J155" s="567"/>
      <c r="K155" s="327"/>
      <c r="L155" s="567"/>
      <c r="M155" s="327"/>
      <c r="N155" s="20"/>
      <c r="O155" s="21"/>
      <c r="P155" s="524"/>
      <c r="Q155" s="327"/>
      <c r="R155" s="516"/>
      <c r="S155" s="327"/>
      <c r="T155" s="517"/>
      <c r="U155" s="327"/>
      <c r="V155" s="518"/>
      <c r="W155" s="327"/>
      <c r="X155" s="438" t="s">
        <v>303</v>
      </c>
      <c r="Y155" s="326"/>
      <c r="Z155" s="326"/>
      <c r="AA155" s="327"/>
      <c r="AB155" s="519" t="s">
        <v>303</v>
      </c>
      <c r="AC155" s="326"/>
      <c r="AD155" s="326"/>
      <c r="AE155" s="327"/>
      <c r="AF155" s="520"/>
      <c r="AG155" s="327"/>
      <c r="AH155" s="520"/>
      <c r="AI155" s="327"/>
      <c r="AJ155" s="554"/>
      <c r="AK155" s="327"/>
      <c r="AL155" s="556" t="s">
        <v>334</v>
      </c>
      <c r="AM155" s="327"/>
      <c r="AN155" s="553" t="s">
        <v>334</v>
      </c>
      <c r="AO155" s="327"/>
      <c r="AP155" s="554"/>
      <c r="AQ155" s="327"/>
      <c r="AR155" s="555"/>
      <c r="AS155" s="327"/>
      <c r="AT155" s="549"/>
      <c r="AU155" s="327"/>
      <c r="AV155" s="553" t="s">
        <v>334</v>
      </c>
      <c r="AW155" s="327"/>
      <c r="AX155" s="521"/>
      <c r="AY155" s="326"/>
      <c r="AZ155" s="327"/>
      <c r="BA155" s="536"/>
      <c r="BB155" s="327"/>
      <c r="BC155" s="22"/>
      <c r="BD155" s="551" t="s">
        <v>334</v>
      </c>
      <c r="BE155" s="327"/>
      <c r="BF155" s="508"/>
      <c r="BG155" s="326"/>
      <c r="BH155" s="326"/>
      <c r="BI155" s="327"/>
      <c r="BJ155" s="451" t="s">
        <v>303</v>
      </c>
      <c r="BK155" s="326"/>
      <c r="BL155" s="326"/>
      <c r="BM155" s="327"/>
      <c r="BN155" s="558" t="s">
        <v>303</v>
      </c>
      <c r="BO155" s="326"/>
      <c r="BP155" s="326"/>
      <c r="BQ155" s="326"/>
      <c r="BR155" s="326"/>
      <c r="BS155" s="326"/>
      <c r="BT155" s="326"/>
      <c r="BU155" s="326"/>
      <c r="BV155" s="327"/>
    </row>
    <row r="156" spans="1:74" ht="45" customHeight="1" x14ac:dyDescent="0.25">
      <c r="A156" s="10">
        <f t="shared" si="0"/>
        <v>142</v>
      </c>
      <c r="B156" s="559" t="s">
        <v>303</v>
      </c>
      <c r="C156" s="327"/>
      <c r="D156" s="560" t="s">
        <v>307</v>
      </c>
      <c r="E156" s="327"/>
      <c r="F156" s="537" t="s">
        <v>334</v>
      </c>
      <c r="G156" s="327"/>
      <c r="H156" s="561" t="s">
        <v>334</v>
      </c>
      <c r="I156" s="327"/>
      <c r="J156" s="562"/>
      <c r="K156" s="327"/>
      <c r="L156" s="562"/>
      <c r="M156" s="327"/>
      <c r="N156" s="23"/>
      <c r="O156" s="24"/>
      <c r="P156" s="563"/>
      <c r="Q156" s="327"/>
      <c r="R156" s="538"/>
      <c r="S156" s="327"/>
      <c r="T156" s="539"/>
      <c r="U156" s="327"/>
      <c r="V156" s="540"/>
      <c r="W156" s="327"/>
      <c r="X156" s="541" t="s">
        <v>303</v>
      </c>
      <c r="Y156" s="326"/>
      <c r="Z156" s="326"/>
      <c r="AA156" s="327"/>
      <c r="AB156" s="542" t="s">
        <v>303</v>
      </c>
      <c r="AC156" s="326"/>
      <c r="AD156" s="326"/>
      <c r="AE156" s="327"/>
      <c r="AF156" s="543"/>
      <c r="AG156" s="327"/>
      <c r="AH156" s="543"/>
      <c r="AI156" s="327"/>
      <c r="AJ156" s="536"/>
      <c r="AK156" s="327"/>
      <c r="AL156" s="537" t="s">
        <v>334</v>
      </c>
      <c r="AM156" s="327"/>
      <c r="AN156" s="546" t="s">
        <v>334</v>
      </c>
      <c r="AO156" s="327"/>
      <c r="AP156" s="547"/>
      <c r="AQ156" s="327"/>
      <c r="AR156" s="548"/>
      <c r="AS156" s="327"/>
      <c r="AT156" s="549"/>
      <c r="AU156" s="327"/>
      <c r="AV156" s="546" t="s">
        <v>334</v>
      </c>
      <c r="AW156" s="327"/>
      <c r="AX156" s="521"/>
      <c r="AY156" s="326"/>
      <c r="AZ156" s="327"/>
      <c r="BA156" s="550"/>
      <c r="BB156" s="327"/>
      <c r="BC156" s="25"/>
      <c r="BD156" s="544" t="s">
        <v>334</v>
      </c>
      <c r="BE156" s="327"/>
      <c r="BF156" s="545"/>
      <c r="BG156" s="326"/>
      <c r="BH156" s="326"/>
      <c r="BI156" s="327"/>
      <c r="BJ156" s="557" t="s">
        <v>303</v>
      </c>
      <c r="BK156" s="326"/>
      <c r="BL156" s="326"/>
      <c r="BM156" s="327"/>
      <c r="BN156" s="558" t="s">
        <v>303</v>
      </c>
      <c r="BO156" s="326"/>
      <c r="BP156" s="326"/>
      <c r="BQ156" s="326"/>
      <c r="BR156" s="326"/>
      <c r="BS156" s="326"/>
      <c r="BT156" s="326"/>
      <c r="BU156" s="326"/>
      <c r="BV156" s="327"/>
    </row>
    <row r="157" spans="1:74" ht="45" customHeight="1" x14ac:dyDescent="0.25">
      <c r="A157" s="10">
        <f t="shared" si="0"/>
        <v>143</v>
      </c>
      <c r="B157" s="564" t="s">
        <v>303</v>
      </c>
      <c r="C157" s="327"/>
      <c r="D157" s="565" t="s">
        <v>307</v>
      </c>
      <c r="E157" s="327"/>
      <c r="F157" s="537" t="s">
        <v>334</v>
      </c>
      <c r="G157" s="327"/>
      <c r="H157" s="566" t="s">
        <v>334</v>
      </c>
      <c r="I157" s="327"/>
      <c r="J157" s="567"/>
      <c r="K157" s="327"/>
      <c r="L157" s="567"/>
      <c r="M157" s="327"/>
      <c r="N157" s="20"/>
      <c r="O157" s="21"/>
      <c r="P157" s="524"/>
      <c r="Q157" s="327"/>
      <c r="R157" s="516"/>
      <c r="S157" s="327"/>
      <c r="T157" s="517"/>
      <c r="U157" s="327"/>
      <c r="V157" s="518"/>
      <c r="W157" s="327"/>
      <c r="X157" s="438" t="s">
        <v>303</v>
      </c>
      <c r="Y157" s="326"/>
      <c r="Z157" s="326"/>
      <c r="AA157" s="327"/>
      <c r="AB157" s="519" t="s">
        <v>303</v>
      </c>
      <c r="AC157" s="326"/>
      <c r="AD157" s="326"/>
      <c r="AE157" s="327"/>
      <c r="AF157" s="520"/>
      <c r="AG157" s="327"/>
      <c r="AH157" s="520"/>
      <c r="AI157" s="327"/>
      <c r="AJ157" s="554"/>
      <c r="AK157" s="327"/>
      <c r="AL157" s="556" t="s">
        <v>334</v>
      </c>
      <c r="AM157" s="327"/>
      <c r="AN157" s="553" t="s">
        <v>334</v>
      </c>
      <c r="AO157" s="327"/>
      <c r="AP157" s="554"/>
      <c r="AQ157" s="327"/>
      <c r="AR157" s="555"/>
      <c r="AS157" s="327"/>
      <c r="AT157" s="549"/>
      <c r="AU157" s="327"/>
      <c r="AV157" s="553" t="s">
        <v>334</v>
      </c>
      <c r="AW157" s="327"/>
      <c r="AX157" s="521"/>
      <c r="AY157" s="326"/>
      <c r="AZ157" s="327"/>
      <c r="BA157" s="536"/>
      <c r="BB157" s="327"/>
      <c r="BC157" s="22"/>
      <c r="BD157" s="551" t="s">
        <v>334</v>
      </c>
      <c r="BE157" s="327"/>
      <c r="BF157" s="552"/>
      <c r="BG157" s="326"/>
      <c r="BH157" s="326"/>
      <c r="BI157" s="327"/>
      <c r="BJ157" s="451" t="s">
        <v>303</v>
      </c>
      <c r="BK157" s="326"/>
      <c r="BL157" s="326"/>
      <c r="BM157" s="327"/>
      <c r="BN157" s="558" t="s">
        <v>303</v>
      </c>
      <c r="BO157" s="326"/>
      <c r="BP157" s="326"/>
      <c r="BQ157" s="326"/>
      <c r="BR157" s="326"/>
      <c r="BS157" s="326"/>
      <c r="BT157" s="326"/>
      <c r="BU157" s="326"/>
      <c r="BV157" s="327"/>
    </row>
    <row r="158" spans="1:74" ht="45" customHeight="1" x14ac:dyDescent="0.25">
      <c r="A158" s="10">
        <f t="shared" si="0"/>
        <v>144</v>
      </c>
      <c r="B158" s="559" t="s">
        <v>303</v>
      </c>
      <c r="C158" s="327"/>
      <c r="D158" s="560" t="s">
        <v>307</v>
      </c>
      <c r="E158" s="327"/>
      <c r="F158" s="537" t="s">
        <v>334</v>
      </c>
      <c r="G158" s="327"/>
      <c r="H158" s="561" t="s">
        <v>334</v>
      </c>
      <c r="I158" s="327"/>
      <c r="J158" s="562"/>
      <c r="K158" s="327"/>
      <c r="L158" s="562"/>
      <c r="M158" s="327"/>
      <c r="N158" s="23"/>
      <c r="O158" s="24"/>
      <c r="P158" s="563"/>
      <c r="Q158" s="327"/>
      <c r="R158" s="538"/>
      <c r="S158" s="327"/>
      <c r="T158" s="539"/>
      <c r="U158" s="327"/>
      <c r="V158" s="540"/>
      <c r="W158" s="327"/>
      <c r="X158" s="541" t="s">
        <v>303</v>
      </c>
      <c r="Y158" s="326"/>
      <c r="Z158" s="326"/>
      <c r="AA158" s="327"/>
      <c r="AB158" s="542" t="s">
        <v>303</v>
      </c>
      <c r="AC158" s="326"/>
      <c r="AD158" s="326"/>
      <c r="AE158" s="327"/>
      <c r="AF158" s="543"/>
      <c r="AG158" s="327"/>
      <c r="AH158" s="543"/>
      <c r="AI158" s="327"/>
      <c r="AJ158" s="536"/>
      <c r="AK158" s="327"/>
      <c r="AL158" s="537" t="s">
        <v>334</v>
      </c>
      <c r="AM158" s="327"/>
      <c r="AN158" s="546" t="s">
        <v>334</v>
      </c>
      <c r="AO158" s="327"/>
      <c r="AP158" s="547"/>
      <c r="AQ158" s="327"/>
      <c r="AR158" s="548"/>
      <c r="AS158" s="327"/>
      <c r="AT158" s="549"/>
      <c r="AU158" s="327"/>
      <c r="AV158" s="546" t="s">
        <v>334</v>
      </c>
      <c r="AW158" s="327"/>
      <c r="AX158" s="521"/>
      <c r="AY158" s="326"/>
      <c r="AZ158" s="327"/>
      <c r="BA158" s="550"/>
      <c r="BB158" s="327"/>
      <c r="BC158" s="25"/>
      <c r="BD158" s="544" t="s">
        <v>334</v>
      </c>
      <c r="BE158" s="327"/>
      <c r="BF158" s="545"/>
      <c r="BG158" s="326"/>
      <c r="BH158" s="326"/>
      <c r="BI158" s="327"/>
      <c r="BJ158" s="557" t="s">
        <v>303</v>
      </c>
      <c r="BK158" s="326"/>
      <c r="BL158" s="326"/>
      <c r="BM158" s="327"/>
      <c r="BN158" s="558" t="s">
        <v>303</v>
      </c>
      <c r="BO158" s="326"/>
      <c r="BP158" s="326"/>
      <c r="BQ158" s="326"/>
      <c r="BR158" s="326"/>
      <c r="BS158" s="326"/>
      <c r="BT158" s="326"/>
      <c r="BU158" s="326"/>
      <c r="BV158" s="327"/>
    </row>
    <row r="159" spans="1:74" ht="45" customHeight="1" x14ac:dyDescent="0.25">
      <c r="A159" s="10">
        <f t="shared" si="0"/>
        <v>145</v>
      </c>
      <c r="B159" s="564" t="s">
        <v>303</v>
      </c>
      <c r="C159" s="327"/>
      <c r="D159" s="565" t="s">
        <v>307</v>
      </c>
      <c r="E159" s="327"/>
      <c r="F159" s="537" t="s">
        <v>334</v>
      </c>
      <c r="G159" s="327"/>
      <c r="H159" s="566" t="s">
        <v>334</v>
      </c>
      <c r="I159" s="327"/>
      <c r="J159" s="567"/>
      <c r="K159" s="327"/>
      <c r="L159" s="567"/>
      <c r="M159" s="327"/>
      <c r="N159" s="20"/>
      <c r="O159" s="21"/>
      <c r="P159" s="524"/>
      <c r="Q159" s="327"/>
      <c r="R159" s="516"/>
      <c r="S159" s="327"/>
      <c r="T159" s="517"/>
      <c r="U159" s="327"/>
      <c r="V159" s="518"/>
      <c r="W159" s="327"/>
      <c r="X159" s="438" t="s">
        <v>303</v>
      </c>
      <c r="Y159" s="326"/>
      <c r="Z159" s="326"/>
      <c r="AA159" s="327"/>
      <c r="AB159" s="519" t="s">
        <v>303</v>
      </c>
      <c r="AC159" s="326"/>
      <c r="AD159" s="326"/>
      <c r="AE159" s="327"/>
      <c r="AF159" s="520"/>
      <c r="AG159" s="327"/>
      <c r="AH159" s="520"/>
      <c r="AI159" s="327"/>
      <c r="AJ159" s="554"/>
      <c r="AK159" s="327"/>
      <c r="AL159" s="556" t="s">
        <v>334</v>
      </c>
      <c r="AM159" s="327"/>
      <c r="AN159" s="553" t="s">
        <v>334</v>
      </c>
      <c r="AO159" s="327"/>
      <c r="AP159" s="554"/>
      <c r="AQ159" s="327"/>
      <c r="AR159" s="555"/>
      <c r="AS159" s="327"/>
      <c r="AT159" s="549"/>
      <c r="AU159" s="327"/>
      <c r="AV159" s="553" t="s">
        <v>334</v>
      </c>
      <c r="AW159" s="327"/>
      <c r="AX159" s="521"/>
      <c r="AY159" s="326"/>
      <c r="AZ159" s="327"/>
      <c r="BA159" s="536"/>
      <c r="BB159" s="327"/>
      <c r="BC159" s="22"/>
      <c r="BD159" s="551" t="s">
        <v>334</v>
      </c>
      <c r="BE159" s="327"/>
      <c r="BF159" s="508"/>
      <c r="BG159" s="326"/>
      <c r="BH159" s="326"/>
      <c r="BI159" s="327"/>
      <c r="BJ159" s="451" t="s">
        <v>303</v>
      </c>
      <c r="BK159" s="326"/>
      <c r="BL159" s="326"/>
      <c r="BM159" s="327"/>
      <c r="BN159" s="558" t="s">
        <v>303</v>
      </c>
      <c r="BO159" s="326"/>
      <c r="BP159" s="326"/>
      <c r="BQ159" s="326"/>
      <c r="BR159" s="326"/>
      <c r="BS159" s="326"/>
      <c r="BT159" s="326"/>
      <c r="BU159" s="326"/>
      <c r="BV159" s="327"/>
    </row>
    <row r="160" spans="1:74" ht="45" customHeight="1" x14ac:dyDescent="0.25">
      <c r="A160" s="10">
        <f t="shared" si="0"/>
        <v>146</v>
      </c>
      <c r="B160" s="559" t="s">
        <v>303</v>
      </c>
      <c r="C160" s="327"/>
      <c r="D160" s="560" t="s">
        <v>307</v>
      </c>
      <c r="E160" s="327"/>
      <c r="F160" s="537" t="s">
        <v>334</v>
      </c>
      <c r="G160" s="327"/>
      <c r="H160" s="561" t="s">
        <v>334</v>
      </c>
      <c r="I160" s="327"/>
      <c r="J160" s="562"/>
      <c r="K160" s="327"/>
      <c r="L160" s="562"/>
      <c r="M160" s="327"/>
      <c r="N160" s="23"/>
      <c r="O160" s="24"/>
      <c r="P160" s="563"/>
      <c r="Q160" s="327"/>
      <c r="R160" s="538"/>
      <c r="S160" s="327"/>
      <c r="T160" s="539"/>
      <c r="U160" s="327"/>
      <c r="V160" s="540"/>
      <c r="W160" s="327"/>
      <c r="X160" s="541" t="s">
        <v>303</v>
      </c>
      <c r="Y160" s="326"/>
      <c r="Z160" s="326"/>
      <c r="AA160" s="327"/>
      <c r="AB160" s="542" t="s">
        <v>303</v>
      </c>
      <c r="AC160" s="326"/>
      <c r="AD160" s="326"/>
      <c r="AE160" s="327"/>
      <c r="AF160" s="543"/>
      <c r="AG160" s="327"/>
      <c r="AH160" s="543"/>
      <c r="AI160" s="327"/>
      <c r="AJ160" s="536"/>
      <c r="AK160" s="327"/>
      <c r="AL160" s="537" t="s">
        <v>334</v>
      </c>
      <c r="AM160" s="327"/>
      <c r="AN160" s="546" t="s">
        <v>334</v>
      </c>
      <c r="AO160" s="327"/>
      <c r="AP160" s="547"/>
      <c r="AQ160" s="327"/>
      <c r="AR160" s="548"/>
      <c r="AS160" s="327"/>
      <c r="AT160" s="549"/>
      <c r="AU160" s="327"/>
      <c r="AV160" s="546" t="s">
        <v>334</v>
      </c>
      <c r="AW160" s="327"/>
      <c r="AX160" s="521"/>
      <c r="AY160" s="326"/>
      <c r="AZ160" s="327"/>
      <c r="BA160" s="550"/>
      <c r="BB160" s="327"/>
      <c r="BC160" s="25"/>
      <c r="BD160" s="544" t="s">
        <v>334</v>
      </c>
      <c r="BE160" s="327"/>
      <c r="BF160" s="545"/>
      <c r="BG160" s="326"/>
      <c r="BH160" s="326"/>
      <c r="BI160" s="327"/>
      <c r="BJ160" s="557" t="s">
        <v>303</v>
      </c>
      <c r="BK160" s="326"/>
      <c r="BL160" s="326"/>
      <c r="BM160" s="327"/>
      <c r="BN160" s="558" t="s">
        <v>303</v>
      </c>
      <c r="BO160" s="326"/>
      <c r="BP160" s="326"/>
      <c r="BQ160" s="326"/>
      <c r="BR160" s="326"/>
      <c r="BS160" s="326"/>
      <c r="BT160" s="326"/>
      <c r="BU160" s="326"/>
      <c r="BV160" s="327"/>
    </row>
    <row r="161" spans="1:74" ht="45" customHeight="1" x14ac:dyDescent="0.25">
      <c r="A161" s="10">
        <f t="shared" si="0"/>
        <v>147</v>
      </c>
      <c r="B161" s="564" t="s">
        <v>303</v>
      </c>
      <c r="C161" s="327"/>
      <c r="D161" s="565" t="s">
        <v>307</v>
      </c>
      <c r="E161" s="327"/>
      <c r="F161" s="537" t="s">
        <v>334</v>
      </c>
      <c r="G161" s="327"/>
      <c r="H161" s="566" t="s">
        <v>334</v>
      </c>
      <c r="I161" s="327"/>
      <c r="J161" s="567"/>
      <c r="K161" s="327"/>
      <c r="L161" s="567"/>
      <c r="M161" s="327"/>
      <c r="N161" s="20"/>
      <c r="O161" s="21"/>
      <c r="P161" s="524"/>
      <c r="Q161" s="327"/>
      <c r="R161" s="516"/>
      <c r="S161" s="327"/>
      <c r="T161" s="517"/>
      <c r="U161" s="327"/>
      <c r="V161" s="518"/>
      <c r="W161" s="327"/>
      <c r="X161" s="438" t="s">
        <v>303</v>
      </c>
      <c r="Y161" s="326"/>
      <c r="Z161" s="326"/>
      <c r="AA161" s="327"/>
      <c r="AB161" s="519" t="s">
        <v>303</v>
      </c>
      <c r="AC161" s="326"/>
      <c r="AD161" s="326"/>
      <c r="AE161" s="327"/>
      <c r="AF161" s="520"/>
      <c r="AG161" s="327"/>
      <c r="AH161" s="520"/>
      <c r="AI161" s="327"/>
      <c r="AJ161" s="554"/>
      <c r="AK161" s="327"/>
      <c r="AL161" s="556" t="s">
        <v>334</v>
      </c>
      <c r="AM161" s="327"/>
      <c r="AN161" s="553" t="s">
        <v>334</v>
      </c>
      <c r="AO161" s="327"/>
      <c r="AP161" s="554"/>
      <c r="AQ161" s="327"/>
      <c r="AR161" s="555"/>
      <c r="AS161" s="327"/>
      <c r="AT161" s="549"/>
      <c r="AU161" s="327"/>
      <c r="AV161" s="553" t="s">
        <v>334</v>
      </c>
      <c r="AW161" s="327"/>
      <c r="AX161" s="521"/>
      <c r="AY161" s="326"/>
      <c r="AZ161" s="327"/>
      <c r="BA161" s="536"/>
      <c r="BB161" s="327"/>
      <c r="BC161" s="22"/>
      <c r="BD161" s="551" t="s">
        <v>334</v>
      </c>
      <c r="BE161" s="327"/>
      <c r="BF161" s="552"/>
      <c r="BG161" s="326"/>
      <c r="BH161" s="326"/>
      <c r="BI161" s="327"/>
      <c r="BJ161" s="451" t="s">
        <v>303</v>
      </c>
      <c r="BK161" s="326"/>
      <c r="BL161" s="326"/>
      <c r="BM161" s="327"/>
      <c r="BN161" s="558" t="s">
        <v>303</v>
      </c>
      <c r="BO161" s="326"/>
      <c r="BP161" s="326"/>
      <c r="BQ161" s="326"/>
      <c r="BR161" s="326"/>
      <c r="BS161" s="326"/>
      <c r="BT161" s="326"/>
      <c r="BU161" s="326"/>
      <c r="BV161" s="327"/>
    </row>
    <row r="162" spans="1:74" ht="45" customHeight="1" x14ac:dyDescent="0.25">
      <c r="A162" s="10">
        <f t="shared" si="0"/>
        <v>148</v>
      </c>
      <c r="B162" s="559" t="s">
        <v>303</v>
      </c>
      <c r="C162" s="327"/>
      <c r="D162" s="560" t="s">
        <v>307</v>
      </c>
      <c r="E162" s="327"/>
      <c r="F162" s="537" t="s">
        <v>334</v>
      </c>
      <c r="G162" s="327"/>
      <c r="H162" s="561" t="s">
        <v>334</v>
      </c>
      <c r="I162" s="327"/>
      <c r="J162" s="562"/>
      <c r="K162" s="327"/>
      <c r="L162" s="562"/>
      <c r="M162" s="327"/>
      <c r="N162" s="23"/>
      <c r="O162" s="24"/>
      <c r="P162" s="563"/>
      <c r="Q162" s="327"/>
      <c r="R162" s="538"/>
      <c r="S162" s="327"/>
      <c r="T162" s="539"/>
      <c r="U162" s="327"/>
      <c r="V162" s="540"/>
      <c r="W162" s="327"/>
      <c r="X162" s="541" t="s">
        <v>303</v>
      </c>
      <c r="Y162" s="326"/>
      <c r="Z162" s="326"/>
      <c r="AA162" s="327"/>
      <c r="AB162" s="542" t="s">
        <v>303</v>
      </c>
      <c r="AC162" s="326"/>
      <c r="AD162" s="326"/>
      <c r="AE162" s="327"/>
      <c r="AF162" s="543"/>
      <c r="AG162" s="327"/>
      <c r="AH162" s="543"/>
      <c r="AI162" s="327"/>
      <c r="AJ162" s="536"/>
      <c r="AK162" s="327"/>
      <c r="AL162" s="537" t="s">
        <v>334</v>
      </c>
      <c r="AM162" s="327"/>
      <c r="AN162" s="546" t="s">
        <v>334</v>
      </c>
      <c r="AO162" s="327"/>
      <c r="AP162" s="547"/>
      <c r="AQ162" s="327"/>
      <c r="AR162" s="548"/>
      <c r="AS162" s="327"/>
      <c r="AT162" s="549"/>
      <c r="AU162" s="327"/>
      <c r="AV162" s="546" t="s">
        <v>334</v>
      </c>
      <c r="AW162" s="327"/>
      <c r="AX162" s="521"/>
      <c r="AY162" s="326"/>
      <c r="AZ162" s="327"/>
      <c r="BA162" s="550"/>
      <c r="BB162" s="327"/>
      <c r="BC162" s="25"/>
      <c r="BD162" s="544" t="s">
        <v>334</v>
      </c>
      <c r="BE162" s="327"/>
      <c r="BF162" s="545"/>
      <c r="BG162" s="326"/>
      <c r="BH162" s="326"/>
      <c r="BI162" s="327"/>
      <c r="BJ162" s="557" t="s">
        <v>303</v>
      </c>
      <c r="BK162" s="326"/>
      <c r="BL162" s="326"/>
      <c r="BM162" s="327"/>
      <c r="BN162" s="558" t="s">
        <v>303</v>
      </c>
      <c r="BO162" s="326"/>
      <c r="BP162" s="326"/>
      <c r="BQ162" s="326"/>
      <c r="BR162" s="326"/>
      <c r="BS162" s="326"/>
      <c r="BT162" s="326"/>
      <c r="BU162" s="326"/>
      <c r="BV162" s="327"/>
    </row>
    <row r="163" spans="1:74" ht="45" customHeight="1" x14ac:dyDescent="0.25">
      <c r="A163" s="10">
        <f t="shared" si="0"/>
        <v>149</v>
      </c>
      <c r="B163" s="564" t="s">
        <v>303</v>
      </c>
      <c r="C163" s="327"/>
      <c r="D163" s="565" t="s">
        <v>307</v>
      </c>
      <c r="E163" s="327"/>
      <c r="F163" s="537" t="s">
        <v>334</v>
      </c>
      <c r="G163" s="327"/>
      <c r="H163" s="566" t="s">
        <v>334</v>
      </c>
      <c r="I163" s="327"/>
      <c r="J163" s="567"/>
      <c r="K163" s="327"/>
      <c r="L163" s="567"/>
      <c r="M163" s="327"/>
      <c r="N163" s="20"/>
      <c r="O163" s="21"/>
      <c r="P163" s="524"/>
      <c r="Q163" s="327"/>
      <c r="R163" s="516"/>
      <c r="S163" s="327"/>
      <c r="T163" s="517"/>
      <c r="U163" s="327"/>
      <c r="V163" s="518"/>
      <c r="W163" s="327"/>
      <c r="X163" s="438" t="s">
        <v>303</v>
      </c>
      <c r="Y163" s="326"/>
      <c r="Z163" s="326"/>
      <c r="AA163" s="327"/>
      <c r="AB163" s="519" t="s">
        <v>303</v>
      </c>
      <c r="AC163" s="326"/>
      <c r="AD163" s="326"/>
      <c r="AE163" s="327"/>
      <c r="AF163" s="520"/>
      <c r="AG163" s="327"/>
      <c r="AH163" s="520"/>
      <c r="AI163" s="327"/>
      <c r="AJ163" s="554"/>
      <c r="AK163" s="327"/>
      <c r="AL163" s="556" t="s">
        <v>334</v>
      </c>
      <c r="AM163" s="327"/>
      <c r="AN163" s="553" t="s">
        <v>334</v>
      </c>
      <c r="AO163" s="327"/>
      <c r="AP163" s="554"/>
      <c r="AQ163" s="327"/>
      <c r="AR163" s="555"/>
      <c r="AS163" s="327"/>
      <c r="AT163" s="549"/>
      <c r="AU163" s="327"/>
      <c r="AV163" s="553" t="s">
        <v>334</v>
      </c>
      <c r="AW163" s="327"/>
      <c r="AX163" s="521"/>
      <c r="AY163" s="326"/>
      <c r="AZ163" s="327"/>
      <c r="BA163" s="536"/>
      <c r="BB163" s="327"/>
      <c r="BC163" s="22"/>
      <c r="BD163" s="551" t="s">
        <v>334</v>
      </c>
      <c r="BE163" s="327"/>
      <c r="BF163" s="508"/>
      <c r="BG163" s="326"/>
      <c r="BH163" s="326"/>
      <c r="BI163" s="327"/>
      <c r="BJ163" s="451" t="s">
        <v>303</v>
      </c>
      <c r="BK163" s="326"/>
      <c r="BL163" s="326"/>
      <c r="BM163" s="327"/>
      <c r="BN163" s="558" t="s">
        <v>303</v>
      </c>
      <c r="BO163" s="326"/>
      <c r="BP163" s="326"/>
      <c r="BQ163" s="326"/>
      <c r="BR163" s="326"/>
      <c r="BS163" s="326"/>
      <c r="BT163" s="326"/>
      <c r="BU163" s="326"/>
      <c r="BV163" s="327"/>
    </row>
    <row r="164" spans="1:74" ht="45" customHeight="1" x14ac:dyDescent="0.25">
      <c r="A164" s="10">
        <f t="shared" si="0"/>
        <v>150</v>
      </c>
      <c r="B164" s="559" t="s">
        <v>303</v>
      </c>
      <c r="C164" s="327"/>
      <c r="D164" s="560" t="s">
        <v>307</v>
      </c>
      <c r="E164" s="327"/>
      <c r="F164" s="537" t="s">
        <v>334</v>
      </c>
      <c r="G164" s="327"/>
      <c r="H164" s="561" t="s">
        <v>334</v>
      </c>
      <c r="I164" s="327"/>
      <c r="J164" s="562"/>
      <c r="K164" s="327"/>
      <c r="L164" s="562"/>
      <c r="M164" s="327"/>
      <c r="N164" s="23"/>
      <c r="O164" s="24"/>
      <c r="P164" s="563"/>
      <c r="Q164" s="327"/>
      <c r="R164" s="538"/>
      <c r="S164" s="327"/>
      <c r="T164" s="539"/>
      <c r="U164" s="327"/>
      <c r="V164" s="540"/>
      <c r="W164" s="327"/>
      <c r="X164" s="541" t="s">
        <v>303</v>
      </c>
      <c r="Y164" s="326"/>
      <c r="Z164" s="326"/>
      <c r="AA164" s="327"/>
      <c r="AB164" s="542" t="s">
        <v>303</v>
      </c>
      <c r="AC164" s="326"/>
      <c r="AD164" s="326"/>
      <c r="AE164" s="327"/>
      <c r="AF164" s="543"/>
      <c r="AG164" s="327"/>
      <c r="AH164" s="543"/>
      <c r="AI164" s="327"/>
      <c r="AJ164" s="536"/>
      <c r="AK164" s="327"/>
      <c r="AL164" s="537" t="s">
        <v>334</v>
      </c>
      <c r="AM164" s="327"/>
      <c r="AN164" s="546" t="s">
        <v>334</v>
      </c>
      <c r="AO164" s="327"/>
      <c r="AP164" s="547"/>
      <c r="AQ164" s="327"/>
      <c r="AR164" s="548"/>
      <c r="AS164" s="327"/>
      <c r="AT164" s="549"/>
      <c r="AU164" s="327"/>
      <c r="AV164" s="546" t="s">
        <v>334</v>
      </c>
      <c r="AW164" s="327"/>
      <c r="AX164" s="521"/>
      <c r="AY164" s="326"/>
      <c r="AZ164" s="327"/>
      <c r="BA164" s="550"/>
      <c r="BB164" s="327"/>
      <c r="BC164" s="25"/>
      <c r="BD164" s="544" t="s">
        <v>334</v>
      </c>
      <c r="BE164" s="327"/>
      <c r="BF164" s="545"/>
      <c r="BG164" s="326"/>
      <c r="BH164" s="326"/>
      <c r="BI164" s="327"/>
      <c r="BJ164" s="557" t="s">
        <v>303</v>
      </c>
      <c r="BK164" s="326"/>
      <c r="BL164" s="326"/>
      <c r="BM164" s="327"/>
      <c r="BN164" s="558" t="s">
        <v>303</v>
      </c>
      <c r="BO164" s="326"/>
      <c r="BP164" s="326"/>
      <c r="BQ164" s="326"/>
      <c r="BR164" s="326"/>
      <c r="BS164" s="326"/>
      <c r="BT164" s="326"/>
      <c r="BU164" s="326"/>
      <c r="BV164" s="327"/>
    </row>
    <row r="165" spans="1:74" ht="45" customHeight="1" x14ac:dyDescent="0.25">
      <c r="A165" s="10">
        <f t="shared" si="0"/>
        <v>151</v>
      </c>
      <c r="B165" s="564" t="s">
        <v>303</v>
      </c>
      <c r="C165" s="327"/>
      <c r="D165" s="565" t="s">
        <v>307</v>
      </c>
      <c r="E165" s="327"/>
      <c r="F165" s="537" t="s">
        <v>334</v>
      </c>
      <c r="G165" s="327"/>
      <c r="H165" s="566" t="s">
        <v>334</v>
      </c>
      <c r="I165" s="327"/>
      <c r="J165" s="567"/>
      <c r="K165" s="327"/>
      <c r="L165" s="567"/>
      <c r="M165" s="327"/>
      <c r="N165" s="20"/>
      <c r="O165" s="21"/>
      <c r="P165" s="524"/>
      <c r="Q165" s="327"/>
      <c r="R165" s="516"/>
      <c r="S165" s="327"/>
      <c r="T165" s="517"/>
      <c r="U165" s="327"/>
      <c r="V165" s="518"/>
      <c r="W165" s="327"/>
      <c r="X165" s="438" t="s">
        <v>303</v>
      </c>
      <c r="Y165" s="326"/>
      <c r="Z165" s="326"/>
      <c r="AA165" s="327"/>
      <c r="AB165" s="519" t="s">
        <v>303</v>
      </c>
      <c r="AC165" s="326"/>
      <c r="AD165" s="326"/>
      <c r="AE165" s="327"/>
      <c r="AF165" s="520"/>
      <c r="AG165" s="327"/>
      <c r="AH165" s="520"/>
      <c r="AI165" s="327"/>
      <c r="AJ165" s="554"/>
      <c r="AK165" s="327"/>
      <c r="AL165" s="556" t="s">
        <v>334</v>
      </c>
      <c r="AM165" s="327"/>
      <c r="AN165" s="553" t="s">
        <v>334</v>
      </c>
      <c r="AO165" s="327"/>
      <c r="AP165" s="554"/>
      <c r="AQ165" s="327"/>
      <c r="AR165" s="555"/>
      <c r="AS165" s="327"/>
      <c r="AT165" s="549"/>
      <c r="AU165" s="327"/>
      <c r="AV165" s="553" t="s">
        <v>334</v>
      </c>
      <c r="AW165" s="327"/>
      <c r="AX165" s="521"/>
      <c r="AY165" s="326"/>
      <c r="AZ165" s="327"/>
      <c r="BA165" s="536"/>
      <c r="BB165" s="327"/>
      <c r="BC165" s="22"/>
      <c r="BD165" s="551" t="s">
        <v>334</v>
      </c>
      <c r="BE165" s="327"/>
      <c r="BF165" s="508"/>
      <c r="BG165" s="326"/>
      <c r="BH165" s="326"/>
      <c r="BI165" s="327"/>
      <c r="BJ165" s="451" t="s">
        <v>303</v>
      </c>
      <c r="BK165" s="326"/>
      <c r="BL165" s="326"/>
      <c r="BM165" s="327"/>
      <c r="BN165" s="558" t="s">
        <v>303</v>
      </c>
      <c r="BO165" s="326"/>
      <c r="BP165" s="326"/>
      <c r="BQ165" s="326"/>
      <c r="BR165" s="326"/>
      <c r="BS165" s="326"/>
      <c r="BT165" s="326"/>
      <c r="BU165" s="326"/>
      <c r="BV165" s="327"/>
    </row>
    <row r="166" spans="1:74" ht="45" customHeight="1" x14ac:dyDescent="0.25">
      <c r="A166" s="10">
        <f t="shared" si="0"/>
        <v>152</v>
      </c>
      <c r="B166" s="559" t="s">
        <v>303</v>
      </c>
      <c r="C166" s="327"/>
      <c r="D166" s="560" t="s">
        <v>307</v>
      </c>
      <c r="E166" s="327"/>
      <c r="F166" s="537" t="s">
        <v>334</v>
      </c>
      <c r="G166" s="327"/>
      <c r="H166" s="561" t="s">
        <v>334</v>
      </c>
      <c r="I166" s="327"/>
      <c r="J166" s="562"/>
      <c r="K166" s="327"/>
      <c r="L166" s="562"/>
      <c r="M166" s="327"/>
      <c r="N166" s="23"/>
      <c r="O166" s="24"/>
      <c r="P166" s="563"/>
      <c r="Q166" s="327"/>
      <c r="R166" s="538"/>
      <c r="S166" s="327"/>
      <c r="T166" s="539"/>
      <c r="U166" s="327"/>
      <c r="V166" s="540"/>
      <c r="W166" s="327"/>
      <c r="X166" s="541" t="s">
        <v>303</v>
      </c>
      <c r="Y166" s="326"/>
      <c r="Z166" s="326"/>
      <c r="AA166" s="327"/>
      <c r="AB166" s="542" t="s">
        <v>303</v>
      </c>
      <c r="AC166" s="326"/>
      <c r="AD166" s="326"/>
      <c r="AE166" s="327"/>
      <c r="AF166" s="543"/>
      <c r="AG166" s="327"/>
      <c r="AH166" s="543"/>
      <c r="AI166" s="327"/>
      <c r="AJ166" s="536"/>
      <c r="AK166" s="327"/>
      <c r="AL166" s="537" t="s">
        <v>334</v>
      </c>
      <c r="AM166" s="327"/>
      <c r="AN166" s="546" t="s">
        <v>334</v>
      </c>
      <c r="AO166" s="327"/>
      <c r="AP166" s="547"/>
      <c r="AQ166" s="327"/>
      <c r="AR166" s="548"/>
      <c r="AS166" s="327"/>
      <c r="AT166" s="549"/>
      <c r="AU166" s="327"/>
      <c r="AV166" s="546" t="s">
        <v>334</v>
      </c>
      <c r="AW166" s="327"/>
      <c r="AX166" s="521"/>
      <c r="AY166" s="326"/>
      <c r="AZ166" s="327"/>
      <c r="BA166" s="550"/>
      <c r="BB166" s="327"/>
      <c r="BC166" s="25"/>
      <c r="BD166" s="544" t="s">
        <v>334</v>
      </c>
      <c r="BE166" s="327"/>
      <c r="BF166" s="545"/>
      <c r="BG166" s="326"/>
      <c r="BH166" s="326"/>
      <c r="BI166" s="327"/>
      <c r="BJ166" s="557" t="s">
        <v>303</v>
      </c>
      <c r="BK166" s="326"/>
      <c r="BL166" s="326"/>
      <c r="BM166" s="327"/>
      <c r="BN166" s="558" t="s">
        <v>303</v>
      </c>
      <c r="BO166" s="326"/>
      <c r="BP166" s="326"/>
      <c r="BQ166" s="326"/>
      <c r="BR166" s="326"/>
      <c r="BS166" s="326"/>
      <c r="BT166" s="326"/>
      <c r="BU166" s="326"/>
      <c r="BV166" s="327"/>
    </row>
    <row r="167" spans="1:74" ht="45" customHeight="1" x14ac:dyDescent="0.25">
      <c r="A167" s="10">
        <f t="shared" si="0"/>
        <v>153</v>
      </c>
      <c r="B167" s="564" t="s">
        <v>303</v>
      </c>
      <c r="C167" s="327"/>
      <c r="D167" s="565" t="s">
        <v>307</v>
      </c>
      <c r="E167" s="327"/>
      <c r="F167" s="537" t="s">
        <v>334</v>
      </c>
      <c r="G167" s="327"/>
      <c r="H167" s="566" t="s">
        <v>334</v>
      </c>
      <c r="I167" s="327"/>
      <c r="J167" s="567"/>
      <c r="K167" s="327"/>
      <c r="L167" s="567"/>
      <c r="M167" s="327"/>
      <c r="N167" s="20"/>
      <c r="O167" s="21"/>
      <c r="P167" s="524"/>
      <c r="Q167" s="327"/>
      <c r="R167" s="516"/>
      <c r="S167" s="327"/>
      <c r="T167" s="517"/>
      <c r="U167" s="327"/>
      <c r="V167" s="518"/>
      <c r="W167" s="327"/>
      <c r="X167" s="438" t="s">
        <v>303</v>
      </c>
      <c r="Y167" s="326"/>
      <c r="Z167" s="326"/>
      <c r="AA167" s="327"/>
      <c r="AB167" s="519" t="s">
        <v>303</v>
      </c>
      <c r="AC167" s="326"/>
      <c r="AD167" s="326"/>
      <c r="AE167" s="327"/>
      <c r="AF167" s="520"/>
      <c r="AG167" s="327"/>
      <c r="AH167" s="520"/>
      <c r="AI167" s="327"/>
      <c r="AJ167" s="554"/>
      <c r="AK167" s="327"/>
      <c r="AL167" s="556" t="s">
        <v>334</v>
      </c>
      <c r="AM167" s="327"/>
      <c r="AN167" s="553" t="s">
        <v>334</v>
      </c>
      <c r="AO167" s="327"/>
      <c r="AP167" s="554"/>
      <c r="AQ167" s="327"/>
      <c r="AR167" s="555"/>
      <c r="AS167" s="327"/>
      <c r="AT167" s="549"/>
      <c r="AU167" s="327"/>
      <c r="AV167" s="553" t="s">
        <v>334</v>
      </c>
      <c r="AW167" s="327"/>
      <c r="AX167" s="521"/>
      <c r="AY167" s="326"/>
      <c r="AZ167" s="327"/>
      <c r="BA167" s="536"/>
      <c r="BB167" s="327"/>
      <c r="BC167" s="22"/>
      <c r="BD167" s="551" t="s">
        <v>334</v>
      </c>
      <c r="BE167" s="327"/>
      <c r="BF167" s="552"/>
      <c r="BG167" s="326"/>
      <c r="BH167" s="326"/>
      <c r="BI167" s="327"/>
      <c r="BJ167" s="451" t="s">
        <v>303</v>
      </c>
      <c r="BK167" s="326"/>
      <c r="BL167" s="326"/>
      <c r="BM167" s="327"/>
      <c r="BN167" s="558" t="s">
        <v>303</v>
      </c>
      <c r="BO167" s="326"/>
      <c r="BP167" s="326"/>
      <c r="BQ167" s="326"/>
      <c r="BR167" s="326"/>
      <c r="BS167" s="326"/>
      <c r="BT167" s="326"/>
      <c r="BU167" s="326"/>
      <c r="BV167" s="327"/>
    </row>
    <row r="168" spans="1:74" ht="45" customHeight="1" x14ac:dyDescent="0.25">
      <c r="A168" s="10">
        <f t="shared" si="0"/>
        <v>154</v>
      </c>
      <c r="B168" s="559" t="s">
        <v>303</v>
      </c>
      <c r="C168" s="327"/>
      <c r="D168" s="560" t="s">
        <v>307</v>
      </c>
      <c r="E168" s="327"/>
      <c r="F168" s="537" t="s">
        <v>334</v>
      </c>
      <c r="G168" s="327"/>
      <c r="H168" s="561" t="s">
        <v>334</v>
      </c>
      <c r="I168" s="327"/>
      <c r="J168" s="562"/>
      <c r="K168" s="327"/>
      <c r="L168" s="562"/>
      <c r="M168" s="327"/>
      <c r="N168" s="23"/>
      <c r="O168" s="24"/>
      <c r="P168" s="563"/>
      <c r="Q168" s="327"/>
      <c r="R168" s="538"/>
      <c r="S168" s="327"/>
      <c r="T168" s="539"/>
      <c r="U168" s="327"/>
      <c r="V168" s="540"/>
      <c r="W168" s="327"/>
      <c r="X168" s="541" t="s">
        <v>303</v>
      </c>
      <c r="Y168" s="326"/>
      <c r="Z168" s="326"/>
      <c r="AA168" s="327"/>
      <c r="AB168" s="542" t="s">
        <v>303</v>
      </c>
      <c r="AC168" s="326"/>
      <c r="AD168" s="326"/>
      <c r="AE168" s="327"/>
      <c r="AF168" s="543"/>
      <c r="AG168" s="327"/>
      <c r="AH168" s="543"/>
      <c r="AI168" s="327"/>
      <c r="AJ168" s="536"/>
      <c r="AK168" s="327"/>
      <c r="AL168" s="537" t="s">
        <v>334</v>
      </c>
      <c r="AM168" s="327"/>
      <c r="AN168" s="546" t="s">
        <v>334</v>
      </c>
      <c r="AO168" s="327"/>
      <c r="AP168" s="547"/>
      <c r="AQ168" s="327"/>
      <c r="AR168" s="548"/>
      <c r="AS168" s="327"/>
      <c r="AT168" s="549"/>
      <c r="AU168" s="327"/>
      <c r="AV168" s="546" t="s">
        <v>334</v>
      </c>
      <c r="AW168" s="327"/>
      <c r="AX168" s="521"/>
      <c r="AY168" s="326"/>
      <c r="AZ168" s="327"/>
      <c r="BA168" s="550"/>
      <c r="BB168" s="327"/>
      <c r="BC168" s="25"/>
      <c r="BD168" s="544" t="s">
        <v>334</v>
      </c>
      <c r="BE168" s="327"/>
      <c r="BF168" s="545"/>
      <c r="BG168" s="326"/>
      <c r="BH168" s="326"/>
      <c r="BI168" s="327"/>
      <c r="BJ168" s="557" t="s">
        <v>303</v>
      </c>
      <c r="BK168" s="326"/>
      <c r="BL168" s="326"/>
      <c r="BM168" s="327"/>
      <c r="BN168" s="558" t="s">
        <v>303</v>
      </c>
      <c r="BO168" s="326"/>
      <c r="BP168" s="326"/>
      <c r="BQ168" s="326"/>
      <c r="BR168" s="326"/>
      <c r="BS168" s="326"/>
      <c r="BT168" s="326"/>
      <c r="BU168" s="326"/>
      <c r="BV168" s="327"/>
    </row>
    <row r="169" spans="1:74" ht="45" customHeight="1" x14ac:dyDescent="0.25">
      <c r="A169" s="10">
        <f t="shared" si="0"/>
        <v>155</v>
      </c>
      <c r="B169" s="564" t="s">
        <v>303</v>
      </c>
      <c r="C169" s="327"/>
      <c r="D169" s="565" t="s">
        <v>307</v>
      </c>
      <c r="E169" s="327"/>
      <c r="F169" s="537" t="s">
        <v>334</v>
      </c>
      <c r="G169" s="327"/>
      <c r="H169" s="566" t="s">
        <v>334</v>
      </c>
      <c r="I169" s="327"/>
      <c r="J169" s="567"/>
      <c r="K169" s="327"/>
      <c r="L169" s="567"/>
      <c r="M169" s="327"/>
      <c r="N169" s="20"/>
      <c r="O169" s="21"/>
      <c r="P169" s="524"/>
      <c r="Q169" s="327"/>
      <c r="R169" s="516"/>
      <c r="S169" s="327"/>
      <c r="T169" s="517"/>
      <c r="U169" s="327"/>
      <c r="V169" s="518"/>
      <c r="W169" s="327"/>
      <c r="X169" s="438" t="s">
        <v>303</v>
      </c>
      <c r="Y169" s="326"/>
      <c r="Z169" s="326"/>
      <c r="AA169" s="327"/>
      <c r="AB169" s="519" t="s">
        <v>303</v>
      </c>
      <c r="AC169" s="326"/>
      <c r="AD169" s="326"/>
      <c r="AE169" s="327"/>
      <c r="AF169" s="520"/>
      <c r="AG169" s="327"/>
      <c r="AH169" s="520"/>
      <c r="AI169" s="327"/>
      <c r="AJ169" s="554"/>
      <c r="AK169" s="327"/>
      <c r="AL169" s="556" t="s">
        <v>334</v>
      </c>
      <c r="AM169" s="327"/>
      <c r="AN169" s="553" t="s">
        <v>334</v>
      </c>
      <c r="AO169" s="327"/>
      <c r="AP169" s="554"/>
      <c r="AQ169" s="327"/>
      <c r="AR169" s="555"/>
      <c r="AS169" s="327"/>
      <c r="AT169" s="549"/>
      <c r="AU169" s="327"/>
      <c r="AV169" s="553" t="s">
        <v>334</v>
      </c>
      <c r="AW169" s="327"/>
      <c r="AX169" s="521"/>
      <c r="AY169" s="326"/>
      <c r="AZ169" s="327"/>
      <c r="BA169" s="536"/>
      <c r="BB169" s="327"/>
      <c r="BC169" s="22"/>
      <c r="BD169" s="551" t="s">
        <v>334</v>
      </c>
      <c r="BE169" s="327"/>
      <c r="BF169" s="508"/>
      <c r="BG169" s="326"/>
      <c r="BH169" s="326"/>
      <c r="BI169" s="327"/>
      <c r="BJ169" s="451" t="s">
        <v>303</v>
      </c>
      <c r="BK169" s="326"/>
      <c r="BL169" s="326"/>
      <c r="BM169" s="327"/>
      <c r="BN169" s="558" t="s">
        <v>303</v>
      </c>
      <c r="BO169" s="326"/>
      <c r="BP169" s="326"/>
      <c r="BQ169" s="326"/>
      <c r="BR169" s="326"/>
      <c r="BS169" s="326"/>
      <c r="BT169" s="326"/>
      <c r="BU169" s="326"/>
      <c r="BV169" s="327"/>
    </row>
    <row r="170" spans="1:74" ht="45" customHeight="1" x14ac:dyDescent="0.25">
      <c r="A170" s="10">
        <f t="shared" si="0"/>
        <v>156</v>
      </c>
      <c r="B170" s="559" t="s">
        <v>303</v>
      </c>
      <c r="C170" s="327"/>
      <c r="D170" s="560" t="s">
        <v>307</v>
      </c>
      <c r="E170" s="327"/>
      <c r="F170" s="537" t="s">
        <v>334</v>
      </c>
      <c r="G170" s="327"/>
      <c r="H170" s="561" t="s">
        <v>334</v>
      </c>
      <c r="I170" s="327"/>
      <c r="J170" s="562"/>
      <c r="K170" s="327"/>
      <c r="L170" s="562"/>
      <c r="M170" s="327"/>
      <c r="N170" s="23"/>
      <c r="O170" s="24"/>
      <c r="P170" s="563"/>
      <c r="Q170" s="327"/>
      <c r="R170" s="538"/>
      <c r="S170" s="327"/>
      <c r="T170" s="539"/>
      <c r="U170" s="327"/>
      <c r="V170" s="540"/>
      <c r="W170" s="327"/>
      <c r="X170" s="541" t="s">
        <v>303</v>
      </c>
      <c r="Y170" s="326"/>
      <c r="Z170" s="326"/>
      <c r="AA170" s="327"/>
      <c r="AB170" s="542" t="s">
        <v>303</v>
      </c>
      <c r="AC170" s="326"/>
      <c r="AD170" s="326"/>
      <c r="AE170" s="327"/>
      <c r="AF170" s="543"/>
      <c r="AG170" s="327"/>
      <c r="AH170" s="543"/>
      <c r="AI170" s="327"/>
      <c r="AJ170" s="536"/>
      <c r="AK170" s="327"/>
      <c r="AL170" s="537" t="s">
        <v>334</v>
      </c>
      <c r="AM170" s="327"/>
      <c r="AN170" s="546" t="s">
        <v>334</v>
      </c>
      <c r="AO170" s="327"/>
      <c r="AP170" s="547"/>
      <c r="AQ170" s="327"/>
      <c r="AR170" s="548"/>
      <c r="AS170" s="327"/>
      <c r="AT170" s="549"/>
      <c r="AU170" s="327"/>
      <c r="AV170" s="546" t="s">
        <v>334</v>
      </c>
      <c r="AW170" s="327"/>
      <c r="AX170" s="521"/>
      <c r="AY170" s="326"/>
      <c r="AZ170" s="327"/>
      <c r="BA170" s="550"/>
      <c r="BB170" s="327"/>
      <c r="BC170" s="25"/>
      <c r="BD170" s="544" t="s">
        <v>334</v>
      </c>
      <c r="BE170" s="327"/>
      <c r="BF170" s="545"/>
      <c r="BG170" s="326"/>
      <c r="BH170" s="326"/>
      <c r="BI170" s="327"/>
      <c r="BJ170" s="557" t="s">
        <v>303</v>
      </c>
      <c r="BK170" s="326"/>
      <c r="BL170" s="326"/>
      <c r="BM170" s="327"/>
      <c r="BN170" s="558" t="s">
        <v>303</v>
      </c>
      <c r="BO170" s="326"/>
      <c r="BP170" s="326"/>
      <c r="BQ170" s="326"/>
      <c r="BR170" s="326"/>
      <c r="BS170" s="326"/>
      <c r="BT170" s="326"/>
      <c r="BU170" s="326"/>
      <c r="BV170" s="327"/>
    </row>
    <row r="171" spans="1:74" ht="45" customHeight="1" x14ac:dyDescent="0.25">
      <c r="A171" s="10">
        <f t="shared" si="0"/>
        <v>157</v>
      </c>
      <c r="B171" s="564" t="s">
        <v>303</v>
      </c>
      <c r="C171" s="327"/>
      <c r="D171" s="565" t="s">
        <v>307</v>
      </c>
      <c r="E171" s="327"/>
      <c r="F171" s="537" t="s">
        <v>334</v>
      </c>
      <c r="G171" s="327"/>
      <c r="H171" s="566" t="s">
        <v>334</v>
      </c>
      <c r="I171" s="327"/>
      <c r="J171" s="567"/>
      <c r="K171" s="327"/>
      <c r="L171" s="567"/>
      <c r="M171" s="327"/>
      <c r="N171" s="20"/>
      <c r="O171" s="21"/>
      <c r="P171" s="524"/>
      <c r="Q171" s="327"/>
      <c r="R171" s="516"/>
      <c r="S171" s="327"/>
      <c r="T171" s="517"/>
      <c r="U171" s="327"/>
      <c r="V171" s="518"/>
      <c r="W171" s="327"/>
      <c r="X171" s="438" t="s">
        <v>303</v>
      </c>
      <c r="Y171" s="326"/>
      <c r="Z171" s="326"/>
      <c r="AA171" s="327"/>
      <c r="AB171" s="519" t="s">
        <v>303</v>
      </c>
      <c r="AC171" s="326"/>
      <c r="AD171" s="326"/>
      <c r="AE171" s="327"/>
      <c r="AF171" s="520"/>
      <c r="AG171" s="327"/>
      <c r="AH171" s="520"/>
      <c r="AI171" s="327"/>
      <c r="AJ171" s="554"/>
      <c r="AK171" s="327"/>
      <c r="AL171" s="556" t="s">
        <v>334</v>
      </c>
      <c r="AM171" s="327"/>
      <c r="AN171" s="553" t="s">
        <v>334</v>
      </c>
      <c r="AO171" s="327"/>
      <c r="AP171" s="554"/>
      <c r="AQ171" s="327"/>
      <c r="AR171" s="555"/>
      <c r="AS171" s="327"/>
      <c r="AT171" s="549"/>
      <c r="AU171" s="327"/>
      <c r="AV171" s="553" t="s">
        <v>334</v>
      </c>
      <c r="AW171" s="327"/>
      <c r="AX171" s="521"/>
      <c r="AY171" s="326"/>
      <c r="AZ171" s="327"/>
      <c r="BA171" s="536"/>
      <c r="BB171" s="327"/>
      <c r="BC171" s="22"/>
      <c r="BD171" s="551" t="s">
        <v>334</v>
      </c>
      <c r="BE171" s="327"/>
      <c r="BF171" s="552"/>
      <c r="BG171" s="326"/>
      <c r="BH171" s="326"/>
      <c r="BI171" s="327"/>
      <c r="BJ171" s="451" t="s">
        <v>303</v>
      </c>
      <c r="BK171" s="326"/>
      <c r="BL171" s="326"/>
      <c r="BM171" s="327"/>
      <c r="BN171" s="558" t="s">
        <v>303</v>
      </c>
      <c r="BO171" s="326"/>
      <c r="BP171" s="326"/>
      <c r="BQ171" s="326"/>
      <c r="BR171" s="326"/>
      <c r="BS171" s="326"/>
      <c r="BT171" s="326"/>
      <c r="BU171" s="326"/>
      <c r="BV171" s="327"/>
    </row>
    <row r="172" spans="1:74" ht="45" customHeight="1" x14ac:dyDescent="0.25">
      <c r="A172" s="10">
        <f t="shared" si="0"/>
        <v>158</v>
      </c>
      <c r="B172" s="559" t="s">
        <v>303</v>
      </c>
      <c r="C172" s="327"/>
      <c r="D172" s="560" t="s">
        <v>307</v>
      </c>
      <c r="E172" s="327"/>
      <c r="F172" s="537" t="s">
        <v>334</v>
      </c>
      <c r="G172" s="327"/>
      <c r="H172" s="561" t="s">
        <v>334</v>
      </c>
      <c r="I172" s="327"/>
      <c r="J172" s="562"/>
      <c r="K172" s="327"/>
      <c r="L172" s="562"/>
      <c r="M172" s="327"/>
      <c r="N172" s="23"/>
      <c r="O172" s="24"/>
      <c r="P172" s="563"/>
      <c r="Q172" s="327"/>
      <c r="R172" s="538"/>
      <c r="S172" s="327"/>
      <c r="T172" s="539"/>
      <c r="U172" s="327"/>
      <c r="V172" s="540"/>
      <c r="W172" s="327"/>
      <c r="X172" s="541" t="s">
        <v>303</v>
      </c>
      <c r="Y172" s="326"/>
      <c r="Z172" s="326"/>
      <c r="AA172" s="327"/>
      <c r="AB172" s="542" t="s">
        <v>303</v>
      </c>
      <c r="AC172" s="326"/>
      <c r="AD172" s="326"/>
      <c r="AE172" s="327"/>
      <c r="AF172" s="543"/>
      <c r="AG172" s="327"/>
      <c r="AH172" s="543"/>
      <c r="AI172" s="327"/>
      <c r="AJ172" s="536"/>
      <c r="AK172" s="327"/>
      <c r="AL172" s="537" t="s">
        <v>334</v>
      </c>
      <c r="AM172" s="327"/>
      <c r="AN172" s="546" t="s">
        <v>334</v>
      </c>
      <c r="AO172" s="327"/>
      <c r="AP172" s="547"/>
      <c r="AQ172" s="327"/>
      <c r="AR172" s="548"/>
      <c r="AS172" s="327"/>
      <c r="AT172" s="549"/>
      <c r="AU172" s="327"/>
      <c r="AV172" s="546" t="s">
        <v>334</v>
      </c>
      <c r="AW172" s="327"/>
      <c r="AX172" s="521"/>
      <c r="AY172" s="326"/>
      <c r="AZ172" s="327"/>
      <c r="BA172" s="550"/>
      <c r="BB172" s="327"/>
      <c r="BC172" s="25"/>
      <c r="BD172" s="544" t="s">
        <v>334</v>
      </c>
      <c r="BE172" s="327"/>
      <c r="BF172" s="545"/>
      <c r="BG172" s="326"/>
      <c r="BH172" s="326"/>
      <c r="BI172" s="327"/>
      <c r="BJ172" s="557" t="s">
        <v>303</v>
      </c>
      <c r="BK172" s="326"/>
      <c r="BL172" s="326"/>
      <c r="BM172" s="327"/>
      <c r="BN172" s="558" t="s">
        <v>303</v>
      </c>
      <c r="BO172" s="326"/>
      <c r="BP172" s="326"/>
      <c r="BQ172" s="326"/>
      <c r="BR172" s="326"/>
      <c r="BS172" s="326"/>
      <c r="BT172" s="326"/>
      <c r="BU172" s="326"/>
      <c r="BV172" s="327"/>
    </row>
    <row r="173" spans="1:74" ht="45" customHeight="1" x14ac:dyDescent="0.25">
      <c r="A173" s="10">
        <f t="shared" si="0"/>
        <v>159</v>
      </c>
      <c r="B173" s="564" t="s">
        <v>303</v>
      </c>
      <c r="C173" s="327"/>
      <c r="D173" s="565" t="s">
        <v>307</v>
      </c>
      <c r="E173" s="327"/>
      <c r="F173" s="537" t="s">
        <v>334</v>
      </c>
      <c r="G173" s="327"/>
      <c r="H173" s="566" t="s">
        <v>334</v>
      </c>
      <c r="I173" s="327"/>
      <c r="J173" s="567"/>
      <c r="K173" s="327"/>
      <c r="L173" s="567"/>
      <c r="M173" s="327"/>
      <c r="N173" s="20"/>
      <c r="O173" s="21"/>
      <c r="P173" s="524"/>
      <c r="Q173" s="327"/>
      <c r="R173" s="516"/>
      <c r="S173" s="327"/>
      <c r="T173" s="517"/>
      <c r="U173" s="327"/>
      <c r="V173" s="518"/>
      <c r="W173" s="327"/>
      <c r="X173" s="438" t="s">
        <v>303</v>
      </c>
      <c r="Y173" s="326"/>
      <c r="Z173" s="326"/>
      <c r="AA173" s="327"/>
      <c r="AB173" s="519" t="s">
        <v>303</v>
      </c>
      <c r="AC173" s="326"/>
      <c r="AD173" s="326"/>
      <c r="AE173" s="327"/>
      <c r="AF173" s="520"/>
      <c r="AG173" s="327"/>
      <c r="AH173" s="520"/>
      <c r="AI173" s="327"/>
      <c r="AJ173" s="554"/>
      <c r="AK173" s="327"/>
      <c r="AL173" s="556" t="s">
        <v>334</v>
      </c>
      <c r="AM173" s="327"/>
      <c r="AN173" s="553" t="s">
        <v>334</v>
      </c>
      <c r="AO173" s="327"/>
      <c r="AP173" s="554"/>
      <c r="AQ173" s="327"/>
      <c r="AR173" s="555"/>
      <c r="AS173" s="327"/>
      <c r="AT173" s="549"/>
      <c r="AU173" s="327"/>
      <c r="AV173" s="553" t="s">
        <v>334</v>
      </c>
      <c r="AW173" s="327"/>
      <c r="AX173" s="521"/>
      <c r="AY173" s="326"/>
      <c r="AZ173" s="327"/>
      <c r="BA173" s="536"/>
      <c r="BB173" s="327"/>
      <c r="BC173" s="22"/>
      <c r="BD173" s="551" t="s">
        <v>334</v>
      </c>
      <c r="BE173" s="327"/>
      <c r="BF173" s="508"/>
      <c r="BG173" s="326"/>
      <c r="BH173" s="326"/>
      <c r="BI173" s="327"/>
      <c r="BJ173" s="451" t="s">
        <v>303</v>
      </c>
      <c r="BK173" s="326"/>
      <c r="BL173" s="326"/>
      <c r="BM173" s="327"/>
      <c r="BN173" s="558" t="s">
        <v>303</v>
      </c>
      <c r="BO173" s="326"/>
      <c r="BP173" s="326"/>
      <c r="BQ173" s="326"/>
      <c r="BR173" s="326"/>
      <c r="BS173" s="326"/>
      <c r="BT173" s="326"/>
      <c r="BU173" s="326"/>
      <c r="BV173" s="327"/>
    </row>
    <row r="174" spans="1:74" ht="45" customHeight="1" x14ac:dyDescent="0.25">
      <c r="A174" s="10">
        <f t="shared" si="0"/>
        <v>160</v>
      </c>
      <c r="B174" s="559" t="s">
        <v>303</v>
      </c>
      <c r="C174" s="327"/>
      <c r="D174" s="560" t="s">
        <v>307</v>
      </c>
      <c r="E174" s="327"/>
      <c r="F174" s="537" t="s">
        <v>334</v>
      </c>
      <c r="G174" s="327"/>
      <c r="H174" s="561" t="s">
        <v>334</v>
      </c>
      <c r="I174" s="327"/>
      <c r="J174" s="562"/>
      <c r="K174" s="327"/>
      <c r="L174" s="562"/>
      <c r="M174" s="327"/>
      <c r="N174" s="23"/>
      <c r="O174" s="24"/>
      <c r="P174" s="563"/>
      <c r="Q174" s="327"/>
      <c r="R174" s="538"/>
      <c r="S174" s="327"/>
      <c r="T174" s="539"/>
      <c r="U174" s="327"/>
      <c r="V174" s="540"/>
      <c r="W174" s="327"/>
      <c r="X174" s="541" t="s">
        <v>303</v>
      </c>
      <c r="Y174" s="326"/>
      <c r="Z174" s="326"/>
      <c r="AA174" s="327"/>
      <c r="AB174" s="542" t="s">
        <v>303</v>
      </c>
      <c r="AC174" s="326"/>
      <c r="AD174" s="326"/>
      <c r="AE174" s="327"/>
      <c r="AF174" s="543"/>
      <c r="AG174" s="327"/>
      <c r="AH174" s="543"/>
      <c r="AI174" s="327"/>
      <c r="AJ174" s="536"/>
      <c r="AK174" s="327"/>
      <c r="AL174" s="537" t="s">
        <v>334</v>
      </c>
      <c r="AM174" s="327"/>
      <c r="AN174" s="546" t="s">
        <v>334</v>
      </c>
      <c r="AO174" s="327"/>
      <c r="AP174" s="547"/>
      <c r="AQ174" s="327"/>
      <c r="AR174" s="548"/>
      <c r="AS174" s="327"/>
      <c r="AT174" s="549"/>
      <c r="AU174" s="327"/>
      <c r="AV174" s="546" t="s">
        <v>334</v>
      </c>
      <c r="AW174" s="327"/>
      <c r="AX174" s="521"/>
      <c r="AY174" s="326"/>
      <c r="AZ174" s="327"/>
      <c r="BA174" s="550"/>
      <c r="BB174" s="327"/>
      <c r="BC174" s="25"/>
      <c r="BD174" s="544" t="s">
        <v>334</v>
      </c>
      <c r="BE174" s="327"/>
      <c r="BF174" s="545"/>
      <c r="BG174" s="326"/>
      <c r="BH174" s="326"/>
      <c r="BI174" s="327"/>
      <c r="BJ174" s="557" t="s">
        <v>303</v>
      </c>
      <c r="BK174" s="326"/>
      <c r="BL174" s="326"/>
      <c r="BM174" s="327"/>
      <c r="BN174" s="558" t="s">
        <v>303</v>
      </c>
      <c r="BO174" s="326"/>
      <c r="BP174" s="326"/>
      <c r="BQ174" s="326"/>
      <c r="BR174" s="326"/>
      <c r="BS174" s="326"/>
      <c r="BT174" s="326"/>
      <c r="BU174" s="326"/>
      <c r="BV174" s="327"/>
    </row>
    <row r="175" spans="1:74" ht="45" customHeight="1" x14ac:dyDescent="0.25">
      <c r="A175" s="10">
        <f t="shared" si="0"/>
        <v>161</v>
      </c>
      <c r="B175" s="564" t="s">
        <v>303</v>
      </c>
      <c r="C175" s="327"/>
      <c r="D175" s="565" t="s">
        <v>307</v>
      </c>
      <c r="E175" s="327"/>
      <c r="F175" s="537" t="s">
        <v>334</v>
      </c>
      <c r="G175" s="327"/>
      <c r="H175" s="566" t="s">
        <v>334</v>
      </c>
      <c r="I175" s="327"/>
      <c r="J175" s="567"/>
      <c r="K175" s="327"/>
      <c r="L175" s="567"/>
      <c r="M175" s="327"/>
      <c r="N175" s="20"/>
      <c r="O175" s="21"/>
      <c r="P175" s="524"/>
      <c r="Q175" s="327"/>
      <c r="R175" s="516"/>
      <c r="S175" s="327"/>
      <c r="T175" s="517"/>
      <c r="U175" s="327"/>
      <c r="V175" s="518"/>
      <c r="W175" s="327"/>
      <c r="X175" s="438" t="s">
        <v>303</v>
      </c>
      <c r="Y175" s="326"/>
      <c r="Z175" s="326"/>
      <c r="AA175" s="327"/>
      <c r="AB175" s="519" t="s">
        <v>303</v>
      </c>
      <c r="AC175" s="326"/>
      <c r="AD175" s="326"/>
      <c r="AE175" s="327"/>
      <c r="AF175" s="520"/>
      <c r="AG175" s="327"/>
      <c r="AH175" s="520"/>
      <c r="AI175" s="327"/>
      <c r="AJ175" s="554"/>
      <c r="AK175" s="327"/>
      <c r="AL175" s="556" t="s">
        <v>334</v>
      </c>
      <c r="AM175" s="327"/>
      <c r="AN175" s="553" t="s">
        <v>334</v>
      </c>
      <c r="AO175" s="327"/>
      <c r="AP175" s="554"/>
      <c r="AQ175" s="327"/>
      <c r="AR175" s="555"/>
      <c r="AS175" s="327"/>
      <c r="AT175" s="549"/>
      <c r="AU175" s="327"/>
      <c r="AV175" s="553" t="s">
        <v>334</v>
      </c>
      <c r="AW175" s="327"/>
      <c r="AX175" s="521"/>
      <c r="AY175" s="326"/>
      <c r="AZ175" s="327"/>
      <c r="BA175" s="536"/>
      <c r="BB175" s="327"/>
      <c r="BC175" s="22"/>
      <c r="BD175" s="551" t="s">
        <v>334</v>
      </c>
      <c r="BE175" s="327"/>
      <c r="BF175" s="508"/>
      <c r="BG175" s="326"/>
      <c r="BH175" s="326"/>
      <c r="BI175" s="327"/>
      <c r="BJ175" s="451" t="s">
        <v>303</v>
      </c>
      <c r="BK175" s="326"/>
      <c r="BL175" s="326"/>
      <c r="BM175" s="327"/>
      <c r="BN175" s="558" t="s">
        <v>303</v>
      </c>
      <c r="BO175" s="326"/>
      <c r="BP175" s="326"/>
      <c r="BQ175" s="326"/>
      <c r="BR175" s="326"/>
      <c r="BS175" s="326"/>
      <c r="BT175" s="326"/>
      <c r="BU175" s="326"/>
      <c r="BV175" s="327"/>
    </row>
    <row r="176" spans="1:74" ht="45" customHeight="1" x14ac:dyDescent="0.25">
      <c r="A176" s="10">
        <f t="shared" si="0"/>
        <v>162</v>
      </c>
      <c r="B176" s="559" t="s">
        <v>303</v>
      </c>
      <c r="C176" s="327"/>
      <c r="D176" s="560" t="s">
        <v>307</v>
      </c>
      <c r="E176" s="327"/>
      <c r="F176" s="537" t="s">
        <v>334</v>
      </c>
      <c r="G176" s="327"/>
      <c r="H176" s="561" t="s">
        <v>334</v>
      </c>
      <c r="I176" s="327"/>
      <c r="J176" s="562"/>
      <c r="K176" s="327"/>
      <c r="L176" s="562"/>
      <c r="M176" s="327"/>
      <c r="N176" s="23"/>
      <c r="O176" s="24"/>
      <c r="P176" s="563"/>
      <c r="Q176" s="327"/>
      <c r="R176" s="538"/>
      <c r="S176" s="327"/>
      <c r="T176" s="539"/>
      <c r="U176" s="327"/>
      <c r="V176" s="540"/>
      <c r="W176" s="327"/>
      <c r="X176" s="541" t="s">
        <v>303</v>
      </c>
      <c r="Y176" s="326"/>
      <c r="Z176" s="326"/>
      <c r="AA176" s="327"/>
      <c r="AB176" s="542" t="s">
        <v>303</v>
      </c>
      <c r="AC176" s="326"/>
      <c r="AD176" s="326"/>
      <c r="AE176" s="327"/>
      <c r="AF176" s="543"/>
      <c r="AG176" s="327"/>
      <c r="AH176" s="543"/>
      <c r="AI176" s="327"/>
      <c r="AJ176" s="536"/>
      <c r="AK176" s="327"/>
      <c r="AL176" s="537" t="s">
        <v>334</v>
      </c>
      <c r="AM176" s="327"/>
      <c r="AN176" s="546" t="s">
        <v>334</v>
      </c>
      <c r="AO176" s="327"/>
      <c r="AP176" s="547"/>
      <c r="AQ176" s="327"/>
      <c r="AR176" s="548"/>
      <c r="AS176" s="327"/>
      <c r="AT176" s="549"/>
      <c r="AU176" s="327"/>
      <c r="AV176" s="546" t="s">
        <v>334</v>
      </c>
      <c r="AW176" s="327"/>
      <c r="AX176" s="521"/>
      <c r="AY176" s="326"/>
      <c r="AZ176" s="327"/>
      <c r="BA176" s="550"/>
      <c r="BB176" s="327"/>
      <c r="BC176" s="25"/>
      <c r="BD176" s="544" t="s">
        <v>334</v>
      </c>
      <c r="BE176" s="327"/>
      <c r="BF176" s="545"/>
      <c r="BG176" s="326"/>
      <c r="BH176" s="326"/>
      <c r="BI176" s="327"/>
      <c r="BJ176" s="557" t="s">
        <v>303</v>
      </c>
      <c r="BK176" s="326"/>
      <c r="BL176" s="326"/>
      <c r="BM176" s="327"/>
      <c r="BN176" s="558" t="s">
        <v>303</v>
      </c>
      <c r="BO176" s="326"/>
      <c r="BP176" s="326"/>
      <c r="BQ176" s="326"/>
      <c r="BR176" s="326"/>
      <c r="BS176" s="326"/>
      <c r="BT176" s="326"/>
      <c r="BU176" s="326"/>
      <c r="BV176" s="327"/>
    </row>
    <row r="177" spans="1:74" ht="45" customHeight="1" x14ac:dyDescent="0.25">
      <c r="A177" s="10">
        <f t="shared" si="0"/>
        <v>163</v>
      </c>
      <c r="B177" s="564" t="s">
        <v>303</v>
      </c>
      <c r="C177" s="327"/>
      <c r="D177" s="565" t="s">
        <v>307</v>
      </c>
      <c r="E177" s="327"/>
      <c r="F177" s="537" t="s">
        <v>334</v>
      </c>
      <c r="G177" s="327"/>
      <c r="H177" s="566" t="s">
        <v>334</v>
      </c>
      <c r="I177" s="327"/>
      <c r="J177" s="567"/>
      <c r="K177" s="327"/>
      <c r="L177" s="567"/>
      <c r="M177" s="327"/>
      <c r="N177" s="20"/>
      <c r="O177" s="21"/>
      <c r="P177" s="524"/>
      <c r="Q177" s="327"/>
      <c r="R177" s="516"/>
      <c r="S177" s="327"/>
      <c r="T177" s="517"/>
      <c r="U177" s="327"/>
      <c r="V177" s="518"/>
      <c r="W177" s="327"/>
      <c r="X177" s="438" t="s">
        <v>303</v>
      </c>
      <c r="Y177" s="326"/>
      <c r="Z177" s="326"/>
      <c r="AA177" s="327"/>
      <c r="AB177" s="519" t="s">
        <v>303</v>
      </c>
      <c r="AC177" s="326"/>
      <c r="AD177" s="326"/>
      <c r="AE177" s="327"/>
      <c r="AF177" s="520"/>
      <c r="AG177" s="327"/>
      <c r="AH177" s="520"/>
      <c r="AI177" s="327"/>
      <c r="AJ177" s="554"/>
      <c r="AK177" s="327"/>
      <c r="AL177" s="556" t="s">
        <v>334</v>
      </c>
      <c r="AM177" s="327"/>
      <c r="AN177" s="553" t="s">
        <v>334</v>
      </c>
      <c r="AO177" s="327"/>
      <c r="AP177" s="554"/>
      <c r="AQ177" s="327"/>
      <c r="AR177" s="555"/>
      <c r="AS177" s="327"/>
      <c r="AT177" s="549"/>
      <c r="AU177" s="327"/>
      <c r="AV177" s="553" t="s">
        <v>334</v>
      </c>
      <c r="AW177" s="327"/>
      <c r="AX177" s="521"/>
      <c r="AY177" s="326"/>
      <c r="AZ177" s="327"/>
      <c r="BA177" s="536"/>
      <c r="BB177" s="327"/>
      <c r="BC177" s="22"/>
      <c r="BD177" s="551" t="s">
        <v>334</v>
      </c>
      <c r="BE177" s="327"/>
      <c r="BF177" s="552"/>
      <c r="BG177" s="326"/>
      <c r="BH177" s="326"/>
      <c r="BI177" s="327"/>
      <c r="BJ177" s="451" t="s">
        <v>303</v>
      </c>
      <c r="BK177" s="326"/>
      <c r="BL177" s="326"/>
      <c r="BM177" s="327"/>
      <c r="BN177" s="558" t="s">
        <v>303</v>
      </c>
      <c r="BO177" s="326"/>
      <c r="BP177" s="326"/>
      <c r="BQ177" s="326"/>
      <c r="BR177" s="326"/>
      <c r="BS177" s="326"/>
      <c r="BT177" s="326"/>
      <c r="BU177" s="326"/>
      <c r="BV177" s="327"/>
    </row>
    <row r="178" spans="1:74" ht="45" customHeight="1" x14ac:dyDescent="0.25">
      <c r="A178" s="10">
        <f t="shared" si="0"/>
        <v>164</v>
      </c>
      <c r="B178" s="559" t="s">
        <v>303</v>
      </c>
      <c r="C178" s="327"/>
      <c r="D178" s="560" t="s">
        <v>307</v>
      </c>
      <c r="E178" s="327"/>
      <c r="F178" s="537" t="s">
        <v>334</v>
      </c>
      <c r="G178" s="327"/>
      <c r="H178" s="561" t="s">
        <v>334</v>
      </c>
      <c r="I178" s="327"/>
      <c r="J178" s="562"/>
      <c r="K178" s="327"/>
      <c r="L178" s="562"/>
      <c r="M178" s="327"/>
      <c r="N178" s="23"/>
      <c r="O178" s="24"/>
      <c r="P178" s="563"/>
      <c r="Q178" s="327"/>
      <c r="R178" s="538"/>
      <c r="S178" s="327"/>
      <c r="T178" s="539"/>
      <c r="U178" s="327"/>
      <c r="V178" s="540"/>
      <c r="W178" s="327"/>
      <c r="X178" s="541" t="s">
        <v>303</v>
      </c>
      <c r="Y178" s="326"/>
      <c r="Z178" s="326"/>
      <c r="AA178" s="327"/>
      <c r="AB178" s="542" t="s">
        <v>303</v>
      </c>
      <c r="AC178" s="326"/>
      <c r="AD178" s="326"/>
      <c r="AE178" s="327"/>
      <c r="AF178" s="543"/>
      <c r="AG178" s="327"/>
      <c r="AH178" s="543"/>
      <c r="AI178" s="327"/>
      <c r="AJ178" s="536"/>
      <c r="AK178" s="327"/>
      <c r="AL178" s="537" t="s">
        <v>334</v>
      </c>
      <c r="AM178" s="327"/>
      <c r="AN178" s="546" t="s">
        <v>334</v>
      </c>
      <c r="AO178" s="327"/>
      <c r="AP178" s="547"/>
      <c r="AQ178" s="327"/>
      <c r="AR178" s="548"/>
      <c r="AS178" s="327"/>
      <c r="AT178" s="549"/>
      <c r="AU178" s="327"/>
      <c r="AV178" s="546" t="s">
        <v>334</v>
      </c>
      <c r="AW178" s="327"/>
      <c r="AX178" s="521"/>
      <c r="AY178" s="326"/>
      <c r="AZ178" s="327"/>
      <c r="BA178" s="550"/>
      <c r="BB178" s="327"/>
      <c r="BC178" s="25"/>
      <c r="BD178" s="544" t="s">
        <v>334</v>
      </c>
      <c r="BE178" s="327"/>
      <c r="BF178" s="545"/>
      <c r="BG178" s="326"/>
      <c r="BH178" s="326"/>
      <c r="BI178" s="327"/>
      <c r="BJ178" s="557" t="s">
        <v>303</v>
      </c>
      <c r="BK178" s="326"/>
      <c r="BL178" s="326"/>
      <c r="BM178" s="327"/>
      <c r="BN178" s="558" t="s">
        <v>303</v>
      </c>
      <c r="BO178" s="326"/>
      <c r="BP178" s="326"/>
      <c r="BQ178" s="326"/>
      <c r="BR178" s="326"/>
      <c r="BS178" s="326"/>
      <c r="BT178" s="326"/>
      <c r="BU178" s="326"/>
      <c r="BV178" s="327"/>
    </row>
    <row r="179" spans="1:74" ht="45" customHeight="1" x14ac:dyDescent="0.25">
      <c r="A179" s="10">
        <f t="shared" si="0"/>
        <v>165</v>
      </c>
      <c r="B179" s="564" t="s">
        <v>303</v>
      </c>
      <c r="C179" s="327"/>
      <c r="D179" s="565" t="s">
        <v>307</v>
      </c>
      <c r="E179" s="327"/>
      <c r="F179" s="537" t="s">
        <v>334</v>
      </c>
      <c r="G179" s="327"/>
      <c r="H179" s="566" t="s">
        <v>334</v>
      </c>
      <c r="I179" s="327"/>
      <c r="J179" s="567"/>
      <c r="K179" s="327"/>
      <c r="L179" s="567"/>
      <c r="M179" s="327"/>
      <c r="N179" s="20"/>
      <c r="O179" s="21"/>
      <c r="P179" s="524"/>
      <c r="Q179" s="327"/>
      <c r="R179" s="516"/>
      <c r="S179" s="327"/>
      <c r="T179" s="517"/>
      <c r="U179" s="327"/>
      <c r="V179" s="518"/>
      <c r="W179" s="327"/>
      <c r="X179" s="438" t="s">
        <v>303</v>
      </c>
      <c r="Y179" s="326"/>
      <c r="Z179" s="326"/>
      <c r="AA179" s="327"/>
      <c r="AB179" s="519" t="s">
        <v>303</v>
      </c>
      <c r="AC179" s="326"/>
      <c r="AD179" s="326"/>
      <c r="AE179" s="327"/>
      <c r="AF179" s="520"/>
      <c r="AG179" s="327"/>
      <c r="AH179" s="520"/>
      <c r="AI179" s="327"/>
      <c r="AJ179" s="554"/>
      <c r="AK179" s="327"/>
      <c r="AL179" s="556" t="s">
        <v>334</v>
      </c>
      <c r="AM179" s="327"/>
      <c r="AN179" s="553" t="s">
        <v>334</v>
      </c>
      <c r="AO179" s="327"/>
      <c r="AP179" s="554"/>
      <c r="AQ179" s="327"/>
      <c r="AR179" s="555"/>
      <c r="AS179" s="327"/>
      <c r="AT179" s="549"/>
      <c r="AU179" s="327"/>
      <c r="AV179" s="553" t="s">
        <v>334</v>
      </c>
      <c r="AW179" s="327"/>
      <c r="AX179" s="521"/>
      <c r="AY179" s="326"/>
      <c r="AZ179" s="327"/>
      <c r="BA179" s="536"/>
      <c r="BB179" s="327"/>
      <c r="BC179" s="22"/>
      <c r="BD179" s="551" t="s">
        <v>334</v>
      </c>
      <c r="BE179" s="327"/>
      <c r="BF179" s="508"/>
      <c r="BG179" s="326"/>
      <c r="BH179" s="326"/>
      <c r="BI179" s="327"/>
      <c r="BJ179" s="451" t="s">
        <v>303</v>
      </c>
      <c r="BK179" s="326"/>
      <c r="BL179" s="326"/>
      <c r="BM179" s="327"/>
      <c r="BN179" s="558" t="s">
        <v>303</v>
      </c>
      <c r="BO179" s="326"/>
      <c r="BP179" s="326"/>
      <c r="BQ179" s="326"/>
      <c r="BR179" s="326"/>
      <c r="BS179" s="326"/>
      <c r="BT179" s="326"/>
      <c r="BU179" s="326"/>
      <c r="BV179" s="327"/>
    </row>
    <row r="180" spans="1:74" ht="45" customHeight="1" x14ac:dyDescent="0.25">
      <c r="A180" s="10">
        <f t="shared" si="0"/>
        <v>166</v>
      </c>
      <c r="B180" s="559" t="s">
        <v>303</v>
      </c>
      <c r="C180" s="327"/>
      <c r="D180" s="560" t="s">
        <v>307</v>
      </c>
      <c r="E180" s="327"/>
      <c r="F180" s="537" t="s">
        <v>334</v>
      </c>
      <c r="G180" s="327"/>
      <c r="H180" s="561" t="s">
        <v>334</v>
      </c>
      <c r="I180" s="327"/>
      <c r="J180" s="562"/>
      <c r="K180" s="327"/>
      <c r="L180" s="562"/>
      <c r="M180" s="327"/>
      <c r="N180" s="23"/>
      <c r="O180" s="24"/>
      <c r="P180" s="563"/>
      <c r="Q180" s="327"/>
      <c r="R180" s="538"/>
      <c r="S180" s="327"/>
      <c r="T180" s="539"/>
      <c r="U180" s="327"/>
      <c r="V180" s="540"/>
      <c r="W180" s="327"/>
      <c r="X180" s="541" t="s">
        <v>303</v>
      </c>
      <c r="Y180" s="326"/>
      <c r="Z180" s="326"/>
      <c r="AA180" s="327"/>
      <c r="AB180" s="542" t="s">
        <v>303</v>
      </c>
      <c r="AC180" s="326"/>
      <c r="AD180" s="326"/>
      <c r="AE180" s="327"/>
      <c r="AF180" s="543"/>
      <c r="AG180" s="327"/>
      <c r="AH180" s="543"/>
      <c r="AI180" s="327"/>
      <c r="AJ180" s="536"/>
      <c r="AK180" s="327"/>
      <c r="AL180" s="537" t="s">
        <v>334</v>
      </c>
      <c r="AM180" s="327"/>
      <c r="AN180" s="546" t="s">
        <v>334</v>
      </c>
      <c r="AO180" s="327"/>
      <c r="AP180" s="547"/>
      <c r="AQ180" s="327"/>
      <c r="AR180" s="548"/>
      <c r="AS180" s="327"/>
      <c r="AT180" s="549"/>
      <c r="AU180" s="327"/>
      <c r="AV180" s="546" t="s">
        <v>334</v>
      </c>
      <c r="AW180" s="327"/>
      <c r="AX180" s="521"/>
      <c r="AY180" s="326"/>
      <c r="AZ180" s="327"/>
      <c r="BA180" s="550"/>
      <c r="BB180" s="327"/>
      <c r="BC180" s="25"/>
      <c r="BD180" s="544" t="s">
        <v>334</v>
      </c>
      <c r="BE180" s="327"/>
      <c r="BF180" s="545"/>
      <c r="BG180" s="326"/>
      <c r="BH180" s="326"/>
      <c r="BI180" s="327"/>
      <c r="BJ180" s="557" t="s">
        <v>303</v>
      </c>
      <c r="BK180" s="326"/>
      <c r="BL180" s="326"/>
      <c r="BM180" s="327"/>
      <c r="BN180" s="558" t="s">
        <v>303</v>
      </c>
      <c r="BO180" s="326"/>
      <c r="BP180" s="326"/>
      <c r="BQ180" s="326"/>
      <c r="BR180" s="326"/>
      <c r="BS180" s="326"/>
      <c r="BT180" s="326"/>
      <c r="BU180" s="326"/>
      <c r="BV180" s="327"/>
    </row>
    <row r="181" spans="1:74" ht="45" customHeight="1" x14ac:dyDescent="0.25">
      <c r="A181" s="10">
        <f t="shared" si="0"/>
        <v>167</v>
      </c>
      <c r="B181" s="564" t="s">
        <v>303</v>
      </c>
      <c r="C181" s="327"/>
      <c r="D181" s="565" t="s">
        <v>307</v>
      </c>
      <c r="E181" s="327"/>
      <c r="F181" s="537" t="s">
        <v>334</v>
      </c>
      <c r="G181" s="327"/>
      <c r="H181" s="566" t="s">
        <v>334</v>
      </c>
      <c r="I181" s="327"/>
      <c r="J181" s="567"/>
      <c r="K181" s="327"/>
      <c r="L181" s="567"/>
      <c r="M181" s="327"/>
      <c r="N181" s="20"/>
      <c r="O181" s="21"/>
      <c r="P181" s="524"/>
      <c r="Q181" s="327"/>
      <c r="R181" s="516"/>
      <c r="S181" s="327"/>
      <c r="T181" s="517"/>
      <c r="U181" s="327"/>
      <c r="V181" s="518"/>
      <c r="W181" s="327"/>
      <c r="X181" s="438" t="s">
        <v>303</v>
      </c>
      <c r="Y181" s="326"/>
      <c r="Z181" s="326"/>
      <c r="AA181" s="327"/>
      <c r="AB181" s="519" t="s">
        <v>303</v>
      </c>
      <c r="AC181" s="326"/>
      <c r="AD181" s="326"/>
      <c r="AE181" s="327"/>
      <c r="AF181" s="520"/>
      <c r="AG181" s="327"/>
      <c r="AH181" s="520"/>
      <c r="AI181" s="327"/>
      <c r="AJ181" s="554"/>
      <c r="AK181" s="327"/>
      <c r="AL181" s="556" t="s">
        <v>334</v>
      </c>
      <c r="AM181" s="327"/>
      <c r="AN181" s="553" t="s">
        <v>334</v>
      </c>
      <c r="AO181" s="327"/>
      <c r="AP181" s="554"/>
      <c r="AQ181" s="327"/>
      <c r="AR181" s="555"/>
      <c r="AS181" s="327"/>
      <c r="AT181" s="549"/>
      <c r="AU181" s="327"/>
      <c r="AV181" s="553" t="s">
        <v>334</v>
      </c>
      <c r="AW181" s="327"/>
      <c r="AX181" s="521"/>
      <c r="AY181" s="326"/>
      <c r="AZ181" s="327"/>
      <c r="BA181" s="536"/>
      <c r="BB181" s="327"/>
      <c r="BC181" s="22"/>
      <c r="BD181" s="551" t="s">
        <v>334</v>
      </c>
      <c r="BE181" s="327"/>
      <c r="BF181" s="552"/>
      <c r="BG181" s="326"/>
      <c r="BH181" s="326"/>
      <c r="BI181" s="327"/>
      <c r="BJ181" s="451" t="s">
        <v>303</v>
      </c>
      <c r="BK181" s="326"/>
      <c r="BL181" s="326"/>
      <c r="BM181" s="327"/>
      <c r="BN181" s="558" t="s">
        <v>303</v>
      </c>
      <c r="BO181" s="326"/>
      <c r="BP181" s="326"/>
      <c r="BQ181" s="326"/>
      <c r="BR181" s="326"/>
      <c r="BS181" s="326"/>
      <c r="BT181" s="326"/>
      <c r="BU181" s="326"/>
      <c r="BV181" s="327"/>
    </row>
    <row r="182" spans="1:74" ht="45" customHeight="1" x14ac:dyDescent="0.25">
      <c r="A182" s="10">
        <f t="shared" si="0"/>
        <v>168</v>
      </c>
      <c r="B182" s="559" t="s">
        <v>303</v>
      </c>
      <c r="C182" s="327"/>
      <c r="D182" s="560" t="s">
        <v>307</v>
      </c>
      <c r="E182" s="327"/>
      <c r="F182" s="537" t="s">
        <v>334</v>
      </c>
      <c r="G182" s="327"/>
      <c r="H182" s="561" t="s">
        <v>334</v>
      </c>
      <c r="I182" s="327"/>
      <c r="J182" s="562"/>
      <c r="K182" s="327"/>
      <c r="L182" s="562"/>
      <c r="M182" s="327"/>
      <c r="N182" s="23"/>
      <c r="O182" s="24"/>
      <c r="P182" s="563"/>
      <c r="Q182" s="327"/>
      <c r="R182" s="538"/>
      <c r="S182" s="327"/>
      <c r="T182" s="539"/>
      <c r="U182" s="327"/>
      <c r="V182" s="540"/>
      <c r="W182" s="327"/>
      <c r="X182" s="541" t="s">
        <v>303</v>
      </c>
      <c r="Y182" s="326"/>
      <c r="Z182" s="326"/>
      <c r="AA182" s="327"/>
      <c r="AB182" s="542" t="s">
        <v>303</v>
      </c>
      <c r="AC182" s="326"/>
      <c r="AD182" s="326"/>
      <c r="AE182" s="327"/>
      <c r="AF182" s="543"/>
      <c r="AG182" s="327"/>
      <c r="AH182" s="543"/>
      <c r="AI182" s="327"/>
      <c r="AJ182" s="536"/>
      <c r="AK182" s="327"/>
      <c r="AL182" s="537" t="s">
        <v>334</v>
      </c>
      <c r="AM182" s="327"/>
      <c r="AN182" s="546" t="s">
        <v>334</v>
      </c>
      <c r="AO182" s="327"/>
      <c r="AP182" s="547"/>
      <c r="AQ182" s="327"/>
      <c r="AR182" s="548"/>
      <c r="AS182" s="327"/>
      <c r="AT182" s="549"/>
      <c r="AU182" s="327"/>
      <c r="AV182" s="546" t="s">
        <v>334</v>
      </c>
      <c r="AW182" s="327"/>
      <c r="AX182" s="521"/>
      <c r="AY182" s="326"/>
      <c r="AZ182" s="327"/>
      <c r="BA182" s="550"/>
      <c r="BB182" s="327"/>
      <c r="BC182" s="25"/>
      <c r="BD182" s="544" t="s">
        <v>334</v>
      </c>
      <c r="BE182" s="327"/>
      <c r="BF182" s="545"/>
      <c r="BG182" s="326"/>
      <c r="BH182" s="326"/>
      <c r="BI182" s="327"/>
      <c r="BJ182" s="557" t="s">
        <v>303</v>
      </c>
      <c r="BK182" s="326"/>
      <c r="BL182" s="326"/>
      <c r="BM182" s="327"/>
      <c r="BN182" s="558" t="s">
        <v>303</v>
      </c>
      <c r="BO182" s="326"/>
      <c r="BP182" s="326"/>
      <c r="BQ182" s="326"/>
      <c r="BR182" s="326"/>
      <c r="BS182" s="326"/>
      <c r="BT182" s="326"/>
      <c r="BU182" s="326"/>
      <c r="BV182" s="327"/>
    </row>
    <row r="183" spans="1:74" ht="45" customHeight="1" x14ac:dyDescent="0.25">
      <c r="A183" s="10">
        <f t="shared" si="0"/>
        <v>169</v>
      </c>
      <c r="B183" s="564" t="s">
        <v>303</v>
      </c>
      <c r="C183" s="327"/>
      <c r="D183" s="565" t="s">
        <v>307</v>
      </c>
      <c r="E183" s="327"/>
      <c r="F183" s="537" t="s">
        <v>334</v>
      </c>
      <c r="G183" s="327"/>
      <c r="H183" s="566" t="s">
        <v>334</v>
      </c>
      <c r="I183" s="327"/>
      <c r="J183" s="567"/>
      <c r="K183" s="327"/>
      <c r="L183" s="567"/>
      <c r="M183" s="327"/>
      <c r="N183" s="20"/>
      <c r="O183" s="21"/>
      <c r="P183" s="524"/>
      <c r="Q183" s="327"/>
      <c r="R183" s="516"/>
      <c r="S183" s="327"/>
      <c r="T183" s="517"/>
      <c r="U183" s="327"/>
      <c r="V183" s="518"/>
      <c r="W183" s="327"/>
      <c r="X183" s="438" t="s">
        <v>303</v>
      </c>
      <c r="Y183" s="326"/>
      <c r="Z183" s="326"/>
      <c r="AA183" s="327"/>
      <c r="AB183" s="519" t="s">
        <v>303</v>
      </c>
      <c r="AC183" s="326"/>
      <c r="AD183" s="326"/>
      <c r="AE183" s="327"/>
      <c r="AF183" s="520"/>
      <c r="AG183" s="327"/>
      <c r="AH183" s="520"/>
      <c r="AI183" s="327"/>
      <c r="AJ183" s="554"/>
      <c r="AK183" s="327"/>
      <c r="AL183" s="556" t="s">
        <v>334</v>
      </c>
      <c r="AM183" s="327"/>
      <c r="AN183" s="553" t="s">
        <v>334</v>
      </c>
      <c r="AO183" s="327"/>
      <c r="AP183" s="554"/>
      <c r="AQ183" s="327"/>
      <c r="AR183" s="555"/>
      <c r="AS183" s="327"/>
      <c r="AT183" s="549"/>
      <c r="AU183" s="327"/>
      <c r="AV183" s="553" t="s">
        <v>334</v>
      </c>
      <c r="AW183" s="327"/>
      <c r="AX183" s="521"/>
      <c r="AY183" s="326"/>
      <c r="AZ183" s="327"/>
      <c r="BA183" s="536"/>
      <c r="BB183" s="327"/>
      <c r="BC183" s="22"/>
      <c r="BD183" s="551" t="s">
        <v>334</v>
      </c>
      <c r="BE183" s="327"/>
      <c r="BF183" s="508"/>
      <c r="BG183" s="326"/>
      <c r="BH183" s="326"/>
      <c r="BI183" s="327"/>
      <c r="BJ183" s="451" t="s">
        <v>303</v>
      </c>
      <c r="BK183" s="326"/>
      <c r="BL183" s="326"/>
      <c r="BM183" s="327"/>
      <c r="BN183" s="558" t="s">
        <v>303</v>
      </c>
      <c r="BO183" s="326"/>
      <c r="BP183" s="326"/>
      <c r="BQ183" s="326"/>
      <c r="BR183" s="326"/>
      <c r="BS183" s="326"/>
      <c r="BT183" s="326"/>
      <c r="BU183" s="326"/>
      <c r="BV183" s="327"/>
    </row>
    <row r="184" spans="1:74" ht="45" customHeight="1" x14ac:dyDescent="0.25">
      <c r="A184" s="10">
        <f t="shared" si="0"/>
        <v>170</v>
      </c>
      <c r="B184" s="559" t="s">
        <v>303</v>
      </c>
      <c r="C184" s="327"/>
      <c r="D184" s="560" t="s">
        <v>307</v>
      </c>
      <c r="E184" s="327"/>
      <c r="F184" s="537" t="s">
        <v>334</v>
      </c>
      <c r="G184" s="327"/>
      <c r="H184" s="561" t="s">
        <v>334</v>
      </c>
      <c r="I184" s="327"/>
      <c r="J184" s="562"/>
      <c r="K184" s="327"/>
      <c r="L184" s="562"/>
      <c r="M184" s="327"/>
      <c r="N184" s="23"/>
      <c r="O184" s="24"/>
      <c r="P184" s="563"/>
      <c r="Q184" s="327"/>
      <c r="R184" s="538"/>
      <c r="S184" s="327"/>
      <c r="T184" s="539"/>
      <c r="U184" s="327"/>
      <c r="V184" s="540"/>
      <c r="W184" s="327"/>
      <c r="X184" s="541" t="s">
        <v>303</v>
      </c>
      <c r="Y184" s="326"/>
      <c r="Z184" s="326"/>
      <c r="AA184" s="327"/>
      <c r="AB184" s="542" t="s">
        <v>303</v>
      </c>
      <c r="AC184" s="326"/>
      <c r="AD184" s="326"/>
      <c r="AE184" s="327"/>
      <c r="AF184" s="543"/>
      <c r="AG184" s="327"/>
      <c r="AH184" s="543"/>
      <c r="AI184" s="327"/>
      <c r="AJ184" s="536"/>
      <c r="AK184" s="327"/>
      <c r="AL184" s="537" t="s">
        <v>334</v>
      </c>
      <c r="AM184" s="327"/>
      <c r="AN184" s="546" t="s">
        <v>334</v>
      </c>
      <c r="AO184" s="327"/>
      <c r="AP184" s="547"/>
      <c r="AQ184" s="327"/>
      <c r="AR184" s="548"/>
      <c r="AS184" s="327"/>
      <c r="AT184" s="549"/>
      <c r="AU184" s="327"/>
      <c r="AV184" s="546" t="s">
        <v>334</v>
      </c>
      <c r="AW184" s="327"/>
      <c r="AX184" s="521"/>
      <c r="AY184" s="326"/>
      <c r="AZ184" s="327"/>
      <c r="BA184" s="550"/>
      <c r="BB184" s="327"/>
      <c r="BC184" s="25"/>
      <c r="BD184" s="544" t="s">
        <v>334</v>
      </c>
      <c r="BE184" s="327"/>
      <c r="BF184" s="545"/>
      <c r="BG184" s="326"/>
      <c r="BH184" s="326"/>
      <c r="BI184" s="327"/>
      <c r="BJ184" s="557" t="s">
        <v>303</v>
      </c>
      <c r="BK184" s="326"/>
      <c r="BL184" s="326"/>
      <c r="BM184" s="327"/>
      <c r="BN184" s="558" t="s">
        <v>303</v>
      </c>
      <c r="BO184" s="326"/>
      <c r="BP184" s="326"/>
      <c r="BQ184" s="326"/>
      <c r="BR184" s="326"/>
      <c r="BS184" s="326"/>
      <c r="BT184" s="326"/>
      <c r="BU184" s="326"/>
      <c r="BV184" s="327"/>
    </row>
    <row r="185" spans="1:74" ht="45" customHeight="1" x14ac:dyDescent="0.25">
      <c r="A185" s="10">
        <f t="shared" si="0"/>
        <v>171</v>
      </c>
      <c r="B185" s="564" t="s">
        <v>303</v>
      </c>
      <c r="C185" s="327"/>
      <c r="D185" s="565" t="s">
        <v>307</v>
      </c>
      <c r="E185" s="327"/>
      <c r="F185" s="537" t="s">
        <v>334</v>
      </c>
      <c r="G185" s="327"/>
      <c r="H185" s="566" t="s">
        <v>334</v>
      </c>
      <c r="I185" s="327"/>
      <c r="J185" s="567"/>
      <c r="K185" s="327"/>
      <c r="L185" s="567"/>
      <c r="M185" s="327"/>
      <c r="N185" s="20"/>
      <c r="O185" s="21"/>
      <c r="P185" s="524"/>
      <c r="Q185" s="327"/>
      <c r="R185" s="516"/>
      <c r="S185" s="327"/>
      <c r="T185" s="517"/>
      <c r="U185" s="327"/>
      <c r="V185" s="518"/>
      <c r="W185" s="327"/>
      <c r="X185" s="438" t="s">
        <v>303</v>
      </c>
      <c r="Y185" s="326"/>
      <c r="Z185" s="326"/>
      <c r="AA185" s="327"/>
      <c r="AB185" s="519" t="s">
        <v>303</v>
      </c>
      <c r="AC185" s="326"/>
      <c r="AD185" s="326"/>
      <c r="AE185" s="327"/>
      <c r="AF185" s="520"/>
      <c r="AG185" s="327"/>
      <c r="AH185" s="520"/>
      <c r="AI185" s="327"/>
      <c r="AJ185" s="554"/>
      <c r="AK185" s="327"/>
      <c r="AL185" s="556" t="s">
        <v>334</v>
      </c>
      <c r="AM185" s="327"/>
      <c r="AN185" s="553" t="s">
        <v>334</v>
      </c>
      <c r="AO185" s="327"/>
      <c r="AP185" s="554"/>
      <c r="AQ185" s="327"/>
      <c r="AR185" s="555"/>
      <c r="AS185" s="327"/>
      <c r="AT185" s="549"/>
      <c r="AU185" s="327"/>
      <c r="AV185" s="553" t="s">
        <v>334</v>
      </c>
      <c r="AW185" s="327"/>
      <c r="AX185" s="521"/>
      <c r="AY185" s="326"/>
      <c r="AZ185" s="327"/>
      <c r="BA185" s="536"/>
      <c r="BB185" s="327"/>
      <c r="BC185" s="22"/>
      <c r="BD185" s="551" t="s">
        <v>334</v>
      </c>
      <c r="BE185" s="327"/>
      <c r="BF185" s="508"/>
      <c r="BG185" s="326"/>
      <c r="BH185" s="326"/>
      <c r="BI185" s="327"/>
      <c r="BJ185" s="451" t="s">
        <v>303</v>
      </c>
      <c r="BK185" s="326"/>
      <c r="BL185" s="326"/>
      <c r="BM185" s="327"/>
      <c r="BN185" s="558" t="s">
        <v>303</v>
      </c>
      <c r="BO185" s="326"/>
      <c r="BP185" s="326"/>
      <c r="BQ185" s="326"/>
      <c r="BR185" s="326"/>
      <c r="BS185" s="326"/>
      <c r="BT185" s="326"/>
      <c r="BU185" s="326"/>
      <c r="BV185" s="327"/>
    </row>
    <row r="186" spans="1:74" ht="45" customHeight="1" x14ac:dyDescent="0.25">
      <c r="A186" s="10">
        <f t="shared" si="0"/>
        <v>172</v>
      </c>
      <c r="B186" s="559" t="s">
        <v>303</v>
      </c>
      <c r="C186" s="327"/>
      <c r="D186" s="560" t="s">
        <v>307</v>
      </c>
      <c r="E186" s="327"/>
      <c r="F186" s="537" t="s">
        <v>334</v>
      </c>
      <c r="G186" s="327"/>
      <c r="H186" s="561" t="s">
        <v>334</v>
      </c>
      <c r="I186" s="327"/>
      <c r="J186" s="562"/>
      <c r="K186" s="327"/>
      <c r="L186" s="562"/>
      <c r="M186" s="327"/>
      <c r="N186" s="23"/>
      <c r="O186" s="24"/>
      <c r="P186" s="563"/>
      <c r="Q186" s="327"/>
      <c r="R186" s="538"/>
      <c r="S186" s="327"/>
      <c r="T186" s="539"/>
      <c r="U186" s="327"/>
      <c r="V186" s="540"/>
      <c r="W186" s="327"/>
      <c r="X186" s="541" t="s">
        <v>303</v>
      </c>
      <c r="Y186" s="326"/>
      <c r="Z186" s="326"/>
      <c r="AA186" s="327"/>
      <c r="AB186" s="542" t="s">
        <v>303</v>
      </c>
      <c r="AC186" s="326"/>
      <c r="AD186" s="326"/>
      <c r="AE186" s="327"/>
      <c r="AF186" s="543"/>
      <c r="AG186" s="327"/>
      <c r="AH186" s="543"/>
      <c r="AI186" s="327"/>
      <c r="AJ186" s="536"/>
      <c r="AK186" s="327"/>
      <c r="AL186" s="537" t="s">
        <v>334</v>
      </c>
      <c r="AM186" s="327"/>
      <c r="AN186" s="546" t="s">
        <v>334</v>
      </c>
      <c r="AO186" s="327"/>
      <c r="AP186" s="547"/>
      <c r="AQ186" s="327"/>
      <c r="AR186" s="548"/>
      <c r="AS186" s="327"/>
      <c r="AT186" s="549"/>
      <c r="AU186" s="327"/>
      <c r="AV186" s="546" t="s">
        <v>334</v>
      </c>
      <c r="AW186" s="327"/>
      <c r="AX186" s="521"/>
      <c r="AY186" s="326"/>
      <c r="AZ186" s="327"/>
      <c r="BA186" s="550"/>
      <c r="BB186" s="327"/>
      <c r="BC186" s="25"/>
      <c r="BD186" s="544" t="s">
        <v>334</v>
      </c>
      <c r="BE186" s="327"/>
      <c r="BF186" s="545"/>
      <c r="BG186" s="326"/>
      <c r="BH186" s="326"/>
      <c r="BI186" s="327"/>
      <c r="BJ186" s="557" t="s">
        <v>303</v>
      </c>
      <c r="BK186" s="326"/>
      <c r="BL186" s="326"/>
      <c r="BM186" s="327"/>
      <c r="BN186" s="558" t="s">
        <v>303</v>
      </c>
      <c r="BO186" s="326"/>
      <c r="BP186" s="326"/>
      <c r="BQ186" s="326"/>
      <c r="BR186" s="326"/>
      <c r="BS186" s="326"/>
      <c r="BT186" s="326"/>
      <c r="BU186" s="326"/>
      <c r="BV186" s="327"/>
    </row>
    <row r="187" spans="1:74" ht="45" customHeight="1" x14ac:dyDescent="0.25">
      <c r="A187" s="10">
        <f t="shared" si="0"/>
        <v>173</v>
      </c>
      <c r="B187" s="564" t="s">
        <v>303</v>
      </c>
      <c r="C187" s="327"/>
      <c r="D187" s="565" t="s">
        <v>307</v>
      </c>
      <c r="E187" s="327"/>
      <c r="F187" s="537" t="s">
        <v>334</v>
      </c>
      <c r="G187" s="327"/>
      <c r="H187" s="566" t="s">
        <v>334</v>
      </c>
      <c r="I187" s="327"/>
      <c r="J187" s="567"/>
      <c r="K187" s="327"/>
      <c r="L187" s="567"/>
      <c r="M187" s="327"/>
      <c r="N187" s="20"/>
      <c r="O187" s="21"/>
      <c r="P187" s="524"/>
      <c r="Q187" s="327"/>
      <c r="R187" s="516"/>
      <c r="S187" s="327"/>
      <c r="T187" s="517"/>
      <c r="U187" s="327"/>
      <c r="V187" s="518"/>
      <c r="W187" s="327"/>
      <c r="X187" s="438" t="s">
        <v>303</v>
      </c>
      <c r="Y187" s="326"/>
      <c r="Z187" s="326"/>
      <c r="AA187" s="327"/>
      <c r="AB187" s="519" t="s">
        <v>303</v>
      </c>
      <c r="AC187" s="326"/>
      <c r="AD187" s="326"/>
      <c r="AE187" s="327"/>
      <c r="AF187" s="520"/>
      <c r="AG187" s="327"/>
      <c r="AH187" s="520"/>
      <c r="AI187" s="327"/>
      <c r="AJ187" s="554"/>
      <c r="AK187" s="327"/>
      <c r="AL187" s="556" t="s">
        <v>334</v>
      </c>
      <c r="AM187" s="327"/>
      <c r="AN187" s="553" t="s">
        <v>334</v>
      </c>
      <c r="AO187" s="327"/>
      <c r="AP187" s="554"/>
      <c r="AQ187" s="327"/>
      <c r="AR187" s="555"/>
      <c r="AS187" s="327"/>
      <c r="AT187" s="549"/>
      <c r="AU187" s="327"/>
      <c r="AV187" s="553" t="s">
        <v>334</v>
      </c>
      <c r="AW187" s="327"/>
      <c r="AX187" s="521"/>
      <c r="AY187" s="326"/>
      <c r="AZ187" s="327"/>
      <c r="BA187" s="536"/>
      <c r="BB187" s="327"/>
      <c r="BC187" s="22"/>
      <c r="BD187" s="551" t="s">
        <v>334</v>
      </c>
      <c r="BE187" s="327"/>
      <c r="BF187" s="552"/>
      <c r="BG187" s="326"/>
      <c r="BH187" s="326"/>
      <c r="BI187" s="327"/>
      <c r="BJ187" s="451" t="s">
        <v>303</v>
      </c>
      <c r="BK187" s="326"/>
      <c r="BL187" s="326"/>
      <c r="BM187" s="327"/>
      <c r="BN187" s="558" t="s">
        <v>303</v>
      </c>
      <c r="BO187" s="326"/>
      <c r="BP187" s="326"/>
      <c r="BQ187" s="326"/>
      <c r="BR187" s="326"/>
      <c r="BS187" s="326"/>
      <c r="BT187" s="326"/>
      <c r="BU187" s="326"/>
      <c r="BV187" s="327"/>
    </row>
    <row r="188" spans="1:74" ht="45" customHeight="1" x14ac:dyDescent="0.25">
      <c r="A188" s="10">
        <f t="shared" si="0"/>
        <v>174</v>
      </c>
      <c r="B188" s="559" t="s">
        <v>303</v>
      </c>
      <c r="C188" s="327"/>
      <c r="D188" s="560" t="s">
        <v>307</v>
      </c>
      <c r="E188" s="327"/>
      <c r="F188" s="537" t="s">
        <v>334</v>
      </c>
      <c r="G188" s="327"/>
      <c r="H188" s="561" t="s">
        <v>334</v>
      </c>
      <c r="I188" s="327"/>
      <c r="J188" s="562"/>
      <c r="K188" s="327"/>
      <c r="L188" s="562"/>
      <c r="M188" s="327"/>
      <c r="N188" s="23"/>
      <c r="O188" s="24"/>
      <c r="P188" s="563"/>
      <c r="Q188" s="327"/>
      <c r="R188" s="538"/>
      <c r="S188" s="327"/>
      <c r="T188" s="539"/>
      <c r="U188" s="327"/>
      <c r="V188" s="540"/>
      <c r="W188" s="327"/>
      <c r="X188" s="541" t="s">
        <v>303</v>
      </c>
      <c r="Y188" s="326"/>
      <c r="Z188" s="326"/>
      <c r="AA188" s="327"/>
      <c r="AB188" s="542" t="s">
        <v>303</v>
      </c>
      <c r="AC188" s="326"/>
      <c r="AD188" s="326"/>
      <c r="AE188" s="327"/>
      <c r="AF188" s="543"/>
      <c r="AG188" s="327"/>
      <c r="AH188" s="543"/>
      <c r="AI188" s="327"/>
      <c r="AJ188" s="536"/>
      <c r="AK188" s="327"/>
      <c r="AL188" s="537" t="s">
        <v>334</v>
      </c>
      <c r="AM188" s="327"/>
      <c r="AN188" s="546" t="s">
        <v>334</v>
      </c>
      <c r="AO188" s="327"/>
      <c r="AP188" s="547"/>
      <c r="AQ188" s="327"/>
      <c r="AR188" s="548"/>
      <c r="AS188" s="327"/>
      <c r="AT188" s="549"/>
      <c r="AU188" s="327"/>
      <c r="AV188" s="546" t="s">
        <v>334</v>
      </c>
      <c r="AW188" s="327"/>
      <c r="AX188" s="521"/>
      <c r="AY188" s="326"/>
      <c r="AZ188" s="327"/>
      <c r="BA188" s="550"/>
      <c r="BB188" s="327"/>
      <c r="BC188" s="25"/>
      <c r="BD188" s="544" t="s">
        <v>334</v>
      </c>
      <c r="BE188" s="327"/>
      <c r="BF188" s="545"/>
      <c r="BG188" s="326"/>
      <c r="BH188" s="326"/>
      <c r="BI188" s="327"/>
      <c r="BJ188" s="557" t="s">
        <v>303</v>
      </c>
      <c r="BK188" s="326"/>
      <c r="BL188" s="326"/>
      <c r="BM188" s="327"/>
      <c r="BN188" s="558" t="s">
        <v>303</v>
      </c>
      <c r="BO188" s="326"/>
      <c r="BP188" s="326"/>
      <c r="BQ188" s="326"/>
      <c r="BR188" s="326"/>
      <c r="BS188" s="326"/>
      <c r="BT188" s="326"/>
      <c r="BU188" s="326"/>
      <c r="BV188" s="327"/>
    </row>
    <row r="189" spans="1:74" ht="45" customHeight="1" x14ac:dyDescent="0.25">
      <c r="A189" s="10">
        <f t="shared" si="0"/>
        <v>175</v>
      </c>
      <c r="B189" s="564" t="s">
        <v>303</v>
      </c>
      <c r="C189" s="327"/>
      <c r="D189" s="565" t="s">
        <v>307</v>
      </c>
      <c r="E189" s="327"/>
      <c r="F189" s="537" t="s">
        <v>334</v>
      </c>
      <c r="G189" s="327"/>
      <c r="H189" s="566" t="s">
        <v>334</v>
      </c>
      <c r="I189" s="327"/>
      <c r="J189" s="567"/>
      <c r="K189" s="327"/>
      <c r="L189" s="567"/>
      <c r="M189" s="327"/>
      <c r="N189" s="20"/>
      <c r="O189" s="21"/>
      <c r="P189" s="524"/>
      <c r="Q189" s="327"/>
      <c r="R189" s="516"/>
      <c r="S189" s="327"/>
      <c r="T189" s="517"/>
      <c r="U189" s="327"/>
      <c r="V189" s="518"/>
      <c r="W189" s="327"/>
      <c r="X189" s="438" t="s">
        <v>303</v>
      </c>
      <c r="Y189" s="326"/>
      <c r="Z189" s="326"/>
      <c r="AA189" s="327"/>
      <c r="AB189" s="519" t="s">
        <v>303</v>
      </c>
      <c r="AC189" s="326"/>
      <c r="AD189" s="326"/>
      <c r="AE189" s="327"/>
      <c r="AF189" s="520"/>
      <c r="AG189" s="327"/>
      <c r="AH189" s="520"/>
      <c r="AI189" s="327"/>
      <c r="AJ189" s="554"/>
      <c r="AK189" s="327"/>
      <c r="AL189" s="556" t="s">
        <v>334</v>
      </c>
      <c r="AM189" s="327"/>
      <c r="AN189" s="553" t="s">
        <v>334</v>
      </c>
      <c r="AO189" s="327"/>
      <c r="AP189" s="554"/>
      <c r="AQ189" s="327"/>
      <c r="AR189" s="555"/>
      <c r="AS189" s="327"/>
      <c r="AT189" s="549"/>
      <c r="AU189" s="327"/>
      <c r="AV189" s="553" t="s">
        <v>334</v>
      </c>
      <c r="AW189" s="327"/>
      <c r="AX189" s="521"/>
      <c r="AY189" s="326"/>
      <c r="AZ189" s="327"/>
      <c r="BA189" s="536"/>
      <c r="BB189" s="327"/>
      <c r="BC189" s="22"/>
      <c r="BD189" s="551" t="s">
        <v>334</v>
      </c>
      <c r="BE189" s="327"/>
      <c r="BF189" s="508"/>
      <c r="BG189" s="326"/>
      <c r="BH189" s="326"/>
      <c r="BI189" s="327"/>
      <c r="BJ189" s="451" t="s">
        <v>303</v>
      </c>
      <c r="BK189" s="326"/>
      <c r="BL189" s="326"/>
      <c r="BM189" s="327"/>
      <c r="BN189" s="558" t="s">
        <v>303</v>
      </c>
      <c r="BO189" s="326"/>
      <c r="BP189" s="326"/>
      <c r="BQ189" s="326"/>
      <c r="BR189" s="326"/>
      <c r="BS189" s="326"/>
      <c r="BT189" s="326"/>
      <c r="BU189" s="326"/>
      <c r="BV189" s="327"/>
    </row>
    <row r="190" spans="1:74" ht="45" customHeight="1" x14ac:dyDescent="0.25">
      <c r="A190" s="10">
        <f t="shared" si="0"/>
        <v>176</v>
      </c>
      <c r="B190" s="559" t="s">
        <v>303</v>
      </c>
      <c r="C190" s="327"/>
      <c r="D190" s="560" t="s">
        <v>307</v>
      </c>
      <c r="E190" s="327"/>
      <c r="F190" s="537" t="s">
        <v>334</v>
      </c>
      <c r="G190" s="327"/>
      <c r="H190" s="561" t="s">
        <v>334</v>
      </c>
      <c r="I190" s="327"/>
      <c r="J190" s="562"/>
      <c r="K190" s="327"/>
      <c r="L190" s="562"/>
      <c r="M190" s="327"/>
      <c r="N190" s="23"/>
      <c r="O190" s="24"/>
      <c r="P190" s="563"/>
      <c r="Q190" s="327"/>
      <c r="R190" s="538"/>
      <c r="S190" s="327"/>
      <c r="T190" s="539"/>
      <c r="U190" s="327"/>
      <c r="V190" s="540"/>
      <c r="W190" s="327"/>
      <c r="X190" s="541" t="s">
        <v>303</v>
      </c>
      <c r="Y190" s="326"/>
      <c r="Z190" s="326"/>
      <c r="AA190" s="327"/>
      <c r="AB190" s="542" t="s">
        <v>303</v>
      </c>
      <c r="AC190" s="326"/>
      <c r="AD190" s="326"/>
      <c r="AE190" s="327"/>
      <c r="AF190" s="543"/>
      <c r="AG190" s="327"/>
      <c r="AH190" s="543"/>
      <c r="AI190" s="327"/>
      <c r="AJ190" s="536"/>
      <c r="AK190" s="327"/>
      <c r="AL190" s="537" t="s">
        <v>334</v>
      </c>
      <c r="AM190" s="327"/>
      <c r="AN190" s="546" t="s">
        <v>334</v>
      </c>
      <c r="AO190" s="327"/>
      <c r="AP190" s="547"/>
      <c r="AQ190" s="327"/>
      <c r="AR190" s="548"/>
      <c r="AS190" s="327"/>
      <c r="AT190" s="549"/>
      <c r="AU190" s="327"/>
      <c r="AV190" s="546" t="s">
        <v>334</v>
      </c>
      <c r="AW190" s="327"/>
      <c r="AX190" s="521"/>
      <c r="AY190" s="326"/>
      <c r="AZ190" s="327"/>
      <c r="BA190" s="550"/>
      <c r="BB190" s="327"/>
      <c r="BC190" s="25"/>
      <c r="BD190" s="544" t="s">
        <v>334</v>
      </c>
      <c r="BE190" s="327"/>
      <c r="BF190" s="545"/>
      <c r="BG190" s="326"/>
      <c r="BH190" s="326"/>
      <c r="BI190" s="327"/>
      <c r="BJ190" s="557" t="s">
        <v>303</v>
      </c>
      <c r="BK190" s="326"/>
      <c r="BL190" s="326"/>
      <c r="BM190" s="327"/>
      <c r="BN190" s="558" t="s">
        <v>303</v>
      </c>
      <c r="BO190" s="326"/>
      <c r="BP190" s="326"/>
      <c r="BQ190" s="326"/>
      <c r="BR190" s="326"/>
      <c r="BS190" s="326"/>
      <c r="BT190" s="326"/>
      <c r="BU190" s="326"/>
      <c r="BV190" s="327"/>
    </row>
    <row r="191" spans="1:74" ht="45" customHeight="1" x14ac:dyDescent="0.25">
      <c r="A191" s="10">
        <f t="shared" si="0"/>
        <v>177</v>
      </c>
      <c r="B191" s="564" t="s">
        <v>303</v>
      </c>
      <c r="C191" s="327"/>
      <c r="D191" s="565" t="s">
        <v>307</v>
      </c>
      <c r="E191" s="327"/>
      <c r="F191" s="537" t="s">
        <v>334</v>
      </c>
      <c r="G191" s="327"/>
      <c r="H191" s="566" t="s">
        <v>334</v>
      </c>
      <c r="I191" s="327"/>
      <c r="J191" s="567"/>
      <c r="K191" s="327"/>
      <c r="L191" s="567"/>
      <c r="M191" s="327"/>
      <c r="N191" s="20"/>
      <c r="O191" s="21"/>
      <c r="P191" s="524"/>
      <c r="Q191" s="327"/>
      <c r="R191" s="516"/>
      <c r="S191" s="327"/>
      <c r="T191" s="517"/>
      <c r="U191" s="327"/>
      <c r="V191" s="518"/>
      <c r="W191" s="327"/>
      <c r="X191" s="438" t="s">
        <v>303</v>
      </c>
      <c r="Y191" s="326"/>
      <c r="Z191" s="326"/>
      <c r="AA191" s="327"/>
      <c r="AB191" s="519" t="s">
        <v>303</v>
      </c>
      <c r="AC191" s="326"/>
      <c r="AD191" s="326"/>
      <c r="AE191" s="327"/>
      <c r="AF191" s="520"/>
      <c r="AG191" s="327"/>
      <c r="AH191" s="520"/>
      <c r="AI191" s="327"/>
      <c r="AJ191" s="554"/>
      <c r="AK191" s="327"/>
      <c r="AL191" s="556" t="s">
        <v>334</v>
      </c>
      <c r="AM191" s="327"/>
      <c r="AN191" s="553" t="s">
        <v>334</v>
      </c>
      <c r="AO191" s="327"/>
      <c r="AP191" s="554"/>
      <c r="AQ191" s="327"/>
      <c r="AR191" s="555"/>
      <c r="AS191" s="327"/>
      <c r="AT191" s="549"/>
      <c r="AU191" s="327"/>
      <c r="AV191" s="553" t="s">
        <v>334</v>
      </c>
      <c r="AW191" s="327"/>
      <c r="AX191" s="521"/>
      <c r="AY191" s="326"/>
      <c r="AZ191" s="327"/>
      <c r="BA191" s="536"/>
      <c r="BB191" s="327"/>
      <c r="BC191" s="22"/>
      <c r="BD191" s="551" t="s">
        <v>334</v>
      </c>
      <c r="BE191" s="327"/>
      <c r="BF191" s="552"/>
      <c r="BG191" s="326"/>
      <c r="BH191" s="326"/>
      <c r="BI191" s="327"/>
      <c r="BJ191" s="451" t="s">
        <v>303</v>
      </c>
      <c r="BK191" s="326"/>
      <c r="BL191" s="326"/>
      <c r="BM191" s="327"/>
      <c r="BN191" s="558" t="s">
        <v>303</v>
      </c>
      <c r="BO191" s="326"/>
      <c r="BP191" s="326"/>
      <c r="BQ191" s="326"/>
      <c r="BR191" s="326"/>
      <c r="BS191" s="326"/>
      <c r="BT191" s="326"/>
      <c r="BU191" s="326"/>
      <c r="BV191" s="327"/>
    </row>
    <row r="192" spans="1:74" ht="45" customHeight="1" x14ac:dyDescent="0.25">
      <c r="A192" s="10">
        <f t="shared" si="0"/>
        <v>178</v>
      </c>
      <c r="B192" s="559" t="s">
        <v>303</v>
      </c>
      <c r="C192" s="327"/>
      <c r="D192" s="560" t="s">
        <v>307</v>
      </c>
      <c r="E192" s="327"/>
      <c r="F192" s="537" t="s">
        <v>334</v>
      </c>
      <c r="G192" s="327"/>
      <c r="H192" s="561" t="s">
        <v>334</v>
      </c>
      <c r="I192" s="327"/>
      <c r="J192" s="562"/>
      <c r="K192" s="327"/>
      <c r="L192" s="562"/>
      <c r="M192" s="327"/>
      <c r="N192" s="23"/>
      <c r="O192" s="24"/>
      <c r="P192" s="563"/>
      <c r="Q192" s="327"/>
      <c r="R192" s="538"/>
      <c r="S192" s="327"/>
      <c r="T192" s="539"/>
      <c r="U192" s="327"/>
      <c r="V192" s="540"/>
      <c r="W192" s="327"/>
      <c r="X192" s="541" t="s">
        <v>303</v>
      </c>
      <c r="Y192" s="326"/>
      <c r="Z192" s="326"/>
      <c r="AA192" s="327"/>
      <c r="AB192" s="542" t="s">
        <v>303</v>
      </c>
      <c r="AC192" s="326"/>
      <c r="AD192" s="326"/>
      <c r="AE192" s="327"/>
      <c r="AF192" s="543"/>
      <c r="AG192" s="327"/>
      <c r="AH192" s="543"/>
      <c r="AI192" s="327"/>
      <c r="AJ192" s="536"/>
      <c r="AK192" s="327"/>
      <c r="AL192" s="537" t="s">
        <v>334</v>
      </c>
      <c r="AM192" s="327"/>
      <c r="AN192" s="546" t="s">
        <v>334</v>
      </c>
      <c r="AO192" s="327"/>
      <c r="AP192" s="547"/>
      <c r="AQ192" s="327"/>
      <c r="AR192" s="548"/>
      <c r="AS192" s="327"/>
      <c r="AT192" s="549"/>
      <c r="AU192" s="327"/>
      <c r="AV192" s="546" t="s">
        <v>334</v>
      </c>
      <c r="AW192" s="327"/>
      <c r="AX192" s="521"/>
      <c r="AY192" s="326"/>
      <c r="AZ192" s="327"/>
      <c r="BA192" s="550"/>
      <c r="BB192" s="327"/>
      <c r="BC192" s="25"/>
      <c r="BD192" s="544" t="s">
        <v>334</v>
      </c>
      <c r="BE192" s="327"/>
      <c r="BF192" s="545"/>
      <c r="BG192" s="326"/>
      <c r="BH192" s="326"/>
      <c r="BI192" s="327"/>
      <c r="BJ192" s="557" t="s">
        <v>303</v>
      </c>
      <c r="BK192" s="326"/>
      <c r="BL192" s="326"/>
      <c r="BM192" s="327"/>
      <c r="BN192" s="558" t="s">
        <v>303</v>
      </c>
      <c r="BO192" s="326"/>
      <c r="BP192" s="326"/>
      <c r="BQ192" s="326"/>
      <c r="BR192" s="326"/>
      <c r="BS192" s="326"/>
      <c r="BT192" s="326"/>
      <c r="BU192" s="326"/>
      <c r="BV192" s="327"/>
    </row>
    <row r="193" spans="1:74" ht="45" customHeight="1" x14ac:dyDescent="0.25">
      <c r="A193" s="10">
        <f t="shared" si="0"/>
        <v>179</v>
      </c>
      <c r="B193" s="564" t="s">
        <v>303</v>
      </c>
      <c r="C193" s="327"/>
      <c r="D193" s="565" t="s">
        <v>307</v>
      </c>
      <c r="E193" s="327"/>
      <c r="F193" s="537" t="s">
        <v>334</v>
      </c>
      <c r="G193" s="327"/>
      <c r="H193" s="566" t="s">
        <v>334</v>
      </c>
      <c r="I193" s="327"/>
      <c r="J193" s="567"/>
      <c r="K193" s="327"/>
      <c r="L193" s="567"/>
      <c r="M193" s="327"/>
      <c r="N193" s="20"/>
      <c r="O193" s="24"/>
      <c r="P193" s="524"/>
      <c r="Q193" s="327"/>
      <c r="R193" s="516"/>
      <c r="S193" s="327"/>
      <c r="T193" s="517"/>
      <c r="U193" s="327"/>
      <c r="V193" s="518"/>
      <c r="W193" s="327"/>
      <c r="X193" s="438" t="s">
        <v>303</v>
      </c>
      <c r="Y193" s="326"/>
      <c r="Z193" s="326"/>
      <c r="AA193" s="327"/>
      <c r="AB193" s="519" t="s">
        <v>303</v>
      </c>
      <c r="AC193" s="326"/>
      <c r="AD193" s="326"/>
      <c r="AE193" s="327"/>
      <c r="AF193" s="520"/>
      <c r="AG193" s="327"/>
      <c r="AH193" s="520"/>
      <c r="AI193" s="327"/>
      <c r="AJ193" s="554"/>
      <c r="AK193" s="327"/>
      <c r="AL193" s="556" t="s">
        <v>334</v>
      </c>
      <c r="AM193" s="327"/>
      <c r="AN193" s="553" t="s">
        <v>334</v>
      </c>
      <c r="AO193" s="327"/>
      <c r="AP193" s="554"/>
      <c r="AQ193" s="327"/>
      <c r="AR193" s="555"/>
      <c r="AS193" s="327"/>
      <c r="AT193" s="549"/>
      <c r="AU193" s="327"/>
      <c r="AV193" s="553" t="s">
        <v>334</v>
      </c>
      <c r="AW193" s="327"/>
      <c r="AX193" s="521"/>
      <c r="AY193" s="326"/>
      <c r="AZ193" s="327"/>
      <c r="BA193" s="536"/>
      <c r="BB193" s="327"/>
      <c r="BC193" s="22"/>
      <c r="BD193" s="551" t="s">
        <v>334</v>
      </c>
      <c r="BE193" s="327"/>
      <c r="BF193" s="508"/>
      <c r="BG193" s="326"/>
      <c r="BH193" s="326"/>
      <c r="BI193" s="327"/>
      <c r="BJ193" s="451" t="s">
        <v>303</v>
      </c>
      <c r="BK193" s="326"/>
      <c r="BL193" s="326"/>
      <c r="BM193" s="327"/>
      <c r="BN193" s="558" t="s">
        <v>303</v>
      </c>
      <c r="BO193" s="326"/>
      <c r="BP193" s="326"/>
      <c r="BQ193" s="326"/>
      <c r="BR193" s="326"/>
      <c r="BS193" s="326"/>
      <c r="BT193" s="326"/>
      <c r="BU193" s="326"/>
      <c r="BV193" s="327"/>
    </row>
    <row r="194" spans="1:74" ht="45" customHeight="1" x14ac:dyDescent="0.25">
      <c r="A194" s="10">
        <f t="shared" si="0"/>
        <v>180</v>
      </c>
      <c r="B194" s="559" t="s">
        <v>303</v>
      </c>
      <c r="C194" s="327"/>
      <c r="D194" s="560" t="s">
        <v>307</v>
      </c>
      <c r="E194" s="327"/>
      <c r="F194" s="537" t="s">
        <v>334</v>
      </c>
      <c r="G194" s="327"/>
      <c r="H194" s="561" t="s">
        <v>334</v>
      </c>
      <c r="I194" s="327"/>
      <c r="J194" s="562"/>
      <c r="K194" s="327"/>
      <c r="L194" s="562"/>
      <c r="M194" s="327"/>
      <c r="N194" s="23"/>
      <c r="O194" s="21"/>
      <c r="P194" s="563"/>
      <c r="Q194" s="327"/>
      <c r="R194" s="538"/>
      <c r="S194" s="327"/>
      <c r="T194" s="539"/>
      <c r="U194" s="327"/>
      <c r="V194" s="540"/>
      <c r="W194" s="327"/>
      <c r="X194" s="541" t="s">
        <v>303</v>
      </c>
      <c r="Y194" s="326"/>
      <c r="Z194" s="326"/>
      <c r="AA194" s="327"/>
      <c r="AB194" s="542" t="s">
        <v>303</v>
      </c>
      <c r="AC194" s="326"/>
      <c r="AD194" s="326"/>
      <c r="AE194" s="327"/>
      <c r="AF194" s="543"/>
      <c r="AG194" s="327"/>
      <c r="AH194" s="543"/>
      <c r="AI194" s="327"/>
      <c r="AJ194" s="536"/>
      <c r="AK194" s="327"/>
      <c r="AL194" s="537" t="s">
        <v>334</v>
      </c>
      <c r="AM194" s="327"/>
      <c r="AN194" s="546" t="s">
        <v>334</v>
      </c>
      <c r="AO194" s="327"/>
      <c r="AP194" s="547"/>
      <c r="AQ194" s="327"/>
      <c r="AR194" s="548"/>
      <c r="AS194" s="327"/>
      <c r="AT194" s="549"/>
      <c r="AU194" s="327"/>
      <c r="AV194" s="546" t="s">
        <v>334</v>
      </c>
      <c r="AW194" s="327"/>
      <c r="AX194" s="521"/>
      <c r="AY194" s="326"/>
      <c r="AZ194" s="327"/>
      <c r="BA194" s="550"/>
      <c r="BB194" s="327"/>
      <c r="BC194" s="25"/>
      <c r="BD194" s="544" t="s">
        <v>334</v>
      </c>
      <c r="BE194" s="327"/>
      <c r="BF194" s="545"/>
      <c r="BG194" s="326"/>
      <c r="BH194" s="326"/>
      <c r="BI194" s="327"/>
      <c r="BJ194" s="557" t="s">
        <v>303</v>
      </c>
      <c r="BK194" s="326"/>
      <c r="BL194" s="326"/>
      <c r="BM194" s="327"/>
      <c r="BN194" s="558" t="s">
        <v>303</v>
      </c>
      <c r="BO194" s="326"/>
      <c r="BP194" s="326"/>
      <c r="BQ194" s="326"/>
      <c r="BR194" s="326"/>
      <c r="BS194" s="326"/>
      <c r="BT194" s="326"/>
      <c r="BU194" s="326"/>
      <c r="BV194" s="327"/>
    </row>
    <row r="195" spans="1:74" ht="45" customHeight="1" x14ac:dyDescent="0.25">
      <c r="A195" s="10">
        <f t="shared" si="0"/>
        <v>181</v>
      </c>
      <c r="B195" s="564" t="s">
        <v>303</v>
      </c>
      <c r="C195" s="327"/>
      <c r="D195" s="565" t="s">
        <v>307</v>
      </c>
      <c r="E195" s="327"/>
      <c r="F195" s="537" t="s">
        <v>334</v>
      </c>
      <c r="G195" s="327"/>
      <c r="H195" s="566" t="s">
        <v>334</v>
      </c>
      <c r="I195" s="327"/>
      <c r="J195" s="567"/>
      <c r="K195" s="327"/>
      <c r="L195" s="567"/>
      <c r="M195" s="327"/>
      <c r="N195" s="20"/>
      <c r="O195" s="24"/>
      <c r="P195" s="524"/>
      <c r="Q195" s="327"/>
      <c r="R195" s="516"/>
      <c r="S195" s="327"/>
      <c r="T195" s="517"/>
      <c r="U195" s="327"/>
      <c r="V195" s="518"/>
      <c r="W195" s="327"/>
      <c r="X195" s="438" t="s">
        <v>303</v>
      </c>
      <c r="Y195" s="326"/>
      <c r="Z195" s="326"/>
      <c r="AA195" s="327"/>
      <c r="AB195" s="519" t="s">
        <v>303</v>
      </c>
      <c r="AC195" s="326"/>
      <c r="AD195" s="326"/>
      <c r="AE195" s="327"/>
      <c r="AF195" s="520"/>
      <c r="AG195" s="327"/>
      <c r="AH195" s="520"/>
      <c r="AI195" s="327"/>
      <c r="AJ195" s="554"/>
      <c r="AK195" s="327"/>
      <c r="AL195" s="556" t="s">
        <v>334</v>
      </c>
      <c r="AM195" s="327"/>
      <c r="AN195" s="553" t="s">
        <v>334</v>
      </c>
      <c r="AO195" s="327"/>
      <c r="AP195" s="554"/>
      <c r="AQ195" s="327"/>
      <c r="AR195" s="555"/>
      <c r="AS195" s="327"/>
      <c r="AT195" s="549"/>
      <c r="AU195" s="327"/>
      <c r="AV195" s="553" t="s">
        <v>334</v>
      </c>
      <c r="AW195" s="327"/>
      <c r="AX195" s="521"/>
      <c r="AY195" s="326"/>
      <c r="AZ195" s="327"/>
      <c r="BA195" s="536"/>
      <c r="BB195" s="327"/>
      <c r="BC195" s="22"/>
      <c r="BD195" s="551" t="s">
        <v>334</v>
      </c>
      <c r="BE195" s="327"/>
      <c r="BF195" s="508"/>
      <c r="BG195" s="326"/>
      <c r="BH195" s="326"/>
      <c r="BI195" s="327"/>
      <c r="BJ195" s="451" t="s">
        <v>303</v>
      </c>
      <c r="BK195" s="326"/>
      <c r="BL195" s="326"/>
      <c r="BM195" s="327"/>
      <c r="BN195" s="558" t="s">
        <v>303</v>
      </c>
      <c r="BO195" s="326"/>
      <c r="BP195" s="326"/>
      <c r="BQ195" s="326"/>
      <c r="BR195" s="326"/>
      <c r="BS195" s="326"/>
      <c r="BT195" s="326"/>
      <c r="BU195" s="326"/>
      <c r="BV195" s="327"/>
    </row>
    <row r="196" spans="1:74" ht="45" customHeight="1" x14ac:dyDescent="0.25">
      <c r="A196" s="10">
        <f t="shared" si="0"/>
        <v>182</v>
      </c>
      <c r="B196" s="559" t="s">
        <v>303</v>
      </c>
      <c r="C196" s="327"/>
      <c r="D196" s="560" t="s">
        <v>307</v>
      </c>
      <c r="E196" s="327"/>
      <c r="F196" s="537" t="s">
        <v>334</v>
      </c>
      <c r="G196" s="327"/>
      <c r="H196" s="561" t="s">
        <v>334</v>
      </c>
      <c r="I196" s="327"/>
      <c r="J196" s="562"/>
      <c r="K196" s="327"/>
      <c r="L196" s="562"/>
      <c r="M196" s="327"/>
      <c r="N196" s="23"/>
      <c r="O196" s="21"/>
      <c r="P196" s="563"/>
      <c r="Q196" s="327"/>
      <c r="R196" s="538"/>
      <c r="S196" s="327"/>
      <c r="T196" s="539"/>
      <c r="U196" s="327"/>
      <c r="V196" s="540"/>
      <c r="W196" s="327"/>
      <c r="X196" s="541" t="s">
        <v>303</v>
      </c>
      <c r="Y196" s="326"/>
      <c r="Z196" s="326"/>
      <c r="AA196" s="327"/>
      <c r="AB196" s="542" t="s">
        <v>303</v>
      </c>
      <c r="AC196" s="326"/>
      <c r="AD196" s="326"/>
      <c r="AE196" s="327"/>
      <c r="AF196" s="543"/>
      <c r="AG196" s="327"/>
      <c r="AH196" s="543"/>
      <c r="AI196" s="327"/>
      <c r="AJ196" s="536"/>
      <c r="AK196" s="327"/>
      <c r="AL196" s="537" t="s">
        <v>334</v>
      </c>
      <c r="AM196" s="327"/>
      <c r="AN196" s="546" t="s">
        <v>334</v>
      </c>
      <c r="AO196" s="327"/>
      <c r="AP196" s="547"/>
      <c r="AQ196" s="327"/>
      <c r="AR196" s="548"/>
      <c r="AS196" s="327"/>
      <c r="AT196" s="549"/>
      <c r="AU196" s="327"/>
      <c r="AV196" s="546" t="s">
        <v>334</v>
      </c>
      <c r="AW196" s="327"/>
      <c r="AX196" s="521"/>
      <c r="AY196" s="326"/>
      <c r="AZ196" s="327"/>
      <c r="BA196" s="550"/>
      <c r="BB196" s="327"/>
      <c r="BC196" s="25"/>
      <c r="BD196" s="544" t="s">
        <v>334</v>
      </c>
      <c r="BE196" s="327"/>
      <c r="BF196" s="545"/>
      <c r="BG196" s="326"/>
      <c r="BH196" s="326"/>
      <c r="BI196" s="327"/>
      <c r="BJ196" s="557" t="s">
        <v>303</v>
      </c>
      <c r="BK196" s="326"/>
      <c r="BL196" s="326"/>
      <c r="BM196" s="327"/>
      <c r="BN196" s="558" t="s">
        <v>303</v>
      </c>
      <c r="BO196" s="326"/>
      <c r="BP196" s="326"/>
      <c r="BQ196" s="326"/>
      <c r="BR196" s="326"/>
      <c r="BS196" s="326"/>
      <c r="BT196" s="326"/>
      <c r="BU196" s="326"/>
      <c r="BV196" s="327"/>
    </row>
    <row r="197" spans="1:74" ht="45" customHeight="1" x14ac:dyDescent="0.25">
      <c r="A197" s="10">
        <f t="shared" si="0"/>
        <v>183</v>
      </c>
      <c r="B197" s="564" t="s">
        <v>303</v>
      </c>
      <c r="C197" s="327"/>
      <c r="D197" s="565" t="s">
        <v>307</v>
      </c>
      <c r="E197" s="327"/>
      <c r="F197" s="537" t="s">
        <v>334</v>
      </c>
      <c r="G197" s="327"/>
      <c r="H197" s="566" t="s">
        <v>334</v>
      </c>
      <c r="I197" s="327"/>
      <c r="J197" s="567"/>
      <c r="K197" s="327"/>
      <c r="L197" s="567"/>
      <c r="M197" s="327"/>
      <c r="N197" s="20"/>
      <c r="O197" s="24"/>
      <c r="P197" s="524"/>
      <c r="Q197" s="327"/>
      <c r="R197" s="516"/>
      <c r="S197" s="327"/>
      <c r="T197" s="517"/>
      <c r="U197" s="327"/>
      <c r="V197" s="518"/>
      <c r="W197" s="327"/>
      <c r="X197" s="438" t="s">
        <v>303</v>
      </c>
      <c r="Y197" s="326"/>
      <c r="Z197" s="326"/>
      <c r="AA197" s="327"/>
      <c r="AB197" s="519" t="s">
        <v>303</v>
      </c>
      <c r="AC197" s="326"/>
      <c r="AD197" s="326"/>
      <c r="AE197" s="327"/>
      <c r="AF197" s="520"/>
      <c r="AG197" s="327"/>
      <c r="AH197" s="520"/>
      <c r="AI197" s="327"/>
      <c r="AJ197" s="554"/>
      <c r="AK197" s="327"/>
      <c r="AL197" s="556" t="s">
        <v>334</v>
      </c>
      <c r="AM197" s="327"/>
      <c r="AN197" s="553" t="s">
        <v>334</v>
      </c>
      <c r="AO197" s="327"/>
      <c r="AP197" s="554"/>
      <c r="AQ197" s="327"/>
      <c r="AR197" s="555"/>
      <c r="AS197" s="327"/>
      <c r="AT197" s="549"/>
      <c r="AU197" s="327"/>
      <c r="AV197" s="553" t="s">
        <v>334</v>
      </c>
      <c r="AW197" s="327"/>
      <c r="AX197" s="521"/>
      <c r="AY197" s="326"/>
      <c r="AZ197" s="327"/>
      <c r="BA197" s="536"/>
      <c r="BB197" s="327"/>
      <c r="BC197" s="22"/>
      <c r="BD197" s="551" t="s">
        <v>334</v>
      </c>
      <c r="BE197" s="327"/>
      <c r="BF197" s="552"/>
      <c r="BG197" s="326"/>
      <c r="BH197" s="326"/>
      <c r="BI197" s="327"/>
      <c r="BJ197" s="451" t="s">
        <v>303</v>
      </c>
      <c r="BK197" s="326"/>
      <c r="BL197" s="326"/>
      <c r="BM197" s="327"/>
      <c r="BN197" s="558" t="s">
        <v>303</v>
      </c>
      <c r="BO197" s="326"/>
      <c r="BP197" s="326"/>
      <c r="BQ197" s="326"/>
      <c r="BR197" s="326"/>
      <c r="BS197" s="326"/>
      <c r="BT197" s="326"/>
      <c r="BU197" s="326"/>
      <c r="BV197" s="327"/>
    </row>
    <row r="198" spans="1:74" ht="45" customHeight="1" x14ac:dyDescent="0.25">
      <c r="A198" s="10">
        <f t="shared" si="0"/>
        <v>184</v>
      </c>
      <c r="B198" s="559" t="s">
        <v>303</v>
      </c>
      <c r="C198" s="327"/>
      <c r="D198" s="560" t="s">
        <v>307</v>
      </c>
      <c r="E198" s="327"/>
      <c r="F198" s="537" t="s">
        <v>334</v>
      </c>
      <c r="G198" s="327"/>
      <c r="H198" s="561" t="s">
        <v>334</v>
      </c>
      <c r="I198" s="327"/>
      <c r="J198" s="562"/>
      <c r="K198" s="327"/>
      <c r="L198" s="562"/>
      <c r="M198" s="327"/>
      <c r="N198" s="23"/>
      <c r="O198" s="21"/>
      <c r="P198" s="563"/>
      <c r="Q198" s="327"/>
      <c r="R198" s="538"/>
      <c r="S198" s="327"/>
      <c r="T198" s="539"/>
      <c r="U198" s="327"/>
      <c r="V198" s="540"/>
      <c r="W198" s="327"/>
      <c r="X198" s="541" t="s">
        <v>303</v>
      </c>
      <c r="Y198" s="326"/>
      <c r="Z198" s="326"/>
      <c r="AA198" s="327"/>
      <c r="AB198" s="542" t="s">
        <v>303</v>
      </c>
      <c r="AC198" s="326"/>
      <c r="AD198" s="326"/>
      <c r="AE198" s="327"/>
      <c r="AF198" s="543"/>
      <c r="AG198" s="327"/>
      <c r="AH198" s="543"/>
      <c r="AI198" s="327"/>
      <c r="AJ198" s="536"/>
      <c r="AK198" s="327"/>
      <c r="AL198" s="537" t="s">
        <v>334</v>
      </c>
      <c r="AM198" s="327"/>
      <c r="AN198" s="546" t="s">
        <v>334</v>
      </c>
      <c r="AO198" s="327"/>
      <c r="AP198" s="547"/>
      <c r="AQ198" s="327"/>
      <c r="AR198" s="548"/>
      <c r="AS198" s="327"/>
      <c r="AT198" s="549"/>
      <c r="AU198" s="327"/>
      <c r="AV198" s="546" t="s">
        <v>334</v>
      </c>
      <c r="AW198" s="327"/>
      <c r="AX198" s="521"/>
      <c r="AY198" s="326"/>
      <c r="AZ198" s="327"/>
      <c r="BA198" s="550"/>
      <c r="BB198" s="327"/>
      <c r="BC198" s="25"/>
      <c r="BD198" s="544" t="s">
        <v>334</v>
      </c>
      <c r="BE198" s="327"/>
      <c r="BF198" s="545"/>
      <c r="BG198" s="326"/>
      <c r="BH198" s="326"/>
      <c r="BI198" s="327"/>
      <c r="BJ198" s="557" t="s">
        <v>303</v>
      </c>
      <c r="BK198" s="326"/>
      <c r="BL198" s="326"/>
      <c r="BM198" s="327"/>
      <c r="BN198" s="558" t="s">
        <v>303</v>
      </c>
      <c r="BO198" s="326"/>
      <c r="BP198" s="326"/>
      <c r="BQ198" s="326"/>
      <c r="BR198" s="326"/>
      <c r="BS198" s="326"/>
      <c r="BT198" s="326"/>
      <c r="BU198" s="326"/>
      <c r="BV198" s="327"/>
    </row>
    <row r="199" spans="1:74" ht="45" customHeight="1" x14ac:dyDescent="0.25">
      <c r="A199" s="10">
        <f t="shared" si="0"/>
        <v>185</v>
      </c>
      <c r="B199" s="564" t="s">
        <v>303</v>
      </c>
      <c r="C199" s="327"/>
      <c r="D199" s="565" t="s">
        <v>307</v>
      </c>
      <c r="E199" s="327"/>
      <c r="F199" s="537" t="s">
        <v>334</v>
      </c>
      <c r="G199" s="327"/>
      <c r="H199" s="566" t="s">
        <v>334</v>
      </c>
      <c r="I199" s="327"/>
      <c r="J199" s="567"/>
      <c r="K199" s="327"/>
      <c r="L199" s="567"/>
      <c r="M199" s="327"/>
      <c r="N199" s="20"/>
      <c r="O199" s="24"/>
      <c r="P199" s="524"/>
      <c r="Q199" s="327"/>
      <c r="R199" s="516"/>
      <c r="S199" s="327"/>
      <c r="T199" s="517"/>
      <c r="U199" s="327"/>
      <c r="V199" s="518"/>
      <c r="W199" s="327"/>
      <c r="X199" s="438" t="s">
        <v>303</v>
      </c>
      <c r="Y199" s="326"/>
      <c r="Z199" s="326"/>
      <c r="AA199" s="327"/>
      <c r="AB199" s="519" t="s">
        <v>303</v>
      </c>
      <c r="AC199" s="326"/>
      <c r="AD199" s="326"/>
      <c r="AE199" s="327"/>
      <c r="AF199" s="520"/>
      <c r="AG199" s="327"/>
      <c r="AH199" s="520"/>
      <c r="AI199" s="327"/>
      <c r="AJ199" s="554"/>
      <c r="AK199" s="327"/>
      <c r="AL199" s="556" t="s">
        <v>334</v>
      </c>
      <c r="AM199" s="327"/>
      <c r="AN199" s="553" t="s">
        <v>334</v>
      </c>
      <c r="AO199" s="327"/>
      <c r="AP199" s="554"/>
      <c r="AQ199" s="327"/>
      <c r="AR199" s="555"/>
      <c r="AS199" s="327"/>
      <c r="AT199" s="549"/>
      <c r="AU199" s="327"/>
      <c r="AV199" s="553" t="s">
        <v>334</v>
      </c>
      <c r="AW199" s="327"/>
      <c r="AX199" s="521"/>
      <c r="AY199" s="326"/>
      <c r="AZ199" s="327"/>
      <c r="BA199" s="536"/>
      <c r="BB199" s="327"/>
      <c r="BC199" s="22"/>
      <c r="BD199" s="551" t="s">
        <v>334</v>
      </c>
      <c r="BE199" s="327"/>
      <c r="BF199" s="508"/>
      <c r="BG199" s="326"/>
      <c r="BH199" s="326"/>
      <c r="BI199" s="327"/>
      <c r="BJ199" s="451" t="s">
        <v>303</v>
      </c>
      <c r="BK199" s="326"/>
      <c r="BL199" s="326"/>
      <c r="BM199" s="327"/>
      <c r="BN199" s="558" t="s">
        <v>303</v>
      </c>
      <c r="BO199" s="326"/>
      <c r="BP199" s="326"/>
      <c r="BQ199" s="326"/>
      <c r="BR199" s="326"/>
      <c r="BS199" s="326"/>
      <c r="BT199" s="326"/>
      <c r="BU199" s="326"/>
      <c r="BV199" s="327"/>
    </row>
    <row r="200" spans="1:74" ht="45" customHeight="1" x14ac:dyDescent="0.25">
      <c r="A200" s="10">
        <f t="shared" si="0"/>
        <v>186</v>
      </c>
      <c r="B200" s="559" t="s">
        <v>303</v>
      </c>
      <c r="C200" s="327"/>
      <c r="D200" s="560" t="s">
        <v>307</v>
      </c>
      <c r="E200" s="327"/>
      <c r="F200" s="537" t="s">
        <v>334</v>
      </c>
      <c r="G200" s="327"/>
      <c r="H200" s="561" t="s">
        <v>334</v>
      </c>
      <c r="I200" s="327"/>
      <c r="J200" s="562"/>
      <c r="K200" s="327"/>
      <c r="L200" s="562"/>
      <c r="M200" s="327"/>
      <c r="N200" s="23"/>
      <c r="O200" s="21"/>
      <c r="P200" s="563"/>
      <c r="Q200" s="327"/>
      <c r="R200" s="538"/>
      <c r="S200" s="327"/>
      <c r="T200" s="539"/>
      <c r="U200" s="327"/>
      <c r="V200" s="540"/>
      <c r="W200" s="327"/>
      <c r="X200" s="541" t="s">
        <v>303</v>
      </c>
      <c r="Y200" s="326"/>
      <c r="Z200" s="326"/>
      <c r="AA200" s="327"/>
      <c r="AB200" s="542" t="s">
        <v>303</v>
      </c>
      <c r="AC200" s="326"/>
      <c r="AD200" s="326"/>
      <c r="AE200" s="327"/>
      <c r="AF200" s="543"/>
      <c r="AG200" s="327"/>
      <c r="AH200" s="543"/>
      <c r="AI200" s="327"/>
      <c r="AJ200" s="536"/>
      <c r="AK200" s="327"/>
      <c r="AL200" s="537" t="s">
        <v>334</v>
      </c>
      <c r="AM200" s="327"/>
      <c r="AN200" s="546" t="s">
        <v>334</v>
      </c>
      <c r="AO200" s="327"/>
      <c r="AP200" s="547"/>
      <c r="AQ200" s="327"/>
      <c r="AR200" s="548"/>
      <c r="AS200" s="327"/>
      <c r="AT200" s="549"/>
      <c r="AU200" s="327"/>
      <c r="AV200" s="546" t="s">
        <v>334</v>
      </c>
      <c r="AW200" s="327"/>
      <c r="AX200" s="521"/>
      <c r="AY200" s="326"/>
      <c r="AZ200" s="327"/>
      <c r="BA200" s="550"/>
      <c r="BB200" s="327"/>
      <c r="BC200" s="25"/>
      <c r="BD200" s="544" t="s">
        <v>334</v>
      </c>
      <c r="BE200" s="327"/>
      <c r="BF200" s="545"/>
      <c r="BG200" s="326"/>
      <c r="BH200" s="326"/>
      <c r="BI200" s="327"/>
      <c r="BJ200" s="557" t="s">
        <v>303</v>
      </c>
      <c r="BK200" s="326"/>
      <c r="BL200" s="326"/>
      <c r="BM200" s="327"/>
      <c r="BN200" s="558" t="s">
        <v>303</v>
      </c>
      <c r="BO200" s="326"/>
      <c r="BP200" s="326"/>
      <c r="BQ200" s="326"/>
      <c r="BR200" s="326"/>
      <c r="BS200" s="326"/>
      <c r="BT200" s="326"/>
      <c r="BU200" s="326"/>
      <c r="BV200" s="327"/>
    </row>
    <row r="201" spans="1:74" ht="45" customHeight="1" x14ac:dyDescent="0.25">
      <c r="A201" s="10">
        <f t="shared" si="0"/>
        <v>187</v>
      </c>
      <c r="B201" s="564" t="s">
        <v>303</v>
      </c>
      <c r="C201" s="327"/>
      <c r="D201" s="565" t="s">
        <v>307</v>
      </c>
      <c r="E201" s="327"/>
      <c r="F201" s="537" t="s">
        <v>334</v>
      </c>
      <c r="G201" s="327"/>
      <c r="H201" s="566" t="s">
        <v>334</v>
      </c>
      <c r="I201" s="327"/>
      <c r="J201" s="567"/>
      <c r="K201" s="327"/>
      <c r="L201" s="567"/>
      <c r="M201" s="327"/>
      <c r="N201" s="20"/>
      <c r="O201" s="24"/>
      <c r="P201" s="524"/>
      <c r="Q201" s="327"/>
      <c r="R201" s="516"/>
      <c r="S201" s="327"/>
      <c r="T201" s="517"/>
      <c r="U201" s="327"/>
      <c r="V201" s="518"/>
      <c r="W201" s="327"/>
      <c r="X201" s="438" t="s">
        <v>303</v>
      </c>
      <c r="Y201" s="326"/>
      <c r="Z201" s="326"/>
      <c r="AA201" s="327"/>
      <c r="AB201" s="519" t="s">
        <v>303</v>
      </c>
      <c r="AC201" s="326"/>
      <c r="AD201" s="326"/>
      <c r="AE201" s="327"/>
      <c r="AF201" s="520"/>
      <c r="AG201" s="327"/>
      <c r="AH201" s="520"/>
      <c r="AI201" s="327"/>
      <c r="AJ201" s="554"/>
      <c r="AK201" s="327"/>
      <c r="AL201" s="556" t="s">
        <v>334</v>
      </c>
      <c r="AM201" s="327"/>
      <c r="AN201" s="553" t="s">
        <v>334</v>
      </c>
      <c r="AO201" s="327"/>
      <c r="AP201" s="554"/>
      <c r="AQ201" s="327"/>
      <c r="AR201" s="555"/>
      <c r="AS201" s="327"/>
      <c r="AT201" s="549"/>
      <c r="AU201" s="327"/>
      <c r="AV201" s="553" t="s">
        <v>334</v>
      </c>
      <c r="AW201" s="327"/>
      <c r="AX201" s="521"/>
      <c r="AY201" s="326"/>
      <c r="AZ201" s="327"/>
      <c r="BA201" s="536"/>
      <c r="BB201" s="327"/>
      <c r="BC201" s="22"/>
      <c r="BD201" s="551" t="s">
        <v>334</v>
      </c>
      <c r="BE201" s="327"/>
      <c r="BF201" s="552"/>
      <c r="BG201" s="326"/>
      <c r="BH201" s="326"/>
      <c r="BI201" s="327"/>
      <c r="BJ201" s="451" t="s">
        <v>303</v>
      </c>
      <c r="BK201" s="326"/>
      <c r="BL201" s="326"/>
      <c r="BM201" s="327"/>
      <c r="BN201" s="558" t="s">
        <v>303</v>
      </c>
      <c r="BO201" s="326"/>
      <c r="BP201" s="326"/>
      <c r="BQ201" s="326"/>
      <c r="BR201" s="326"/>
      <c r="BS201" s="326"/>
      <c r="BT201" s="326"/>
      <c r="BU201" s="326"/>
      <c r="BV201" s="327"/>
    </row>
    <row r="202" spans="1:74" ht="45" customHeight="1" x14ac:dyDescent="0.25">
      <c r="A202" s="10">
        <f t="shared" si="0"/>
        <v>188</v>
      </c>
      <c r="B202" s="559" t="s">
        <v>303</v>
      </c>
      <c r="C202" s="327"/>
      <c r="D202" s="560" t="s">
        <v>307</v>
      </c>
      <c r="E202" s="327"/>
      <c r="F202" s="537" t="s">
        <v>334</v>
      </c>
      <c r="G202" s="327"/>
      <c r="H202" s="561" t="s">
        <v>334</v>
      </c>
      <c r="I202" s="327"/>
      <c r="J202" s="562"/>
      <c r="K202" s="327"/>
      <c r="L202" s="562"/>
      <c r="M202" s="327"/>
      <c r="N202" s="23"/>
      <c r="O202" s="21"/>
      <c r="P202" s="563"/>
      <c r="Q202" s="327"/>
      <c r="R202" s="538"/>
      <c r="S202" s="327"/>
      <c r="T202" s="539"/>
      <c r="U202" s="327"/>
      <c r="V202" s="540"/>
      <c r="W202" s="327"/>
      <c r="X202" s="541" t="s">
        <v>303</v>
      </c>
      <c r="Y202" s="326"/>
      <c r="Z202" s="326"/>
      <c r="AA202" s="327"/>
      <c r="AB202" s="542" t="s">
        <v>303</v>
      </c>
      <c r="AC202" s="326"/>
      <c r="AD202" s="326"/>
      <c r="AE202" s="327"/>
      <c r="AF202" s="543"/>
      <c r="AG202" s="327"/>
      <c r="AH202" s="543"/>
      <c r="AI202" s="327"/>
      <c r="AJ202" s="536"/>
      <c r="AK202" s="327"/>
      <c r="AL202" s="537" t="s">
        <v>334</v>
      </c>
      <c r="AM202" s="327"/>
      <c r="AN202" s="546" t="s">
        <v>334</v>
      </c>
      <c r="AO202" s="327"/>
      <c r="AP202" s="547"/>
      <c r="AQ202" s="327"/>
      <c r="AR202" s="548"/>
      <c r="AS202" s="327"/>
      <c r="AT202" s="549"/>
      <c r="AU202" s="327"/>
      <c r="AV202" s="546" t="s">
        <v>334</v>
      </c>
      <c r="AW202" s="327"/>
      <c r="AX202" s="521"/>
      <c r="AY202" s="326"/>
      <c r="AZ202" s="327"/>
      <c r="BA202" s="550"/>
      <c r="BB202" s="327"/>
      <c r="BC202" s="25"/>
      <c r="BD202" s="544" t="s">
        <v>334</v>
      </c>
      <c r="BE202" s="327"/>
      <c r="BF202" s="545"/>
      <c r="BG202" s="326"/>
      <c r="BH202" s="326"/>
      <c r="BI202" s="327"/>
      <c r="BJ202" s="557" t="s">
        <v>303</v>
      </c>
      <c r="BK202" s="326"/>
      <c r="BL202" s="326"/>
      <c r="BM202" s="327"/>
      <c r="BN202" s="558" t="s">
        <v>303</v>
      </c>
      <c r="BO202" s="326"/>
      <c r="BP202" s="326"/>
      <c r="BQ202" s="326"/>
      <c r="BR202" s="326"/>
      <c r="BS202" s="326"/>
      <c r="BT202" s="326"/>
      <c r="BU202" s="326"/>
      <c r="BV202" s="327"/>
    </row>
    <row r="203" spans="1:74" ht="45" customHeight="1" x14ac:dyDescent="0.25">
      <c r="A203" s="10">
        <f t="shared" si="0"/>
        <v>189</v>
      </c>
      <c r="B203" s="564" t="s">
        <v>303</v>
      </c>
      <c r="C203" s="327"/>
      <c r="D203" s="565" t="s">
        <v>307</v>
      </c>
      <c r="E203" s="327"/>
      <c r="F203" s="537" t="s">
        <v>334</v>
      </c>
      <c r="G203" s="327"/>
      <c r="H203" s="566" t="s">
        <v>334</v>
      </c>
      <c r="I203" s="327"/>
      <c r="J203" s="567"/>
      <c r="K203" s="327"/>
      <c r="L203" s="567"/>
      <c r="M203" s="327"/>
      <c r="N203" s="20"/>
      <c r="O203" s="24"/>
      <c r="P203" s="524"/>
      <c r="Q203" s="327"/>
      <c r="R203" s="516"/>
      <c r="S203" s="327"/>
      <c r="T203" s="517"/>
      <c r="U203" s="327"/>
      <c r="V203" s="518"/>
      <c r="W203" s="327"/>
      <c r="X203" s="438" t="s">
        <v>303</v>
      </c>
      <c r="Y203" s="326"/>
      <c r="Z203" s="326"/>
      <c r="AA203" s="327"/>
      <c r="AB203" s="519" t="s">
        <v>303</v>
      </c>
      <c r="AC203" s="326"/>
      <c r="AD203" s="326"/>
      <c r="AE203" s="327"/>
      <c r="AF203" s="520"/>
      <c r="AG203" s="327"/>
      <c r="AH203" s="520"/>
      <c r="AI203" s="327"/>
      <c r="AJ203" s="554"/>
      <c r="AK203" s="327"/>
      <c r="AL203" s="556" t="s">
        <v>334</v>
      </c>
      <c r="AM203" s="327"/>
      <c r="AN203" s="553" t="s">
        <v>334</v>
      </c>
      <c r="AO203" s="327"/>
      <c r="AP203" s="554"/>
      <c r="AQ203" s="327"/>
      <c r="AR203" s="555"/>
      <c r="AS203" s="327"/>
      <c r="AT203" s="549"/>
      <c r="AU203" s="327"/>
      <c r="AV203" s="553" t="s">
        <v>334</v>
      </c>
      <c r="AW203" s="327"/>
      <c r="AX203" s="521"/>
      <c r="AY203" s="326"/>
      <c r="AZ203" s="327"/>
      <c r="BA203" s="536"/>
      <c r="BB203" s="327"/>
      <c r="BC203" s="22"/>
      <c r="BD203" s="551" t="s">
        <v>334</v>
      </c>
      <c r="BE203" s="327"/>
      <c r="BF203" s="508"/>
      <c r="BG203" s="326"/>
      <c r="BH203" s="326"/>
      <c r="BI203" s="327"/>
      <c r="BJ203" s="451" t="s">
        <v>303</v>
      </c>
      <c r="BK203" s="326"/>
      <c r="BL203" s="326"/>
      <c r="BM203" s="327"/>
      <c r="BN203" s="558" t="s">
        <v>303</v>
      </c>
      <c r="BO203" s="326"/>
      <c r="BP203" s="326"/>
      <c r="BQ203" s="326"/>
      <c r="BR203" s="326"/>
      <c r="BS203" s="326"/>
      <c r="BT203" s="326"/>
      <c r="BU203" s="326"/>
      <c r="BV203" s="327"/>
    </row>
    <row r="204" spans="1:74" ht="45" customHeight="1" x14ac:dyDescent="0.25">
      <c r="A204" s="10">
        <f t="shared" si="0"/>
        <v>190</v>
      </c>
      <c r="B204" s="559" t="s">
        <v>303</v>
      </c>
      <c r="C204" s="327"/>
      <c r="D204" s="560" t="s">
        <v>307</v>
      </c>
      <c r="E204" s="327"/>
      <c r="F204" s="537" t="s">
        <v>334</v>
      </c>
      <c r="G204" s="327"/>
      <c r="H204" s="561" t="s">
        <v>334</v>
      </c>
      <c r="I204" s="327"/>
      <c r="J204" s="562"/>
      <c r="K204" s="327"/>
      <c r="L204" s="562"/>
      <c r="M204" s="327"/>
      <c r="N204" s="23"/>
      <c r="O204" s="21"/>
      <c r="P204" s="563"/>
      <c r="Q204" s="327"/>
      <c r="R204" s="538"/>
      <c r="S204" s="327"/>
      <c r="T204" s="539"/>
      <c r="U204" s="327"/>
      <c r="V204" s="540"/>
      <c r="W204" s="327"/>
      <c r="X204" s="541" t="s">
        <v>303</v>
      </c>
      <c r="Y204" s="326"/>
      <c r="Z204" s="326"/>
      <c r="AA204" s="327"/>
      <c r="AB204" s="542" t="s">
        <v>303</v>
      </c>
      <c r="AC204" s="326"/>
      <c r="AD204" s="326"/>
      <c r="AE204" s="327"/>
      <c r="AF204" s="543"/>
      <c r="AG204" s="327"/>
      <c r="AH204" s="543"/>
      <c r="AI204" s="327"/>
      <c r="AJ204" s="536"/>
      <c r="AK204" s="327"/>
      <c r="AL204" s="537" t="s">
        <v>334</v>
      </c>
      <c r="AM204" s="327"/>
      <c r="AN204" s="546" t="s">
        <v>334</v>
      </c>
      <c r="AO204" s="327"/>
      <c r="AP204" s="547"/>
      <c r="AQ204" s="327"/>
      <c r="AR204" s="548"/>
      <c r="AS204" s="327"/>
      <c r="AT204" s="549"/>
      <c r="AU204" s="327"/>
      <c r="AV204" s="546" t="s">
        <v>334</v>
      </c>
      <c r="AW204" s="327"/>
      <c r="AX204" s="521"/>
      <c r="AY204" s="326"/>
      <c r="AZ204" s="327"/>
      <c r="BA204" s="550"/>
      <c r="BB204" s="327"/>
      <c r="BC204" s="25"/>
      <c r="BD204" s="544" t="s">
        <v>334</v>
      </c>
      <c r="BE204" s="327"/>
      <c r="BF204" s="545"/>
      <c r="BG204" s="326"/>
      <c r="BH204" s="326"/>
      <c r="BI204" s="327"/>
      <c r="BJ204" s="557" t="s">
        <v>303</v>
      </c>
      <c r="BK204" s="326"/>
      <c r="BL204" s="326"/>
      <c r="BM204" s="327"/>
      <c r="BN204" s="558" t="s">
        <v>303</v>
      </c>
      <c r="BO204" s="326"/>
      <c r="BP204" s="326"/>
      <c r="BQ204" s="326"/>
      <c r="BR204" s="326"/>
      <c r="BS204" s="326"/>
      <c r="BT204" s="326"/>
      <c r="BU204" s="326"/>
      <c r="BV204" s="327"/>
    </row>
    <row r="205" spans="1:74" ht="45" customHeight="1" x14ac:dyDescent="0.25">
      <c r="A205" s="10">
        <f t="shared" si="0"/>
        <v>191</v>
      </c>
      <c r="B205" s="564" t="s">
        <v>303</v>
      </c>
      <c r="C205" s="327"/>
      <c r="D205" s="565" t="s">
        <v>307</v>
      </c>
      <c r="E205" s="327"/>
      <c r="F205" s="537" t="s">
        <v>334</v>
      </c>
      <c r="G205" s="327"/>
      <c r="H205" s="566" t="s">
        <v>334</v>
      </c>
      <c r="I205" s="327"/>
      <c r="J205" s="567"/>
      <c r="K205" s="327"/>
      <c r="L205" s="567"/>
      <c r="M205" s="327"/>
      <c r="N205" s="20"/>
      <c r="O205" s="24"/>
      <c r="P205" s="524"/>
      <c r="Q205" s="327"/>
      <c r="R205" s="516"/>
      <c r="S205" s="327"/>
      <c r="T205" s="517"/>
      <c r="U205" s="327"/>
      <c r="V205" s="518"/>
      <c r="W205" s="327"/>
      <c r="X205" s="438" t="s">
        <v>303</v>
      </c>
      <c r="Y205" s="326"/>
      <c r="Z205" s="326"/>
      <c r="AA205" s="327"/>
      <c r="AB205" s="519" t="s">
        <v>303</v>
      </c>
      <c r="AC205" s="326"/>
      <c r="AD205" s="326"/>
      <c r="AE205" s="327"/>
      <c r="AF205" s="520"/>
      <c r="AG205" s="327"/>
      <c r="AH205" s="520"/>
      <c r="AI205" s="327"/>
      <c r="AJ205" s="554"/>
      <c r="AK205" s="327"/>
      <c r="AL205" s="556" t="s">
        <v>334</v>
      </c>
      <c r="AM205" s="327"/>
      <c r="AN205" s="553" t="s">
        <v>334</v>
      </c>
      <c r="AO205" s="327"/>
      <c r="AP205" s="554"/>
      <c r="AQ205" s="327"/>
      <c r="AR205" s="555"/>
      <c r="AS205" s="327"/>
      <c r="AT205" s="549"/>
      <c r="AU205" s="327"/>
      <c r="AV205" s="553" t="s">
        <v>334</v>
      </c>
      <c r="AW205" s="327"/>
      <c r="AX205" s="521"/>
      <c r="AY205" s="326"/>
      <c r="AZ205" s="327"/>
      <c r="BA205" s="536"/>
      <c r="BB205" s="327"/>
      <c r="BC205" s="22"/>
      <c r="BD205" s="551" t="s">
        <v>334</v>
      </c>
      <c r="BE205" s="327"/>
      <c r="BF205" s="508"/>
      <c r="BG205" s="326"/>
      <c r="BH205" s="326"/>
      <c r="BI205" s="327"/>
      <c r="BJ205" s="451" t="s">
        <v>303</v>
      </c>
      <c r="BK205" s="326"/>
      <c r="BL205" s="326"/>
      <c r="BM205" s="327"/>
      <c r="BN205" s="558" t="s">
        <v>303</v>
      </c>
      <c r="BO205" s="326"/>
      <c r="BP205" s="326"/>
      <c r="BQ205" s="326"/>
      <c r="BR205" s="326"/>
      <c r="BS205" s="326"/>
      <c r="BT205" s="326"/>
      <c r="BU205" s="326"/>
      <c r="BV205" s="327"/>
    </row>
    <row r="206" spans="1:74" ht="45" customHeight="1" x14ac:dyDescent="0.25">
      <c r="A206" s="10">
        <f t="shared" si="0"/>
        <v>192</v>
      </c>
      <c r="B206" s="559" t="s">
        <v>303</v>
      </c>
      <c r="C206" s="327"/>
      <c r="D206" s="560" t="s">
        <v>307</v>
      </c>
      <c r="E206" s="327"/>
      <c r="F206" s="537" t="s">
        <v>334</v>
      </c>
      <c r="G206" s="327"/>
      <c r="H206" s="561" t="s">
        <v>334</v>
      </c>
      <c r="I206" s="327"/>
      <c r="J206" s="562"/>
      <c r="K206" s="327"/>
      <c r="L206" s="562"/>
      <c r="M206" s="327"/>
      <c r="N206" s="23"/>
      <c r="O206" s="21"/>
      <c r="P206" s="563"/>
      <c r="Q206" s="327"/>
      <c r="R206" s="538"/>
      <c r="S206" s="327"/>
      <c r="T206" s="539"/>
      <c r="U206" s="327"/>
      <c r="V206" s="540"/>
      <c r="W206" s="327"/>
      <c r="X206" s="541" t="s">
        <v>303</v>
      </c>
      <c r="Y206" s="326"/>
      <c r="Z206" s="326"/>
      <c r="AA206" s="327"/>
      <c r="AB206" s="542" t="s">
        <v>303</v>
      </c>
      <c r="AC206" s="326"/>
      <c r="AD206" s="326"/>
      <c r="AE206" s="327"/>
      <c r="AF206" s="543"/>
      <c r="AG206" s="327"/>
      <c r="AH206" s="543"/>
      <c r="AI206" s="327"/>
      <c r="AJ206" s="536"/>
      <c r="AK206" s="327"/>
      <c r="AL206" s="537" t="s">
        <v>334</v>
      </c>
      <c r="AM206" s="327"/>
      <c r="AN206" s="546" t="s">
        <v>334</v>
      </c>
      <c r="AO206" s="327"/>
      <c r="AP206" s="547"/>
      <c r="AQ206" s="327"/>
      <c r="AR206" s="548"/>
      <c r="AS206" s="327"/>
      <c r="AT206" s="549"/>
      <c r="AU206" s="327"/>
      <c r="AV206" s="546" t="s">
        <v>334</v>
      </c>
      <c r="AW206" s="327"/>
      <c r="AX206" s="521"/>
      <c r="AY206" s="326"/>
      <c r="AZ206" s="327"/>
      <c r="BA206" s="550"/>
      <c r="BB206" s="327"/>
      <c r="BC206" s="25"/>
      <c r="BD206" s="544" t="s">
        <v>334</v>
      </c>
      <c r="BE206" s="327"/>
      <c r="BF206" s="545"/>
      <c r="BG206" s="326"/>
      <c r="BH206" s="326"/>
      <c r="BI206" s="327"/>
      <c r="BJ206" s="557" t="s">
        <v>303</v>
      </c>
      <c r="BK206" s="326"/>
      <c r="BL206" s="326"/>
      <c r="BM206" s="327"/>
      <c r="BN206" s="558" t="s">
        <v>303</v>
      </c>
      <c r="BO206" s="326"/>
      <c r="BP206" s="326"/>
      <c r="BQ206" s="326"/>
      <c r="BR206" s="326"/>
      <c r="BS206" s="326"/>
      <c r="BT206" s="326"/>
      <c r="BU206" s="326"/>
      <c r="BV206" s="327"/>
    </row>
    <row r="207" spans="1:74" ht="45" customHeight="1" x14ac:dyDescent="0.25">
      <c r="A207" s="10">
        <f t="shared" si="0"/>
        <v>193</v>
      </c>
      <c r="B207" s="564" t="s">
        <v>303</v>
      </c>
      <c r="C207" s="327"/>
      <c r="D207" s="565" t="s">
        <v>307</v>
      </c>
      <c r="E207" s="327"/>
      <c r="F207" s="537" t="s">
        <v>334</v>
      </c>
      <c r="G207" s="327"/>
      <c r="H207" s="566" t="s">
        <v>334</v>
      </c>
      <c r="I207" s="327"/>
      <c r="J207" s="567"/>
      <c r="K207" s="327"/>
      <c r="L207" s="567"/>
      <c r="M207" s="327"/>
      <c r="N207" s="20"/>
      <c r="O207" s="24"/>
      <c r="P207" s="524"/>
      <c r="Q207" s="327"/>
      <c r="R207" s="516"/>
      <c r="S207" s="327"/>
      <c r="T207" s="517"/>
      <c r="U207" s="327"/>
      <c r="V207" s="518"/>
      <c r="W207" s="327"/>
      <c r="X207" s="438" t="s">
        <v>303</v>
      </c>
      <c r="Y207" s="326"/>
      <c r="Z207" s="326"/>
      <c r="AA207" s="327"/>
      <c r="AB207" s="519" t="s">
        <v>303</v>
      </c>
      <c r="AC207" s="326"/>
      <c r="AD207" s="326"/>
      <c r="AE207" s="327"/>
      <c r="AF207" s="520"/>
      <c r="AG207" s="327"/>
      <c r="AH207" s="520"/>
      <c r="AI207" s="327"/>
      <c r="AJ207" s="554"/>
      <c r="AK207" s="327"/>
      <c r="AL207" s="556" t="s">
        <v>334</v>
      </c>
      <c r="AM207" s="327"/>
      <c r="AN207" s="553" t="s">
        <v>334</v>
      </c>
      <c r="AO207" s="327"/>
      <c r="AP207" s="554"/>
      <c r="AQ207" s="327"/>
      <c r="AR207" s="555"/>
      <c r="AS207" s="327"/>
      <c r="AT207" s="549"/>
      <c r="AU207" s="327"/>
      <c r="AV207" s="553" t="s">
        <v>334</v>
      </c>
      <c r="AW207" s="327"/>
      <c r="AX207" s="521"/>
      <c r="AY207" s="326"/>
      <c r="AZ207" s="327"/>
      <c r="BA207" s="536"/>
      <c r="BB207" s="327"/>
      <c r="BC207" s="22"/>
      <c r="BD207" s="551" t="s">
        <v>334</v>
      </c>
      <c r="BE207" s="327"/>
      <c r="BF207" s="552"/>
      <c r="BG207" s="326"/>
      <c r="BH207" s="326"/>
      <c r="BI207" s="327"/>
      <c r="BJ207" s="451" t="s">
        <v>303</v>
      </c>
      <c r="BK207" s="326"/>
      <c r="BL207" s="326"/>
      <c r="BM207" s="327"/>
      <c r="BN207" s="558" t="s">
        <v>303</v>
      </c>
      <c r="BO207" s="326"/>
      <c r="BP207" s="326"/>
      <c r="BQ207" s="326"/>
      <c r="BR207" s="326"/>
      <c r="BS207" s="326"/>
      <c r="BT207" s="326"/>
      <c r="BU207" s="326"/>
      <c r="BV207" s="327"/>
    </row>
    <row r="208" spans="1:74" ht="45" customHeight="1" x14ac:dyDescent="0.25">
      <c r="A208" s="10">
        <f t="shared" si="0"/>
        <v>194</v>
      </c>
      <c r="B208" s="564" t="s">
        <v>303</v>
      </c>
      <c r="C208" s="327"/>
      <c r="D208" s="565" t="s">
        <v>307</v>
      </c>
      <c r="E208" s="327"/>
      <c r="F208" s="537" t="s">
        <v>334</v>
      </c>
      <c r="G208" s="327"/>
      <c r="H208" s="561" t="s">
        <v>334</v>
      </c>
      <c r="I208" s="327"/>
      <c r="J208" s="562"/>
      <c r="K208" s="327"/>
      <c r="L208" s="562"/>
      <c r="M208" s="327"/>
      <c r="N208" s="23"/>
      <c r="O208" s="21"/>
      <c r="P208" s="563"/>
      <c r="Q208" s="327"/>
      <c r="R208" s="538"/>
      <c r="S208" s="327"/>
      <c r="T208" s="539"/>
      <c r="U208" s="327"/>
      <c r="V208" s="540"/>
      <c r="W208" s="327"/>
      <c r="X208" s="438" t="s">
        <v>303</v>
      </c>
      <c r="Y208" s="326"/>
      <c r="Z208" s="326"/>
      <c r="AA208" s="327"/>
      <c r="AB208" s="519" t="s">
        <v>303</v>
      </c>
      <c r="AC208" s="326"/>
      <c r="AD208" s="326"/>
      <c r="AE208" s="327"/>
      <c r="AF208" s="543"/>
      <c r="AG208" s="327"/>
      <c r="AH208" s="543"/>
      <c r="AI208" s="327"/>
      <c r="AJ208" s="536"/>
      <c r="AK208" s="327"/>
      <c r="AL208" s="556" t="s">
        <v>334</v>
      </c>
      <c r="AM208" s="327"/>
      <c r="AN208" s="553" t="s">
        <v>334</v>
      </c>
      <c r="AO208" s="327"/>
      <c r="AP208" s="547"/>
      <c r="AQ208" s="327"/>
      <c r="AR208" s="548"/>
      <c r="AS208" s="327"/>
      <c r="AT208" s="549"/>
      <c r="AU208" s="327"/>
      <c r="AV208" s="553" t="s">
        <v>334</v>
      </c>
      <c r="AW208" s="327"/>
      <c r="AX208" s="521"/>
      <c r="AY208" s="326"/>
      <c r="AZ208" s="327"/>
      <c r="BA208" s="550"/>
      <c r="BB208" s="327"/>
      <c r="BC208" s="22"/>
      <c r="BD208" s="551" t="s">
        <v>334</v>
      </c>
      <c r="BE208" s="327"/>
      <c r="BF208" s="545"/>
      <c r="BG208" s="326"/>
      <c r="BH208" s="326"/>
      <c r="BI208" s="327"/>
      <c r="BJ208" s="451" t="s">
        <v>303</v>
      </c>
      <c r="BK208" s="326"/>
      <c r="BL208" s="326"/>
      <c r="BM208" s="327"/>
      <c r="BN208" s="558" t="s">
        <v>303</v>
      </c>
      <c r="BO208" s="326"/>
      <c r="BP208" s="326"/>
      <c r="BQ208" s="326"/>
      <c r="BR208" s="326"/>
      <c r="BS208" s="326"/>
      <c r="BT208" s="326"/>
      <c r="BU208" s="326"/>
      <c r="BV208" s="327"/>
    </row>
    <row r="209" spans="1:74" ht="45" customHeight="1" x14ac:dyDescent="0.25">
      <c r="A209" s="10">
        <f t="shared" si="0"/>
        <v>195</v>
      </c>
      <c r="B209" s="559" t="s">
        <v>303</v>
      </c>
      <c r="C209" s="327"/>
      <c r="D209" s="560" t="s">
        <v>307</v>
      </c>
      <c r="E209" s="327"/>
      <c r="F209" s="537" t="s">
        <v>334</v>
      </c>
      <c r="G209" s="327"/>
      <c r="H209" s="566" t="s">
        <v>334</v>
      </c>
      <c r="I209" s="327"/>
      <c r="J209" s="567"/>
      <c r="K209" s="327"/>
      <c r="L209" s="567"/>
      <c r="M209" s="327"/>
      <c r="N209" s="20"/>
      <c r="O209" s="24"/>
      <c r="P209" s="524"/>
      <c r="Q209" s="327"/>
      <c r="R209" s="516"/>
      <c r="S209" s="327"/>
      <c r="T209" s="517"/>
      <c r="U209" s="327"/>
      <c r="V209" s="518"/>
      <c r="W209" s="327"/>
      <c r="X209" s="541" t="s">
        <v>303</v>
      </c>
      <c r="Y209" s="326"/>
      <c r="Z209" s="326"/>
      <c r="AA209" s="327"/>
      <c r="AB209" s="542" t="s">
        <v>303</v>
      </c>
      <c r="AC209" s="326"/>
      <c r="AD209" s="326"/>
      <c r="AE209" s="327"/>
      <c r="AF209" s="520"/>
      <c r="AG209" s="327"/>
      <c r="AH209" s="520"/>
      <c r="AI209" s="327"/>
      <c r="AJ209" s="554"/>
      <c r="AK209" s="327"/>
      <c r="AL209" s="537" t="s">
        <v>334</v>
      </c>
      <c r="AM209" s="327"/>
      <c r="AN209" s="546" t="s">
        <v>334</v>
      </c>
      <c r="AO209" s="327"/>
      <c r="AP209" s="554"/>
      <c r="AQ209" s="327"/>
      <c r="AR209" s="555"/>
      <c r="AS209" s="327"/>
      <c r="AT209" s="549"/>
      <c r="AU209" s="327"/>
      <c r="AV209" s="546" t="s">
        <v>334</v>
      </c>
      <c r="AW209" s="327"/>
      <c r="AX209" s="521"/>
      <c r="AY209" s="326"/>
      <c r="AZ209" s="327"/>
      <c r="BA209" s="536"/>
      <c r="BB209" s="327"/>
      <c r="BC209" s="25"/>
      <c r="BD209" s="544" t="s">
        <v>334</v>
      </c>
      <c r="BE209" s="327"/>
      <c r="BF209" s="508"/>
      <c r="BG209" s="326"/>
      <c r="BH209" s="326"/>
      <c r="BI209" s="327"/>
      <c r="BJ209" s="557" t="s">
        <v>303</v>
      </c>
      <c r="BK209" s="326"/>
      <c r="BL209" s="326"/>
      <c r="BM209" s="327"/>
      <c r="BN209" s="558" t="s">
        <v>303</v>
      </c>
      <c r="BO209" s="326"/>
      <c r="BP209" s="326"/>
      <c r="BQ209" s="326"/>
      <c r="BR209" s="326"/>
      <c r="BS209" s="326"/>
      <c r="BT209" s="326"/>
      <c r="BU209" s="326"/>
      <c r="BV209" s="327"/>
    </row>
    <row r="210" spans="1:74" ht="45" customHeight="1" x14ac:dyDescent="0.25">
      <c r="A210" s="10">
        <f t="shared" si="0"/>
        <v>196</v>
      </c>
      <c r="B210" s="564" t="s">
        <v>303</v>
      </c>
      <c r="C210" s="327"/>
      <c r="D210" s="565" t="s">
        <v>307</v>
      </c>
      <c r="E210" s="327"/>
      <c r="F210" s="537" t="s">
        <v>334</v>
      </c>
      <c r="G210" s="327"/>
      <c r="H210" s="561" t="s">
        <v>334</v>
      </c>
      <c r="I210" s="327"/>
      <c r="J210" s="26"/>
      <c r="K210" s="27"/>
      <c r="L210" s="26"/>
      <c r="M210" s="27"/>
      <c r="N210" s="23"/>
      <c r="O210" s="21"/>
      <c r="P210" s="563"/>
      <c r="Q210" s="327"/>
      <c r="R210" s="538"/>
      <c r="S210" s="327"/>
      <c r="T210" s="539"/>
      <c r="U210" s="327"/>
      <c r="V210" s="540"/>
      <c r="W210" s="327"/>
      <c r="X210" s="438" t="s">
        <v>303</v>
      </c>
      <c r="Y210" s="326"/>
      <c r="Z210" s="326"/>
      <c r="AA210" s="327"/>
      <c r="AB210" s="519" t="s">
        <v>303</v>
      </c>
      <c r="AC210" s="326"/>
      <c r="AD210" s="326"/>
      <c r="AE210" s="327"/>
      <c r="AF210" s="543"/>
      <c r="AG210" s="327"/>
      <c r="AH210" s="543"/>
      <c r="AI210" s="327"/>
      <c r="AJ210" s="536"/>
      <c r="AK210" s="327"/>
      <c r="AL210" s="556" t="s">
        <v>334</v>
      </c>
      <c r="AM210" s="327"/>
      <c r="AN210" s="553" t="s">
        <v>334</v>
      </c>
      <c r="AO210" s="327"/>
      <c r="AP210" s="547"/>
      <c r="AQ210" s="327"/>
      <c r="AR210" s="548"/>
      <c r="AS210" s="327"/>
      <c r="AT210" s="549"/>
      <c r="AU210" s="327"/>
      <c r="AV210" s="553" t="s">
        <v>334</v>
      </c>
      <c r="AW210" s="327"/>
      <c r="AX210" s="521"/>
      <c r="AY210" s="326"/>
      <c r="AZ210" s="327"/>
      <c r="BA210" s="550"/>
      <c r="BB210" s="327"/>
      <c r="BC210" s="22"/>
      <c r="BD210" s="551" t="s">
        <v>334</v>
      </c>
      <c r="BE210" s="327"/>
      <c r="BF210" s="545"/>
      <c r="BG210" s="326"/>
      <c r="BH210" s="326"/>
      <c r="BI210" s="327"/>
      <c r="BJ210" s="451" t="s">
        <v>303</v>
      </c>
      <c r="BK210" s="326"/>
      <c r="BL210" s="326"/>
      <c r="BM210" s="327"/>
      <c r="BN210" s="558" t="s">
        <v>303</v>
      </c>
      <c r="BO210" s="326"/>
      <c r="BP210" s="326"/>
      <c r="BQ210" s="326"/>
      <c r="BR210" s="326"/>
      <c r="BS210" s="326"/>
      <c r="BT210" s="326"/>
      <c r="BU210" s="326"/>
      <c r="BV210" s="327"/>
    </row>
    <row r="211" spans="1:74" ht="45" customHeight="1" x14ac:dyDescent="0.25">
      <c r="A211" s="10">
        <f t="shared" si="0"/>
        <v>197</v>
      </c>
      <c r="B211" s="559" t="s">
        <v>303</v>
      </c>
      <c r="C211" s="327"/>
      <c r="D211" s="560" t="s">
        <v>307</v>
      </c>
      <c r="E211" s="327"/>
      <c r="F211" s="537" t="s">
        <v>334</v>
      </c>
      <c r="G211" s="327"/>
      <c r="H211" s="566" t="s">
        <v>334</v>
      </c>
      <c r="I211" s="327"/>
      <c r="J211" s="567"/>
      <c r="K211" s="327"/>
      <c r="L211" s="567"/>
      <c r="M211" s="327"/>
      <c r="N211" s="20"/>
      <c r="O211" s="24"/>
      <c r="P211" s="524"/>
      <c r="Q211" s="327"/>
      <c r="R211" s="516"/>
      <c r="S211" s="327"/>
      <c r="T211" s="517"/>
      <c r="U211" s="327"/>
      <c r="V211" s="518"/>
      <c r="W211" s="327"/>
      <c r="X211" s="541" t="s">
        <v>303</v>
      </c>
      <c r="Y211" s="326"/>
      <c r="Z211" s="326"/>
      <c r="AA211" s="327"/>
      <c r="AB211" s="542" t="s">
        <v>303</v>
      </c>
      <c r="AC211" s="326"/>
      <c r="AD211" s="326"/>
      <c r="AE211" s="327"/>
      <c r="AF211" s="520"/>
      <c r="AG211" s="327"/>
      <c r="AH211" s="520"/>
      <c r="AI211" s="327"/>
      <c r="AJ211" s="554"/>
      <c r="AK211" s="327"/>
      <c r="AL211" s="537" t="s">
        <v>334</v>
      </c>
      <c r="AM211" s="327"/>
      <c r="AN211" s="546" t="s">
        <v>334</v>
      </c>
      <c r="AO211" s="327"/>
      <c r="AP211" s="554"/>
      <c r="AQ211" s="327"/>
      <c r="AR211" s="555"/>
      <c r="AS211" s="327"/>
      <c r="AT211" s="549"/>
      <c r="AU211" s="327"/>
      <c r="AV211" s="546" t="s">
        <v>334</v>
      </c>
      <c r="AW211" s="327"/>
      <c r="AX211" s="521"/>
      <c r="AY211" s="326"/>
      <c r="AZ211" s="327"/>
      <c r="BA211" s="536"/>
      <c r="BB211" s="327"/>
      <c r="BC211" s="25"/>
      <c r="BD211" s="544" t="s">
        <v>334</v>
      </c>
      <c r="BE211" s="327"/>
      <c r="BF211" s="552"/>
      <c r="BG211" s="326"/>
      <c r="BH211" s="326"/>
      <c r="BI211" s="327"/>
      <c r="BJ211" s="557" t="s">
        <v>303</v>
      </c>
      <c r="BK211" s="326"/>
      <c r="BL211" s="326"/>
      <c r="BM211" s="327"/>
      <c r="BN211" s="558" t="s">
        <v>303</v>
      </c>
      <c r="BO211" s="326"/>
      <c r="BP211" s="326"/>
      <c r="BQ211" s="326"/>
      <c r="BR211" s="326"/>
      <c r="BS211" s="326"/>
      <c r="BT211" s="326"/>
      <c r="BU211" s="326"/>
      <c r="BV211" s="327"/>
    </row>
    <row r="212" spans="1:74" ht="45" customHeight="1" x14ac:dyDescent="0.25">
      <c r="A212" s="10">
        <f t="shared" si="0"/>
        <v>198</v>
      </c>
      <c r="B212" s="564" t="s">
        <v>303</v>
      </c>
      <c r="C212" s="327"/>
      <c r="D212" s="565" t="s">
        <v>307</v>
      </c>
      <c r="E212" s="327"/>
      <c r="F212" s="537" t="s">
        <v>334</v>
      </c>
      <c r="G212" s="327"/>
      <c r="H212" s="561" t="s">
        <v>334</v>
      </c>
      <c r="I212" s="327"/>
      <c r="J212" s="26"/>
      <c r="K212" s="27"/>
      <c r="L212" s="26"/>
      <c r="M212" s="27"/>
      <c r="N212" s="23"/>
      <c r="O212" s="21"/>
      <c r="P212" s="563"/>
      <c r="Q212" s="327"/>
      <c r="R212" s="538"/>
      <c r="S212" s="327"/>
      <c r="T212" s="539"/>
      <c r="U212" s="327"/>
      <c r="V212" s="540"/>
      <c r="W212" s="327"/>
      <c r="X212" s="438" t="s">
        <v>303</v>
      </c>
      <c r="Y212" s="326"/>
      <c r="Z212" s="326"/>
      <c r="AA212" s="327"/>
      <c r="AB212" s="519" t="s">
        <v>303</v>
      </c>
      <c r="AC212" s="326"/>
      <c r="AD212" s="326"/>
      <c r="AE212" s="327"/>
      <c r="AF212" s="543"/>
      <c r="AG212" s="327"/>
      <c r="AH212" s="543"/>
      <c r="AI212" s="327"/>
      <c r="AJ212" s="536"/>
      <c r="AK212" s="327"/>
      <c r="AL212" s="556" t="s">
        <v>334</v>
      </c>
      <c r="AM212" s="327"/>
      <c r="AN212" s="553" t="s">
        <v>334</v>
      </c>
      <c r="AO212" s="327"/>
      <c r="AP212" s="547"/>
      <c r="AQ212" s="327"/>
      <c r="AR212" s="548"/>
      <c r="AS212" s="327"/>
      <c r="AT212" s="549"/>
      <c r="AU212" s="327"/>
      <c r="AV212" s="553" t="s">
        <v>334</v>
      </c>
      <c r="AW212" s="327"/>
      <c r="AX212" s="521"/>
      <c r="AY212" s="326"/>
      <c r="AZ212" s="327"/>
      <c r="BA212" s="550"/>
      <c r="BB212" s="327"/>
      <c r="BC212" s="22"/>
      <c r="BD212" s="551" t="s">
        <v>334</v>
      </c>
      <c r="BE212" s="327"/>
      <c r="BF212" s="545"/>
      <c r="BG212" s="326"/>
      <c r="BH212" s="326"/>
      <c r="BI212" s="327"/>
      <c r="BJ212" s="451" t="s">
        <v>303</v>
      </c>
      <c r="BK212" s="326"/>
      <c r="BL212" s="326"/>
      <c r="BM212" s="327"/>
      <c r="BN212" s="558" t="s">
        <v>303</v>
      </c>
      <c r="BO212" s="326"/>
      <c r="BP212" s="326"/>
      <c r="BQ212" s="326"/>
      <c r="BR212" s="326"/>
      <c r="BS212" s="326"/>
      <c r="BT212" s="326"/>
      <c r="BU212" s="326"/>
      <c r="BV212" s="327"/>
    </row>
    <row r="213" spans="1:74" ht="45" customHeight="1" x14ac:dyDescent="0.25">
      <c r="A213" s="10">
        <f t="shared" si="0"/>
        <v>199</v>
      </c>
      <c r="B213" s="559" t="s">
        <v>303</v>
      </c>
      <c r="C213" s="327"/>
      <c r="D213" s="560" t="s">
        <v>307</v>
      </c>
      <c r="E213" s="327"/>
      <c r="F213" s="537" t="s">
        <v>334</v>
      </c>
      <c r="G213" s="327"/>
      <c r="H213" s="566" t="s">
        <v>334</v>
      </c>
      <c r="I213" s="327"/>
      <c r="J213" s="567"/>
      <c r="K213" s="327"/>
      <c r="L213" s="567"/>
      <c r="M213" s="327"/>
      <c r="N213" s="20"/>
      <c r="O213" s="24"/>
      <c r="P213" s="524"/>
      <c r="Q213" s="327"/>
      <c r="R213" s="516"/>
      <c r="S213" s="327"/>
      <c r="T213" s="517"/>
      <c r="U213" s="327"/>
      <c r="V213" s="518"/>
      <c r="W213" s="327"/>
      <c r="X213" s="541" t="s">
        <v>303</v>
      </c>
      <c r="Y213" s="326"/>
      <c r="Z213" s="326"/>
      <c r="AA213" s="327"/>
      <c r="AB213" s="542" t="s">
        <v>303</v>
      </c>
      <c r="AC213" s="326"/>
      <c r="AD213" s="326"/>
      <c r="AE213" s="327"/>
      <c r="AF213" s="520"/>
      <c r="AG213" s="327"/>
      <c r="AH213" s="520"/>
      <c r="AI213" s="327"/>
      <c r="AJ213" s="554"/>
      <c r="AK213" s="327"/>
      <c r="AL213" s="537" t="s">
        <v>334</v>
      </c>
      <c r="AM213" s="327"/>
      <c r="AN213" s="546" t="s">
        <v>334</v>
      </c>
      <c r="AO213" s="327"/>
      <c r="AP213" s="554"/>
      <c r="AQ213" s="327"/>
      <c r="AR213" s="555"/>
      <c r="AS213" s="327"/>
      <c r="AT213" s="549"/>
      <c r="AU213" s="327"/>
      <c r="AV213" s="546" t="s">
        <v>334</v>
      </c>
      <c r="AW213" s="327"/>
      <c r="AX213" s="521"/>
      <c r="AY213" s="326"/>
      <c r="AZ213" s="327"/>
      <c r="BA213" s="536"/>
      <c r="BB213" s="327"/>
      <c r="BC213" s="25"/>
      <c r="BD213" s="544" t="s">
        <v>334</v>
      </c>
      <c r="BE213" s="327"/>
      <c r="BF213" s="508"/>
      <c r="BG213" s="326"/>
      <c r="BH213" s="326"/>
      <c r="BI213" s="327"/>
      <c r="BJ213" s="557" t="s">
        <v>303</v>
      </c>
      <c r="BK213" s="326"/>
      <c r="BL213" s="326"/>
      <c r="BM213" s="327"/>
      <c r="BN213" s="558" t="s">
        <v>303</v>
      </c>
      <c r="BO213" s="326"/>
      <c r="BP213" s="326"/>
      <c r="BQ213" s="326"/>
      <c r="BR213" s="326"/>
      <c r="BS213" s="326"/>
      <c r="BT213" s="326"/>
      <c r="BU213" s="326"/>
      <c r="BV213" s="327"/>
    </row>
    <row r="214" spans="1:74" ht="45" customHeight="1" x14ac:dyDescent="0.25">
      <c r="A214" s="10">
        <f t="shared" si="0"/>
        <v>200</v>
      </c>
      <c r="B214" s="564" t="s">
        <v>303</v>
      </c>
      <c r="C214" s="327"/>
      <c r="D214" s="565" t="s">
        <v>307</v>
      </c>
      <c r="E214" s="327"/>
      <c r="F214" s="537" t="s">
        <v>334</v>
      </c>
      <c r="G214" s="327"/>
      <c r="H214" s="561" t="s">
        <v>334</v>
      </c>
      <c r="I214" s="327"/>
      <c r="J214" s="26"/>
      <c r="K214" s="27"/>
      <c r="L214" s="26"/>
      <c r="M214" s="27"/>
      <c r="N214" s="23"/>
      <c r="O214" s="21"/>
      <c r="P214" s="563"/>
      <c r="Q214" s="327"/>
      <c r="R214" s="538"/>
      <c r="S214" s="327"/>
      <c r="T214" s="539"/>
      <c r="U214" s="327"/>
      <c r="V214" s="540"/>
      <c r="W214" s="327"/>
      <c r="X214" s="438" t="s">
        <v>303</v>
      </c>
      <c r="Y214" s="326"/>
      <c r="Z214" s="326"/>
      <c r="AA214" s="327"/>
      <c r="AB214" s="519" t="s">
        <v>303</v>
      </c>
      <c r="AC214" s="326"/>
      <c r="AD214" s="326"/>
      <c r="AE214" s="327"/>
      <c r="AF214" s="543"/>
      <c r="AG214" s="327"/>
      <c r="AH214" s="543"/>
      <c r="AI214" s="327"/>
      <c r="AJ214" s="536"/>
      <c r="AK214" s="327"/>
      <c r="AL214" s="556" t="s">
        <v>334</v>
      </c>
      <c r="AM214" s="327"/>
      <c r="AN214" s="553" t="s">
        <v>334</v>
      </c>
      <c r="AO214" s="327"/>
      <c r="AP214" s="547"/>
      <c r="AQ214" s="327"/>
      <c r="AR214" s="548"/>
      <c r="AS214" s="327"/>
      <c r="AT214" s="549"/>
      <c r="AU214" s="327"/>
      <c r="AV214" s="553" t="s">
        <v>334</v>
      </c>
      <c r="AW214" s="327"/>
      <c r="AX214" s="521"/>
      <c r="AY214" s="326"/>
      <c r="AZ214" s="327"/>
      <c r="BA214" s="550"/>
      <c r="BB214" s="327"/>
      <c r="BC214" s="22"/>
      <c r="BD214" s="551" t="s">
        <v>334</v>
      </c>
      <c r="BE214" s="327"/>
      <c r="BF214" s="545"/>
      <c r="BG214" s="326"/>
      <c r="BH214" s="326"/>
      <c r="BI214" s="327"/>
      <c r="BJ214" s="451" t="s">
        <v>303</v>
      </c>
      <c r="BK214" s="326"/>
      <c r="BL214" s="326"/>
      <c r="BM214" s="327"/>
      <c r="BN214" s="558" t="s">
        <v>303</v>
      </c>
      <c r="BO214" s="326"/>
      <c r="BP214" s="326"/>
      <c r="BQ214" s="326"/>
      <c r="BR214" s="326"/>
      <c r="BS214" s="326"/>
      <c r="BT214" s="326"/>
      <c r="BU214" s="326"/>
      <c r="BV214" s="327"/>
    </row>
    <row r="215" spans="1:74" ht="45" customHeight="1" x14ac:dyDescent="0.25">
      <c r="A215" s="10">
        <f t="shared" si="0"/>
        <v>201</v>
      </c>
      <c r="B215" s="559" t="s">
        <v>303</v>
      </c>
      <c r="C215" s="327"/>
      <c r="D215" s="560" t="s">
        <v>307</v>
      </c>
      <c r="E215" s="327"/>
      <c r="F215" s="537" t="s">
        <v>334</v>
      </c>
      <c r="G215" s="327"/>
      <c r="H215" s="566" t="s">
        <v>334</v>
      </c>
      <c r="I215" s="327"/>
      <c r="J215" s="567"/>
      <c r="K215" s="327"/>
      <c r="L215" s="567"/>
      <c r="M215" s="327"/>
      <c r="N215" s="20"/>
      <c r="O215" s="24"/>
      <c r="P215" s="524"/>
      <c r="Q215" s="327"/>
      <c r="R215" s="516"/>
      <c r="S215" s="327"/>
      <c r="T215" s="517"/>
      <c r="U215" s="327"/>
      <c r="V215" s="518"/>
      <c r="W215" s="327"/>
      <c r="X215" s="541" t="s">
        <v>303</v>
      </c>
      <c r="Y215" s="326"/>
      <c r="Z215" s="326"/>
      <c r="AA215" s="327"/>
      <c r="AB215" s="542" t="s">
        <v>303</v>
      </c>
      <c r="AC215" s="326"/>
      <c r="AD215" s="326"/>
      <c r="AE215" s="327"/>
      <c r="AF215" s="520"/>
      <c r="AG215" s="327"/>
      <c r="AH215" s="520"/>
      <c r="AI215" s="327"/>
      <c r="AJ215" s="554"/>
      <c r="AK215" s="327"/>
      <c r="AL215" s="537" t="s">
        <v>334</v>
      </c>
      <c r="AM215" s="327"/>
      <c r="AN215" s="546" t="s">
        <v>334</v>
      </c>
      <c r="AO215" s="327"/>
      <c r="AP215" s="554"/>
      <c r="AQ215" s="327"/>
      <c r="AR215" s="555"/>
      <c r="AS215" s="327"/>
      <c r="AT215" s="549"/>
      <c r="AU215" s="327"/>
      <c r="AV215" s="546" t="s">
        <v>334</v>
      </c>
      <c r="AW215" s="327"/>
      <c r="AX215" s="521"/>
      <c r="AY215" s="326"/>
      <c r="AZ215" s="327"/>
      <c r="BA215" s="536"/>
      <c r="BB215" s="327"/>
      <c r="BC215" s="25"/>
      <c r="BD215" s="544" t="s">
        <v>334</v>
      </c>
      <c r="BE215" s="327"/>
      <c r="BF215" s="508"/>
      <c r="BG215" s="326"/>
      <c r="BH215" s="326"/>
      <c r="BI215" s="327"/>
      <c r="BJ215" s="557" t="s">
        <v>303</v>
      </c>
      <c r="BK215" s="326"/>
      <c r="BL215" s="326"/>
      <c r="BM215" s="327"/>
      <c r="BN215" s="558" t="s">
        <v>303</v>
      </c>
      <c r="BO215" s="326"/>
      <c r="BP215" s="326"/>
      <c r="BQ215" s="326"/>
      <c r="BR215" s="326"/>
      <c r="BS215" s="326"/>
      <c r="BT215" s="326"/>
      <c r="BU215" s="326"/>
      <c r="BV215" s="327"/>
    </row>
    <row r="216" spans="1:74" ht="45" customHeight="1" x14ac:dyDescent="0.25">
      <c r="A216" s="10">
        <f t="shared" si="0"/>
        <v>202</v>
      </c>
      <c r="B216" s="564" t="s">
        <v>303</v>
      </c>
      <c r="C216" s="327"/>
      <c r="D216" s="565" t="s">
        <v>307</v>
      </c>
      <c r="E216" s="327"/>
      <c r="F216" s="537" t="s">
        <v>334</v>
      </c>
      <c r="G216" s="327"/>
      <c r="H216" s="561" t="s">
        <v>334</v>
      </c>
      <c r="I216" s="327"/>
      <c r="J216" s="26"/>
      <c r="K216" s="27"/>
      <c r="L216" s="26"/>
      <c r="M216" s="27"/>
      <c r="N216" s="23"/>
      <c r="O216" s="21"/>
      <c r="P216" s="563"/>
      <c r="Q216" s="327"/>
      <c r="R216" s="538"/>
      <c r="S216" s="327"/>
      <c r="T216" s="539"/>
      <c r="U216" s="327"/>
      <c r="V216" s="540"/>
      <c r="W216" s="327"/>
      <c r="X216" s="438" t="s">
        <v>303</v>
      </c>
      <c r="Y216" s="326"/>
      <c r="Z216" s="326"/>
      <c r="AA216" s="327"/>
      <c r="AB216" s="519" t="s">
        <v>303</v>
      </c>
      <c r="AC216" s="326"/>
      <c r="AD216" s="326"/>
      <c r="AE216" s="327"/>
      <c r="AF216" s="543"/>
      <c r="AG216" s="327"/>
      <c r="AH216" s="543"/>
      <c r="AI216" s="327"/>
      <c r="AJ216" s="536"/>
      <c r="AK216" s="327"/>
      <c r="AL216" s="556" t="s">
        <v>334</v>
      </c>
      <c r="AM216" s="327"/>
      <c r="AN216" s="553" t="s">
        <v>334</v>
      </c>
      <c r="AO216" s="327"/>
      <c r="AP216" s="547"/>
      <c r="AQ216" s="327"/>
      <c r="AR216" s="548"/>
      <c r="AS216" s="327"/>
      <c r="AT216" s="549"/>
      <c r="AU216" s="327"/>
      <c r="AV216" s="553" t="s">
        <v>334</v>
      </c>
      <c r="AW216" s="327"/>
      <c r="AX216" s="521"/>
      <c r="AY216" s="326"/>
      <c r="AZ216" s="327"/>
      <c r="BA216" s="550"/>
      <c r="BB216" s="327"/>
      <c r="BC216" s="22"/>
      <c r="BD216" s="551" t="s">
        <v>334</v>
      </c>
      <c r="BE216" s="327"/>
      <c r="BF216" s="545"/>
      <c r="BG216" s="326"/>
      <c r="BH216" s="326"/>
      <c r="BI216" s="327"/>
      <c r="BJ216" s="451" t="s">
        <v>303</v>
      </c>
      <c r="BK216" s="326"/>
      <c r="BL216" s="326"/>
      <c r="BM216" s="327"/>
      <c r="BN216" s="558" t="s">
        <v>303</v>
      </c>
      <c r="BO216" s="326"/>
      <c r="BP216" s="326"/>
      <c r="BQ216" s="326"/>
      <c r="BR216" s="326"/>
      <c r="BS216" s="326"/>
      <c r="BT216" s="326"/>
      <c r="BU216" s="326"/>
      <c r="BV216" s="327"/>
    </row>
    <row r="217" spans="1:74" ht="45" customHeight="1" x14ac:dyDescent="0.25">
      <c r="A217" s="10">
        <f t="shared" si="0"/>
        <v>203</v>
      </c>
      <c r="B217" s="559" t="s">
        <v>303</v>
      </c>
      <c r="C217" s="327"/>
      <c r="D217" s="560" t="s">
        <v>307</v>
      </c>
      <c r="E217" s="327"/>
      <c r="F217" s="537" t="s">
        <v>334</v>
      </c>
      <c r="G217" s="327"/>
      <c r="H217" s="566" t="s">
        <v>334</v>
      </c>
      <c r="I217" s="327"/>
      <c r="J217" s="567"/>
      <c r="K217" s="327"/>
      <c r="L217" s="567"/>
      <c r="M217" s="327"/>
      <c r="N217" s="20"/>
      <c r="O217" s="24"/>
      <c r="P217" s="524"/>
      <c r="Q217" s="327"/>
      <c r="R217" s="516"/>
      <c r="S217" s="327"/>
      <c r="T217" s="517"/>
      <c r="U217" s="327"/>
      <c r="V217" s="518"/>
      <c r="W217" s="327"/>
      <c r="X217" s="541" t="s">
        <v>303</v>
      </c>
      <c r="Y217" s="326"/>
      <c r="Z217" s="326"/>
      <c r="AA217" s="327"/>
      <c r="AB217" s="542" t="s">
        <v>303</v>
      </c>
      <c r="AC217" s="326"/>
      <c r="AD217" s="326"/>
      <c r="AE217" s="327"/>
      <c r="AF217" s="520"/>
      <c r="AG217" s="327"/>
      <c r="AH217" s="520"/>
      <c r="AI217" s="327"/>
      <c r="AJ217" s="554"/>
      <c r="AK217" s="327"/>
      <c r="AL217" s="537" t="s">
        <v>334</v>
      </c>
      <c r="AM217" s="327"/>
      <c r="AN217" s="546" t="s">
        <v>334</v>
      </c>
      <c r="AO217" s="327"/>
      <c r="AP217" s="554"/>
      <c r="AQ217" s="327"/>
      <c r="AR217" s="555"/>
      <c r="AS217" s="327"/>
      <c r="AT217" s="549"/>
      <c r="AU217" s="327"/>
      <c r="AV217" s="546" t="s">
        <v>334</v>
      </c>
      <c r="AW217" s="327"/>
      <c r="AX217" s="521"/>
      <c r="AY217" s="326"/>
      <c r="AZ217" s="327"/>
      <c r="BA217" s="536"/>
      <c r="BB217" s="327"/>
      <c r="BC217" s="25"/>
      <c r="BD217" s="544" t="s">
        <v>334</v>
      </c>
      <c r="BE217" s="327"/>
      <c r="BF217" s="552"/>
      <c r="BG217" s="326"/>
      <c r="BH217" s="326"/>
      <c r="BI217" s="327"/>
      <c r="BJ217" s="557" t="s">
        <v>303</v>
      </c>
      <c r="BK217" s="326"/>
      <c r="BL217" s="326"/>
      <c r="BM217" s="327"/>
      <c r="BN217" s="558" t="s">
        <v>303</v>
      </c>
      <c r="BO217" s="326"/>
      <c r="BP217" s="326"/>
      <c r="BQ217" s="326"/>
      <c r="BR217" s="326"/>
      <c r="BS217" s="326"/>
      <c r="BT217" s="326"/>
      <c r="BU217" s="326"/>
      <c r="BV217" s="327"/>
    </row>
    <row r="218" spans="1:74" ht="45" customHeight="1" x14ac:dyDescent="0.25">
      <c r="A218" s="10">
        <f t="shared" si="0"/>
        <v>204</v>
      </c>
      <c r="B218" s="564" t="s">
        <v>303</v>
      </c>
      <c r="C218" s="327"/>
      <c r="D218" s="565" t="s">
        <v>307</v>
      </c>
      <c r="E218" s="327"/>
      <c r="F218" s="537" t="s">
        <v>334</v>
      </c>
      <c r="G218" s="327"/>
      <c r="H218" s="561" t="s">
        <v>334</v>
      </c>
      <c r="I218" s="327"/>
      <c r="J218" s="26"/>
      <c r="K218" s="27"/>
      <c r="L218" s="26"/>
      <c r="M218" s="27"/>
      <c r="N218" s="23"/>
      <c r="O218" s="21"/>
      <c r="P218" s="563"/>
      <c r="Q218" s="327"/>
      <c r="R218" s="538"/>
      <c r="S218" s="327"/>
      <c r="T218" s="539"/>
      <c r="U218" s="327"/>
      <c r="V218" s="540"/>
      <c r="W218" s="327"/>
      <c r="X218" s="438" t="s">
        <v>303</v>
      </c>
      <c r="Y218" s="326"/>
      <c r="Z218" s="326"/>
      <c r="AA218" s="327"/>
      <c r="AB218" s="519" t="s">
        <v>303</v>
      </c>
      <c r="AC218" s="326"/>
      <c r="AD218" s="326"/>
      <c r="AE218" s="327"/>
      <c r="AF218" s="543"/>
      <c r="AG218" s="327"/>
      <c r="AH218" s="543"/>
      <c r="AI218" s="327"/>
      <c r="AJ218" s="536"/>
      <c r="AK218" s="327"/>
      <c r="AL218" s="556" t="s">
        <v>334</v>
      </c>
      <c r="AM218" s="327"/>
      <c r="AN218" s="553" t="s">
        <v>334</v>
      </c>
      <c r="AO218" s="327"/>
      <c r="AP218" s="547"/>
      <c r="AQ218" s="327"/>
      <c r="AR218" s="548"/>
      <c r="AS218" s="327"/>
      <c r="AT218" s="549"/>
      <c r="AU218" s="327"/>
      <c r="AV218" s="553" t="s">
        <v>334</v>
      </c>
      <c r="AW218" s="327"/>
      <c r="AX218" s="521"/>
      <c r="AY218" s="326"/>
      <c r="AZ218" s="327"/>
      <c r="BA218" s="550"/>
      <c r="BB218" s="327"/>
      <c r="BC218" s="22"/>
      <c r="BD218" s="551" t="s">
        <v>334</v>
      </c>
      <c r="BE218" s="327"/>
      <c r="BF218" s="545"/>
      <c r="BG218" s="326"/>
      <c r="BH218" s="326"/>
      <c r="BI218" s="327"/>
      <c r="BJ218" s="451" t="s">
        <v>303</v>
      </c>
      <c r="BK218" s="326"/>
      <c r="BL218" s="326"/>
      <c r="BM218" s="327"/>
      <c r="BN218" s="558" t="s">
        <v>303</v>
      </c>
      <c r="BO218" s="326"/>
      <c r="BP218" s="326"/>
      <c r="BQ218" s="326"/>
      <c r="BR218" s="326"/>
      <c r="BS218" s="326"/>
      <c r="BT218" s="326"/>
      <c r="BU218" s="326"/>
      <c r="BV218" s="327"/>
    </row>
    <row r="219" spans="1:74" ht="45" customHeight="1" x14ac:dyDescent="0.25">
      <c r="A219" s="10">
        <f t="shared" si="0"/>
        <v>205</v>
      </c>
      <c r="B219" s="559" t="s">
        <v>303</v>
      </c>
      <c r="C219" s="327"/>
      <c r="D219" s="560" t="s">
        <v>307</v>
      </c>
      <c r="E219" s="327"/>
      <c r="F219" s="537" t="s">
        <v>334</v>
      </c>
      <c r="G219" s="327"/>
      <c r="H219" s="566" t="s">
        <v>334</v>
      </c>
      <c r="I219" s="327"/>
      <c r="J219" s="567"/>
      <c r="K219" s="327"/>
      <c r="L219" s="567"/>
      <c r="M219" s="327"/>
      <c r="N219" s="20"/>
      <c r="O219" s="24"/>
      <c r="P219" s="524"/>
      <c r="Q219" s="327"/>
      <c r="R219" s="516"/>
      <c r="S219" s="327"/>
      <c r="T219" s="517"/>
      <c r="U219" s="327"/>
      <c r="V219" s="518"/>
      <c r="W219" s="327"/>
      <c r="X219" s="541" t="s">
        <v>303</v>
      </c>
      <c r="Y219" s="326"/>
      <c r="Z219" s="326"/>
      <c r="AA219" s="327"/>
      <c r="AB219" s="542" t="s">
        <v>303</v>
      </c>
      <c r="AC219" s="326"/>
      <c r="AD219" s="326"/>
      <c r="AE219" s="327"/>
      <c r="AF219" s="520"/>
      <c r="AG219" s="327"/>
      <c r="AH219" s="520"/>
      <c r="AI219" s="327"/>
      <c r="AJ219" s="554"/>
      <c r="AK219" s="327"/>
      <c r="AL219" s="537" t="s">
        <v>334</v>
      </c>
      <c r="AM219" s="327"/>
      <c r="AN219" s="546" t="s">
        <v>334</v>
      </c>
      <c r="AO219" s="327"/>
      <c r="AP219" s="554"/>
      <c r="AQ219" s="327"/>
      <c r="AR219" s="555"/>
      <c r="AS219" s="327"/>
      <c r="AT219" s="549"/>
      <c r="AU219" s="327"/>
      <c r="AV219" s="546" t="s">
        <v>334</v>
      </c>
      <c r="AW219" s="327"/>
      <c r="AX219" s="521"/>
      <c r="AY219" s="326"/>
      <c r="AZ219" s="327"/>
      <c r="BA219" s="536"/>
      <c r="BB219" s="327"/>
      <c r="BC219" s="25"/>
      <c r="BD219" s="544" t="s">
        <v>334</v>
      </c>
      <c r="BE219" s="327"/>
      <c r="BF219" s="508"/>
      <c r="BG219" s="326"/>
      <c r="BH219" s="326"/>
      <c r="BI219" s="327"/>
      <c r="BJ219" s="557" t="s">
        <v>303</v>
      </c>
      <c r="BK219" s="326"/>
      <c r="BL219" s="326"/>
      <c r="BM219" s="327"/>
      <c r="BN219" s="558" t="s">
        <v>303</v>
      </c>
      <c r="BO219" s="326"/>
      <c r="BP219" s="326"/>
      <c r="BQ219" s="326"/>
      <c r="BR219" s="326"/>
      <c r="BS219" s="326"/>
      <c r="BT219" s="326"/>
      <c r="BU219" s="326"/>
      <c r="BV219" s="327"/>
    </row>
    <row r="220" spans="1:74" ht="45" customHeight="1" x14ac:dyDescent="0.25">
      <c r="A220" s="10">
        <f t="shared" si="0"/>
        <v>206</v>
      </c>
      <c r="B220" s="564" t="s">
        <v>303</v>
      </c>
      <c r="C220" s="327"/>
      <c r="D220" s="565" t="s">
        <v>307</v>
      </c>
      <c r="E220" s="327"/>
      <c r="F220" s="537" t="s">
        <v>334</v>
      </c>
      <c r="G220" s="327"/>
      <c r="H220" s="561" t="s">
        <v>334</v>
      </c>
      <c r="I220" s="327"/>
      <c r="J220" s="26"/>
      <c r="K220" s="27"/>
      <c r="L220" s="26"/>
      <c r="M220" s="27"/>
      <c r="N220" s="23"/>
      <c r="O220" s="21"/>
      <c r="P220" s="563"/>
      <c r="Q220" s="327"/>
      <c r="R220" s="538"/>
      <c r="S220" s="327"/>
      <c r="T220" s="539"/>
      <c r="U220" s="327"/>
      <c r="V220" s="540"/>
      <c r="W220" s="327"/>
      <c r="X220" s="438" t="s">
        <v>303</v>
      </c>
      <c r="Y220" s="326"/>
      <c r="Z220" s="326"/>
      <c r="AA220" s="327"/>
      <c r="AB220" s="519" t="s">
        <v>303</v>
      </c>
      <c r="AC220" s="326"/>
      <c r="AD220" s="326"/>
      <c r="AE220" s="327"/>
      <c r="AF220" s="543"/>
      <c r="AG220" s="327"/>
      <c r="AH220" s="543"/>
      <c r="AI220" s="327"/>
      <c r="AJ220" s="536"/>
      <c r="AK220" s="327"/>
      <c r="AL220" s="556" t="s">
        <v>334</v>
      </c>
      <c r="AM220" s="327"/>
      <c r="AN220" s="553" t="s">
        <v>334</v>
      </c>
      <c r="AO220" s="327"/>
      <c r="AP220" s="547"/>
      <c r="AQ220" s="327"/>
      <c r="AR220" s="548"/>
      <c r="AS220" s="327"/>
      <c r="AT220" s="549"/>
      <c r="AU220" s="327"/>
      <c r="AV220" s="553" t="s">
        <v>334</v>
      </c>
      <c r="AW220" s="327"/>
      <c r="AX220" s="521"/>
      <c r="AY220" s="326"/>
      <c r="AZ220" s="327"/>
      <c r="BA220" s="550"/>
      <c r="BB220" s="327"/>
      <c r="BC220" s="22"/>
      <c r="BD220" s="551" t="s">
        <v>334</v>
      </c>
      <c r="BE220" s="327"/>
      <c r="BF220" s="545"/>
      <c r="BG220" s="326"/>
      <c r="BH220" s="326"/>
      <c r="BI220" s="327"/>
      <c r="BJ220" s="451" t="s">
        <v>303</v>
      </c>
      <c r="BK220" s="326"/>
      <c r="BL220" s="326"/>
      <c r="BM220" s="327"/>
      <c r="BN220" s="558" t="s">
        <v>303</v>
      </c>
      <c r="BO220" s="326"/>
      <c r="BP220" s="326"/>
      <c r="BQ220" s="326"/>
      <c r="BR220" s="326"/>
      <c r="BS220" s="326"/>
      <c r="BT220" s="326"/>
      <c r="BU220" s="326"/>
      <c r="BV220" s="327"/>
    </row>
    <row r="221" spans="1:74" ht="45" customHeight="1" x14ac:dyDescent="0.25">
      <c r="A221" s="10">
        <f t="shared" si="0"/>
        <v>207</v>
      </c>
      <c r="B221" s="559" t="s">
        <v>303</v>
      </c>
      <c r="C221" s="327"/>
      <c r="D221" s="560" t="s">
        <v>307</v>
      </c>
      <c r="E221" s="327"/>
      <c r="F221" s="537" t="s">
        <v>334</v>
      </c>
      <c r="G221" s="327"/>
      <c r="H221" s="566" t="s">
        <v>334</v>
      </c>
      <c r="I221" s="327"/>
      <c r="J221" s="567"/>
      <c r="K221" s="327"/>
      <c r="L221" s="567"/>
      <c r="M221" s="327"/>
      <c r="N221" s="20"/>
      <c r="O221" s="24"/>
      <c r="P221" s="524"/>
      <c r="Q221" s="327"/>
      <c r="R221" s="516"/>
      <c r="S221" s="327"/>
      <c r="T221" s="517"/>
      <c r="U221" s="327"/>
      <c r="V221" s="518"/>
      <c r="W221" s="327"/>
      <c r="X221" s="541" t="s">
        <v>303</v>
      </c>
      <c r="Y221" s="326"/>
      <c r="Z221" s="326"/>
      <c r="AA221" s="327"/>
      <c r="AB221" s="542" t="s">
        <v>303</v>
      </c>
      <c r="AC221" s="326"/>
      <c r="AD221" s="326"/>
      <c r="AE221" s="327"/>
      <c r="AF221" s="520"/>
      <c r="AG221" s="327"/>
      <c r="AH221" s="520"/>
      <c r="AI221" s="327"/>
      <c r="AJ221" s="554"/>
      <c r="AK221" s="327"/>
      <c r="AL221" s="537" t="s">
        <v>334</v>
      </c>
      <c r="AM221" s="327"/>
      <c r="AN221" s="546" t="s">
        <v>334</v>
      </c>
      <c r="AO221" s="327"/>
      <c r="AP221" s="554"/>
      <c r="AQ221" s="327"/>
      <c r="AR221" s="555"/>
      <c r="AS221" s="327"/>
      <c r="AT221" s="549"/>
      <c r="AU221" s="327"/>
      <c r="AV221" s="546" t="s">
        <v>334</v>
      </c>
      <c r="AW221" s="327"/>
      <c r="AX221" s="521"/>
      <c r="AY221" s="326"/>
      <c r="AZ221" s="327"/>
      <c r="BA221" s="536"/>
      <c r="BB221" s="327"/>
      <c r="BC221" s="25"/>
      <c r="BD221" s="544" t="s">
        <v>334</v>
      </c>
      <c r="BE221" s="327"/>
      <c r="BF221" s="552"/>
      <c r="BG221" s="326"/>
      <c r="BH221" s="326"/>
      <c r="BI221" s="327"/>
      <c r="BJ221" s="557" t="s">
        <v>303</v>
      </c>
      <c r="BK221" s="326"/>
      <c r="BL221" s="326"/>
      <c r="BM221" s="327"/>
      <c r="BN221" s="558" t="s">
        <v>303</v>
      </c>
      <c r="BO221" s="326"/>
      <c r="BP221" s="326"/>
      <c r="BQ221" s="326"/>
      <c r="BR221" s="326"/>
      <c r="BS221" s="326"/>
      <c r="BT221" s="326"/>
      <c r="BU221" s="326"/>
      <c r="BV221" s="327"/>
    </row>
    <row r="222" spans="1:74" ht="45" customHeight="1" x14ac:dyDescent="0.25">
      <c r="A222" s="10">
        <f t="shared" si="0"/>
        <v>208</v>
      </c>
      <c r="B222" s="564" t="s">
        <v>303</v>
      </c>
      <c r="C222" s="327"/>
      <c r="D222" s="565" t="s">
        <v>307</v>
      </c>
      <c r="E222" s="327"/>
      <c r="F222" s="537" t="s">
        <v>334</v>
      </c>
      <c r="G222" s="327"/>
      <c r="H222" s="561" t="s">
        <v>334</v>
      </c>
      <c r="I222" s="327"/>
      <c r="J222" s="26"/>
      <c r="K222" s="27"/>
      <c r="L222" s="26"/>
      <c r="M222" s="27"/>
      <c r="N222" s="23"/>
      <c r="O222" s="21"/>
      <c r="P222" s="563"/>
      <c r="Q222" s="327"/>
      <c r="R222" s="538"/>
      <c r="S222" s="327"/>
      <c r="T222" s="539"/>
      <c r="U222" s="327"/>
      <c r="V222" s="540"/>
      <c r="W222" s="327"/>
      <c r="X222" s="438" t="s">
        <v>303</v>
      </c>
      <c r="Y222" s="326"/>
      <c r="Z222" s="326"/>
      <c r="AA222" s="327"/>
      <c r="AB222" s="519" t="s">
        <v>303</v>
      </c>
      <c r="AC222" s="326"/>
      <c r="AD222" s="326"/>
      <c r="AE222" s="327"/>
      <c r="AF222" s="543"/>
      <c r="AG222" s="327"/>
      <c r="AH222" s="543"/>
      <c r="AI222" s="327"/>
      <c r="AJ222" s="536"/>
      <c r="AK222" s="327"/>
      <c r="AL222" s="556" t="s">
        <v>334</v>
      </c>
      <c r="AM222" s="327"/>
      <c r="AN222" s="553" t="s">
        <v>334</v>
      </c>
      <c r="AO222" s="327"/>
      <c r="AP222" s="547"/>
      <c r="AQ222" s="327"/>
      <c r="AR222" s="548"/>
      <c r="AS222" s="327"/>
      <c r="AT222" s="549"/>
      <c r="AU222" s="327"/>
      <c r="AV222" s="553" t="s">
        <v>334</v>
      </c>
      <c r="AW222" s="327"/>
      <c r="AX222" s="521"/>
      <c r="AY222" s="326"/>
      <c r="AZ222" s="327"/>
      <c r="BA222" s="550"/>
      <c r="BB222" s="327"/>
      <c r="BC222" s="22"/>
      <c r="BD222" s="551" t="s">
        <v>334</v>
      </c>
      <c r="BE222" s="327"/>
      <c r="BF222" s="545"/>
      <c r="BG222" s="326"/>
      <c r="BH222" s="326"/>
      <c r="BI222" s="327"/>
      <c r="BJ222" s="451" t="s">
        <v>303</v>
      </c>
      <c r="BK222" s="326"/>
      <c r="BL222" s="326"/>
      <c r="BM222" s="327"/>
      <c r="BN222" s="558" t="s">
        <v>303</v>
      </c>
      <c r="BO222" s="326"/>
      <c r="BP222" s="326"/>
      <c r="BQ222" s="326"/>
      <c r="BR222" s="326"/>
      <c r="BS222" s="326"/>
      <c r="BT222" s="326"/>
      <c r="BU222" s="326"/>
      <c r="BV222" s="327"/>
    </row>
    <row r="223" spans="1:74" ht="45" customHeight="1" x14ac:dyDescent="0.25">
      <c r="A223" s="10">
        <f t="shared" si="0"/>
        <v>209</v>
      </c>
      <c r="B223" s="559" t="s">
        <v>303</v>
      </c>
      <c r="C223" s="327"/>
      <c r="D223" s="560" t="s">
        <v>307</v>
      </c>
      <c r="E223" s="327"/>
      <c r="F223" s="537" t="s">
        <v>334</v>
      </c>
      <c r="G223" s="327"/>
      <c r="H223" s="566" t="s">
        <v>334</v>
      </c>
      <c r="I223" s="327"/>
      <c r="J223" s="567"/>
      <c r="K223" s="327"/>
      <c r="L223" s="567"/>
      <c r="M223" s="327"/>
      <c r="N223" s="20"/>
      <c r="O223" s="24"/>
      <c r="P223" s="524"/>
      <c r="Q223" s="327"/>
      <c r="R223" s="516"/>
      <c r="S223" s="327"/>
      <c r="T223" s="517"/>
      <c r="U223" s="327"/>
      <c r="V223" s="518"/>
      <c r="W223" s="327"/>
      <c r="X223" s="541" t="s">
        <v>303</v>
      </c>
      <c r="Y223" s="326"/>
      <c r="Z223" s="326"/>
      <c r="AA223" s="327"/>
      <c r="AB223" s="542" t="s">
        <v>303</v>
      </c>
      <c r="AC223" s="326"/>
      <c r="AD223" s="326"/>
      <c r="AE223" s="327"/>
      <c r="AF223" s="520"/>
      <c r="AG223" s="327"/>
      <c r="AH223" s="520"/>
      <c r="AI223" s="327"/>
      <c r="AJ223" s="554"/>
      <c r="AK223" s="327"/>
      <c r="AL223" s="537" t="s">
        <v>334</v>
      </c>
      <c r="AM223" s="327"/>
      <c r="AN223" s="546" t="s">
        <v>334</v>
      </c>
      <c r="AO223" s="327"/>
      <c r="AP223" s="554"/>
      <c r="AQ223" s="327"/>
      <c r="AR223" s="555"/>
      <c r="AS223" s="327"/>
      <c r="AT223" s="549"/>
      <c r="AU223" s="327"/>
      <c r="AV223" s="546" t="s">
        <v>334</v>
      </c>
      <c r="AW223" s="327"/>
      <c r="AX223" s="521"/>
      <c r="AY223" s="326"/>
      <c r="AZ223" s="327"/>
      <c r="BA223" s="536"/>
      <c r="BB223" s="327"/>
      <c r="BC223" s="25"/>
      <c r="BD223" s="544" t="s">
        <v>334</v>
      </c>
      <c r="BE223" s="327"/>
      <c r="BF223" s="508"/>
      <c r="BG223" s="326"/>
      <c r="BH223" s="326"/>
      <c r="BI223" s="327"/>
      <c r="BJ223" s="557" t="s">
        <v>303</v>
      </c>
      <c r="BK223" s="326"/>
      <c r="BL223" s="326"/>
      <c r="BM223" s="327"/>
      <c r="BN223" s="558" t="s">
        <v>303</v>
      </c>
      <c r="BO223" s="326"/>
      <c r="BP223" s="326"/>
      <c r="BQ223" s="326"/>
      <c r="BR223" s="326"/>
      <c r="BS223" s="326"/>
      <c r="BT223" s="326"/>
      <c r="BU223" s="326"/>
      <c r="BV223" s="327"/>
    </row>
    <row r="224" spans="1:74" ht="45" customHeight="1" x14ac:dyDescent="0.25">
      <c r="A224" s="10">
        <f t="shared" si="0"/>
        <v>210</v>
      </c>
      <c r="B224" s="564" t="s">
        <v>303</v>
      </c>
      <c r="C224" s="327"/>
      <c r="D224" s="565" t="s">
        <v>307</v>
      </c>
      <c r="E224" s="327"/>
      <c r="F224" s="537" t="s">
        <v>334</v>
      </c>
      <c r="G224" s="327"/>
      <c r="H224" s="561" t="s">
        <v>334</v>
      </c>
      <c r="I224" s="327"/>
      <c r="J224" s="26"/>
      <c r="K224" s="27"/>
      <c r="L224" s="26"/>
      <c r="M224" s="27"/>
      <c r="N224" s="23"/>
      <c r="O224" s="21"/>
      <c r="P224" s="563"/>
      <c r="Q224" s="327"/>
      <c r="R224" s="538"/>
      <c r="S224" s="327"/>
      <c r="T224" s="539"/>
      <c r="U224" s="327"/>
      <c r="V224" s="540"/>
      <c r="W224" s="327"/>
      <c r="X224" s="438" t="s">
        <v>303</v>
      </c>
      <c r="Y224" s="326"/>
      <c r="Z224" s="326"/>
      <c r="AA224" s="327"/>
      <c r="AB224" s="519" t="s">
        <v>303</v>
      </c>
      <c r="AC224" s="326"/>
      <c r="AD224" s="326"/>
      <c r="AE224" s="327"/>
      <c r="AF224" s="543"/>
      <c r="AG224" s="327"/>
      <c r="AH224" s="543"/>
      <c r="AI224" s="327"/>
      <c r="AJ224" s="536"/>
      <c r="AK224" s="327"/>
      <c r="AL224" s="556" t="s">
        <v>334</v>
      </c>
      <c r="AM224" s="327"/>
      <c r="AN224" s="553" t="s">
        <v>334</v>
      </c>
      <c r="AO224" s="327"/>
      <c r="AP224" s="547"/>
      <c r="AQ224" s="327"/>
      <c r="AR224" s="548"/>
      <c r="AS224" s="327"/>
      <c r="AT224" s="549"/>
      <c r="AU224" s="327"/>
      <c r="AV224" s="553" t="s">
        <v>334</v>
      </c>
      <c r="AW224" s="327"/>
      <c r="AX224" s="521"/>
      <c r="AY224" s="326"/>
      <c r="AZ224" s="327"/>
      <c r="BA224" s="550"/>
      <c r="BB224" s="327"/>
      <c r="BC224" s="22"/>
      <c r="BD224" s="551" t="s">
        <v>334</v>
      </c>
      <c r="BE224" s="327"/>
      <c r="BF224" s="545"/>
      <c r="BG224" s="326"/>
      <c r="BH224" s="326"/>
      <c r="BI224" s="327"/>
      <c r="BJ224" s="451" t="s">
        <v>303</v>
      </c>
      <c r="BK224" s="326"/>
      <c r="BL224" s="326"/>
      <c r="BM224" s="327"/>
      <c r="BN224" s="558" t="s">
        <v>303</v>
      </c>
      <c r="BO224" s="326"/>
      <c r="BP224" s="326"/>
      <c r="BQ224" s="326"/>
      <c r="BR224" s="326"/>
      <c r="BS224" s="326"/>
      <c r="BT224" s="326"/>
      <c r="BU224" s="326"/>
      <c r="BV224" s="327"/>
    </row>
    <row r="225" spans="1:74" ht="45" customHeight="1" x14ac:dyDescent="0.25">
      <c r="A225" s="10">
        <f t="shared" si="0"/>
        <v>211</v>
      </c>
      <c r="B225" s="559" t="s">
        <v>303</v>
      </c>
      <c r="C225" s="327"/>
      <c r="D225" s="560" t="s">
        <v>307</v>
      </c>
      <c r="E225" s="327"/>
      <c r="F225" s="537" t="s">
        <v>334</v>
      </c>
      <c r="G225" s="327"/>
      <c r="H225" s="566" t="s">
        <v>334</v>
      </c>
      <c r="I225" s="327"/>
      <c r="J225" s="567"/>
      <c r="K225" s="327"/>
      <c r="L225" s="567"/>
      <c r="M225" s="327"/>
      <c r="N225" s="20"/>
      <c r="O225" s="24"/>
      <c r="P225" s="524"/>
      <c r="Q225" s="327"/>
      <c r="R225" s="516"/>
      <c r="S225" s="327"/>
      <c r="T225" s="517"/>
      <c r="U225" s="327"/>
      <c r="V225" s="518"/>
      <c r="W225" s="327"/>
      <c r="X225" s="541" t="s">
        <v>303</v>
      </c>
      <c r="Y225" s="326"/>
      <c r="Z225" s="326"/>
      <c r="AA225" s="327"/>
      <c r="AB225" s="542" t="s">
        <v>303</v>
      </c>
      <c r="AC225" s="326"/>
      <c r="AD225" s="326"/>
      <c r="AE225" s="327"/>
      <c r="AF225" s="520"/>
      <c r="AG225" s="327"/>
      <c r="AH225" s="520"/>
      <c r="AI225" s="327"/>
      <c r="AJ225" s="554"/>
      <c r="AK225" s="327"/>
      <c r="AL225" s="537" t="s">
        <v>334</v>
      </c>
      <c r="AM225" s="327"/>
      <c r="AN225" s="546" t="s">
        <v>334</v>
      </c>
      <c r="AO225" s="327"/>
      <c r="AP225" s="554"/>
      <c r="AQ225" s="327"/>
      <c r="AR225" s="555"/>
      <c r="AS225" s="327"/>
      <c r="AT225" s="549"/>
      <c r="AU225" s="327"/>
      <c r="AV225" s="546" t="s">
        <v>334</v>
      </c>
      <c r="AW225" s="327"/>
      <c r="AX225" s="521"/>
      <c r="AY225" s="326"/>
      <c r="AZ225" s="327"/>
      <c r="BA225" s="536"/>
      <c r="BB225" s="327"/>
      <c r="BC225" s="25"/>
      <c r="BD225" s="544" t="s">
        <v>334</v>
      </c>
      <c r="BE225" s="327"/>
      <c r="BF225" s="508"/>
      <c r="BG225" s="326"/>
      <c r="BH225" s="326"/>
      <c r="BI225" s="327"/>
      <c r="BJ225" s="557" t="s">
        <v>303</v>
      </c>
      <c r="BK225" s="326"/>
      <c r="BL225" s="326"/>
      <c r="BM225" s="327"/>
      <c r="BN225" s="558" t="s">
        <v>303</v>
      </c>
      <c r="BO225" s="326"/>
      <c r="BP225" s="326"/>
      <c r="BQ225" s="326"/>
      <c r="BR225" s="326"/>
      <c r="BS225" s="326"/>
      <c r="BT225" s="326"/>
      <c r="BU225" s="326"/>
      <c r="BV225" s="327"/>
    </row>
    <row r="226" spans="1:74" ht="45" customHeight="1" x14ac:dyDescent="0.25">
      <c r="A226" s="10">
        <f t="shared" si="0"/>
        <v>212</v>
      </c>
      <c r="B226" s="564" t="s">
        <v>303</v>
      </c>
      <c r="C226" s="327"/>
      <c r="D226" s="565" t="s">
        <v>307</v>
      </c>
      <c r="E226" s="327"/>
      <c r="F226" s="537" t="s">
        <v>334</v>
      </c>
      <c r="G226" s="327"/>
      <c r="H226" s="561" t="s">
        <v>334</v>
      </c>
      <c r="I226" s="327"/>
      <c r="J226" s="26"/>
      <c r="K226" s="27"/>
      <c r="L226" s="26"/>
      <c r="M226" s="27"/>
      <c r="N226" s="23"/>
      <c r="O226" s="21"/>
      <c r="P226" s="563"/>
      <c r="Q226" s="327"/>
      <c r="R226" s="538"/>
      <c r="S226" s="327"/>
      <c r="T226" s="539"/>
      <c r="U226" s="327"/>
      <c r="V226" s="540"/>
      <c r="W226" s="327"/>
      <c r="X226" s="438" t="s">
        <v>303</v>
      </c>
      <c r="Y226" s="326"/>
      <c r="Z226" s="326"/>
      <c r="AA226" s="327"/>
      <c r="AB226" s="519" t="s">
        <v>303</v>
      </c>
      <c r="AC226" s="326"/>
      <c r="AD226" s="326"/>
      <c r="AE226" s="327"/>
      <c r="AF226" s="543"/>
      <c r="AG226" s="327"/>
      <c r="AH226" s="543"/>
      <c r="AI226" s="327"/>
      <c r="AJ226" s="536"/>
      <c r="AK226" s="327"/>
      <c r="AL226" s="556" t="s">
        <v>334</v>
      </c>
      <c r="AM226" s="327"/>
      <c r="AN226" s="553" t="s">
        <v>334</v>
      </c>
      <c r="AO226" s="327"/>
      <c r="AP226" s="547"/>
      <c r="AQ226" s="327"/>
      <c r="AR226" s="548"/>
      <c r="AS226" s="327"/>
      <c r="AT226" s="549"/>
      <c r="AU226" s="327"/>
      <c r="AV226" s="553" t="s">
        <v>334</v>
      </c>
      <c r="AW226" s="327"/>
      <c r="AX226" s="521"/>
      <c r="AY226" s="326"/>
      <c r="AZ226" s="327"/>
      <c r="BA226" s="550"/>
      <c r="BB226" s="327"/>
      <c r="BC226" s="22"/>
      <c r="BD226" s="551" t="s">
        <v>334</v>
      </c>
      <c r="BE226" s="327"/>
      <c r="BF226" s="545"/>
      <c r="BG226" s="326"/>
      <c r="BH226" s="326"/>
      <c r="BI226" s="327"/>
      <c r="BJ226" s="451" t="s">
        <v>303</v>
      </c>
      <c r="BK226" s="326"/>
      <c r="BL226" s="326"/>
      <c r="BM226" s="327"/>
      <c r="BN226" s="558" t="s">
        <v>303</v>
      </c>
      <c r="BO226" s="326"/>
      <c r="BP226" s="326"/>
      <c r="BQ226" s="326"/>
      <c r="BR226" s="326"/>
      <c r="BS226" s="326"/>
      <c r="BT226" s="326"/>
      <c r="BU226" s="326"/>
      <c r="BV226" s="327"/>
    </row>
    <row r="227" spans="1:74" ht="45" customHeight="1" x14ac:dyDescent="0.25">
      <c r="A227" s="10">
        <f t="shared" si="0"/>
        <v>213</v>
      </c>
      <c r="B227" s="559" t="s">
        <v>303</v>
      </c>
      <c r="C227" s="327"/>
      <c r="D227" s="560" t="s">
        <v>307</v>
      </c>
      <c r="E227" s="327"/>
      <c r="F227" s="537" t="s">
        <v>334</v>
      </c>
      <c r="G227" s="327"/>
      <c r="H227" s="566" t="s">
        <v>334</v>
      </c>
      <c r="I227" s="327"/>
      <c r="J227" s="567"/>
      <c r="K227" s="327"/>
      <c r="L227" s="567"/>
      <c r="M227" s="327"/>
      <c r="N227" s="20"/>
      <c r="O227" s="24"/>
      <c r="P227" s="524"/>
      <c r="Q227" s="327"/>
      <c r="R227" s="516"/>
      <c r="S227" s="327"/>
      <c r="T227" s="517"/>
      <c r="U227" s="327"/>
      <c r="V227" s="518"/>
      <c r="W227" s="327"/>
      <c r="X227" s="541" t="s">
        <v>303</v>
      </c>
      <c r="Y227" s="326"/>
      <c r="Z227" s="326"/>
      <c r="AA227" s="327"/>
      <c r="AB227" s="542" t="s">
        <v>303</v>
      </c>
      <c r="AC227" s="326"/>
      <c r="AD227" s="326"/>
      <c r="AE227" s="327"/>
      <c r="AF227" s="520"/>
      <c r="AG227" s="327"/>
      <c r="AH227" s="520"/>
      <c r="AI227" s="327"/>
      <c r="AJ227" s="554"/>
      <c r="AK227" s="327"/>
      <c r="AL227" s="537" t="s">
        <v>334</v>
      </c>
      <c r="AM227" s="327"/>
      <c r="AN227" s="546" t="s">
        <v>334</v>
      </c>
      <c r="AO227" s="327"/>
      <c r="AP227" s="554"/>
      <c r="AQ227" s="327"/>
      <c r="AR227" s="555"/>
      <c r="AS227" s="327"/>
      <c r="AT227" s="549"/>
      <c r="AU227" s="327"/>
      <c r="AV227" s="546" t="s">
        <v>334</v>
      </c>
      <c r="AW227" s="327"/>
      <c r="AX227" s="521"/>
      <c r="AY227" s="326"/>
      <c r="AZ227" s="327"/>
      <c r="BA227" s="536"/>
      <c r="BB227" s="327"/>
      <c r="BC227" s="25"/>
      <c r="BD227" s="544" t="s">
        <v>334</v>
      </c>
      <c r="BE227" s="327"/>
      <c r="BF227" s="552"/>
      <c r="BG227" s="326"/>
      <c r="BH227" s="326"/>
      <c r="BI227" s="327"/>
      <c r="BJ227" s="557" t="s">
        <v>303</v>
      </c>
      <c r="BK227" s="326"/>
      <c r="BL227" s="326"/>
      <c r="BM227" s="327"/>
      <c r="BN227" s="558" t="s">
        <v>303</v>
      </c>
      <c r="BO227" s="326"/>
      <c r="BP227" s="326"/>
      <c r="BQ227" s="326"/>
      <c r="BR227" s="326"/>
      <c r="BS227" s="326"/>
      <c r="BT227" s="326"/>
      <c r="BU227" s="326"/>
      <c r="BV227" s="327"/>
    </row>
    <row r="228" spans="1:74" ht="45" customHeight="1" x14ac:dyDescent="0.25">
      <c r="A228" s="10">
        <f t="shared" si="0"/>
        <v>214</v>
      </c>
      <c r="B228" s="564" t="s">
        <v>303</v>
      </c>
      <c r="C228" s="327"/>
      <c r="D228" s="565" t="s">
        <v>307</v>
      </c>
      <c r="E228" s="327"/>
      <c r="F228" s="537" t="s">
        <v>334</v>
      </c>
      <c r="G228" s="327"/>
      <c r="H228" s="561" t="s">
        <v>334</v>
      </c>
      <c r="I228" s="327"/>
      <c r="J228" s="26"/>
      <c r="K228" s="27"/>
      <c r="L228" s="26"/>
      <c r="M228" s="27"/>
      <c r="N228" s="23"/>
      <c r="O228" s="21"/>
      <c r="P228" s="563"/>
      <c r="Q228" s="327"/>
      <c r="R228" s="538"/>
      <c r="S228" s="327"/>
      <c r="T228" s="539"/>
      <c r="U228" s="327"/>
      <c r="V228" s="540"/>
      <c r="W228" s="327"/>
      <c r="X228" s="438" t="s">
        <v>303</v>
      </c>
      <c r="Y228" s="326"/>
      <c r="Z228" s="326"/>
      <c r="AA228" s="327"/>
      <c r="AB228" s="519" t="s">
        <v>303</v>
      </c>
      <c r="AC228" s="326"/>
      <c r="AD228" s="326"/>
      <c r="AE228" s="327"/>
      <c r="AF228" s="543"/>
      <c r="AG228" s="327"/>
      <c r="AH228" s="543"/>
      <c r="AI228" s="327"/>
      <c r="AJ228" s="536"/>
      <c r="AK228" s="327"/>
      <c r="AL228" s="556" t="s">
        <v>334</v>
      </c>
      <c r="AM228" s="327"/>
      <c r="AN228" s="553" t="s">
        <v>334</v>
      </c>
      <c r="AO228" s="327"/>
      <c r="AP228" s="547"/>
      <c r="AQ228" s="327"/>
      <c r="AR228" s="548"/>
      <c r="AS228" s="327"/>
      <c r="AT228" s="549"/>
      <c r="AU228" s="327"/>
      <c r="AV228" s="553" t="s">
        <v>334</v>
      </c>
      <c r="AW228" s="327"/>
      <c r="AX228" s="521"/>
      <c r="AY228" s="326"/>
      <c r="AZ228" s="327"/>
      <c r="BA228" s="550"/>
      <c r="BB228" s="327"/>
      <c r="BC228" s="22"/>
      <c r="BD228" s="551" t="s">
        <v>334</v>
      </c>
      <c r="BE228" s="327"/>
      <c r="BF228" s="545"/>
      <c r="BG228" s="326"/>
      <c r="BH228" s="326"/>
      <c r="BI228" s="327"/>
      <c r="BJ228" s="451" t="s">
        <v>303</v>
      </c>
      <c r="BK228" s="326"/>
      <c r="BL228" s="326"/>
      <c r="BM228" s="327"/>
      <c r="BN228" s="558" t="s">
        <v>303</v>
      </c>
      <c r="BO228" s="326"/>
      <c r="BP228" s="326"/>
      <c r="BQ228" s="326"/>
      <c r="BR228" s="326"/>
      <c r="BS228" s="326"/>
      <c r="BT228" s="326"/>
      <c r="BU228" s="326"/>
      <c r="BV228" s="327"/>
    </row>
    <row r="229" spans="1:74" ht="45" customHeight="1" x14ac:dyDescent="0.25">
      <c r="A229" s="10">
        <f t="shared" si="0"/>
        <v>215</v>
      </c>
      <c r="B229" s="559" t="s">
        <v>303</v>
      </c>
      <c r="C229" s="327"/>
      <c r="D229" s="560" t="s">
        <v>307</v>
      </c>
      <c r="E229" s="327"/>
      <c r="F229" s="537" t="s">
        <v>334</v>
      </c>
      <c r="G229" s="327"/>
      <c r="H229" s="566" t="s">
        <v>334</v>
      </c>
      <c r="I229" s="327"/>
      <c r="J229" s="567"/>
      <c r="K229" s="327"/>
      <c r="L229" s="567"/>
      <c r="M229" s="327"/>
      <c r="N229" s="20"/>
      <c r="O229" s="24"/>
      <c r="P229" s="524"/>
      <c r="Q229" s="327"/>
      <c r="R229" s="516"/>
      <c r="S229" s="327"/>
      <c r="T229" s="517"/>
      <c r="U229" s="327"/>
      <c r="V229" s="518"/>
      <c r="W229" s="327"/>
      <c r="X229" s="541" t="s">
        <v>303</v>
      </c>
      <c r="Y229" s="326"/>
      <c r="Z229" s="326"/>
      <c r="AA229" s="327"/>
      <c r="AB229" s="542" t="s">
        <v>303</v>
      </c>
      <c r="AC229" s="326"/>
      <c r="AD229" s="326"/>
      <c r="AE229" s="327"/>
      <c r="AF229" s="520"/>
      <c r="AG229" s="327"/>
      <c r="AH229" s="520"/>
      <c r="AI229" s="327"/>
      <c r="AJ229" s="554"/>
      <c r="AK229" s="327"/>
      <c r="AL229" s="537" t="s">
        <v>334</v>
      </c>
      <c r="AM229" s="327"/>
      <c r="AN229" s="546" t="s">
        <v>334</v>
      </c>
      <c r="AO229" s="327"/>
      <c r="AP229" s="554"/>
      <c r="AQ229" s="327"/>
      <c r="AR229" s="555"/>
      <c r="AS229" s="327"/>
      <c r="AT229" s="549"/>
      <c r="AU229" s="327"/>
      <c r="AV229" s="546" t="s">
        <v>334</v>
      </c>
      <c r="AW229" s="327"/>
      <c r="AX229" s="521"/>
      <c r="AY229" s="326"/>
      <c r="AZ229" s="327"/>
      <c r="BA229" s="536"/>
      <c r="BB229" s="327"/>
      <c r="BC229" s="25"/>
      <c r="BD229" s="544" t="s">
        <v>334</v>
      </c>
      <c r="BE229" s="327"/>
      <c r="BF229" s="508"/>
      <c r="BG229" s="326"/>
      <c r="BH229" s="326"/>
      <c r="BI229" s="327"/>
      <c r="BJ229" s="557" t="s">
        <v>303</v>
      </c>
      <c r="BK229" s="326"/>
      <c r="BL229" s="326"/>
      <c r="BM229" s="327"/>
      <c r="BN229" s="558" t="s">
        <v>303</v>
      </c>
      <c r="BO229" s="326"/>
      <c r="BP229" s="326"/>
      <c r="BQ229" s="326"/>
      <c r="BR229" s="326"/>
      <c r="BS229" s="326"/>
      <c r="BT229" s="326"/>
      <c r="BU229" s="326"/>
      <c r="BV229" s="327"/>
    </row>
    <row r="230" spans="1:74" ht="45" customHeight="1" x14ac:dyDescent="0.25">
      <c r="A230" s="10">
        <f t="shared" si="0"/>
        <v>216</v>
      </c>
      <c r="B230" s="564" t="s">
        <v>303</v>
      </c>
      <c r="C230" s="327"/>
      <c r="D230" s="565" t="s">
        <v>307</v>
      </c>
      <c r="E230" s="327"/>
      <c r="F230" s="537" t="s">
        <v>334</v>
      </c>
      <c r="G230" s="327"/>
      <c r="H230" s="561" t="s">
        <v>334</v>
      </c>
      <c r="I230" s="327"/>
      <c r="J230" s="26"/>
      <c r="K230" s="27"/>
      <c r="L230" s="26"/>
      <c r="M230" s="27"/>
      <c r="N230" s="23"/>
      <c r="O230" s="21"/>
      <c r="P230" s="563"/>
      <c r="Q230" s="327"/>
      <c r="R230" s="538"/>
      <c r="S230" s="327"/>
      <c r="T230" s="539"/>
      <c r="U230" s="327"/>
      <c r="V230" s="540"/>
      <c r="W230" s="327"/>
      <c r="X230" s="438" t="s">
        <v>303</v>
      </c>
      <c r="Y230" s="326"/>
      <c r="Z230" s="326"/>
      <c r="AA230" s="327"/>
      <c r="AB230" s="519" t="s">
        <v>303</v>
      </c>
      <c r="AC230" s="326"/>
      <c r="AD230" s="326"/>
      <c r="AE230" s="327"/>
      <c r="AF230" s="543"/>
      <c r="AG230" s="327"/>
      <c r="AH230" s="543"/>
      <c r="AI230" s="327"/>
      <c r="AJ230" s="536"/>
      <c r="AK230" s="327"/>
      <c r="AL230" s="556" t="s">
        <v>334</v>
      </c>
      <c r="AM230" s="327"/>
      <c r="AN230" s="553" t="s">
        <v>334</v>
      </c>
      <c r="AO230" s="327"/>
      <c r="AP230" s="547"/>
      <c r="AQ230" s="327"/>
      <c r="AR230" s="548"/>
      <c r="AS230" s="327"/>
      <c r="AT230" s="549"/>
      <c r="AU230" s="327"/>
      <c r="AV230" s="553" t="s">
        <v>334</v>
      </c>
      <c r="AW230" s="327"/>
      <c r="AX230" s="521"/>
      <c r="AY230" s="326"/>
      <c r="AZ230" s="327"/>
      <c r="BA230" s="550"/>
      <c r="BB230" s="327"/>
      <c r="BC230" s="22"/>
      <c r="BD230" s="551" t="s">
        <v>334</v>
      </c>
      <c r="BE230" s="327"/>
      <c r="BF230" s="545"/>
      <c r="BG230" s="326"/>
      <c r="BH230" s="326"/>
      <c r="BI230" s="327"/>
      <c r="BJ230" s="451" t="s">
        <v>303</v>
      </c>
      <c r="BK230" s="326"/>
      <c r="BL230" s="326"/>
      <c r="BM230" s="327"/>
      <c r="BN230" s="558" t="s">
        <v>303</v>
      </c>
      <c r="BO230" s="326"/>
      <c r="BP230" s="326"/>
      <c r="BQ230" s="326"/>
      <c r="BR230" s="326"/>
      <c r="BS230" s="326"/>
      <c r="BT230" s="326"/>
      <c r="BU230" s="326"/>
      <c r="BV230" s="327"/>
    </row>
    <row r="231" spans="1:74" ht="45" customHeight="1" x14ac:dyDescent="0.25">
      <c r="A231" s="10">
        <f t="shared" si="0"/>
        <v>217</v>
      </c>
      <c r="B231" s="559" t="s">
        <v>303</v>
      </c>
      <c r="C231" s="327"/>
      <c r="D231" s="560" t="s">
        <v>307</v>
      </c>
      <c r="E231" s="327"/>
      <c r="F231" s="537" t="s">
        <v>334</v>
      </c>
      <c r="G231" s="327"/>
      <c r="H231" s="566" t="s">
        <v>334</v>
      </c>
      <c r="I231" s="327"/>
      <c r="J231" s="567"/>
      <c r="K231" s="327"/>
      <c r="L231" s="567"/>
      <c r="M231" s="327"/>
      <c r="N231" s="20"/>
      <c r="O231" s="24"/>
      <c r="P231" s="524"/>
      <c r="Q231" s="327"/>
      <c r="R231" s="516"/>
      <c r="S231" s="327"/>
      <c r="T231" s="517"/>
      <c r="U231" s="327"/>
      <c r="V231" s="518"/>
      <c r="W231" s="327"/>
      <c r="X231" s="541" t="s">
        <v>303</v>
      </c>
      <c r="Y231" s="326"/>
      <c r="Z231" s="326"/>
      <c r="AA231" s="327"/>
      <c r="AB231" s="542" t="s">
        <v>303</v>
      </c>
      <c r="AC231" s="326"/>
      <c r="AD231" s="326"/>
      <c r="AE231" s="327"/>
      <c r="AF231" s="520"/>
      <c r="AG231" s="327"/>
      <c r="AH231" s="520"/>
      <c r="AI231" s="327"/>
      <c r="AJ231" s="554"/>
      <c r="AK231" s="327"/>
      <c r="AL231" s="537" t="s">
        <v>334</v>
      </c>
      <c r="AM231" s="327"/>
      <c r="AN231" s="546" t="s">
        <v>334</v>
      </c>
      <c r="AO231" s="327"/>
      <c r="AP231" s="554"/>
      <c r="AQ231" s="327"/>
      <c r="AR231" s="555"/>
      <c r="AS231" s="327"/>
      <c r="AT231" s="549"/>
      <c r="AU231" s="327"/>
      <c r="AV231" s="546" t="s">
        <v>334</v>
      </c>
      <c r="AW231" s="327"/>
      <c r="AX231" s="521"/>
      <c r="AY231" s="326"/>
      <c r="AZ231" s="327"/>
      <c r="BA231" s="536"/>
      <c r="BB231" s="327"/>
      <c r="BC231" s="25"/>
      <c r="BD231" s="544" t="s">
        <v>334</v>
      </c>
      <c r="BE231" s="327"/>
      <c r="BF231" s="552"/>
      <c r="BG231" s="326"/>
      <c r="BH231" s="326"/>
      <c r="BI231" s="327"/>
      <c r="BJ231" s="557" t="s">
        <v>303</v>
      </c>
      <c r="BK231" s="326"/>
      <c r="BL231" s="326"/>
      <c r="BM231" s="327"/>
      <c r="BN231" s="558" t="s">
        <v>303</v>
      </c>
      <c r="BO231" s="326"/>
      <c r="BP231" s="326"/>
      <c r="BQ231" s="326"/>
      <c r="BR231" s="326"/>
      <c r="BS231" s="326"/>
      <c r="BT231" s="326"/>
      <c r="BU231" s="326"/>
      <c r="BV231" s="327"/>
    </row>
    <row r="232" spans="1:74" ht="45" customHeight="1" x14ac:dyDescent="0.25">
      <c r="A232" s="10">
        <f t="shared" si="0"/>
        <v>218</v>
      </c>
      <c r="B232" s="564" t="s">
        <v>303</v>
      </c>
      <c r="C232" s="327"/>
      <c r="D232" s="565" t="s">
        <v>307</v>
      </c>
      <c r="E232" s="327"/>
      <c r="F232" s="537" t="s">
        <v>334</v>
      </c>
      <c r="G232" s="327"/>
      <c r="H232" s="561" t="s">
        <v>334</v>
      </c>
      <c r="I232" s="327"/>
      <c r="J232" s="26"/>
      <c r="K232" s="27"/>
      <c r="L232" s="26"/>
      <c r="M232" s="27"/>
      <c r="N232" s="23"/>
      <c r="O232" s="21"/>
      <c r="P232" s="563"/>
      <c r="Q232" s="327"/>
      <c r="R232" s="538"/>
      <c r="S232" s="327"/>
      <c r="T232" s="539"/>
      <c r="U232" s="327"/>
      <c r="V232" s="540"/>
      <c r="W232" s="327"/>
      <c r="X232" s="438" t="s">
        <v>303</v>
      </c>
      <c r="Y232" s="326"/>
      <c r="Z232" s="326"/>
      <c r="AA232" s="327"/>
      <c r="AB232" s="519" t="s">
        <v>303</v>
      </c>
      <c r="AC232" s="326"/>
      <c r="AD232" s="326"/>
      <c r="AE232" s="327"/>
      <c r="AF232" s="543"/>
      <c r="AG232" s="327"/>
      <c r="AH232" s="543"/>
      <c r="AI232" s="327"/>
      <c r="AJ232" s="536"/>
      <c r="AK232" s="327"/>
      <c r="AL232" s="556" t="s">
        <v>334</v>
      </c>
      <c r="AM232" s="327"/>
      <c r="AN232" s="553" t="s">
        <v>334</v>
      </c>
      <c r="AO232" s="327"/>
      <c r="AP232" s="547"/>
      <c r="AQ232" s="327"/>
      <c r="AR232" s="548"/>
      <c r="AS232" s="327"/>
      <c r="AT232" s="549"/>
      <c r="AU232" s="327"/>
      <c r="AV232" s="553" t="s">
        <v>334</v>
      </c>
      <c r="AW232" s="327"/>
      <c r="AX232" s="521"/>
      <c r="AY232" s="326"/>
      <c r="AZ232" s="327"/>
      <c r="BA232" s="550"/>
      <c r="BB232" s="327"/>
      <c r="BC232" s="22"/>
      <c r="BD232" s="551" t="s">
        <v>334</v>
      </c>
      <c r="BE232" s="327"/>
      <c r="BF232" s="545"/>
      <c r="BG232" s="326"/>
      <c r="BH232" s="326"/>
      <c r="BI232" s="327"/>
      <c r="BJ232" s="451" t="s">
        <v>303</v>
      </c>
      <c r="BK232" s="326"/>
      <c r="BL232" s="326"/>
      <c r="BM232" s="327"/>
      <c r="BN232" s="558" t="s">
        <v>303</v>
      </c>
      <c r="BO232" s="326"/>
      <c r="BP232" s="326"/>
      <c r="BQ232" s="326"/>
      <c r="BR232" s="326"/>
      <c r="BS232" s="326"/>
      <c r="BT232" s="326"/>
      <c r="BU232" s="326"/>
      <c r="BV232" s="327"/>
    </row>
    <row r="233" spans="1:74" ht="45" customHeight="1" x14ac:dyDescent="0.25">
      <c r="A233" s="10">
        <f t="shared" si="0"/>
        <v>219</v>
      </c>
      <c r="B233" s="559" t="s">
        <v>303</v>
      </c>
      <c r="C233" s="327"/>
      <c r="D233" s="560" t="s">
        <v>307</v>
      </c>
      <c r="E233" s="327"/>
      <c r="F233" s="537" t="s">
        <v>334</v>
      </c>
      <c r="G233" s="327"/>
      <c r="H233" s="566" t="s">
        <v>334</v>
      </c>
      <c r="I233" s="327"/>
      <c r="J233" s="567"/>
      <c r="K233" s="327"/>
      <c r="L233" s="567"/>
      <c r="M233" s="327"/>
      <c r="N233" s="20"/>
      <c r="O233" s="24"/>
      <c r="P233" s="524"/>
      <c r="Q233" s="327"/>
      <c r="R233" s="516"/>
      <c r="S233" s="327"/>
      <c r="T233" s="517"/>
      <c r="U233" s="327"/>
      <c r="V233" s="518"/>
      <c r="W233" s="327"/>
      <c r="X233" s="541" t="s">
        <v>303</v>
      </c>
      <c r="Y233" s="326"/>
      <c r="Z233" s="326"/>
      <c r="AA233" s="327"/>
      <c r="AB233" s="542" t="s">
        <v>303</v>
      </c>
      <c r="AC233" s="326"/>
      <c r="AD233" s="326"/>
      <c r="AE233" s="327"/>
      <c r="AF233" s="520"/>
      <c r="AG233" s="327"/>
      <c r="AH233" s="520"/>
      <c r="AI233" s="327"/>
      <c r="AJ233" s="554"/>
      <c r="AK233" s="327"/>
      <c r="AL233" s="537" t="s">
        <v>334</v>
      </c>
      <c r="AM233" s="327"/>
      <c r="AN233" s="546" t="s">
        <v>334</v>
      </c>
      <c r="AO233" s="327"/>
      <c r="AP233" s="554"/>
      <c r="AQ233" s="327"/>
      <c r="AR233" s="555"/>
      <c r="AS233" s="327"/>
      <c r="AT233" s="549"/>
      <c r="AU233" s="327"/>
      <c r="AV233" s="546" t="s">
        <v>334</v>
      </c>
      <c r="AW233" s="327"/>
      <c r="AX233" s="521"/>
      <c r="AY233" s="326"/>
      <c r="AZ233" s="327"/>
      <c r="BA233" s="536"/>
      <c r="BB233" s="327"/>
      <c r="BC233" s="25"/>
      <c r="BD233" s="544" t="s">
        <v>334</v>
      </c>
      <c r="BE233" s="327"/>
      <c r="BF233" s="508"/>
      <c r="BG233" s="326"/>
      <c r="BH233" s="326"/>
      <c r="BI233" s="327"/>
      <c r="BJ233" s="557" t="s">
        <v>303</v>
      </c>
      <c r="BK233" s="326"/>
      <c r="BL233" s="326"/>
      <c r="BM233" s="327"/>
      <c r="BN233" s="558" t="s">
        <v>303</v>
      </c>
      <c r="BO233" s="326"/>
      <c r="BP233" s="326"/>
      <c r="BQ233" s="326"/>
      <c r="BR233" s="326"/>
      <c r="BS233" s="326"/>
      <c r="BT233" s="326"/>
      <c r="BU233" s="326"/>
      <c r="BV233" s="327"/>
    </row>
    <row r="234" spans="1:74" ht="45" customHeight="1" x14ac:dyDescent="0.25">
      <c r="A234" s="10">
        <f t="shared" si="0"/>
        <v>220</v>
      </c>
      <c r="B234" s="564" t="s">
        <v>303</v>
      </c>
      <c r="C234" s="327"/>
      <c r="D234" s="565" t="s">
        <v>307</v>
      </c>
      <c r="E234" s="327"/>
      <c r="F234" s="537" t="s">
        <v>334</v>
      </c>
      <c r="G234" s="327"/>
      <c r="H234" s="561" t="s">
        <v>334</v>
      </c>
      <c r="I234" s="327"/>
      <c r="J234" s="26"/>
      <c r="K234" s="27"/>
      <c r="L234" s="26"/>
      <c r="M234" s="27"/>
      <c r="N234" s="23"/>
      <c r="O234" s="21"/>
      <c r="P234" s="563"/>
      <c r="Q234" s="327"/>
      <c r="R234" s="538"/>
      <c r="S234" s="327"/>
      <c r="T234" s="539"/>
      <c r="U234" s="327"/>
      <c r="V234" s="540"/>
      <c r="W234" s="327"/>
      <c r="X234" s="438" t="s">
        <v>303</v>
      </c>
      <c r="Y234" s="326"/>
      <c r="Z234" s="326"/>
      <c r="AA234" s="327"/>
      <c r="AB234" s="519" t="s">
        <v>303</v>
      </c>
      <c r="AC234" s="326"/>
      <c r="AD234" s="326"/>
      <c r="AE234" s="327"/>
      <c r="AF234" s="543"/>
      <c r="AG234" s="327"/>
      <c r="AH234" s="543"/>
      <c r="AI234" s="327"/>
      <c r="AJ234" s="536"/>
      <c r="AK234" s="327"/>
      <c r="AL234" s="556" t="s">
        <v>334</v>
      </c>
      <c r="AM234" s="327"/>
      <c r="AN234" s="553" t="s">
        <v>334</v>
      </c>
      <c r="AO234" s="327"/>
      <c r="AP234" s="547"/>
      <c r="AQ234" s="327"/>
      <c r="AR234" s="548"/>
      <c r="AS234" s="327"/>
      <c r="AT234" s="549"/>
      <c r="AU234" s="327"/>
      <c r="AV234" s="553" t="s">
        <v>334</v>
      </c>
      <c r="AW234" s="327"/>
      <c r="AX234" s="521"/>
      <c r="AY234" s="326"/>
      <c r="AZ234" s="327"/>
      <c r="BA234" s="550"/>
      <c r="BB234" s="327"/>
      <c r="BC234" s="22"/>
      <c r="BD234" s="551" t="s">
        <v>334</v>
      </c>
      <c r="BE234" s="327"/>
      <c r="BF234" s="545"/>
      <c r="BG234" s="326"/>
      <c r="BH234" s="326"/>
      <c r="BI234" s="327"/>
      <c r="BJ234" s="451" t="s">
        <v>303</v>
      </c>
      <c r="BK234" s="326"/>
      <c r="BL234" s="326"/>
      <c r="BM234" s="327"/>
      <c r="BN234" s="558" t="s">
        <v>303</v>
      </c>
      <c r="BO234" s="326"/>
      <c r="BP234" s="326"/>
      <c r="BQ234" s="326"/>
      <c r="BR234" s="326"/>
      <c r="BS234" s="326"/>
      <c r="BT234" s="326"/>
      <c r="BU234" s="326"/>
      <c r="BV234" s="327"/>
    </row>
    <row r="235" spans="1:74" ht="45" customHeight="1" x14ac:dyDescent="0.25">
      <c r="A235" s="10">
        <f t="shared" si="0"/>
        <v>221</v>
      </c>
      <c r="B235" s="559" t="s">
        <v>303</v>
      </c>
      <c r="C235" s="327"/>
      <c r="D235" s="560" t="s">
        <v>307</v>
      </c>
      <c r="E235" s="327"/>
      <c r="F235" s="537" t="s">
        <v>334</v>
      </c>
      <c r="G235" s="327"/>
      <c r="H235" s="566" t="s">
        <v>334</v>
      </c>
      <c r="I235" s="327"/>
      <c r="J235" s="567"/>
      <c r="K235" s="327"/>
      <c r="L235" s="567"/>
      <c r="M235" s="327"/>
      <c r="N235" s="20"/>
      <c r="O235" s="24"/>
      <c r="P235" s="524"/>
      <c r="Q235" s="327"/>
      <c r="R235" s="516"/>
      <c r="S235" s="327"/>
      <c r="T235" s="517"/>
      <c r="U235" s="327"/>
      <c r="V235" s="518"/>
      <c r="W235" s="327"/>
      <c r="X235" s="541" t="s">
        <v>303</v>
      </c>
      <c r="Y235" s="326"/>
      <c r="Z235" s="326"/>
      <c r="AA235" s="327"/>
      <c r="AB235" s="542" t="s">
        <v>303</v>
      </c>
      <c r="AC235" s="326"/>
      <c r="AD235" s="326"/>
      <c r="AE235" s="327"/>
      <c r="AF235" s="520"/>
      <c r="AG235" s="327"/>
      <c r="AH235" s="520"/>
      <c r="AI235" s="327"/>
      <c r="AJ235" s="554"/>
      <c r="AK235" s="327"/>
      <c r="AL235" s="537" t="s">
        <v>334</v>
      </c>
      <c r="AM235" s="327"/>
      <c r="AN235" s="546" t="s">
        <v>334</v>
      </c>
      <c r="AO235" s="327"/>
      <c r="AP235" s="554"/>
      <c r="AQ235" s="327"/>
      <c r="AR235" s="555"/>
      <c r="AS235" s="327"/>
      <c r="AT235" s="549"/>
      <c r="AU235" s="327"/>
      <c r="AV235" s="546" t="s">
        <v>334</v>
      </c>
      <c r="AW235" s="327"/>
      <c r="AX235" s="521"/>
      <c r="AY235" s="326"/>
      <c r="AZ235" s="327"/>
      <c r="BA235" s="536"/>
      <c r="BB235" s="327"/>
      <c r="BC235" s="25"/>
      <c r="BD235" s="544" t="s">
        <v>334</v>
      </c>
      <c r="BE235" s="327"/>
      <c r="BF235" s="508"/>
      <c r="BG235" s="326"/>
      <c r="BH235" s="326"/>
      <c r="BI235" s="327"/>
      <c r="BJ235" s="557" t="s">
        <v>303</v>
      </c>
      <c r="BK235" s="326"/>
      <c r="BL235" s="326"/>
      <c r="BM235" s="327"/>
      <c r="BN235" s="558" t="s">
        <v>303</v>
      </c>
      <c r="BO235" s="326"/>
      <c r="BP235" s="326"/>
      <c r="BQ235" s="326"/>
      <c r="BR235" s="326"/>
      <c r="BS235" s="326"/>
      <c r="BT235" s="326"/>
      <c r="BU235" s="326"/>
      <c r="BV235" s="327"/>
    </row>
    <row r="236" spans="1:74" ht="45" customHeight="1" x14ac:dyDescent="0.25">
      <c r="A236" s="10">
        <f t="shared" si="0"/>
        <v>222</v>
      </c>
      <c r="B236" s="564" t="s">
        <v>303</v>
      </c>
      <c r="C236" s="327"/>
      <c r="D236" s="565" t="s">
        <v>307</v>
      </c>
      <c r="E236" s="327"/>
      <c r="F236" s="537" t="s">
        <v>334</v>
      </c>
      <c r="G236" s="327"/>
      <c r="H236" s="561" t="s">
        <v>334</v>
      </c>
      <c r="I236" s="327"/>
      <c r="J236" s="26"/>
      <c r="K236" s="27"/>
      <c r="L236" s="26"/>
      <c r="M236" s="27"/>
      <c r="N236" s="23"/>
      <c r="O236" s="21"/>
      <c r="P236" s="563"/>
      <c r="Q236" s="327"/>
      <c r="R236" s="538"/>
      <c r="S236" s="327"/>
      <c r="T236" s="539"/>
      <c r="U236" s="327"/>
      <c r="V236" s="540"/>
      <c r="W236" s="327"/>
      <c r="X236" s="438" t="s">
        <v>303</v>
      </c>
      <c r="Y236" s="326"/>
      <c r="Z236" s="326"/>
      <c r="AA236" s="327"/>
      <c r="AB236" s="519" t="s">
        <v>303</v>
      </c>
      <c r="AC236" s="326"/>
      <c r="AD236" s="326"/>
      <c r="AE236" s="327"/>
      <c r="AF236" s="543"/>
      <c r="AG236" s="327"/>
      <c r="AH236" s="543"/>
      <c r="AI236" s="327"/>
      <c r="AJ236" s="536"/>
      <c r="AK236" s="327"/>
      <c r="AL236" s="556" t="s">
        <v>334</v>
      </c>
      <c r="AM236" s="327"/>
      <c r="AN236" s="553" t="s">
        <v>334</v>
      </c>
      <c r="AO236" s="327"/>
      <c r="AP236" s="547"/>
      <c r="AQ236" s="327"/>
      <c r="AR236" s="548"/>
      <c r="AS236" s="327"/>
      <c r="AT236" s="549"/>
      <c r="AU236" s="327"/>
      <c r="AV236" s="553" t="s">
        <v>334</v>
      </c>
      <c r="AW236" s="327"/>
      <c r="AX236" s="521"/>
      <c r="AY236" s="326"/>
      <c r="AZ236" s="327"/>
      <c r="BA236" s="550"/>
      <c r="BB236" s="327"/>
      <c r="BC236" s="22"/>
      <c r="BD236" s="551" t="s">
        <v>334</v>
      </c>
      <c r="BE236" s="327"/>
      <c r="BF236" s="545"/>
      <c r="BG236" s="326"/>
      <c r="BH236" s="326"/>
      <c r="BI236" s="327"/>
      <c r="BJ236" s="451" t="s">
        <v>303</v>
      </c>
      <c r="BK236" s="326"/>
      <c r="BL236" s="326"/>
      <c r="BM236" s="327"/>
      <c r="BN236" s="558" t="s">
        <v>303</v>
      </c>
      <c r="BO236" s="326"/>
      <c r="BP236" s="326"/>
      <c r="BQ236" s="326"/>
      <c r="BR236" s="326"/>
      <c r="BS236" s="326"/>
      <c r="BT236" s="326"/>
      <c r="BU236" s="326"/>
      <c r="BV236" s="327"/>
    </row>
    <row r="237" spans="1:74" ht="45" customHeight="1" x14ac:dyDescent="0.25">
      <c r="A237" s="10">
        <f t="shared" si="0"/>
        <v>223</v>
      </c>
      <c r="B237" s="559" t="s">
        <v>303</v>
      </c>
      <c r="C237" s="327"/>
      <c r="D237" s="560" t="s">
        <v>307</v>
      </c>
      <c r="E237" s="327"/>
      <c r="F237" s="537" t="s">
        <v>334</v>
      </c>
      <c r="G237" s="327"/>
      <c r="H237" s="566" t="s">
        <v>334</v>
      </c>
      <c r="I237" s="327"/>
      <c r="J237" s="567"/>
      <c r="K237" s="327"/>
      <c r="L237" s="567"/>
      <c r="M237" s="327"/>
      <c r="N237" s="20"/>
      <c r="O237" s="24"/>
      <c r="P237" s="524"/>
      <c r="Q237" s="327"/>
      <c r="R237" s="516"/>
      <c r="S237" s="327"/>
      <c r="T237" s="517"/>
      <c r="U237" s="327"/>
      <c r="V237" s="518"/>
      <c r="W237" s="327"/>
      <c r="X237" s="541" t="s">
        <v>303</v>
      </c>
      <c r="Y237" s="326"/>
      <c r="Z237" s="326"/>
      <c r="AA237" s="327"/>
      <c r="AB237" s="542" t="s">
        <v>303</v>
      </c>
      <c r="AC237" s="326"/>
      <c r="AD237" s="326"/>
      <c r="AE237" s="327"/>
      <c r="AF237" s="520"/>
      <c r="AG237" s="327"/>
      <c r="AH237" s="520"/>
      <c r="AI237" s="327"/>
      <c r="AJ237" s="554"/>
      <c r="AK237" s="327"/>
      <c r="AL237" s="537" t="s">
        <v>334</v>
      </c>
      <c r="AM237" s="327"/>
      <c r="AN237" s="546" t="s">
        <v>334</v>
      </c>
      <c r="AO237" s="327"/>
      <c r="AP237" s="554"/>
      <c r="AQ237" s="327"/>
      <c r="AR237" s="555"/>
      <c r="AS237" s="327"/>
      <c r="AT237" s="549"/>
      <c r="AU237" s="327"/>
      <c r="AV237" s="546" t="s">
        <v>334</v>
      </c>
      <c r="AW237" s="327"/>
      <c r="AX237" s="521"/>
      <c r="AY237" s="326"/>
      <c r="AZ237" s="327"/>
      <c r="BA237" s="536"/>
      <c r="BB237" s="327"/>
      <c r="BC237" s="25"/>
      <c r="BD237" s="544" t="s">
        <v>334</v>
      </c>
      <c r="BE237" s="327"/>
      <c r="BF237" s="552"/>
      <c r="BG237" s="326"/>
      <c r="BH237" s="326"/>
      <c r="BI237" s="327"/>
      <c r="BJ237" s="557" t="s">
        <v>303</v>
      </c>
      <c r="BK237" s="326"/>
      <c r="BL237" s="326"/>
      <c r="BM237" s="327"/>
      <c r="BN237" s="558" t="s">
        <v>303</v>
      </c>
      <c r="BO237" s="326"/>
      <c r="BP237" s="326"/>
      <c r="BQ237" s="326"/>
      <c r="BR237" s="326"/>
      <c r="BS237" s="326"/>
      <c r="BT237" s="326"/>
      <c r="BU237" s="326"/>
      <c r="BV237" s="327"/>
    </row>
    <row r="238" spans="1:74" ht="45" customHeight="1" x14ac:dyDescent="0.25">
      <c r="A238" s="10">
        <f t="shared" si="0"/>
        <v>224</v>
      </c>
      <c r="B238" s="564" t="s">
        <v>303</v>
      </c>
      <c r="C238" s="327"/>
      <c r="D238" s="565" t="s">
        <v>307</v>
      </c>
      <c r="E238" s="327"/>
      <c r="F238" s="537" t="s">
        <v>334</v>
      </c>
      <c r="G238" s="327"/>
      <c r="H238" s="561" t="s">
        <v>334</v>
      </c>
      <c r="I238" s="327"/>
      <c r="J238" s="26"/>
      <c r="K238" s="27"/>
      <c r="L238" s="26"/>
      <c r="M238" s="27"/>
      <c r="N238" s="23"/>
      <c r="O238" s="21"/>
      <c r="P238" s="563"/>
      <c r="Q238" s="327"/>
      <c r="R238" s="538"/>
      <c r="S238" s="327"/>
      <c r="T238" s="539"/>
      <c r="U238" s="327"/>
      <c r="V238" s="540"/>
      <c r="W238" s="327"/>
      <c r="X238" s="438" t="s">
        <v>303</v>
      </c>
      <c r="Y238" s="326"/>
      <c r="Z238" s="326"/>
      <c r="AA238" s="327"/>
      <c r="AB238" s="519" t="s">
        <v>303</v>
      </c>
      <c r="AC238" s="326"/>
      <c r="AD238" s="326"/>
      <c r="AE238" s="327"/>
      <c r="AF238" s="543"/>
      <c r="AG238" s="327"/>
      <c r="AH238" s="543"/>
      <c r="AI238" s="327"/>
      <c r="AJ238" s="536"/>
      <c r="AK238" s="327"/>
      <c r="AL238" s="556" t="s">
        <v>334</v>
      </c>
      <c r="AM238" s="327"/>
      <c r="AN238" s="553" t="s">
        <v>334</v>
      </c>
      <c r="AO238" s="327"/>
      <c r="AP238" s="547"/>
      <c r="AQ238" s="327"/>
      <c r="AR238" s="548"/>
      <c r="AS238" s="327"/>
      <c r="AT238" s="549"/>
      <c r="AU238" s="327"/>
      <c r="AV238" s="553" t="s">
        <v>334</v>
      </c>
      <c r="AW238" s="327"/>
      <c r="AX238" s="521"/>
      <c r="AY238" s="326"/>
      <c r="AZ238" s="327"/>
      <c r="BA238" s="550"/>
      <c r="BB238" s="327"/>
      <c r="BC238" s="22"/>
      <c r="BD238" s="551" t="s">
        <v>334</v>
      </c>
      <c r="BE238" s="327"/>
      <c r="BF238" s="545"/>
      <c r="BG238" s="326"/>
      <c r="BH238" s="326"/>
      <c r="BI238" s="327"/>
      <c r="BJ238" s="451" t="s">
        <v>303</v>
      </c>
      <c r="BK238" s="326"/>
      <c r="BL238" s="326"/>
      <c r="BM238" s="327"/>
      <c r="BN238" s="558" t="s">
        <v>303</v>
      </c>
      <c r="BO238" s="326"/>
      <c r="BP238" s="326"/>
      <c r="BQ238" s="326"/>
      <c r="BR238" s="326"/>
      <c r="BS238" s="326"/>
      <c r="BT238" s="326"/>
      <c r="BU238" s="326"/>
      <c r="BV238" s="327"/>
    </row>
    <row r="239" spans="1:74" ht="45" customHeight="1" x14ac:dyDescent="0.25">
      <c r="A239" s="10">
        <f t="shared" si="0"/>
        <v>225</v>
      </c>
      <c r="B239" s="559" t="s">
        <v>303</v>
      </c>
      <c r="C239" s="327"/>
      <c r="D239" s="560" t="s">
        <v>307</v>
      </c>
      <c r="E239" s="327"/>
      <c r="F239" s="537" t="s">
        <v>334</v>
      </c>
      <c r="G239" s="327"/>
      <c r="H239" s="566" t="s">
        <v>334</v>
      </c>
      <c r="I239" s="327"/>
      <c r="J239" s="567"/>
      <c r="K239" s="327"/>
      <c r="L239" s="567"/>
      <c r="M239" s="327"/>
      <c r="N239" s="20"/>
      <c r="O239" s="24"/>
      <c r="P239" s="524"/>
      <c r="Q239" s="327"/>
      <c r="R239" s="516"/>
      <c r="S239" s="327"/>
      <c r="T239" s="517"/>
      <c r="U239" s="327"/>
      <c r="V239" s="518"/>
      <c r="W239" s="327"/>
      <c r="X239" s="541" t="s">
        <v>303</v>
      </c>
      <c r="Y239" s="326"/>
      <c r="Z239" s="326"/>
      <c r="AA239" s="327"/>
      <c r="AB239" s="542" t="s">
        <v>303</v>
      </c>
      <c r="AC239" s="326"/>
      <c r="AD239" s="326"/>
      <c r="AE239" s="327"/>
      <c r="AF239" s="520"/>
      <c r="AG239" s="327"/>
      <c r="AH239" s="520"/>
      <c r="AI239" s="327"/>
      <c r="AJ239" s="554"/>
      <c r="AK239" s="327"/>
      <c r="AL239" s="537" t="s">
        <v>334</v>
      </c>
      <c r="AM239" s="327"/>
      <c r="AN239" s="546" t="s">
        <v>334</v>
      </c>
      <c r="AO239" s="327"/>
      <c r="AP239" s="554"/>
      <c r="AQ239" s="327"/>
      <c r="AR239" s="555"/>
      <c r="AS239" s="327"/>
      <c r="AT239" s="549"/>
      <c r="AU239" s="327"/>
      <c r="AV239" s="546" t="s">
        <v>334</v>
      </c>
      <c r="AW239" s="327"/>
      <c r="AX239" s="521"/>
      <c r="AY239" s="326"/>
      <c r="AZ239" s="327"/>
      <c r="BA239" s="536"/>
      <c r="BB239" s="327"/>
      <c r="BC239" s="25"/>
      <c r="BD239" s="544" t="s">
        <v>334</v>
      </c>
      <c r="BE239" s="327"/>
      <c r="BF239" s="508"/>
      <c r="BG239" s="326"/>
      <c r="BH239" s="326"/>
      <c r="BI239" s="327"/>
      <c r="BJ239" s="557" t="s">
        <v>303</v>
      </c>
      <c r="BK239" s="326"/>
      <c r="BL239" s="326"/>
      <c r="BM239" s="327"/>
      <c r="BN239" s="558" t="s">
        <v>303</v>
      </c>
      <c r="BO239" s="326"/>
      <c r="BP239" s="326"/>
      <c r="BQ239" s="326"/>
      <c r="BR239" s="326"/>
      <c r="BS239" s="326"/>
      <c r="BT239" s="326"/>
      <c r="BU239" s="326"/>
      <c r="BV239" s="327"/>
    </row>
    <row r="240" spans="1:74" ht="45" customHeight="1" x14ac:dyDescent="0.25">
      <c r="A240" s="10">
        <f t="shared" si="0"/>
        <v>226</v>
      </c>
      <c r="B240" s="564" t="s">
        <v>303</v>
      </c>
      <c r="C240" s="327"/>
      <c r="D240" s="565" t="s">
        <v>307</v>
      </c>
      <c r="E240" s="327"/>
      <c r="F240" s="537" t="s">
        <v>334</v>
      </c>
      <c r="G240" s="327"/>
      <c r="H240" s="561" t="s">
        <v>334</v>
      </c>
      <c r="I240" s="327"/>
      <c r="J240" s="26"/>
      <c r="K240" s="27"/>
      <c r="L240" s="26"/>
      <c r="M240" s="27"/>
      <c r="N240" s="23"/>
      <c r="O240" s="21"/>
      <c r="P240" s="563"/>
      <c r="Q240" s="327"/>
      <c r="R240" s="538"/>
      <c r="S240" s="327"/>
      <c r="T240" s="539"/>
      <c r="U240" s="327"/>
      <c r="V240" s="540"/>
      <c r="W240" s="327"/>
      <c r="X240" s="438" t="s">
        <v>303</v>
      </c>
      <c r="Y240" s="326"/>
      <c r="Z240" s="326"/>
      <c r="AA240" s="327"/>
      <c r="AB240" s="519" t="s">
        <v>303</v>
      </c>
      <c r="AC240" s="326"/>
      <c r="AD240" s="326"/>
      <c r="AE240" s="327"/>
      <c r="AF240" s="543"/>
      <c r="AG240" s="327"/>
      <c r="AH240" s="543"/>
      <c r="AI240" s="327"/>
      <c r="AJ240" s="536"/>
      <c r="AK240" s="327"/>
      <c r="AL240" s="556" t="s">
        <v>334</v>
      </c>
      <c r="AM240" s="327"/>
      <c r="AN240" s="553" t="s">
        <v>334</v>
      </c>
      <c r="AO240" s="327"/>
      <c r="AP240" s="547"/>
      <c r="AQ240" s="327"/>
      <c r="AR240" s="548"/>
      <c r="AS240" s="327"/>
      <c r="AT240" s="549"/>
      <c r="AU240" s="327"/>
      <c r="AV240" s="553" t="s">
        <v>334</v>
      </c>
      <c r="AW240" s="327"/>
      <c r="AX240" s="521"/>
      <c r="AY240" s="326"/>
      <c r="AZ240" s="327"/>
      <c r="BA240" s="550"/>
      <c r="BB240" s="327"/>
      <c r="BC240" s="22"/>
      <c r="BD240" s="551" t="s">
        <v>334</v>
      </c>
      <c r="BE240" s="327"/>
      <c r="BF240" s="545"/>
      <c r="BG240" s="326"/>
      <c r="BH240" s="326"/>
      <c r="BI240" s="327"/>
      <c r="BJ240" s="451" t="s">
        <v>303</v>
      </c>
      <c r="BK240" s="326"/>
      <c r="BL240" s="326"/>
      <c r="BM240" s="327"/>
      <c r="BN240" s="558" t="s">
        <v>303</v>
      </c>
      <c r="BO240" s="326"/>
      <c r="BP240" s="326"/>
      <c r="BQ240" s="326"/>
      <c r="BR240" s="326"/>
      <c r="BS240" s="326"/>
      <c r="BT240" s="326"/>
      <c r="BU240" s="326"/>
      <c r="BV240" s="327"/>
    </row>
    <row r="241" spans="1:74" ht="45" customHeight="1" x14ac:dyDescent="0.25">
      <c r="A241" s="10">
        <f t="shared" si="0"/>
        <v>227</v>
      </c>
      <c r="B241" s="559" t="s">
        <v>303</v>
      </c>
      <c r="C241" s="327"/>
      <c r="D241" s="560" t="s">
        <v>307</v>
      </c>
      <c r="E241" s="327"/>
      <c r="F241" s="537" t="s">
        <v>334</v>
      </c>
      <c r="G241" s="327"/>
      <c r="H241" s="566" t="s">
        <v>334</v>
      </c>
      <c r="I241" s="327"/>
      <c r="J241" s="567"/>
      <c r="K241" s="327"/>
      <c r="L241" s="567"/>
      <c r="M241" s="327"/>
      <c r="N241" s="20"/>
      <c r="O241" s="24"/>
      <c r="P241" s="524"/>
      <c r="Q241" s="327"/>
      <c r="R241" s="516"/>
      <c r="S241" s="327"/>
      <c r="T241" s="517"/>
      <c r="U241" s="327"/>
      <c r="V241" s="518"/>
      <c r="W241" s="327"/>
      <c r="X241" s="541" t="s">
        <v>303</v>
      </c>
      <c r="Y241" s="326"/>
      <c r="Z241" s="326"/>
      <c r="AA241" s="327"/>
      <c r="AB241" s="542" t="s">
        <v>303</v>
      </c>
      <c r="AC241" s="326"/>
      <c r="AD241" s="326"/>
      <c r="AE241" s="327"/>
      <c r="AF241" s="520"/>
      <c r="AG241" s="327"/>
      <c r="AH241" s="520"/>
      <c r="AI241" s="327"/>
      <c r="AJ241" s="554"/>
      <c r="AK241" s="327"/>
      <c r="AL241" s="537" t="s">
        <v>334</v>
      </c>
      <c r="AM241" s="327"/>
      <c r="AN241" s="546" t="s">
        <v>334</v>
      </c>
      <c r="AO241" s="327"/>
      <c r="AP241" s="554"/>
      <c r="AQ241" s="327"/>
      <c r="AR241" s="555"/>
      <c r="AS241" s="327"/>
      <c r="AT241" s="549"/>
      <c r="AU241" s="327"/>
      <c r="AV241" s="546" t="s">
        <v>334</v>
      </c>
      <c r="AW241" s="327"/>
      <c r="AX241" s="521"/>
      <c r="AY241" s="326"/>
      <c r="AZ241" s="327"/>
      <c r="BA241" s="536"/>
      <c r="BB241" s="327"/>
      <c r="BC241" s="25"/>
      <c r="BD241" s="544" t="s">
        <v>334</v>
      </c>
      <c r="BE241" s="327"/>
      <c r="BF241" s="552"/>
      <c r="BG241" s="326"/>
      <c r="BH241" s="326"/>
      <c r="BI241" s="327"/>
      <c r="BJ241" s="557" t="s">
        <v>303</v>
      </c>
      <c r="BK241" s="326"/>
      <c r="BL241" s="326"/>
      <c r="BM241" s="327"/>
      <c r="BN241" s="558" t="s">
        <v>303</v>
      </c>
      <c r="BO241" s="326"/>
      <c r="BP241" s="326"/>
      <c r="BQ241" s="326"/>
      <c r="BR241" s="326"/>
      <c r="BS241" s="326"/>
      <c r="BT241" s="326"/>
      <c r="BU241" s="326"/>
      <c r="BV241" s="327"/>
    </row>
    <row r="242" spans="1:74" ht="45" customHeight="1" x14ac:dyDescent="0.25">
      <c r="A242" s="10">
        <f t="shared" si="0"/>
        <v>228</v>
      </c>
      <c r="B242" s="564" t="s">
        <v>303</v>
      </c>
      <c r="C242" s="327"/>
      <c r="D242" s="565" t="s">
        <v>307</v>
      </c>
      <c r="E242" s="327"/>
      <c r="F242" s="537" t="s">
        <v>334</v>
      </c>
      <c r="G242" s="327"/>
      <c r="H242" s="561" t="s">
        <v>334</v>
      </c>
      <c r="I242" s="327"/>
      <c r="J242" s="26"/>
      <c r="K242" s="27"/>
      <c r="L242" s="26"/>
      <c r="M242" s="27"/>
      <c r="N242" s="23"/>
      <c r="O242" s="21"/>
      <c r="P242" s="563"/>
      <c r="Q242" s="327"/>
      <c r="R242" s="538"/>
      <c r="S242" s="327"/>
      <c r="T242" s="539"/>
      <c r="U242" s="327"/>
      <c r="V242" s="540"/>
      <c r="W242" s="327"/>
      <c r="X242" s="438" t="s">
        <v>303</v>
      </c>
      <c r="Y242" s="326"/>
      <c r="Z242" s="326"/>
      <c r="AA242" s="327"/>
      <c r="AB242" s="519" t="s">
        <v>303</v>
      </c>
      <c r="AC242" s="326"/>
      <c r="AD242" s="326"/>
      <c r="AE242" s="327"/>
      <c r="AF242" s="543"/>
      <c r="AG242" s="327"/>
      <c r="AH242" s="543"/>
      <c r="AI242" s="327"/>
      <c r="AJ242" s="536"/>
      <c r="AK242" s="327"/>
      <c r="AL242" s="556" t="s">
        <v>334</v>
      </c>
      <c r="AM242" s="327"/>
      <c r="AN242" s="553" t="s">
        <v>334</v>
      </c>
      <c r="AO242" s="327"/>
      <c r="AP242" s="547"/>
      <c r="AQ242" s="327"/>
      <c r="AR242" s="548"/>
      <c r="AS242" s="327"/>
      <c r="AT242" s="549"/>
      <c r="AU242" s="327"/>
      <c r="AV242" s="553" t="s">
        <v>334</v>
      </c>
      <c r="AW242" s="327"/>
      <c r="AX242" s="521"/>
      <c r="AY242" s="326"/>
      <c r="AZ242" s="327"/>
      <c r="BA242" s="550"/>
      <c r="BB242" s="327"/>
      <c r="BC242" s="22"/>
      <c r="BD242" s="551" t="s">
        <v>334</v>
      </c>
      <c r="BE242" s="327"/>
      <c r="BF242" s="545"/>
      <c r="BG242" s="326"/>
      <c r="BH242" s="326"/>
      <c r="BI242" s="327"/>
      <c r="BJ242" s="451" t="s">
        <v>303</v>
      </c>
      <c r="BK242" s="326"/>
      <c r="BL242" s="326"/>
      <c r="BM242" s="327"/>
      <c r="BN242" s="558" t="s">
        <v>303</v>
      </c>
      <c r="BO242" s="326"/>
      <c r="BP242" s="326"/>
      <c r="BQ242" s="326"/>
      <c r="BR242" s="326"/>
      <c r="BS242" s="326"/>
      <c r="BT242" s="326"/>
      <c r="BU242" s="326"/>
      <c r="BV242" s="327"/>
    </row>
    <row r="243" spans="1:74" ht="45" customHeight="1" x14ac:dyDescent="0.25">
      <c r="A243" s="10">
        <f t="shared" si="0"/>
        <v>229</v>
      </c>
      <c r="B243" s="559" t="s">
        <v>303</v>
      </c>
      <c r="C243" s="327"/>
      <c r="D243" s="560" t="s">
        <v>307</v>
      </c>
      <c r="E243" s="327"/>
      <c r="F243" s="537" t="s">
        <v>334</v>
      </c>
      <c r="G243" s="327"/>
      <c r="H243" s="566" t="s">
        <v>334</v>
      </c>
      <c r="I243" s="327"/>
      <c r="J243" s="567"/>
      <c r="K243" s="327"/>
      <c r="L243" s="567"/>
      <c r="M243" s="327"/>
      <c r="N243" s="20"/>
      <c r="O243" s="24"/>
      <c r="P243" s="524"/>
      <c r="Q243" s="327"/>
      <c r="R243" s="516"/>
      <c r="S243" s="327"/>
      <c r="T243" s="517"/>
      <c r="U243" s="327"/>
      <c r="V243" s="518"/>
      <c r="W243" s="327"/>
      <c r="X243" s="541" t="s">
        <v>303</v>
      </c>
      <c r="Y243" s="326"/>
      <c r="Z243" s="326"/>
      <c r="AA243" s="327"/>
      <c r="AB243" s="542" t="s">
        <v>303</v>
      </c>
      <c r="AC243" s="326"/>
      <c r="AD243" s="326"/>
      <c r="AE243" s="327"/>
      <c r="AF243" s="520"/>
      <c r="AG243" s="327"/>
      <c r="AH243" s="520"/>
      <c r="AI243" s="327"/>
      <c r="AJ243" s="554"/>
      <c r="AK243" s="327"/>
      <c r="AL243" s="537" t="s">
        <v>334</v>
      </c>
      <c r="AM243" s="327"/>
      <c r="AN243" s="546" t="s">
        <v>334</v>
      </c>
      <c r="AO243" s="327"/>
      <c r="AP243" s="554"/>
      <c r="AQ243" s="327"/>
      <c r="AR243" s="555"/>
      <c r="AS243" s="327"/>
      <c r="AT243" s="549"/>
      <c r="AU243" s="327"/>
      <c r="AV243" s="546" t="s">
        <v>334</v>
      </c>
      <c r="AW243" s="327"/>
      <c r="AX243" s="521"/>
      <c r="AY243" s="326"/>
      <c r="AZ243" s="327"/>
      <c r="BA243" s="536"/>
      <c r="BB243" s="327"/>
      <c r="BC243" s="25"/>
      <c r="BD243" s="544" t="s">
        <v>334</v>
      </c>
      <c r="BE243" s="327"/>
      <c r="BF243" s="508"/>
      <c r="BG243" s="326"/>
      <c r="BH243" s="326"/>
      <c r="BI243" s="327"/>
      <c r="BJ243" s="557" t="s">
        <v>303</v>
      </c>
      <c r="BK243" s="326"/>
      <c r="BL243" s="326"/>
      <c r="BM243" s="327"/>
      <c r="BN243" s="558" t="s">
        <v>303</v>
      </c>
      <c r="BO243" s="326"/>
      <c r="BP243" s="326"/>
      <c r="BQ243" s="326"/>
      <c r="BR243" s="326"/>
      <c r="BS243" s="326"/>
      <c r="BT243" s="326"/>
      <c r="BU243" s="326"/>
      <c r="BV243" s="327"/>
    </row>
    <row r="244" spans="1:74" ht="45" customHeight="1" x14ac:dyDescent="0.25">
      <c r="A244" s="10">
        <f t="shared" si="0"/>
        <v>230</v>
      </c>
      <c r="B244" s="564" t="s">
        <v>303</v>
      </c>
      <c r="C244" s="327"/>
      <c r="D244" s="565" t="s">
        <v>307</v>
      </c>
      <c r="E244" s="327"/>
      <c r="F244" s="537" t="s">
        <v>334</v>
      </c>
      <c r="G244" s="327"/>
      <c r="H244" s="561" t="s">
        <v>334</v>
      </c>
      <c r="I244" s="327"/>
      <c r="J244" s="26"/>
      <c r="K244" s="27"/>
      <c r="L244" s="26"/>
      <c r="M244" s="27"/>
      <c r="N244" s="23"/>
      <c r="O244" s="21"/>
      <c r="P244" s="563"/>
      <c r="Q244" s="327"/>
      <c r="R244" s="538"/>
      <c r="S244" s="327"/>
      <c r="T244" s="539"/>
      <c r="U244" s="327"/>
      <c r="V244" s="540"/>
      <c r="W244" s="327"/>
      <c r="X244" s="438" t="s">
        <v>303</v>
      </c>
      <c r="Y244" s="326"/>
      <c r="Z244" s="326"/>
      <c r="AA244" s="327"/>
      <c r="AB244" s="519" t="s">
        <v>303</v>
      </c>
      <c r="AC244" s="326"/>
      <c r="AD244" s="326"/>
      <c r="AE244" s="327"/>
      <c r="AF244" s="543"/>
      <c r="AG244" s="327"/>
      <c r="AH244" s="543"/>
      <c r="AI244" s="327"/>
      <c r="AJ244" s="536"/>
      <c r="AK244" s="327"/>
      <c r="AL244" s="556" t="s">
        <v>334</v>
      </c>
      <c r="AM244" s="327"/>
      <c r="AN244" s="553" t="s">
        <v>334</v>
      </c>
      <c r="AO244" s="327"/>
      <c r="AP244" s="547"/>
      <c r="AQ244" s="327"/>
      <c r="AR244" s="548"/>
      <c r="AS244" s="327"/>
      <c r="AT244" s="549"/>
      <c r="AU244" s="327"/>
      <c r="AV244" s="553" t="s">
        <v>334</v>
      </c>
      <c r="AW244" s="327"/>
      <c r="AX244" s="521"/>
      <c r="AY244" s="326"/>
      <c r="AZ244" s="327"/>
      <c r="BA244" s="550"/>
      <c r="BB244" s="327"/>
      <c r="BC244" s="22"/>
      <c r="BD244" s="551" t="s">
        <v>334</v>
      </c>
      <c r="BE244" s="327"/>
      <c r="BF244" s="545"/>
      <c r="BG244" s="326"/>
      <c r="BH244" s="326"/>
      <c r="BI244" s="327"/>
      <c r="BJ244" s="451" t="s">
        <v>303</v>
      </c>
      <c r="BK244" s="326"/>
      <c r="BL244" s="326"/>
      <c r="BM244" s="327"/>
      <c r="BN244" s="558" t="s">
        <v>303</v>
      </c>
      <c r="BO244" s="326"/>
      <c r="BP244" s="326"/>
      <c r="BQ244" s="326"/>
      <c r="BR244" s="326"/>
      <c r="BS244" s="326"/>
      <c r="BT244" s="326"/>
      <c r="BU244" s="326"/>
      <c r="BV244" s="327"/>
    </row>
    <row r="245" spans="1:74" ht="45" customHeight="1" x14ac:dyDescent="0.25">
      <c r="A245" s="10">
        <f t="shared" si="0"/>
        <v>231</v>
      </c>
      <c r="B245" s="559" t="s">
        <v>303</v>
      </c>
      <c r="C245" s="327"/>
      <c r="D245" s="560" t="s">
        <v>307</v>
      </c>
      <c r="E245" s="327"/>
      <c r="F245" s="537" t="s">
        <v>334</v>
      </c>
      <c r="G245" s="327"/>
      <c r="H245" s="566" t="s">
        <v>334</v>
      </c>
      <c r="I245" s="327"/>
      <c r="J245" s="567"/>
      <c r="K245" s="327"/>
      <c r="L245" s="567"/>
      <c r="M245" s="327"/>
      <c r="N245" s="20"/>
      <c r="O245" s="24"/>
      <c r="P245" s="524"/>
      <c r="Q245" s="327"/>
      <c r="R245" s="516"/>
      <c r="S245" s="327"/>
      <c r="T245" s="517"/>
      <c r="U245" s="327"/>
      <c r="V245" s="518"/>
      <c r="W245" s="327"/>
      <c r="X245" s="541" t="s">
        <v>303</v>
      </c>
      <c r="Y245" s="326"/>
      <c r="Z245" s="326"/>
      <c r="AA245" s="327"/>
      <c r="AB245" s="542" t="s">
        <v>303</v>
      </c>
      <c r="AC245" s="326"/>
      <c r="AD245" s="326"/>
      <c r="AE245" s="327"/>
      <c r="AF245" s="520"/>
      <c r="AG245" s="327"/>
      <c r="AH245" s="520"/>
      <c r="AI245" s="327"/>
      <c r="AJ245" s="554"/>
      <c r="AK245" s="327"/>
      <c r="AL245" s="537" t="s">
        <v>334</v>
      </c>
      <c r="AM245" s="327"/>
      <c r="AN245" s="546" t="s">
        <v>334</v>
      </c>
      <c r="AO245" s="327"/>
      <c r="AP245" s="554"/>
      <c r="AQ245" s="327"/>
      <c r="AR245" s="555"/>
      <c r="AS245" s="327"/>
      <c r="AT245" s="549"/>
      <c r="AU245" s="327"/>
      <c r="AV245" s="546" t="s">
        <v>334</v>
      </c>
      <c r="AW245" s="327"/>
      <c r="AX245" s="521"/>
      <c r="AY245" s="326"/>
      <c r="AZ245" s="327"/>
      <c r="BA245" s="536"/>
      <c r="BB245" s="327"/>
      <c r="BC245" s="25"/>
      <c r="BD245" s="544" t="s">
        <v>334</v>
      </c>
      <c r="BE245" s="327"/>
      <c r="BF245" s="508"/>
      <c r="BG245" s="326"/>
      <c r="BH245" s="326"/>
      <c r="BI245" s="327"/>
      <c r="BJ245" s="557" t="s">
        <v>303</v>
      </c>
      <c r="BK245" s="326"/>
      <c r="BL245" s="326"/>
      <c r="BM245" s="327"/>
      <c r="BN245" s="558" t="s">
        <v>303</v>
      </c>
      <c r="BO245" s="326"/>
      <c r="BP245" s="326"/>
      <c r="BQ245" s="326"/>
      <c r="BR245" s="326"/>
      <c r="BS245" s="326"/>
      <c r="BT245" s="326"/>
      <c r="BU245" s="326"/>
      <c r="BV245" s="327"/>
    </row>
    <row r="246" spans="1:74" ht="45" customHeight="1" x14ac:dyDescent="0.25">
      <c r="A246" s="10">
        <f t="shared" si="0"/>
        <v>232</v>
      </c>
      <c r="B246" s="564" t="s">
        <v>303</v>
      </c>
      <c r="C246" s="327"/>
      <c r="D246" s="565" t="s">
        <v>307</v>
      </c>
      <c r="E246" s="327"/>
      <c r="F246" s="537" t="s">
        <v>334</v>
      </c>
      <c r="G246" s="327"/>
      <c r="H246" s="561" t="s">
        <v>334</v>
      </c>
      <c r="I246" s="327"/>
      <c r="J246" s="26"/>
      <c r="K246" s="27"/>
      <c r="L246" s="26"/>
      <c r="M246" s="27"/>
      <c r="N246" s="23"/>
      <c r="O246" s="21"/>
      <c r="P246" s="563"/>
      <c r="Q246" s="327"/>
      <c r="R246" s="538"/>
      <c r="S246" s="327"/>
      <c r="T246" s="539"/>
      <c r="U246" s="327"/>
      <c r="V246" s="540"/>
      <c r="W246" s="327"/>
      <c r="X246" s="438" t="s">
        <v>303</v>
      </c>
      <c r="Y246" s="326"/>
      <c r="Z246" s="326"/>
      <c r="AA246" s="327"/>
      <c r="AB246" s="519" t="s">
        <v>303</v>
      </c>
      <c r="AC246" s="326"/>
      <c r="AD246" s="326"/>
      <c r="AE246" s="327"/>
      <c r="AF246" s="543"/>
      <c r="AG246" s="327"/>
      <c r="AH246" s="543"/>
      <c r="AI246" s="327"/>
      <c r="AJ246" s="536"/>
      <c r="AK246" s="327"/>
      <c r="AL246" s="556" t="s">
        <v>334</v>
      </c>
      <c r="AM246" s="327"/>
      <c r="AN246" s="553" t="s">
        <v>334</v>
      </c>
      <c r="AO246" s="327"/>
      <c r="AP246" s="547"/>
      <c r="AQ246" s="327"/>
      <c r="AR246" s="548"/>
      <c r="AS246" s="327"/>
      <c r="AT246" s="549"/>
      <c r="AU246" s="327"/>
      <c r="AV246" s="553" t="s">
        <v>334</v>
      </c>
      <c r="AW246" s="327"/>
      <c r="AX246" s="521"/>
      <c r="AY246" s="326"/>
      <c r="AZ246" s="327"/>
      <c r="BA246" s="550"/>
      <c r="BB246" s="327"/>
      <c r="BC246" s="22"/>
      <c r="BD246" s="551" t="s">
        <v>334</v>
      </c>
      <c r="BE246" s="327"/>
      <c r="BF246" s="545"/>
      <c r="BG246" s="326"/>
      <c r="BH246" s="326"/>
      <c r="BI246" s="327"/>
      <c r="BJ246" s="451" t="s">
        <v>303</v>
      </c>
      <c r="BK246" s="326"/>
      <c r="BL246" s="326"/>
      <c r="BM246" s="327"/>
      <c r="BN246" s="558" t="s">
        <v>303</v>
      </c>
      <c r="BO246" s="326"/>
      <c r="BP246" s="326"/>
      <c r="BQ246" s="326"/>
      <c r="BR246" s="326"/>
      <c r="BS246" s="326"/>
      <c r="BT246" s="326"/>
      <c r="BU246" s="326"/>
      <c r="BV246" s="327"/>
    </row>
    <row r="247" spans="1:74" ht="45" customHeight="1" x14ac:dyDescent="0.25">
      <c r="A247" s="10">
        <f t="shared" si="0"/>
        <v>233</v>
      </c>
      <c r="B247" s="559" t="s">
        <v>303</v>
      </c>
      <c r="C247" s="327"/>
      <c r="D247" s="560" t="s">
        <v>307</v>
      </c>
      <c r="E247" s="327"/>
      <c r="F247" s="537" t="s">
        <v>334</v>
      </c>
      <c r="G247" s="327"/>
      <c r="H247" s="566" t="s">
        <v>334</v>
      </c>
      <c r="I247" s="327"/>
      <c r="J247" s="567"/>
      <c r="K247" s="327"/>
      <c r="L247" s="567"/>
      <c r="M247" s="327"/>
      <c r="N247" s="20"/>
      <c r="O247" s="24"/>
      <c r="P247" s="524"/>
      <c r="Q247" s="327"/>
      <c r="R247" s="516"/>
      <c r="S247" s="327"/>
      <c r="T247" s="517"/>
      <c r="U247" s="327"/>
      <c r="V247" s="518"/>
      <c r="W247" s="327"/>
      <c r="X247" s="541" t="s">
        <v>303</v>
      </c>
      <c r="Y247" s="326"/>
      <c r="Z247" s="326"/>
      <c r="AA247" s="327"/>
      <c r="AB247" s="542" t="s">
        <v>303</v>
      </c>
      <c r="AC247" s="326"/>
      <c r="AD247" s="326"/>
      <c r="AE247" s="327"/>
      <c r="AF247" s="520"/>
      <c r="AG247" s="327"/>
      <c r="AH247" s="520"/>
      <c r="AI247" s="327"/>
      <c r="AJ247" s="554"/>
      <c r="AK247" s="327"/>
      <c r="AL247" s="537" t="s">
        <v>334</v>
      </c>
      <c r="AM247" s="327"/>
      <c r="AN247" s="546" t="s">
        <v>334</v>
      </c>
      <c r="AO247" s="327"/>
      <c r="AP247" s="554"/>
      <c r="AQ247" s="327"/>
      <c r="AR247" s="555"/>
      <c r="AS247" s="327"/>
      <c r="AT247" s="549"/>
      <c r="AU247" s="327"/>
      <c r="AV247" s="546" t="s">
        <v>334</v>
      </c>
      <c r="AW247" s="327"/>
      <c r="AX247" s="521"/>
      <c r="AY247" s="326"/>
      <c r="AZ247" s="327"/>
      <c r="BA247" s="536"/>
      <c r="BB247" s="327"/>
      <c r="BC247" s="25"/>
      <c r="BD247" s="544" t="s">
        <v>334</v>
      </c>
      <c r="BE247" s="327"/>
      <c r="BF247" s="552"/>
      <c r="BG247" s="326"/>
      <c r="BH247" s="326"/>
      <c r="BI247" s="327"/>
      <c r="BJ247" s="557" t="s">
        <v>303</v>
      </c>
      <c r="BK247" s="326"/>
      <c r="BL247" s="326"/>
      <c r="BM247" s="327"/>
      <c r="BN247" s="558" t="s">
        <v>303</v>
      </c>
      <c r="BO247" s="326"/>
      <c r="BP247" s="326"/>
      <c r="BQ247" s="326"/>
      <c r="BR247" s="326"/>
      <c r="BS247" s="326"/>
      <c r="BT247" s="326"/>
      <c r="BU247" s="326"/>
      <c r="BV247" s="327"/>
    </row>
    <row r="248" spans="1:74" ht="45" customHeight="1" x14ac:dyDescent="0.25">
      <c r="A248" s="10">
        <f t="shared" si="0"/>
        <v>234</v>
      </c>
      <c r="B248" s="564" t="s">
        <v>303</v>
      </c>
      <c r="C248" s="327"/>
      <c r="D248" s="565" t="s">
        <v>307</v>
      </c>
      <c r="E248" s="327"/>
      <c r="F248" s="537" t="s">
        <v>334</v>
      </c>
      <c r="G248" s="327"/>
      <c r="H248" s="561" t="s">
        <v>334</v>
      </c>
      <c r="I248" s="327"/>
      <c r="J248" s="26"/>
      <c r="K248" s="27"/>
      <c r="L248" s="26"/>
      <c r="M248" s="27"/>
      <c r="N248" s="23"/>
      <c r="O248" s="21"/>
      <c r="P248" s="563"/>
      <c r="Q248" s="327"/>
      <c r="R248" s="538"/>
      <c r="S248" s="327"/>
      <c r="T248" s="539"/>
      <c r="U248" s="327"/>
      <c r="V248" s="540"/>
      <c r="W248" s="327"/>
      <c r="X248" s="438" t="s">
        <v>303</v>
      </c>
      <c r="Y248" s="326"/>
      <c r="Z248" s="326"/>
      <c r="AA248" s="327"/>
      <c r="AB248" s="519" t="s">
        <v>303</v>
      </c>
      <c r="AC248" s="326"/>
      <c r="AD248" s="326"/>
      <c r="AE248" s="327"/>
      <c r="AF248" s="543"/>
      <c r="AG248" s="327"/>
      <c r="AH248" s="543"/>
      <c r="AI248" s="327"/>
      <c r="AJ248" s="536"/>
      <c r="AK248" s="327"/>
      <c r="AL248" s="556" t="s">
        <v>334</v>
      </c>
      <c r="AM248" s="327"/>
      <c r="AN248" s="553" t="s">
        <v>334</v>
      </c>
      <c r="AO248" s="327"/>
      <c r="AP248" s="547"/>
      <c r="AQ248" s="327"/>
      <c r="AR248" s="548"/>
      <c r="AS248" s="327"/>
      <c r="AT248" s="549"/>
      <c r="AU248" s="327"/>
      <c r="AV248" s="553" t="s">
        <v>334</v>
      </c>
      <c r="AW248" s="327"/>
      <c r="AX248" s="521"/>
      <c r="AY248" s="326"/>
      <c r="AZ248" s="327"/>
      <c r="BA248" s="550"/>
      <c r="BB248" s="327"/>
      <c r="BC248" s="22"/>
      <c r="BD248" s="551" t="s">
        <v>334</v>
      </c>
      <c r="BE248" s="327"/>
      <c r="BF248" s="545"/>
      <c r="BG248" s="326"/>
      <c r="BH248" s="326"/>
      <c r="BI248" s="327"/>
      <c r="BJ248" s="451" t="s">
        <v>303</v>
      </c>
      <c r="BK248" s="326"/>
      <c r="BL248" s="326"/>
      <c r="BM248" s="327"/>
      <c r="BN248" s="558" t="s">
        <v>303</v>
      </c>
      <c r="BO248" s="326"/>
      <c r="BP248" s="326"/>
      <c r="BQ248" s="326"/>
      <c r="BR248" s="326"/>
      <c r="BS248" s="326"/>
      <c r="BT248" s="326"/>
      <c r="BU248" s="326"/>
      <c r="BV248" s="327"/>
    </row>
    <row r="249" spans="1:74" ht="45" customHeight="1" x14ac:dyDescent="0.25">
      <c r="A249" s="10">
        <f t="shared" si="0"/>
        <v>235</v>
      </c>
      <c r="B249" s="559" t="s">
        <v>303</v>
      </c>
      <c r="C249" s="327"/>
      <c r="D249" s="560" t="s">
        <v>307</v>
      </c>
      <c r="E249" s="327"/>
      <c r="F249" s="537" t="s">
        <v>334</v>
      </c>
      <c r="G249" s="327"/>
      <c r="H249" s="566" t="s">
        <v>334</v>
      </c>
      <c r="I249" s="327"/>
      <c r="J249" s="567"/>
      <c r="K249" s="327"/>
      <c r="L249" s="567"/>
      <c r="M249" s="327"/>
      <c r="N249" s="20"/>
      <c r="O249" s="24"/>
      <c r="P249" s="524"/>
      <c r="Q249" s="327"/>
      <c r="R249" s="516"/>
      <c r="S249" s="327"/>
      <c r="T249" s="517"/>
      <c r="U249" s="327"/>
      <c r="V249" s="518"/>
      <c r="W249" s="327"/>
      <c r="X249" s="541" t="s">
        <v>303</v>
      </c>
      <c r="Y249" s="326"/>
      <c r="Z249" s="326"/>
      <c r="AA249" s="327"/>
      <c r="AB249" s="542" t="s">
        <v>303</v>
      </c>
      <c r="AC249" s="326"/>
      <c r="AD249" s="326"/>
      <c r="AE249" s="327"/>
      <c r="AF249" s="520"/>
      <c r="AG249" s="327"/>
      <c r="AH249" s="520"/>
      <c r="AI249" s="327"/>
      <c r="AJ249" s="554"/>
      <c r="AK249" s="327"/>
      <c r="AL249" s="537" t="s">
        <v>334</v>
      </c>
      <c r="AM249" s="327"/>
      <c r="AN249" s="546" t="s">
        <v>334</v>
      </c>
      <c r="AO249" s="327"/>
      <c r="AP249" s="554"/>
      <c r="AQ249" s="327"/>
      <c r="AR249" s="555"/>
      <c r="AS249" s="327"/>
      <c r="AT249" s="549"/>
      <c r="AU249" s="327"/>
      <c r="AV249" s="546" t="s">
        <v>334</v>
      </c>
      <c r="AW249" s="327"/>
      <c r="AX249" s="521"/>
      <c r="AY249" s="326"/>
      <c r="AZ249" s="327"/>
      <c r="BA249" s="536"/>
      <c r="BB249" s="327"/>
      <c r="BC249" s="25"/>
      <c r="BD249" s="544" t="s">
        <v>334</v>
      </c>
      <c r="BE249" s="327"/>
      <c r="BF249" s="508"/>
      <c r="BG249" s="326"/>
      <c r="BH249" s="326"/>
      <c r="BI249" s="327"/>
      <c r="BJ249" s="557" t="s">
        <v>303</v>
      </c>
      <c r="BK249" s="326"/>
      <c r="BL249" s="326"/>
      <c r="BM249" s="327"/>
      <c r="BN249" s="558" t="s">
        <v>303</v>
      </c>
      <c r="BO249" s="326"/>
      <c r="BP249" s="326"/>
      <c r="BQ249" s="326"/>
      <c r="BR249" s="326"/>
      <c r="BS249" s="326"/>
      <c r="BT249" s="326"/>
      <c r="BU249" s="326"/>
      <c r="BV249" s="327"/>
    </row>
    <row r="250" spans="1:74" ht="45" customHeight="1" x14ac:dyDescent="0.25">
      <c r="A250" s="10">
        <f t="shared" si="0"/>
        <v>236</v>
      </c>
      <c r="B250" s="564" t="s">
        <v>303</v>
      </c>
      <c r="C250" s="327"/>
      <c r="D250" s="565" t="s">
        <v>307</v>
      </c>
      <c r="E250" s="327"/>
      <c r="F250" s="537" t="s">
        <v>334</v>
      </c>
      <c r="G250" s="327"/>
      <c r="H250" s="561" t="s">
        <v>334</v>
      </c>
      <c r="I250" s="327"/>
      <c r="J250" s="26"/>
      <c r="K250" s="27"/>
      <c r="L250" s="26"/>
      <c r="M250" s="27"/>
      <c r="N250" s="23"/>
      <c r="O250" s="21"/>
      <c r="P250" s="563"/>
      <c r="Q250" s="327"/>
      <c r="R250" s="538"/>
      <c r="S250" s="327"/>
      <c r="T250" s="539"/>
      <c r="U250" s="327"/>
      <c r="V250" s="540"/>
      <c r="W250" s="327"/>
      <c r="X250" s="438" t="s">
        <v>303</v>
      </c>
      <c r="Y250" s="326"/>
      <c r="Z250" s="326"/>
      <c r="AA250" s="327"/>
      <c r="AB250" s="519" t="s">
        <v>303</v>
      </c>
      <c r="AC250" s="326"/>
      <c r="AD250" s="326"/>
      <c r="AE250" s="327"/>
      <c r="AF250" s="543"/>
      <c r="AG250" s="327"/>
      <c r="AH250" s="543"/>
      <c r="AI250" s="327"/>
      <c r="AJ250" s="536"/>
      <c r="AK250" s="327"/>
      <c r="AL250" s="556" t="s">
        <v>334</v>
      </c>
      <c r="AM250" s="327"/>
      <c r="AN250" s="553" t="s">
        <v>334</v>
      </c>
      <c r="AO250" s="327"/>
      <c r="AP250" s="547"/>
      <c r="AQ250" s="327"/>
      <c r="AR250" s="548"/>
      <c r="AS250" s="327"/>
      <c r="AT250" s="549"/>
      <c r="AU250" s="327"/>
      <c r="AV250" s="553" t="s">
        <v>334</v>
      </c>
      <c r="AW250" s="327"/>
      <c r="AX250" s="521"/>
      <c r="AY250" s="326"/>
      <c r="AZ250" s="327"/>
      <c r="BA250" s="550"/>
      <c r="BB250" s="327"/>
      <c r="BC250" s="22"/>
      <c r="BD250" s="551" t="s">
        <v>334</v>
      </c>
      <c r="BE250" s="327"/>
      <c r="BF250" s="545"/>
      <c r="BG250" s="326"/>
      <c r="BH250" s="326"/>
      <c r="BI250" s="327"/>
      <c r="BJ250" s="451" t="s">
        <v>303</v>
      </c>
      <c r="BK250" s="326"/>
      <c r="BL250" s="326"/>
      <c r="BM250" s="327"/>
      <c r="BN250" s="558" t="s">
        <v>303</v>
      </c>
      <c r="BO250" s="326"/>
      <c r="BP250" s="326"/>
      <c r="BQ250" s="326"/>
      <c r="BR250" s="326"/>
      <c r="BS250" s="326"/>
      <c r="BT250" s="326"/>
      <c r="BU250" s="326"/>
      <c r="BV250" s="327"/>
    </row>
    <row r="251" spans="1:74" ht="45" customHeight="1" x14ac:dyDescent="0.25">
      <c r="A251" s="10">
        <f t="shared" si="0"/>
        <v>237</v>
      </c>
      <c r="B251" s="559" t="s">
        <v>303</v>
      </c>
      <c r="C251" s="327"/>
      <c r="D251" s="560" t="s">
        <v>307</v>
      </c>
      <c r="E251" s="327"/>
      <c r="F251" s="537" t="s">
        <v>334</v>
      </c>
      <c r="G251" s="327"/>
      <c r="H251" s="566" t="s">
        <v>334</v>
      </c>
      <c r="I251" s="327"/>
      <c r="J251" s="567"/>
      <c r="K251" s="327"/>
      <c r="L251" s="567"/>
      <c r="M251" s="327"/>
      <c r="N251" s="20"/>
      <c r="O251" s="24"/>
      <c r="P251" s="524"/>
      <c r="Q251" s="327"/>
      <c r="R251" s="516"/>
      <c r="S251" s="327"/>
      <c r="T251" s="517"/>
      <c r="U251" s="327"/>
      <c r="V251" s="518"/>
      <c r="W251" s="327"/>
      <c r="X251" s="541" t="s">
        <v>303</v>
      </c>
      <c r="Y251" s="326"/>
      <c r="Z251" s="326"/>
      <c r="AA251" s="327"/>
      <c r="AB251" s="542" t="s">
        <v>303</v>
      </c>
      <c r="AC251" s="326"/>
      <c r="AD251" s="326"/>
      <c r="AE251" s="327"/>
      <c r="AF251" s="520"/>
      <c r="AG251" s="327"/>
      <c r="AH251" s="520"/>
      <c r="AI251" s="327"/>
      <c r="AJ251" s="554"/>
      <c r="AK251" s="327"/>
      <c r="AL251" s="537" t="s">
        <v>334</v>
      </c>
      <c r="AM251" s="327"/>
      <c r="AN251" s="546" t="s">
        <v>334</v>
      </c>
      <c r="AO251" s="327"/>
      <c r="AP251" s="554"/>
      <c r="AQ251" s="327"/>
      <c r="AR251" s="555"/>
      <c r="AS251" s="327"/>
      <c r="AT251" s="549"/>
      <c r="AU251" s="327"/>
      <c r="AV251" s="546" t="s">
        <v>334</v>
      </c>
      <c r="AW251" s="327"/>
      <c r="AX251" s="521"/>
      <c r="AY251" s="326"/>
      <c r="AZ251" s="327"/>
      <c r="BA251" s="536"/>
      <c r="BB251" s="327"/>
      <c r="BC251" s="25"/>
      <c r="BD251" s="544" t="s">
        <v>334</v>
      </c>
      <c r="BE251" s="327"/>
      <c r="BF251" s="552"/>
      <c r="BG251" s="326"/>
      <c r="BH251" s="326"/>
      <c r="BI251" s="327"/>
      <c r="BJ251" s="557" t="s">
        <v>303</v>
      </c>
      <c r="BK251" s="326"/>
      <c r="BL251" s="326"/>
      <c r="BM251" s="327"/>
      <c r="BN251" s="558" t="s">
        <v>303</v>
      </c>
      <c r="BO251" s="326"/>
      <c r="BP251" s="326"/>
      <c r="BQ251" s="326"/>
      <c r="BR251" s="326"/>
      <c r="BS251" s="326"/>
      <c r="BT251" s="326"/>
      <c r="BU251" s="326"/>
      <c r="BV251" s="327"/>
    </row>
    <row r="252" spans="1:74" ht="45" customHeight="1" x14ac:dyDescent="0.25">
      <c r="A252" s="10">
        <f t="shared" si="0"/>
        <v>238</v>
      </c>
      <c r="B252" s="564" t="s">
        <v>303</v>
      </c>
      <c r="C252" s="327"/>
      <c r="D252" s="565" t="s">
        <v>307</v>
      </c>
      <c r="E252" s="327"/>
      <c r="F252" s="537" t="s">
        <v>334</v>
      </c>
      <c r="G252" s="327"/>
      <c r="H252" s="561" t="s">
        <v>334</v>
      </c>
      <c r="I252" s="327"/>
      <c r="J252" s="26"/>
      <c r="K252" s="27"/>
      <c r="L252" s="26"/>
      <c r="M252" s="27"/>
      <c r="N252" s="23"/>
      <c r="O252" s="21"/>
      <c r="P252" s="563"/>
      <c r="Q252" s="327"/>
      <c r="R252" s="538"/>
      <c r="S252" s="327"/>
      <c r="T252" s="539"/>
      <c r="U252" s="327"/>
      <c r="V252" s="540"/>
      <c r="W252" s="327"/>
      <c r="X252" s="438" t="s">
        <v>303</v>
      </c>
      <c r="Y252" s="326"/>
      <c r="Z252" s="326"/>
      <c r="AA252" s="327"/>
      <c r="AB252" s="519" t="s">
        <v>303</v>
      </c>
      <c r="AC252" s="326"/>
      <c r="AD252" s="326"/>
      <c r="AE252" s="327"/>
      <c r="AF252" s="543"/>
      <c r="AG252" s="327"/>
      <c r="AH252" s="543"/>
      <c r="AI252" s="327"/>
      <c r="AJ252" s="536"/>
      <c r="AK252" s="327"/>
      <c r="AL252" s="556" t="s">
        <v>334</v>
      </c>
      <c r="AM252" s="327"/>
      <c r="AN252" s="553" t="s">
        <v>334</v>
      </c>
      <c r="AO252" s="327"/>
      <c r="AP252" s="547"/>
      <c r="AQ252" s="327"/>
      <c r="AR252" s="548"/>
      <c r="AS252" s="327"/>
      <c r="AT252" s="549"/>
      <c r="AU252" s="327"/>
      <c r="AV252" s="553" t="s">
        <v>334</v>
      </c>
      <c r="AW252" s="327"/>
      <c r="AX252" s="521"/>
      <c r="AY252" s="326"/>
      <c r="AZ252" s="327"/>
      <c r="BA252" s="550"/>
      <c r="BB252" s="327"/>
      <c r="BC252" s="22"/>
      <c r="BD252" s="551" t="s">
        <v>334</v>
      </c>
      <c r="BE252" s="327"/>
      <c r="BF252" s="545"/>
      <c r="BG252" s="326"/>
      <c r="BH252" s="326"/>
      <c r="BI252" s="327"/>
      <c r="BJ252" s="451" t="s">
        <v>303</v>
      </c>
      <c r="BK252" s="326"/>
      <c r="BL252" s="326"/>
      <c r="BM252" s="327"/>
      <c r="BN252" s="558" t="s">
        <v>303</v>
      </c>
      <c r="BO252" s="326"/>
      <c r="BP252" s="326"/>
      <c r="BQ252" s="326"/>
      <c r="BR252" s="326"/>
      <c r="BS252" s="326"/>
      <c r="BT252" s="326"/>
      <c r="BU252" s="326"/>
      <c r="BV252" s="327"/>
    </row>
    <row r="253" spans="1:74" ht="45" customHeight="1" x14ac:dyDescent="0.25">
      <c r="A253" s="10">
        <f t="shared" si="0"/>
        <v>239</v>
      </c>
      <c r="B253" s="559" t="s">
        <v>303</v>
      </c>
      <c r="C253" s="327"/>
      <c r="D253" s="560" t="s">
        <v>307</v>
      </c>
      <c r="E253" s="327"/>
      <c r="F253" s="537" t="s">
        <v>334</v>
      </c>
      <c r="G253" s="327"/>
      <c r="H253" s="566" t="s">
        <v>334</v>
      </c>
      <c r="I253" s="327"/>
      <c r="J253" s="567"/>
      <c r="K253" s="327"/>
      <c r="L253" s="567"/>
      <c r="M253" s="327"/>
      <c r="N253" s="20"/>
      <c r="O253" s="24"/>
      <c r="P253" s="524"/>
      <c r="Q253" s="327"/>
      <c r="R253" s="516"/>
      <c r="S253" s="327"/>
      <c r="T253" s="517"/>
      <c r="U253" s="327"/>
      <c r="V253" s="518"/>
      <c r="W253" s="327"/>
      <c r="X253" s="541" t="s">
        <v>303</v>
      </c>
      <c r="Y253" s="326"/>
      <c r="Z253" s="326"/>
      <c r="AA253" s="327"/>
      <c r="AB253" s="542" t="s">
        <v>303</v>
      </c>
      <c r="AC253" s="326"/>
      <c r="AD253" s="326"/>
      <c r="AE253" s="327"/>
      <c r="AF253" s="520"/>
      <c r="AG253" s="327"/>
      <c r="AH253" s="520"/>
      <c r="AI253" s="327"/>
      <c r="AJ253" s="554"/>
      <c r="AK253" s="327"/>
      <c r="AL253" s="537" t="s">
        <v>334</v>
      </c>
      <c r="AM253" s="327"/>
      <c r="AN253" s="546" t="s">
        <v>334</v>
      </c>
      <c r="AO253" s="327"/>
      <c r="AP253" s="554"/>
      <c r="AQ253" s="327"/>
      <c r="AR253" s="555"/>
      <c r="AS253" s="327"/>
      <c r="AT253" s="549"/>
      <c r="AU253" s="327"/>
      <c r="AV253" s="546" t="s">
        <v>334</v>
      </c>
      <c r="AW253" s="327"/>
      <c r="AX253" s="521"/>
      <c r="AY253" s="326"/>
      <c r="AZ253" s="327"/>
      <c r="BA253" s="536"/>
      <c r="BB253" s="327"/>
      <c r="BC253" s="25"/>
      <c r="BD253" s="544" t="s">
        <v>334</v>
      </c>
      <c r="BE253" s="327"/>
      <c r="BF253" s="508"/>
      <c r="BG253" s="326"/>
      <c r="BH253" s="326"/>
      <c r="BI253" s="327"/>
      <c r="BJ253" s="557" t="s">
        <v>303</v>
      </c>
      <c r="BK253" s="326"/>
      <c r="BL253" s="326"/>
      <c r="BM253" s="327"/>
      <c r="BN253" s="558" t="s">
        <v>303</v>
      </c>
      <c r="BO253" s="326"/>
      <c r="BP253" s="326"/>
      <c r="BQ253" s="326"/>
      <c r="BR253" s="326"/>
      <c r="BS253" s="326"/>
      <c r="BT253" s="326"/>
      <c r="BU253" s="326"/>
      <c r="BV253" s="327"/>
    </row>
    <row r="254" spans="1:74" ht="45" customHeight="1" x14ac:dyDescent="0.25">
      <c r="A254" s="10">
        <f t="shared" si="0"/>
        <v>240</v>
      </c>
      <c r="B254" s="564" t="s">
        <v>303</v>
      </c>
      <c r="C254" s="327"/>
      <c r="D254" s="565" t="s">
        <v>307</v>
      </c>
      <c r="E254" s="327"/>
      <c r="F254" s="537" t="s">
        <v>334</v>
      </c>
      <c r="G254" s="327"/>
      <c r="H254" s="561" t="s">
        <v>334</v>
      </c>
      <c r="I254" s="327"/>
      <c r="J254" s="26"/>
      <c r="K254" s="27"/>
      <c r="L254" s="26"/>
      <c r="M254" s="27"/>
      <c r="N254" s="23"/>
      <c r="O254" s="21"/>
      <c r="P254" s="563"/>
      <c r="Q254" s="327"/>
      <c r="R254" s="538"/>
      <c r="S254" s="327"/>
      <c r="T254" s="539"/>
      <c r="U254" s="327"/>
      <c r="V254" s="540"/>
      <c r="W254" s="327"/>
      <c r="X254" s="438" t="s">
        <v>303</v>
      </c>
      <c r="Y254" s="326"/>
      <c r="Z254" s="326"/>
      <c r="AA254" s="327"/>
      <c r="AB254" s="519" t="s">
        <v>303</v>
      </c>
      <c r="AC254" s="326"/>
      <c r="AD254" s="326"/>
      <c r="AE254" s="327"/>
      <c r="AF254" s="543"/>
      <c r="AG254" s="327"/>
      <c r="AH254" s="543"/>
      <c r="AI254" s="327"/>
      <c r="AJ254" s="536"/>
      <c r="AK254" s="327"/>
      <c r="AL254" s="556" t="s">
        <v>334</v>
      </c>
      <c r="AM254" s="327"/>
      <c r="AN254" s="553" t="s">
        <v>334</v>
      </c>
      <c r="AO254" s="327"/>
      <c r="AP254" s="547"/>
      <c r="AQ254" s="327"/>
      <c r="AR254" s="548"/>
      <c r="AS254" s="327"/>
      <c r="AT254" s="549"/>
      <c r="AU254" s="327"/>
      <c r="AV254" s="553" t="s">
        <v>334</v>
      </c>
      <c r="AW254" s="327"/>
      <c r="AX254" s="521"/>
      <c r="AY254" s="326"/>
      <c r="AZ254" s="327"/>
      <c r="BA254" s="550"/>
      <c r="BB254" s="327"/>
      <c r="BC254" s="22"/>
      <c r="BD254" s="551" t="s">
        <v>334</v>
      </c>
      <c r="BE254" s="327"/>
      <c r="BF254" s="545"/>
      <c r="BG254" s="326"/>
      <c r="BH254" s="326"/>
      <c r="BI254" s="327"/>
      <c r="BJ254" s="451" t="s">
        <v>303</v>
      </c>
      <c r="BK254" s="326"/>
      <c r="BL254" s="326"/>
      <c r="BM254" s="327"/>
      <c r="BN254" s="558" t="s">
        <v>303</v>
      </c>
      <c r="BO254" s="326"/>
      <c r="BP254" s="326"/>
      <c r="BQ254" s="326"/>
      <c r="BR254" s="326"/>
      <c r="BS254" s="326"/>
      <c r="BT254" s="326"/>
      <c r="BU254" s="326"/>
      <c r="BV254" s="327"/>
    </row>
    <row r="255" spans="1:74" ht="45" customHeight="1" x14ac:dyDescent="0.25">
      <c r="A255" s="10">
        <f t="shared" si="0"/>
        <v>241</v>
      </c>
      <c r="B255" s="559" t="s">
        <v>303</v>
      </c>
      <c r="C255" s="327"/>
      <c r="D255" s="560" t="s">
        <v>307</v>
      </c>
      <c r="E255" s="327"/>
      <c r="F255" s="537" t="s">
        <v>334</v>
      </c>
      <c r="G255" s="327"/>
      <c r="H255" s="566" t="s">
        <v>334</v>
      </c>
      <c r="I255" s="327"/>
      <c r="J255" s="567"/>
      <c r="K255" s="327"/>
      <c r="L255" s="567"/>
      <c r="M255" s="327"/>
      <c r="N255" s="20"/>
      <c r="O255" s="24"/>
      <c r="P255" s="524"/>
      <c r="Q255" s="327"/>
      <c r="R255" s="516"/>
      <c r="S255" s="327"/>
      <c r="T255" s="517"/>
      <c r="U255" s="327"/>
      <c r="V255" s="518"/>
      <c r="W255" s="327"/>
      <c r="X255" s="541" t="s">
        <v>303</v>
      </c>
      <c r="Y255" s="326"/>
      <c r="Z255" s="326"/>
      <c r="AA255" s="327"/>
      <c r="AB255" s="542" t="s">
        <v>303</v>
      </c>
      <c r="AC255" s="326"/>
      <c r="AD255" s="326"/>
      <c r="AE255" s="327"/>
      <c r="AF255" s="520"/>
      <c r="AG255" s="327"/>
      <c r="AH255" s="520"/>
      <c r="AI255" s="327"/>
      <c r="AJ255" s="554"/>
      <c r="AK255" s="327"/>
      <c r="AL255" s="537" t="s">
        <v>334</v>
      </c>
      <c r="AM255" s="327"/>
      <c r="AN255" s="546" t="s">
        <v>334</v>
      </c>
      <c r="AO255" s="327"/>
      <c r="AP255" s="554"/>
      <c r="AQ255" s="327"/>
      <c r="AR255" s="555"/>
      <c r="AS255" s="327"/>
      <c r="AT255" s="549"/>
      <c r="AU255" s="327"/>
      <c r="AV255" s="546" t="s">
        <v>334</v>
      </c>
      <c r="AW255" s="327"/>
      <c r="AX255" s="521"/>
      <c r="AY255" s="326"/>
      <c r="AZ255" s="327"/>
      <c r="BA255" s="536"/>
      <c r="BB255" s="327"/>
      <c r="BC255" s="25"/>
      <c r="BD255" s="544" t="s">
        <v>334</v>
      </c>
      <c r="BE255" s="327"/>
      <c r="BF255" s="508"/>
      <c r="BG255" s="326"/>
      <c r="BH255" s="326"/>
      <c r="BI255" s="327"/>
      <c r="BJ255" s="557" t="s">
        <v>303</v>
      </c>
      <c r="BK255" s="326"/>
      <c r="BL255" s="326"/>
      <c r="BM255" s="327"/>
      <c r="BN255" s="558" t="s">
        <v>303</v>
      </c>
      <c r="BO255" s="326"/>
      <c r="BP255" s="326"/>
      <c r="BQ255" s="326"/>
      <c r="BR255" s="326"/>
      <c r="BS255" s="326"/>
      <c r="BT255" s="326"/>
      <c r="BU255" s="326"/>
      <c r="BV255" s="327"/>
    </row>
    <row r="256" spans="1:74" ht="45" customHeight="1" x14ac:dyDescent="0.25">
      <c r="A256" s="10">
        <f t="shared" si="0"/>
        <v>242</v>
      </c>
      <c r="B256" s="564" t="s">
        <v>303</v>
      </c>
      <c r="C256" s="327"/>
      <c r="D256" s="565" t="s">
        <v>307</v>
      </c>
      <c r="E256" s="327"/>
      <c r="F256" s="537" t="s">
        <v>334</v>
      </c>
      <c r="G256" s="327"/>
      <c r="H256" s="561" t="s">
        <v>334</v>
      </c>
      <c r="I256" s="327"/>
      <c r="J256" s="26"/>
      <c r="K256" s="27"/>
      <c r="L256" s="26"/>
      <c r="M256" s="27"/>
      <c r="N256" s="23"/>
      <c r="O256" s="24"/>
      <c r="P256" s="563"/>
      <c r="Q256" s="327"/>
      <c r="R256" s="538"/>
      <c r="S256" s="327"/>
      <c r="T256" s="539"/>
      <c r="U256" s="327"/>
      <c r="V256" s="540"/>
      <c r="W256" s="327"/>
      <c r="X256" s="438" t="s">
        <v>303</v>
      </c>
      <c r="Y256" s="326"/>
      <c r="Z256" s="326"/>
      <c r="AA256" s="327"/>
      <c r="AB256" s="519" t="s">
        <v>303</v>
      </c>
      <c r="AC256" s="326"/>
      <c r="AD256" s="326"/>
      <c r="AE256" s="327"/>
      <c r="AF256" s="543"/>
      <c r="AG256" s="327"/>
      <c r="AH256" s="543"/>
      <c r="AI256" s="327"/>
      <c r="AJ256" s="536"/>
      <c r="AK256" s="327"/>
      <c r="AL256" s="556" t="s">
        <v>334</v>
      </c>
      <c r="AM256" s="327"/>
      <c r="AN256" s="553" t="s">
        <v>334</v>
      </c>
      <c r="AO256" s="327"/>
      <c r="AP256" s="547"/>
      <c r="AQ256" s="327"/>
      <c r="AR256" s="548"/>
      <c r="AS256" s="327"/>
      <c r="AT256" s="549"/>
      <c r="AU256" s="327"/>
      <c r="AV256" s="553" t="s">
        <v>334</v>
      </c>
      <c r="AW256" s="327"/>
      <c r="AX256" s="521"/>
      <c r="AY256" s="326"/>
      <c r="AZ256" s="327"/>
      <c r="BA256" s="550"/>
      <c r="BB256" s="327"/>
      <c r="BC256" s="22"/>
      <c r="BD256" s="551" t="s">
        <v>334</v>
      </c>
      <c r="BE256" s="327"/>
      <c r="BF256" s="545"/>
      <c r="BG256" s="326"/>
      <c r="BH256" s="326"/>
      <c r="BI256" s="327"/>
      <c r="BJ256" s="451" t="s">
        <v>303</v>
      </c>
      <c r="BK256" s="326"/>
      <c r="BL256" s="326"/>
      <c r="BM256" s="327"/>
      <c r="BN256" s="558" t="s">
        <v>303</v>
      </c>
      <c r="BO256" s="326"/>
      <c r="BP256" s="326"/>
      <c r="BQ256" s="326"/>
      <c r="BR256" s="326"/>
      <c r="BS256" s="326"/>
      <c r="BT256" s="326"/>
      <c r="BU256" s="326"/>
      <c r="BV256" s="327"/>
    </row>
    <row r="257" spans="1:74" ht="45" customHeight="1" x14ac:dyDescent="0.25">
      <c r="A257" s="10">
        <f t="shared" si="0"/>
        <v>243</v>
      </c>
      <c r="B257" s="559" t="s">
        <v>303</v>
      </c>
      <c r="C257" s="327"/>
      <c r="D257" s="560" t="s">
        <v>307</v>
      </c>
      <c r="E257" s="327"/>
      <c r="F257" s="537" t="s">
        <v>334</v>
      </c>
      <c r="G257" s="327"/>
      <c r="H257" s="566" t="s">
        <v>334</v>
      </c>
      <c r="I257" s="327"/>
      <c r="J257" s="567"/>
      <c r="K257" s="327"/>
      <c r="L257" s="567"/>
      <c r="M257" s="327"/>
      <c r="N257" s="20"/>
      <c r="O257" s="21"/>
      <c r="P257" s="524"/>
      <c r="Q257" s="327"/>
      <c r="R257" s="516"/>
      <c r="S257" s="327"/>
      <c r="T257" s="517"/>
      <c r="U257" s="327"/>
      <c r="V257" s="518"/>
      <c r="W257" s="327"/>
      <c r="X257" s="541" t="s">
        <v>303</v>
      </c>
      <c r="Y257" s="326"/>
      <c r="Z257" s="326"/>
      <c r="AA257" s="327"/>
      <c r="AB257" s="542" t="s">
        <v>303</v>
      </c>
      <c r="AC257" s="326"/>
      <c r="AD257" s="326"/>
      <c r="AE257" s="327"/>
      <c r="AF257" s="520"/>
      <c r="AG257" s="327"/>
      <c r="AH257" s="520"/>
      <c r="AI257" s="327"/>
      <c r="AJ257" s="554"/>
      <c r="AK257" s="327"/>
      <c r="AL257" s="537" t="s">
        <v>334</v>
      </c>
      <c r="AM257" s="327"/>
      <c r="AN257" s="546" t="s">
        <v>334</v>
      </c>
      <c r="AO257" s="327"/>
      <c r="AP257" s="554"/>
      <c r="AQ257" s="327"/>
      <c r="AR257" s="555"/>
      <c r="AS257" s="327"/>
      <c r="AT257" s="549"/>
      <c r="AU257" s="327"/>
      <c r="AV257" s="546" t="s">
        <v>334</v>
      </c>
      <c r="AW257" s="327"/>
      <c r="AX257" s="521"/>
      <c r="AY257" s="326"/>
      <c r="AZ257" s="327"/>
      <c r="BA257" s="536"/>
      <c r="BB257" s="327"/>
      <c r="BC257" s="25"/>
      <c r="BD257" s="544" t="s">
        <v>334</v>
      </c>
      <c r="BE257" s="327"/>
      <c r="BF257" s="552"/>
      <c r="BG257" s="326"/>
      <c r="BH257" s="326"/>
      <c r="BI257" s="327"/>
      <c r="BJ257" s="557" t="s">
        <v>303</v>
      </c>
      <c r="BK257" s="326"/>
      <c r="BL257" s="326"/>
      <c r="BM257" s="327"/>
      <c r="BN257" s="558" t="s">
        <v>303</v>
      </c>
      <c r="BO257" s="326"/>
      <c r="BP257" s="326"/>
      <c r="BQ257" s="326"/>
      <c r="BR257" s="326"/>
      <c r="BS257" s="326"/>
      <c r="BT257" s="326"/>
      <c r="BU257" s="326"/>
      <c r="BV257" s="327"/>
    </row>
    <row r="258" spans="1:74" ht="45" customHeight="1" x14ac:dyDescent="0.25">
      <c r="A258" s="10">
        <f t="shared" si="0"/>
        <v>244</v>
      </c>
      <c r="B258" s="564" t="s">
        <v>303</v>
      </c>
      <c r="C258" s="327"/>
      <c r="D258" s="565" t="s">
        <v>307</v>
      </c>
      <c r="E258" s="327"/>
      <c r="F258" s="537" t="s">
        <v>334</v>
      </c>
      <c r="G258" s="327"/>
      <c r="H258" s="561" t="s">
        <v>334</v>
      </c>
      <c r="I258" s="327"/>
      <c r="J258" s="26"/>
      <c r="K258" s="27"/>
      <c r="L258" s="26"/>
      <c r="M258" s="27"/>
      <c r="N258" s="23"/>
      <c r="O258" s="24"/>
      <c r="P258" s="563"/>
      <c r="Q258" s="327"/>
      <c r="R258" s="538"/>
      <c r="S258" s="327"/>
      <c r="T258" s="539"/>
      <c r="U258" s="327"/>
      <c r="V258" s="540"/>
      <c r="W258" s="327"/>
      <c r="X258" s="438" t="s">
        <v>303</v>
      </c>
      <c r="Y258" s="326"/>
      <c r="Z258" s="326"/>
      <c r="AA258" s="327"/>
      <c r="AB258" s="519" t="s">
        <v>303</v>
      </c>
      <c r="AC258" s="326"/>
      <c r="AD258" s="326"/>
      <c r="AE258" s="327"/>
      <c r="AF258" s="543"/>
      <c r="AG258" s="327"/>
      <c r="AH258" s="543"/>
      <c r="AI258" s="327"/>
      <c r="AJ258" s="536"/>
      <c r="AK258" s="327"/>
      <c r="AL258" s="556" t="s">
        <v>334</v>
      </c>
      <c r="AM258" s="327"/>
      <c r="AN258" s="553" t="s">
        <v>334</v>
      </c>
      <c r="AO258" s="327"/>
      <c r="AP258" s="547"/>
      <c r="AQ258" s="327"/>
      <c r="AR258" s="548"/>
      <c r="AS258" s="327"/>
      <c r="AT258" s="549"/>
      <c r="AU258" s="327"/>
      <c r="AV258" s="553" t="s">
        <v>334</v>
      </c>
      <c r="AW258" s="327"/>
      <c r="AX258" s="521"/>
      <c r="AY258" s="326"/>
      <c r="AZ258" s="327"/>
      <c r="BA258" s="550"/>
      <c r="BB258" s="327"/>
      <c r="BC258" s="22"/>
      <c r="BD258" s="551" t="s">
        <v>334</v>
      </c>
      <c r="BE258" s="327"/>
      <c r="BF258" s="545"/>
      <c r="BG258" s="326"/>
      <c r="BH258" s="326"/>
      <c r="BI258" s="327"/>
      <c r="BJ258" s="451" t="s">
        <v>303</v>
      </c>
      <c r="BK258" s="326"/>
      <c r="BL258" s="326"/>
      <c r="BM258" s="327"/>
      <c r="BN258" s="558" t="s">
        <v>303</v>
      </c>
      <c r="BO258" s="326"/>
      <c r="BP258" s="326"/>
      <c r="BQ258" s="326"/>
      <c r="BR258" s="326"/>
      <c r="BS258" s="326"/>
      <c r="BT258" s="326"/>
      <c r="BU258" s="326"/>
      <c r="BV258" s="327"/>
    </row>
    <row r="259" spans="1:74" ht="45" customHeight="1" x14ac:dyDescent="0.25">
      <c r="A259" s="10">
        <f t="shared" si="0"/>
        <v>245</v>
      </c>
      <c r="B259" s="559" t="s">
        <v>303</v>
      </c>
      <c r="C259" s="327"/>
      <c r="D259" s="560" t="s">
        <v>307</v>
      </c>
      <c r="E259" s="327"/>
      <c r="F259" s="537" t="s">
        <v>334</v>
      </c>
      <c r="G259" s="327"/>
      <c r="H259" s="566" t="s">
        <v>334</v>
      </c>
      <c r="I259" s="327"/>
      <c r="J259" s="567"/>
      <c r="K259" s="327"/>
      <c r="L259" s="567"/>
      <c r="M259" s="327"/>
      <c r="N259" s="20"/>
      <c r="O259" s="21"/>
      <c r="P259" s="524"/>
      <c r="Q259" s="327"/>
      <c r="R259" s="516"/>
      <c r="S259" s="327"/>
      <c r="T259" s="517"/>
      <c r="U259" s="327"/>
      <c r="V259" s="518"/>
      <c r="W259" s="327"/>
      <c r="X259" s="541" t="s">
        <v>303</v>
      </c>
      <c r="Y259" s="326"/>
      <c r="Z259" s="326"/>
      <c r="AA259" s="327"/>
      <c r="AB259" s="542" t="s">
        <v>303</v>
      </c>
      <c r="AC259" s="326"/>
      <c r="AD259" s="326"/>
      <c r="AE259" s="327"/>
      <c r="AF259" s="520"/>
      <c r="AG259" s="327"/>
      <c r="AH259" s="520"/>
      <c r="AI259" s="327"/>
      <c r="AJ259" s="554"/>
      <c r="AK259" s="327"/>
      <c r="AL259" s="537" t="s">
        <v>334</v>
      </c>
      <c r="AM259" s="327"/>
      <c r="AN259" s="546" t="s">
        <v>334</v>
      </c>
      <c r="AO259" s="327"/>
      <c r="AP259" s="554"/>
      <c r="AQ259" s="327"/>
      <c r="AR259" s="555"/>
      <c r="AS259" s="327"/>
      <c r="AT259" s="549"/>
      <c r="AU259" s="327"/>
      <c r="AV259" s="546" t="s">
        <v>334</v>
      </c>
      <c r="AW259" s="327"/>
      <c r="AX259" s="521"/>
      <c r="AY259" s="326"/>
      <c r="AZ259" s="327"/>
      <c r="BA259" s="536"/>
      <c r="BB259" s="327"/>
      <c r="BC259" s="25"/>
      <c r="BD259" s="544" t="s">
        <v>334</v>
      </c>
      <c r="BE259" s="327"/>
      <c r="BF259" s="508"/>
      <c r="BG259" s="326"/>
      <c r="BH259" s="326"/>
      <c r="BI259" s="327"/>
      <c r="BJ259" s="557" t="s">
        <v>303</v>
      </c>
      <c r="BK259" s="326"/>
      <c r="BL259" s="326"/>
      <c r="BM259" s="327"/>
      <c r="BN259" s="558" t="s">
        <v>303</v>
      </c>
      <c r="BO259" s="326"/>
      <c r="BP259" s="326"/>
      <c r="BQ259" s="326"/>
      <c r="BR259" s="326"/>
      <c r="BS259" s="326"/>
      <c r="BT259" s="326"/>
      <c r="BU259" s="326"/>
      <c r="BV259" s="327"/>
    </row>
    <row r="260" spans="1:74" ht="45" customHeight="1" x14ac:dyDescent="0.25">
      <c r="A260" s="10">
        <f t="shared" si="0"/>
        <v>246</v>
      </c>
      <c r="B260" s="564" t="s">
        <v>303</v>
      </c>
      <c r="C260" s="327"/>
      <c r="D260" s="565" t="s">
        <v>307</v>
      </c>
      <c r="E260" s="327"/>
      <c r="F260" s="537" t="s">
        <v>334</v>
      </c>
      <c r="G260" s="327"/>
      <c r="H260" s="561" t="s">
        <v>334</v>
      </c>
      <c r="I260" s="327"/>
      <c r="J260" s="26"/>
      <c r="K260" s="27"/>
      <c r="L260" s="26"/>
      <c r="M260" s="27"/>
      <c r="N260" s="23"/>
      <c r="O260" s="24"/>
      <c r="P260" s="563"/>
      <c r="Q260" s="327"/>
      <c r="R260" s="538"/>
      <c r="S260" s="327"/>
      <c r="T260" s="539"/>
      <c r="U260" s="327"/>
      <c r="V260" s="540"/>
      <c r="W260" s="327"/>
      <c r="X260" s="438" t="s">
        <v>303</v>
      </c>
      <c r="Y260" s="326"/>
      <c r="Z260" s="326"/>
      <c r="AA260" s="327"/>
      <c r="AB260" s="519" t="s">
        <v>303</v>
      </c>
      <c r="AC260" s="326"/>
      <c r="AD260" s="326"/>
      <c r="AE260" s="327"/>
      <c r="AF260" s="543"/>
      <c r="AG260" s="327"/>
      <c r="AH260" s="543"/>
      <c r="AI260" s="327"/>
      <c r="AJ260" s="536"/>
      <c r="AK260" s="327"/>
      <c r="AL260" s="556" t="s">
        <v>334</v>
      </c>
      <c r="AM260" s="327"/>
      <c r="AN260" s="553" t="s">
        <v>334</v>
      </c>
      <c r="AO260" s="327"/>
      <c r="AP260" s="547"/>
      <c r="AQ260" s="327"/>
      <c r="AR260" s="548"/>
      <c r="AS260" s="327"/>
      <c r="AT260" s="549"/>
      <c r="AU260" s="327"/>
      <c r="AV260" s="553" t="s">
        <v>334</v>
      </c>
      <c r="AW260" s="327"/>
      <c r="AX260" s="521"/>
      <c r="AY260" s="326"/>
      <c r="AZ260" s="327"/>
      <c r="BA260" s="550"/>
      <c r="BB260" s="327"/>
      <c r="BC260" s="22"/>
      <c r="BD260" s="551" t="s">
        <v>334</v>
      </c>
      <c r="BE260" s="327"/>
      <c r="BF260" s="545"/>
      <c r="BG260" s="326"/>
      <c r="BH260" s="326"/>
      <c r="BI260" s="327"/>
      <c r="BJ260" s="451" t="s">
        <v>303</v>
      </c>
      <c r="BK260" s="326"/>
      <c r="BL260" s="326"/>
      <c r="BM260" s="327"/>
      <c r="BN260" s="558" t="s">
        <v>303</v>
      </c>
      <c r="BO260" s="326"/>
      <c r="BP260" s="326"/>
      <c r="BQ260" s="326"/>
      <c r="BR260" s="326"/>
      <c r="BS260" s="326"/>
      <c r="BT260" s="326"/>
      <c r="BU260" s="326"/>
      <c r="BV260" s="327"/>
    </row>
    <row r="261" spans="1:74" ht="45" customHeight="1" x14ac:dyDescent="0.25">
      <c r="A261" s="10">
        <f t="shared" si="0"/>
        <v>247</v>
      </c>
      <c r="B261" s="559" t="s">
        <v>303</v>
      </c>
      <c r="C261" s="327"/>
      <c r="D261" s="560" t="s">
        <v>307</v>
      </c>
      <c r="E261" s="327"/>
      <c r="F261" s="537" t="s">
        <v>334</v>
      </c>
      <c r="G261" s="327"/>
      <c r="H261" s="566" t="s">
        <v>334</v>
      </c>
      <c r="I261" s="327"/>
      <c r="J261" s="567"/>
      <c r="K261" s="327"/>
      <c r="L261" s="567"/>
      <c r="M261" s="327"/>
      <c r="N261" s="20"/>
      <c r="O261" s="21"/>
      <c r="P261" s="524"/>
      <c r="Q261" s="327"/>
      <c r="R261" s="516"/>
      <c r="S261" s="327"/>
      <c r="T261" s="517"/>
      <c r="U261" s="327"/>
      <c r="V261" s="518"/>
      <c r="W261" s="327"/>
      <c r="X261" s="541" t="s">
        <v>303</v>
      </c>
      <c r="Y261" s="326"/>
      <c r="Z261" s="326"/>
      <c r="AA261" s="327"/>
      <c r="AB261" s="542" t="s">
        <v>303</v>
      </c>
      <c r="AC261" s="326"/>
      <c r="AD261" s="326"/>
      <c r="AE261" s="327"/>
      <c r="AF261" s="520"/>
      <c r="AG261" s="327"/>
      <c r="AH261" s="520"/>
      <c r="AI261" s="327"/>
      <c r="AJ261" s="554"/>
      <c r="AK261" s="327"/>
      <c r="AL261" s="537" t="s">
        <v>334</v>
      </c>
      <c r="AM261" s="327"/>
      <c r="AN261" s="546" t="s">
        <v>334</v>
      </c>
      <c r="AO261" s="327"/>
      <c r="AP261" s="554"/>
      <c r="AQ261" s="327"/>
      <c r="AR261" s="555"/>
      <c r="AS261" s="327"/>
      <c r="AT261" s="549"/>
      <c r="AU261" s="327"/>
      <c r="AV261" s="546" t="s">
        <v>334</v>
      </c>
      <c r="AW261" s="327"/>
      <c r="AX261" s="521"/>
      <c r="AY261" s="326"/>
      <c r="AZ261" s="327"/>
      <c r="BA261" s="536"/>
      <c r="BB261" s="327"/>
      <c r="BC261" s="25"/>
      <c r="BD261" s="544" t="s">
        <v>334</v>
      </c>
      <c r="BE261" s="327"/>
      <c r="BF261" s="552"/>
      <c r="BG261" s="326"/>
      <c r="BH261" s="326"/>
      <c r="BI261" s="327"/>
      <c r="BJ261" s="557" t="s">
        <v>303</v>
      </c>
      <c r="BK261" s="326"/>
      <c r="BL261" s="326"/>
      <c r="BM261" s="327"/>
      <c r="BN261" s="558" t="s">
        <v>303</v>
      </c>
      <c r="BO261" s="326"/>
      <c r="BP261" s="326"/>
      <c r="BQ261" s="326"/>
      <c r="BR261" s="326"/>
      <c r="BS261" s="326"/>
      <c r="BT261" s="326"/>
      <c r="BU261" s="326"/>
      <c r="BV261" s="327"/>
    </row>
    <row r="262" spans="1:74" ht="45" customHeight="1" x14ac:dyDescent="0.25">
      <c r="A262" s="10">
        <f t="shared" si="0"/>
        <v>248</v>
      </c>
      <c r="B262" s="564" t="s">
        <v>303</v>
      </c>
      <c r="C262" s="327"/>
      <c r="D262" s="565" t="s">
        <v>307</v>
      </c>
      <c r="E262" s="327"/>
      <c r="F262" s="537" t="s">
        <v>334</v>
      </c>
      <c r="G262" s="327"/>
      <c r="H262" s="561" t="s">
        <v>334</v>
      </c>
      <c r="I262" s="327"/>
      <c r="J262" s="26"/>
      <c r="K262" s="27"/>
      <c r="L262" s="26"/>
      <c r="M262" s="27"/>
      <c r="N262" s="23"/>
      <c r="O262" s="24"/>
      <c r="P262" s="563"/>
      <c r="Q262" s="327"/>
      <c r="R262" s="538"/>
      <c r="S262" s="327"/>
      <c r="T262" s="539"/>
      <c r="U262" s="327"/>
      <c r="V262" s="540"/>
      <c r="W262" s="327"/>
      <c r="X262" s="438" t="s">
        <v>303</v>
      </c>
      <c r="Y262" s="326"/>
      <c r="Z262" s="326"/>
      <c r="AA262" s="327"/>
      <c r="AB262" s="519" t="s">
        <v>303</v>
      </c>
      <c r="AC262" s="326"/>
      <c r="AD262" s="326"/>
      <c r="AE262" s="327"/>
      <c r="AF262" s="543"/>
      <c r="AG262" s="327"/>
      <c r="AH262" s="543"/>
      <c r="AI262" s="327"/>
      <c r="AJ262" s="536"/>
      <c r="AK262" s="327"/>
      <c r="AL262" s="556" t="s">
        <v>334</v>
      </c>
      <c r="AM262" s="327"/>
      <c r="AN262" s="553" t="s">
        <v>334</v>
      </c>
      <c r="AO262" s="327"/>
      <c r="AP262" s="547"/>
      <c r="AQ262" s="327"/>
      <c r="AR262" s="548"/>
      <c r="AS262" s="327"/>
      <c r="AT262" s="549"/>
      <c r="AU262" s="327"/>
      <c r="AV262" s="553" t="s">
        <v>334</v>
      </c>
      <c r="AW262" s="327"/>
      <c r="AX262" s="521"/>
      <c r="AY262" s="326"/>
      <c r="AZ262" s="327"/>
      <c r="BA262" s="550"/>
      <c r="BB262" s="327"/>
      <c r="BC262" s="22"/>
      <c r="BD262" s="551" t="s">
        <v>334</v>
      </c>
      <c r="BE262" s="327"/>
      <c r="BF262" s="545"/>
      <c r="BG262" s="326"/>
      <c r="BH262" s="326"/>
      <c r="BI262" s="327"/>
      <c r="BJ262" s="451" t="s">
        <v>303</v>
      </c>
      <c r="BK262" s="326"/>
      <c r="BL262" s="326"/>
      <c r="BM262" s="327"/>
      <c r="BN262" s="558" t="s">
        <v>303</v>
      </c>
      <c r="BO262" s="326"/>
      <c r="BP262" s="326"/>
      <c r="BQ262" s="326"/>
      <c r="BR262" s="326"/>
      <c r="BS262" s="326"/>
      <c r="BT262" s="326"/>
      <c r="BU262" s="326"/>
      <c r="BV262" s="327"/>
    </row>
    <row r="263" spans="1:74" ht="45" customHeight="1" x14ac:dyDescent="0.25">
      <c r="A263" s="10">
        <f t="shared" si="0"/>
        <v>249</v>
      </c>
      <c r="B263" s="559" t="s">
        <v>303</v>
      </c>
      <c r="C263" s="327"/>
      <c r="D263" s="560" t="s">
        <v>307</v>
      </c>
      <c r="E263" s="327"/>
      <c r="F263" s="537" t="s">
        <v>334</v>
      </c>
      <c r="G263" s="327"/>
      <c r="H263" s="566" t="s">
        <v>334</v>
      </c>
      <c r="I263" s="327"/>
      <c r="J263" s="567"/>
      <c r="K263" s="327"/>
      <c r="L263" s="567"/>
      <c r="M263" s="327"/>
      <c r="N263" s="20"/>
      <c r="O263" s="21"/>
      <c r="P263" s="524"/>
      <c r="Q263" s="327"/>
      <c r="R263" s="516"/>
      <c r="S263" s="327"/>
      <c r="T263" s="517"/>
      <c r="U263" s="327"/>
      <c r="V263" s="518"/>
      <c r="W263" s="327"/>
      <c r="X263" s="541" t="s">
        <v>303</v>
      </c>
      <c r="Y263" s="326"/>
      <c r="Z263" s="326"/>
      <c r="AA263" s="327"/>
      <c r="AB263" s="542" t="s">
        <v>303</v>
      </c>
      <c r="AC263" s="326"/>
      <c r="AD263" s="326"/>
      <c r="AE263" s="327"/>
      <c r="AF263" s="520"/>
      <c r="AG263" s="327"/>
      <c r="AH263" s="520"/>
      <c r="AI263" s="327"/>
      <c r="AJ263" s="554"/>
      <c r="AK263" s="327"/>
      <c r="AL263" s="537" t="s">
        <v>334</v>
      </c>
      <c r="AM263" s="327"/>
      <c r="AN263" s="546" t="s">
        <v>334</v>
      </c>
      <c r="AO263" s="327"/>
      <c r="AP263" s="554"/>
      <c r="AQ263" s="327"/>
      <c r="AR263" s="555"/>
      <c r="AS263" s="327"/>
      <c r="AT263" s="549"/>
      <c r="AU263" s="327"/>
      <c r="AV263" s="546" t="s">
        <v>334</v>
      </c>
      <c r="AW263" s="327"/>
      <c r="AX263" s="521"/>
      <c r="AY263" s="326"/>
      <c r="AZ263" s="327"/>
      <c r="BA263" s="536"/>
      <c r="BB263" s="327"/>
      <c r="BC263" s="25"/>
      <c r="BD263" s="544" t="s">
        <v>334</v>
      </c>
      <c r="BE263" s="327"/>
      <c r="BF263" s="508"/>
      <c r="BG263" s="326"/>
      <c r="BH263" s="326"/>
      <c r="BI263" s="327"/>
      <c r="BJ263" s="557" t="s">
        <v>303</v>
      </c>
      <c r="BK263" s="326"/>
      <c r="BL263" s="326"/>
      <c r="BM263" s="327"/>
      <c r="BN263" s="558" t="s">
        <v>303</v>
      </c>
      <c r="BO263" s="326"/>
      <c r="BP263" s="326"/>
      <c r="BQ263" s="326"/>
      <c r="BR263" s="326"/>
      <c r="BS263" s="326"/>
      <c r="BT263" s="326"/>
      <c r="BU263" s="326"/>
      <c r="BV263" s="327"/>
    </row>
    <row r="264" spans="1:74" ht="45" customHeight="1" x14ac:dyDescent="0.25">
      <c r="A264" s="10">
        <f t="shared" si="0"/>
        <v>250</v>
      </c>
      <c r="B264" s="564" t="s">
        <v>303</v>
      </c>
      <c r="C264" s="327"/>
      <c r="D264" s="565" t="s">
        <v>307</v>
      </c>
      <c r="E264" s="327"/>
      <c r="F264" s="537" t="s">
        <v>334</v>
      </c>
      <c r="G264" s="327"/>
      <c r="H264" s="561" t="s">
        <v>334</v>
      </c>
      <c r="I264" s="327"/>
      <c r="J264" s="26"/>
      <c r="K264" s="27"/>
      <c r="L264" s="26"/>
      <c r="M264" s="27"/>
      <c r="N264" s="23"/>
      <c r="O264" s="24"/>
      <c r="P264" s="563"/>
      <c r="Q264" s="327"/>
      <c r="R264" s="538"/>
      <c r="S264" s="327"/>
      <c r="T264" s="539"/>
      <c r="U264" s="327"/>
      <c r="V264" s="540"/>
      <c r="W264" s="327"/>
      <c r="X264" s="438" t="s">
        <v>303</v>
      </c>
      <c r="Y264" s="326"/>
      <c r="Z264" s="326"/>
      <c r="AA264" s="327"/>
      <c r="AB264" s="519" t="s">
        <v>303</v>
      </c>
      <c r="AC264" s="326"/>
      <c r="AD264" s="326"/>
      <c r="AE264" s="327"/>
      <c r="AF264" s="543"/>
      <c r="AG264" s="327"/>
      <c r="AH264" s="543"/>
      <c r="AI264" s="327"/>
      <c r="AJ264" s="536"/>
      <c r="AK264" s="327"/>
      <c r="AL264" s="556" t="s">
        <v>334</v>
      </c>
      <c r="AM264" s="327"/>
      <c r="AN264" s="553" t="s">
        <v>334</v>
      </c>
      <c r="AO264" s="327"/>
      <c r="AP264" s="547"/>
      <c r="AQ264" s="327"/>
      <c r="AR264" s="548"/>
      <c r="AS264" s="327"/>
      <c r="AT264" s="549"/>
      <c r="AU264" s="327"/>
      <c r="AV264" s="553" t="s">
        <v>334</v>
      </c>
      <c r="AW264" s="327"/>
      <c r="AX264" s="521"/>
      <c r="AY264" s="326"/>
      <c r="AZ264" s="327"/>
      <c r="BA264" s="550"/>
      <c r="BB264" s="327"/>
      <c r="BC264" s="22"/>
      <c r="BD264" s="551" t="s">
        <v>334</v>
      </c>
      <c r="BE264" s="327"/>
      <c r="BF264" s="545"/>
      <c r="BG264" s="326"/>
      <c r="BH264" s="326"/>
      <c r="BI264" s="327"/>
      <c r="BJ264" s="451" t="s">
        <v>303</v>
      </c>
      <c r="BK264" s="326"/>
      <c r="BL264" s="326"/>
      <c r="BM264" s="327"/>
      <c r="BN264" s="558" t="s">
        <v>303</v>
      </c>
      <c r="BO264" s="326"/>
      <c r="BP264" s="326"/>
      <c r="BQ264" s="326"/>
      <c r="BR264" s="326"/>
      <c r="BS264" s="326"/>
      <c r="BT264" s="326"/>
      <c r="BU264" s="326"/>
      <c r="BV264" s="327"/>
    </row>
    <row r="265" spans="1:74" ht="45" customHeight="1" x14ac:dyDescent="0.25">
      <c r="A265" s="10">
        <f t="shared" si="0"/>
        <v>251</v>
      </c>
      <c r="B265" s="559" t="s">
        <v>303</v>
      </c>
      <c r="C265" s="327"/>
      <c r="D265" s="560" t="s">
        <v>307</v>
      </c>
      <c r="E265" s="327"/>
      <c r="F265" s="537" t="s">
        <v>334</v>
      </c>
      <c r="G265" s="327"/>
      <c r="H265" s="566" t="s">
        <v>334</v>
      </c>
      <c r="I265" s="327"/>
      <c r="J265" s="567"/>
      <c r="K265" s="327"/>
      <c r="L265" s="567"/>
      <c r="M265" s="327"/>
      <c r="N265" s="20"/>
      <c r="O265" s="21"/>
      <c r="P265" s="524"/>
      <c r="Q265" s="327"/>
      <c r="R265" s="516"/>
      <c r="S265" s="327"/>
      <c r="T265" s="517"/>
      <c r="U265" s="327"/>
      <c r="V265" s="518"/>
      <c r="W265" s="327"/>
      <c r="X265" s="541" t="s">
        <v>303</v>
      </c>
      <c r="Y265" s="326"/>
      <c r="Z265" s="326"/>
      <c r="AA265" s="327"/>
      <c r="AB265" s="542" t="s">
        <v>303</v>
      </c>
      <c r="AC265" s="326"/>
      <c r="AD265" s="326"/>
      <c r="AE265" s="327"/>
      <c r="AF265" s="520"/>
      <c r="AG265" s="327"/>
      <c r="AH265" s="520"/>
      <c r="AI265" s="327"/>
      <c r="AJ265" s="554"/>
      <c r="AK265" s="327"/>
      <c r="AL265" s="537" t="s">
        <v>334</v>
      </c>
      <c r="AM265" s="327"/>
      <c r="AN265" s="546" t="s">
        <v>334</v>
      </c>
      <c r="AO265" s="327"/>
      <c r="AP265" s="554"/>
      <c r="AQ265" s="327"/>
      <c r="AR265" s="555"/>
      <c r="AS265" s="327"/>
      <c r="AT265" s="549"/>
      <c r="AU265" s="327"/>
      <c r="AV265" s="546" t="s">
        <v>334</v>
      </c>
      <c r="AW265" s="327"/>
      <c r="AX265" s="521"/>
      <c r="AY265" s="326"/>
      <c r="AZ265" s="327"/>
      <c r="BA265" s="536"/>
      <c r="BB265" s="327"/>
      <c r="BC265" s="25"/>
      <c r="BD265" s="544" t="s">
        <v>334</v>
      </c>
      <c r="BE265" s="327"/>
      <c r="BF265" s="508"/>
      <c r="BG265" s="326"/>
      <c r="BH265" s="326"/>
      <c r="BI265" s="327"/>
      <c r="BJ265" s="557" t="s">
        <v>303</v>
      </c>
      <c r="BK265" s="326"/>
      <c r="BL265" s="326"/>
      <c r="BM265" s="327"/>
      <c r="BN265" s="558" t="s">
        <v>303</v>
      </c>
      <c r="BO265" s="326"/>
      <c r="BP265" s="326"/>
      <c r="BQ265" s="326"/>
      <c r="BR265" s="326"/>
      <c r="BS265" s="326"/>
      <c r="BT265" s="326"/>
      <c r="BU265" s="326"/>
      <c r="BV265" s="327"/>
    </row>
    <row r="266" spans="1:74" ht="45" customHeight="1" x14ac:dyDescent="0.25">
      <c r="A266" s="10">
        <f t="shared" si="0"/>
        <v>252</v>
      </c>
      <c r="B266" s="564" t="s">
        <v>303</v>
      </c>
      <c r="C266" s="327"/>
      <c r="D266" s="565" t="s">
        <v>307</v>
      </c>
      <c r="E266" s="327"/>
      <c r="F266" s="537" t="s">
        <v>334</v>
      </c>
      <c r="G266" s="327"/>
      <c r="H266" s="561" t="s">
        <v>334</v>
      </c>
      <c r="I266" s="327"/>
      <c r="J266" s="26"/>
      <c r="K266" s="27"/>
      <c r="L266" s="26"/>
      <c r="M266" s="27"/>
      <c r="N266" s="23"/>
      <c r="O266" s="24"/>
      <c r="P266" s="563"/>
      <c r="Q266" s="327"/>
      <c r="R266" s="538"/>
      <c r="S266" s="327"/>
      <c r="T266" s="539"/>
      <c r="U266" s="327"/>
      <c r="V266" s="540"/>
      <c r="W266" s="327"/>
      <c r="X266" s="438" t="s">
        <v>303</v>
      </c>
      <c r="Y266" s="326"/>
      <c r="Z266" s="326"/>
      <c r="AA266" s="327"/>
      <c r="AB266" s="519" t="s">
        <v>303</v>
      </c>
      <c r="AC266" s="326"/>
      <c r="AD266" s="326"/>
      <c r="AE266" s="327"/>
      <c r="AF266" s="543"/>
      <c r="AG266" s="327"/>
      <c r="AH266" s="543"/>
      <c r="AI266" s="327"/>
      <c r="AJ266" s="536"/>
      <c r="AK266" s="327"/>
      <c r="AL266" s="556" t="s">
        <v>334</v>
      </c>
      <c r="AM266" s="327"/>
      <c r="AN266" s="553" t="s">
        <v>334</v>
      </c>
      <c r="AO266" s="327"/>
      <c r="AP266" s="547"/>
      <c r="AQ266" s="327"/>
      <c r="AR266" s="548"/>
      <c r="AS266" s="327"/>
      <c r="AT266" s="549"/>
      <c r="AU266" s="327"/>
      <c r="AV266" s="553" t="s">
        <v>334</v>
      </c>
      <c r="AW266" s="327"/>
      <c r="AX266" s="521"/>
      <c r="AY266" s="326"/>
      <c r="AZ266" s="327"/>
      <c r="BA266" s="550"/>
      <c r="BB266" s="327"/>
      <c r="BC266" s="22"/>
      <c r="BD266" s="551" t="s">
        <v>334</v>
      </c>
      <c r="BE266" s="327"/>
      <c r="BF266" s="545"/>
      <c r="BG266" s="326"/>
      <c r="BH266" s="326"/>
      <c r="BI266" s="327"/>
      <c r="BJ266" s="451" t="s">
        <v>303</v>
      </c>
      <c r="BK266" s="326"/>
      <c r="BL266" s="326"/>
      <c r="BM266" s="327"/>
      <c r="BN266" s="558" t="s">
        <v>303</v>
      </c>
      <c r="BO266" s="326"/>
      <c r="BP266" s="326"/>
      <c r="BQ266" s="326"/>
      <c r="BR266" s="326"/>
      <c r="BS266" s="326"/>
      <c r="BT266" s="326"/>
      <c r="BU266" s="326"/>
      <c r="BV266" s="327"/>
    </row>
    <row r="267" spans="1:74" ht="45" customHeight="1" x14ac:dyDescent="0.25">
      <c r="A267" s="10">
        <f t="shared" si="0"/>
        <v>253</v>
      </c>
      <c r="B267" s="559" t="s">
        <v>303</v>
      </c>
      <c r="C267" s="327"/>
      <c r="D267" s="560" t="s">
        <v>307</v>
      </c>
      <c r="E267" s="327"/>
      <c r="F267" s="537" t="s">
        <v>334</v>
      </c>
      <c r="G267" s="327"/>
      <c r="H267" s="566" t="s">
        <v>334</v>
      </c>
      <c r="I267" s="327"/>
      <c r="J267" s="567"/>
      <c r="K267" s="327"/>
      <c r="L267" s="567"/>
      <c r="M267" s="327"/>
      <c r="N267" s="20"/>
      <c r="O267" s="21"/>
      <c r="P267" s="524"/>
      <c r="Q267" s="327"/>
      <c r="R267" s="516"/>
      <c r="S267" s="327"/>
      <c r="T267" s="517"/>
      <c r="U267" s="327"/>
      <c r="V267" s="518"/>
      <c r="W267" s="327"/>
      <c r="X267" s="541" t="s">
        <v>303</v>
      </c>
      <c r="Y267" s="326"/>
      <c r="Z267" s="326"/>
      <c r="AA267" s="327"/>
      <c r="AB267" s="542" t="s">
        <v>303</v>
      </c>
      <c r="AC267" s="326"/>
      <c r="AD267" s="326"/>
      <c r="AE267" s="327"/>
      <c r="AF267" s="520"/>
      <c r="AG267" s="327"/>
      <c r="AH267" s="520"/>
      <c r="AI267" s="327"/>
      <c r="AJ267" s="554"/>
      <c r="AK267" s="327"/>
      <c r="AL267" s="537" t="s">
        <v>334</v>
      </c>
      <c r="AM267" s="327"/>
      <c r="AN267" s="546" t="s">
        <v>334</v>
      </c>
      <c r="AO267" s="327"/>
      <c r="AP267" s="554"/>
      <c r="AQ267" s="327"/>
      <c r="AR267" s="555"/>
      <c r="AS267" s="327"/>
      <c r="AT267" s="549"/>
      <c r="AU267" s="327"/>
      <c r="AV267" s="546" t="s">
        <v>334</v>
      </c>
      <c r="AW267" s="327"/>
      <c r="AX267" s="521"/>
      <c r="AY267" s="326"/>
      <c r="AZ267" s="327"/>
      <c r="BA267" s="536"/>
      <c r="BB267" s="327"/>
      <c r="BC267" s="25"/>
      <c r="BD267" s="544" t="s">
        <v>334</v>
      </c>
      <c r="BE267" s="327"/>
      <c r="BF267" s="552"/>
      <c r="BG267" s="326"/>
      <c r="BH267" s="326"/>
      <c r="BI267" s="327"/>
      <c r="BJ267" s="557" t="s">
        <v>303</v>
      </c>
      <c r="BK267" s="326"/>
      <c r="BL267" s="326"/>
      <c r="BM267" s="327"/>
      <c r="BN267" s="558" t="s">
        <v>303</v>
      </c>
      <c r="BO267" s="326"/>
      <c r="BP267" s="326"/>
      <c r="BQ267" s="326"/>
      <c r="BR267" s="326"/>
      <c r="BS267" s="326"/>
      <c r="BT267" s="326"/>
      <c r="BU267" s="326"/>
      <c r="BV267" s="327"/>
    </row>
    <row r="268" spans="1:74" ht="45" customHeight="1" x14ac:dyDescent="0.25">
      <c r="A268" s="10">
        <f t="shared" si="0"/>
        <v>254</v>
      </c>
      <c r="B268" s="564" t="s">
        <v>303</v>
      </c>
      <c r="C268" s="327"/>
      <c r="D268" s="565" t="s">
        <v>307</v>
      </c>
      <c r="E268" s="327"/>
      <c r="F268" s="537" t="s">
        <v>334</v>
      </c>
      <c r="G268" s="327"/>
      <c r="H268" s="561" t="s">
        <v>334</v>
      </c>
      <c r="I268" s="327"/>
      <c r="J268" s="26"/>
      <c r="K268" s="27"/>
      <c r="L268" s="26"/>
      <c r="M268" s="27"/>
      <c r="N268" s="23"/>
      <c r="O268" s="24"/>
      <c r="P268" s="563"/>
      <c r="Q268" s="327"/>
      <c r="R268" s="538"/>
      <c r="S268" s="327"/>
      <c r="T268" s="539"/>
      <c r="U268" s="327"/>
      <c r="V268" s="540"/>
      <c r="W268" s="327"/>
      <c r="X268" s="438" t="s">
        <v>303</v>
      </c>
      <c r="Y268" s="326"/>
      <c r="Z268" s="326"/>
      <c r="AA268" s="327"/>
      <c r="AB268" s="519" t="s">
        <v>303</v>
      </c>
      <c r="AC268" s="326"/>
      <c r="AD268" s="326"/>
      <c r="AE268" s="327"/>
      <c r="AF268" s="543"/>
      <c r="AG268" s="327"/>
      <c r="AH268" s="543"/>
      <c r="AI268" s="327"/>
      <c r="AJ268" s="536"/>
      <c r="AK268" s="327"/>
      <c r="AL268" s="556" t="s">
        <v>334</v>
      </c>
      <c r="AM268" s="327"/>
      <c r="AN268" s="553" t="s">
        <v>334</v>
      </c>
      <c r="AO268" s="327"/>
      <c r="AP268" s="547"/>
      <c r="AQ268" s="327"/>
      <c r="AR268" s="548"/>
      <c r="AS268" s="327"/>
      <c r="AT268" s="549"/>
      <c r="AU268" s="327"/>
      <c r="AV268" s="553" t="s">
        <v>334</v>
      </c>
      <c r="AW268" s="327"/>
      <c r="AX268" s="521"/>
      <c r="AY268" s="326"/>
      <c r="AZ268" s="327"/>
      <c r="BA268" s="550"/>
      <c r="BB268" s="327"/>
      <c r="BC268" s="22"/>
      <c r="BD268" s="551" t="s">
        <v>334</v>
      </c>
      <c r="BE268" s="327"/>
      <c r="BF268" s="545"/>
      <c r="BG268" s="326"/>
      <c r="BH268" s="326"/>
      <c r="BI268" s="327"/>
      <c r="BJ268" s="451" t="s">
        <v>303</v>
      </c>
      <c r="BK268" s="326"/>
      <c r="BL268" s="326"/>
      <c r="BM268" s="327"/>
      <c r="BN268" s="558" t="s">
        <v>303</v>
      </c>
      <c r="BO268" s="326"/>
      <c r="BP268" s="326"/>
      <c r="BQ268" s="326"/>
      <c r="BR268" s="326"/>
      <c r="BS268" s="326"/>
      <c r="BT268" s="326"/>
      <c r="BU268" s="326"/>
      <c r="BV268" s="327"/>
    </row>
    <row r="269" spans="1:74" ht="45" customHeight="1" x14ac:dyDescent="0.25">
      <c r="A269" s="10">
        <f t="shared" si="0"/>
        <v>255</v>
      </c>
      <c r="B269" s="559" t="s">
        <v>303</v>
      </c>
      <c r="C269" s="327"/>
      <c r="D269" s="560" t="s">
        <v>307</v>
      </c>
      <c r="E269" s="327"/>
      <c r="F269" s="537" t="s">
        <v>334</v>
      </c>
      <c r="G269" s="327"/>
      <c r="H269" s="566" t="s">
        <v>334</v>
      </c>
      <c r="I269" s="327"/>
      <c r="J269" s="567"/>
      <c r="K269" s="327"/>
      <c r="L269" s="567"/>
      <c r="M269" s="327"/>
      <c r="N269" s="20"/>
      <c r="O269" s="21"/>
      <c r="P269" s="524"/>
      <c r="Q269" s="327"/>
      <c r="R269" s="516"/>
      <c r="S269" s="327"/>
      <c r="T269" s="517"/>
      <c r="U269" s="327"/>
      <c r="V269" s="518"/>
      <c r="W269" s="327"/>
      <c r="X269" s="541" t="s">
        <v>303</v>
      </c>
      <c r="Y269" s="326"/>
      <c r="Z269" s="326"/>
      <c r="AA269" s="327"/>
      <c r="AB269" s="542" t="s">
        <v>303</v>
      </c>
      <c r="AC269" s="326"/>
      <c r="AD269" s="326"/>
      <c r="AE269" s="327"/>
      <c r="AF269" s="520"/>
      <c r="AG269" s="327"/>
      <c r="AH269" s="520"/>
      <c r="AI269" s="327"/>
      <c r="AJ269" s="554"/>
      <c r="AK269" s="327"/>
      <c r="AL269" s="537" t="s">
        <v>334</v>
      </c>
      <c r="AM269" s="327"/>
      <c r="AN269" s="546" t="s">
        <v>334</v>
      </c>
      <c r="AO269" s="327"/>
      <c r="AP269" s="554"/>
      <c r="AQ269" s="327"/>
      <c r="AR269" s="555"/>
      <c r="AS269" s="327"/>
      <c r="AT269" s="549"/>
      <c r="AU269" s="327"/>
      <c r="AV269" s="546" t="s">
        <v>334</v>
      </c>
      <c r="AW269" s="327"/>
      <c r="AX269" s="521"/>
      <c r="AY269" s="326"/>
      <c r="AZ269" s="327"/>
      <c r="BA269" s="536"/>
      <c r="BB269" s="327"/>
      <c r="BC269" s="25"/>
      <c r="BD269" s="544" t="s">
        <v>334</v>
      </c>
      <c r="BE269" s="327"/>
      <c r="BF269" s="508"/>
      <c r="BG269" s="326"/>
      <c r="BH269" s="326"/>
      <c r="BI269" s="327"/>
      <c r="BJ269" s="557" t="s">
        <v>303</v>
      </c>
      <c r="BK269" s="326"/>
      <c r="BL269" s="326"/>
      <c r="BM269" s="327"/>
      <c r="BN269" s="558" t="s">
        <v>303</v>
      </c>
      <c r="BO269" s="326"/>
      <c r="BP269" s="326"/>
      <c r="BQ269" s="326"/>
      <c r="BR269" s="326"/>
      <c r="BS269" s="326"/>
      <c r="BT269" s="326"/>
      <c r="BU269" s="326"/>
      <c r="BV269" s="327"/>
    </row>
    <row r="270" spans="1:74" ht="45" customHeight="1" x14ac:dyDescent="0.25">
      <c r="A270" s="10">
        <f t="shared" ref="A270:A524" si="1">ROW(A256)</f>
        <v>256</v>
      </c>
      <c r="B270" s="564" t="s">
        <v>303</v>
      </c>
      <c r="C270" s="327"/>
      <c r="D270" s="565" t="s">
        <v>307</v>
      </c>
      <c r="E270" s="327"/>
      <c r="F270" s="537" t="s">
        <v>334</v>
      </c>
      <c r="G270" s="327"/>
      <c r="H270" s="561" t="s">
        <v>334</v>
      </c>
      <c r="I270" s="327"/>
      <c r="J270" s="26"/>
      <c r="K270" s="27"/>
      <c r="L270" s="26"/>
      <c r="M270" s="27"/>
      <c r="N270" s="23"/>
      <c r="O270" s="24"/>
      <c r="P270" s="563"/>
      <c r="Q270" s="327"/>
      <c r="R270" s="538"/>
      <c r="S270" s="327"/>
      <c r="T270" s="539"/>
      <c r="U270" s="327"/>
      <c r="V270" s="540"/>
      <c r="W270" s="327"/>
      <c r="X270" s="438" t="s">
        <v>303</v>
      </c>
      <c r="Y270" s="326"/>
      <c r="Z270" s="326"/>
      <c r="AA270" s="327"/>
      <c r="AB270" s="519" t="s">
        <v>303</v>
      </c>
      <c r="AC270" s="326"/>
      <c r="AD270" s="326"/>
      <c r="AE270" s="327"/>
      <c r="AF270" s="543"/>
      <c r="AG270" s="327"/>
      <c r="AH270" s="543"/>
      <c r="AI270" s="327"/>
      <c r="AJ270" s="536"/>
      <c r="AK270" s="327"/>
      <c r="AL270" s="556" t="s">
        <v>334</v>
      </c>
      <c r="AM270" s="327"/>
      <c r="AN270" s="553" t="s">
        <v>334</v>
      </c>
      <c r="AO270" s="327"/>
      <c r="AP270" s="547"/>
      <c r="AQ270" s="327"/>
      <c r="AR270" s="548"/>
      <c r="AS270" s="327"/>
      <c r="AT270" s="549"/>
      <c r="AU270" s="327"/>
      <c r="AV270" s="553" t="s">
        <v>334</v>
      </c>
      <c r="AW270" s="327"/>
      <c r="AX270" s="521"/>
      <c r="AY270" s="326"/>
      <c r="AZ270" s="327"/>
      <c r="BA270" s="550"/>
      <c r="BB270" s="327"/>
      <c r="BC270" s="22"/>
      <c r="BD270" s="551" t="s">
        <v>334</v>
      </c>
      <c r="BE270" s="327"/>
      <c r="BF270" s="545"/>
      <c r="BG270" s="326"/>
      <c r="BH270" s="326"/>
      <c r="BI270" s="327"/>
      <c r="BJ270" s="451" t="s">
        <v>303</v>
      </c>
      <c r="BK270" s="326"/>
      <c r="BL270" s="326"/>
      <c r="BM270" s="327"/>
      <c r="BN270" s="558" t="s">
        <v>303</v>
      </c>
      <c r="BO270" s="326"/>
      <c r="BP270" s="326"/>
      <c r="BQ270" s="326"/>
      <c r="BR270" s="326"/>
      <c r="BS270" s="326"/>
      <c r="BT270" s="326"/>
      <c r="BU270" s="326"/>
      <c r="BV270" s="327"/>
    </row>
    <row r="271" spans="1:74" ht="45" customHeight="1" x14ac:dyDescent="0.25">
      <c r="A271" s="10">
        <f t="shared" si="1"/>
        <v>257</v>
      </c>
      <c r="B271" s="559" t="s">
        <v>303</v>
      </c>
      <c r="C271" s="327"/>
      <c r="D271" s="560" t="s">
        <v>307</v>
      </c>
      <c r="E271" s="327"/>
      <c r="F271" s="537" t="s">
        <v>334</v>
      </c>
      <c r="G271" s="327"/>
      <c r="H271" s="566" t="s">
        <v>334</v>
      </c>
      <c r="I271" s="327"/>
      <c r="J271" s="567"/>
      <c r="K271" s="327"/>
      <c r="L271" s="567"/>
      <c r="M271" s="327"/>
      <c r="N271" s="20"/>
      <c r="O271" s="21"/>
      <c r="P271" s="524"/>
      <c r="Q271" s="327"/>
      <c r="R271" s="516"/>
      <c r="S271" s="327"/>
      <c r="T271" s="517"/>
      <c r="U271" s="327"/>
      <c r="V271" s="518"/>
      <c r="W271" s="327"/>
      <c r="X271" s="541" t="s">
        <v>303</v>
      </c>
      <c r="Y271" s="326"/>
      <c r="Z271" s="326"/>
      <c r="AA271" s="327"/>
      <c r="AB271" s="542" t="s">
        <v>303</v>
      </c>
      <c r="AC271" s="326"/>
      <c r="AD271" s="326"/>
      <c r="AE271" s="327"/>
      <c r="AF271" s="520"/>
      <c r="AG271" s="327"/>
      <c r="AH271" s="520"/>
      <c r="AI271" s="327"/>
      <c r="AJ271" s="554"/>
      <c r="AK271" s="327"/>
      <c r="AL271" s="537" t="s">
        <v>334</v>
      </c>
      <c r="AM271" s="327"/>
      <c r="AN271" s="546" t="s">
        <v>334</v>
      </c>
      <c r="AO271" s="327"/>
      <c r="AP271" s="554"/>
      <c r="AQ271" s="327"/>
      <c r="AR271" s="555"/>
      <c r="AS271" s="327"/>
      <c r="AT271" s="549"/>
      <c r="AU271" s="327"/>
      <c r="AV271" s="546" t="s">
        <v>334</v>
      </c>
      <c r="AW271" s="327"/>
      <c r="AX271" s="521"/>
      <c r="AY271" s="326"/>
      <c r="AZ271" s="327"/>
      <c r="BA271" s="536"/>
      <c r="BB271" s="327"/>
      <c r="BC271" s="25"/>
      <c r="BD271" s="544" t="s">
        <v>334</v>
      </c>
      <c r="BE271" s="327"/>
      <c r="BF271" s="552"/>
      <c r="BG271" s="326"/>
      <c r="BH271" s="326"/>
      <c r="BI271" s="327"/>
      <c r="BJ271" s="557" t="s">
        <v>303</v>
      </c>
      <c r="BK271" s="326"/>
      <c r="BL271" s="326"/>
      <c r="BM271" s="327"/>
      <c r="BN271" s="558" t="s">
        <v>303</v>
      </c>
      <c r="BO271" s="326"/>
      <c r="BP271" s="326"/>
      <c r="BQ271" s="326"/>
      <c r="BR271" s="326"/>
      <c r="BS271" s="326"/>
      <c r="BT271" s="326"/>
      <c r="BU271" s="326"/>
      <c r="BV271" s="327"/>
    </row>
    <row r="272" spans="1:74" ht="45" customHeight="1" x14ac:dyDescent="0.25">
      <c r="A272" s="10">
        <f t="shared" si="1"/>
        <v>258</v>
      </c>
      <c r="B272" s="564" t="s">
        <v>303</v>
      </c>
      <c r="C272" s="327"/>
      <c r="D272" s="565" t="s">
        <v>307</v>
      </c>
      <c r="E272" s="327"/>
      <c r="F272" s="537" t="s">
        <v>334</v>
      </c>
      <c r="G272" s="327"/>
      <c r="H272" s="561" t="s">
        <v>334</v>
      </c>
      <c r="I272" s="327"/>
      <c r="J272" s="26"/>
      <c r="K272" s="27"/>
      <c r="L272" s="26"/>
      <c r="M272" s="27"/>
      <c r="N272" s="23"/>
      <c r="O272" s="24"/>
      <c r="P272" s="563"/>
      <c r="Q272" s="327"/>
      <c r="R272" s="538"/>
      <c r="S272" s="327"/>
      <c r="T272" s="539"/>
      <c r="U272" s="327"/>
      <c r="V272" s="540"/>
      <c r="W272" s="327"/>
      <c r="X272" s="438" t="s">
        <v>303</v>
      </c>
      <c r="Y272" s="326"/>
      <c r="Z272" s="326"/>
      <c r="AA272" s="327"/>
      <c r="AB272" s="519" t="s">
        <v>303</v>
      </c>
      <c r="AC272" s="326"/>
      <c r="AD272" s="326"/>
      <c r="AE272" s="327"/>
      <c r="AF272" s="543"/>
      <c r="AG272" s="327"/>
      <c r="AH272" s="543"/>
      <c r="AI272" s="327"/>
      <c r="AJ272" s="536"/>
      <c r="AK272" s="327"/>
      <c r="AL272" s="556" t="s">
        <v>334</v>
      </c>
      <c r="AM272" s="327"/>
      <c r="AN272" s="553" t="s">
        <v>334</v>
      </c>
      <c r="AO272" s="327"/>
      <c r="AP272" s="547"/>
      <c r="AQ272" s="327"/>
      <c r="AR272" s="548"/>
      <c r="AS272" s="327"/>
      <c r="AT272" s="549"/>
      <c r="AU272" s="327"/>
      <c r="AV272" s="553" t="s">
        <v>334</v>
      </c>
      <c r="AW272" s="327"/>
      <c r="AX272" s="521"/>
      <c r="AY272" s="326"/>
      <c r="AZ272" s="327"/>
      <c r="BA272" s="550"/>
      <c r="BB272" s="327"/>
      <c r="BC272" s="22"/>
      <c r="BD272" s="551" t="s">
        <v>334</v>
      </c>
      <c r="BE272" s="327"/>
      <c r="BF272" s="545"/>
      <c r="BG272" s="326"/>
      <c r="BH272" s="326"/>
      <c r="BI272" s="327"/>
      <c r="BJ272" s="451" t="s">
        <v>303</v>
      </c>
      <c r="BK272" s="326"/>
      <c r="BL272" s="326"/>
      <c r="BM272" s="327"/>
      <c r="BN272" s="558" t="s">
        <v>303</v>
      </c>
      <c r="BO272" s="326"/>
      <c r="BP272" s="326"/>
      <c r="BQ272" s="326"/>
      <c r="BR272" s="326"/>
      <c r="BS272" s="326"/>
      <c r="BT272" s="326"/>
      <c r="BU272" s="326"/>
      <c r="BV272" s="327"/>
    </row>
    <row r="273" spans="1:74" ht="45" customHeight="1" x14ac:dyDescent="0.25">
      <c r="A273" s="10">
        <f t="shared" si="1"/>
        <v>259</v>
      </c>
      <c r="B273" s="559" t="s">
        <v>303</v>
      </c>
      <c r="C273" s="327"/>
      <c r="D273" s="560" t="s">
        <v>307</v>
      </c>
      <c r="E273" s="327"/>
      <c r="F273" s="537" t="s">
        <v>334</v>
      </c>
      <c r="G273" s="327"/>
      <c r="H273" s="566" t="s">
        <v>334</v>
      </c>
      <c r="I273" s="327"/>
      <c r="J273" s="567"/>
      <c r="K273" s="327"/>
      <c r="L273" s="567"/>
      <c r="M273" s="327"/>
      <c r="N273" s="20"/>
      <c r="O273" s="21"/>
      <c r="P273" s="524"/>
      <c r="Q273" s="327"/>
      <c r="R273" s="516"/>
      <c r="S273" s="327"/>
      <c r="T273" s="517"/>
      <c r="U273" s="327"/>
      <c r="V273" s="518"/>
      <c r="W273" s="327"/>
      <c r="X273" s="541" t="s">
        <v>303</v>
      </c>
      <c r="Y273" s="326"/>
      <c r="Z273" s="326"/>
      <c r="AA273" s="327"/>
      <c r="AB273" s="542" t="s">
        <v>303</v>
      </c>
      <c r="AC273" s="326"/>
      <c r="AD273" s="326"/>
      <c r="AE273" s="327"/>
      <c r="AF273" s="520"/>
      <c r="AG273" s="327"/>
      <c r="AH273" s="520"/>
      <c r="AI273" s="327"/>
      <c r="AJ273" s="554"/>
      <c r="AK273" s="327"/>
      <c r="AL273" s="537" t="s">
        <v>334</v>
      </c>
      <c r="AM273" s="327"/>
      <c r="AN273" s="546" t="s">
        <v>334</v>
      </c>
      <c r="AO273" s="327"/>
      <c r="AP273" s="554"/>
      <c r="AQ273" s="327"/>
      <c r="AR273" s="555"/>
      <c r="AS273" s="327"/>
      <c r="AT273" s="549"/>
      <c r="AU273" s="327"/>
      <c r="AV273" s="546" t="s">
        <v>334</v>
      </c>
      <c r="AW273" s="327"/>
      <c r="AX273" s="521"/>
      <c r="AY273" s="326"/>
      <c r="AZ273" s="327"/>
      <c r="BA273" s="536"/>
      <c r="BB273" s="327"/>
      <c r="BC273" s="25"/>
      <c r="BD273" s="544" t="s">
        <v>334</v>
      </c>
      <c r="BE273" s="327"/>
      <c r="BF273" s="508"/>
      <c r="BG273" s="326"/>
      <c r="BH273" s="326"/>
      <c r="BI273" s="327"/>
      <c r="BJ273" s="557" t="s">
        <v>303</v>
      </c>
      <c r="BK273" s="326"/>
      <c r="BL273" s="326"/>
      <c r="BM273" s="327"/>
      <c r="BN273" s="558" t="s">
        <v>303</v>
      </c>
      <c r="BO273" s="326"/>
      <c r="BP273" s="326"/>
      <c r="BQ273" s="326"/>
      <c r="BR273" s="326"/>
      <c r="BS273" s="326"/>
      <c r="BT273" s="326"/>
      <c r="BU273" s="326"/>
      <c r="BV273" s="327"/>
    </row>
    <row r="274" spans="1:74" ht="45" customHeight="1" x14ac:dyDescent="0.25">
      <c r="A274" s="10">
        <f t="shared" si="1"/>
        <v>260</v>
      </c>
      <c r="B274" s="564" t="s">
        <v>303</v>
      </c>
      <c r="C274" s="327"/>
      <c r="D274" s="565" t="s">
        <v>307</v>
      </c>
      <c r="E274" s="327"/>
      <c r="F274" s="537" t="s">
        <v>334</v>
      </c>
      <c r="G274" s="327"/>
      <c r="H274" s="561" t="s">
        <v>334</v>
      </c>
      <c r="I274" s="327"/>
      <c r="J274" s="26"/>
      <c r="K274" s="27"/>
      <c r="L274" s="26"/>
      <c r="M274" s="27"/>
      <c r="N274" s="23"/>
      <c r="O274" s="24"/>
      <c r="P274" s="563"/>
      <c r="Q274" s="327"/>
      <c r="R274" s="538"/>
      <c r="S274" s="327"/>
      <c r="T274" s="539"/>
      <c r="U274" s="327"/>
      <c r="V274" s="540"/>
      <c r="W274" s="327"/>
      <c r="X274" s="438" t="s">
        <v>303</v>
      </c>
      <c r="Y274" s="326"/>
      <c r="Z274" s="326"/>
      <c r="AA274" s="327"/>
      <c r="AB274" s="519" t="s">
        <v>303</v>
      </c>
      <c r="AC274" s="326"/>
      <c r="AD274" s="326"/>
      <c r="AE274" s="327"/>
      <c r="AF274" s="543"/>
      <c r="AG274" s="327"/>
      <c r="AH274" s="543"/>
      <c r="AI274" s="327"/>
      <c r="AJ274" s="536"/>
      <c r="AK274" s="327"/>
      <c r="AL274" s="556" t="s">
        <v>334</v>
      </c>
      <c r="AM274" s="327"/>
      <c r="AN274" s="553" t="s">
        <v>334</v>
      </c>
      <c r="AO274" s="327"/>
      <c r="AP274" s="547"/>
      <c r="AQ274" s="327"/>
      <c r="AR274" s="548"/>
      <c r="AS274" s="327"/>
      <c r="AT274" s="549"/>
      <c r="AU274" s="327"/>
      <c r="AV274" s="553" t="s">
        <v>334</v>
      </c>
      <c r="AW274" s="327"/>
      <c r="AX274" s="521"/>
      <c r="AY274" s="326"/>
      <c r="AZ274" s="327"/>
      <c r="BA274" s="550"/>
      <c r="BB274" s="327"/>
      <c r="BC274" s="22"/>
      <c r="BD274" s="551" t="s">
        <v>334</v>
      </c>
      <c r="BE274" s="327"/>
      <c r="BF274" s="545"/>
      <c r="BG274" s="326"/>
      <c r="BH274" s="326"/>
      <c r="BI274" s="327"/>
      <c r="BJ274" s="451" t="s">
        <v>303</v>
      </c>
      <c r="BK274" s="326"/>
      <c r="BL274" s="326"/>
      <c r="BM274" s="327"/>
      <c r="BN274" s="558" t="s">
        <v>303</v>
      </c>
      <c r="BO274" s="326"/>
      <c r="BP274" s="326"/>
      <c r="BQ274" s="326"/>
      <c r="BR274" s="326"/>
      <c r="BS274" s="326"/>
      <c r="BT274" s="326"/>
      <c r="BU274" s="326"/>
      <c r="BV274" s="327"/>
    </row>
    <row r="275" spans="1:74" ht="45" customHeight="1" x14ac:dyDescent="0.25">
      <c r="A275" s="10">
        <f t="shared" si="1"/>
        <v>261</v>
      </c>
      <c r="B275" s="559" t="s">
        <v>303</v>
      </c>
      <c r="C275" s="327"/>
      <c r="D275" s="560" t="s">
        <v>307</v>
      </c>
      <c r="E275" s="327"/>
      <c r="F275" s="537" t="s">
        <v>334</v>
      </c>
      <c r="G275" s="327"/>
      <c r="H275" s="566" t="s">
        <v>334</v>
      </c>
      <c r="I275" s="327"/>
      <c r="J275" s="567"/>
      <c r="K275" s="327"/>
      <c r="L275" s="567"/>
      <c r="M275" s="327"/>
      <c r="N275" s="20"/>
      <c r="O275" s="21"/>
      <c r="P275" s="524"/>
      <c r="Q275" s="327"/>
      <c r="R275" s="516"/>
      <c r="S275" s="327"/>
      <c r="T275" s="517"/>
      <c r="U275" s="327"/>
      <c r="V275" s="518"/>
      <c r="W275" s="327"/>
      <c r="X275" s="541" t="s">
        <v>303</v>
      </c>
      <c r="Y275" s="326"/>
      <c r="Z275" s="326"/>
      <c r="AA275" s="327"/>
      <c r="AB275" s="542" t="s">
        <v>303</v>
      </c>
      <c r="AC275" s="326"/>
      <c r="AD275" s="326"/>
      <c r="AE275" s="327"/>
      <c r="AF275" s="520"/>
      <c r="AG275" s="327"/>
      <c r="AH275" s="520"/>
      <c r="AI275" s="327"/>
      <c r="AJ275" s="554"/>
      <c r="AK275" s="327"/>
      <c r="AL275" s="537" t="s">
        <v>334</v>
      </c>
      <c r="AM275" s="327"/>
      <c r="AN275" s="546" t="s">
        <v>334</v>
      </c>
      <c r="AO275" s="327"/>
      <c r="AP275" s="554"/>
      <c r="AQ275" s="327"/>
      <c r="AR275" s="555"/>
      <c r="AS275" s="327"/>
      <c r="AT275" s="549"/>
      <c r="AU275" s="327"/>
      <c r="AV275" s="546" t="s">
        <v>334</v>
      </c>
      <c r="AW275" s="327"/>
      <c r="AX275" s="521"/>
      <c r="AY275" s="326"/>
      <c r="AZ275" s="327"/>
      <c r="BA275" s="536"/>
      <c r="BB275" s="327"/>
      <c r="BC275" s="25"/>
      <c r="BD275" s="544" t="s">
        <v>334</v>
      </c>
      <c r="BE275" s="327"/>
      <c r="BF275" s="508"/>
      <c r="BG275" s="326"/>
      <c r="BH275" s="326"/>
      <c r="BI275" s="327"/>
      <c r="BJ275" s="557" t="s">
        <v>303</v>
      </c>
      <c r="BK275" s="326"/>
      <c r="BL275" s="326"/>
      <c r="BM275" s="327"/>
      <c r="BN275" s="558" t="s">
        <v>303</v>
      </c>
      <c r="BO275" s="326"/>
      <c r="BP275" s="326"/>
      <c r="BQ275" s="326"/>
      <c r="BR275" s="326"/>
      <c r="BS275" s="326"/>
      <c r="BT275" s="326"/>
      <c r="BU275" s="326"/>
      <c r="BV275" s="327"/>
    </row>
    <row r="276" spans="1:74" ht="45" customHeight="1" x14ac:dyDescent="0.25">
      <c r="A276" s="10">
        <f t="shared" si="1"/>
        <v>262</v>
      </c>
      <c r="B276" s="564" t="s">
        <v>303</v>
      </c>
      <c r="C276" s="327"/>
      <c r="D276" s="565" t="s">
        <v>307</v>
      </c>
      <c r="E276" s="327"/>
      <c r="F276" s="537" t="s">
        <v>334</v>
      </c>
      <c r="G276" s="327"/>
      <c r="H276" s="561" t="s">
        <v>334</v>
      </c>
      <c r="I276" s="327"/>
      <c r="J276" s="26"/>
      <c r="K276" s="27"/>
      <c r="L276" s="26"/>
      <c r="M276" s="27"/>
      <c r="N276" s="23"/>
      <c r="O276" s="24"/>
      <c r="P276" s="563"/>
      <c r="Q276" s="327"/>
      <c r="R276" s="538"/>
      <c r="S276" s="327"/>
      <c r="T276" s="539"/>
      <c r="U276" s="327"/>
      <c r="V276" s="540"/>
      <c r="W276" s="327"/>
      <c r="X276" s="438" t="s">
        <v>303</v>
      </c>
      <c r="Y276" s="326"/>
      <c r="Z276" s="326"/>
      <c r="AA276" s="327"/>
      <c r="AB276" s="519" t="s">
        <v>303</v>
      </c>
      <c r="AC276" s="326"/>
      <c r="AD276" s="326"/>
      <c r="AE276" s="327"/>
      <c r="AF276" s="543"/>
      <c r="AG276" s="327"/>
      <c r="AH276" s="543"/>
      <c r="AI276" s="327"/>
      <c r="AJ276" s="536"/>
      <c r="AK276" s="327"/>
      <c r="AL276" s="556" t="s">
        <v>334</v>
      </c>
      <c r="AM276" s="327"/>
      <c r="AN276" s="553" t="s">
        <v>334</v>
      </c>
      <c r="AO276" s="327"/>
      <c r="AP276" s="547"/>
      <c r="AQ276" s="327"/>
      <c r="AR276" s="548"/>
      <c r="AS276" s="327"/>
      <c r="AT276" s="549"/>
      <c r="AU276" s="327"/>
      <c r="AV276" s="553" t="s">
        <v>334</v>
      </c>
      <c r="AW276" s="327"/>
      <c r="AX276" s="521"/>
      <c r="AY276" s="326"/>
      <c r="AZ276" s="327"/>
      <c r="BA276" s="550"/>
      <c r="BB276" s="327"/>
      <c r="BC276" s="22"/>
      <c r="BD276" s="551" t="s">
        <v>334</v>
      </c>
      <c r="BE276" s="327"/>
      <c r="BF276" s="545"/>
      <c r="BG276" s="326"/>
      <c r="BH276" s="326"/>
      <c r="BI276" s="327"/>
      <c r="BJ276" s="451" t="s">
        <v>303</v>
      </c>
      <c r="BK276" s="326"/>
      <c r="BL276" s="326"/>
      <c r="BM276" s="327"/>
      <c r="BN276" s="558" t="s">
        <v>303</v>
      </c>
      <c r="BO276" s="326"/>
      <c r="BP276" s="326"/>
      <c r="BQ276" s="326"/>
      <c r="BR276" s="326"/>
      <c r="BS276" s="326"/>
      <c r="BT276" s="326"/>
      <c r="BU276" s="326"/>
      <c r="BV276" s="327"/>
    </row>
    <row r="277" spans="1:74" ht="45" customHeight="1" x14ac:dyDescent="0.25">
      <c r="A277" s="10">
        <f t="shared" si="1"/>
        <v>263</v>
      </c>
      <c r="B277" s="559" t="s">
        <v>303</v>
      </c>
      <c r="C277" s="327"/>
      <c r="D277" s="560" t="s">
        <v>307</v>
      </c>
      <c r="E277" s="327"/>
      <c r="F277" s="537" t="s">
        <v>334</v>
      </c>
      <c r="G277" s="327"/>
      <c r="H277" s="566" t="s">
        <v>334</v>
      </c>
      <c r="I277" s="327"/>
      <c r="J277" s="567"/>
      <c r="K277" s="327"/>
      <c r="L277" s="567"/>
      <c r="M277" s="327"/>
      <c r="N277" s="20"/>
      <c r="O277" s="21"/>
      <c r="P277" s="524"/>
      <c r="Q277" s="327"/>
      <c r="R277" s="516"/>
      <c r="S277" s="327"/>
      <c r="T277" s="517"/>
      <c r="U277" s="327"/>
      <c r="V277" s="518"/>
      <c r="W277" s="327"/>
      <c r="X277" s="541" t="s">
        <v>303</v>
      </c>
      <c r="Y277" s="326"/>
      <c r="Z277" s="326"/>
      <c r="AA277" s="327"/>
      <c r="AB277" s="542" t="s">
        <v>303</v>
      </c>
      <c r="AC277" s="326"/>
      <c r="AD277" s="326"/>
      <c r="AE277" s="327"/>
      <c r="AF277" s="520"/>
      <c r="AG277" s="327"/>
      <c r="AH277" s="520"/>
      <c r="AI277" s="327"/>
      <c r="AJ277" s="554"/>
      <c r="AK277" s="327"/>
      <c r="AL277" s="537" t="s">
        <v>334</v>
      </c>
      <c r="AM277" s="327"/>
      <c r="AN277" s="546" t="s">
        <v>334</v>
      </c>
      <c r="AO277" s="327"/>
      <c r="AP277" s="554"/>
      <c r="AQ277" s="327"/>
      <c r="AR277" s="555"/>
      <c r="AS277" s="327"/>
      <c r="AT277" s="549"/>
      <c r="AU277" s="327"/>
      <c r="AV277" s="546" t="s">
        <v>334</v>
      </c>
      <c r="AW277" s="327"/>
      <c r="AX277" s="521"/>
      <c r="AY277" s="326"/>
      <c r="AZ277" s="327"/>
      <c r="BA277" s="536"/>
      <c r="BB277" s="327"/>
      <c r="BC277" s="25"/>
      <c r="BD277" s="544" t="s">
        <v>334</v>
      </c>
      <c r="BE277" s="327"/>
      <c r="BF277" s="552"/>
      <c r="BG277" s="326"/>
      <c r="BH277" s="326"/>
      <c r="BI277" s="327"/>
      <c r="BJ277" s="557" t="s">
        <v>303</v>
      </c>
      <c r="BK277" s="326"/>
      <c r="BL277" s="326"/>
      <c r="BM277" s="327"/>
      <c r="BN277" s="558" t="s">
        <v>303</v>
      </c>
      <c r="BO277" s="326"/>
      <c r="BP277" s="326"/>
      <c r="BQ277" s="326"/>
      <c r="BR277" s="326"/>
      <c r="BS277" s="326"/>
      <c r="BT277" s="326"/>
      <c r="BU277" s="326"/>
      <c r="BV277" s="327"/>
    </row>
    <row r="278" spans="1:74" ht="45" customHeight="1" x14ac:dyDescent="0.25">
      <c r="A278" s="10">
        <f t="shared" si="1"/>
        <v>264</v>
      </c>
      <c r="B278" s="564" t="s">
        <v>303</v>
      </c>
      <c r="C278" s="327"/>
      <c r="D278" s="565" t="s">
        <v>307</v>
      </c>
      <c r="E278" s="327"/>
      <c r="F278" s="537" t="s">
        <v>334</v>
      </c>
      <c r="G278" s="327"/>
      <c r="H278" s="561" t="s">
        <v>334</v>
      </c>
      <c r="I278" s="327"/>
      <c r="J278" s="26"/>
      <c r="K278" s="27"/>
      <c r="L278" s="26"/>
      <c r="M278" s="27"/>
      <c r="N278" s="23"/>
      <c r="O278" s="24"/>
      <c r="P278" s="563"/>
      <c r="Q278" s="327"/>
      <c r="R278" s="538"/>
      <c r="S278" s="327"/>
      <c r="T278" s="539"/>
      <c r="U278" s="327"/>
      <c r="V278" s="540"/>
      <c r="W278" s="327"/>
      <c r="X278" s="438" t="s">
        <v>303</v>
      </c>
      <c r="Y278" s="326"/>
      <c r="Z278" s="326"/>
      <c r="AA278" s="327"/>
      <c r="AB278" s="519" t="s">
        <v>303</v>
      </c>
      <c r="AC278" s="326"/>
      <c r="AD278" s="326"/>
      <c r="AE278" s="327"/>
      <c r="AF278" s="543"/>
      <c r="AG278" s="327"/>
      <c r="AH278" s="543"/>
      <c r="AI278" s="327"/>
      <c r="AJ278" s="536"/>
      <c r="AK278" s="327"/>
      <c r="AL278" s="556" t="s">
        <v>334</v>
      </c>
      <c r="AM278" s="327"/>
      <c r="AN278" s="553" t="s">
        <v>334</v>
      </c>
      <c r="AO278" s="327"/>
      <c r="AP278" s="547"/>
      <c r="AQ278" s="327"/>
      <c r="AR278" s="548"/>
      <c r="AS278" s="327"/>
      <c r="AT278" s="549"/>
      <c r="AU278" s="327"/>
      <c r="AV278" s="553" t="s">
        <v>334</v>
      </c>
      <c r="AW278" s="327"/>
      <c r="AX278" s="521"/>
      <c r="AY278" s="326"/>
      <c r="AZ278" s="327"/>
      <c r="BA278" s="550"/>
      <c r="BB278" s="327"/>
      <c r="BC278" s="22"/>
      <c r="BD278" s="551" t="s">
        <v>334</v>
      </c>
      <c r="BE278" s="327"/>
      <c r="BF278" s="545"/>
      <c r="BG278" s="326"/>
      <c r="BH278" s="326"/>
      <c r="BI278" s="327"/>
      <c r="BJ278" s="451" t="s">
        <v>303</v>
      </c>
      <c r="BK278" s="326"/>
      <c r="BL278" s="326"/>
      <c r="BM278" s="327"/>
      <c r="BN278" s="558" t="s">
        <v>303</v>
      </c>
      <c r="BO278" s="326"/>
      <c r="BP278" s="326"/>
      <c r="BQ278" s="326"/>
      <c r="BR278" s="326"/>
      <c r="BS278" s="326"/>
      <c r="BT278" s="326"/>
      <c r="BU278" s="326"/>
      <c r="BV278" s="327"/>
    </row>
    <row r="279" spans="1:74" ht="45" customHeight="1" x14ac:dyDescent="0.25">
      <c r="A279" s="10">
        <f t="shared" si="1"/>
        <v>265</v>
      </c>
      <c r="B279" s="559" t="s">
        <v>303</v>
      </c>
      <c r="C279" s="327"/>
      <c r="D279" s="560" t="s">
        <v>307</v>
      </c>
      <c r="E279" s="327"/>
      <c r="F279" s="537" t="s">
        <v>334</v>
      </c>
      <c r="G279" s="327"/>
      <c r="H279" s="566" t="s">
        <v>334</v>
      </c>
      <c r="I279" s="327"/>
      <c r="J279" s="567"/>
      <c r="K279" s="327"/>
      <c r="L279" s="567"/>
      <c r="M279" s="327"/>
      <c r="N279" s="20"/>
      <c r="O279" s="21"/>
      <c r="P279" s="524"/>
      <c r="Q279" s="327"/>
      <c r="R279" s="516"/>
      <c r="S279" s="327"/>
      <c r="T279" s="517"/>
      <c r="U279" s="327"/>
      <c r="V279" s="518"/>
      <c r="W279" s="327"/>
      <c r="X279" s="541" t="s">
        <v>303</v>
      </c>
      <c r="Y279" s="326"/>
      <c r="Z279" s="326"/>
      <c r="AA279" s="327"/>
      <c r="AB279" s="542" t="s">
        <v>303</v>
      </c>
      <c r="AC279" s="326"/>
      <c r="AD279" s="326"/>
      <c r="AE279" s="327"/>
      <c r="AF279" s="520"/>
      <c r="AG279" s="327"/>
      <c r="AH279" s="520"/>
      <c r="AI279" s="327"/>
      <c r="AJ279" s="554"/>
      <c r="AK279" s="327"/>
      <c r="AL279" s="537" t="s">
        <v>334</v>
      </c>
      <c r="AM279" s="327"/>
      <c r="AN279" s="546" t="s">
        <v>334</v>
      </c>
      <c r="AO279" s="327"/>
      <c r="AP279" s="554"/>
      <c r="AQ279" s="327"/>
      <c r="AR279" s="555"/>
      <c r="AS279" s="327"/>
      <c r="AT279" s="549"/>
      <c r="AU279" s="327"/>
      <c r="AV279" s="546" t="s">
        <v>334</v>
      </c>
      <c r="AW279" s="327"/>
      <c r="AX279" s="521"/>
      <c r="AY279" s="326"/>
      <c r="AZ279" s="327"/>
      <c r="BA279" s="536"/>
      <c r="BB279" s="327"/>
      <c r="BC279" s="25"/>
      <c r="BD279" s="544" t="s">
        <v>334</v>
      </c>
      <c r="BE279" s="327"/>
      <c r="BF279" s="508"/>
      <c r="BG279" s="326"/>
      <c r="BH279" s="326"/>
      <c r="BI279" s="327"/>
      <c r="BJ279" s="557" t="s">
        <v>303</v>
      </c>
      <c r="BK279" s="326"/>
      <c r="BL279" s="326"/>
      <c r="BM279" s="327"/>
      <c r="BN279" s="558" t="s">
        <v>303</v>
      </c>
      <c r="BO279" s="326"/>
      <c r="BP279" s="326"/>
      <c r="BQ279" s="326"/>
      <c r="BR279" s="326"/>
      <c r="BS279" s="326"/>
      <c r="BT279" s="326"/>
      <c r="BU279" s="326"/>
      <c r="BV279" s="327"/>
    </row>
    <row r="280" spans="1:74" ht="45" customHeight="1" x14ac:dyDescent="0.25">
      <c r="A280" s="10">
        <f t="shared" si="1"/>
        <v>266</v>
      </c>
      <c r="B280" s="564" t="s">
        <v>303</v>
      </c>
      <c r="C280" s="327"/>
      <c r="D280" s="565" t="s">
        <v>307</v>
      </c>
      <c r="E280" s="327"/>
      <c r="F280" s="537" t="s">
        <v>334</v>
      </c>
      <c r="G280" s="327"/>
      <c r="H280" s="561" t="s">
        <v>334</v>
      </c>
      <c r="I280" s="327"/>
      <c r="J280" s="26"/>
      <c r="K280" s="27"/>
      <c r="L280" s="26"/>
      <c r="M280" s="27"/>
      <c r="N280" s="23"/>
      <c r="O280" s="24"/>
      <c r="P280" s="563"/>
      <c r="Q280" s="327"/>
      <c r="R280" s="538"/>
      <c r="S280" s="327"/>
      <c r="T280" s="539"/>
      <c r="U280" s="327"/>
      <c r="V280" s="540"/>
      <c r="W280" s="327"/>
      <c r="X280" s="438" t="s">
        <v>303</v>
      </c>
      <c r="Y280" s="326"/>
      <c r="Z280" s="326"/>
      <c r="AA280" s="327"/>
      <c r="AB280" s="519" t="s">
        <v>303</v>
      </c>
      <c r="AC280" s="326"/>
      <c r="AD280" s="326"/>
      <c r="AE280" s="327"/>
      <c r="AF280" s="543"/>
      <c r="AG280" s="327"/>
      <c r="AH280" s="543"/>
      <c r="AI280" s="327"/>
      <c r="AJ280" s="536"/>
      <c r="AK280" s="327"/>
      <c r="AL280" s="556" t="s">
        <v>334</v>
      </c>
      <c r="AM280" s="327"/>
      <c r="AN280" s="553" t="s">
        <v>334</v>
      </c>
      <c r="AO280" s="327"/>
      <c r="AP280" s="547"/>
      <c r="AQ280" s="327"/>
      <c r="AR280" s="548"/>
      <c r="AS280" s="327"/>
      <c r="AT280" s="549"/>
      <c r="AU280" s="327"/>
      <c r="AV280" s="553" t="s">
        <v>334</v>
      </c>
      <c r="AW280" s="327"/>
      <c r="AX280" s="521"/>
      <c r="AY280" s="326"/>
      <c r="AZ280" s="327"/>
      <c r="BA280" s="550"/>
      <c r="BB280" s="327"/>
      <c r="BC280" s="22"/>
      <c r="BD280" s="551" t="s">
        <v>334</v>
      </c>
      <c r="BE280" s="327"/>
      <c r="BF280" s="545"/>
      <c r="BG280" s="326"/>
      <c r="BH280" s="326"/>
      <c r="BI280" s="327"/>
      <c r="BJ280" s="451" t="s">
        <v>303</v>
      </c>
      <c r="BK280" s="326"/>
      <c r="BL280" s="326"/>
      <c r="BM280" s="327"/>
      <c r="BN280" s="558" t="s">
        <v>303</v>
      </c>
      <c r="BO280" s="326"/>
      <c r="BP280" s="326"/>
      <c r="BQ280" s="326"/>
      <c r="BR280" s="326"/>
      <c r="BS280" s="326"/>
      <c r="BT280" s="326"/>
      <c r="BU280" s="326"/>
      <c r="BV280" s="327"/>
    </row>
    <row r="281" spans="1:74" ht="45" customHeight="1" x14ac:dyDescent="0.25">
      <c r="A281" s="10">
        <f t="shared" si="1"/>
        <v>267</v>
      </c>
      <c r="B281" s="559" t="s">
        <v>303</v>
      </c>
      <c r="C281" s="327"/>
      <c r="D281" s="560" t="s">
        <v>307</v>
      </c>
      <c r="E281" s="327"/>
      <c r="F281" s="537" t="s">
        <v>334</v>
      </c>
      <c r="G281" s="327"/>
      <c r="H281" s="566" t="s">
        <v>334</v>
      </c>
      <c r="I281" s="327"/>
      <c r="J281" s="567"/>
      <c r="K281" s="327"/>
      <c r="L281" s="567"/>
      <c r="M281" s="327"/>
      <c r="N281" s="20"/>
      <c r="O281" s="21"/>
      <c r="P281" s="524"/>
      <c r="Q281" s="327"/>
      <c r="R281" s="516"/>
      <c r="S281" s="327"/>
      <c r="T281" s="517"/>
      <c r="U281" s="327"/>
      <c r="V281" s="518"/>
      <c r="W281" s="327"/>
      <c r="X281" s="541" t="s">
        <v>303</v>
      </c>
      <c r="Y281" s="326"/>
      <c r="Z281" s="326"/>
      <c r="AA281" s="327"/>
      <c r="AB281" s="542" t="s">
        <v>303</v>
      </c>
      <c r="AC281" s="326"/>
      <c r="AD281" s="326"/>
      <c r="AE281" s="327"/>
      <c r="AF281" s="520"/>
      <c r="AG281" s="327"/>
      <c r="AH281" s="520"/>
      <c r="AI281" s="327"/>
      <c r="AJ281" s="554"/>
      <c r="AK281" s="327"/>
      <c r="AL281" s="537" t="s">
        <v>334</v>
      </c>
      <c r="AM281" s="327"/>
      <c r="AN281" s="546" t="s">
        <v>334</v>
      </c>
      <c r="AO281" s="327"/>
      <c r="AP281" s="554"/>
      <c r="AQ281" s="327"/>
      <c r="AR281" s="555"/>
      <c r="AS281" s="327"/>
      <c r="AT281" s="549"/>
      <c r="AU281" s="327"/>
      <c r="AV281" s="546" t="s">
        <v>334</v>
      </c>
      <c r="AW281" s="327"/>
      <c r="AX281" s="521"/>
      <c r="AY281" s="326"/>
      <c r="AZ281" s="327"/>
      <c r="BA281" s="536"/>
      <c r="BB281" s="327"/>
      <c r="BC281" s="25"/>
      <c r="BD281" s="544" t="s">
        <v>334</v>
      </c>
      <c r="BE281" s="327"/>
      <c r="BF281" s="552"/>
      <c r="BG281" s="326"/>
      <c r="BH281" s="326"/>
      <c r="BI281" s="327"/>
      <c r="BJ281" s="557" t="s">
        <v>303</v>
      </c>
      <c r="BK281" s="326"/>
      <c r="BL281" s="326"/>
      <c r="BM281" s="327"/>
      <c r="BN281" s="558" t="s">
        <v>303</v>
      </c>
      <c r="BO281" s="326"/>
      <c r="BP281" s="326"/>
      <c r="BQ281" s="326"/>
      <c r="BR281" s="326"/>
      <c r="BS281" s="326"/>
      <c r="BT281" s="326"/>
      <c r="BU281" s="326"/>
      <c r="BV281" s="327"/>
    </row>
    <row r="282" spans="1:74" ht="45" customHeight="1" x14ac:dyDescent="0.25">
      <c r="A282" s="10">
        <f t="shared" si="1"/>
        <v>268</v>
      </c>
      <c r="B282" s="564" t="s">
        <v>303</v>
      </c>
      <c r="C282" s="327"/>
      <c r="D282" s="565" t="s">
        <v>307</v>
      </c>
      <c r="E282" s="327"/>
      <c r="F282" s="537" t="s">
        <v>334</v>
      </c>
      <c r="G282" s="327"/>
      <c r="H282" s="561" t="s">
        <v>334</v>
      </c>
      <c r="I282" s="327"/>
      <c r="J282" s="26"/>
      <c r="K282" s="27"/>
      <c r="L282" s="26"/>
      <c r="M282" s="27"/>
      <c r="N282" s="23"/>
      <c r="O282" s="24"/>
      <c r="P282" s="563"/>
      <c r="Q282" s="327"/>
      <c r="R282" s="538"/>
      <c r="S282" s="327"/>
      <c r="T282" s="539"/>
      <c r="U282" s="327"/>
      <c r="V282" s="540"/>
      <c r="W282" s="327"/>
      <c r="X282" s="438" t="s">
        <v>303</v>
      </c>
      <c r="Y282" s="326"/>
      <c r="Z282" s="326"/>
      <c r="AA282" s="327"/>
      <c r="AB282" s="519" t="s">
        <v>303</v>
      </c>
      <c r="AC282" s="326"/>
      <c r="AD282" s="326"/>
      <c r="AE282" s="327"/>
      <c r="AF282" s="543"/>
      <c r="AG282" s="327"/>
      <c r="AH282" s="543"/>
      <c r="AI282" s="327"/>
      <c r="AJ282" s="536"/>
      <c r="AK282" s="327"/>
      <c r="AL282" s="556" t="s">
        <v>334</v>
      </c>
      <c r="AM282" s="327"/>
      <c r="AN282" s="553" t="s">
        <v>334</v>
      </c>
      <c r="AO282" s="327"/>
      <c r="AP282" s="547"/>
      <c r="AQ282" s="327"/>
      <c r="AR282" s="548"/>
      <c r="AS282" s="327"/>
      <c r="AT282" s="549"/>
      <c r="AU282" s="327"/>
      <c r="AV282" s="553" t="s">
        <v>334</v>
      </c>
      <c r="AW282" s="327"/>
      <c r="AX282" s="521"/>
      <c r="AY282" s="326"/>
      <c r="AZ282" s="327"/>
      <c r="BA282" s="550"/>
      <c r="BB282" s="327"/>
      <c r="BC282" s="22"/>
      <c r="BD282" s="551" t="s">
        <v>334</v>
      </c>
      <c r="BE282" s="327"/>
      <c r="BF282" s="545"/>
      <c r="BG282" s="326"/>
      <c r="BH282" s="326"/>
      <c r="BI282" s="327"/>
      <c r="BJ282" s="451" t="s">
        <v>303</v>
      </c>
      <c r="BK282" s="326"/>
      <c r="BL282" s="326"/>
      <c r="BM282" s="327"/>
      <c r="BN282" s="558" t="s">
        <v>303</v>
      </c>
      <c r="BO282" s="326"/>
      <c r="BP282" s="326"/>
      <c r="BQ282" s="326"/>
      <c r="BR282" s="326"/>
      <c r="BS282" s="326"/>
      <c r="BT282" s="326"/>
      <c r="BU282" s="326"/>
      <c r="BV282" s="327"/>
    </row>
    <row r="283" spans="1:74" ht="45" customHeight="1" x14ac:dyDescent="0.25">
      <c r="A283" s="10">
        <f t="shared" si="1"/>
        <v>269</v>
      </c>
      <c r="B283" s="559" t="s">
        <v>303</v>
      </c>
      <c r="C283" s="327"/>
      <c r="D283" s="560" t="s">
        <v>307</v>
      </c>
      <c r="E283" s="327"/>
      <c r="F283" s="537" t="s">
        <v>334</v>
      </c>
      <c r="G283" s="327"/>
      <c r="H283" s="566" t="s">
        <v>334</v>
      </c>
      <c r="I283" s="327"/>
      <c r="J283" s="567"/>
      <c r="K283" s="327"/>
      <c r="L283" s="567"/>
      <c r="M283" s="327"/>
      <c r="N283" s="20"/>
      <c r="O283" s="21"/>
      <c r="P283" s="524"/>
      <c r="Q283" s="327"/>
      <c r="R283" s="516"/>
      <c r="S283" s="327"/>
      <c r="T283" s="517"/>
      <c r="U283" s="327"/>
      <c r="V283" s="518"/>
      <c r="W283" s="327"/>
      <c r="X283" s="541" t="s">
        <v>303</v>
      </c>
      <c r="Y283" s="326"/>
      <c r="Z283" s="326"/>
      <c r="AA283" s="327"/>
      <c r="AB283" s="542" t="s">
        <v>303</v>
      </c>
      <c r="AC283" s="326"/>
      <c r="AD283" s="326"/>
      <c r="AE283" s="327"/>
      <c r="AF283" s="520"/>
      <c r="AG283" s="327"/>
      <c r="AH283" s="520"/>
      <c r="AI283" s="327"/>
      <c r="AJ283" s="554"/>
      <c r="AK283" s="327"/>
      <c r="AL283" s="537" t="s">
        <v>334</v>
      </c>
      <c r="AM283" s="327"/>
      <c r="AN283" s="546" t="s">
        <v>334</v>
      </c>
      <c r="AO283" s="327"/>
      <c r="AP283" s="554"/>
      <c r="AQ283" s="327"/>
      <c r="AR283" s="555"/>
      <c r="AS283" s="327"/>
      <c r="AT283" s="549"/>
      <c r="AU283" s="327"/>
      <c r="AV283" s="546" t="s">
        <v>334</v>
      </c>
      <c r="AW283" s="327"/>
      <c r="AX283" s="521"/>
      <c r="AY283" s="326"/>
      <c r="AZ283" s="327"/>
      <c r="BA283" s="536"/>
      <c r="BB283" s="327"/>
      <c r="BC283" s="25"/>
      <c r="BD283" s="544" t="s">
        <v>334</v>
      </c>
      <c r="BE283" s="327"/>
      <c r="BF283" s="508"/>
      <c r="BG283" s="326"/>
      <c r="BH283" s="326"/>
      <c r="BI283" s="327"/>
      <c r="BJ283" s="557" t="s">
        <v>303</v>
      </c>
      <c r="BK283" s="326"/>
      <c r="BL283" s="326"/>
      <c r="BM283" s="327"/>
      <c r="BN283" s="558" t="s">
        <v>303</v>
      </c>
      <c r="BO283" s="326"/>
      <c r="BP283" s="326"/>
      <c r="BQ283" s="326"/>
      <c r="BR283" s="326"/>
      <c r="BS283" s="326"/>
      <c r="BT283" s="326"/>
      <c r="BU283" s="326"/>
      <c r="BV283" s="327"/>
    </row>
    <row r="284" spans="1:74" ht="45" customHeight="1" x14ac:dyDescent="0.25">
      <c r="A284" s="10">
        <f t="shared" si="1"/>
        <v>270</v>
      </c>
      <c r="B284" s="564" t="s">
        <v>303</v>
      </c>
      <c r="C284" s="327"/>
      <c r="D284" s="565" t="s">
        <v>307</v>
      </c>
      <c r="E284" s="327"/>
      <c r="F284" s="537" t="s">
        <v>334</v>
      </c>
      <c r="G284" s="327"/>
      <c r="H284" s="561" t="s">
        <v>334</v>
      </c>
      <c r="I284" s="327"/>
      <c r="J284" s="26"/>
      <c r="K284" s="27"/>
      <c r="L284" s="26"/>
      <c r="M284" s="27"/>
      <c r="N284" s="23"/>
      <c r="O284" s="24"/>
      <c r="P284" s="563"/>
      <c r="Q284" s="327"/>
      <c r="R284" s="538"/>
      <c r="S284" s="327"/>
      <c r="T284" s="539"/>
      <c r="U284" s="327"/>
      <c r="V284" s="540"/>
      <c r="W284" s="327"/>
      <c r="X284" s="438" t="s">
        <v>303</v>
      </c>
      <c r="Y284" s="326"/>
      <c r="Z284" s="326"/>
      <c r="AA284" s="327"/>
      <c r="AB284" s="519" t="s">
        <v>303</v>
      </c>
      <c r="AC284" s="326"/>
      <c r="AD284" s="326"/>
      <c r="AE284" s="327"/>
      <c r="AF284" s="543"/>
      <c r="AG284" s="327"/>
      <c r="AH284" s="543"/>
      <c r="AI284" s="327"/>
      <c r="AJ284" s="536"/>
      <c r="AK284" s="327"/>
      <c r="AL284" s="556" t="s">
        <v>334</v>
      </c>
      <c r="AM284" s="327"/>
      <c r="AN284" s="553" t="s">
        <v>334</v>
      </c>
      <c r="AO284" s="327"/>
      <c r="AP284" s="547"/>
      <c r="AQ284" s="327"/>
      <c r="AR284" s="548"/>
      <c r="AS284" s="327"/>
      <c r="AT284" s="549"/>
      <c r="AU284" s="327"/>
      <c r="AV284" s="553" t="s">
        <v>334</v>
      </c>
      <c r="AW284" s="327"/>
      <c r="AX284" s="521"/>
      <c r="AY284" s="326"/>
      <c r="AZ284" s="327"/>
      <c r="BA284" s="550"/>
      <c r="BB284" s="327"/>
      <c r="BC284" s="22"/>
      <c r="BD284" s="551" t="s">
        <v>334</v>
      </c>
      <c r="BE284" s="327"/>
      <c r="BF284" s="545"/>
      <c r="BG284" s="326"/>
      <c r="BH284" s="326"/>
      <c r="BI284" s="327"/>
      <c r="BJ284" s="451" t="s">
        <v>303</v>
      </c>
      <c r="BK284" s="326"/>
      <c r="BL284" s="326"/>
      <c r="BM284" s="327"/>
      <c r="BN284" s="558" t="s">
        <v>303</v>
      </c>
      <c r="BO284" s="326"/>
      <c r="BP284" s="326"/>
      <c r="BQ284" s="326"/>
      <c r="BR284" s="326"/>
      <c r="BS284" s="326"/>
      <c r="BT284" s="326"/>
      <c r="BU284" s="326"/>
      <c r="BV284" s="327"/>
    </row>
    <row r="285" spans="1:74" ht="45" customHeight="1" x14ac:dyDescent="0.25">
      <c r="A285" s="10">
        <f t="shared" si="1"/>
        <v>271</v>
      </c>
      <c r="B285" s="559" t="s">
        <v>303</v>
      </c>
      <c r="C285" s="327"/>
      <c r="D285" s="560" t="s">
        <v>307</v>
      </c>
      <c r="E285" s="327"/>
      <c r="F285" s="537" t="s">
        <v>334</v>
      </c>
      <c r="G285" s="327"/>
      <c r="H285" s="566" t="s">
        <v>334</v>
      </c>
      <c r="I285" s="327"/>
      <c r="J285" s="567"/>
      <c r="K285" s="327"/>
      <c r="L285" s="567"/>
      <c r="M285" s="327"/>
      <c r="N285" s="20"/>
      <c r="O285" s="21"/>
      <c r="P285" s="524"/>
      <c r="Q285" s="327"/>
      <c r="R285" s="516"/>
      <c r="S285" s="327"/>
      <c r="T285" s="517"/>
      <c r="U285" s="327"/>
      <c r="V285" s="518"/>
      <c r="W285" s="327"/>
      <c r="X285" s="541" t="s">
        <v>303</v>
      </c>
      <c r="Y285" s="326"/>
      <c r="Z285" s="326"/>
      <c r="AA285" s="327"/>
      <c r="AB285" s="542" t="s">
        <v>303</v>
      </c>
      <c r="AC285" s="326"/>
      <c r="AD285" s="326"/>
      <c r="AE285" s="327"/>
      <c r="AF285" s="520"/>
      <c r="AG285" s="327"/>
      <c r="AH285" s="520"/>
      <c r="AI285" s="327"/>
      <c r="AJ285" s="554"/>
      <c r="AK285" s="327"/>
      <c r="AL285" s="537" t="s">
        <v>334</v>
      </c>
      <c r="AM285" s="327"/>
      <c r="AN285" s="546" t="s">
        <v>334</v>
      </c>
      <c r="AO285" s="327"/>
      <c r="AP285" s="554"/>
      <c r="AQ285" s="327"/>
      <c r="AR285" s="555"/>
      <c r="AS285" s="327"/>
      <c r="AT285" s="549"/>
      <c r="AU285" s="327"/>
      <c r="AV285" s="546" t="s">
        <v>334</v>
      </c>
      <c r="AW285" s="327"/>
      <c r="AX285" s="521"/>
      <c r="AY285" s="326"/>
      <c r="AZ285" s="327"/>
      <c r="BA285" s="536"/>
      <c r="BB285" s="327"/>
      <c r="BC285" s="25"/>
      <c r="BD285" s="544" t="s">
        <v>334</v>
      </c>
      <c r="BE285" s="327"/>
      <c r="BF285" s="508"/>
      <c r="BG285" s="326"/>
      <c r="BH285" s="326"/>
      <c r="BI285" s="327"/>
      <c r="BJ285" s="557" t="s">
        <v>303</v>
      </c>
      <c r="BK285" s="326"/>
      <c r="BL285" s="326"/>
      <c r="BM285" s="327"/>
      <c r="BN285" s="558" t="s">
        <v>303</v>
      </c>
      <c r="BO285" s="326"/>
      <c r="BP285" s="326"/>
      <c r="BQ285" s="326"/>
      <c r="BR285" s="326"/>
      <c r="BS285" s="326"/>
      <c r="BT285" s="326"/>
      <c r="BU285" s="326"/>
      <c r="BV285" s="327"/>
    </row>
    <row r="286" spans="1:74" ht="45" customHeight="1" x14ac:dyDescent="0.25">
      <c r="A286" s="10">
        <f t="shared" si="1"/>
        <v>272</v>
      </c>
      <c r="B286" s="564" t="s">
        <v>303</v>
      </c>
      <c r="C286" s="327"/>
      <c r="D286" s="565" t="s">
        <v>307</v>
      </c>
      <c r="E286" s="327"/>
      <c r="F286" s="537" t="s">
        <v>334</v>
      </c>
      <c r="G286" s="327"/>
      <c r="H286" s="561" t="s">
        <v>334</v>
      </c>
      <c r="I286" s="327"/>
      <c r="J286" s="26"/>
      <c r="K286" s="27"/>
      <c r="L286" s="26"/>
      <c r="M286" s="27"/>
      <c r="N286" s="23"/>
      <c r="O286" s="24"/>
      <c r="P286" s="563"/>
      <c r="Q286" s="327"/>
      <c r="R286" s="538"/>
      <c r="S286" s="327"/>
      <c r="T286" s="539"/>
      <c r="U286" s="327"/>
      <c r="V286" s="540"/>
      <c r="W286" s="327"/>
      <c r="X286" s="438" t="s">
        <v>303</v>
      </c>
      <c r="Y286" s="326"/>
      <c r="Z286" s="326"/>
      <c r="AA286" s="327"/>
      <c r="AB286" s="519" t="s">
        <v>303</v>
      </c>
      <c r="AC286" s="326"/>
      <c r="AD286" s="326"/>
      <c r="AE286" s="327"/>
      <c r="AF286" s="543"/>
      <c r="AG286" s="327"/>
      <c r="AH286" s="543"/>
      <c r="AI286" s="327"/>
      <c r="AJ286" s="536"/>
      <c r="AK286" s="327"/>
      <c r="AL286" s="556" t="s">
        <v>334</v>
      </c>
      <c r="AM286" s="327"/>
      <c r="AN286" s="553" t="s">
        <v>334</v>
      </c>
      <c r="AO286" s="327"/>
      <c r="AP286" s="547"/>
      <c r="AQ286" s="327"/>
      <c r="AR286" s="548"/>
      <c r="AS286" s="327"/>
      <c r="AT286" s="549"/>
      <c r="AU286" s="327"/>
      <c r="AV286" s="553" t="s">
        <v>334</v>
      </c>
      <c r="AW286" s="327"/>
      <c r="AX286" s="521"/>
      <c r="AY286" s="326"/>
      <c r="AZ286" s="327"/>
      <c r="BA286" s="550"/>
      <c r="BB286" s="327"/>
      <c r="BC286" s="22"/>
      <c r="BD286" s="551" t="s">
        <v>334</v>
      </c>
      <c r="BE286" s="327"/>
      <c r="BF286" s="545"/>
      <c r="BG286" s="326"/>
      <c r="BH286" s="326"/>
      <c r="BI286" s="327"/>
      <c r="BJ286" s="451" t="s">
        <v>303</v>
      </c>
      <c r="BK286" s="326"/>
      <c r="BL286" s="326"/>
      <c r="BM286" s="327"/>
      <c r="BN286" s="558" t="s">
        <v>303</v>
      </c>
      <c r="BO286" s="326"/>
      <c r="BP286" s="326"/>
      <c r="BQ286" s="326"/>
      <c r="BR286" s="326"/>
      <c r="BS286" s="326"/>
      <c r="BT286" s="326"/>
      <c r="BU286" s="326"/>
      <c r="BV286" s="327"/>
    </row>
    <row r="287" spans="1:74" ht="45" customHeight="1" x14ac:dyDescent="0.25">
      <c r="A287" s="10">
        <f t="shared" si="1"/>
        <v>273</v>
      </c>
      <c r="B287" s="559" t="s">
        <v>303</v>
      </c>
      <c r="C287" s="327"/>
      <c r="D287" s="560" t="s">
        <v>307</v>
      </c>
      <c r="E287" s="327"/>
      <c r="F287" s="537" t="s">
        <v>334</v>
      </c>
      <c r="G287" s="327"/>
      <c r="H287" s="566" t="s">
        <v>334</v>
      </c>
      <c r="I287" s="327"/>
      <c r="J287" s="567"/>
      <c r="K287" s="327"/>
      <c r="L287" s="567"/>
      <c r="M287" s="327"/>
      <c r="N287" s="20"/>
      <c r="O287" s="21"/>
      <c r="P287" s="524"/>
      <c r="Q287" s="327"/>
      <c r="R287" s="516"/>
      <c r="S287" s="327"/>
      <c r="T287" s="517"/>
      <c r="U287" s="327"/>
      <c r="V287" s="518"/>
      <c r="W287" s="327"/>
      <c r="X287" s="541" t="s">
        <v>303</v>
      </c>
      <c r="Y287" s="326"/>
      <c r="Z287" s="326"/>
      <c r="AA287" s="327"/>
      <c r="AB287" s="542" t="s">
        <v>303</v>
      </c>
      <c r="AC287" s="326"/>
      <c r="AD287" s="326"/>
      <c r="AE287" s="327"/>
      <c r="AF287" s="520"/>
      <c r="AG287" s="327"/>
      <c r="AH287" s="520"/>
      <c r="AI287" s="327"/>
      <c r="AJ287" s="554"/>
      <c r="AK287" s="327"/>
      <c r="AL287" s="537" t="s">
        <v>334</v>
      </c>
      <c r="AM287" s="327"/>
      <c r="AN287" s="546" t="s">
        <v>334</v>
      </c>
      <c r="AO287" s="327"/>
      <c r="AP287" s="554"/>
      <c r="AQ287" s="327"/>
      <c r="AR287" s="555"/>
      <c r="AS287" s="327"/>
      <c r="AT287" s="549"/>
      <c r="AU287" s="327"/>
      <c r="AV287" s="546" t="s">
        <v>334</v>
      </c>
      <c r="AW287" s="327"/>
      <c r="AX287" s="521"/>
      <c r="AY287" s="326"/>
      <c r="AZ287" s="327"/>
      <c r="BA287" s="536"/>
      <c r="BB287" s="327"/>
      <c r="BC287" s="25"/>
      <c r="BD287" s="544" t="s">
        <v>334</v>
      </c>
      <c r="BE287" s="327"/>
      <c r="BF287" s="552"/>
      <c r="BG287" s="326"/>
      <c r="BH287" s="326"/>
      <c r="BI287" s="327"/>
      <c r="BJ287" s="557" t="s">
        <v>303</v>
      </c>
      <c r="BK287" s="326"/>
      <c r="BL287" s="326"/>
      <c r="BM287" s="327"/>
      <c r="BN287" s="558" t="s">
        <v>303</v>
      </c>
      <c r="BO287" s="326"/>
      <c r="BP287" s="326"/>
      <c r="BQ287" s="326"/>
      <c r="BR287" s="326"/>
      <c r="BS287" s="326"/>
      <c r="BT287" s="326"/>
      <c r="BU287" s="326"/>
      <c r="BV287" s="327"/>
    </row>
    <row r="288" spans="1:74" ht="45" customHeight="1" x14ac:dyDescent="0.25">
      <c r="A288" s="10">
        <f t="shared" si="1"/>
        <v>274</v>
      </c>
      <c r="B288" s="564" t="s">
        <v>303</v>
      </c>
      <c r="C288" s="327"/>
      <c r="D288" s="565" t="s">
        <v>307</v>
      </c>
      <c r="E288" s="327"/>
      <c r="F288" s="537" t="s">
        <v>334</v>
      </c>
      <c r="G288" s="327"/>
      <c r="H288" s="561" t="s">
        <v>334</v>
      </c>
      <c r="I288" s="327"/>
      <c r="J288" s="26"/>
      <c r="K288" s="27"/>
      <c r="L288" s="26"/>
      <c r="M288" s="27"/>
      <c r="N288" s="23"/>
      <c r="O288" s="24"/>
      <c r="P288" s="563"/>
      <c r="Q288" s="327"/>
      <c r="R288" s="538"/>
      <c r="S288" s="327"/>
      <c r="T288" s="539"/>
      <c r="U288" s="327"/>
      <c r="V288" s="540"/>
      <c r="W288" s="327"/>
      <c r="X288" s="438" t="s">
        <v>303</v>
      </c>
      <c r="Y288" s="326"/>
      <c r="Z288" s="326"/>
      <c r="AA288" s="327"/>
      <c r="AB288" s="519" t="s">
        <v>303</v>
      </c>
      <c r="AC288" s="326"/>
      <c r="AD288" s="326"/>
      <c r="AE288" s="327"/>
      <c r="AF288" s="543"/>
      <c r="AG288" s="327"/>
      <c r="AH288" s="543"/>
      <c r="AI288" s="327"/>
      <c r="AJ288" s="536"/>
      <c r="AK288" s="327"/>
      <c r="AL288" s="556" t="s">
        <v>334</v>
      </c>
      <c r="AM288" s="327"/>
      <c r="AN288" s="553" t="s">
        <v>334</v>
      </c>
      <c r="AO288" s="327"/>
      <c r="AP288" s="547"/>
      <c r="AQ288" s="327"/>
      <c r="AR288" s="548"/>
      <c r="AS288" s="327"/>
      <c r="AT288" s="549"/>
      <c r="AU288" s="327"/>
      <c r="AV288" s="553" t="s">
        <v>334</v>
      </c>
      <c r="AW288" s="327"/>
      <c r="AX288" s="521"/>
      <c r="AY288" s="326"/>
      <c r="AZ288" s="327"/>
      <c r="BA288" s="550"/>
      <c r="BB288" s="327"/>
      <c r="BC288" s="22"/>
      <c r="BD288" s="551" t="s">
        <v>334</v>
      </c>
      <c r="BE288" s="327"/>
      <c r="BF288" s="545"/>
      <c r="BG288" s="326"/>
      <c r="BH288" s="326"/>
      <c r="BI288" s="327"/>
      <c r="BJ288" s="451" t="s">
        <v>303</v>
      </c>
      <c r="BK288" s="326"/>
      <c r="BL288" s="326"/>
      <c r="BM288" s="327"/>
      <c r="BN288" s="558" t="s">
        <v>303</v>
      </c>
      <c r="BO288" s="326"/>
      <c r="BP288" s="326"/>
      <c r="BQ288" s="326"/>
      <c r="BR288" s="326"/>
      <c r="BS288" s="326"/>
      <c r="BT288" s="326"/>
      <c r="BU288" s="326"/>
      <c r="BV288" s="327"/>
    </row>
    <row r="289" spans="1:74" ht="45" customHeight="1" x14ac:dyDescent="0.25">
      <c r="A289" s="10">
        <f t="shared" si="1"/>
        <v>275</v>
      </c>
      <c r="B289" s="559" t="s">
        <v>303</v>
      </c>
      <c r="C289" s="327"/>
      <c r="D289" s="560" t="s">
        <v>307</v>
      </c>
      <c r="E289" s="327"/>
      <c r="F289" s="537" t="s">
        <v>334</v>
      </c>
      <c r="G289" s="327"/>
      <c r="H289" s="566" t="s">
        <v>334</v>
      </c>
      <c r="I289" s="327"/>
      <c r="J289" s="567"/>
      <c r="K289" s="327"/>
      <c r="L289" s="567"/>
      <c r="M289" s="327"/>
      <c r="N289" s="20"/>
      <c r="O289" s="21"/>
      <c r="P289" s="524"/>
      <c r="Q289" s="327"/>
      <c r="R289" s="516"/>
      <c r="S289" s="327"/>
      <c r="T289" s="517"/>
      <c r="U289" s="327"/>
      <c r="V289" s="518"/>
      <c r="W289" s="327"/>
      <c r="X289" s="541" t="s">
        <v>303</v>
      </c>
      <c r="Y289" s="326"/>
      <c r="Z289" s="326"/>
      <c r="AA289" s="327"/>
      <c r="AB289" s="542" t="s">
        <v>303</v>
      </c>
      <c r="AC289" s="326"/>
      <c r="AD289" s="326"/>
      <c r="AE289" s="327"/>
      <c r="AF289" s="520"/>
      <c r="AG289" s="327"/>
      <c r="AH289" s="520"/>
      <c r="AI289" s="327"/>
      <c r="AJ289" s="554"/>
      <c r="AK289" s="327"/>
      <c r="AL289" s="537" t="s">
        <v>334</v>
      </c>
      <c r="AM289" s="327"/>
      <c r="AN289" s="546" t="s">
        <v>334</v>
      </c>
      <c r="AO289" s="327"/>
      <c r="AP289" s="554"/>
      <c r="AQ289" s="327"/>
      <c r="AR289" s="555"/>
      <c r="AS289" s="327"/>
      <c r="AT289" s="549"/>
      <c r="AU289" s="327"/>
      <c r="AV289" s="546" t="s">
        <v>334</v>
      </c>
      <c r="AW289" s="327"/>
      <c r="AX289" s="521"/>
      <c r="AY289" s="326"/>
      <c r="AZ289" s="327"/>
      <c r="BA289" s="536"/>
      <c r="BB289" s="327"/>
      <c r="BC289" s="25"/>
      <c r="BD289" s="544" t="s">
        <v>334</v>
      </c>
      <c r="BE289" s="327"/>
      <c r="BF289" s="508"/>
      <c r="BG289" s="326"/>
      <c r="BH289" s="326"/>
      <c r="BI289" s="327"/>
      <c r="BJ289" s="557" t="s">
        <v>303</v>
      </c>
      <c r="BK289" s="326"/>
      <c r="BL289" s="326"/>
      <c r="BM289" s="327"/>
      <c r="BN289" s="558" t="s">
        <v>303</v>
      </c>
      <c r="BO289" s="326"/>
      <c r="BP289" s="326"/>
      <c r="BQ289" s="326"/>
      <c r="BR289" s="326"/>
      <c r="BS289" s="326"/>
      <c r="BT289" s="326"/>
      <c r="BU289" s="326"/>
      <c r="BV289" s="327"/>
    </row>
    <row r="290" spans="1:74" ht="45" customHeight="1" x14ac:dyDescent="0.25">
      <c r="A290" s="10">
        <f t="shared" si="1"/>
        <v>276</v>
      </c>
      <c r="B290" s="564" t="s">
        <v>303</v>
      </c>
      <c r="C290" s="327"/>
      <c r="D290" s="565" t="s">
        <v>307</v>
      </c>
      <c r="E290" s="327"/>
      <c r="F290" s="537" t="s">
        <v>334</v>
      </c>
      <c r="G290" s="327"/>
      <c r="H290" s="561" t="s">
        <v>334</v>
      </c>
      <c r="I290" s="327"/>
      <c r="J290" s="26"/>
      <c r="K290" s="27"/>
      <c r="L290" s="26"/>
      <c r="M290" s="27"/>
      <c r="N290" s="23"/>
      <c r="O290" s="24"/>
      <c r="P290" s="563"/>
      <c r="Q290" s="327"/>
      <c r="R290" s="538"/>
      <c r="S290" s="327"/>
      <c r="T290" s="539"/>
      <c r="U290" s="327"/>
      <c r="V290" s="540"/>
      <c r="W290" s="327"/>
      <c r="X290" s="438" t="s">
        <v>303</v>
      </c>
      <c r="Y290" s="326"/>
      <c r="Z290" s="326"/>
      <c r="AA290" s="327"/>
      <c r="AB290" s="519" t="s">
        <v>303</v>
      </c>
      <c r="AC290" s="326"/>
      <c r="AD290" s="326"/>
      <c r="AE290" s="327"/>
      <c r="AF290" s="543"/>
      <c r="AG290" s="327"/>
      <c r="AH290" s="543"/>
      <c r="AI290" s="327"/>
      <c r="AJ290" s="536"/>
      <c r="AK290" s="327"/>
      <c r="AL290" s="556" t="s">
        <v>334</v>
      </c>
      <c r="AM290" s="327"/>
      <c r="AN290" s="553" t="s">
        <v>334</v>
      </c>
      <c r="AO290" s="327"/>
      <c r="AP290" s="547"/>
      <c r="AQ290" s="327"/>
      <c r="AR290" s="548"/>
      <c r="AS290" s="327"/>
      <c r="AT290" s="549"/>
      <c r="AU290" s="327"/>
      <c r="AV290" s="553" t="s">
        <v>334</v>
      </c>
      <c r="AW290" s="327"/>
      <c r="AX290" s="521"/>
      <c r="AY290" s="326"/>
      <c r="AZ290" s="327"/>
      <c r="BA290" s="550"/>
      <c r="BB290" s="327"/>
      <c r="BC290" s="22"/>
      <c r="BD290" s="551" t="s">
        <v>334</v>
      </c>
      <c r="BE290" s="327"/>
      <c r="BF290" s="545"/>
      <c r="BG290" s="326"/>
      <c r="BH290" s="326"/>
      <c r="BI290" s="327"/>
      <c r="BJ290" s="451" t="s">
        <v>303</v>
      </c>
      <c r="BK290" s="326"/>
      <c r="BL290" s="326"/>
      <c r="BM290" s="327"/>
      <c r="BN290" s="558" t="s">
        <v>303</v>
      </c>
      <c r="BO290" s="326"/>
      <c r="BP290" s="326"/>
      <c r="BQ290" s="326"/>
      <c r="BR290" s="326"/>
      <c r="BS290" s="326"/>
      <c r="BT290" s="326"/>
      <c r="BU290" s="326"/>
      <c r="BV290" s="327"/>
    </row>
    <row r="291" spans="1:74" ht="45" customHeight="1" x14ac:dyDescent="0.25">
      <c r="A291" s="10">
        <f t="shared" si="1"/>
        <v>277</v>
      </c>
      <c r="B291" s="559" t="s">
        <v>303</v>
      </c>
      <c r="C291" s="327"/>
      <c r="D291" s="560" t="s">
        <v>307</v>
      </c>
      <c r="E291" s="327"/>
      <c r="F291" s="537" t="s">
        <v>334</v>
      </c>
      <c r="G291" s="327"/>
      <c r="H291" s="566" t="s">
        <v>334</v>
      </c>
      <c r="I291" s="327"/>
      <c r="J291" s="567"/>
      <c r="K291" s="327"/>
      <c r="L291" s="567"/>
      <c r="M291" s="327"/>
      <c r="N291" s="20"/>
      <c r="O291" s="21"/>
      <c r="P291" s="524"/>
      <c r="Q291" s="327"/>
      <c r="R291" s="516"/>
      <c r="S291" s="327"/>
      <c r="T291" s="517"/>
      <c r="U291" s="327"/>
      <c r="V291" s="518"/>
      <c r="W291" s="327"/>
      <c r="X291" s="541" t="s">
        <v>303</v>
      </c>
      <c r="Y291" s="326"/>
      <c r="Z291" s="326"/>
      <c r="AA291" s="327"/>
      <c r="AB291" s="542" t="s">
        <v>303</v>
      </c>
      <c r="AC291" s="326"/>
      <c r="AD291" s="326"/>
      <c r="AE291" s="327"/>
      <c r="AF291" s="520"/>
      <c r="AG291" s="327"/>
      <c r="AH291" s="520"/>
      <c r="AI291" s="327"/>
      <c r="AJ291" s="554"/>
      <c r="AK291" s="327"/>
      <c r="AL291" s="537" t="s">
        <v>334</v>
      </c>
      <c r="AM291" s="327"/>
      <c r="AN291" s="546" t="s">
        <v>334</v>
      </c>
      <c r="AO291" s="327"/>
      <c r="AP291" s="554"/>
      <c r="AQ291" s="327"/>
      <c r="AR291" s="555"/>
      <c r="AS291" s="327"/>
      <c r="AT291" s="549"/>
      <c r="AU291" s="327"/>
      <c r="AV291" s="546" t="s">
        <v>334</v>
      </c>
      <c r="AW291" s="327"/>
      <c r="AX291" s="521"/>
      <c r="AY291" s="326"/>
      <c r="AZ291" s="327"/>
      <c r="BA291" s="536"/>
      <c r="BB291" s="327"/>
      <c r="BC291" s="25"/>
      <c r="BD291" s="544" t="s">
        <v>334</v>
      </c>
      <c r="BE291" s="327"/>
      <c r="BF291" s="552"/>
      <c r="BG291" s="326"/>
      <c r="BH291" s="326"/>
      <c r="BI291" s="327"/>
      <c r="BJ291" s="557" t="s">
        <v>303</v>
      </c>
      <c r="BK291" s="326"/>
      <c r="BL291" s="326"/>
      <c r="BM291" s="327"/>
      <c r="BN291" s="558" t="s">
        <v>303</v>
      </c>
      <c r="BO291" s="326"/>
      <c r="BP291" s="326"/>
      <c r="BQ291" s="326"/>
      <c r="BR291" s="326"/>
      <c r="BS291" s="326"/>
      <c r="BT291" s="326"/>
      <c r="BU291" s="326"/>
      <c r="BV291" s="327"/>
    </row>
    <row r="292" spans="1:74" ht="45" customHeight="1" x14ac:dyDescent="0.25">
      <c r="A292" s="10">
        <f t="shared" si="1"/>
        <v>278</v>
      </c>
      <c r="B292" s="564" t="s">
        <v>303</v>
      </c>
      <c r="C292" s="327"/>
      <c r="D292" s="565" t="s">
        <v>307</v>
      </c>
      <c r="E292" s="327"/>
      <c r="F292" s="537" t="s">
        <v>334</v>
      </c>
      <c r="G292" s="327"/>
      <c r="H292" s="561" t="s">
        <v>334</v>
      </c>
      <c r="I292" s="327"/>
      <c r="J292" s="26"/>
      <c r="K292" s="27"/>
      <c r="L292" s="26"/>
      <c r="M292" s="27"/>
      <c r="N292" s="23"/>
      <c r="O292" s="24"/>
      <c r="P292" s="563"/>
      <c r="Q292" s="327"/>
      <c r="R292" s="538"/>
      <c r="S292" s="327"/>
      <c r="T292" s="539"/>
      <c r="U292" s="327"/>
      <c r="V292" s="540"/>
      <c r="W292" s="327"/>
      <c r="X292" s="438" t="s">
        <v>303</v>
      </c>
      <c r="Y292" s="326"/>
      <c r="Z292" s="326"/>
      <c r="AA292" s="327"/>
      <c r="AB292" s="519" t="s">
        <v>303</v>
      </c>
      <c r="AC292" s="326"/>
      <c r="AD292" s="326"/>
      <c r="AE292" s="327"/>
      <c r="AF292" s="543"/>
      <c r="AG292" s="327"/>
      <c r="AH292" s="543"/>
      <c r="AI292" s="327"/>
      <c r="AJ292" s="536"/>
      <c r="AK292" s="327"/>
      <c r="AL292" s="556" t="s">
        <v>334</v>
      </c>
      <c r="AM292" s="327"/>
      <c r="AN292" s="553" t="s">
        <v>334</v>
      </c>
      <c r="AO292" s="327"/>
      <c r="AP292" s="547"/>
      <c r="AQ292" s="327"/>
      <c r="AR292" s="548"/>
      <c r="AS292" s="327"/>
      <c r="AT292" s="549"/>
      <c r="AU292" s="327"/>
      <c r="AV292" s="553" t="s">
        <v>334</v>
      </c>
      <c r="AW292" s="327"/>
      <c r="AX292" s="521"/>
      <c r="AY292" s="326"/>
      <c r="AZ292" s="327"/>
      <c r="BA292" s="550"/>
      <c r="BB292" s="327"/>
      <c r="BC292" s="22"/>
      <c r="BD292" s="551" t="s">
        <v>334</v>
      </c>
      <c r="BE292" s="327"/>
      <c r="BF292" s="545"/>
      <c r="BG292" s="326"/>
      <c r="BH292" s="326"/>
      <c r="BI292" s="327"/>
      <c r="BJ292" s="451" t="s">
        <v>303</v>
      </c>
      <c r="BK292" s="326"/>
      <c r="BL292" s="326"/>
      <c r="BM292" s="327"/>
      <c r="BN292" s="558" t="s">
        <v>303</v>
      </c>
      <c r="BO292" s="326"/>
      <c r="BP292" s="326"/>
      <c r="BQ292" s="326"/>
      <c r="BR292" s="326"/>
      <c r="BS292" s="326"/>
      <c r="BT292" s="326"/>
      <c r="BU292" s="326"/>
      <c r="BV292" s="327"/>
    </row>
    <row r="293" spans="1:74" ht="45" customHeight="1" x14ac:dyDescent="0.25">
      <c r="A293" s="10">
        <f t="shared" si="1"/>
        <v>279</v>
      </c>
      <c r="B293" s="559" t="s">
        <v>303</v>
      </c>
      <c r="C293" s="327"/>
      <c r="D293" s="560" t="s">
        <v>307</v>
      </c>
      <c r="E293" s="327"/>
      <c r="F293" s="537" t="s">
        <v>334</v>
      </c>
      <c r="G293" s="327"/>
      <c r="H293" s="566" t="s">
        <v>334</v>
      </c>
      <c r="I293" s="327"/>
      <c r="J293" s="567"/>
      <c r="K293" s="327"/>
      <c r="L293" s="567"/>
      <c r="M293" s="327"/>
      <c r="N293" s="20"/>
      <c r="O293" s="21"/>
      <c r="P293" s="524"/>
      <c r="Q293" s="327"/>
      <c r="R293" s="516"/>
      <c r="S293" s="327"/>
      <c r="T293" s="517"/>
      <c r="U293" s="327"/>
      <c r="V293" s="518"/>
      <c r="W293" s="327"/>
      <c r="X293" s="541" t="s">
        <v>303</v>
      </c>
      <c r="Y293" s="326"/>
      <c r="Z293" s="326"/>
      <c r="AA293" s="327"/>
      <c r="AB293" s="542" t="s">
        <v>303</v>
      </c>
      <c r="AC293" s="326"/>
      <c r="AD293" s="326"/>
      <c r="AE293" s="327"/>
      <c r="AF293" s="520"/>
      <c r="AG293" s="327"/>
      <c r="AH293" s="520"/>
      <c r="AI293" s="327"/>
      <c r="AJ293" s="554"/>
      <c r="AK293" s="327"/>
      <c r="AL293" s="537" t="s">
        <v>334</v>
      </c>
      <c r="AM293" s="327"/>
      <c r="AN293" s="546" t="s">
        <v>334</v>
      </c>
      <c r="AO293" s="327"/>
      <c r="AP293" s="554"/>
      <c r="AQ293" s="327"/>
      <c r="AR293" s="555"/>
      <c r="AS293" s="327"/>
      <c r="AT293" s="549"/>
      <c r="AU293" s="327"/>
      <c r="AV293" s="546" t="s">
        <v>334</v>
      </c>
      <c r="AW293" s="327"/>
      <c r="AX293" s="521"/>
      <c r="AY293" s="326"/>
      <c r="AZ293" s="327"/>
      <c r="BA293" s="536"/>
      <c r="BB293" s="327"/>
      <c r="BC293" s="25"/>
      <c r="BD293" s="544" t="s">
        <v>334</v>
      </c>
      <c r="BE293" s="327"/>
      <c r="BF293" s="508"/>
      <c r="BG293" s="326"/>
      <c r="BH293" s="326"/>
      <c r="BI293" s="327"/>
      <c r="BJ293" s="557" t="s">
        <v>303</v>
      </c>
      <c r="BK293" s="326"/>
      <c r="BL293" s="326"/>
      <c r="BM293" s="327"/>
      <c r="BN293" s="558" t="s">
        <v>303</v>
      </c>
      <c r="BO293" s="326"/>
      <c r="BP293" s="326"/>
      <c r="BQ293" s="326"/>
      <c r="BR293" s="326"/>
      <c r="BS293" s="326"/>
      <c r="BT293" s="326"/>
      <c r="BU293" s="326"/>
      <c r="BV293" s="327"/>
    </row>
    <row r="294" spans="1:74" ht="45" customHeight="1" x14ac:dyDescent="0.25">
      <c r="A294" s="10">
        <f t="shared" si="1"/>
        <v>280</v>
      </c>
      <c r="B294" s="564" t="s">
        <v>303</v>
      </c>
      <c r="C294" s="327"/>
      <c r="D294" s="565" t="s">
        <v>307</v>
      </c>
      <c r="E294" s="327"/>
      <c r="F294" s="537" t="s">
        <v>334</v>
      </c>
      <c r="G294" s="327"/>
      <c r="H294" s="561" t="s">
        <v>334</v>
      </c>
      <c r="I294" s="327"/>
      <c r="J294" s="26"/>
      <c r="K294" s="27"/>
      <c r="L294" s="26"/>
      <c r="M294" s="27"/>
      <c r="N294" s="23"/>
      <c r="O294" s="24"/>
      <c r="P294" s="563"/>
      <c r="Q294" s="327"/>
      <c r="R294" s="538"/>
      <c r="S294" s="327"/>
      <c r="T294" s="539"/>
      <c r="U294" s="327"/>
      <c r="V294" s="540"/>
      <c r="W294" s="327"/>
      <c r="X294" s="438" t="s">
        <v>303</v>
      </c>
      <c r="Y294" s="326"/>
      <c r="Z294" s="326"/>
      <c r="AA294" s="327"/>
      <c r="AB294" s="519" t="s">
        <v>303</v>
      </c>
      <c r="AC294" s="326"/>
      <c r="AD294" s="326"/>
      <c r="AE294" s="327"/>
      <c r="AF294" s="543"/>
      <c r="AG294" s="327"/>
      <c r="AH294" s="543"/>
      <c r="AI294" s="327"/>
      <c r="AJ294" s="536"/>
      <c r="AK294" s="327"/>
      <c r="AL294" s="556" t="s">
        <v>334</v>
      </c>
      <c r="AM294" s="327"/>
      <c r="AN294" s="553" t="s">
        <v>334</v>
      </c>
      <c r="AO294" s="327"/>
      <c r="AP294" s="547"/>
      <c r="AQ294" s="327"/>
      <c r="AR294" s="548"/>
      <c r="AS294" s="327"/>
      <c r="AT294" s="549"/>
      <c r="AU294" s="327"/>
      <c r="AV294" s="553" t="s">
        <v>334</v>
      </c>
      <c r="AW294" s="327"/>
      <c r="AX294" s="521"/>
      <c r="AY294" s="326"/>
      <c r="AZ294" s="327"/>
      <c r="BA294" s="550"/>
      <c r="BB294" s="327"/>
      <c r="BC294" s="22"/>
      <c r="BD294" s="551" t="s">
        <v>334</v>
      </c>
      <c r="BE294" s="327"/>
      <c r="BF294" s="545"/>
      <c r="BG294" s="326"/>
      <c r="BH294" s="326"/>
      <c r="BI294" s="327"/>
      <c r="BJ294" s="451" t="s">
        <v>303</v>
      </c>
      <c r="BK294" s="326"/>
      <c r="BL294" s="326"/>
      <c r="BM294" s="327"/>
      <c r="BN294" s="558" t="s">
        <v>303</v>
      </c>
      <c r="BO294" s="326"/>
      <c r="BP294" s="326"/>
      <c r="BQ294" s="326"/>
      <c r="BR294" s="326"/>
      <c r="BS294" s="326"/>
      <c r="BT294" s="326"/>
      <c r="BU294" s="326"/>
      <c r="BV294" s="327"/>
    </row>
    <row r="295" spans="1:74" ht="45" customHeight="1" x14ac:dyDescent="0.25">
      <c r="A295" s="10">
        <f t="shared" si="1"/>
        <v>281</v>
      </c>
      <c r="B295" s="559" t="s">
        <v>303</v>
      </c>
      <c r="C295" s="327"/>
      <c r="D295" s="560" t="s">
        <v>307</v>
      </c>
      <c r="E295" s="327"/>
      <c r="F295" s="537" t="s">
        <v>334</v>
      </c>
      <c r="G295" s="327"/>
      <c r="H295" s="566" t="s">
        <v>334</v>
      </c>
      <c r="I295" s="327"/>
      <c r="J295" s="567"/>
      <c r="K295" s="327"/>
      <c r="L295" s="567"/>
      <c r="M295" s="327"/>
      <c r="N295" s="20"/>
      <c r="O295" s="21"/>
      <c r="P295" s="524"/>
      <c r="Q295" s="327"/>
      <c r="R295" s="516"/>
      <c r="S295" s="327"/>
      <c r="T295" s="517"/>
      <c r="U295" s="327"/>
      <c r="V295" s="518"/>
      <c r="W295" s="327"/>
      <c r="X295" s="541" t="s">
        <v>303</v>
      </c>
      <c r="Y295" s="326"/>
      <c r="Z295" s="326"/>
      <c r="AA295" s="327"/>
      <c r="AB295" s="542" t="s">
        <v>303</v>
      </c>
      <c r="AC295" s="326"/>
      <c r="AD295" s="326"/>
      <c r="AE295" s="327"/>
      <c r="AF295" s="520"/>
      <c r="AG295" s="327"/>
      <c r="AH295" s="520"/>
      <c r="AI295" s="327"/>
      <c r="AJ295" s="554"/>
      <c r="AK295" s="327"/>
      <c r="AL295" s="537" t="s">
        <v>334</v>
      </c>
      <c r="AM295" s="327"/>
      <c r="AN295" s="546" t="s">
        <v>334</v>
      </c>
      <c r="AO295" s="327"/>
      <c r="AP295" s="554"/>
      <c r="AQ295" s="327"/>
      <c r="AR295" s="555"/>
      <c r="AS295" s="327"/>
      <c r="AT295" s="549"/>
      <c r="AU295" s="327"/>
      <c r="AV295" s="546" t="s">
        <v>334</v>
      </c>
      <c r="AW295" s="327"/>
      <c r="AX295" s="521"/>
      <c r="AY295" s="326"/>
      <c r="AZ295" s="327"/>
      <c r="BA295" s="536"/>
      <c r="BB295" s="327"/>
      <c r="BC295" s="25"/>
      <c r="BD295" s="544" t="s">
        <v>334</v>
      </c>
      <c r="BE295" s="327"/>
      <c r="BF295" s="508"/>
      <c r="BG295" s="326"/>
      <c r="BH295" s="326"/>
      <c r="BI295" s="327"/>
      <c r="BJ295" s="557" t="s">
        <v>303</v>
      </c>
      <c r="BK295" s="326"/>
      <c r="BL295" s="326"/>
      <c r="BM295" s="327"/>
      <c r="BN295" s="558" t="s">
        <v>303</v>
      </c>
      <c r="BO295" s="326"/>
      <c r="BP295" s="326"/>
      <c r="BQ295" s="326"/>
      <c r="BR295" s="326"/>
      <c r="BS295" s="326"/>
      <c r="BT295" s="326"/>
      <c r="BU295" s="326"/>
      <c r="BV295" s="327"/>
    </row>
    <row r="296" spans="1:74" ht="45" customHeight="1" x14ac:dyDescent="0.25">
      <c r="A296" s="10">
        <f t="shared" si="1"/>
        <v>282</v>
      </c>
      <c r="B296" s="564" t="s">
        <v>303</v>
      </c>
      <c r="C296" s="327"/>
      <c r="D296" s="565" t="s">
        <v>307</v>
      </c>
      <c r="E296" s="327"/>
      <c r="F296" s="537" t="s">
        <v>334</v>
      </c>
      <c r="G296" s="327"/>
      <c r="H296" s="561" t="s">
        <v>334</v>
      </c>
      <c r="I296" s="327"/>
      <c r="J296" s="26"/>
      <c r="K296" s="27"/>
      <c r="L296" s="26"/>
      <c r="M296" s="27"/>
      <c r="N296" s="23"/>
      <c r="O296" s="24"/>
      <c r="P296" s="563"/>
      <c r="Q296" s="327"/>
      <c r="R296" s="538"/>
      <c r="S296" s="327"/>
      <c r="T296" s="539"/>
      <c r="U296" s="327"/>
      <c r="V296" s="540"/>
      <c r="W296" s="327"/>
      <c r="X296" s="438" t="s">
        <v>303</v>
      </c>
      <c r="Y296" s="326"/>
      <c r="Z296" s="326"/>
      <c r="AA296" s="327"/>
      <c r="AB296" s="519" t="s">
        <v>303</v>
      </c>
      <c r="AC296" s="326"/>
      <c r="AD296" s="326"/>
      <c r="AE296" s="327"/>
      <c r="AF296" s="543"/>
      <c r="AG296" s="327"/>
      <c r="AH296" s="543"/>
      <c r="AI296" s="327"/>
      <c r="AJ296" s="536"/>
      <c r="AK296" s="327"/>
      <c r="AL296" s="556" t="s">
        <v>334</v>
      </c>
      <c r="AM296" s="327"/>
      <c r="AN296" s="553" t="s">
        <v>334</v>
      </c>
      <c r="AO296" s="327"/>
      <c r="AP296" s="547"/>
      <c r="AQ296" s="327"/>
      <c r="AR296" s="548"/>
      <c r="AS296" s="327"/>
      <c r="AT296" s="549"/>
      <c r="AU296" s="327"/>
      <c r="AV296" s="553" t="s">
        <v>334</v>
      </c>
      <c r="AW296" s="327"/>
      <c r="AX296" s="521"/>
      <c r="AY296" s="326"/>
      <c r="AZ296" s="327"/>
      <c r="BA296" s="550"/>
      <c r="BB296" s="327"/>
      <c r="BC296" s="22"/>
      <c r="BD296" s="551" t="s">
        <v>334</v>
      </c>
      <c r="BE296" s="327"/>
      <c r="BF296" s="545"/>
      <c r="BG296" s="326"/>
      <c r="BH296" s="326"/>
      <c r="BI296" s="327"/>
      <c r="BJ296" s="451" t="s">
        <v>303</v>
      </c>
      <c r="BK296" s="326"/>
      <c r="BL296" s="326"/>
      <c r="BM296" s="327"/>
      <c r="BN296" s="558" t="s">
        <v>303</v>
      </c>
      <c r="BO296" s="326"/>
      <c r="BP296" s="326"/>
      <c r="BQ296" s="326"/>
      <c r="BR296" s="326"/>
      <c r="BS296" s="326"/>
      <c r="BT296" s="326"/>
      <c r="BU296" s="326"/>
      <c r="BV296" s="327"/>
    </row>
    <row r="297" spans="1:74" ht="45" customHeight="1" x14ac:dyDescent="0.25">
      <c r="A297" s="10">
        <f t="shared" si="1"/>
        <v>283</v>
      </c>
      <c r="B297" s="559" t="s">
        <v>303</v>
      </c>
      <c r="C297" s="327"/>
      <c r="D297" s="560" t="s">
        <v>307</v>
      </c>
      <c r="E297" s="327"/>
      <c r="F297" s="537" t="s">
        <v>334</v>
      </c>
      <c r="G297" s="327"/>
      <c r="H297" s="566" t="s">
        <v>334</v>
      </c>
      <c r="I297" s="327"/>
      <c r="J297" s="567"/>
      <c r="K297" s="327"/>
      <c r="L297" s="567"/>
      <c r="M297" s="327"/>
      <c r="N297" s="20"/>
      <c r="O297" s="21"/>
      <c r="P297" s="524"/>
      <c r="Q297" s="327"/>
      <c r="R297" s="516"/>
      <c r="S297" s="327"/>
      <c r="T297" s="517"/>
      <c r="U297" s="327"/>
      <c r="V297" s="518"/>
      <c r="W297" s="327"/>
      <c r="X297" s="541" t="s">
        <v>303</v>
      </c>
      <c r="Y297" s="326"/>
      <c r="Z297" s="326"/>
      <c r="AA297" s="327"/>
      <c r="AB297" s="542" t="s">
        <v>303</v>
      </c>
      <c r="AC297" s="326"/>
      <c r="AD297" s="326"/>
      <c r="AE297" s="327"/>
      <c r="AF297" s="520"/>
      <c r="AG297" s="327"/>
      <c r="AH297" s="520"/>
      <c r="AI297" s="327"/>
      <c r="AJ297" s="554"/>
      <c r="AK297" s="327"/>
      <c r="AL297" s="537" t="s">
        <v>334</v>
      </c>
      <c r="AM297" s="327"/>
      <c r="AN297" s="546" t="s">
        <v>334</v>
      </c>
      <c r="AO297" s="327"/>
      <c r="AP297" s="554"/>
      <c r="AQ297" s="327"/>
      <c r="AR297" s="555"/>
      <c r="AS297" s="327"/>
      <c r="AT297" s="549"/>
      <c r="AU297" s="327"/>
      <c r="AV297" s="546" t="s">
        <v>334</v>
      </c>
      <c r="AW297" s="327"/>
      <c r="AX297" s="521"/>
      <c r="AY297" s="326"/>
      <c r="AZ297" s="327"/>
      <c r="BA297" s="536"/>
      <c r="BB297" s="327"/>
      <c r="BC297" s="25"/>
      <c r="BD297" s="544" t="s">
        <v>334</v>
      </c>
      <c r="BE297" s="327"/>
      <c r="BF297" s="552"/>
      <c r="BG297" s="326"/>
      <c r="BH297" s="326"/>
      <c r="BI297" s="327"/>
      <c r="BJ297" s="557" t="s">
        <v>303</v>
      </c>
      <c r="BK297" s="326"/>
      <c r="BL297" s="326"/>
      <c r="BM297" s="327"/>
      <c r="BN297" s="558" t="s">
        <v>303</v>
      </c>
      <c r="BO297" s="326"/>
      <c r="BP297" s="326"/>
      <c r="BQ297" s="326"/>
      <c r="BR297" s="326"/>
      <c r="BS297" s="326"/>
      <c r="BT297" s="326"/>
      <c r="BU297" s="326"/>
      <c r="BV297" s="327"/>
    </row>
    <row r="298" spans="1:74" ht="45" customHeight="1" x14ac:dyDescent="0.25">
      <c r="A298" s="10">
        <f t="shared" si="1"/>
        <v>284</v>
      </c>
      <c r="B298" s="564" t="s">
        <v>303</v>
      </c>
      <c r="C298" s="327"/>
      <c r="D298" s="565" t="s">
        <v>307</v>
      </c>
      <c r="E298" s="327"/>
      <c r="F298" s="537" t="s">
        <v>334</v>
      </c>
      <c r="G298" s="327"/>
      <c r="H298" s="561" t="s">
        <v>334</v>
      </c>
      <c r="I298" s="327"/>
      <c r="J298" s="26"/>
      <c r="K298" s="27"/>
      <c r="L298" s="26"/>
      <c r="M298" s="27"/>
      <c r="N298" s="23"/>
      <c r="O298" s="24"/>
      <c r="P298" s="563"/>
      <c r="Q298" s="327"/>
      <c r="R298" s="538"/>
      <c r="S298" s="327"/>
      <c r="T298" s="539"/>
      <c r="U298" s="327"/>
      <c r="V298" s="540"/>
      <c r="W298" s="327"/>
      <c r="X298" s="438" t="s">
        <v>303</v>
      </c>
      <c r="Y298" s="326"/>
      <c r="Z298" s="326"/>
      <c r="AA298" s="327"/>
      <c r="AB298" s="519" t="s">
        <v>303</v>
      </c>
      <c r="AC298" s="326"/>
      <c r="AD298" s="326"/>
      <c r="AE298" s="327"/>
      <c r="AF298" s="543"/>
      <c r="AG298" s="327"/>
      <c r="AH298" s="543"/>
      <c r="AI298" s="327"/>
      <c r="AJ298" s="536"/>
      <c r="AK298" s="327"/>
      <c r="AL298" s="556" t="s">
        <v>334</v>
      </c>
      <c r="AM298" s="327"/>
      <c r="AN298" s="553" t="s">
        <v>334</v>
      </c>
      <c r="AO298" s="327"/>
      <c r="AP298" s="547"/>
      <c r="AQ298" s="327"/>
      <c r="AR298" s="548"/>
      <c r="AS298" s="327"/>
      <c r="AT298" s="549"/>
      <c r="AU298" s="327"/>
      <c r="AV298" s="553" t="s">
        <v>334</v>
      </c>
      <c r="AW298" s="327"/>
      <c r="AX298" s="521"/>
      <c r="AY298" s="326"/>
      <c r="AZ298" s="327"/>
      <c r="BA298" s="550"/>
      <c r="BB298" s="327"/>
      <c r="BC298" s="22"/>
      <c r="BD298" s="551" t="s">
        <v>334</v>
      </c>
      <c r="BE298" s="327"/>
      <c r="BF298" s="545"/>
      <c r="BG298" s="326"/>
      <c r="BH298" s="326"/>
      <c r="BI298" s="327"/>
      <c r="BJ298" s="451" t="s">
        <v>303</v>
      </c>
      <c r="BK298" s="326"/>
      <c r="BL298" s="326"/>
      <c r="BM298" s="327"/>
      <c r="BN298" s="558" t="s">
        <v>303</v>
      </c>
      <c r="BO298" s="326"/>
      <c r="BP298" s="326"/>
      <c r="BQ298" s="326"/>
      <c r="BR298" s="326"/>
      <c r="BS298" s="326"/>
      <c r="BT298" s="326"/>
      <c r="BU298" s="326"/>
      <c r="BV298" s="327"/>
    </row>
    <row r="299" spans="1:74" ht="45" customHeight="1" x14ac:dyDescent="0.25">
      <c r="A299" s="10">
        <f t="shared" si="1"/>
        <v>285</v>
      </c>
      <c r="B299" s="559" t="s">
        <v>303</v>
      </c>
      <c r="C299" s="327"/>
      <c r="D299" s="560" t="s">
        <v>307</v>
      </c>
      <c r="E299" s="327"/>
      <c r="F299" s="537" t="s">
        <v>334</v>
      </c>
      <c r="G299" s="327"/>
      <c r="H299" s="566" t="s">
        <v>334</v>
      </c>
      <c r="I299" s="327"/>
      <c r="J299" s="567"/>
      <c r="K299" s="327"/>
      <c r="L299" s="567"/>
      <c r="M299" s="327"/>
      <c r="N299" s="20"/>
      <c r="O299" s="21"/>
      <c r="P299" s="524"/>
      <c r="Q299" s="327"/>
      <c r="R299" s="516"/>
      <c r="S299" s="327"/>
      <c r="T299" s="517"/>
      <c r="U299" s="327"/>
      <c r="V299" s="518"/>
      <c r="W299" s="327"/>
      <c r="X299" s="541" t="s">
        <v>303</v>
      </c>
      <c r="Y299" s="326"/>
      <c r="Z299" s="326"/>
      <c r="AA299" s="327"/>
      <c r="AB299" s="542" t="s">
        <v>303</v>
      </c>
      <c r="AC299" s="326"/>
      <c r="AD299" s="326"/>
      <c r="AE299" s="327"/>
      <c r="AF299" s="520"/>
      <c r="AG299" s="327"/>
      <c r="AH299" s="520"/>
      <c r="AI299" s="327"/>
      <c r="AJ299" s="554"/>
      <c r="AK299" s="327"/>
      <c r="AL299" s="537" t="s">
        <v>334</v>
      </c>
      <c r="AM299" s="327"/>
      <c r="AN299" s="546" t="s">
        <v>334</v>
      </c>
      <c r="AO299" s="327"/>
      <c r="AP299" s="554"/>
      <c r="AQ299" s="327"/>
      <c r="AR299" s="555"/>
      <c r="AS299" s="327"/>
      <c r="AT299" s="549"/>
      <c r="AU299" s="327"/>
      <c r="AV299" s="546" t="s">
        <v>334</v>
      </c>
      <c r="AW299" s="327"/>
      <c r="AX299" s="521"/>
      <c r="AY299" s="326"/>
      <c r="AZ299" s="327"/>
      <c r="BA299" s="536"/>
      <c r="BB299" s="327"/>
      <c r="BC299" s="25"/>
      <c r="BD299" s="544" t="s">
        <v>334</v>
      </c>
      <c r="BE299" s="327"/>
      <c r="BF299" s="508"/>
      <c r="BG299" s="326"/>
      <c r="BH299" s="326"/>
      <c r="BI299" s="327"/>
      <c r="BJ299" s="557" t="s">
        <v>303</v>
      </c>
      <c r="BK299" s="326"/>
      <c r="BL299" s="326"/>
      <c r="BM299" s="327"/>
      <c r="BN299" s="558" t="s">
        <v>303</v>
      </c>
      <c r="BO299" s="326"/>
      <c r="BP299" s="326"/>
      <c r="BQ299" s="326"/>
      <c r="BR299" s="326"/>
      <c r="BS299" s="326"/>
      <c r="BT299" s="326"/>
      <c r="BU299" s="326"/>
      <c r="BV299" s="327"/>
    </row>
    <row r="300" spans="1:74" ht="45" customHeight="1" x14ac:dyDescent="0.25">
      <c r="A300" s="10">
        <f t="shared" si="1"/>
        <v>286</v>
      </c>
      <c r="B300" s="564" t="s">
        <v>303</v>
      </c>
      <c r="C300" s="327"/>
      <c r="D300" s="565" t="s">
        <v>307</v>
      </c>
      <c r="E300" s="327"/>
      <c r="F300" s="537" t="s">
        <v>334</v>
      </c>
      <c r="G300" s="327"/>
      <c r="H300" s="561" t="s">
        <v>334</v>
      </c>
      <c r="I300" s="327"/>
      <c r="J300" s="26"/>
      <c r="K300" s="27"/>
      <c r="L300" s="26"/>
      <c r="M300" s="27"/>
      <c r="N300" s="23"/>
      <c r="O300" s="24"/>
      <c r="P300" s="563"/>
      <c r="Q300" s="327"/>
      <c r="R300" s="538"/>
      <c r="S300" s="327"/>
      <c r="T300" s="539"/>
      <c r="U300" s="327"/>
      <c r="V300" s="540"/>
      <c r="W300" s="327"/>
      <c r="X300" s="438" t="s">
        <v>303</v>
      </c>
      <c r="Y300" s="326"/>
      <c r="Z300" s="326"/>
      <c r="AA300" s="327"/>
      <c r="AB300" s="519" t="s">
        <v>303</v>
      </c>
      <c r="AC300" s="326"/>
      <c r="AD300" s="326"/>
      <c r="AE300" s="327"/>
      <c r="AF300" s="543"/>
      <c r="AG300" s="327"/>
      <c r="AH300" s="543"/>
      <c r="AI300" s="327"/>
      <c r="AJ300" s="536"/>
      <c r="AK300" s="327"/>
      <c r="AL300" s="556" t="s">
        <v>334</v>
      </c>
      <c r="AM300" s="327"/>
      <c r="AN300" s="553" t="s">
        <v>334</v>
      </c>
      <c r="AO300" s="327"/>
      <c r="AP300" s="547"/>
      <c r="AQ300" s="327"/>
      <c r="AR300" s="548"/>
      <c r="AS300" s="327"/>
      <c r="AT300" s="549"/>
      <c r="AU300" s="327"/>
      <c r="AV300" s="553" t="s">
        <v>334</v>
      </c>
      <c r="AW300" s="327"/>
      <c r="AX300" s="521"/>
      <c r="AY300" s="326"/>
      <c r="AZ300" s="327"/>
      <c r="BA300" s="550"/>
      <c r="BB300" s="327"/>
      <c r="BC300" s="22"/>
      <c r="BD300" s="551" t="s">
        <v>334</v>
      </c>
      <c r="BE300" s="327"/>
      <c r="BF300" s="545"/>
      <c r="BG300" s="326"/>
      <c r="BH300" s="326"/>
      <c r="BI300" s="327"/>
      <c r="BJ300" s="451" t="s">
        <v>303</v>
      </c>
      <c r="BK300" s="326"/>
      <c r="BL300" s="326"/>
      <c r="BM300" s="327"/>
      <c r="BN300" s="558" t="s">
        <v>303</v>
      </c>
      <c r="BO300" s="326"/>
      <c r="BP300" s="326"/>
      <c r="BQ300" s="326"/>
      <c r="BR300" s="326"/>
      <c r="BS300" s="326"/>
      <c r="BT300" s="326"/>
      <c r="BU300" s="326"/>
      <c r="BV300" s="327"/>
    </row>
    <row r="301" spans="1:74" ht="45" customHeight="1" x14ac:dyDescent="0.25">
      <c r="A301" s="10">
        <f t="shared" si="1"/>
        <v>287</v>
      </c>
      <c r="B301" s="559" t="s">
        <v>303</v>
      </c>
      <c r="C301" s="327"/>
      <c r="D301" s="560" t="s">
        <v>307</v>
      </c>
      <c r="E301" s="327"/>
      <c r="F301" s="537" t="s">
        <v>334</v>
      </c>
      <c r="G301" s="327"/>
      <c r="H301" s="566" t="s">
        <v>334</v>
      </c>
      <c r="I301" s="327"/>
      <c r="J301" s="567"/>
      <c r="K301" s="327"/>
      <c r="L301" s="567"/>
      <c r="M301" s="327"/>
      <c r="N301" s="20"/>
      <c r="O301" s="21"/>
      <c r="P301" s="524"/>
      <c r="Q301" s="327"/>
      <c r="R301" s="516"/>
      <c r="S301" s="327"/>
      <c r="T301" s="517"/>
      <c r="U301" s="327"/>
      <c r="V301" s="518"/>
      <c r="W301" s="327"/>
      <c r="X301" s="541" t="s">
        <v>303</v>
      </c>
      <c r="Y301" s="326"/>
      <c r="Z301" s="326"/>
      <c r="AA301" s="327"/>
      <c r="AB301" s="542" t="s">
        <v>303</v>
      </c>
      <c r="AC301" s="326"/>
      <c r="AD301" s="326"/>
      <c r="AE301" s="327"/>
      <c r="AF301" s="520"/>
      <c r="AG301" s="327"/>
      <c r="AH301" s="520"/>
      <c r="AI301" s="327"/>
      <c r="AJ301" s="554"/>
      <c r="AK301" s="327"/>
      <c r="AL301" s="537" t="s">
        <v>334</v>
      </c>
      <c r="AM301" s="327"/>
      <c r="AN301" s="546" t="s">
        <v>334</v>
      </c>
      <c r="AO301" s="327"/>
      <c r="AP301" s="554"/>
      <c r="AQ301" s="327"/>
      <c r="AR301" s="555"/>
      <c r="AS301" s="327"/>
      <c r="AT301" s="549"/>
      <c r="AU301" s="327"/>
      <c r="AV301" s="546" t="s">
        <v>334</v>
      </c>
      <c r="AW301" s="327"/>
      <c r="AX301" s="521"/>
      <c r="AY301" s="326"/>
      <c r="AZ301" s="327"/>
      <c r="BA301" s="536"/>
      <c r="BB301" s="327"/>
      <c r="BC301" s="25"/>
      <c r="BD301" s="544" t="s">
        <v>334</v>
      </c>
      <c r="BE301" s="327"/>
      <c r="BF301" s="552"/>
      <c r="BG301" s="326"/>
      <c r="BH301" s="326"/>
      <c r="BI301" s="327"/>
      <c r="BJ301" s="557" t="s">
        <v>303</v>
      </c>
      <c r="BK301" s="326"/>
      <c r="BL301" s="326"/>
      <c r="BM301" s="327"/>
      <c r="BN301" s="558" t="s">
        <v>303</v>
      </c>
      <c r="BO301" s="326"/>
      <c r="BP301" s="326"/>
      <c r="BQ301" s="326"/>
      <c r="BR301" s="326"/>
      <c r="BS301" s="326"/>
      <c r="BT301" s="326"/>
      <c r="BU301" s="326"/>
      <c r="BV301" s="327"/>
    </row>
    <row r="302" spans="1:74" ht="45" customHeight="1" x14ac:dyDescent="0.25">
      <c r="A302" s="10">
        <f t="shared" si="1"/>
        <v>288</v>
      </c>
      <c r="B302" s="564" t="s">
        <v>303</v>
      </c>
      <c r="C302" s="327"/>
      <c r="D302" s="565" t="s">
        <v>307</v>
      </c>
      <c r="E302" s="327"/>
      <c r="F302" s="537" t="s">
        <v>334</v>
      </c>
      <c r="G302" s="327"/>
      <c r="H302" s="561" t="s">
        <v>334</v>
      </c>
      <c r="I302" s="327"/>
      <c r="J302" s="26"/>
      <c r="K302" s="27"/>
      <c r="L302" s="26"/>
      <c r="M302" s="27"/>
      <c r="N302" s="23"/>
      <c r="O302" s="24"/>
      <c r="P302" s="563"/>
      <c r="Q302" s="327"/>
      <c r="R302" s="538"/>
      <c r="S302" s="327"/>
      <c r="T302" s="539"/>
      <c r="U302" s="327"/>
      <c r="V302" s="540"/>
      <c r="W302" s="327"/>
      <c r="X302" s="438" t="s">
        <v>303</v>
      </c>
      <c r="Y302" s="326"/>
      <c r="Z302" s="326"/>
      <c r="AA302" s="327"/>
      <c r="AB302" s="519" t="s">
        <v>303</v>
      </c>
      <c r="AC302" s="326"/>
      <c r="AD302" s="326"/>
      <c r="AE302" s="327"/>
      <c r="AF302" s="543"/>
      <c r="AG302" s="327"/>
      <c r="AH302" s="543"/>
      <c r="AI302" s="327"/>
      <c r="AJ302" s="536"/>
      <c r="AK302" s="327"/>
      <c r="AL302" s="556" t="s">
        <v>334</v>
      </c>
      <c r="AM302" s="327"/>
      <c r="AN302" s="553" t="s">
        <v>334</v>
      </c>
      <c r="AO302" s="327"/>
      <c r="AP302" s="547"/>
      <c r="AQ302" s="327"/>
      <c r="AR302" s="548"/>
      <c r="AS302" s="327"/>
      <c r="AT302" s="549"/>
      <c r="AU302" s="327"/>
      <c r="AV302" s="553" t="s">
        <v>334</v>
      </c>
      <c r="AW302" s="327"/>
      <c r="AX302" s="521"/>
      <c r="AY302" s="326"/>
      <c r="AZ302" s="327"/>
      <c r="BA302" s="550"/>
      <c r="BB302" s="327"/>
      <c r="BC302" s="22"/>
      <c r="BD302" s="551" t="s">
        <v>334</v>
      </c>
      <c r="BE302" s="327"/>
      <c r="BF302" s="545"/>
      <c r="BG302" s="326"/>
      <c r="BH302" s="326"/>
      <c r="BI302" s="327"/>
      <c r="BJ302" s="451" t="s">
        <v>303</v>
      </c>
      <c r="BK302" s="326"/>
      <c r="BL302" s="326"/>
      <c r="BM302" s="327"/>
      <c r="BN302" s="558" t="s">
        <v>303</v>
      </c>
      <c r="BO302" s="326"/>
      <c r="BP302" s="326"/>
      <c r="BQ302" s="326"/>
      <c r="BR302" s="326"/>
      <c r="BS302" s="326"/>
      <c r="BT302" s="326"/>
      <c r="BU302" s="326"/>
      <c r="BV302" s="327"/>
    </row>
    <row r="303" spans="1:74" ht="45" customHeight="1" x14ac:dyDescent="0.25">
      <c r="A303" s="10">
        <f t="shared" si="1"/>
        <v>289</v>
      </c>
      <c r="B303" s="559" t="s">
        <v>303</v>
      </c>
      <c r="C303" s="327"/>
      <c r="D303" s="560" t="s">
        <v>307</v>
      </c>
      <c r="E303" s="327"/>
      <c r="F303" s="537" t="s">
        <v>334</v>
      </c>
      <c r="G303" s="327"/>
      <c r="H303" s="566" t="s">
        <v>334</v>
      </c>
      <c r="I303" s="327"/>
      <c r="J303" s="567"/>
      <c r="K303" s="327"/>
      <c r="L303" s="567"/>
      <c r="M303" s="327"/>
      <c r="N303" s="20"/>
      <c r="O303" s="21"/>
      <c r="P303" s="524"/>
      <c r="Q303" s="327"/>
      <c r="R303" s="516"/>
      <c r="S303" s="327"/>
      <c r="T303" s="517"/>
      <c r="U303" s="327"/>
      <c r="V303" s="518"/>
      <c r="W303" s="327"/>
      <c r="X303" s="541" t="s">
        <v>303</v>
      </c>
      <c r="Y303" s="326"/>
      <c r="Z303" s="326"/>
      <c r="AA303" s="327"/>
      <c r="AB303" s="542" t="s">
        <v>303</v>
      </c>
      <c r="AC303" s="326"/>
      <c r="AD303" s="326"/>
      <c r="AE303" s="327"/>
      <c r="AF303" s="520"/>
      <c r="AG303" s="327"/>
      <c r="AH303" s="520"/>
      <c r="AI303" s="327"/>
      <c r="AJ303" s="554"/>
      <c r="AK303" s="327"/>
      <c r="AL303" s="537" t="s">
        <v>334</v>
      </c>
      <c r="AM303" s="327"/>
      <c r="AN303" s="546" t="s">
        <v>334</v>
      </c>
      <c r="AO303" s="327"/>
      <c r="AP303" s="554"/>
      <c r="AQ303" s="327"/>
      <c r="AR303" s="555"/>
      <c r="AS303" s="327"/>
      <c r="AT303" s="549"/>
      <c r="AU303" s="327"/>
      <c r="AV303" s="546" t="s">
        <v>334</v>
      </c>
      <c r="AW303" s="327"/>
      <c r="AX303" s="521"/>
      <c r="AY303" s="326"/>
      <c r="AZ303" s="327"/>
      <c r="BA303" s="536"/>
      <c r="BB303" s="327"/>
      <c r="BC303" s="25"/>
      <c r="BD303" s="544" t="s">
        <v>334</v>
      </c>
      <c r="BE303" s="327"/>
      <c r="BF303" s="508"/>
      <c r="BG303" s="326"/>
      <c r="BH303" s="326"/>
      <c r="BI303" s="327"/>
      <c r="BJ303" s="557" t="s">
        <v>303</v>
      </c>
      <c r="BK303" s="326"/>
      <c r="BL303" s="326"/>
      <c r="BM303" s="327"/>
      <c r="BN303" s="558" t="s">
        <v>303</v>
      </c>
      <c r="BO303" s="326"/>
      <c r="BP303" s="326"/>
      <c r="BQ303" s="326"/>
      <c r="BR303" s="326"/>
      <c r="BS303" s="326"/>
      <c r="BT303" s="326"/>
      <c r="BU303" s="326"/>
      <c r="BV303" s="327"/>
    </row>
    <row r="304" spans="1:74" ht="45" customHeight="1" x14ac:dyDescent="0.25">
      <c r="A304" s="10">
        <f t="shared" si="1"/>
        <v>290</v>
      </c>
      <c r="B304" s="564" t="s">
        <v>303</v>
      </c>
      <c r="C304" s="327"/>
      <c r="D304" s="565" t="s">
        <v>307</v>
      </c>
      <c r="E304" s="327"/>
      <c r="F304" s="537" t="s">
        <v>334</v>
      </c>
      <c r="G304" s="327"/>
      <c r="H304" s="561" t="s">
        <v>334</v>
      </c>
      <c r="I304" s="327"/>
      <c r="J304" s="26"/>
      <c r="K304" s="27"/>
      <c r="L304" s="26"/>
      <c r="M304" s="27"/>
      <c r="N304" s="23"/>
      <c r="O304" s="24"/>
      <c r="P304" s="563"/>
      <c r="Q304" s="327"/>
      <c r="R304" s="538"/>
      <c r="S304" s="327"/>
      <c r="T304" s="539"/>
      <c r="U304" s="327"/>
      <c r="V304" s="540"/>
      <c r="W304" s="327"/>
      <c r="X304" s="438" t="s">
        <v>303</v>
      </c>
      <c r="Y304" s="326"/>
      <c r="Z304" s="326"/>
      <c r="AA304" s="327"/>
      <c r="AB304" s="519" t="s">
        <v>303</v>
      </c>
      <c r="AC304" s="326"/>
      <c r="AD304" s="326"/>
      <c r="AE304" s="327"/>
      <c r="AF304" s="543"/>
      <c r="AG304" s="327"/>
      <c r="AH304" s="543"/>
      <c r="AI304" s="327"/>
      <c r="AJ304" s="536"/>
      <c r="AK304" s="327"/>
      <c r="AL304" s="556" t="s">
        <v>334</v>
      </c>
      <c r="AM304" s="327"/>
      <c r="AN304" s="553" t="s">
        <v>334</v>
      </c>
      <c r="AO304" s="327"/>
      <c r="AP304" s="547"/>
      <c r="AQ304" s="327"/>
      <c r="AR304" s="548"/>
      <c r="AS304" s="327"/>
      <c r="AT304" s="549"/>
      <c r="AU304" s="327"/>
      <c r="AV304" s="553" t="s">
        <v>334</v>
      </c>
      <c r="AW304" s="327"/>
      <c r="AX304" s="521"/>
      <c r="AY304" s="326"/>
      <c r="AZ304" s="327"/>
      <c r="BA304" s="550"/>
      <c r="BB304" s="327"/>
      <c r="BC304" s="22"/>
      <c r="BD304" s="551" t="s">
        <v>334</v>
      </c>
      <c r="BE304" s="327"/>
      <c r="BF304" s="545"/>
      <c r="BG304" s="326"/>
      <c r="BH304" s="326"/>
      <c r="BI304" s="327"/>
      <c r="BJ304" s="451" t="s">
        <v>303</v>
      </c>
      <c r="BK304" s="326"/>
      <c r="BL304" s="326"/>
      <c r="BM304" s="327"/>
      <c r="BN304" s="558" t="s">
        <v>303</v>
      </c>
      <c r="BO304" s="326"/>
      <c r="BP304" s="326"/>
      <c r="BQ304" s="326"/>
      <c r="BR304" s="326"/>
      <c r="BS304" s="326"/>
      <c r="BT304" s="326"/>
      <c r="BU304" s="326"/>
      <c r="BV304" s="327"/>
    </row>
    <row r="305" spans="1:74" ht="45" customHeight="1" x14ac:dyDescent="0.25">
      <c r="A305" s="10">
        <f t="shared" si="1"/>
        <v>291</v>
      </c>
      <c r="B305" s="559" t="s">
        <v>303</v>
      </c>
      <c r="C305" s="327"/>
      <c r="D305" s="560" t="s">
        <v>307</v>
      </c>
      <c r="E305" s="327"/>
      <c r="F305" s="537" t="s">
        <v>334</v>
      </c>
      <c r="G305" s="327"/>
      <c r="H305" s="566" t="s">
        <v>334</v>
      </c>
      <c r="I305" s="327"/>
      <c r="J305" s="567"/>
      <c r="K305" s="327"/>
      <c r="L305" s="567"/>
      <c r="M305" s="327"/>
      <c r="N305" s="20"/>
      <c r="O305" s="21"/>
      <c r="P305" s="524"/>
      <c r="Q305" s="327"/>
      <c r="R305" s="516"/>
      <c r="S305" s="327"/>
      <c r="T305" s="517"/>
      <c r="U305" s="327"/>
      <c r="V305" s="518"/>
      <c r="W305" s="327"/>
      <c r="X305" s="541" t="s">
        <v>303</v>
      </c>
      <c r="Y305" s="326"/>
      <c r="Z305" s="326"/>
      <c r="AA305" s="327"/>
      <c r="AB305" s="542" t="s">
        <v>303</v>
      </c>
      <c r="AC305" s="326"/>
      <c r="AD305" s="326"/>
      <c r="AE305" s="327"/>
      <c r="AF305" s="520"/>
      <c r="AG305" s="327"/>
      <c r="AH305" s="520"/>
      <c r="AI305" s="327"/>
      <c r="AJ305" s="554"/>
      <c r="AK305" s="327"/>
      <c r="AL305" s="537" t="s">
        <v>334</v>
      </c>
      <c r="AM305" s="327"/>
      <c r="AN305" s="546" t="s">
        <v>334</v>
      </c>
      <c r="AO305" s="327"/>
      <c r="AP305" s="554"/>
      <c r="AQ305" s="327"/>
      <c r="AR305" s="555"/>
      <c r="AS305" s="327"/>
      <c r="AT305" s="549"/>
      <c r="AU305" s="327"/>
      <c r="AV305" s="546" t="s">
        <v>334</v>
      </c>
      <c r="AW305" s="327"/>
      <c r="AX305" s="521"/>
      <c r="AY305" s="326"/>
      <c r="AZ305" s="327"/>
      <c r="BA305" s="536"/>
      <c r="BB305" s="327"/>
      <c r="BC305" s="25"/>
      <c r="BD305" s="544" t="s">
        <v>334</v>
      </c>
      <c r="BE305" s="327"/>
      <c r="BF305" s="508"/>
      <c r="BG305" s="326"/>
      <c r="BH305" s="326"/>
      <c r="BI305" s="327"/>
      <c r="BJ305" s="557" t="s">
        <v>303</v>
      </c>
      <c r="BK305" s="326"/>
      <c r="BL305" s="326"/>
      <c r="BM305" s="327"/>
      <c r="BN305" s="558" t="s">
        <v>303</v>
      </c>
      <c r="BO305" s="326"/>
      <c r="BP305" s="326"/>
      <c r="BQ305" s="326"/>
      <c r="BR305" s="326"/>
      <c r="BS305" s="326"/>
      <c r="BT305" s="326"/>
      <c r="BU305" s="326"/>
      <c r="BV305" s="327"/>
    </row>
    <row r="306" spans="1:74" ht="45" customHeight="1" x14ac:dyDescent="0.25">
      <c r="A306" s="10">
        <f t="shared" si="1"/>
        <v>292</v>
      </c>
      <c r="B306" s="564" t="s">
        <v>303</v>
      </c>
      <c r="C306" s="327"/>
      <c r="D306" s="565" t="s">
        <v>307</v>
      </c>
      <c r="E306" s="327"/>
      <c r="F306" s="537" t="s">
        <v>334</v>
      </c>
      <c r="G306" s="327"/>
      <c r="H306" s="561" t="s">
        <v>334</v>
      </c>
      <c r="I306" s="327"/>
      <c r="J306" s="26"/>
      <c r="K306" s="27"/>
      <c r="L306" s="26"/>
      <c r="M306" s="27"/>
      <c r="N306" s="23"/>
      <c r="O306" s="24"/>
      <c r="P306" s="563"/>
      <c r="Q306" s="327"/>
      <c r="R306" s="538"/>
      <c r="S306" s="327"/>
      <c r="T306" s="539"/>
      <c r="U306" s="327"/>
      <c r="V306" s="540"/>
      <c r="W306" s="327"/>
      <c r="X306" s="438" t="s">
        <v>303</v>
      </c>
      <c r="Y306" s="326"/>
      <c r="Z306" s="326"/>
      <c r="AA306" s="327"/>
      <c r="AB306" s="519" t="s">
        <v>303</v>
      </c>
      <c r="AC306" s="326"/>
      <c r="AD306" s="326"/>
      <c r="AE306" s="327"/>
      <c r="AF306" s="543"/>
      <c r="AG306" s="327"/>
      <c r="AH306" s="543"/>
      <c r="AI306" s="327"/>
      <c r="AJ306" s="536"/>
      <c r="AK306" s="327"/>
      <c r="AL306" s="556" t="s">
        <v>334</v>
      </c>
      <c r="AM306" s="327"/>
      <c r="AN306" s="553" t="s">
        <v>334</v>
      </c>
      <c r="AO306" s="327"/>
      <c r="AP306" s="547"/>
      <c r="AQ306" s="327"/>
      <c r="AR306" s="548"/>
      <c r="AS306" s="327"/>
      <c r="AT306" s="549"/>
      <c r="AU306" s="327"/>
      <c r="AV306" s="553" t="s">
        <v>334</v>
      </c>
      <c r="AW306" s="327"/>
      <c r="AX306" s="521"/>
      <c r="AY306" s="326"/>
      <c r="AZ306" s="327"/>
      <c r="BA306" s="550"/>
      <c r="BB306" s="327"/>
      <c r="BC306" s="22"/>
      <c r="BD306" s="551" t="s">
        <v>334</v>
      </c>
      <c r="BE306" s="327"/>
      <c r="BF306" s="545"/>
      <c r="BG306" s="326"/>
      <c r="BH306" s="326"/>
      <c r="BI306" s="327"/>
      <c r="BJ306" s="451" t="s">
        <v>303</v>
      </c>
      <c r="BK306" s="326"/>
      <c r="BL306" s="326"/>
      <c r="BM306" s="327"/>
      <c r="BN306" s="558" t="s">
        <v>303</v>
      </c>
      <c r="BO306" s="326"/>
      <c r="BP306" s="326"/>
      <c r="BQ306" s="326"/>
      <c r="BR306" s="326"/>
      <c r="BS306" s="326"/>
      <c r="BT306" s="326"/>
      <c r="BU306" s="326"/>
      <c r="BV306" s="327"/>
    </row>
    <row r="307" spans="1:74" ht="45" customHeight="1" x14ac:dyDescent="0.25">
      <c r="A307" s="10">
        <f t="shared" si="1"/>
        <v>293</v>
      </c>
      <c r="B307" s="559" t="s">
        <v>303</v>
      </c>
      <c r="C307" s="327"/>
      <c r="D307" s="560" t="s">
        <v>307</v>
      </c>
      <c r="E307" s="327"/>
      <c r="F307" s="537" t="s">
        <v>334</v>
      </c>
      <c r="G307" s="327"/>
      <c r="H307" s="566" t="s">
        <v>334</v>
      </c>
      <c r="I307" s="327"/>
      <c r="J307" s="567"/>
      <c r="K307" s="327"/>
      <c r="L307" s="567"/>
      <c r="M307" s="327"/>
      <c r="N307" s="20"/>
      <c r="O307" s="21"/>
      <c r="P307" s="524"/>
      <c r="Q307" s="327"/>
      <c r="R307" s="516"/>
      <c r="S307" s="327"/>
      <c r="T307" s="517"/>
      <c r="U307" s="327"/>
      <c r="V307" s="518"/>
      <c r="W307" s="327"/>
      <c r="X307" s="541" t="s">
        <v>303</v>
      </c>
      <c r="Y307" s="326"/>
      <c r="Z307" s="326"/>
      <c r="AA307" s="327"/>
      <c r="AB307" s="542" t="s">
        <v>303</v>
      </c>
      <c r="AC307" s="326"/>
      <c r="AD307" s="326"/>
      <c r="AE307" s="327"/>
      <c r="AF307" s="520"/>
      <c r="AG307" s="327"/>
      <c r="AH307" s="520"/>
      <c r="AI307" s="327"/>
      <c r="AJ307" s="554"/>
      <c r="AK307" s="327"/>
      <c r="AL307" s="537" t="s">
        <v>334</v>
      </c>
      <c r="AM307" s="327"/>
      <c r="AN307" s="546" t="s">
        <v>334</v>
      </c>
      <c r="AO307" s="327"/>
      <c r="AP307" s="554"/>
      <c r="AQ307" s="327"/>
      <c r="AR307" s="555"/>
      <c r="AS307" s="327"/>
      <c r="AT307" s="549"/>
      <c r="AU307" s="327"/>
      <c r="AV307" s="546" t="s">
        <v>334</v>
      </c>
      <c r="AW307" s="327"/>
      <c r="AX307" s="521"/>
      <c r="AY307" s="326"/>
      <c r="AZ307" s="327"/>
      <c r="BA307" s="536"/>
      <c r="BB307" s="327"/>
      <c r="BC307" s="25"/>
      <c r="BD307" s="544" t="s">
        <v>334</v>
      </c>
      <c r="BE307" s="327"/>
      <c r="BF307" s="552"/>
      <c r="BG307" s="326"/>
      <c r="BH307" s="326"/>
      <c r="BI307" s="327"/>
      <c r="BJ307" s="557" t="s">
        <v>303</v>
      </c>
      <c r="BK307" s="326"/>
      <c r="BL307" s="326"/>
      <c r="BM307" s="327"/>
      <c r="BN307" s="558" t="s">
        <v>303</v>
      </c>
      <c r="BO307" s="326"/>
      <c r="BP307" s="326"/>
      <c r="BQ307" s="326"/>
      <c r="BR307" s="326"/>
      <c r="BS307" s="326"/>
      <c r="BT307" s="326"/>
      <c r="BU307" s="326"/>
      <c r="BV307" s="327"/>
    </row>
    <row r="308" spans="1:74" ht="45" customHeight="1" x14ac:dyDescent="0.25">
      <c r="A308" s="10">
        <f t="shared" si="1"/>
        <v>294</v>
      </c>
      <c r="B308" s="564" t="s">
        <v>303</v>
      </c>
      <c r="C308" s="327"/>
      <c r="D308" s="565" t="s">
        <v>307</v>
      </c>
      <c r="E308" s="327"/>
      <c r="F308" s="537" t="s">
        <v>334</v>
      </c>
      <c r="G308" s="327"/>
      <c r="H308" s="561" t="s">
        <v>334</v>
      </c>
      <c r="I308" s="327"/>
      <c r="J308" s="26"/>
      <c r="K308" s="27"/>
      <c r="L308" s="26"/>
      <c r="M308" s="27"/>
      <c r="N308" s="23"/>
      <c r="O308" s="24"/>
      <c r="P308" s="563"/>
      <c r="Q308" s="327"/>
      <c r="R308" s="538"/>
      <c r="S308" s="327"/>
      <c r="T308" s="539"/>
      <c r="U308" s="327"/>
      <c r="V308" s="540"/>
      <c r="W308" s="327"/>
      <c r="X308" s="438" t="s">
        <v>303</v>
      </c>
      <c r="Y308" s="326"/>
      <c r="Z308" s="326"/>
      <c r="AA308" s="327"/>
      <c r="AB308" s="519" t="s">
        <v>303</v>
      </c>
      <c r="AC308" s="326"/>
      <c r="AD308" s="326"/>
      <c r="AE308" s="327"/>
      <c r="AF308" s="543"/>
      <c r="AG308" s="327"/>
      <c r="AH308" s="543"/>
      <c r="AI308" s="327"/>
      <c r="AJ308" s="536"/>
      <c r="AK308" s="327"/>
      <c r="AL308" s="556" t="s">
        <v>334</v>
      </c>
      <c r="AM308" s="327"/>
      <c r="AN308" s="553" t="s">
        <v>334</v>
      </c>
      <c r="AO308" s="327"/>
      <c r="AP308" s="547"/>
      <c r="AQ308" s="327"/>
      <c r="AR308" s="548"/>
      <c r="AS308" s="327"/>
      <c r="AT308" s="549"/>
      <c r="AU308" s="327"/>
      <c r="AV308" s="553" t="s">
        <v>334</v>
      </c>
      <c r="AW308" s="327"/>
      <c r="AX308" s="521"/>
      <c r="AY308" s="326"/>
      <c r="AZ308" s="327"/>
      <c r="BA308" s="550"/>
      <c r="BB308" s="327"/>
      <c r="BC308" s="22"/>
      <c r="BD308" s="551" t="s">
        <v>334</v>
      </c>
      <c r="BE308" s="327"/>
      <c r="BF308" s="545"/>
      <c r="BG308" s="326"/>
      <c r="BH308" s="326"/>
      <c r="BI308" s="327"/>
      <c r="BJ308" s="451" t="s">
        <v>303</v>
      </c>
      <c r="BK308" s="326"/>
      <c r="BL308" s="326"/>
      <c r="BM308" s="327"/>
      <c r="BN308" s="558" t="s">
        <v>303</v>
      </c>
      <c r="BO308" s="326"/>
      <c r="BP308" s="326"/>
      <c r="BQ308" s="326"/>
      <c r="BR308" s="326"/>
      <c r="BS308" s="326"/>
      <c r="BT308" s="326"/>
      <c r="BU308" s="326"/>
      <c r="BV308" s="327"/>
    </row>
    <row r="309" spans="1:74" ht="45" customHeight="1" x14ac:dyDescent="0.25">
      <c r="A309" s="10">
        <f t="shared" si="1"/>
        <v>295</v>
      </c>
      <c r="B309" s="559" t="s">
        <v>303</v>
      </c>
      <c r="C309" s="327"/>
      <c r="D309" s="560" t="s">
        <v>307</v>
      </c>
      <c r="E309" s="327"/>
      <c r="F309" s="537" t="s">
        <v>334</v>
      </c>
      <c r="G309" s="327"/>
      <c r="H309" s="566" t="s">
        <v>334</v>
      </c>
      <c r="I309" s="327"/>
      <c r="J309" s="567"/>
      <c r="K309" s="327"/>
      <c r="L309" s="567"/>
      <c r="M309" s="327"/>
      <c r="N309" s="20"/>
      <c r="O309" s="21"/>
      <c r="P309" s="524"/>
      <c r="Q309" s="327"/>
      <c r="R309" s="516"/>
      <c r="S309" s="327"/>
      <c r="T309" s="517"/>
      <c r="U309" s="327"/>
      <c r="V309" s="518"/>
      <c r="W309" s="327"/>
      <c r="X309" s="541" t="s">
        <v>303</v>
      </c>
      <c r="Y309" s="326"/>
      <c r="Z309" s="326"/>
      <c r="AA309" s="327"/>
      <c r="AB309" s="542" t="s">
        <v>303</v>
      </c>
      <c r="AC309" s="326"/>
      <c r="AD309" s="326"/>
      <c r="AE309" s="327"/>
      <c r="AF309" s="520"/>
      <c r="AG309" s="327"/>
      <c r="AH309" s="520"/>
      <c r="AI309" s="327"/>
      <c r="AJ309" s="554"/>
      <c r="AK309" s="327"/>
      <c r="AL309" s="537" t="s">
        <v>334</v>
      </c>
      <c r="AM309" s="327"/>
      <c r="AN309" s="546" t="s">
        <v>334</v>
      </c>
      <c r="AO309" s="327"/>
      <c r="AP309" s="554"/>
      <c r="AQ309" s="327"/>
      <c r="AR309" s="555"/>
      <c r="AS309" s="327"/>
      <c r="AT309" s="549"/>
      <c r="AU309" s="327"/>
      <c r="AV309" s="546" t="s">
        <v>334</v>
      </c>
      <c r="AW309" s="327"/>
      <c r="AX309" s="521"/>
      <c r="AY309" s="326"/>
      <c r="AZ309" s="327"/>
      <c r="BA309" s="536"/>
      <c r="BB309" s="327"/>
      <c r="BC309" s="25"/>
      <c r="BD309" s="544" t="s">
        <v>334</v>
      </c>
      <c r="BE309" s="327"/>
      <c r="BF309" s="508"/>
      <c r="BG309" s="326"/>
      <c r="BH309" s="326"/>
      <c r="BI309" s="327"/>
      <c r="BJ309" s="557" t="s">
        <v>303</v>
      </c>
      <c r="BK309" s="326"/>
      <c r="BL309" s="326"/>
      <c r="BM309" s="327"/>
      <c r="BN309" s="558" t="s">
        <v>303</v>
      </c>
      <c r="BO309" s="326"/>
      <c r="BP309" s="326"/>
      <c r="BQ309" s="326"/>
      <c r="BR309" s="326"/>
      <c r="BS309" s="326"/>
      <c r="BT309" s="326"/>
      <c r="BU309" s="326"/>
      <c r="BV309" s="327"/>
    </row>
    <row r="310" spans="1:74" ht="45" customHeight="1" x14ac:dyDescent="0.25">
      <c r="A310" s="10">
        <f t="shared" si="1"/>
        <v>296</v>
      </c>
      <c r="B310" s="564" t="s">
        <v>303</v>
      </c>
      <c r="C310" s="327"/>
      <c r="D310" s="565" t="s">
        <v>307</v>
      </c>
      <c r="E310" s="327"/>
      <c r="F310" s="537" t="s">
        <v>334</v>
      </c>
      <c r="G310" s="327"/>
      <c r="H310" s="561" t="s">
        <v>334</v>
      </c>
      <c r="I310" s="327"/>
      <c r="J310" s="26"/>
      <c r="K310" s="27"/>
      <c r="L310" s="26"/>
      <c r="M310" s="27"/>
      <c r="N310" s="23"/>
      <c r="O310" s="24"/>
      <c r="P310" s="563"/>
      <c r="Q310" s="327"/>
      <c r="R310" s="538"/>
      <c r="S310" s="327"/>
      <c r="T310" s="539"/>
      <c r="U310" s="327"/>
      <c r="V310" s="540"/>
      <c r="W310" s="327"/>
      <c r="X310" s="438" t="s">
        <v>303</v>
      </c>
      <c r="Y310" s="326"/>
      <c r="Z310" s="326"/>
      <c r="AA310" s="327"/>
      <c r="AB310" s="519" t="s">
        <v>303</v>
      </c>
      <c r="AC310" s="326"/>
      <c r="AD310" s="326"/>
      <c r="AE310" s="327"/>
      <c r="AF310" s="543"/>
      <c r="AG310" s="327"/>
      <c r="AH310" s="543"/>
      <c r="AI310" s="327"/>
      <c r="AJ310" s="536"/>
      <c r="AK310" s="327"/>
      <c r="AL310" s="556" t="s">
        <v>334</v>
      </c>
      <c r="AM310" s="327"/>
      <c r="AN310" s="553" t="s">
        <v>334</v>
      </c>
      <c r="AO310" s="327"/>
      <c r="AP310" s="547"/>
      <c r="AQ310" s="327"/>
      <c r="AR310" s="548"/>
      <c r="AS310" s="327"/>
      <c r="AT310" s="549"/>
      <c r="AU310" s="327"/>
      <c r="AV310" s="553" t="s">
        <v>334</v>
      </c>
      <c r="AW310" s="327"/>
      <c r="AX310" s="521"/>
      <c r="AY310" s="326"/>
      <c r="AZ310" s="327"/>
      <c r="BA310" s="550"/>
      <c r="BB310" s="327"/>
      <c r="BC310" s="22"/>
      <c r="BD310" s="551" t="s">
        <v>334</v>
      </c>
      <c r="BE310" s="327"/>
      <c r="BF310" s="545"/>
      <c r="BG310" s="326"/>
      <c r="BH310" s="326"/>
      <c r="BI310" s="327"/>
      <c r="BJ310" s="451" t="s">
        <v>303</v>
      </c>
      <c r="BK310" s="326"/>
      <c r="BL310" s="326"/>
      <c r="BM310" s="327"/>
      <c r="BN310" s="558" t="s">
        <v>303</v>
      </c>
      <c r="BO310" s="326"/>
      <c r="BP310" s="326"/>
      <c r="BQ310" s="326"/>
      <c r="BR310" s="326"/>
      <c r="BS310" s="326"/>
      <c r="BT310" s="326"/>
      <c r="BU310" s="326"/>
      <c r="BV310" s="327"/>
    </row>
    <row r="311" spans="1:74" ht="45" customHeight="1" x14ac:dyDescent="0.25">
      <c r="A311" s="10">
        <f t="shared" si="1"/>
        <v>297</v>
      </c>
      <c r="B311" s="559" t="s">
        <v>303</v>
      </c>
      <c r="C311" s="327"/>
      <c r="D311" s="560" t="s">
        <v>307</v>
      </c>
      <c r="E311" s="327"/>
      <c r="F311" s="537" t="s">
        <v>334</v>
      </c>
      <c r="G311" s="327"/>
      <c r="H311" s="566" t="s">
        <v>334</v>
      </c>
      <c r="I311" s="327"/>
      <c r="J311" s="567"/>
      <c r="K311" s="327"/>
      <c r="L311" s="567"/>
      <c r="M311" s="327"/>
      <c r="N311" s="20"/>
      <c r="O311" s="21"/>
      <c r="P311" s="524"/>
      <c r="Q311" s="327"/>
      <c r="R311" s="516"/>
      <c r="S311" s="327"/>
      <c r="T311" s="517"/>
      <c r="U311" s="327"/>
      <c r="V311" s="518"/>
      <c r="W311" s="327"/>
      <c r="X311" s="541" t="s">
        <v>303</v>
      </c>
      <c r="Y311" s="326"/>
      <c r="Z311" s="326"/>
      <c r="AA311" s="327"/>
      <c r="AB311" s="542" t="s">
        <v>303</v>
      </c>
      <c r="AC311" s="326"/>
      <c r="AD311" s="326"/>
      <c r="AE311" s="327"/>
      <c r="AF311" s="520"/>
      <c r="AG311" s="327"/>
      <c r="AH311" s="520"/>
      <c r="AI311" s="327"/>
      <c r="AJ311" s="554"/>
      <c r="AK311" s="327"/>
      <c r="AL311" s="537" t="s">
        <v>334</v>
      </c>
      <c r="AM311" s="327"/>
      <c r="AN311" s="546" t="s">
        <v>334</v>
      </c>
      <c r="AO311" s="327"/>
      <c r="AP311" s="554"/>
      <c r="AQ311" s="327"/>
      <c r="AR311" s="555"/>
      <c r="AS311" s="327"/>
      <c r="AT311" s="549"/>
      <c r="AU311" s="327"/>
      <c r="AV311" s="546" t="s">
        <v>334</v>
      </c>
      <c r="AW311" s="327"/>
      <c r="AX311" s="521"/>
      <c r="AY311" s="326"/>
      <c r="AZ311" s="327"/>
      <c r="BA311" s="536"/>
      <c r="BB311" s="327"/>
      <c r="BC311" s="25"/>
      <c r="BD311" s="544" t="s">
        <v>334</v>
      </c>
      <c r="BE311" s="327"/>
      <c r="BF311" s="552"/>
      <c r="BG311" s="326"/>
      <c r="BH311" s="326"/>
      <c r="BI311" s="327"/>
      <c r="BJ311" s="557" t="s">
        <v>303</v>
      </c>
      <c r="BK311" s="326"/>
      <c r="BL311" s="326"/>
      <c r="BM311" s="327"/>
      <c r="BN311" s="558" t="s">
        <v>303</v>
      </c>
      <c r="BO311" s="326"/>
      <c r="BP311" s="326"/>
      <c r="BQ311" s="326"/>
      <c r="BR311" s="326"/>
      <c r="BS311" s="326"/>
      <c r="BT311" s="326"/>
      <c r="BU311" s="326"/>
      <c r="BV311" s="327"/>
    </row>
    <row r="312" spans="1:74" ht="45" customHeight="1" x14ac:dyDescent="0.25">
      <c r="A312" s="10">
        <f t="shared" si="1"/>
        <v>298</v>
      </c>
      <c r="B312" s="564" t="s">
        <v>303</v>
      </c>
      <c r="C312" s="327"/>
      <c r="D312" s="565" t="s">
        <v>307</v>
      </c>
      <c r="E312" s="327"/>
      <c r="F312" s="537" t="s">
        <v>334</v>
      </c>
      <c r="G312" s="327"/>
      <c r="H312" s="561" t="s">
        <v>334</v>
      </c>
      <c r="I312" s="327"/>
      <c r="J312" s="26"/>
      <c r="K312" s="27"/>
      <c r="L312" s="26"/>
      <c r="M312" s="27"/>
      <c r="N312" s="23"/>
      <c r="O312" s="24"/>
      <c r="P312" s="563"/>
      <c r="Q312" s="327"/>
      <c r="R312" s="538"/>
      <c r="S312" s="327"/>
      <c r="T312" s="539"/>
      <c r="U312" s="327"/>
      <c r="V312" s="540"/>
      <c r="W312" s="327"/>
      <c r="X312" s="438" t="s">
        <v>303</v>
      </c>
      <c r="Y312" s="326"/>
      <c r="Z312" s="326"/>
      <c r="AA312" s="327"/>
      <c r="AB312" s="519" t="s">
        <v>303</v>
      </c>
      <c r="AC312" s="326"/>
      <c r="AD312" s="326"/>
      <c r="AE312" s="327"/>
      <c r="AF312" s="543"/>
      <c r="AG312" s="327"/>
      <c r="AH312" s="543"/>
      <c r="AI312" s="327"/>
      <c r="AJ312" s="536"/>
      <c r="AK312" s="327"/>
      <c r="AL312" s="556" t="s">
        <v>334</v>
      </c>
      <c r="AM312" s="327"/>
      <c r="AN312" s="553" t="s">
        <v>334</v>
      </c>
      <c r="AO312" s="327"/>
      <c r="AP312" s="547"/>
      <c r="AQ312" s="327"/>
      <c r="AR312" s="548"/>
      <c r="AS312" s="327"/>
      <c r="AT312" s="549"/>
      <c r="AU312" s="327"/>
      <c r="AV312" s="553" t="s">
        <v>334</v>
      </c>
      <c r="AW312" s="327"/>
      <c r="AX312" s="521"/>
      <c r="AY312" s="326"/>
      <c r="AZ312" s="327"/>
      <c r="BA312" s="550"/>
      <c r="BB312" s="327"/>
      <c r="BC312" s="22"/>
      <c r="BD312" s="551" t="s">
        <v>334</v>
      </c>
      <c r="BE312" s="327"/>
      <c r="BF312" s="545"/>
      <c r="BG312" s="326"/>
      <c r="BH312" s="326"/>
      <c r="BI312" s="327"/>
      <c r="BJ312" s="451" t="s">
        <v>303</v>
      </c>
      <c r="BK312" s="326"/>
      <c r="BL312" s="326"/>
      <c r="BM312" s="327"/>
      <c r="BN312" s="558" t="s">
        <v>303</v>
      </c>
      <c r="BO312" s="326"/>
      <c r="BP312" s="326"/>
      <c r="BQ312" s="326"/>
      <c r="BR312" s="326"/>
      <c r="BS312" s="326"/>
      <c r="BT312" s="326"/>
      <c r="BU312" s="326"/>
      <c r="BV312" s="327"/>
    </row>
    <row r="313" spans="1:74" ht="45" customHeight="1" x14ac:dyDescent="0.25">
      <c r="A313" s="10">
        <f t="shared" si="1"/>
        <v>299</v>
      </c>
      <c r="B313" s="559" t="s">
        <v>303</v>
      </c>
      <c r="C313" s="327"/>
      <c r="D313" s="560" t="s">
        <v>307</v>
      </c>
      <c r="E313" s="327"/>
      <c r="F313" s="537" t="s">
        <v>334</v>
      </c>
      <c r="G313" s="327"/>
      <c r="H313" s="566" t="s">
        <v>334</v>
      </c>
      <c r="I313" s="327"/>
      <c r="J313" s="567"/>
      <c r="K313" s="327"/>
      <c r="L313" s="567"/>
      <c r="M313" s="327"/>
      <c r="N313" s="20"/>
      <c r="O313" s="21"/>
      <c r="P313" s="524"/>
      <c r="Q313" s="327"/>
      <c r="R313" s="516"/>
      <c r="S313" s="327"/>
      <c r="T313" s="517"/>
      <c r="U313" s="327"/>
      <c r="V313" s="518"/>
      <c r="W313" s="327"/>
      <c r="X313" s="541" t="s">
        <v>303</v>
      </c>
      <c r="Y313" s="326"/>
      <c r="Z313" s="326"/>
      <c r="AA313" s="327"/>
      <c r="AB313" s="542" t="s">
        <v>303</v>
      </c>
      <c r="AC313" s="326"/>
      <c r="AD313" s="326"/>
      <c r="AE313" s="327"/>
      <c r="AF313" s="520"/>
      <c r="AG313" s="327"/>
      <c r="AH313" s="520"/>
      <c r="AI313" s="327"/>
      <c r="AJ313" s="554"/>
      <c r="AK313" s="327"/>
      <c r="AL313" s="537" t="s">
        <v>334</v>
      </c>
      <c r="AM313" s="327"/>
      <c r="AN313" s="546" t="s">
        <v>334</v>
      </c>
      <c r="AO313" s="327"/>
      <c r="AP313" s="554"/>
      <c r="AQ313" s="327"/>
      <c r="AR313" s="555"/>
      <c r="AS313" s="327"/>
      <c r="AT313" s="549"/>
      <c r="AU313" s="327"/>
      <c r="AV313" s="546" t="s">
        <v>334</v>
      </c>
      <c r="AW313" s="327"/>
      <c r="AX313" s="521"/>
      <c r="AY313" s="326"/>
      <c r="AZ313" s="327"/>
      <c r="BA313" s="536"/>
      <c r="BB313" s="327"/>
      <c r="BC313" s="25"/>
      <c r="BD313" s="544" t="s">
        <v>334</v>
      </c>
      <c r="BE313" s="327"/>
      <c r="BF313" s="508"/>
      <c r="BG313" s="326"/>
      <c r="BH313" s="326"/>
      <c r="BI313" s="327"/>
      <c r="BJ313" s="557" t="s">
        <v>303</v>
      </c>
      <c r="BK313" s="326"/>
      <c r="BL313" s="326"/>
      <c r="BM313" s="327"/>
      <c r="BN313" s="558" t="s">
        <v>303</v>
      </c>
      <c r="BO313" s="326"/>
      <c r="BP313" s="326"/>
      <c r="BQ313" s="326"/>
      <c r="BR313" s="326"/>
      <c r="BS313" s="326"/>
      <c r="BT313" s="326"/>
      <c r="BU313" s="326"/>
      <c r="BV313" s="327"/>
    </row>
    <row r="314" spans="1:74" ht="45" customHeight="1" x14ac:dyDescent="0.25">
      <c r="A314" s="10">
        <f t="shared" si="1"/>
        <v>300</v>
      </c>
      <c r="B314" s="564" t="s">
        <v>303</v>
      </c>
      <c r="C314" s="327"/>
      <c r="D314" s="565" t="s">
        <v>307</v>
      </c>
      <c r="E314" s="327"/>
      <c r="F314" s="537" t="s">
        <v>334</v>
      </c>
      <c r="G314" s="327"/>
      <c r="H314" s="561" t="s">
        <v>334</v>
      </c>
      <c r="I314" s="327"/>
      <c r="J314" s="562"/>
      <c r="K314" s="327"/>
      <c r="L314" s="562"/>
      <c r="M314" s="327"/>
      <c r="N314" s="23"/>
      <c r="O314" s="24"/>
      <c r="P314" s="563"/>
      <c r="Q314" s="327"/>
      <c r="R314" s="538"/>
      <c r="S314" s="327"/>
      <c r="T314" s="539"/>
      <c r="U314" s="327"/>
      <c r="V314" s="540"/>
      <c r="W314" s="327"/>
      <c r="X314" s="438" t="s">
        <v>303</v>
      </c>
      <c r="Y314" s="326"/>
      <c r="Z314" s="326"/>
      <c r="AA314" s="327"/>
      <c r="AB314" s="519" t="s">
        <v>303</v>
      </c>
      <c r="AC314" s="326"/>
      <c r="AD314" s="326"/>
      <c r="AE314" s="327"/>
      <c r="AF314" s="543"/>
      <c r="AG314" s="327"/>
      <c r="AH314" s="543"/>
      <c r="AI314" s="327"/>
      <c r="AJ314" s="536"/>
      <c r="AK314" s="327"/>
      <c r="AL314" s="556" t="s">
        <v>334</v>
      </c>
      <c r="AM314" s="327"/>
      <c r="AN314" s="553" t="s">
        <v>334</v>
      </c>
      <c r="AO314" s="327"/>
      <c r="AP314" s="547"/>
      <c r="AQ314" s="327"/>
      <c r="AR314" s="548"/>
      <c r="AS314" s="327"/>
      <c r="AT314" s="549"/>
      <c r="AU314" s="327"/>
      <c r="AV314" s="553" t="s">
        <v>334</v>
      </c>
      <c r="AW314" s="327"/>
      <c r="AX314" s="521"/>
      <c r="AY314" s="326"/>
      <c r="AZ314" s="327"/>
      <c r="BA314" s="550"/>
      <c r="BB314" s="327"/>
      <c r="BC314" s="22"/>
      <c r="BD314" s="551" t="s">
        <v>334</v>
      </c>
      <c r="BE314" s="327"/>
      <c r="BF314" s="545"/>
      <c r="BG314" s="326"/>
      <c r="BH314" s="326"/>
      <c r="BI314" s="327"/>
      <c r="BJ314" s="451" t="s">
        <v>303</v>
      </c>
      <c r="BK314" s="326"/>
      <c r="BL314" s="326"/>
      <c r="BM314" s="327"/>
      <c r="BN314" s="558" t="s">
        <v>303</v>
      </c>
      <c r="BO314" s="326"/>
      <c r="BP314" s="326"/>
      <c r="BQ314" s="326"/>
      <c r="BR314" s="326"/>
      <c r="BS314" s="326"/>
      <c r="BT314" s="326"/>
      <c r="BU314" s="326"/>
      <c r="BV314" s="327"/>
    </row>
    <row r="315" spans="1:74" ht="45" customHeight="1" x14ac:dyDescent="0.25">
      <c r="A315" s="10">
        <f t="shared" si="1"/>
        <v>301</v>
      </c>
      <c r="B315" s="559" t="s">
        <v>303</v>
      </c>
      <c r="C315" s="327"/>
      <c r="D315" s="560" t="s">
        <v>307</v>
      </c>
      <c r="E315" s="327"/>
      <c r="F315" s="537" t="s">
        <v>334</v>
      </c>
      <c r="G315" s="327"/>
      <c r="H315" s="566" t="s">
        <v>334</v>
      </c>
      <c r="I315" s="327"/>
      <c r="J315" s="567"/>
      <c r="K315" s="327"/>
      <c r="L315" s="567"/>
      <c r="M315" s="327"/>
      <c r="N315" s="20"/>
      <c r="O315" s="21"/>
      <c r="P315" s="524"/>
      <c r="Q315" s="327"/>
      <c r="R315" s="516"/>
      <c r="S315" s="327"/>
      <c r="T315" s="517"/>
      <c r="U315" s="327"/>
      <c r="V315" s="518"/>
      <c r="W315" s="327"/>
      <c r="X315" s="541" t="s">
        <v>303</v>
      </c>
      <c r="Y315" s="326"/>
      <c r="Z315" s="326"/>
      <c r="AA315" s="327"/>
      <c r="AB315" s="542" t="s">
        <v>303</v>
      </c>
      <c r="AC315" s="326"/>
      <c r="AD315" s="326"/>
      <c r="AE315" s="327"/>
      <c r="AF315" s="520"/>
      <c r="AG315" s="327"/>
      <c r="AH315" s="520"/>
      <c r="AI315" s="327"/>
      <c r="AJ315" s="554"/>
      <c r="AK315" s="327"/>
      <c r="AL315" s="537" t="s">
        <v>334</v>
      </c>
      <c r="AM315" s="327"/>
      <c r="AN315" s="546" t="s">
        <v>334</v>
      </c>
      <c r="AO315" s="327"/>
      <c r="AP315" s="554"/>
      <c r="AQ315" s="327"/>
      <c r="AR315" s="555"/>
      <c r="AS315" s="327"/>
      <c r="AT315" s="549"/>
      <c r="AU315" s="327"/>
      <c r="AV315" s="546" t="s">
        <v>334</v>
      </c>
      <c r="AW315" s="327"/>
      <c r="AX315" s="521"/>
      <c r="AY315" s="326"/>
      <c r="AZ315" s="327"/>
      <c r="BA315" s="536"/>
      <c r="BB315" s="327"/>
      <c r="BC315" s="25"/>
      <c r="BD315" s="544" t="s">
        <v>334</v>
      </c>
      <c r="BE315" s="327"/>
      <c r="BF315" s="508"/>
      <c r="BG315" s="326"/>
      <c r="BH315" s="326"/>
      <c r="BI315" s="327"/>
      <c r="BJ315" s="557" t="s">
        <v>303</v>
      </c>
      <c r="BK315" s="326"/>
      <c r="BL315" s="326"/>
      <c r="BM315" s="327"/>
      <c r="BN315" s="558" t="s">
        <v>303</v>
      </c>
      <c r="BO315" s="326"/>
      <c r="BP315" s="326"/>
      <c r="BQ315" s="326"/>
      <c r="BR315" s="326"/>
      <c r="BS315" s="326"/>
      <c r="BT315" s="326"/>
      <c r="BU315" s="326"/>
      <c r="BV315" s="327"/>
    </row>
    <row r="316" spans="1:74" ht="45" customHeight="1" x14ac:dyDescent="0.25">
      <c r="A316" s="10">
        <f t="shared" si="1"/>
        <v>302</v>
      </c>
      <c r="B316" s="564" t="s">
        <v>303</v>
      </c>
      <c r="C316" s="327"/>
      <c r="D316" s="565" t="s">
        <v>307</v>
      </c>
      <c r="E316" s="327"/>
      <c r="F316" s="537" t="s">
        <v>334</v>
      </c>
      <c r="G316" s="327"/>
      <c r="H316" s="561" t="s">
        <v>334</v>
      </c>
      <c r="I316" s="327"/>
      <c r="J316" s="562"/>
      <c r="K316" s="327"/>
      <c r="L316" s="562"/>
      <c r="M316" s="327"/>
      <c r="N316" s="23"/>
      <c r="O316" s="24"/>
      <c r="P316" s="563"/>
      <c r="Q316" s="327"/>
      <c r="R316" s="538"/>
      <c r="S316" s="327"/>
      <c r="T316" s="539"/>
      <c r="U316" s="327"/>
      <c r="V316" s="540"/>
      <c r="W316" s="327"/>
      <c r="X316" s="438" t="s">
        <v>303</v>
      </c>
      <c r="Y316" s="326"/>
      <c r="Z316" s="326"/>
      <c r="AA316" s="327"/>
      <c r="AB316" s="519" t="s">
        <v>303</v>
      </c>
      <c r="AC316" s="326"/>
      <c r="AD316" s="326"/>
      <c r="AE316" s="327"/>
      <c r="AF316" s="543"/>
      <c r="AG316" s="327"/>
      <c r="AH316" s="543"/>
      <c r="AI316" s="327"/>
      <c r="AJ316" s="536"/>
      <c r="AK316" s="327"/>
      <c r="AL316" s="556" t="s">
        <v>334</v>
      </c>
      <c r="AM316" s="327"/>
      <c r="AN316" s="553" t="s">
        <v>334</v>
      </c>
      <c r="AO316" s="327"/>
      <c r="AP316" s="547"/>
      <c r="AQ316" s="327"/>
      <c r="AR316" s="548"/>
      <c r="AS316" s="327"/>
      <c r="AT316" s="549"/>
      <c r="AU316" s="327"/>
      <c r="AV316" s="553" t="s">
        <v>334</v>
      </c>
      <c r="AW316" s="327"/>
      <c r="AX316" s="521"/>
      <c r="AY316" s="326"/>
      <c r="AZ316" s="327"/>
      <c r="BA316" s="550"/>
      <c r="BB316" s="327"/>
      <c r="BC316" s="22"/>
      <c r="BD316" s="551" t="s">
        <v>334</v>
      </c>
      <c r="BE316" s="327"/>
      <c r="BF316" s="545"/>
      <c r="BG316" s="326"/>
      <c r="BH316" s="326"/>
      <c r="BI316" s="327"/>
      <c r="BJ316" s="451" t="s">
        <v>303</v>
      </c>
      <c r="BK316" s="326"/>
      <c r="BL316" s="326"/>
      <c r="BM316" s="327"/>
      <c r="BN316" s="558" t="s">
        <v>303</v>
      </c>
      <c r="BO316" s="326"/>
      <c r="BP316" s="326"/>
      <c r="BQ316" s="326"/>
      <c r="BR316" s="326"/>
      <c r="BS316" s="326"/>
      <c r="BT316" s="326"/>
      <c r="BU316" s="326"/>
      <c r="BV316" s="327"/>
    </row>
    <row r="317" spans="1:74" ht="45" customHeight="1" x14ac:dyDescent="0.25">
      <c r="A317" s="10">
        <f t="shared" si="1"/>
        <v>303</v>
      </c>
      <c r="B317" s="559" t="s">
        <v>303</v>
      </c>
      <c r="C317" s="327"/>
      <c r="D317" s="560" t="s">
        <v>307</v>
      </c>
      <c r="E317" s="327"/>
      <c r="F317" s="537" t="s">
        <v>334</v>
      </c>
      <c r="G317" s="327"/>
      <c r="H317" s="566" t="s">
        <v>334</v>
      </c>
      <c r="I317" s="327"/>
      <c r="J317" s="567"/>
      <c r="K317" s="327"/>
      <c r="L317" s="567"/>
      <c r="M317" s="327"/>
      <c r="N317" s="20"/>
      <c r="O317" s="21"/>
      <c r="P317" s="524"/>
      <c r="Q317" s="327"/>
      <c r="R317" s="516"/>
      <c r="S317" s="327"/>
      <c r="T317" s="517"/>
      <c r="U317" s="327"/>
      <c r="V317" s="518"/>
      <c r="W317" s="327"/>
      <c r="X317" s="541" t="s">
        <v>303</v>
      </c>
      <c r="Y317" s="326"/>
      <c r="Z317" s="326"/>
      <c r="AA317" s="327"/>
      <c r="AB317" s="542" t="s">
        <v>303</v>
      </c>
      <c r="AC317" s="326"/>
      <c r="AD317" s="326"/>
      <c r="AE317" s="327"/>
      <c r="AF317" s="520"/>
      <c r="AG317" s="327"/>
      <c r="AH317" s="520"/>
      <c r="AI317" s="327"/>
      <c r="AJ317" s="554"/>
      <c r="AK317" s="327"/>
      <c r="AL317" s="537" t="s">
        <v>334</v>
      </c>
      <c r="AM317" s="327"/>
      <c r="AN317" s="546" t="s">
        <v>334</v>
      </c>
      <c r="AO317" s="327"/>
      <c r="AP317" s="554"/>
      <c r="AQ317" s="327"/>
      <c r="AR317" s="555"/>
      <c r="AS317" s="327"/>
      <c r="AT317" s="549"/>
      <c r="AU317" s="327"/>
      <c r="AV317" s="546" t="s">
        <v>334</v>
      </c>
      <c r="AW317" s="327"/>
      <c r="AX317" s="521"/>
      <c r="AY317" s="326"/>
      <c r="AZ317" s="327"/>
      <c r="BA317" s="536"/>
      <c r="BB317" s="327"/>
      <c r="BC317" s="25"/>
      <c r="BD317" s="544" t="s">
        <v>334</v>
      </c>
      <c r="BE317" s="327"/>
      <c r="BF317" s="552"/>
      <c r="BG317" s="326"/>
      <c r="BH317" s="326"/>
      <c r="BI317" s="327"/>
      <c r="BJ317" s="557" t="s">
        <v>303</v>
      </c>
      <c r="BK317" s="326"/>
      <c r="BL317" s="326"/>
      <c r="BM317" s="327"/>
      <c r="BN317" s="558" t="s">
        <v>303</v>
      </c>
      <c r="BO317" s="326"/>
      <c r="BP317" s="326"/>
      <c r="BQ317" s="326"/>
      <c r="BR317" s="326"/>
      <c r="BS317" s="326"/>
      <c r="BT317" s="326"/>
      <c r="BU317" s="326"/>
      <c r="BV317" s="327"/>
    </row>
    <row r="318" spans="1:74" ht="45" customHeight="1" x14ac:dyDescent="0.25">
      <c r="A318" s="10">
        <f t="shared" si="1"/>
        <v>304</v>
      </c>
      <c r="B318" s="564" t="s">
        <v>303</v>
      </c>
      <c r="C318" s="327"/>
      <c r="D318" s="565" t="s">
        <v>307</v>
      </c>
      <c r="E318" s="327"/>
      <c r="F318" s="537" t="s">
        <v>334</v>
      </c>
      <c r="G318" s="327"/>
      <c r="H318" s="561" t="s">
        <v>334</v>
      </c>
      <c r="I318" s="327"/>
      <c r="J318" s="562"/>
      <c r="K318" s="327"/>
      <c r="L318" s="562"/>
      <c r="M318" s="327"/>
      <c r="N318" s="23"/>
      <c r="O318" s="24"/>
      <c r="P318" s="563"/>
      <c r="Q318" s="327"/>
      <c r="R318" s="538"/>
      <c r="S318" s="327"/>
      <c r="T318" s="539"/>
      <c r="U318" s="327"/>
      <c r="V318" s="540"/>
      <c r="W318" s="327"/>
      <c r="X318" s="438" t="s">
        <v>303</v>
      </c>
      <c r="Y318" s="326"/>
      <c r="Z318" s="326"/>
      <c r="AA318" s="327"/>
      <c r="AB318" s="519" t="s">
        <v>303</v>
      </c>
      <c r="AC318" s="326"/>
      <c r="AD318" s="326"/>
      <c r="AE318" s="327"/>
      <c r="AF318" s="543"/>
      <c r="AG318" s="327"/>
      <c r="AH318" s="543"/>
      <c r="AI318" s="327"/>
      <c r="AJ318" s="536"/>
      <c r="AK318" s="327"/>
      <c r="AL318" s="556" t="s">
        <v>334</v>
      </c>
      <c r="AM318" s="327"/>
      <c r="AN318" s="553" t="s">
        <v>334</v>
      </c>
      <c r="AO318" s="327"/>
      <c r="AP318" s="547"/>
      <c r="AQ318" s="327"/>
      <c r="AR318" s="548"/>
      <c r="AS318" s="327"/>
      <c r="AT318" s="549"/>
      <c r="AU318" s="327"/>
      <c r="AV318" s="553" t="s">
        <v>334</v>
      </c>
      <c r="AW318" s="327"/>
      <c r="AX318" s="521"/>
      <c r="AY318" s="326"/>
      <c r="AZ318" s="327"/>
      <c r="BA318" s="550"/>
      <c r="BB318" s="327"/>
      <c r="BC318" s="22"/>
      <c r="BD318" s="551" t="s">
        <v>334</v>
      </c>
      <c r="BE318" s="327"/>
      <c r="BF318" s="545"/>
      <c r="BG318" s="326"/>
      <c r="BH318" s="326"/>
      <c r="BI318" s="327"/>
      <c r="BJ318" s="451" t="s">
        <v>303</v>
      </c>
      <c r="BK318" s="326"/>
      <c r="BL318" s="326"/>
      <c r="BM318" s="327"/>
      <c r="BN318" s="558" t="s">
        <v>303</v>
      </c>
      <c r="BO318" s="326"/>
      <c r="BP318" s="326"/>
      <c r="BQ318" s="326"/>
      <c r="BR318" s="326"/>
      <c r="BS318" s="326"/>
      <c r="BT318" s="326"/>
      <c r="BU318" s="326"/>
      <c r="BV318" s="327"/>
    </row>
    <row r="319" spans="1:74" ht="45" customHeight="1" x14ac:dyDescent="0.25">
      <c r="A319" s="10">
        <f t="shared" si="1"/>
        <v>305</v>
      </c>
      <c r="B319" s="559" t="s">
        <v>303</v>
      </c>
      <c r="C319" s="327"/>
      <c r="D319" s="560" t="s">
        <v>307</v>
      </c>
      <c r="E319" s="327"/>
      <c r="F319" s="537" t="s">
        <v>334</v>
      </c>
      <c r="G319" s="327"/>
      <c r="H319" s="566" t="s">
        <v>334</v>
      </c>
      <c r="I319" s="327"/>
      <c r="J319" s="567"/>
      <c r="K319" s="327"/>
      <c r="L319" s="567"/>
      <c r="M319" s="327"/>
      <c r="N319" s="20"/>
      <c r="O319" s="24"/>
      <c r="P319" s="524"/>
      <c r="Q319" s="327"/>
      <c r="R319" s="516"/>
      <c r="S319" s="327"/>
      <c r="T319" s="517"/>
      <c r="U319" s="327"/>
      <c r="V319" s="518"/>
      <c r="W319" s="327"/>
      <c r="X319" s="541" t="s">
        <v>303</v>
      </c>
      <c r="Y319" s="326"/>
      <c r="Z319" s="326"/>
      <c r="AA319" s="327"/>
      <c r="AB319" s="542" t="s">
        <v>303</v>
      </c>
      <c r="AC319" s="326"/>
      <c r="AD319" s="326"/>
      <c r="AE319" s="327"/>
      <c r="AF319" s="520"/>
      <c r="AG319" s="327"/>
      <c r="AH319" s="520"/>
      <c r="AI319" s="327"/>
      <c r="AJ319" s="554"/>
      <c r="AK319" s="327"/>
      <c r="AL319" s="537" t="s">
        <v>334</v>
      </c>
      <c r="AM319" s="327"/>
      <c r="AN319" s="546" t="s">
        <v>334</v>
      </c>
      <c r="AO319" s="327"/>
      <c r="AP319" s="554"/>
      <c r="AQ319" s="327"/>
      <c r="AR319" s="555"/>
      <c r="AS319" s="327"/>
      <c r="AT319" s="549"/>
      <c r="AU319" s="327"/>
      <c r="AV319" s="546" t="s">
        <v>334</v>
      </c>
      <c r="AW319" s="327"/>
      <c r="AX319" s="521"/>
      <c r="AY319" s="326"/>
      <c r="AZ319" s="327"/>
      <c r="BA319" s="536"/>
      <c r="BB319" s="327"/>
      <c r="BC319" s="25"/>
      <c r="BD319" s="544" t="s">
        <v>334</v>
      </c>
      <c r="BE319" s="327"/>
      <c r="BF319" s="508"/>
      <c r="BG319" s="326"/>
      <c r="BH319" s="326"/>
      <c r="BI319" s="327"/>
      <c r="BJ319" s="557" t="s">
        <v>303</v>
      </c>
      <c r="BK319" s="326"/>
      <c r="BL319" s="326"/>
      <c r="BM319" s="327"/>
      <c r="BN319" s="558" t="s">
        <v>303</v>
      </c>
      <c r="BO319" s="326"/>
      <c r="BP319" s="326"/>
      <c r="BQ319" s="326"/>
      <c r="BR319" s="326"/>
      <c r="BS319" s="326"/>
      <c r="BT319" s="326"/>
      <c r="BU319" s="326"/>
      <c r="BV319" s="327"/>
    </row>
    <row r="320" spans="1:74" ht="45" customHeight="1" x14ac:dyDescent="0.25">
      <c r="A320" s="10">
        <f t="shared" si="1"/>
        <v>306</v>
      </c>
      <c r="B320" s="564" t="s">
        <v>303</v>
      </c>
      <c r="C320" s="327"/>
      <c r="D320" s="565" t="s">
        <v>307</v>
      </c>
      <c r="E320" s="327"/>
      <c r="F320" s="537" t="s">
        <v>334</v>
      </c>
      <c r="G320" s="327"/>
      <c r="H320" s="561" t="s">
        <v>334</v>
      </c>
      <c r="I320" s="327"/>
      <c r="J320" s="562"/>
      <c r="K320" s="327"/>
      <c r="L320" s="562"/>
      <c r="M320" s="327"/>
      <c r="N320" s="23"/>
      <c r="O320" s="21"/>
      <c r="P320" s="563"/>
      <c r="Q320" s="327"/>
      <c r="R320" s="538"/>
      <c r="S320" s="327"/>
      <c r="T320" s="539"/>
      <c r="U320" s="327"/>
      <c r="V320" s="540"/>
      <c r="W320" s="327"/>
      <c r="X320" s="438" t="s">
        <v>303</v>
      </c>
      <c r="Y320" s="326"/>
      <c r="Z320" s="326"/>
      <c r="AA320" s="327"/>
      <c r="AB320" s="519" t="s">
        <v>303</v>
      </c>
      <c r="AC320" s="326"/>
      <c r="AD320" s="326"/>
      <c r="AE320" s="327"/>
      <c r="AF320" s="543"/>
      <c r="AG320" s="327"/>
      <c r="AH320" s="543"/>
      <c r="AI320" s="327"/>
      <c r="AJ320" s="536"/>
      <c r="AK320" s="327"/>
      <c r="AL320" s="556" t="s">
        <v>334</v>
      </c>
      <c r="AM320" s="327"/>
      <c r="AN320" s="553" t="s">
        <v>334</v>
      </c>
      <c r="AO320" s="327"/>
      <c r="AP320" s="547"/>
      <c r="AQ320" s="327"/>
      <c r="AR320" s="548"/>
      <c r="AS320" s="327"/>
      <c r="AT320" s="549"/>
      <c r="AU320" s="327"/>
      <c r="AV320" s="553" t="s">
        <v>334</v>
      </c>
      <c r="AW320" s="327"/>
      <c r="AX320" s="521"/>
      <c r="AY320" s="326"/>
      <c r="AZ320" s="327"/>
      <c r="BA320" s="550"/>
      <c r="BB320" s="327"/>
      <c r="BC320" s="22"/>
      <c r="BD320" s="551" t="s">
        <v>334</v>
      </c>
      <c r="BE320" s="327"/>
      <c r="BF320" s="545"/>
      <c r="BG320" s="326"/>
      <c r="BH320" s="326"/>
      <c r="BI320" s="327"/>
      <c r="BJ320" s="451" t="s">
        <v>303</v>
      </c>
      <c r="BK320" s="326"/>
      <c r="BL320" s="326"/>
      <c r="BM320" s="327"/>
      <c r="BN320" s="558" t="s">
        <v>303</v>
      </c>
      <c r="BO320" s="326"/>
      <c r="BP320" s="326"/>
      <c r="BQ320" s="326"/>
      <c r="BR320" s="326"/>
      <c r="BS320" s="326"/>
      <c r="BT320" s="326"/>
      <c r="BU320" s="326"/>
      <c r="BV320" s="327"/>
    </row>
    <row r="321" spans="1:74" ht="45" customHeight="1" x14ac:dyDescent="0.25">
      <c r="A321" s="10">
        <f t="shared" si="1"/>
        <v>307</v>
      </c>
      <c r="B321" s="559" t="s">
        <v>303</v>
      </c>
      <c r="C321" s="327"/>
      <c r="D321" s="560" t="s">
        <v>307</v>
      </c>
      <c r="E321" s="327"/>
      <c r="F321" s="537" t="s">
        <v>334</v>
      </c>
      <c r="G321" s="327"/>
      <c r="H321" s="566" t="s">
        <v>334</v>
      </c>
      <c r="I321" s="327"/>
      <c r="J321" s="567"/>
      <c r="K321" s="327"/>
      <c r="L321" s="567"/>
      <c r="M321" s="327"/>
      <c r="N321" s="20"/>
      <c r="O321" s="24"/>
      <c r="P321" s="524"/>
      <c r="Q321" s="327"/>
      <c r="R321" s="516"/>
      <c r="S321" s="327"/>
      <c r="T321" s="517"/>
      <c r="U321" s="327"/>
      <c r="V321" s="518"/>
      <c r="W321" s="327"/>
      <c r="X321" s="541" t="s">
        <v>303</v>
      </c>
      <c r="Y321" s="326"/>
      <c r="Z321" s="326"/>
      <c r="AA321" s="327"/>
      <c r="AB321" s="542" t="s">
        <v>303</v>
      </c>
      <c r="AC321" s="326"/>
      <c r="AD321" s="326"/>
      <c r="AE321" s="327"/>
      <c r="AF321" s="520"/>
      <c r="AG321" s="327"/>
      <c r="AH321" s="520"/>
      <c r="AI321" s="327"/>
      <c r="AJ321" s="554"/>
      <c r="AK321" s="327"/>
      <c r="AL321" s="537" t="s">
        <v>334</v>
      </c>
      <c r="AM321" s="327"/>
      <c r="AN321" s="546" t="s">
        <v>334</v>
      </c>
      <c r="AO321" s="327"/>
      <c r="AP321" s="554"/>
      <c r="AQ321" s="327"/>
      <c r="AR321" s="555"/>
      <c r="AS321" s="327"/>
      <c r="AT321" s="549"/>
      <c r="AU321" s="327"/>
      <c r="AV321" s="546" t="s">
        <v>334</v>
      </c>
      <c r="AW321" s="327"/>
      <c r="AX321" s="521"/>
      <c r="AY321" s="326"/>
      <c r="AZ321" s="327"/>
      <c r="BA321" s="536"/>
      <c r="BB321" s="327"/>
      <c r="BC321" s="25"/>
      <c r="BD321" s="544" t="s">
        <v>334</v>
      </c>
      <c r="BE321" s="327"/>
      <c r="BF321" s="552"/>
      <c r="BG321" s="326"/>
      <c r="BH321" s="326"/>
      <c r="BI321" s="327"/>
      <c r="BJ321" s="557" t="s">
        <v>303</v>
      </c>
      <c r="BK321" s="326"/>
      <c r="BL321" s="326"/>
      <c r="BM321" s="327"/>
      <c r="BN321" s="558" t="s">
        <v>303</v>
      </c>
      <c r="BO321" s="326"/>
      <c r="BP321" s="326"/>
      <c r="BQ321" s="326"/>
      <c r="BR321" s="326"/>
      <c r="BS321" s="326"/>
      <c r="BT321" s="326"/>
      <c r="BU321" s="326"/>
      <c r="BV321" s="327"/>
    </row>
    <row r="322" spans="1:74" ht="45" customHeight="1" x14ac:dyDescent="0.25">
      <c r="A322" s="10">
        <f t="shared" si="1"/>
        <v>308</v>
      </c>
      <c r="B322" s="564" t="s">
        <v>303</v>
      </c>
      <c r="C322" s="327"/>
      <c r="D322" s="565" t="s">
        <v>307</v>
      </c>
      <c r="E322" s="327"/>
      <c r="F322" s="537" t="s">
        <v>334</v>
      </c>
      <c r="G322" s="327"/>
      <c r="H322" s="561" t="s">
        <v>334</v>
      </c>
      <c r="I322" s="327"/>
      <c r="J322" s="562"/>
      <c r="K322" s="327"/>
      <c r="L322" s="562"/>
      <c r="M322" s="327"/>
      <c r="N322" s="23"/>
      <c r="O322" s="21"/>
      <c r="P322" s="563"/>
      <c r="Q322" s="327"/>
      <c r="R322" s="538"/>
      <c r="S322" s="327"/>
      <c r="T322" s="539"/>
      <c r="U322" s="327"/>
      <c r="V322" s="540"/>
      <c r="W322" s="327"/>
      <c r="X322" s="438" t="s">
        <v>303</v>
      </c>
      <c r="Y322" s="326"/>
      <c r="Z322" s="326"/>
      <c r="AA322" s="327"/>
      <c r="AB322" s="519" t="s">
        <v>303</v>
      </c>
      <c r="AC322" s="326"/>
      <c r="AD322" s="326"/>
      <c r="AE322" s="327"/>
      <c r="AF322" s="543"/>
      <c r="AG322" s="327"/>
      <c r="AH322" s="543"/>
      <c r="AI322" s="327"/>
      <c r="AJ322" s="536"/>
      <c r="AK322" s="327"/>
      <c r="AL322" s="556" t="s">
        <v>334</v>
      </c>
      <c r="AM322" s="327"/>
      <c r="AN322" s="553" t="s">
        <v>334</v>
      </c>
      <c r="AO322" s="327"/>
      <c r="AP322" s="547"/>
      <c r="AQ322" s="327"/>
      <c r="AR322" s="548"/>
      <c r="AS322" s="327"/>
      <c r="AT322" s="549"/>
      <c r="AU322" s="327"/>
      <c r="AV322" s="553" t="s">
        <v>334</v>
      </c>
      <c r="AW322" s="327"/>
      <c r="AX322" s="521"/>
      <c r="AY322" s="326"/>
      <c r="AZ322" s="327"/>
      <c r="BA322" s="550"/>
      <c r="BB322" s="327"/>
      <c r="BC322" s="22"/>
      <c r="BD322" s="551" t="s">
        <v>334</v>
      </c>
      <c r="BE322" s="327"/>
      <c r="BF322" s="545"/>
      <c r="BG322" s="326"/>
      <c r="BH322" s="326"/>
      <c r="BI322" s="327"/>
      <c r="BJ322" s="451" t="s">
        <v>303</v>
      </c>
      <c r="BK322" s="326"/>
      <c r="BL322" s="326"/>
      <c r="BM322" s="327"/>
      <c r="BN322" s="558" t="s">
        <v>303</v>
      </c>
      <c r="BO322" s="326"/>
      <c r="BP322" s="326"/>
      <c r="BQ322" s="326"/>
      <c r="BR322" s="326"/>
      <c r="BS322" s="326"/>
      <c r="BT322" s="326"/>
      <c r="BU322" s="326"/>
      <c r="BV322" s="327"/>
    </row>
    <row r="323" spans="1:74" ht="45" customHeight="1" x14ac:dyDescent="0.25">
      <c r="A323" s="10">
        <f t="shared" si="1"/>
        <v>309</v>
      </c>
      <c r="B323" s="559" t="s">
        <v>303</v>
      </c>
      <c r="C323" s="327"/>
      <c r="D323" s="560" t="s">
        <v>307</v>
      </c>
      <c r="E323" s="327"/>
      <c r="F323" s="537" t="s">
        <v>334</v>
      </c>
      <c r="G323" s="327"/>
      <c r="H323" s="566" t="s">
        <v>334</v>
      </c>
      <c r="I323" s="327"/>
      <c r="J323" s="567"/>
      <c r="K323" s="327"/>
      <c r="L323" s="567"/>
      <c r="M323" s="327"/>
      <c r="N323" s="20"/>
      <c r="O323" s="24"/>
      <c r="P323" s="524"/>
      <c r="Q323" s="327"/>
      <c r="R323" s="516"/>
      <c r="S323" s="327"/>
      <c r="T323" s="517"/>
      <c r="U323" s="327"/>
      <c r="V323" s="518"/>
      <c r="W323" s="327"/>
      <c r="X323" s="541" t="s">
        <v>303</v>
      </c>
      <c r="Y323" s="326"/>
      <c r="Z323" s="326"/>
      <c r="AA323" s="327"/>
      <c r="AB323" s="542" t="s">
        <v>303</v>
      </c>
      <c r="AC323" s="326"/>
      <c r="AD323" s="326"/>
      <c r="AE323" s="327"/>
      <c r="AF323" s="520"/>
      <c r="AG323" s="327"/>
      <c r="AH323" s="520"/>
      <c r="AI323" s="327"/>
      <c r="AJ323" s="554"/>
      <c r="AK323" s="327"/>
      <c r="AL323" s="537" t="s">
        <v>334</v>
      </c>
      <c r="AM323" s="327"/>
      <c r="AN323" s="546" t="s">
        <v>334</v>
      </c>
      <c r="AO323" s="327"/>
      <c r="AP323" s="554"/>
      <c r="AQ323" s="327"/>
      <c r="AR323" s="555"/>
      <c r="AS323" s="327"/>
      <c r="AT323" s="549"/>
      <c r="AU323" s="327"/>
      <c r="AV323" s="546" t="s">
        <v>334</v>
      </c>
      <c r="AW323" s="327"/>
      <c r="AX323" s="521"/>
      <c r="AY323" s="326"/>
      <c r="AZ323" s="327"/>
      <c r="BA323" s="536"/>
      <c r="BB323" s="327"/>
      <c r="BC323" s="25"/>
      <c r="BD323" s="544" t="s">
        <v>334</v>
      </c>
      <c r="BE323" s="327"/>
      <c r="BF323" s="508"/>
      <c r="BG323" s="326"/>
      <c r="BH323" s="326"/>
      <c r="BI323" s="327"/>
      <c r="BJ323" s="557" t="s">
        <v>303</v>
      </c>
      <c r="BK323" s="326"/>
      <c r="BL323" s="326"/>
      <c r="BM323" s="327"/>
      <c r="BN323" s="558" t="s">
        <v>303</v>
      </c>
      <c r="BO323" s="326"/>
      <c r="BP323" s="326"/>
      <c r="BQ323" s="326"/>
      <c r="BR323" s="326"/>
      <c r="BS323" s="326"/>
      <c r="BT323" s="326"/>
      <c r="BU323" s="326"/>
      <c r="BV323" s="327"/>
    </row>
    <row r="324" spans="1:74" ht="45" customHeight="1" x14ac:dyDescent="0.25">
      <c r="A324" s="10">
        <f t="shared" si="1"/>
        <v>310</v>
      </c>
      <c r="B324" s="564" t="s">
        <v>303</v>
      </c>
      <c r="C324" s="327"/>
      <c r="D324" s="565" t="s">
        <v>307</v>
      </c>
      <c r="E324" s="327"/>
      <c r="F324" s="537" t="s">
        <v>334</v>
      </c>
      <c r="G324" s="327"/>
      <c r="H324" s="561" t="s">
        <v>334</v>
      </c>
      <c r="I324" s="327"/>
      <c r="J324" s="562"/>
      <c r="K324" s="327"/>
      <c r="L324" s="562"/>
      <c r="M324" s="327"/>
      <c r="N324" s="23"/>
      <c r="O324" s="21"/>
      <c r="P324" s="563"/>
      <c r="Q324" s="327"/>
      <c r="R324" s="538"/>
      <c r="S324" s="327"/>
      <c r="T324" s="539"/>
      <c r="U324" s="327"/>
      <c r="V324" s="540"/>
      <c r="W324" s="327"/>
      <c r="X324" s="438" t="s">
        <v>303</v>
      </c>
      <c r="Y324" s="326"/>
      <c r="Z324" s="326"/>
      <c r="AA324" s="327"/>
      <c r="AB324" s="519" t="s">
        <v>303</v>
      </c>
      <c r="AC324" s="326"/>
      <c r="AD324" s="326"/>
      <c r="AE324" s="327"/>
      <c r="AF324" s="543"/>
      <c r="AG324" s="327"/>
      <c r="AH324" s="543"/>
      <c r="AI324" s="327"/>
      <c r="AJ324" s="536"/>
      <c r="AK324" s="327"/>
      <c r="AL324" s="556" t="s">
        <v>334</v>
      </c>
      <c r="AM324" s="327"/>
      <c r="AN324" s="553" t="s">
        <v>334</v>
      </c>
      <c r="AO324" s="327"/>
      <c r="AP324" s="547"/>
      <c r="AQ324" s="327"/>
      <c r="AR324" s="548"/>
      <c r="AS324" s="327"/>
      <c r="AT324" s="549"/>
      <c r="AU324" s="327"/>
      <c r="AV324" s="553" t="s">
        <v>334</v>
      </c>
      <c r="AW324" s="327"/>
      <c r="AX324" s="521"/>
      <c r="AY324" s="326"/>
      <c r="AZ324" s="327"/>
      <c r="BA324" s="550"/>
      <c r="BB324" s="327"/>
      <c r="BC324" s="22"/>
      <c r="BD324" s="551" t="s">
        <v>334</v>
      </c>
      <c r="BE324" s="327"/>
      <c r="BF324" s="545"/>
      <c r="BG324" s="326"/>
      <c r="BH324" s="326"/>
      <c r="BI324" s="327"/>
      <c r="BJ324" s="451" t="s">
        <v>303</v>
      </c>
      <c r="BK324" s="326"/>
      <c r="BL324" s="326"/>
      <c r="BM324" s="327"/>
      <c r="BN324" s="558" t="s">
        <v>303</v>
      </c>
      <c r="BO324" s="326"/>
      <c r="BP324" s="326"/>
      <c r="BQ324" s="326"/>
      <c r="BR324" s="326"/>
      <c r="BS324" s="326"/>
      <c r="BT324" s="326"/>
      <c r="BU324" s="326"/>
      <c r="BV324" s="327"/>
    </row>
    <row r="325" spans="1:74" ht="45" customHeight="1" x14ac:dyDescent="0.25">
      <c r="A325" s="10">
        <f t="shared" si="1"/>
        <v>311</v>
      </c>
      <c r="B325" s="559" t="s">
        <v>303</v>
      </c>
      <c r="C325" s="327"/>
      <c r="D325" s="560" t="s">
        <v>307</v>
      </c>
      <c r="E325" s="327"/>
      <c r="F325" s="537" t="s">
        <v>334</v>
      </c>
      <c r="G325" s="327"/>
      <c r="H325" s="566" t="s">
        <v>334</v>
      </c>
      <c r="I325" s="327"/>
      <c r="J325" s="567"/>
      <c r="K325" s="327"/>
      <c r="L325" s="567"/>
      <c r="M325" s="327"/>
      <c r="N325" s="20"/>
      <c r="O325" s="24"/>
      <c r="P325" s="524"/>
      <c r="Q325" s="327"/>
      <c r="R325" s="516"/>
      <c r="S325" s="327"/>
      <c r="T325" s="517"/>
      <c r="U325" s="327"/>
      <c r="V325" s="518"/>
      <c r="W325" s="327"/>
      <c r="X325" s="541" t="s">
        <v>303</v>
      </c>
      <c r="Y325" s="326"/>
      <c r="Z325" s="326"/>
      <c r="AA325" s="327"/>
      <c r="AB325" s="542" t="s">
        <v>303</v>
      </c>
      <c r="AC325" s="326"/>
      <c r="AD325" s="326"/>
      <c r="AE325" s="327"/>
      <c r="AF325" s="520"/>
      <c r="AG325" s="327"/>
      <c r="AH325" s="520"/>
      <c r="AI325" s="327"/>
      <c r="AJ325" s="554"/>
      <c r="AK325" s="327"/>
      <c r="AL325" s="537" t="s">
        <v>334</v>
      </c>
      <c r="AM325" s="327"/>
      <c r="AN325" s="546" t="s">
        <v>334</v>
      </c>
      <c r="AO325" s="327"/>
      <c r="AP325" s="554"/>
      <c r="AQ325" s="327"/>
      <c r="AR325" s="555"/>
      <c r="AS325" s="327"/>
      <c r="AT325" s="549"/>
      <c r="AU325" s="327"/>
      <c r="AV325" s="546" t="s">
        <v>334</v>
      </c>
      <c r="AW325" s="327"/>
      <c r="AX325" s="521"/>
      <c r="AY325" s="326"/>
      <c r="AZ325" s="327"/>
      <c r="BA325" s="536"/>
      <c r="BB325" s="327"/>
      <c r="BC325" s="25"/>
      <c r="BD325" s="544" t="s">
        <v>334</v>
      </c>
      <c r="BE325" s="327"/>
      <c r="BF325" s="508"/>
      <c r="BG325" s="326"/>
      <c r="BH325" s="326"/>
      <c r="BI325" s="327"/>
      <c r="BJ325" s="557" t="s">
        <v>303</v>
      </c>
      <c r="BK325" s="326"/>
      <c r="BL325" s="326"/>
      <c r="BM325" s="327"/>
      <c r="BN325" s="558" t="s">
        <v>303</v>
      </c>
      <c r="BO325" s="326"/>
      <c r="BP325" s="326"/>
      <c r="BQ325" s="326"/>
      <c r="BR325" s="326"/>
      <c r="BS325" s="326"/>
      <c r="BT325" s="326"/>
      <c r="BU325" s="326"/>
      <c r="BV325" s="327"/>
    </row>
    <row r="326" spans="1:74" ht="45" customHeight="1" x14ac:dyDescent="0.25">
      <c r="A326" s="10">
        <f t="shared" si="1"/>
        <v>312</v>
      </c>
      <c r="B326" s="564" t="s">
        <v>303</v>
      </c>
      <c r="C326" s="327"/>
      <c r="D326" s="565" t="s">
        <v>307</v>
      </c>
      <c r="E326" s="327"/>
      <c r="F326" s="537" t="s">
        <v>334</v>
      </c>
      <c r="G326" s="327"/>
      <c r="H326" s="561" t="s">
        <v>334</v>
      </c>
      <c r="I326" s="327"/>
      <c r="J326" s="562"/>
      <c r="K326" s="327"/>
      <c r="L326" s="562"/>
      <c r="M326" s="327"/>
      <c r="N326" s="23"/>
      <c r="O326" s="21"/>
      <c r="P326" s="563"/>
      <c r="Q326" s="327"/>
      <c r="R326" s="538"/>
      <c r="S326" s="327"/>
      <c r="T326" s="539"/>
      <c r="U326" s="327"/>
      <c r="V326" s="540"/>
      <c r="W326" s="327"/>
      <c r="X326" s="438" t="s">
        <v>303</v>
      </c>
      <c r="Y326" s="326"/>
      <c r="Z326" s="326"/>
      <c r="AA326" s="327"/>
      <c r="AB326" s="519" t="s">
        <v>303</v>
      </c>
      <c r="AC326" s="326"/>
      <c r="AD326" s="326"/>
      <c r="AE326" s="327"/>
      <c r="AF326" s="543"/>
      <c r="AG326" s="327"/>
      <c r="AH326" s="543"/>
      <c r="AI326" s="327"/>
      <c r="AJ326" s="536"/>
      <c r="AK326" s="327"/>
      <c r="AL326" s="556" t="s">
        <v>334</v>
      </c>
      <c r="AM326" s="327"/>
      <c r="AN326" s="553" t="s">
        <v>334</v>
      </c>
      <c r="AO326" s="327"/>
      <c r="AP326" s="547"/>
      <c r="AQ326" s="327"/>
      <c r="AR326" s="548"/>
      <c r="AS326" s="327"/>
      <c r="AT326" s="549"/>
      <c r="AU326" s="327"/>
      <c r="AV326" s="553" t="s">
        <v>334</v>
      </c>
      <c r="AW326" s="327"/>
      <c r="AX326" s="521"/>
      <c r="AY326" s="326"/>
      <c r="AZ326" s="327"/>
      <c r="BA326" s="550"/>
      <c r="BB326" s="327"/>
      <c r="BC326" s="22"/>
      <c r="BD326" s="551" t="s">
        <v>334</v>
      </c>
      <c r="BE326" s="327"/>
      <c r="BF326" s="545"/>
      <c r="BG326" s="326"/>
      <c r="BH326" s="326"/>
      <c r="BI326" s="327"/>
      <c r="BJ326" s="451" t="s">
        <v>303</v>
      </c>
      <c r="BK326" s="326"/>
      <c r="BL326" s="326"/>
      <c r="BM326" s="327"/>
      <c r="BN326" s="558" t="s">
        <v>303</v>
      </c>
      <c r="BO326" s="326"/>
      <c r="BP326" s="326"/>
      <c r="BQ326" s="326"/>
      <c r="BR326" s="326"/>
      <c r="BS326" s="326"/>
      <c r="BT326" s="326"/>
      <c r="BU326" s="326"/>
      <c r="BV326" s="327"/>
    </row>
    <row r="327" spans="1:74" ht="45" customHeight="1" x14ac:dyDescent="0.25">
      <c r="A327" s="10">
        <f t="shared" si="1"/>
        <v>313</v>
      </c>
      <c r="B327" s="559" t="s">
        <v>303</v>
      </c>
      <c r="C327" s="327"/>
      <c r="D327" s="560" t="s">
        <v>307</v>
      </c>
      <c r="E327" s="327"/>
      <c r="F327" s="537" t="s">
        <v>334</v>
      </c>
      <c r="G327" s="327"/>
      <c r="H327" s="566" t="s">
        <v>334</v>
      </c>
      <c r="I327" s="327"/>
      <c r="J327" s="567"/>
      <c r="K327" s="327"/>
      <c r="L327" s="567"/>
      <c r="M327" s="327"/>
      <c r="N327" s="20"/>
      <c r="O327" s="24"/>
      <c r="P327" s="524"/>
      <c r="Q327" s="327"/>
      <c r="R327" s="516"/>
      <c r="S327" s="327"/>
      <c r="T327" s="517"/>
      <c r="U327" s="327"/>
      <c r="V327" s="518"/>
      <c r="W327" s="327"/>
      <c r="X327" s="541" t="s">
        <v>303</v>
      </c>
      <c r="Y327" s="326"/>
      <c r="Z327" s="326"/>
      <c r="AA327" s="327"/>
      <c r="AB327" s="542" t="s">
        <v>303</v>
      </c>
      <c r="AC327" s="326"/>
      <c r="AD327" s="326"/>
      <c r="AE327" s="327"/>
      <c r="AF327" s="520"/>
      <c r="AG327" s="327"/>
      <c r="AH327" s="520"/>
      <c r="AI327" s="327"/>
      <c r="AJ327" s="554"/>
      <c r="AK327" s="327"/>
      <c r="AL327" s="537" t="s">
        <v>334</v>
      </c>
      <c r="AM327" s="327"/>
      <c r="AN327" s="546" t="s">
        <v>334</v>
      </c>
      <c r="AO327" s="327"/>
      <c r="AP327" s="554"/>
      <c r="AQ327" s="327"/>
      <c r="AR327" s="555"/>
      <c r="AS327" s="327"/>
      <c r="AT327" s="549"/>
      <c r="AU327" s="327"/>
      <c r="AV327" s="546" t="s">
        <v>334</v>
      </c>
      <c r="AW327" s="327"/>
      <c r="AX327" s="521"/>
      <c r="AY327" s="326"/>
      <c r="AZ327" s="327"/>
      <c r="BA327" s="536"/>
      <c r="BB327" s="327"/>
      <c r="BC327" s="25"/>
      <c r="BD327" s="544" t="s">
        <v>334</v>
      </c>
      <c r="BE327" s="327"/>
      <c r="BF327" s="552"/>
      <c r="BG327" s="326"/>
      <c r="BH327" s="326"/>
      <c r="BI327" s="327"/>
      <c r="BJ327" s="557" t="s">
        <v>303</v>
      </c>
      <c r="BK327" s="326"/>
      <c r="BL327" s="326"/>
      <c r="BM327" s="327"/>
      <c r="BN327" s="558" t="s">
        <v>303</v>
      </c>
      <c r="BO327" s="326"/>
      <c r="BP327" s="326"/>
      <c r="BQ327" s="326"/>
      <c r="BR327" s="326"/>
      <c r="BS327" s="326"/>
      <c r="BT327" s="326"/>
      <c r="BU327" s="326"/>
      <c r="BV327" s="327"/>
    </row>
    <row r="328" spans="1:74" ht="45" customHeight="1" x14ac:dyDescent="0.25">
      <c r="A328" s="10">
        <f t="shared" si="1"/>
        <v>314</v>
      </c>
      <c r="B328" s="564" t="s">
        <v>303</v>
      </c>
      <c r="C328" s="327"/>
      <c r="D328" s="565" t="s">
        <v>307</v>
      </c>
      <c r="E328" s="327"/>
      <c r="F328" s="537" t="s">
        <v>334</v>
      </c>
      <c r="G328" s="327"/>
      <c r="H328" s="561" t="s">
        <v>334</v>
      </c>
      <c r="I328" s="327"/>
      <c r="J328" s="562"/>
      <c r="K328" s="327"/>
      <c r="L328" s="562"/>
      <c r="M328" s="327"/>
      <c r="N328" s="23"/>
      <c r="O328" s="21"/>
      <c r="P328" s="563"/>
      <c r="Q328" s="327"/>
      <c r="R328" s="538"/>
      <c r="S328" s="327"/>
      <c r="T328" s="539"/>
      <c r="U328" s="327"/>
      <c r="V328" s="540"/>
      <c r="W328" s="327"/>
      <c r="X328" s="438" t="s">
        <v>303</v>
      </c>
      <c r="Y328" s="326"/>
      <c r="Z328" s="326"/>
      <c r="AA328" s="327"/>
      <c r="AB328" s="519" t="s">
        <v>303</v>
      </c>
      <c r="AC328" s="326"/>
      <c r="AD328" s="326"/>
      <c r="AE328" s="327"/>
      <c r="AF328" s="543"/>
      <c r="AG328" s="327"/>
      <c r="AH328" s="543"/>
      <c r="AI328" s="327"/>
      <c r="AJ328" s="536"/>
      <c r="AK328" s="327"/>
      <c r="AL328" s="556" t="s">
        <v>334</v>
      </c>
      <c r="AM328" s="327"/>
      <c r="AN328" s="553" t="s">
        <v>334</v>
      </c>
      <c r="AO328" s="327"/>
      <c r="AP328" s="547"/>
      <c r="AQ328" s="327"/>
      <c r="AR328" s="548"/>
      <c r="AS328" s="327"/>
      <c r="AT328" s="549"/>
      <c r="AU328" s="327"/>
      <c r="AV328" s="553" t="s">
        <v>334</v>
      </c>
      <c r="AW328" s="327"/>
      <c r="AX328" s="521"/>
      <c r="AY328" s="326"/>
      <c r="AZ328" s="327"/>
      <c r="BA328" s="550"/>
      <c r="BB328" s="327"/>
      <c r="BC328" s="22"/>
      <c r="BD328" s="551" t="s">
        <v>334</v>
      </c>
      <c r="BE328" s="327"/>
      <c r="BF328" s="545"/>
      <c r="BG328" s="326"/>
      <c r="BH328" s="326"/>
      <c r="BI328" s="327"/>
      <c r="BJ328" s="451" t="s">
        <v>303</v>
      </c>
      <c r="BK328" s="326"/>
      <c r="BL328" s="326"/>
      <c r="BM328" s="327"/>
      <c r="BN328" s="558" t="s">
        <v>303</v>
      </c>
      <c r="BO328" s="326"/>
      <c r="BP328" s="326"/>
      <c r="BQ328" s="326"/>
      <c r="BR328" s="326"/>
      <c r="BS328" s="326"/>
      <c r="BT328" s="326"/>
      <c r="BU328" s="326"/>
      <c r="BV328" s="327"/>
    </row>
    <row r="329" spans="1:74" ht="45" customHeight="1" x14ac:dyDescent="0.25">
      <c r="A329" s="10">
        <f t="shared" si="1"/>
        <v>315</v>
      </c>
      <c r="B329" s="559" t="s">
        <v>303</v>
      </c>
      <c r="C329" s="327"/>
      <c r="D329" s="560" t="s">
        <v>307</v>
      </c>
      <c r="E329" s="327"/>
      <c r="F329" s="537" t="s">
        <v>334</v>
      </c>
      <c r="G329" s="327"/>
      <c r="H329" s="566" t="s">
        <v>334</v>
      </c>
      <c r="I329" s="327"/>
      <c r="J329" s="567"/>
      <c r="K329" s="327"/>
      <c r="L329" s="567"/>
      <c r="M329" s="327"/>
      <c r="N329" s="20"/>
      <c r="O329" s="24"/>
      <c r="P329" s="524"/>
      <c r="Q329" s="327"/>
      <c r="R329" s="516"/>
      <c r="S329" s="327"/>
      <c r="T329" s="517"/>
      <c r="U329" s="327"/>
      <c r="V329" s="518"/>
      <c r="W329" s="327"/>
      <c r="X329" s="541" t="s">
        <v>303</v>
      </c>
      <c r="Y329" s="326"/>
      <c r="Z329" s="326"/>
      <c r="AA329" s="327"/>
      <c r="AB329" s="542" t="s">
        <v>303</v>
      </c>
      <c r="AC329" s="326"/>
      <c r="AD329" s="326"/>
      <c r="AE329" s="327"/>
      <c r="AF329" s="520"/>
      <c r="AG329" s="327"/>
      <c r="AH329" s="520"/>
      <c r="AI329" s="327"/>
      <c r="AJ329" s="554"/>
      <c r="AK329" s="327"/>
      <c r="AL329" s="537" t="s">
        <v>334</v>
      </c>
      <c r="AM329" s="327"/>
      <c r="AN329" s="546" t="s">
        <v>334</v>
      </c>
      <c r="AO329" s="327"/>
      <c r="AP329" s="554"/>
      <c r="AQ329" s="327"/>
      <c r="AR329" s="555"/>
      <c r="AS329" s="327"/>
      <c r="AT329" s="549"/>
      <c r="AU329" s="327"/>
      <c r="AV329" s="546" t="s">
        <v>334</v>
      </c>
      <c r="AW329" s="327"/>
      <c r="AX329" s="521"/>
      <c r="AY329" s="326"/>
      <c r="AZ329" s="327"/>
      <c r="BA329" s="536"/>
      <c r="BB329" s="327"/>
      <c r="BC329" s="25"/>
      <c r="BD329" s="544" t="s">
        <v>334</v>
      </c>
      <c r="BE329" s="327"/>
      <c r="BF329" s="508"/>
      <c r="BG329" s="326"/>
      <c r="BH329" s="326"/>
      <c r="BI329" s="327"/>
      <c r="BJ329" s="557" t="s">
        <v>303</v>
      </c>
      <c r="BK329" s="326"/>
      <c r="BL329" s="326"/>
      <c r="BM329" s="327"/>
      <c r="BN329" s="558" t="s">
        <v>303</v>
      </c>
      <c r="BO329" s="326"/>
      <c r="BP329" s="326"/>
      <c r="BQ329" s="326"/>
      <c r="BR329" s="326"/>
      <c r="BS329" s="326"/>
      <c r="BT329" s="326"/>
      <c r="BU329" s="326"/>
      <c r="BV329" s="327"/>
    </row>
    <row r="330" spans="1:74" ht="45" customHeight="1" x14ac:dyDescent="0.25">
      <c r="A330" s="10">
        <f t="shared" si="1"/>
        <v>316</v>
      </c>
      <c r="B330" s="564" t="s">
        <v>303</v>
      </c>
      <c r="C330" s="327"/>
      <c r="D330" s="565" t="s">
        <v>307</v>
      </c>
      <c r="E330" s="327"/>
      <c r="F330" s="537" t="s">
        <v>334</v>
      </c>
      <c r="G330" s="327"/>
      <c r="H330" s="561" t="s">
        <v>334</v>
      </c>
      <c r="I330" s="327"/>
      <c r="J330" s="562"/>
      <c r="K330" s="327"/>
      <c r="L330" s="562"/>
      <c r="M330" s="327"/>
      <c r="N330" s="23"/>
      <c r="O330" s="21"/>
      <c r="P330" s="563"/>
      <c r="Q330" s="327"/>
      <c r="R330" s="538"/>
      <c r="S330" s="327"/>
      <c r="T330" s="539"/>
      <c r="U330" s="327"/>
      <c r="V330" s="540"/>
      <c r="W330" s="327"/>
      <c r="X330" s="438" t="s">
        <v>303</v>
      </c>
      <c r="Y330" s="326"/>
      <c r="Z330" s="326"/>
      <c r="AA330" s="327"/>
      <c r="AB330" s="519" t="s">
        <v>303</v>
      </c>
      <c r="AC330" s="326"/>
      <c r="AD330" s="326"/>
      <c r="AE330" s="327"/>
      <c r="AF330" s="543"/>
      <c r="AG330" s="327"/>
      <c r="AH330" s="543"/>
      <c r="AI330" s="327"/>
      <c r="AJ330" s="536"/>
      <c r="AK330" s="327"/>
      <c r="AL330" s="556" t="s">
        <v>334</v>
      </c>
      <c r="AM330" s="327"/>
      <c r="AN330" s="553" t="s">
        <v>334</v>
      </c>
      <c r="AO330" s="327"/>
      <c r="AP330" s="547"/>
      <c r="AQ330" s="327"/>
      <c r="AR330" s="548"/>
      <c r="AS330" s="327"/>
      <c r="AT330" s="549"/>
      <c r="AU330" s="327"/>
      <c r="AV330" s="553" t="s">
        <v>334</v>
      </c>
      <c r="AW330" s="327"/>
      <c r="AX330" s="521"/>
      <c r="AY330" s="326"/>
      <c r="AZ330" s="327"/>
      <c r="BA330" s="550"/>
      <c r="BB330" s="327"/>
      <c r="BC330" s="22"/>
      <c r="BD330" s="551" t="s">
        <v>334</v>
      </c>
      <c r="BE330" s="327"/>
      <c r="BF330" s="545"/>
      <c r="BG330" s="326"/>
      <c r="BH330" s="326"/>
      <c r="BI330" s="327"/>
      <c r="BJ330" s="451" t="s">
        <v>303</v>
      </c>
      <c r="BK330" s="326"/>
      <c r="BL330" s="326"/>
      <c r="BM330" s="327"/>
      <c r="BN330" s="558" t="s">
        <v>303</v>
      </c>
      <c r="BO330" s="326"/>
      <c r="BP330" s="326"/>
      <c r="BQ330" s="326"/>
      <c r="BR330" s="326"/>
      <c r="BS330" s="326"/>
      <c r="BT330" s="326"/>
      <c r="BU330" s="326"/>
      <c r="BV330" s="327"/>
    </row>
    <row r="331" spans="1:74" ht="45" customHeight="1" x14ac:dyDescent="0.25">
      <c r="A331" s="10">
        <f t="shared" si="1"/>
        <v>317</v>
      </c>
      <c r="B331" s="559" t="s">
        <v>303</v>
      </c>
      <c r="C331" s="327"/>
      <c r="D331" s="560" t="s">
        <v>307</v>
      </c>
      <c r="E331" s="327"/>
      <c r="F331" s="537" t="s">
        <v>334</v>
      </c>
      <c r="G331" s="327"/>
      <c r="H331" s="566" t="s">
        <v>334</v>
      </c>
      <c r="I331" s="327"/>
      <c r="J331" s="567"/>
      <c r="K331" s="327"/>
      <c r="L331" s="567"/>
      <c r="M331" s="327"/>
      <c r="N331" s="20"/>
      <c r="O331" s="24"/>
      <c r="P331" s="524"/>
      <c r="Q331" s="327"/>
      <c r="R331" s="516"/>
      <c r="S331" s="327"/>
      <c r="T331" s="517"/>
      <c r="U331" s="327"/>
      <c r="V331" s="518"/>
      <c r="W331" s="327"/>
      <c r="X331" s="541" t="s">
        <v>303</v>
      </c>
      <c r="Y331" s="326"/>
      <c r="Z331" s="326"/>
      <c r="AA331" s="327"/>
      <c r="AB331" s="542" t="s">
        <v>303</v>
      </c>
      <c r="AC331" s="326"/>
      <c r="AD331" s="326"/>
      <c r="AE331" s="327"/>
      <c r="AF331" s="520"/>
      <c r="AG331" s="327"/>
      <c r="AH331" s="520"/>
      <c r="AI331" s="327"/>
      <c r="AJ331" s="554"/>
      <c r="AK331" s="327"/>
      <c r="AL331" s="537" t="s">
        <v>334</v>
      </c>
      <c r="AM331" s="327"/>
      <c r="AN331" s="546" t="s">
        <v>334</v>
      </c>
      <c r="AO331" s="327"/>
      <c r="AP331" s="554"/>
      <c r="AQ331" s="327"/>
      <c r="AR331" s="555"/>
      <c r="AS331" s="327"/>
      <c r="AT331" s="549"/>
      <c r="AU331" s="327"/>
      <c r="AV331" s="546" t="s">
        <v>334</v>
      </c>
      <c r="AW331" s="327"/>
      <c r="AX331" s="521"/>
      <c r="AY331" s="326"/>
      <c r="AZ331" s="327"/>
      <c r="BA331" s="536"/>
      <c r="BB331" s="327"/>
      <c r="BC331" s="25"/>
      <c r="BD331" s="544" t="s">
        <v>334</v>
      </c>
      <c r="BE331" s="327"/>
      <c r="BF331" s="552"/>
      <c r="BG331" s="326"/>
      <c r="BH331" s="326"/>
      <c r="BI331" s="327"/>
      <c r="BJ331" s="557" t="s">
        <v>303</v>
      </c>
      <c r="BK331" s="326"/>
      <c r="BL331" s="326"/>
      <c r="BM331" s="327"/>
      <c r="BN331" s="558" t="s">
        <v>303</v>
      </c>
      <c r="BO331" s="326"/>
      <c r="BP331" s="326"/>
      <c r="BQ331" s="326"/>
      <c r="BR331" s="326"/>
      <c r="BS331" s="326"/>
      <c r="BT331" s="326"/>
      <c r="BU331" s="326"/>
      <c r="BV331" s="327"/>
    </row>
    <row r="332" spans="1:74" ht="45" customHeight="1" x14ac:dyDescent="0.25">
      <c r="A332" s="10">
        <f t="shared" si="1"/>
        <v>318</v>
      </c>
      <c r="B332" s="564" t="s">
        <v>303</v>
      </c>
      <c r="C332" s="327"/>
      <c r="D332" s="565" t="s">
        <v>307</v>
      </c>
      <c r="E332" s="327"/>
      <c r="F332" s="537" t="s">
        <v>334</v>
      </c>
      <c r="G332" s="327"/>
      <c r="H332" s="561" t="s">
        <v>334</v>
      </c>
      <c r="I332" s="327"/>
      <c r="J332" s="562"/>
      <c r="K332" s="327"/>
      <c r="L332" s="562"/>
      <c r="M332" s="327"/>
      <c r="N332" s="23"/>
      <c r="O332" s="21"/>
      <c r="P332" s="563"/>
      <c r="Q332" s="327"/>
      <c r="R332" s="538"/>
      <c r="S332" s="327"/>
      <c r="T332" s="539"/>
      <c r="U332" s="327"/>
      <c r="V332" s="540"/>
      <c r="W332" s="327"/>
      <c r="X332" s="438" t="s">
        <v>303</v>
      </c>
      <c r="Y332" s="326"/>
      <c r="Z332" s="326"/>
      <c r="AA332" s="327"/>
      <c r="AB332" s="519" t="s">
        <v>303</v>
      </c>
      <c r="AC332" s="326"/>
      <c r="AD332" s="326"/>
      <c r="AE332" s="327"/>
      <c r="AF332" s="543"/>
      <c r="AG332" s="327"/>
      <c r="AH332" s="543"/>
      <c r="AI332" s="327"/>
      <c r="AJ332" s="536"/>
      <c r="AK332" s="327"/>
      <c r="AL332" s="556" t="s">
        <v>334</v>
      </c>
      <c r="AM332" s="327"/>
      <c r="AN332" s="553" t="s">
        <v>334</v>
      </c>
      <c r="AO332" s="327"/>
      <c r="AP332" s="547"/>
      <c r="AQ332" s="327"/>
      <c r="AR332" s="548"/>
      <c r="AS332" s="327"/>
      <c r="AT332" s="549"/>
      <c r="AU332" s="327"/>
      <c r="AV332" s="553" t="s">
        <v>334</v>
      </c>
      <c r="AW332" s="327"/>
      <c r="AX332" s="521"/>
      <c r="AY332" s="326"/>
      <c r="AZ332" s="327"/>
      <c r="BA332" s="550"/>
      <c r="BB332" s="327"/>
      <c r="BC332" s="22"/>
      <c r="BD332" s="551" t="s">
        <v>334</v>
      </c>
      <c r="BE332" s="327"/>
      <c r="BF332" s="545"/>
      <c r="BG332" s="326"/>
      <c r="BH332" s="326"/>
      <c r="BI332" s="327"/>
      <c r="BJ332" s="451" t="s">
        <v>303</v>
      </c>
      <c r="BK332" s="326"/>
      <c r="BL332" s="326"/>
      <c r="BM332" s="327"/>
      <c r="BN332" s="558" t="s">
        <v>303</v>
      </c>
      <c r="BO332" s="326"/>
      <c r="BP332" s="326"/>
      <c r="BQ332" s="326"/>
      <c r="BR332" s="326"/>
      <c r="BS332" s="326"/>
      <c r="BT332" s="326"/>
      <c r="BU332" s="326"/>
      <c r="BV332" s="327"/>
    </row>
    <row r="333" spans="1:74" ht="45" customHeight="1" x14ac:dyDescent="0.25">
      <c r="A333" s="10">
        <f t="shared" si="1"/>
        <v>319</v>
      </c>
      <c r="B333" s="559" t="s">
        <v>303</v>
      </c>
      <c r="C333" s="327"/>
      <c r="D333" s="560" t="s">
        <v>307</v>
      </c>
      <c r="E333" s="327"/>
      <c r="F333" s="537" t="s">
        <v>334</v>
      </c>
      <c r="G333" s="327"/>
      <c r="H333" s="566" t="s">
        <v>334</v>
      </c>
      <c r="I333" s="327"/>
      <c r="J333" s="567"/>
      <c r="K333" s="327"/>
      <c r="L333" s="567"/>
      <c r="M333" s="327"/>
      <c r="N333" s="20"/>
      <c r="O333" s="24"/>
      <c r="P333" s="524"/>
      <c r="Q333" s="327"/>
      <c r="R333" s="516"/>
      <c r="S333" s="327"/>
      <c r="T333" s="517"/>
      <c r="U333" s="327"/>
      <c r="V333" s="518"/>
      <c r="W333" s="327"/>
      <c r="X333" s="541" t="s">
        <v>303</v>
      </c>
      <c r="Y333" s="326"/>
      <c r="Z333" s="326"/>
      <c r="AA333" s="327"/>
      <c r="AB333" s="542" t="s">
        <v>303</v>
      </c>
      <c r="AC333" s="326"/>
      <c r="AD333" s="326"/>
      <c r="AE333" s="327"/>
      <c r="AF333" s="520"/>
      <c r="AG333" s="327"/>
      <c r="AH333" s="520"/>
      <c r="AI333" s="327"/>
      <c r="AJ333" s="554"/>
      <c r="AK333" s="327"/>
      <c r="AL333" s="537" t="s">
        <v>334</v>
      </c>
      <c r="AM333" s="327"/>
      <c r="AN333" s="546" t="s">
        <v>334</v>
      </c>
      <c r="AO333" s="327"/>
      <c r="AP333" s="554"/>
      <c r="AQ333" s="327"/>
      <c r="AR333" s="555"/>
      <c r="AS333" s="327"/>
      <c r="AT333" s="549"/>
      <c r="AU333" s="327"/>
      <c r="AV333" s="546" t="s">
        <v>334</v>
      </c>
      <c r="AW333" s="327"/>
      <c r="AX333" s="521"/>
      <c r="AY333" s="326"/>
      <c r="AZ333" s="327"/>
      <c r="BA333" s="536"/>
      <c r="BB333" s="327"/>
      <c r="BC333" s="25"/>
      <c r="BD333" s="544" t="s">
        <v>334</v>
      </c>
      <c r="BE333" s="327"/>
      <c r="BF333" s="508"/>
      <c r="BG333" s="326"/>
      <c r="BH333" s="326"/>
      <c r="BI333" s="327"/>
      <c r="BJ333" s="557" t="s">
        <v>303</v>
      </c>
      <c r="BK333" s="326"/>
      <c r="BL333" s="326"/>
      <c r="BM333" s="327"/>
      <c r="BN333" s="558" t="s">
        <v>303</v>
      </c>
      <c r="BO333" s="326"/>
      <c r="BP333" s="326"/>
      <c r="BQ333" s="326"/>
      <c r="BR333" s="326"/>
      <c r="BS333" s="326"/>
      <c r="BT333" s="326"/>
      <c r="BU333" s="326"/>
      <c r="BV333" s="327"/>
    </row>
    <row r="334" spans="1:74" ht="45" customHeight="1" x14ac:dyDescent="0.25">
      <c r="A334" s="10">
        <f t="shared" si="1"/>
        <v>320</v>
      </c>
      <c r="B334" s="564" t="s">
        <v>303</v>
      </c>
      <c r="C334" s="327"/>
      <c r="D334" s="565" t="s">
        <v>307</v>
      </c>
      <c r="E334" s="327"/>
      <c r="F334" s="537" t="s">
        <v>334</v>
      </c>
      <c r="G334" s="327"/>
      <c r="H334" s="561" t="s">
        <v>334</v>
      </c>
      <c r="I334" s="327"/>
      <c r="J334" s="562"/>
      <c r="K334" s="327"/>
      <c r="L334" s="562"/>
      <c r="M334" s="327"/>
      <c r="N334" s="23"/>
      <c r="O334" s="21"/>
      <c r="P334" s="563"/>
      <c r="Q334" s="327"/>
      <c r="R334" s="538"/>
      <c r="S334" s="327"/>
      <c r="T334" s="539"/>
      <c r="U334" s="327"/>
      <c r="V334" s="540"/>
      <c r="W334" s="327"/>
      <c r="X334" s="438" t="s">
        <v>303</v>
      </c>
      <c r="Y334" s="326"/>
      <c r="Z334" s="326"/>
      <c r="AA334" s="327"/>
      <c r="AB334" s="519" t="s">
        <v>303</v>
      </c>
      <c r="AC334" s="326"/>
      <c r="AD334" s="326"/>
      <c r="AE334" s="327"/>
      <c r="AF334" s="543"/>
      <c r="AG334" s="327"/>
      <c r="AH334" s="543"/>
      <c r="AI334" s="327"/>
      <c r="AJ334" s="536"/>
      <c r="AK334" s="327"/>
      <c r="AL334" s="556" t="s">
        <v>334</v>
      </c>
      <c r="AM334" s="327"/>
      <c r="AN334" s="553" t="s">
        <v>334</v>
      </c>
      <c r="AO334" s="327"/>
      <c r="AP334" s="547"/>
      <c r="AQ334" s="327"/>
      <c r="AR334" s="548"/>
      <c r="AS334" s="327"/>
      <c r="AT334" s="549"/>
      <c r="AU334" s="327"/>
      <c r="AV334" s="553" t="s">
        <v>334</v>
      </c>
      <c r="AW334" s="327"/>
      <c r="AX334" s="521"/>
      <c r="AY334" s="326"/>
      <c r="AZ334" s="327"/>
      <c r="BA334" s="550"/>
      <c r="BB334" s="327"/>
      <c r="BC334" s="22"/>
      <c r="BD334" s="551" t="s">
        <v>334</v>
      </c>
      <c r="BE334" s="327"/>
      <c r="BF334" s="545"/>
      <c r="BG334" s="326"/>
      <c r="BH334" s="326"/>
      <c r="BI334" s="327"/>
      <c r="BJ334" s="451" t="s">
        <v>303</v>
      </c>
      <c r="BK334" s="326"/>
      <c r="BL334" s="326"/>
      <c r="BM334" s="327"/>
      <c r="BN334" s="558" t="s">
        <v>303</v>
      </c>
      <c r="BO334" s="326"/>
      <c r="BP334" s="326"/>
      <c r="BQ334" s="326"/>
      <c r="BR334" s="326"/>
      <c r="BS334" s="326"/>
      <c r="BT334" s="326"/>
      <c r="BU334" s="326"/>
      <c r="BV334" s="327"/>
    </row>
    <row r="335" spans="1:74" ht="45" customHeight="1" x14ac:dyDescent="0.25">
      <c r="A335" s="10">
        <f t="shared" si="1"/>
        <v>321</v>
      </c>
      <c r="B335" s="559" t="s">
        <v>303</v>
      </c>
      <c r="C335" s="327"/>
      <c r="D335" s="560" t="s">
        <v>307</v>
      </c>
      <c r="E335" s="327"/>
      <c r="F335" s="537" t="s">
        <v>334</v>
      </c>
      <c r="G335" s="327"/>
      <c r="H335" s="566" t="s">
        <v>334</v>
      </c>
      <c r="I335" s="327"/>
      <c r="J335" s="567"/>
      <c r="K335" s="327"/>
      <c r="L335" s="567"/>
      <c r="M335" s="327"/>
      <c r="N335" s="20"/>
      <c r="O335" s="24"/>
      <c r="P335" s="524"/>
      <c r="Q335" s="327"/>
      <c r="R335" s="516"/>
      <c r="S335" s="327"/>
      <c r="T335" s="517"/>
      <c r="U335" s="327"/>
      <c r="V335" s="518"/>
      <c r="W335" s="327"/>
      <c r="X335" s="541" t="s">
        <v>303</v>
      </c>
      <c r="Y335" s="326"/>
      <c r="Z335" s="326"/>
      <c r="AA335" s="327"/>
      <c r="AB335" s="542" t="s">
        <v>303</v>
      </c>
      <c r="AC335" s="326"/>
      <c r="AD335" s="326"/>
      <c r="AE335" s="327"/>
      <c r="AF335" s="520"/>
      <c r="AG335" s="327"/>
      <c r="AH335" s="520"/>
      <c r="AI335" s="327"/>
      <c r="AJ335" s="554"/>
      <c r="AK335" s="327"/>
      <c r="AL335" s="537" t="s">
        <v>334</v>
      </c>
      <c r="AM335" s="327"/>
      <c r="AN335" s="546" t="s">
        <v>334</v>
      </c>
      <c r="AO335" s="327"/>
      <c r="AP335" s="554"/>
      <c r="AQ335" s="327"/>
      <c r="AR335" s="555"/>
      <c r="AS335" s="327"/>
      <c r="AT335" s="549"/>
      <c r="AU335" s="327"/>
      <c r="AV335" s="546" t="s">
        <v>334</v>
      </c>
      <c r="AW335" s="327"/>
      <c r="AX335" s="521"/>
      <c r="AY335" s="326"/>
      <c r="AZ335" s="327"/>
      <c r="BA335" s="536"/>
      <c r="BB335" s="327"/>
      <c r="BC335" s="25"/>
      <c r="BD335" s="544" t="s">
        <v>334</v>
      </c>
      <c r="BE335" s="327"/>
      <c r="BF335" s="508"/>
      <c r="BG335" s="326"/>
      <c r="BH335" s="326"/>
      <c r="BI335" s="327"/>
      <c r="BJ335" s="557" t="s">
        <v>303</v>
      </c>
      <c r="BK335" s="326"/>
      <c r="BL335" s="326"/>
      <c r="BM335" s="327"/>
      <c r="BN335" s="558" t="s">
        <v>303</v>
      </c>
      <c r="BO335" s="326"/>
      <c r="BP335" s="326"/>
      <c r="BQ335" s="326"/>
      <c r="BR335" s="326"/>
      <c r="BS335" s="326"/>
      <c r="BT335" s="326"/>
      <c r="BU335" s="326"/>
      <c r="BV335" s="327"/>
    </row>
    <row r="336" spans="1:74" ht="45" customHeight="1" x14ac:dyDescent="0.25">
      <c r="A336" s="10">
        <f t="shared" si="1"/>
        <v>322</v>
      </c>
      <c r="B336" s="564" t="s">
        <v>303</v>
      </c>
      <c r="C336" s="327"/>
      <c r="D336" s="565" t="s">
        <v>307</v>
      </c>
      <c r="E336" s="327"/>
      <c r="F336" s="537" t="s">
        <v>334</v>
      </c>
      <c r="G336" s="327"/>
      <c r="H336" s="561" t="s">
        <v>334</v>
      </c>
      <c r="I336" s="327"/>
      <c r="J336" s="562"/>
      <c r="K336" s="327"/>
      <c r="L336" s="562"/>
      <c r="M336" s="327"/>
      <c r="N336" s="23"/>
      <c r="O336" s="21"/>
      <c r="P336" s="563"/>
      <c r="Q336" s="327"/>
      <c r="R336" s="538"/>
      <c r="S336" s="327"/>
      <c r="T336" s="539"/>
      <c r="U336" s="327"/>
      <c r="V336" s="540"/>
      <c r="W336" s="327"/>
      <c r="X336" s="438" t="s">
        <v>303</v>
      </c>
      <c r="Y336" s="326"/>
      <c r="Z336" s="326"/>
      <c r="AA336" s="327"/>
      <c r="AB336" s="519" t="s">
        <v>303</v>
      </c>
      <c r="AC336" s="326"/>
      <c r="AD336" s="326"/>
      <c r="AE336" s="327"/>
      <c r="AF336" s="543"/>
      <c r="AG336" s="327"/>
      <c r="AH336" s="543"/>
      <c r="AI336" s="327"/>
      <c r="AJ336" s="536"/>
      <c r="AK336" s="327"/>
      <c r="AL336" s="556" t="s">
        <v>334</v>
      </c>
      <c r="AM336" s="327"/>
      <c r="AN336" s="553" t="s">
        <v>334</v>
      </c>
      <c r="AO336" s="327"/>
      <c r="AP336" s="547"/>
      <c r="AQ336" s="327"/>
      <c r="AR336" s="548"/>
      <c r="AS336" s="327"/>
      <c r="AT336" s="549"/>
      <c r="AU336" s="327"/>
      <c r="AV336" s="553" t="s">
        <v>334</v>
      </c>
      <c r="AW336" s="327"/>
      <c r="AX336" s="521"/>
      <c r="AY336" s="326"/>
      <c r="AZ336" s="327"/>
      <c r="BA336" s="550"/>
      <c r="BB336" s="327"/>
      <c r="BC336" s="22"/>
      <c r="BD336" s="551" t="s">
        <v>334</v>
      </c>
      <c r="BE336" s="327"/>
      <c r="BF336" s="545"/>
      <c r="BG336" s="326"/>
      <c r="BH336" s="326"/>
      <c r="BI336" s="327"/>
      <c r="BJ336" s="451" t="s">
        <v>303</v>
      </c>
      <c r="BK336" s="326"/>
      <c r="BL336" s="326"/>
      <c r="BM336" s="327"/>
      <c r="BN336" s="558" t="s">
        <v>303</v>
      </c>
      <c r="BO336" s="326"/>
      <c r="BP336" s="326"/>
      <c r="BQ336" s="326"/>
      <c r="BR336" s="326"/>
      <c r="BS336" s="326"/>
      <c r="BT336" s="326"/>
      <c r="BU336" s="326"/>
      <c r="BV336" s="327"/>
    </row>
    <row r="337" spans="1:74" ht="45" customHeight="1" x14ac:dyDescent="0.25">
      <c r="A337" s="10">
        <f t="shared" si="1"/>
        <v>323</v>
      </c>
      <c r="B337" s="559" t="s">
        <v>303</v>
      </c>
      <c r="C337" s="327"/>
      <c r="D337" s="560" t="s">
        <v>307</v>
      </c>
      <c r="E337" s="327"/>
      <c r="F337" s="537" t="s">
        <v>334</v>
      </c>
      <c r="G337" s="327"/>
      <c r="H337" s="566" t="s">
        <v>334</v>
      </c>
      <c r="I337" s="327"/>
      <c r="J337" s="567"/>
      <c r="K337" s="327"/>
      <c r="L337" s="567"/>
      <c r="M337" s="327"/>
      <c r="N337" s="20"/>
      <c r="O337" s="24"/>
      <c r="P337" s="524"/>
      <c r="Q337" s="327"/>
      <c r="R337" s="516"/>
      <c r="S337" s="327"/>
      <c r="T337" s="517"/>
      <c r="U337" s="327"/>
      <c r="V337" s="518"/>
      <c r="W337" s="327"/>
      <c r="X337" s="541" t="s">
        <v>303</v>
      </c>
      <c r="Y337" s="326"/>
      <c r="Z337" s="326"/>
      <c r="AA337" s="327"/>
      <c r="AB337" s="542" t="s">
        <v>303</v>
      </c>
      <c r="AC337" s="326"/>
      <c r="AD337" s="326"/>
      <c r="AE337" s="327"/>
      <c r="AF337" s="520"/>
      <c r="AG337" s="327"/>
      <c r="AH337" s="520"/>
      <c r="AI337" s="327"/>
      <c r="AJ337" s="554"/>
      <c r="AK337" s="327"/>
      <c r="AL337" s="537" t="s">
        <v>334</v>
      </c>
      <c r="AM337" s="327"/>
      <c r="AN337" s="546" t="s">
        <v>334</v>
      </c>
      <c r="AO337" s="327"/>
      <c r="AP337" s="554"/>
      <c r="AQ337" s="327"/>
      <c r="AR337" s="555"/>
      <c r="AS337" s="327"/>
      <c r="AT337" s="549"/>
      <c r="AU337" s="327"/>
      <c r="AV337" s="546" t="s">
        <v>334</v>
      </c>
      <c r="AW337" s="327"/>
      <c r="AX337" s="521"/>
      <c r="AY337" s="326"/>
      <c r="AZ337" s="327"/>
      <c r="BA337" s="536"/>
      <c r="BB337" s="327"/>
      <c r="BC337" s="25"/>
      <c r="BD337" s="544" t="s">
        <v>334</v>
      </c>
      <c r="BE337" s="327"/>
      <c r="BF337" s="552"/>
      <c r="BG337" s="326"/>
      <c r="BH337" s="326"/>
      <c r="BI337" s="327"/>
      <c r="BJ337" s="557" t="s">
        <v>303</v>
      </c>
      <c r="BK337" s="326"/>
      <c r="BL337" s="326"/>
      <c r="BM337" s="327"/>
      <c r="BN337" s="558" t="s">
        <v>303</v>
      </c>
      <c r="BO337" s="326"/>
      <c r="BP337" s="326"/>
      <c r="BQ337" s="326"/>
      <c r="BR337" s="326"/>
      <c r="BS337" s="326"/>
      <c r="BT337" s="326"/>
      <c r="BU337" s="326"/>
      <c r="BV337" s="327"/>
    </row>
    <row r="338" spans="1:74" ht="45" customHeight="1" x14ac:dyDescent="0.25">
      <c r="A338" s="10">
        <f t="shared" si="1"/>
        <v>324</v>
      </c>
      <c r="B338" s="564" t="s">
        <v>303</v>
      </c>
      <c r="C338" s="327"/>
      <c r="D338" s="565" t="s">
        <v>307</v>
      </c>
      <c r="E338" s="327"/>
      <c r="F338" s="537" t="s">
        <v>334</v>
      </c>
      <c r="G338" s="327"/>
      <c r="H338" s="561" t="s">
        <v>334</v>
      </c>
      <c r="I338" s="327"/>
      <c r="J338" s="562"/>
      <c r="K338" s="327"/>
      <c r="L338" s="562"/>
      <c r="M338" s="327"/>
      <c r="N338" s="23"/>
      <c r="O338" s="21"/>
      <c r="P338" s="563"/>
      <c r="Q338" s="327"/>
      <c r="R338" s="538"/>
      <c r="S338" s="327"/>
      <c r="T338" s="539"/>
      <c r="U338" s="327"/>
      <c r="V338" s="540"/>
      <c r="W338" s="327"/>
      <c r="X338" s="438" t="s">
        <v>303</v>
      </c>
      <c r="Y338" s="326"/>
      <c r="Z338" s="326"/>
      <c r="AA338" s="327"/>
      <c r="AB338" s="519" t="s">
        <v>303</v>
      </c>
      <c r="AC338" s="326"/>
      <c r="AD338" s="326"/>
      <c r="AE338" s="327"/>
      <c r="AF338" s="543"/>
      <c r="AG338" s="327"/>
      <c r="AH338" s="543"/>
      <c r="AI338" s="327"/>
      <c r="AJ338" s="536"/>
      <c r="AK338" s="327"/>
      <c r="AL338" s="556" t="s">
        <v>334</v>
      </c>
      <c r="AM338" s="327"/>
      <c r="AN338" s="553" t="s">
        <v>334</v>
      </c>
      <c r="AO338" s="327"/>
      <c r="AP338" s="547"/>
      <c r="AQ338" s="327"/>
      <c r="AR338" s="548"/>
      <c r="AS338" s="327"/>
      <c r="AT338" s="549"/>
      <c r="AU338" s="327"/>
      <c r="AV338" s="553" t="s">
        <v>334</v>
      </c>
      <c r="AW338" s="327"/>
      <c r="AX338" s="521"/>
      <c r="AY338" s="326"/>
      <c r="AZ338" s="327"/>
      <c r="BA338" s="550"/>
      <c r="BB338" s="327"/>
      <c r="BC338" s="22"/>
      <c r="BD338" s="551" t="s">
        <v>334</v>
      </c>
      <c r="BE338" s="327"/>
      <c r="BF338" s="545"/>
      <c r="BG338" s="326"/>
      <c r="BH338" s="326"/>
      <c r="BI338" s="327"/>
      <c r="BJ338" s="451" t="s">
        <v>303</v>
      </c>
      <c r="BK338" s="326"/>
      <c r="BL338" s="326"/>
      <c r="BM338" s="327"/>
      <c r="BN338" s="558" t="s">
        <v>303</v>
      </c>
      <c r="BO338" s="326"/>
      <c r="BP338" s="326"/>
      <c r="BQ338" s="326"/>
      <c r="BR338" s="326"/>
      <c r="BS338" s="326"/>
      <c r="BT338" s="326"/>
      <c r="BU338" s="326"/>
      <c r="BV338" s="327"/>
    </row>
    <row r="339" spans="1:74" ht="45" customHeight="1" x14ac:dyDescent="0.25">
      <c r="A339" s="10">
        <f t="shared" si="1"/>
        <v>325</v>
      </c>
      <c r="B339" s="559" t="s">
        <v>303</v>
      </c>
      <c r="C339" s="327"/>
      <c r="D339" s="560" t="s">
        <v>307</v>
      </c>
      <c r="E339" s="327"/>
      <c r="F339" s="537" t="s">
        <v>334</v>
      </c>
      <c r="G339" s="327"/>
      <c r="H339" s="566" t="s">
        <v>334</v>
      </c>
      <c r="I339" s="327"/>
      <c r="J339" s="567"/>
      <c r="K339" s="327"/>
      <c r="L339" s="567"/>
      <c r="M339" s="327"/>
      <c r="N339" s="20"/>
      <c r="O339" s="24"/>
      <c r="P339" s="524"/>
      <c r="Q339" s="327"/>
      <c r="R339" s="516"/>
      <c r="S339" s="327"/>
      <c r="T339" s="517"/>
      <c r="U339" s="327"/>
      <c r="V339" s="518"/>
      <c r="W339" s="327"/>
      <c r="X339" s="541" t="s">
        <v>303</v>
      </c>
      <c r="Y339" s="326"/>
      <c r="Z339" s="326"/>
      <c r="AA339" s="327"/>
      <c r="AB339" s="542" t="s">
        <v>303</v>
      </c>
      <c r="AC339" s="326"/>
      <c r="AD339" s="326"/>
      <c r="AE339" s="327"/>
      <c r="AF339" s="520"/>
      <c r="AG339" s="327"/>
      <c r="AH339" s="520"/>
      <c r="AI339" s="327"/>
      <c r="AJ339" s="554"/>
      <c r="AK339" s="327"/>
      <c r="AL339" s="537" t="s">
        <v>334</v>
      </c>
      <c r="AM339" s="327"/>
      <c r="AN339" s="546" t="s">
        <v>334</v>
      </c>
      <c r="AO339" s="327"/>
      <c r="AP339" s="554"/>
      <c r="AQ339" s="327"/>
      <c r="AR339" s="555"/>
      <c r="AS339" s="327"/>
      <c r="AT339" s="549"/>
      <c r="AU339" s="327"/>
      <c r="AV339" s="546" t="s">
        <v>334</v>
      </c>
      <c r="AW339" s="327"/>
      <c r="AX339" s="521"/>
      <c r="AY339" s="326"/>
      <c r="AZ339" s="327"/>
      <c r="BA339" s="536"/>
      <c r="BB339" s="327"/>
      <c r="BC339" s="25"/>
      <c r="BD339" s="544" t="s">
        <v>334</v>
      </c>
      <c r="BE339" s="327"/>
      <c r="BF339" s="508"/>
      <c r="BG339" s="326"/>
      <c r="BH339" s="326"/>
      <c r="BI339" s="327"/>
      <c r="BJ339" s="557" t="s">
        <v>303</v>
      </c>
      <c r="BK339" s="326"/>
      <c r="BL339" s="326"/>
      <c r="BM339" s="327"/>
      <c r="BN339" s="558" t="s">
        <v>303</v>
      </c>
      <c r="BO339" s="326"/>
      <c r="BP339" s="326"/>
      <c r="BQ339" s="326"/>
      <c r="BR339" s="326"/>
      <c r="BS339" s="326"/>
      <c r="BT339" s="326"/>
      <c r="BU339" s="326"/>
      <c r="BV339" s="327"/>
    </row>
    <row r="340" spans="1:74" ht="45" customHeight="1" x14ac:dyDescent="0.25">
      <c r="A340" s="10">
        <f t="shared" si="1"/>
        <v>326</v>
      </c>
      <c r="B340" s="564" t="s">
        <v>303</v>
      </c>
      <c r="C340" s="327"/>
      <c r="D340" s="565" t="s">
        <v>307</v>
      </c>
      <c r="E340" s="327"/>
      <c r="F340" s="537" t="s">
        <v>334</v>
      </c>
      <c r="G340" s="327"/>
      <c r="H340" s="561" t="s">
        <v>334</v>
      </c>
      <c r="I340" s="327"/>
      <c r="J340" s="562"/>
      <c r="K340" s="327"/>
      <c r="L340" s="562"/>
      <c r="M340" s="327"/>
      <c r="N340" s="23"/>
      <c r="O340" s="21"/>
      <c r="P340" s="563"/>
      <c r="Q340" s="327"/>
      <c r="R340" s="538"/>
      <c r="S340" s="327"/>
      <c r="T340" s="539"/>
      <c r="U340" s="327"/>
      <c r="V340" s="540"/>
      <c r="W340" s="327"/>
      <c r="X340" s="438" t="s">
        <v>303</v>
      </c>
      <c r="Y340" s="326"/>
      <c r="Z340" s="326"/>
      <c r="AA340" s="327"/>
      <c r="AB340" s="519" t="s">
        <v>303</v>
      </c>
      <c r="AC340" s="326"/>
      <c r="AD340" s="326"/>
      <c r="AE340" s="327"/>
      <c r="AF340" s="543"/>
      <c r="AG340" s="327"/>
      <c r="AH340" s="543"/>
      <c r="AI340" s="327"/>
      <c r="AJ340" s="536"/>
      <c r="AK340" s="327"/>
      <c r="AL340" s="556" t="s">
        <v>334</v>
      </c>
      <c r="AM340" s="327"/>
      <c r="AN340" s="553" t="s">
        <v>334</v>
      </c>
      <c r="AO340" s="327"/>
      <c r="AP340" s="547"/>
      <c r="AQ340" s="327"/>
      <c r="AR340" s="548"/>
      <c r="AS340" s="327"/>
      <c r="AT340" s="549"/>
      <c r="AU340" s="327"/>
      <c r="AV340" s="553" t="s">
        <v>334</v>
      </c>
      <c r="AW340" s="327"/>
      <c r="AX340" s="521"/>
      <c r="AY340" s="326"/>
      <c r="AZ340" s="327"/>
      <c r="BA340" s="550"/>
      <c r="BB340" s="327"/>
      <c r="BC340" s="22"/>
      <c r="BD340" s="551" t="s">
        <v>334</v>
      </c>
      <c r="BE340" s="327"/>
      <c r="BF340" s="545"/>
      <c r="BG340" s="326"/>
      <c r="BH340" s="326"/>
      <c r="BI340" s="327"/>
      <c r="BJ340" s="451" t="s">
        <v>303</v>
      </c>
      <c r="BK340" s="326"/>
      <c r="BL340" s="326"/>
      <c r="BM340" s="327"/>
      <c r="BN340" s="558" t="s">
        <v>303</v>
      </c>
      <c r="BO340" s="326"/>
      <c r="BP340" s="326"/>
      <c r="BQ340" s="326"/>
      <c r="BR340" s="326"/>
      <c r="BS340" s="326"/>
      <c r="BT340" s="326"/>
      <c r="BU340" s="326"/>
      <c r="BV340" s="327"/>
    </row>
    <row r="341" spans="1:74" ht="45" customHeight="1" x14ac:dyDescent="0.25">
      <c r="A341" s="10">
        <f t="shared" si="1"/>
        <v>327</v>
      </c>
      <c r="B341" s="559" t="s">
        <v>303</v>
      </c>
      <c r="C341" s="327"/>
      <c r="D341" s="560" t="s">
        <v>307</v>
      </c>
      <c r="E341" s="327"/>
      <c r="F341" s="537" t="s">
        <v>334</v>
      </c>
      <c r="G341" s="327"/>
      <c r="H341" s="566" t="s">
        <v>334</v>
      </c>
      <c r="I341" s="327"/>
      <c r="J341" s="567"/>
      <c r="K341" s="327"/>
      <c r="L341" s="567"/>
      <c r="M341" s="327"/>
      <c r="N341" s="20"/>
      <c r="O341" s="24"/>
      <c r="P341" s="524"/>
      <c r="Q341" s="327"/>
      <c r="R341" s="516"/>
      <c r="S341" s="327"/>
      <c r="T341" s="517"/>
      <c r="U341" s="327"/>
      <c r="V341" s="518"/>
      <c r="W341" s="327"/>
      <c r="X341" s="541" t="s">
        <v>303</v>
      </c>
      <c r="Y341" s="326"/>
      <c r="Z341" s="326"/>
      <c r="AA341" s="327"/>
      <c r="AB341" s="542" t="s">
        <v>303</v>
      </c>
      <c r="AC341" s="326"/>
      <c r="AD341" s="326"/>
      <c r="AE341" s="327"/>
      <c r="AF341" s="520"/>
      <c r="AG341" s="327"/>
      <c r="AH341" s="520"/>
      <c r="AI341" s="327"/>
      <c r="AJ341" s="554"/>
      <c r="AK341" s="327"/>
      <c r="AL341" s="537" t="s">
        <v>334</v>
      </c>
      <c r="AM341" s="327"/>
      <c r="AN341" s="546" t="s">
        <v>334</v>
      </c>
      <c r="AO341" s="327"/>
      <c r="AP341" s="554"/>
      <c r="AQ341" s="327"/>
      <c r="AR341" s="555"/>
      <c r="AS341" s="327"/>
      <c r="AT341" s="549"/>
      <c r="AU341" s="327"/>
      <c r="AV341" s="546" t="s">
        <v>334</v>
      </c>
      <c r="AW341" s="327"/>
      <c r="AX341" s="521"/>
      <c r="AY341" s="326"/>
      <c r="AZ341" s="327"/>
      <c r="BA341" s="536"/>
      <c r="BB341" s="327"/>
      <c r="BC341" s="25"/>
      <c r="BD341" s="544" t="s">
        <v>334</v>
      </c>
      <c r="BE341" s="327"/>
      <c r="BF341" s="552"/>
      <c r="BG341" s="326"/>
      <c r="BH341" s="326"/>
      <c r="BI341" s="327"/>
      <c r="BJ341" s="557" t="s">
        <v>303</v>
      </c>
      <c r="BK341" s="326"/>
      <c r="BL341" s="326"/>
      <c r="BM341" s="327"/>
      <c r="BN341" s="558" t="s">
        <v>303</v>
      </c>
      <c r="BO341" s="326"/>
      <c r="BP341" s="326"/>
      <c r="BQ341" s="326"/>
      <c r="BR341" s="326"/>
      <c r="BS341" s="326"/>
      <c r="BT341" s="326"/>
      <c r="BU341" s="326"/>
      <c r="BV341" s="327"/>
    </row>
    <row r="342" spans="1:74" ht="45" customHeight="1" x14ac:dyDescent="0.25">
      <c r="A342" s="10">
        <f t="shared" si="1"/>
        <v>328</v>
      </c>
      <c r="B342" s="564" t="s">
        <v>303</v>
      </c>
      <c r="C342" s="327"/>
      <c r="D342" s="565" t="s">
        <v>307</v>
      </c>
      <c r="E342" s="327"/>
      <c r="F342" s="537" t="s">
        <v>334</v>
      </c>
      <c r="G342" s="327"/>
      <c r="H342" s="561" t="s">
        <v>334</v>
      </c>
      <c r="I342" s="327"/>
      <c r="J342" s="562"/>
      <c r="K342" s="327"/>
      <c r="L342" s="562"/>
      <c r="M342" s="327"/>
      <c r="N342" s="23"/>
      <c r="O342" s="21"/>
      <c r="P342" s="563"/>
      <c r="Q342" s="327"/>
      <c r="R342" s="538"/>
      <c r="S342" s="327"/>
      <c r="T342" s="539"/>
      <c r="U342" s="327"/>
      <c r="V342" s="540"/>
      <c r="W342" s="327"/>
      <c r="X342" s="438" t="s">
        <v>303</v>
      </c>
      <c r="Y342" s="326"/>
      <c r="Z342" s="326"/>
      <c r="AA342" s="327"/>
      <c r="AB342" s="519" t="s">
        <v>303</v>
      </c>
      <c r="AC342" s="326"/>
      <c r="AD342" s="326"/>
      <c r="AE342" s="327"/>
      <c r="AF342" s="543"/>
      <c r="AG342" s="327"/>
      <c r="AH342" s="543"/>
      <c r="AI342" s="327"/>
      <c r="AJ342" s="536"/>
      <c r="AK342" s="327"/>
      <c r="AL342" s="556" t="s">
        <v>334</v>
      </c>
      <c r="AM342" s="327"/>
      <c r="AN342" s="553" t="s">
        <v>334</v>
      </c>
      <c r="AO342" s="327"/>
      <c r="AP342" s="547"/>
      <c r="AQ342" s="327"/>
      <c r="AR342" s="548"/>
      <c r="AS342" s="327"/>
      <c r="AT342" s="549"/>
      <c r="AU342" s="327"/>
      <c r="AV342" s="553" t="s">
        <v>334</v>
      </c>
      <c r="AW342" s="327"/>
      <c r="AX342" s="521"/>
      <c r="AY342" s="326"/>
      <c r="AZ342" s="327"/>
      <c r="BA342" s="550"/>
      <c r="BB342" s="327"/>
      <c r="BC342" s="22"/>
      <c r="BD342" s="551" t="s">
        <v>334</v>
      </c>
      <c r="BE342" s="327"/>
      <c r="BF342" s="545"/>
      <c r="BG342" s="326"/>
      <c r="BH342" s="326"/>
      <c r="BI342" s="327"/>
      <c r="BJ342" s="451" t="s">
        <v>303</v>
      </c>
      <c r="BK342" s="326"/>
      <c r="BL342" s="326"/>
      <c r="BM342" s="327"/>
      <c r="BN342" s="558" t="s">
        <v>303</v>
      </c>
      <c r="BO342" s="326"/>
      <c r="BP342" s="326"/>
      <c r="BQ342" s="326"/>
      <c r="BR342" s="326"/>
      <c r="BS342" s="326"/>
      <c r="BT342" s="326"/>
      <c r="BU342" s="326"/>
      <c r="BV342" s="327"/>
    </row>
    <row r="343" spans="1:74" ht="45" customHeight="1" x14ac:dyDescent="0.25">
      <c r="A343" s="10">
        <f t="shared" si="1"/>
        <v>329</v>
      </c>
      <c r="B343" s="559" t="s">
        <v>303</v>
      </c>
      <c r="C343" s="327"/>
      <c r="D343" s="560" t="s">
        <v>307</v>
      </c>
      <c r="E343" s="327"/>
      <c r="F343" s="537" t="s">
        <v>334</v>
      </c>
      <c r="G343" s="327"/>
      <c r="H343" s="566" t="s">
        <v>334</v>
      </c>
      <c r="I343" s="327"/>
      <c r="J343" s="567"/>
      <c r="K343" s="327"/>
      <c r="L343" s="567"/>
      <c r="M343" s="327"/>
      <c r="N343" s="20"/>
      <c r="O343" s="24"/>
      <c r="P343" s="524"/>
      <c r="Q343" s="327"/>
      <c r="R343" s="516"/>
      <c r="S343" s="327"/>
      <c r="T343" s="517"/>
      <c r="U343" s="327"/>
      <c r="V343" s="518"/>
      <c r="W343" s="327"/>
      <c r="X343" s="541" t="s">
        <v>303</v>
      </c>
      <c r="Y343" s="326"/>
      <c r="Z343" s="326"/>
      <c r="AA343" s="327"/>
      <c r="AB343" s="542" t="s">
        <v>303</v>
      </c>
      <c r="AC343" s="326"/>
      <c r="AD343" s="326"/>
      <c r="AE343" s="327"/>
      <c r="AF343" s="520"/>
      <c r="AG343" s="327"/>
      <c r="AH343" s="520"/>
      <c r="AI343" s="327"/>
      <c r="AJ343" s="554"/>
      <c r="AK343" s="327"/>
      <c r="AL343" s="537" t="s">
        <v>334</v>
      </c>
      <c r="AM343" s="327"/>
      <c r="AN343" s="546" t="s">
        <v>334</v>
      </c>
      <c r="AO343" s="327"/>
      <c r="AP343" s="554"/>
      <c r="AQ343" s="327"/>
      <c r="AR343" s="555"/>
      <c r="AS343" s="327"/>
      <c r="AT343" s="549"/>
      <c r="AU343" s="327"/>
      <c r="AV343" s="546" t="s">
        <v>334</v>
      </c>
      <c r="AW343" s="327"/>
      <c r="AX343" s="521"/>
      <c r="AY343" s="326"/>
      <c r="AZ343" s="327"/>
      <c r="BA343" s="536"/>
      <c r="BB343" s="327"/>
      <c r="BC343" s="25"/>
      <c r="BD343" s="544" t="s">
        <v>334</v>
      </c>
      <c r="BE343" s="327"/>
      <c r="BF343" s="508"/>
      <c r="BG343" s="326"/>
      <c r="BH343" s="326"/>
      <c r="BI343" s="327"/>
      <c r="BJ343" s="557" t="s">
        <v>303</v>
      </c>
      <c r="BK343" s="326"/>
      <c r="BL343" s="326"/>
      <c r="BM343" s="327"/>
      <c r="BN343" s="558" t="s">
        <v>303</v>
      </c>
      <c r="BO343" s="326"/>
      <c r="BP343" s="326"/>
      <c r="BQ343" s="326"/>
      <c r="BR343" s="326"/>
      <c r="BS343" s="326"/>
      <c r="BT343" s="326"/>
      <c r="BU343" s="326"/>
      <c r="BV343" s="327"/>
    </row>
    <row r="344" spans="1:74" ht="45" customHeight="1" x14ac:dyDescent="0.25">
      <c r="A344" s="10">
        <f t="shared" si="1"/>
        <v>330</v>
      </c>
      <c r="B344" s="564" t="s">
        <v>303</v>
      </c>
      <c r="C344" s="327"/>
      <c r="D344" s="565" t="s">
        <v>307</v>
      </c>
      <c r="E344" s="327"/>
      <c r="F344" s="537" t="s">
        <v>334</v>
      </c>
      <c r="G344" s="327"/>
      <c r="H344" s="561" t="s">
        <v>334</v>
      </c>
      <c r="I344" s="327"/>
      <c r="J344" s="562"/>
      <c r="K344" s="327"/>
      <c r="L344" s="562"/>
      <c r="M344" s="327"/>
      <c r="N344" s="23"/>
      <c r="O344" s="21"/>
      <c r="P344" s="563"/>
      <c r="Q344" s="327"/>
      <c r="R344" s="538"/>
      <c r="S344" s="327"/>
      <c r="T344" s="539"/>
      <c r="U344" s="327"/>
      <c r="V344" s="540"/>
      <c r="W344" s="327"/>
      <c r="X344" s="438" t="s">
        <v>303</v>
      </c>
      <c r="Y344" s="326"/>
      <c r="Z344" s="326"/>
      <c r="AA344" s="327"/>
      <c r="AB344" s="519" t="s">
        <v>303</v>
      </c>
      <c r="AC344" s="326"/>
      <c r="AD344" s="326"/>
      <c r="AE344" s="327"/>
      <c r="AF344" s="543"/>
      <c r="AG344" s="327"/>
      <c r="AH344" s="543"/>
      <c r="AI344" s="327"/>
      <c r="AJ344" s="536"/>
      <c r="AK344" s="327"/>
      <c r="AL344" s="556" t="s">
        <v>334</v>
      </c>
      <c r="AM344" s="327"/>
      <c r="AN344" s="553" t="s">
        <v>334</v>
      </c>
      <c r="AO344" s="327"/>
      <c r="AP344" s="547"/>
      <c r="AQ344" s="327"/>
      <c r="AR344" s="548"/>
      <c r="AS344" s="327"/>
      <c r="AT344" s="549"/>
      <c r="AU344" s="327"/>
      <c r="AV344" s="553" t="s">
        <v>334</v>
      </c>
      <c r="AW344" s="327"/>
      <c r="AX344" s="521"/>
      <c r="AY344" s="326"/>
      <c r="AZ344" s="327"/>
      <c r="BA344" s="550"/>
      <c r="BB344" s="327"/>
      <c r="BC344" s="22"/>
      <c r="BD344" s="551" t="s">
        <v>334</v>
      </c>
      <c r="BE344" s="327"/>
      <c r="BF344" s="545"/>
      <c r="BG344" s="326"/>
      <c r="BH344" s="326"/>
      <c r="BI344" s="327"/>
      <c r="BJ344" s="451" t="s">
        <v>303</v>
      </c>
      <c r="BK344" s="326"/>
      <c r="BL344" s="326"/>
      <c r="BM344" s="327"/>
      <c r="BN344" s="558" t="s">
        <v>303</v>
      </c>
      <c r="BO344" s="326"/>
      <c r="BP344" s="326"/>
      <c r="BQ344" s="326"/>
      <c r="BR344" s="326"/>
      <c r="BS344" s="326"/>
      <c r="BT344" s="326"/>
      <c r="BU344" s="326"/>
      <c r="BV344" s="327"/>
    </row>
    <row r="345" spans="1:74" ht="45" customHeight="1" x14ac:dyDescent="0.25">
      <c r="A345" s="10">
        <f t="shared" si="1"/>
        <v>331</v>
      </c>
      <c r="B345" s="559" t="s">
        <v>303</v>
      </c>
      <c r="C345" s="327"/>
      <c r="D345" s="560" t="s">
        <v>307</v>
      </c>
      <c r="E345" s="327"/>
      <c r="F345" s="537" t="s">
        <v>334</v>
      </c>
      <c r="G345" s="327"/>
      <c r="H345" s="566" t="s">
        <v>334</v>
      </c>
      <c r="I345" s="327"/>
      <c r="J345" s="567"/>
      <c r="K345" s="327"/>
      <c r="L345" s="567"/>
      <c r="M345" s="327"/>
      <c r="N345" s="20"/>
      <c r="O345" s="24"/>
      <c r="P345" s="524"/>
      <c r="Q345" s="327"/>
      <c r="R345" s="516"/>
      <c r="S345" s="327"/>
      <c r="T345" s="517"/>
      <c r="U345" s="327"/>
      <c r="V345" s="518"/>
      <c r="W345" s="327"/>
      <c r="X345" s="541" t="s">
        <v>303</v>
      </c>
      <c r="Y345" s="326"/>
      <c r="Z345" s="326"/>
      <c r="AA345" s="327"/>
      <c r="AB345" s="542" t="s">
        <v>303</v>
      </c>
      <c r="AC345" s="326"/>
      <c r="AD345" s="326"/>
      <c r="AE345" s="327"/>
      <c r="AF345" s="520"/>
      <c r="AG345" s="327"/>
      <c r="AH345" s="520"/>
      <c r="AI345" s="327"/>
      <c r="AJ345" s="554"/>
      <c r="AK345" s="327"/>
      <c r="AL345" s="537" t="s">
        <v>334</v>
      </c>
      <c r="AM345" s="327"/>
      <c r="AN345" s="546" t="s">
        <v>334</v>
      </c>
      <c r="AO345" s="327"/>
      <c r="AP345" s="554"/>
      <c r="AQ345" s="327"/>
      <c r="AR345" s="555"/>
      <c r="AS345" s="327"/>
      <c r="AT345" s="549"/>
      <c r="AU345" s="327"/>
      <c r="AV345" s="546" t="s">
        <v>334</v>
      </c>
      <c r="AW345" s="327"/>
      <c r="AX345" s="521"/>
      <c r="AY345" s="326"/>
      <c r="AZ345" s="327"/>
      <c r="BA345" s="536"/>
      <c r="BB345" s="327"/>
      <c r="BC345" s="25"/>
      <c r="BD345" s="544" t="s">
        <v>334</v>
      </c>
      <c r="BE345" s="327"/>
      <c r="BF345" s="508"/>
      <c r="BG345" s="326"/>
      <c r="BH345" s="326"/>
      <c r="BI345" s="327"/>
      <c r="BJ345" s="557" t="s">
        <v>303</v>
      </c>
      <c r="BK345" s="326"/>
      <c r="BL345" s="326"/>
      <c r="BM345" s="327"/>
      <c r="BN345" s="558" t="s">
        <v>303</v>
      </c>
      <c r="BO345" s="326"/>
      <c r="BP345" s="326"/>
      <c r="BQ345" s="326"/>
      <c r="BR345" s="326"/>
      <c r="BS345" s="326"/>
      <c r="BT345" s="326"/>
      <c r="BU345" s="326"/>
      <c r="BV345" s="327"/>
    </row>
    <row r="346" spans="1:74" ht="45" customHeight="1" x14ac:dyDescent="0.25">
      <c r="A346" s="10">
        <f t="shared" si="1"/>
        <v>332</v>
      </c>
      <c r="B346" s="564" t="s">
        <v>303</v>
      </c>
      <c r="C346" s="327"/>
      <c r="D346" s="565" t="s">
        <v>307</v>
      </c>
      <c r="E346" s="327"/>
      <c r="F346" s="537" t="s">
        <v>334</v>
      </c>
      <c r="G346" s="327"/>
      <c r="H346" s="561" t="s">
        <v>334</v>
      </c>
      <c r="I346" s="327"/>
      <c r="J346" s="562"/>
      <c r="K346" s="327"/>
      <c r="L346" s="562"/>
      <c r="M346" s="327"/>
      <c r="N346" s="23"/>
      <c r="O346" s="21"/>
      <c r="P346" s="563"/>
      <c r="Q346" s="327"/>
      <c r="R346" s="538"/>
      <c r="S346" s="327"/>
      <c r="T346" s="539"/>
      <c r="U346" s="327"/>
      <c r="V346" s="540"/>
      <c r="W346" s="327"/>
      <c r="X346" s="438" t="s">
        <v>303</v>
      </c>
      <c r="Y346" s="326"/>
      <c r="Z346" s="326"/>
      <c r="AA346" s="327"/>
      <c r="AB346" s="519" t="s">
        <v>303</v>
      </c>
      <c r="AC346" s="326"/>
      <c r="AD346" s="326"/>
      <c r="AE346" s="327"/>
      <c r="AF346" s="543"/>
      <c r="AG346" s="327"/>
      <c r="AH346" s="543"/>
      <c r="AI346" s="327"/>
      <c r="AJ346" s="536"/>
      <c r="AK346" s="327"/>
      <c r="AL346" s="556" t="s">
        <v>334</v>
      </c>
      <c r="AM346" s="327"/>
      <c r="AN346" s="553" t="s">
        <v>334</v>
      </c>
      <c r="AO346" s="327"/>
      <c r="AP346" s="547"/>
      <c r="AQ346" s="327"/>
      <c r="AR346" s="548"/>
      <c r="AS346" s="327"/>
      <c r="AT346" s="549"/>
      <c r="AU346" s="327"/>
      <c r="AV346" s="553" t="s">
        <v>334</v>
      </c>
      <c r="AW346" s="327"/>
      <c r="AX346" s="521"/>
      <c r="AY346" s="326"/>
      <c r="AZ346" s="327"/>
      <c r="BA346" s="550"/>
      <c r="BB346" s="327"/>
      <c r="BC346" s="22"/>
      <c r="BD346" s="551" t="s">
        <v>334</v>
      </c>
      <c r="BE346" s="327"/>
      <c r="BF346" s="545"/>
      <c r="BG346" s="326"/>
      <c r="BH346" s="326"/>
      <c r="BI346" s="327"/>
      <c r="BJ346" s="451" t="s">
        <v>303</v>
      </c>
      <c r="BK346" s="326"/>
      <c r="BL346" s="326"/>
      <c r="BM346" s="327"/>
      <c r="BN346" s="558" t="s">
        <v>303</v>
      </c>
      <c r="BO346" s="326"/>
      <c r="BP346" s="326"/>
      <c r="BQ346" s="326"/>
      <c r="BR346" s="326"/>
      <c r="BS346" s="326"/>
      <c r="BT346" s="326"/>
      <c r="BU346" s="326"/>
      <c r="BV346" s="327"/>
    </row>
    <row r="347" spans="1:74" ht="45" customHeight="1" x14ac:dyDescent="0.25">
      <c r="A347" s="10">
        <f t="shared" si="1"/>
        <v>333</v>
      </c>
      <c r="B347" s="559" t="s">
        <v>303</v>
      </c>
      <c r="C347" s="327"/>
      <c r="D347" s="560" t="s">
        <v>307</v>
      </c>
      <c r="E347" s="327"/>
      <c r="F347" s="537" t="s">
        <v>334</v>
      </c>
      <c r="G347" s="327"/>
      <c r="H347" s="566" t="s">
        <v>334</v>
      </c>
      <c r="I347" s="327"/>
      <c r="J347" s="567"/>
      <c r="K347" s="327"/>
      <c r="L347" s="567"/>
      <c r="M347" s="327"/>
      <c r="N347" s="20"/>
      <c r="O347" s="24"/>
      <c r="P347" s="524"/>
      <c r="Q347" s="327"/>
      <c r="R347" s="516"/>
      <c r="S347" s="327"/>
      <c r="T347" s="517"/>
      <c r="U347" s="327"/>
      <c r="V347" s="518"/>
      <c r="W347" s="327"/>
      <c r="X347" s="541" t="s">
        <v>303</v>
      </c>
      <c r="Y347" s="326"/>
      <c r="Z347" s="326"/>
      <c r="AA347" s="327"/>
      <c r="AB347" s="542" t="s">
        <v>303</v>
      </c>
      <c r="AC347" s="326"/>
      <c r="AD347" s="326"/>
      <c r="AE347" s="327"/>
      <c r="AF347" s="520"/>
      <c r="AG347" s="327"/>
      <c r="AH347" s="520"/>
      <c r="AI347" s="327"/>
      <c r="AJ347" s="554"/>
      <c r="AK347" s="327"/>
      <c r="AL347" s="537" t="s">
        <v>334</v>
      </c>
      <c r="AM347" s="327"/>
      <c r="AN347" s="546" t="s">
        <v>334</v>
      </c>
      <c r="AO347" s="327"/>
      <c r="AP347" s="554"/>
      <c r="AQ347" s="327"/>
      <c r="AR347" s="555"/>
      <c r="AS347" s="327"/>
      <c r="AT347" s="549"/>
      <c r="AU347" s="327"/>
      <c r="AV347" s="546" t="s">
        <v>334</v>
      </c>
      <c r="AW347" s="327"/>
      <c r="AX347" s="521"/>
      <c r="AY347" s="326"/>
      <c r="AZ347" s="327"/>
      <c r="BA347" s="536"/>
      <c r="BB347" s="327"/>
      <c r="BC347" s="25"/>
      <c r="BD347" s="544" t="s">
        <v>334</v>
      </c>
      <c r="BE347" s="327"/>
      <c r="BF347" s="552"/>
      <c r="BG347" s="326"/>
      <c r="BH347" s="326"/>
      <c r="BI347" s="327"/>
      <c r="BJ347" s="557" t="s">
        <v>303</v>
      </c>
      <c r="BK347" s="326"/>
      <c r="BL347" s="326"/>
      <c r="BM347" s="327"/>
      <c r="BN347" s="558" t="s">
        <v>303</v>
      </c>
      <c r="BO347" s="326"/>
      <c r="BP347" s="326"/>
      <c r="BQ347" s="326"/>
      <c r="BR347" s="326"/>
      <c r="BS347" s="326"/>
      <c r="BT347" s="326"/>
      <c r="BU347" s="326"/>
      <c r="BV347" s="327"/>
    </row>
    <row r="348" spans="1:74" ht="45" customHeight="1" x14ac:dyDescent="0.25">
      <c r="A348" s="10">
        <f t="shared" si="1"/>
        <v>334</v>
      </c>
      <c r="B348" s="564" t="s">
        <v>303</v>
      </c>
      <c r="C348" s="327"/>
      <c r="D348" s="565" t="s">
        <v>307</v>
      </c>
      <c r="E348" s="327"/>
      <c r="F348" s="537" t="s">
        <v>334</v>
      </c>
      <c r="G348" s="327"/>
      <c r="H348" s="561" t="s">
        <v>334</v>
      </c>
      <c r="I348" s="327"/>
      <c r="J348" s="562"/>
      <c r="K348" s="327"/>
      <c r="L348" s="562"/>
      <c r="M348" s="327"/>
      <c r="N348" s="23"/>
      <c r="O348" s="21"/>
      <c r="P348" s="563"/>
      <c r="Q348" s="327"/>
      <c r="R348" s="538"/>
      <c r="S348" s="327"/>
      <c r="T348" s="539"/>
      <c r="U348" s="327"/>
      <c r="V348" s="540"/>
      <c r="W348" s="327"/>
      <c r="X348" s="438" t="s">
        <v>303</v>
      </c>
      <c r="Y348" s="326"/>
      <c r="Z348" s="326"/>
      <c r="AA348" s="327"/>
      <c r="AB348" s="519" t="s">
        <v>303</v>
      </c>
      <c r="AC348" s="326"/>
      <c r="AD348" s="326"/>
      <c r="AE348" s="327"/>
      <c r="AF348" s="543"/>
      <c r="AG348" s="327"/>
      <c r="AH348" s="543"/>
      <c r="AI348" s="327"/>
      <c r="AJ348" s="536"/>
      <c r="AK348" s="327"/>
      <c r="AL348" s="556" t="s">
        <v>334</v>
      </c>
      <c r="AM348" s="327"/>
      <c r="AN348" s="553" t="s">
        <v>334</v>
      </c>
      <c r="AO348" s="327"/>
      <c r="AP348" s="547"/>
      <c r="AQ348" s="327"/>
      <c r="AR348" s="548"/>
      <c r="AS348" s="327"/>
      <c r="AT348" s="549"/>
      <c r="AU348" s="327"/>
      <c r="AV348" s="553" t="s">
        <v>334</v>
      </c>
      <c r="AW348" s="327"/>
      <c r="AX348" s="521"/>
      <c r="AY348" s="326"/>
      <c r="AZ348" s="327"/>
      <c r="BA348" s="550"/>
      <c r="BB348" s="327"/>
      <c r="BC348" s="22"/>
      <c r="BD348" s="551" t="s">
        <v>334</v>
      </c>
      <c r="BE348" s="327"/>
      <c r="BF348" s="545"/>
      <c r="BG348" s="326"/>
      <c r="BH348" s="326"/>
      <c r="BI348" s="327"/>
      <c r="BJ348" s="451" t="s">
        <v>303</v>
      </c>
      <c r="BK348" s="326"/>
      <c r="BL348" s="326"/>
      <c r="BM348" s="327"/>
      <c r="BN348" s="558" t="s">
        <v>303</v>
      </c>
      <c r="BO348" s="326"/>
      <c r="BP348" s="326"/>
      <c r="BQ348" s="326"/>
      <c r="BR348" s="326"/>
      <c r="BS348" s="326"/>
      <c r="BT348" s="326"/>
      <c r="BU348" s="326"/>
      <c r="BV348" s="327"/>
    </row>
    <row r="349" spans="1:74" ht="45" customHeight="1" x14ac:dyDescent="0.25">
      <c r="A349" s="10">
        <f t="shared" si="1"/>
        <v>335</v>
      </c>
      <c r="B349" s="559" t="s">
        <v>303</v>
      </c>
      <c r="C349" s="327"/>
      <c r="D349" s="560" t="s">
        <v>307</v>
      </c>
      <c r="E349" s="327"/>
      <c r="F349" s="537" t="s">
        <v>334</v>
      </c>
      <c r="G349" s="327"/>
      <c r="H349" s="566" t="s">
        <v>334</v>
      </c>
      <c r="I349" s="327"/>
      <c r="J349" s="567"/>
      <c r="K349" s="327"/>
      <c r="L349" s="567"/>
      <c r="M349" s="327"/>
      <c r="N349" s="20"/>
      <c r="O349" s="24"/>
      <c r="P349" s="524"/>
      <c r="Q349" s="327"/>
      <c r="R349" s="516"/>
      <c r="S349" s="327"/>
      <c r="T349" s="517"/>
      <c r="U349" s="327"/>
      <c r="V349" s="518"/>
      <c r="W349" s="327"/>
      <c r="X349" s="541" t="s">
        <v>303</v>
      </c>
      <c r="Y349" s="326"/>
      <c r="Z349" s="326"/>
      <c r="AA349" s="327"/>
      <c r="AB349" s="542" t="s">
        <v>303</v>
      </c>
      <c r="AC349" s="326"/>
      <c r="AD349" s="326"/>
      <c r="AE349" s="327"/>
      <c r="AF349" s="520"/>
      <c r="AG349" s="327"/>
      <c r="AH349" s="520"/>
      <c r="AI349" s="327"/>
      <c r="AJ349" s="554"/>
      <c r="AK349" s="327"/>
      <c r="AL349" s="537" t="s">
        <v>334</v>
      </c>
      <c r="AM349" s="327"/>
      <c r="AN349" s="546" t="s">
        <v>334</v>
      </c>
      <c r="AO349" s="327"/>
      <c r="AP349" s="554"/>
      <c r="AQ349" s="327"/>
      <c r="AR349" s="555"/>
      <c r="AS349" s="327"/>
      <c r="AT349" s="549"/>
      <c r="AU349" s="327"/>
      <c r="AV349" s="546" t="s">
        <v>334</v>
      </c>
      <c r="AW349" s="327"/>
      <c r="AX349" s="521"/>
      <c r="AY349" s="326"/>
      <c r="AZ349" s="327"/>
      <c r="BA349" s="536"/>
      <c r="BB349" s="327"/>
      <c r="BC349" s="25"/>
      <c r="BD349" s="544" t="s">
        <v>334</v>
      </c>
      <c r="BE349" s="327"/>
      <c r="BF349" s="508"/>
      <c r="BG349" s="326"/>
      <c r="BH349" s="326"/>
      <c r="BI349" s="327"/>
      <c r="BJ349" s="557" t="s">
        <v>303</v>
      </c>
      <c r="BK349" s="326"/>
      <c r="BL349" s="326"/>
      <c r="BM349" s="327"/>
      <c r="BN349" s="558" t="s">
        <v>303</v>
      </c>
      <c r="BO349" s="326"/>
      <c r="BP349" s="326"/>
      <c r="BQ349" s="326"/>
      <c r="BR349" s="326"/>
      <c r="BS349" s="326"/>
      <c r="BT349" s="326"/>
      <c r="BU349" s="326"/>
      <c r="BV349" s="327"/>
    </row>
    <row r="350" spans="1:74" ht="45" customHeight="1" x14ac:dyDescent="0.25">
      <c r="A350" s="10">
        <f t="shared" si="1"/>
        <v>336</v>
      </c>
      <c r="B350" s="564" t="s">
        <v>303</v>
      </c>
      <c r="C350" s="327"/>
      <c r="D350" s="565" t="s">
        <v>307</v>
      </c>
      <c r="E350" s="327"/>
      <c r="F350" s="537" t="s">
        <v>334</v>
      </c>
      <c r="G350" s="327"/>
      <c r="H350" s="561" t="s">
        <v>334</v>
      </c>
      <c r="I350" s="327"/>
      <c r="J350" s="562"/>
      <c r="K350" s="327"/>
      <c r="L350" s="562"/>
      <c r="M350" s="327"/>
      <c r="N350" s="23"/>
      <c r="O350" s="21"/>
      <c r="P350" s="563"/>
      <c r="Q350" s="327"/>
      <c r="R350" s="538"/>
      <c r="S350" s="327"/>
      <c r="T350" s="539"/>
      <c r="U350" s="327"/>
      <c r="V350" s="540"/>
      <c r="W350" s="327"/>
      <c r="X350" s="438" t="s">
        <v>303</v>
      </c>
      <c r="Y350" s="326"/>
      <c r="Z350" s="326"/>
      <c r="AA350" s="327"/>
      <c r="AB350" s="519" t="s">
        <v>303</v>
      </c>
      <c r="AC350" s="326"/>
      <c r="AD350" s="326"/>
      <c r="AE350" s="327"/>
      <c r="AF350" s="543"/>
      <c r="AG350" s="327"/>
      <c r="AH350" s="543"/>
      <c r="AI350" s="327"/>
      <c r="AJ350" s="536"/>
      <c r="AK350" s="327"/>
      <c r="AL350" s="556" t="s">
        <v>334</v>
      </c>
      <c r="AM350" s="327"/>
      <c r="AN350" s="553" t="s">
        <v>334</v>
      </c>
      <c r="AO350" s="327"/>
      <c r="AP350" s="547"/>
      <c r="AQ350" s="327"/>
      <c r="AR350" s="548"/>
      <c r="AS350" s="327"/>
      <c r="AT350" s="549"/>
      <c r="AU350" s="327"/>
      <c r="AV350" s="553" t="s">
        <v>334</v>
      </c>
      <c r="AW350" s="327"/>
      <c r="AX350" s="521"/>
      <c r="AY350" s="326"/>
      <c r="AZ350" s="327"/>
      <c r="BA350" s="550"/>
      <c r="BB350" s="327"/>
      <c r="BC350" s="22"/>
      <c r="BD350" s="551" t="s">
        <v>334</v>
      </c>
      <c r="BE350" s="327"/>
      <c r="BF350" s="545"/>
      <c r="BG350" s="326"/>
      <c r="BH350" s="326"/>
      <c r="BI350" s="327"/>
      <c r="BJ350" s="451" t="s">
        <v>303</v>
      </c>
      <c r="BK350" s="326"/>
      <c r="BL350" s="326"/>
      <c r="BM350" s="327"/>
      <c r="BN350" s="558" t="s">
        <v>303</v>
      </c>
      <c r="BO350" s="326"/>
      <c r="BP350" s="326"/>
      <c r="BQ350" s="326"/>
      <c r="BR350" s="326"/>
      <c r="BS350" s="326"/>
      <c r="BT350" s="326"/>
      <c r="BU350" s="326"/>
      <c r="BV350" s="327"/>
    </row>
    <row r="351" spans="1:74" ht="45" customHeight="1" x14ac:dyDescent="0.25">
      <c r="A351" s="10">
        <f t="shared" si="1"/>
        <v>337</v>
      </c>
      <c r="B351" s="559" t="s">
        <v>303</v>
      </c>
      <c r="C351" s="327"/>
      <c r="D351" s="560" t="s">
        <v>307</v>
      </c>
      <c r="E351" s="327"/>
      <c r="F351" s="537" t="s">
        <v>334</v>
      </c>
      <c r="G351" s="327"/>
      <c r="H351" s="566" t="s">
        <v>334</v>
      </c>
      <c r="I351" s="327"/>
      <c r="J351" s="567"/>
      <c r="K351" s="327"/>
      <c r="L351" s="567"/>
      <c r="M351" s="327"/>
      <c r="N351" s="20"/>
      <c r="O351" s="24"/>
      <c r="P351" s="524"/>
      <c r="Q351" s="327"/>
      <c r="R351" s="516"/>
      <c r="S351" s="327"/>
      <c r="T351" s="517"/>
      <c r="U351" s="327"/>
      <c r="V351" s="518"/>
      <c r="W351" s="327"/>
      <c r="X351" s="541" t="s">
        <v>303</v>
      </c>
      <c r="Y351" s="326"/>
      <c r="Z351" s="326"/>
      <c r="AA351" s="327"/>
      <c r="AB351" s="542" t="s">
        <v>303</v>
      </c>
      <c r="AC351" s="326"/>
      <c r="AD351" s="326"/>
      <c r="AE351" s="327"/>
      <c r="AF351" s="520"/>
      <c r="AG351" s="327"/>
      <c r="AH351" s="520"/>
      <c r="AI351" s="327"/>
      <c r="AJ351" s="554"/>
      <c r="AK351" s="327"/>
      <c r="AL351" s="537" t="s">
        <v>334</v>
      </c>
      <c r="AM351" s="327"/>
      <c r="AN351" s="546" t="s">
        <v>334</v>
      </c>
      <c r="AO351" s="327"/>
      <c r="AP351" s="554"/>
      <c r="AQ351" s="327"/>
      <c r="AR351" s="555"/>
      <c r="AS351" s="327"/>
      <c r="AT351" s="549"/>
      <c r="AU351" s="327"/>
      <c r="AV351" s="546" t="s">
        <v>334</v>
      </c>
      <c r="AW351" s="327"/>
      <c r="AX351" s="521"/>
      <c r="AY351" s="326"/>
      <c r="AZ351" s="327"/>
      <c r="BA351" s="536"/>
      <c r="BB351" s="327"/>
      <c r="BC351" s="25"/>
      <c r="BD351" s="551" t="s">
        <v>334</v>
      </c>
      <c r="BE351" s="327"/>
      <c r="BF351" s="552"/>
      <c r="BG351" s="326"/>
      <c r="BH351" s="326"/>
      <c r="BI351" s="327"/>
      <c r="BJ351" s="557" t="s">
        <v>303</v>
      </c>
      <c r="BK351" s="326"/>
      <c r="BL351" s="326"/>
      <c r="BM351" s="327"/>
      <c r="BN351" s="558" t="s">
        <v>303</v>
      </c>
      <c r="BO351" s="326"/>
      <c r="BP351" s="326"/>
      <c r="BQ351" s="326"/>
      <c r="BR351" s="326"/>
      <c r="BS351" s="326"/>
      <c r="BT351" s="326"/>
      <c r="BU351" s="326"/>
      <c r="BV351" s="327"/>
    </row>
    <row r="352" spans="1:74" ht="45" customHeight="1" x14ac:dyDescent="0.25">
      <c r="A352" s="10">
        <f t="shared" si="1"/>
        <v>338</v>
      </c>
      <c r="B352" s="564" t="s">
        <v>303</v>
      </c>
      <c r="C352" s="327"/>
      <c r="D352" s="565" t="s">
        <v>307</v>
      </c>
      <c r="E352" s="327"/>
      <c r="F352" s="537" t="s">
        <v>334</v>
      </c>
      <c r="G352" s="327"/>
      <c r="H352" s="561" t="s">
        <v>334</v>
      </c>
      <c r="I352" s="327"/>
      <c r="J352" s="562"/>
      <c r="K352" s="327"/>
      <c r="L352" s="562"/>
      <c r="M352" s="327"/>
      <c r="N352" s="23"/>
      <c r="O352" s="21"/>
      <c r="P352" s="563"/>
      <c r="Q352" s="327"/>
      <c r="R352" s="538"/>
      <c r="S352" s="327"/>
      <c r="T352" s="539"/>
      <c r="U352" s="327"/>
      <c r="V352" s="540"/>
      <c r="W352" s="327"/>
      <c r="X352" s="438" t="s">
        <v>303</v>
      </c>
      <c r="Y352" s="326"/>
      <c r="Z352" s="326"/>
      <c r="AA352" s="327"/>
      <c r="AB352" s="519" t="s">
        <v>303</v>
      </c>
      <c r="AC352" s="326"/>
      <c r="AD352" s="326"/>
      <c r="AE352" s="327"/>
      <c r="AF352" s="543"/>
      <c r="AG352" s="327"/>
      <c r="AH352" s="543"/>
      <c r="AI352" s="327"/>
      <c r="AJ352" s="536"/>
      <c r="AK352" s="327"/>
      <c r="AL352" s="556" t="s">
        <v>334</v>
      </c>
      <c r="AM352" s="327"/>
      <c r="AN352" s="553" t="s">
        <v>334</v>
      </c>
      <c r="AO352" s="327"/>
      <c r="AP352" s="547"/>
      <c r="AQ352" s="327"/>
      <c r="AR352" s="548"/>
      <c r="AS352" s="327"/>
      <c r="AT352" s="549"/>
      <c r="AU352" s="327"/>
      <c r="AV352" s="553" t="s">
        <v>334</v>
      </c>
      <c r="AW352" s="327"/>
      <c r="AX352" s="521"/>
      <c r="AY352" s="326"/>
      <c r="AZ352" s="327"/>
      <c r="BA352" s="550"/>
      <c r="BB352" s="327"/>
      <c r="BC352" s="22"/>
      <c r="BD352" s="544" t="s">
        <v>334</v>
      </c>
      <c r="BE352" s="327"/>
      <c r="BF352" s="545"/>
      <c r="BG352" s="326"/>
      <c r="BH352" s="326"/>
      <c r="BI352" s="327"/>
      <c r="BJ352" s="451" t="s">
        <v>303</v>
      </c>
      <c r="BK352" s="326"/>
      <c r="BL352" s="326"/>
      <c r="BM352" s="327"/>
      <c r="BN352" s="558" t="s">
        <v>303</v>
      </c>
      <c r="BO352" s="326"/>
      <c r="BP352" s="326"/>
      <c r="BQ352" s="326"/>
      <c r="BR352" s="326"/>
      <c r="BS352" s="326"/>
      <c r="BT352" s="326"/>
      <c r="BU352" s="326"/>
      <c r="BV352" s="327"/>
    </row>
    <row r="353" spans="1:74" ht="45" customHeight="1" x14ac:dyDescent="0.25">
      <c r="A353" s="10">
        <f t="shared" si="1"/>
        <v>339</v>
      </c>
      <c r="B353" s="559" t="s">
        <v>303</v>
      </c>
      <c r="C353" s="327"/>
      <c r="D353" s="560" t="s">
        <v>307</v>
      </c>
      <c r="E353" s="327"/>
      <c r="F353" s="537" t="s">
        <v>334</v>
      </c>
      <c r="G353" s="327"/>
      <c r="H353" s="566" t="s">
        <v>334</v>
      </c>
      <c r="I353" s="327"/>
      <c r="J353" s="567"/>
      <c r="K353" s="327"/>
      <c r="L353" s="567"/>
      <c r="M353" s="327"/>
      <c r="N353" s="20"/>
      <c r="O353" s="24"/>
      <c r="P353" s="524"/>
      <c r="Q353" s="327"/>
      <c r="R353" s="516"/>
      <c r="S353" s="327"/>
      <c r="T353" s="517"/>
      <c r="U353" s="327"/>
      <c r="V353" s="518"/>
      <c r="W353" s="327"/>
      <c r="X353" s="541" t="s">
        <v>303</v>
      </c>
      <c r="Y353" s="326"/>
      <c r="Z353" s="326"/>
      <c r="AA353" s="327"/>
      <c r="AB353" s="542" t="s">
        <v>303</v>
      </c>
      <c r="AC353" s="326"/>
      <c r="AD353" s="326"/>
      <c r="AE353" s="327"/>
      <c r="AF353" s="520"/>
      <c r="AG353" s="327"/>
      <c r="AH353" s="520"/>
      <c r="AI353" s="327"/>
      <c r="AJ353" s="554"/>
      <c r="AK353" s="327"/>
      <c r="AL353" s="537" t="s">
        <v>334</v>
      </c>
      <c r="AM353" s="327"/>
      <c r="AN353" s="546" t="s">
        <v>334</v>
      </c>
      <c r="AO353" s="327"/>
      <c r="AP353" s="554"/>
      <c r="AQ353" s="327"/>
      <c r="AR353" s="555"/>
      <c r="AS353" s="327"/>
      <c r="AT353" s="549"/>
      <c r="AU353" s="327"/>
      <c r="AV353" s="546" t="s">
        <v>334</v>
      </c>
      <c r="AW353" s="327"/>
      <c r="AX353" s="521"/>
      <c r="AY353" s="326"/>
      <c r="AZ353" s="327"/>
      <c r="BA353" s="536"/>
      <c r="BB353" s="327"/>
      <c r="BC353" s="25"/>
      <c r="BD353" s="551" t="s">
        <v>334</v>
      </c>
      <c r="BE353" s="327"/>
      <c r="BF353" s="508"/>
      <c r="BG353" s="326"/>
      <c r="BH353" s="326"/>
      <c r="BI353" s="327"/>
      <c r="BJ353" s="557" t="s">
        <v>303</v>
      </c>
      <c r="BK353" s="326"/>
      <c r="BL353" s="326"/>
      <c r="BM353" s="327"/>
      <c r="BN353" s="558" t="s">
        <v>303</v>
      </c>
      <c r="BO353" s="326"/>
      <c r="BP353" s="326"/>
      <c r="BQ353" s="326"/>
      <c r="BR353" s="326"/>
      <c r="BS353" s="326"/>
      <c r="BT353" s="326"/>
      <c r="BU353" s="326"/>
      <c r="BV353" s="327"/>
    </row>
    <row r="354" spans="1:74" ht="45" customHeight="1" x14ac:dyDescent="0.25">
      <c r="A354" s="10">
        <f t="shared" si="1"/>
        <v>340</v>
      </c>
      <c r="B354" s="564" t="s">
        <v>303</v>
      </c>
      <c r="C354" s="327"/>
      <c r="D354" s="565" t="s">
        <v>307</v>
      </c>
      <c r="E354" s="327"/>
      <c r="F354" s="537" t="s">
        <v>334</v>
      </c>
      <c r="G354" s="327"/>
      <c r="H354" s="561" t="s">
        <v>334</v>
      </c>
      <c r="I354" s="327"/>
      <c r="J354" s="562"/>
      <c r="K354" s="327"/>
      <c r="L354" s="562"/>
      <c r="M354" s="327"/>
      <c r="N354" s="23"/>
      <c r="O354" s="21"/>
      <c r="P354" s="563"/>
      <c r="Q354" s="327"/>
      <c r="R354" s="538"/>
      <c r="S354" s="327"/>
      <c r="T354" s="539"/>
      <c r="U354" s="327"/>
      <c r="V354" s="540"/>
      <c r="W354" s="327"/>
      <c r="X354" s="438" t="s">
        <v>303</v>
      </c>
      <c r="Y354" s="326"/>
      <c r="Z354" s="326"/>
      <c r="AA354" s="327"/>
      <c r="AB354" s="519" t="s">
        <v>303</v>
      </c>
      <c r="AC354" s="326"/>
      <c r="AD354" s="326"/>
      <c r="AE354" s="327"/>
      <c r="AF354" s="543"/>
      <c r="AG354" s="327"/>
      <c r="AH354" s="543"/>
      <c r="AI354" s="327"/>
      <c r="AJ354" s="536"/>
      <c r="AK354" s="327"/>
      <c r="AL354" s="556" t="s">
        <v>334</v>
      </c>
      <c r="AM354" s="327"/>
      <c r="AN354" s="553" t="s">
        <v>334</v>
      </c>
      <c r="AO354" s="327"/>
      <c r="AP354" s="547"/>
      <c r="AQ354" s="327"/>
      <c r="AR354" s="548"/>
      <c r="AS354" s="327"/>
      <c r="AT354" s="549"/>
      <c r="AU354" s="327"/>
      <c r="AV354" s="553" t="s">
        <v>334</v>
      </c>
      <c r="AW354" s="327"/>
      <c r="AX354" s="521"/>
      <c r="AY354" s="326"/>
      <c r="AZ354" s="327"/>
      <c r="BA354" s="550"/>
      <c r="BB354" s="327"/>
      <c r="BC354" s="22"/>
      <c r="BD354" s="551" t="s">
        <v>334</v>
      </c>
      <c r="BE354" s="327"/>
      <c r="BF354" s="545"/>
      <c r="BG354" s="326"/>
      <c r="BH354" s="326"/>
      <c r="BI354" s="327"/>
      <c r="BJ354" s="451" t="s">
        <v>303</v>
      </c>
      <c r="BK354" s="326"/>
      <c r="BL354" s="326"/>
      <c r="BM354" s="327"/>
      <c r="BN354" s="558" t="s">
        <v>303</v>
      </c>
      <c r="BO354" s="326"/>
      <c r="BP354" s="326"/>
      <c r="BQ354" s="326"/>
      <c r="BR354" s="326"/>
      <c r="BS354" s="326"/>
      <c r="BT354" s="326"/>
      <c r="BU354" s="326"/>
      <c r="BV354" s="327"/>
    </row>
    <row r="355" spans="1:74" ht="45" customHeight="1" x14ac:dyDescent="0.25">
      <c r="A355" s="10">
        <f t="shared" si="1"/>
        <v>341</v>
      </c>
      <c r="B355" s="559" t="s">
        <v>303</v>
      </c>
      <c r="C355" s="327"/>
      <c r="D355" s="560" t="s">
        <v>307</v>
      </c>
      <c r="E355" s="327"/>
      <c r="F355" s="537" t="s">
        <v>334</v>
      </c>
      <c r="G355" s="327"/>
      <c r="H355" s="566" t="s">
        <v>334</v>
      </c>
      <c r="I355" s="327"/>
      <c r="J355" s="567"/>
      <c r="K355" s="327"/>
      <c r="L355" s="567"/>
      <c r="M355" s="327"/>
      <c r="N355" s="20"/>
      <c r="O355" s="24"/>
      <c r="P355" s="524"/>
      <c r="Q355" s="327"/>
      <c r="R355" s="516"/>
      <c r="S355" s="327"/>
      <c r="T355" s="517"/>
      <c r="U355" s="327"/>
      <c r="V355" s="518"/>
      <c r="W355" s="327"/>
      <c r="X355" s="541" t="s">
        <v>303</v>
      </c>
      <c r="Y355" s="326"/>
      <c r="Z355" s="326"/>
      <c r="AA355" s="327"/>
      <c r="AB355" s="542" t="s">
        <v>303</v>
      </c>
      <c r="AC355" s="326"/>
      <c r="AD355" s="326"/>
      <c r="AE355" s="327"/>
      <c r="AF355" s="520"/>
      <c r="AG355" s="327"/>
      <c r="AH355" s="520"/>
      <c r="AI355" s="327"/>
      <c r="AJ355" s="554"/>
      <c r="AK355" s="327"/>
      <c r="AL355" s="537" t="s">
        <v>334</v>
      </c>
      <c r="AM355" s="327"/>
      <c r="AN355" s="546" t="s">
        <v>334</v>
      </c>
      <c r="AO355" s="327"/>
      <c r="AP355" s="554"/>
      <c r="AQ355" s="327"/>
      <c r="AR355" s="555"/>
      <c r="AS355" s="327"/>
      <c r="AT355" s="549"/>
      <c r="AU355" s="327"/>
      <c r="AV355" s="546" t="s">
        <v>334</v>
      </c>
      <c r="AW355" s="327"/>
      <c r="AX355" s="521"/>
      <c r="AY355" s="326"/>
      <c r="AZ355" s="327"/>
      <c r="BA355" s="536"/>
      <c r="BB355" s="327"/>
      <c r="BC355" s="25"/>
      <c r="BD355" s="544" t="s">
        <v>334</v>
      </c>
      <c r="BE355" s="327"/>
      <c r="BF355" s="508"/>
      <c r="BG355" s="326"/>
      <c r="BH355" s="326"/>
      <c r="BI355" s="327"/>
      <c r="BJ355" s="557" t="s">
        <v>303</v>
      </c>
      <c r="BK355" s="326"/>
      <c r="BL355" s="326"/>
      <c r="BM355" s="327"/>
      <c r="BN355" s="558" t="s">
        <v>303</v>
      </c>
      <c r="BO355" s="326"/>
      <c r="BP355" s="326"/>
      <c r="BQ355" s="326"/>
      <c r="BR355" s="326"/>
      <c r="BS355" s="326"/>
      <c r="BT355" s="326"/>
      <c r="BU355" s="326"/>
      <c r="BV355" s="327"/>
    </row>
    <row r="356" spans="1:74" ht="45" customHeight="1" x14ac:dyDescent="0.25">
      <c r="A356" s="10">
        <f t="shared" si="1"/>
        <v>342</v>
      </c>
      <c r="B356" s="564" t="s">
        <v>303</v>
      </c>
      <c r="C356" s="327"/>
      <c r="D356" s="565" t="s">
        <v>307</v>
      </c>
      <c r="E356" s="327"/>
      <c r="F356" s="537" t="s">
        <v>334</v>
      </c>
      <c r="G356" s="327"/>
      <c r="H356" s="561" t="s">
        <v>334</v>
      </c>
      <c r="I356" s="327"/>
      <c r="J356" s="562"/>
      <c r="K356" s="327"/>
      <c r="L356" s="562"/>
      <c r="M356" s="327"/>
      <c r="N356" s="23"/>
      <c r="O356" s="21"/>
      <c r="P356" s="563"/>
      <c r="Q356" s="327"/>
      <c r="R356" s="538"/>
      <c r="S356" s="327"/>
      <c r="T356" s="539"/>
      <c r="U356" s="327"/>
      <c r="V356" s="540"/>
      <c r="W356" s="327"/>
      <c r="X356" s="438" t="s">
        <v>303</v>
      </c>
      <c r="Y356" s="326"/>
      <c r="Z356" s="326"/>
      <c r="AA356" s="327"/>
      <c r="AB356" s="519" t="s">
        <v>303</v>
      </c>
      <c r="AC356" s="326"/>
      <c r="AD356" s="326"/>
      <c r="AE356" s="327"/>
      <c r="AF356" s="543"/>
      <c r="AG356" s="327"/>
      <c r="AH356" s="543"/>
      <c r="AI356" s="327"/>
      <c r="AJ356" s="536"/>
      <c r="AK356" s="327"/>
      <c r="AL356" s="556" t="s">
        <v>334</v>
      </c>
      <c r="AM356" s="327"/>
      <c r="AN356" s="553" t="s">
        <v>334</v>
      </c>
      <c r="AO356" s="327"/>
      <c r="AP356" s="547"/>
      <c r="AQ356" s="327"/>
      <c r="AR356" s="548"/>
      <c r="AS356" s="327"/>
      <c r="AT356" s="549"/>
      <c r="AU356" s="327"/>
      <c r="AV356" s="553" t="s">
        <v>334</v>
      </c>
      <c r="AW356" s="327"/>
      <c r="AX356" s="521"/>
      <c r="AY356" s="326"/>
      <c r="AZ356" s="327"/>
      <c r="BA356" s="550"/>
      <c r="BB356" s="327"/>
      <c r="BC356" s="22"/>
      <c r="BD356" s="551" t="s">
        <v>334</v>
      </c>
      <c r="BE356" s="327"/>
      <c r="BF356" s="545"/>
      <c r="BG356" s="326"/>
      <c r="BH356" s="326"/>
      <c r="BI356" s="327"/>
      <c r="BJ356" s="451" t="s">
        <v>303</v>
      </c>
      <c r="BK356" s="326"/>
      <c r="BL356" s="326"/>
      <c r="BM356" s="327"/>
      <c r="BN356" s="558" t="s">
        <v>303</v>
      </c>
      <c r="BO356" s="326"/>
      <c r="BP356" s="326"/>
      <c r="BQ356" s="326"/>
      <c r="BR356" s="326"/>
      <c r="BS356" s="326"/>
      <c r="BT356" s="326"/>
      <c r="BU356" s="326"/>
      <c r="BV356" s="327"/>
    </row>
    <row r="357" spans="1:74" ht="45" customHeight="1" x14ac:dyDescent="0.25">
      <c r="A357" s="10">
        <f t="shared" si="1"/>
        <v>343</v>
      </c>
      <c r="B357" s="559" t="s">
        <v>303</v>
      </c>
      <c r="C357" s="327"/>
      <c r="D357" s="560" t="s">
        <v>307</v>
      </c>
      <c r="E357" s="327"/>
      <c r="F357" s="537" t="s">
        <v>334</v>
      </c>
      <c r="G357" s="327"/>
      <c r="H357" s="566" t="s">
        <v>334</v>
      </c>
      <c r="I357" s="327"/>
      <c r="J357" s="567"/>
      <c r="K357" s="327"/>
      <c r="L357" s="567"/>
      <c r="M357" s="327"/>
      <c r="N357" s="20"/>
      <c r="O357" s="24"/>
      <c r="P357" s="524"/>
      <c r="Q357" s="327"/>
      <c r="R357" s="516"/>
      <c r="S357" s="327"/>
      <c r="T357" s="517"/>
      <c r="U357" s="327"/>
      <c r="V357" s="518"/>
      <c r="W357" s="327"/>
      <c r="X357" s="541" t="s">
        <v>303</v>
      </c>
      <c r="Y357" s="326"/>
      <c r="Z357" s="326"/>
      <c r="AA357" s="327"/>
      <c r="AB357" s="542" t="s">
        <v>303</v>
      </c>
      <c r="AC357" s="326"/>
      <c r="AD357" s="326"/>
      <c r="AE357" s="327"/>
      <c r="AF357" s="520"/>
      <c r="AG357" s="327"/>
      <c r="AH357" s="520"/>
      <c r="AI357" s="327"/>
      <c r="AJ357" s="554"/>
      <c r="AK357" s="327"/>
      <c r="AL357" s="537" t="s">
        <v>334</v>
      </c>
      <c r="AM357" s="327"/>
      <c r="AN357" s="546" t="s">
        <v>334</v>
      </c>
      <c r="AO357" s="327"/>
      <c r="AP357" s="554"/>
      <c r="AQ357" s="327"/>
      <c r="AR357" s="555"/>
      <c r="AS357" s="327"/>
      <c r="AT357" s="549"/>
      <c r="AU357" s="327"/>
      <c r="AV357" s="546" t="s">
        <v>334</v>
      </c>
      <c r="AW357" s="327"/>
      <c r="AX357" s="521"/>
      <c r="AY357" s="326"/>
      <c r="AZ357" s="327"/>
      <c r="BA357" s="536"/>
      <c r="BB357" s="327"/>
      <c r="BC357" s="25"/>
      <c r="BD357" s="544" t="s">
        <v>334</v>
      </c>
      <c r="BE357" s="327"/>
      <c r="BF357" s="552"/>
      <c r="BG357" s="326"/>
      <c r="BH357" s="326"/>
      <c r="BI357" s="327"/>
      <c r="BJ357" s="557" t="s">
        <v>303</v>
      </c>
      <c r="BK357" s="326"/>
      <c r="BL357" s="326"/>
      <c r="BM357" s="327"/>
      <c r="BN357" s="558" t="s">
        <v>303</v>
      </c>
      <c r="BO357" s="326"/>
      <c r="BP357" s="326"/>
      <c r="BQ357" s="326"/>
      <c r="BR357" s="326"/>
      <c r="BS357" s="326"/>
      <c r="BT357" s="326"/>
      <c r="BU357" s="326"/>
      <c r="BV357" s="327"/>
    </row>
    <row r="358" spans="1:74" ht="45" customHeight="1" x14ac:dyDescent="0.25">
      <c r="A358" s="10">
        <f t="shared" si="1"/>
        <v>344</v>
      </c>
      <c r="B358" s="564" t="s">
        <v>303</v>
      </c>
      <c r="C358" s="327"/>
      <c r="D358" s="565" t="s">
        <v>307</v>
      </c>
      <c r="E358" s="327"/>
      <c r="F358" s="537" t="s">
        <v>334</v>
      </c>
      <c r="G358" s="327"/>
      <c r="H358" s="561" t="s">
        <v>334</v>
      </c>
      <c r="I358" s="327"/>
      <c r="J358" s="562"/>
      <c r="K358" s="327"/>
      <c r="L358" s="562"/>
      <c r="M358" s="327"/>
      <c r="N358" s="23"/>
      <c r="O358" s="21"/>
      <c r="P358" s="563"/>
      <c r="Q358" s="327"/>
      <c r="R358" s="538"/>
      <c r="S358" s="327"/>
      <c r="T358" s="539"/>
      <c r="U358" s="327"/>
      <c r="V358" s="540"/>
      <c r="W358" s="327"/>
      <c r="X358" s="438" t="s">
        <v>303</v>
      </c>
      <c r="Y358" s="326"/>
      <c r="Z358" s="326"/>
      <c r="AA358" s="327"/>
      <c r="AB358" s="519" t="s">
        <v>303</v>
      </c>
      <c r="AC358" s="326"/>
      <c r="AD358" s="326"/>
      <c r="AE358" s="327"/>
      <c r="AF358" s="543"/>
      <c r="AG358" s="327"/>
      <c r="AH358" s="543"/>
      <c r="AI358" s="327"/>
      <c r="AJ358" s="536"/>
      <c r="AK358" s="327"/>
      <c r="AL358" s="556" t="s">
        <v>334</v>
      </c>
      <c r="AM358" s="327"/>
      <c r="AN358" s="553" t="s">
        <v>334</v>
      </c>
      <c r="AO358" s="327"/>
      <c r="AP358" s="547"/>
      <c r="AQ358" s="327"/>
      <c r="AR358" s="548"/>
      <c r="AS358" s="327"/>
      <c r="AT358" s="549"/>
      <c r="AU358" s="327"/>
      <c r="AV358" s="553" t="s">
        <v>334</v>
      </c>
      <c r="AW358" s="327"/>
      <c r="AX358" s="521"/>
      <c r="AY358" s="326"/>
      <c r="AZ358" s="327"/>
      <c r="BA358" s="550"/>
      <c r="BB358" s="327"/>
      <c r="BC358" s="22"/>
      <c r="BD358" s="551" t="s">
        <v>334</v>
      </c>
      <c r="BE358" s="327"/>
      <c r="BF358" s="545"/>
      <c r="BG358" s="326"/>
      <c r="BH358" s="326"/>
      <c r="BI358" s="327"/>
      <c r="BJ358" s="451" t="s">
        <v>303</v>
      </c>
      <c r="BK358" s="326"/>
      <c r="BL358" s="326"/>
      <c r="BM358" s="327"/>
      <c r="BN358" s="558" t="s">
        <v>303</v>
      </c>
      <c r="BO358" s="326"/>
      <c r="BP358" s="326"/>
      <c r="BQ358" s="326"/>
      <c r="BR358" s="326"/>
      <c r="BS358" s="326"/>
      <c r="BT358" s="326"/>
      <c r="BU358" s="326"/>
      <c r="BV358" s="327"/>
    </row>
    <row r="359" spans="1:74" ht="45" customHeight="1" x14ac:dyDescent="0.25">
      <c r="A359" s="10">
        <f t="shared" si="1"/>
        <v>345</v>
      </c>
      <c r="B359" s="559" t="s">
        <v>303</v>
      </c>
      <c r="C359" s="327"/>
      <c r="D359" s="560" t="s">
        <v>307</v>
      </c>
      <c r="E359" s="327"/>
      <c r="F359" s="537" t="s">
        <v>334</v>
      </c>
      <c r="G359" s="327"/>
      <c r="H359" s="566" t="s">
        <v>334</v>
      </c>
      <c r="I359" s="327"/>
      <c r="J359" s="567"/>
      <c r="K359" s="327"/>
      <c r="L359" s="567"/>
      <c r="M359" s="327"/>
      <c r="N359" s="20"/>
      <c r="O359" s="24"/>
      <c r="P359" s="524"/>
      <c r="Q359" s="327"/>
      <c r="R359" s="516"/>
      <c r="S359" s="327"/>
      <c r="T359" s="517"/>
      <c r="U359" s="327"/>
      <c r="V359" s="518"/>
      <c r="W359" s="327"/>
      <c r="X359" s="541" t="s">
        <v>303</v>
      </c>
      <c r="Y359" s="326"/>
      <c r="Z359" s="326"/>
      <c r="AA359" s="327"/>
      <c r="AB359" s="542" t="s">
        <v>303</v>
      </c>
      <c r="AC359" s="326"/>
      <c r="AD359" s="326"/>
      <c r="AE359" s="327"/>
      <c r="AF359" s="520"/>
      <c r="AG359" s="327"/>
      <c r="AH359" s="520"/>
      <c r="AI359" s="327"/>
      <c r="AJ359" s="554"/>
      <c r="AK359" s="327"/>
      <c r="AL359" s="537" t="s">
        <v>334</v>
      </c>
      <c r="AM359" s="327"/>
      <c r="AN359" s="546" t="s">
        <v>334</v>
      </c>
      <c r="AO359" s="327"/>
      <c r="AP359" s="554"/>
      <c r="AQ359" s="327"/>
      <c r="AR359" s="555"/>
      <c r="AS359" s="327"/>
      <c r="AT359" s="549"/>
      <c r="AU359" s="327"/>
      <c r="AV359" s="546" t="s">
        <v>334</v>
      </c>
      <c r="AW359" s="327"/>
      <c r="AX359" s="521"/>
      <c r="AY359" s="326"/>
      <c r="AZ359" s="327"/>
      <c r="BA359" s="536"/>
      <c r="BB359" s="327"/>
      <c r="BC359" s="25"/>
      <c r="BD359" s="544" t="s">
        <v>334</v>
      </c>
      <c r="BE359" s="327"/>
      <c r="BF359" s="508"/>
      <c r="BG359" s="326"/>
      <c r="BH359" s="326"/>
      <c r="BI359" s="327"/>
      <c r="BJ359" s="557" t="s">
        <v>303</v>
      </c>
      <c r="BK359" s="326"/>
      <c r="BL359" s="326"/>
      <c r="BM359" s="327"/>
      <c r="BN359" s="558" t="s">
        <v>303</v>
      </c>
      <c r="BO359" s="326"/>
      <c r="BP359" s="326"/>
      <c r="BQ359" s="326"/>
      <c r="BR359" s="326"/>
      <c r="BS359" s="326"/>
      <c r="BT359" s="326"/>
      <c r="BU359" s="326"/>
      <c r="BV359" s="327"/>
    </row>
    <row r="360" spans="1:74" ht="45" customHeight="1" x14ac:dyDescent="0.25">
      <c r="A360" s="10">
        <f t="shared" si="1"/>
        <v>346</v>
      </c>
      <c r="B360" s="564" t="s">
        <v>303</v>
      </c>
      <c r="C360" s="327"/>
      <c r="D360" s="565" t="s">
        <v>307</v>
      </c>
      <c r="E360" s="327"/>
      <c r="F360" s="537" t="s">
        <v>334</v>
      </c>
      <c r="G360" s="327"/>
      <c r="H360" s="561" t="s">
        <v>334</v>
      </c>
      <c r="I360" s="327"/>
      <c r="J360" s="562"/>
      <c r="K360" s="327"/>
      <c r="L360" s="562"/>
      <c r="M360" s="327"/>
      <c r="N360" s="23"/>
      <c r="O360" s="21"/>
      <c r="P360" s="563"/>
      <c r="Q360" s="327"/>
      <c r="R360" s="538"/>
      <c r="S360" s="327"/>
      <c r="T360" s="539"/>
      <c r="U360" s="327"/>
      <c r="V360" s="540"/>
      <c r="W360" s="327"/>
      <c r="X360" s="438" t="s">
        <v>303</v>
      </c>
      <c r="Y360" s="326"/>
      <c r="Z360" s="326"/>
      <c r="AA360" s="327"/>
      <c r="AB360" s="519" t="s">
        <v>303</v>
      </c>
      <c r="AC360" s="326"/>
      <c r="AD360" s="326"/>
      <c r="AE360" s="327"/>
      <c r="AF360" s="543"/>
      <c r="AG360" s="327"/>
      <c r="AH360" s="543"/>
      <c r="AI360" s="327"/>
      <c r="AJ360" s="536"/>
      <c r="AK360" s="327"/>
      <c r="AL360" s="556" t="s">
        <v>334</v>
      </c>
      <c r="AM360" s="327"/>
      <c r="AN360" s="553" t="s">
        <v>334</v>
      </c>
      <c r="AO360" s="327"/>
      <c r="AP360" s="547"/>
      <c r="AQ360" s="327"/>
      <c r="AR360" s="548"/>
      <c r="AS360" s="327"/>
      <c r="AT360" s="549"/>
      <c r="AU360" s="327"/>
      <c r="AV360" s="553" t="s">
        <v>334</v>
      </c>
      <c r="AW360" s="327"/>
      <c r="AX360" s="521"/>
      <c r="AY360" s="326"/>
      <c r="AZ360" s="327"/>
      <c r="BA360" s="550"/>
      <c r="BB360" s="327"/>
      <c r="BC360" s="22"/>
      <c r="BD360" s="551" t="s">
        <v>334</v>
      </c>
      <c r="BE360" s="327"/>
      <c r="BF360" s="545"/>
      <c r="BG360" s="326"/>
      <c r="BH360" s="326"/>
      <c r="BI360" s="327"/>
      <c r="BJ360" s="451" t="s">
        <v>303</v>
      </c>
      <c r="BK360" s="326"/>
      <c r="BL360" s="326"/>
      <c r="BM360" s="327"/>
      <c r="BN360" s="558" t="s">
        <v>303</v>
      </c>
      <c r="BO360" s="326"/>
      <c r="BP360" s="326"/>
      <c r="BQ360" s="326"/>
      <c r="BR360" s="326"/>
      <c r="BS360" s="326"/>
      <c r="BT360" s="326"/>
      <c r="BU360" s="326"/>
      <c r="BV360" s="327"/>
    </row>
    <row r="361" spans="1:74" ht="45" customHeight="1" x14ac:dyDescent="0.25">
      <c r="A361" s="10">
        <f t="shared" si="1"/>
        <v>347</v>
      </c>
      <c r="B361" s="559" t="s">
        <v>303</v>
      </c>
      <c r="C361" s="327"/>
      <c r="D361" s="560" t="s">
        <v>307</v>
      </c>
      <c r="E361" s="327"/>
      <c r="F361" s="537" t="s">
        <v>334</v>
      </c>
      <c r="G361" s="327"/>
      <c r="H361" s="566" t="s">
        <v>334</v>
      </c>
      <c r="I361" s="327"/>
      <c r="J361" s="567"/>
      <c r="K361" s="327"/>
      <c r="L361" s="567"/>
      <c r="M361" s="327"/>
      <c r="N361" s="20"/>
      <c r="O361" s="24"/>
      <c r="P361" s="524"/>
      <c r="Q361" s="327"/>
      <c r="R361" s="516"/>
      <c r="S361" s="327"/>
      <c r="T361" s="517"/>
      <c r="U361" s="327"/>
      <c r="V361" s="518"/>
      <c r="W361" s="327"/>
      <c r="X361" s="541" t="s">
        <v>303</v>
      </c>
      <c r="Y361" s="326"/>
      <c r="Z361" s="326"/>
      <c r="AA361" s="327"/>
      <c r="AB361" s="542" t="s">
        <v>303</v>
      </c>
      <c r="AC361" s="326"/>
      <c r="AD361" s="326"/>
      <c r="AE361" s="327"/>
      <c r="AF361" s="520"/>
      <c r="AG361" s="327"/>
      <c r="AH361" s="520"/>
      <c r="AI361" s="327"/>
      <c r="AJ361" s="554"/>
      <c r="AK361" s="327"/>
      <c r="AL361" s="537" t="s">
        <v>334</v>
      </c>
      <c r="AM361" s="327"/>
      <c r="AN361" s="546" t="s">
        <v>334</v>
      </c>
      <c r="AO361" s="327"/>
      <c r="AP361" s="554"/>
      <c r="AQ361" s="327"/>
      <c r="AR361" s="555"/>
      <c r="AS361" s="327"/>
      <c r="AT361" s="549"/>
      <c r="AU361" s="327"/>
      <c r="AV361" s="546" t="s">
        <v>334</v>
      </c>
      <c r="AW361" s="327"/>
      <c r="AX361" s="521"/>
      <c r="AY361" s="326"/>
      <c r="AZ361" s="327"/>
      <c r="BA361" s="536"/>
      <c r="BB361" s="327"/>
      <c r="BC361" s="25"/>
      <c r="BD361" s="544" t="s">
        <v>334</v>
      </c>
      <c r="BE361" s="327"/>
      <c r="BF361" s="552"/>
      <c r="BG361" s="326"/>
      <c r="BH361" s="326"/>
      <c r="BI361" s="327"/>
      <c r="BJ361" s="557" t="s">
        <v>303</v>
      </c>
      <c r="BK361" s="326"/>
      <c r="BL361" s="326"/>
      <c r="BM361" s="327"/>
      <c r="BN361" s="558" t="s">
        <v>303</v>
      </c>
      <c r="BO361" s="326"/>
      <c r="BP361" s="326"/>
      <c r="BQ361" s="326"/>
      <c r="BR361" s="326"/>
      <c r="BS361" s="326"/>
      <c r="BT361" s="326"/>
      <c r="BU361" s="326"/>
      <c r="BV361" s="327"/>
    </row>
    <row r="362" spans="1:74" ht="45" customHeight="1" x14ac:dyDescent="0.25">
      <c r="A362" s="10">
        <f t="shared" si="1"/>
        <v>348</v>
      </c>
      <c r="B362" s="564" t="s">
        <v>303</v>
      </c>
      <c r="C362" s="327"/>
      <c r="D362" s="565" t="s">
        <v>307</v>
      </c>
      <c r="E362" s="327"/>
      <c r="F362" s="537" t="s">
        <v>334</v>
      </c>
      <c r="G362" s="327"/>
      <c r="H362" s="561" t="s">
        <v>334</v>
      </c>
      <c r="I362" s="327"/>
      <c r="J362" s="562"/>
      <c r="K362" s="327"/>
      <c r="L362" s="562"/>
      <c r="M362" s="327"/>
      <c r="N362" s="23"/>
      <c r="O362" s="21"/>
      <c r="P362" s="563"/>
      <c r="Q362" s="327"/>
      <c r="R362" s="538"/>
      <c r="S362" s="327"/>
      <c r="T362" s="539"/>
      <c r="U362" s="327"/>
      <c r="V362" s="540"/>
      <c r="W362" s="327"/>
      <c r="X362" s="438" t="s">
        <v>303</v>
      </c>
      <c r="Y362" s="326"/>
      <c r="Z362" s="326"/>
      <c r="AA362" s="327"/>
      <c r="AB362" s="519" t="s">
        <v>303</v>
      </c>
      <c r="AC362" s="326"/>
      <c r="AD362" s="326"/>
      <c r="AE362" s="327"/>
      <c r="AF362" s="543"/>
      <c r="AG362" s="327"/>
      <c r="AH362" s="543"/>
      <c r="AI362" s="327"/>
      <c r="AJ362" s="536"/>
      <c r="AK362" s="327"/>
      <c r="AL362" s="556" t="s">
        <v>334</v>
      </c>
      <c r="AM362" s="327"/>
      <c r="AN362" s="553" t="s">
        <v>334</v>
      </c>
      <c r="AO362" s="327"/>
      <c r="AP362" s="547"/>
      <c r="AQ362" s="327"/>
      <c r="AR362" s="548"/>
      <c r="AS362" s="327"/>
      <c r="AT362" s="549"/>
      <c r="AU362" s="327"/>
      <c r="AV362" s="553" t="s">
        <v>334</v>
      </c>
      <c r="AW362" s="327"/>
      <c r="AX362" s="521"/>
      <c r="AY362" s="326"/>
      <c r="AZ362" s="327"/>
      <c r="BA362" s="550"/>
      <c r="BB362" s="327"/>
      <c r="BC362" s="22"/>
      <c r="BD362" s="551" t="s">
        <v>334</v>
      </c>
      <c r="BE362" s="327"/>
      <c r="BF362" s="545"/>
      <c r="BG362" s="326"/>
      <c r="BH362" s="326"/>
      <c r="BI362" s="327"/>
      <c r="BJ362" s="451" t="s">
        <v>303</v>
      </c>
      <c r="BK362" s="326"/>
      <c r="BL362" s="326"/>
      <c r="BM362" s="327"/>
      <c r="BN362" s="558" t="s">
        <v>303</v>
      </c>
      <c r="BO362" s="326"/>
      <c r="BP362" s="326"/>
      <c r="BQ362" s="326"/>
      <c r="BR362" s="326"/>
      <c r="BS362" s="326"/>
      <c r="BT362" s="326"/>
      <c r="BU362" s="326"/>
      <c r="BV362" s="327"/>
    </row>
    <row r="363" spans="1:74" ht="45" customHeight="1" x14ac:dyDescent="0.25">
      <c r="A363" s="10">
        <f t="shared" si="1"/>
        <v>349</v>
      </c>
      <c r="B363" s="559" t="s">
        <v>303</v>
      </c>
      <c r="C363" s="327"/>
      <c r="D363" s="560" t="s">
        <v>307</v>
      </c>
      <c r="E363" s="327"/>
      <c r="F363" s="537" t="s">
        <v>334</v>
      </c>
      <c r="G363" s="327"/>
      <c r="H363" s="566" t="s">
        <v>334</v>
      </c>
      <c r="I363" s="327"/>
      <c r="J363" s="567"/>
      <c r="K363" s="327"/>
      <c r="L363" s="567"/>
      <c r="M363" s="327"/>
      <c r="N363" s="20"/>
      <c r="O363" s="24"/>
      <c r="P363" s="524"/>
      <c r="Q363" s="327"/>
      <c r="R363" s="516"/>
      <c r="S363" s="327"/>
      <c r="T363" s="517"/>
      <c r="U363" s="327"/>
      <c r="V363" s="518"/>
      <c r="W363" s="327"/>
      <c r="X363" s="541" t="s">
        <v>303</v>
      </c>
      <c r="Y363" s="326"/>
      <c r="Z363" s="326"/>
      <c r="AA363" s="327"/>
      <c r="AB363" s="542" t="s">
        <v>303</v>
      </c>
      <c r="AC363" s="326"/>
      <c r="AD363" s="326"/>
      <c r="AE363" s="327"/>
      <c r="AF363" s="520"/>
      <c r="AG363" s="327"/>
      <c r="AH363" s="520"/>
      <c r="AI363" s="327"/>
      <c r="AJ363" s="554"/>
      <c r="AK363" s="327"/>
      <c r="AL363" s="537" t="s">
        <v>334</v>
      </c>
      <c r="AM363" s="327"/>
      <c r="AN363" s="546" t="s">
        <v>334</v>
      </c>
      <c r="AO363" s="327"/>
      <c r="AP363" s="554"/>
      <c r="AQ363" s="327"/>
      <c r="AR363" s="555"/>
      <c r="AS363" s="327"/>
      <c r="AT363" s="549"/>
      <c r="AU363" s="327"/>
      <c r="AV363" s="546" t="s">
        <v>334</v>
      </c>
      <c r="AW363" s="327"/>
      <c r="AX363" s="521"/>
      <c r="AY363" s="326"/>
      <c r="AZ363" s="327"/>
      <c r="BA363" s="536"/>
      <c r="BB363" s="327"/>
      <c r="BC363" s="25"/>
      <c r="BD363" s="544" t="s">
        <v>334</v>
      </c>
      <c r="BE363" s="327"/>
      <c r="BF363" s="508"/>
      <c r="BG363" s="326"/>
      <c r="BH363" s="326"/>
      <c r="BI363" s="327"/>
      <c r="BJ363" s="557" t="s">
        <v>303</v>
      </c>
      <c r="BK363" s="326"/>
      <c r="BL363" s="326"/>
      <c r="BM363" s="327"/>
      <c r="BN363" s="558" t="s">
        <v>303</v>
      </c>
      <c r="BO363" s="326"/>
      <c r="BP363" s="326"/>
      <c r="BQ363" s="326"/>
      <c r="BR363" s="326"/>
      <c r="BS363" s="326"/>
      <c r="BT363" s="326"/>
      <c r="BU363" s="326"/>
      <c r="BV363" s="327"/>
    </row>
    <row r="364" spans="1:74" ht="45" customHeight="1" x14ac:dyDescent="0.25">
      <c r="A364" s="10">
        <f t="shared" si="1"/>
        <v>350</v>
      </c>
      <c r="B364" s="564" t="s">
        <v>303</v>
      </c>
      <c r="C364" s="327"/>
      <c r="D364" s="565" t="s">
        <v>307</v>
      </c>
      <c r="E364" s="327"/>
      <c r="F364" s="537" t="s">
        <v>334</v>
      </c>
      <c r="G364" s="327"/>
      <c r="H364" s="561" t="s">
        <v>334</v>
      </c>
      <c r="I364" s="327"/>
      <c r="J364" s="562"/>
      <c r="K364" s="327"/>
      <c r="L364" s="562"/>
      <c r="M364" s="327"/>
      <c r="N364" s="23"/>
      <c r="O364" s="21"/>
      <c r="P364" s="563"/>
      <c r="Q364" s="327"/>
      <c r="R364" s="538"/>
      <c r="S364" s="327"/>
      <c r="T364" s="539"/>
      <c r="U364" s="327"/>
      <c r="V364" s="540"/>
      <c r="W364" s="327"/>
      <c r="X364" s="438" t="s">
        <v>303</v>
      </c>
      <c r="Y364" s="326"/>
      <c r="Z364" s="326"/>
      <c r="AA364" s="327"/>
      <c r="AB364" s="519" t="s">
        <v>303</v>
      </c>
      <c r="AC364" s="326"/>
      <c r="AD364" s="326"/>
      <c r="AE364" s="327"/>
      <c r="AF364" s="543"/>
      <c r="AG364" s="327"/>
      <c r="AH364" s="543"/>
      <c r="AI364" s="327"/>
      <c r="AJ364" s="536"/>
      <c r="AK364" s="327"/>
      <c r="AL364" s="556" t="s">
        <v>334</v>
      </c>
      <c r="AM364" s="327"/>
      <c r="AN364" s="553" t="s">
        <v>334</v>
      </c>
      <c r="AO364" s="327"/>
      <c r="AP364" s="547"/>
      <c r="AQ364" s="327"/>
      <c r="AR364" s="548"/>
      <c r="AS364" s="327"/>
      <c r="AT364" s="549"/>
      <c r="AU364" s="327"/>
      <c r="AV364" s="553" t="s">
        <v>334</v>
      </c>
      <c r="AW364" s="327"/>
      <c r="AX364" s="521"/>
      <c r="AY364" s="326"/>
      <c r="AZ364" s="327"/>
      <c r="BA364" s="550"/>
      <c r="BB364" s="327"/>
      <c r="BC364" s="22"/>
      <c r="BD364" s="551" t="s">
        <v>334</v>
      </c>
      <c r="BE364" s="327"/>
      <c r="BF364" s="545"/>
      <c r="BG364" s="326"/>
      <c r="BH364" s="326"/>
      <c r="BI364" s="327"/>
      <c r="BJ364" s="451" t="s">
        <v>303</v>
      </c>
      <c r="BK364" s="326"/>
      <c r="BL364" s="326"/>
      <c r="BM364" s="327"/>
      <c r="BN364" s="558" t="s">
        <v>303</v>
      </c>
      <c r="BO364" s="326"/>
      <c r="BP364" s="326"/>
      <c r="BQ364" s="326"/>
      <c r="BR364" s="326"/>
      <c r="BS364" s="326"/>
      <c r="BT364" s="326"/>
      <c r="BU364" s="326"/>
      <c r="BV364" s="327"/>
    </row>
    <row r="365" spans="1:74" ht="45" customHeight="1" x14ac:dyDescent="0.25">
      <c r="A365" s="10">
        <f t="shared" si="1"/>
        <v>351</v>
      </c>
      <c r="B365" s="559" t="s">
        <v>303</v>
      </c>
      <c r="C365" s="327"/>
      <c r="D365" s="560" t="s">
        <v>307</v>
      </c>
      <c r="E365" s="327"/>
      <c r="F365" s="537" t="s">
        <v>334</v>
      </c>
      <c r="G365" s="327"/>
      <c r="H365" s="566" t="s">
        <v>334</v>
      </c>
      <c r="I365" s="327"/>
      <c r="J365" s="567"/>
      <c r="K365" s="327"/>
      <c r="L365" s="567"/>
      <c r="M365" s="327"/>
      <c r="N365" s="20"/>
      <c r="O365" s="24"/>
      <c r="P365" s="524"/>
      <c r="Q365" s="327"/>
      <c r="R365" s="516"/>
      <c r="S365" s="327"/>
      <c r="T365" s="517"/>
      <c r="U365" s="327"/>
      <c r="V365" s="518"/>
      <c r="W365" s="327"/>
      <c r="X365" s="541" t="s">
        <v>303</v>
      </c>
      <c r="Y365" s="326"/>
      <c r="Z365" s="326"/>
      <c r="AA365" s="327"/>
      <c r="AB365" s="542" t="s">
        <v>303</v>
      </c>
      <c r="AC365" s="326"/>
      <c r="AD365" s="326"/>
      <c r="AE365" s="327"/>
      <c r="AF365" s="520"/>
      <c r="AG365" s="327"/>
      <c r="AH365" s="520"/>
      <c r="AI365" s="327"/>
      <c r="AJ365" s="554"/>
      <c r="AK365" s="327"/>
      <c r="AL365" s="537" t="s">
        <v>334</v>
      </c>
      <c r="AM365" s="327"/>
      <c r="AN365" s="546" t="s">
        <v>334</v>
      </c>
      <c r="AO365" s="327"/>
      <c r="AP365" s="554"/>
      <c r="AQ365" s="327"/>
      <c r="AR365" s="555"/>
      <c r="AS365" s="327"/>
      <c r="AT365" s="549"/>
      <c r="AU365" s="327"/>
      <c r="AV365" s="546" t="s">
        <v>334</v>
      </c>
      <c r="AW365" s="327"/>
      <c r="AX365" s="521"/>
      <c r="AY365" s="326"/>
      <c r="AZ365" s="327"/>
      <c r="BA365" s="536"/>
      <c r="BB365" s="327"/>
      <c r="BC365" s="25"/>
      <c r="BD365" s="544" t="s">
        <v>334</v>
      </c>
      <c r="BE365" s="327"/>
      <c r="BF365" s="508"/>
      <c r="BG365" s="326"/>
      <c r="BH365" s="326"/>
      <c r="BI365" s="327"/>
      <c r="BJ365" s="557" t="s">
        <v>303</v>
      </c>
      <c r="BK365" s="326"/>
      <c r="BL365" s="326"/>
      <c r="BM365" s="327"/>
      <c r="BN365" s="558" t="s">
        <v>303</v>
      </c>
      <c r="BO365" s="326"/>
      <c r="BP365" s="326"/>
      <c r="BQ365" s="326"/>
      <c r="BR365" s="326"/>
      <c r="BS365" s="326"/>
      <c r="BT365" s="326"/>
      <c r="BU365" s="326"/>
      <c r="BV365" s="327"/>
    </row>
    <row r="366" spans="1:74" ht="45" customHeight="1" x14ac:dyDescent="0.25">
      <c r="A366" s="10">
        <f t="shared" si="1"/>
        <v>352</v>
      </c>
      <c r="B366" s="564" t="s">
        <v>303</v>
      </c>
      <c r="C366" s="327"/>
      <c r="D366" s="565" t="s">
        <v>307</v>
      </c>
      <c r="E366" s="327"/>
      <c r="F366" s="537" t="s">
        <v>334</v>
      </c>
      <c r="G366" s="327"/>
      <c r="H366" s="561" t="s">
        <v>334</v>
      </c>
      <c r="I366" s="327"/>
      <c r="J366" s="562"/>
      <c r="K366" s="327"/>
      <c r="L366" s="562"/>
      <c r="M366" s="327"/>
      <c r="N366" s="23"/>
      <c r="O366" s="21"/>
      <c r="P366" s="563"/>
      <c r="Q366" s="327"/>
      <c r="R366" s="538"/>
      <c r="S366" s="327"/>
      <c r="T366" s="539"/>
      <c r="U366" s="327"/>
      <c r="V366" s="540"/>
      <c r="W366" s="327"/>
      <c r="X366" s="438" t="s">
        <v>303</v>
      </c>
      <c r="Y366" s="326"/>
      <c r="Z366" s="326"/>
      <c r="AA366" s="327"/>
      <c r="AB366" s="519" t="s">
        <v>303</v>
      </c>
      <c r="AC366" s="326"/>
      <c r="AD366" s="326"/>
      <c r="AE366" s="327"/>
      <c r="AF366" s="543"/>
      <c r="AG366" s="327"/>
      <c r="AH366" s="543"/>
      <c r="AI366" s="327"/>
      <c r="AJ366" s="536"/>
      <c r="AK366" s="327"/>
      <c r="AL366" s="556" t="s">
        <v>334</v>
      </c>
      <c r="AM366" s="327"/>
      <c r="AN366" s="553" t="s">
        <v>334</v>
      </c>
      <c r="AO366" s="327"/>
      <c r="AP366" s="547"/>
      <c r="AQ366" s="327"/>
      <c r="AR366" s="548"/>
      <c r="AS366" s="327"/>
      <c r="AT366" s="549"/>
      <c r="AU366" s="327"/>
      <c r="AV366" s="553" t="s">
        <v>334</v>
      </c>
      <c r="AW366" s="327"/>
      <c r="AX366" s="521"/>
      <c r="AY366" s="326"/>
      <c r="AZ366" s="327"/>
      <c r="BA366" s="550"/>
      <c r="BB366" s="327"/>
      <c r="BC366" s="22"/>
      <c r="BD366" s="551" t="s">
        <v>334</v>
      </c>
      <c r="BE366" s="327"/>
      <c r="BF366" s="545"/>
      <c r="BG366" s="326"/>
      <c r="BH366" s="326"/>
      <c r="BI366" s="327"/>
      <c r="BJ366" s="451" t="s">
        <v>303</v>
      </c>
      <c r="BK366" s="326"/>
      <c r="BL366" s="326"/>
      <c r="BM366" s="327"/>
      <c r="BN366" s="558" t="s">
        <v>303</v>
      </c>
      <c r="BO366" s="326"/>
      <c r="BP366" s="326"/>
      <c r="BQ366" s="326"/>
      <c r="BR366" s="326"/>
      <c r="BS366" s="326"/>
      <c r="BT366" s="326"/>
      <c r="BU366" s="326"/>
      <c r="BV366" s="327"/>
    </row>
    <row r="367" spans="1:74" ht="45" customHeight="1" x14ac:dyDescent="0.25">
      <c r="A367" s="10">
        <f t="shared" si="1"/>
        <v>353</v>
      </c>
      <c r="B367" s="559" t="s">
        <v>303</v>
      </c>
      <c r="C367" s="327"/>
      <c r="D367" s="560" t="s">
        <v>307</v>
      </c>
      <c r="E367" s="327"/>
      <c r="F367" s="537" t="s">
        <v>334</v>
      </c>
      <c r="G367" s="327"/>
      <c r="H367" s="566" t="s">
        <v>334</v>
      </c>
      <c r="I367" s="327"/>
      <c r="J367" s="567"/>
      <c r="K367" s="327"/>
      <c r="L367" s="567"/>
      <c r="M367" s="327"/>
      <c r="N367" s="20"/>
      <c r="O367" s="24"/>
      <c r="P367" s="524"/>
      <c r="Q367" s="327"/>
      <c r="R367" s="516"/>
      <c r="S367" s="327"/>
      <c r="T367" s="517"/>
      <c r="U367" s="327"/>
      <c r="V367" s="518"/>
      <c r="W367" s="327"/>
      <c r="X367" s="541" t="s">
        <v>303</v>
      </c>
      <c r="Y367" s="326"/>
      <c r="Z367" s="326"/>
      <c r="AA367" s="327"/>
      <c r="AB367" s="542" t="s">
        <v>303</v>
      </c>
      <c r="AC367" s="326"/>
      <c r="AD367" s="326"/>
      <c r="AE367" s="327"/>
      <c r="AF367" s="520"/>
      <c r="AG367" s="327"/>
      <c r="AH367" s="520"/>
      <c r="AI367" s="327"/>
      <c r="AJ367" s="554"/>
      <c r="AK367" s="327"/>
      <c r="AL367" s="537" t="s">
        <v>334</v>
      </c>
      <c r="AM367" s="327"/>
      <c r="AN367" s="546" t="s">
        <v>334</v>
      </c>
      <c r="AO367" s="327"/>
      <c r="AP367" s="554"/>
      <c r="AQ367" s="327"/>
      <c r="AR367" s="555"/>
      <c r="AS367" s="327"/>
      <c r="AT367" s="549"/>
      <c r="AU367" s="327"/>
      <c r="AV367" s="546" t="s">
        <v>334</v>
      </c>
      <c r="AW367" s="327"/>
      <c r="AX367" s="521"/>
      <c r="AY367" s="326"/>
      <c r="AZ367" s="327"/>
      <c r="BA367" s="536"/>
      <c r="BB367" s="327"/>
      <c r="BC367" s="25"/>
      <c r="BD367" s="544" t="s">
        <v>334</v>
      </c>
      <c r="BE367" s="327"/>
      <c r="BF367" s="552"/>
      <c r="BG367" s="326"/>
      <c r="BH367" s="326"/>
      <c r="BI367" s="327"/>
      <c r="BJ367" s="557" t="s">
        <v>303</v>
      </c>
      <c r="BK367" s="326"/>
      <c r="BL367" s="326"/>
      <c r="BM367" s="327"/>
      <c r="BN367" s="558" t="s">
        <v>303</v>
      </c>
      <c r="BO367" s="326"/>
      <c r="BP367" s="326"/>
      <c r="BQ367" s="326"/>
      <c r="BR367" s="326"/>
      <c r="BS367" s="326"/>
      <c r="BT367" s="326"/>
      <c r="BU367" s="326"/>
      <c r="BV367" s="327"/>
    </row>
    <row r="368" spans="1:74" ht="45" customHeight="1" x14ac:dyDescent="0.25">
      <c r="A368" s="10">
        <f t="shared" si="1"/>
        <v>354</v>
      </c>
      <c r="B368" s="564" t="s">
        <v>303</v>
      </c>
      <c r="C368" s="327"/>
      <c r="D368" s="565" t="s">
        <v>307</v>
      </c>
      <c r="E368" s="327"/>
      <c r="F368" s="537" t="s">
        <v>334</v>
      </c>
      <c r="G368" s="327"/>
      <c r="H368" s="561" t="s">
        <v>334</v>
      </c>
      <c r="I368" s="327"/>
      <c r="J368" s="562"/>
      <c r="K368" s="327"/>
      <c r="L368" s="562"/>
      <c r="M368" s="327"/>
      <c r="N368" s="23"/>
      <c r="O368" s="21"/>
      <c r="P368" s="563"/>
      <c r="Q368" s="327"/>
      <c r="R368" s="538"/>
      <c r="S368" s="327"/>
      <c r="T368" s="539"/>
      <c r="U368" s="327"/>
      <c r="V368" s="540"/>
      <c r="W368" s="327"/>
      <c r="X368" s="438" t="s">
        <v>303</v>
      </c>
      <c r="Y368" s="326"/>
      <c r="Z368" s="326"/>
      <c r="AA368" s="327"/>
      <c r="AB368" s="519" t="s">
        <v>303</v>
      </c>
      <c r="AC368" s="326"/>
      <c r="AD368" s="326"/>
      <c r="AE368" s="327"/>
      <c r="AF368" s="543"/>
      <c r="AG368" s="327"/>
      <c r="AH368" s="543"/>
      <c r="AI368" s="327"/>
      <c r="AJ368" s="536"/>
      <c r="AK368" s="327"/>
      <c r="AL368" s="556" t="s">
        <v>334</v>
      </c>
      <c r="AM368" s="327"/>
      <c r="AN368" s="553" t="s">
        <v>334</v>
      </c>
      <c r="AO368" s="327"/>
      <c r="AP368" s="547"/>
      <c r="AQ368" s="327"/>
      <c r="AR368" s="548"/>
      <c r="AS368" s="327"/>
      <c r="AT368" s="549"/>
      <c r="AU368" s="327"/>
      <c r="AV368" s="553" t="s">
        <v>334</v>
      </c>
      <c r="AW368" s="327"/>
      <c r="AX368" s="521"/>
      <c r="AY368" s="326"/>
      <c r="AZ368" s="327"/>
      <c r="BA368" s="550"/>
      <c r="BB368" s="327"/>
      <c r="BC368" s="22"/>
      <c r="BD368" s="551" t="s">
        <v>334</v>
      </c>
      <c r="BE368" s="327"/>
      <c r="BF368" s="545"/>
      <c r="BG368" s="326"/>
      <c r="BH368" s="326"/>
      <c r="BI368" s="327"/>
      <c r="BJ368" s="451" t="s">
        <v>303</v>
      </c>
      <c r="BK368" s="326"/>
      <c r="BL368" s="326"/>
      <c r="BM368" s="327"/>
      <c r="BN368" s="558" t="s">
        <v>303</v>
      </c>
      <c r="BO368" s="326"/>
      <c r="BP368" s="326"/>
      <c r="BQ368" s="326"/>
      <c r="BR368" s="326"/>
      <c r="BS368" s="326"/>
      <c r="BT368" s="326"/>
      <c r="BU368" s="326"/>
      <c r="BV368" s="327"/>
    </row>
    <row r="369" spans="1:74" ht="45" customHeight="1" x14ac:dyDescent="0.25">
      <c r="A369" s="10">
        <f t="shared" si="1"/>
        <v>355</v>
      </c>
      <c r="B369" s="559" t="s">
        <v>303</v>
      </c>
      <c r="C369" s="327"/>
      <c r="D369" s="560" t="s">
        <v>307</v>
      </c>
      <c r="E369" s="327"/>
      <c r="F369" s="537" t="s">
        <v>334</v>
      </c>
      <c r="G369" s="327"/>
      <c r="H369" s="566" t="s">
        <v>334</v>
      </c>
      <c r="I369" s="327"/>
      <c r="J369" s="567"/>
      <c r="K369" s="327"/>
      <c r="L369" s="567"/>
      <c r="M369" s="327"/>
      <c r="N369" s="20"/>
      <c r="O369" s="24"/>
      <c r="P369" s="524"/>
      <c r="Q369" s="327"/>
      <c r="R369" s="516"/>
      <c r="S369" s="327"/>
      <c r="T369" s="517"/>
      <c r="U369" s="327"/>
      <c r="V369" s="518"/>
      <c r="W369" s="327"/>
      <c r="X369" s="541" t="s">
        <v>303</v>
      </c>
      <c r="Y369" s="326"/>
      <c r="Z369" s="326"/>
      <c r="AA369" s="327"/>
      <c r="AB369" s="542" t="s">
        <v>303</v>
      </c>
      <c r="AC369" s="326"/>
      <c r="AD369" s="326"/>
      <c r="AE369" s="327"/>
      <c r="AF369" s="520"/>
      <c r="AG369" s="327"/>
      <c r="AH369" s="520"/>
      <c r="AI369" s="327"/>
      <c r="AJ369" s="554"/>
      <c r="AK369" s="327"/>
      <c r="AL369" s="537" t="s">
        <v>334</v>
      </c>
      <c r="AM369" s="327"/>
      <c r="AN369" s="546" t="s">
        <v>334</v>
      </c>
      <c r="AO369" s="327"/>
      <c r="AP369" s="554"/>
      <c r="AQ369" s="327"/>
      <c r="AR369" s="555"/>
      <c r="AS369" s="327"/>
      <c r="AT369" s="549"/>
      <c r="AU369" s="327"/>
      <c r="AV369" s="546" t="s">
        <v>334</v>
      </c>
      <c r="AW369" s="327"/>
      <c r="AX369" s="521"/>
      <c r="AY369" s="326"/>
      <c r="AZ369" s="327"/>
      <c r="BA369" s="536"/>
      <c r="BB369" s="327"/>
      <c r="BC369" s="25"/>
      <c r="BD369" s="544" t="s">
        <v>334</v>
      </c>
      <c r="BE369" s="327"/>
      <c r="BF369" s="508"/>
      <c r="BG369" s="326"/>
      <c r="BH369" s="326"/>
      <c r="BI369" s="327"/>
      <c r="BJ369" s="557" t="s">
        <v>303</v>
      </c>
      <c r="BK369" s="326"/>
      <c r="BL369" s="326"/>
      <c r="BM369" s="327"/>
      <c r="BN369" s="558" t="s">
        <v>303</v>
      </c>
      <c r="BO369" s="326"/>
      <c r="BP369" s="326"/>
      <c r="BQ369" s="326"/>
      <c r="BR369" s="326"/>
      <c r="BS369" s="326"/>
      <c r="BT369" s="326"/>
      <c r="BU369" s="326"/>
      <c r="BV369" s="327"/>
    </row>
    <row r="370" spans="1:74" ht="45" customHeight="1" x14ac:dyDescent="0.25">
      <c r="A370" s="10">
        <f t="shared" si="1"/>
        <v>356</v>
      </c>
      <c r="B370" s="564" t="s">
        <v>303</v>
      </c>
      <c r="C370" s="327"/>
      <c r="D370" s="565" t="s">
        <v>307</v>
      </c>
      <c r="E370" s="327"/>
      <c r="F370" s="537" t="s">
        <v>334</v>
      </c>
      <c r="G370" s="327"/>
      <c r="H370" s="561" t="s">
        <v>334</v>
      </c>
      <c r="I370" s="327"/>
      <c r="J370" s="562"/>
      <c r="K370" s="327"/>
      <c r="L370" s="562"/>
      <c r="M370" s="327"/>
      <c r="N370" s="23"/>
      <c r="O370" s="21"/>
      <c r="P370" s="563"/>
      <c r="Q370" s="327"/>
      <c r="R370" s="538"/>
      <c r="S370" s="327"/>
      <c r="T370" s="539"/>
      <c r="U370" s="327"/>
      <c r="V370" s="540"/>
      <c r="W370" s="327"/>
      <c r="X370" s="438" t="s">
        <v>303</v>
      </c>
      <c r="Y370" s="326"/>
      <c r="Z370" s="326"/>
      <c r="AA370" s="327"/>
      <c r="AB370" s="519" t="s">
        <v>303</v>
      </c>
      <c r="AC370" s="326"/>
      <c r="AD370" s="326"/>
      <c r="AE370" s="327"/>
      <c r="AF370" s="543"/>
      <c r="AG370" s="327"/>
      <c r="AH370" s="543"/>
      <c r="AI370" s="327"/>
      <c r="AJ370" s="536"/>
      <c r="AK370" s="327"/>
      <c r="AL370" s="556" t="s">
        <v>334</v>
      </c>
      <c r="AM370" s="327"/>
      <c r="AN370" s="553" t="s">
        <v>334</v>
      </c>
      <c r="AO370" s="327"/>
      <c r="AP370" s="547"/>
      <c r="AQ370" s="327"/>
      <c r="AR370" s="548"/>
      <c r="AS370" s="327"/>
      <c r="AT370" s="549"/>
      <c r="AU370" s="327"/>
      <c r="AV370" s="553" t="s">
        <v>334</v>
      </c>
      <c r="AW370" s="327"/>
      <c r="AX370" s="521"/>
      <c r="AY370" s="326"/>
      <c r="AZ370" s="327"/>
      <c r="BA370" s="550"/>
      <c r="BB370" s="327"/>
      <c r="BC370" s="22"/>
      <c r="BD370" s="551" t="s">
        <v>334</v>
      </c>
      <c r="BE370" s="327"/>
      <c r="BF370" s="545"/>
      <c r="BG370" s="326"/>
      <c r="BH370" s="326"/>
      <c r="BI370" s="327"/>
      <c r="BJ370" s="451" t="s">
        <v>303</v>
      </c>
      <c r="BK370" s="326"/>
      <c r="BL370" s="326"/>
      <c r="BM370" s="327"/>
      <c r="BN370" s="558" t="s">
        <v>303</v>
      </c>
      <c r="BO370" s="326"/>
      <c r="BP370" s="326"/>
      <c r="BQ370" s="326"/>
      <c r="BR370" s="326"/>
      <c r="BS370" s="326"/>
      <c r="BT370" s="326"/>
      <c r="BU370" s="326"/>
      <c r="BV370" s="327"/>
    </row>
    <row r="371" spans="1:74" ht="45" customHeight="1" x14ac:dyDescent="0.25">
      <c r="A371" s="10">
        <f t="shared" si="1"/>
        <v>357</v>
      </c>
      <c r="B371" s="559" t="s">
        <v>303</v>
      </c>
      <c r="C371" s="327"/>
      <c r="D371" s="560" t="s">
        <v>307</v>
      </c>
      <c r="E371" s="327"/>
      <c r="F371" s="537" t="s">
        <v>334</v>
      </c>
      <c r="G371" s="327"/>
      <c r="H371" s="566" t="s">
        <v>334</v>
      </c>
      <c r="I371" s="327"/>
      <c r="J371" s="567"/>
      <c r="K371" s="327"/>
      <c r="L371" s="567"/>
      <c r="M371" s="327"/>
      <c r="N371" s="20"/>
      <c r="O371" s="24"/>
      <c r="P371" s="524"/>
      <c r="Q371" s="327"/>
      <c r="R371" s="516"/>
      <c r="S371" s="327"/>
      <c r="T371" s="517"/>
      <c r="U371" s="327"/>
      <c r="V371" s="518"/>
      <c r="W371" s="327"/>
      <c r="X371" s="541" t="s">
        <v>303</v>
      </c>
      <c r="Y371" s="326"/>
      <c r="Z371" s="326"/>
      <c r="AA371" s="327"/>
      <c r="AB371" s="542" t="s">
        <v>303</v>
      </c>
      <c r="AC371" s="326"/>
      <c r="AD371" s="326"/>
      <c r="AE371" s="327"/>
      <c r="AF371" s="520"/>
      <c r="AG371" s="327"/>
      <c r="AH371" s="520"/>
      <c r="AI371" s="327"/>
      <c r="AJ371" s="554"/>
      <c r="AK371" s="327"/>
      <c r="AL371" s="537" t="s">
        <v>334</v>
      </c>
      <c r="AM371" s="327"/>
      <c r="AN371" s="546" t="s">
        <v>334</v>
      </c>
      <c r="AO371" s="327"/>
      <c r="AP371" s="554"/>
      <c r="AQ371" s="327"/>
      <c r="AR371" s="555"/>
      <c r="AS371" s="327"/>
      <c r="AT371" s="549"/>
      <c r="AU371" s="327"/>
      <c r="AV371" s="546" t="s">
        <v>334</v>
      </c>
      <c r="AW371" s="327"/>
      <c r="AX371" s="521"/>
      <c r="AY371" s="326"/>
      <c r="AZ371" s="327"/>
      <c r="BA371" s="536"/>
      <c r="BB371" s="327"/>
      <c r="BC371" s="25"/>
      <c r="BD371" s="544" t="s">
        <v>334</v>
      </c>
      <c r="BE371" s="327"/>
      <c r="BF371" s="552"/>
      <c r="BG371" s="326"/>
      <c r="BH371" s="326"/>
      <c r="BI371" s="327"/>
      <c r="BJ371" s="557" t="s">
        <v>303</v>
      </c>
      <c r="BK371" s="326"/>
      <c r="BL371" s="326"/>
      <c r="BM371" s="327"/>
      <c r="BN371" s="558" t="s">
        <v>303</v>
      </c>
      <c r="BO371" s="326"/>
      <c r="BP371" s="326"/>
      <c r="BQ371" s="326"/>
      <c r="BR371" s="326"/>
      <c r="BS371" s="326"/>
      <c r="BT371" s="326"/>
      <c r="BU371" s="326"/>
      <c r="BV371" s="327"/>
    </row>
    <row r="372" spans="1:74" ht="45" customHeight="1" x14ac:dyDescent="0.25">
      <c r="A372" s="10">
        <f t="shared" si="1"/>
        <v>358</v>
      </c>
      <c r="B372" s="564" t="s">
        <v>303</v>
      </c>
      <c r="C372" s="327"/>
      <c r="D372" s="565" t="s">
        <v>307</v>
      </c>
      <c r="E372" s="327"/>
      <c r="F372" s="537" t="s">
        <v>334</v>
      </c>
      <c r="G372" s="327"/>
      <c r="H372" s="561" t="s">
        <v>334</v>
      </c>
      <c r="I372" s="327"/>
      <c r="J372" s="562"/>
      <c r="K372" s="327"/>
      <c r="L372" s="562"/>
      <c r="M372" s="327"/>
      <c r="N372" s="23"/>
      <c r="O372" s="21"/>
      <c r="P372" s="563"/>
      <c r="Q372" s="327"/>
      <c r="R372" s="538"/>
      <c r="S372" s="327"/>
      <c r="T372" s="539"/>
      <c r="U372" s="327"/>
      <c r="V372" s="540"/>
      <c r="W372" s="327"/>
      <c r="X372" s="438" t="s">
        <v>303</v>
      </c>
      <c r="Y372" s="326"/>
      <c r="Z372" s="326"/>
      <c r="AA372" s="327"/>
      <c r="AB372" s="519" t="s">
        <v>303</v>
      </c>
      <c r="AC372" s="326"/>
      <c r="AD372" s="326"/>
      <c r="AE372" s="327"/>
      <c r="AF372" s="543"/>
      <c r="AG372" s="327"/>
      <c r="AH372" s="543"/>
      <c r="AI372" s="327"/>
      <c r="AJ372" s="536"/>
      <c r="AK372" s="327"/>
      <c r="AL372" s="556" t="s">
        <v>334</v>
      </c>
      <c r="AM372" s="327"/>
      <c r="AN372" s="553" t="s">
        <v>334</v>
      </c>
      <c r="AO372" s="327"/>
      <c r="AP372" s="547"/>
      <c r="AQ372" s="327"/>
      <c r="AR372" s="548"/>
      <c r="AS372" s="327"/>
      <c r="AT372" s="549"/>
      <c r="AU372" s="327"/>
      <c r="AV372" s="553" t="s">
        <v>334</v>
      </c>
      <c r="AW372" s="327"/>
      <c r="AX372" s="521"/>
      <c r="AY372" s="326"/>
      <c r="AZ372" s="327"/>
      <c r="BA372" s="550"/>
      <c r="BB372" s="327"/>
      <c r="BC372" s="22"/>
      <c r="BD372" s="551" t="s">
        <v>334</v>
      </c>
      <c r="BE372" s="327"/>
      <c r="BF372" s="545"/>
      <c r="BG372" s="326"/>
      <c r="BH372" s="326"/>
      <c r="BI372" s="327"/>
      <c r="BJ372" s="451" t="s">
        <v>303</v>
      </c>
      <c r="BK372" s="326"/>
      <c r="BL372" s="326"/>
      <c r="BM372" s="327"/>
      <c r="BN372" s="558" t="s">
        <v>303</v>
      </c>
      <c r="BO372" s="326"/>
      <c r="BP372" s="326"/>
      <c r="BQ372" s="326"/>
      <c r="BR372" s="326"/>
      <c r="BS372" s="326"/>
      <c r="BT372" s="326"/>
      <c r="BU372" s="326"/>
      <c r="BV372" s="327"/>
    </row>
    <row r="373" spans="1:74" ht="45" customHeight="1" x14ac:dyDescent="0.25">
      <c r="A373" s="10">
        <f t="shared" si="1"/>
        <v>359</v>
      </c>
      <c r="B373" s="559" t="s">
        <v>303</v>
      </c>
      <c r="C373" s="327"/>
      <c r="D373" s="560" t="s">
        <v>307</v>
      </c>
      <c r="E373" s="327"/>
      <c r="F373" s="537" t="s">
        <v>334</v>
      </c>
      <c r="G373" s="327"/>
      <c r="H373" s="566" t="s">
        <v>334</v>
      </c>
      <c r="I373" s="327"/>
      <c r="J373" s="567"/>
      <c r="K373" s="327"/>
      <c r="L373" s="567"/>
      <c r="M373" s="327"/>
      <c r="N373" s="20"/>
      <c r="O373" s="24"/>
      <c r="P373" s="524"/>
      <c r="Q373" s="327"/>
      <c r="R373" s="516"/>
      <c r="S373" s="327"/>
      <c r="T373" s="517"/>
      <c r="U373" s="327"/>
      <c r="V373" s="518"/>
      <c r="W373" s="327"/>
      <c r="X373" s="541" t="s">
        <v>303</v>
      </c>
      <c r="Y373" s="326"/>
      <c r="Z373" s="326"/>
      <c r="AA373" s="327"/>
      <c r="AB373" s="542" t="s">
        <v>303</v>
      </c>
      <c r="AC373" s="326"/>
      <c r="AD373" s="326"/>
      <c r="AE373" s="327"/>
      <c r="AF373" s="520"/>
      <c r="AG373" s="327"/>
      <c r="AH373" s="520"/>
      <c r="AI373" s="327"/>
      <c r="AJ373" s="554"/>
      <c r="AK373" s="327"/>
      <c r="AL373" s="537" t="s">
        <v>334</v>
      </c>
      <c r="AM373" s="327"/>
      <c r="AN373" s="546" t="s">
        <v>334</v>
      </c>
      <c r="AO373" s="327"/>
      <c r="AP373" s="554"/>
      <c r="AQ373" s="327"/>
      <c r="AR373" s="555"/>
      <c r="AS373" s="327"/>
      <c r="AT373" s="549"/>
      <c r="AU373" s="327"/>
      <c r="AV373" s="546" t="s">
        <v>334</v>
      </c>
      <c r="AW373" s="327"/>
      <c r="AX373" s="521"/>
      <c r="AY373" s="326"/>
      <c r="AZ373" s="327"/>
      <c r="BA373" s="536"/>
      <c r="BB373" s="327"/>
      <c r="BC373" s="25"/>
      <c r="BD373" s="544" t="s">
        <v>334</v>
      </c>
      <c r="BE373" s="327"/>
      <c r="BF373" s="508"/>
      <c r="BG373" s="326"/>
      <c r="BH373" s="326"/>
      <c r="BI373" s="327"/>
      <c r="BJ373" s="557" t="s">
        <v>303</v>
      </c>
      <c r="BK373" s="326"/>
      <c r="BL373" s="326"/>
      <c r="BM373" s="327"/>
      <c r="BN373" s="558" t="s">
        <v>303</v>
      </c>
      <c r="BO373" s="326"/>
      <c r="BP373" s="326"/>
      <c r="BQ373" s="326"/>
      <c r="BR373" s="326"/>
      <c r="BS373" s="326"/>
      <c r="BT373" s="326"/>
      <c r="BU373" s="326"/>
      <c r="BV373" s="327"/>
    </row>
    <row r="374" spans="1:74" ht="45" customHeight="1" x14ac:dyDescent="0.25">
      <c r="A374" s="10">
        <f t="shared" si="1"/>
        <v>360</v>
      </c>
      <c r="B374" s="564" t="s">
        <v>303</v>
      </c>
      <c r="C374" s="327"/>
      <c r="D374" s="565" t="s">
        <v>307</v>
      </c>
      <c r="E374" s="327"/>
      <c r="F374" s="537" t="s">
        <v>334</v>
      </c>
      <c r="G374" s="327"/>
      <c r="H374" s="561" t="s">
        <v>334</v>
      </c>
      <c r="I374" s="327"/>
      <c r="J374" s="562"/>
      <c r="K374" s="327"/>
      <c r="L374" s="562"/>
      <c r="M374" s="327"/>
      <c r="N374" s="23"/>
      <c r="O374" s="21"/>
      <c r="P374" s="563"/>
      <c r="Q374" s="327"/>
      <c r="R374" s="538"/>
      <c r="S374" s="327"/>
      <c r="T374" s="539"/>
      <c r="U374" s="327"/>
      <c r="V374" s="540"/>
      <c r="W374" s="327"/>
      <c r="X374" s="438" t="s">
        <v>303</v>
      </c>
      <c r="Y374" s="326"/>
      <c r="Z374" s="326"/>
      <c r="AA374" s="327"/>
      <c r="AB374" s="519" t="s">
        <v>303</v>
      </c>
      <c r="AC374" s="326"/>
      <c r="AD374" s="326"/>
      <c r="AE374" s="327"/>
      <c r="AF374" s="543"/>
      <c r="AG374" s="327"/>
      <c r="AH374" s="543"/>
      <c r="AI374" s="327"/>
      <c r="AJ374" s="536"/>
      <c r="AK374" s="327"/>
      <c r="AL374" s="556" t="s">
        <v>334</v>
      </c>
      <c r="AM374" s="327"/>
      <c r="AN374" s="553" t="s">
        <v>334</v>
      </c>
      <c r="AO374" s="327"/>
      <c r="AP374" s="547"/>
      <c r="AQ374" s="327"/>
      <c r="AR374" s="548"/>
      <c r="AS374" s="327"/>
      <c r="AT374" s="549"/>
      <c r="AU374" s="327"/>
      <c r="AV374" s="553" t="s">
        <v>334</v>
      </c>
      <c r="AW374" s="327"/>
      <c r="AX374" s="521"/>
      <c r="AY374" s="326"/>
      <c r="AZ374" s="327"/>
      <c r="BA374" s="550"/>
      <c r="BB374" s="327"/>
      <c r="BC374" s="22"/>
      <c r="BD374" s="551" t="s">
        <v>334</v>
      </c>
      <c r="BE374" s="327"/>
      <c r="BF374" s="545"/>
      <c r="BG374" s="326"/>
      <c r="BH374" s="326"/>
      <c r="BI374" s="327"/>
      <c r="BJ374" s="451" t="s">
        <v>303</v>
      </c>
      <c r="BK374" s="326"/>
      <c r="BL374" s="326"/>
      <c r="BM374" s="327"/>
      <c r="BN374" s="558" t="s">
        <v>303</v>
      </c>
      <c r="BO374" s="326"/>
      <c r="BP374" s="326"/>
      <c r="BQ374" s="326"/>
      <c r="BR374" s="326"/>
      <c r="BS374" s="326"/>
      <c r="BT374" s="326"/>
      <c r="BU374" s="326"/>
      <c r="BV374" s="327"/>
    </row>
    <row r="375" spans="1:74" ht="45" customHeight="1" x14ac:dyDescent="0.25">
      <c r="A375" s="10">
        <f t="shared" si="1"/>
        <v>361</v>
      </c>
      <c r="B375" s="559" t="s">
        <v>303</v>
      </c>
      <c r="C375" s="327"/>
      <c r="D375" s="560" t="s">
        <v>307</v>
      </c>
      <c r="E375" s="327"/>
      <c r="F375" s="537" t="s">
        <v>334</v>
      </c>
      <c r="G375" s="327"/>
      <c r="H375" s="566" t="s">
        <v>334</v>
      </c>
      <c r="I375" s="327"/>
      <c r="J375" s="567"/>
      <c r="K375" s="327"/>
      <c r="L375" s="567"/>
      <c r="M375" s="327"/>
      <c r="N375" s="20"/>
      <c r="O375" s="24"/>
      <c r="P375" s="524"/>
      <c r="Q375" s="327"/>
      <c r="R375" s="516"/>
      <c r="S375" s="327"/>
      <c r="T375" s="517"/>
      <c r="U375" s="327"/>
      <c r="V375" s="518"/>
      <c r="W375" s="327"/>
      <c r="X375" s="541" t="s">
        <v>303</v>
      </c>
      <c r="Y375" s="326"/>
      <c r="Z375" s="326"/>
      <c r="AA375" s="327"/>
      <c r="AB375" s="542" t="s">
        <v>303</v>
      </c>
      <c r="AC375" s="326"/>
      <c r="AD375" s="326"/>
      <c r="AE375" s="327"/>
      <c r="AF375" s="520"/>
      <c r="AG375" s="327"/>
      <c r="AH375" s="520"/>
      <c r="AI375" s="327"/>
      <c r="AJ375" s="554"/>
      <c r="AK375" s="327"/>
      <c r="AL375" s="537" t="s">
        <v>334</v>
      </c>
      <c r="AM375" s="327"/>
      <c r="AN375" s="546" t="s">
        <v>334</v>
      </c>
      <c r="AO375" s="327"/>
      <c r="AP375" s="554"/>
      <c r="AQ375" s="327"/>
      <c r="AR375" s="555"/>
      <c r="AS375" s="327"/>
      <c r="AT375" s="549"/>
      <c r="AU375" s="327"/>
      <c r="AV375" s="546" t="s">
        <v>334</v>
      </c>
      <c r="AW375" s="327"/>
      <c r="AX375" s="521"/>
      <c r="AY375" s="326"/>
      <c r="AZ375" s="327"/>
      <c r="BA375" s="536"/>
      <c r="BB375" s="327"/>
      <c r="BC375" s="25"/>
      <c r="BD375" s="544" t="s">
        <v>334</v>
      </c>
      <c r="BE375" s="327"/>
      <c r="BF375" s="508"/>
      <c r="BG375" s="326"/>
      <c r="BH375" s="326"/>
      <c r="BI375" s="327"/>
      <c r="BJ375" s="557" t="s">
        <v>303</v>
      </c>
      <c r="BK375" s="326"/>
      <c r="BL375" s="326"/>
      <c r="BM375" s="327"/>
      <c r="BN375" s="558" t="s">
        <v>303</v>
      </c>
      <c r="BO375" s="326"/>
      <c r="BP375" s="326"/>
      <c r="BQ375" s="326"/>
      <c r="BR375" s="326"/>
      <c r="BS375" s="326"/>
      <c r="BT375" s="326"/>
      <c r="BU375" s="326"/>
      <c r="BV375" s="327"/>
    </row>
    <row r="376" spans="1:74" ht="45" customHeight="1" x14ac:dyDescent="0.25">
      <c r="A376" s="10">
        <f t="shared" si="1"/>
        <v>362</v>
      </c>
      <c r="B376" s="564" t="s">
        <v>303</v>
      </c>
      <c r="C376" s="327"/>
      <c r="D376" s="565" t="s">
        <v>307</v>
      </c>
      <c r="E376" s="327"/>
      <c r="F376" s="537" t="s">
        <v>334</v>
      </c>
      <c r="G376" s="327"/>
      <c r="H376" s="561" t="s">
        <v>334</v>
      </c>
      <c r="I376" s="327"/>
      <c r="J376" s="562"/>
      <c r="K376" s="327"/>
      <c r="L376" s="562"/>
      <c r="M376" s="327"/>
      <c r="N376" s="23"/>
      <c r="O376" s="21"/>
      <c r="P376" s="563"/>
      <c r="Q376" s="327"/>
      <c r="R376" s="538"/>
      <c r="S376" s="327"/>
      <c r="T376" s="539"/>
      <c r="U376" s="327"/>
      <c r="V376" s="540"/>
      <c r="W376" s="327"/>
      <c r="X376" s="438" t="s">
        <v>303</v>
      </c>
      <c r="Y376" s="326"/>
      <c r="Z376" s="326"/>
      <c r="AA376" s="327"/>
      <c r="AB376" s="519" t="s">
        <v>303</v>
      </c>
      <c r="AC376" s="326"/>
      <c r="AD376" s="326"/>
      <c r="AE376" s="327"/>
      <c r="AF376" s="543"/>
      <c r="AG376" s="327"/>
      <c r="AH376" s="543"/>
      <c r="AI376" s="327"/>
      <c r="AJ376" s="536"/>
      <c r="AK376" s="327"/>
      <c r="AL376" s="556" t="s">
        <v>334</v>
      </c>
      <c r="AM376" s="327"/>
      <c r="AN376" s="553" t="s">
        <v>334</v>
      </c>
      <c r="AO376" s="327"/>
      <c r="AP376" s="547"/>
      <c r="AQ376" s="327"/>
      <c r="AR376" s="548"/>
      <c r="AS376" s="327"/>
      <c r="AT376" s="549"/>
      <c r="AU376" s="327"/>
      <c r="AV376" s="553" t="s">
        <v>334</v>
      </c>
      <c r="AW376" s="327"/>
      <c r="AX376" s="521"/>
      <c r="AY376" s="326"/>
      <c r="AZ376" s="327"/>
      <c r="BA376" s="550"/>
      <c r="BB376" s="327"/>
      <c r="BC376" s="22"/>
      <c r="BD376" s="551" t="s">
        <v>334</v>
      </c>
      <c r="BE376" s="327"/>
      <c r="BF376" s="545"/>
      <c r="BG376" s="326"/>
      <c r="BH376" s="326"/>
      <c r="BI376" s="327"/>
      <c r="BJ376" s="451" t="s">
        <v>303</v>
      </c>
      <c r="BK376" s="326"/>
      <c r="BL376" s="326"/>
      <c r="BM376" s="327"/>
      <c r="BN376" s="558" t="s">
        <v>303</v>
      </c>
      <c r="BO376" s="326"/>
      <c r="BP376" s="326"/>
      <c r="BQ376" s="326"/>
      <c r="BR376" s="326"/>
      <c r="BS376" s="326"/>
      <c r="BT376" s="326"/>
      <c r="BU376" s="326"/>
      <c r="BV376" s="327"/>
    </row>
    <row r="377" spans="1:74" ht="45" customHeight="1" x14ac:dyDescent="0.25">
      <c r="A377" s="10">
        <f t="shared" si="1"/>
        <v>363</v>
      </c>
      <c r="B377" s="559" t="s">
        <v>303</v>
      </c>
      <c r="C377" s="327"/>
      <c r="D377" s="560" t="s">
        <v>307</v>
      </c>
      <c r="E377" s="327"/>
      <c r="F377" s="537" t="s">
        <v>334</v>
      </c>
      <c r="G377" s="327"/>
      <c r="H377" s="566" t="s">
        <v>334</v>
      </c>
      <c r="I377" s="327"/>
      <c r="J377" s="567"/>
      <c r="K377" s="327"/>
      <c r="L377" s="567"/>
      <c r="M377" s="327"/>
      <c r="N377" s="20"/>
      <c r="O377" s="24"/>
      <c r="P377" s="524"/>
      <c r="Q377" s="327"/>
      <c r="R377" s="516"/>
      <c r="S377" s="327"/>
      <c r="T377" s="517"/>
      <c r="U377" s="327"/>
      <c r="V377" s="518"/>
      <c r="W377" s="327"/>
      <c r="X377" s="541" t="s">
        <v>303</v>
      </c>
      <c r="Y377" s="326"/>
      <c r="Z377" s="326"/>
      <c r="AA377" s="327"/>
      <c r="AB377" s="542" t="s">
        <v>303</v>
      </c>
      <c r="AC377" s="326"/>
      <c r="AD377" s="326"/>
      <c r="AE377" s="327"/>
      <c r="AF377" s="520"/>
      <c r="AG377" s="327"/>
      <c r="AH377" s="520"/>
      <c r="AI377" s="327"/>
      <c r="AJ377" s="554"/>
      <c r="AK377" s="327"/>
      <c r="AL377" s="537" t="s">
        <v>334</v>
      </c>
      <c r="AM377" s="327"/>
      <c r="AN377" s="546" t="s">
        <v>334</v>
      </c>
      <c r="AO377" s="327"/>
      <c r="AP377" s="554"/>
      <c r="AQ377" s="327"/>
      <c r="AR377" s="555"/>
      <c r="AS377" s="327"/>
      <c r="AT377" s="549"/>
      <c r="AU377" s="327"/>
      <c r="AV377" s="546" t="s">
        <v>334</v>
      </c>
      <c r="AW377" s="327"/>
      <c r="AX377" s="521"/>
      <c r="AY377" s="326"/>
      <c r="AZ377" s="327"/>
      <c r="BA377" s="536"/>
      <c r="BB377" s="327"/>
      <c r="BC377" s="25"/>
      <c r="BD377" s="544" t="s">
        <v>334</v>
      </c>
      <c r="BE377" s="327"/>
      <c r="BF377" s="552"/>
      <c r="BG377" s="326"/>
      <c r="BH377" s="326"/>
      <c r="BI377" s="327"/>
      <c r="BJ377" s="557" t="s">
        <v>303</v>
      </c>
      <c r="BK377" s="326"/>
      <c r="BL377" s="326"/>
      <c r="BM377" s="327"/>
      <c r="BN377" s="558" t="s">
        <v>303</v>
      </c>
      <c r="BO377" s="326"/>
      <c r="BP377" s="326"/>
      <c r="BQ377" s="326"/>
      <c r="BR377" s="326"/>
      <c r="BS377" s="326"/>
      <c r="BT377" s="326"/>
      <c r="BU377" s="326"/>
      <c r="BV377" s="327"/>
    </row>
    <row r="378" spans="1:74" ht="45" customHeight="1" x14ac:dyDescent="0.25">
      <c r="A378" s="10">
        <f t="shared" si="1"/>
        <v>364</v>
      </c>
      <c r="B378" s="564" t="s">
        <v>303</v>
      </c>
      <c r="C378" s="327"/>
      <c r="D378" s="565" t="s">
        <v>307</v>
      </c>
      <c r="E378" s="327"/>
      <c r="F378" s="537" t="s">
        <v>334</v>
      </c>
      <c r="G378" s="327"/>
      <c r="H378" s="561" t="s">
        <v>334</v>
      </c>
      <c r="I378" s="327"/>
      <c r="J378" s="562"/>
      <c r="K378" s="327"/>
      <c r="L378" s="562"/>
      <c r="M378" s="327"/>
      <c r="N378" s="23"/>
      <c r="O378" s="21"/>
      <c r="P378" s="563"/>
      <c r="Q378" s="327"/>
      <c r="R378" s="538"/>
      <c r="S378" s="327"/>
      <c r="T378" s="539"/>
      <c r="U378" s="327"/>
      <c r="V378" s="540"/>
      <c r="W378" s="327"/>
      <c r="X378" s="438" t="s">
        <v>303</v>
      </c>
      <c r="Y378" s="326"/>
      <c r="Z378" s="326"/>
      <c r="AA378" s="327"/>
      <c r="AB378" s="519" t="s">
        <v>303</v>
      </c>
      <c r="AC378" s="326"/>
      <c r="AD378" s="326"/>
      <c r="AE378" s="327"/>
      <c r="AF378" s="543"/>
      <c r="AG378" s="327"/>
      <c r="AH378" s="543"/>
      <c r="AI378" s="327"/>
      <c r="AJ378" s="536"/>
      <c r="AK378" s="327"/>
      <c r="AL378" s="556" t="s">
        <v>334</v>
      </c>
      <c r="AM378" s="327"/>
      <c r="AN378" s="553" t="s">
        <v>334</v>
      </c>
      <c r="AO378" s="327"/>
      <c r="AP378" s="547"/>
      <c r="AQ378" s="327"/>
      <c r="AR378" s="548"/>
      <c r="AS378" s="327"/>
      <c r="AT378" s="549"/>
      <c r="AU378" s="327"/>
      <c r="AV378" s="553" t="s">
        <v>334</v>
      </c>
      <c r="AW378" s="327"/>
      <c r="AX378" s="521"/>
      <c r="AY378" s="326"/>
      <c r="AZ378" s="327"/>
      <c r="BA378" s="550"/>
      <c r="BB378" s="327"/>
      <c r="BC378" s="22"/>
      <c r="BD378" s="551" t="s">
        <v>334</v>
      </c>
      <c r="BE378" s="327"/>
      <c r="BF378" s="545"/>
      <c r="BG378" s="326"/>
      <c r="BH378" s="326"/>
      <c r="BI378" s="327"/>
      <c r="BJ378" s="451" t="s">
        <v>303</v>
      </c>
      <c r="BK378" s="326"/>
      <c r="BL378" s="326"/>
      <c r="BM378" s="327"/>
      <c r="BN378" s="558" t="s">
        <v>303</v>
      </c>
      <c r="BO378" s="326"/>
      <c r="BP378" s="326"/>
      <c r="BQ378" s="326"/>
      <c r="BR378" s="326"/>
      <c r="BS378" s="326"/>
      <c r="BT378" s="326"/>
      <c r="BU378" s="326"/>
      <c r="BV378" s="327"/>
    </row>
    <row r="379" spans="1:74" ht="45" customHeight="1" x14ac:dyDescent="0.25">
      <c r="A379" s="10">
        <f t="shared" si="1"/>
        <v>365</v>
      </c>
      <c r="B379" s="559" t="s">
        <v>303</v>
      </c>
      <c r="C379" s="327"/>
      <c r="D379" s="560" t="s">
        <v>307</v>
      </c>
      <c r="E379" s="327"/>
      <c r="F379" s="537" t="s">
        <v>334</v>
      </c>
      <c r="G379" s="327"/>
      <c r="H379" s="566" t="s">
        <v>334</v>
      </c>
      <c r="I379" s="327"/>
      <c r="J379" s="567"/>
      <c r="K379" s="327"/>
      <c r="L379" s="567"/>
      <c r="M379" s="327"/>
      <c r="N379" s="20"/>
      <c r="O379" s="24"/>
      <c r="P379" s="524"/>
      <c r="Q379" s="327"/>
      <c r="R379" s="516"/>
      <c r="S379" s="327"/>
      <c r="T379" s="517"/>
      <c r="U379" s="327"/>
      <c r="V379" s="518"/>
      <c r="W379" s="327"/>
      <c r="X379" s="541" t="s">
        <v>303</v>
      </c>
      <c r="Y379" s="326"/>
      <c r="Z379" s="326"/>
      <c r="AA379" s="327"/>
      <c r="AB379" s="542" t="s">
        <v>303</v>
      </c>
      <c r="AC379" s="326"/>
      <c r="AD379" s="326"/>
      <c r="AE379" s="327"/>
      <c r="AF379" s="520"/>
      <c r="AG379" s="327"/>
      <c r="AH379" s="520"/>
      <c r="AI379" s="327"/>
      <c r="AJ379" s="554"/>
      <c r="AK379" s="327"/>
      <c r="AL379" s="537" t="s">
        <v>334</v>
      </c>
      <c r="AM379" s="327"/>
      <c r="AN379" s="546" t="s">
        <v>334</v>
      </c>
      <c r="AO379" s="327"/>
      <c r="AP379" s="554"/>
      <c r="AQ379" s="327"/>
      <c r="AR379" s="555"/>
      <c r="AS379" s="327"/>
      <c r="AT379" s="549"/>
      <c r="AU379" s="327"/>
      <c r="AV379" s="546" t="s">
        <v>334</v>
      </c>
      <c r="AW379" s="327"/>
      <c r="AX379" s="521"/>
      <c r="AY379" s="326"/>
      <c r="AZ379" s="327"/>
      <c r="BA379" s="536"/>
      <c r="BB379" s="327"/>
      <c r="BC379" s="25"/>
      <c r="BD379" s="544" t="s">
        <v>334</v>
      </c>
      <c r="BE379" s="327"/>
      <c r="BF379" s="508"/>
      <c r="BG379" s="326"/>
      <c r="BH379" s="326"/>
      <c r="BI379" s="327"/>
      <c r="BJ379" s="557" t="s">
        <v>303</v>
      </c>
      <c r="BK379" s="326"/>
      <c r="BL379" s="326"/>
      <c r="BM379" s="327"/>
      <c r="BN379" s="558" t="s">
        <v>303</v>
      </c>
      <c r="BO379" s="326"/>
      <c r="BP379" s="326"/>
      <c r="BQ379" s="326"/>
      <c r="BR379" s="326"/>
      <c r="BS379" s="326"/>
      <c r="BT379" s="326"/>
      <c r="BU379" s="326"/>
      <c r="BV379" s="327"/>
    </row>
    <row r="380" spans="1:74" ht="45" customHeight="1" x14ac:dyDescent="0.25">
      <c r="A380" s="10">
        <f t="shared" si="1"/>
        <v>366</v>
      </c>
      <c r="B380" s="564" t="s">
        <v>303</v>
      </c>
      <c r="C380" s="327"/>
      <c r="D380" s="565" t="s">
        <v>307</v>
      </c>
      <c r="E380" s="327"/>
      <c r="F380" s="537" t="s">
        <v>334</v>
      </c>
      <c r="G380" s="327"/>
      <c r="H380" s="561" t="s">
        <v>334</v>
      </c>
      <c r="I380" s="327"/>
      <c r="J380" s="562"/>
      <c r="K380" s="327"/>
      <c r="L380" s="562"/>
      <c r="M380" s="327"/>
      <c r="N380" s="23"/>
      <c r="O380" s="21"/>
      <c r="P380" s="563"/>
      <c r="Q380" s="327"/>
      <c r="R380" s="538"/>
      <c r="S380" s="327"/>
      <c r="T380" s="539"/>
      <c r="U380" s="327"/>
      <c r="V380" s="540"/>
      <c r="W380" s="327"/>
      <c r="X380" s="438" t="s">
        <v>303</v>
      </c>
      <c r="Y380" s="326"/>
      <c r="Z380" s="326"/>
      <c r="AA380" s="327"/>
      <c r="AB380" s="519" t="s">
        <v>303</v>
      </c>
      <c r="AC380" s="326"/>
      <c r="AD380" s="326"/>
      <c r="AE380" s="327"/>
      <c r="AF380" s="543"/>
      <c r="AG380" s="327"/>
      <c r="AH380" s="543"/>
      <c r="AI380" s="327"/>
      <c r="AJ380" s="536"/>
      <c r="AK380" s="327"/>
      <c r="AL380" s="556" t="s">
        <v>334</v>
      </c>
      <c r="AM380" s="327"/>
      <c r="AN380" s="553" t="s">
        <v>334</v>
      </c>
      <c r="AO380" s="327"/>
      <c r="AP380" s="547"/>
      <c r="AQ380" s="327"/>
      <c r="AR380" s="548"/>
      <c r="AS380" s="327"/>
      <c r="AT380" s="549"/>
      <c r="AU380" s="327"/>
      <c r="AV380" s="553" t="s">
        <v>334</v>
      </c>
      <c r="AW380" s="327"/>
      <c r="AX380" s="521"/>
      <c r="AY380" s="326"/>
      <c r="AZ380" s="327"/>
      <c r="BA380" s="550"/>
      <c r="BB380" s="327"/>
      <c r="BC380" s="22"/>
      <c r="BD380" s="551" t="s">
        <v>334</v>
      </c>
      <c r="BE380" s="327"/>
      <c r="BF380" s="545"/>
      <c r="BG380" s="326"/>
      <c r="BH380" s="326"/>
      <c r="BI380" s="327"/>
      <c r="BJ380" s="451" t="s">
        <v>303</v>
      </c>
      <c r="BK380" s="326"/>
      <c r="BL380" s="326"/>
      <c r="BM380" s="327"/>
      <c r="BN380" s="558" t="s">
        <v>303</v>
      </c>
      <c r="BO380" s="326"/>
      <c r="BP380" s="326"/>
      <c r="BQ380" s="326"/>
      <c r="BR380" s="326"/>
      <c r="BS380" s="326"/>
      <c r="BT380" s="326"/>
      <c r="BU380" s="326"/>
      <c r="BV380" s="327"/>
    </row>
    <row r="381" spans="1:74" ht="45" customHeight="1" x14ac:dyDescent="0.25">
      <c r="A381" s="10">
        <f t="shared" si="1"/>
        <v>367</v>
      </c>
      <c r="B381" s="559" t="s">
        <v>303</v>
      </c>
      <c r="C381" s="327"/>
      <c r="D381" s="560" t="s">
        <v>307</v>
      </c>
      <c r="E381" s="327"/>
      <c r="F381" s="537" t="s">
        <v>334</v>
      </c>
      <c r="G381" s="327"/>
      <c r="H381" s="566" t="s">
        <v>334</v>
      </c>
      <c r="I381" s="327"/>
      <c r="J381" s="567"/>
      <c r="K381" s="327"/>
      <c r="L381" s="567"/>
      <c r="M381" s="327"/>
      <c r="N381" s="20"/>
      <c r="O381" s="24"/>
      <c r="P381" s="524"/>
      <c r="Q381" s="327"/>
      <c r="R381" s="516"/>
      <c r="S381" s="327"/>
      <c r="T381" s="517"/>
      <c r="U381" s="327"/>
      <c r="V381" s="518"/>
      <c r="W381" s="327"/>
      <c r="X381" s="541" t="s">
        <v>303</v>
      </c>
      <c r="Y381" s="326"/>
      <c r="Z381" s="326"/>
      <c r="AA381" s="327"/>
      <c r="AB381" s="542" t="s">
        <v>303</v>
      </c>
      <c r="AC381" s="326"/>
      <c r="AD381" s="326"/>
      <c r="AE381" s="327"/>
      <c r="AF381" s="520"/>
      <c r="AG381" s="327"/>
      <c r="AH381" s="520"/>
      <c r="AI381" s="327"/>
      <c r="AJ381" s="554"/>
      <c r="AK381" s="327"/>
      <c r="AL381" s="537" t="s">
        <v>334</v>
      </c>
      <c r="AM381" s="327"/>
      <c r="AN381" s="546" t="s">
        <v>334</v>
      </c>
      <c r="AO381" s="327"/>
      <c r="AP381" s="554"/>
      <c r="AQ381" s="327"/>
      <c r="AR381" s="555"/>
      <c r="AS381" s="327"/>
      <c r="AT381" s="549"/>
      <c r="AU381" s="327"/>
      <c r="AV381" s="546" t="s">
        <v>334</v>
      </c>
      <c r="AW381" s="327"/>
      <c r="AX381" s="521"/>
      <c r="AY381" s="326"/>
      <c r="AZ381" s="327"/>
      <c r="BA381" s="536"/>
      <c r="BB381" s="327"/>
      <c r="BC381" s="25"/>
      <c r="BD381" s="544" t="s">
        <v>334</v>
      </c>
      <c r="BE381" s="327"/>
      <c r="BF381" s="552"/>
      <c r="BG381" s="326"/>
      <c r="BH381" s="326"/>
      <c r="BI381" s="327"/>
      <c r="BJ381" s="557" t="s">
        <v>303</v>
      </c>
      <c r="BK381" s="326"/>
      <c r="BL381" s="326"/>
      <c r="BM381" s="327"/>
      <c r="BN381" s="558" t="s">
        <v>303</v>
      </c>
      <c r="BO381" s="326"/>
      <c r="BP381" s="326"/>
      <c r="BQ381" s="326"/>
      <c r="BR381" s="326"/>
      <c r="BS381" s="326"/>
      <c r="BT381" s="326"/>
      <c r="BU381" s="326"/>
      <c r="BV381" s="327"/>
    </row>
    <row r="382" spans="1:74" ht="45" customHeight="1" x14ac:dyDescent="0.25">
      <c r="A382" s="10">
        <f t="shared" si="1"/>
        <v>368</v>
      </c>
      <c r="B382" s="564" t="s">
        <v>303</v>
      </c>
      <c r="C382" s="327"/>
      <c r="D382" s="565" t="s">
        <v>307</v>
      </c>
      <c r="E382" s="327"/>
      <c r="F382" s="537" t="s">
        <v>334</v>
      </c>
      <c r="G382" s="327"/>
      <c r="H382" s="561" t="s">
        <v>334</v>
      </c>
      <c r="I382" s="327"/>
      <c r="J382" s="562"/>
      <c r="K382" s="327"/>
      <c r="L382" s="562"/>
      <c r="M382" s="327"/>
      <c r="N382" s="23"/>
      <c r="O382" s="24"/>
      <c r="P382" s="563"/>
      <c r="Q382" s="327"/>
      <c r="R382" s="538"/>
      <c r="S382" s="327"/>
      <c r="T382" s="539"/>
      <c r="U382" s="327"/>
      <c r="V382" s="540"/>
      <c r="W382" s="327"/>
      <c r="X382" s="438" t="s">
        <v>303</v>
      </c>
      <c r="Y382" s="326"/>
      <c r="Z382" s="326"/>
      <c r="AA382" s="327"/>
      <c r="AB382" s="519" t="s">
        <v>303</v>
      </c>
      <c r="AC382" s="326"/>
      <c r="AD382" s="326"/>
      <c r="AE382" s="327"/>
      <c r="AF382" s="543"/>
      <c r="AG382" s="327"/>
      <c r="AH382" s="543"/>
      <c r="AI382" s="327"/>
      <c r="AJ382" s="536"/>
      <c r="AK382" s="327"/>
      <c r="AL382" s="556" t="s">
        <v>334</v>
      </c>
      <c r="AM382" s="327"/>
      <c r="AN382" s="553" t="s">
        <v>334</v>
      </c>
      <c r="AO382" s="327"/>
      <c r="AP382" s="547"/>
      <c r="AQ382" s="327"/>
      <c r="AR382" s="548"/>
      <c r="AS382" s="327"/>
      <c r="AT382" s="549"/>
      <c r="AU382" s="327"/>
      <c r="AV382" s="553" t="s">
        <v>334</v>
      </c>
      <c r="AW382" s="327"/>
      <c r="AX382" s="521"/>
      <c r="AY382" s="326"/>
      <c r="AZ382" s="327"/>
      <c r="BA382" s="550"/>
      <c r="BB382" s="327"/>
      <c r="BC382" s="22"/>
      <c r="BD382" s="551" t="s">
        <v>334</v>
      </c>
      <c r="BE382" s="327"/>
      <c r="BF382" s="545"/>
      <c r="BG382" s="326"/>
      <c r="BH382" s="326"/>
      <c r="BI382" s="327"/>
      <c r="BJ382" s="451" t="s">
        <v>303</v>
      </c>
      <c r="BK382" s="326"/>
      <c r="BL382" s="326"/>
      <c r="BM382" s="327"/>
      <c r="BN382" s="558" t="s">
        <v>303</v>
      </c>
      <c r="BO382" s="326"/>
      <c r="BP382" s="326"/>
      <c r="BQ382" s="326"/>
      <c r="BR382" s="326"/>
      <c r="BS382" s="326"/>
      <c r="BT382" s="326"/>
      <c r="BU382" s="326"/>
      <c r="BV382" s="327"/>
    </row>
    <row r="383" spans="1:74" ht="45" customHeight="1" x14ac:dyDescent="0.25">
      <c r="A383" s="10">
        <f t="shared" si="1"/>
        <v>369</v>
      </c>
      <c r="B383" s="559" t="s">
        <v>303</v>
      </c>
      <c r="C383" s="327"/>
      <c r="D383" s="560" t="s">
        <v>307</v>
      </c>
      <c r="E383" s="327"/>
      <c r="F383" s="537" t="s">
        <v>334</v>
      </c>
      <c r="G383" s="327"/>
      <c r="H383" s="566" t="s">
        <v>334</v>
      </c>
      <c r="I383" s="327"/>
      <c r="J383" s="567"/>
      <c r="K383" s="327"/>
      <c r="L383" s="567"/>
      <c r="M383" s="327"/>
      <c r="N383" s="20"/>
      <c r="O383" s="21"/>
      <c r="P383" s="524"/>
      <c r="Q383" s="327"/>
      <c r="R383" s="516"/>
      <c r="S383" s="327"/>
      <c r="T383" s="517"/>
      <c r="U383" s="327"/>
      <c r="V383" s="518"/>
      <c r="W383" s="327"/>
      <c r="X383" s="541" t="s">
        <v>303</v>
      </c>
      <c r="Y383" s="326"/>
      <c r="Z383" s="326"/>
      <c r="AA383" s="327"/>
      <c r="AB383" s="542" t="s">
        <v>303</v>
      </c>
      <c r="AC383" s="326"/>
      <c r="AD383" s="326"/>
      <c r="AE383" s="327"/>
      <c r="AF383" s="520"/>
      <c r="AG383" s="327"/>
      <c r="AH383" s="520"/>
      <c r="AI383" s="327"/>
      <c r="AJ383" s="554"/>
      <c r="AK383" s="327"/>
      <c r="AL383" s="537" t="s">
        <v>334</v>
      </c>
      <c r="AM383" s="327"/>
      <c r="AN383" s="546" t="s">
        <v>334</v>
      </c>
      <c r="AO383" s="327"/>
      <c r="AP383" s="554"/>
      <c r="AQ383" s="327"/>
      <c r="AR383" s="555"/>
      <c r="AS383" s="327"/>
      <c r="AT383" s="549"/>
      <c r="AU383" s="327"/>
      <c r="AV383" s="546" t="s">
        <v>334</v>
      </c>
      <c r="AW383" s="327"/>
      <c r="AX383" s="521"/>
      <c r="AY383" s="326"/>
      <c r="AZ383" s="327"/>
      <c r="BA383" s="536"/>
      <c r="BB383" s="327"/>
      <c r="BC383" s="25"/>
      <c r="BD383" s="544" t="s">
        <v>334</v>
      </c>
      <c r="BE383" s="327"/>
      <c r="BF383" s="508"/>
      <c r="BG383" s="326"/>
      <c r="BH383" s="326"/>
      <c r="BI383" s="327"/>
      <c r="BJ383" s="557" t="s">
        <v>303</v>
      </c>
      <c r="BK383" s="326"/>
      <c r="BL383" s="326"/>
      <c r="BM383" s="327"/>
      <c r="BN383" s="558" t="s">
        <v>303</v>
      </c>
      <c r="BO383" s="326"/>
      <c r="BP383" s="326"/>
      <c r="BQ383" s="326"/>
      <c r="BR383" s="326"/>
      <c r="BS383" s="326"/>
      <c r="BT383" s="326"/>
      <c r="BU383" s="326"/>
      <c r="BV383" s="327"/>
    </row>
    <row r="384" spans="1:74" ht="45" customHeight="1" x14ac:dyDescent="0.25">
      <c r="A384" s="10">
        <f t="shared" si="1"/>
        <v>370</v>
      </c>
      <c r="B384" s="564" t="s">
        <v>303</v>
      </c>
      <c r="C384" s="327"/>
      <c r="D384" s="565" t="s">
        <v>307</v>
      </c>
      <c r="E384" s="327"/>
      <c r="F384" s="537" t="s">
        <v>334</v>
      </c>
      <c r="G384" s="327"/>
      <c r="H384" s="561" t="s">
        <v>334</v>
      </c>
      <c r="I384" s="327"/>
      <c r="J384" s="562"/>
      <c r="K384" s="327"/>
      <c r="L384" s="562"/>
      <c r="M384" s="327"/>
      <c r="N384" s="23"/>
      <c r="O384" s="24"/>
      <c r="P384" s="563"/>
      <c r="Q384" s="327"/>
      <c r="R384" s="538"/>
      <c r="S384" s="327"/>
      <c r="T384" s="539"/>
      <c r="U384" s="327"/>
      <c r="V384" s="540"/>
      <c r="W384" s="327"/>
      <c r="X384" s="438" t="s">
        <v>303</v>
      </c>
      <c r="Y384" s="326"/>
      <c r="Z384" s="326"/>
      <c r="AA384" s="327"/>
      <c r="AB384" s="519" t="s">
        <v>303</v>
      </c>
      <c r="AC384" s="326"/>
      <c r="AD384" s="326"/>
      <c r="AE384" s="327"/>
      <c r="AF384" s="543"/>
      <c r="AG384" s="327"/>
      <c r="AH384" s="543"/>
      <c r="AI384" s="327"/>
      <c r="AJ384" s="536"/>
      <c r="AK384" s="327"/>
      <c r="AL384" s="556" t="s">
        <v>334</v>
      </c>
      <c r="AM384" s="327"/>
      <c r="AN384" s="553" t="s">
        <v>334</v>
      </c>
      <c r="AO384" s="327"/>
      <c r="AP384" s="547"/>
      <c r="AQ384" s="327"/>
      <c r="AR384" s="548"/>
      <c r="AS384" s="327"/>
      <c r="AT384" s="549"/>
      <c r="AU384" s="327"/>
      <c r="AV384" s="553" t="s">
        <v>334</v>
      </c>
      <c r="AW384" s="327"/>
      <c r="AX384" s="521"/>
      <c r="AY384" s="326"/>
      <c r="AZ384" s="327"/>
      <c r="BA384" s="550"/>
      <c r="BB384" s="327"/>
      <c r="BC384" s="22"/>
      <c r="BD384" s="551" t="s">
        <v>334</v>
      </c>
      <c r="BE384" s="327"/>
      <c r="BF384" s="545"/>
      <c r="BG384" s="326"/>
      <c r="BH384" s="326"/>
      <c r="BI384" s="327"/>
      <c r="BJ384" s="451" t="s">
        <v>303</v>
      </c>
      <c r="BK384" s="326"/>
      <c r="BL384" s="326"/>
      <c r="BM384" s="327"/>
      <c r="BN384" s="558" t="s">
        <v>303</v>
      </c>
      <c r="BO384" s="326"/>
      <c r="BP384" s="326"/>
      <c r="BQ384" s="326"/>
      <c r="BR384" s="326"/>
      <c r="BS384" s="326"/>
      <c r="BT384" s="326"/>
      <c r="BU384" s="326"/>
      <c r="BV384" s="327"/>
    </row>
    <row r="385" spans="1:74" ht="45" customHeight="1" x14ac:dyDescent="0.25">
      <c r="A385" s="10">
        <f t="shared" si="1"/>
        <v>371</v>
      </c>
      <c r="B385" s="559" t="s">
        <v>303</v>
      </c>
      <c r="C385" s="327"/>
      <c r="D385" s="560" t="s">
        <v>307</v>
      </c>
      <c r="E385" s="327"/>
      <c r="F385" s="537" t="s">
        <v>334</v>
      </c>
      <c r="G385" s="327"/>
      <c r="H385" s="566" t="s">
        <v>334</v>
      </c>
      <c r="I385" s="327"/>
      <c r="J385" s="567"/>
      <c r="K385" s="327"/>
      <c r="L385" s="567"/>
      <c r="M385" s="327"/>
      <c r="N385" s="20"/>
      <c r="O385" s="21"/>
      <c r="P385" s="524"/>
      <c r="Q385" s="327"/>
      <c r="R385" s="516"/>
      <c r="S385" s="327"/>
      <c r="T385" s="517"/>
      <c r="U385" s="327"/>
      <c r="V385" s="518"/>
      <c r="W385" s="327"/>
      <c r="X385" s="541" t="s">
        <v>303</v>
      </c>
      <c r="Y385" s="326"/>
      <c r="Z385" s="326"/>
      <c r="AA385" s="327"/>
      <c r="AB385" s="542" t="s">
        <v>303</v>
      </c>
      <c r="AC385" s="326"/>
      <c r="AD385" s="326"/>
      <c r="AE385" s="327"/>
      <c r="AF385" s="520"/>
      <c r="AG385" s="327"/>
      <c r="AH385" s="520"/>
      <c r="AI385" s="327"/>
      <c r="AJ385" s="554"/>
      <c r="AK385" s="327"/>
      <c r="AL385" s="537" t="s">
        <v>334</v>
      </c>
      <c r="AM385" s="327"/>
      <c r="AN385" s="546" t="s">
        <v>334</v>
      </c>
      <c r="AO385" s="327"/>
      <c r="AP385" s="554"/>
      <c r="AQ385" s="327"/>
      <c r="AR385" s="555"/>
      <c r="AS385" s="327"/>
      <c r="AT385" s="549"/>
      <c r="AU385" s="327"/>
      <c r="AV385" s="546" t="s">
        <v>334</v>
      </c>
      <c r="AW385" s="327"/>
      <c r="AX385" s="521"/>
      <c r="AY385" s="326"/>
      <c r="AZ385" s="327"/>
      <c r="BA385" s="536"/>
      <c r="BB385" s="327"/>
      <c r="BC385" s="25"/>
      <c r="BD385" s="544" t="s">
        <v>334</v>
      </c>
      <c r="BE385" s="327"/>
      <c r="BF385" s="508"/>
      <c r="BG385" s="326"/>
      <c r="BH385" s="326"/>
      <c r="BI385" s="327"/>
      <c r="BJ385" s="557" t="s">
        <v>303</v>
      </c>
      <c r="BK385" s="326"/>
      <c r="BL385" s="326"/>
      <c r="BM385" s="327"/>
      <c r="BN385" s="558" t="s">
        <v>303</v>
      </c>
      <c r="BO385" s="326"/>
      <c r="BP385" s="326"/>
      <c r="BQ385" s="326"/>
      <c r="BR385" s="326"/>
      <c r="BS385" s="326"/>
      <c r="BT385" s="326"/>
      <c r="BU385" s="326"/>
      <c r="BV385" s="327"/>
    </row>
    <row r="386" spans="1:74" ht="45" customHeight="1" x14ac:dyDescent="0.25">
      <c r="A386" s="10">
        <f t="shared" si="1"/>
        <v>372</v>
      </c>
      <c r="B386" s="564" t="s">
        <v>303</v>
      </c>
      <c r="C386" s="327"/>
      <c r="D386" s="565" t="s">
        <v>307</v>
      </c>
      <c r="E386" s="327"/>
      <c r="F386" s="537" t="s">
        <v>334</v>
      </c>
      <c r="G386" s="327"/>
      <c r="H386" s="561" t="s">
        <v>334</v>
      </c>
      <c r="I386" s="327"/>
      <c r="J386" s="562"/>
      <c r="K386" s="327"/>
      <c r="L386" s="562"/>
      <c r="M386" s="327"/>
      <c r="N386" s="23"/>
      <c r="O386" s="24"/>
      <c r="P386" s="563"/>
      <c r="Q386" s="327"/>
      <c r="R386" s="538"/>
      <c r="S386" s="327"/>
      <c r="T386" s="539"/>
      <c r="U386" s="327"/>
      <c r="V386" s="540"/>
      <c r="W386" s="327"/>
      <c r="X386" s="438" t="s">
        <v>303</v>
      </c>
      <c r="Y386" s="326"/>
      <c r="Z386" s="326"/>
      <c r="AA386" s="327"/>
      <c r="AB386" s="519" t="s">
        <v>303</v>
      </c>
      <c r="AC386" s="326"/>
      <c r="AD386" s="326"/>
      <c r="AE386" s="327"/>
      <c r="AF386" s="543"/>
      <c r="AG386" s="327"/>
      <c r="AH386" s="543"/>
      <c r="AI386" s="327"/>
      <c r="AJ386" s="536"/>
      <c r="AK386" s="327"/>
      <c r="AL386" s="556" t="s">
        <v>334</v>
      </c>
      <c r="AM386" s="327"/>
      <c r="AN386" s="553" t="s">
        <v>334</v>
      </c>
      <c r="AO386" s="327"/>
      <c r="AP386" s="547"/>
      <c r="AQ386" s="327"/>
      <c r="AR386" s="548"/>
      <c r="AS386" s="327"/>
      <c r="AT386" s="549"/>
      <c r="AU386" s="327"/>
      <c r="AV386" s="553" t="s">
        <v>334</v>
      </c>
      <c r="AW386" s="327"/>
      <c r="AX386" s="521"/>
      <c r="AY386" s="326"/>
      <c r="AZ386" s="327"/>
      <c r="BA386" s="550"/>
      <c r="BB386" s="327"/>
      <c r="BC386" s="22"/>
      <c r="BD386" s="551" t="s">
        <v>334</v>
      </c>
      <c r="BE386" s="327"/>
      <c r="BF386" s="545"/>
      <c r="BG386" s="326"/>
      <c r="BH386" s="326"/>
      <c r="BI386" s="327"/>
      <c r="BJ386" s="451" t="s">
        <v>303</v>
      </c>
      <c r="BK386" s="326"/>
      <c r="BL386" s="326"/>
      <c r="BM386" s="327"/>
      <c r="BN386" s="558" t="s">
        <v>303</v>
      </c>
      <c r="BO386" s="326"/>
      <c r="BP386" s="326"/>
      <c r="BQ386" s="326"/>
      <c r="BR386" s="326"/>
      <c r="BS386" s="326"/>
      <c r="BT386" s="326"/>
      <c r="BU386" s="326"/>
      <c r="BV386" s="327"/>
    </row>
    <row r="387" spans="1:74" ht="45" customHeight="1" x14ac:dyDescent="0.25">
      <c r="A387" s="10">
        <f t="shared" si="1"/>
        <v>373</v>
      </c>
      <c r="B387" s="559" t="s">
        <v>303</v>
      </c>
      <c r="C387" s="327"/>
      <c r="D387" s="560" t="s">
        <v>307</v>
      </c>
      <c r="E387" s="327"/>
      <c r="F387" s="537" t="s">
        <v>334</v>
      </c>
      <c r="G387" s="327"/>
      <c r="H387" s="566" t="s">
        <v>334</v>
      </c>
      <c r="I387" s="327"/>
      <c r="J387" s="567"/>
      <c r="K387" s="327"/>
      <c r="L387" s="567"/>
      <c r="M387" s="327"/>
      <c r="N387" s="20"/>
      <c r="O387" s="21"/>
      <c r="P387" s="524"/>
      <c r="Q387" s="327"/>
      <c r="R387" s="516"/>
      <c r="S387" s="327"/>
      <c r="T387" s="517"/>
      <c r="U387" s="327"/>
      <c r="V387" s="518"/>
      <c r="W387" s="327"/>
      <c r="X387" s="541" t="s">
        <v>303</v>
      </c>
      <c r="Y387" s="326"/>
      <c r="Z387" s="326"/>
      <c r="AA387" s="327"/>
      <c r="AB387" s="542" t="s">
        <v>303</v>
      </c>
      <c r="AC387" s="326"/>
      <c r="AD387" s="326"/>
      <c r="AE387" s="327"/>
      <c r="AF387" s="520"/>
      <c r="AG387" s="327"/>
      <c r="AH387" s="520"/>
      <c r="AI387" s="327"/>
      <c r="AJ387" s="554"/>
      <c r="AK387" s="327"/>
      <c r="AL387" s="537" t="s">
        <v>334</v>
      </c>
      <c r="AM387" s="327"/>
      <c r="AN387" s="546" t="s">
        <v>334</v>
      </c>
      <c r="AO387" s="327"/>
      <c r="AP387" s="554"/>
      <c r="AQ387" s="327"/>
      <c r="AR387" s="555"/>
      <c r="AS387" s="327"/>
      <c r="AT387" s="549"/>
      <c r="AU387" s="327"/>
      <c r="AV387" s="546" t="s">
        <v>334</v>
      </c>
      <c r="AW387" s="327"/>
      <c r="AX387" s="521"/>
      <c r="AY387" s="326"/>
      <c r="AZ387" s="327"/>
      <c r="BA387" s="536"/>
      <c r="BB387" s="327"/>
      <c r="BC387" s="25"/>
      <c r="BD387" s="544" t="s">
        <v>334</v>
      </c>
      <c r="BE387" s="327"/>
      <c r="BF387" s="552"/>
      <c r="BG387" s="326"/>
      <c r="BH387" s="326"/>
      <c r="BI387" s="327"/>
      <c r="BJ387" s="557" t="s">
        <v>303</v>
      </c>
      <c r="BK387" s="326"/>
      <c r="BL387" s="326"/>
      <c r="BM387" s="327"/>
      <c r="BN387" s="558" t="s">
        <v>303</v>
      </c>
      <c r="BO387" s="326"/>
      <c r="BP387" s="326"/>
      <c r="BQ387" s="326"/>
      <c r="BR387" s="326"/>
      <c r="BS387" s="326"/>
      <c r="BT387" s="326"/>
      <c r="BU387" s="326"/>
      <c r="BV387" s="327"/>
    </row>
    <row r="388" spans="1:74" ht="45" customHeight="1" x14ac:dyDescent="0.25">
      <c r="A388" s="10">
        <f t="shared" si="1"/>
        <v>374</v>
      </c>
      <c r="B388" s="564" t="s">
        <v>303</v>
      </c>
      <c r="C388" s="327"/>
      <c r="D388" s="565" t="s">
        <v>307</v>
      </c>
      <c r="E388" s="327"/>
      <c r="F388" s="537" t="s">
        <v>334</v>
      </c>
      <c r="G388" s="327"/>
      <c r="H388" s="561" t="s">
        <v>334</v>
      </c>
      <c r="I388" s="327"/>
      <c r="J388" s="562"/>
      <c r="K388" s="327"/>
      <c r="L388" s="562"/>
      <c r="M388" s="327"/>
      <c r="N388" s="23"/>
      <c r="O388" s="24"/>
      <c r="P388" s="563"/>
      <c r="Q388" s="327"/>
      <c r="R388" s="538"/>
      <c r="S388" s="327"/>
      <c r="T388" s="539"/>
      <c r="U388" s="327"/>
      <c r="V388" s="540"/>
      <c r="W388" s="327"/>
      <c r="X388" s="438" t="s">
        <v>303</v>
      </c>
      <c r="Y388" s="326"/>
      <c r="Z388" s="326"/>
      <c r="AA388" s="327"/>
      <c r="AB388" s="519" t="s">
        <v>303</v>
      </c>
      <c r="AC388" s="326"/>
      <c r="AD388" s="326"/>
      <c r="AE388" s="327"/>
      <c r="AF388" s="543"/>
      <c r="AG388" s="327"/>
      <c r="AH388" s="543"/>
      <c r="AI388" s="327"/>
      <c r="AJ388" s="536"/>
      <c r="AK388" s="327"/>
      <c r="AL388" s="556" t="s">
        <v>334</v>
      </c>
      <c r="AM388" s="327"/>
      <c r="AN388" s="553" t="s">
        <v>334</v>
      </c>
      <c r="AO388" s="327"/>
      <c r="AP388" s="547"/>
      <c r="AQ388" s="327"/>
      <c r="AR388" s="548"/>
      <c r="AS388" s="327"/>
      <c r="AT388" s="549"/>
      <c r="AU388" s="327"/>
      <c r="AV388" s="553" t="s">
        <v>334</v>
      </c>
      <c r="AW388" s="327"/>
      <c r="AX388" s="521"/>
      <c r="AY388" s="326"/>
      <c r="AZ388" s="327"/>
      <c r="BA388" s="550"/>
      <c r="BB388" s="327"/>
      <c r="BC388" s="22"/>
      <c r="BD388" s="551" t="s">
        <v>334</v>
      </c>
      <c r="BE388" s="327"/>
      <c r="BF388" s="545"/>
      <c r="BG388" s="326"/>
      <c r="BH388" s="326"/>
      <c r="BI388" s="327"/>
      <c r="BJ388" s="451" t="s">
        <v>303</v>
      </c>
      <c r="BK388" s="326"/>
      <c r="BL388" s="326"/>
      <c r="BM388" s="327"/>
      <c r="BN388" s="558" t="s">
        <v>303</v>
      </c>
      <c r="BO388" s="326"/>
      <c r="BP388" s="326"/>
      <c r="BQ388" s="326"/>
      <c r="BR388" s="326"/>
      <c r="BS388" s="326"/>
      <c r="BT388" s="326"/>
      <c r="BU388" s="326"/>
      <c r="BV388" s="327"/>
    </row>
    <row r="389" spans="1:74" ht="45" customHeight="1" x14ac:dyDescent="0.25">
      <c r="A389" s="10">
        <f t="shared" si="1"/>
        <v>375</v>
      </c>
      <c r="B389" s="559" t="s">
        <v>303</v>
      </c>
      <c r="C389" s="327"/>
      <c r="D389" s="560" t="s">
        <v>307</v>
      </c>
      <c r="E389" s="327"/>
      <c r="F389" s="537" t="s">
        <v>334</v>
      </c>
      <c r="G389" s="327"/>
      <c r="H389" s="566" t="s">
        <v>334</v>
      </c>
      <c r="I389" s="327"/>
      <c r="J389" s="567"/>
      <c r="K389" s="327"/>
      <c r="L389" s="567"/>
      <c r="M389" s="327"/>
      <c r="N389" s="20"/>
      <c r="O389" s="21"/>
      <c r="P389" s="524"/>
      <c r="Q389" s="327"/>
      <c r="R389" s="516"/>
      <c r="S389" s="327"/>
      <c r="T389" s="517"/>
      <c r="U389" s="327"/>
      <c r="V389" s="518"/>
      <c r="W389" s="327"/>
      <c r="X389" s="541" t="s">
        <v>303</v>
      </c>
      <c r="Y389" s="326"/>
      <c r="Z389" s="326"/>
      <c r="AA389" s="327"/>
      <c r="AB389" s="542" t="s">
        <v>303</v>
      </c>
      <c r="AC389" s="326"/>
      <c r="AD389" s="326"/>
      <c r="AE389" s="327"/>
      <c r="AF389" s="520"/>
      <c r="AG389" s="327"/>
      <c r="AH389" s="520"/>
      <c r="AI389" s="327"/>
      <c r="AJ389" s="554"/>
      <c r="AK389" s="327"/>
      <c r="AL389" s="537" t="s">
        <v>334</v>
      </c>
      <c r="AM389" s="327"/>
      <c r="AN389" s="546" t="s">
        <v>334</v>
      </c>
      <c r="AO389" s="327"/>
      <c r="AP389" s="554"/>
      <c r="AQ389" s="327"/>
      <c r="AR389" s="555"/>
      <c r="AS389" s="327"/>
      <c r="AT389" s="549"/>
      <c r="AU389" s="327"/>
      <c r="AV389" s="546" t="s">
        <v>334</v>
      </c>
      <c r="AW389" s="327"/>
      <c r="AX389" s="521"/>
      <c r="AY389" s="326"/>
      <c r="AZ389" s="327"/>
      <c r="BA389" s="536"/>
      <c r="BB389" s="327"/>
      <c r="BC389" s="25"/>
      <c r="BD389" s="544" t="s">
        <v>334</v>
      </c>
      <c r="BE389" s="327"/>
      <c r="BF389" s="508"/>
      <c r="BG389" s="326"/>
      <c r="BH389" s="326"/>
      <c r="BI389" s="327"/>
      <c r="BJ389" s="557" t="s">
        <v>303</v>
      </c>
      <c r="BK389" s="326"/>
      <c r="BL389" s="326"/>
      <c r="BM389" s="327"/>
      <c r="BN389" s="558" t="s">
        <v>303</v>
      </c>
      <c r="BO389" s="326"/>
      <c r="BP389" s="326"/>
      <c r="BQ389" s="326"/>
      <c r="BR389" s="326"/>
      <c r="BS389" s="326"/>
      <c r="BT389" s="326"/>
      <c r="BU389" s="326"/>
      <c r="BV389" s="327"/>
    </row>
    <row r="390" spans="1:74" ht="45" customHeight="1" x14ac:dyDescent="0.25">
      <c r="A390" s="10">
        <f t="shared" si="1"/>
        <v>376</v>
      </c>
      <c r="B390" s="564" t="s">
        <v>303</v>
      </c>
      <c r="C390" s="327"/>
      <c r="D390" s="565" t="s">
        <v>307</v>
      </c>
      <c r="E390" s="327"/>
      <c r="F390" s="537" t="s">
        <v>334</v>
      </c>
      <c r="G390" s="327"/>
      <c r="H390" s="561" t="s">
        <v>334</v>
      </c>
      <c r="I390" s="327"/>
      <c r="J390" s="562"/>
      <c r="K390" s="327"/>
      <c r="L390" s="562"/>
      <c r="M390" s="327"/>
      <c r="N390" s="23"/>
      <c r="O390" s="24"/>
      <c r="P390" s="563"/>
      <c r="Q390" s="327"/>
      <c r="R390" s="538"/>
      <c r="S390" s="327"/>
      <c r="T390" s="539"/>
      <c r="U390" s="327"/>
      <c r="V390" s="540"/>
      <c r="W390" s="327"/>
      <c r="X390" s="438" t="s">
        <v>303</v>
      </c>
      <c r="Y390" s="326"/>
      <c r="Z390" s="326"/>
      <c r="AA390" s="327"/>
      <c r="AB390" s="519" t="s">
        <v>303</v>
      </c>
      <c r="AC390" s="326"/>
      <c r="AD390" s="326"/>
      <c r="AE390" s="327"/>
      <c r="AF390" s="543"/>
      <c r="AG390" s="327"/>
      <c r="AH390" s="543"/>
      <c r="AI390" s="327"/>
      <c r="AJ390" s="536"/>
      <c r="AK390" s="327"/>
      <c r="AL390" s="556" t="s">
        <v>334</v>
      </c>
      <c r="AM390" s="327"/>
      <c r="AN390" s="553" t="s">
        <v>334</v>
      </c>
      <c r="AO390" s="327"/>
      <c r="AP390" s="547"/>
      <c r="AQ390" s="327"/>
      <c r="AR390" s="548"/>
      <c r="AS390" s="327"/>
      <c r="AT390" s="549"/>
      <c r="AU390" s="327"/>
      <c r="AV390" s="553" t="s">
        <v>334</v>
      </c>
      <c r="AW390" s="327"/>
      <c r="AX390" s="521"/>
      <c r="AY390" s="326"/>
      <c r="AZ390" s="327"/>
      <c r="BA390" s="550"/>
      <c r="BB390" s="327"/>
      <c r="BC390" s="22"/>
      <c r="BD390" s="551" t="s">
        <v>334</v>
      </c>
      <c r="BE390" s="327"/>
      <c r="BF390" s="545"/>
      <c r="BG390" s="326"/>
      <c r="BH390" s="326"/>
      <c r="BI390" s="327"/>
      <c r="BJ390" s="451" t="s">
        <v>303</v>
      </c>
      <c r="BK390" s="326"/>
      <c r="BL390" s="326"/>
      <c r="BM390" s="327"/>
      <c r="BN390" s="558" t="s">
        <v>303</v>
      </c>
      <c r="BO390" s="326"/>
      <c r="BP390" s="326"/>
      <c r="BQ390" s="326"/>
      <c r="BR390" s="326"/>
      <c r="BS390" s="326"/>
      <c r="BT390" s="326"/>
      <c r="BU390" s="326"/>
      <c r="BV390" s="327"/>
    </row>
    <row r="391" spans="1:74" ht="45" customHeight="1" x14ac:dyDescent="0.25">
      <c r="A391" s="10">
        <f t="shared" si="1"/>
        <v>377</v>
      </c>
      <c r="B391" s="559" t="s">
        <v>303</v>
      </c>
      <c r="C391" s="327"/>
      <c r="D391" s="560" t="s">
        <v>307</v>
      </c>
      <c r="E391" s="327"/>
      <c r="F391" s="537" t="s">
        <v>334</v>
      </c>
      <c r="G391" s="327"/>
      <c r="H391" s="566" t="s">
        <v>334</v>
      </c>
      <c r="I391" s="327"/>
      <c r="J391" s="567"/>
      <c r="K391" s="327"/>
      <c r="L391" s="567"/>
      <c r="M391" s="327"/>
      <c r="N391" s="20"/>
      <c r="O391" s="21"/>
      <c r="P391" s="524"/>
      <c r="Q391" s="327"/>
      <c r="R391" s="516"/>
      <c r="S391" s="327"/>
      <c r="T391" s="517"/>
      <c r="U391" s="327"/>
      <c r="V391" s="518"/>
      <c r="W391" s="327"/>
      <c r="X391" s="541" t="s">
        <v>303</v>
      </c>
      <c r="Y391" s="326"/>
      <c r="Z391" s="326"/>
      <c r="AA391" s="327"/>
      <c r="AB391" s="542" t="s">
        <v>303</v>
      </c>
      <c r="AC391" s="326"/>
      <c r="AD391" s="326"/>
      <c r="AE391" s="327"/>
      <c r="AF391" s="520"/>
      <c r="AG391" s="327"/>
      <c r="AH391" s="520"/>
      <c r="AI391" s="327"/>
      <c r="AJ391" s="554"/>
      <c r="AK391" s="327"/>
      <c r="AL391" s="537" t="s">
        <v>334</v>
      </c>
      <c r="AM391" s="327"/>
      <c r="AN391" s="546" t="s">
        <v>334</v>
      </c>
      <c r="AO391" s="327"/>
      <c r="AP391" s="554"/>
      <c r="AQ391" s="327"/>
      <c r="AR391" s="555"/>
      <c r="AS391" s="327"/>
      <c r="AT391" s="549"/>
      <c r="AU391" s="327"/>
      <c r="AV391" s="546" t="s">
        <v>334</v>
      </c>
      <c r="AW391" s="327"/>
      <c r="AX391" s="521"/>
      <c r="AY391" s="326"/>
      <c r="AZ391" s="327"/>
      <c r="BA391" s="536"/>
      <c r="BB391" s="327"/>
      <c r="BC391" s="25"/>
      <c r="BD391" s="544" t="s">
        <v>334</v>
      </c>
      <c r="BE391" s="327"/>
      <c r="BF391" s="552"/>
      <c r="BG391" s="326"/>
      <c r="BH391" s="326"/>
      <c r="BI391" s="327"/>
      <c r="BJ391" s="557" t="s">
        <v>303</v>
      </c>
      <c r="BK391" s="326"/>
      <c r="BL391" s="326"/>
      <c r="BM391" s="327"/>
      <c r="BN391" s="558" t="s">
        <v>303</v>
      </c>
      <c r="BO391" s="326"/>
      <c r="BP391" s="326"/>
      <c r="BQ391" s="326"/>
      <c r="BR391" s="326"/>
      <c r="BS391" s="326"/>
      <c r="BT391" s="326"/>
      <c r="BU391" s="326"/>
      <c r="BV391" s="327"/>
    </row>
    <row r="392" spans="1:74" ht="45" customHeight="1" x14ac:dyDescent="0.25">
      <c r="A392" s="10">
        <f t="shared" si="1"/>
        <v>378</v>
      </c>
      <c r="B392" s="564" t="s">
        <v>303</v>
      </c>
      <c r="C392" s="327"/>
      <c r="D392" s="565" t="s">
        <v>307</v>
      </c>
      <c r="E392" s="327"/>
      <c r="F392" s="537" t="s">
        <v>334</v>
      </c>
      <c r="G392" s="327"/>
      <c r="H392" s="561" t="s">
        <v>334</v>
      </c>
      <c r="I392" s="327"/>
      <c r="J392" s="562"/>
      <c r="K392" s="327"/>
      <c r="L392" s="562"/>
      <c r="M392" s="327"/>
      <c r="N392" s="23"/>
      <c r="O392" s="24"/>
      <c r="P392" s="563"/>
      <c r="Q392" s="327"/>
      <c r="R392" s="538"/>
      <c r="S392" s="327"/>
      <c r="T392" s="539"/>
      <c r="U392" s="327"/>
      <c r="V392" s="540"/>
      <c r="W392" s="327"/>
      <c r="X392" s="438" t="s">
        <v>303</v>
      </c>
      <c r="Y392" s="326"/>
      <c r="Z392" s="326"/>
      <c r="AA392" s="327"/>
      <c r="AB392" s="519" t="s">
        <v>303</v>
      </c>
      <c r="AC392" s="326"/>
      <c r="AD392" s="326"/>
      <c r="AE392" s="327"/>
      <c r="AF392" s="543"/>
      <c r="AG392" s="327"/>
      <c r="AH392" s="543"/>
      <c r="AI392" s="327"/>
      <c r="AJ392" s="536"/>
      <c r="AK392" s="327"/>
      <c r="AL392" s="556" t="s">
        <v>334</v>
      </c>
      <c r="AM392" s="327"/>
      <c r="AN392" s="553" t="s">
        <v>334</v>
      </c>
      <c r="AO392" s="327"/>
      <c r="AP392" s="547"/>
      <c r="AQ392" s="327"/>
      <c r="AR392" s="548"/>
      <c r="AS392" s="327"/>
      <c r="AT392" s="549"/>
      <c r="AU392" s="327"/>
      <c r="AV392" s="553" t="s">
        <v>334</v>
      </c>
      <c r="AW392" s="327"/>
      <c r="AX392" s="521"/>
      <c r="AY392" s="326"/>
      <c r="AZ392" s="327"/>
      <c r="BA392" s="550"/>
      <c r="BB392" s="327"/>
      <c r="BC392" s="22"/>
      <c r="BD392" s="551" t="s">
        <v>334</v>
      </c>
      <c r="BE392" s="327"/>
      <c r="BF392" s="545"/>
      <c r="BG392" s="326"/>
      <c r="BH392" s="326"/>
      <c r="BI392" s="327"/>
      <c r="BJ392" s="451" t="s">
        <v>303</v>
      </c>
      <c r="BK392" s="326"/>
      <c r="BL392" s="326"/>
      <c r="BM392" s="327"/>
      <c r="BN392" s="558" t="s">
        <v>303</v>
      </c>
      <c r="BO392" s="326"/>
      <c r="BP392" s="326"/>
      <c r="BQ392" s="326"/>
      <c r="BR392" s="326"/>
      <c r="BS392" s="326"/>
      <c r="BT392" s="326"/>
      <c r="BU392" s="326"/>
      <c r="BV392" s="327"/>
    </row>
    <row r="393" spans="1:74" ht="45" customHeight="1" x14ac:dyDescent="0.25">
      <c r="A393" s="10">
        <f t="shared" si="1"/>
        <v>379</v>
      </c>
      <c r="B393" s="559" t="s">
        <v>303</v>
      </c>
      <c r="C393" s="327"/>
      <c r="D393" s="560" t="s">
        <v>307</v>
      </c>
      <c r="E393" s="327"/>
      <c r="F393" s="537" t="s">
        <v>334</v>
      </c>
      <c r="G393" s="327"/>
      <c r="H393" s="566" t="s">
        <v>334</v>
      </c>
      <c r="I393" s="327"/>
      <c r="J393" s="567"/>
      <c r="K393" s="327"/>
      <c r="L393" s="567"/>
      <c r="M393" s="327"/>
      <c r="N393" s="20"/>
      <c r="O393" s="21"/>
      <c r="P393" s="524"/>
      <c r="Q393" s="327"/>
      <c r="R393" s="516"/>
      <c r="S393" s="327"/>
      <c r="T393" s="517"/>
      <c r="U393" s="327"/>
      <c r="V393" s="518"/>
      <c r="W393" s="327"/>
      <c r="X393" s="541" t="s">
        <v>303</v>
      </c>
      <c r="Y393" s="326"/>
      <c r="Z393" s="326"/>
      <c r="AA393" s="327"/>
      <c r="AB393" s="542" t="s">
        <v>303</v>
      </c>
      <c r="AC393" s="326"/>
      <c r="AD393" s="326"/>
      <c r="AE393" s="327"/>
      <c r="AF393" s="520"/>
      <c r="AG393" s="327"/>
      <c r="AH393" s="520"/>
      <c r="AI393" s="327"/>
      <c r="AJ393" s="554"/>
      <c r="AK393" s="327"/>
      <c r="AL393" s="537" t="s">
        <v>334</v>
      </c>
      <c r="AM393" s="327"/>
      <c r="AN393" s="546" t="s">
        <v>334</v>
      </c>
      <c r="AO393" s="327"/>
      <c r="AP393" s="554"/>
      <c r="AQ393" s="327"/>
      <c r="AR393" s="555"/>
      <c r="AS393" s="327"/>
      <c r="AT393" s="549"/>
      <c r="AU393" s="327"/>
      <c r="AV393" s="546" t="s">
        <v>334</v>
      </c>
      <c r="AW393" s="327"/>
      <c r="AX393" s="521"/>
      <c r="AY393" s="326"/>
      <c r="AZ393" s="327"/>
      <c r="BA393" s="536"/>
      <c r="BB393" s="327"/>
      <c r="BC393" s="25"/>
      <c r="BD393" s="544" t="s">
        <v>334</v>
      </c>
      <c r="BE393" s="327"/>
      <c r="BF393" s="508"/>
      <c r="BG393" s="326"/>
      <c r="BH393" s="326"/>
      <c r="BI393" s="327"/>
      <c r="BJ393" s="557" t="s">
        <v>303</v>
      </c>
      <c r="BK393" s="326"/>
      <c r="BL393" s="326"/>
      <c r="BM393" s="327"/>
      <c r="BN393" s="558" t="s">
        <v>303</v>
      </c>
      <c r="BO393" s="326"/>
      <c r="BP393" s="326"/>
      <c r="BQ393" s="326"/>
      <c r="BR393" s="326"/>
      <c r="BS393" s="326"/>
      <c r="BT393" s="326"/>
      <c r="BU393" s="326"/>
      <c r="BV393" s="327"/>
    </row>
    <row r="394" spans="1:74" ht="45" customHeight="1" x14ac:dyDescent="0.25">
      <c r="A394" s="10">
        <f t="shared" si="1"/>
        <v>380</v>
      </c>
      <c r="B394" s="564" t="s">
        <v>303</v>
      </c>
      <c r="C394" s="327"/>
      <c r="D394" s="565" t="s">
        <v>307</v>
      </c>
      <c r="E394" s="327"/>
      <c r="F394" s="537" t="s">
        <v>334</v>
      </c>
      <c r="G394" s="327"/>
      <c r="H394" s="561" t="s">
        <v>334</v>
      </c>
      <c r="I394" s="327"/>
      <c r="J394" s="562"/>
      <c r="K394" s="327"/>
      <c r="L394" s="562"/>
      <c r="M394" s="327"/>
      <c r="N394" s="23"/>
      <c r="O394" s="24"/>
      <c r="P394" s="563"/>
      <c r="Q394" s="327"/>
      <c r="R394" s="538"/>
      <c r="S394" s="327"/>
      <c r="T394" s="539"/>
      <c r="U394" s="327"/>
      <c r="V394" s="540"/>
      <c r="W394" s="327"/>
      <c r="X394" s="438" t="s">
        <v>303</v>
      </c>
      <c r="Y394" s="326"/>
      <c r="Z394" s="326"/>
      <c r="AA394" s="327"/>
      <c r="AB394" s="519" t="s">
        <v>303</v>
      </c>
      <c r="AC394" s="326"/>
      <c r="AD394" s="326"/>
      <c r="AE394" s="327"/>
      <c r="AF394" s="543"/>
      <c r="AG394" s="327"/>
      <c r="AH394" s="543"/>
      <c r="AI394" s="327"/>
      <c r="AJ394" s="536"/>
      <c r="AK394" s="327"/>
      <c r="AL394" s="556" t="s">
        <v>334</v>
      </c>
      <c r="AM394" s="327"/>
      <c r="AN394" s="553" t="s">
        <v>334</v>
      </c>
      <c r="AO394" s="327"/>
      <c r="AP394" s="547"/>
      <c r="AQ394" s="327"/>
      <c r="AR394" s="548"/>
      <c r="AS394" s="327"/>
      <c r="AT394" s="549"/>
      <c r="AU394" s="327"/>
      <c r="AV394" s="553" t="s">
        <v>334</v>
      </c>
      <c r="AW394" s="327"/>
      <c r="AX394" s="521"/>
      <c r="AY394" s="326"/>
      <c r="AZ394" s="327"/>
      <c r="BA394" s="550"/>
      <c r="BB394" s="327"/>
      <c r="BC394" s="22"/>
      <c r="BD394" s="551" t="s">
        <v>334</v>
      </c>
      <c r="BE394" s="327"/>
      <c r="BF394" s="545"/>
      <c r="BG394" s="326"/>
      <c r="BH394" s="326"/>
      <c r="BI394" s="327"/>
      <c r="BJ394" s="451" t="s">
        <v>303</v>
      </c>
      <c r="BK394" s="326"/>
      <c r="BL394" s="326"/>
      <c r="BM394" s="327"/>
      <c r="BN394" s="558" t="s">
        <v>303</v>
      </c>
      <c r="BO394" s="326"/>
      <c r="BP394" s="326"/>
      <c r="BQ394" s="326"/>
      <c r="BR394" s="326"/>
      <c r="BS394" s="326"/>
      <c r="BT394" s="326"/>
      <c r="BU394" s="326"/>
      <c r="BV394" s="327"/>
    </row>
    <row r="395" spans="1:74" ht="45" customHeight="1" x14ac:dyDescent="0.25">
      <c r="A395" s="10">
        <f t="shared" si="1"/>
        <v>381</v>
      </c>
      <c r="B395" s="559" t="s">
        <v>303</v>
      </c>
      <c r="C395" s="327"/>
      <c r="D395" s="560" t="s">
        <v>307</v>
      </c>
      <c r="E395" s="327"/>
      <c r="F395" s="537" t="s">
        <v>334</v>
      </c>
      <c r="G395" s="327"/>
      <c r="H395" s="566" t="s">
        <v>334</v>
      </c>
      <c r="I395" s="327"/>
      <c r="J395" s="567"/>
      <c r="K395" s="327"/>
      <c r="L395" s="567"/>
      <c r="M395" s="327"/>
      <c r="N395" s="20"/>
      <c r="O395" s="21"/>
      <c r="P395" s="524"/>
      <c r="Q395" s="327"/>
      <c r="R395" s="516"/>
      <c r="S395" s="327"/>
      <c r="T395" s="517"/>
      <c r="U395" s="327"/>
      <c r="V395" s="518"/>
      <c r="W395" s="327"/>
      <c r="X395" s="541" t="s">
        <v>303</v>
      </c>
      <c r="Y395" s="326"/>
      <c r="Z395" s="326"/>
      <c r="AA395" s="327"/>
      <c r="AB395" s="542" t="s">
        <v>303</v>
      </c>
      <c r="AC395" s="326"/>
      <c r="AD395" s="326"/>
      <c r="AE395" s="327"/>
      <c r="AF395" s="520"/>
      <c r="AG395" s="327"/>
      <c r="AH395" s="520"/>
      <c r="AI395" s="327"/>
      <c r="AJ395" s="554"/>
      <c r="AK395" s="327"/>
      <c r="AL395" s="537" t="s">
        <v>334</v>
      </c>
      <c r="AM395" s="327"/>
      <c r="AN395" s="546" t="s">
        <v>334</v>
      </c>
      <c r="AO395" s="327"/>
      <c r="AP395" s="554"/>
      <c r="AQ395" s="327"/>
      <c r="AR395" s="555"/>
      <c r="AS395" s="327"/>
      <c r="AT395" s="549"/>
      <c r="AU395" s="327"/>
      <c r="AV395" s="546" t="s">
        <v>334</v>
      </c>
      <c r="AW395" s="327"/>
      <c r="AX395" s="521"/>
      <c r="AY395" s="326"/>
      <c r="AZ395" s="327"/>
      <c r="BA395" s="536"/>
      <c r="BB395" s="327"/>
      <c r="BC395" s="25"/>
      <c r="BD395" s="544" t="s">
        <v>334</v>
      </c>
      <c r="BE395" s="327"/>
      <c r="BF395" s="508"/>
      <c r="BG395" s="326"/>
      <c r="BH395" s="326"/>
      <c r="BI395" s="327"/>
      <c r="BJ395" s="557" t="s">
        <v>303</v>
      </c>
      <c r="BK395" s="326"/>
      <c r="BL395" s="326"/>
      <c r="BM395" s="327"/>
      <c r="BN395" s="558" t="s">
        <v>303</v>
      </c>
      <c r="BO395" s="326"/>
      <c r="BP395" s="326"/>
      <c r="BQ395" s="326"/>
      <c r="BR395" s="326"/>
      <c r="BS395" s="326"/>
      <c r="BT395" s="326"/>
      <c r="BU395" s="326"/>
      <c r="BV395" s="327"/>
    </row>
    <row r="396" spans="1:74" ht="45" customHeight="1" x14ac:dyDescent="0.25">
      <c r="A396" s="10">
        <f t="shared" si="1"/>
        <v>382</v>
      </c>
      <c r="B396" s="564" t="s">
        <v>303</v>
      </c>
      <c r="C396" s="327"/>
      <c r="D396" s="565" t="s">
        <v>307</v>
      </c>
      <c r="E396" s="327"/>
      <c r="F396" s="537" t="s">
        <v>334</v>
      </c>
      <c r="G396" s="327"/>
      <c r="H396" s="561" t="s">
        <v>334</v>
      </c>
      <c r="I396" s="327"/>
      <c r="J396" s="562"/>
      <c r="K396" s="327"/>
      <c r="L396" s="562"/>
      <c r="M396" s="327"/>
      <c r="N396" s="23"/>
      <c r="O396" s="24"/>
      <c r="P396" s="563"/>
      <c r="Q396" s="327"/>
      <c r="R396" s="538"/>
      <c r="S396" s="327"/>
      <c r="T396" s="539"/>
      <c r="U396" s="327"/>
      <c r="V396" s="540"/>
      <c r="W396" s="327"/>
      <c r="X396" s="438" t="s">
        <v>303</v>
      </c>
      <c r="Y396" s="326"/>
      <c r="Z396" s="326"/>
      <c r="AA396" s="327"/>
      <c r="AB396" s="519" t="s">
        <v>303</v>
      </c>
      <c r="AC396" s="326"/>
      <c r="AD396" s="326"/>
      <c r="AE396" s="327"/>
      <c r="AF396" s="543"/>
      <c r="AG396" s="327"/>
      <c r="AH396" s="543"/>
      <c r="AI396" s="327"/>
      <c r="AJ396" s="536"/>
      <c r="AK396" s="327"/>
      <c r="AL396" s="556" t="s">
        <v>334</v>
      </c>
      <c r="AM396" s="327"/>
      <c r="AN396" s="553" t="s">
        <v>334</v>
      </c>
      <c r="AO396" s="327"/>
      <c r="AP396" s="547"/>
      <c r="AQ396" s="327"/>
      <c r="AR396" s="548"/>
      <c r="AS396" s="327"/>
      <c r="AT396" s="549"/>
      <c r="AU396" s="327"/>
      <c r="AV396" s="553" t="s">
        <v>334</v>
      </c>
      <c r="AW396" s="327"/>
      <c r="AX396" s="521"/>
      <c r="AY396" s="326"/>
      <c r="AZ396" s="327"/>
      <c r="BA396" s="550"/>
      <c r="BB396" s="327"/>
      <c r="BC396" s="22"/>
      <c r="BD396" s="551" t="s">
        <v>334</v>
      </c>
      <c r="BE396" s="327"/>
      <c r="BF396" s="545"/>
      <c r="BG396" s="326"/>
      <c r="BH396" s="326"/>
      <c r="BI396" s="327"/>
      <c r="BJ396" s="451" t="s">
        <v>303</v>
      </c>
      <c r="BK396" s="326"/>
      <c r="BL396" s="326"/>
      <c r="BM396" s="327"/>
      <c r="BN396" s="558" t="s">
        <v>303</v>
      </c>
      <c r="BO396" s="326"/>
      <c r="BP396" s="326"/>
      <c r="BQ396" s="326"/>
      <c r="BR396" s="326"/>
      <c r="BS396" s="326"/>
      <c r="BT396" s="326"/>
      <c r="BU396" s="326"/>
      <c r="BV396" s="327"/>
    </row>
    <row r="397" spans="1:74" ht="45" customHeight="1" x14ac:dyDescent="0.25">
      <c r="A397" s="10">
        <f t="shared" si="1"/>
        <v>383</v>
      </c>
      <c r="B397" s="559" t="s">
        <v>303</v>
      </c>
      <c r="C397" s="327"/>
      <c r="D397" s="560" t="s">
        <v>307</v>
      </c>
      <c r="E397" s="327"/>
      <c r="F397" s="537" t="s">
        <v>334</v>
      </c>
      <c r="G397" s="327"/>
      <c r="H397" s="566" t="s">
        <v>334</v>
      </c>
      <c r="I397" s="327"/>
      <c r="J397" s="567"/>
      <c r="K397" s="327"/>
      <c r="L397" s="567"/>
      <c r="M397" s="327"/>
      <c r="N397" s="20"/>
      <c r="O397" s="21"/>
      <c r="P397" s="524"/>
      <c r="Q397" s="327"/>
      <c r="R397" s="516"/>
      <c r="S397" s="327"/>
      <c r="T397" s="517"/>
      <c r="U397" s="327"/>
      <c r="V397" s="518"/>
      <c r="W397" s="327"/>
      <c r="X397" s="541" t="s">
        <v>303</v>
      </c>
      <c r="Y397" s="326"/>
      <c r="Z397" s="326"/>
      <c r="AA397" s="327"/>
      <c r="AB397" s="542" t="s">
        <v>303</v>
      </c>
      <c r="AC397" s="326"/>
      <c r="AD397" s="326"/>
      <c r="AE397" s="327"/>
      <c r="AF397" s="520"/>
      <c r="AG397" s="327"/>
      <c r="AH397" s="520"/>
      <c r="AI397" s="327"/>
      <c r="AJ397" s="554"/>
      <c r="AK397" s="327"/>
      <c r="AL397" s="537" t="s">
        <v>334</v>
      </c>
      <c r="AM397" s="327"/>
      <c r="AN397" s="546" t="s">
        <v>334</v>
      </c>
      <c r="AO397" s="327"/>
      <c r="AP397" s="554"/>
      <c r="AQ397" s="327"/>
      <c r="AR397" s="555"/>
      <c r="AS397" s="327"/>
      <c r="AT397" s="549"/>
      <c r="AU397" s="327"/>
      <c r="AV397" s="546" t="s">
        <v>334</v>
      </c>
      <c r="AW397" s="327"/>
      <c r="AX397" s="521"/>
      <c r="AY397" s="326"/>
      <c r="AZ397" s="327"/>
      <c r="BA397" s="536"/>
      <c r="BB397" s="327"/>
      <c r="BC397" s="25"/>
      <c r="BD397" s="544" t="s">
        <v>334</v>
      </c>
      <c r="BE397" s="327"/>
      <c r="BF397" s="552"/>
      <c r="BG397" s="326"/>
      <c r="BH397" s="326"/>
      <c r="BI397" s="327"/>
      <c r="BJ397" s="557" t="s">
        <v>303</v>
      </c>
      <c r="BK397" s="326"/>
      <c r="BL397" s="326"/>
      <c r="BM397" s="327"/>
      <c r="BN397" s="558" t="s">
        <v>303</v>
      </c>
      <c r="BO397" s="326"/>
      <c r="BP397" s="326"/>
      <c r="BQ397" s="326"/>
      <c r="BR397" s="326"/>
      <c r="BS397" s="326"/>
      <c r="BT397" s="326"/>
      <c r="BU397" s="326"/>
      <c r="BV397" s="327"/>
    </row>
    <row r="398" spans="1:74" ht="45" customHeight="1" x14ac:dyDescent="0.25">
      <c r="A398" s="10">
        <f t="shared" si="1"/>
        <v>384</v>
      </c>
      <c r="B398" s="564" t="s">
        <v>303</v>
      </c>
      <c r="C398" s="327"/>
      <c r="D398" s="565" t="s">
        <v>307</v>
      </c>
      <c r="E398" s="327"/>
      <c r="F398" s="537" t="s">
        <v>334</v>
      </c>
      <c r="G398" s="327"/>
      <c r="H398" s="561" t="s">
        <v>334</v>
      </c>
      <c r="I398" s="327"/>
      <c r="J398" s="562"/>
      <c r="K398" s="327"/>
      <c r="L398" s="562"/>
      <c r="M398" s="327"/>
      <c r="N398" s="23"/>
      <c r="O398" s="24"/>
      <c r="P398" s="563"/>
      <c r="Q398" s="327"/>
      <c r="R398" s="538"/>
      <c r="S398" s="327"/>
      <c r="T398" s="539"/>
      <c r="U398" s="327"/>
      <c r="V398" s="540"/>
      <c r="W398" s="327"/>
      <c r="X398" s="438" t="s">
        <v>303</v>
      </c>
      <c r="Y398" s="326"/>
      <c r="Z398" s="326"/>
      <c r="AA398" s="327"/>
      <c r="AB398" s="519" t="s">
        <v>303</v>
      </c>
      <c r="AC398" s="326"/>
      <c r="AD398" s="326"/>
      <c r="AE398" s="327"/>
      <c r="AF398" s="543"/>
      <c r="AG398" s="327"/>
      <c r="AH398" s="543"/>
      <c r="AI398" s="327"/>
      <c r="AJ398" s="536"/>
      <c r="AK398" s="327"/>
      <c r="AL398" s="556" t="s">
        <v>334</v>
      </c>
      <c r="AM398" s="327"/>
      <c r="AN398" s="553" t="s">
        <v>334</v>
      </c>
      <c r="AO398" s="327"/>
      <c r="AP398" s="547"/>
      <c r="AQ398" s="327"/>
      <c r="AR398" s="548"/>
      <c r="AS398" s="327"/>
      <c r="AT398" s="549"/>
      <c r="AU398" s="327"/>
      <c r="AV398" s="553" t="s">
        <v>334</v>
      </c>
      <c r="AW398" s="327"/>
      <c r="AX398" s="521"/>
      <c r="AY398" s="326"/>
      <c r="AZ398" s="327"/>
      <c r="BA398" s="550"/>
      <c r="BB398" s="327"/>
      <c r="BC398" s="22"/>
      <c r="BD398" s="551" t="s">
        <v>334</v>
      </c>
      <c r="BE398" s="327"/>
      <c r="BF398" s="545"/>
      <c r="BG398" s="326"/>
      <c r="BH398" s="326"/>
      <c r="BI398" s="327"/>
      <c r="BJ398" s="451" t="s">
        <v>303</v>
      </c>
      <c r="BK398" s="326"/>
      <c r="BL398" s="326"/>
      <c r="BM398" s="327"/>
      <c r="BN398" s="558" t="s">
        <v>303</v>
      </c>
      <c r="BO398" s="326"/>
      <c r="BP398" s="326"/>
      <c r="BQ398" s="326"/>
      <c r="BR398" s="326"/>
      <c r="BS398" s="326"/>
      <c r="BT398" s="326"/>
      <c r="BU398" s="326"/>
      <c r="BV398" s="327"/>
    </row>
    <row r="399" spans="1:74" ht="45" customHeight="1" x14ac:dyDescent="0.25">
      <c r="A399" s="10">
        <f t="shared" si="1"/>
        <v>385</v>
      </c>
      <c r="B399" s="559" t="s">
        <v>303</v>
      </c>
      <c r="C399" s="327"/>
      <c r="D399" s="560" t="s">
        <v>307</v>
      </c>
      <c r="E399" s="327"/>
      <c r="F399" s="537" t="s">
        <v>334</v>
      </c>
      <c r="G399" s="327"/>
      <c r="H399" s="566" t="s">
        <v>334</v>
      </c>
      <c r="I399" s="327"/>
      <c r="J399" s="567"/>
      <c r="K399" s="327"/>
      <c r="L399" s="567"/>
      <c r="M399" s="327"/>
      <c r="N399" s="20"/>
      <c r="O399" s="21"/>
      <c r="P399" s="524"/>
      <c r="Q399" s="327"/>
      <c r="R399" s="516"/>
      <c r="S399" s="327"/>
      <c r="T399" s="517"/>
      <c r="U399" s="327"/>
      <c r="V399" s="518"/>
      <c r="W399" s="327"/>
      <c r="X399" s="541" t="s">
        <v>303</v>
      </c>
      <c r="Y399" s="326"/>
      <c r="Z399" s="326"/>
      <c r="AA399" s="327"/>
      <c r="AB399" s="542" t="s">
        <v>303</v>
      </c>
      <c r="AC399" s="326"/>
      <c r="AD399" s="326"/>
      <c r="AE399" s="327"/>
      <c r="AF399" s="520"/>
      <c r="AG399" s="327"/>
      <c r="AH399" s="520"/>
      <c r="AI399" s="327"/>
      <c r="AJ399" s="554"/>
      <c r="AK399" s="327"/>
      <c r="AL399" s="537" t="s">
        <v>334</v>
      </c>
      <c r="AM399" s="327"/>
      <c r="AN399" s="546" t="s">
        <v>334</v>
      </c>
      <c r="AO399" s="327"/>
      <c r="AP399" s="554"/>
      <c r="AQ399" s="327"/>
      <c r="AR399" s="555"/>
      <c r="AS399" s="327"/>
      <c r="AT399" s="549"/>
      <c r="AU399" s="327"/>
      <c r="AV399" s="546" t="s">
        <v>334</v>
      </c>
      <c r="AW399" s="327"/>
      <c r="AX399" s="521"/>
      <c r="AY399" s="326"/>
      <c r="AZ399" s="327"/>
      <c r="BA399" s="536"/>
      <c r="BB399" s="327"/>
      <c r="BC399" s="25"/>
      <c r="BD399" s="544" t="s">
        <v>334</v>
      </c>
      <c r="BE399" s="327"/>
      <c r="BF399" s="508"/>
      <c r="BG399" s="326"/>
      <c r="BH399" s="326"/>
      <c r="BI399" s="327"/>
      <c r="BJ399" s="557" t="s">
        <v>303</v>
      </c>
      <c r="BK399" s="326"/>
      <c r="BL399" s="326"/>
      <c r="BM399" s="327"/>
      <c r="BN399" s="558" t="s">
        <v>303</v>
      </c>
      <c r="BO399" s="326"/>
      <c r="BP399" s="326"/>
      <c r="BQ399" s="326"/>
      <c r="BR399" s="326"/>
      <c r="BS399" s="326"/>
      <c r="BT399" s="326"/>
      <c r="BU399" s="326"/>
      <c r="BV399" s="327"/>
    </row>
    <row r="400" spans="1:74" ht="45" customHeight="1" x14ac:dyDescent="0.25">
      <c r="A400" s="10">
        <f t="shared" si="1"/>
        <v>386</v>
      </c>
      <c r="B400" s="564" t="s">
        <v>303</v>
      </c>
      <c r="C400" s="327"/>
      <c r="D400" s="565" t="s">
        <v>307</v>
      </c>
      <c r="E400" s="327"/>
      <c r="F400" s="537" t="s">
        <v>334</v>
      </c>
      <c r="G400" s="327"/>
      <c r="H400" s="561" t="s">
        <v>334</v>
      </c>
      <c r="I400" s="327"/>
      <c r="J400" s="562"/>
      <c r="K400" s="327"/>
      <c r="L400" s="562"/>
      <c r="M400" s="327"/>
      <c r="N400" s="23"/>
      <c r="O400" s="24"/>
      <c r="P400" s="563"/>
      <c r="Q400" s="327"/>
      <c r="R400" s="538"/>
      <c r="S400" s="327"/>
      <c r="T400" s="539"/>
      <c r="U400" s="327"/>
      <c r="V400" s="540"/>
      <c r="W400" s="327"/>
      <c r="X400" s="438" t="s">
        <v>303</v>
      </c>
      <c r="Y400" s="326"/>
      <c r="Z400" s="326"/>
      <c r="AA400" s="327"/>
      <c r="AB400" s="519" t="s">
        <v>303</v>
      </c>
      <c r="AC400" s="326"/>
      <c r="AD400" s="326"/>
      <c r="AE400" s="327"/>
      <c r="AF400" s="543"/>
      <c r="AG400" s="327"/>
      <c r="AH400" s="543"/>
      <c r="AI400" s="327"/>
      <c r="AJ400" s="536"/>
      <c r="AK400" s="327"/>
      <c r="AL400" s="556" t="s">
        <v>334</v>
      </c>
      <c r="AM400" s="327"/>
      <c r="AN400" s="553" t="s">
        <v>334</v>
      </c>
      <c r="AO400" s="327"/>
      <c r="AP400" s="547"/>
      <c r="AQ400" s="327"/>
      <c r="AR400" s="548"/>
      <c r="AS400" s="327"/>
      <c r="AT400" s="549"/>
      <c r="AU400" s="327"/>
      <c r="AV400" s="553" t="s">
        <v>334</v>
      </c>
      <c r="AW400" s="327"/>
      <c r="AX400" s="521"/>
      <c r="AY400" s="326"/>
      <c r="AZ400" s="327"/>
      <c r="BA400" s="550"/>
      <c r="BB400" s="327"/>
      <c r="BC400" s="22"/>
      <c r="BD400" s="551" t="s">
        <v>334</v>
      </c>
      <c r="BE400" s="327"/>
      <c r="BF400" s="545"/>
      <c r="BG400" s="326"/>
      <c r="BH400" s="326"/>
      <c r="BI400" s="327"/>
      <c r="BJ400" s="451" t="s">
        <v>303</v>
      </c>
      <c r="BK400" s="326"/>
      <c r="BL400" s="326"/>
      <c r="BM400" s="327"/>
      <c r="BN400" s="558" t="s">
        <v>303</v>
      </c>
      <c r="BO400" s="326"/>
      <c r="BP400" s="326"/>
      <c r="BQ400" s="326"/>
      <c r="BR400" s="326"/>
      <c r="BS400" s="326"/>
      <c r="BT400" s="326"/>
      <c r="BU400" s="326"/>
      <c r="BV400" s="327"/>
    </row>
    <row r="401" spans="1:74" ht="45" customHeight="1" x14ac:dyDescent="0.25">
      <c r="A401" s="10">
        <f t="shared" si="1"/>
        <v>387</v>
      </c>
      <c r="B401" s="559" t="s">
        <v>303</v>
      </c>
      <c r="C401" s="327"/>
      <c r="D401" s="560" t="s">
        <v>307</v>
      </c>
      <c r="E401" s="327"/>
      <c r="F401" s="537" t="s">
        <v>334</v>
      </c>
      <c r="G401" s="327"/>
      <c r="H401" s="566" t="s">
        <v>334</v>
      </c>
      <c r="I401" s="327"/>
      <c r="J401" s="567"/>
      <c r="K401" s="327"/>
      <c r="L401" s="567"/>
      <c r="M401" s="327"/>
      <c r="N401" s="20"/>
      <c r="O401" s="21"/>
      <c r="P401" s="524"/>
      <c r="Q401" s="327"/>
      <c r="R401" s="516"/>
      <c r="S401" s="327"/>
      <c r="T401" s="517"/>
      <c r="U401" s="327"/>
      <c r="V401" s="518"/>
      <c r="W401" s="327"/>
      <c r="X401" s="541" t="s">
        <v>303</v>
      </c>
      <c r="Y401" s="326"/>
      <c r="Z401" s="326"/>
      <c r="AA401" s="327"/>
      <c r="AB401" s="542" t="s">
        <v>303</v>
      </c>
      <c r="AC401" s="326"/>
      <c r="AD401" s="326"/>
      <c r="AE401" s="327"/>
      <c r="AF401" s="520"/>
      <c r="AG401" s="327"/>
      <c r="AH401" s="520"/>
      <c r="AI401" s="327"/>
      <c r="AJ401" s="554"/>
      <c r="AK401" s="327"/>
      <c r="AL401" s="537" t="s">
        <v>334</v>
      </c>
      <c r="AM401" s="327"/>
      <c r="AN401" s="546" t="s">
        <v>334</v>
      </c>
      <c r="AO401" s="327"/>
      <c r="AP401" s="554"/>
      <c r="AQ401" s="327"/>
      <c r="AR401" s="555"/>
      <c r="AS401" s="327"/>
      <c r="AT401" s="549"/>
      <c r="AU401" s="327"/>
      <c r="AV401" s="546" t="s">
        <v>334</v>
      </c>
      <c r="AW401" s="327"/>
      <c r="AX401" s="521"/>
      <c r="AY401" s="326"/>
      <c r="AZ401" s="327"/>
      <c r="BA401" s="536"/>
      <c r="BB401" s="327"/>
      <c r="BC401" s="25"/>
      <c r="BD401" s="544" t="s">
        <v>334</v>
      </c>
      <c r="BE401" s="327"/>
      <c r="BF401" s="552"/>
      <c r="BG401" s="326"/>
      <c r="BH401" s="326"/>
      <c r="BI401" s="327"/>
      <c r="BJ401" s="557" t="s">
        <v>303</v>
      </c>
      <c r="BK401" s="326"/>
      <c r="BL401" s="326"/>
      <c r="BM401" s="327"/>
      <c r="BN401" s="558" t="s">
        <v>303</v>
      </c>
      <c r="BO401" s="326"/>
      <c r="BP401" s="326"/>
      <c r="BQ401" s="326"/>
      <c r="BR401" s="326"/>
      <c r="BS401" s="326"/>
      <c r="BT401" s="326"/>
      <c r="BU401" s="326"/>
      <c r="BV401" s="327"/>
    </row>
    <row r="402" spans="1:74" ht="45" customHeight="1" x14ac:dyDescent="0.25">
      <c r="A402" s="10">
        <f t="shared" si="1"/>
        <v>388</v>
      </c>
      <c r="B402" s="564" t="s">
        <v>303</v>
      </c>
      <c r="C402" s="327"/>
      <c r="D402" s="565" t="s">
        <v>307</v>
      </c>
      <c r="E402" s="327"/>
      <c r="F402" s="537" t="s">
        <v>334</v>
      </c>
      <c r="G402" s="327"/>
      <c r="H402" s="561" t="s">
        <v>334</v>
      </c>
      <c r="I402" s="327"/>
      <c r="J402" s="562"/>
      <c r="K402" s="327"/>
      <c r="L402" s="562"/>
      <c r="M402" s="327"/>
      <c r="N402" s="23"/>
      <c r="O402" s="24"/>
      <c r="P402" s="563"/>
      <c r="Q402" s="327"/>
      <c r="R402" s="538"/>
      <c r="S402" s="327"/>
      <c r="T402" s="539"/>
      <c r="U402" s="327"/>
      <c r="V402" s="540"/>
      <c r="W402" s="327"/>
      <c r="X402" s="438" t="s">
        <v>303</v>
      </c>
      <c r="Y402" s="326"/>
      <c r="Z402" s="326"/>
      <c r="AA402" s="327"/>
      <c r="AB402" s="519" t="s">
        <v>303</v>
      </c>
      <c r="AC402" s="326"/>
      <c r="AD402" s="326"/>
      <c r="AE402" s="327"/>
      <c r="AF402" s="543"/>
      <c r="AG402" s="327"/>
      <c r="AH402" s="543"/>
      <c r="AI402" s="327"/>
      <c r="AJ402" s="536"/>
      <c r="AK402" s="327"/>
      <c r="AL402" s="556" t="s">
        <v>334</v>
      </c>
      <c r="AM402" s="327"/>
      <c r="AN402" s="553" t="s">
        <v>334</v>
      </c>
      <c r="AO402" s="327"/>
      <c r="AP402" s="547"/>
      <c r="AQ402" s="327"/>
      <c r="AR402" s="548"/>
      <c r="AS402" s="327"/>
      <c r="AT402" s="549"/>
      <c r="AU402" s="327"/>
      <c r="AV402" s="553" t="s">
        <v>334</v>
      </c>
      <c r="AW402" s="327"/>
      <c r="AX402" s="521"/>
      <c r="AY402" s="326"/>
      <c r="AZ402" s="327"/>
      <c r="BA402" s="550"/>
      <c r="BB402" s="327"/>
      <c r="BC402" s="22"/>
      <c r="BD402" s="551" t="s">
        <v>334</v>
      </c>
      <c r="BE402" s="327"/>
      <c r="BF402" s="545"/>
      <c r="BG402" s="326"/>
      <c r="BH402" s="326"/>
      <c r="BI402" s="327"/>
      <c r="BJ402" s="451" t="s">
        <v>303</v>
      </c>
      <c r="BK402" s="326"/>
      <c r="BL402" s="326"/>
      <c r="BM402" s="327"/>
      <c r="BN402" s="558" t="s">
        <v>303</v>
      </c>
      <c r="BO402" s="326"/>
      <c r="BP402" s="326"/>
      <c r="BQ402" s="326"/>
      <c r="BR402" s="326"/>
      <c r="BS402" s="326"/>
      <c r="BT402" s="326"/>
      <c r="BU402" s="326"/>
      <c r="BV402" s="327"/>
    </row>
    <row r="403" spans="1:74" ht="45" customHeight="1" x14ac:dyDescent="0.25">
      <c r="A403" s="10">
        <f t="shared" si="1"/>
        <v>389</v>
      </c>
      <c r="B403" s="559" t="s">
        <v>303</v>
      </c>
      <c r="C403" s="327"/>
      <c r="D403" s="560" t="s">
        <v>307</v>
      </c>
      <c r="E403" s="327"/>
      <c r="F403" s="537" t="s">
        <v>334</v>
      </c>
      <c r="G403" s="327"/>
      <c r="H403" s="566" t="s">
        <v>334</v>
      </c>
      <c r="I403" s="327"/>
      <c r="J403" s="567"/>
      <c r="K403" s="327"/>
      <c r="L403" s="567"/>
      <c r="M403" s="327"/>
      <c r="N403" s="20"/>
      <c r="O403" s="21"/>
      <c r="P403" s="524"/>
      <c r="Q403" s="327"/>
      <c r="R403" s="516"/>
      <c r="S403" s="327"/>
      <c r="T403" s="517"/>
      <c r="U403" s="327"/>
      <c r="V403" s="518"/>
      <c r="W403" s="327"/>
      <c r="X403" s="541" t="s">
        <v>303</v>
      </c>
      <c r="Y403" s="326"/>
      <c r="Z403" s="326"/>
      <c r="AA403" s="327"/>
      <c r="AB403" s="542" t="s">
        <v>303</v>
      </c>
      <c r="AC403" s="326"/>
      <c r="AD403" s="326"/>
      <c r="AE403" s="327"/>
      <c r="AF403" s="520"/>
      <c r="AG403" s="327"/>
      <c r="AH403" s="520"/>
      <c r="AI403" s="327"/>
      <c r="AJ403" s="554"/>
      <c r="AK403" s="327"/>
      <c r="AL403" s="537" t="s">
        <v>334</v>
      </c>
      <c r="AM403" s="327"/>
      <c r="AN403" s="546" t="s">
        <v>334</v>
      </c>
      <c r="AO403" s="327"/>
      <c r="AP403" s="554"/>
      <c r="AQ403" s="327"/>
      <c r="AR403" s="555"/>
      <c r="AS403" s="327"/>
      <c r="AT403" s="549"/>
      <c r="AU403" s="327"/>
      <c r="AV403" s="546" t="s">
        <v>334</v>
      </c>
      <c r="AW403" s="327"/>
      <c r="AX403" s="521"/>
      <c r="AY403" s="326"/>
      <c r="AZ403" s="327"/>
      <c r="BA403" s="536"/>
      <c r="BB403" s="327"/>
      <c r="BC403" s="25"/>
      <c r="BD403" s="544" t="s">
        <v>334</v>
      </c>
      <c r="BE403" s="327"/>
      <c r="BF403" s="508"/>
      <c r="BG403" s="326"/>
      <c r="BH403" s="326"/>
      <c r="BI403" s="327"/>
      <c r="BJ403" s="557" t="s">
        <v>303</v>
      </c>
      <c r="BK403" s="326"/>
      <c r="BL403" s="326"/>
      <c r="BM403" s="327"/>
      <c r="BN403" s="558" t="s">
        <v>303</v>
      </c>
      <c r="BO403" s="326"/>
      <c r="BP403" s="326"/>
      <c r="BQ403" s="326"/>
      <c r="BR403" s="326"/>
      <c r="BS403" s="326"/>
      <c r="BT403" s="326"/>
      <c r="BU403" s="326"/>
      <c r="BV403" s="327"/>
    </row>
    <row r="404" spans="1:74" ht="45" customHeight="1" x14ac:dyDescent="0.25">
      <c r="A404" s="10">
        <f t="shared" si="1"/>
        <v>390</v>
      </c>
      <c r="B404" s="564" t="s">
        <v>303</v>
      </c>
      <c r="C404" s="327"/>
      <c r="D404" s="565" t="s">
        <v>307</v>
      </c>
      <c r="E404" s="327"/>
      <c r="F404" s="537" t="s">
        <v>334</v>
      </c>
      <c r="G404" s="327"/>
      <c r="H404" s="561" t="s">
        <v>334</v>
      </c>
      <c r="I404" s="327"/>
      <c r="J404" s="562"/>
      <c r="K404" s="327"/>
      <c r="L404" s="562"/>
      <c r="M404" s="327"/>
      <c r="N404" s="23"/>
      <c r="O404" s="24"/>
      <c r="P404" s="563"/>
      <c r="Q404" s="327"/>
      <c r="R404" s="538"/>
      <c r="S404" s="327"/>
      <c r="T404" s="539"/>
      <c r="U404" s="327"/>
      <c r="V404" s="540"/>
      <c r="W404" s="327"/>
      <c r="X404" s="438" t="s">
        <v>303</v>
      </c>
      <c r="Y404" s="326"/>
      <c r="Z404" s="326"/>
      <c r="AA404" s="327"/>
      <c r="AB404" s="519" t="s">
        <v>303</v>
      </c>
      <c r="AC404" s="326"/>
      <c r="AD404" s="326"/>
      <c r="AE404" s="327"/>
      <c r="AF404" s="543"/>
      <c r="AG404" s="327"/>
      <c r="AH404" s="543"/>
      <c r="AI404" s="327"/>
      <c r="AJ404" s="536"/>
      <c r="AK404" s="327"/>
      <c r="AL404" s="556" t="s">
        <v>334</v>
      </c>
      <c r="AM404" s="327"/>
      <c r="AN404" s="553" t="s">
        <v>334</v>
      </c>
      <c r="AO404" s="327"/>
      <c r="AP404" s="547"/>
      <c r="AQ404" s="327"/>
      <c r="AR404" s="548"/>
      <c r="AS404" s="327"/>
      <c r="AT404" s="549"/>
      <c r="AU404" s="327"/>
      <c r="AV404" s="553" t="s">
        <v>334</v>
      </c>
      <c r="AW404" s="327"/>
      <c r="AX404" s="521"/>
      <c r="AY404" s="326"/>
      <c r="AZ404" s="327"/>
      <c r="BA404" s="550"/>
      <c r="BB404" s="327"/>
      <c r="BC404" s="22"/>
      <c r="BD404" s="551" t="s">
        <v>334</v>
      </c>
      <c r="BE404" s="327"/>
      <c r="BF404" s="545"/>
      <c r="BG404" s="326"/>
      <c r="BH404" s="326"/>
      <c r="BI404" s="327"/>
      <c r="BJ404" s="451" t="s">
        <v>303</v>
      </c>
      <c r="BK404" s="326"/>
      <c r="BL404" s="326"/>
      <c r="BM404" s="327"/>
      <c r="BN404" s="558" t="s">
        <v>303</v>
      </c>
      <c r="BO404" s="326"/>
      <c r="BP404" s="326"/>
      <c r="BQ404" s="326"/>
      <c r="BR404" s="326"/>
      <c r="BS404" s="326"/>
      <c r="BT404" s="326"/>
      <c r="BU404" s="326"/>
      <c r="BV404" s="327"/>
    </row>
    <row r="405" spans="1:74" ht="45" customHeight="1" x14ac:dyDescent="0.25">
      <c r="A405" s="10">
        <f t="shared" si="1"/>
        <v>391</v>
      </c>
      <c r="B405" s="559" t="s">
        <v>303</v>
      </c>
      <c r="C405" s="327"/>
      <c r="D405" s="560" t="s">
        <v>307</v>
      </c>
      <c r="E405" s="327"/>
      <c r="F405" s="537" t="s">
        <v>334</v>
      </c>
      <c r="G405" s="327"/>
      <c r="H405" s="566" t="s">
        <v>334</v>
      </c>
      <c r="I405" s="327"/>
      <c r="J405" s="567"/>
      <c r="K405" s="327"/>
      <c r="L405" s="567"/>
      <c r="M405" s="327"/>
      <c r="N405" s="20"/>
      <c r="O405" s="21"/>
      <c r="P405" s="524"/>
      <c r="Q405" s="327"/>
      <c r="R405" s="516"/>
      <c r="S405" s="327"/>
      <c r="T405" s="517"/>
      <c r="U405" s="327"/>
      <c r="V405" s="518"/>
      <c r="W405" s="327"/>
      <c r="X405" s="541" t="s">
        <v>303</v>
      </c>
      <c r="Y405" s="326"/>
      <c r="Z405" s="326"/>
      <c r="AA405" s="327"/>
      <c r="AB405" s="542" t="s">
        <v>303</v>
      </c>
      <c r="AC405" s="326"/>
      <c r="AD405" s="326"/>
      <c r="AE405" s="327"/>
      <c r="AF405" s="520"/>
      <c r="AG405" s="327"/>
      <c r="AH405" s="520"/>
      <c r="AI405" s="327"/>
      <c r="AJ405" s="554"/>
      <c r="AK405" s="327"/>
      <c r="AL405" s="537" t="s">
        <v>334</v>
      </c>
      <c r="AM405" s="327"/>
      <c r="AN405" s="546" t="s">
        <v>334</v>
      </c>
      <c r="AO405" s="327"/>
      <c r="AP405" s="554"/>
      <c r="AQ405" s="327"/>
      <c r="AR405" s="555"/>
      <c r="AS405" s="327"/>
      <c r="AT405" s="549"/>
      <c r="AU405" s="327"/>
      <c r="AV405" s="546" t="s">
        <v>334</v>
      </c>
      <c r="AW405" s="327"/>
      <c r="AX405" s="521"/>
      <c r="AY405" s="326"/>
      <c r="AZ405" s="327"/>
      <c r="BA405" s="536"/>
      <c r="BB405" s="327"/>
      <c r="BC405" s="25"/>
      <c r="BD405" s="544" t="s">
        <v>334</v>
      </c>
      <c r="BE405" s="327"/>
      <c r="BF405" s="508"/>
      <c r="BG405" s="326"/>
      <c r="BH405" s="326"/>
      <c r="BI405" s="327"/>
      <c r="BJ405" s="557" t="s">
        <v>303</v>
      </c>
      <c r="BK405" s="326"/>
      <c r="BL405" s="326"/>
      <c r="BM405" s="327"/>
      <c r="BN405" s="558" t="s">
        <v>303</v>
      </c>
      <c r="BO405" s="326"/>
      <c r="BP405" s="326"/>
      <c r="BQ405" s="326"/>
      <c r="BR405" s="326"/>
      <c r="BS405" s="326"/>
      <c r="BT405" s="326"/>
      <c r="BU405" s="326"/>
      <c r="BV405" s="327"/>
    </row>
    <row r="406" spans="1:74" ht="45" customHeight="1" x14ac:dyDescent="0.25">
      <c r="A406" s="10">
        <f t="shared" si="1"/>
        <v>392</v>
      </c>
      <c r="B406" s="564" t="s">
        <v>303</v>
      </c>
      <c r="C406" s="327"/>
      <c r="D406" s="565" t="s">
        <v>307</v>
      </c>
      <c r="E406" s="327"/>
      <c r="F406" s="537" t="s">
        <v>334</v>
      </c>
      <c r="G406" s="327"/>
      <c r="H406" s="561" t="s">
        <v>334</v>
      </c>
      <c r="I406" s="327"/>
      <c r="J406" s="562"/>
      <c r="K406" s="327"/>
      <c r="L406" s="562"/>
      <c r="M406" s="327"/>
      <c r="N406" s="23"/>
      <c r="O406" s="24"/>
      <c r="P406" s="563"/>
      <c r="Q406" s="327"/>
      <c r="R406" s="538"/>
      <c r="S406" s="327"/>
      <c r="T406" s="539"/>
      <c r="U406" s="327"/>
      <c r="V406" s="540"/>
      <c r="W406" s="327"/>
      <c r="X406" s="438" t="s">
        <v>303</v>
      </c>
      <c r="Y406" s="326"/>
      <c r="Z406" s="326"/>
      <c r="AA406" s="327"/>
      <c r="AB406" s="519" t="s">
        <v>303</v>
      </c>
      <c r="AC406" s="326"/>
      <c r="AD406" s="326"/>
      <c r="AE406" s="327"/>
      <c r="AF406" s="543"/>
      <c r="AG406" s="327"/>
      <c r="AH406" s="543"/>
      <c r="AI406" s="327"/>
      <c r="AJ406" s="536"/>
      <c r="AK406" s="327"/>
      <c r="AL406" s="556" t="s">
        <v>334</v>
      </c>
      <c r="AM406" s="327"/>
      <c r="AN406" s="553" t="s">
        <v>334</v>
      </c>
      <c r="AO406" s="327"/>
      <c r="AP406" s="547"/>
      <c r="AQ406" s="327"/>
      <c r="AR406" s="548"/>
      <c r="AS406" s="327"/>
      <c r="AT406" s="549"/>
      <c r="AU406" s="327"/>
      <c r="AV406" s="553" t="s">
        <v>334</v>
      </c>
      <c r="AW406" s="327"/>
      <c r="AX406" s="521"/>
      <c r="AY406" s="326"/>
      <c r="AZ406" s="327"/>
      <c r="BA406" s="550"/>
      <c r="BB406" s="327"/>
      <c r="BC406" s="22"/>
      <c r="BD406" s="551" t="s">
        <v>334</v>
      </c>
      <c r="BE406" s="327"/>
      <c r="BF406" s="545"/>
      <c r="BG406" s="326"/>
      <c r="BH406" s="326"/>
      <c r="BI406" s="327"/>
      <c r="BJ406" s="451" t="s">
        <v>303</v>
      </c>
      <c r="BK406" s="326"/>
      <c r="BL406" s="326"/>
      <c r="BM406" s="327"/>
      <c r="BN406" s="558" t="s">
        <v>303</v>
      </c>
      <c r="BO406" s="326"/>
      <c r="BP406" s="326"/>
      <c r="BQ406" s="326"/>
      <c r="BR406" s="326"/>
      <c r="BS406" s="326"/>
      <c r="BT406" s="326"/>
      <c r="BU406" s="326"/>
      <c r="BV406" s="327"/>
    </row>
    <row r="407" spans="1:74" ht="45" customHeight="1" x14ac:dyDescent="0.25">
      <c r="A407" s="10">
        <f t="shared" si="1"/>
        <v>393</v>
      </c>
      <c r="B407" s="564" t="s">
        <v>303</v>
      </c>
      <c r="C407" s="327"/>
      <c r="D407" s="565" t="s">
        <v>307</v>
      </c>
      <c r="E407" s="327"/>
      <c r="F407" s="537" t="s">
        <v>334</v>
      </c>
      <c r="G407" s="327"/>
      <c r="H407" s="566" t="s">
        <v>334</v>
      </c>
      <c r="I407" s="327"/>
      <c r="J407" s="567"/>
      <c r="K407" s="327"/>
      <c r="L407" s="567"/>
      <c r="M407" s="327"/>
      <c r="N407" s="20"/>
      <c r="O407" s="21"/>
      <c r="P407" s="524"/>
      <c r="Q407" s="327"/>
      <c r="R407" s="516"/>
      <c r="S407" s="327"/>
      <c r="T407" s="517"/>
      <c r="U407" s="327"/>
      <c r="V407" s="518"/>
      <c r="W407" s="327"/>
      <c r="X407" s="438" t="s">
        <v>303</v>
      </c>
      <c r="Y407" s="326"/>
      <c r="Z407" s="326"/>
      <c r="AA407" s="327"/>
      <c r="AB407" s="519" t="s">
        <v>303</v>
      </c>
      <c r="AC407" s="326"/>
      <c r="AD407" s="326"/>
      <c r="AE407" s="327"/>
      <c r="AF407" s="520"/>
      <c r="AG407" s="327"/>
      <c r="AH407" s="520"/>
      <c r="AI407" s="327"/>
      <c r="AJ407" s="554"/>
      <c r="AK407" s="327"/>
      <c r="AL407" s="556" t="s">
        <v>334</v>
      </c>
      <c r="AM407" s="327"/>
      <c r="AN407" s="553" t="s">
        <v>334</v>
      </c>
      <c r="AO407" s="327"/>
      <c r="AP407" s="554"/>
      <c r="AQ407" s="327"/>
      <c r="AR407" s="555"/>
      <c r="AS407" s="327"/>
      <c r="AT407" s="549"/>
      <c r="AU407" s="327"/>
      <c r="AV407" s="553" t="s">
        <v>334</v>
      </c>
      <c r="AW407" s="327"/>
      <c r="AX407" s="521"/>
      <c r="AY407" s="326"/>
      <c r="AZ407" s="327"/>
      <c r="BA407" s="536"/>
      <c r="BB407" s="327"/>
      <c r="BC407" s="22"/>
      <c r="BD407" s="551" t="s">
        <v>334</v>
      </c>
      <c r="BE407" s="327"/>
      <c r="BF407" s="552"/>
      <c r="BG407" s="326"/>
      <c r="BH407" s="326"/>
      <c r="BI407" s="327"/>
      <c r="BJ407" s="451" t="s">
        <v>303</v>
      </c>
      <c r="BK407" s="326"/>
      <c r="BL407" s="326"/>
      <c r="BM407" s="327"/>
      <c r="BN407" s="558" t="s">
        <v>303</v>
      </c>
      <c r="BO407" s="326"/>
      <c r="BP407" s="326"/>
      <c r="BQ407" s="326"/>
      <c r="BR407" s="326"/>
      <c r="BS407" s="326"/>
      <c r="BT407" s="326"/>
      <c r="BU407" s="326"/>
      <c r="BV407" s="327"/>
    </row>
    <row r="408" spans="1:74" ht="45" customHeight="1" x14ac:dyDescent="0.25">
      <c r="A408" s="10">
        <f t="shared" si="1"/>
        <v>394</v>
      </c>
      <c r="B408" s="559" t="s">
        <v>303</v>
      </c>
      <c r="C408" s="327"/>
      <c r="D408" s="560" t="s">
        <v>307</v>
      </c>
      <c r="E408" s="327"/>
      <c r="F408" s="537" t="s">
        <v>334</v>
      </c>
      <c r="G408" s="327"/>
      <c r="H408" s="561" t="s">
        <v>334</v>
      </c>
      <c r="I408" s="327"/>
      <c r="J408" s="562"/>
      <c r="K408" s="327"/>
      <c r="L408" s="562"/>
      <c r="M408" s="327"/>
      <c r="N408" s="23"/>
      <c r="O408" s="24"/>
      <c r="P408" s="563"/>
      <c r="Q408" s="327"/>
      <c r="R408" s="538"/>
      <c r="S408" s="327"/>
      <c r="T408" s="539"/>
      <c r="U408" s="327"/>
      <c r="V408" s="540"/>
      <c r="W408" s="327"/>
      <c r="X408" s="541" t="s">
        <v>303</v>
      </c>
      <c r="Y408" s="326"/>
      <c r="Z408" s="326"/>
      <c r="AA408" s="327"/>
      <c r="AB408" s="542" t="s">
        <v>303</v>
      </c>
      <c r="AC408" s="326"/>
      <c r="AD408" s="326"/>
      <c r="AE408" s="327"/>
      <c r="AF408" s="543"/>
      <c r="AG408" s="327"/>
      <c r="AH408" s="543"/>
      <c r="AI408" s="327"/>
      <c r="AJ408" s="536"/>
      <c r="AK408" s="327"/>
      <c r="AL408" s="537" t="s">
        <v>334</v>
      </c>
      <c r="AM408" s="327"/>
      <c r="AN408" s="546" t="s">
        <v>334</v>
      </c>
      <c r="AO408" s="327"/>
      <c r="AP408" s="547"/>
      <c r="AQ408" s="327"/>
      <c r="AR408" s="548"/>
      <c r="AS408" s="327"/>
      <c r="AT408" s="549"/>
      <c r="AU408" s="327"/>
      <c r="AV408" s="546" t="s">
        <v>334</v>
      </c>
      <c r="AW408" s="327"/>
      <c r="AX408" s="521"/>
      <c r="AY408" s="326"/>
      <c r="AZ408" s="327"/>
      <c r="BA408" s="550"/>
      <c r="BB408" s="327"/>
      <c r="BC408" s="25"/>
      <c r="BD408" s="544" t="s">
        <v>334</v>
      </c>
      <c r="BE408" s="327"/>
      <c r="BF408" s="545"/>
      <c r="BG408" s="326"/>
      <c r="BH408" s="326"/>
      <c r="BI408" s="327"/>
      <c r="BJ408" s="557" t="s">
        <v>303</v>
      </c>
      <c r="BK408" s="326"/>
      <c r="BL408" s="326"/>
      <c r="BM408" s="327"/>
      <c r="BN408" s="558" t="s">
        <v>303</v>
      </c>
      <c r="BO408" s="326"/>
      <c r="BP408" s="326"/>
      <c r="BQ408" s="326"/>
      <c r="BR408" s="326"/>
      <c r="BS408" s="326"/>
      <c r="BT408" s="326"/>
      <c r="BU408" s="326"/>
      <c r="BV408" s="327"/>
    </row>
    <row r="409" spans="1:74" ht="45" customHeight="1" x14ac:dyDescent="0.25">
      <c r="A409" s="10">
        <f t="shared" si="1"/>
        <v>395</v>
      </c>
      <c r="B409" s="564" t="s">
        <v>303</v>
      </c>
      <c r="C409" s="327"/>
      <c r="D409" s="565" t="s">
        <v>307</v>
      </c>
      <c r="E409" s="327"/>
      <c r="F409" s="537" t="s">
        <v>334</v>
      </c>
      <c r="G409" s="327"/>
      <c r="H409" s="566" t="s">
        <v>334</v>
      </c>
      <c r="I409" s="327"/>
      <c r="J409" s="567"/>
      <c r="K409" s="327"/>
      <c r="L409" s="567"/>
      <c r="M409" s="327"/>
      <c r="N409" s="20"/>
      <c r="O409" s="21"/>
      <c r="P409" s="524"/>
      <c r="Q409" s="327"/>
      <c r="R409" s="516"/>
      <c r="S409" s="327"/>
      <c r="T409" s="517"/>
      <c r="U409" s="327"/>
      <c r="V409" s="518"/>
      <c r="W409" s="327"/>
      <c r="X409" s="438" t="s">
        <v>303</v>
      </c>
      <c r="Y409" s="326"/>
      <c r="Z409" s="326"/>
      <c r="AA409" s="327"/>
      <c r="AB409" s="519" t="s">
        <v>303</v>
      </c>
      <c r="AC409" s="326"/>
      <c r="AD409" s="326"/>
      <c r="AE409" s="327"/>
      <c r="AF409" s="520"/>
      <c r="AG409" s="327"/>
      <c r="AH409" s="520"/>
      <c r="AI409" s="327"/>
      <c r="AJ409" s="554"/>
      <c r="AK409" s="327"/>
      <c r="AL409" s="556" t="s">
        <v>334</v>
      </c>
      <c r="AM409" s="327"/>
      <c r="AN409" s="553" t="s">
        <v>334</v>
      </c>
      <c r="AO409" s="327"/>
      <c r="AP409" s="554"/>
      <c r="AQ409" s="327"/>
      <c r="AR409" s="555"/>
      <c r="AS409" s="327"/>
      <c r="AT409" s="549"/>
      <c r="AU409" s="327"/>
      <c r="AV409" s="553" t="s">
        <v>334</v>
      </c>
      <c r="AW409" s="327"/>
      <c r="AX409" s="521"/>
      <c r="AY409" s="326"/>
      <c r="AZ409" s="327"/>
      <c r="BA409" s="536"/>
      <c r="BB409" s="327"/>
      <c r="BC409" s="22"/>
      <c r="BD409" s="551" t="s">
        <v>334</v>
      </c>
      <c r="BE409" s="327"/>
      <c r="BF409" s="508"/>
      <c r="BG409" s="326"/>
      <c r="BH409" s="326"/>
      <c r="BI409" s="327"/>
      <c r="BJ409" s="451" t="s">
        <v>303</v>
      </c>
      <c r="BK409" s="326"/>
      <c r="BL409" s="326"/>
      <c r="BM409" s="327"/>
      <c r="BN409" s="558" t="s">
        <v>303</v>
      </c>
      <c r="BO409" s="326"/>
      <c r="BP409" s="326"/>
      <c r="BQ409" s="326"/>
      <c r="BR409" s="326"/>
      <c r="BS409" s="326"/>
      <c r="BT409" s="326"/>
      <c r="BU409" s="326"/>
      <c r="BV409" s="327"/>
    </row>
    <row r="410" spans="1:74" ht="45" customHeight="1" x14ac:dyDescent="0.25">
      <c r="A410" s="10">
        <f t="shared" si="1"/>
        <v>396</v>
      </c>
      <c r="B410" s="564" t="s">
        <v>303</v>
      </c>
      <c r="C410" s="327"/>
      <c r="D410" s="565" t="s">
        <v>307</v>
      </c>
      <c r="E410" s="327"/>
      <c r="F410" s="537" t="s">
        <v>334</v>
      </c>
      <c r="G410" s="327"/>
      <c r="H410" s="561" t="s">
        <v>334</v>
      </c>
      <c r="I410" s="327"/>
      <c r="J410" s="562"/>
      <c r="K410" s="327"/>
      <c r="L410" s="562"/>
      <c r="M410" s="327"/>
      <c r="N410" s="23"/>
      <c r="O410" s="24"/>
      <c r="P410" s="563"/>
      <c r="Q410" s="327"/>
      <c r="R410" s="538"/>
      <c r="S410" s="327"/>
      <c r="T410" s="539"/>
      <c r="U410" s="327"/>
      <c r="V410" s="540"/>
      <c r="W410" s="327"/>
      <c r="X410" s="438" t="s">
        <v>303</v>
      </c>
      <c r="Y410" s="326"/>
      <c r="Z410" s="326"/>
      <c r="AA410" s="327"/>
      <c r="AB410" s="519" t="s">
        <v>303</v>
      </c>
      <c r="AC410" s="326"/>
      <c r="AD410" s="326"/>
      <c r="AE410" s="327"/>
      <c r="AF410" s="543"/>
      <c r="AG410" s="327"/>
      <c r="AH410" s="543"/>
      <c r="AI410" s="327"/>
      <c r="AJ410" s="536"/>
      <c r="AK410" s="327"/>
      <c r="AL410" s="556" t="s">
        <v>334</v>
      </c>
      <c r="AM410" s="327"/>
      <c r="AN410" s="553" t="s">
        <v>334</v>
      </c>
      <c r="AO410" s="327"/>
      <c r="AP410" s="547"/>
      <c r="AQ410" s="327"/>
      <c r="AR410" s="548"/>
      <c r="AS410" s="327"/>
      <c r="AT410" s="549"/>
      <c r="AU410" s="327"/>
      <c r="AV410" s="553" t="s">
        <v>334</v>
      </c>
      <c r="AW410" s="327"/>
      <c r="AX410" s="521"/>
      <c r="AY410" s="326"/>
      <c r="AZ410" s="327"/>
      <c r="BA410" s="550"/>
      <c r="BB410" s="327"/>
      <c r="BC410" s="22"/>
      <c r="BD410" s="551" t="s">
        <v>334</v>
      </c>
      <c r="BE410" s="327"/>
      <c r="BF410" s="545"/>
      <c r="BG410" s="326"/>
      <c r="BH410" s="326"/>
      <c r="BI410" s="327"/>
      <c r="BJ410" s="451" t="s">
        <v>303</v>
      </c>
      <c r="BK410" s="326"/>
      <c r="BL410" s="326"/>
      <c r="BM410" s="327"/>
      <c r="BN410" s="558" t="s">
        <v>303</v>
      </c>
      <c r="BO410" s="326"/>
      <c r="BP410" s="326"/>
      <c r="BQ410" s="326"/>
      <c r="BR410" s="326"/>
      <c r="BS410" s="326"/>
      <c r="BT410" s="326"/>
      <c r="BU410" s="326"/>
      <c r="BV410" s="327"/>
    </row>
    <row r="411" spans="1:74" ht="45" customHeight="1" x14ac:dyDescent="0.25">
      <c r="A411" s="10">
        <f t="shared" si="1"/>
        <v>397</v>
      </c>
      <c r="B411" s="559" t="s">
        <v>303</v>
      </c>
      <c r="C411" s="327"/>
      <c r="D411" s="560" t="s">
        <v>307</v>
      </c>
      <c r="E411" s="327"/>
      <c r="F411" s="537" t="s">
        <v>334</v>
      </c>
      <c r="G411" s="327"/>
      <c r="H411" s="566" t="s">
        <v>334</v>
      </c>
      <c r="I411" s="327"/>
      <c r="J411" s="567"/>
      <c r="K411" s="327"/>
      <c r="L411" s="567"/>
      <c r="M411" s="327"/>
      <c r="N411" s="20"/>
      <c r="O411" s="21"/>
      <c r="P411" s="524"/>
      <c r="Q411" s="327"/>
      <c r="R411" s="516"/>
      <c r="S411" s="327"/>
      <c r="T411" s="517"/>
      <c r="U411" s="327"/>
      <c r="V411" s="518"/>
      <c r="W411" s="327"/>
      <c r="X411" s="541" t="s">
        <v>303</v>
      </c>
      <c r="Y411" s="326"/>
      <c r="Z411" s="326"/>
      <c r="AA411" s="327"/>
      <c r="AB411" s="542" t="s">
        <v>303</v>
      </c>
      <c r="AC411" s="326"/>
      <c r="AD411" s="326"/>
      <c r="AE411" s="327"/>
      <c r="AF411" s="520"/>
      <c r="AG411" s="327"/>
      <c r="AH411" s="520"/>
      <c r="AI411" s="327"/>
      <c r="AJ411" s="554"/>
      <c r="AK411" s="327"/>
      <c r="AL411" s="537" t="s">
        <v>334</v>
      </c>
      <c r="AM411" s="327"/>
      <c r="AN411" s="546" t="s">
        <v>334</v>
      </c>
      <c r="AO411" s="327"/>
      <c r="AP411" s="554"/>
      <c r="AQ411" s="327"/>
      <c r="AR411" s="555"/>
      <c r="AS411" s="327"/>
      <c r="AT411" s="549"/>
      <c r="AU411" s="327"/>
      <c r="AV411" s="546" t="s">
        <v>334</v>
      </c>
      <c r="AW411" s="327"/>
      <c r="AX411" s="521"/>
      <c r="AY411" s="326"/>
      <c r="AZ411" s="327"/>
      <c r="BA411" s="536"/>
      <c r="BB411" s="327"/>
      <c r="BC411" s="25"/>
      <c r="BD411" s="544" t="s">
        <v>334</v>
      </c>
      <c r="BE411" s="327"/>
      <c r="BF411" s="552"/>
      <c r="BG411" s="326"/>
      <c r="BH411" s="326"/>
      <c r="BI411" s="327"/>
      <c r="BJ411" s="557" t="s">
        <v>303</v>
      </c>
      <c r="BK411" s="326"/>
      <c r="BL411" s="326"/>
      <c r="BM411" s="327"/>
      <c r="BN411" s="558" t="s">
        <v>303</v>
      </c>
      <c r="BO411" s="326"/>
      <c r="BP411" s="326"/>
      <c r="BQ411" s="326"/>
      <c r="BR411" s="326"/>
      <c r="BS411" s="326"/>
      <c r="BT411" s="326"/>
      <c r="BU411" s="326"/>
      <c r="BV411" s="327"/>
    </row>
    <row r="412" spans="1:74" ht="45" customHeight="1" x14ac:dyDescent="0.25">
      <c r="A412" s="10">
        <f t="shared" si="1"/>
        <v>398</v>
      </c>
      <c r="B412" s="564" t="s">
        <v>303</v>
      </c>
      <c r="C412" s="327"/>
      <c r="D412" s="565" t="s">
        <v>307</v>
      </c>
      <c r="E412" s="327"/>
      <c r="F412" s="537" t="s">
        <v>334</v>
      </c>
      <c r="G412" s="327"/>
      <c r="H412" s="561" t="s">
        <v>334</v>
      </c>
      <c r="I412" s="327"/>
      <c r="J412" s="562"/>
      <c r="K412" s="327"/>
      <c r="L412" s="562"/>
      <c r="M412" s="327"/>
      <c r="N412" s="23"/>
      <c r="O412" s="24"/>
      <c r="P412" s="563"/>
      <c r="Q412" s="327"/>
      <c r="R412" s="538"/>
      <c r="S412" s="327"/>
      <c r="T412" s="539"/>
      <c r="U412" s="327"/>
      <c r="V412" s="540"/>
      <c r="W412" s="327"/>
      <c r="X412" s="438" t="s">
        <v>303</v>
      </c>
      <c r="Y412" s="326"/>
      <c r="Z412" s="326"/>
      <c r="AA412" s="327"/>
      <c r="AB412" s="519" t="s">
        <v>303</v>
      </c>
      <c r="AC412" s="326"/>
      <c r="AD412" s="326"/>
      <c r="AE412" s="327"/>
      <c r="AF412" s="543"/>
      <c r="AG412" s="327"/>
      <c r="AH412" s="543"/>
      <c r="AI412" s="327"/>
      <c r="AJ412" s="536"/>
      <c r="AK412" s="327"/>
      <c r="AL412" s="556" t="s">
        <v>334</v>
      </c>
      <c r="AM412" s="327"/>
      <c r="AN412" s="553" t="s">
        <v>334</v>
      </c>
      <c r="AO412" s="327"/>
      <c r="AP412" s="547"/>
      <c r="AQ412" s="327"/>
      <c r="AR412" s="548"/>
      <c r="AS412" s="327"/>
      <c r="AT412" s="549"/>
      <c r="AU412" s="327"/>
      <c r="AV412" s="553" t="s">
        <v>334</v>
      </c>
      <c r="AW412" s="327"/>
      <c r="AX412" s="521"/>
      <c r="AY412" s="326"/>
      <c r="AZ412" s="327"/>
      <c r="BA412" s="550"/>
      <c r="BB412" s="327"/>
      <c r="BC412" s="22"/>
      <c r="BD412" s="551" t="s">
        <v>334</v>
      </c>
      <c r="BE412" s="327"/>
      <c r="BF412" s="545"/>
      <c r="BG412" s="326"/>
      <c r="BH412" s="326"/>
      <c r="BI412" s="327"/>
      <c r="BJ412" s="451" t="s">
        <v>303</v>
      </c>
      <c r="BK412" s="326"/>
      <c r="BL412" s="326"/>
      <c r="BM412" s="327"/>
      <c r="BN412" s="558" t="s">
        <v>303</v>
      </c>
      <c r="BO412" s="326"/>
      <c r="BP412" s="326"/>
      <c r="BQ412" s="326"/>
      <c r="BR412" s="326"/>
      <c r="BS412" s="326"/>
      <c r="BT412" s="326"/>
      <c r="BU412" s="326"/>
      <c r="BV412" s="327"/>
    </row>
    <row r="413" spans="1:74" ht="45" customHeight="1" x14ac:dyDescent="0.25">
      <c r="A413" s="10">
        <f t="shared" si="1"/>
        <v>399</v>
      </c>
      <c r="B413" s="559" t="s">
        <v>303</v>
      </c>
      <c r="C413" s="327"/>
      <c r="D413" s="560" t="s">
        <v>307</v>
      </c>
      <c r="E413" s="327"/>
      <c r="F413" s="537" t="s">
        <v>334</v>
      </c>
      <c r="G413" s="327"/>
      <c r="H413" s="566" t="s">
        <v>334</v>
      </c>
      <c r="I413" s="327"/>
      <c r="J413" s="567"/>
      <c r="K413" s="327"/>
      <c r="L413" s="567"/>
      <c r="M413" s="327"/>
      <c r="N413" s="20"/>
      <c r="O413" s="21"/>
      <c r="P413" s="524"/>
      <c r="Q413" s="327"/>
      <c r="R413" s="516"/>
      <c r="S413" s="327"/>
      <c r="T413" s="517"/>
      <c r="U413" s="327"/>
      <c r="V413" s="518"/>
      <c r="W413" s="327"/>
      <c r="X413" s="541" t="s">
        <v>303</v>
      </c>
      <c r="Y413" s="326"/>
      <c r="Z413" s="326"/>
      <c r="AA413" s="327"/>
      <c r="AB413" s="542" t="s">
        <v>303</v>
      </c>
      <c r="AC413" s="326"/>
      <c r="AD413" s="326"/>
      <c r="AE413" s="327"/>
      <c r="AF413" s="520"/>
      <c r="AG413" s="327"/>
      <c r="AH413" s="520"/>
      <c r="AI413" s="327"/>
      <c r="AJ413" s="554"/>
      <c r="AK413" s="327"/>
      <c r="AL413" s="537" t="s">
        <v>334</v>
      </c>
      <c r="AM413" s="327"/>
      <c r="AN413" s="546" t="s">
        <v>334</v>
      </c>
      <c r="AO413" s="327"/>
      <c r="AP413" s="554"/>
      <c r="AQ413" s="327"/>
      <c r="AR413" s="555"/>
      <c r="AS413" s="327"/>
      <c r="AT413" s="549"/>
      <c r="AU413" s="327"/>
      <c r="AV413" s="546" t="s">
        <v>334</v>
      </c>
      <c r="AW413" s="327"/>
      <c r="AX413" s="521"/>
      <c r="AY413" s="326"/>
      <c r="AZ413" s="327"/>
      <c r="BA413" s="536"/>
      <c r="BB413" s="327"/>
      <c r="BC413" s="25"/>
      <c r="BD413" s="544" t="s">
        <v>334</v>
      </c>
      <c r="BE413" s="327"/>
      <c r="BF413" s="508"/>
      <c r="BG413" s="326"/>
      <c r="BH413" s="326"/>
      <c r="BI413" s="327"/>
      <c r="BJ413" s="557" t="s">
        <v>303</v>
      </c>
      <c r="BK413" s="326"/>
      <c r="BL413" s="326"/>
      <c r="BM413" s="327"/>
      <c r="BN413" s="558" t="s">
        <v>303</v>
      </c>
      <c r="BO413" s="326"/>
      <c r="BP413" s="326"/>
      <c r="BQ413" s="326"/>
      <c r="BR413" s="326"/>
      <c r="BS413" s="326"/>
      <c r="BT413" s="326"/>
      <c r="BU413" s="326"/>
      <c r="BV413" s="327"/>
    </row>
    <row r="414" spans="1:74" ht="45" customHeight="1" x14ac:dyDescent="0.25">
      <c r="A414" s="10">
        <f t="shared" si="1"/>
        <v>400</v>
      </c>
      <c r="B414" s="564" t="s">
        <v>303</v>
      </c>
      <c r="C414" s="327"/>
      <c r="D414" s="565" t="s">
        <v>307</v>
      </c>
      <c r="E414" s="327"/>
      <c r="F414" s="537" t="s">
        <v>334</v>
      </c>
      <c r="G414" s="327"/>
      <c r="H414" s="561" t="s">
        <v>334</v>
      </c>
      <c r="I414" s="327"/>
      <c r="J414" s="562"/>
      <c r="K414" s="327"/>
      <c r="L414" s="562"/>
      <c r="M414" s="327"/>
      <c r="N414" s="23"/>
      <c r="O414" s="24"/>
      <c r="P414" s="563"/>
      <c r="Q414" s="327"/>
      <c r="R414" s="538"/>
      <c r="S414" s="327"/>
      <c r="T414" s="539"/>
      <c r="U414" s="327"/>
      <c r="V414" s="540"/>
      <c r="W414" s="327"/>
      <c r="X414" s="438" t="s">
        <v>303</v>
      </c>
      <c r="Y414" s="326"/>
      <c r="Z414" s="326"/>
      <c r="AA414" s="327"/>
      <c r="AB414" s="519" t="s">
        <v>303</v>
      </c>
      <c r="AC414" s="326"/>
      <c r="AD414" s="326"/>
      <c r="AE414" s="327"/>
      <c r="AF414" s="543"/>
      <c r="AG414" s="327"/>
      <c r="AH414" s="543"/>
      <c r="AI414" s="327"/>
      <c r="AJ414" s="536"/>
      <c r="AK414" s="327"/>
      <c r="AL414" s="556" t="s">
        <v>334</v>
      </c>
      <c r="AM414" s="327"/>
      <c r="AN414" s="553" t="s">
        <v>334</v>
      </c>
      <c r="AO414" s="327"/>
      <c r="AP414" s="547"/>
      <c r="AQ414" s="327"/>
      <c r="AR414" s="548"/>
      <c r="AS414" s="327"/>
      <c r="AT414" s="549"/>
      <c r="AU414" s="327"/>
      <c r="AV414" s="553" t="s">
        <v>334</v>
      </c>
      <c r="AW414" s="327"/>
      <c r="AX414" s="521"/>
      <c r="AY414" s="326"/>
      <c r="AZ414" s="327"/>
      <c r="BA414" s="550"/>
      <c r="BB414" s="327"/>
      <c r="BC414" s="22"/>
      <c r="BD414" s="551" t="s">
        <v>334</v>
      </c>
      <c r="BE414" s="327"/>
      <c r="BF414" s="545"/>
      <c r="BG414" s="326"/>
      <c r="BH414" s="326"/>
      <c r="BI414" s="327"/>
      <c r="BJ414" s="451" t="s">
        <v>303</v>
      </c>
      <c r="BK414" s="326"/>
      <c r="BL414" s="326"/>
      <c r="BM414" s="327"/>
      <c r="BN414" s="558" t="s">
        <v>303</v>
      </c>
      <c r="BO414" s="326"/>
      <c r="BP414" s="326"/>
      <c r="BQ414" s="326"/>
      <c r="BR414" s="326"/>
      <c r="BS414" s="326"/>
      <c r="BT414" s="326"/>
      <c r="BU414" s="326"/>
      <c r="BV414" s="327"/>
    </row>
    <row r="415" spans="1:74" ht="45" customHeight="1" x14ac:dyDescent="0.25">
      <c r="A415" s="10">
        <f t="shared" si="1"/>
        <v>401</v>
      </c>
      <c r="B415" s="559" t="s">
        <v>303</v>
      </c>
      <c r="C415" s="327"/>
      <c r="D415" s="560" t="s">
        <v>307</v>
      </c>
      <c r="E415" s="327"/>
      <c r="F415" s="537" t="s">
        <v>334</v>
      </c>
      <c r="G415" s="327"/>
      <c r="H415" s="566" t="s">
        <v>334</v>
      </c>
      <c r="I415" s="327"/>
      <c r="J415" s="567"/>
      <c r="K415" s="327"/>
      <c r="L415" s="567"/>
      <c r="M415" s="327"/>
      <c r="N415" s="20"/>
      <c r="O415" s="21"/>
      <c r="P415" s="524"/>
      <c r="Q415" s="327"/>
      <c r="R415" s="516"/>
      <c r="S415" s="327"/>
      <c r="T415" s="517"/>
      <c r="U415" s="327"/>
      <c r="V415" s="518"/>
      <c r="W415" s="327"/>
      <c r="X415" s="541" t="s">
        <v>303</v>
      </c>
      <c r="Y415" s="326"/>
      <c r="Z415" s="326"/>
      <c r="AA415" s="327"/>
      <c r="AB415" s="542" t="s">
        <v>303</v>
      </c>
      <c r="AC415" s="326"/>
      <c r="AD415" s="326"/>
      <c r="AE415" s="327"/>
      <c r="AF415" s="520"/>
      <c r="AG415" s="327"/>
      <c r="AH415" s="520"/>
      <c r="AI415" s="327"/>
      <c r="AJ415" s="554"/>
      <c r="AK415" s="327"/>
      <c r="AL415" s="537" t="s">
        <v>334</v>
      </c>
      <c r="AM415" s="327"/>
      <c r="AN415" s="546" t="s">
        <v>334</v>
      </c>
      <c r="AO415" s="327"/>
      <c r="AP415" s="554"/>
      <c r="AQ415" s="327"/>
      <c r="AR415" s="555"/>
      <c r="AS415" s="327"/>
      <c r="AT415" s="549"/>
      <c r="AU415" s="327"/>
      <c r="AV415" s="546" t="s">
        <v>334</v>
      </c>
      <c r="AW415" s="327"/>
      <c r="AX415" s="521"/>
      <c r="AY415" s="326"/>
      <c r="AZ415" s="327"/>
      <c r="BA415" s="536"/>
      <c r="BB415" s="327"/>
      <c r="BC415" s="25"/>
      <c r="BD415" s="544" t="s">
        <v>334</v>
      </c>
      <c r="BE415" s="327"/>
      <c r="BF415" s="508"/>
      <c r="BG415" s="326"/>
      <c r="BH415" s="326"/>
      <c r="BI415" s="327"/>
      <c r="BJ415" s="557" t="s">
        <v>303</v>
      </c>
      <c r="BK415" s="326"/>
      <c r="BL415" s="326"/>
      <c r="BM415" s="327"/>
      <c r="BN415" s="558" t="s">
        <v>303</v>
      </c>
      <c r="BO415" s="326"/>
      <c r="BP415" s="326"/>
      <c r="BQ415" s="326"/>
      <c r="BR415" s="326"/>
      <c r="BS415" s="326"/>
      <c r="BT415" s="326"/>
      <c r="BU415" s="326"/>
      <c r="BV415" s="327"/>
    </row>
    <row r="416" spans="1:74" ht="45" customHeight="1" x14ac:dyDescent="0.25">
      <c r="A416" s="10">
        <f t="shared" si="1"/>
        <v>402</v>
      </c>
      <c r="B416" s="564" t="s">
        <v>303</v>
      </c>
      <c r="C416" s="327"/>
      <c r="D416" s="565" t="s">
        <v>307</v>
      </c>
      <c r="E416" s="327"/>
      <c r="F416" s="537" t="s">
        <v>334</v>
      </c>
      <c r="G416" s="327"/>
      <c r="H416" s="561" t="s">
        <v>334</v>
      </c>
      <c r="I416" s="327"/>
      <c r="J416" s="562"/>
      <c r="K416" s="327"/>
      <c r="L416" s="562"/>
      <c r="M416" s="327"/>
      <c r="N416" s="23"/>
      <c r="O416" s="24"/>
      <c r="P416" s="563"/>
      <c r="Q416" s="327"/>
      <c r="R416" s="538"/>
      <c r="S416" s="327"/>
      <c r="T416" s="539"/>
      <c r="U416" s="327"/>
      <c r="V416" s="540"/>
      <c r="W416" s="327"/>
      <c r="X416" s="438" t="s">
        <v>303</v>
      </c>
      <c r="Y416" s="326"/>
      <c r="Z416" s="326"/>
      <c r="AA416" s="327"/>
      <c r="AB416" s="519" t="s">
        <v>303</v>
      </c>
      <c r="AC416" s="326"/>
      <c r="AD416" s="326"/>
      <c r="AE416" s="327"/>
      <c r="AF416" s="543"/>
      <c r="AG416" s="327"/>
      <c r="AH416" s="543"/>
      <c r="AI416" s="327"/>
      <c r="AJ416" s="536"/>
      <c r="AK416" s="327"/>
      <c r="AL416" s="556" t="s">
        <v>334</v>
      </c>
      <c r="AM416" s="327"/>
      <c r="AN416" s="553" t="s">
        <v>334</v>
      </c>
      <c r="AO416" s="327"/>
      <c r="AP416" s="547"/>
      <c r="AQ416" s="327"/>
      <c r="AR416" s="548"/>
      <c r="AS416" s="327"/>
      <c r="AT416" s="549"/>
      <c r="AU416" s="327"/>
      <c r="AV416" s="553" t="s">
        <v>334</v>
      </c>
      <c r="AW416" s="327"/>
      <c r="AX416" s="521"/>
      <c r="AY416" s="326"/>
      <c r="AZ416" s="327"/>
      <c r="BA416" s="550"/>
      <c r="BB416" s="327"/>
      <c r="BC416" s="22"/>
      <c r="BD416" s="551" t="s">
        <v>334</v>
      </c>
      <c r="BE416" s="327"/>
      <c r="BF416" s="545"/>
      <c r="BG416" s="326"/>
      <c r="BH416" s="326"/>
      <c r="BI416" s="327"/>
      <c r="BJ416" s="451" t="s">
        <v>303</v>
      </c>
      <c r="BK416" s="326"/>
      <c r="BL416" s="326"/>
      <c r="BM416" s="327"/>
      <c r="BN416" s="558" t="s">
        <v>303</v>
      </c>
      <c r="BO416" s="326"/>
      <c r="BP416" s="326"/>
      <c r="BQ416" s="326"/>
      <c r="BR416" s="326"/>
      <c r="BS416" s="326"/>
      <c r="BT416" s="326"/>
      <c r="BU416" s="326"/>
      <c r="BV416" s="327"/>
    </row>
    <row r="417" spans="1:74" ht="45" customHeight="1" x14ac:dyDescent="0.25">
      <c r="A417" s="10">
        <f t="shared" si="1"/>
        <v>403</v>
      </c>
      <c r="B417" s="559" t="s">
        <v>303</v>
      </c>
      <c r="C417" s="327"/>
      <c r="D417" s="560" t="s">
        <v>307</v>
      </c>
      <c r="E417" s="327"/>
      <c r="F417" s="537" t="s">
        <v>334</v>
      </c>
      <c r="G417" s="327"/>
      <c r="H417" s="566" t="s">
        <v>334</v>
      </c>
      <c r="I417" s="327"/>
      <c r="J417" s="567"/>
      <c r="K417" s="327"/>
      <c r="L417" s="567"/>
      <c r="M417" s="327"/>
      <c r="N417" s="20"/>
      <c r="O417" s="21"/>
      <c r="P417" s="524"/>
      <c r="Q417" s="327"/>
      <c r="R417" s="516"/>
      <c r="S417" s="327"/>
      <c r="T417" s="517"/>
      <c r="U417" s="327"/>
      <c r="V417" s="518"/>
      <c r="W417" s="327"/>
      <c r="X417" s="541" t="s">
        <v>303</v>
      </c>
      <c r="Y417" s="326"/>
      <c r="Z417" s="326"/>
      <c r="AA417" s="327"/>
      <c r="AB417" s="542" t="s">
        <v>303</v>
      </c>
      <c r="AC417" s="326"/>
      <c r="AD417" s="326"/>
      <c r="AE417" s="327"/>
      <c r="AF417" s="520"/>
      <c r="AG417" s="327"/>
      <c r="AH417" s="520"/>
      <c r="AI417" s="327"/>
      <c r="AJ417" s="554"/>
      <c r="AK417" s="327"/>
      <c r="AL417" s="537" t="s">
        <v>334</v>
      </c>
      <c r="AM417" s="327"/>
      <c r="AN417" s="546" t="s">
        <v>334</v>
      </c>
      <c r="AO417" s="327"/>
      <c r="AP417" s="554"/>
      <c r="AQ417" s="327"/>
      <c r="AR417" s="555"/>
      <c r="AS417" s="327"/>
      <c r="AT417" s="549"/>
      <c r="AU417" s="327"/>
      <c r="AV417" s="546" t="s">
        <v>334</v>
      </c>
      <c r="AW417" s="327"/>
      <c r="AX417" s="521"/>
      <c r="AY417" s="326"/>
      <c r="AZ417" s="327"/>
      <c r="BA417" s="536"/>
      <c r="BB417" s="327"/>
      <c r="BC417" s="25"/>
      <c r="BD417" s="544" t="s">
        <v>334</v>
      </c>
      <c r="BE417" s="327"/>
      <c r="BF417" s="552"/>
      <c r="BG417" s="326"/>
      <c r="BH417" s="326"/>
      <c r="BI417" s="327"/>
      <c r="BJ417" s="557" t="s">
        <v>303</v>
      </c>
      <c r="BK417" s="326"/>
      <c r="BL417" s="326"/>
      <c r="BM417" s="327"/>
      <c r="BN417" s="558" t="s">
        <v>303</v>
      </c>
      <c r="BO417" s="326"/>
      <c r="BP417" s="326"/>
      <c r="BQ417" s="326"/>
      <c r="BR417" s="326"/>
      <c r="BS417" s="326"/>
      <c r="BT417" s="326"/>
      <c r="BU417" s="326"/>
      <c r="BV417" s="327"/>
    </row>
    <row r="418" spans="1:74" ht="45" customHeight="1" x14ac:dyDescent="0.25">
      <c r="A418" s="10">
        <f t="shared" si="1"/>
        <v>404</v>
      </c>
      <c r="B418" s="564" t="s">
        <v>303</v>
      </c>
      <c r="C418" s="327"/>
      <c r="D418" s="565" t="s">
        <v>307</v>
      </c>
      <c r="E418" s="327"/>
      <c r="F418" s="537" t="s">
        <v>334</v>
      </c>
      <c r="G418" s="327"/>
      <c r="H418" s="561" t="s">
        <v>334</v>
      </c>
      <c r="I418" s="327"/>
      <c r="J418" s="562"/>
      <c r="K418" s="327"/>
      <c r="L418" s="562"/>
      <c r="M418" s="327"/>
      <c r="N418" s="23"/>
      <c r="O418" s="24"/>
      <c r="P418" s="563"/>
      <c r="Q418" s="327"/>
      <c r="R418" s="538"/>
      <c r="S418" s="327"/>
      <c r="T418" s="539"/>
      <c r="U418" s="327"/>
      <c r="V418" s="540"/>
      <c r="W418" s="327"/>
      <c r="X418" s="438" t="s">
        <v>303</v>
      </c>
      <c r="Y418" s="326"/>
      <c r="Z418" s="326"/>
      <c r="AA418" s="327"/>
      <c r="AB418" s="519" t="s">
        <v>303</v>
      </c>
      <c r="AC418" s="326"/>
      <c r="AD418" s="326"/>
      <c r="AE418" s="327"/>
      <c r="AF418" s="543"/>
      <c r="AG418" s="327"/>
      <c r="AH418" s="543"/>
      <c r="AI418" s="327"/>
      <c r="AJ418" s="536"/>
      <c r="AK418" s="327"/>
      <c r="AL418" s="556" t="s">
        <v>334</v>
      </c>
      <c r="AM418" s="327"/>
      <c r="AN418" s="553" t="s">
        <v>334</v>
      </c>
      <c r="AO418" s="327"/>
      <c r="AP418" s="547"/>
      <c r="AQ418" s="327"/>
      <c r="AR418" s="548"/>
      <c r="AS418" s="327"/>
      <c r="AT418" s="549"/>
      <c r="AU418" s="327"/>
      <c r="AV418" s="553" t="s">
        <v>334</v>
      </c>
      <c r="AW418" s="327"/>
      <c r="AX418" s="521"/>
      <c r="AY418" s="326"/>
      <c r="AZ418" s="327"/>
      <c r="BA418" s="550"/>
      <c r="BB418" s="327"/>
      <c r="BC418" s="22"/>
      <c r="BD418" s="551" t="s">
        <v>334</v>
      </c>
      <c r="BE418" s="327"/>
      <c r="BF418" s="545"/>
      <c r="BG418" s="326"/>
      <c r="BH418" s="326"/>
      <c r="BI418" s="327"/>
      <c r="BJ418" s="451" t="s">
        <v>303</v>
      </c>
      <c r="BK418" s="326"/>
      <c r="BL418" s="326"/>
      <c r="BM418" s="327"/>
      <c r="BN418" s="558" t="s">
        <v>303</v>
      </c>
      <c r="BO418" s="326"/>
      <c r="BP418" s="326"/>
      <c r="BQ418" s="326"/>
      <c r="BR418" s="326"/>
      <c r="BS418" s="326"/>
      <c r="BT418" s="326"/>
      <c r="BU418" s="326"/>
      <c r="BV418" s="327"/>
    </row>
    <row r="419" spans="1:74" ht="45" customHeight="1" x14ac:dyDescent="0.25">
      <c r="A419" s="10">
        <f t="shared" si="1"/>
        <v>405</v>
      </c>
      <c r="B419" s="559" t="s">
        <v>303</v>
      </c>
      <c r="C419" s="327"/>
      <c r="D419" s="560" t="s">
        <v>307</v>
      </c>
      <c r="E419" s="327"/>
      <c r="F419" s="537" t="s">
        <v>334</v>
      </c>
      <c r="G419" s="327"/>
      <c r="H419" s="566" t="s">
        <v>334</v>
      </c>
      <c r="I419" s="327"/>
      <c r="J419" s="567"/>
      <c r="K419" s="327"/>
      <c r="L419" s="567"/>
      <c r="M419" s="327"/>
      <c r="N419" s="20"/>
      <c r="O419" s="21"/>
      <c r="P419" s="524"/>
      <c r="Q419" s="327"/>
      <c r="R419" s="516"/>
      <c r="S419" s="327"/>
      <c r="T419" s="517"/>
      <c r="U419" s="327"/>
      <c r="V419" s="518"/>
      <c r="W419" s="327"/>
      <c r="X419" s="541" t="s">
        <v>303</v>
      </c>
      <c r="Y419" s="326"/>
      <c r="Z419" s="326"/>
      <c r="AA419" s="327"/>
      <c r="AB419" s="542" t="s">
        <v>303</v>
      </c>
      <c r="AC419" s="326"/>
      <c r="AD419" s="326"/>
      <c r="AE419" s="327"/>
      <c r="AF419" s="520"/>
      <c r="AG419" s="327"/>
      <c r="AH419" s="520"/>
      <c r="AI419" s="327"/>
      <c r="AJ419" s="554"/>
      <c r="AK419" s="327"/>
      <c r="AL419" s="537" t="s">
        <v>334</v>
      </c>
      <c r="AM419" s="327"/>
      <c r="AN419" s="546" t="s">
        <v>334</v>
      </c>
      <c r="AO419" s="327"/>
      <c r="AP419" s="554"/>
      <c r="AQ419" s="327"/>
      <c r="AR419" s="555"/>
      <c r="AS419" s="327"/>
      <c r="AT419" s="549"/>
      <c r="AU419" s="327"/>
      <c r="AV419" s="546" t="s">
        <v>334</v>
      </c>
      <c r="AW419" s="327"/>
      <c r="AX419" s="521"/>
      <c r="AY419" s="326"/>
      <c r="AZ419" s="327"/>
      <c r="BA419" s="536"/>
      <c r="BB419" s="327"/>
      <c r="BC419" s="25"/>
      <c r="BD419" s="544" t="s">
        <v>334</v>
      </c>
      <c r="BE419" s="327"/>
      <c r="BF419" s="508"/>
      <c r="BG419" s="326"/>
      <c r="BH419" s="326"/>
      <c r="BI419" s="327"/>
      <c r="BJ419" s="557" t="s">
        <v>303</v>
      </c>
      <c r="BK419" s="326"/>
      <c r="BL419" s="326"/>
      <c r="BM419" s="327"/>
      <c r="BN419" s="558" t="s">
        <v>303</v>
      </c>
      <c r="BO419" s="326"/>
      <c r="BP419" s="326"/>
      <c r="BQ419" s="326"/>
      <c r="BR419" s="326"/>
      <c r="BS419" s="326"/>
      <c r="BT419" s="326"/>
      <c r="BU419" s="326"/>
      <c r="BV419" s="327"/>
    </row>
    <row r="420" spans="1:74" ht="45" customHeight="1" x14ac:dyDescent="0.25">
      <c r="A420" s="10">
        <f t="shared" si="1"/>
        <v>406</v>
      </c>
      <c r="B420" s="564" t="s">
        <v>303</v>
      </c>
      <c r="C420" s="327"/>
      <c r="D420" s="565" t="s">
        <v>307</v>
      </c>
      <c r="E420" s="327"/>
      <c r="F420" s="537" t="s">
        <v>334</v>
      </c>
      <c r="G420" s="327"/>
      <c r="H420" s="561" t="s">
        <v>334</v>
      </c>
      <c r="I420" s="327"/>
      <c r="J420" s="562"/>
      <c r="K420" s="327"/>
      <c r="L420" s="562"/>
      <c r="M420" s="327"/>
      <c r="N420" s="23"/>
      <c r="O420" s="24"/>
      <c r="P420" s="563"/>
      <c r="Q420" s="327"/>
      <c r="R420" s="538"/>
      <c r="S420" s="327"/>
      <c r="T420" s="539"/>
      <c r="U420" s="327"/>
      <c r="V420" s="540"/>
      <c r="W420" s="327"/>
      <c r="X420" s="438" t="s">
        <v>303</v>
      </c>
      <c r="Y420" s="326"/>
      <c r="Z420" s="326"/>
      <c r="AA420" s="327"/>
      <c r="AB420" s="519" t="s">
        <v>303</v>
      </c>
      <c r="AC420" s="326"/>
      <c r="AD420" s="326"/>
      <c r="AE420" s="327"/>
      <c r="AF420" s="543"/>
      <c r="AG420" s="327"/>
      <c r="AH420" s="543"/>
      <c r="AI420" s="327"/>
      <c r="AJ420" s="536"/>
      <c r="AK420" s="327"/>
      <c r="AL420" s="556" t="s">
        <v>334</v>
      </c>
      <c r="AM420" s="327"/>
      <c r="AN420" s="553" t="s">
        <v>334</v>
      </c>
      <c r="AO420" s="327"/>
      <c r="AP420" s="547"/>
      <c r="AQ420" s="327"/>
      <c r="AR420" s="548"/>
      <c r="AS420" s="327"/>
      <c r="AT420" s="549"/>
      <c r="AU420" s="327"/>
      <c r="AV420" s="553" t="s">
        <v>334</v>
      </c>
      <c r="AW420" s="327"/>
      <c r="AX420" s="521"/>
      <c r="AY420" s="326"/>
      <c r="AZ420" s="327"/>
      <c r="BA420" s="550"/>
      <c r="BB420" s="327"/>
      <c r="BC420" s="22"/>
      <c r="BD420" s="551" t="s">
        <v>334</v>
      </c>
      <c r="BE420" s="327"/>
      <c r="BF420" s="545"/>
      <c r="BG420" s="326"/>
      <c r="BH420" s="326"/>
      <c r="BI420" s="327"/>
      <c r="BJ420" s="451" t="s">
        <v>303</v>
      </c>
      <c r="BK420" s="326"/>
      <c r="BL420" s="326"/>
      <c r="BM420" s="327"/>
      <c r="BN420" s="558" t="s">
        <v>303</v>
      </c>
      <c r="BO420" s="326"/>
      <c r="BP420" s="326"/>
      <c r="BQ420" s="326"/>
      <c r="BR420" s="326"/>
      <c r="BS420" s="326"/>
      <c r="BT420" s="326"/>
      <c r="BU420" s="326"/>
      <c r="BV420" s="327"/>
    </row>
    <row r="421" spans="1:74" ht="45" customHeight="1" x14ac:dyDescent="0.25">
      <c r="A421" s="10">
        <f t="shared" si="1"/>
        <v>407</v>
      </c>
      <c r="B421" s="559" t="s">
        <v>303</v>
      </c>
      <c r="C421" s="327"/>
      <c r="D421" s="560" t="s">
        <v>307</v>
      </c>
      <c r="E421" s="327"/>
      <c r="F421" s="537" t="s">
        <v>334</v>
      </c>
      <c r="G421" s="327"/>
      <c r="H421" s="566" t="s">
        <v>334</v>
      </c>
      <c r="I421" s="327"/>
      <c r="J421" s="567"/>
      <c r="K421" s="327"/>
      <c r="L421" s="567"/>
      <c r="M421" s="327"/>
      <c r="N421" s="20"/>
      <c r="O421" s="21"/>
      <c r="P421" s="524"/>
      <c r="Q421" s="327"/>
      <c r="R421" s="516"/>
      <c r="S421" s="327"/>
      <c r="T421" s="517"/>
      <c r="U421" s="327"/>
      <c r="V421" s="518"/>
      <c r="W421" s="327"/>
      <c r="X421" s="541" t="s">
        <v>303</v>
      </c>
      <c r="Y421" s="326"/>
      <c r="Z421" s="326"/>
      <c r="AA421" s="327"/>
      <c r="AB421" s="542" t="s">
        <v>303</v>
      </c>
      <c r="AC421" s="326"/>
      <c r="AD421" s="326"/>
      <c r="AE421" s="327"/>
      <c r="AF421" s="520"/>
      <c r="AG421" s="327"/>
      <c r="AH421" s="520"/>
      <c r="AI421" s="327"/>
      <c r="AJ421" s="554"/>
      <c r="AK421" s="327"/>
      <c r="AL421" s="537" t="s">
        <v>334</v>
      </c>
      <c r="AM421" s="327"/>
      <c r="AN421" s="546" t="s">
        <v>334</v>
      </c>
      <c r="AO421" s="327"/>
      <c r="AP421" s="554"/>
      <c r="AQ421" s="327"/>
      <c r="AR421" s="555"/>
      <c r="AS421" s="327"/>
      <c r="AT421" s="549"/>
      <c r="AU421" s="327"/>
      <c r="AV421" s="546" t="s">
        <v>334</v>
      </c>
      <c r="AW421" s="327"/>
      <c r="AX421" s="521"/>
      <c r="AY421" s="326"/>
      <c r="AZ421" s="327"/>
      <c r="BA421" s="536"/>
      <c r="BB421" s="327"/>
      <c r="BC421" s="25"/>
      <c r="BD421" s="544" t="s">
        <v>334</v>
      </c>
      <c r="BE421" s="327"/>
      <c r="BF421" s="552"/>
      <c r="BG421" s="326"/>
      <c r="BH421" s="326"/>
      <c r="BI421" s="327"/>
      <c r="BJ421" s="557" t="s">
        <v>303</v>
      </c>
      <c r="BK421" s="326"/>
      <c r="BL421" s="326"/>
      <c r="BM421" s="327"/>
      <c r="BN421" s="558" t="s">
        <v>303</v>
      </c>
      <c r="BO421" s="326"/>
      <c r="BP421" s="326"/>
      <c r="BQ421" s="326"/>
      <c r="BR421" s="326"/>
      <c r="BS421" s="326"/>
      <c r="BT421" s="326"/>
      <c r="BU421" s="326"/>
      <c r="BV421" s="327"/>
    </row>
    <row r="422" spans="1:74" ht="45" customHeight="1" x14ac:dyDescent="0.25">
      <c r="A422" s="10">
        <f t="shared" si="1"/>
        <v>408</v>
      </c>
      <c r="B422" s="564" t="s">
        <v>303</v>
      </c>
      <c r="C422" s="327"/>
      <c r="D422" s="565" t="s">
        <v>307</v>
      </c>
      <c r="E422" s="327"/>
      <c r="F422" s="537" t="s">
        <v>334</v>
      </c>
      <c r="G422" s="327"/>
      <c r="H422" s="561" t="s">
        <v>334</v>
      </c>
      <c r="I422" s="327"/>
      <c r="J422" s="562"/>
      <c r="K422" s="327"/>
      <c r="L422" s="562"/>
      <c r="M422" s="327"/>
      <c r="N422" s="23"/>
      <c r="O422" s="24"/>
      <c r="P422" s="563"/>
      <c r="Q422" s="327"/>
      <c r="R422" s="538"/>
      <c r="S422" s="327"/>
      <c r="T422" s="539"/>
      <c r="U422" s="327"/>
      <c r="V422" s="540"/>
      <c r="W422" s="327"/>
      <c r="X422" s="438" t="s">
        <v>303</v>
      </c>
      <c r="Y422" s="326"/>
      <c r="Z422" s="326"/>
      <c r="AA422" s="327"/>
      <c r="AB422" s="519" t="s">
        <v>303</v>
      </c>
      <c r="AC422" s="326"/>
      <c r="AD422" s="326"/>
      <c r="AE422" s="327"/>
      <c r="AF422" s="543"/>
      <c r="AG422" s="327"/>
      <c r="AH422" s="543"/>
      <c r="AI422" s="327"/>
      <c r="AJ422" s="536"/>
      <c r="AK422" s="327"/>
      <c r="AL422" s="556" t="s">
        <v>334</v>
      </c>
      <c r="AM422" s="327"/>
      <c r="AN422" s="553" t="s">
        <v>334</v>
      </c>
      <c r="AO422" s="327"/>
      <c r="AP422" s="547"/>
      <c r="AQ422" s="327"/>
      <c r="AR422" s="548"/>
      <c r="AS422" s="327"/>
      <c r="AT422" s="549"/>
      <c r="AU422" s="327"/>
      <c r="AV422" s="553" t="s">
        <v>334</v>
      </c>
      <c r="AW422" s="327"/>
      <c r="AX422" s="521"/>
      <c r="AY422" s="326"/>
      <c r="AZ422" s="327"/>
      <c r="BA422" s="550"/>
      <c r="BB422" s="327"/>
      <c r="BC422" s="22"/>
      <c r="BD422" s="551" t="s">
        <v>334</v>
      </c>
      <c r="BE422" s="327"/>
      <c r="BF422" s="545"/>
      <c r="BG422" s="326"/>
      <c r="BH422" s="326"/>
      <c r="BI422" s="327"/>
      <c r="BJ422" s="451" t="s">
        <v>303</v>
      </c>
      <c r="BK422" s="326"/>
      <c r="BL422" s="326"/>
      <c r="BM422" s="327"/>
      <c r="BN422" s="558" t="s">
        <v>303</v>
      </c>
      <c r="BO422" s="326"/>
      <c r="BP422" s="326"/>
      <c r="BQ422" s="326"/>
      <c r="BR422" s="326"/>
      <c r="BS422" s="326"/>
      <c r="BT422" s="326"/>
      <c r="BU422" s="326"/>
      <c r="BV422" s="327"/>
    </row>
    <row r="423" spans="1:74" ht="45" customHeight="1" x14ac:dyDescent="0.25">
      <c r="A423" s="10">
        <f t="shared" si="1"/>
        <v>409</v>
      </c>
      <c r="B423" s="559" t="s">
        <v>303</v>
      </c>
      <c r="C423" s="327"/>
      <c r="D423" s="560" t="s">
        <v>307</v>
      </c>
      <c r="E423" s="327"/>
      <c r="F423" s="537" t="s">
        <v>334</v>
      </c>
      <c r="G423" s="327"/>
      <c r="H423" s="566" t="s">
        <v>334</v>
      </c>
      <c r="I423" s="327"/>
      <c r="J423" s="567"/>
      <c r="K423" s="327"/>
      <c r="L423" s="567"/>
      <c r="M423" s="327"/>
      <c r="N423" s="20"/>
      <c r="O423" s="21"/>
      <c r="P423" s="524"/>
      <c r="Q423" s="327"/>
      <c r="R423" s="516"/>
      <c r="S423" s="327"/>
      <c r="T423" s="517"/>
      <c r="U423" s="327"/>
      <c r="V423" s="518"/>
      <c r="W423" s="327"/>
      <c r="X423" s="541" t="s">
        <v>303</v>
      </c>
      <c r="Y423" s="326"/>
      <c r="Z423" s="326"/>
      <c r="AA423" s="327"/>
      <c r="AB423" s="542" t="s">
        <v>303</v>
      </c>
      <c r="AC423" s="326"/>
      <c r="AD423" s="326"/>
      <c r="AE423" s="327"/>
      <c r="AF423" s="520"/>
      <c r="AG423" s="327"/>
      <c r="AH423" s="520"/>
      <c r="AI423" s="327"/>
      <c r="AJ423" s="554"/>
      <c r="AK423" s="327"/>
      <c r="AL423" s="537" t="s">
        <v>334</v>
      </c>
      <c r="AM423" s="327"/>
      <c r="AN423" s="546" t="s">
        <v>334</v>
      </c>
      <c r="AO423" s="327"/>
      <c r="AP423" s="554"/>
      <c r="AQ423" s="327"/>
      <c r="AR423" s="555"/>
      <c r="AS423" s="327"/>
      <c r="AT423" s="549"/>
      <c r="AU423" s="327"/>
      <c r="AV423" s="546" t="s">
        <v>334</v>
      </c>
      <c r="AW423" s="327"/>
      <c r="AX423" s="521"/>
      <c r="AY423" s="326"/>
      <c r="AZ423" s="327"/>
      <c r="BA423" s="536"/>
      <c r="BB423" s="327"/>
      <c r="BC423" s="25"/>
      <c r="BD423" s="544" t="s">
        <v>334</v>
      </c>
      <c r="BE423" s="327"/>
      <c r="BF423" s="508"/>
      <c r="BG423" s="326"/>
      <c r="BH423" s="326"/>
      <c r="BI423" s="327"/>
      <c r="BJ423" s="557" t="s">
        <v>303</v>
      </c>
      <c r="BK423" s="326"/>
      <c r="BL423" s="326"/>
      <c r="BM423" s="327"/>
      <c r="BN423" s="558" t="s">
        <v>303</v>
      </c>
      <c r="BO423" s="326"/>
      <c r="BP423" s="326"/>
      <c r="BQ423" s="326"/>
      <c r="BR423" s="326"/>
      <c r="BS423" s="326"/>
      <c r="BT423" s="326"/>
      <c r="BU423" s="326"/>
      <c r="BV423" s="327"/>
    </row>
    <row r="424" spans="1:74" ht="45" customHeight="1" x14ac:dyDescent="0.25">
      <c r="A424" s="10">
        <f t="shared" si="1"/>
        <v>410</v>
      </c>
      <c r="B424" s="564" t="s">
        <v>303</v>
      </c>
      <c r="C424" s="327"/>
      <c r="D424" s="565" t="s">
        <v>307</v>
      </c>
      <c r="E424" s="327"/>
      <c r="F424" s="537" t="s">
        <v>334</v>
      </c>
      <c r="G424" s="327"/>
      <c r="H424" s="561" t="s">
        <v>334</v>
      </c>
      <c r="I424" s="327"/>
      <c r="J424" s="562"/>
      <c r="K424" s="327"/>
      <c r="L424" s="562"/>
      <c r="M424" s="327"/>
      <c r="N424" s="23"/>
      <c r="O424" s="24"/>
      <c r="P424" s="563"/>
      <c r="Q424" s="327"/>
      <c r="R424" s="538"/>
      <c r="S424" s="327"/>
      <c r="T424" s="539"/>
      <c r="U424" s="327"/>
      <c r="V424" s="540"/>
      <c r="W424" s="327"/>
      <c r="X424" s="438" t="s">
        <v>303</v>
      </c>
      <c r="Y424" s="326"/>
      <c r="Z424" s="326"/>
      <c r="AA424" s="327"/>
      <c r="AB424" s="519" t="s">
        <v>303</v>
      </c>
      <c r="AC424" s="326"/>
      <c r="AD424" s="326"/>
      <c r="AE424" s="327"/>
      <c r="AF424" s="543"/>
      <c r="AG424" s="327"/>
      <c r="AH424" s="543"/>
      <c r="AI424" s="327"/>
      <c r="AJ424" s="536"/>
      <c r="AK424" s="327"/>
      <c r="AL424" s="556" t="s">
        <v>334</v>
      </c>
      <c r="AM424" s="327"/>
      <c r="AN424" s="553" t="s">
        <v>334</v>
      </c>
      <c r="AO424" s="327"/>
      <c r="AP424" s="547"/>
      <c r="AQ424" s="327"/>
      <c r="AR424" s="548"/>
      <c r="AS424" s="327"/>
      <c r="AT424" s="549"/>
      <c r="AU424" s="327"/>
      <c r="AV424" s="553" t="s">
        <v>334</v>
      </c>
      <c r="AW424" s="327"/>
      <c r="AX424" s="521"/>
      <c r="AY424" s="326"/>
      <c r="AZ424" s="327"/>
      <c r="BA424" s="550"/>
      <c r="BB424" s="327"/>
      <c r="BC424" s="22"/>
      <c r="BD424" s="551" t="s">
        <v>334</v>
      </c>
      <c r="BE424" s="327"/>
      <c r="BF424" s="545"/>
      <c r="BG424" s="326"/>
      <c r="BH424" s="326"/>
      <c r="BI424" s="327"/>
      <c r="BJ424" s="451" t="s">
        <v>303</v>
      </c>
      <c r="BK424" s="326"/>
      <c r="BL424" s="326"/>
      <c r="BM424" s="327"/>
      <c r="BN424" s="558" t="s">
        <v>303</v>
      </c>
      <c r="BO424" s="326"/>
      <c r="BP424" s="326"/>
      <c r="BQ424" s="326"/>
      <c r="BR424" s="326"/>
      <c r="BS424" s="326"/>
      <c r="BT424" s="326"/>
      <c r="BU424" s="326"/>
      <c r="BV424" s="327"/>
    </row>
    <row r="425" spans="1:74" ht="45" customHeight="1" x14ac:dyDescent="0.25">
      <c r="A425" s="10">
        <f t="shared" si="1"/>
        <v>411</v>
      </c>
      <c r="B425" s="559" t="s">
        <v>303</v>
      </c>
      <c r="C425" s="327"/>
      <c r="D425" s="560" t="s">
        <v>307</v>
      </c>
      <c r="E425" s="327"/>
      <c r="F425" s="537" t="s">
        <v>334</v>
      </c>
      <c r="G425" s="327"/>
      <c r="H425" s="566" t="s">
        <v>334</v>
      </c>
      <c r="I425" s="327"/>
      <c r="J425" s="567"/>
      <c r="K425" s="327"/>
      <c r="L425" s="567"/>
      <c r="M425" s="327"/>
      <c r="N425" s="20"/>
      <c r="O425" s="21"/>
      <c r="P425" s="524"/>
      <c r="Q425" s="327"/>
      <c r="R425" s="516"/>
      <c r="S425" s="327"/>
      <c r="T425" s="517"/>
      <c r="U425" s="327"/>
      <c r="V425" s="518"/>
      <c r="W425" s="327"/>
      <c r="X425" s="541" t="s">
        <v>303</v>
      </c>
      <c r="Y425" s="326"/>
      <c r="Z425" s="326"/>
      <c r="AA425" s="327"/>
      <c r="AB425" s="542" t="s">
        <v>303</v>
      </c>
      <c r="AC425" s="326"/>
      <c r="AD425" s="326"/>
      <c r="AE425" s="327"/>
      <c r="AF425" s="520"/>
      <c r="AG425" s="327"/>
      <c r="AH425" s="520"/>
      <c r="AI425" s="327"/>
      <c r="AJ425" s="554"/>
      <c r="AK425" s="327"/>
      <c r="AL425" s="537" t="s">
        <v>334</v>
      </c>
      <c r="AM425" s="327"/>
      <c r="AN425" s="546" t="s">
        <v>334</v>
      </c>
      <c r="AO425" s="327"/>
      <c r="AP425" s="554"/>
      <c r="AQ425" s="327"/>
      <c r="AR425" s="555"/>
      <c r="AS425" s="327"/>
      <c r="AT425" s="549"/>
      <c r="AU425" s="327"/>
      <c r="AV425" s="546" t="s">
        <v>334</v>
      </c>
      <c r="AW425" s="327"/>
      <c r="AX425" s="521"/>
      <c r="AY425" s="326"/>
      <c r="AZ425" s="327"/>
      <c r="BA425" s="536"/>
      <c r="BB425" s="327"/>
      <c r="BC425" s="25"/>
      <c r="BD425" s="544" t="s">
        <v>334</v>
      </c>
      <c r="BE425" s="327"/>
      <c r="BF425" s="508"/>
      <c r="BG425" s="326"/>
      <c r="BH425" s="326"/>
      <c r="BI425" s="327"/>
      <c r="BJ425" s="557" t="s">
        <v>303</v>
      </c>
      <c r="BK425" s="326"/>
      <c r="BL425" s="326"/>
      <c r="BM425" s="327"/>
      <c r="BN425" s="558" t="s">
        <v>303</v>
      </c>
      <c r="BO425" s="326"/>
      <c r="BP425" s="326"/>
      <c r="BQ425" s="326"/>
      <c r="BR425" s="326"/>
      <c r="BS425" s="326"/>
      <c r="BT425" s="326"/>
      <c r="BU425" s="326"/>
      <c r="BV425" s="327"/>
    </row>
    <row r="426" spans="1:74" ht="45" customHeight="1" x14ac:dyDescent="0.25">
      <c r="A426" s="10">
        <f t="shared" si="1"/>
        <v>412</v>
      </c>
      <c r="B426" s="564" t="s">
        <v>303</v>
      </c>
      <c r="C426" s="327"/>
      <c r="D426" s="565" t="s">
        <v>307</v>
      </c>
      <c r="E426" s="327"/>
      <c r="F426" s="537" t="s">
        <v>334</v>
      </c>
      <c r="G426" s="327"/>
      <c r="H426" s="561" t="s">
        <v>334</v>
      </c>
      <c r="I426" s="327"/>
      <c r="J426" s="562"/>
      <c r="K426" s="327"/>
      <c r="L426" s="562"/>
      <c r="M426" s="327"/>
      <c r="N426" s="23"/>
      <c r="O426" s="24"/>
      <c r="P426" s="563"/>
      <c r="Q426" s="327"/>
      <c r="R426" s="538"/>
      <c r="S426" s="327"/>
      <c r="T426" s="539"/>
      <c r="U426" s="327"/>
      <c r="V426" s="540"/>
      <c r="W426" s="327"/>
      <c r="X426" s="438" t="s">
        <v>303</v>
      </c>
      <c r="Y426" s="326"/>
      <c r="Z426" s="326"/>
      <c r="AA426" s="327"/>
      <c r="AB426" s="519" t="s">
        <v>303</v>
      </c>
      <c r="AC426" s="326"/>
      <c r="AD426" s="326"/>
      <c r="AE426" s="327"/>
      <c r="AF426" s="543"/>
      <c r="AG426" s="327"/>
      <c r="AH426" s="543"/>
      <c r="AI426" s="327"/>
      <c r="AJ426" s="536"/>
      <c r="AK426" s="327"/>
      <c r="AL426" s="556" t="s">
        <v>334</v>
      </c>
      <c r="AM426" s="327"/>
      <c r="AN426" s="553" t="s">
        <v>334</v>
      </c>
      <c r="AO426" s="327"/>
      <c r="AP426" s="547"/>
      <c r="AQ426" s="327"/>
      <c r="AR426" s="548"/>
      <c r="AS426" s="327"/>
      <c r="AT426" s="549"/>
      <c r="AU426" s="327"/>
      <c r="AV426" s="553" t="s">
        <v>334</v>
      </c>
      <c r="AW426" s="327"/>
      <c r="AX426" s="521"/>
      <c r="AY426" s="326"/>
      <c r="AZ426" s="327"/>
      <c r="BA426" s="550"/>
      <c r="BB426" s="327"/>
      <c r="BC426" s="22"/>
      <c r="BD426" s="551" t="s">
        <v>334</v>
      </c>
      <c r="BE426" s="327"/>
      <c r="BF426" s="545"/>
      <c r="BG426" s="326"/>
      <c r="BH426" s="326"/>
      <c r="BI426" s="327"/>
      <c r="BJ426" s="451" t="s">
        <v>303</v>
      </c>
      <c r="BK426" s="326"/>
      <c r="BL426" s="326"/>
      <c r="BM426" s="327"/>
      <c r="BN426" s="558" t="s">
        <v>303</v>
      </c>
      <c r="BO426" s="326"/>
      <c r="BP426" s="326"/>
      <c r="BQ426" s="326"/>
      <c r="BR426" s="326"/>
      <c r="BS426" s="326"/>
      <c r="BT426" s="326"/>
      <c r="BU426" s="326"/>
      <c r="BV426" s="327"/>
    </row>
    <row r="427" spans="1:74" ht="45" customHeight="1" x14ac:dyDescent="0.25">
      <c r="A427" s="10">
        <f t="shared" si="1"/>
        <v>413</v>
      </c>
      <c r="B427" s="559" t="s">
        <v>303</v>
      </c>
      <c r="C427" s="327"/>
      <c r="D427" s="560" t="s">
        <v>307</v>
      </c>
      <c r="E427" s="327"/>
      <c r="F427" s="537" t="s">
        <v>334</v>
      </c>
      <c r="G427" s="327"/>
      <c r="H427" s="566" t="s">
        <v>334</v>
      </c>
      <c r="I427" s="327"/>
      <c r="J427" s="567"/>
      <c r="K427" s="327"/>
      <c r="L427" s="567"/>
      <c r="M427" s="327"/>
      <c r="N427" s="20"/>
      <c r="O427" s="21"/>
      <c r="P427" s="524"/>
      <c r="Q427" s="327"/>
      <c r="R427" s="516"/>
      <c r="S427" s="327"/>
      <c r="T427" s="517"/>
      <c r="U427" s="327"/>
      <c r="V427" s="518"/>
      <c r="W427" s="327"/>
      <c r="X427" s="541" t="s">
        <v>303</v>
      </c>
      <c r="Y427" s="326"/>
      <c r="Z427" s="326"/>
      <c r="AA427" s="327"/>
      <c r="AB427" s="542" t="s">
        <v>303</v>
      </c>
      <c r="AC427" s="326"/>
      <c r="AD427" s="326"/>
      <c r="AE427" s="327"/>
      <c r="AF427" s="520"/>
      <c r="AG427" s="327"/>
      <c r="AH427" s="520"/>
      <c r="AI427" s="327"/>
      <c r="AJ427" s="554"/>
      <c r="AK427" s="327"/>
      <c r="AL427" s="537" t="s">
        <v>334</v>
      </c>
      <c r="AM427" s="327"/>
      <c r="AN427" s="546" t="s">
        <v>334</v>
      </c>
      <c r="AO427" s="327"/>
      <c r="AP427" s="554"/>
      <c r="AQ427" s="327"/>
      <c r="AR427" s="555"/>
      <c r="AS427" s="327"/>
      <c r="AT427" s="549"/>
      <c r="AU427" s="327"/>
      <c r="AV427" s="546" t="s">
        <v>334</v>
      </c>
      <c r="AW427" s="327"/>
      <c r="AX427" s="521"/>
      <c r="AY427" s="326"/>
      <c r="AZ427" s="327"/>
      <c r="BA427" s="536"/>
      <c r="BB427" s="327"/>
      <c r="BC427" s="25"/>
      <c r="BD427" s="544" t="s">
        <v>334</v>
      </c>
      <c r="BE427" s="327"/>
      <c r="BF427" s="552"/>
      <c r="BG427" s="326"/>
      <c r="BH427" s="326"/>
      <c r="BI427" s="327"/>
      <c r="BJ427" s="557" t="s">
        <v>303</v>
      </c>
      <c r="BK427" s="326"/>
      <c r="BL427" s="326"/>
      <c r="BM427" s="327"/>
      <c r="BN427" s="558" t="s">
        <v>303</v>
      </c>
      <c r="BO427" s="326"/>
      <c r="BP427" s="326"/>
      <c r="BQ427" s="326"/>
      <c r="BR427" s="326"/>
      <c r="BS427" s="326"/>
      <c r="BT427" s="326"/>
      <c r="BU427" s="326"/>
      <c r="BV427" s="327"/>
    </row>
    <row r="428" spans="1:74" ht="45" customHeight="1" x14ac:dyDescent="0.25">
      <c r="A428" s="10">
        <f t="shared" si="1"/>
        <v>414</v>
      </c>
      <c r="B428" s="564" t="s">
        <v>303</v>
      </c>
      <c r="C428" s="327"/>
      <c r="D428" s="565" t="s">
        <v>307</v>
      </c>
      <c r="E428" s="327"/>
      <c r="F428" s="537" t="s">
        <v>334</v>
      </c>
      <c r="G428" s="327"/>
      <c r="H428" s="561" t="s">
        <v>334</v>
      </c>
      <c r="I428" s="327"/>
      <c r="J428" s="562"/>
      <c r="K428" s="327"/>
      <c r="L428" s="562"/>
      <c r="M428" s="327"/>
      <c r="N428" s="23"/>
      <c r="O428" s="24"/>
      <c r="P428" s="563"/>
      <c r="Q428" s="327"/>
      <c r="R428" s="538"/>
      <c r="S428" s="327"/>
      <c r="T428" s="539"/>
      <c r="U428" s="327"/>
      <c r="V428" s="540"/>
      <c r="W428" s="327"/>
      <c r="X428" s="438" t="s">
        <v>303</v>
      </c>
      <c r="Y428" s="326"/>
      <c r="Z428" s="326"/>
      <c r="AA428" s="327"/>
      <c r="AB428" s="519" t="s">
        <v>303</v>
      </c>
      <c r="AC428" s="326"/>
      <c r="AD428" s="326"/>
      <c r="AE428" s="327"/>
      <c r="AF428" s="543"/>
      <c r="AG428" s="327"/>
      <c r="AH428" s="543"/>
      <c r="AI428" s="327"/>
      <c r="AJ428" s="536"/>
      <c r="AK428" s="327"/>
      <c r="AL428" s="556" t="s">
        <v>334</v>
      </c>
      <c r="AM428" s="327"/>
      <c r="AN428" s="553" t="s">
        <v>334</v>
      </c>
      <c r="AO428" s="327"/>
      <c r="AP428" s="547"/>
      <c r="AQ428" s="327"/>
      <c r="AR428" s="548"/>
      <c r="AS428" s="327"/>
      <c r="AT428" s="549"/>
      <c r="AU428" s="327"/>
      <c r="AV428" s="553" t="s">
        <v>334</v>
      </c>
      <c r="AW428" s="327"/>
      <c r="AX428" s="521"/>
      <c r="AY428" s="326"/>
      <c r="AZ428" s="327"/>
      <c r="BA428" s="550"/>
      <c r="BB428" s="327"/>
      <c r="BC428" s="22"/>
      <c r="BD428" s="551" t="s">
        <v>334</v>
      </c>
      <c r="BE428" s="327"/>
      <c r="BF428" s="545"/>
      <c r="BG428" s="326"/>
      <c r="BH428" s="326"/>
      <c r="BI428" s="327"/>
      <c r="BJ428" s="451" t="s">
        <v>303</v>
      </c>
      <c r="BK428" s="326"/>
      <c r="BL428" s="326"/>
      <c r="BM428" s="327"/>
      <c r="BN428" s="558" t="s">
        <v>303</v>
      </c>
      <c r="BO428" s="326"/>
      <c r="BP428" s="326"/>
      <c r="BQ428" s="326"/>
      <c r="BR428" s="326"/>
      <c r="BS428" s="326"/>
      <c r="BT428" s="326"/>
      <c r="BU428" s="326"/>
      <c r="BV428" s="327"/>
    </row>
    <row r="429" spans="1:74" ht="45" customHeight="1" x14ac:dyDescent="0.25">
      <c r="A429" s="10">
        <f t="shared" si="1"/>
        <v>415</v>
      </c>
      <c r="B429" s="559" t="s">
        <v>303</v>
      </c>
      <c r="C429" s="327"/>
      <c r="D429" s="560" t="s">
        <v>307</v>
      </c>
      <c r="E429" s="327"/>
      <c r="F429" s="537" t="s">
        <v>334</v>
      </c>
      <c r="G429" s="327"/>
      <c r="H429" s="566" t="s">
        <v>334</v>
      </c>
      <c r="I429" s="327"/>
      <c r="J429" s="567"/>
      <c r="K429" s="327"/>
      <c r="L429" s="567"/>
      <c r="M429" s="327"/>
      <c r="N429" s="20"/>
      <c r="O429" s="21"/>
      <c r="P429" s="524"/>
      <c r="Q429" s="327"/>
      <c r="R429" s="516"/>
      <c r="S429" s="327"/>
      <c r="T429" s="517"/>
      <c r="U429" s="327"/>
      <c r="V429" s="518"/>
      <c r="W429" s="327"/>
      <c r="X429" s="541" t="s">
        <v>303</v>
      </c>
      <c r="Y429" s="326"/>
      <c r="Z429" s="326"/>
      <c r="AA429" s="327"/>
      <c r="AB429" s="542" t="s">
        <v>303</v>
      </c>
      <c r="AC429" s="326"/>
      <c r="AD429" s="326"/>
      <c r="AE429" s="327"/>
      <c r="AF429" s="520"/>
      <c r="AG429" s="327"/>
      <c r="AH429" s="520"/>
      <c r="AI429" s="327"/>
      <c r="AJ429" s="554"/>
      <c r="AK429" s="327"/>
      <c r="AL429" s="537" t="s">
        <v>334</v>
      </c>
      <c r="AM429" s="327"/>
      <c r="AN429" s="546" t="s">
        <v>334</v>
      </c>
      <c r="AO429" s="327"/>
      <c r="AP429" s="554"/>
      <c r="AQ429" s="327"/>
      <c r="AR429" s="555"/>
      <c r="AS429" s="327"/>
      <c r="AT429" s="549"/>
      <c r="AU429" s="327"/>
      <c r="AV429" s="546" t="s">
        <v>334</v>
      </c>
      <c r="AW429" s="327"/>
      <c r="AX429" s="521"/>
      <c r="AY429" s="326"/>
      <c r="AZ429" s="327"/>
      <c r="BA429" s="536"/>
      <c r="BB429" s="327"/>
      <c r="BC429" s="25"/>
      <c r="BD429" s="544" t="s">
        <v>334</v>
      </c>
      <c r="BE429" s="327"/>
      <c r="BF429" s="508"/>
      <c r="BG429" s="326"/>
      <c r="BH429" s="326"/>
      <c r="BI429" s="327"/>
      <c r="BJ429" s="557" t="s">
        <v>303</v>
      </c>
      <c r="BK429" s="326"/>
      <c r="BL429" s="326"/>
      <c r="BM429" s="327"/>
      <c r="BN429" s="558" t="s">
        <v>303</v>
      </c>
      <c r="BO429" s="326"/>
      <c r="BP429" s="326"/>
      <c r="BQ429" s="326"/>
      <c r="BR429" s="326"/>
      <c r="BS429" s="326"/>
      <c r="BT429" s="326"/>
      <c r="BU429" s="326"/>
      <c r="BV429" s="327"/>
    </row>
    <row r="430" spans="1:74" ht="45" customHeight="1" x14ac:dyDescent="0.25">
      <c r="A430" s="10">
        <f t="shared" si="1"/>
        <v>416</v>
      </c>
      <c r="B430" s="564" t="s">
        <v>303</v>
      </c>
      <c r="C430" s="327"/>
      <c r="D430" s="565" t="s">
        <v>307</v>
      </c>
      <c r="E430" s="327"/>
      <c r="F430" s="537" t="s">
        <v>334</v>
      </c>
      <c r="G430" s="327"/>
      <c r="H430" s="561" t="s">
        <v>334</v>
      </c>
      <c r="I430" s="327"/>
      <c r="J430" s="562"/>
      <c r="K430" s="327"/>
      <c r="L430" s="562"/>
      <c r="M430" s="327"/>
      <c r="N430" s="23"/>
      <c r="O430" s="24"/>
      <c r="P430" s="563"/>
      <c r="Q430" s="327"/>
      <c r="R430" s="538"/>
      <c r="S430" s="327"/>
      <c r="T430" s="539"/>
      <c r="U430" s="327"/>
      <c r="V430" s="540"/>
      <c r="W430" s="327"/>
      <c r="X430" s="438" t="s">
        <v>303</v>
      </c>
      <c r="Y430" s="326"/>
      <c r="Z430" s="326"/>
      <c r="AA430" s="327"/>
      <c r="AB430" s="519" t="s">
        <v>303</v>
      </c>
      <c r="AC430" s="326"/>
      <c r="AD430" s="326"/>
      <c r="AE430" s="327"/>
      <c r="AF430" s="543"/>
      <c r="AG430" s="327"/>
      <c r="AH430" s="543"/>
      <c r="AI430" s="327"/>
      <c r="AJ430" s="536"/>
      <c r="AK430" s="327"/>
      <c r="AL430" s="556" t="s">
        <v>334</v>
      </c>
      <c r="AM430" s="327"/>
      <c r="AN430" s="553" t="s">
        <v>334</v>
      </c>
      <c r="AO430" s="327"/>
      <c r="AP430" s="547"/>
      <c r="AQ430" s="327"/>
      <c r="AR430" s="548"/>
      <c r="AS430" s="327"/>
      <c r="AT430" s="549"/>
      <c r="AU430" s="327"/>
      <c r="AV430" s="553" t="s">
        <v>334</v>
      </c>
      <c r="AW430" s="327"/>
      <c r="AX430" s="521"/>
      <c r="AY430" s="326"/>
      <c r="AZ430" s="327"/>
      <c r="BA430" s="550"/>
      <c r="BB430" s="327"/>
      <c r="BC430" s="22"/>
      <c r="BD430" s="551" t="s">
        <v>334</v>
      </c>
      <c r="BE430" s="327"/>
      <c r="BF430" s="545"/>
      <c r="BG430" s="326"/>
      <c r="BH430" s="326"/>
      <c r="BI430" s="327"/>
      <c r="BJ430" s="451" t="s">
        <v>303</v>
      </c>
      <c r="BK430" s="326"/>
      <c r="BL430" s="326"/>
      <c r="BM430" s="327"/>
      <c r="BN430" s="558" t="s">
        <v>303</v>
      </c>
      <c r="BO430" s="326"/>
      <c r="BP430" s="326"/>
      <c r="BQ430" s="326"/>
      <c r="BR430" s="326"/>
      <c r="BS430" s="326"/>
      <c r="BT430" s="326"/>
      <c r="BU430" s="326"/>
      <c r="BV430" s="327"/>
    </row>
    <row r="431" spans="1:74" ht="45" customHeight="1" x14ac:dyDescent="0.25">
      <c r="A431" s="10">
        <f t="shared" si="1"/>
        <v>417</v>
      </c>
      <c r="B431" s="559" t="s">
        <v>303</v>
      </c>
      <c r="C431" s="327"/>
      <c r="D431" s="560" t="s">
        <v>307</v>
      </c>
      <c r="E431" s="327"/>
      <c r="F431" s="537" t="s">
        <v>334</v>
      </c>
      <c r="G431" s="327"/>
      <c r="H431" s="566" t="s">
        <v>334</v>
      </c>
      <c r="I431" s="327"/>
      <c r="J431" s="567"/>
      <c r="K431" s="327"/>
      <c r="L431" s="567"/>
      <c r="M431" s="327"/>
      <c r="N431" s="20"/>
      <c r="O431" s="21"/>
      <c r="P431" s="524"/>
      <c r="Q431" s="327"/>
      <c r="R431" s="516"/>
      <c r="S431" s="327"/>
      <c r="T431" s="517"/>
      <c r="U431" s="327"/>
      <c r="V431" s="518"/>
      <c r="W431" s="327"/>
      <c r="X431" s="541" t="s">
        <v>303</v>
      </c>
      <c r="Y431" s="326"/>
      <c r="Z431" s="326"/>
      <c r="AA431" s="327"/>
      <c r="AB431" s="542" t="s">
        <v>303</v>
      </c>
      <c r="AC431" s="326"/>
      <c r="AD431" s="326"/>
      <c r="AE431" s="327"/>
      <c r="AF431" s="520"/>
      <c r="AG431" s="327"/>
      <c r="AH431" s="520"/>
      <c r="AI431" s="327"/>
      <c r="AJ431" s="554"/>
      <c r="AK431" s="327"/>
      <c r="AL431" s="537" t="s">
        <v>334</v>
      </c>
      <c r="AM431" s="327"/>
      <c r="AN431" s="546" t="s">
        <v>334</v>
      </c>
      <c r="AO431" s="327"/>
      <c r="AP431" s="554"/>
      <c r="AQ431" s="327"/>
      <c r="AR431" s="555"/>
      <c r="AS431" s="327"/>
      <c r="AT431" s="549"/>
      <c r="AU431" s="327"/>
      <c r="AV431" s="546" t="s">
        <v>334</v>
      </c>
      <c r="AW431" s="327"/>
      <c r="AX431" s="521"/>
      <c r="AY431" s="326"/>
      <c r="AZ431" s="327"/>
      <c r="BA431" s="536"/>
      <c r="BB431" s="327"/>
      <c r="BC431" s="25"/>
      <c r="BD431" s="544" t="s">
        <v>334</v>
      </c>
      <c r="BE431" s="327"/>
      <c r="BF431" s="552"/>
      <c r="BG431" s="326"/>
      <c r="BH431" s="326"/>
      <c r="BI431" s="327"/>
      <c r="BJ431" s="557" t="s">
        <v>303</v>
      </c>
      <c r="BK431" s="326"/>
      <c r="BL431" s="326"/>
      <c r="BM431" s="327"/>
      <c r="BN431" s="558" t="s">
        <v>303</v>
      </c>
      <c r="BO431" s="326"/>
      <c r="BP431" s="326"/>
      <c r="BQ431" s="326"/>
      <c r="BR431" s="326"/>
      <c r="BS431" s="326"/>
      <c r="BT431" s="326"/>
      <c r="BU431" s="326"/>
      <c r="BV431" s="327"/>
    </row>
    <row r="432" spans="1:74" ht="45" customHeight="1" x14ac:dyDescent="0.25">
      <c r="A432" s="10">
        <f t="shared" si="1"/>
        <v>418</v>
      </c>
      <c r="B432" s="564" t="s">
        <v>303</v>
      </c>
      <c r="C432" s="327"/>
      <c r="D432" s="565" t="s">
        <v>307</v>
      </c>
      <c r="E432" s="327"/>
      <c r="F432" s="537" t="s">
        <v>334</v>
      </c>
      <c r="G432" s="327"/>
      <c r="H432" s="561" t="s">
        <v>334</v>
      </c>
      <c r="I432" s="327"/>
      <c r="J432" s="562"/>
      <c r="K432" s="327"/>
      <c r="L432" s="562"/>
      <c r="M432" s="327"/>
      <c r="N432" s="23"/>
      <c r="O432" s="24"/>
      <c r="P432" s="563"/>
      <c r="Q432" s="327"/>
      <c r="R432" s="538"/>
      <c r="S432" s="327"/>
      <c r="T432" s="539"/>
      <c r="U432" s="327"/>
      <c r="V432" s="540"/>
      <c r="W432" s="327"/>
      <c r="X432" s="438" t="s">
        <v>303</v>
      </c>
      <c r="Y432" s="326"/>
      <c r="Z432" s="326"/>
      <c r="AA432" s="327"/>
      <c r="AB432" s="519" t="s">
        <v>303</v>
      </c>
      <c r="AC432" s="326"/>
      <c r="AD432" s="326"/>
      <c r="AE432" s="327"/>
      <c r="AF432" s="543"/>
      <c r="AG432" s="327"/>
      <c r="AH432" s="543"/>
      <c r="AI432" s="327"/>
      <c r="AJ432" s="536"/>
      <c r="AK432" s="327"/>
      <c r="AL432" s="556" t="s">
        <v>334</v>
      </c>
      <c r="AM432" s="327"/>
      <c r="AN432" s="553" t="s">
        <v>334</v>
      </c>
      <c r="AO432" s="327"/>
      <c r="AP432" s="547"/>
      <c r="AQ432" s="327"/>
      <c r="AR432" s="548"/>
      <c r="AS432" s="327"/>
      <c r="AT432" s="549"/>
      <c r="AU432" s="327"/>
      <c r="AV432" s="553" t="s">
        <v>334</v>
      </c>
      <c r="AW432" s="327"/>
      <c r="AX432" s="521"/>
      <c r="AY432" s="326"/>
      <c r="AZ432" s="327"/>
      <c r="BA432" s="550"/>
      <c r="BB432" s="327"/>
      <c r="BC432" s="22"/>
      <c r="BD432" s="551" t="s">
        <v>334</v>
      </c>
      <c r="BE432" s="327"/>
      <c r="BF432" s="545"/>
      <c r="BG432" s="326"/>
      <c r="BH432" s="326"/>
      <c r="BI432" s="327"/>
      <c r="BJ432" s="451" t="s">
        <v>303</v>
      </c>
      <c r="BK432" s="326"/>
      <c r="BL432" s="326"/>
      <c r="BM432" s="327"/>
      <c r="BN432" s="558" t="s">
        <v>303</v>
      </c>
      <c r="BO432" s="326"/>
      <c r="BP432" s="326"/>
      <c r="BQ432" s="326"/>
      <c r="BR432" s="326"/>
      <c r="BS432" s="326"/>
      <c r="BT432" s="326"/>
      <c r="BU432" s="326"/>
      <c r="BV432" s="327"/>
    </row>
    <row r="433" spans="1:74" ht="45" customHeight="1" x14ac:dyDescent="0.25">
      <c r="A433" s="10">
        <f t="shared" si="1"/>
        <v>419</v>
      </c>
      <c r="B433" s="559" t="s">
        <v>303</v>
      </c>
      <c r="C433" s="327"/>
      <c r="D433" s="560" t="s">
        <v>307</v>
      </c>
      <c r="E433" s="327"/>
      <c r="F433" s="537" t="s">
        <v>334</v>
      </c>
      <c r="G433" s="327"/>
      <c r="H433" s="566" t="s">
        <v>334</v>
      </c>
      <c r="I433" s="327"/>
      <c r="J433" s="567"/>
      <c r="K433" s="327"/>
      <c r="L433" s="567"/>
      <c r="M433" s="327"/>
      <c r="N433" s="20"/>
      <c r="O433" s="21"/>
      <c r="P433" s="524"/>
      <c r="Q433" s="327"/>
      <c r="R433" s="516"/>
      <c r="S433" s="327"/>
      <c r="T433" s="517"/>
      <c r="U433" s="327"/>
      <c r="V433" s="518"/>
      <c r="W433" s="327"/>
      <c r="X433" s="541" t="s">
        <v>303</v>
      </c>
      <c r="Y433" s="326"/>
      <c r="Z433" s="326"/>
      <c r="AA433" s="327"/>
      <c r="AB433" s="542" t="s">
        <v>303</v>
      </c>
      <c r="AC433" s="326"/>
      <c r="AD433" s="326"/>
      <c r="AE433" s="327"/>
      <c r="AF433" s="520"/>
      <c r="AG433" s="327"/>
      <c r="AH433" s="520"/>
      <c r="AI433" s="327"/>
      <c r="AJ433" s="554"/>
      <c r="AK433" s="327"/>
      <c r="AL433" s="537" t="s">
        <v>334</v>
      </c>
      <c r="AM433" s="327"/>
      <c r="AN433" s="546" t="s">
        <v>334</v>
      </c>
      <c r="AO433" s="327"/>
      <c r="AP433" s="554"/>
      <c r="AQ433" s="327"/>
      <c r="AR433" s="555"/>
      <c r="AS433" s="327"/>
      <c r="AT433" s="549"/>
      <c r="AU433" s="327"/>
      <c r="AV433" s="546" t="s">
        <v>334</v>
      </c>
      <c r="AW433" s="327"/>
      <c r="AX433" s="521"/>
      <c r="AY433" s="326"/>
      <c r="AZ433" s="327"/>
      <c r="BA433" s="536"/>
      <c r="BB433" s="327"/>
      <c r="BC433" s="25"/>
      <c r="BD433" s="544" t="s">
        <v>334</v>
      </c>
      <c r="BE433" s="327"/>
      <c r="BF433" s="508"/>
      <c r="BG433" s="326"/>
      <c r="BH433" s="326"/>
      <c r="BI433" s="327"/>
      <c r="BJ433" s="557" t="s">
        <v>303</v>
      </c>
      <c r="BK433" s="326"/>
      <c r="BL433" s="326"/>
      <c r="BM433" s="327"/>
      <c r="BN433" s="558" t="s">
        <v>303</v>
      </c>
      <c r="BO433" s="326"/>
      <c r="BP433" s="326"/>
      <c r="BQ433" s="326"/>
      <c r="BR433" s="326"/>
      <c r="BS433" s="326"/>
      <c r="BT433" s="326"/>
      <c r="BU433" s="326"/>
      <c r="BV433" s="327"/>
    </row>
    <row r="434" spans="1:74" ht="45" customHeight="1" x14ac:dyDescent="0.25">
      <c r="A434" s="10">
        <f t="shared" si="1"/>
        <v>420</v>
      </c>
      <c r="B434" s="564" t="s">
        <v>303</v>
      </c>
      <c r="C434" s="327"/>
      <c r="D434" s="565" t="s">
        <v>307</v>
      </c>
      <c r="E434" s="327"/>
      <c r="F434" s="537" t="s">
        <v>334</v>
      </c>
      <c r="G434" s="327"/>
      <c r="H434" s="561" t="s">
        <v>334</v>
      </c>
      <c r="I434" s="327"/>
      <c r="J434" s="562"/>
      <c r="K434" s="327"/>
      <c r="L434" s="562"/>
      <c r="M434" s="327"/>
      <c r="N434" s="23"/>
      <c r="O434" s="24"/>
      <c r="P434" s="563"/>
      <c r="Q434" s="327"/>
      <c r="R434" s="538"/>
      <c r="S434" s="327"/>
      <c r="T434" s="539"/>
      <c r="U434" s="327"/>
      <c r="V434" s="540"/>
      <c r="W434" s="327"/>
      <c r="X434" s="438" t="s">
        <v>303</v>
      </c>
      <c r="Y434" s="326"/>
      <c r="Z434" s="326"/>
      <c r="AA434" s="327"/>
      <c r="AB434" s="519" t="s">
        <v>303</v>
      </c>
      <c r="AC434" s="326"/>
      <c r="AD434" s="326"/>
      <c r="AE434" s="327"/>
      <c r="AF434" s="543"/>
      <c r="AG434" s="327"/>
      <c r="AH434" s="543"/>
      <c r="AI434" s="327"/>
      <c r="AJ434" s="536"/>
      <c r="AK434" s="327"/>
      <c r="AL434" s="556" t="s">
        <v>334</v>
      </c>
      <c r="AM434" s="327"/>
      <c r="AN434" s="553" t="s">
        <v>334</v>
      </c>
      <c r="AO434" s="327"/>
      <c r="AP434" s="547"/>
      <c r="AQ434" s="327"/>
      <c r="AR434" s="548"/>
      <c r="AS434" s="327"/>
      <c r="AT434" s="549"/>
      <c r="AU434" s="327"/>
      <c r="AV434" s="553" t="s">
        <v>334</v>
      </c>
      <c r="AW434" s="327"/>
      <c r="AX434" s="521"/>
      <c r="AY434" s="326"/>
      <c r="AZ434" s="327"/>
      <c r="BA434" s="550"/>
      <c r="BB434" s="327"/>
      <c r="BC434" s="22"/>
      <c r="BD434" s="551" t="s">
        <v>334</v>
      </c>
      <c r="BE434" s="327"/>
      <c r="BF434" s="545"/>
      <c r="BG434" s="326"/>
      <c r="BH434" s="326"/>
      <c r="BI434" s="327"/>
      <c r="BJ434" s="451" t="s">
        <v>303</v>
      </c>
      <c r="BK434" s="326"/>
      <c r="BL434" s="326"/>
      <c r="BM434" s="327"/>
      <c r="BN434" s="558" t="s">
        <v>303</v>
      </c>
      <c r="BO434" s="326"/>
      <c r="BP434" s="326"/>
      <c r="BQ434" s="326"/>
      <c r="BR434" s="326"/>
      <c r="BS434" s="326"/>
      <c r="BT434" s="326"/>
      <c r="BU434" s="326"/>
      <c r="BV434" s="327"/>
    </row>
    <row r="435" spans="1:74" ht="45" customHeight="1" x14ac:dyDescent="0.25">
      <c r="A435" s="10">
        <f t="shared" si="1"/>
        <v>421</v>
      </c>
      <c r="B435" s="559" t="s">
        <v>303</v>
      </c>
      <c r="C435" s="327"/>
      <c r="D435" s="560" t="s">
        <v>307</v>
      </c>
      <c r="E435" s="327"/>
      <c r="F435" s="537" t="s">
        <v>334</v>
      </c>
      <c r="G435" s="327"/>
      <c r="H435" s="566" t="s">
        <v>334</v>
      </c>
      <c r="I435" s="327"/>
      <c r="J435" s="567"/>
      <c r="K435" s="327"/>
      <c r="L435" s="567"/>
      <c r="M435" s="327"/>
      <c r="N435" s="20"/>
      <c r="O435" s="21"/>
      <c r="P435" s="524"/>
      <c r="Q435" s="327"/>
      <c r="R435" s="516"/>
      <c r="S435" s="327"/>
      <c r="T435" s="517"/>
      <c r="U435" s="327"/>
      <c r="V435" s="518"/>
      <c r="W435" s="327"/>
      <c r="X435" s="541" t="s">
        <v>303</v>
      </c>
      <c r="Y435" s="326"/>
      <c r="Z435" s="326"/>
      <c r="AA435" s="327"/>
      <c r="AB435" s="542" t="s">
        <v>303</v>
      </c>
      <c r="AC435" s="326"/>
      <c r="AD435" s="326"/>
      <c r="AE435" s="327"/>
      <c r="AF435" s="520"/>
      <c r="AG435" s="327"/>
      <c r="AH435" s="520"/>
      <c r="AI435" s="327"/>
      <c r="AJ435" s="554"/>
      <c r="AK435" s="327"/>
      <c r="AL435" s="537" t="s">
        <v>334</v>
      </c>
      <c r="AM435" s="327"/>
      <c r="AN435" s="546" t="s">
        <v>334</v>
      </c>
      <c r="AO435" s="327"/>
      <c r="AP435" s="554"/>
      <c r="AQ435" s="327"/>
      <c r="AR435" s="555"/>
      <c r="AS435" s="327"/>
      <c r="AT435" s="549"/>
      <c r="AU435" s="327"/>
      <c r="AV435" s="546" t="s">
        <v>334</v>
      </c>
      <c r="AW435" s="327"/>
      <c r="AX435" s="521"/>
      <c r="AY435" s="326"/>
      <c r="AZ435" s="327"/>
      <c r="BA435" s="536"/>
      <c r="BB435" s="327"/>
      <c r="BC435" s="25"/>
      <c r="BD435" s="544" t="s">
        <v>334</v>
      </c>
      <c r="BE435" s="327"/>
      <c r="BF435" s="508"/>
      <c r="BG435" s="326"/>
      <c r="BH435" s="326"/>
      <c r="BI435" s="327"/>
      <c r="BJ435" s="557" t="s">
        <v>303</v>
      </c>
      <c r="BK435" s="326"/>
      <c r="BL435" s="326"/>
      <c r="BM435" s="327"/>
      <c r="BN435" s="558" t="s">
        <v>303</v>
      </c>
      <c r="BO435" s="326"/>
      <c r="BP435" s="326"/>
      <c r="BQ435" s="326"/>
      <c r="BR435" s="326"/>
      <c r="BS435" s="326"/>
      <c r="BT435" s="326"/>
      <c r="BU435" s="326"/>
      <c r="BV435" s="327"/>
    </row>
    <row r="436" spans="1:74" ht="45" customHeight="1" x14ac:dyDescent="0.25">
      <c r="A436" s="10">
        <f t="shared" si="1"/>
        <v>422</v>
      </c>
      <c r="B436" s="564" t="s">
        <v>303</v>
      </c>
      <c r="C436" s="327"/>
      <c r="D436" s="565" t="s">
        <v>307</v>
      </c>
      <c r="E436" s="327"/>
      <c r="F436" s="537" t="s">
        <v>334</v>
      </c>
      <c r="G436" s="327"/>
      <c r="H436" s="561" t="s">
        <v>334</v>
      </c>
      <c r="I436" s="327"/>
      <c r="J436" s="562"/>
      <c r="K436" s="327"/>
      <c r="L436" s="562"/>
      <c r="M436" s="327"/>
      <c r="N436" s="23"/>
      <c r="O436" s="24"/>
      <c r="P436" s="563"/>
      <c r="Q436" s="327"/>
      <c r="R436" s="538"/>
      <c r="S436" s="327"/>
      <c r="T436" s="539"/>
      <c r="U436" s="327"/>
      <c r="V436" s="540"/>
      <c r="W436" s="327"/>
      <c r="X436" s="438" t="s">
        <v>303</v>
      </c>
      <c r="Y436" s="326"/>
      <c r="Z436" s="326"/>
      <c r="AA436" s="327"/>
      <c r="AB436" s="519" t="s">
        <v>303</v>
      </c>
      <c r="AC436" s="326"/>
      <c r="AD436" s="326"/>
      <c r="AE436" s="327"/>
      <c r="AF436" s="543"/>
      <c r="AG436" s="327"/>
      <c r="AH436" s="543"/>
      <c r="AI436" s="327"/>
      <c r="AJ436" s="536"/>
      <c r="AK436" s="327"/>
      <c r="AL436" s="556" t="s">
        <v>334</v>
      </c>
      <c r="AM436" s="327"/>
      <c r="AN436" s="553" t="s">
        <v>334</v>
      </c>
      <c r="AO436" s="327"/>
      <c r="AP436" s="547"/>
      <c r="AQ436" s="327"/>
      <c r="AR436" s="548"/>
      <c r="AS436" s="327"/>
      <c r="AT436" s="549"/>
      <c r="AU436" s="327"/>
      <c r="AV436" s="553" t="s">
        <v>334</v>
      </c>
      <c r="AW436" s="327"/>
      <c r="AX436" s="521"/>
      <c r="AY436" s="326"/>
      <c r="AZ436" s="327"/>
      <c r="BA436" s="550"/>
      <c r="BB436" s="327"/>
      <c r="BC436" s="22"/>
      <c r="BD436" s="551" t="s">
        <v>334</v>
      </c>
      <c r="BE436" s="327"/>
      <c r="BF436" s="545"/>
      <c r="BG436" s="326"/>
      <c r="BH436" s="326"/>
      <c r="BI436" s="327"/>
      <c r="BJ436" s="451" t="s">
        <v>303</v>
      </c>
      <c r="BK436" s="326"/>
      <c r="BL436" s="326"/>
      <c r="BM436" s="327"/>
      <c r="BN436" s="558" t="s">
        <v>303</v>
      </c>
      <c r="BO436" s="326"/>
      <c r="BP436" s="326"/>
      <c r="BQ436" s="326"/>
      <c r="BR436" s="326"/>
      <c r="BS436" s="326"/>
      <c r="BT436" s="326"/>
      <c r="BU436" s="326"/>
      <c r="BV436" s="327"/>
    </row>
    <row r="437" spans="1:74" ht="45" customHeight="1" x14ac:dyDescent="0.25">
      <c r="A437" s="10">
        <f t="shared" si="1"/>
        <v>423</v>
      </c>
      <c r="B437" s="559" t="s">
        <v>303</v>
      </c>
      <c r="C437" s="327"/>
      <c r="D437" s="560" t="s">
        <v>307</v>
      </c>
      <c r="E437" s="327"/>
      <c r="F437" s="537" t="s">
        <v>334</v>
      </c>
      <c r="G437" s="327"/>
      <c r="H437" s="566" t="s">
        <v>334</v>
      </c>
      <c r="I437" s="327"/>
      <c r="J437" s="567"/>
      <c r="K437" s="327"/>
      <c r="L437" s="567"/>
      <c r="M437" s="327"/>
      <c r="N437" s="20"/>
      <c r="O437" s="21"/>
      <c r="P437" s="524"/>
      <c r="Q437" s="327"/>
      <c r="R437" s="516"/>
      <c r="S437" s="327"/>
      <c r="T437" s="517"/>
      <c r="U437" s="327"/>
      <c r="V437" s="518"/>
      <c r="W437" s="327"/>
      <c r="X437" s="541" t="s">
        <v>303</v>
      </c>
      <c r="Y437" s="326"/>
      <c r="Z437" s="326"/>
      <c r="AA437" s="327"/>
      <c r="AB437" s="542" t="s">
        <v>303</v>
      </c>
      <c r="AC437" s="326"/>
      <c r="AD437" s="326"/>
      <c r="AE437" s="327"/>
      <c r="AF437" s="520"/>
      <c r="AG437" s="327"/>
      <c r="AH437" s="520"/>
      <c r="AI437" s="327"/>
      <c r="AJ437" s="554"/>
      <c r="AK437" s="327"/>
      <c r="AL437" s="537" t="s">
        <v>334</v>
      </c>
      <c r="AM437" s="327"/>
      <c r="AN437" s="546" t="s">
        <v>334</v>
      </c>
      <c r="AO437" s="327"/>
      <c r="AP437" s="554"/>
      <c r="AQ437" s="327"/>
      <c r="AR437" s="555"/>
      <c r="AS437" s="327"/>
      <c r="AT437" s="549"/>
      <c r="AU437" s="327"/>
      <c r="AV437" s="546" t="s">
        <v>334</v>
      </c>
      <c r="AW437" s="327"/>
      <c r="AX437" s="521"/>
      <c r="AY437" s="326"/>
      <c r="AZ437" s="327"/>
      <c r="BA437" s="536"/>
      <c r="BB437" s="327"/>
      <c r="BC437" s="25"/>
      <c r="BD437" s="544" t="s">
        <v>334</v>
      </c>
      <c r="BE437" s="327"/>
      <c r="BF437" s="552"/>
      <c r="BG437" s="326"/>
      <c r="BH437" s="326"/>
      <c r="BI437" s="327"/>
      <c r="BJ437" s="557" t="s">
        <v>303</v>
      </c>
      <c r="BK437" s="326"/>
      <c r="BL437" s="326"/>
      <c r="BM437" s="327"/>
      <c r="BN437" s="558" t="s">
        <v>303</v>
      </c>
      <c r="BO437" s="326"/>
      <c r="BP437" s="326"/>
      <c r="BQ437" s="326"/>
      <c r="BR437" s="326"/>
      <c r="BS437" s="326"/>
      <c r="BT437" s="326"/>
      <c r="BU437" s="326"/>
      <c r="BV437" s="327"/>
    </row>
    <row r="438" spans="1:74" ht="45" customHeight="1" x14ac:dyDescent="0.25">
      <c r="A438" s="10">
        <f t="shared" si="1"/>
        <v>424</v>
      </c>
      <c r="B438" s="564" t="s">
        <v>303</v>
      </c>
      <c r="C438" s="327"/>
      <c r="D438" s="565" t="s">
        <v>307</v>
      </c>
      <c r="E438" s="327"/>
      <c r="F438" s="537" t="s">
        <v>334</v>
      </c>
      <c r="G438" s="327"/>
      <c r="H438" s="561" t="s">
        <v>334</v>
      </c>
      <c r="I438" s="327"/>
      <c r="J438" s="562"/>
      <c r="K438" s="327"/>
      <c r="L438" s="562"/>
      <c r="M438" s="327"/>
      <c r="N438" s="23"/>
      <c r="O438" s="24"/>
      <c r="P438" s="563"/>
      <c r="Q438" s="327"/>
      <c r="R438" s="538"/>
      <c r="S438" s="327"/>
      <c r="T438" s="539"/>
      <c r="U438" s="327"/>
      <c r="V438" s="540"/>
      <c r="W438" s="327"/>
      <c r="X438" s="438" t="s">
        <v>303</v>
      </c>
      <c r="Y438" s="326"/>
      <c r="Z438" s="326"/>
      <c r="AA438" s="327"/>
      <c r="AB438" s="519" t="s">
        <v>303</v>
      </c>
      <c r="AC438" s="326"/>
      <c r="AD438" s="326"/>
      <c r="AE438" s="327"/>
      <c r="AF438" s="543"/>
      <c r="AG438" s="327"/>
      <c r="AH438" s="543"/>
      <c r="AI438" s="327"/>
      <c r="AJ438" s="536"/>
      <c r="AK438" s="327"/>
      <c r="AL438" s="556" t="s">
        <v>334</v>
      </c>
      <c r="AM438" s="327"/>
      <c r="AN438" s="553" t="s">
        <v>334</v>
      </c>
      <c r="AO438" s="327"/>
      <c r="AP438" s="547"/>
      <c r="AQ438" s="327"/>
      <c r="AR438" s="548"/>
      <c r="AS438" s="327"/>
      <c r="AT438" s="549"/>
      <c r="AU438" s="327"/>
      <c r="AV438" s="553" t="s">
        <v>334</v>
      </c>
      <c r="AW438" s="327"/>
      <c r="AX438" s="521"/>
      <c r="AY438" s="326"/>
      <c r="AZ438" s="327"/>
      <c r="BA438" s="550"/>
      <c r="BB438" s="327"/>
      <c r="BC438" s="22"/>
      <c r="BD438" s="551" t="s">
        <v>334</v>
      </c>
      <c r="BE438" s="327"/>
      <c r="BF438" s="545"/>
      <c r="BG438" s="326"/>
      <c r="BH438" s="326"/>
      <c r="BI438" s="327"/>
      <c r="BJ438" s="451" t="s">
        <v>303</v>
      </c>
      <c r="BK438" s="326"/>
      <c r="BL438" s="326"/>
      <c r="BM438" s="327"/>
      <c r="BN438" s="558" t="s">
        <v>303</v>
      </c>
      <c r="BO438" s="326"/>
      <c r="BP438" s="326"/>
      <c r="BQ438" s="326"/>
      <c r="BR438" s="326"/>
      <c r="BS438" s="326"/>
      <c r="BT438" s="326"/>
      <c r="BU438" s="326"/>
      <c r="BV438" s="327"/>
    </row>
    <row r="439" spans="1:74" ht="45" customHeight="1" x14ac:dyDescent="0.25">
      <c r="A439" s="10">
        <f t="shared" si="1"/>
        <v>425</v>
      </c>
      <c r="B439" s="559" t="s">
        <v>303</v>
      </c>
      <c r="C439" s="327"/>
      <c r="D439" s="560" t="s">
        <v>307</v>
      </c>
      <c r="E439" s="327"/>
      <c r="F439" s="537" t="s">
        <v>334</v>
      </c>
      <c r="G439" s="327"/>
      <c r="H439" s="566" t="s">
        <v>334</v>
      </c>
      <c r="I439" s="327"/>
      <c r="J439" s="567"/>
      <c r="K439" s="327"/>
      <c r="L439" s="567"/>
      <c r="M439" s="327"/>
      <c r="N439" s="20"/>
      <c r="O439" s="21"/>
      <c r="P439" s="524"/>
      <c r="Q439" s="327"/>
      <c r="R439" s="516"/>
      <c r="S439" s="327"/>
      <c r="T439" s="517"/>
      <c r="U439" s="327"/>
      <c r="V439" s="518"/>
      <c r="W439" s="327"/>
      <c r="X439" s="541" t="s">
        <v>303</v>
      </c>
      <c r="Y439" s="326"/>
      <c r="Z439" s="326"/>
      <c r="AA439" s="327"/>
      <c r="AB439" s="542" t="s">
        <v>303</v>
      </c>
      <c r="AC439" s="326"/>
      <c r="AD439" s="326"/>
      <c r="AE439" s="327"/>
      <c r="AF439" s="520"/>
      <c r="AG439" s="327"/>
      <c r="AH439" s="520"/>
      <c r="AI439" s="327"/>
      <c r="AJ439" s="554"/>
      <c r="AK439" s="327"/>
      <c r="AL439" s="537" t="s">
        <v>334</v>
      </c>
      <c r="AM439" s="327"/>
      <c r="AN439" s="546" t="s">
        <v>334</v>
      </c>
      <c r="AO439" s="327"/>
      <c r="AP439" s="554"/>
      <c r="AQ439" s="327"/>
      <c r="AR439" s="555"/>
      <c r="AS439" s="327"/>
      <c r="AT439" s="549"/>
      <c r="AU439" s="327"/>
      <c r="AV439" s="546" t="s">
        <v>334</v>
      </c>
      <c r="AW439" s="327"/>
      <c r="AX439" s="521"/>
      <c r="AY439" s="326"/>
      <c r="AZ439" s="327"/>
      <c r="BA439" s="536"/>
      <c r="BB439" s="327"/>
      <c r="BC439" s="25"/>
      <c r="BD439" s="544" t="s">
        <v>334</v>
      </c>
      <c r="BE439" s="327"/>
      <c r="BF439" s="508"/>
      <c r="BG439" s="326"/>
      <c r="BH439" s="326"/>
      <c r="BI439" s="327"/>
      <c r="BJ439" s="557" t="s">
        <v>303</v>
      </c>
      <c r="BK439" s="326"/>
      <c r="BL439" s="326"/>
      <c r="BM439" s="327"/>
      <c r="BN439" s="558" t="s">
        <v>303</v>
      </c>
      <c r="BO439" s="326"/>
      <c r="BP439" s="326"/>
      <c r="BQ439" s="326"/>
      <c r="BR439" s="326"/>
      <c r="BS439" s="326"/>
      <c r="BT439" s="326"/>
      <c r="BU439" s="326"/>
      <c r="BV439" s="327"/>
    </row>
    <row r="440" spans="1:74" ht="45" customHeight="1" x14ac:dyDescent="0.25">
      <c r="A440" s="10">
        <f t="shared" si="1"/>
        <v>426</v>
      </c>
      <c r="B440" s="564" t="s">
        <v>303</v>
      </c>
      <c r="C440" s="327"/>
      <c r="D440" s="565" t="s">
        <v>307</v>
      </c>
      <c r="E440" s="327"/>
      <c r="F440" s="537" t="s">
        <v>334</v>
      </c>
      <c r="G440" s="327"/>
      <c r="H440" s="561" t="s">
        <v>334</v>
      </c>
      <c r="I440" s="327"/>
      <c r="J440" s="562"/>
      <c r="K440" s="327"/>
      <c r="L440" s="562"/>
      <c r="M440" s="327"/>
      <c r="N440" s="23"/>
      <c r="O440" s="24"/>
      <c r="P440" s="563"/>
      <c r="Q440" s="327"/>
      <c r="R440" s="538"/>
      <c r="S440" s="327"/>
      <c r="T440" s="539"/>
      <c r="U440" s="327"/>
      <c r="V440" s="540"/>
      <c r="W440" s="327"/>
      <c r="X440" s="438" t="s">
        <v>303</v>
      </c>
      <c r="Y440" s="326"/>
      <c r="Z440" s="326"/>
      <c r="AA440" s="327"/>
      <c r="AB440" s="519" t="s">
        <v>303</v>
      </c>
      <c r="AC440" s="326"/>
      <c r="AD440" s="326"/>
      <c r="AE440" s="327"/>
      <c r="AF440" s="543"/>
      <c r="AG440" s="327"/>
      <c r="AH440" s="543"/>
      <c r="AI440" s="327"/>
      <c r="AJ440" s="536"/>
      <c r="AK440" s="327"/>
      <c r="AL440" s="556" t="s">
        <v>334</v>
      </c>
      <c r="AM440" s="327"/>
      <c r="AN440" s="553" t="s">
        <v>334</v>
      </c>
      <c r="AO440" s="327"/>
      <c r="AP440" s="547"/>
      <c r="AQ440" s="327"/>
      <c r="AR440" s="548"/>
      <c r="AS440" s="327"/>
      <c r="AT440" s="549"/>
      <c r="AU440" s="327"/>
      <c r="AV440" s="553" t="s">
        <v>334</v>
      </c>
      <c r="AW440" s="327"/>
      <c r="AX440" s="521"/>
      <c r="AY440" s="326"/>
      <c r="AZ440" s="327"/>
      <c r="BA440" s="550"/>
      <c r="BB440" s="327"/>
      <c r="BC440" s="22"/>
      <c r="BD440" s="551" t="s">
        <v>334</v>
      </c>
      <c r="BE440" s="327"/>
      <c r="BF440" s="545"/>
      <c r="BG440" s="326"/>
      <c r="BH440" s="326"/>
      <c r="BI440" s="327"/>
      <c r="BJ440" s="451" t="s">
        <v>303</v>
      </c>
      <c r="BK440" s="326"/>
      <c r="BL440" s="326"/>
      <c r="BM440" s="327"/>
      <c r="BN440" s="558" t="s">
        <v>303</v>
      </c>
      <c r="BO440" s="326"/>
      <c r="BP440" s="326"/>
      <c r="BQ440" s="326"/>
      <c r="BR440" s="326"/>
      <c r="BS440" s="326"/>
      <c r="BT440" s="326"/>
      <c r="BU440" s="326"/>
      <c r="BV440" s="327"/>
    </row>
    <row r="441" spans="1:74" ht="45" customHeight="1" x14ac:dyDescent="0.25">
      <c r="A441" s="10">
        <f t="shared" si="1"/>
        <v>427</v>
      </c>
      <c r="B441" s="559" t="s">
        <v>303</v>
      </c>
      <c r="C441" s="327"/>
      <c r="D441" s="560" t="s">
        <v>307</v>
      </c>
      <c r="E441" s="327"/>
      <c r="F441" s="537" t="s">
        <v>334</v>
      </c>
      <c r="G441" s="327"/>
      <c r="H441" s="566" t="s">
        <v>334</v>
      </c>
      <c r="I441" s="327"/>
      <c r="J441" s="567"/>
      <c r="K441" s="327"/>
      <c r="L441" s="567"/>
      <c r="M441" s="327"/>
      <c r="N441" s="20"/>
      <c r="O441" s="21"/>
      <c r="P441" s="524"/>
      <c r="Q441" s="327"/>
      <c r="R441" s="516"/>
      <c r="S441" s="327"/>
      <c r="T441" s="517"/>
      <c r="U441" s="327"/>
      <c r="V441" s="518"/>
      <c r="W441" s="327"/>
      <c r="X441" s="541" t="s">
        <v>303</v>
      </c>
      <c r="Y441" s="326"/>
      <c r="Z441" s="326"/>
      <c r="AA441" s="327"/>
      <c r="AB441" s="542" t="s">
        <v>303</v>
      </c>
      <c r="AC441" s="326"/>
      <c r="AD441" s="326"/>
      <c r="AE441" s="327"/>
      <c r="AF441" s="520"/>
      <c r="AG441" s="327"/>
      <c r="AH441" s="520"/>
      <c r="AI441" s="327"/>
      <c r="AJ441" s="554"/>
      <c r="AK441" s="327"/>
      <c r="AL441" s="537" t="s">
        <v>334</v>
      </c>
      <c r="AM441" s="327"/>
      <c r="AN441" s="546" t="s">
        <v>334</v>
      </c>
      <c r="AO441" s="327"/>
      <c r="AP441" s="554"/>
      <c r="AQ441" s="327"/>
      <c r="AR441" s="555"/>
      <c r="AS441" s="327"/>
      <c r="AT441" s="549"/>
      <c r="AU441" s="327"/>
      <c r="AV441" s="546" t="s">
        <v>334</v>
      </c>
      <c r="AW441" s="327"/>
      <c r="AX441" s="521"/>
      <c r="AY441" s="326"/>
      <c r="AZ441" s="327"/>
      <c r="BA441" s="536"/>
      <c r="BB441" s="327"/>
      <c r="BC441" s="25"/>
      <c r="BD441" s="544" t="s">
        <v>334</v>
      </c>
      <c r="BE441" s="327"/>
      <c r="BF441" s="552"/>
      <c r="BG441" s="326"/>
      <c r="BH441" s="326"/>
      <c r="BI441" s="327"/>
      <c r="BJ441" s="557" t="s">
        <v>303</v>
      </c>
      <c r="BK441" s="326"/>
      <c r="BL441" s="326"/>
      <c r="BM441" s="327"/>
      <c r="BN441" s="558" t="s">
        <v>303</v>
      </c>
      <c r="BO441" s="326"/>
      <c r="BP441" s="326"/>
      <c r="BQ441" s="326"/>
      <c r="BR441" s="326"/>
      <c r="BS441" s="326"/>
      <c r="BT441" s="326"/>
      <c r="BU441" s="326"/>
      <c r="BV441" s="327"/>
    </row>
    <row r="442" spans="1:74" ht="45" customHeight="1" x14ac:dyDescent="0.25">
      <c r="A442" s="10">
        <f t="shared" si="1"/>
        <v>428</v>
      </c>
      <c r="B442" s="564" t="s">
        <v>303</v>
      </c>
      <c r="C442" s="327"/>
      <c r="D442" s="565" t="s">
        <v>307</v>
      </c>
      <c r="E442" s="327"/>
      <c r="F442" s="537" t="s">
        <v>334</v>
      </c>
      <c r="G442" s="327"/>
      <c r="H442" s="561" t="s">
        <v>334</v>
      </c>
      <c r="I442" s="327"/>
      <c r="J442" s="562"/>
      <c r="K442" s="327"/>
      <c r="L442" s="562"/>
      <c r="M442" s="327"/>
      <c r="N442" s="23"/>
      <c r="O442" s="24"/>
      <c r="P442" s="563"/>
      <c r="Q442" s="327"/>
      <c r="R442" s="538"/>
      <c r="S442" s="327"/>
      <c r="T442" s="539"/>
      <c r="U442" s="327"/>
      <c r="V442" s="540"/>
      <c r="W442" s="327"/>
      <c r="X442" s="438" t="s">
        <v>303</v>
      </c>
      <c r="Y442" s="326"/>
      <c r="Z442" s="326"/>
      <c r="AA442" s="327"/>
      <c r="AB442" s="519" t="s">
        <v>303</v>
      </c>
      <c r="AC442" s="326"/>
      <c r="AD442" s="326"/>
      <c r="AE442" s="327"/>
      <c r="AF442" s="543"/>
      <c r="AG442" s="327"/>
      <c r="AH442" s="543"/>
      <c r="AI442" s="327"/>
      <c r="AJ442" s="536"/>
      <c r="AK442" s="327"/>
      <c r="AL442" s="556" t="s">
        <v>334</v>
      </c>
      <c r="AM442" s="327"/>
      <c r="AN442" s="553" t="s">
        <v>334</v>
      </c>
      <c r="AO442" s="327"/>
      <c r="AP442" s="547"/>
      <c r="AQ442" s="327"/>
      <c r="AR442" s="548"/>
      <c r="AS442" s="327"/>
      <c r="AT442" s="549"/>
      <c r="AU442" s="327"/>
      <c r="AV442" s="553" t="s">
        <v>334</v>
      </c>
      <c r="AW442" s="327"/>
      <c r="AX442" s="521"/>
      <c r="AY442" s="326"/>
      <c r="AZ442" s="327"/>
      <c r="BA442" s="550"/>
      <c r="BB442" s="327"/>
      <c r="BC442" s="22"/>
      <c r="BD442" s="551" t="s">
        <v>334</v>
      </c>
      <c r="BE442" s="327"/>
      <c r="BF442" s="545"/>
      <c r="BG442" s="326"/>
      <c r="BH442" s="326"/>
      <c r="BI442" s="327"/>
      <c r="BJ442" s="451" t="s">
        <v>303</v>
      </c>
      <c r="BK442" s="326"/>
      <c r="BL442" s="326"/>
      <c r="BM442" s="327"/>
      <c r="BN442" s="558" t="s">
        <v>303</v>
      </c>
      <c r="BO442" s="326"/>
      <c r="BP442" s="326"/>
      <c r="BQ442" s="326"/>
      <c r="BR442" s="326"/>
      <c r="BS442" s="326"/>
      <c r="BT442" s="326"/>
      <c r="BU442" s="326"/>
      <c r="BV442" s="327"/>
    </row>
    <row r="443" spans="1:74" ht="45" customHeight="1" x14ac:dyDescent="0.25">
      <c r="A443" s="10">
        <f t="shared" si="1"/>
        <v>429</v>
      </c>
      <c r="B443" s="559" t="s">
        <v>303</v>
      </c>
      <c r="C443" s="327"/>
      <c r="D443" s="560" t="s">
        <v>307</v>
      </c>
      <c r="E443" s="327"/>
      <c r="F443" s="537" t="s">
        <v>334</v>
      </c>
      <c r="G443" s="327"/>
      <c r="H443" s="566" t="s">
        <v>334</v>
      </c>
      <c r="I443" s="327"/>
      <c r="J443" s="567"/>
      <c r="K443" s="327"/>
      <c r="L443" s="567"/>
      <c r="M443" s="327"/>
      <c r="N443" s="20"/>
      <c r="O443" s="21"/>
      <c r="P443" s="524"/>
      <c r="Q443" s="327"/>
      <c r="R443" s="516"/>
      <c r="S443" s="327"/>
      <c r="T443" s="517"/>
      <c r="U443" s="327"/>
      <c r="V443" s="518"/>
      <c r="W443" s="327"/>
      <c r="X443" s="541" t="s">
        <v>303</v>
      </c>
      <c r="Y443" s="326"/>
      <c r="Z443" s="326"/>
      <c r="AA443" s="327"/>
      <c r="AB443" s="542" t="s">
        <v>303</v>
      </c>
      <c r="AC443" s="326"/>
      <c r="AD443" s="326"/>
      <c r="AE443" s="327"/>
      <c r="AF443" s="520"/>
      <c r="AG443" s="327"/>
      <c r="AH443" s="520"/>
      <c r="AI443" s="327"/>
      <c r="AJ443" s="554"/>
      <c r="AK443" s="327"/>
      <c r="AL443" s="537" t="s">
        <v>334</v>
      </c>
      <c r="AM443" s="327"/>
      <c r="AN443" s="546" t="s">
        <v>334</v>
      </c>
      <c r="AO443" s="327"/>
      <c r="AP443" s="554"/>
      <c r="AQ443" s="327"/>
      <c r="AR443" s="555"/>
      <c r="AS443" s="327"/>
      <c r="AT443" s="549"/>
      <c r="AU443" s="327"/>
      <c r="AV443" s="546" t="s">
        <v>334</v>
      </c>
      <c r="AW443" s="327"/>
      <c r="AX443" s="521"/>
      <c r="AY443" s="326"/>
      <c r="AZ443" s="327"/>
      <c r="BA443" s="536"/>
      <c r="BB443" s="327"/>
      <c r="BC443" s="25"/>
      <c r="BD443" s="544" t="s">
        <v>334</v>
      </c>
      <c r="BE443" s="327"/>
      <c r="BF443" s="508"/>
      <c r="BG443" s="326"/>
      <c r="BH443" s="326"/>
      <c r="BI443" s="327"/>
      <c r="BJ443" s="557" t="s">
        <v>303</v>
      </c>
      <c r="BK443" s="326"/>
      <c r="BL443" s="326"/>
      <c r="BM443" s="327"/>
      <c r="BN443" s="558" t="s">
        <v>303</v>
      </c>
      <c r="BO443" s="326"/>
      <c r="BP443" s="326"/>
      <c r="BQ443" s="326"/>
      <c r="BR443" s="326"/>
      <c r="BS443" s="326"/>
      <c r="BT443" s="326"/>
      <c r="BU443" s="326"/>
      <c r="BV443" s="327"/>
    </row>
    <row r="444" spans="1:74" ht="45" customHeight="1" x14ac:dyDescent="0.25">
      <c r="A444" s="10">
        <f t="shared" si="1"/>
        <v>430</v>
      </c>
      <c r="B444" s="564" t="s">
        <v>303</v>
      </c>
      <c r="C444" s="327"/>
      <c r="D444" s="565" t="s">
        <v>307</v>
      </c>
      <c r="E444" s="327"/>
      <c r="F444" s="537" t="s">
        <v>334</v>
      </c>
      <c r="G444" s="327"/>
      <c r="H444" s="561" t="s">
        <v>334</v>
      </c>
      <c r="I444" s="327"/>
      <c r="J444" s="562"/>
      <c r="K444" s="327"/>
      <c r="L444" s="562"/>
      <c r="M444" s="327"/>
      <c r="N444" s="23"/>
      <c r="O444" s="24"/>
      <c r="P444" s="563"/>
      <c r="Q444" s="327"/>
      <c r="R444" s="538"/>
      <c r="S444" s="327"/>
      <c r="T444" s="539"/>
      <c r="U444" s="327"/>
      <c r="V444" s="540"/>
      <c r="W444" s="327"/>
      <c r="X444" s="438" t="s">
        <v>303</v>
      </c>
      <c r="Y444" s="326"/>
      <c r="Z444" s="326"/>
      <c r="AA444" s="327"/>
      <c r="AB444" s="519" t="s">
        <v>303</v>
      </c>
      <c r="AC444" s="326"/>
      <c r="AD444" s="326"/>
      <c r="AE444" s="327"/>
      <c r="AF444" s="543"/>
      <c r="AG444" s="327"/>
      <c r="AH444" s="543"/>
      <c r="AI444" s="327"/>
      <c r="AJ444" s="536"/>
      <c r="AK444" s="327"/>
      <c r="AL444" s="556" t="s">
        <v>334</v>
      </c>
      <c r="AM444" s="327"/>
      <c r="AN444" s="553" t="s">
        <v>334</v>
      </c>
      <c r="AO444" s="327"/>
      <c r="AP444" s="547"/>
      <c r="AQ444" s="327"/>
      <c r="AR444" s="548"/>
      <c r="AS444" s="327"/>
      <c r="AT444" s="549"/>
      <c r="AU444" s="327"/>
      <c r="AV444" s="553" t="s">
        <v>334</v>
      </c>
      <c r="AW444" s="327"/>
      <c r="AX444" s="521"/>
      <c r="AY444" s="326"/>
      <c r="AZ444" s="327"/>
      <c r="BA444" s="550"/>
      <c r="BB444" s="327"/>
      <c r="BC444" s="22"/>
      <c r="BD444" s="551" t="s">
        <v>334</v>
      </c>
      <c r="BE444" s="327"/>
      <c r="BF444" s="545"/>
      <c r="BG444" s="326"/>
      <c r="BH444" s="326"/>
      <c r="BI444" s="327"/>
      <c r="BJ444" s="451" t="s">
        <v>303</v>
      </c>
      <c r="BK444" s="326"/>
      <c r="BL444" s="326"/>
      <c r="BM444" s="327"/>
      <c r="BN444" s="558" t="s">
        <v>303</v>
      </c>
      <c r="BO444" s="326"/>
      <c r="BP444" s="326"/>
      <c r="BQ444" s="326"/>
      <c r="BR444" s="326"/>
      <c r="BS444" s="326"/>
      <c r="BT444" s="326"/>
      <c r="BU444" s="326"/>
      <c r="BV444" s="327"/>
    </row>
    <row r="445" spans="1:74" ht="45" customHeight="1" x14ac:dyDescent="0.25">
      <c r="A445" s="10">
        <f t="shared" si="1"/>
        <v>431</v>
      </c>
      <c r="B445" s="559" t="s">
        <v>303</v>
      </c>
      <c r="C445" s="327"/>
      <c r="D445" s="560" t="s">
        <v>307</v>
      </c>
      <c r="E445" s="327"/>
      <c r="F445" s="537" t="s">
        <v>334</v>
      </c>
      <c r="G445" s="327"/>
      <c r="H445" s="566" t="s">
        <v>334</v>
      </c>
      <c r="I445" s="327"/>
      <c r="J445" s="567"/>
      <c r="K445" s="327"/>
      <c r="L445" s="567"/>
      <c r="M445" s="327"/>
      <c r="N445" s="20"/>
      <c r="O445" s="24"/>
      <c r="P445" s="524"/>
      <c r="Q445" s="327"/>
      <c r="R445" s="516"/>
      <c r="S445" s="327"/>
      <c r="T445" s="517"/>
      <c r="U445" s="327"/>
      <c r="V445" s="518"/>
      <c r="W445" s="327"/>
      <c r="X445" s="541" t="s">
        <v>303</v>
      </c>
      <c r="Y445" s="326"/>
      <c r="Z445" s="326"/>
      <c r="AA445" s="327"/>
      <c r="AB445" s="542" t="s">
        <v>303</v>
      </c>
      <c r="AC445" s="326"/>
      <c r="AD445" s="326"/>
      <c r="AE445" s="327"/>
      <c r="AF445" s="520"/>
      <c r="AG445" s="327"/>
      <c r="AH445" s="520"/>
      <c r="AI445" s="327"/>
      <c r="AJ445" s="554"/>
      <c r="AK445" s="327"/>
      <c r="AL445" s="537" t="s">
        <v>334</v>
      </c>
      <c r="AM445" s="327"/>
      <c r="AN445" s="546" t="s">
        <v>334</v>
      </c>
      <c r="AO445" s="327"/>
      <c r="AP445" s="554"/>
      <c r="AQ445" s="327"/>
      <c r="AR445" s="555"/>
      <c r="AS445" s="327"/>
      <c r="AT445" s="549"/>
      <c r="AU445" s="327"/>
      <c r="AV445" s="546" t="s">
        <v>334</v>
      </c>
      <c r="AW445" s="327"/>
      <c r="AX445" s="521"/>
      <c r="AY445" s="326"/>
      <c r="AZ445" s="327"/>
      <c r="BA445" s="536"/>
      <c r="BB445" s="327"/>
      <c r="BC445" s="25"/>
      <c r="BD445" s="544" t="s">
        <v>334</v>
      </c>
      <c r="BE445" s="327"/>
      <c r="BF445" s="508"/>
      <c r="BG445" s="326"/>
      <c r="BH445" s="326"/>
      <c r="BI445" s="327"/>
      <c r="BJ445" s="557" t="s">
        <v>303</v>
      </c>
      <c r="BK445" s="326"/>
      <c r="BL445" s="326"/>
      <c r="BM445" s="327"/>
      <c r="BN445" s="558" t="s">
        <v>303</v>
      </c>
      <c r="BO445" s="326"/>
      <c r="BP445" s="326"/>
      <c r="BQ445" s="326"/>
      <c r="BR445" s="326"/>
      <c r="BS445" s="326"/>
      <c r="BT445" s="326"/>
      <c r="BU445" s="326"/>
      <c r="BV445" s="327"/>
    </row>
    <row r="446" spans="1:74" ht="45" customHeight="1" x14ac:dyDescent="0.25">
      <c r="A446" s="10">
        <f t="shared" si="1"/>
        <v>432</v>
      </c>
      <c r="B446" s="564" t="s">
        <v>303</v>
      </c>
      <c r="C446" s="327"/>
      <c r="D446" s="565" t="s">
        <v>307</v>
      </c>
      <c r="E446" s="327"/>
      <c r="F446" s="537" t="s">
        <v>334</v>
      </c>
      <c r="G446" s="327"/>
      <c r="H446" s="561" t="s">
        <v>334</v>
      </c>
      <c r="I446" s="327"/>
      <c r="J446" s="562"/>
      <c r="K446" s="327"/>
      <c r="L446" s="562"/>
      <c r="M446" s="327"/>
      <c r="N446" s="23"/>
      <c r="O446" s="21"/>
      <c r="P446" s="563"/>
      <c r="Q446" s="327"/>
      <c r="R446" s="538"/>
      <c r="S446" s="327"/>
      <c r="T446" s="539"/>
      <c r="U446" s="327"/>
      <c r="V446" s="540"/>
      <c r="W446" s="327"/>
      <c r="X446" s="438" t="s">
        <v>303</v>
      </c>
      <c r="Y446" s="326"/>
      <c r="Z446" s="326"/>
      <c r="AA446" s="327"/>
      <c r="AB446" s="519" t="s">
        <v>303</v>
      </c>
      <c r="AC446" s="326"/>
      <c r="AD446" s="326"/>
      <c r="AE446" s="327"/>
      <c r="AF446" s="543"/>
      <c r="AG446" s="327"/>
      <c r="AH446" s="543"/>
      <c r="AI446" s="327"/>
      <c r="AJ446" s="536"/>
      <c r="AK446" s="327"/>
      <c r="AL446" s="556" t="s">
        <v>334</v>
      </c>
      <c r="AM446" s="327"/>
      <c r="AN446" s="553" t="s">
        <v>334</v>
      </c>
      <c r="AO446" s="327"/>
      <c r="AP446" s="547"/>
      <c r="AQ446" s="327"/>
      <c r="AR446" s="548"/>
      <c r="AS446" s="327"/>
      <c r="AT446" s="549"/>
      <c r="AU446" s="327"/>
      <c r="AV446" s="553" t="s">
        <v>334</v>
      </c>
      <c r="AW446" s="327"/>
      <c r="AX446" s="521"/>
      <c r="AY446" s="326"/>
      <c r="AZ446" s="327"/>
      <c r="BA446" s="550"/>
      <c r="BB446" s="327"/>
      <c r="BC446" s="22"/>
      <c r="BD446" s="551" t="s">
        <v>334</v>
      </c>
      <c r="BE446" s="327"/>
      <c r="BF446" s="545"/>
      <c r="BG446" s="326"/>
      <c r="BH446" s="326"/>
      <c r="BI446" s="327"/>
      <c r="BJ446" s="451" t="s">
        <v>303</v>
      </c>
      <c r="BK446" s="326"/>
      <c r="BL446" s="326"/>
      <c r="BM446" s="327"/>
      <c r="BN446" s="558" t="s">
        <v>303</v>
      </c>
      <c r="BO446" s="326"/>
      <c r="BP446" s="326"/>
      <c r="BQ446" s="326"/>
      <c r="BR446" s="326"/>
      <c r="BS446" s="326"/>
      <c r="BT446" s="326"/>
      <c r="BU446" s="326"/>
      <c r="BV446" s="327"/>
    </row>
    <row r="447" spans="1:74" ht="45" customHeight="1" x14ac:dyDescent="0.25">
      <c r="A447" s="10">
        <f t="shared" si="1"/>
        <v>433</v>
      </c>
      <c r="B447" s="559" t="s">
        <v>303</v>
      </c>
      <c r="C447" s="327"/>
      <c r="D447" s="560" t="s">
        <v>307</v>
      </c>
      <c r="E447" s="327"/>
      <c r="F447" s="537" t="s">
        <v>334</v>
      </c>
      <c r="G447" s="327"/>
      <c r="H447" s="566" t="s">
        <v>334</v>
      </c>
      <c r="I447" s="327"/>
      <c r="J447" s="567"/>
      <c r="K447" s="327"/>
      <c r="L447" s="567"/>
      <c r="M447" s="327"/>
      <c r="N447" s="20"/>
      <c r="O447" s="24"/>
      <c r="P447" s="524"/>
      <c r="Q447" s="327"/>
      <c r="R447" s="516"/>
      <c r="S447" s="327"/>
      <c r="T447" s="517"/>
      <c r="U447" s="327"/>
      <c r="V447" s="518"/>
      <c r="W447" s="327"/>
      <c r="X447" s="541" t="s">
        <v>303</v>
      </c>
      <c r="Y447" s="326"/>
      <c r="Z447" s="326"/>
      <c r="AA447" s="327"/>
      <c r="AB447" s="542" t="s">
        <v>303</v>
      </c>
      <c r="AC447" s="326"/>
      <c r="AD447" s="326"/>
      <c r="AE447" s="327"/>
      <c r="AF447" s="520"/>
      <c r="AG447" s="327"/>
      <c r="AH447" s="520"/>
      <c r="AI447" s="327"/>
      <c r="AJ447" s="554"/>
      <c r="AK447" s="327"/>
      <c r="AL447" s="537" t="s">
        <v>334</v>
      </c>
      <c r="AM447" s="327"/>
      <c r="AN447" s="546" t="s">
        <v>334</v>
      </c>
      <c r="AO447" s="327"/>
      <c r="AP447" s="554"/>
      <c r="AQ447" s="327"/>
      <c r="AR447" s="555"/>
      <c r="AS447" s="327"/>
      <c r="AT447" s="549"/>
      <c r="AU447" s="327"/>
      <c r="AV447" s="546" t="s">
        <v>334</v>
      </c>
      <c r="AW447" s="327"/>
      <c r="AX447" s="521"/>
      <c r="AY447" s="326"/>
      <c r="AZ447" s="327"/>
      <c r="BA447" s="536"/>
      <c r="BB447" s="327"/>
      <c r="BC447" s="25"/>
      <c r="BD447" s="544" t="s">
        <v>334</v>
      </c>
      <c r="BE447" s="327"/>
      <c r="BF447" s="552"/>
      <c r="BG447" s="326"/>
      <c r="BH447" s="326"/>
      <c r="BI447" s="327"/>
      <c r="BJ447" s="557" t="s">
        <v>303</v>
      </c>
      <c r="BK447" s="326"/>
      <c r="BL447" s="326"/>
      <c r="BM447" s="327"/>
      <c r="BN447" s="558" t="s">
        <v>303</v>
      </c>
      <c r="BO447" s="326"/>
      <c r="BP447" s="326"/>
      <c r="BQ447" s="326"/>
      <c r="BR447" s="326"/>
      <c r="BS447" s="326"/>
      <c r="BT447" s="326"/>
      <c r="BU447" s="326"/>
      <c r="BV447" s="327"/>
    </row>
    <row r="448" spans="1:74" ht="45" customHeight="1" x14ac:dyDescent="0.25">
      <c r="A448" s="10">
        <f t="shared" si="1"/>
        <v>434</v>
      </c>
      <c r="B448" s="564" t="s">
        <v>303</v>
      </c>
      <c r="C448" s="327"/>
      <c r="D448" s="565" t="s">
        <v>307</v>
      </c>
      <c r="E448" s="327"/>
      <c r="F448" s="537" t="s">
        <v>334</v>
      </c>
      <c r="G448" s="327"/>
      <c r="H448" s="561" t="s">
        <v>334</v>
      </c>
      <c r="I448" s="327"/>
      <c r="J448" s="562"/>
      <c r="K448" s="327"/>
      <c r="L448" s="562"/>
      <c r="M448" s="327"/>
      <c r="N448" s="23"/>
      <c r="O448" s="21"/>
      <c r="P448" s="563"/>
      <c r="Q448" s="327"/>
      <c r="R448" s="538"/>
      <c r="S448" s="327"/>
      <c r="T448" s="539"/>
      <c r="U448" s="327"/>
      <c r="V448" s="540"/>
      <c r="W448" s="327"/>
      <c r="X448" s="438" t="s">
        <v>303</v>
      </c>
      <c r="Y448" s="326"/>
      <c r="Z448" s="326"/>
      <c r="AA448" s="327"/>
      <c r="AB448" s="519" t="s">
        <v>303</v>
      </c>
      <c r="AC448" s="326"/>
      <c r="AD448" s="326"/>
      <c r="AE448" s="327"/>
      <c r="AF448" s="543"/>
      <c r="AG448" s="327"/>
      <c r="AH448" s="543"/>
      <c r="AI448" s="327"/>
      <c r="AJ448" s="536"/>
      <c r="AK448" s="327"/>
      <c r="AL448" s="556" t="s">
        <v>334</v>
      </c>
      <c r="AM448" s="327"/>
      <c r="AN448" s="553" t="s">
        <v>334</v>
      </c>
      <c r="AO448" s="327"/>
      <c r="AP448" s="547"/>
      <c r="AQ448" s="327"/>
      <c r="AR448" s="548"/>
      <c r="AS448" s="327"/>
      <c r="AT448" s="549"/>
      <c r="AU448" s="327"/>
      <c r="AV448" s="553" t="s">
        <v>334</v>
      </c>
      <c r="AW448" s="327"/>
      <c r="AX448" s="521"/>
      <c r="AY448" s="326"/>
      <c r="AZ448" s="327"/>
      <c r="BA448" s="550"/>
      <c r="BB448" s="327"/>
      <c r="BC448" s="22"/>
      <c r="BD448" s="551" t="s">
        <v>334</v>
      </c>
      <c r="BE448" s="327"/>
      <c r="BF448" s="545"/>
      <c r="BG448" s="326"/>
      <c r="BH448" s="326"/>
      <c r="BI448" s="327"/>
      <c r="BJ448" s="451" t="s">
        <v>303</v>
      </c>
      <c r="BK448" s="326"/>
      <c r="BL448" s="326"/>
      <c r="BM448" s="327"/>
      <c r="BN448" s="558" t="s">
        <v>303</v>
      </c>
      <c r="BO448" s="326"/>
      <c r="BP448" s="326"/>
      <c r="BQ448" s="326"/>
      <c r="BR448" s="326"/>
      <c r="BS448" s="326"/>
      <c r="BT448" s="326"/>
      <c r="BU448" s="326"/>
      <c r="BV448" s="327"/>
    </row>
    <row r="449" spans="1:74" ht="45" customHeight="1" x14ac:dyDescent="0.25">
      <c r="A449" s="10">
        <f t="shared" si="1"/>
        <v>435</v>
      </c>
      <c r="B449" s="559" t="s">
        <v>303</v>
      </c>
      <c r="C449" s="327"/>
      <c r="D449" s="560" t="s">
        <v>307</v>
      </c>
      <c r="E449" s="327"/>
      <c r="F449" s="537" t="s">
        <v>334</v>
      </c>
      <c r="G449" s="327"/>
      <c r="H449" s="566" t="s">
        <v>334</v>
      </c>
      <c r="I449" s="327"/>
      <c r="J449" s="567"/>
      <c r="K449" s="327"/>
      <c r="L449" s="567"/>
      <c r="M449" s="327"/>
      <c r="N449" s="20"/>
      <c r="O449" s="24"/>
      <c r="P449" s="524"/>
      <c r="Q449" s="327"/>
      <c r="R449" s="516"/>
      <c r="S449" s="327"/>
      <c r="T449" s="517"/>
      <c r="U449" s="327"/>
      <c r="V449" s="518"/>
      <c r="W449" s="327"/>
      <c r="X449" s="541" t="s">
        <v>303</v>
      </c>
      <c r="Y449" s="326"/>
      <c r="Z449" s="326"/>
      <c r="AA449" s="327"/>
      <c r="AB449" s="542" t="s">
        <v>303</v>
      </c>
      <c r="AC449" s="326"/>
      <c r="AD449" s="326"/>
      <c r="AE449" s="327"/>
      <c r="AF449" s="520"/>
      <c r="AG449" s="327"/>
      <c r="AH449" s="520"/>
      <c r="AI449" s="327"/>
      <c r="AJ449" s="554"/>
      <c r="AK449" s="327"/>
      <c r="AL449" s="537" t="s">
        <v>334</v>
      </c>
      <c r="AM449" s="327"/>
      <c r="AN449" s="546" t="s">
        <v>334</v>
      </c>
      <c r="AO449" s="327"/>
      <c r="AP449" s="554"/>
      <c r="AQ449" s="327"/>
      <c r="AR449" s="555"/>
      <c r="AS449" s="327"/>
      <c r="AT449" s="549"/>
      <c r="AU449" s="327"/>
      <c r="AV449" s="546" t="s">
        <v>334</v>
      </c>
      <c r="AW449" s="327"/>
      <c r="AX449" s="521"/>
      <c r="AY449" s="326"/>
      <c r="AZ449" s="327"/>
      <c r="BA449" s="536"/>
      <c r="BB449" s="327"/>
      <c r="BC449" s="25"/>
      <c r="BD449" s="544" t="s">
        <v>334</v>
      </c>
      <c r="BE449" s="327"/>
      <c r="BF449" s="508"/>
      <c r="BG449" s="326"/>
      <c r="BH449" s="326"/>
      <c r="BI449" s="327"/>
      <c r="BJ449" s="557" t="s">
        <v>303</v>
      </c>
      <c r="BK449" s="326"/>
      <c r="BL449" s="326"/>
      <c r="BM449" s="327"/>
      <c r="BN449" s="558" t="s">
        <v>303</v>
      </c>
      <c r="BO449" s="326"/>
      <c r="BP449" s="326"/>
      <c r="BQ449" s="326"/>
      <c r="BR449" s="326"/>
      <c r="BS449" s="326"/>
      <c r="BT449" s="326"/>
      <c r="BU449" s="326"/>
      <c r="BV449" s="327"/>
    </row>
    <row r="450" spans="1:74" ht="45" customHeight="1" x14ac:dyDescent="0.25">
      <c r="A450" s="10">
        <f t="shared" si="1"/>
        <v>436</v>
      </c>
      <c r="B450" s="564" t="s">
        <v>303</v>
      </c>
      <c r="C450" s="327"/>
      <c r="D450" s="565" t="s">
        <v>307</v>
      </c>
      <c r="E450" s="327"/>
      <c r="F450" s="537" t="s">
        <v>334</v>
      </c>
      <c r="G450" s="327"/>
      <c r="H450" s="561" t="s">
        <v>334</v>
      </c>
      <c r="I450" s="327"/>
      <c r="J450" s="562"/>
      <c r="K450" s="327"/>
      <c r="L450" s="562"/>
      <c r="M450" s="327"/>
      <c r="N450" s="23"/>
      <c r="O450" s="21"/>
      <c r="P450" s="563"/>
      <c r="Q450" s="327"/>
      <c r="R450" s="538"/>
      <c r="S450" s="327"/>
      <c r="T450" s="539"/>
      <c r="U450" s="327"/>
      <c r="V450" s="540"/>
      <c r="W450" s="327"/>
      <c r="X450" s="438" t="s">
        <v>303</v>
      </c>
      <c r="Y450" s="326"/>
      <c r="Z450" s="326"/>
      <c r="AA450" s="327"/>
      <c r="AB450" s="519" t="s">
        <v>303</v>
      </c>
      <c r="AC450" s="326"/>
      <c r="AD450" s="326"/>
      <c r="AE450" s="327"/>
      <c r="AF450" s="543"/>
      <c r="AG450" s="327"/>
      <c r="AH450" s="543"/>
      <c r="AI450" s="327"/>
      <c r="AJ450" s="536"/>
      <c r="AK450" s="327"/>
      <c r="AL450" s="556" t="s">
        <v>334</v>
      </c>
      <c r="AM450" s="327"/>
      <c r="AN450" s="553" t="s">
        <v>334</v>
      </c>
      <c r="AO450" s="327"/>
      <c r="AP450" s="547"/>
      <c r="AQ450" s="327"/>
      <c r="AR450" s="548"/>
      <c r="AS450" s="327"/>
      <c r="AT450" s="549"/>
      <c r="AU450" s="327"/>
      <c r="AV450" s="553" t="s">
        <v>334</v>
      </c>
      <c r="AW450" s="327"/>
      <c r="AX450" s="521"/>
      <c r="AY450" s="326"/>
      <c r="AZ450" s="327"/>
      <c r="BA450" s="550"/>
      <c r="BB450" s="327"/>
      <c r="BC450" s="22"/>
      <c r="BD450" s="551" t="s">
        <v>334</v>
      </c>
      <c r="BE450" s="327"/>
      <c r="BF450" s="545"/>
      <c r="BG450" s="326"/>
      <c r="BH450" s="326"/>
      <c r="BI450" s="327"/>
      <c r="BJ450" s="451" t="s">
        <v>303</v>
      </c>
      <c r="BK450" s="326"/>
      <c r="BL450" s="326"/>
      <c r="BM450" s="327"/>
      <c r="BN450" s="558" t="s">
        <v>303</v>
      </c>
      <c r="BO450" s="326"/>
      <c r="BP450" s="326"/>
      <c r="BQ450" s="326"/>
      <c r="BR450" s="326"/>
      <c r="BS450" s="326"/>
      <c r="BT450" s="326"/>
      <c r="BU450" s="326"/>
      <c r="BV450" s="327"/>
    </row>
    <row r="451" spans="1:74" ht="45" customHeight="1" x14ac:dyDescent="0.25">
      <c r="A451" s="10">
        <f t="shared" si="1"/>
        <v>437</v>
      </c>
      <c r="B451" s="559" t="s">
        <v>303</v>
      </c>
      <c r="C451" s="327"/>
      <c r="D451" s="560" t="s">
        <v>307</v>
      </c>
      <c r="E451" s="327"/>
      <c r="F451" s="537" t="s">
        <v>334</v>
      </c>
      <c r="G451" s="327"/>
      <c r="H451" s="566" t="s">
        <v>334</v>
      </c>
      <c r="I451" s="327"/>
      <c r="J451" s="567"/>
      <c r="K451" s="327"/>
      <c r="L451" s="567"/>
      <c r="M451" s="327"/>
      <c r="N451" s="20"/>
      <c r="O451" s="24"/>
      <c r="P451" s="524"/>
      <c r="Q451" s="327"/>
      <c r="R451" s="516"/>
      <c r="S451" s="327"/>
      <c r="T451" s="517"/>
      <c r="U451" s="327"/>
      <c r="V451" s="518"/>
      <c r="W451" s="327"/>
      <c r="X451" s="541" t="s">
        <v>303</v>
      </c>
      <c r="Y451" s="326"/>
      <c r="Z451" s="326"/>
      <c r="AA451" s="327"/>
      <c r="AB451" s="542" t="s">
        <v>303</v>
      </c>
      <c r="AC451" s="326"/>
      <c r="AD451" s="326"/>
      <c r="AE451" s="327"/>
      <c r="AF451" s="520"/>
      <c r="AG451" s="327"/>
      <c r="AH451" s="520"/>
      <c r="AI451" s="327"/>
      <c r="AJ451" s="554"/>
      <c r="AK451" s="327"/>
      <c r="AL451" s="537" t="s">
        <v>334</v>
      </c>
      <c r="AM451" s="327"/>
      <c r="AN451" s="546" t="s">
        <v>334</v>
      </c>
      <c r="AO451" s="327"/>
      <c r="AP451" s="554"/>
      <c r="AQ451" s="327"/>
      <c r="AR451" s="555"/>
      <c r="AS451" s="327"/>
      <c r="AT451" s="549"/>
      <c r="AU451" s="327"/>
      <c r="AV451" s="546" t="s">
        <v>334</v>
      </c>
      <c r="AW451" s="327"/>
      <c r="AX451" s="521"/>
      <c r="AY451" s="326"/>
      <c r="AZ451" s="327"/>
      <c r="BA451" s="536"/>
      <c r="BB451" s="327"/>
      <c r="BC451" s="25"/>
      <c r="BD451" s="544" t="s">
        <v>334</v>
      </c>
      <c r="BE451" s="327"/>
      <c r="BF451" s="552"/>
      <c r="BG451" s="326"/>
      <c r="BH451" s="326"/>
      <c r="BI451" s="327"/>
      <c r="BJ451" s="557" t="s">
        <v>303</v>
      </c>
      <c r="BK451" s="326"/>
      <c r="BL451" s="326"/>
      <c r="BM451" s="327"/>
      <c r="BN451" s="558" t="s">
        <v>303</v>
      </c>
      <c r="BO451" s="326"/>
      <c r="BP451" s="326"/>
      <c r="BQ451" s="326"/>
      <c r="BR451" s="326"/>
      <c r="BS451" s="326"/>
      <c r="BT451" s="326"/>
      <c r="BU451" s="326"/>
      <c r="BV451" s="327"/>
    </row>
    <row r="452" spans="1:74" ht="45" customHeight="1" x14ac:dyDescent="0.25">
      <c r="A452" s="10">
        <f t="shared" si="1"/>
        <v>438</v>
      </c>
      <c r="B452" s="564" t="s">
        <v>303</v>
      </c>
      <c r="C452" s="327"/>
      <c r="D452" s="565" t="s">
        <v>307</v>
      </c>
      <c r="E452" s="327"/>
      <c r="F452" s="537" t="s">
        <v>334</v>
      </c>
      <c r="G452" s="327"/>
      <c r="H452" s="561" t="s">
        <v>334</v>
      </c>
      <c r="I452" s="327"/>
      <c r="J452" s="562"/>
      <c r="K452" s="327"/>
      <c r="L452" s="562"/>
      <c r="M452" s="327"/>
      <c r="N452" s="23"/>
      <c r="O452" s="21"/>
      <c r="P452" s="563"/>
      <c r="Q452" s="327"/>
      <c r="R452" s="538"/>
      <c r="S452" s="327"/>
      <c r="T452" s="539"/>
      <c r="U452" s="327"/>
      <c r="V452" s="540"/>
      <c r="W452" s="327"/>
      <c r="X452" s="438" t="s">
        <v>303</v>
      </c>
      <c r="Y452" s="326"/>
      <c r="Z452" s="326"/>
      <c r="AA452" s="327"/>
      <c r="AB452" s="519" t="s">
        <v>303</v>
      </c>
      <c r="AC452" s="326"/>
      <c r="AD452" s="326"/>
      <c r="AE452" s="327"/>
      <c r="AF452" s="543"/>
      <c r="AG452" s="327"/>
      <c r="AH452" s="543"/>
      <c r="AI452" s="327"/>
      <c r="AJ452" s="536"/>
      <c r="AK452" s="327"/>
      <c r="AL452" s="556" t="s">
        <v>334</v>
      </c>
      <c r="AM452" s="327"/>
      <c r="AN452" s="553" t="s">
        <v>334</v>
      </c>
      <c r="AO452" s="327"/>
      <c r="AP452" s="547"/>
      <c r="AQ452" s="327"/>
      <c r="AR452" s="548"/>
      <c r="AS452" s="327"/>
      <c r="AT452" s="549"/>
      <c r="AU452" s="327"/>
      <c r="AV452" s="553" t="s">
        <v>334</v>
      </c>
      <c r="AW452" s="327"/>
      <c r="AX452" s="521"/>
      <c r="AY452" s="326"/>
      <c r="AZ452" s="327"/>
      <c r="BA452" s="550"/>
      <c r="BB452" s="327"/>
      <c r="BC452" s="22"/>
      <c r="BD452" s="551" t="s">
        <v>334</v>
      </c>
      <c r="BE452" s="327"/>
      <c r="BF452" s="545"/>
      <c r="BG452" s="326"/>
      <c r="BH452" s="326"/>
      <c r="BI452" s="327"/>
      <c r="BJ452" s="451" t="s">
        <v>303</v>
      </c>
      <c r="BK452" s="326"/>
      <c r="BL452" s="326"/>
      <c r="BM452" s="327"/>
      <c r="BN452" s="558" t="s">
        <v>303</v>
      </c>
      <c r="BO452" s="326"/>
      <c r="BP452" s="326"/>
      <c r="BQ452" s="326"/>
      <c r="BR452" s="326"/>
      <c r="BS452" s="326"/>
      <c r="BT452" s="326"/>
      <c r="BU452" s="326"/>
      <c r="BV452" s="327"/>
    </row>
    <row r="453" spans="1:74" ht="45" customHeight="1" x14ac:dyDescent="0.25">
      <c r="A453" s="10">
        <f t="shared" si="1"/>
        <v>439</v>
      </c>
      <c r="B453" s="559" t="s">
        <v>303</v>
      </c>
      <c r="C453" s="327"/>
      <c r="D453" s="560" t="s">
        <v>307</v>
      </c>
      <c r="E453" s="327"/>
      <c r="F453" s="537" t="s">
        <v>334</v>
      </c>
      <c r="G453" s="327"/>
      <c r="H453" s="566" t="s">
        <v>334</v>
      </c>
      <c r="I453" s="327"/>
      <c r="J453" s="567"/>
      <c r="K453" s="327"/>
      <c r="L453" s="567"/>
      <c r="M453" s="327"/>
      <c r="N453" s="20"/>
      <c r="O453" s="24"/>
      <c r="P453" s="524"/>
      <c r="Q453" s="327"/>
      <c r="R453" s="516"/>
      <c r="S453" s="327"/>
      <c r="T453" s="517"/>
      <c r="U453" s="327"/>
      <c r="V453" s="518"/>
      <c r="W453" s="327"/>
      <c r="X453" s="541" t="s">
        <v>303</v>
      </c>
      <c r="Y453" s="326"/>
      <c r="Z453" s="326"/>
      <c r="AA453" s="327"/>
      <c r="AB453" s="542" t="s">
        <v>303</v>
      </c>
      <c r="AC453" s="326"/>
      <c r="AD453" s="326"/>
      <c r="AE453" s="327"/>
      <c r="AF453" s="520"/>
      <c r="AG453" s="327"/>
      <c r="AH453" s="520"/>
      <c r="AI453" s="327"/>
      <c r="AJ453" s="554"/>
      <c r="AK453" s="327"/>
      <c r="AL453" s="537" t="s">
        <v>334</v>
      </c>
      <c r="AM453" s="327"/>
      <c r="AN453" s="546" t="s">
        <v>334</v>
      </c>
      <c r="AO453" s="327"/>
      <c r="AP453" s="554"/>
      <c r="AQ453" s="327"/>
      <c r="AR453" s="555"/>
      <c r="AS453" s="327"/>
      <c r="AT453" s="549"/>
      <c r="AU453" s="327"/>
      <c r="AV453" s="546" t="s">
        <v>334</v>
      </c>
      <c r="AW453" s="327"/>
      <c r="AX453" s="521"/>
      <c r="AY453" s="326"/>
      <c r="AZ453" s="327"/>
      <c r="BA453" s="536"/>
      <c r="BB453" s="327"/>
      <c r="BC453" s="25"/>
      <c r="BD453" s="544" t="s">
        <v>334</v>
      </c>
      <c r="BE453" s="327"/>
      <c r="BF453" s="508"/>
      <c r="BG453" s="326"/>
      <c r="BH453" s="326"/>
      <c r="BI453" s="327"/>
      <c r="BJ453" s="557" t="s">
        <v>303</v>
      </c>
      <c r="BK453" s="326"/>
      <c r="BL453" s="326"/>
      <c r="BM453" s="327"/>
      <c r="BN453" s="558" t="s">
        <v>303</v>
      </c>
      <c r="BO453" s="326"/>
      <c r="BP453" s="326"/>
      <c r="BQ453" s="326"/>
      <c r="BR453" s="326"/>
      <c r="BS453" s="326"/>
      <c r="BT453" s="326"/>
      <c r="BU453" s="326"/>
      <c r="BV453" s="327"/>
    </row>
    <row r="454" spans="1:74" ht="45" customHeight="1" x14ac:dyDescent="0.25">
      <c r="A454" s="10">
        <f t="shared" si="1"/>
        <v>440</v>
      </c>
      <c r="B454" s="564" t="s">
        <v>303</v>
      </c>
      <c r="C454" s="327"/>
      <c r="D454" s="565" t="s">
        <v>307</v>
      </c>
      <c r="E454" s="327"/>
      <c r="F454" s="537" t="s">
        <v>334</v>
      </c>
      <c r="G454" s="327"/>
      <c r="H454" s="561" t="s">
        <v>334</v>
      </c>
      <c r="I454" s="327"/>
      <c r="J454" s="562"/>
      <c r="K454" s="327"/>
      <c r="L454" s="562"/>
      <c r="M454" s="327"/>
      <c r="N454" s="23"/>
      <c r="O454" s="21"/>
      <c r="P454" s="563"/>
      <c r="Q454" s="327"/>
      <c r="R454" s="538"/>
      <c r="S454" s="327"/>
      <c r="T454" s="539"/>
      <c r="U454" s="327"/>
      <c r="V454" s="540"/>
      <c r="W454" s="327"/>
      <c r="X454" s="438" t="s">
        <v>303</v>
      </c>
      <c r="Y454" s="326"/>
      <c r="Z454" s="326"/>
      <c r="AA454" s="327"/>
      <c r="AB454" s="519" t="s">
        <v>303</v>
      </c>
      <c r="AC454" s="326"/>
      <c r="AD454" s="326"/>
      <c r="AE454" s="327"/>
      <c r="AF454" s="543"/>
      <c r="AG454" s="327"/>
      <c r="AH454" s="543"/>
      <c r="AI454" s="327"/>
      <c r="AJ454" s="536"/>
      <c r="AK454" s="327"/>
      <c r="AL454" s="556" t="s">
        <v>334</v>
      </c>
      <c r="AM454" s="327"/>
      <c r="AN454" s="553" t="s">
        <v>334</v>
      </c>
      <c r="AO454" s="327"/>
      <c r="AP454" s="547"/>
      <c r="AQ454" s="327"/>
      <c r="AR454" s="548"/>
      <c r="AS454" s="327"/>
      <c r="AT454" s="549"/>
      <c r="AU454" s="327"/>
      <c r="AV454" s="553" t="s">
        <v>334</v>
      </c>
      <c r="AW454" s="327"/>
      <c r="AX454" s="521"/>
      <c r="AY454" s="326"/>
      <c r="AZ454" s="327"/>
      <c r="BA454" s="550"/>
      <c r="BB454" s="327"/>
      <c r="BC454" s="22"/>
      <c r="BD454" s="551" t="s">
        <v>334</v>
      </c>
      <c r="BE454" s="327"/>
      <c r="BF454" s="545"/>
      <c r="BG454" s="326"/>
      <c r="BH454" s="326"/>
      <c r="BI454" s="327"/>
      <c r="BJ454" s="451" t="s">
        <v>303</v>
      </c>
      <c r="BK454" s="326"/>
      <c r="BL454" s="326"/>
      <c r="BM454" s="327"/>
      <c r="BN454" s="558" t="s">
        <v>303</v>
      </c>
      <c r="BO454" s="326"/>
      <c r="BP454" s="326"/>
      <c r="BQ454" s="326"/>
      <c r="BR454" s="326"/>
      <c r="BS454" s="326"/>
      <c r="BT454" s="326"/>
      <c r="BU454" s="326"/>
      <c r="BV454" s="327"/>
    </row>
    <row r="455" spans="1:74" ht="45" customHeight="1" x14ac:dyDescent="0.25">
      <c r="A455" s="10">
        <f t="shared" si="1"/>
        <v>441</v>
      </c>
      <c r="B455" s="559" t="s">
        <v>303</v>
      </c>
      <c r="C455" s="327"/>
      <c r="D455" s="560" t="s">
        <v>307</v>
      </c>
      <c r="E455" s="327"/>
      <c r="F455" s="537" t="s">
        <v>334</v>
      </c>
      <c r="G455" s="327"/>
      <c r="H455" s="566" t="s">
        <v>334</v>
      </c>
      <c r="I455" s="327"/>
      <c r="J455" s="567"/>
      <c r="K455" s="327"/>
      <c r="L455" s="567"/>
      <c r="M455" s="327"/>
      <c r="N455" s="20"/>
      <c r="O455" s="24"/>
      <c r="P455" s="524"/>
      <c r="Q455" s="327"/>
      <c r="R455" s="516"/>
      <c r="S455" s="327"/>
      <c r="T455" s="517"/>
      <c r="U455" s="327"/>
      <c r="V455" s="518"/>
      <c r="W455" s="327"/>
      <c r="X455" s="541" t="s">
        <v>303</v>
      </c>
      <c r="Y455" s="326"/>
      <c r="Z455" s="326"/>
      <c r="AA455" s="327"/>
      <c r="AB455" s="542" t="s">
        <v>303</v>
      </c>
      <c r="AC455" s="326"/>
      <c r="AD455" s="326"/>
      <c r="AE455" s="327"/>
      <c r="AF455" s="520"/>
      <c r="AG455" s="327"/>
      <c r="AH455" s="520"/>
      <c r="AI455" s="327"/>
      <c r="AJ455" s="554"/>
      <c r="AK455" s="327"/>
      <c r="AL455" s="537" t="s">
        <v>334</v>
      </c>
      <c r="AM455" s="327"/>
      <c r="AN455" s="546" t="s">
        <v>334</v>
      </c>
      <c r="AO455" s="327"/>
      <c r="AP455" s="554"/>
      <c r="AQ455" s="327"/>
      <c r="AR455" s="555"/>
      <c r="AS455" s="327"/>
      <c r="AT455" s="549"/>
      <c r="AU455" s="327"/>
      <c r="AV455" s="546" t="s">
        <v>334</v>
      </c>
      <c r="AW455" s="327"/>
      <c r="AX455" s="521"/>
      <c r="AY455" s="326"/>
      <c r="AZ455" s="327"/>
      <c r="BA455" s="536"/>
      <c r="BB455" s="327"/>
      <c r="BC455" s="25"/>
      <c r="BD455" s="544" t="s">
        <v>334</v>
      </c>
      <c r="BE455" s="327"/>
      <c r="BF455" s="508"/>
      <c r="BG455" s="326"/>
      <c r="BH455" s="326"/>
      <c r="BI455" s="327"/>
      <c r="BJ455" s="557" t="s">
        <v>303</v>
      </c>
      <c r="BK455" s="326"/>
      <c r="BL455" s="326"/>
      <c r="BM455" s="327"/>
      <c r="BN455" s="558" t="s">
        <v>303</v>
      </c>
      <c r="BO455" s="326"/>
      <c r="BP455" s="326"/>
      <c r="BQ455" s="326"/>
      <c r="BR455" s="326"/>
      <c r="BS455" s="326"/>
      <c r="BT455" s="326"/>
      <c r="BU455" s="326"/>
      <c r="BV455" s="327"/>
    </row>
    <row r="456" spans="1:74" ht="45" customHeight="1" x14ac:dyDescent="0.25">
      <c r="A456" s="10">
        <f t="shared" si="1"/>
        <v>442</v>
      </c>
      <c r="B456" s="564" t="s">
        <v>303</v>
      </c>
      <c r="C456" s="327"/>
      <c r="D456" s="565" t="s">
        <v>307</v>
      </c>
      <c r="E456" s="327"/>
      <c r="F456" s="537" t="s">
        <v>334</v>
      </c>
      <c r="G456" s="327"/>
      <c r="H456" s="561" t="s">
        <v>334</v>
      </c>
      <c r="I456" s="327"/>
      <c r="J456" s="562"/>
      <c r="K456" s="327"/>
      <c r="L456" s="562"/>
      <c r="M456" s="327"/>
      <c r="N456" s="23"/>
      <c r="O456" s="21"/>
      <c r="P456" s="563"/>
      <c r="Q456" s="327"/>
      <c r="R456" s="538"/>
      <c r="S456" s="327"/>
      <c r="T456" s="539"/>
      <c r="U456" s="327"/>
      <c r="V456" s="540"/>
      <c r="W456" s="327"/>
      <c r="X456" s="438" t="s">
        <v>303</v>
      </c>
      <c r="Y456" s="326"/>
      <c r="Z456" s="326"/>
      <c r="AA456" s="327"/>
      <c r="AB456" s="519" t="s">
        <v>303</v>
      </c>
      <c r="AC456" s="326"/>
      <c r="AD456" s="326"/>
      <c r="AE456" s="327"/>
      <c r="AF456" s="543"/>
      <c r="AG456" s="327"/>
      <c r="AH456" s="543"/>
      <c r="AI456" s="327"/>
      <c r="AJ456" s="536"/>
      <c r="AK456" s="327"/>
      <c r="AL456" s="556" t="s">
        <v>334</v>
      </c>
      <c r="AM456" s="327"/>
      <c r="AN456" s="553" t="s">
        <v>334</v>
      </c>
      <c r="AO456" s="327"/>
      <c r="AP456" s="547"/>
      <c r="AQ456" s="327"/>
      <c r="AR456" s="548"/>
      <c r="AS456" s="327"/>
      <c r="AT456" s="549"/>
      <c r="AU456" s="327"/>
      <c r="AV456" s="553" t="s">
        <v>334</v>
      </c>
      <c r="AW456" s="327"/>
      <c r="AX456" s="521"/>
      <c r="AY456" s="326"/>
      <c r="AZ456" s="327"/>
      <c r="BA456" s="550"/>
      <c r="BB456" s="327"/>
      <c r="BC456" s="22"/>
      <c r="BD456" s="551" t="s">
        <v>334</v>
      </c>
      <c r="BE456" s="327"/>
      <c r="BF456" s="545"/>
      <c r="BG456" s="326"/>
      <c r="BH456" s="326"/>
      <c r="BI456" s="327"/>
      <c r="BJ456" s="451" t="s">
        <v>303</v>
      </c>
      <c r="BK456" s="326"/>
      <c r="BL456" s="326"/>
      <c r="BM456" s="327"/>
      <c r="BN456" s="558" t="s">
        <v>303</v>
      </c>
      <c r="BO456" s="326"/>
      <c r="BP456" s="326"/>
      <c r="BQ456" s="326"/>
      <c r="BR456" s="326"/>
      <c r="BS456" s="326"/>
      <c r="BT456" s="326"/>
      <c r="BU456" s="326"/>
      <c r="BV456" s="327"/>
    </row>
    <row r="457" spans="1:74" ht="45" customHeight="1" x14ac:dyDescent="0.25">
      <c r="A457" s="10">
        <f t="shared" si="1"/>
        <v>443</v>
      </c>
      <c r="B457" s="559" t="s">
        <v>303</v>
      </c>
      <c r="C457" s="327"/>
      <c r="D457" s="560" t="s">
        <v>307</v>
      </c>
      <c r="E457" s="327"/>
      <c r="F457" s="537" t="s">
        <v>334</v>
      </c>
      <c r="G457" s="327"/>
      <c r="H457" s="566" t="s">
        <v>334</v>
      </c>
      <c r="I457" s="327"/>
      <c r="J457" s="567"/>
      <c r="K457" s="327"/>
      <c r="L457" s="567"/>
      <c r="M457" s="327"/>
      <c r="N457" s="20"/>
      <c r="O457" s="24"/>
      <c r="P457" s="524"/>
      <c r="Q457" s="327"/>
      <c r="R457" s="516"/>
      <c r="S457" s="327"/>
      <c r="T457" s="517"/>
      <c r="U457" s="327"/>
      <c r="V457" s="518"/>
      <c r="W457" s="327"/>
      <c r="X457" s="541" t="s">
        <v>303</v>
      </c>
      <c r="Y457" s="326"/>
      <c r="Z457" s="326"/>
      <c r="AA457" s="327"/>
      <c r="AB457" s="542" t="s">
        <v>303</v>
      </c>
      <c r="AC457" s="326"/>
      <c r="AD457" s="326"/>
      <c r="AE457" s="327"/>
      <c r="AF457" s="520"/>
      <c r="AG457" s="327"/>
      <c r="AH457" s="520"/>
      <c r="AI457" s="327"/>
      <c r="AJ457" s="554"/>
      <c r="AK457" s="327"/>
      <c r="AL457" s="537" t="s">
        <v>334</v>
      </c>
      <c r="AM457" s="327"/>
      <c r="AN457" s="546" t="s">
        <v>334</v>
      </c>
      <c r="AO457" s="327"/>
      <c r="AP457" s="554"/>
      <c r="AQ457" s="327"/>
      <c r="AR457" s="555"/>
      <c r="AS457" s="327"/>
      <c r="AT457" s="549"/>
      <c r="AU457" s="327"/>
      <c r="AV457" s="546" t="s">
        <v>334</v>
      </c>
      <c r="AW457" s="327"/>
      <c r="AX457" s="521"/>
      <c r="AY457" s="326"/>
      <c r="AZ457" s="327"/>
      <c r="BA457" s="536"/>
      <c r="BB457" s="327"/>
      <c r="BC457" s="25"/>
      <c r="BD457" s="544" t="s">
        <v>334</v>
      </c>
      <c r="BE457" s="327"/>
      <c r="BF457" s="552"/>
      <c r="BG457" s="326"/>
      <c r="BH457" s="326"/>
      <c r="BI457" s="327"/>
      <c r="BJ457" s="557" t="s">
        <v>303</v>
      </c>
      <c r="BK457" s="326"/>
      <c r="BL457" s="326"/>
      <c r="BM457" s="327"/>
      <c r="BN457" s="558" t="s">
        <v>303</v>
      </c>
      <c r="BO457" s="326"/>
      <c r="BP457" s="326"/>
      <c r="BQ457" s="326"/>
      <c r="BR457" s="326"/>
      <c r="BS457" s="326"/>
      <c r="BT457" s="326"/>
      <c r="BU457" s="326"/>
      <c r="BV457" s="327"/>
    </row>
    <row r="458" spans="1:74" ht="45" customHeight="1" x14ac:dyDescent="0.25">
      <c r="A458" s="10">
        <f t="shared" si="1"/>
        <v>444</v>
      </c>
      <c r="B458" s="564" t="s">
        <v>303</v>
      </c>
      <c r="C458" s="327"/>
      <c r="D458" s="565" t="s">
        <v>307</v>
      </c>
      <c r="E458" s="327"/>
      <c r="F458" s="537" t="s">
        <v>334</v>
      </c>
      <c r="G458" s="327"/>
      <c r="H458" s="561" t="s">
        <v>334</v>
      </c>
      <c r="I458" s="327"/>
      <c r="J458" s="562"/>
      <c r="K458" s="327"/>
      <c r="L458" s="562"/>
      <c r="M458" s="327"/>
      <c r="N458" s="23"/>
      <c r="O458" s="21"/>
      <c r="P458" s="563"/>
      <c r="Q458" s="327"/>
      <c r="R458" s="538"/>
      <c r="S458" s="327"/>
      <c r="T458" s="539"/>
      <c r="U458" s="327"/>
      <c r="V458" s="540"/>
      <c r="W458" s="327"/>
      <c r="X458" s="438" t="s">
        <v>303</v>
      </c>
      <c r="Y458" s="326"/>
      <c r="Z458" s="326"/>
      <c r="AA458" s="327"/>
      <c r="AB458" s="519" t="s">
        <v>303</v>
      </c>
      <c r="AC458" s="326"/>
      <c r="AD458" s="326"/>
      <c r="AE458" s="327"/>
      <c r="AF458" s="543"/>
      <c r="AG458" s="327"/>
      <c r="AH458" s="543"/>
      <c r="AI458" s="327"/>
      <c r="AJ458" s="536"/>
      <c r="AK458" s="327"/>
      <c r="AL458" s="556" t="s">
        <v>334</v>
      </c>
      <c r="AM458" s="327"/>
      <c r="AN458" s="553" t="s">
        <v>334</v>
      </c>
      <c r="AO458" s="327"/>
      <c r="AP458" s="547"/>
      <c r="AQ458" s="327"/>
      <c r="AR458" s="548"/>
      <c r="AS458" s="327"/>
      <c r="AT458" s="549"/>
      <c r="AU458" s="327"/>
      <c r="AV458" s="553" t="s">
        <v>334</v>
      </c>
      <c r="AW458" s="327"/>
      <c r="AX458" s="521"/>
      <c r="AY458" s="326"/>
      <c r="AZ458" s="327"/>
      <c r="BA458" s="550"/>
      <c r="BB458" s="327"/>
      <c r="BC458" s="22"/>
      <c r="BD458" s="551" t="s">
        <v>334</v>
      </c>
      <c r="BE458" s="327"/>
      <c r="BF458" s="545"/>
      <c r="BG458" s="326"/>
      <c r="BH458" s="326"/>
      <c r="BI458" s="327"/>
      <c r="BJ458" s="451" t="s">
        <v>303</v>
      </c>
      <c r="BK458" s="326"/>
      <c r="BL458" s="326"/>
      <c r="BM458" s="327"/>
      <c r="BN458" s="558" t="s">
        <v>303</v>
      </c>
      <c r="BO458" s="326"/>
      <c r="BP458" s="326"/>
      <c r="BQ458" s="326"/>
      <c r="BR458" s="326"/>
      <c r="BS458" s="326"/>
      <c r="BT458" s="326"/>
      <c r="BU458" s="326"/>
      <c r="BV458" s="327"/>
    </row>
    <row r="459" spans="1:74" ht="45" customHeight="1" x14ac:dyDescent="0.25">
      <c r="A459" s="10">
        <f t="shared" si="1"/>
        <v>445</v>
      </c>
      <c r="B459" s="559" t="s">
        <v>303</v>
      </c>
      <c r="C459" s="327"/>
      <c r="D459" s="560" t="s">
        <v>307</v>
      </c>
      <c r="E459" s="327"/>
      <c r="F459" s="537" t="s">
        <v>334</v>
      </c>
      <c r="G459" s="327"/>
      <c r="H459" s="566" t="s">
        <v>334</v>
      </c>
      <c r="I459" s="327"/>
      <c r="J459" s="567"/>
      <c r="K459" s="327"/>
      <c r="L459" s="567"/>
      <c r="M459" s="327"/>
      <c r="N459" s="20"/>
      <c r="O459" s="24"/>
      <c r="P459" s="524"/>
      <c r="Q459" s="327"/>
      <c r="R459" s="516"/>
      <c r="S459" s="327"/>
      <c r="T459" s="517"/>
      <c r="U459" s="327"/>
      <c r="V459" s="518"/>
      <c r="W459" s="327"/>
      <c r="X459" s="541" t="s">
        <v>303</v>
      </c>
      <c r="Y459" s="326"/>
      <c r="Z459" s="326"/>
      <c r="AA459" s="327"/>
      <c r="AB459" s="542" t="s">
        <v>303</v>
      </c>
      <c r="AC459" s="326"/>
      <c r="AD459" s="326"/>
      <c r="AE459" s="327"/>
      <c r="AF459" s="520"/>
      <c r="AG459" s="327"/>
      <c r="AH459" s="520"/>
      <c r="AI459" s="327"/>
      <c r="AJ459" s="554"/>
      <c r="AK459" s="327"/>
      <c r="AL459" s="537" t="s">
        <v>334</v>
      </c>
      <c r="AM459" s="327"/>
      <c r="AN459" s="546" t="s">
        <v>334</v>
      </c>
      <c r="AO459" s="327"/>
      <c r="AP459" s="554"/>
      <c r="AQ459" s="327"/>
      <c r="AR459" s="555"/>
      <c r="AS459" s="327"/>
      <c r="AT459" s="549"/>
      <c r="AU459" s="327"/>
      <c r="AV459" s="546" t="s">
        <v>334</v>
      </c>
      <c r="AW459" s="327"/>
      <c r="AX459" s="521"/>
      <c r="AY459" s="326"/>
      <c r="AZ459" s="327"/>
      <c r="BA459" s="536"/>
      <c r="BB459" s="327"/>
      <c r="BC459" s="25"/>
      <c r="BD459" s="544" t="s">
        <v>334</v>
      </c>
      <c r="BE459" s="327"/>
      <c r="BF459" s="508"/>
      <c r="BG459" s="326"/>
      <c r="BH459" s="326"/>
      <c r="BI459" s="327"/>
      <c r="BJ459" s="557" t="s">
        <v>303</v>
      </c>
      <c r="BK459" s="326"/>
      <c r="BL459" s="326"/>
      <c r="BM459" s="327"/>
      <c r="BN459" s="558" t="s">
        <v>303</v>
      </c>
      <c r="BO459" s="326"/>
      <c r="BP459" s="326"/>
      <c r="BQ459" s="326"/>
      <c r="BR459" s="326"/>
      <c r="BS459" s="326"/>
      <c r="BT459" s="326"/>
      <c r="BU459" s="326"/>
      <c r="BV459" s="327"/>
    </row>
    <row r="460" spans="1:74" ht="45" customHeight="1" x14ac:dyDescent="0.25">
      <c r="A460" s="10">
        <f t="shared" si="1"/>
        <v>446</v>
      </c>
      <c r="B460" s="564" t="s">
        <v>303</v>
      </c>
      <c r="C460" s="327"/>
      <c r="D460" s="565" t="s">
        <v>307</v>
      </c>
      <c r="E460" s="327"/>
      <c r="F460" s="537" t="s">
        <v>334</v>
      </c>
      <c r="G460" s="327"/>
      <c r="H460" s="561" t="s">
        <v>334</v>
      </c>
      <c r="I460" s="327"/>
      <c r="J460" s="562"/>
      <c r="K460" s="327"/>
      <c r="L460" s="562"/>
      <c r="M460" s="327"/>
      <c r="N460" s="23"/>
      <c r="O460" s="21"/>
      <c r="P460" s="563"/>
      <c r="Q460" s="327"/>
      <c r="R460" s="538"/>
      <c r="S460" s="327"/>
      <c r="T460" s="539"/>
      <c r="U460" s="327"/>
      <c r="V460" s="540"/>
      <c r="W460" s="327"/>
      <c r="X460" s="438" t="s">
        <v>303</v>
      </c>
      <c r="Y460" s="326"/>
      <c r="Z460" s="326"/>
      <c r="AA460" s="327"/>
      <c r="AB460" s="519" t="s">
        <v>303</v>
      </c>
      <c r="AC460" s="326"/>
      <c r="AD460" s="326"/>
      <c r="AE460" s="327"/>
      <c r="AF460" s="543"/>
      <c r="AG460" s="327"/>
      <c r="AH460" s="543"/>
      <c r="AI460" s="327"/>
      <c r="AJ460" s="536"/>
      <c r="AK460" s="327"/>
      <c r="AL460" s="556" t="s">
        <v>334</v>
      </c>
      <c r="AM460" s="327"/>
      <c r="AN460" s="553" t="s">
        <v>334</v>
      </c>
      <c r="AO460" s="327"/>
      <c r="AP460" s="547"/>
      <c r="AQ460" s="327"/>
      <c r="AR460" s="548"/>
      <c r="AS460" s="327"/>
      <c r="AT460" s="549"/>
      <c r="AU460" s="327"/>
      <c r="AV460" s="553" t="s">
        <v>334</v>
      </c>
      <c r="AW460" s="327"/>
      <c r="AX460" s="521"/>
      <c r="AY460" s="326"/>
      <c r="AZ460" s="327"/>
      <c r="BA460" s="550"/>
      <c r="BB460" s="327"/>
      <c r="BC460" s="22"/>
      <c r="BD460" s="551" t="s">
        <v>334</v>
      </c>
      <c r="BE460" s="327"/>
      <c r="BF460" s="545"/>
      <c r="BG460" s="326"/>
      <c r="BH460" s="326"/>
      <c r="BI460" s="327"/>
      <c r="BJ460" s="451" t="s">
        <v>303</v>
      </c>
      <c r="BK460" s="326"/>
      <c r="BL460" s="326"/>
      <c r="BM460" s="327"/>
      <c r="BN460" s="558" t="s">
        <v>303</v>
      </c>
      <c r="BO460" s="326"/>
      <c r="BP460" s="326"/>
      <c r="BQ460" s="326"/>
      <c r="BR460" s="326"/>
      <c r="BS460" s="326"/>
      <c r="BT460" s="326"/>
      <c r="BU460" s="326"/>
      <c r="BV460" s="327"/>
    </row>
    <row r="461" spans="1:74" ht="45" customHeight="1" x14ac:dyDescent="0.25">
      <c r="A461" s="10">
        <f t="shared" si="1"/>
        <v>447</v>
      </c>
      <c r="B461" s="559" t="s">
        <v>303</v>
      </c>
      <c r="C461" s="327"/>
      <c r="D461" s="560" t="s">
        <v>307</v>
      </c>
      <c r="E461" s="327"/>
      <c r="F461" s="537" t="s">
        <v>334</v>
      </c>
      <c r="G461" s="327"/>
      <c r="H461" s="566" t="s">
        <v>334</v>
      </c>
      <c r="I461" s="327"/>
      <c r="J461" s="567"/>
      <c r="K461" s="327"/>
      <c r="L461" s="567"/>
      <c r="M461" s="327"/>
      <c r="N461" s="20"/>
      <c r="O461" s="24"/>
      <c r="P461" s="524"/>
      <c r="Q461" s="327"/>
      <c r="R461" s="516"/>
      <c r="S461" s="327"/>
      <c r="T461" s="517"/>
      <c r="U461" s="327"/>
      <c r="V461" s="518"/>
      <c r="W461" s="327"/>
      <c r="X461" s="541" t="s">
        <v>303</v>
      </c>
      <c r="Y461" s="326"/>
      <c r="Z461" s="326"/>
      <c r="AA461" s="327"/>
      <c r="AB461" s="542" t="s">
        <v>303</v>
      </c>
      <c r="AC461" s="326"/>
      <c r="AD461" s="326"/>
      <c r="AE461" s="327"/>
      <c r="AF461" s="520"/>
      <c r="AG461" s="327"/>
      <c r="AH461" s="520"/>
      <c r="AI461" s="327"/>
      <c r="AJ461" s="554"/>
      <c r="AK461" s="327"/>
      <c r="AL461" s="537" t="s">
        <v>334</v>
      </c>
      <c r="AM461" s="327"/>
      <c r="AN461" s="546" t="s">
        <v>334</v>
      </c>
      <c r="AO461" s="327"/>
      <c r="AP461" s="554"/>
      <c r="AQ461" s="327"/>
      <c r="AR461" s="555"/>
      <c r="AS461" s="327"/>
      <c r="AT461" s="549"/>
      <c r="AU461" s="327"/>
      <c r="AV461" s="546" t="s">
        <v>334</v>
      </c>
      <c r="AW461" s="327"/>
      <c r="AX461" s="521"/>
      <c r="AY461" s="326"/>
      <c r="AZ461" s="327"/>
      <c r="BA461" s="536"/>
      <c r="BB461" s="327"/>
      <c r="BC461" s="25"/>
      <c r="BD461" s="544" t="s">
        <v>334</v>
      </c>
      <c r="BE461" s="327"/>
      <c r="BF461" s="552"/>
      <c r="BG461" s="326"/>
      <c r="BH461" s="326"/>
      <c r="BI461" s="327"/>
      <c r="BJ461" s="557" t="s">
        <v>303</v>
      </c>
      <c r="BK461" s="326"/>
      <c r="BL461" s="326"/>
      <c r="BM461" s="327"/>
      <c r="BN461" s="558" t="s">
        <v>303</v>
      </c>
      <c r="BO461" s="326"/>
      <c r="BP461" s="326"/>
      <c r="BQ461" s="326"/>
      <c r="BR461" s="326"/>
      <c r="BS461" s="326"/>
      <c r="BT461" s="326"/>
      <c r="BU461" s="326"/>
      <c r="BV461" s="327"/>
    </row>
    <row r="462" spans="1:74" ht="45" customHeight="1" x14ac:dyDescent="0.25">
      <c r="A462" s="10">
        <f t="shared" si="1"/>
        <v>448</v>
      </c>
      <c r="B462" s="564" t="s">
        <v>303</v>
      </c>
      <c r="C462" s="327"/>
      <c r="D462" s="565" t="s">
        <v>307</v>
      </c>
      <c r="E462" s="327"/>
      <c r="F462" s="537" t="s">
        <v>334</v>
      </c>
      <c r="G462" s="327"/>
      <c r="H462" s="561" t="s">
        <v>334</v>
      </c>
      <c r="I462" s="327"/>
      <c r="J462" s="562"/>
      <c r="K462" s="327"/>
      <c r="L462" s="562"/>
      <c r="M462" s="327"/>
      <c r="N462" s="23"/>
      <c r="O462" s="21"/>
      <c r="P462" s="563"/>
      <c r="Q462" s="327"/>
      <c r="R462" s="538"/>
      <c r="S462" s="327"/>
      <c r="T462" s="539"/>
      <c r="U462" s="327"/>
      <c r="V462" s="540"/>
      <c r="W462" s="327"/>
      <c r="X462" s="438" t="s">
        <v>303</v>
      </c>
      <c r="Y462" s="326"/>
      <c r="Z462" s="326"/>
      <c r="AA462" s="327"/>
      <c r="AB462" s="519" t="s">
        <v>303</v>
      </c>
      <c r="AC462" s="326"/>
      <c r="AD462" s="326"/>
      <c r="AE462" s="327"/>
      <c r="AF462" s="543"/>
      <c r="AG462" s="327"/>
      <c r="AH462" s="543"/>
      <c r="AI462" s="327"/>
      <c r="AJ462" s="536"/>
      <c r="AK462" s="327"/>
      <c r="AL462" s="556" t="s">
        <v>334</v>
      </c>
      <c r="AM462" s="327"/>
      <c r="AN462" s="553" t="s">
        <v>334</v>
      </c>
      <c r="AO462" s="327"/>
      <c r="AP462" s="547"/>
      <c r="AQ462" s="327"/>
      <c r="AR462" s="548"/>
      <c r="AS462" s="327"/>
      <c r="AT462" s="549"/>
      <c r="AU462" s="327"/>
      <c r="AV462" s="553" t="s">
        <v>334</v>
      </c>
      <c r="AW462" s="327"/>
      <c r="AX462" s="521"/>
      <c r="AY462" s="326"/>
      <c r="AZ462" s="327"/>
      <c r="BA462" s="550"/>
      <c r="BB462" s="327"/>
      <c r="BC462" s="22"/>
      <c r="BD462" s="551" t="s">
        <v>334</v>
      </c>
      <c r="BE462" s="327"/>
      <c r="BF462" s="545"/>
      <c r="BG462" s="326"/>
      <c r="BH462" s="326"/>
      <c r="BI462" s="327"/>
      <c r="BJ462" s="451" t="s">
        <v>303</v>
      </c>
      <c r="BK462" s="326"/>
      <c r="BL462" s="326"/>
      <c r="BM462" s="327"/>
      <c r="BN462" s="558" t="s">
        <v>303</v>
      </c>
      <c r="BO462" s="326"/>
      <c r="BP462" s="326"/>
      <c r="BQ462" s="326"/>
      <c r="BR462" s="326"/>
      <c r="BS462" s="326"/>
      <c r="BT462" s="326"/>
      <c r="BU462" s="326"/>
      <c r="BV462" s="327"/>
    </row>
    <row r="463" spans="1:74" ht="45" customHeight="1" x14ac:dyDescent="0.25">
      <c r="A463" s="10">
        <f t="shared" si="1"/>
        <v>449</v>
      </c>
      <c r="B463" s="559" t="s">
        <v>303</v>
      </c>
      <c r="C463" s="327"/>
      <c r="D463" s="560" t="s">
        <v>307</v>
      </c>
      <c r="E463" s="327"/>
      <c r="F463" s="537" t="s">
        <v>334</v>
      </c>
      <c r="G463" s="327"/>
      <c r="H463" s="566" t="s">
        <v>334</v>
      </c>
      <c r="I463" s="327"/>
      <c r="J463" s="567"/>
      <c r="K463" s="327"/>
      <c r="L463" s="567"/>
      <c r="M463" s="327"/>
      <c r="N463" s="20"/>
      <c r="O463" s="24"/>
      <c r="P463" s="524"/>
      <c r="Q463" s="327"/>
      <c r="R463" s="516"/>
      <c r="S463" s="327"/>
      <c r="T463" s="517"/>
      <c r="U463" s="327"/>
      <c r="V463" s="518"/>
      <c r="W463" s="327"/>
      <c r="X463" s="541" t="s">
        <v>303</v>
      </c>
      <c r="Y463" s="326"/>
      <c r="Z463" s="326"/>
      <c r="AA463" s="327"/>
      <c r="AB463" s="542" t="s">
        <v>303</v>
      </c>
      <c r="AC463" s="326"/>
      <c r="AD463" s="326"/>
      <c r="AE463" s="327"/>
      <c r="AF463" s="520"/>
      <c r="AG463" s="327"/>
      <c r="AH463" s="520"/>
      <c r="AI463" s="327"/>
      <c r="AJ463" s="554"/>
      <c r="AK463" s="327"/>
      <c r="AL463" s="537" t="s">
        <v>334</v>
      </c>
      <c r="AM463" s="327"/>
      <c r="AN463" s="546" t="s">
        <v>334</v>
      </c>
      <c r="AO463" s="327"/>
      <c r="AP463" s="554"/>
      <c r="AQ463" s="327"/>
      <c r="AR463" s="555"/>
      <c r="AS463" s="327"/>
      <c r="AT463" s="549"/>
      <c r="AU463" s="327"/>
      <c r="AV463" s="546" t="s">
        <v>334</v>
      </c>
      <c r="AW463" s="327"/>
      <c r="AX463" s="521"/>
      <c r="AY463" s="326"/>
      <c r="AZ463" s="327"/>
      <c r="BA463" s="536"/>
      <c r="BB463" s="327"/>
      <c r="BC463" s="25"/>
      <c r="BD463" s="544" t="s">
        <v>334</v>
      </c>
      <c r="BE463" s="327"/>
      <c r="BF463" s="508"/>
      <c r="BG463" s="326"/>
      <c r="BH463" s="326"/>
      <c r="BI463" s="327"/>
      <c r="BJ463" s="557" t="s">
        <v>303</v>
      </c>
      <c r="BK463" s="326"/>
      <c r="BL463" s="326"/>
      <c r="BM463" s="327"/>
      <c r="BN463" s="558" t="s">
        <v>303</v>
      </c>
      <c r="BO463" s="326"/>
      <c r="BP463" s="326"/>
      <c r="BQ463" s="326"/>
      <c r="BR463" s="326"/>
      <c r="BS463" s="326"/>
      <c r="BT463" s="326"/>
      <c r="BU463" s="326"/>
      <c r="BV463" s="327"/>
    </row>
    <row r="464" spans="1:74" ht="45" customHeight="1" x14ac:dyDescent="0.25">
      <c r="A464" s="10">
        <f t="shared" si="1"/>
        <v>450</v>
      </c>
      <c r="B464" s="564" t="s">
        <v>303</v>
      </c>
      <c r="C464" s="327"/>
      <c r="D464" s="565" t="s">
        <v>307</v>
      </c>
      <c r="E464" s="327"/>
      <c r="F464" s="537" t="s">
        <v>334</v>
      </c>
      <c r="G464" s="327"/>
      <c r="H464" s="561" t="s">
        <v>334</v>
      </c>
      <c r="I464" s="327"/>
      <c r="J464" s="562"/>
      <c r="K464" s="327"/>
      <c r="L464" s="562"/>
      <c r="M464" s="327"/>
      <c r="N464" s="23"/>
      <c r="O464" s="21"/>
      <c r="P464" s="563"/>
      <c r="Q464" s="327"/>
      <c r="R464" s="538"/>
      <c r="S464" s="327"/>
      <c r="T464" s="539"/>
      <c r="U464" s="327"/>
      <c r="V464" s="540"/>
      <c r="W464" s="327"/>
      <c r="X464" s="438" t="s">
        <v>303</v>
      </c>
      <c r="Y464" s="326"/>
      <c r="Z464" s="326"/>
      <c r="AA464" s="327"/>
      <c r="AB464" s="519" t="s">
        <v>303</v>
      </c>
      <c r="AC464" s="326"/>
      <c r="AD464" s="326"/>
      <c r="AE464" s="327"/>
      <c r="AF464" s="543"/>
      <c r="AG464" s="327"/>
      <c r="AH464" s="543"/>
      <c r="AI464" s="327"/>
      <c r="AJ464" s="536"/>
      <c r="AK464" s="327"/>
      <c r="AL464" s="556" t="s">
        <v>334</v>
      </c>
      <c r="AM464" s="327"/>
      <c r="AN464" s="553" t="s">
        <v>334</v>
      </c>
      <c r="AO464" s="327"/>
      <c r="AP464" s="547"/>
      <c r="AQ464" s="327"/>
      <c r="AR464" s="548"/>
      <c r="AS464" s="327"/>
      <c r="AT464" s="549"/>
      <c r="AU464" s="327"/>
      <c r="AV464" s="553" t="s">
        <v>334</v>
      </c>
      <c r="AW464" s="327"/>
      <c r="AX464" s="521"/>
      <c r="AY464" s="326"/>
      <c r="AZ464" s="327"/>
      <c r="BA464" s="550"/>
      <c r="BB464" s="327"/>
      <c r="BC464" s="22"/>
      <c r="BD464" s="551" t="s">
        <v>334</v>
      </c>
      <c r="BE464" s="327"/>
      <c r="BF464" s="545"/>
      <c r="BG464" s="326"/>
      <c r="BH464" s="326"/>
      <c r="BI464" s="327"/>
      <c r="BJ464" s="451" t="s">
        <v>303</v>
      </c>
      <c r="BK464" s="326"/>
      <c r="BL464" s="326"/>
      <c r="BM464" s="327"/>
      <c r="BN464" s="558" t="s">
        <v>303</v>
      </c>
      <c r="BO464" s="326"/>
      <c r="BP464" s="326"/>
      <c r="BQ464" s="326"/>
      <c r="BR464" s="326"/>
      <c r="BS464" s="326"/>
      <c r="BT464" s="326"/>
      <c r="BU464" s="326"/>
      <c r="BV464" s="327"/>
    </row>
    <row r="465" spans="1:74" ht="45" customHeight="1" x14ac:dyDescent="0.25">
      <c r="A465" s="10">
        <f t="shared" si="1"/>
        <v>451</v>
      </c>
      <c r="B465" s="559" t="s">
        <v>303</v>
      </c>
      <c r="C465" s="327"/>
      <c r="D465" s="560" t="s">
        <v>307</v>
      </c>
      <c r="E465" s="327"/>
      <c r="F465" s="537" t="s">
        <v>334</v>
      </c>
      <c r="G465" s="327"/>
      <c r="H465" s="566" t="s">
        <v>334</v>
      </c>
      <c r="I465" s="327"/>
      <c r="J465" s="567"/>
      <c r="K465" s="327"/>
      <c r="L465" s="567"/>
      <c r="M465" s="327"/>
      <c r="N465" s="20"/>
      <c r="O465" s="24"/>
      <c r="P465" s="524"/>
      <c r="Q465" s="327"/>
      <c r="R465" s="516"/>
      <c r="S465" s="327"/>
      <c r="T465" s="517"/>
      <c r="U465" s="327"/>
      <c r="V465" s="518"/>
      <c r="W465" s="327"/>
      <c r="X465" s="541" t="s">
        <v>303</v>
      </c>
      <c r="Y465" s="326"/>
      <c r="Z465" s="326"/>
      <c r="AA465" s="327"/>
      <c r="AB465" s="542" t="s">
        <v>303</v>
      </c>
      <c r="AC465" s="326"/>
      <c r="AD465" s="326"/>
      <c r="AE465" s="327"/>
      <c r="AF465" s="520"/>
      <c r="AG465" s="327"/>
      <c r="AH465" s="520"/>
      <c r="AI465" s="327"/>
      <c r="AJ465" s="554"/>
      <c r="AK465" s="327"/>
      <c r="AL465" s="537" t="s">
        <v>334</v>
      </c>
      <c r="AM465" s="327"/>
      <c r="AN465" s="546" t="s">
        <v>334</v>
      </c>
      <c r="AO465" s="327"/>
      <c r="AP465" s="554"/>
      <c r="AQ465" s="327"/>
      <c r="AR465" s="555"/>
      <c r="AS465" s="327"/>
      <c r="AT465" s="549"/>
      <c r="AU465" s="327"/>
      <c r="AV465" s="546" t="s">
        <v>334</v>
      </c>
      <c r="AW465" s="327"/>
      <c r="AX465" s="521"/>
      <c r="AY465" s="326"/>
      <c r="AZ465" s="327"/>
      <c r="BA465" s="536"/>
      <c r="BB465" s="327"/>
      <c r="BC465" s="25"/>
      <c r="BD465" s="544" t="s">
        <v>334</v>
      </c>
      <c r="BE465" s="327"/>
      <c r="BF465" s="508"/>
      <c r="BG465" s="326"/>
      <c r="BH465" s="326"/>
      <c r="BI465" s="327"/>
      <c r="BJ465" s="557" t="s">
        <v>303</v>
      </c>
      <c r="BK465" s="326"/>
      <c r="BL465" s="326"/>
      <c r="BM465" s="327"/>
      <c r="BN465" s="558" t="s">
        <v>303</v>
      </c>
      <c r="BO465" s="326"/>
      <c r="BP465" s="326"/>
      <c r="BQ465" s="326"/>
      <c r="BR465" s="326"/>
      <c r="BS465" s="326"/>
      <c r="BT465" s="326"/>
      <c r="BU465" s="326"/>
      <c r="BV465" s="327"/>
    </row>
    <row r="466" spans="1:74" ht="45" customHeight="1" x14ac:dyDescent="0.25">
      <c r="A466" s="10">
        <f t="shared" si="1"/>
        <v>452</v>
      </c>
      <c r="B466" s="564" t="s">
        <v>303</v>
      </c>
      <c r="C466" s="327"/>
      <c r="D466" s="565" t="s">
        <v>307</v>
      </c>
      <c r="E466" s="327"/>
      <c r="F466" s="537" t="s">
        <v>334</v>
      </c>
      <c r="G466" s="327"/>
      <c r="H466" s="561" t="s">
        <v>334</v>
      </c>
      <c r="I466" s="327"/>
      <c r="J466" s="562"/>
      <c r="K466" s="327"/>
      <c r="L466" s="562"/>
      <c r="M466" s="327"/>
      <c r="N466" s="23"/>
      <c r="O466" s="21"/>
      <c r="P466" s="563"/>
      <c r="Q466" s="327"/>
      <c r="R466" s="538"/>
      <c r="S466" s="327"/>
      <c r="T466" s="539"/>
      <c r="U466" s="327"/>
      <c r="V466" s="540"/>
      <c r="W466" s="327"/>
      <c r="X466" s="438" t="s">
        <v>303</v>
      </c>
      <c r="Y466" s="326"/>
      <c r="Z466" s="326"/>
      <c r="AA466" s="327"/>
      <c r="AB466" s="519" t="s">
        <v>303</v>
      </c>
      <c r="AC466" s="326"/>
      <c r="AD466" s="326"/>
      <c r="AE466" s="327"/>
      <c r="AF466" s="543"/>
      <c r="AG466" s="327"/>
      <c r="AH466" s="543"/>
      <c r="AI466" s="327"/>
      <c r="AJ466" s="536"/>
      <c r="AK466" s="327"/>
      <c r="AL466" s="556" t="s">
        <v>334</v>
      </c>
      <c r="AM466" s="327"/>
      <c r="AN466" s="553" t="s">
        <v>334</v>
      </c>
      <c r="AO466" s="327"/>
      <c r="AP466" s="547"/>
      <c r="AQ466" s="327"/>
      <c r="AR466" s="548"/>
      <c r="AS466" s="327"/>
      <c r="AT466" s="549"/>
      <c r="AU466" s="327"/>
      <c r="AV466" s="553" t="s">
        <v>334</v>
      </c>
      <c r="AW466" s="327"/>
      <c r="AX466" s="521"/>
      <c r="AY466" s="326"/>
      <c r="AZ466" s="327"/>
      <c r="BA466" s="550"/>
      <c r="BB466" s="327"/>
      <c r="BC466" s="22"/>
      <c r="BD466" s="551" t="s">
        <v>334</v>
      </c>
      <c r="BE466" s="327"/>
      <c r="BF466" s="545"/>
      <c r="BG466" s="326"/>
      <c r="BH466" s="326"/>
      <c r="BI466" s="327"/>
      <c r="BJ466" s="451" t="s">
        <v>303</v>
      </c>
      <c r="BK466" s="326"/>
      <c r="BL466" s="326"/>
      <c r="BM466" s="327"/>
      <c r="BN466" s="558" t="s">
        <v>303</v>
      </c>
      <c r="BO466" s="326"/>
      <c r="BP466" s="326"/>
      <c r="BQ466" s="326"/>
      <c r="BR466" s="326"/>
      <c r="BS466" s="326"/>
      <c r="BT466" s="326"/>
      <c r="BU466" s="326"/>
      <c r="BV466" s="327"/>
    </row>
    <row r="467" spans="1:74" ht="45" customHeight="1" x14ac:dyDescent="0.25">
      <c r="A467" s="10">
        <f t="shared" si="1"/>
        <v>453</v>
      </c>
      <c r="B467" s="559" t="s">
        <v>303</v>
      </c>
      <c r="C467" s="327"/>
      <c r="D467" s="560" t="s">
        <v>307</v>
      </c>
      <c r="E467" s="327"/>
      <c r="F467" s="537" t="s">
        <v>334</v>
      </c>
      <c r="G467" s="327"/>
      <c r="H467" s="566" t="s">
        <v>334</v>
      </c>
      <c r="I467" s="327"/>
      <c r="J467" s="567"/>
      <c r="K467" s="327"/>
      <c r="L467" s="567"/>
      <c r="M467" s="327"/>
      <c r="N467" s="20"/>
      <c r="O467" s="24"/>
      <c r="P467" s="524"/>
      <c r="Q467" s="327"/>
      <c r="R467" s="516"/>
      <c r="S467" s="327"/>
      <c r="T467" s="517"/>
      <c r="U467" s="327"/>
      <c r="V467" s="518"/>
      <c r="W467" s="327"/>
      <c r="X467" s="541" t="s">
        <v>303</v>
      </c>
      <c r="Y467" s="326"/>
      <c r="Z467" s="326"/>
      <c r="AA467" s="327"/>
      <c r="AB467" s="542" t="s">
        <v>303</v>
      </c>
      <c r="AC467" s="326"/>
      <c r="AD467" s="326"/>
      <c r="AE467" s="327"/>
      <c r="AF467" s="520"/>
      <c r="AG467" s="327"/>
      <c r="AH467" s="520"/>
      <c r="AI467" s="327"/>
      <c r="AJ467" s="554"/>
      <c r="AK467" s="327"/>
      <c r="AL467" s="537" t="s">
        <v>334</v>
      </c>
      <c r="AM467" s="327"/>
      <c r="AN467" s="546" t="s">
        <v>334</v>
      </c>
      <c r="AO467" s="327"/>
      <c r="AP467" s="554"/>
      <c r="AQ467" s="327"/>
      <c r="AR467" s="555"/>
      <c r="AS467" s="327"/>
      <c r="AT467" s="549"/>
      <c r="AU467" s="327"/>
      <c r="AV467" s="546" t="s">
        <v>334</v>
      </c>
      <c r="AW467" s="327"/>
      <c r="AX467" s="521"/>
      <c r="AY467" s="326"/>
      <c r="AZ467" s="327"/>
      <c r="BA467" s="536"/>
      <c r="BB467" s="327"/>
      <c r="BC467" s="25"/>
      <c r="BD467" s="544" t="s">
        <v>334</v>
      </c>
      <c r="BE467" s="327"/>
      <c r="BF467" s="552"/>
      <c r="BG467" s="326"/>
      <c r="BH467" s="326"/>
      <c r="BI467" s="327"/>
      <c r="BJ467" s="557" t="s">
        <v>303</v>
      </c>
      <c r="BK467" s="326"/>
      <c r="BL467" s="326"/>
      <c r="BM467" s="327"/>
      <c r="BN467" s="558" t="s">
        <v>303</v>
      </c>
      <c r="BO467" s="326"/>
      <c r="BP467" s="326"/>
      <c r="BQ467" s="326"/>
      <c r="BR467" s="326"/>
      <c r="BS467" s="326"/>
      <c r="BT467" s="326"/>
      <c r="BU467" s="326"/>
      <c r="BV467" s="327"/>
    </row>
    <row r="468" spans="1:74" ht="45" customHeight="1" x14ac:dyDescent="0.25">
      <c r="A468" s="10">
        <f t="shared" si="1"/>
        <v>454</v>
      </c>
      <c r="B468" s="564" t="s">
        <v>303</v>
      </c>
      <c r="C468" s="327"/>
      <c r="D468" s="565" t="s">
        <v>307</v>
      </c>
      <c r="E468" s="327"/>
      <c r="F468" s="537" t="s">
        <v>334</v>
      </c>
      <c r="G468" s="327"/>
      <c r="H468" s="561" t="s">
        <v>334</v>
      </c>
      <c r="I468" s="327"/>
      <c r="J468" s="562"/>
      <c r="K468" s="327"/>
      <c r="L468" s="562"/>
      <c r="M468" s="327"/>
      <c r="N468" s="23"/>
      <c r="O468" s="21"/>
      <c r="P468" s="563"/>
      <c r="Q468" s="327"/>
      <c r="R468" s="538"/>
      <c r="S468" s="327"/>
      <c r="T468" s="539"/>
      <c r="U468" s="327"/>
      <c r="V468" s="540"/>
      <c r="W468" s="327"/>
      <c r="X468" s="438" t="s">
        <v>303</v>
      </c>
      <c r="Y468" s="326"/>
      <c r="Z468" s="326"/>
      <c r="AA468" s="327"/>
      <c r="AB468" s="519" t="s">
        <v>303</v>
      </c>
      <c r="AC468" s="326"/>
      <c r="AD468" s="326"/>
      <c r="AE468" s="327"/>
      <c r="AF468" s="543"/>
      <c r="AG468" s="327"/>
      <c r="AH468" s="543"/>
      <c r="AI468" s="327"/>
      <c r="AJ468" s="536"/>
      <c r="AK468" s="327"/>
      <c r="AL468" s="556" t="s">
        <v>334</v>
      </c>
      <c r="AM468" s="327"/>
      <c r="AN468" s="553" t="s">
        <v>334</v>
      </c>
      <c r="AO468" s="327"/>
      <c r="AP468" s="547"/>
      <c r="AQ468" s="327"/>
      <c r="AR468" s="548"/>
      <c r="AS468" s="327"/>
      <c r="AT468" s="549"/>
      <c r="AU468" s="327"/>
      <c r="AV468" s="553" t="s">
        <v>334</v>
      </c>
      <c r="AW468" s="327"/>
      <c r="AX468" s="521"/>
      <c r="AY468" s="326"/>
      <c r="AZ468" s="327"/>
      <c r="BA468" s="550"/>
      <c r="BB468" s="327"/>
      <c r="BC468" s="22"/>
      <c r="BD468" s="551" t="s">
        <v>334</v>
      </c>
      <c r="BE468" s="327"/>
      <c r="BF468" s="545"/>
      <c r="BG468" s="326"/>
      <c r="BH468" s="326"/>
      <c r="BI468" s="327"/>
      <c r="BJ468" s="451" t="s">
        <v>303</v>
      </c>
      <c r="BK468" s="326"/>
      <c r="BL468" s="326"/>
      <c r="BM468" s="327"/>
      <c r="BN468" s="558" t="s">
        <v>303</v>
      </c>
      <c r="BO468" s="326"/>
      <c r="BP468" s="326"/>
      <c r="BQ468" s="326"/>
      <c r="BR468" s="326"/>
      <c r="BS468" s="326"/>
      <c r="BT468" s="326"/>
      <c r="BU468" s="326"/>
      <c r="BV468" s="327"/>
    </row>
    <row r="469" spans="1:74" ht="45" customHeight="1" x14ac:dyDescent="0.25">
      <c r="A469" s="10">
        <f t="shared" si="1"/>
        <v>455</v>
      </c>
      <c r="B469" s="559" t="s">
        <v>303</v>
      </c>
      <c r="C469" s="327"/>
      <c r="D469" s="560" t="s">
        <v>307</v>
      </c>
      <c r="E469" s="327"/>
      <c r="F469" s="537" t="s">
        <v>334</v>
      </c>
      <c r="G469" s="327"/>
      <c r="H469" s="566" t="s">
        <v>334</v>
      </c>
      <c r="I469" s="327"/>
      <c r="J469" s="567"/>
      <c r="K469" s="327"/>
      <c r="L469" s="567"/>
      <c r="M469" s="327"/>
      <c r="N469" s="20"/>
      <c r="O469" s="24"/>
      <c r="P469" s="524"/>
      <c r="Q469" s="327"/>
      <c r="R469" s="516"/>
      <c r="S469" s="327"/>
      <c r="T469" s="517"/>
      <c r="U469" s="327"/>
      <c r="V469" s="518"/>
      <c r="W469" s="327"/>
      <c r="X469" s="541" t="s">
        <v>303</v>
      </c>
      <c r="Y469" s="326"/>
      <c r="Z469" s="326"/>
      <c r="AA469" s="327"/>
      <c r="AB469" s="542" t="s">
        <v>303</v>
      </c>
      <c r="AC469" s="326"/>
      <c r="AD469" s="326"/>
      <c r="AE469" s="327"/>
      <c r="AF469" s="520"/>
      <c r="AG469" s="327"/>
      <c r="AH469" s="520"/>
      <c r="AI469" s="327"/>
      <c r="AJ469" s="554"/>
      <c r="AK469" s="327"/>
      <c r="AL469" s="537" t="s">
        <v>334</v>
      </c>
      <c r="AM469" s="327"/>
      <c r="AN469" s="546" t="s">
        <v>334</v>
      </c>
      <c r="AO469" s="327"/>
      <c r="AP469" s="554"/>
      <c r="AQ469" s="327"/>
      <c r="AR469" s="555"/>
      <c r="AS469" s="327"/>
      <c r="AT469" s="549"/>
      <c r="AU469" s="327"/>
      <c r="AV469" s="546" t="s">
        <v>334</v>
      </c>
      <c r="AW469" s="327"/>
      <c r="AX469" s="521"/>
      <c r="AY469" s="326"/>
      <c r="AZ469" s="327"/>
      <c r="BA469" s="536"/>
      <c r="BB469" s="327"/>
      <c r="BC469" s="25"/>
      <c r="BD469" s="544" t="s">
        <v>334</v>
      </c>
      <c r="BE469" s="327"/>
      <c r="BF469" s="508"/>
      <c r="BG469" s="326"/>
      <c r="BH469" s="326"/>
      <c r="BI469" s="327"/>
      <c r="BJ469" s="557" t="s">
        <v>303</v>
      </c>
      <c r="BK469" s="326"/>
      <c r="BL469" s="326"/>
      <c r="BM469" s="327"/>
      <c r="BN469" s="558" t="s">
        <v>303</v>
      </c>
      <c r="BO469" s="326"/>
      <c r="BP469" s="326"/>
      <c r="BQ469" s="326"/>
      <c r="BR469" s="326"/>
      <c r="BS469" s="326"/>
      <c r="BT469" s="326"/>
      <c r="BU469" s="326"/>
      <c r="BV469" s="327"/>
    </row>
    <row r="470" spans="1:74" ht="45" customHeight="1" x14ac:dyDescent="0.25">
      <c r="A470" s="10">
        <f t="shared" si="1"/>
        <v>456</v>
      </c>
      <c r="B470" s="564" t="s">
        <v>303</v>
      </c>
      <c r="C470" s="327"/>
      <c r="D470" s="565" t="s">
        <v>307</v>
      </c>
      <c r="E470" s="327"/>
      <c r="F470" s="537" t="s">
        <v>334</v>
      </c>
      <c r="G470" s="327"/>
      <c r="H470" s="561" t="s">
        <v>334</v>
      </c>
      <c r="I470" s="327"/>
      <c r="J470" s="562"/>
      <c r="K470" s="327"/>
      <c r="L470" s="562"/>
      <c r="M470" s="327"/>
      <c r="N470" s="23"/>
      <c r="O470" s="21"/>
      <c r="P470" s="563"/>
      <c r="Q470" s="327"/>
      <c r="R470" s="538"/>
      <c r="S470" s="327"/>
      <c r="T470" s="539"/>
      <c r="U470" s="327"/>
      <c r="V470" s="540"/>
      <c r="W470" s="327"/>
      <c r="X470" s="438" t="s">
        <v>303</v>
      </c>
      <c r="Y470" s="326"/>
      <c r="Z470" s="326"/>
      <c r="AA470" s="327"/>
      <c r="AB470" s="519" t="s">
        <v>303</v>
      </c>
      <c r="AC470" s="326"/>
      <c r="AD470" s="326"/>
      <c r="AE470" s="327"/>
      <c r="AF470" s="543"/>
      <c r="AG470" s="327"/>
      <c r="AH470" s="543"/>
      <c r="AI470" s="327"/>
      <c r="AJ470" s="536"/>
      <c r="AK470" s="327"/>
      <c r="AL470" s="556" t="s">
        <v>334</v>
      </c>
      <c r="AM470" s="327"/>
      <c r="AN470" s="553" t="s">
        <v>334</v>
      </c>
      <c r="AO470" s="327"/>
      <c r="AP470" s="547"/>
      <c r="AQ470" s="327"/>
      <c r="AR470" s="548"/>
      <c r="AS470" s="327"/>
      <c r="AT470" s="549"/>
      <c r="AU470" s="327"/>
      <c r="AV470" s="553" t="s">
        <v>334</v>
      </c>
      <c r="AW470" s="327"/>
      <c r="AX470" s="521"/>
      <c r="AY470" s="326"/>
      <c r="AZ470" s="327"/>
      <c r="BA470" s="550"/>
      <c r="BB470" s="327"/>
      <c r="BC470" s="22"/>
      <c r="BD470" s="551" t="s">
        <v>334</v>
      </c>
      <c r="BE470" s="327"/>
      <c r="BF470" s="545"/>
      <c r="BG470" s="326"/>
      <c r="BH470" s="326"/>
      <c r="BI470" s="327"/>
      <c r="BJ470" s="451" t="s">
        <v>303</v>
      </c>
      <c r="BK470" s="326"/>
      <c r="BL470" s="326"/>
      <c r="BM470" s="327"/>
      <c r="BN470" s="558" t="s">
        <v>303</v>
      </c>
      <c r="BO470" s="326"/>
      <c r="BP470" s="326"/>
      <c r="BQ470" s="326"/>
      <c r="BR470" s="326"/>
      <c r="BS470" s="326"/>
      <c r="BT470" s="326"/>
      <c r="BU470" s="326"/>
      <c r="BV470" s="327"/>
    </row>
    <row r="471" spans="1:74" ht="45" customHeight="1" x14ac:dyDescent="0.25">
      <c r="A471" s="10">
        <f t="shared" si="1"/>
        <v>457</v>
      </c>
      <c r="B471" s="559" t="s">
        <v>303</v>
      </c>
      <c r="C471" s="327"/>
      <c r="D471" s="560" t="s">
        <v>307</v>
      </c>
      <c r="E471" s="327"/>
      <c r="F471" s="537" t="s">
        <v>334</v>
      </c>
      <c r="G471" s="327"/>
      <c r="H471" s="566" t="s">
        <v>334</v>
      </c>
      <c r="I471" s="327"/>
      <c r="J471" s="567"/>
      <c r="K471" s="327"/>
      <c r="L471" s="567"/>
      <c r="M471" s="327"/>
      <c r="N471" s="20"/>
      <c r="O471" s="24"/>
      <c r="P471" s="524"/>
      <c r="Q471" s="327"/>
      <c r="R471" s="516"/>
      <c r="S471" s="327"/>
      <c r="T471" s="517"/>
      <c r="U471" s="327"/>
      <c r="V471" s="518"/>
      <c r="W471" s="327"/>
      <c r="X471" s="541" t="s">
        <v>303</v>
      </c>
      <c r="Y471" s="326"/>
      <c r="Z471" s="326"/>
      <c r="AA471" s="327"/>
      <c r="AB471" s="542" t="s">
        <v>303</v>
      </c>
      <c r="AC471" s="326"/>
      <c r="AD471" s="326"/>
      <c r="AE471" s="327"/>
      <c r="AF471" s="520"/>
      <c r="AG471" s="327"/>
      <c r="AH471" s="520"/>
      <c r="AI471" s="327"/>
      <c r="AJ471" s="554"/>
      <c r="AK471" s="327"/>
      <c r="AL471" s="537" t="s">
        <v>334</v>
      </c>
      <c r="AM471" s="327"/>
      <c r="AN471" s="546" t="s">
        <v>334</v>
      </c>
      <c r="AO471" s="327"/>
      <c r="AP471" s="554"/>
      <c r="AQ471" s="327"/>
      <c r="AR471" s="555"/>
      <c r="AS471" s="327"/>
      <c r="AT471" s="549"/>
      <c r="AU471" s="327"/>
      <c r="AV471" s="546" t="s">
        <v>334</v>
      </c>
      <c r="AW471" s="327"/>
      <c r="AX471" s="521"/>
      <c r="AY471" s="326"/>
      <c r="AZ471" s="327"/>
      <c r="BA471" s="536"/>
      <c r="BB471" s="327"/>
      <c r="BC471" s="25"/>
      <c r="BD471" s="544" t="s">
        <v>334</v>
      </c>
      <c r="BE471" s="327"/>
      <c r="BF471" s="552"/>
      <c r="BG471" s="326"/>
      <c r="BH471" s="326"/>
      <c r="BI471" s="327"/>
      <c r="BJ471" s="557" t="s">
        <v>303</v>
      </c>
      <c r="BK471" s="326"/>
      <c r="BL471" s="326"/>
      <c r="BM471" s="327"/>
      <c r="BN471" s="558" t="s">
        <v>303</v>
      </c>
      <c r="BO471" s="326"/>
      <c r="BP471" s="326"/>
      <c r="BQ471" s="326"/>
      <c r="BR471" s="326"/>
      <c r="BS471" s="326"/>
      <c r="BT471" s="326"/>
      <c r="BU471" s="326"/>
      <c r="BV471" s="327"/>
    </row>
    <row r="472" spans="1:74" ht="45" customHeight="1" x14ac:dyDescent="0.25">
      <c r="A472" s="10">
        <f t="shared" si="1"/>
        <v>458</v>
      </c>
      <c r="B472" s="564" t="s">
        <v>303</v>
      </c>
      <c r="C472" s="327"/>
      <c r="D472" s="565" t="s">
        <v>307</v>
      </c>
      <c r="E472" s="327"/>
      <c r="F472" s="537" t="s">
        <v>334</v>
      </c>
      <c r="G472" s="327"/>
      <c r="H472" s="561" t="s">
        <v>334</v>
      </c>
      <c r="I472" s="327"/>
      <c r="J472" s="562"/>
      <c r="K472" s="327"/>
      <c r="L472" s="562"/>
      <c r="M472" s="327"/>
      <c r="N472" s="23"/>
      <c r="O472" s="21"/>
      <c r="P472" s="563"/>
      <c r="Q472" s="327"/>
      <c r="R472" s="538"/>
      <c r="S472" s="327"/>
      <c r="T472" s="539"/>
      <c r="U472" s="327"/>
      <c r="V472" s="540"/>
      <c r="W472" s="327"/>
      <c r="X472" s="438" t="s">
        <v>303</v>
      </c>
      <c r="Y472" s="326"/>
      <c r="Z472" s="326"/>
      <c r="AA472" s="327"/>
      <c r="AB472" s="519" t="s">
        <v>303</v>
      </c>
      <c r="AC472" s="326"/>
      <c r="AD472" s="326"/>
      <c r="AE472" s="327"/>
      <c r="AF472" s="543"/>
      <c r="AG472" s="327"/>
      <c r="AH472" s="543"/>
      <c r="AI472" s="327"/>
      <c r="AJ472" s="536"/>
      <c r="AK472" s="327"/>
      <c r="AL472" s="556" t="s">
        <v>334</v>
      </c>
      <c r="AM472" s="327"/>
      <c r="AN472" s="553" t="s">
        <v>334</v>
      </c>
      <c r="AO472" s="327"/>
      <c r="AP472" s="547"/>
      <c r="AQ472" s="327"/>
      <c r="AR472" s="548"/>
      <c r="AS472" s="327"/>
      <c r="AT472" s="549"/>
      <c r="AU472" s="327"/>
      <c r="AV472" s="553" t="s">
        <v>334</v>
      </c>
      <c r="AW472" s="327"/>
      <c r="AX472" s="521"/>
      <c r="AY472" s="326"/>
      <c r="AZ472" s="327"/>
      <c r="BA472" s="550"/>
      <c r="BB472" s="327"/>
      <c r="BC472" s="22"/>
      <c r="BD472" s="551" t="s">
        <v>334</v>
      </c>
      <c r="BE472" s="327"/>
      <c r="BF472" s="545"/>
      <c r="BG472" s="326"/>
      <c r="BH472" s="326"/>
      <c r="BI472" s="327"/>
      <c r="BJ472" s="451" t="s">
        <v>303</v>
      </c>
      <c r="BK472" s="326"/>
      <c r="BL472" s="326"/>
      <c r="BM472" s="327"/>
      <c r="BN472" s="558" t="s">
        <v>303</v>
      </c>
      <c r="BO472" s="326"/>
      <c r="BP472" s="326"/>
      <c r="BQ472" s="326"/>
      <c r="BR472" s="326"/>
      <c r="BS472" s="326"/>
      <c r="BT472" s="326"/>
      <c r="BU472" s="326"/>
      <c r="BV472" s="327"/>
    </row>
    <row r="473" spans="1:74" ht="45" customHeight="1" x14ac:dyDescent="0.25">
      <c r="A473" s="10">
        <f t="shared" si="1"/>
        <v>459</v>
      </c>
      <c r="B473" s="559" t="s">
        <v>303</v>
      </c>
      <c r="C473" s="327"/>
      <c r="D473" s="560" t="s">
        <v>307</v>
      </c>
      <c r="E473" s="327"/>
      <c r="F473" s="537" t="s">
        <v>334</v>
      </c>
      <c r="G473" s="327"/>
      <c r="H473" s="566" t="s">
        <v>334</v>
      </c>
      <c r="I473" s="327"/>
      <c r="J473" s="567"/>
      <c r="K473" s="327"/>
      <c r="L473" s="567"/>
      <c r="M473" s="327"/>
      <c r="N473" s="20"/>
      <c r="O473" s="24"/>
      <c r="P473" s="524"/>
      <c r="Q473" s="327"/>
      <c r="R473" s="516"/>
      <c r="S473" s="327"/>
      <c r="T473" s="517"/>
      <c r="U473" s="327"/>
      <c r="V473" s="518"/>
      <c r="W473" s="327"/>
      <c r="X473" s="541" t="s">
        <v>303</v>
      </c>
      <c r="Y473" s="326"/>
      <c r="Z473" s="326"/>
      <c r="AA473" s="327"/>
      <c r="AB473" s="542" t="s">
        <v>303</v>
      </c>
      <c r="AC473" s="326"/>
      <c r="AD473" s="326"/>
      <c r="AE473" s="327"/>
      <c r="AF473" s="520"/>
      <c r="AG473" s="327"/>
      <c r="AH473" s="520"/>
      <c r="AI473" s="327"/>
      <c r="AJ473" s="554"/>
      <c r="AK473" s="327"/>
      <c r="AL473" s="537" t="s">
        <v>334</v>
      </c>
      <c r="AM473" s="327"/>
      <c r="AN473" s="546" t="s">
        <v>334</v>
      </c>
      <c r="AO473" s="327"/>
      <c r="AP473" s="554"/>
      <c r="AQ473" s="327"/>
      <c r="AR473" s="555"/>
      <c r="AS473" s="327"/>
      <c r="AT473" s="549"/>
      <c r="AU473" s="327"/>
      <c r="AV473" s="546" t="s">
        <v>334</v>
      </c>
      <c r="AW473" s="327"/>
      <c r="AX473" s="521"/>
      <c r="AY473" s="326"/>
      <c r="AZ473" s="327"/>
      <c r="BA473" s="536"/>
      <c r="BB473" s="327"/>
      <c r="BC473" s="25"/>
      <c r="BD473" s="544" t="s">
        <v>334</v>
      </c>
      <c r="BE473" s="327"/>
      <c r="BF473" s="508"/>
      <c r="BG473" s="326"/>
      <c r="BH473" s="326"/>
      <c r="BI473" s="327"/>
      <c r="BJ473" s="557" t="s">
        <v>303</v>
      </c>
      <c r="BK473" s="326"/>
      <c r="BL473" s="326"/>
      <c r="BM473" s="327"/>
      <c r="BN473" s="558" t="s">
        <v>303</v>
      </c>
      <c r="BO473" s="326"/>
      <c r="BP473" s="326"/>
      <c r="BQ473" s="326"/>
      <c r="BR473" s="326"/>
      <c r="BS473" s="326"/>
      <c r="BT473" s="326"/>
      <c r="BU473" s="326"/>
      <c r="BV473" s="327"/>
    </row>
    <row r="474" spans="1:74" ht="45" customHeight="1" x14ac:dyDescent="0.25">
      <c r="A474" s="10">
        <f t="shared" si="1"/>
        <v>460</v>
      </c>
      <c r="B474" s="564" t="s">
        <v>303</v>
      </c>
      <c r="C474" s="327"/>
      <c r="D474" s="565" t="s">
        <v>307</v>
      </c>
      <c r="E474" s="327"/>
      <c r="F474" s="537" t="s">
        <v>334</v>
      </c>
      <c r="G474" s="327"/>
      <c r="H474" s="561" t="s">
        <v>334</v>
      </c>
      <c r="I474" s="327"/>
      <c r="J474" s="562"/>
      <c r="K474" s="327"/>
      <c r="L474" s="562"/>
      <c r="M474" s="327"/>
      <c r="N474" s="23"/>
      <c r="O474" s="21"/>
      <c r="P474" s="563"/>
      <c r="Q474" s="327"/>
      <c r="R474" s="538"/>
      <c r="S474" s="327"/>
      <c r="T474" s="539"/>
      <c r="U474" s="327"/>
      <c r="V474" s="540"/>
      <c r="W474" s="327"/>
      <c r="X474" s="438" t="s">
        <v>303</v>
      </c>
      <c r="Y474" s="326"/>
      <c r="Z474" s="326"/>
      <c r="AA474" s="327"/>
      <c r="AB474" s="519" t="s">
        <v>303</v>
      </c>
      <c r="AC474" s="326"/>
      <c r="AD474" s="326"/>
      <c r="AE474" s="327"/>
      <c r="AF474" s="543"/>
      <c r="AG474" s="327"/>
      <c r="AH474" s="543"/>
      <c r="AI474" s="327"/>
      <c r="AJ474" s="536"/>
      <c r="AK474" s="327"/>
      <c r="AL474" s="556" t="s">
        <v>334</v>
      </c>
      <c r="AM474" s="327"/>
      <c r="AN474" s="553" t="s">
        <v>334</v>
      </c>
      <c r="AO474" s="327"/>
      <c r="AP474" s="547"/>
      <c r="AQ474" s="327"/>
      <c r="AR474" s="548"/>
      <c r="AS474" s="327"/>
      <c r="AT474" s="549"/>
      <c r="AU474" s="327"/>
      <c r="AV474" s="553" t="s">
        <v>334</v>
      </c>
      <c r="AW474" s="327"/>
      <c r="AX474" s="521"/>
      <c r="AY474" s="326"/>
      <c r="AZ474" s="327"/>
      <c r="BA474" s="550"/>
      <c r="BB474" s="327"/>
      <c r="BC474" s="22"/>
      <c r="BD474" s="551" t="s">
        <v>334</v>
      </c>
      <c r="BE474" s="327"/>
      <c r="BF474" s="545"/>
      <c r="BG474" s="326"/>
      <c r="BH474" s="326"/>
      <c r="BI474" s="327"/>
      <c r="BJ474" s="451" t="s">
        <v>303</v>
      </c>
      <c r="BK474" s="326"/>
      <c r="BL474" s="326"/>
      <c r="BM474" s="327"/>
      <c r="BN474" s="558" t="s">
        <v>303</v>
      </c>
      <c r="BO474" s="326"/>
      <c r="BP474" s="326"/>
      <c r="BQ474" s="326"/>
      <c r="BR474" s="326"/>
      <c r="BS474" s="326"/>
      <c r="BT474" s="326"/>
      <c r="BU474" s="326"/>
      <c r="BV474" s="327"/>
    </row>
    <row r="475" spans="1:74" ht="45" customHeight="1" x14ac:dyDescent="0.25">
      <c r="A475" s="10">
        <f t="shared" si="1"/>
        <v>461</v>
      </c>
      <c r="B475" s="559" t="s">
        <v>303</v>
      </c>
      <c r="C475" s="327"/>
      <c r="D475" s="560" t="s">
        <v>307</v>
      </c>
      <c r="E475" s="327"/>
      <c r="F475" s="537" t="s">
        <v>334</v>
      </c>
      <c r="G475" s="327"/>
      <c r="H475" s="566" t="s">
        <v>334</v>
      </c>
      <c r="I475" s="327"/>
      <c r="J475" s="567"/>
      <c r="K475" s="327"/>
      <c r="L475" s="567"/>
      <c r="M475" s="327"/>
      <c r="N475" s="20"/>
      <c r="O475" s="24"/>
      <c r="P475" s="524"/>
      <c r="Q475" s="327"/>
      <c r="R475" s="516"/>
      <c r="S475" s="327"/>
      <c r="T475" s="517"/>
      <c r="U475" s="327"/>
      <c r="V475" s="518"/>
      <c r="W475" s="327"/>
      <c r="X475" s="541" t="s">
        <v>303</v>
      </c>
      <c r="Y475" s="326"/>
      <c r="Z475" s="326"/>
      <c r="AA475" s="327"/>
      <c r="AB475" s="542" t="s">
        <v>303</v>
      </c>
      <c r="AC475" s="326"/>
      <c r="AD475" s="326"/>
      <c r="AE475" s="327"/>
      <c r="AF475" s="520"/>
      <c r="AG475" s="327"/>
      <c r="AH475" s="520"/>
      <c r="AI475" s="327"/>
      <c r="AJ475" s="554"/>
      <c r="AK475" s="327"/>
      <c r="AL475" s="537" t="s">
        <v>334</v>
      </c>
      <c r="AM475" s="327"/>
      <c r="AN475" s="546" t="s">
        <v>334</v>
      </c>
      <c r="AO475" s="327"/>
      <c r="AP475" s="554"/>
      <c r="AQ475" s="327"/>
      <c r="AR475" s="555"/>
      <c r="AS475" s="327"/>
      <c r="AT475" s="549"/>
      <c r="AU475" s="327"/>
      <c r="AV475" s="546" t="s">
        <v>334</v>
      </c>
      <c r="AW475" s="327"/>
      <c r="AX475" s="521"/>
      <c r="AY475" s="326"/>
      <c r="AZ475" s="327"/>
      <c r="BA475" s="536"/>
      <c r="BB475" s="327"/>
      <c r="BC475" s="25"/>
      <c r="BD475" s="544" t="s">
        <v>334</v>
      </c>
      <c r="BE475" s="327"/>
      <c r="BF475" s="508"/>
      <c r="BG475" s="326"/>
      <c r="BH475" s="326"/>
      <c r="BI475" s="327"/>
      <c r="BJ475" s="557" t="s">
        <v>303</v>
      </c>
      <c r="BK475" s="326"/>
      <c r="BL475" s="326"/>
      <c r="BM475" s="327"/>
      <c r="BN475" s="558" t="s">
        <v>303</v>
      </c>
      <c r="BO475" s="326"/>
      <c r="BP475" s="326"/>
      <c r="BQ475" s="326"/>
      <c r="BR475" s="326"/>
      <c r="BS475" s="326"/>
      <c r="BT475" s="326"/>
      <c r="BU475" s="326"/>
      <c r="BV475" s="327"/>
    </row>
    <row r="476" spans="1:74" ht="45" customHeight="1" x14ac:dyDescent="0.25">
      <c r="A476" s="10">
        <f t="shared" si="1"/>
        <v>462</v>
      </c>
      <c r="B476" s="564" t="s">
        <v>303</v>
      </c>
      <c r="C476" s="327"/>
      <c r="D476" s="565" t="s">
        <v>307</v>
      </c>
      <c r="E476" s="327"/>
      <c r="F476" s="537" t="s">
        <v>334</v>
      </c>
      <c r="G476" s="327"/>
      <c r="H476" s="561" t="s">
        <v>334</v>
      </c>
      <c r="I476" s="327"/>
      <c r="J476" s="562"/>
      <c r="K476" s="327"/>
      <c r="L476" s="562"/>
      <c r="M476" s="327"/>
      <c r="N476" s="23"/>
      <c r="O476" s="21"/>
      <c r="P476" s="563"/>
      <c r="Q476" s="327"/>
      <c r="R476" s="538"/>
      <c r="S476" s="327"/>
      <c r="T476" s="539"/>
      <c r="U476" s="327"/>
      <c r="V476" s="540"/>
      <c r="W476" s="327"/>
      <c r="X476" s="438" t="s">
        <v>303</v>
      </c>
      <c r="Y476" s="326"/>
      <c r="Z476" s="326"/>
      <c r="AA476" s="327"/>
      <c r="AB476" s="519" t="s">
        <v>303</v>
      </c>
      <c r="AC476" s="326"/>
      <c r="AD476" s="326"/>
      <c r="AE476" s="327"/>
      <c r="AF476" s="543"/>
      <c r="AG476" s="327"/>
      <c r="AH476" s="543"/>
      <c r="AI476" s="327"/>
      <c r="AJ476" s="536"/>
      <c r="AK476" s="327"/>
      <c r="AL476" s="556" t="s">
        <v>334</v>
      </c>
      <c r="AM476" s="327"/>
      <c r="AN476" s="553" t="s">
        <v>334</v>
      </c>
      <c r="AO476" s="327"/>
      <c r="AP476" s="547"/>
      <c r="AQ476" s="327"/>
      <c r="AR476" s="548"/>
      <c r="AS476" s="327"/>
      <c r="AT476" s="549"/>
      <c r="AU476" s="327"/>
      <c r="AV476" s="553" t="s">
        <v>334</v>
      </c>
      <c r="AW476" s="327"/>
      <c r="AX476" s="521"/>
      <c r="AY476" s="326"/>
      <c r="AZ476" s="327"/>
      <c r="BA476" s="550"/>
      <c r="BB476" s="327"/>
      <c r="BC476" s="22"/>
      <c r="BD476" s="551" t="s">
        <v>334</v>
      </c>
      <c r="BE476" s="327"/>
      <c r="BF476" s="545"/>
      <c r="BG476" s="326"/>
      <c r="BH476" s="326"/>
      <c r="BI476" s="327"/>
      <c r="BJ476" s="451" t="s">
        <v>303</v>
      </c>
      <c r="BK476" s="326"/>
      <c r="BL476" s="326"/>
      <c r="BM476" s="327"/>
      <c r="BN476" s="558" t="s">
        <v>303</v>
      </c>
      <c r="BO476" s="326"/>
      <c r="BP476" s="326"/>
      <c r="BQ476" s="326"/>
      <c r="BR476" s="326"/>
      <c r="BS476" s="326"/>
      <c r="BT476" s="326"/>
      <c r="BU476" s="326"/>
      <c r="BV476" s="327"/>
    </row>
    <row r="477" spans="1:74" ht="45" customHeight="1" x14ac:dyDescent="0.25">
      <c r="A477" s="10">
        <f t="shared" si="1"/>
        <v>463</v>
      </c>
      <c r="B477" s="559" t="s">
        <v>303</v>
      </c>
      <c r="C477" s="327"/>
      <c r="D477" s="560" t="s">
        <v>307</v>
      </c>
      <c r="E477" s="327"/>
      <c r="F477" s="537" t="s">
        <v>334</v>
      </c>
      <c r="G477" s="327"/>
      <c r="H477" s="566" t="s">
        <v>334</v>
      </c>
      <c r="I477" s="327"/>
      <c r="J477" s="567"/>
      <c r="K477" s="327"/>
      <c r="L477" s="567"/>
      <c r="M477" s="327"/>
      <c r="N477" s="20"/>
      <c r="O477" s="24"/>
      <c r="P477" s="524"/>
      <c r="Q477" s="327"/>
      <c r="R477" s="516"/>
      <c r="S477" s="327"/>
      <c r="T477" s="517"/>
      <c r="U477" s="327"/>
      <c r="V477" s="518"/>
      <c r="W477" s="327"/>
      <c r="X477" s="541" t="s">
        <v>303</v>
      </c>
      <c r="Y477" s="326"/>
      <c r="Z477" s="326"/>
      <c r="AA477" s="327"/>
      <c r="AB477" s="542" t="s">
        <v>303</v>
      </c>
      <c r="AC477" s="326"/>
      <c r="AD477" s="326"/>
      <c r="AE477" s="327"/>
      <c r="AF477" s="520"/>
      <c r="AG477" s="327"/>
      <c r="AH477" s="520"/>
      <c r="AI477" s="327"/>
      <c r="AJ477" s="554"/>
      <c r="AK477" s="327"/>
      <c r="AL477" s="537" t="s">
        <v>334</v>
      </c>
      <c r="AM477" s="327"/>
      <c r="AN477" s="546" t="s">
        <v>334</v>
      </c>
      <c r="AO477" s="327"/>
      <c r="AP477" s="554"/>
      <c r="AQ477" s="327"/>
      <c r="AR477" s="555"/>
      <c r="AS477" s="327"/>
      <c r="AT477" s="549"/>
      <c r="AU477" s="327"/>
      <c r="AV477" s="546" t="s">
        <v>334</v>
      </c>
      <c r="AW477" s="327"/>
      <c r="AX477" s="521"/>
      <c r="AY477" s="326"/>
      <c r="AZ477" s="327"/>
      <c r="BA477" s="536"/>
      <c r="BB477" s="327"/>
      <c r="BC477" s="25"/>
      <c r="BD477" s="544" t="s">
        <v>334</v>
      </c>
      <c r="BE477" s="327"/>
      <c r="BF477" s="552"/>
      <c r="BG477" s="326"/>
      <c r="BH477" s="326"/>
      <c r="BI477" s="327"/>
      <c r="BJ477" s="557" t="s">
        <v>303</v>
      </c>
      <c r="BK477" s="326"/>
      <c r="BL477" s="326"/>
      <c r="BM477" s="327"/>
      <c r="BN477" s="558" t="s">
        <v>303</v>
      </c>
      <c r="BO477" s="326"/>
      <c r="BP477" s="326"/>
      <c r="BQ477" s="326"/>
      <c r="BR477" s="326"/>
      <c r="BS477" s="326"/>
      <c r="BT477" s="326"/>
      <c r="BU477" s="326"/>
      <c r="BV477" s="327"/>
    </row>
    <row r="478" spans="1:74" ht="45" customHeight="1" x14ac:dyDescent="0.25">
      <c r="A478" s="10">
        <f t="shared" si="1"/>
        <v>464</v>
      </c>
      <c r="B478" s="564" t="s">
        <v>303</v>
      </c>
      <c r="C478" s="327"/>
      <c r="D478" s="565" t="s">
        <v>307</v>
      </c>
      <c r="E478" s="327"/>
      <c r="F478" s="537" t="s">
        <v>334</v>
      </c>
      <c r="G478" s="327"/>
      <c r="H478" s="561" t="s">
        <v>334</v>
      </c>
      <c r="I478" s="327"/>
      <c r="J478" s="562"/>
      <c r="K478" s="327"/>
      <c r="L478" s="562"/>
      <c r="M478" s="327"/>
      <c r="N478" s="23"/>
      <c r="O478" s="21"/>
      <c r="P478" s="563"/>
      <c r="Q478" s="327"/>
      <c r="R478" s="538"/>
      <c r="S478" s="327"/>
      <c r="T478" s="539"/>
      <c r="U478" s="327"/>
      <c r="V478" s="540"/>
      <c r="W478" s="327"/>
      <c r="X478" s="438" t="s">
        <v>303</v>
      </c>
      <c r="Y478" s="326"/>
      <c r="Z478" s="326"/>
      <c r="AA478" s="327"/>
      <c r="AB478" s="519" t="s">
        <v>303</v>
      </c>
      <c r="AC478" s="326"/>
      <c r="AD478" s="326"/>
      <c r="AE478" s="327"/>
      <c r="AF478" s="543"/>
      <c r="AG478" s="327"/>
      <c r="AH478" s="543"/>
      <c r="AI478" s="327"/>
      <c r="AJ478" s="536"/>
      <c r="AK478" s="327"/>
      <c r="AL478" s="556" t="s">
        <v>334</v>
      </c>
      <c r="AM478" s="327"/>
      <c r="AN478" s="553" t="s">
        <v>334</v>
      </c>
      <c r="AO478" s="327"/>
      <c r="AP478" s="547"/>
      <c r="AQ478" s="327"/>
      <c r="AR478" s="548"/>
      <c r="AS478" s="327"/>
      <c r="AT478" s="549"/>
      <c r="AU478" s="327"/>
      <c r="AV478" s="553" t="s">
        <v>334</v>
      </c>
      <c r="AW478" s="327"/>
      <c r="AX478" s="521"/>
      <c r="AY478" s="326"/>
      <c r="AZ478" s="327"/>
      <c r="BA478" s="550"/>
      <c r="BB478" s="327"/>
      <c r="BC478" s="22"/>
      <c r="BD478" s="551" t="s">
        <v>334</v>
      </c>
      <c r="BE478" s="327"/>
      <c r="BF478" s="545"/>
      <c r="BG478" s="326"/>
      <c r="BH478" s="326"/>
      <c r="BI478" s="327"/>
      <c r="BJ478" s="451" t="s">
        <v>303</v>
      </c>
      <c r="BK478" s="326"/>
      <c r="BL478" s="326"/>
      <c r="BM478" s="327"/>
      <c r="BN478" s="558" t="s">
        <v>303</v>
      </c>
      <c r="BO478" s="326"/>
      <c r="BP478" s="326"/>
      <c r="BQ478" s="326"/>
      <c r="BR478" s="326"/>
      <c r="BS478" s="326"/>
      <c r="BT478" s="326"/>
      <c r="BU478" s="326"/>
      <c r="BV478" s="327"/>
    </row>
    <row r="479" spans="1:74" ht="45" customHeight="1" x14ac:dyDescent="0.25">
      <c r="A479" s="10">
        <f t="shared" si="1"/>
        <v>465</v>
      </c>
      <c r="B479" s="559" t="s">
        <v>303</v>
      </c>
      <c r="C479" s="327"/>
      <c r="D479" s="560" t="s">
        <v>307</v>
      </c>
      <c r="E479" s="327"/>
      <c r="F479" s="537" t="s">
        <v>334</v>
      </c>
      <c r="G479" s="327"/>
      <c r="H479" s="566" t="s">
        <v>334</v>
      </c>
      <c r="I479" s="327"/>
      <c r="J479" s="567"/>
      <c r="K479" s="327"/>
      <c r="L479" s="567"/>
      <c r="M479" s="327"/>
      <c r="N479" s="20"/>
      <c r="O479" s="24"/>
      <c r="P479" s="524"/>
      <c r="Q479" s="327"/>
      <c r="R479" s="516"/>
      <c r="S479" s="327"/>
      <c r="T479" s="517"/>
      <c r="U479" s="327"/>
      <c r="V479" s="518"/>
      <c r="W479" s="327"/>
      <c r="X479" s="541" t="s">
        <v>303</v>
      </c>
      <c r="Y479" s="326"/>
      <c r="Z479" s="326"/>
      <c r="AA479" s="327"/>
      <c r="AB479" s="542" t="s">
        <v>303</v>
      </c>
      <c r="AC479" s="326"/>
      <c r="AD479" s="326"/>
      <c r="AE479" s="327"/>
      <c r="AF479" s="520"/>
      <c r="AG479" s="327"/>
      <c r="AH479" s="520"/>
      <c r="AI479" s="327"/>
      <c r="AJ479" s="554"/>
      <c r="AK479" s="327"/>
      <c r="AL479" s="537" t="s">
        <v>334</v>
      </c>
      <c r="AM479" s="327"/>
      <c r="AN479" s="546" t="s">
        <v>334</v>
      </c>
      <c r="AO479" s="327"/>
      <c r="AP479" s="554"/>
      <c r="AQ479" s="327"/>
      <c r="AR479" s="555"/>
      <c r="AS479" s="327"/>
      <c r="AT479" s="549"/>
      <c r="AU479" s="327"/>
      <c r="AV479" s="546" t="s">
        <v>334</v>
      </c>
      <c r="AW479" s="327"/>
      <c r="AX479" s="521"/>
      <c r="AY479" s="326"/>
      <c r="AZ479" s="327"/>
      <c r="BA479" s="536"/>
      <c r="BB479" s="327"/>
      <c r="BC479" s="25"/>
      <c r="BD479" s="544" t="s">
        <v>334</v>
      </c>
      <c r="BE479" s="327"/>
      <c r="BF479" s="508"/>
      <c r="BG479" s="326"/>
      <c r="BH479" s="326"/>
      <c r="BI479" s="327"/>
      <c r="BJ479" s="557" t="s">
        <v>303</v>
      </c>
      <c r="BK479" s="326"/>
      <c r="BL479" s="326"/>
      <c r="BM479" s="327"/>
      <c r="BN479" s="558" t="s">
        <v>303</v>
      </c>
      <c r="BO479" s="326"/>
      <c r="BP479" s="326"/>
      <c r="BQ479" s="326"/>
      <c r="BR479" s="326"/>
      <c r="BS479" s="326"/>
      <c r="BT479" s="326"/>
      <c r="BU479" s="326"/>
      <c r="BV479" s="327"/>
    </row>
    <row r="480" spans="1:74" ht="45" customHeight="1" x14ac:dyDescent="0.25">
      <c r="A480" s="10">
        <f t="shared" si="1"/>
        <v>466</v>
      </c>
      <c r="B480" s="564" t="s">
        <v>303</v>
      </c>
      <c r="C480" s="327"/>
      <c r="D480" s="565" t="s">
        <v>307</v>
      </c>
      <c r="E480" s="327"/>
      <c r="F480" s="537" t="s">
        <v>334</v>
      </c>
      <c r="G480" s="327"/>
      <c r="H480" s="561" t="s">
        <v>334</v>
      </c>
      <c r="I480" s="327"/>
      <c r="J480" s="562"/>
      <c r="K480" s="327"/>
      <c r="L480" s="562"/>
      <c r="M480" s="327"/>
      <c r="N480" s="23"/>
      <c r="O480" s="21"/>
      <c r="P480" s="563"/>
      <c r="Q480" s="327"/>
      <c r="R480" s="538"/>
      <c r="S480" s="327"/>
      <c r="T480" s="539"/>
      <c r="U480" s="327"/>
      <c r="V480" s="540"/>
      <c r="W480" s="327"/>
      <c r="X480" s="438" t="s">
        <v>303</v>
      </c>
      <c r="Y480" s="326"/>
      <c r="Z480" s="326"/>
      <c r="AA480" s="327"/>
      <c r="AB480" s="519" t="s">
        <v>303</v>
      </c>
      <c r="AC480" s="326"/>
      <c r="AD480" s="326"/>
      <c r="AE480" s="327"/>
      <c r="AF480" s="543"/>
      <c r="AG480" s="327"/>
      <c r="AH480" s="543"/>
      <c r="AI480" s="327"/>
      <c r="AJ480" s="536"/>
      <c r="AK480" s="327"/>
      <c r="AL480" s="556" t="s">
        <v>334</v>
      </c>
      <c r="AM480" s="327"/>
      <c r="AN480" s="553" t="s">
        <v>334</v>
      </c>
      <c r="AO480" s="327"/>
      <c r="AP480" s="547"/>
      <c r="AQ480" s="327"/>
      <c r="AR480" s="548"/>
      <c r="AS480" s="327"/>
      <c r="AT480" s="549"/>
      <c r="AU480" s="327"/>
      <c r="AV480" s="553" t="s">
        <v>334</v>
      </c>
      <c r="AW480" s="327"/>
      <c r="AX480" s="521"/>
      <c r="AY480" s="326"/>
      <c r="AZ480" s="327"/>
      <c r="BA480" s="550"/>
      <c r="BB480" s="327"/>
      <c r="BC480" s="22"/>
      <c r="BD480" s="551" t="s">
        <v>334</v>
      </c>
      <c r="BE480" s="327"/>
      <c r="BF480" s="545"/>
      <c r="BG480" s="326"/>
      <c r="BH480" s="326"/>
      <c r="BI480" s="327"/>
      <c r="BJ480" s="451" t="s">
        <v>303</v>
      </c>
      <c r="BK480" s="326"/>
      <c r="BL480" s="326"/>
      <c r="BM480" s="327"/>
      <c r="BN480" s="558" t="s">
        <v>303</v>
      </c>
      <c r="BO480" s="326"/>
      <c r="BP480" s="326"/>
      <c r="BQ480" s="326"/>
      <c r="BR480" s="326"/>
      <c r="BS480" s="326"/>
      <c r="BT480" s="326"/>
      <c r="BU480" s="326"/>
      <c r="BV480" s="327"/>
    </row>
    <row r="481" spans="1:74" ht="45" customHeight="1" x14ac:dyDescent="0.25">
      <c r="A481" s="10">
        <f t="shared" si="1"/>
        <v>467</v>
      </c>
      <c r="B481" s="559" t="s">
        <v>303</v>
      </c>
      <c r="C481" s="327"/>
      <c r="D481" s="560" t="s">
        <v>307</v>
      </c>
      <c r="E481" s="327"/>
      <c r="F481" s="537" t="s">
        <v>334</v>
      </c>
      <c r="G481" s="327"/>
      <c r="H481" s="566" t="s">
        <v>334</v>
      </c>
      <c r="I481" s="327"/>
      <c r="J481" s="567"/>
      <c r="K481" s="327"/>
      <c r="L481" s="567"/>
      <c r="M481" s="327"/>
      <c r="N481" s="20"/>
      <c r="O481" s="24"/>
      <c r="P481" s="524"/>
      <c r="Q481" s="327"/>
      <c r="R481" s="516"/>
      <c r="S481" s="327"/>
      <c r="T481" s="517"/>
      <c r="U481" s="327"/>
      <c r="V481" s="518"/>
      <c r="W481" s="327"/>
      <c r="X481" s="541" t="s">
        <v>303</v>
      </c>
      <c r="Y481" s="326"/>
      <c r="Z481" s="326"/>
      <c r="AA481" s="327"/>
      <c r="AB481" s="542" t="s">
        <v>303</v>
      </c>
      <c r="AC481" s="326"/>
      <c r="AD481" s="326"/>
      <c r="AE481" s="327"/>
      <c r="AF481" s="520"/>
      <c r="AG481" s="327"/>
      <c r="AH481" s="520"/>
      <c r="AI481" s="327"/>
      <c r="AJ481" s="554"/>
      <c r="AK481" s="327"/>
      <c r="AL481" s="537" t="s">
        <v>334</v>
      </c>
      <c r="AM481" s="327"/>
      <c r="AN481" s="546" t="s">
        <v>334</v>
      </c>
      <c r="AO481" s="327"/>
      <c r="AP481" s="554"/>
      <c r="AQ481" s="327"/>
      <c r="AR481" s="555"/>
      <c r="AS481" s="327"/>
      <c r="AT481" s="549"/>
      <c r="AU481" s="327"/>
      <c r="AV481" s="546" t="s">
        <v>334</v>
      </c>
      <c r="AW481" s="327"/>
      <c r="AX481" s="521"/>
      <c r="AY481" s="326"/>
      <c r="AZ481" s="327"/>
      <c r="BA481" s="536"/>
      <c r="BB481" s="327"/>
      <c r="BC481" s="25"/>
      <c r="BD481" s="544" t="s">
        <v>334</v>
      </c>
      <c r="BE481" s="327"/>
      <c r="BF481" s="552"/>
      <c r="BG481" s="326"/>
      <c r="BH481" s="326"/>
      <c r="BI481" s="327"/>
      <c r="BJ481" s="557" t="s">
        <v>303</v>
      </c>
      <c r="BK481" s="326"/>
      <c r="BL481" s="326"/>
      <c r="BM481" s="327"/>
      <c r="BN481" s="558" t="s">
        <v>303</v>
      </c>
      <c r="BO481" s="326"/>
      <c r="BP481" s="326"/>
      <c r="BQ481" s="326"/>
      <c r="BR481" s="326"/>
      <c r="BS481" s="326"/>
      <c r="BT481" s="326"/>
      <c r="BU481" s="326"/>
      <c r="BV481" s="327"/>
    </row>
    <row r="482" spans="1:74" ht="45" customHeight="1" x14ac:dyDescent="0.25">
      <c r="A482" s="10">
        <f t="shared" si="1"/>
        <v>468</v>
      </c>
      <c r="B482" s="564" t="s">
        <v>303</v>
      </c>
      <c r="C482" s="327"/>
      <c r="D482" s="565" t="s">
        <v>307</v>
      </c>
      <c r="E482" s="327"/>
      <c r="F482" s="537" t="s">
        <v>334</v>
      </c>
      <c r="G482" s="327"/>
      <c r="H482" s="561" t="s">
        <v>334</v>
      </c>
      <c r="I482" s="327"/>
      <c r="J482" s="562"/>
      <c r="K482" s="327"/>
      <c r="L482" s="562"/>
      <c r="M482" s="327"/>
      <c r="N482" s="23"/>
      <c r="O482" s="21"/>
      <c r="P482" s="563"/>
      <c r="Q482" s="327"/>
      <c r="R482" s="538"/>
      <c r="S482" s="327"/>
      <c r="T482" s="539"/>
      <c r="U482" s="327"/>
      <c r="V482" s="540"/>
      <c r="W482" s="327"/>
      <c r="X482" s="438" t="s">
        <v>303</v>
      </c>
      <c r="Y482" s="326"/>
      <c r="Z482" s="326"/>
      <c r="AA482" s="327"/>
      <c r="AB482" s="519" t="s">
        <v>303</v>
      </c>
      <c r="AC482" s="326"/>
      <c r="AD482" s="326"/>
      <c r="AE482" s="327"/>
      <c r="AF482" s="543"/>
      <c r="AG482" s="327"/>
      <c r="AH482" s="543"/>
      <c r="AI482" s="327"/>
      <c r="AJ482" s="536"/>
      <c r="AK482" s="327"/>
      <c r="AL482" s="556" t="s">
        <v>334</v>
      </c>
      <c r="AM482" s="327"/>
      <c r="AN482" s="553" t="s">
        <v>334</v>
      </c>
      <c r="AO482" s="327"/>
      <c r="AP482" s="547"/>
      <c r="AQ482" s="327"/>
      <c r="AR482" s="548"/>
      <c r="AS482" s="327"/>
      <c r="AT482" s="549"/>
      <c r="AU482" s="327"/>
      <c r="AV482" s="553" t="s">
        <v>334</v>
      </c>
      <c r="AW482" s="327"/>
      <c r="AX482" s="521"/>
      <c r="AY482" s="326"/>
      <c r="AZ482" s="327"/>
      <c r="BA482" s="550"/>
      <c r="BB482" s="327"/>
      <c r="BC482" s="22"/>
      <c r="BD482" s="551" t="s">
        <v>334</v>
      </c>
      <c r="BE482" s="327"/>
      <c r="BF482" s="545"/>
      <c r="BG482" s="326"/>
      <c r="BH482" s="326"/>
      <c r="BI482" s="327"/>
      <c r="BJ482" s="451" t="s">
        <v>303</v>
      </c>
      <c r="BK482" s="326"/>
      <c r="BL482" s="326"/>
      <c r="BM482" s="327"/>
      <c r="BN482" s="558" t="s">
        <v>303</v>
      </c>
      <c r="BO482" s="326"/>
      <c r="BP482" s="326"/>
      <c r="BQ482" s="326"/>
      <c r="BR482" s="326"/>
      <c r="BS482" s="326"/>
      <c r="BT482" s="326"/>
      <c r="BU482" s="326"/>
      <c r="BV482" s="327"/>
    </row>
    <row r="483" spans="1:74" ht="45" customHeight="1" x14ac:dyDescent="0.25">
      <c r="A483" s="10">
        <f t="shared" si="1"/>
        <v>469</v>
      </c>
      <c r="B483" s="559" t="s">
        <v>303</v>
      </c>
      <c r="C483" s="327"/>
      <c r="D483" s="560" t="s">
        <v>307</v>
      </c>
      <c r="E483" s="327"/>
      <c r="F483" s="537" t="s">
        <v>334</v>
      </c>
      <c r="G483" s="327"/>
      <c r="H483" s="566" t="s">
        <v>334</v>
      </c>
      <c r="I483" s="327"/>
      <c r="J483" s="567"/>
      <c r="K483" s="327"/>
      <c r="L483" s="567"/>
      <c r="M483" s="327"/>
      <c r="N483" s="20"/>
      <c r="O483" s="24"/>
      <c r="P483" s="524"/>
      <c r="Q483" s="327"/>
      <c r="R483" s="516"/>
      <c r="S483" s="327"/>
      <c r="T483" s="517"/>
      <c r="U483" s="327"/>
      <c r="V483" s="518"/>
      <c r="W483" s="327"/>
      <c r="X483" s="541" t="s">
        <v>303</v>
      </c>
      <c r="Y483" s="326"/>
      <c r="Z483" s="326"/>
      <c r="AA483" s="327"/>
      <c r="AB483" s="542" t="s">
        <v>303</v>
      </c>
      <c r="AC483" s="326"/>
      <c r="AD483" s="326"/>
      <c r="AE483" s="327"/>
      <c r="AF483" s="520"/>
      <c r="AG483" s="327"/>
      <c r="AH483" s="520"/>
      <c r="AI483" s="327"/>
      <c r="AJ483" s="554"/>
      <c r="AK483" s="327"/>
      <c r="AL483" s="537" t="s">
        <v>334</v>
      </c>
      <c r="AM483" s="327"/>
      <c r="AN483" s="546" t="s">
        <v>334</v>
      </c>
      <c r="AO483" s="327"/>
      <c r="AP483" s="554"/>
      <c r="AQ483" s="327"/>
      <c r="AR483" s="555"/>
      <c r="AS483" s="327"/>
      <c r="AT483" s="549"/>
      <c r="AU483" s="327"/>
      <c r="AV483" s="546" t="s">
        <v>334</v>
      </c>
      <c r="AW483" s="327"/>
      <c r="AX483" s="521"/>
      <c r="AY483" s="326"/>
      <c r="AZ483" s="327"/>
      <c r="BA483" s="536"/>
      <c r="BB483" s="327"/>
      <c r="BC483" s="25"/>
      <c r="BD483" s="544" t="s">
        <v>334</v>
      </c>
      <c r="BE483" s="327"/>
      <c r="BF483" s="508"/>
      <c r="BG483" s="326"/>
      <c r="BH483" s="326"/>
      <c r="BI483" s="327"/>
      <c r="BJ483" s="557" t="s">
        <v>303</v>
      </c>
      <c r="BK483" s="326"/>
      <c r="BL483" s="326"/>
      <c r="BM483" s="327"/>
      <c r="BN483" s="558" t="s">
        <v>303</v>
      </c>
      <c r="BO483" s="326"/>
      <c r="BP483" s="326"/>
      <c r="BQ483" s="326"/>
      <c r="BR483" s="326"/>
      <c r="BS483" s="326"/>
      <c r="BT483" s="326"/>
      <c r="BU483" s="326"/>
      <c r="BV483" s="327"/>
    </row>
    <row r="484" spans="1:74" ht="45" customHeight="1" x14ac:dyDescent="0.25">
      <c r="A484" s="10">
        <f t="shared" si="1"/>
        <v>470</v>
      </c>
      <c r="B484" s="564" t="s">
        <v>303</v>
      </c>
      <c r="C484" s="327"/>
      <c r="D484" s="565" t="s">
        <v>307</v>
      </c>
      <c r="E484" s="327"/>
      <c r="F484" s="537" t="s">
        <v>334</v>
      </c>
      <c r="G484" s="327"/>
      <c r="H484" s="561" t="s">
        <v>334</v>
      </c>
      <c r="I484" s="327"/>
      <c r="J484" s="562"/>
      <c r="K484" s="327"/>
      <c r="L484" s="562"/>
      <c r="M484" s="327"/>
      <c r="N484" s="23"/>
      <c r="O484" s="21"/>
      <c r="P484" s="563"/>
      <c r="Q484" s="327"/>
      <c r="R484" s="538"/>
      <c r="S484" s="327"/>
      <c r="T484" s="539"/>
      <c r="U484" s="327"/>
      <c r="V484" s="540"/>
      <c r="W484" s="327"/>
      <c r="X484" s="438" t="s">
        <v>303</v>
      </c>
      <c r="Y484" s="326"/>
      <c r="Z484" s="326"/>
      <c r="AA484" s="327"/>
      <c r="AB484" s="519" t="s">
        <v>303</v>
      </c>
      <c r="AC484" s="326"/>
      <c r="AD484" s="326"/>
      <c r="AE484" s="327"/>
      <c r="AF484" s="543"/>
      <c r="AG484" s="327"/>
      <c r="AH484" s="543"/>
      <c r="AI484" s="327"/>
      <c r="AJ484" s="536"/>
      <c r="AK484" s="327"/>
      <c r="AL484" s="556" t="s">
        <v>334</v>
      </c>
      <c r="AM484" s="327"/>
      <c r="AN484" s="553" t="s">
        <v>334</v>
      </c>
      <c r="AO484" s="327"/>
      <c r="AP484" s="547"/>
      <c r="AQ484" s="327"/>
      <c r="AR484" s="548"/>
      <c r="AS484" s="327"/>
      <c r="AT484" s="549"/>
      <c r="AU484" s="327"/>
      <c r="AV484" s="553" t="s">
        <v>334</v>
      </c>
      <c r="AW484" s="327"/>
      <c r="AX484" s="521"/>
      <c r="AY484" s="326"/>
      <c r="AZ484" s="327"/>
      <c r="BA484" s="550"/>
      <c r="BB484" s="327"/>
      <c r="BC484" s="22"/>
      <c r="BD484" s="551" t="s">
        <v>334</v>
      </c>
      <c r="BE484" s="327"/>
      <c r="BF484" s="545"/>
      <c r="BG484" s="326"/>
      <c r="BH484" s="326"/>
      <c r="BI484" s="327"/>
      <c r="BJ484" s="451" t="s">
        <v>303</v>
      </c>
      <c r="BK484" s="326"/>
      <c r="BL484" s="326"/>
      <c r="BM484" s="327"/>
      <c r="BN484" s="558" t="s">
        <v>303</v>
      </c>
      <c r="BO484" s="326"/>
      <c r="BP484" s="326"/>
      <c r="BQ484" s="326"/>
      <c r="BR484" s="326"/>
      <c r="BS484" s="326"/>
      <c r="BT484" s="326"/>
      <c r="BU484" s="326"/>
      <c r="BV484" s="327"/>
    </row>
    <row r="485" spans="1:74" ht="45" customHeight="1" x14ac:dyDescent="0.25">
      <c r="A485" s="10">
        <f t="shared" si="1"/>
        <v>471</v>
      </c>
      <c r="B485" s="559" t="s">
        <v>303</v>
      </c>
      <c r="C485" s="327"/>
      <c r="D485" s="560" t="s">
        <v>307</v>
      </c>
      <c r="E485" s="327"/>
      <c r="F485" s="537" t="s">
        <v>334</v>
      </c>
      <c r="G485" s="327"/>
      <c r="H485" s="566" t="s">
        <v>334</v>
      </c>
      <c r="I485" s="327"/>
      <c r="J485" s="567"/>
      <c r="K485" s="327"/>
      <c r="L485" s="567"/>
      <c r="M485" s="327"/>
      <c r="N485" s="20"/>
      <c r="O485" s="24"/>
      <c r="P485" s="524"/>
      <c r="Q485" s="327"/>
      <c r="R485" s="516"/>
      <c r="S485" s="327"/>
      <c r="T485" s="517"/>
      <c r="U485" s="327"/>
      <c r="V485" s="518"/>
      <c r="W485" s="327"/>
      <c r="X485" s="541" t="s">
        <v>303</v>
      </c>
      <c r="Y485" s="326"/>
      <c r="Z485" s="326"/>
      <c r="AA485" s="327"/>
      <c r="AB485" s="542" t="s">
        <v>303</v>
      </c>
      <c r="AC485" s="326"/>
      <c r="AD485" s="326"/>
      <c r="AE485" s="327"/>
      <c r="AF485" s="520"/>
      <c r="AG485" s="327"/>
      <c r="AH485" s="520"/>
      <c r="AI485" s="327"/>
      <c r="AJ485" s="554"/>
      <c r="AK485" s="327"/>
      <c r="AL485" s="537" t="s">
        <v>334</v>
      </c>
      <c r="AM485" s="327"/>
      <c r="AN485" s="546" t="s">
        <v>334</v>
      </c>
      <c r="AO485" s="327"/>
      <c r="AP485" s="554"/>
      <c r="AQ485" s="327"/>
      <c r="AR485" s="555"/>
      <c r="AS485" s="327"/>
      <c r="AT485" s="549"/>
      <c r="AU485" s="327"/>
      <c r="AV485" s="546" t="s">
        <v>334</v>
      </c>
      <c r="AW485" s="327"/>
      <c r="AX485" s="521"/>
      <c r="AY485" s="326"/>
      <c r="AZ485" s="327"/>
      <c r="BA485" s="536"/>
      <c r="BB485" s="327"/>
      <c r="BC485" s="25"/>
      <c r="BD485" s="544" t="s">
        <v>334</v>
      </c>
      <c r="BE485" s="327"/>
      <c r="BF485" s="508"/>
      <c r="BG485" s="326"/>
      <c r="BH485" s="326"/>
      <c r="BI485" s="327"/>
      <c r="BJ485" s="557" t="s">
        <v>303</v>
      </c>
      <c r="BK485" s="326"/>
      <c r="BL485" s="326"/>
      <c r="BM485" s="327"/>
      <c r="BN485" s="558" t="s">
        <v>303</v>
      </c>
      <c r="BO485" s="326"/>
      <c r="BP485" s="326"/>
      <c r="BQ485" s="326"/>
      <c r="BR485" s="326"/>
      <c r="BS485" s="326"/>
      <c r="BT485" s="326"/>
      <c r="BU485" s="326"/>
      <c r="BV485" s="327"/>
    </row>
    <row r="486" spans="1:74" ht="45" customHeight="1" x14ac:dyDescent="0.25">
      <c r="A486" s="10">
        <f t="shared" si="1"/>
        <v>472</v>
      </c>
      <c r="B486" s="564" t="s">
        <v>303</v>
      </c>
      <c r="C486" s="327"/>
      <c r="D486" s="565" t="s">
        <v>307</v>
      </c>
      <c r="E486" s="327"/>
      <c r="F486" s="537" t="s">
        <v>334</v>
      </c>
      <c r="G486" s="327"/>
      <c r="H486" s="561" t="s">
        <v>334</v>
      </c>
      <c r="I486" s="327"/>
      <c r="J486" s="562"/>
      <c r="K486" s="327"/>
      <c r="L486" s="562"/>
      <c r="M486" s="327"/>
      <c r="N486" s="23"/>
      <c r="O486" s="21"/>
      <c r="P486" s="563"/>
      <c r="Q486" s="327"/>
      <c r="R486" s="538"/>
      <c r="S486" s="327"/>
      <c r="T486" s="539"/>
      <c r="U486" s="327"/>
      <c r="V486" s="540"/>
      <c r="W486" s="327"/>
      <c r="X486" s="438" t="s">
        <v>303</v>
      </c>
      <c r="Y486" s="326"/>
      <c r="Z486" s="326"/>
      <c r="AA486" s="327"/>
      <c r="AB486" s="519" t="s">
        <v>303</v>
      </c>
      <c r="AC486" s="326"/>
      <c r="AD486" s="326"/>
      <c r="AE486" s="327"/>
      <c r="AF486" s="543"/>
      <c r="AG486" s="327"/>
      <c r="AH486" s="543"/>
      <c r="AI486" s="327"/>
      <c r="AJ486" s="536"/>
      <c r="AK486" s="327"/>
      <c r="AL486" s="556" t="s">
        <v>334</v>
      </c>
      <c r="AM486" s="327"/>
      <c r="AN486" s="553" t="s">
        <v>334</v>
      </c>
      <c r="AO486" s="327"/>
      <c r="AP486" s="547"/>
      <c r="AQ486" s="327"/>
      <c r="AR486" s="548"/>
      <c r="AS486" s="327"/>
      <c r="AT486" s="549"/>
      <c r="AU486" s="327"/>
      <c r="AV486" s="553" t="s">
        <v>334</v>
      </c>
      <c r="AW486" s="327"/>
      <c r="AX486" s="521"/>
      <c r="AY486" s="326"/>
      <c r="AZ486" s="327"/>
      <c r="BA486" s="550"/>
      <c r="BB486" s="327"/>
      <c r="BC486" s="22"/>
      <c r="BD486" s="551" t="s">
        <v>334</v>
      </c>
      <c r="BE486" s="327"/>
      <c r="BF486" s="545"/>
      <c r="BG486" s="326"/>
      <c r="BH486" s="326"/>
      <c r="BI486" s="327"/>
      <c r="BJ486" s="451" t="s">
        <v>303</v>
      </c>
      <c r="BK486" s="326"/>
      <c r="BL486" s="326"/>
      <c r="BM486" s="327"/>
      <c r="BN486" s="558" t="s">
        <v>303</v>
      </c>
      <c r="BO486" s="326"/>
      <c r="BP486" s="326"/>
      <c r="BQ486" s="326"/>
      <c r="BR486" s="326"/>
      <c r="BS486" s="326"/>
      <c r="BT486" s="326"/>
      <c r="BU486" s="326"/>
      <c r="BV486" s="327"/>
    </row>
    <row r="487" spans="1:74" ht="45" customHeight="1" x14ac:dyDescent="0.25">
      <c r="A487" s="10">
        <f t="shared" si="1"/>
        <v>473</v>
      </c>
      <c r="B487" s="559" t="s">
        <v>303</v>
      </c>
      <c r="C487" s="327"/>
      <c r="D487" s="560" t="s">
        <v>307</v>
      </c>
      <c r="E487" s="327"/>
      <c r="F487" s="537" t="s">
        <v>334</v>
      </c>
      <c r="G487" s="327"/>
      <c r="H487" s="566" t="s">
        <v>334</v>
      </c>
      <c r="I487" s="327"/>
      <c r="J487" s="567"/>
      <c r="K487" s="327"/>
      <c r="L487" s="567"/>
      <c r="M487" s="327"/>
      <c r="N487" s="20"/>
      <c r="O487" s="24"/>
      <c r="P487" s="524"/>
      <c r="Q487" s="327"/>
      <c r="R487" s="516"/>
      <c r="S487" s="327"/>
      <c r="T487" s="517"/>
      <c r="U487" s="327"/>
      <c r="V487" s="518"/>
      <c r="W487" s="327"/>
      <c r="X487" s="541" t="s">
        <v>303</v>
      </c>
      <c r="Y487" s="326"/>
      <c r="Z487" s="326"/>
      <c r="AA487" s="327"/>
      <c r="AB487" s="542" t="s">
        <v>303</v>
      </c>
      <c r="AC487" s="326"/>
      <c r="AD487" s="326"/>
      <c r="AE487" s="327"/>
      <c r="AF487" s="520"/>
      <c r="AG487" s="327"/>
      <c r="AH487" s="520"/>
      <c r="AI487" s="327"/>
      <c r="AJ487" s="554"/>
      <c r="AK487" s="327"/>
      <c r="AL487" s="537" t="s">
        <v>334</v>
      </c>
      <c r="AM487" s="327"/>
      <c r="AN487" s="546" t="s">
        <v>334</v>
      </c>
      <c r="AO487" s="327"/>
      <c r="AP487" s="554"/>
      <c r="AQ487" s="327"/>
      <c r="AR487" s="555"/>
      <c r="AS487" s="327"/>
      <c r="AT487" s="549"/>
      <c r="AU487" s="327"/>
      <c r="AV487" s="546" t="s">
        <v>334</v>
      </c>
      <c r="AW487" s="327"/>
      <c r="AX487" s="521"/>
      <c r="AY487" s="326"/>
      <c r="AZ487" s="327"/>
      <c r="BA487" s="536"/>
      <c r="BB487" s="327"/>
      <c r="BC487" s="25"/>
      <c r="BD487" s="544" t="s">
        <v>334</v>
      </c>
      <c r="BE487" s="327"/>
      <c r="BF487" s="552"/>
      <c r="BG487" s="326"/>
      <c r="BH487" s="326"/>
      <c r="BI487" s="327"/>
      <c r="BJ487" s="557" t="s">
        <v>303</v>
      </c>
      <c r="BK487" s="326"/>
      <c r="BL487" s="326"/>
      <c r="BM487" s="327"/>
      <c r="BN487" s="558" t="s">
        <v>303</v>
      </c>
      <c r="BO487" s="326"/>
      <c r="BP487" s="326"/>
      <c r="BQ487" s="326"/>
      <c r="BR487" s="326"/>
      <c r="BS487" s="326"/>
      <c r="BT487" s="326"/>
      <c r="BU487" s="326"/>
      <c r="BV487" s="327"/>
    </row>
    <row r="488" spans="1:74" ht="45" customHeight="1" x14ac:dyDescent="0.25">
      <c r="A488" s="10">
        <f t="shared" si="1"/>
        <v>474</v>
      </c>
      <c r="B488" s="564" t="s">
        <v>303</v>
      </c>
      <c r="C488" s="327"/>
      <c r="D488" s="565" t="s">
        <v>307</v>
      </c>
      <c r="E488" s="327"/>
      <c r="F488" s="537" t="s">
        <v>334</v>
      </c>
      <c r="G488" s="327"/>
      <c r="H488" s="561" t="s">
        <v>334</v>
      </c>
      <c r="I488" s="327"/>
      <c r="J488" s="562"/>
      <c r="K488" s="327"/>
      <c r="L488" s="562"/>
      <c r="M488" s="327"/>
      <c r="N488" s="23"/>
      <c r="O488" s="21"/>
      <c r="P488" s="563"/>
      <c r="Q488" s="327"/>
      <c r="R488" s="538"/>
      <c r="S488" s="327"/>
      <c r="T488" s="539"/>
      <c r="U488" s="327"/>
      <c r="V488" s="540"/>
      <c r="W488" s="327"/>
      <c r="X488" s="438" t="s">
        <v>303</v>
      </c>
      <c r="Y488" s="326"/>
      <c r="Z488" s="326"/>
      <c r="AA488" s="327"/>
      <c r="AB488" s="519" t="s">
        <v>303</v>
      </c>
      <c r="AC488" s="326"/>
      <c r="AD488" s="326"/>
      <c r="AE488" s="327"/>
      <c r="AF488" s="543"/>
      <c r="AG488" s="327"/>
      <c r="AH488" s="543"/>
      <c r="AI488" s="327"/>
      <c r="AJ488" s="536"/>
      <c r="AK488" s="327"/>
      <c r="AL488" s="556" t="s">
        <v>334</v>
      </c>
      <c r="AM488" s="327"/>
      <c r="AN488" s="553" t="s">
        <v>334</v>
      </c>
      <c r="AO488" s="327"/>
      <c r="AP488" s="547"/>
      <c r="AQ488" s="327"/>
      <c r="AR488" s="548"/>
      <c r="AS488" s="327"/>
      <c r="AT488" s="549"/>
      <c r="AU488" s="327"/>
      <c r="AV488" s="553" t="s">
        <v>334</v>
      </c>
      <c r="AW488" s="327"/>
      <c r="AX488" s="521"/>
      <c r="AY488" s="326"/>
      <c r="AZ488" s="327"/>
      <c r="BA488" s="550"/>
      <c r="BB488" s="327"/>
      <c r="BC488" s="22"/>
      <c r="BD488" s="551" t="s">
        <v>334</v>
      </c>
      <c r="BE488" s="327"/>
      <c r="BF488" s="545"/>
      <c r="BG488" s="326"/>
      <c r="BH488" s="326"/>
      <c r="BI488" s="327"/>
      <c r="BJ488" s="451" t="s">
        <v>303</v>
      </c>
      <c r="BK488" s="326"/>
      <c r="BL488" s="326"/>
      <c r="BM488" s="327"/>
      <c r="BN488" s="558" t="s">
        <v>303</v>
      </c>
      <c r="BO488" s="326"/>
      <c r="BP488" s="326"/>
      <c r="BQ488" s="326"/>
      <c r="BR488" s="326"/>
      <c r="BS488" s="326"/>
      <c r="BT488" s="326"/>
      <c r="BU488" s="326"/>
      <c r="BV488" s="327"/>
    </row>
    <row r="489" spans="1:74" ht="45" customHeight="1" x14ac:dyDescent="0.25">
      <c r="A489" s="10">
        <f t="shared" si="1"/>
        <v>475</v>
      </c>
      <c r="B489" s="559" t="s">
        <v>303</v>
      </c>
      <c r="C489" s="327"/>
      <c r="D489" s="560" t="s">
        <v>307</v>
      </c>
      <c r="E489" s="327"/>
      <c r="F489" s="537" t="s">
        <v>334</v>
      </c>
      <c r="G489" s="327"/>
      <c r="H489" s="566" t="s">
        <v>334</v>
      </c>
      <c r="I489" s="327"/>
      <c r="J489" s="567"/>
      <c r="K489" s="327"/>
      <c r="L489" s="567"/>
      <c r="M489" s="327"/>
      <c r="N489" s="20"/>
      <c r="O489" s="24"/>
      <c r="P489" s="524"/>
      <c r="Q489" s="327"/>
      <c r="R489" s="516"/>
      <c r="S489" s="327"/>
      <c r="T489" s="517"/>
      <c r="U489" s="327"/>
      <c r="V489" s="518"/>
      <c r="W489" s="327"/>
      <c r="X489" s="541" t="s">
        <v>303</v>
      </c>
      <c r="Y489" s="326"/>
      <c r="Z489" s="326"/>
      <c r="AA489" s="327"/>
      <c r="AB489" s="542" t="s">
        <v>303</v>
      </c>
      <c r="AC489" s="326"/>
      <c r="AD489" s="326"/>
      <c r="AE489" s="327"/>
      <c r="AF489" s="520"/>
      <c r="AG489" s="327"/>
      <c r="AH489" s="520"/>
      <c r="AI489" s="327"/>
      <c r="AJ489" s="554"/>
      <c r="AK489" s="327"/>
      <c r="AL489" s="537" t="s">
        <v>334</v>
      </c>
      <c r="AM489" s="327"/>
      <c r="AN489" s="546" t="s">
        <v>334</v>
      </c>
      <c r="AO489" s="327"/>
      <c r="AP489" s="554"/>
      <c r="AQ489" s="327"/>
      <c r="AR489" s="555"/>
      <c r="AS489" s="327"/>
      <c r="AT489" s="549"/>
      <c r="AU489" s="327"/>
      <c r="AV489" s="546" t="s">
        <v>334</v>
      </c>
      <c r="AW489" s="327"/>
      <c r="AX489" s="521"/>
      <c r="AY489" s="326"/>
      <c r="AZ489" s="327"/>
      <c r="BA489" s="536"/>
      <c r="BB489" s="327"/>
      <c r="BC489" s="25"/>
      <c r="BD489" s="544" t="s">
        <v>334</v>
      </c>
      <c r="BE489" s="327"/>
      <c r="BF489" s="508"/>
      <c r="BG489" s="326"/>
      <c r="BH489" s="326"/>
      <c r="BI489" s="327"/>
      <c r="BJ489" s="557" t="s">
        <v>303</v>
      </c>
      <c r="BK489" s="326"/>
      <c r="BL489" s="326"/>
      <c r="BM489" s="327"/>
      <c r="BN489" s="558" t="s">
        <v>303</v>
      </c>
      <c r="BO489" s="326"/>
      <c r="BP489" s="326"/>
      <c r="BQ489" s="326"/>
      <c r="BR489" s="326"/>
      <c r="BS489" s="326"/>
      <c r="BT489" s="326"/>
      <c r="BU489" s="326"/>
      <c r="BV489" s="327"/>
    </row>
    <row r="490" spans="1:74" ht="45" customHeight="1" x14ac:dyDescent="0.25">
      <c r="A490" s="10">
        <f t="shared" si="1"/>
        <v>476</v>
      </c>
      <c r="B490" s="564" t="s">
        <v>303</v>
      </c>
      <c r="C490" s="327"/>
      <c r="D490" s="565" t="s">
        <v>307</v>
      </c>
      <c r="E490" s="327"/>
      <c r="F490" s="537" t="s">
        <v>334</v>
      </c>
      <c r="G490" s="327"/>
      <c r="H490" s="561" t="s">
        <v>334</v>
      </c>
      <c r="I490" s="327"/>
      <c r="J490" s="562"/>
      <c r="K490" s="327"/>
      <c r="L490" s="562"/>
      <c r="M490" s="327"/>
      <c r="N490" s="23"/>
      <c r="O490" s="21"/>
      <c r="P490" s="563"/>
      <c r="Q490" s="327"/>
      <c r="R490" s="538"/>
      <c r="S490" s="327"/>
      <c r="T490" s="539"/>
      <c r="U490" s="327"/>
      <c r="V490" s="540"/>
      <c r="W490" s="327"/>
      <c r="X490" s="438" t="s">
        <v>303</v>
      </c>
      <c r="Y490" s="326"/>
      <c r="Z490" s="326"/>
      <c r="AA490" s="327"/>
      <c r="AB490" s="519" t="s">
        <v>303</v>
      </c>
      <c r="AC490" s="326"/>
      <c r="AD490" s="326"/>
      <c r="AE490" s="327"/>
      <c r="AF490" s="543"/>
      <c r="AG490" s="327"/>
      <c r="AH490" s="543"/>
      <c r="AI490" s="327"/>
      <c r="AJ490" s="536"/>
      <c r="AK490" s="327"/>
      <c r="AL490" s="556" t="s">
        <v>334</v>
      </c>
      <c r="AM490" s="327"/>
      <c r="AN490" s="553" t="s">
        <v>334</v>
      </c>
      <c r="AO490" s="327"/>
      <c r="AP490" s="547"/>
      <c r="AQ490" s="327"/>
      <c r="AR490" s="548"/>
      <c r="AS490" s="327"/>
      <c r="AT490" s="549"/>
      <c r="AU490" s="327"/>
      <c r="AV490" s="553" t="s">
        <v>334</v>
      </c>
      <c r="AW490" s="327"/>
      <c r="AX490" s="521"/>
      <c r="AY490" s="326"/>
      <c r="AZ490" s="327"/>
      <c r="BA490" s="550"/>
      <c r="BB490" s="327"/>
      <c r="BC490" s="22"/>
      <c r="BD490" s="551" t="s">
        <v>334</v>
      </c>
      <c r="BE490" s="327"/>
      <c r="BF490" s="545"/>
      <c r="BG490" s="326"/>
      <c r="BH490" s="326"/>
      <c r="BI490" s="327"/>
      <c r="BJ490" s="451" t="s">
        <v>303</v>
      </c>
      <c r="BK490" s="326"/>
      <c r="BL490" s="326"/>
      <c r="BM490" s="327"/>
      <c r="BN490" s="558" t="s">
        <v>303</v>
      </c>
      <c r="BO490" s="326"/>
      <c r="BP490" s="326"/>
      <c r="BQ490" s="326"/>
      <c r="BR490" s="326"/>
      <c r="BS490" s="326"/>
      <c r="BT490" s="326"/>
      <c r="BU490" s="326"/>
      <c r="BV490" s="327"/>
    </row>
    <row r="491" spans="1:74" ht="45" customHeight="1" x14ac:dyDescent="0.25">
      <c r="A491" s="10">
        <f t="shared" si="1"/>
        <v>477</v>
      </c>
      <c r="B491" s="559" t="s">
        <v>303</v>
      </c>
      <c r="C491" s="327"/>
      <c r="D491" s="560" t="s">
        <v>307</v>
      </c>
      <c r="E491" s="327"/>
      <c r="F491" s="537" t="s">
        <v>334</v>
      </c>
      <c r="G491" s="327"/>
      <c r="H491" s="566" t="s">
        <v>334</v>
      </c>
      <c r="I491" s="327"/>
      <c r="J491" s="567"/>
      <c r="K491" s="327"/>
      <c r="L491" s="567"/>
      <c r="M491" s="327"/>
      <c r="N491" s="20"/>
      <c r="O491" s="24"/>
      <c r="P491" s="524"/>
      <c r="Q491" s="327"/>
      <c r="R491" s="516"/>
      <c r="S491" s="327"/>
      <c r="T491" s="517"/>
      <c r="U491" s="327"/>
      <c r="V491" s="518"/>
      <c r="W491" s="327"/>
      <c r="X491" s="541" t="s">
        <v>303</v>
      </c>
      <c r="Y491" s="326"/>
      <c r="Z491" s="326"/>
      <c r="AA491" s="327"/>
      <c r="AB491" s="542" t="s">
        <v>303</v>
      </c>
      <c r="AC491" s="326"/>
      <c r="AD491" s="326"/>
      <c r="AE491" s="327"/>
      <c r="AF491" s="520"/>
      <c r="AG491" s="327"/>
      <c r="AH491" s="520"/>
      <c r="AI491" s="327"/>
      <c r="AJ491" s="554"/>
      <c r="AK491" s="327"/>
      <c r="AL491" s="537" t="s">
        <v>334</v>
      </c>
      <c r="AM491" s="327"/>
      <c r="AN491" s="546" t="s">
        <v>334</v>
      </c>
      <c r="AO491" s="327"/>
      <c r="AP491" s="554"/>
      <c r="AQ491" s="327"/>
      <c r="AR491" s="555"/>
      <c r="AS491" s="327"/>
      <c r="AT491" s="549"/>
      <c r="AU491" s="327"/>
      <c r="AV491" s="546" t="s">
        <v>334</v>
      </c>
      <c r="AW491" s="327"/>
      <c r="AX491" s="521"/>
      <c r="AY491" s="326"/>
      <c r="AZ491" s="327"/>
      <c r="BA491" s="536"/>
      <c r="BB491" s="327"/>
      <c r="BC491" s="25"/>
      <c r="BD491" s="544" t="s">
        <v>334</v>
      </c>
      <c r="BE491" s="327"/>
      <c r="BF491" s="552"/>
      <c r="BG491" s="326"/>
      <c r="BH491" s="326"/>
      <c r="BI491" s="327"/>
      <c r="BJ491" s="557" t="s">
        <v>303</v>
      </c>
      <c r="BK491" s="326"/>
      <c r="BL491" s="326"/>
      <c r="BM491" s="327"/>
      <c r="BN491" s="558" t="s">
        <v>303</v>
      </c>
      <c r="BO491" s="326"/>
      <c r="BP491" s="326"/>
      <c r="BQ491" s="326"/>
      <c r="BR491" s="326"/>
      <c r="BS491" s="326"/>
      <c r="BT491" s="326"/>
      <c r="BU491" s="326"/>
      <c r="BV491" s="327"/>
    </row>
    <row r="492" spans="1:74" ht="45" customHeight="1" x14ac:dyDescent="0.25">
      <c r="A492" s="10">
        <f t="shared" si="1"/>
        <v>478</v>
      </c>
      <c r="B492" s="564" t="s">
        <v>303</v>
      </c>
      <c r="C492" s="327"/>
      <c r="D492" s="565" t="s">
        <v>307</v>
      </c>
      <c r="E492" s="327"/>
      <c r="F492" s="537" t="s">
        <v>334</v>
      </c>
      <c r="G492" s="327"/>
      <c r="H492" s="561" t="s">
        <v>334</v>
      </c>
      <c r="I492" s="327"/>
      <c r="J492" s="562"/>
      <c r="K492" s="327"/>
      <c r="L492" s="562"/>
      <c r="M492" s="327"/>
      <c r="N492" s="23"/>
      <c r="O492" s="21"/>
      <c r="P492" s="563"/>
      <c r="Q492" s="327"/>
      <c r="R492" s="538"/>
      <c r="S492" s="327"/>
      <c r="T492" s="539"/>
      <c r="U492" s="327"/>
      <c r="V492" s="540"/>
      <c r="W492" s="327"/>
      <c r="X492" s="438" t="s">
        <v>303</v>
      </c>
      <c r="Y492" s="326"/>
      <c r="Z492" s="326"/>
      <c r="AA492" s="327"/>
      <c r="AB492" s="519" t="s">
        <v>303</v>
      </c>
      <c r="AC492" s="326"/>
      <c r="AD492" s="326"/>
      <c r="AE492" s="327"/>
      <c r="AF492" s="543"/>
      <c r="AG492" s="327"/>
      <c r="AH492" s="543"/>
      <c r="AI492" s="327"/>
      <c r="AJ492" s="536"/>
      <c r="AK492" s="327"/>
      <c r="AL492" s="556" t="s">
        <v>334</v>
      </c>
      <c r="AM492" s="327"/>
      <c r="AN492" s="553" t="s">
        <v>334</v>
      </c>
      <c r="AO492" s="327"/>
      <c r="AP492" s="547"/>
      <c r="AQ492" s="327"/>
      <c r="AR492" s="548"/>
      <c r="AS492" s="327"/>
      <c r="AT492" s="549"/>
      <c r="AU492" s="327"/>
      <c r="AV492" s="553" t="s">
        <v>334</v>
      </c>
      <c r="AW492" s="327"/>
      <c r="AX492" s="521"/>
      <c r="AY492" s="326"/>
      <c r="AZ492" s="327"/>
      <c r="BA492" s="550"/>
      <c r="BB492" s="327"/>
      <c r="BC492" s="22"/>
      <c r="BD492" s="551" t="s">
        <v>334</v>
      </c>
      <c r="BE492" s="327"/>
      <c r="BF492" s="545"/>
      <c r="BG492" s="326"/>
      <c r="BH492" s="326"/>
      <c r="BI492" s="327"/>
      <c r="BJ492" s="451" t="s">
        <v>303</v>
      </c>
      <c r="BK492" s="326"/>
      <c r="BL492" s="326"/>
      <c r="BM492" s="327"/>
      <c r="BN492" s="558" t="s">
        <v>303</v>
      </c>
      <c r="BO492" s="326"/>
      <c r="BP492" s="326"/>
      <c r="BQ492" s="326"/>
      <c r="BR492" s="326"/>
      <c r="BS492" s="326"/>
      <c r="BT492" s="326"/>
      <c r="BU492" s="326"/>
      <c r="BV492" s="327"/>
    </row>
    <row r="493" spans="1:74" ht="45" customHeight="1" x14ac:dyDescent="0.25">
      <c r="A493" s="10">
        <f t="shared" si="1"/>
        <v>479</v>
      </c>
      <c r="B493" s="559" t="s">
        <v>303</v>
      </c>
      <c r="C493" s="327"/>
      <c r="D493" s="560" t="s">
        <v>307</v>
      </c>
      <c r="E493" s="327"/>
      <c r="F493" s="537" t="s">
        <v>334</v>
      </c>
      <c r="G493" s="327"/>
      <c r="H493" s="566" t="s">
        <v>334</v>
      </c>
      <c r="I493" s="327"/>
      <c r="J493" s="567"/>
      <c r="K493" s="327"/>
      <c r="L493" s="567"/>
      <c r="M493" s="327"/>
      <c r="N493" s="20"/>
      <c r="O493" s="24"/>
      <c r="P493" s="524"/>
      <c r="Q493" s="327"/>
      <c r="R493" s="516"/>
      <c r="S493" s="327"/>
      <c r="T493" s="517"/>
      <c r="U493" s="327"/>
      <c r="V493" s="518"/>
      <c r="W493" s="327"/>
      <c r="X493" s="541" t="s">
        <v>303</v>
      </c>
      <c r="Y493" s="326"/>
      <c r="Z493" s="326"/>
      <c r="AA493" s="327"/>
      <c r="AB493" s="542" t="s">
        <v>303</v>
      </c>
      <c r="AC493" s="326"/>
      <c r="AD493" s="326"/>
      <c r="AE493" s="327"/>
      <c r="AF493" s="520"/>
      <c r="AG493" s="327"/>
      <c r="AH493" s="520"/>
      <c r="AI493" s="327"/>
      <c r="AJ493" s="554"/>
      <c r="AK493" s="327"/>
      <c r="AL493" s="537" t="s">
        <v>334</v>
      </c>
      <c r="AM493" s="327"/>
      <c r="AN493" s="546" t="s">
        <v>334</v>
      </c>
      <c r="AO493" s="327"/>
      <c r="AP493" s="554"/>
      <c r="AQ493" s="327"/>
      <c r="AR493" s="555"/>
      <c r="AS493" s="327"/>
      <c r="AT493" s="549"/>
      <c r="AU493" s="327"/>
      <c r="AV493" s="546" t="s">
        <v>334</v>
      </c>
      <c r="AW493" s="327"/>
      <c r="AX493" s="521"/>
      <c r="AY493" s="326"/>
      <c r="AZ493" s="327"/>
      <c r="BA493" s="536"/>
      <c r="BB493" s="327"/>
      <c r="BC493" s="25"/>
      <c r="BD493" s="544" t="s">
        <v>334</v>
      </c>
      <c r="BE493" s="327"/>
      <c r="BF493" s="508"/>
      <c r="BG493" s="326"/>
      <c r="BH493" s="326"/>
      <c r="BI493" s="327"/>
      <c r="BJ493" s="557" t="s">
        <v>303</v>
      </c>
      <c r="BK493" s="326"/>
      <c r="BL493" s="326"/>
      <c r="BM493" s="327"/>
      <c r="BN493" s="558" t="s">
        <v>303</v>
      </c>
      <c r="BO493" s="326"/>
      <c r="BP493" s="326"/>
      <c r="BQ493" s="326"/>
      <c r="BR493" s="326"/>
      <c r="BS493" s="326"/>
      <c r="BT493" s="326"/>
      <c r="BU493" s="326"/>
      <c r="BV493" s="327"/>
    </row>
    <row r="494" spans="1:74" ht="45" customHeight="1" x14ac:dyDescent="0.25">
      <c r="A494" s="10">
        <f t="shared" si="1"/>
        <v>480</v>
      </c>
      <c r="B494" s="564" t="s">
        <v>303</v>
      </c>
      <c r="C494" s="327"/>
      <c r="D494" s="565" t="s">
        <v>307</v>
      </c>
      <c r="E494" s="327"/>
      <c r="F494" s="537" t="s">
        <v>334</v>
      </c>
      <c r="G494" s="327"/>
      <c r="H494" s="561" t="s">
        <v>334</v>
      </c>
      <c r="I494" s="327"/>
      <c r="J494" s="562"/>
      <c r="K494" s="327"/>
      <c r="L494" s="562"/>
      <c r="M494" s="327"/>
      <c r="N494" s="23"/>
      <c r="O494" s="21"/>
      <c r="P494" s="563"/>
      <c r="Q494" s="327"/>
      <c r="R494" s="538"/>
      <c r="S494" s="327"/>
      <c r="T494" s="539"/>
      <c r="U494" s="327"/>
      <c r="V494" s="540"/>
      <c r="W494" s="327"/>
      <c r="X494" s="438" t="s">
        <v>303</v>
      </c>
      <c r="Y494" s="326"/>
      <c r="Z494" s="326"/>
      <c r="AA494" s="327"/>
      <c r="AB494" s="519" t="s">
        <v>303</v>
      </c>
      <c r="AC494" s="326"/>
      <c r="AD494" s="326"/>
      <c r="AE494" s="327"/>
      <c r="AF494" s="543"/>
      <c r="AG494" s="327"/>
      <c r="AH494" s="543"/>
      <c r="AI494" s="327"/>
      <c r="AJ494" s="536"/>
      <c r="AK494" s="327"/>
      <c r="AL494" s="556" t="s">
        <v>334</v>
      </c>
      <c r="AM494" s="327"/>
      <c r="AN494" s="553" t="s">
        <v>334</v>
      </c>
      <c r="AO494" s="327"/>
      <c r="AP494" s="547"/>
      <c r="AQ494" s="327"/>
      <c r="AR494" s="548"/>
      <c r="AS494" s="327"/>
      <c r="AT494" s="549"/>
      <c r="AU494" s="327"/>
      <c r="AV494" s="553" t="s">
        <v>334</v>
      </c>
      <c r="AW494" s="327"/>
      <c r="AX494" s="521"/>
      <c r="AY494" s="326"/>
      <c r="AZ494" s="327"/>
      <c r="BA494" s="550"/>
      <c r="BB494" s="327"/>
      <c r="BC494" s="22"/>
      <c r="BD494" s="551" t="s">
        <v>334</v>
      </c>
      <c r="BE494" s="327"/>
      <c r="BF494" s="545"/>
      <c r="BG494" s="326"/>
      <c r="BH494" s="326"/>
      <c r="BI494" s="327"/>
      <c r="BJ494" s="451" t="s">
        <v>303</v>
      </c>
      <c r="BK494" s="326"/>
      <c r="BL494" s="326"/>
      <c r="BM494" s="327"/>
      <c r="BN494" s="558" t="s">
        <v>303</v>
      </c>
      <c r="BO494" s="326"/>
      <c r="BP494" s="326"/>
      <c r="BQ494" s="326"/>
      <c r="BR494" s="326"/>
      <c r="BS494" s="326"/>
      <c r="BT494" s="326"/>
      <c r="BU494" s="326"/>
      <c r="BV494" s="327"/>
    </row>
    <row r="495" spans="1:74" ht="45" customHeight="1" x14ac:dyDescent="0.25">
      <c r="A495" s="10">
        <f t="shared" si="1"/>
        <v>481</v>
      </c>
      <c r="B495" s="559" t="s">
        <v>303</v>
      </c>
      <c r="C495" s="327"/>
      <c r="D495" s="560" t="s">
        <v>307</v>
      </c>
      <c r="E495" s="327"/>
      <c r="F495" s="537" t="s">
        <v>334</v>
      </c>
      <c r="G495" s="327"/>
      <c r="H495" s="566" t="s">
        <v>334</v>
      </c>
      <c r="I495" s="327"/>
      <c r="J495" s="567"/>
      <c r="K495" s="327"/>
      <c r="L495" s="567"/>
      <c r="M495" s="327"/>
      <c r="N495" s="20"/>
      <c r="O495" s="24"/>
      <c r="P495" s="524"/>
      <c r="Q495" s="327"/>
      <c r="R495" s="516"/>
      <c r="S495" s="327"/>
      <c r="T495" s="517"/>
      <c r="U495" s="327"/>
      <c r="V495" s="518"/>
      <c r="W495" s="327"/>
      <c r="X495" s="541" t="s">
        <v>303</v>
      </c>
      <c r="Y495" s="326"/>
      <c r="Z495" s="326"/>
      <c r="AA495" s="327"/>
      <c r="AB495" s="542" t="s">
        <v>303</v>
      </c>
      <c r="AC495" s="326"/>
      <c r="AD495" s="326"/>
      <c r="AE495" s="327"/>
      <c r="AF495" s="520"/>
      <c r="AG495" s="327"/>
      <c r="AH495" s="520"/>
      <c r="AI495" s="327"/>
      <c r="AJ495" s="554"/>
      <c r="AK495" s="327"/>
      <c r="AL495" s="537" t="s">
        <v>334</v>
      </c>
      <c r="AM495" s="327"/>
      <c r="AN495" s="546" t="s">
        <v>334</v>
      </c>
      <c r="AO495" s="327"/>
      <c r="AP495" s="554"/>
      <c r="AQ495" s="327"/>
      <c r="AR495" s="555"/>
      <c r="AS495" s="327"/>
      <c r="AT495" s="549"/>
      <c r="AU495" s="327"/>
      <c r="AV495" s="546" t="s">
        <v>334</v>
      </c>
      <c r="AW495" s="327"/>
      <c r="AX495" s="521"/>
      <c r="AY495" s="326"/>
      <c r="AZ495" s="327"/>
      <c r="BA495" s="536"/>
      <c r="BB495" s="327"/>
      <c r="BC495" s="25"/>
      <c r="BD495" s="544" t="s">
        <v>334</v>
      </c>
      <c r="BE495" s="327"/>
      <c r="BF495" s="508"/>
      <c r="BG495" s="326"/>
      <c r="BH495" s="326"/>
      <c r="BI495" s="327"/>
      <c r="BJ495" s="557" t="s">
        <v>303</v>
      </c>
      <c r="BK495" s="326"/>
      <c r="BL495" s="326"/>
      <c r="BM495" s="327"/>
      <c r="BN495" s="558" t="s">
        <v>303</v>
      </c>
      <c r="BO495" s="326"/>
      <c r="BP495" s="326"/>
      <c r="BQ495" s="326"/>
      <c r="BR495" s="326"/>
      <c r="BS495" s="326"/>
      <c r="BT495" s="326"/>
      <c r="BU495" s="326"/>
      <c r="BV495" s="327"/>
    </row>
    <row r="496" spans="1:74" ht="45" customHeight="1" x14ac:dyDescent="0.25">
      <c r="A496" s="10">
        <f t="shared" si="1"/>
        <v>482</v>
      </c>
      <c r="B496" s="564" t="s">
        <v>303</v>
      </c>
      <c r="C496" s="327"/>
      <c r="D496" s="565" t="s">
        <v>307</v>
      </c>
      <c r="E496" s="327"/>
      <c r="F496" s="537" t="s">
        <v>334</v>
      </c>
      <c r="G496" s="327"/>
      <c r="H496" s="561" t="s">
        <v>334</v>
      </c>
      <c r="I496" s="327"/>
      <c r="J496" s="562"/>
      <c r="K496" s="327"/>
      <c r="L496" s="562"/>
      <c r="M496" s="327"/>
      <c r="N496" s="23"/>
      <c r="O496" s="21"/>
      <c r="P496" s="563"/>
      <c r="Q496" s="327"/>
      <c r="R496" s="538"/>
      <c r="S496" s="327"/>
      <c r="T496" s="539"/>
      <c r="U496" s="327"/>
      <c r="V496" s="540"/>
      <c r="W496" s="327"/>
      <c r="X496" s="438" t="s">
        <v>303</v>
      </c>
      <c r="Y496" s="326"/>
      <c r="Z496" s="326"/>
      <c r="AA496" s="327"/>
      <c r="AB496" s="519" t="s">
        <v>303</v>
      </c>
      <c r="AC496" s="326"/>
      <c r="AD496" s="326"/>
      <c r="AE496" s="327"/>
      <c r="AF496" s="543"/>
      <c r="AG496" s="327"/>
      <c r="AH496" s="543"/>
      <c r="AI496" s="327"/>
      <c r="AJ496" s="536"/>
      <c r="AK496" s="327"/>
      <c r="AL496" s="556" t="s">
        <v>334</v>
      </c>
      <c r="AM496" s="327"/>
      <c r="AN496" s="553" t="s">
        <v>334</v>
      </c>
      <c r="AO496" s="327"/>
      <c r="AP496" s="547"/>
      <c r="AQ496" s="327"/>
      <c r="AR496" s="548"/>
      <c r="AS496" s="327"/>
      <c r="AT496" s="549"/>
      <c r="AU496" s="327"/>
      <c r="AV496" s="553" t="s">
        <v>334</v>
      </c>
      <c r="AW496" s="327"/>
      <c r="AX496" s="521"/>
      <c r="AY496" s="326"/>
      <c r="AZ496" s="327"/>
      <c r="BA496" s="550"/>
      <c r="BB496" s="327"/>
      <c r="BC496" s="22"/>
      <c r="BD496" s="551" t="s">
        <v>334</v>
      </c>
      <c r="BE496" s="327"/>
      <c r="BF496" s="545"/>
      <c r="BG496" s="326"/>
      <c r="BH496" s="326"/>
      <c r="BI496" s="327"/>
      <c r="BJ496" s="451" t="s">
        <v>303</v>
      </c>
      <c r="BK496" s="326"/>
      <c r="BL496" s="326"/>
      <c r="BM496" s="327"/>
      <c r="BN496" s="558" t="s">
        <v>303</v>
      </c>
      <c r="BO496" s="326"/>
      <c r="BP496" s="326"/>
      <c r="BQ496" s="326"/>
      <c r="BR496" s="326"/>
      <c r="BS496" s="326"/>
      <c r="BT496" s="326"/>
      <c r="BU496" s="326"/>
      <c r="BV496" s="327"/>
    </row>
    <row r="497" spans="1:74" ht="45" customHeight="1" x14ac:dyDescent="0.25">
      <c r="A497" s="10">
        <f t="shared" si="1"/>
        <v>483</v>
      </c>
      <c r="B497" s="559" t="s">
        <v>303</v>
      </c>
      <c r="C497" s="327"/>
      <c r="D497" s="560" t="s">
        <v>307</v>
      </c>
      <c r="E497" s="327"/>
      <c r="F497" s="537" t="s">
        <v>334</v>
      </c>
      <c r="G497" s="327"/>
      <c r="H497" s="566" t="s">
        <v>334</v>
      </c>
      <c r="I497" s="327"/>
      <c r="J497" s="567"/>
      <c r="K497" s="327"/>
      <c r="L497" s="567"/>
      <c r="M497" s="327"/>
      <c r="N497" s="20"/>
      <c r="O497" s="24"/>
      <c r="P497" s="524"/>
      <c r="Q497" s="327"/>
      <c r="R497" s="516"/>
      <c r="S497" s="327"/>
      <c r="T497" s="517"/>
      <c r="U497" s="327"/>
      <c r="V497" s="518"/>
      <c r="W497" s="327"/>
      <c r="X497" s="541" t="s">
        <v>303</v>
      </c>
      <c r="Y497" s="326"/>
      <c r="Z497" s="326"/>
      <c r="AA497" s="327"/>
      <c r="AB497" s="542" t="s">
        <v>303</v>
      </c>
      <c r="AC497" s="326"/>
      <c r="AD497" s="326"/>
      <c r="AE497" s="327"/>
      <c r="AF497" s="520"/>
      <c r="AG497" s="327"/>
      <c r="AH497" s="520"/>
      <c r="AI497" s="327"/>
      <c r="AJ497" s="554"/>
      <c r="AK497" s="327"/>
      <c r="AL497" s="537" t="s">
        <v>334</v>
      </c>
      <c r="AM497" s="327"/>
      <c r="AN497" s="546" t="s">
        <v>334</v>
      </c>
      <c r="AO497" s="327"/>
      <c r="AP497" s="554"/>
      <c r="AQ497" s="327"/>
      <c r="AR497" s="555"/>
      <c r="AS497" s="327"/>
      <c r="AT497" s="549"/>
      <c r="AU497" s="327"/>
      <c r="AV497" s="546" t="s">
        <v>334</v>
      </c>
      <c r="AW497" s="327"/>
      <c r="AX497" s="521"/>
      <c r="AY497" s="326"/>
      <c r="AZ497" s="327"/>
      <c r="BA497" s="536"/>
      <c r="BB497" s="327"/>
      <c r="BC497" s="25"/>
      <c r="BD497" s="544" t="s">
        <v>334</v>
      </c>
      <c r="BE497" s="327"/>
      <c r="BF497" s="552"/>
      <c r="BG497" s="326"/>
      <c r="BH497" s="326"/>
      <c r="BI497" s="327"/>
      <c r="BJ497" s="557" t="s">
        <v>303</v>
      </c>
      <c r="BK497" s="326"/>
      <c r="BL497" s="326"/>
      <c r="BM497" s="327"/>
      <c r="BN497" s="558" t="s">
        <v>303</v>
      </c>
      <c r="BO497" s="326"/>
      <c r="BP497" s="326"/>
      <c r="BQ497" s="326"/>
      <c r="BR497" s="326"/>
      <c r="BS497" s="326"/>
      <c r="BT497" s="326"/>
      <c r="BU497" s="326"/>
      <c r="BV497" s="327"/>
    </row>
    <row r="498" spans="1:74" ht="45" customHeight="1" x14ac:dyDescent="0.25">
      <c r="A498" s="10">
        <f t="shared" si="1"/>
        <v>484</v>
      </c>
      <c r="B498" s="564" t="s">
        <v>303</v>
      </c>
      <c r="C498" s="327"/>
      <c r="D498" s="565" t="s">
        <v>307</v>
      </c>
      <c r="E498" s="327"/>
      <c r="F498" s="537" t="s">
        <v>334</v>
      </c>
      <c r="G498" s="327"/>
      <c r="H498" s="561" t="s">
        <v>334</v>
      </c>
      <c r="I498" s="327"/>
      <c r="J498" s="562"/>
      <c r="K498" s="327"/>
      <c r="L498" s="562"/>
      <c r="M498" s="327"/>
      <c r="N498" s="23"/>
      <c r="O498" s="21"/>
      <c r="P498" s="563"/>
      <c r="Q498" s="327"/>
      <c r="R498" s="538"/>
      <c r="S498" s="327"/>
      <c r="T498" s="539"/>
      <c r="U498" s="327"/>
      <c r="V498" s="540"/>
      <c r="W498" s="327"/>
      <c r="X498" s="438" t="s">
        <v>303</v>
      </c>
      <c r="Y498" s="326"/>
      <c r="Z498" s="326"/>
      <c r="AA498" s="327"/>
      <c r="AB498" s="519" t="s">
        <v>303</v>
      </c>
      <c r="AC498" s="326"/>
      <c r="AD498" s="326"/>
      <c r="AE498" s="327"/>
      <c r="AF498" s="543"/>
      <c r="AG498" s="327"/>
      <c r="AH498" s="543"/>
      <c r="AI498" s="327"/>
      <c r="AJ498" s="536"/>
      <c r="AK498" s="327"/>
      <c r="AL498" s="556" t="s">
        <v>334</v>
      </c>
      <c r="AM498" s="327"/>
      <c r="AN498" s="553" t="s">
        <v>334</v>
      </c>
      <c r="AO498" s="327"/>
      <c r="AP498" s="547"/>
      <c r="AQ498" s="327"/>
      <c r="AR498" s="548"/>
      <c r="AS498" s="327"/>
      <c r="AT498" s="549"/>
      <c r="AU498" s="327"/>
      <c r="AV498" s="553" t="s">
        <v>334</v>
      </c>
      <c r="AW498" s="327"/>
      <c r="AX498" s="521"/>
      <c r="AY498" s="326"/>
      <c r="AZ498" s="327"/>
      <c r="BA498" s="550"/>
      <c r="BB498" s="327"/>
      <c r="BC498" s="22"/>
      <c r="BD498" s="551" t="s">
        <v>334</v>
      </c>
      <c r="BE498" s="327"/>
      <c r="BF498" s="545"/>
      <c r="BG498" s="326"/>
      <c r="BH498" s="326"/>
      <c r="BI498" s="327"/>
      <c r="BJ498" s="451" t="s">
        <v>303</v>
      </c>
      <c r="BK498" s="326"/>
      <c r="BL498" s="326"/>
      <c r="BM498" s="327"/>
      <c r="BN498" s="558" t="s">
        <v>303</v>
      </c>
      <c r="BO498" s="326"/>
      <c r="BP498" s="326"/>
      <c r="BQ498" s="326"/>
      <c r="BR498" s="326"/>
      <c r="BS498" s="326"/>
      <c r="BT498" s="326"/>
      <c r="BU498" s="326"/>
      <c r="BV498" s="327"/>
    </row>
    <row r="499" spans="1:74" ht="45" customHeight="1" x14ac:dyDescent="0.25">
      <c r="A499" s="10">
        <f t="shared" si="1"/>
        <v>485</v>
      </c>
      <c r="B499" s="559" t="s">
        <v>303</v>
      </c>
      <c r="C499" s="327"/>
      <c r="D499" s="560" t="s">
        <v>307</v>
      </c>
      <c r="E499" s="327"/>
      <c r="F499" s="537" t="s">
        <v>334</v>
      </c>
      <c r="G499" s="327"/>
      <c r="H499" s="566" t="s">
        <v>334</v>
      </c>
      <c r="I499" s="327"/>
      <c r="J499" s="567"/>
      <c r="K499" s="327"/>
      <c r="L499" s="567"/>
      <c r="M499" s="327"/>
      <c r="N499" s="20"/>
      <c r="O499" s="24"/>
      <c r="P499" s="524"/>
      <c r="Q499" s="327"/>
      <c r="R499" s="516"/>
      <c r="S499" s="327"/>
      <c r="T499" s="517"/>
      <c r="U499" s="327"/>
      <c r="V499" s="518"/>
      <c r="W499" s="327"/>
      <c r="X499" s="541" t="s">
        <v>303</v>
      </c>
      <c r="Y499" s="326"/>
      <c r="Z499" s="326"/>
      <c r="AA499" s="327"/>
      <c r="AB499" s="542" t="s">
        <v>303</v>
      </c>
      <c r="AC499" s="326"/>
      <c r="AD499" s="326"/>
      <c r="AE499" s="327"/>
      <c r="AF499" s="520"/>
      <c r="AG499" s="327"/>
      <c r="AH499" s="520"/>
      <c r="AI499" s="327"/>
      <c r="AJ499" s="554"/>
      <c r="AK499" s="327"/>
      <c r="AL499" s="537" t="s">
        <v>334</v>
      </c>
      <c r="AM499" s="327"/>
      <c r="AN499" s="546" t="s">
        <v>334</v>
      </c>
      <c r="AO499" s="327"/>
      <c r="AP499" s="554"/>
      <c r="AQ499" s="327"/>
      <c r="AR499" s="555"/>
      <c r="AS499" s="327"/>
      <c r="AT499" s="549"/>
      <c r="AU499" s="327"/>
      <c r="AV499" s="546" t="s">
        <v>334</v>
      </c>
      <c r="AW499" s="327"/>
      <c r="AX499" s="521"/>
      <c r="AY499" s="326"/>
      <c r="AZ499" s="327"/>
      <c r="BA499" s="536"/>
      <c r="BB499" s="327"/>
      <c r="BC499" s="25"/>
      <c r="BD499" s="544" t="s">
        <v>334</v>
      </c>
      <c r="BE499" s="327"/>
      <c r="BF499" s="508"/>
      <c r="BG499" s="326"/>
      <c r="BH499" s="326"/>
      <c r="BI499" s="327"/>
      <c r="BJ499" s="557" t="s">
        <v>303</v>
      </c>
      <c r="BK499" s="326"/>
      <c r="BL499" s="326"/>
      <c r="BM499" s="327"/>
      <c r="BN499" s="558" t="s">
        <v>303</v>
      </c>
      <c r="BO499" s="326"/>
      <c r="BP499" s="326"/>
      <c r="BQ499" s="326"/>
      <c r="BR499" s="326"/>
      <c r="BS499" s="326"/>
      <c r="BT499" s="326"/>
      <c r="BU499" s="326"/>
      <c r="BV499" s="327"/>
    </row>
    <row r="500" spans="1:74" ht="45" customHeight="1" x14ac:dyDescent="0.25">
      <c r="A500" s="10">
        <f t="shared" si="1"/>
        <v>486</v>
      </c>
      <c r="B500" s="564" t="s">
        <v>303</v>
      </c>
      <c r="C500" s="327"/>
      <c r="D500" s="565" t="s">
        <v>307</v>
      </c>
      <c r="E500" s="327"/>
      <c r="F500" s="537" t="s">
        <v>334</v>
      </c>
      <c r="G500" s="327"/>
      <c r="H500" s="561" t="s">
        <v>334</v>
      </c>
      <c r="I500" s="327"/>
      <c r="J500" s="562"/>
      <c r="K500" s="327"/>
      <c r="L500" s="562"/>
      <c r="M500" s="327"/>
      <c r="N500" s="23"/>
      <c r="O500" s="21"/>
      <c r="P500" s="563"/>
      <c r="Q500" s="327"/>
      <c r="R500" s="538"/>
      <c r="S500" s="327"/>
      <c r="T500" s="539"/>
      <c r="U500" s="327"/>
      <c r="V500" s="540"/>
      <c r="W500" s="327"/>
      <c r="X500" s="438" t="s">
        <v>303</v>
      </c>
      <c r="Y500" s="326"/>
      <c r="Z500" s="326"/>
      <c r="AA500" s="327"/>
      <c r="AB500" s="519" t="s">
        <v>303</v>
      </c>
      <c r="AC500" s="326"/>
      <c r="AD500" s="326"/>
      <c r="AE500" s="327"/>
      <c r="AF500" s="543"/>
      <c r="AG500" s="327"/>
      <c r="AH500" s="543"/>
      <c r="AI500" s="327"/>
      <c r="AJ500" s="536"/>
      <c r="AK500" s="327"/>
      <c r="AL500" s="556" t="s">
        <v>334</v>
      </c>
      <c r="AM500" s="327"/>
      <c r="AN500" s="553" t="s">
        <v>334</v>
      </c>
      <c r="AO500" s="327"/>
      <c r="AP500" s="547"/>
      <c r="AQ500" s="327"/>
      <c r="AR500" s="548"/>
      <c r="AS500" s="327"/>
      <c r="AT500" s="549"/>
      <c r="AU500" s="327"/>
      <c r="AV500" s="553" t="s">
        <v>334</v>
      </c>
      <c r="AW500" s="327"/>
      <c r="AX500" s="521"/>
      <c r="AY500" s="326"/>
      <c r="AZ500" s="327"/>
      <c r="BA500" s="550"/>
      <c r="BB500" s="327"/>
      <c r="BC500" s="22"/>
      <c r="BD500" s="551" t="s">
        <v>334</v>
      </c>
      <c r="BE500" s="327"/>
      <c r="BF500" s="545"/>
      <c r="BG500" s="326"/>
      <c r="BH500" s="326"/>
      <c r="BI500" s="327"/>
      <c r="BJ500" s="451" t="s">
        <v>303</v>
      </c>
      <c r="BK500" s="326"/>
      <c r="BL500" s="326"/>
      <c r="BM500" s="327"/>
      <c r="BN500" s="558" t="s">
        <v>303</v>
      </c>
      <c r="BO500" s="326"/>
      <c r="BP500" s="326"/>
      <c r="BQ500" s="326"/>
      <c r="BR500" s="326"/>
      <c r="BS500" s="326"/>
      <c r="BT500" s="326"/>
      <c r="BU500" s="326"/>
      <c r="BV500" s="327"/>
    </row>
    <row r="501" spans="1:74" ht="45" customHeight="1" x14ac:dyDescent="0.25">
      <c r="A501" s="10">
        <f t="shared" si="1"/>
        <v>487</v>
      </c>
      <c r="B501" s="559" t="s">
        <v>303</v>
      </c>
      <c r="C501" s="327"/>
      <c r="D501" s="560" t="s">
        <v>307</v>
      </c>
      <c r="E501" s="327"/>
      <c r="F501" s="537" t="s">
        <v>334</v>
      </c>
      <c r="G501" s="327"/>
      <c r="H501" s="566" t="s">
        <v>334</v>
      </c>
      <c r="I501" s="327"/>
      <c r="J501" s="567"/>
      <c r="K501" s="327"/>
      <c r="L501" s="567"/>
      <c r="M501" s="327"/>
      <c r="N501" s="20"/>
      <c r="O501" s="24"/>
      <c r="P501" s="524"/>
      <c r="Q501" s="327"/>
      <c r="R501" s="516"/>
      <c r="S501" s="327"/>
      <c r="T501" s="517"/>
      <c r="U501" s="327"/>
      <c r="V501" s="518"/>
      <c r="W501" s="327"/>
      <c r="X501" s="541" t="s">
        <v>303</v>
      </c>
      <c r="Y501" s="326"/>
      <c r="Z501" s="326"/>
      <c r="AA501" s="327"/>
      <c r="AB501" s="542" t="s">
        <v>303</v>
      </c>
      <c r="AC501" s="326"/>
      <c r="AD501" s="326"/>
      <c r="AE501" s="327"/>
      <c r="AF501" s="520"/>
      <c r="AG501" s="327"/>
      <c r="AH501" s="520"/>
      <c r="AI501" s="327"/>
      <c r="AJ501" s="554"/>
      <c r="AK501" s="327"/>
      <c r="AL501" s="537" t="s">
        <v>334</v>
      </c>
      <c r="AM501" s="327"/>
      <c r="AN501" s="546" t="s">
        <v>334</v>
      </c>
      <c r="AO501" s="327"/>
      <c r="AP501" s="554"/>
      <c r="AQ501" s="327"/>
      <c r="AR501" s="555"/>
      <c r="AS501" s="327"/>
      <c r="AT501" s="549"/>
      <c r="AU501" s="327"/>
      <c r="AV501" s="546" t="s">
        <v>334</v>
      </c>
      <c r="AW501" s="327"/>
      <c r="AX501" s="521"/>
      <c r="AY501" s="326"/>
      <c r="AZ501" s="327"/>
      <c r="BA501" s="536"/>
      <c r="BB501" s="327"/>
      <c r="BC501" s="25"/>
      <c r="BD501" s="544" t="s">
        <v>334</v>
      </c>
      <c r="BE501" s="327"/>
      <c r="BF501" s="552"/>
      <c r="BG501" s="326"/>
      <c r="BH501" s="326"/>
      <c r="BI501" s="327"/>
      <c r="BJ501" s="557" t="s">
        <v>303</v>
      </c>
      <c r="BK501" s="326"/>
      <c r="BL501" s="326"/>
      <c r="BM501" s="327"/>
      <c r="BN501" s="558" t="s">
        <v>303</v>
      </c>
      <c r="BO501" s="326"/>
      <c r="BP501" s="326"/>
      <c r="BQ501" s="326"/>
      <c r="BR501" s="326"/>
      <c r="BS501" s="326"/>
      <c r="BT501" s="326"/>
      <c r="BU501" s="326"/>
      <c r="BV501" s="327"/>
    </row>
    <row r="502" spans="1:74" ht="45" customHeight="1" x14ac:dyDescent="0.25">
      <c r="A502" s="10">
        <f t="shared" si="1"/>
        <v>488</v>
      </c>
      <c r="B502" s="564" t="s">
        <v>303</v>
      </c>
      <c r="C502" s="327"/>
      <c r="D502" s="565" t="s">
        <v>307</v>
      </c>
      <c r="E502" s="327"/>
      <c r="F502" s="537" t="s">
        <v>334</v>
      </c>
      <c r="G502" s="327"/>
      <c r="H502" s="561" t="s">
        <v>334</v>
      </c>
      <c r="I502" s="327"/>
      <c r="J502" s="562"/>
      <c r="K502" s="327"/>
      <c r="L502" s="562"/>
      <c r="M502" s="327"/>
      <c r="N502" s="23"/>
      <c r="O502" s="21"/>
      <c r="P502" s="563"/>
      <c r="Q502" s="327"/>
      <c r="R502" s="538"/>
      <c r="S502" s="327"/>
      <c r="T502" s="539"/>
      <c r="U502" s="327"/>
      <c r="V502" s="540"/>
      <c r="W502" s="327"/>
      <c r="X502" s="438" t="s">
        <v>303</v>
      </c>
      <c r="Y502" s="326"/>
      <c r="Z502" s="326"/>
      <c r="AA502" s="327"/>
      <c r="AB502" s="519" t="s">
        <v>303</v>
      </c>
      <c r="AC502" s="326"/>
      <c r="AD502" s="326"/>
      <c r="AE502" s="327"/>
      <c r="AF502" s="543"/>
      <c r="AG502" s="327"/>
      <c r="AH502" s="543"/>
      <c r="AI502" s="327"/>
      <c r="AJ502" s="536"/>
      <c r="AK502" s="327"/>
      <c r="AL502" s="556" t="s">
        <v>334</v>
      </c>
      <c r="AM502" s="327"/>
      <c r="AN502" s="553" t="s">
        <v>334</v>
      </c>
      <c r="AO502" s="327"/>
      <c r="AP502" s="547"/>
      <c r="AQ502" s="327"/>
      <c r="AR502" s="548"/>
      <c r="AS502" s="327"/>
      <c r="AT502" s="549"/>
      <c r="AU502" s="327"/>
      <c r="AV502" s="553" t="s">
        <v>334</v>
      </c>
      <c r="AW502" s="327"/>
      <c r="AX502" s="521"/>
      <c r="AY502" s="326"/>
      <c r="AZ502" s="327"/>
      <c r="BA502" s="550"/>
      <c r="BB502" s="327"/>
      <c r="BC502" s="22"/>
      <c r="BD502" s="551" t="s">
        <v>334</v>
      </c>
      <c r="BE502" s="327"/>
      <c r="BF502" s="545"/>
      <c r="BG502" s="326"/>
      <c r="BH502" s="326"/>
      <c r="BI502" s="327"/>
      <c r="BJ502" s="451" t="s">
        <v>303</v>
      </c>
      <c r="BK502" s="326"/>
      <c r="BL502" s="326"/>
      <c r="BM502" s="327"/>
      <c r="BN502" s="558" t="s">
        <v>303</v>
      </c>
      <c r="BO502" s="326"/>
      <c r="BP502" s="326"/>
      <c r="BQ502" s="326"/>
      <c r="BR502" s="326"/>
      <c r="BS502" s="326"/>
      <c r="BT502" s="326"/>
      <c r="BU502" s="326"/>
      <c r="BV502" s="327"/>
    </row>
    <row r="503" spans="1:74" ht="45" customHeight="1" x14ac:dyDescent="0.25">
      <c r="A503" s="10">
        <f t="shared" si="1"/>
        <v>489</v>
      </c>
      <c r="B503" s="559" t="s">
        <v>303</v>
      </c>
      <c r="C503" s="327"/>
      <c r="D503" s="560" t="s">
        <v>307</v>
      </c>
      <c r="E503" s="327"/>
      <c r="F503" s="537" t="s">
        <v>334</v>
      </c>
      <c r="G503" s="327"/>
      <c r="H503" s="566" t="s">
        <v>334</v>
      </c>
      <c r="I503" s="327"/>
      <c r="J503" s="567"/>
      <c r="K503" s="327"/>
      <c r="L503" s="567"/>
      <c r="M503" s="327"/>
      <c r="N503" s="20"/>
      <c r="O503" s="24"/>
      <c r="P503" s="524"/>
      <c r="Q503" s="327"/>
      <c r="R503" s="516"/>
      <c r="S503" s="327"/>
      <c r="T503" s="517"/>
      <c r="U503" s="327"/>
      <c r="V503" s="518"/>
      <c r="W503" s="327"/>
      <c r="X503" s="541" t="s">
        <v>303</v>
      </c>
      <c r="Y503" s="326"/>
      <c r="Z503" s="326"/>
      <c r="AA503" s="327"/>
      <c r="AB503" s="542" t="s">
        <v>303</v>
      </c>
      <c r="AC503" s="326"/>
      <c r="AD503" s="326"/>
      <c r="AE503" s="327"/>
      <c r="AF503" s="520"/>
      <c r="AG503" s="327"/>
      <c r="AH503" s="520"/>
      <c r="AI503" s="327"/>
      <c r="AJ503" s="554"/>
      <c r="AK503" s="327"/>
      <c r="AL503" s="537" t="s">
        <v>334</v>
      </c>
      <c r="AM503" s="327"/>
      <c r="AN503" s="546" t="s">
        <v>334</v>
      </c>
      <c r="AO503" s="327"/>
      <c r="AP503" s="554"/>
      <c r="AQ503" s="327"/>
      <c r="AR503" s="555"/>
      <c r="AS503" s="327"/>
      <c r="AT503" s="549"/>
      <c r="AU503" s="327"/>
      <c r="AV503" s="546" t="s">
        <v>334</v>
      </c>
      <c r="AW503" s="327"/>
      <c r="AX503" s="521"/>
      <c r="AY503" s="326"/>
      <c r="AZ503" s="327"/>
      <c r="BA503" s="536"/>
      <c r="BB503" s="327"/>
      <c r="BC503" s="25"/>
      <c r="BD503" s="544" t="s">
        <v>334</v>
      </c>
      <c r="BE503" s="327"/>
      <c r="BF503" s="508"/>
      <c r="BG503" s="326"/>
      <c r="BH503" s="326"/>
      <c r="BI503" s="327"/>
      <c r="BJ503" s="557" t="s">
        <v>303</v>
      </c>
      <c r="BK503" s="326"/>
      <c r="BL503" s="326"/>
      <c r="BM503" s="327"/>
      <c r="BN503" s="558" t="s">
        <v>303</v>
      </c>
      <c r="BO503" s="326"/>
      <c r="BP503" s="326"/>
      <c r="BQ503" s="326"/>
      <c r="BR503" s="326"/>
      <c r="BS503" s="326"/>
      <c r="BT503" s="326"/>
      <c r="BU503" s="326"/>
      <c r="BV503" s="327"/>
    </row>
    <row r="504" spans="1:74" ht="45" customHeight="1" x14ac:dyDescent="0.25">
      <c r="A504" s="10">
        <f t="shared" si="1"/>
        <v>490</v>
      </c>
      <c r="B504" s="564" t="s">
        <v>303</v>
      </c>
      <c r="C504" s="327"/>
      <c r="D504" s="565" t="s">
        <v>307</v>
      </c>
      <c r="E504" s="327"/>
      <c r="F504" s="537" t="s">
        <v>334</v>
      </c>
      <c r="G504" s="327"/>
      <c r="H504" s="561" t="s">
        <v>334</v>
      </c>
      <c r="I504" s="327"/>
      <c r="J504" s="562"/>
      <c r="K504" s="327"/>
      <c r="L504" s="562"/>
      <c r="M504" s="327"/>
      <c r="N504" s="23"/>
      <c r="O504" s="21"/>
      <c r="P504" s="563"/>
      <c r="Q504" s="327"/>
      <c r="R504" s="538"/>
      <c r="S504" s="327"/>
      <c r="T504" s="539"/>
      <c r="U504" s="327"/>
      <c r="V504" s="540"/>
      <c r="W504" s="327"/>
      <c r="X504" s="438" t="s">
        <v>303</v>
      </c>
      <c r="Y504" s="326"/>
      <c r="Z504" s="326"/>
      <c r="AA504" s="327"/>
      <c r="AB504" s="519" t="s">
        <v>303</v>
      </c>
      <c r="AC504" s="326"/>
      <c r="AD504" s="326"/>
      <c r="AE504" s="327"/>
      <c r="AF504" s="543"/>
      <c r="AG504" s="327"/>
      <c r="AH504" s="543"/>
      <c r="AI504" s="327"/>
      <c r="AJ504" s="536"/>
      <c r="AK504" s="327"/>
      <c r="AL504" s="556" t="s">
        <v>334</v>
      </c>
      <c r="AM504" s="327"/>
      <c r="AN504" s="553" t="s">
        <v>334</v>
      </c>
      <c r="AO504" s="327"/>
      <c r="AP504" s="547"/>
      <c r="AQ504" s="327"/>
      <c r="AR504" s="548"/>
      <c r="AS504" s="327"/>
      <c r="AT504" s="549"/>
      <c r="AU504" s="327"/>
      <c r="AV504" s="553" t="s">
        <v>334</v>
      </c>
      <c r="AW504" s="327"/>
      <c r="AX504" s="521"/>
      <c r="AY504" s="326"/>
      <c r="AZ504" s="327"/>
      <c r="BA504" s="550"/>
      <c r="BB504" s="327"/>
      <c r="BC504" s="22"/>
      <c r="BD504" s="551" t="s">
        <v>334</v>
      </c>
      <c r="BE504" s="327"/>
      <c r="BF504" s="545"/>
      <c r="BG504" s="326"/>
      <c r="BH504" s="326"/>
      <c r="BI504" s="327"/>
      <c r="BJ504" s="451" t="s">
        <v>303</v>
      </c>
      <c r="BK504" s="326"/>
      <c r="BL504" s="326"/>
      <c r="BM504" s="327"/>
      <c r="BN504" s="558" t="s">
        <v>303</v>
      </c>
      <c r="BO504" s="326"/>
      <c r="BP504" s="326"/>
      <c r="BQ504" s="326"/>
      <c r="BR504" s="326"/>
      <c r="BS504" s="326"/>
      <c r="BT504" s="326"/>
      <c r="BU504" s="326"/>
      <c r="BV504" s="327"/>
    </row>
    <row r="505" spans="1:74" ht="45" customHeight="1" x14ac:dyDescent="0.25">
      <c r="A505" s="10">
        <f t="shared" si="1"/>
        <v>491</v>
      </c>
      <c r="B505" s="559" t="s">
        <v>303</v>
      </c>
      <c r="C505" s="327"/>
      <c r="D505" s="560" t="s">
        <v>307</v>
      </c>
      <c r="E505" s="327"/>
      <c r="F505" s="537" t="s">
        <v>334</v>
      </c>
      <c r="G505" s="327"/>
      <c r="H505" s="566" t="s">
        <v>334</v>
      </c>
      <c r="I505" s="327"/>
      <c r="J505" s="567"/>
      <c r="K505" s="327"/>
      <c r="L505" s="567"/>
      <c r="M505" s="327"/>
      <c r="N505" s="20"/>
      <c r="O505" s="24"/>
      <c r="P505" s="524"/>
      <c r="Q505" s="327"/>
      <c r="R505" s="516"/>
      <c r="S505" s="327"/>
      <c r="T505" s="517"/>
      <c r="U505" s="327"/>
      <c r="V505" s="518"/>
      <c r="W505" s="327"/>
      <c r="X505" s="541" t="s">
        <v>303</v>
      </c>
      <c r="Y505" s="326"/>
      <c r="Z505" s="326"/>
      <c r="AA505" s="327"/>
      <c r="AB505" s="542" t="s">
        <v>303</v>
      </c>
      <c r="AC505" s="326"/>
      <c r="AD505" s="326"/>
      <c r="AE505" s="327"/>
      <c r="AF505" s="520"/>
      <c r="AG505" s="327"/>
      <c r="AH505" s="520"/>
      <c r="AI505" s="327"/>
      <c r="AJ505" s="554"/>
      <c r="AK505" s="327"/>
      <c r="AL505" s="537" t="s">
        <v>334</v>
      </c>
      <c r="AM505" s="327"/>
      <c r="AN505" s="546" t="s">
        <v>334</v>
      </c>
      <c r="AO505" s="327"/>
      <c r="AP505" s="554"/>
      <c r="AQ505" s="327"/>
      <c r="AR505" s="555"/>
      <c r="AS505" s="327"/>
      <c r="AT505" s="549"/>
      <c r="AU505" s="327"/>
      <c r="AV505" s="546" t="s">
        <v>334</v>
      </c>
      <c r="AW505" s="327"/>
      <c r="AX505" s="521"/>
      <c r="AY505" s="326"/>
      <c r="AZ505" s="327"/>
      <c r="BA505" s="536"/>
      <c r="BB505" s="327"/>
      <c r="BC505" s="25"/>
      <c r="BD505" s="544" t="s">
        <v>334</v>
      </c>
      <c r="BE505" s="327"/>
      <c r="BF505" s="508"/>
      <c r="BG505" s="326"/>
      <c r="BH505" s="326"/>
      <c r="BI505" s="327"/>
      <c r="BJ505" s="557" t="s">
        <v>303</v>
      </c>
      <c r="BK505" s="326"/>
      <c r="BL505" s="326"/>
      <c r="BM505" s="327"/>
      <c r="BN505" s="558" t="s">
        <v>303</v>
      </c>
      <c r="BO505" s="326"/>
      <c r="BP505" s="326"/>
      <c r="BQ505" s="326"/>
      <c r="BR505" s="326"/>
      <c r="BS505" s="326"/>
      <c r="BT505" s="326"/>
      <c r="BU505" s="326"/>
      <c r="BV505" s="327"/>
    </row>
    <row r="506" spans="1:74" ht="45" customHeight="1" x14ac:dyDescent="0.25">
      <c r="A506" s="10">
        <f t="shared" si="1"/>
        <v>492</v>
      </c>
      <c r="B506" s="564" t="s">
        <v>303</v>
      </c>
      <c r="C506" s="327"/>
      <c r="D506" s="565" t="s">
        <v>307</v>
      </c>
      <c r="E506" s="327"/>
      <c r="F506" s="537" t="s">
        <v>334</v>
      </c>
      <c r="G506" s="327"/>
      <c r="H506" s="561" t="s">
        <v>334</v>
      </c>
      <c r="I506" s="327"/>
      <c r="J506" s="562"/>
      <c r="K506" s="327"/>
      <c r="L506" s="562"/>
      <c r="M506" s="327"/>
      <c r="N506" s="23"/>
      <c r="O506" s="21"/>
      <c r="P506" s="563"/>
      <c r="Q506" s="327"/>
      <c r="R506" s="538"/>
      <c r="S506" s="327"/>
      <c r="T506" s="539"/>
      <c r="U506" s="327"/>
      <c r="V506" s="540"/>
      <c r="W506" s="327"/>
      <c r="X506" s="438" t="s">
        <v>303</v>
      </c>
      <c r="Y506" s="326"/>
      <c r="Z506" s="326"/>
      <c r="AA506" s="327"/>
      <c r="AB506" s="519" t="s">
        <v>303</v>
      </c>
      <c r="AC506" s="326"/>
      <c r="AD506" s="326"/>
      <c r="AE506" s="327"/>
      <c r="AF506" s="543"/>
      <c r="AG506" s="327"/>
      <c r="AH506" s="543"/>
      <c r="AI506" s="327"/>
      <c r="AJ506" s="536"/>
      <c r="AK506" s="327"/>
      <c r="AL506" s="556" t="s">
        <v>334</v>
      </c>
      <c r="AM506" s="327"/>
      <c r="AN506" s="553" t="s">
        <v>334</v>
      </c>
      <c r="AO506" s="327"/>
      <c r="AP506" s="547"/>
      <c r="AQ506" s="327"/>
      <c r="AR506" s="548"/>
      <c r="AS506" s="327"/>
      <c r="AT506" s="549"/>
      <c r="AU506" s="327"/>
      <c r="AV506" s="553" t="s">
        <v>334</v>
      </c>
      <c r="AW506" s="327"/>
      <c r="AX506" s="521"/>
      <c r="AY506" s="326"/>
      <c r="AZ506" s="327"/>
      <c r="BA506" s="550"/>
      <c r="BB506" s="327"/>
      <c r="BC506" s="22"/>
      <c r="BD506" s="551" t="s">
        <v>334</v>
      </c>
      <c r="BE506" s="327"/>
      <c r="BF506" s="545"/>
      <c r="BG506" s="326"/>
      <c r="BH506" s="326"/>
      <c r="BI506" s="327"/>
      <c r="BJ506" s="451" t="s">
        <v>303</v>
      </c>
      <c r="BK506" s="326"/>
      <c r="BL506" s="326"/>
      <c r="BM506" s="327"/>
      <c r="BN506" s="558" t="s">
        <v>303</v>
      </c>
      <c r="BO506" s="326"/>
      <c r="BP506" s="326"/>
      <c r="BQ506" s="326"/>
      <c r="BR506" s="326"/>
      <c r="BS506" s="326"/>
      <c r="BT506" s="326"/>
      <c r="BU506" s="326"/>
      <c r="BV506" s="327"/>
    </row>
    <row r="507" spans="1:74" ht="45" customHeight="1" x14ac:dyDescent="0.25">
      <c r="A507" s="10">
        <f t="shared" si="1"/>
        <v>493</v>
      </c>
      <c r="B507" s="559" t="s">
        <v>303</v>
      </c>
      <c r="C507" s="327"/>
      <c r="D507" s="560" t="s">
        <v>307</v>
      </c>
      <c r="E507" s="327"/>
      <c r="F507" s="537" t="s">
        <v>334</v>
      </c>
      <c r="G507" s="327"/>
      <c r="H507" s="566" t="s">
        <v>334</v>
      </c>
      <c r="I507" s="327"/>
      <c r="J507" s="567"/>
      <c r="K507" s="327"/>
      <c r="L507" s="567"/>
      <c r="M507" s="327"/>
      <c r="N507" s="20"/>
      <c r="O507" s="24"/>
      <c r="P507" s="524"/>
      <c r="Q507" s="327"/>
      <c r="R507" s="516"/>
      <c r="S507" s="327"/>
      <c r="T507" s="517"/>
      <c r="U507" s="327"/>
      <c r="V507" s="518"/>
      <c r="W507" s="327"/>
      <c r="X507" s="541" t="s">
        <v>303</v>
      </c>
      <c r="Y507" s="326"/>
      <c r="Z507" s="326"/>
      <c r="AA507" s="327"/>
      <c r="AB507" s="542" t="s">
        <v>303</v>
      </c>
      <c r="AC507" s="326"/>
      <c r="AD507" s="326"/>
      <c r="AE507" s="327"/>
      <c r="AF507" s="520"/>
      <c r="AG507" s="327"/>
      <c r="AH507" s="520"/>
      <c r="AI507" s="327"/>
      <c r="AJ507" s="554"/>
      <c r="AK507" s="327"/>
      <c r="AL507" s="537" t="s">
        <v>334</v>
      </c>
      <c r="AM507" s="327"/>
      <c r="AN507" s="546" t="s">
        <v>334</v>
      </c>
      <c r="AO507" s="327"/>
      <c r="AP507" s="554"/>
      <c r="AQ507" s="327"/>
      <c r="AR507" s="555"/>
      <c r="AS507" s="327"/>
      <c r="AT507" s="549"/>
      <c r="AU507" s="327"/>
      <c r="AV507" s="546" t="s">
        <v>334</v>
      </c>
      <c r="AW507" s="327"/>
      <c r="AX507" s="521"/>
      <c r="AY507" s="326"/>
      <c r="AZ507" s="327"/>
      <c r="BA507" s="536"/>
      <c r="BB507" s="327"/>
      <c r="BC507" s="25"/>
      <c r="BD507" s="544" t="s">
        <v>334</v>
      </c>
      <c r="BE507" s="327"/>
      <c r="BF507" s="552"/>
      <c r="BG507" s="326"/>
      <c r="BH507" s="326"/>
      <c r="BI507" s="327"/>
      <c r="BJ507" s="557" t="s">
        <v>303</v>
      </c>
      <c r="BK507" s="326"/>
      <c r="BL507" s="326"/>
      <c r="BM507" s="327"/>
      <c r="BN507" s="558" t="s">
        <v>303</v>
      </c>
      <c r="BO507" s="326"/>
      <c r="BP507" s="326"/>
      <c r="BQ507" s="326"/>
      <c r="BR507" s="326"/>
      <c r="BS507" s="326"/>
      <c r="BT507" s="326"/>
      <c r="BU507" s="326"/>
      <c r="BV507" s="327"/>
    </row>
    <row r="508" spans="1:74" ht="45" customHeight="1" x14ac:dyDescent="0.25">
      <c r="A508" s="10">
        <f t="shared" si="1"/>
        <v>494</v>
      </c>
      <c r="B508" s="564" t="s">
        <v>303</v>
      </c>
      <c r="C508" s="327"/>
      <c r="D508" s="565" t="s">
        <v>307</v>
      </c>
      <c r="E508" s="327"/>
      <c r="F508" s="537" t="s">
        <v>334</v>
      </c>
      <c r="G508" s="327"/>
      <c r="H508" s="561" t="s">
        <v>334</v>
      </c>
      <c r="I508" s="327"/>
      <c r="J508" s="26"/>
      <c r="K508" s="27"/>
      <c r="L508" s="26"/>
      <c r="M508" s="27"/>
      <c r="N508" s="23"/>
      <c r="O508" s="24"/>
      <c r="P508" s="563"/>
      <c r="Q508" s="327"/>
      <c r="R508" s="538"/>
      <c r="S508" s="327"/>
      <c r="T508" s="539"/>
      <c r="U508" s="327"/>
      <c r="V508" s="540"/>
      <c r="W508" s="327"/>
      <c r="X508" s="438" t="s">
        <v>303</v>
      </c>
      <c r="Y508" s="326"/>
      <c r="Z508" s="326"/>
      <c r="AA508" s="327"/>
      <c r="AB508" s="519" t="s">
        <v>303</v>
      </c>
      <c r="AC508" s="326"/>
      <c r="AD508" s="326"/>
      <c r="AE508" s="327"/>
      <c r="AF508" s="543"/>
      <c r="AG508" s="327"/>
      <c r="AH508" s="543"/>
      <c r="AI508" s="327"/>
      <c r="AJ508" s="536"/>
      <c r="AK508" s="327"/>
      <c r="AL508" s="556" t="s">
        <v>334</v>
      </c>
      <c r="AM508" s="327"/>
      <c r="AN508" s="553" t="s">
        <v>334</v>
      </c>
      <c r="AO508" s="327"/>
      <c r="AP508" s="547"/>
      <c r="AQ508" s="327"/>
      <c r="AR508" s="548"/>
      <c r="AS508" s="327"/>
      <c r="AT508" s="549"/>
      <c r="AU508" s="327"/>
      <c r="AV508" s="553" t="s">
        <v>334</v>
      </c>
      <c r="AW508" s="327"/>
      <c r="AX508" s="521"/>
      <c r="AY508" s="326"/>
      <c r="AZ508" s="327"/>
      <c r="BA508" s="550"/>
      <c r="BB508" s="327"/>
      <c r="BC508" s="22"/>
      <c r="BD508" s="551" t="s">
        <v>334</v>
      </c>
      <c r="BE508" s="327"/>
      <c r="BF508" s="545"/>
      <c r="BG508" s="326"/>
      <c r="BH508" s="326"/>
      <c r="BI508" s="327"/>
      <c r="BJ508" s="451" t="s">
        <v>303</v>
      </c>
      <c r="BK508" s="326"/>
      <c r="BL508" s="326"/>
      <c r="BM508" s="327"/>
      <c r="BN508" s="558" t="s">
        <v>303</v>
      </c>
      <c r="BO508" s="326"/>
      <c r="BP508" s="326"/>
      <c r="BQ508" s="326"/>
      <c r="BR508" s="326"/>
      <c r="BS508" s="326"/>
      <c r="BT508" s="326"/>
      <c r="BU508" s="326"/>
      <c r="BV508" s="327"/>
    </row>
    <row r="509" spans="1:74" ht="45" customHeight="1" x14ac:dyDescent="0.25">
      <c r="A509" s="10">
        <f t="shared" si="1"/>
        <v>495</v>
      </c>
      <c r="B509" s="559" t="s">
        <v>303</v>
      </c>
      <c r="C509" s="327"/>
      <c r="D509" s="560" t="s">
        <v>307</v>
      </c>
      <c r="E509" s="327"/>
      <c r="F509" s="537" t="s">
        <v>334</v>
      </c>
      <c r="G509" s="327"/>
      <c r="H509" s="566" t="s">
        <v>334</v>
      </c>
      <c r="I509" s="327"/>
      <c r="J509" s="567"/>
      <c r="K509" s="327"/>
      <c r="L509" s="567"/>
      <c r="M509" s="327"/>
      <c r="N509" s="20"/>
      <c r="O509" s="21"/>
      <c r="P509" s="524"/>
      <c r="Q509" s="327"/>
      <c r="R509" s="516"/>
      <c r="S509" s="327"/>
      <c r="T509" s="517"/>
      <c r="U509" s="327"/>
      <c r="V509" s="518"/>
      <c r="W509" s="327"/>
      <c r="X509" s="541" t="s">
        <v>303</v>
      </c>
      <c r="Y509" s="326"/>
      <c r="Z509" s="326"/>
      <c r="AA509" s="327"/>
      <c r="AB509" s="542" t="s">
        <v>303</v>
      </c>
      <c r="AC509" s="326"/>
      <c r="AD509" s="326"/>
      <c r="AE509" s="327"/>
      <c r="AF509" s="520"/>
      <c r="AG509" s="327"/>
      <c r="AH509" s="520"/>
      <c r="AI509" s="327"/>
      <c r="AJ509" s="554"/>
      <c r="AK509" s="327"/>
      <c r="AL509" s="537" t="s">
        <v>334</v>
      </c>
      <c r="AM509" s="327"/>
      <c r="AN509" s="546" t="s">
        <v>334</v>
      </c>
      <c r="AO509" s="327"/>
      <c r="AP509" s="554"/>
      <c r="AQ509" s="327"/>
      <c r="AR509" s="555"/>
      <c r="AS509" s="327"/>
      <c r="AT509" s="549"/>
      <c r="AU509" s="327"/>
      <c r="AV509" s="546" t="s">
        <v>334</v>
      </c>
      <c r="AW509" s="327"/>
      <c r="AX509" s="521"/>
      <c r="AY509" s="326"/>
      <c r="AZ509" s="327"/>
      <c r="BA509" s="536"/>
      <c r="BB509" s="327"/>
      <c r="BC509" s="25"/>
      <c r="BD509" s="544" t="s">
        <v>334</v>
      </c>
      <c r="BE509" s="327"/>
      <c r="BF509" s="508"/>
      <c r="BG509" s="326"/>
      <c r="BH509" s="326"/>
      <c r="BI509" s="327"/>
      <c r="BJ509" s="557" t="s">
        <v>303</v>
      </c>
      <c r="BK509" s="326"/>
      <c r="BL509" s="326"/>
      <c r="BM509" s="327"/>
      <c r="BN509" s="558" t="s">
        <v>303</v>
      </c>
      <c r="BO509" s="326"/>
      <c r="BP509" s="326"/>
      <c r="BQ509" s="326"/>
      <c r="BR509" s="326"/>
      <c r="BS509" s="326"/>
      <c r="BT509" s="326"/>
      <c r="BU509" s="326"/>
      <c r="BV509" s="327"/>
    </row>
    <row r="510" spans="1:74" ht="45" customHeight="1" x14ac:dyDescent="0.25">
      <c r="A510" s="10">
        <f t="shared" si="1"/>
        <v>496</v>
      </c>
      <c r="B510" s="564" t="s">
        <v>303</v>
      </c>
      <c r="C510" s="327"/>
      <c r="D510" s="565" t="s">
        <v>307</v>
      </c>
      <c r="E510" s="327"/>
      <c r="F510" s="537" t="s">
        <v>334</v>
      </c>
      <c r="G510" s="327"/>
      <c r="H510" s="561" t="s">
        <v>334</v>
      </c>
      <c r="I510" s="327"/>
      <c r="J510" s="26"/>
      <c r="K510" s="27"/>
      <c r="L510" s="26"/>
      <c r="M510" s="27"/>
      <c r="N510" s="23"/>
      <c r="O510" s="24"/>
      <c r="P510" s="563"/>
      <c r="Q510" s="327"/>
      <c r="R510" s="538"/>
      <c r="S510" s="327"/>
      <c r="T510" s="539"/>
      <c r="U510" s="327"/>
      <c r="V510" s="540"/>
      <c r="W510" s="327"/>
      <c r="X510" s="438" t="s">
        <v>303</v>
      </c>
      <c r="Y510" s="326"/>
      <c r="Z510" s="326"/>
      <c r="AA510" s="327"/>
      <c r="AB510" s="519" t="s">
        <v>303</v>
      </c>
      <c r="AC510" s="326"/>
      <c r="AD510" s="326"/>
      <c r="AE510" s="327"/>
      <c r="AF510" s="543"/>
      <c r="AG510" s="327"/>
      <c r="AH510" s="543"/>
      <c r="AI510" s="327"/>
      <c r="AJ510" s="536"/>
      <c r="AK510" s="327"/>
      <c r="AL510" s="556" t="s">
        <v>334</v>
      </c>
      <c r="AM510" s="327"/>
      <c r="AN510" s="553" t="s">
        <v>334</v>
      </c>
      <c r="AO510" s="327"/>
      <c r="AP510" s="547"/>
      <c r="AQ510" s="327"/>
      <c r="AR510" s="548"/>
      <c r="AS510" s="327"/>
      <c r="AT510" s="549"/>
      <c r="AU510" s="327"/>
      <c r="AV510" s="553" t="s">
        <v>334</v>
      </c>
      <c r="AW510" s="327"/>
      <c r="AX510" s="521"/>
      <c r="AY510" s="326"/>
      <c r="AZ510" s="327"/>
      <c r="BA510" s="550"/>
      <c r="BB510" s="327"/>
      <c r="BC510" s="22"/>
      <c r="BD510" s="551" t="s">
        <v>334</v>
      </c>
      <c r="BE510" s="327"/>
      <c r="BF510" s="545"/>
      <c r="BG510" s="326"/>
      <c r="BH510" s="326"/>
      <c r="BI510" s="327"/>
      <c r="BJ510" s="451" t="s">
        <v>303</v>
      </c>
      <c r="BK510" s="326"/>
      <c r="BL510" s="326"/>
      <c r="BM510" s="327"/>
      <c r="BN510" s="558" t="s">
        <v>303</v>
      </c>
      <c r="BO510" s="326"/>
      <c r="BP510" s="326"/>
      <c r="BQ510" s="326"/>
      <c r="BR510" s="326"/>
      <c r="BS510" s="326"/>
      <c r="BT510" s="326"/>
      <c r="BU510" s="326"/>
      <c r="BV510" s="327"/>
    </row>
    <row r="511" spans="1:74" ht="45" customHeight="1" x14ac:dyDescent="0.25">
      <c r="A511" s="10">
        <f t="shared" si="1"/>
        <v>497</v>
      </c>
      <c r="B511" s="559" t="s">
        <v>303</v>
      </c>
      <c r="C511" s="327"/>
      <c r="D511" s="560" t="s">
        <v>307</v>
      </c>
      <c r="E511" s="327"/>
      <c r="F511" s="537" t="s">
        <v>334</v>
      </c>
      <c r="G511" s="327"/>
      <c r="H511" s="566" t="s">
        <v>334</v>
      </c>
      <c r="I511" s="327"/>
      <c r="J511" s="567"/>
      <c r="K511" s="327"/>
      <c r="L511" s="567"/>
      <c r="M511" s="327"/>
      <c r="N511" s="20"/>
      <c r="O511" s="21"/>
      <c r="P511" s="524"/>
      <c r="Q511" s="327"/>
      <c r="R511" s="516"/>
      <c r="S511" s="327"/>
      <c r="T511" s="517"/>
      <c r="U511" s="327"/>
      <c r="V511" s="518"/>
      <c r="W511" s="327"/>
      <c r="X511" s="541" t="s">
        <v>303</v>
      </c>
      <c r="Y511" s="326"/>
      <c r="Z511" s="326"/>
      <c r="AA511" s="327"/>
      <c r="AB511" s="542" t="s">
        <v>303</v>
      </c>
      <c r="AC511" s="326"/>
      <c r="AD511" s="326"/>
      <c r="AE511" s="327"/>
      <c r="AF511" s="520"/>
      <c r="AG511" s="327"/>
      <c r="AH511" s="520"/>
      <c r="AI511" s="327"/>
      <c r="AJ511" s="554"/>
      <c r="AK511" s="327"/>
      <c r="AL511" s="537" t="s">
        <v>334</v>
      </c>
      <c r="AM511" s="327"/>
      <c r="AN511" s="546" t="s">
        <v>334</v>
      </c>
      <c r="AO511" s="327"/>
      <c r="AP511" s="554"/>
      <c r="AQ511" s="327"/>
      <c r="AR511" s="555"/>
      <c r="AS511" s="327"/>
      <c r="AT511" s="549"/>
      <c r="AU511" s="327"/>
      <c r="AV511" s="546" t="s">
        <v>334</v>
      </c>
      <c r="AW511" s="327"/>
      <c r="AX511" s="521"/>
      <c r="AY511" s="326"/>
      <c r="AZ511" s="327"/>
      <c r="BA511" s="536"/>
      <c r="BB511" s="327"/>
      <c r="BC511" s="25"/>
      <c r="BD511" s="544" t="s">
        <v>334</v>
      </c>
      <c r="BE511" s="327"/>
      <c r="BF511" s="552"/>
      <c r="BG511" s="326"/>
      <c r="BH511" s="326"/>
      <c r="BI511" s="327"/>
      <c r="BJ511" s="557" t="s">
        <v>303</v>
      </c>
      <c r="BK511" s="326"/>
      <c r="BL511" s="326"/>
      <c r="BM511" s="327"/>
      <c r="BN511" s="558" t="s">
        <v>303</v>
      </c>
      <c r="BO511" s="326"/>
      <c r="BP511" s="326"/>
      <c r="BQ511" s="326"/>
      <c r="BR511" s="326"/>
      <c r="BS511" s="326"/>
      <c r="BT511" s="326"/>
      <c r="BU511" s="326"/>
      <c r="BV511" s="327"/>
    </row>
    <row r="512" spans="1:74" ht="45" customHeight="1" x14ac:dyDescent="0.25">
      <c r="A512" s="10">
        <f t="shared" si="1"/>
        <v>498</v>
      </c>
      <c r="B512" s="564" t="s">
        <v>303</v>
      </c>
      <c r="C512" s="327"/>
      <c r="D512" s="565" t="s">
        <v>307</v>
      </c>
      <c r="E512" s="327"/>
      <c r="F512" s="537" t="s">
        <v>334</v>
      </c>
      <c r="G512" s="327"/>
      <c r="H512" s="561" t="s">
        <v>334</v>
      </c>
      <c r="I512" s="327"/>
      <c r="J512" s="26"/>
      <c r="K512" s="27"/>
      <c r="L512" s="26"/>
      <c r="M512" s="27"/>
      <c r="N512" s="23"/>
      <c r="O512" s="24"/>
      <c r="P512" s="563"/>
      <c r="Q512" s="327"/>
      <c r="R512" s="538"/>
      <c r="S512" s="327"/>
      <c r="T512" s="539"/>
      <c r="U512" s="327"/>
      <c r="V512" s="540"/>
      <c r="W512" s="327"/>
      <c r="X512" s="438" t="s">
        <v>303</v>
      </c>
      <c r="Y512" s="326"/>
      <c r="Z512" s="326"/>
      <c r="AA512" s="327"/>
      <c r="AB512" s="519" t="s">
        <v>303</v>
      </c>
      <c r="AC512" s="326"/>
      <c r="AD512" s="326"/>
      <c r="AE512" s="327"/>
      <c r="AF512" s="543"/>
      <c r="AG512" s="327"/>
      <c r="AH512" s="543"/>
      <c r="AI512" s="327"/>
      <c r="AJ512" s="536"/>
      <c r="AK512" s="327"/>
      <c r="AL512" s="556" t="s">
        <v>334</v>
      </c>
      <c r="AM512" s="327"/>
      <c r="AN512" s="553" t="s">
        <v>334</v>
      </c>
      <c r="AO512" s="327"/>
      <c r="AP512" s="547"/>
      <c r="AQ512" s="327"/>
      <c r="AR512" s="548"/>
      <c r="AS512" s="327"/>
      <c r="AT512" s="549"/>
      <c r="AU512" s="327"/>
      <c r="AV512" s="553" t="s">
        <v>334</v>
      </c>
      <c r="AW512" s="327"/>
      <c r="AX512" s="521"/>
      <c r="AY512" s="326"/>
      <c r="AZ512" s="327"/>
      <c r="BA512" s="550"/>
      <c r="BB512" s="327"/>
      <c r="BC512" s="22"/>
      <c r="BD512" s="551" t="s">
        <v>334</v>
      </c>
      <c r="BE512" s="327"/>
      <c r="BF512" s="545"/>
      <c r="BG512" s="326"/>
      <c r="BH512" s="326"/>
      <c r="BI512" s="327"/>
      <c r="BJ512" s="451" t="s">
        <v>303</v>
      </c>
      <c r="BK512" s="326"/>
      <c r="BL512" s="326"/>
      <c r="BM512" s="327"/>
      <c r="BN512" s="558" t="s">
        <v>303</v>
      </c>
      <c r="BO512" s="326"/>
      <c r="BP512" s="326"/>
      <c r="BQ512" s="326"/>
      <c r="BR512" s="326"/>
      <c r="BS512" s="326"/>
      <c r="BT512" s="326"/>
      <c r="BU512" s="326"/>
      <c r="BV512" s="327"/>
    </row>
    <row r="513" spans="1:74" ht="45" customHeight="1" x14ac:dyDescent="0.25">
      <c r="A513" s="10">
        <f t="shared" si="1"/>
        <v>499</v>
      </c>
      <c r="B513" s="559" t="s">
        <v>303</v>
      </c>
      <c r="C513" s="327"/>
      <c r="D513" s="560" t="s">
        <v>307</v>
      </c>
      <c r="E513" s="327"/>
      <c r="F513" s="537" t="s">
        <v>334</v>
      </c>
      <c r="G513" s="327"/>
      <c r="H513" s="566" t="s">
        <v>334</v>
      </c>
      <c r="I513" s="327"/>
      <c r="J513" s="567"/>
      <c r="K513" s="327"/>
      <c r="L513" s="567"/>
      <c r="M513" s="327"/>
      <c r="N513" s="20"/>
      <c r="O513" s="21"/>
      <c r="P513" s="524"/>
      <c r="Q513" s="327"/>
      <c r="R513" s="516"/>
      <c r="S513" s="327"/>
      <c r="T513" s="517"/>
      <c r="U513" s="327"/>
      <c r="V513" s="518"/>
      <c r="W513" s="327"/>
      <c r="X513" s="541" t="s">
        <v>303</v>
      </c>
      <c r="Y513" s="326"/>
      <c r="Z513" s="326"/>
      <c r="AA513" s="327"/>
      <c r="AB513" s="542" t="s">
        <v>303</v>
      </c>
      <c r="AC513" s="326"/>
      <c r="AD513" s="326"/>
      <c r="AE513" s="327"/>
      <c r="AF513" s="520"/>
      <c r="AG513" s="327"/>
      <c r="AH513" s="520"/>
      <c r="AI513" s="327"/>
      <c r="AJ513" s="554"/>
      <c r="AK513" s="327"/>
      <c r="AL513" s="537" t="s">
        <v>334</v>
      </c>
      <c r="AM513" s="327"/>
      <c r="AN513" s="546" t="s">
        <v>334</v>
      </c>
      <c r="AO513" s="327"/>
      <c r="AP513" s="554"/>
      <c r="AQ513" s="327"/>
      <c r="AR513" s="555"/>
      <c r="AS513" s="327"/>
      <c r="AT513" s="549"/>
      <c r="AU513" s="327"/>
      <c r="AV513" s="546" t="s">
        <v>334</v>
      </c>
      <c r="AW513" s="327"/>
      <c r="AX513" s="521"/>
      <c r="AY513" s="326"/>
      <c r="AZ513" s="327"/>
      <c r="BA513" s="536"/>
      <c r="BB513" s="327"/>
      <c r="BC513" s="25"/>
      <c r="BD513" s="544" t="s">
        <v>334</v>
      </c>
      <c r="BE513" s="327"/>
      <c r="BF513" s="508"/>
      <c r="BG513" s="326"/>
      <c r="BH513" s="326"/>
      <c r="BI513" s="327"/>
      <c r="BJ513" s="557" t="s">
        <v>303</v>
      </c>
      <c r="BK513" s="326"/>
      <c r="BL513" s="326"/>
      <c r="BM513" s="327"/>
      <c r="BN513" s="558" t="s">
        <v>303</v>
      </c>
      <c r="BO513" s="326"/>
      <c r="BP513" s="326"/>
      <c r="BQ513" s="326"/>
      <c r="BR513" s="326"/>
      <c r="BS513" s="326"/>
      <c r="BT513" s="326"/>
      <c r="BU513" s="326"/>
      <c r="BV513" s="327"/>
    </row>
    <row r="514" spans="1:74" ht="45" customHeight="1" x14ac:dyDescent="0.25">
      <c r="A514" s="10">
        <f t="shared" si="1"/>
        <v>500</v>
      </c>
      <c r="B514" s="564" t="s">
        <v>303</v>
      </c>
      <c r="C514" s="327"/>
      <c r="D514" s="565" t="s">
        <v>307</v>
      </c>
      <c r="E514" s="327"/>
      <c r="F514" s="537" t="s">
        <v>334</v>
      </c>
      <c r="G514" s="327"/>
      <c r="H514" s="561" t="s">
        <v>334</v>
      </c>
      <c r="I514" s="327"/>
      <c r="J514" s="26"/>
      <c r="K514" s="27"/>
      <c r="L514" s="26"/>
      <c r="M514" s="27"/>
      <c r="N514" s="23"/>
      <c r="O514" s="24"/>
      <c r="P514" s="563"/>
      <c r="Q514" s="327"/>
      <c r="R514" s="538"/>
      <c r="S514" s="327"/>
      <c r="T514" s="539"/>
      <c r="U514" s="327"/>
      <c r="V514" s="540"/>
      <c r="W514" s="327"/>
      <c r="X514" s="438" t="s">
        <v>303</v>
      </c>
      <c r="Y514" s="326"/>
      <c r="Z514" s="326"/>
      <c r="AA514" s="327"/>
      <c r="AB514" s="519" t="s">
        <v>303</v>
      </c>
      <c r="AC514" s="326"/>
      <c r="AD514" s="326"/>
      <c r="AE514" s="327"/>
      <c r="AF514" s="543"/>
      <c r="AG514" s="327"/>
      <c r="AH514" s="543"/>
      <c r="AI514" s="327"/>
      <c r="AJ514" s="536"/>
      <c r="AK514" s="327"/>
      <c r="AL514" s="556" t="s">
        <v>334</v>
      </c>
      <c r="AM514" s="327"/>
      <c r="AN514" s="553" t="s">
        <v>334</v>
      </c>
      <c r="AO514" s="327"/>
      <c r="AP514" s="547"/>
      <c r="AQ514" s="327"/>
      <c r="AR514" s="548"/>
      <c r="AS514" s="327"/>
      <c r="AT514" s="549"/>
      <c r="AU514" s="327"/>
      <c r="AV514" s="553" t="s">
        <v>334</v>
      </c>
      <c r="AW514" s="327"/>
      <c r="AX514" s="521"/>
      <c r="AY514" s="326"/>
      <c r="AZ514" s="327"/>
      <c r="BA514" s="550"/>
      <c r="BB514" s="327"/>
      <c r="BC514" s="22"/>
      <c r="BD514" s="551" t="s">
        <v>334</v>
      </c>
      <c r="BE514" s="327"/>
      <c r="BF514" s="545"/>
      <c r="BG514" s="326"/>
      <c r="BH514" s="326"/>
      <c r="BI514" s="327"/>
      <c r="BJ514" s="451" t="s">
        <v>303</v>
      </c>
      <c r="BK514" s="326"/>
      <c r="BL514" s="326"/>
      <c r="BM514" s="327"/>
      <c r="BN514" s="558" t="s">
        <v>303</v>
      </c>
      <c r="BO514" s="326"/>
      <c r="BP514" s="326"/>
      <c r="BQ514" s="326"/>
      <c r="BR514" s="326"/>
      <c r="BS514" s="326"/>
      <c r="BT514" s="326"/>
      <c r="BU514" s="326"/>
      <c r="BV514" s="327"/>
    </row>
    <row r="515" spans="1:74" ht="45" customHeight="1" x14ac:dyDescent="0.25">
      <c r="A515" s="10">
        <f t="shared" si="1"/>
        <v>501</v>
      </c>
      <c r="B515" s="559" t="s">
        <v>303</v>
      </c>
      <c r="C515" s="327"/>
      <c r="D515" s="560" t="s">
        <v>307</v>
      </c>
      <c r="E515" s="327"/>
      <c r="F515" s="537" t="s">
        <v>334</v>
      </c>
      <c r="G515" s="327"/>
      <c r="H515" s="566" t="s">
        <v>334</v>
      </c>
      <c r="I515" s="327"/>
      <c r="J515" s="567"/>
      <c r="K515" s="327"/>
      <c r="L515" s="567"/>
      <c r="M515" s="327"/>
      <c r="N515" s="20"/>
      <c r="O515" s="21"/>
      <c r="P515" s="524"/>
      <c r="Q515" s="327"/>
      <c r="R515" s="516"/>
      <c r="S515" s="327"/>
      <c r="T515" s="517"/>
      <c r="U515" s="327"/>
      <c r="V515" s="518"/>
      <c r="W515" s="327"/>
      <c r="X515" s="541" t="s">
        <v>303</v>
      </c>
      <c r="Y515" s="326"/>
      <c r="Z515" s="326"/>
      <c r="AA515" s="327"/>
      <c r="AB515" s="542" t="s">
        <v>303</v>
      </c>
      <c r="AC515" s="326"/>
      <c r="AD515" s="326"/>
      <c r="AE515" s="327"/>
      <c r="AF515" s="520"/>
      <c r="AG515" s="327"/>
      <c r="AH515" s="520"/>
      <c r="AI515" s="327"/>
      <c r="AJ515" s="554"/>
      <c r="AK515" s="327"/>
      <c r="AL515" s="537" t="s">
        <v>334</v>
      </c>
      <c r="AM515" s="327"/>
      <c r="AN515" s="546" t="s">
        <v>334</v>
      </c>
      <c r="AO515" s="327"/>
      <c r="AP515" s="554"/>
      <c r="AQ515" s="327"/>
      <c r="AR515" s="555"/>
      <c r="AS515" s="327"/>
      <c r="AT515" s="549"/>
      <c r="AU515" s="327"/>
      <c r="AV515" s="546" t="s">
        <v>334</v>
      </c>
      <c r="AW515" s="327"/>
      <c r="AX515" s="521"/>
      <c r="AY515" s="326"/>
      <c r="AZ515" s="327"/>
      <c r="BA515" s="536"/>
      <c r="BB515" s="327"/>
      <c r="BC515" s="25"/>
      <c r="BD515" s="544" t="s">
        <v>334</v>
      </c>
      <c r="BE515" s="327"/>
      <c r="BF515" s="508"/>
      <c r="BG515" s="326"/>
      <c r="BH515" s="326"/>
      <c r="BI515" s="327"/>
      <c r="BJ515" s="557" t="s">
        <v>303</v>
      </c>
      <c r="BK515" s="326"/>
      <c r="BL515" s="326"/>
      <c r="BM515" s="327"/>
      <c r="BN515" s="558" t="s">
        <v>303</v>
      </c>
      <c r="BO515" s="326"/>
      <c r="BP515" s="326"/>
      <c r="BQ515" s="326"/>
      <c r="BR515" s="326"/>
      <c r="BS515" s="326"/>
      <c r="BT515" s="326"/>
      <c r="BU515" s="326"/>
      <c r="BV515" s="327"/>
    </row>
    <row r="516" spans="1:74" ht="45" customHeight="1" x14ac:dyDescent="0.25">
      <c r="A516" s="10">
        <f t="shared" si="1"/>
        <v>502</v>
      </c>
      <c r="B516" s="564" t="s">
        <v>303</v>
      </c>
      <c r="C516" s="327"/>
      <c r="D516" s="565" t="s">
        <v>307</v>
      </c>
      <c r="E516" s="327"/>
      <c r="F516" s="537" t="s">
        <v>334</v>
      </c>
      <c r="G516" s="327"/>
      <c r="H516" s="561" t="s">
        <v>334</v>
      </c>
      <c r="I516" s="327"/>
      <c r="J516" s="26"/>
      <c r="K516" s="27"/>
      <c r="L516" s="26"/>
      <c r="M516" s="27"/>
      <c r="N516" s="23"/>
      <c r="O516" s="24"/>
      <c r="P516" s="563"/>
      <c r="Q516" s="327"/>
      <c r="R516" s="538"/>
      <c r="S516" s="327"/>
      <c r="T516" s="539"/>
      <c r="U516" s="327"/>
      <c r="V516" s="540"/>
      <c r="W516" s="327"/>
      <c r="X516" s="438" t="s">
        <v>303</v>
      </c>
      <c r="Y516" s="326"/>
      <c r="Z516" s="326"/>
      <c r="AA516" s="327"/>
      <c r="AB516" s="519" t="s">
        <v>303</v>
      </c>
      <c r="AC516" s="326"/>
      <c r="AD516" s="326"/>
      <c r="AE516" s="327"/>
      <c r="AF516" s="543"/>
      <c r="AG516" s="327"/>
      <c r="AH516" s="543"/>
      <c r="AI516" s="327"/>
      <c r="AJ516" s="536"/>
      <c r="AK516" s="327"/>
      <c r="AL516" s="556" t="s">
        <v>334</v>
      </c>
      <c r="AM516" s="327"/>
      <c r="AN516" s="553" t="s">
        <v>334</v>
      </c>
      <c r="AO516" s="327"/>
      <c r="AP516" s="547"/>
      <c r="AQ516" s="327"/>
      <c r="AR516" s="548"/>
      <c r="AS516" s="327"/>
      <c r="AT516" s="549"/>
      <c r="AU516" s="327"/>
      <c r="AV516" s="553" t="s">
        <v>334</v>
      </c>
      <c r="AW516" s="327"/>
      <c r="AX516" s="521"/>
      <c r="AY516" s="326"/>
      <c r="AZ516" s="327"/>
      <c r="BA516" s="550"/>
      <c r="BB516" s="327"/>
      <c r="BC516" s="22"/>
      <c r="BD516" s="551" t="s">
        <v>334</v>
      </c>
      <c r="BE516" s="327"/>
      <c r="BF516" s="545"/>
      <c r="BG516" s="326"/>
      <c r="BH516" s="326"/>
      <c r="BI516" s="327"/>
      <c r="BJ516" s="451" t="s">
        <v>303</v>
      </c>
      <c r="BK516" s="326"/>
      <c r="BL516" s="326"/>
      <c r="BM516" s="327"/>
      <c r="BN516" s="558" t="s">
        <v>303</v>
      </c>
      <c r="BO516" s="326"/>
      <c r="BP516" s="326"/>
      <c r="BQ516" s="326"/>
      <c r="BR516" s="326"/>
      <c r="BS516" s="326"/>
      <c r="BT516" s="326"/>
      <c r="BU516" s="326"/>
      <c r="BV516" s="327"/>
    </row>
    <row r="517" spans="1:74" ht="45" customHeight="1" x14ac:dyDescent="0.25">
      <c r="A517" s="10">
        <f t="shared" si="1"/>
        <v>503</v>
      </c>
      <c r="B517" s="559" t="s">
        <v>303</v>
      </c>
      <c r="C517" s="327"/>
      <c r="D517" s="560" t="s">
        <v>307</v>
      </c>
      <c r="E517" s="327"/>
      <c r="F517" s="537" t="s">
        <v>334</v>
      </c>
      <c r="G517" s="327"/>
      <c r="H517" s="566" t="s">
        <v>334</v>
      </c>
      <c r="I517" s="327"/>
      <c r="J517" s="567"/>
      <c r="K517" s="327"/>
      <c r="L517" s="567"/>
      <c r="M517" s="327"/>
      <c r="N517" s="20"/>
      <c r="O517" s="21"/>
      <c r="P517" s="524"/>
      <c r="Q517" s="327"/>
      <c r="R517" s="516"/>
      <c r="S517" s="327"/>
      <c r="T517" s="517"/>
      <c r="U517" s="327"/>
      <c r="V517" s="518"/>
      <c r="W517" s="327"/>
      <c r="X517" s="541" t="s">
        <v>303</v>
      </c>
      <c r="Y517" s="326"/>
      <c r="Z517" s="326"/>
      <c r="AA517" s="327"/>
      <c r="AB517" s="542" t="s">
        <v>303</v>
      </c>
      <c r="AC517" s="326"/>
      <c r="AD517" s="326"/>
      <c r="AE517" s="327"/>
      <c r="AF517" s="520"/>
      <c r="AG517" s="327"/>
      <c r="AH517" s="520"/>
      <c r="AI517" s="327"/>
      <c r="AJ517" s="554"/>
      <c r="AK517" s="327"/>
      <c r="AL517" s="537" t="s">
        <v>334</v>
      </c>
      <c r="AM517" s="327"/>
      <c r="AN517" s="546" t="s">
        <v>334</v>
      </c>
      <c r="AO517" s="327"/>
      <c r="AP517" s="554"/>
      <c r="AQ517" s="327"/>
      <c r="AR517" s="555"/>
      <c r="AS517" s="327"/>
      <c r="AT517" s="549"/>
      <c r="AU517" s="327"/>
      <c r="AV517" s="546" t="s">
        <v>334</v>
      </c>
      <c r="AW517" s="327"/>
      <c r="AX517" s="521"/>
      <c r="AY517" s="326"/>
      <c r="AZ517" s="327"/>
      <c r="BA517" s="536"/>
      <c r="BB517" s="327"/>
      <c r="BC517" s="25"/>
      <c r="BD517" s="544" t="s">
        <v>334</v>
      </c>
      <c r="BE517" s="327"/>
      <c r="BF517" s="552"/>
      <c r="BG517" s="326"/>
      <c r="BH517" s="326"/>
      <c r="BI517" s="327"/>
      <c r="BJ517" s="557" t="s">
        <v>303</v>
      </c>
      <c r="BK517" s="326"/>
      <c r="BL517" s="326"/>
      <c r="BM517" s="327"/>
      <c r="BN517" s="558" t="s">
        <v>303</v>
      </c>
      <c r="BO517" s="326"/>
      <c r="BP517" s="326"/>
      <c r="BQ517" s="326"/>
      <c r="BR517" s="326"/>
      <c r="BS517" s="326"/>
      <c r="BT517" s="326"/>
      <c r="BU517" s="326"/>
      <c r="BV517" s="327"/>
    </row>
    <row r="518" spans="1:74" ht="45" customHeight="1" x14ac:dyDescent="0.25">
      <c r="A518" s="10">
        <f t="shared" si="1"/>
        <v>504</v>
      </c>
      <c r="B518" s="564" t="s">
        <v>303</v>
      </c>
      <c r="C518" s="327"/>
      <c r="D518" s="565" t="s">
        <v>307</v>
      </c>
      <c r="E518" s="327"/>
      <c r="F518" s="537" t="s">
        <v>334</v>
      </c>
      <c r="G518" s="327"/>
      <c r="H518" s="561" t="s">
        <v>334</v>
      </c>
      <c r="I518" s="327"/>
      <c r="J518" s="26"/>
      <c r="K518" s="27"/>
      <c r="L518" s="26"/>
      <c r="M518" s="27"/>
      <c r="N518" s="23"/>
      <c r="O518" s="24"/>
      <c r="P518" s="563"/>
      <c r="Q518" s="327"/>
      <c r="R518" s="538"/>
      <c r="S518" s="327"/>
      <c r="T518" s="539"/>
      <c r="U518" s="327"/>
      <c r="V518" s="540"/>
      <c r="W518" s="327"/>
      <c r="X518" s="438" t="s">
        <v>303</v>
      </c>
      <c r="Y518" s="326"/>
      <c r="Z518" s="326"/>
      <c r="AA518" s="327"/>
      <c r="AB518" s="519" t="s">
        <v>303</v>
      </c>
      <c r="AC518" s="326"/>
      <c r="AD518" s="326"/>
      <c r="AE518" s="327"/>
      <c r="AF518" s="543"/>
      <c r="AG518" s="327"/>
      <c r="AH518" s="543"/>
      <c r="AI518" s="327"/>
      <c r="AJ518" s="536"/>
      <c r="AK518" s="327"/>
      <c r="AL518" s="556" t="s">
        <v>334</v>
      </c>
      <c r="AM518" s="327"/>
      <c r="AN518" s="553" t="s">
        <v>334</v>
      </c>
      <c r="AO518" s="327"/>
      <c r="AP518" s="547"/>
      <c r="AQ518" s="327"/>
      <c r="AR518" s="548"/>
      <c r="AS518" s="327"/>
      <c r="AT518" s="549"/>
      <c r="AU518" s="327"/>
      <c r="AV518" s="553" t="s">
        <v>334</v>
      </c>
      <c r="AW518" s="327"/>
      <c r="AX518" s="521"/>
      <c r="AY518" s="326"/>
      <c r="AZ518" s="327"/>
      <c r="BA518" s="550"/>
      <c r="BB518" s="327"/>
      <c r="BC518" s="22"/>
      <c r="BD518" s="551" t="s">
        <v>334</v>
      </c>
      <c r="BE518" s="327"/>
      <c r="BF518" s="545"/>
      <c r="BG518" s="326"/>
      <c r="BH518" s="326"/>
      <c r="BI518" s="327"/>
      <c r="BJ518" s="451" t="s">
        <v>303</v>
      </c>
      <c r="BK518" s="326"/>
      <c r="BL518" s="326"/>
      <c r="BM518" s="327"/>
      <c r="BN518" s="558" t="s">
        <v>303</v>
      </c>
      <c r="BO518" s="326"/>
      <c r="BP518" s="326"/>
      <c r="BQ518" s="326"/>
      <c r="BR518" s="326"/>
      <c r="BS518" s="326"/>
      <c r="BT518" s="326"/>
      <c r="BU518" s="326"/>
      <c r="BV518" s="327"/>
    </row>
    <row r="519" spans="1:74" ht="45" customHeight="1" x14ac:dyDescent="0.25">
      <c r="A519" s="10">
        <f t="shared" si="1"/>
        <v>505</v>
      </c>
      <c r="B519" s="559" t="s">
        <v>303</v>
      </c>
      <c r="C519" s="327"/>
      <c r="D519" s="560" t="s">
        <v>307</v>
      </c>
      <c r="E519" s="327"/>
      <c r="F519" s="537" t="s">
        <v>334</v>
      </c>
      <c r="G519" s="327"/>
      <c r="H519" s="566" t="s">
        <v>334</v>
      </c>
      <c r="I519" s="327"/>
      <c r="J519" s="567"/>
      <c r="K519" s="327"/>
      <c r="L519" s="567"/>
      <c r="M519" s="327"/>
      <c r="N519" s="20"/>
      <c r="O519" s="24"/>
      <c r="P519" s="524"/>
      <c r="Q519" s="327"/>
      <c r="R519" s="516"/>
      <c r="S519" s="327"/>
      <c r="T519" s="517"/>
      <c r="U519" s="327"/>
      <c r="V519" s="518"/>
      <c r="W519" s="327"/>
      <c r="X519" s="541" t="s">
        <v>303</v>
      </c>
      <c r="Y519" s="326"/>
      <c r="Z519" s="326"/>
      <c r="AA519" s="327"/>
      <c r="AB519" s="542" t="s">
        <v>303</v>
      </c>
      <c r="AC519" s="326"/>
      <c r="AD519" s="326"/>
      <c r="AE519" s="327"/>
      <c r="AF519" s="520"/>
      <c r="AG519" s="327"/>
      <c r="AH519" s="543"/>
      <c r="AI519" s="327"/>
      <c r="AJ519" s="554"/>
      <c r="AK519" s="327"/>
      <c r="AL519" s="537" t="s">
        <v>334</v>
      </c>
      <c r="AM519" s="327"/>
      <c r="AN519" s="546" t="s">
        <v>334</v>
      </c>
      <c r="AO519" s="327"/>
      <c r="AP519" s="554"/>
      <c r="AQ519" s="327"/>
      <c r="AR519" s="555"/>
      <c r="AS519" s="327"/>
      <c r="AT519" s="549"/>
      <c r="AU519" s="327"/>
      <c r="AV519" s="546" t="s">
        <v>334</v>
      </c>
      <c r="AW519" s="327"/>
      <c r="AX519" s="521"/>
      <c r="AY519" s="326"/>
      <c r="AZ519" s="327"/>
      <c r="BA519" s="536"/>
      <c r="BB519" s="327"/>
      <c r="BC519" s="25"/>
      <c r="BD519" s="544" t="s">
        <v>334</v>
      </c>
      <c r="BE519" s="327"/>
      <c r="BF519" s="508"/>
      <c r="BG519" s="326"/>
      <c r="BH519" s="326"/>
      <c r="BI519" s="327"/>
      <c r="BJ519" s="557" t="s">
        <v>303</v>
      </c>
      <c r="BK519" s="326"/>
      <c r="BL519" s="326"/>
      <c r="BM519" s="327"/>
      <c r="BN519" s="558" t="s">
        <v>303</v>
      </c>
      <c r="BO519" s="326"/>
      <c r="BP519" s="326"/>
      <c r="BQ519" s="326"/>
      <c r="BR519" s="326"/>
      <c r="BS519" s="326"/>
      <c r="BT519" s="326"/>
      <c r="BU519" s="326"/>
      <c r="BV519" s="327"/>
    </row>
    <row r="520" spans="1:74" ht="45" customHeight="1" x14ac:dyDescent="0.25">
      <c r="A520" s="10">
        <f t="shared" si="1"/>
        <v>506</v>
      </c>
      <c r="B520" s="564" t="s">
        <v>303</v>
      </c>
      <c r="C520" s="327"/>
      <c r="D520" s="565" t="s">
        <v>307</v>
      </c>
      <c r="E520" s="327"/>
      <c r="F520" s="537" t="s">
        <v>334</v>
      </c>
      <c r="G520" s="327"/>
      <c r="H520" s="561" t="s">
        <v>334</v>
      </c>
      <c r="I520" s="327"/>
      <c r="J520" s="26"/>
      <c r="K520" s="27"/>
      <c r="L520" s="26"/>
      <c r="M520" s="27"/>
      <c r="N520" s="23"/>
      <c r="O520" s="21"/>
      <c r="P520" s="563"/>
      <c r="Q520" s="327"/>
      <c r="R520" s="538"/>
      <c r="S520" s="327"/>
      <c r="T520" s="539"/>
      <c r="U520" s="327"/>
      <c r="V520" s="540"/>
      <c r="W520" s="327"/>
      <c r="X520" s="438" t="s">
        <v>303</v>
      </c>
      <c r="Y520" s="326"/>
      <c r="Z520" s="326"/>
      <c r="AA520" s="327"/>
      <c r="AB520" s="519" t="s">
        <v>303</v>
      </c>
      <c r="AC520" s="326"/>
      <c r="AD520" s="326"/>
      <c r="AE520" s="327"/>
      <c r="AF520" s="543"/>
      <c r="AG520" s="327"/>
      <c r="AH520" s="520"/>
      <c r="AI520" s="327"/>
      <c r="AJ520" s="536"/>
      <c r="AK520" s="327"/>
      <c r="AL520" s="556" t="s">
        <v>334</v>
      </c>
      <c r="AM520" s="327"/>
      <c r="AN520" s="553" t="s">
        <v>334</v>
      </c>
      <c r="AO520" s="327"/>
      <c r="AP520" s="547"/>
      <c r="AQ520" s="327"/>
      <c r="AR520" s="548"/>
      <c r="AS520" s="327"/>
      <c r="AT520" s="549"/>
      <c r="AU520" s="327"/>
      <c r="AV520" s="553" t="s">
        <v>334</v>
      </c>
      <c r="AW520" s="327"/>
      <c r="AX520" s="521"/>
      <c r="AY520" s="326"/>
      <c r="AZ520" s="327"/>
      <c r="BA520" s="550"/>
      <c r="BB520" s="327"/>
      <c r="BC520" s="22"/>
      <c r="BD520" s="551" t="s">
        <v>334</v>
      </c>
      <c r="BE520" s="327"/>
      <c r="BF520" s="545"/>
      <c r="BG520" s="326"/>
      <c r="BH520" s="326"/>
      <c r="BI520" s="327"/>
      <c r="BJ520" s="451" t="s">
        <v>303</v>
      </c>
      <c r="BK520" s="326"/>
      <c r="BL520" s="326"/>
      <c r="BM520" s="327"/>
      <c r="BN520" s="558" t="s">
        <v>303</v>
      </c>
      <c r="BO520" s="326"/>
      <c r="BP520" s="326"/>
      <c r="BQ520" s="326"/>
      <c r="BR520" s="326"/>
      <c r="BS520" s="326"/>
      <c r="BT520" s="326"/>
      <c r="BU520" s="326"/>
      <c r="BV520" s="327"/>
    </row>
    <row r="521" spans="1:74" ht="45" customHeight="1" x14ac:dyDescent="0.25">
      <c r="A521" s="10">
        <f t="shared" si="1"/>
        <v>507</v>
      </c>
      <c r="B521" s="559" t="s">
        <v>303</v>
      </c>
      <c r="C521" s="327"/>
      <c r="D521" s="560" t="s">
        <v>307</v>
      </c>
      <c r="E521" s="327"/>
      <c r="F521" s="537" t="s">
        <v>334</v>
      </c>
      <c r="G521" s="327"/>
      <c r="H521" s="566" t="s">
        <v>334</v>
      </c>
      <c r="I521" s="327"/>
      <c r="J521" s="567"/>
      <c r="K521" s="327"/>
      <c r="L521" s="567"/>
      <c r="M521" s="327"/>
      <c r="N521" s="20"/>
      <c r="O521" s="24"/>
      <c r="P521" s="524"/>
      <c r="Q521" s="327"/>
      <c r="R521" s="516"/>
      <c r="S521" s="327"/>
      <c r="T521" s="517"/>
      <c r="U521" s="327"/>
      <c r="V521" s="518"/>
      <c r="W521" s="327"/>
      <c r="X521" s="541" t="s">
        <v>303</v>
      </c>
      <c r="Y521" s="326"/>
      <c r="Z521" s="326"/>
      <c r="AA521" s="327"/>
      <c r="AB521" s="542" t="s">
        <v>303</v>
      </c>
      <c r="AC521" s="326"/>
      <c r="AD521" s="326"/>
      <c r="AE521" s="327"/>
      <c r="AF521" s="520"/>
      <c r="AG521" s="327"/>
      <c r="AH521" s="543"/>
      <c r="AI521" s="327"/>
      <c r="AJ521" s="554"/>
      <c r="AK521" s="327"/>
      <c r="AL521" s="537" t="s">
        <v>334</v>
      </c>
      <c r="AM521" s="327"/>
      <c r="AN521" s="546" t="s">
        <v>334</v>
      </c>
      <c r="AO521" s="327"/>
      <c r="AP521" s="554"/>
      <c r="AQ521" s="327"/>
      <c r="AR521" s="555"/>
      <c r="AS521" s="327"/>
      <c r="AT521" s="549"/>
      <c r="AU521" s="327"/>
      <c r="AV521" s="546" t="s">
        <v>334</v>
      </c>
      <c r="AW521" s="327"/>
      <c r="AX521" s="521"/>
      <c r="AY521" s="326"/>
      <c r="AZ521" s="327"/>
      <c r="BA521" s="536"/>
      <c r="BB521" s="327"/>
      <c r="BC521" s="25"/>
      <c r="BD521" s="544" t="s">
        <v>334</v>
      </c>
      <c r="BE521" s="327"/>
      <c r="BF521" s="552"/>
      <c r="BG521" s="326"/>
      <c r="BH521" s="326"/>
      <c r="BI521" s="327"/>
      <c r="BJ521" s="557" t="s">
        <v>303</v>
      </c>
      <c r="BK521" s="326"/>
      <c r="BL521" s="326"/>
      <c r="BM521" s="327"/>
      <c r="BN521" s="558" t="s">
        <v>303</v>
      </c>
      <c r="BO521" s="326"/>
      <c r="BP521" s="326"/>
      <c r="BQ521" s="326"/>
      <c r="BR521" s="326"/>
      <c r="BS521" s="326"/>
      <c r="BT521" s="326"/>
      <c r="BU521" s="326"/>
      <c r="BV521" s="327"/>
    </row>
    <row r="522" spans="1:74" ht="45" customHeight="1" x14ac:dyDescent="0.25">
      <c r="A522" s="10">
        <f t="shared" si="1"/>
        <v>508</v>
      </c>
      <c r="B522" s="564" t="s">
        <v>303</v>
      </c>
      <c r="C522" s="327"/>
      <c r="D522" s="565" t="s">
        <v>307</v>
      </c>
      <c r="E522" s="327"/>
      <c r="F522" s="537" t="s">
        <v>334</v>
      </c>
      <c r="G522" s="327"/>
      <c r="H522" s="561" t="s">
        <v>334</v>
      </c>
      <c r="I522" s="327"/>
      <c r="J522" s="26"/>
      <c r="K522" s="27"/>
      <c r="L522" s="26"/>
      <c r="M522" s="27"/>
      <c r="N522" s="23"/>
      <c r="O522" s="21"/>
      <c r="P522" s="563"/>
      <c r="Q522" s="327"/>
      <c r="R522" s="538"/>
      <c r="S522" s="327"/>
      <c r="T522" s="539"/>
      <c r="U522" s="327"/>
      <c r="V522" s="540"/>
      <c r="W522" s="327"/>
      <c r="X522" s="438" t="s">
        <v>303</v>
      </c>
      <c r="Y522" s="326"/>
      <c r="Z522" s="326"/>
      <c r="AA522" s="327"/>
      <c r="AB522" s="519" t="s">
        <v>303</v>
      </c>
      <c r="AC522" s="326"/>
      <c r="AD522" s="326"/>
      <c r="AE522" s="327"/>
      <c r="AF522" s="543"/>
      <c r="AG522" s="327"/>
      <c r="AH522" s="520"/>
      <c r="AI522" s="327"/>
      <c r="AJ522" s="536"/>
      <c r="AK522" s="327"/>
      <c r="AL522" s="556" t="s">
        <v>334</v>
      </c>
      <c r="AM522" s="327"/>
      <c r="AN522" s="553" t="s">
        <v>334</v>
      </c>
      <c r="AO522" s="327"/>
      <c r="AP522" s="547"/>
      <c r="AQ522" s="327"/>
      <c r="AR522" s="548"/>
      <c r="AS522" s="327"/>
      <c r="AT522" s="549"/>
      <c r="AU522" s="327"/>
      <c r="AV522" s="553" t="s">
        <v>334</v>
      </c>
      <c r="AW522" s="327"/>
      <c r="AX522" s="521"/>
      <c r="AY522" s="326"/>
      <c r="AZ522" s="327"/>
      <c r="BA522" s="550"/>
      <c r="BB522" s="327"/>
      <c r="BC522" s="22"/>
      <c r="BD522" s="551" t="s">
        <v>334</v>
      </c>
      <c r="BE522" s="327"/>
      <c r="BF522" s="545"/>
      <c r="BG522" s="326"/>
      <c r="BH522" s="326"/>
      <c r="BI522" s="327"/>
      <c r="BJ522" s="451" t="s">
        <v>303</v>
      </c>
      <c r="BK522" s="326"/>
      <c r="BL522" s="326"/>
      <c r="BM522" s="327"/>
      <c r="BN522" s="558" t="s">
        <v>303</v>
      </c>
      <c r="BO522" s="326"/>
      <c r="BP522" s="326"/>
      <c r="BQ522" s="326"/>
      <c r="BR522" s="326"/>
      <c r="BS522" s="326"/>
      <c r="BT522" s="326"/>
      <c r="BU522" s="326"/>
      <c r="BV522" s="327"/>
    </row>
    <row r="523" spans="1:74" ht="45" customHeight="1" x14ac:dyDescent="0.25">
      <c r="A523" s="10">
        <f t="shared" si="1"/>
        <v>509</v>
      </c>
      <c r="B523" s="559" t="s">
        <v>303</v>
      </c>
      <c r="C523" s="327"/>
      <c r="D523" s="560" t="s">
        <v>307</v>
      </c>
      <c r="E523" s="327"/>
      <c r="F523" s="537" t="s">
        <v>334</v>
      </c>
      <c r="G523" s="327"/>
      <c r="H523" s="566" t="s">
        <v>334</v>
      </c>
      <c r="I523" s="327"/>
      <c r="J523" s="567"/>
      <c r="K523" s="327"/>
      <c r="L523" s="567"/>
      <c r="M523" s="327"/>
      <c r="N523" s="20"/>
      <c r="O523" s="24"/>
      <c r="P523" s="524"/>
      <c r="Q523" s="327"/>
      <c r="R523" s="516"/>
      <c r="S523" s="327"/>
      <c r="T523" s="517"/>
      <c r="U523" s="327"/>
      <c r="V523" s="518"/>
      <c r="W523" s="327"/>
      <c r="X523" s="541" t="s">
        <v>303</v>
      </c>
      <c r="Y523" s="326"/>
      <c r="Z523" s="326"/>
      <c r="AA523" s="327"/>
      <c r="AB523" s="542" t="s">
        <v>303</v>
      </c>
      <c r="AC523" s="326"/>
      <c r="AD523" s="326"/>
      <c r="AE523" s="327"/>
      <c r="AF523" s="520"/>
      <c r="AG523" s="327"/>
      <c r="AH523" s="543"/>
      <c r="AI523" s="327"/>
      <c r="AJ523" s="554"/>
      <c r="AK523" s="327"/>
      <c r="AL523" s="537" t="s">
        <v>334</v>
      </c>
      <c r="AM523" s="327"/>
      <c r="AN523" s="546" t="s">
        <v>334</v>
      </c>
      <c r="AO523" s="327"/>
      <c r="AP523" s="554"/>
      <c r="AQ523" s="327"/>
      <c r="AR523" s="555"/>
      <c r="AS523" s="327"/>
      <c r="AT523" s="549"/>
      <c r="AU523" s="327"/>
      <c r="AV523" s="546" t="s">
        <v>334</v>
      </c>
      <c r="AW523" s="327"/>
      <c r="AX523" s="521"/>
      <c r="AY523" s="326"/>
      <c r="AZ523" s="327"/>
      <c r="BA523" s="536"/>
      <c r="BB523" s="327"/>
      <c r="BC523" s="25"/>
      <c r="BD523" s="544" t="s">
        <v>334</v>
      </c>
      <c r="BE523" s="327"/>
      <c r="BF523" s="508"/>
      <c r="BG523" s="326"/>
      <c r="BH523" s="326"/>
      <c r="BI523" s="327"/>
      <c r="BJ523" s="557" t="s">
        <v>303</v>
      </c>
      <c r="BK523" s="326"/>
      <c r="BL523" s="326"/>
      <c r="BM523" s="327"/>
      <c r="BN523" s="558" t="s">
        <v>303</v>
      </c>
      <c r="BO523" s="326"/>
      <c r="BP523" s="326"/>
      <c r="BQ523" s="326"/>
      <c r="BR523" s="326"/>
      <c r="BS523" s="326"/>
      <c r="BT523" s="326"/>
      <c r="BU523" s="326"/>
      <c r="BV523" s="327"/>
    </row>
    <row r="524" spans="1:74" ht="45" customHeight="1" x14ac:dyDescent="0.25">
      <c r="A524" s="10">
        <f t="shared" si="1"/>
        <v>510</v>
      </c>
      <c r="B524" s="564" t="s">
        <v>303</v>
      </c>
      <c r="C524" s="327"/>
      <c r="D524" s="565" t="s">
        <v>307</v>
      </c>
      <c r="E524" s="327"/>
      <c r="F524" s="537" t="s">
        <v>334</v>
      </c>
      <c r="G524" s="327"/>
      <c r="H524" s="561" t="s">
        <v>334</v>
      </c>
      <c r="I524" s="327"/>
      <c r="J524" s="26"/>
      <c r="K524" s="27"/>
      <c r="L524" s="26"/>
      <c r="M524" s="27"/>
      <c r="N524" s="23"/>
      <c r="O524" s="21"/>
      <c r="P524" s="563"/>
      <c r="Q524" s="327"/>
      <c r="R524" s="538"/>
      <c r="S524" s="327"/>
      <c r="T524" s="539"/>
      <c r="U524" s="327"/>
      <c r="V524" s="540"/>
      <c r="W524" s="327"/>
      <c r="X524" s="438" t="s">
        <v>303</v>
      </c>
      <c r="Y524" s="326"/>
      <c r="Z524" s="326"/>
      <c r="AA524" s="327"/>
      <c r="AB524" s="519" t="s">
        <v>303</v>
      </c>
      <c r="AC524" s="326"/>
      <c r="AD524" s="326"/>
      <c r="AE524" s="327"/>
      <c r="AF524" s="543"/>
      <c r="AG524" s="327"/>
      <c r="AH524" s="520"/>
      <c r="AI524" s="327"/>
      <c r="AJ524" s="536"/>
      <c r="AK524" s="327"/>
      <c r="AL524" s="556" t="s">
        <v>334</v>
      </c>
      <c r="AM524" s="327"/>
      <c r="AN524" s="553" t="s">
        <v>334</v>
      </c>
      <c r="AO524" s="327"/>
      <c r="AP524" s="547"/>
      <c r="AQ524" s="327"/>
      <c r="AR524" s="548"/>
      <c r="AS524" s="327"/>
      <c r="AT524" s="549"/>
      <c r="AU524" s="327"/>
      <c r="AV524" s="553" t="s">
        <v>334</v>
      </c>
      <c r="AW524" s="327"/>
      <c r="AX524" s="521"/>
      <c r="AY524" s="326"/>
      <c r="AZ524" s="327"/>
      <c r="BA524" s="550"/>
      <c r="BB524" s="327"/>
      <c r="BC524" s="22"/>
      <c r="BD524" s="551" t="s">
        <v>334</v>
      </c>
      <c r="BE524" s="327"/>
      <c r="BF524" s="545"/>
      <c r="BG524" s="326"/>
      <c r="BH524" s="326"/>
      <c r="BI524" s="327"/>
      <c r="BJ524" s="451" t="s">
        <v>303</v>
      </c>
      <c r="BK524" s="326"/>
      <c r="BL524" s="326"/>
      <c r="BM524" s="327"/>
      <c r="BN524" s="558" t="s">
        <v>303</v>
      </c>
      <c r="BO524" s="326"/>
      <c r="BP524" s="326"/>
      <c r="BQ524" s="326"/>
      <c r="BR524" s="326"/>
      <c r="BS524" s="326"/>
      <c r="BT524" s="326"/>
      <c r="BU524" s="326"/>
      <c r="BV524" s="327"/>
    </row>
    <row r="525" spans="1:74" ht="45" customHeight="1" x14ac:dyDescent="0.25">
      <c r="A525" s="10">
        <f t="shared" ref="A525:A779" si="2">ROW(A511)</f>
        <v>511</v>
      </c>
      <c r="B525" s="559" t="s">
        <v>303</v>
      </c>
      <c r="C525" s="327"/>
      <c r="D525" s="560" t="s">
        <v>307</v>
      </c>
      <c r="E525" s="327"/>
      <c r="F525" s="537" t="s">
        <v>334</v>
      </c>
      <c r="G525" s="327"/>
      <c r="H525" s="566" t="s">
        <v>334</v>
      </c>
      <c r="I525" s="327"/>
      <c r="J525" s="567"/>
      <c r="K525" s="327"/>
      <c r="L525" s="567"/>
      <c r="M525" s="327"/>
      <c r="N525" s="20"/>
      <c r="O525" s="24"/>
      <c r="P525" s="563"/>
      <c r="Q525" s="327"/>
      <c r="R525" s="516"/>
      <c r="S525" s="327"/>
      <c r="T525" s="517"/>
      <c r="U525" s="327"/>
      <c r="V525" s="518"/>
      <c r="W525" s="327"/>
      <c r="X525" s="541" t="s">
        <v>303</v>
      </c>
      <c r="Y525" s="326"/>
      <c r="Z525" s="326"/>
      <c r="AA525" s="327"/>
      <c r="AB525" s="542" t="s">
        <v>303</v>
      </c>
      <c r="AC525" s="326"/>
      <c r="AD525" s="326"/>
      <c r="AE525" s="327"/>
      <c r="AF525" s="520"/>
      <c r="AG525" s="327"/>
      <c r="AH525" s="543"/>
      <c r="AI525" s="327"/>
      <c r="AJ525" s="554"/>
      <c r="AK525" s="327"/>
      <c r="AL525" s="537" t="s">
        <v>334</v>
      </c>
      <c r="AM525" s="327"/>
      <c r="AN525" s="546" t="s">
        <v>334</v>
      </c>
      <c r="AO525" s="327"/>
      <c r="AP525" s="554"/>
      <c r="AQ525" s="327"/>
      <c r="AR525" s="555"/>
      <c r="AS525" s="327"/>
      <c r="AT525" s="549"/>
      <c r="AU525" s="327"/>
      <c r="AV525" s="546" t="s">
        <v>334</v>
      </c>
      <c r="AW525" s="327"/>
      <c r="AX525" s="521"/>
      <c r="AY525" s="326"/>
      <c r="AZ525" s="327"/>
      <c r="BA525" s="536"/>
      <c r="BB525" s="327"/>
      <c r="BC525" s="25"/>
      <c r="BD525" s="544" t="s">
        <v>334</v>
      </c>
      <c r="BE525" s="327"/>
      <c r="BF525" s="508"/>
      <c r="BG525" s="326"/>
      <c r="BH525" s="326"/>
      <c r="BI525" s="327"/>
      <c r="BJ525" s="557" t="s">
        <v>303</v>
      </c>
      <c r="BK525" s="326"/>
      <c r="BL525" s="326"/>
      <c r="BM525" s="327"/>
      <c r="BN525" s="558" t="s">
        <v>303</v>
      </c>
      <c r="BO525" s="326"/>
      <c r="BP525" s="326"/>
      <c r="BQ525" s="326"/>
      <c r="BR525" s="326"/>
      <c r="BS525" s="326"/>
      <c r="BT525" s="326"/>
      <c r="BU525" s="326"/>
      <c r="BV525" s="327"/>
    </row>
    <row r="526" spans="1:74" ht="45" customHeight="1" x14ac:dyDescent="0.25">
      <c r="A526" s="10">
        <f t="shared" si="2"/>
        <v>512</v>
      </c>
      <c r="B526" s="564" t="s">
        <v>303</v>
      </c>
      <c r="C526" s="327"/>
      <c r="D526" s="565" t="s">
        <v>307</v>
      </c>
      <c r="E526" s="327"/>
      <c r="F526" s="537" t="s">
        <v>334</v>
      </c>
      <c r="G526" s="327"/>
      <c r="H526" s="561" t="s">
        <v>334</v>
      </c>
      <c r="I526" s="327"/>
      <c r="J526" s="26"/>
      <c r="K526" s="27"/>
      <c r="L526" s="26"/>
      <c r="M526" s="27"/>
      <c r="N526" s="23"/>
      <c r="O526" s="21"/>
      <c r="P526" s="524"/>
      <c r="Q526" s="327"/>
      <c r="R526" s="538"/>
      <c r="S526" s="327"/>
      <c r="T526" s="539"/>
      <c r="U526" s="327"/>
      <c r="V526" s="540"/>
      <c r="W526" s="327"/>
      <c r="X526" s="438" t="s">
        <v>303</v>
      </c>
      <c r="Y526" s="326"/>
      <c r="Z526" s="326"/>
      <c r="AA526" s="327"/>
      <c r="AB526" s="519" t="s">
        <v>303</v>
      </c>
      <c r="AC526" s="326"/>
      <c r="AD526" s="326"/>
      <c r="AE526" s="327"/>
      <c r="AF526" s="543"/>
      <c r="AG526" s="327"/>
      <c r="AH526" s="520"/>
      <c r="AI526" s="327"/>
      <c r="AJ526" s="536"/>
      <c r="AK526" s="327"/>
      <c r="AL526" s="556" t="s">
        <v>334</v>
      </c>
      <c r="AM526" s="327"/>
      <c r="AN526" s="553" t="s">
        <v>334</v>
      </c>
      <c r="AO526" s="327"/>
      <c r="AP526" s="547"/>
      <c r="AQ526" s="327"/>
      <c r="AR526" s="548"/>
      <c r="AS526" s="327"/>
      <c r="AT526" s="549"/>
      <c r="AU526" s="327"/>
      <c r="AV526" s="553" t="s">
        <v>334</v>
      </c>
      <c r="AW526" s="327"/>
      <c r="AX526" s="521"/>
      <c r="AY526" s="326"/>
      <c r="AZ526" s="327"/>
      <c r="BA526" s="550"/>
      <c r="BB526" s="327"/>
      <c r="BC526" s="22"/>
      <c r="BD526" s="551" t="s">
        <v>334</v>
      </c>
      <c r="BE526" s="327"/>
      <c r="BF526" s="545"/>
      <c r="BG526" s="326"/>
      <c r="BH526" s="326"/>
      <c r="BI526" s="327"/>
      <c r="BJ526" s="451" t="s">
        <v>303</v>
      </c>
      <c r="BK526" s="326"/>
      <c r="BL526" s="326"/>
      <c r="BM526" s="327"/>
      <c r="BN526" s="558" t="s">
        <v>303</v>
      </c>
      <c r="BO526" s="326"/>
      <c r="BP526" s="326"/>
      <c r="BQ526" s="326"/>
      <c r="BR526" s="326"/>
      <c r="BS526" s="326"/>
      <c r="BT526" s="326"/>
      <c r="BU526" s="326"/>
      <c r="BV526" s="327"/>
    </row>
    <row r="527" spans="1:74" ht="45" customHeight="1" x14ac:dyDescent="0.25">
      <c r="A527" s="10">
        <f t="shared" si="2"/>
        <v>513</v>
      </c>
      <c r="B527" s="559" t="s">
        <v>303</v>
      </c>
      <c r="C527" s="327"/>
      <c r="D527" s="560" t="s">
        <v>307</v>
      </c>
      <c r="E527" s="327"/>
      <c r="F527" s="537" t="s">
        <v>334</v>
      </c>
      <c r="G527" s="327"/>
      <c r="H527" s="566" t="s">
        <v>334</v>
      </c>
      <c r="I527" s="327"/>
      <c r="J527" s="567"/>
      <c r="K527" s="327"/>
      <c r="L527" s="567"/>
      <c r="M527" s="327"/>
      <c r="N527" s="20"/>
      <c r="O527" s="24"/>
      <c r="P527" s="563"/>
      <c r="Q527" s="327"/>
      <c r="R527" s="516"/>
      <c r="S527" s="327"/>
      <c r="T527" s="517"/>
      <c r="U527" s="327"/>
      <c r="V527" s="518"/>
      <c r="W527" s="327"/>
      <c r="X527" s="541" t="s">
        <v>303</v>
      </c>
      <c r="Y527" s="326"/>
      <c r="Z527" s="326"/>
      <c r="AA527" s="327"/>
      <c r="AB527" s="542" t="s">
        <v>303</v>
      </c>
      <c r="AC527" s="326"/>
      <c r="AD527" s="326"/>
      <c r="AE527" s="327"/>
      <c r="AF527" s="520"/>
      <c r="AG527" s="327"/>
      <c r="AH527" s="543"/>
      <c r="AI527" s="327"/>
      <c r="AJ527" s="554"/>
      <c r="AK527" s="327"/>
      <c r="AL527" s="537" t="s">
        <v>334</v>
      </c>
      <c r="AM527" s="327"/>
      <c r="AN527" s="546" t="s">
        <v>334</v>
      </c>
      <c r="AO527" s="327"/>
      <c r="AP527" s="554"/>
      <c r="AQ527" s="327"/>
      <c r="AR527" s="555"/>
      <c r="AS527" s="327"/>
      <c r="AT527" s="549"/>
      <c r="AU527" s="327"/>
      <c r="AV527" s="546" t="s">
        <v>334</v>
      </c>
      <c r="AW527" s="327"/>
      <c r="AX527" s="521"/>
      <c r="AY527" s="326"/>
      <c r="AZ527" s="327"/>
      <c r="BA527" s="536"/>
      <c r="BB527" s="327"/>
      <c r="BC527" s="25"/>
      <c r="BD527" s="544" t="s">
        <v>334</v>
      </c>
      <c r="BE527" s="327"/>
      <c r="BF527" s="552"/>
      <c r="BG527" s="326"/>
      <c r="BH527" s="326"/>
      <c r="BI527" s="327"/>
      <c r="BJ527" s="557" t="s">
        <v>303</v>
      </c>
      <c r="BK527" s="326"/>
      <c r="BL527" s="326"/>
      <c r="BM527" s="327"/>
      <c r="BN527" s="558" t="s">
        <v>303</v>
      </c>
      <c r="BO527" s="326"/>
      <c r="BP527" s="326"/>
      <c r="BQ527" s="326"/>
      <c r="BR527" s="326"/>
      <c r="BS527" s="326"/>
      <c r="BT527" s="326"/>
      <c r="BU527" s="326"/>
      <c r="BV527" s="327"/>
    </row>
    <row r="528" spans="1:74" ht="45" customHeight="1" x14ac:dyDescent="0.25">
      <c r="A528" s="10">
        <f t="shared" si="2"/>
        <v>514</v>
      </c>
      <c r="B528" s="564" t="s">
        <v>303</v>
      </c>
      <c r="C528" s="327"/>
      <c r="D528" s="565" t="s">
        <v>307</v>
      </c>
      <c r="E528" s="327"/>
      <c r="F528" s="537" t="s">
        <v>334</v>
      </c>
      <c r="G528" s="327"/>
      <c r="H528" s="561" t="s">
        <v>334</v>
      </c>
      <c r="I528" s="327"/>
      <c r="J528" s="26"/>
      <c r="K528" s="27"/>
      <c r="L528" s="26"/>
      <c r="M528" s="27"/>
      <c r="N528" s="23"/>
      <c r="O528" s="21"/>
      <c r="P528" s="524"/>
      <c r="Q528" s="327"/>
      <c r="R528" s="538"/>
      <c r="S528" s="327"/>
      <c r="T528" s="539"/>
      <c r="U528" s="327"/>
      <c r="V528" s="540"/>
      <c r="W528" s="327"/>
      <c r="X528" s="438" t="s">
        <v>303</v>
      </c>
      <c r="Y528" s="326"/>
      <c r="Z528" s="326"/>
      <c r="AA528" s="327"/>
      <c r="AB528" s="519" t="s">
        <v>303</v>
      </c>
      <c r="AC528" s="326"/>
      <c r="AD528" s="326"/>
      <c r="AE528" s="327"/>
      <c r="AF528" s="543"/>
      <c r="AG528" s="327"/>
      <c r="AH528" s="520"/>
      <c r="AI528" s="327"/>
      <c r="AJ528" s="536"/>
      <c r="AK528" s="327"/>
      <c r="AL528" s="556" t="s">
        <v>334</v>
      </c>
      <c r="AM528" s="327"/>
      <c r="AN528" s="553" t="s">
        <v>334</v>
      </c>
      <c r="AO528" s="327"/>
      <c r="AP528" s="547"/>
      <c r="AQ528" s="327"/>
      <c r="AR528" s="548"/>
      <c r="AS528" s="327"/>
      <c r="AT528" s="549"/>
      <c r="AU528" s="327"/>
      <c r="AV528" s="553" t="s">
        <v>334</v>
      </c>
      <c r="AW528" s="327"/>
      <c r="AX528" s="521"/>
      <c r="AY528" s="326"/>
      <c r="AZ528" s="327"/>
      <c r="BA528" s="550"/>
      <c r="BB528" s="327"/>
      <c r="BC528" s="22"/>
      <c r="BD528" s="551" t="s">
        <v>334</v>
      </c>
      <c r="BE528" s="327"/>
      <c r="BF528" s="545"/>
      <c r="BG528" s="326"/>
      <c r="BH528" s="326"/>
      <c r="BI528" s="327"/>
      <c r="BJ528" s="451" t="s">
        <v>303</v>
      </c>
      <c r="BK528" s="326"/>
      <c r="BL528" s="326"/>
      <c r="BM528" s="327"/>
      <c r="BN528" s="558" t="s">
        <v>303</v>
      </c>
      <c r="BO528" s="326"/>
      <c r="BP528" s="326"/>
      <c r="BQ528" s="326"/>
      <c r="BR528" s="326"/>
      <c r="BS528" s="326"/>
      <c r="BT528" s="326"/>
      <c r="BU528" s="326"/>
      <c r="BV528" s="327"/>
    </row>
    <row r="529" spans="1:74" ht="45" customHeight="1" x14ac:dyDescent="0.25">
      <c r="A529" s="10">
        <f t="shared" si="2"/>
        <v>515</v>
      </c>
      <c r="B529" s="559" t="s">
        <v>303</v>
      </c>
      <c r="C529" s="327"/>
      <c r="D529" s="560" t="s">
        <v>307</v>
      </c>
      <c r="E529" s="327"/>
      <c r="F529" s="537" t="s">
        <v>334</v>
      </c>
      <c r="G529" s="327"/>
      <c r="H529" s="566" t="s">
        <v>334</v>
      </c>
      <c r="I529" s="327"/>
      <c r="J529" s="567"/>
      <c r="K529" s="327"/>
      <c r="L529" s="567"/>
      <c r="M529" s="327"/>
      <c r="N529" s="20"/>
      <c r="O529" s="24"/>
      <c r="P529" s="563"/>
      <c r="Q529" s="327"/>
      <c r="R529" s="516"/>
      <c r="S529" s="327"/>
      <c r="T529" s="517"/>
      <c r="U529" s="327"/>
      <c r="V529" s="518"/>
      <c r="W529" s="327"/>
      <c r="X529" s="541" t="s">
        <v>303</v>
      </c>
      <c r="Y529" s="326"/>
      <c r="Z529" s="326"/>
      <c r="AA529" s="327"/>
      <c r="AB529" s="542" t="s">
        <v>303</v>
      </c>
      <c r="AC529" s="326"/>
      <c r="AD529" s="326"/>
      <c r="AE529" s="327"/>
      <c r="AF529" s="520"/>
      <c r="AG529" s="327"/>
      <c r="AH529" s="543"/>
      <c r="AI529" s="327"/>
      <c r="AJ529" s="554"/>
      <c r="AK529" s="327"/>
      <c r="AL529" s="537" t="s">
        <v>334</v>
      </c>
      <c r="AM529" s="327"/>
      <c r="AN529" s="546" t="s">
        <v>334</v>
      </c>
      <c r="AO529" s="327"/>
      <c r="AP529" s="554"/>
      <c r="AQ529" s="327"/>
      <c r="AR529" s="555"/>
      <c r="AS529" s="327"/>
      <c r="AT529" s="549"/>
      <c r="AU529" s="327"/>
      <c r="AV529" s="546" t="s">
        <v>334</v>
      </c>
      <c r="AW529" s="327"/>
      <c r="AX529" s="521"/>
      <c r="AY529" s="326"/>
      <c r="AZ529" s="327"/>
      <c r="BA529" s="536"/>
      <c r="BB529" s="327"/>
      <c r="BC529" s="25"/>
      <c r="BD529" s="544" t="s">
        <v>334</v>
      </c>
      <c r="BE529" s="327"/>
      <c r="BF529" s="508"/>
      <c r="BG529" s="326"/>
      <c r="BH529" s="326"/>
      <c r="BI529" s="327"/>
      <c r="BJ529" s="557" t="s">
        <v>303</v>
      </c>
      <c r="BK529" s="326"/>
      <c r="BL529" s="326"/>
      <c r="BM529" s="327"/>
      <c r="BN529" s="558" t="s">
        <v>303</v>
      </c>
      <c r="BO529" s="326"/>
      <c r="BP529" s="326"/>
      <c r="BQ529" s="326"/>
      <c r="BR529" s="326"/>
      <c r="BS529" s="326"/>
      <c r="BT529" s="326"/>
      <c r="BU529" s="326"/>
      <c r="BV529" s="327"/>
    </row>
    <row r="530" spans="1:74" ht="45" customHeight="1" x14ac:dyDescent="0.25">
      <c r="A530" s="10">
        <f t="shared" si="2"/>
        <v>516</v>
      </c>
      <c r="B530" s="564" t="s">
        <v>303</v>
      </c>
      <c r="C530" s="327"/>
      <c r="D530" s="565" t="s">
        <v>307</v>
      </c>
      <c r="E530" s="327"/>
      <c r="F530" s="537" t="s">
        <v>334</v>
      </c>
      <c r="G530" s="327"/>
      <c r="H530" s="561" t="s">
        <v>334</v>
      </c>
      <c r="I530" s="327"/>
      <c r="J530" s="26"/>
      <c r="K530" s="27"/>
      <c r="L530" s="26"/>
      <c r="M530" s="27"/>
      <c r="N530" s="23"/>
      <c r="O530" s="21"/>
      <c r="P530" s="524"/>
      <c r="Q530" s="327"/>
      <c r="R530" s="538"/>
      <c r="S530" s="327"/>
      <c r="T530" s="539"/>
      <c r="U530" s="327"/>
      <c r="V530" s="540"/>
      <c r="W530" s="327"/>
      <c r="X530" s="438" t="s">
        <v>303</v>
      </c>
      <c r="Y530" s="326"/>
      <c r="Z530" s="326"/>
      <c r="AA530" s="327"/>
      <c r="AB530" s="519" t="s">
        <v>303</v>
      </c>
      <c r="AC530" s="326"/>
      <c r="AD530" s="326"/>
      <c r="AE530" s="327"/>
      <c r="AF530" s="543"/>
      <c r="AG530" s="327"/>
      <c r="AH530" s="520"/>
      <c r="AI530" s="327"/>
      <c r="AJ530" s="536"/>
      <c r="AK530" s="327"/>
      <c r="AL530" s="556" t="s">
        <v>334</v>
      </c>
      <c r="AM530" s="327"/>
      <c r="AN530" s="553" t="s">
        <v>334</v>
      </c>
      <c r="AO530" s="327"/>
      <c r="AP530" s="547"/>
      <c r="AQ530" s="327"/>
      <c r="AR530" s="548"/>
      <c r="AS530" s="327"/>
      <c r="AT530" s="549"/>
      <c r="AU530" s="327"/>
      <c r="AV530" s="553" t="s">
        <v>334</v>
      </c>
      <c r="AW530" s="327"/>
      <c r="AX530" s="521"/>
      <c r="AY530" s="326"/>
      <c r="AZ530" s="327"/>
      <c r="BA530" s="550"/>
      <c r="BB530" s="327"/>
      <c r="BC530" s="22"/>
      <c r="BD530" s="551" t="s">
        <v>334</v>
      </c>
      <c r="BE530" s="327"/>
      <c r="BF530" s="545"/>
      <c r="BG530" s="326"/>
      <c r="BH530" s="326"/>
      <c r="BI530" s="327"/>
      <c r="BJ530" s="451" t="s">
        <v>303</v>
      </c>
      <c r="BK530" s="326"/>
      <c r="BL530" s="326"/>
      <c r="BM530" s="327"/>
      <c r="BN530" s="558" t="s">
        <v>303</v>
      </c>
      <c r="BO530" s="326"/>
      <c r="BP530" s="326"/>
      <c r="BQ530" s="326"/>
      <c r="BR530" s="326"/>
      <c r="BS530" s="326"/>
      <c r="BT530" s="326"/>
      <c r="BU530" s="326"/>
      <c r="BV530" s="327"/>
    </row>
    <row r="531" spans="1:74" ht="45" customHeight="1" x14ac:dyDescent="0.25">
      <c r="A531" s="10">
        <f t="shared" si="2"/>
        <v>517</v>
      </c>
      <c r="B531" s="559" t="s">
        <v>303</v>
      </c>
      <c r="C531" s="327"/>
      <c r="D531" s="560" t="s">
        <v>307</v>
      </c>
      <c r="E531" s="327"/>
      <c r="F531" s="537" t="s">
        <v>334</v>
      </c>
      <c r="G531" s="327"/>
      <c r="H531" s="566" t="s">
        <v>334</v>
      </c>
      <c r="I531" s="327"/>
      <c r="J531" s="567"/>
      <c r="K531" s="327"/>
      <c r="L531" s="567"/>
      <c r="M531" s="327"/>
      <c r="N531" s="20"/>
      <c r="O531" s="24"/>
      <c r="P531" s="563"/>
      <c r="Q531" s="327"/>
      <c r="R531" s="516"/>
      <c r="S531" s="327"/>
      <c r="T531" s="517"/>
      <c r="U531" s="327"/>
      <c r="V531" s="518"/>
      <c r="W531" s="327"/>
      <c r="X531" s="541" t="s">
        <v>303</v>
      </c>
      <c r="Y531" s="326"/>
      <c r="Z531" s="326"/>
      <c r="AA531" s="327"/>
      <c r="AB531" s="542" t="s">
        <v>303</v>
      </c>
      <c r="AC531" s="326"/>
      <c r="AD531" s="326"/>
      <c r="AE531" s="327"/>
      <c r="AF531" s="520"/>
      <c r="AG531" s="327"/>
      <c r="AH531" s="543"/>
      <c r="AI531" s="327"/>
      <c r="AJ531" s="554"/>
      <c r="AK531" s="327"/>
      <c r="AL531" s="537" t="s">
        <v>334</v>
      </c>
      <c r="AM531" s="327"/>
      <c r="AN531" s="546" t="s">
        <v>334</v>
      </c>
      <c r="AO531" s="327"/>
      <c r="AP531" s="554"/>
      <c r="AQ531" s="327"/>
      <c r="AR531" s="555"/>
      <c r="AS531" s="327"/>
      <c r="AT531" s="549"/>
      <c r="AU531" s="327"/>
      <c r="AV531" s="546" t="s">
        <v>334</v>
      </c>
      <c r="AW531" s="327"/>
      <c r="AX531" s="521"/>
      <c r="AY531" s="326"/>
      <c r="AZ531" s="327"/>
      <c r="BA531" s="536"/>
      <c r="BB531" s="327"/>
      <c r="BC531" s="25"/>
      <c r="BD531" s="544" t="s">
        <v>334</v>
      </c>
      <c r="BE531" s="327"/>
      <c r="BF531" s="552"/>
      <c r="BG531" s="326"/>
      <c r="BH531" s="326"/>
      <c r="BI531" s="327"/>
      <c r="BJ531" s="557" t="s">
        <v>303</v>
      </c>
      <c r="BK531" s="326"/>
      <c r="BL531" s="326"/>
      <c r="BM531" s="327"/>
      <c r="BN531" s="558" t="s">
        <v>303</v>
      </c>
      <c r="BO531" s="326"/>
      <c r="BP531" s="326"/>
      <c r="BQ531" s="326"/>
      <c r="BR531" s="326"/>
      <c r="BS531" s="326"/>
      <c r="BT531" s="326"/>
      <c r="BU531" s="326"/>
      <c r="BV531" s="327"/>
    </row>
    <row r="532" spans="1:74" ht="45" customHeight="1" x14ac:dyDescent="0.25">
      <c r="A532" s="10">
        <f t="shared" si="2"/>
        <v>518</v>
      </c>
      <c r="B532" s="564" t="s">
        <v>303</v>
      </c>
      <c r="C532" s="327"/>
      <c r="D532" s="565" t="s">
        <v>307</v>
      </c>
      <c r="E532" s="327"/>
      <c r="F532" s="537" t="s">
        <v>334</v>
      </c>
      <c r="G532" s="327"/>
      <c r="H532" s="561" t="s">
        <v>334</v>
      </c>
      <c r="I532" s="327"/>
      <c r="J532" s="26"/>
      <c r="K532" s="27"/>
      <c r="L532" s="26"/>
      <c r="M532" s="27"/>
      <c r="N532" s="23"/>
      <c r="O532" s="21"/>
      <c r="P532" s="524"/>
      <c r="Q532" s="327"/>
      <c r="R532" s="538"/>
      <c r="S532" s="327"/>
      <c r="T532" s="539"/>
      <c r="U532" s="327"/>
      <c r="V532" s="540"/>
      <c r="W532" s="327"/>
      <c r="X532" s="438" t="s">
        <v>303</v>
      </c>
      <c r="Y532" s="326"/>
      <c r="Z532" s="326"/>
      <c r="AA532" s="327"/>
      <c r="AB532" s="519" t="s">
        <v>303</v>
      </c>
      <c r="AC532" s="326"/>
      <c r="AD532" s="326"/>
      <c r="AE532" s="327"/>
      <c r="AF532" s="543"/>
      <c r="AG532" s="327"/>
      <c r="AH532" s="520"/>
      <c r="AI532" s="327"/>
      <c r="AJ532" s="536"/>
      <c r="AK532" s="327"/>
      <c r="AL532" s="556" t="s">
        <v>334</v>
      </c>
      <c r="AM532" s="327"/>
      <c r="AN532" s="553" t="s">
        <v>334</v>
      </c>
      <c r="AO532" s="327"/>
      <c r="AP532" s="547"/>
      <c r="AQ532" s="327"/>
      <c r="AR532" s="548"/>
      <c r="AS532" s="327"/>
      <c r="AT532" s="549"/>
      <c r="AU532" s="327"/>
      <c r="AV532" s="553" t="s">
        <v>334</v>
      </c>
      <c r="AW532" s="327"/>
      <c r="AX532" s="521"/>
      <c r="AY532" s="326"/>
      <c r="AZ532" s="327"/>
      <c r="BA532" s="550"/>
      <c r="BB532" s="327"/>
      <c r="BC532" s="22"/>
      <c r="BD532" s="551" t="s">
        <v>334</v>
      </c>
      <c r="BE532" s="327"/>
      <c r="BF532" s="545"/>
      <c r="BG532" s="326"/>
      <c r="BH532" s="326"/>
      <c r="BI532" s="327"/>
      <c r="BJ532" s="451" t="s">
        <v>303</v>
      </c>
      <c r="BK532" s="326"/>
      <c r="BL532" s="326"/>
      <c r="BM532" s="327"/>
      <c r="BN532" s="558" t="s">
        <v>303</v>
      </c>
      <c r="BO532" s="326"/>
      <c r="BP532" s="326"/>
      <c r="BQ532" s="326"/>
      <c r="BR532" s="326"/>
      <c r="BS532" s="326"/>
      <c r="BT532" s="326"/>
      <c r="BU532" s="326"/>
      <c r="BV532" s="327"/>
    </row>
    <row r="533" spans="1:74" ht="45" customHeight="1" x14ac:dyDescent="0.25">
      <c r="A533" s="10">
        <f t="shared" si="2"/>
        <v>519</v>
      </c>
      <c r="B533" s="559" t="s">
        <v>303</v>
      </c>
      <c r="C533" s="327"/>
      <c r="D533" s="560" t="s">
        <v>307</v>
      </c>
      <c r="E533" s="327"/>
      <c r="F533" s="537" t="s">
        <v>334</v>
      </c>
      <c r="G533" s="327"/>
      <c r="H533" s="566" t="s">
        <v>334</v>
      </c>
      <c r="I533" s="327"/>
      <c r="J533" s="567"/>
      <c r="K533" s="327"/>
      <c r="L533" s="567"/>
      <c r="M533" s="327"/>
      <c r="N533" s="20"/>
      <c r="O533" s="24"/>
      <c r="P533" s="563"/>
      <c r="Q533" s="327"/>
      <c r="R533" s="516"/>
      <c r="S533" s="327"/>
      <c r="T533" s="517"/>
      <c r="U533" s="327"/>
      <c r="V533" s="518"/>
      <c r="W533" s="327"/>
      <c r="X533" s="541" t="s">
        <v>303</v>
      </c>
      <c r="Y533" s="326"/>
      <c r="Z533" s="326"/>
      <c r="AA533" s="327"/>
      <c r="AB533" s="542" t="s">
        <v>303</v>
      </c>
      <c r="AC533" s="326"/>
      <c r="AD533" s="326"/>
      <c r="AE533" s="327"/>
      <c r="AF533" s="520"/>
      <c r="AG533" s="327"/>
      <c r="AH533" s="543"/>
      <c r="AI533" s="327"/>
      <c r="AJ533" s="554"/>
      <c r="AK533" s="327"/>
      <c r="AL533" s="537" t="s">
        <v>334</v>
      </c>
      <c r="AM533" s="327"/>
      <c r="AN533" s="546" t="s">
        <v>334</v>
      </c>
      <c r="AO533" s="327"/>
      <c r="AP533" s="554"/>
      <c r="AQ533" s="327"/>
      <c r="AR533" s="555"/>
      <c r="AS533" s="327"/>
      <c r="AT533" s="549"/>
      <c r="AU533" s="327"/>
      <c r="AV533" s="546" t="s">
        <v>334</v>
      </c>
      <c r="AW533" s="327"/>
      <c r="AX533" s="521"/>
      <c r="AY533" s="326"/>
      <c r="AZ533" s="327"/>
      <c r="BA533" s="536"/>
      <c r="BB533" s="327"/>
      <c r="BC533" s="25"/>
      <c r="BD533" s="544" t="s">
        <v>334</v>
      </c>
      <c r="BE533" s="327"/>
      <c r="BF533" s="508"/>
      <c r="BG533" s="326"/>
      <c r="BH533" s="326"/>
      <c r="BI533" s="327"/>
      <c r="BJ533" s="557" t="s">
        <v>303</v>
      </c>
      <c r="BK533" s="326"/>
      <c r="BL533" s="326"/>
      <c r="BM533" s="327"/>
      <c r="BN533" s="558" t="s">
        <v>303</v>
      </c>
      <c r="BO533" s="326"/>
      <c r="BP533" s="326"/>
      <c r="BQ533" s="326"/>
      <c r="BR533" s="326"/>
      <c r="BS533" s="326"/>
      <c r="BT533" s="326"/>
      <c r="BU533" s="326"/>
      <c r="BV533" s="327"/>
    </row>
    <row r="534" spans="1:74" ht="45" customHeight="1" x14ac:dyDescent="0.25">
      <c r="A534" s="10">
        <f t="shared" si="2"/>
        <v>520</v>
      </c>
      <c r="B534" s="564" t="s">
        <v>303</v>
      </c>
      <c r="C534" s="327"/>
      <c r="D534" s="565" t="s">
        <v>307</v>
      </c>
      <c r="E534" s="327"/>
      <c r="F534" s="537" t="s">
        <v>334</v>
      </c>
      <c r="G534" s="327"/>
      <c r="H534" s="561" t="s">
        <v>334</v>
      </c>
      <c r="I534" s="327"/>
      <c r="J534" s="26"/>
      <c r="K534" s="27"/>
      <c r="L534" s="26"/>
      <c r="M534" s="27"/>
      <c r="N534" s="23"/>
      <c r="O534" s="21"/>
      <c r="P534" s="524"/>
      <c r="Q534" s="327"/>
      <c r="R534" s="538"/>
      <c r="S534" s="327"/>
      <c r="T534" s="539"/>
      <c r="U534" s="327"/>
      <c r="V534" s="540"/>
      <c r="W534" s="327"/>
      <c r="X534" s="438" t="s">
        <v>303</v>
      </c>
      <c r="Y534" s="326"/>
      <c r="Z534" s="326"/>
      <c r="AA534" s="327"/>
      <c r="AB534" s="519" t="s">
        <v>303</v>
      </c>
      <c r="AC534" s="326"/>
      <c r="AD534" s="326"/>
      <c r="AE534" s="327"/>
      <c r="AF534" s="543"/>
      <c r="AG534" s="327"/>
      <c r="AH534" s="520"/>
      <c r="AI534" s="327"/>
      <c r="AJ534" s="536"/>
      <c r="AK534" s="327"/>
      <c r="AL534" s="556" t="s">
        <v>334</v>
      </c>
      <c r="AM534" s="327"/>
      <c r="AN534" s="553" t="s">
        <v>334</v>
      </c>
      <c r="AO534" s="327"/>
      <c r="AP534" s="547"/>
      <c r="AQ534" s="327"/>
      <c r="AR534" s="548"/>
      <c r="AS534" s="327"/>
      <c r="AT534" s="549"/>
      <c r="AU534" s="327"/>
      <c r="AV534" s="553" t="s">
        <v>334</v>
      </c>
      <c r="AW534" s="327"/>
      <c r="AX534" s="521"/>
      <c r="AY534" s="326"/>
      <c r="AZ534" s="327"/>
      <c r="BA534" s="550"/>
      <c r="BB534" s="327"/>
      <c r="BC534" s="22"/>
      <c r="BD534" s="551" t="s">
        <v>334</v>
      </c>
      <c r="BE534" s="327"/>
      <c r="BF534" s="545"/>
      <c r="BG534" s="326"/>
      <c r="BH534" s="326"/>
      <c r="BI534" s="327"/>
      <c r="BJ534" s="451" t="s">
        <v>303</v>
      </c>
      <c r="BK534" s="326"/>
      <c r="BL534" s="326"/>
      <c r="BM534" s="327"/>
      <c r="BN534" s="558" t="s">
        <v>303</v>
      </c>
      <c r="BO534" s="326"/>
      <c r="BP534" s="326"/>
      <c r="BQ534" s="326"/>
      <c r="BR534" s="326"/>
      <c r="BS534" s="326"/>
      <c r="BT534" s="326"/>
      <c r="BU534" s="326"/>
      <c r="BV534" s="327"/>
    </row>
    <row r="535" spans="1:74" ht="45" customHeight="1" x14ac:dyDescent="0.25">
      <c r="A535" s="10">
        <f t="shared" si="2"/>
        <v>521</v>
      </c>
      <c r="B535" s="559" t="s">
        <v>303</v>
      </c>
      <c r="C535" s="327"/>
      <c r="D535" s="560" t="s">
        <v>307</v>
      </c>
      <c r="E535" s="327"/>
      <c r="F535" s="537" t="s">
        <v>334</v>
      </c>
      <c r="G535" s="327"/>
      <c r="H535" s="566" t="s">
        <v>334</v>
      </c>
      <c r="I535" s="327"/>
      <c r="J535" s="567"/>
      <c r="K535" s="327"/>
      <c r="L535" s="567"/>
      <c r="M535" s="327"/>
      <c r="N535" s="20"/>
      <c r="O535" s="24"/>
      <c r="P535" s="563"/>
      <c r="Q535" s="327"/>
      <c r="R535" s="538"/>
      <c r="S535" s="327"/>
      <c r="T535" s="539"/>
      <c r="U535" s="327"/>
      <c r="V535" s="518"/>
      <c r="W535" s="327"/>
      <c r="X535" s="541" t="s">
        <v>303</v>
      </c>
      <c r="Y535" s="326"/>
      <c r="Z535" s="326"/>
      <c r="AA535" s="327"/>
      <c r="AB535" s="542" t="s">
        <v>303</v>
      </c>
      <c r="AC535" s="326"/>
      <c r="AD535" s="326"/>
      <c r="AE535" s="327"/>
      <c r="AF535" s="520"/>
      <c r="AG535" s="327"/>
      <c r="AH535" s="543"/>
      <c r="AI535" s="327"/>
      <c r="AJ535" s="554"/>
      <c r="AK535" s="327"/>
      <c r="AL535" s="537" t="s">
        <v>334</v>
      </c>
      <c r="AM535" s="327"/>
      <c r="AN535" s="546" t="s">
        <v>334</v>
      </c>
      <c r="AO535" s="327"/>
      <c r="AP535" s="554"/>
      <c r="AQ535" s="327"/>
      <c r="AR535" s="555"/>
      <c r="AS535" s="327"/>
      <c r="AT535" s="549"/>
      <c r="AU535" s="327"/>
      <c r="AV535" s="546" t="s">
        <v>334</v>
      </c>
      <c r="AW535" s="327"/>
      <c r="AX535" s="521"/>
      <c r="AY535" s="326"/>
      <c r="AZ535" s="327"/>
      <c r="BA535" s="536"/>
      <c r="BB535" s="327"/>
      <c r="BC535" s="25"/>
      <c r="BD535" s="544" t="s">
        <v>334</v>
      </c>
      <c r="BE535" s="327"/>
      <c r="BF535" s="508"/>
      <c r="BG535" s="326"/>
      <c r="BH535" s="326"/>
      <c r="BI535" s="327"/>
      <c r="BJ535" s="557" t="s">
        <v>303</v>
      </c>
      <c r="BK535" s="326"/>
      <c r="BL535" s="326"/>
      <c r="BM535" s="327"/>
      <c r="BN535" s="558" t="s">
        <v>303</v>
      </c>
      <c r="BO535" s="326"/>
      <c r="BP535" s="326"/>
      <c r="BQ535" s="326"/>
      <c r="BR535" s="326"/>
      <c r="BS535" s="326"/>
      <c r="BT535" s="326"/>
      <c r="BU535" s="326"/>
      <c r="BV535" s="327"/>
    </row>
    <row r="536" spans="1:74" ht="45" customHeight="1" x14ac:dyDescent="0.25">
      <c r="A536" s="10">
        <f t="shared" si="2"/>
        <v>522</v>
      </c>
      <c r="B536" s="564" t="s">
        <v>303</v>
      </c>
      <c r="C536" s="327"/>
      <c r="D536" s="565" t="s">
        <v>307</v>
      </c>
      <c r="E536" s="327"/>
      <c r="F536" s="537" t="s">
        <v>334</v>
      </c>
      <c r="G536" s="327"/>
      <c r="H536" s="561" t="s">
        <v>334</v>
      </c>
      <c r="I536" s="327"/>
      <c r="J536" s="26"/>
      <c r="K536" s="27"/>
      <c r="L536" s="26"/>
      <c r="M536" s="27"/>
      <c r="N536" s="23"/>
      <c r="O536" s="21"/>
      <c r="P536" s="524"/>
      <c r="Q536" s="327"/>
      <c r="R536" s="516"/>
      <c r="S536" s="327"/>
      <c r="T536" s="517"/>
      <c r="U536" s="327"/>
      <c r="V536" s="540"/>
      <c r="W536" s="327"/>
      <c r="X536" s="438" t="s">
        <v>303</v>
      </c>
      <c r="Y536" s="326"/>
      <c r="Z536" s="326"/>
      <c r="AA536" s="327"/>
      <c r="AB536" s="519" t="s">
        <v>303</v>
      </c>
      <c r="AC536" s="326"/>
      <c r="AD536" s="326"/>
      <c r="AE536" s="327"/>
      <c r="AF536" s="543"/>
      <c r="AG536" s="327"/>
      <c r="AH536" s="520"/>
      <c r="AI536" s="327"/>
      <c r="AJ536" s="536"/>
      <c r="AK536" s="327"/>
      <c r="AL536" s="556" t="s">
        <v>334</v>
      </c>
      <c r="AM536" s="327"/>
      <c r="AN536" s="553" t="s">
        <v>334</v>
      </c>
      <c r="AO536" s="327"/>
      <c r="AP536" s="547"/>
      <c r="AQ536" s="327"/>
      <c r="AR536" s="548"/>
      <c r="AS536" s="327"/>
      <c r="AT536" s="549"/>
      <c r="AU536" s="327"/>
      <c r="AV536" s="553" t="s">
        <v>334</v>
      </c>
      <c r="AW536" s="327"/>
      <c r="AX536" s="521"/>
      <c r="AY536" s="326"/>
      <c r="AZ536" s="327"/>
      <c r="BA536" s="550"/>
      <c r="BB536" s="327"/>
      <c r="BC536" s="22"/>
      <c r="BD536" s="551" t="s">
        <v>334</v>
      </c>
      <c r="BE536" s="327"/>
      <c r="BF536" s="545"/>
      <c r="BG536" s="326"/>
      <c r="BH536" s="326"/>
      <c r="BI536" s="327"/>
      <c r="BJ536" s="451" t="s">
        <v>303</v>
      </c>
      <c r="BK536" s="326"/>
      <c r="BL536" s="326"/>
      <c r="BM536" s="327"/>
      <c r="BN536" s="558" t="s">
        <v>303</v>
      </c>
      <c r="BO536" s="326"/>
      <c r="BP536" s="326"/>
      <c r="BQ536" s="326"/>
      <c r="BR536" s="326"/>
      <c r="BS536" s="326"/>
      <c r="BT536" s="326"/>
      <c r="BU536" s="326"/>
      <c r="BV536" s="327"/>
    </row>
    <row r="537" spans="1:74" ht="45" customHeight="1" x14ac:dyDescent="0.25">
      <c r="A537" s="10">
        <f t="shared" si="2"/>
        <v>523</v>
      </c>
      <c r="B537" s="559" t="s">
        <v>303</v>
      </c>
      <c r="C537" s="327"/>
      <c r="D537" s="560" t="s">
        <v>307</v>
      </c>
      <c r="E537" s="327"/>
      <c r="F537" s="537" t="s">
        <v>334</v>
      </c>
      <c r="G537" s="327"/>
      <c r="H537" s="566" t="s">
        <v>334</v>
      </c>
      <c r="I537" s="327"/>
      <c r="J537" s="567"/>
      <c r="K537" s="327"/>
      <c r="L537" s="567"/>
      <c r="M537" s="327"/>
      <c r="N537" s="20"/>
      <c r="O537" s="21"/>
      <c r="P537" s="524"/>
      <c r="Q537" s="327"/>
      <c r="R537" s="538"/>
      <c r="S537" s="327"/>
      <c r="T537" s="539"/>
      <c r="U537" s="327"/>
      <c r="V537" s="518"/>
      <c r="W537" s="327"/>
      <c r="X537" s="541" t="s">
        <v>303</v>
      </c>
      <c r="Y537" s="326"/>
      <c r="Z537" s="326"/>
      <c r="AA537" s="327"/>
      <c r="AB537" s="542" t="s">
        <v>303</v>
      </c>
      <c r="AC537" s="326"/>
      <c r="AD537" s="326"/>
      <c r="AE537" s="327"/>
      <c r="AF537" s="520"/>
      <c r="AG537" s="327"/>
      <c r="AH537" s="543"/>
      <c r="AI537" s="327"/>
      <c r="AJ537" s="554"/>
      <c r="AK537" s="327"/>
      <c r="AL537" s="537" t="s">
        <v>334</v>
      </c>
      <c r="AM537" s="327"/>
      <c r="AN537" s="546" t="s">
        <v>334</v>
      </c>
      <c r="AO537" s="327"/>
      <c r="AP537" s="554"/>
      <c r="AQ537" s="327"/>
      <c r="AR537" s="555"/>
      <c r="AS537" s="327"/>
      <c r="AT537" s="549"/>
      <c r="AU537" s="327"/>
      <c r="AV537" s="546" t="s">
        <v>334</v>
      </c>
      <c r="AW537" s="327"/>
      <c r="AX537" s="521"/>
      <c r="AY537" s="326"/>
      <c r="AZ537" s="327"/>
      <c r="BA537" s="536"/>
      <c r="BB537" s="327"/>
      <c r="BC537" s="25"/>
      <c r="BD537" s="544" t="s">
        <v>334</v>
      </c>
      <c r="BE537" s="327"/>
      <c r="BF537" s="552"/>
      <c r="BG537" s="326"/>
      <c r="BH537" s="326"/>
      <c r="BI537" s="327"/>
      <c r="BJ537" s="557" t="s">
        <v>303</v>
      </c>
      <c r="BK537" s="326"/>
      <c r="BL537" s="326"/>
      <c r="BM537" s="327"/>
      <c r="BN537" s="558" t="s">
        <v>303</v>
      </c>
      <c r="BO537" s="326"/>
      <c r="BP537" s="326"/>
      <c r="BQ537" s="326"/>
      <c r="BR537" s="326"/>
      <c r="BS537" s="326"/>
      <c r="BT537" s="326"/>
      <c r="BU537" s="326"/>
      <c r="BV537" s="327"/>
    </row>
    <row r="538" spans="1:74" ht="45" customHeight="1" x14ac:dyDescent="0.25">
      <c r="A538" s="10">
        <f t="shared" si="2"/>
        <v>524</v>
      </c>
      <c r="B538" s="564" t="s">
        <v>303</v>
      </c>
      <c r="C538" s="327"/>
      <c r="D538" s="565" t="s">
        <v>307</v>
      </c>
      <c r="E538" s="327"/>
      <c r="F538" s="537" t="s">
        <v>334</v>
      </c>
      <c r="G538" s="327"/>
      <c r="H538" s="561" t="s">
        <v>334</v>
      </c>
      <c r="I538" s="327"/>
      <c r="J538" s="26"/>
      <c r="K538" s="27"/>
      <c r="L538" s="26"/>
      <c r="M538" s="27"/>
      <c r="N538" s="23"/>
      <c r="O538" s="24"/>
      <c r="P538" s="563"/>
      <c r="Q538" s="327"/>
      <c r="R538" s="516"/>
      <c r="S538" s="327"/>
      <c r="T538" s="517"/>
      <c r="U538" s="327"/>
      <c r="V538" s="540"/>
      <c r="W538" s="327"/>
      <c r="X538" s="438" t="s">
        <v>303</v>
      </c>
      <c r="Y538" s="326"/>
      <c r="Z538" s="326"/>
      <c r="AA538" s="327"/>
      <c r="AB538" s="519" t="s">
        <v>303</v>
      </c>
      <c r="AC538" s="326"/>
      <c r="AD538" s="326"/>
      <c r="AE538" s="327"/>
      <c r="AF538" s="543"/>
      <c r="AG538" s="327"/>
      <c r="AH538" s="520"/>
      <c r="AI538" s="327"/>
      <c r="AJ538" s="536"/>
      <c r="AK538" s="327"/>
      <c r="AL538" s="556" t="s">
        <v>334</v>
      </c>
      <c r="AM538" s="327"/>
      <c r="AN538" s="553" t="s">
        <v>334</v>
      </c>
      <c r="AO538" s="327"/>
      <c r="AP538" s="547"/>
      <c r="AQ538" s="327"/>
      <c r="AR538" s="548"/>
      <c r="AS538" s="327"/>
      <c r="AT538" s="549"/>
      <c r="AU538" s="327"/>
      <c r="AV538" s="553" t="s">
        <v>334</v>
      </c>
      <c r="AW538" s="327"/>
      <c r="AX538" s="521"/>
      <c r="AY538" s="326"/>
      <c r="AZ538" s="327"/>
      <c r="BA538" s="550"/>
      <c r="BB538" s="327"/>
      <c r="BC538" s="22"/>
      <c r="BD538" s="551" t="s">
        <v>334</v>
      </c>
      <c r="BE538" s="327"/>
      <c r="BF538" s="545"/>
      <c r="BG538" s="326"/>
      <c r="BH538" s="326"/>
      <c r="BI538" s="327"/>
      <c r="BJ538" s="451" t="s">
        <v>303</v>
      </c>
      <c r="BK538" s="326"/>
      <c r="BL538" s="326"/>
      <c r="BM538" s="327"/>
      <c r="BN538" s="558" t="s">
        <v>303</v>
      </c>
      <c r="BO538" s="326"/>
      <c r="BP538" s="326"/>
      <c r="BQ538" s="326"/>
      <c r="BR538" s="326"/>
      <c r="BS538" s="326"/>
      <c r="BT538" s="326"/>
      <c r="BU538" s="326"/>
      <c r="BV538" s="327"/>
    </row>
    <row r="539" spans="1:74" ht="45" customHeight="1" x14ac:dyDescent="0.25">
      <c r="A539" s="10">
        <f t="shared" si="2"/>
        <v>525</v>
      </c>
      <c r="B539" s="559" t="s">
        <v>303</v>
      </c>
      <c r="C539" s="327"/>
      <c r="D539" s="560" t="s">
        <v>307</v>
      </c>
      <c r="E539" s="327"/>
      <c r="F539" s="537" t="s">
        <v>334</v>
      </c>
      <c r="G539" s="327"/>
      <c r="H539" s="566" t="s">
        <v>334</v>
      </c>
      <c r="I539" s="327"/>
      <c r="J539" s="567"/>
      <c r="K539" s="327"/>
      <c r="L539" s="567"/>
      <c r="M539" s="327"/>
      <c r="N539" s="20"/>
      <c r="O539" s="21"/>
      <c r="P539" s="524"/>
      <c r="Q539" s="327"/>
      <c r="R539" s="538"/>
      <c r="S539" s="327"/>
      <c r="T539" s="539"/>
      <c r="U539" s="327"/>
      <c r="V539" s="518"/>
      <c r="W539" s="327"/>
      <c r="X539" s="541" t="s">
        <v>303</v>
      </c>
      <c r="Y539" s="326"/>
      <c r="Z539" s="326"/>
      <c r="AA539" s="327"/>
      <c r="AB539" s="542" t="s">
        <v>303</v>
      </c>
      <c r="AC539" s="326"/>
      <c r="AD539" s="326"/>
      <c r="AE539" s="327"/>
      <c r="AF539" s="520"/>
      <c r="AG539" s="327"/>
      <c r="AH539" s="543"/>
      <c r="AI539" s="327"/>
      <c r="AJ539" s="554"/>
      <c r="AK539" s="327"/>
      <c r="AL539" s="537" t="s">
        <v>334</v>
      </c>
      <c r="AM539" s="327"/>
      <c r="AN539" s="546" t="s">
        <v>334</v>
      </c>
      <c r="AO539" s="327"/>
      <c r="AP539" s="554"/>
      <c r="AQ539" s="327"/>
      <c r="AR539" s="555"/>
      <c r="AS539" s="327"/>
      <c r="AT539" s="549"/>
      <c r="AU539" s="327"/>
      <c r="AV539" s="546" t="s">
        <v>334</v>
      </c>
      <c r="AW539" s="327"/>
      <c r="AX539" s="521"/>
      <c r="AY539" s="326"/>
      <c r="AZ539" s="327"/>
      <c r="BA539" s="536"/>
      <c r="BB539" s="327"/>
      <c r="BC539" s="25"/>
      <c r="BD539" s="544" t="s">
        <v>334</v>
      </c>
      <c r="BE539" s="327"/>
      <c r="BF539" s="508"/>
      <c r="BG539" s="326"/>
      <c r="BH539" s="326"/>
      <c r="BI539" s="327"/>
      <c r="BJ539" s="557" t="s">
        <v>303</v>
      </c>
      <c r="BK539" s="326"/>
      <c r="BL539" s="326"/>
      <c r="BM539" s="327"/>
      <c r="BN539" s="558" t="s">
        <v>303</v>
      </c>
      <c r="BO539" s="326"/>
      <c r="BP539" s="326"/>
      <c r="BQ539" s="326"/>
      <c r="BR539" s="326"/>
      <c r="BS539" s="326"/>
      <c r="BT539" s="326"/>
      <c r="BU539" s="326"/>
      <c r="BV539" s="327"/>
    </row>
    <row r="540" spans="1:74" ht="45" customHeight="1" x14ac:dyDescent="0.25">
      <c r="A540" s="10">
        <f t="shared" si="2"/>
        <v>526</v>
      </c>
      <c r="B540" s="564" t="s">
        <v>303</v>
      </c>
      <c r="C540" s="327"/>
      <c r="D540" s="565" t="s">
        <v>307</v>
      </c>
      <c r="E540" s="327"/>
      <c r="F540" s="537" t="s">
        <v>334</v>
      </c>
      <c r="G540" s="327"/>
      <c r="H540" s="561" t="s">
        <v>334</v>
      </c>
      <c r="I540" s="327"/>
      <c r="J540" s="26"/>
      <c r="K540" s="27"/>
      <c r="L540" s="26"/>
      <c r="M540" s="27"/>
      <c r="N540" s="23"/>
      <c r="O540" s="24"/>
      <c r="P540" s="563"/>
      <c r="Q540" s="327"/>
      <c r="R540" s="516"/>
      <c r="S540" s="327"/>
      <c r="T540" s="517"/>
      <c r="U540" s="327"/>
      <c r="V540" s="540"/>
      <c r="W540" s="327"/>
      <c r="X540" s="438" t="s">
        <v>303</v>
      </c>
      <c r="Y540" s="326"/>
      <c r="Z540" s="326"/>
      <c r="AA540" s="327"/>
      <c r="AB540" s="519" t="s">
        <v>303</v>
      </c>
      <c r="AC540" s="326"/>
      <c r="AD540" s="326"/>
      <c r="AE540" s="327"/>
      <c r="AF540" s="543"/>
      <c r="AG540" s="327"/>
      <c r="AH540" s="520"/>
      <c r="AI540" s="327"/>
      <c r="AJ540" s="536"/>
      <c r="AK540" s="327"/>
      <c r="AL540" s="556" t="s">
        <v>334</v>
      </c>
      <c r="AM540" s="327"/>
      <c r="AN540" s="553" t="s">
        <v>334</v>
      </c>
      <c r="AO540" s="327"/>
      <c r="AP540" s="547"/>
      <c r="AQ540" s="327"/>
      <c r="AR540" s="548"/>
      <c r="AS540" s="327"/>
      <c r="AT540" s="549"/>
      <c r="AU540" s="327"/>
      <c r="AV540" s="553" t="s">
        <v>334</v>
      </c>
      <c r="AW540" s="327"/>
      <c r="AX540" s="521"/>
      <c r="AY540" s="326"/>
      <c r="AZ540" s="327"/>
      <c r="BA540" s="550"/>
      <c r="BB540" s="327"/>
      <c r="BC540" s="22"/>
      <c r="BD540" s="551" t="s">
        <v>334</v>
      </c>
      <c r="BE540" s="327"/>
      <c r="BF540" s="545"/>
      <c r="BG540" s="326"/>
      <c r="BH540" s="326"/>
      <c r="BI540" s="327"/>
      <c r="BJ540" s="451" t="s">
        <v>303</v>
      </c>
      <c r="BK540" s="326"/>
      <c r="BL540" s="326"/>
      <c r="BM540" s="327"/>
      <c r="BN540" s="558" t="s">
        <v>303</v>
      </c>
      <c r="BO540" s="326"/>
      <c r="BP540" s="326"/>
      <c r="BQ540" s="326"/>
      <c r="BR540" s="326"/>
      <c r="BS540" s="326"/>
      <c r="BT540" s="326"/>
      <c r="BU540" s="326"/>
      <c r="BV540" s="327"/>
    </row>
    <row r="541" spans="1:74" ht="45" customHeight="1" x14ac:dyDescent="0.25">
      <c r="A541" s="10">
        <f t="shared" si="2"/>
        <v>527</v>
      </c>
      <c r="B541" s="559" t="s">
        <v>303</v>
      </c>
      <c r="C541" s="327"/>
      <c r="D541" s="560" t="s">
        <v>307</v>
      </c>
      <c r="E541" s="327"/>
      <c r="F541" s="537" t="s">
        <v>334</v>
      </c>
      <c r="G541" s="327"/>
      <c r="H541" s="566" t="s">
        <v>334</v>
      </c>
      <c r="I541" s="327"/>
      <c r="J541" s="567"/>
      <c r="K541" s="327"/>
      <c r="L541" s="567"/>
      <c r="M541" s="327"/>
      <c r="N541" s="20"/>
      <c r="O541" s="24"/>
      <c r="P541" s="524"/>
      <c r="Q541" s="327"/>
      <c r="R541" s="538"/>
      <c r="S541" s="327"/>
      <c r="T541" s="539"/>
      <c r="U541" s="327"/>
      <c r="V541" s="518"/>
      <c r="W541" s="327"/>
      <c r="X541" s="541" t="s">
        <v>303</v>
      </c>
      <c r="Y541" s="326"/>
      <c r="Z541" s="326"/>
      <c r="AA541" s="327"/>
      <c r="AB541" s="542" t="s">
        <v>303</v>
      </c>
      <c r="AC541" s="326"/>
      <c r="AD541" s="326"/>
      <c r="AE541" s="327"/>
      <c r="AF541" s="520"/>
      <c r="AG541" s="327"/>
      <c r="AH541" s="543"/>
      <c r="AI541" s="327"/>
      <c r="AJ541" s="554"/>
      <c r="AK541" s="327"/>
      <c r="AL541" s="537" t="s">
        <v>334</v>
      </c>
      <c r="AM541" s="327"/>
      <c r="AN541" s="546" t="s">
        <v>334</v>
      </c>
      <c r="AO541" s="327"/>
      <c r="AP541" s="554"/>
      <c r="AQ541" s="327"/>
      <c r="AR541" s="555"/>
      <c r="AS541" s="327"/>
      <c r="AT541" s="549"/>
      <c r="AU541" s="327"/>
      <c r="AV541" s="546" t="s">
        <v>334</v>
      </c>
      <c r="AW541" s="327"/>
      <c r="AX541" s="521"/>
      <c r="AY541" s="326"/>
      <c r="AZ541" s="327"/>
      <c r="BA541" s="536"/>
      <c r="BB541" s="327"/>
      <c r="BC541" s="25"/>
      <c r="BD541" s="544" t="s">
        <v>334</v>
      </c>
      <c r="BE541" s="327"/>
      <c r="BF541" s="552"/>
      <c r="BG541" s="326"/>
      <c r="BH541" s="326"/>
      <c r="BI541" s="327"/>
      <c r="BJ541" s="557" t="s">
        <v>303</v>
      </c>
      <c r="BK541" s="326"/>
      <c r="BL541" s="326"/>
      <c r="BM541" s="327"/>
      <c r="BN541" s="558" t="s">
        <v>303</v>
      </c>
      <c r="BO541" s="326"/>
      <c r="BP541" s="326"/>
      <c r="BQ541" s="326"/>
      <c r="BR541" s="326"/>
      <c r="BS541" s="326"/>
      <c r="BT541" s="326"/>
      <c r="BU541" s="326"/>
      <c r="BV541" s="327"/>
    </row>
    <row r="542" spans="1:74" ht="45" customHeight="1" x14ac:dyDescent="0.25">
      <c r="A542" s="10">
        <f t="shared" si="2"/>
        <v>528</v>
      </c>
      <c r="B542" s="564" t="s">
        <v>303</v>
      </c>
      <c r="C542" s="327"/>
      <c r="D542" s="565" t="s">
        <v>307</v>
      </c>
      <c r="E542" s="327"/>
      <c r="F542" s="537" t="s">
        <v>334</v>
      </c>
      <c r="G542" s="327"/>
      <c r="H542" s="561" t="s">
        <v>334</v>
      </c>
      <c r="I542" s="327"/>
      <c r="J542" s="26"/>
      <c r="K542" s="27"/>
      <c r="L542" s="26"/>
      <c r="M542" s="27"/>
      <c r="N542" s="23"/>
      <c r="O542" s="21"/>
      <c r="P542" s="563"/>
      <c r="Q542" s="327"/>
      <c r="R542" s="516"/>
      <c r="S542" s="327"/>
      <c r="T542" s="517"/>
      <c r="U542" s="327"/>
      <c r="V542" s="540"/>
      <c r="W542" s="327"/>
      <c r="X542" s="438" t="s">
        <v>303</v>
      </c>
      <c r="Y542" s="326"/>
      <c r="Z542" s="326"/>
      <c r="AA542" s="327"/>
      <c r="AB542" s="519" t="s">
        <v>303</v>
      </c>
      <c r="AC542" s="326"/>
      <c r="AD542" s="326"/>
      <c r="AE542" s="327"/>
      <c r="AF542" s="543"/>
      <c r="AG542" s="327"/>
      <c r="AH542" s="520"/>
      <c r="AI542" s="327"/>
      <c r="AJ542" s="536"/>
      <c r="AK542" s="327"/>
      <c r="AL542" s="556" t="s">
        <v>334</v>
      </c>
      <c r="AM542" s="327"/>
      <c r="AN542" s="553" t="s">
        <v>334</v>
      </c>
      <c r="AO542" s="327"/>
      <c r="AP542" s="547"/>
      <c r="AQ542" s="327"/>
      <c r="AR542" s="548"/>
      <c r="AS542" s="327"/>
      <c r="AT542" s="549"/>
      <c r="AU542" s="327"/>
      <c r="AV542" s="553" t="s">
        <v>334</v>
      </c>
      <c r="AW542" s="327"/>
      <c r="AX542" s="521"/>
      <c r="AY542" s="326"/>
      <c r="AZ542" s="327"/>
      <c r="BA542" s="550"/>
      <c r="BB542" s="327"/>
      <c r="BC542" s="22"/>
      <c r="BD542" s="551" t="s">
        <v>334</v>
      </c>
      <c r="BE542" s="327"/>
      <c r="BF542" s="545"/>
      <c r="BG542" s="326"/>
      <c r="BH542" s="326"/>
      <c r="BI542" s="327"/>
      <c r="BJ542" s="451" t="s">
        <v>303</v>
      </c>
      <c r="BK542" s="326"/>
      <c r="BL542" s="326"/>
      <c r="BM542" s="327"/>
      <c r="BN542" s="558" t="s">
        <v>303</v>
      </c>
      <c r="BO542" s="326"/>
      <c r="BP542" s="326"/>
      <c r="BQ542" s="326"/>
      <c r="BR542" s="326"/>
      <c r="BS542" s="326"/>
      <c r="BT542" s="326"/>
      <c r="BU542" s="326"/>
      <c r="BV542" s="327"/>
    </row>
    <row r="543" spans="1:74" ht="45" customHeight="1" x14ac:dyDescent="0.25">
      <c r="A543" s="10">
        <f t="shared" si="2"/>
        <v>529</v>
      </c>
      <c r="B543" s="559" t="s">
        <v>303</v>
      </c>
      <c r="C543" s="327"/>
      <c r="D543" s="560" t="s">
        <v>307</v>
      </c>
      <c r="E543" s="327"/>
      <c r="F543" s="537" t="s">
        <v>334</v>
      </c>
      <c r="G543" s="327"/>
      <c r="H543" s="566" t="s">
        <v>334</v>
      </c>
      <c r="I543" s="327"/>
      <c r="J543" s="567"/>
      <c r="K543" s="327"/>
      <c r="L543" s="567"/>
      <c r="M543" s="327"/>
      <c r="N543" s="20"/>
      <c r="O543" s="24"/>
      <c r="P543" s="524"/>
      <c r="Q543" s="327"/>
      <c r="R543" s="538"/>
      <c r="S543" s="327"/>
      <c r="T543" s="539"/>
      <c r="U543" s="327"/>
      <c r="V543" s="518"/>
      <c r="W543" s="327"/>
      <c r="X543" s="541" t="s">
        <v>303</v>
      </c>
      <c r="Y543" s="326"/>
      <c r="Z543" s="326"/>
      <c r="AA543" s="327"/>
      <c r="AB543" s="542" t="s">
        <v>303</v>
      </c>
      <c r="AC543" s="326"/>
      <c r="AD543" s="326"/>
      <c r="AE543" s="327"/>
      <c r="AF543" s="520"/>
      <c r="AG543" s="327"/>
      <c r="AH543" s="543"/>
      <c r="AI543" s="327"/>
      <c r="AJ543" s="554"/>
      <c r="AK543" s="327"/>
      <c r="AL543" s="537" t="s">
        <v>334</v>
      </c>
      <c r="AM543" s="327"/>
      <c r="AN543" s="546" t="s">
        <v>334</v>
      </c>
      <c r="AO543" s="327"/>
      <c r="AP543" s="554"/>
      <c r="AQ543" s="327"/>
      <c r="AR543" s="555"/>
      <c r="AS543" s="327"/>
      <c r="AT543" s="549"/>
      <c r="AU543" s="327"/>
      <c r="AV543" s="546" t="s">
        <v>334</v>
      </c>
      <c r="AW543" s="327"/>
      <c r="AX543" s="521"/>
      <c r="AY543" s="326"/>
      <c r="AZ543" s="327"/>
      <c r="BA543" s="536"/>
      <c r="BB543" s="327"/>
      <c r="BC543" s="25"/>
      <c r="BD543" s="544" t="s">
        <v>334</v>
      </c>
      <c r="BE543" s="327"/>
      <c r="BF543" s="508"/>
      <c r="BG543" s="326"/>
      <c r="BH543" s="326"/>
      <c r="BI543" s="327"/>
      <c r="BJ543" s="557" t="s">
        <v>303</v>
      </c>
      <c r="BK543" s="326"/>
      <c r="BL543" s="326"/>
      <c r="BM543" s="327"/>
      <c r="BN543" s="558" t="s">
        <v>303</v>
      </c>
      <c r="BO543" s="326"/>
      <c r="BP543" s="326"/>
      <c r="BQ543" s="326"/>
      <c r="BR543" s="326"/>
      <c r="BS543" s="326"/>
      <c r="BT543" s="326"/>
      <c r="BU543" s="326"/>
      <c r="BV543" s="327"/>
    </row>
    <row r="544" spans="1:74" ht="45" customHeight="1" x14ac:dyDescent="0.25">
      <c r="A544" s="10">
        <f t="shared" si="2"/>
        <v>530</v>
      </c>
      <c r="B544" s="564" t="s">
        <v>303</v>
      </c>
      <c r="C544" s="327"/>
      <c r="D544" s="565" t="s">
        <v>307</v>
      </c>
      <c r="E544" s="327"/>
      <c r="F544" s="537" t="s">
        <v>334</v>
      </c>
      <c r="G544" s="327"/>
      <c r="H544" s="561" t="s">
        <v>334</v>
      </c>
      <c r="I544" s="327"/>
      <c r="J544" s="26"/>
      <c r="K544" s="27"/>
      <c r="L544" s="26"/>
      <c r="M544" s="27"/>
      <c r="N544" s="23"/>
      <c r="O544" s="21"/>
      <c r="P544" s="563"/>
      <c r="Q544" s="327"/>
      <c r="R544" s="516"/>
      <c r="S544" s="327"/>
      <c r="T544" s="517"/>
      <c r="U544" s="327"/>
      <c r="V544" s="540"/>
      <c r="W544" s="327"/>
      <c r="X544" s="438" t="s">
        <v>303</v>
      </c>
      <c r="Y544" s="326"/>
      <c r="Z544" s="326"/>
      <c r="AA544" s="327"/>
      <c r="AB544" s="519" t="s">
        <v>303</v>
      </c>
      <c r="AC544" s="326"/>
      <c r="AD544" s="326"/>
      <c r="AE544" s="327"/>
      <c r="AF544" s="543"/>
      <c r="AG544" s="327"/>
      <c r="AH544" s="520"/>
      <c r="AI544" s="327"/>
      <c r="AJ544" s="536"/>
      <c r="AK544" s="327"/>
      <c r="AL544" s="556" t="s">
        <v>334</v>
      </c>
      <c r="AM544" s="327"/>
      <c r="AN544" s="553" t="s">
        <v>334</v>
      </c>
      <c r="AO544" s="327"/>
      <c r="AP544" s="547"/>
      <c r="AQ544" s="327"/>
      <c r="AR544" s="548"/>
      <c r="AS544" s="327"/>
      <c r="AT544" s="549"/>
      <c r="AU544" s="327"/>
      <c r="AV544" s="553" t="s">
        <v>334</v>
      </c>
      <c r="AW544" s="327"/>
      <c r="AX544" s="521"/>
      <c r="AY544" s="326"/>
      <c r="AZ544" s="327"/>
      <c r="BA544" s="550"/>
      <c r="BB544" s="327"/>
      <c r="BC544" s="22"/>
      <c r="BD544" s="551" t="s">
        <v>334</v>
      </c>
      <c r="BE544" s="327"/>
      <c r="BF544" s="545"/>
      <c r="BG544" s="326"/>
      <c r="BH544" s="326"/>
      <c r="BI544" s="327"/>
      <c r="BJ544" s="451" t="s">
        <v>303</v>
      </c>
      <c r="BK544" s="326"/>
      <c r="BL544" s="326"/>
      <c r="BM544" s="327"/>
      <c r="BN544" s="558" t="s">
        <v>303</v>
      </c>
      <c r="BO544" s="326"/>
      <c r="BP544" s="326"/>
      <c r="BQ544" s="326"/>
      <c r="BR544" s="326"/>
      <c r="BS544" s="326"/>
      <c r="BT544" s="326"/>
      <c r="BU544" s="326"/>
      <c r="BV544" s="327"/>
    </row>
    <row r="545" spans="1:74" ht="45" customHeight="1" x14ac:dyDescent="0.25">
      <c r="A545" s="10">
        <f t="shared" si="2"/>
        <v>531</v>
      </c>
      <c r="B545" s="559" t="s">
        <v>303</v>
      </c>
      <c r="C545" s="327"/>
      <c r="D545" s="560" t="s">
        <v>307</v>
      </c>
      <c r="E545" s="327"/>
      <c r="F545" s="537" t="s">
        <v>334</v>
      </c>
      <c r="G545" s="327"/>
      <c r="H545" s="566" t="s">
        <v>334</v>
      </c>
      <c r="I545" s="327"/>
      <c r="J545" s="567"/>
      <c r="K545" s="327"/>
      <c r="L545" s="567"/>
      <c r="M545" s="327"/>
      <c r="N545" s="20"/>
      <c r="O545" s="24"/>
      <c r="P545" s="524"/>
      <c r="Q545" s="327"/>
      <c r="R545" s="538"/>
      <c r="S545" s="327"/>
      <c r="T545" s="539"/>
      <c r="U545" s="327"/>
      <c r="V545" s="518"/>
      <c r="W545" s="327"/>
      <c r="X545" s="541" t="s">
        <v>303</v>
      </c>
      <c r="Y545" s="326"/>
      <c r="Z545" s="326"/>
      <c r="AA545" s="327"/>
      <c r="AB545" s="542" t="s">
        <v>303</v>
      </c>
      <c r="AC545" s="326"/>
      <c r="AD545" s="326"/>
      <c r="AE545" s="327"/>
      <c r="AF545" s="520"/>
      <c r="AG545" s="327"/>
      <c r="AH545" s="543"/>
      <c r="AI545" s="327"/>
      <c r="AJ545" s="554"/>
      <c r="AK545" s="327"/>
      <c r="AL545" s="537" t="s">
        <v>334</v>
      </c>
      <c r="AM545" s="327"/>
      <c r="AN545" s="546" t="s">
        <v>334</v>
      </c>
      <c r="AO545" s="327"/>
      <c r="AP545" s="554"/>
      <c r="AQ545" s="327"/>
      <c r="AR545" s="555"/>
      <c r="AS545" s="327"/>
      <c r="AT545" s="549"/>
      <c r="AU545" s="327"/>
      <c r="AV545" s="546" t="s">
        <v>334</v>
      </c>
      <c r="AW545" s="327"/>
      <c r="AX545" s="521"/>
      <c r="AY545" s="326"/>
      <c r="AZ545" s="327"/>
      <c r="BA545" s="536"/>
      <c r="BB545" s="327"/>
      <c r="BC545" s="25"/>
      <c r="BD545" s="544" t="s">
        <v>334</v>
      </c>
      <c r="BE545" s="327"/>
      <c r="BF545" s="508"/>
      <c r="BG545" s="326"/>
      <c r="BH545" s="326"/>
      <c r="BI545" s="327"/>
      <c r="BJ545" s="557" t="s">
        <v>303</v>
      </c>
      <c r="BK545" s="326"/>
      <c r="BL545" s="326"/>
      <c r="BM545" s="327"/>
      <c r="BN545" s="558" t="s">
        <v>303</v>
      </c>
      <c r="BO545" s="326"/>
      <c r="BP545" s="326"/>
      <c r="BQ545" s="326"/>
      <c r="BR545" s="326"/>
      <c r="BS545" s="326"/>
      <c r="BT545" s="326"/>
      <c r="BU545" s="326"/>
      <c r="BV545" s="327"/>
    </row>
    <row r="546" spans="1:74" ht="45" customHeight="1" x14ac:dyDescent="0.25">
      <c r="A546" s="10">
        <f t="shared" si="2"/>
        <v>532</v>
      </c>
      <c r="B546" s="564" t="s">
        <v>303</v>
      </c>
      <c r="C546" s="327"/>
      <c r="D546" s="565" t="s">
        <v>307</v>
      </c>
      <c r="E546" s="327"/>
      <c r="F546" s="537" t="s">
        <v>334</v>
      </c>
      <c r="G546" s="327"/>
      <c r="H546" s="561" t="s">
        <v>334</v>
      </c>
      <c r="I546" s="327"/>
      <c r="J546" s="26"/>
      <c r="K546" s="27"/>
      <c r="L546" s="26"/>
      <c r="M546" s="27"/>
      <c r="N546" s="23"/>
      <c r="O546" s="21"/>
      <c r="P546" s="563"/>
      <c r="Q546" s="327"/>
      <c r="R546" s="516"/>
      <c r="S546" s="327"/>
      <c r="T546" s="517"/>
      <c r="U546" s="327"/>
      <c r="V546" s="540"/>
      <c r="W546" s="327"/>
      <c r="X546" s="438" t="s">
        <v>303</v>
      </c>
      <c r="Y546" s="326"/>
      <c r="Z546" s="326"/>
      <c r="AA546" s="327"/>
      <c r="AB546" s="519" t="s">
        <v>303</v>
      </c>
      <c r="AC546" s="326"/>
      <c r="AD546" s="326"/>
      <c r="AE546" s="327"/>
      <c r="AF546" s="543"/>
      <c r="AG546" s="327"/>
      <c r="AH546" s="520"/>
      <c r="AI546" s="327"/>
      <c r="AJ546" s="536"/>
      <c r="AK546" s="327"/>
      <c r="AL546" s="556" t="s">
        <v>334</v>
      </c>
      <c r="AM546" s="327"/>
      <c r="AN546" s="553" t="s">
        <v>334</v>
      </c>
      <c r="AO546" s="327"/>
      <c r="AP546" s="547"/>
      <c r="AQ546" s="327"/>
      <c r="AR546" s="548"/>
      <c r="AS546" s="327"/>
      <c r="AT546" s="549"/>
      <c r="AU546" s="327"/>
      <c r="AV546" s="553" t="s">
        <v>334</v>
      </c>
      <c r="AW546" s="327"/>
      <c r="AX546" s="521"/>
      <c r="AY546" s="326"/>
      <c r="AZ546" s="327"/>
      <c r="BA546" s="550"/>
      <c r="BB546" s="327"/>
      <c r="BC546" s="22"/>
      <c r="BD546" s="551" t="s">
        <v>334</v>
      </c>
      <c r="BE546" s="327"/>
      <c r="BF546" s="545"/>
      <c r="BG546" s="326"/>
      <c r="BH546" s="326"/>
      <c r="BI546" s="327"/>
      <c r="BJ546" s="451" t="s">
        <v>303</v>
      </c>
      <c r="BK546" s="326"/>
      <c r="BL546" s="326"/>
      <c r="BM546" s="327"/>
      <c r="BN546" s="558" t="s">
        <v>303</v>
      </c>
      <c r="BO546" s="326"/>
      <c r="BP546" s="326"/>
      <c r="BQ546" s="326"/>
      <c r="BR546" s="326"/>
      <c r="BS546" s="326"/>
      <c r="BT546" s="326"/>
      <c r="BU546" s="326"/>
      <c r="BV546" s="327"/>
    </row>
    <row r="547" spans="1:74" ht="45" customHeight="1" x14ac:dyDescent="0.25">
      <c r="A547" s="10">
        <f t="shared" si="2"/>
        <v>533</v>
      </c>
      <c r="B547" s="559" t="s">
        <v>303</v>
      </c>
      <c r="C547" s="327"/>
      <c r="D547" s="560" t="s">
        <v>307</v>
      </c>
      <c r="E547" s="327"/>
      <c r="F547" s="537" t="s">
        <v>334</v>
      </c>
      <c r="G547" s="327"/>
      <c r="H547" s="566" t="s">
        <v>334</v>
      </c>
      <c r="I547" s="327"/>
      <c r="J547" s="567"/>
      <c r="K547" s="327"/>
      <c r="L547" s="567"/>
      <c r="M547" s="327"/>
      <c r="N547" s="20"/>
      <c r="O547" s="24"/>
      <c r="P547" s="524"/>
      <c r="Q547" s="327"/>
      <c r="R547" s="538"/>
      <c r="S547" s="327"/>
      <c r="T547" s="539"/>
      <c r="U547" s="327"/>
      <c r="V547" s="518"/>
      <c r="W547" s="327"/>
      <c r="X547" s="541" t="s">
        <v>303</v>
      </c>
      <c r="Y547" s="326"/>
      <c r="Z547" s="326"/>
      <c r="AA547" s="327"/>
      <c r="AB547" s="542" t="s">
        <v>303</v>
      </c>
      <c r="AC547" s="326"/>
      <c r="AD547" s="326"/>
      <c r="AE547" s="327"/>
      <c r="AF547" s="520"/>
      <c r="AG547" s="327"/>
      <c r="AH547" s="543"/>
      <c r="AI547" s="327"/>
      <c r="AJ547" s="554"/>
      <c r="AK547" s="327"/>
      <c r="AL547" s="537" t="s">
        <v>334</v>
      </c>
      <c r="AM547" s="327"/>
      <c r="AN547" s="546" t="s">
        <v>334</v>
      </c>
      <c r="AO547" s="327"/>
      <c r="AP547" s="554"/>
      <c r="AQ547" s="327"/>
      <c r="AR547" s="555"/>
      <c r="AS547" s="327"/>
      <c r="AT547" s="549"/>
      <c r="AU547" s="327"/>
      <c r="AV547" s="546" t="s">
        <v>334</v>
      </c>
      <c r="AW547" s="327"/>
      <c r="AX547" s="521"/>
      <c r="AY547" s="326"/>
      <c r="AZ547" s="327"/>
      <c r="BA547" s="536"/>
      <c r="BB547" s="327"/>
      <c r="BC547" s="25"/>
      <c r="BD547" s="544" t="s">
        <v>334</v>
      </c>
      <c r="BE547" s="327"/>
      <c r="BF547" s="552"/>
      <c r="BG547" s="326"/>
      <c r="BH547" s="326"/>
      <c r="BI547" s="327"/>
      <c r="BJ547" s="557" t="s">
        <v>303</v>
      </c>
      <c r="BK547" s="326"/>
      <c r="BL547" s="326"/>
      <c r="BM547" s="327"/>
      <c r="BN547" s="558" t="s">
        <v>303</v>
      </c>
      <c r="BO547" s="326"/>
      <c r="BP547" s="326"/>
      <c r="BQ547" s="326"/>
      <c r="BR547" s="326"/>
      <c r="BS547" s="326"/>
      <c r="BT547" s="326"/>
      <c r="BU547" s="326"/>
      <c r="BV547" s="327"/>
    </row>
    <row r="548" spans="1:74" ht="45" customHeight="1" x14ac:dyDescent="0.25">
      <c r="A548" s="10">
        <f t="shared" si="2"/>
        <v>534</v>
      </c>
      <c r="B548" s="564" t="s">
        <v>303</v>
      </c>
      <c r="C548" s="327"/>
      <c r="D548" s="565" t="s">
        <v>307</v>
      </c>
      <c r="E548" s="327"/>
      <c r="F548" s="537" t="s">
        <v>334</v>
      </c>
      <c r="G548" s="327"/>
      <c r="H548" s="561" t="s">
        <v>334</v>
      </c>
      <c r="I548" s="327"/>
      <c r="J548" s="26"/>
      <c r="K548" s="27"/>
      <c r="L548" s="26"/>
      <c r="M548" s="27"/>
      <c r="N548" s="23"/>
      <c r="O548" s="21"/>
      <c r="P548" s="563"/>
      <c r="Q548" s="327"/>
      <c r="R548" s="516"/>
      <c r="S548" s="327"/>
      <c r="T548" s="517"/>
      <c r="U548" s="327"/>
      <c r="V548" s="540"/>
      <c r="W548" s="327"/>
      <c r="X548" s="438" t="s">
        <v>303</v>
      </c>
      <c r="Y548" s="326"/>
      <c r="Z548" s="326"/>
      <c r="AA548" s="327"/>
      <c r="AB548" s="519" t="s">
        <v>303</v>
      </c>
      <c r="AC548" s="326"/>
      <c r="AD548" s="326"/>
      <c r="AE548" s="327"/>
      <c r="AF548" s="543"/>
      <c r="AG548" s="327"/>
      <c r="AH548" s="520"/>
      <c r="AI548" s="327"/>
      <c r="AJ548" s="536"/>
      <c r="AK548" s="327"/>
      <c r="AL548" s="556" t="s">
        <v>334</v>
      </c>
      <c r="AM548" s="327"/>
      <c r="AN548" s="553" t="s">
        <v>334</v>
      </c>
      <c r="AO548" s="327"/>
      <c r="AP548" s="547"/>
      <c r="AQ548" s="327"/>
      <c r="AR548" s="548"/>
      <c r="AS548" s="327"/>
      <c r="AT548" s="549"/>
      <c r="AU548" s="327"/>
      <c r="AV548" s="553" t="s">
        <v>334</v>
      </c>
      <c r="AW548" s="327"/>
      <c r="AX548" s="521"/>
      <c r="AY548" s="326"/>
      <c r="AZ548" s="327"/>
      <c r="BA548" s="550"/>
      <c r="BB548" s="327"/>
      <c r="BC548" s="22"/>
      <c r="BD548" s="551" t="s">
        <v>334</v>
      </c>
      <c r="BE548" s="327"/>
      <c r="BF548" s="545"/>
      <c r="BG548" s="326"/>
      <c r="BH548" s="326"/>
      <c r="BI548" s="327"/>
      <c r="BJ548" s="451" t="s">
        <v>303</v>
      </c>
      <c r="BK548" s="326"/>
      <c r="BL548" s="326"/>
      <c r="BM548" s="327"/>
      <c r="BN548" s="558" t="s">
        <v>303</v>
      </c>
      <c r="BO548" s="326"/>
      <c r="BP548" s="326"/>
      <c r="BQ548" s="326"/>
      <c r="BR548" s="326"/>
      <c r="BS548" s="326"/>
      <c r="BT548" s="326"/>
      <c r="BU548" s="326"/>
      <c r="BV548" s="327"/>
    </row>
    <row r="549" spans="1:74" ht="45" customHeight="1" x14ac:dyDescent="0.25">
      <c r="A549" s="10">
        <f t="shared" si="2"/>
        <v>535</v>
      </c>
      <c r="B549" s="559" t="s">
        <v>303</v>
      </c>
      <c r="C549" s="327"/>
      <c r="D549" s="560" t="s">
        <v>307</v>
      </c>
      <c r="E549" s="327"/>
      <c r="F549" s="537" t="s">
        <v>334</v>
      </c>
      <c r="G549" s="327"/>
      <c r="H549" s="566" t="s">
        <v>334</v>
      </c>
      <c r="I549" s="327"/>
      <c r="J549" s="567"/>
      <c r="K549" s="327"/>
      <c r="L549" s="567"/>
      <c r="M549" s="327"/>
      <c r="N549" s="20"/>
      <c r="O549" s="24"/>
      <c r="P549" s="524"/>
      <c r="Q549" s="327"/>
      <c r="R549" s="538"/>
      <c r="S549" s="327"/>
      <c r="T549" s="539"/>
      <c r="U549" s="327"/>
      <c r="V549" s="518"/>
      <c r="W549" s="327"/>
      <c r="X549" s="541" t="s">
        <v>303</v>
      </c>
      <c r="Y549" s="326"/>
      <c r="Z549" s="326"/>
      <c r="AA549" s="327"/>
      <c r="AB549" s="542" t="s">
        <v>303</v>
      </c>
      <c r="AC549" s="326"/>
      <c r="AD549" s="326"/>
      <c r="AE549" s="327"/>
      <c r="AF549" s="520"/>
      <c r="AG549" s="327"/>
      <c r="AH549" s="543"/>
      <c r="AI549" s="327"/>
      <c r="AJ549" s="554"/>
      <c r="AK549" s="327"/>
      <c r="AL549" s="537" t="s">
        <v>334</v>
      </c>
      <c r="AM549" s="327"/>
      <c r="AN549" s="546" t="s">
        <v>334</v>
      </c>
      <c r="AO549" s="327"/>
      <c r="AP549" s="554"/>
      <c r="AQ549" s="327"/>
      <c r="AR549" s="555"/>
      <c r="AS549" s="327"/>
      <c r="AT549" s="549"/>
      <c r="AU549" s="327"/>
      <c r="AV549" s="546" t="s">
        <v>334</v>
      </c>
      <c r="AW549" s="327"/>
      <c r="AX549" s="521"/>
      <c r="AY549" s="326"/>
      <c r="AZ549" s="327"/>
      <c r="BA549" s="536"/>
      <c r="BB549" s="327"/>
      <c r="BC549" s="25"/>
      <c r="BD549" s="544" t="s">
        <v>334</v>
      </c>
      <c r="BE549" s="327"/>
      <c r="BF549" s="508"/>
      <c r="BG549" s="326"/>
      <c r="BH549" s="326"/>
      <c r="BI549" s="327"/>
      <c r="BJ549" s="557" t="s">
        <v>303</v>
      </c>
      <c r="BK549" s="326"/>
      <c r="BL549" s="326"/>
      <c r="BM549" s="327"/>
      <c r="BN549" s="558" t="s">
        <v>303</v>
      </c>
      <c r="BO549" s="326"/>
      <c r="BP549" s="326"/>
      <c r="BQ549" s="326"/>
      <c r="BR549" s="326"/>
      <c r="BS549" s="326"/>
      <c r="BT549" s="326"/>
      <c r="BU549" s="326"/>
      <c r="BV549" s="327"/>
    </row>
    <row r="550" spans="1:74" ht="45" customHeight="1" x14ac:dyDescent="0.25">
      <c r="A550" s="10">
        <f t="shared" si="2"/>
        <v>536</v>
      </c>
      <c r="B550" s="564" t="s">
        <v>303</v>
      </c>
      <c r="C550" s="327"/>
      <c r="D550" s="565" t="s">
        <v>307</v>
      </c>
      <c r="E550" s="327"/>
      <c r="F550" s="537" t="s">
        <v>334</v>
      </c>
      <c r="G550" s="327"/>
      <c r="H550" s="561" t="s">
        <v>334</v>
      </c>
      <c r="I550" s="327"/>
      <c r="J550" s="26"/>
      <c r="K550" s="27"/>
      <c r="L550" s="26"/>
      <c r="M550" s="27"/>
      <c r="N550" s="23"/>
      <c r="O550" s="21"/>
      <c r="P550" s="563"/>
      <c r="Q550" s="327"/>
      <c r="R550" s="516"/>
      <c r="S550" s="327"/>
      <c r="T550" s="517"/>
      <c r="U550" s="327"/>
      <c r="V550" s="540"/>
      <c r="W550" s="327"/>
      <c r="X550" s="438" t="s">
        <v>303</v>
      </c>
      <c r="Y550" s="326"/>
      <c r="Z550" s="326"/>
      <c r="AA550" s="327"/>
      <c r="AB550" s="519" t="s">
        <v>303</v>
      </c>
      <c r="AC550" s="326"/>
      <c r="AD550" s="326"/>
      <c r="AE550" s="327"/>
      <c r="AF550" s="543"/>
      <c r="AG550" s="327"/>
      <c r="AH550" s="520"/>
      <c r="AI550" s="327"/>
      <c r="AJ550" s="536"/>
      <c r="AK550" s="327"/>
      <c r="AL550" s="556" t="s">
        <v>334</v>
      </c>
      <c r="AM550" s="327"/>
      <c r="AN550" s="553" t="s">
        <v>334</v>
      </c>
      <c r="AO550" s="327"/>
      <c r="AP550" s="547"/>
      <c r="AQ550" s="327"/>
      <c r="AR550" s="548"/>
      <c r="AS550" s="327"/>
      <c r="AT550" s="549"/>
      <c r="AU550" s="327"/>
      <c r="AV550" s="553" t="s">
        <v>334</v>
      </c>
      <c r="AW550" s="327"/>
      <c r="AX550" s="521"/>
      <c r="AY550" s="326"/>
      <c r="AZ550" s="327"/>
      <c r="BA550" s="550"/>
      <c r="BB550" s="327"/>
      <c r="BC550" s="22"/>
      <c r="BD550" s="551" t="s">
        <v>334</v>
      </c>
      <c r="BE550" s="327"/>
      <c r="BF550" s="545"/>
      <c r="BG550" s="326"/>
      <c r="BH550" s="326"/>
      <c r="BI550" s="327"/>
      <c r="BJ550" s="451" t="s">
        <v>303</v>
      </c>
      <c r="BK550" s="326"/>
      <c r="BL550" s="326"/>
      <c r="BM550" s="327"/>
      <c r="BN550" s="558" t="s">
        <v>303</v>
      </c>
      <c r="BO550" s="326"/>
      <c r="BP550" s="326"/>
      <c r="BQ550" s="326"/>
      <c r="BR550" s="326"/>
      <c r="BS550" s="326"/>
      <c r="BT550" s="326"/>
      <c r="BU550" s="326"/>
      <c r="BV550" s="327"/>
    </row>
    <row r="551" spans="1:74" ht="45" customHeight="1" x14ac:dyDescent="0.25">
      <c r="A551" s="10">
        <f t="shared" si="2"/>
        <v>537</v>
      </c>
      <c r="B551" s="559" t="s">
        <v>303</v>
      </c>
      <c r="C551" s="327"/>
      <c r="D551" s="560" t="s">
        <v>307</v>
      </c>
      <c r="E551" s="327"/>
      <c r="F551" s="537" t="s">
        <v>334</v>
      </c>
      <c r="G551" s="327"/>
      <c r="H551" s="566" t="s">
        <v>334</v>
      </c>
      <c r="I551" s="327"/>
      <c r="J551" s="567"/>
      <c r="K551" s="327"/>
      <c r="L551" s="567"/>
      <c r="M551" s="327"/>
      <c r="N551" s="20"/>
      <c r="O551" s="24"/>
      <c r="P551" s="563"/>
      <c r="Q551" s="327"/>
      <c r="R551" s="538"/>
      <c r="S551" s="327"/>
      <c r="T551" s="539"/>
      <c r="U551" s="327"/>
      <c r="V551" s="518"/>
      <c r="W551" s="327"/>
      <c r="X551" s="541" t="s">
        <v>303</v>
      </c>
      <c r="Y551" s="326"/>
      <c r="Z551" s="326"/>
      <c r="AA551" s="327"/>
      <c r="AB551" s="542" t="s">
        <v>303</v>
      </c>
      <c r="AC551" s="326"/>
      <c r="AD551" s="326"/>
      <c r="AE551" s="327"/>
      <c r="AF551" s="520"/>
      <c r="AG551" s="327"/>
      <c r="AH551" s="543"/>
      <c r="AI551" s="327"/>
      <c r="AJ551" s="554"/>
      <c r="AK551" s="327"/>
      <c r="AL551" s="537" t="s">
        <v>334</v>
      </c>
      <c r="AM551" s="327"/>
      <c r="AN551" s="546" t="s">
        <v>334</v>
      </c>
      <c r="AO551" s="327"/>
      <c r="AP551" s="554"/>
      <c r="AQ551" s="327"/>
      <c r="AR551" s="555"/>
      <c r="AS551" s="327"/>
      <c r="AT551" s="549"/>
      <c r="AU551" s="327"/>
      <c r="AV551" s="546" t="s">
        <v>334</v>
      </c>
      <c r="AW551" s="327"/>
      <c r="AX551" s="521"/>
      <c r="AY551" s="326"/>
      <c r="AZ551" s="327"/>
      <c r="BA551" s="536"/>
      <c r="BB551" s="327"/>
      <c r="BC551" s="25"/>
      <c r="BD551" s="551" t="s">
        <v>334</v>
      </c>
      <c r="BE551" s="327"/>
      <c r="BF551" s="552"/>
      <c r="BG551" s="326"/>
      <c r="BH551" s="326"/>
      <c r="BI551" s="327"/>
      <c r="BJ551" s="557" t="s">
        <v>303</v>
      </c>
      <c r="BK551" s="326"/>
      <c r="BL551" s="326"/>
      <c r="BM551" s="327"/>
      <c r="BN551" s="558" t="s">
        <v>303</v>
      </c>
      <c r="BO551" s="326"/>
      <c r="BP551" s="326"/>
      <c r="BQ551" s="326"/>
      <c r="BR551" s="326"/>
      <c r="BS551" s="326"/>
      <c r="BT551" s="326"/>
      <c r="BU551" s="326"/>
      <c r="BV551" s="327"/>
    </row>
    <row r="552" spans="1:74" ht="45" customHeight="1" x14ac:dyDescent="0.25">
      <c r="A552" s="10">
        <f t="shared" si="2"/>
        <v>538</v>
      </c>
      <c r="B552" s="564" t="s">
        <v>303</v>
      </c>
      <c r="C552" s="327"/>
      <c r="D552" s="565" t="s">
        <v>307</v>
      </c>
      <c r="E552" s="327"/>
      <c r="F552" s="537" t="s">
        <v>334</v>
      </c>
      <c r="G552" s="327"/>
      <c r="H552" s="561" t="s">
        <v>334</v>
      </c>
      <c r="I552" s="327"/>
      <c r="J552" s="26"/>
      <c r="K552" s="27"/>
      <c r="L552" s="26"/>
      <c r="M552" s="27"/>
      <c r="N552" s="23"/>
      <c r="O552" s="21"/>
      <c r="P552" s="524"/>
      <c r="Q552" s="327"/>
      <c r="R552" s="516"/>
      <c r="S552" s="327"/>
      <c r="T552" s="517"/>
      <c r="U552" s="327"/>
      <c r="V552" s="540"/>
      <c r="W552" s="327"/>
      <c r="X552" s="438" t="s">
        <v>303</v>
      </c>
      <c r="Y552" s="326"/>
      <c r="Z552" s="326"/>
      <c r="AA552" s="327"/>
      <c r="AB552" s="519" t="s">
        <v>303</v>
      </c>
      <c r="AC552" s="326"/>
      <c r="AD552" s="326"/>
      <c r="AE552" s="327"/>
      <c r="AF552" s="543"/>
      <c r="AG552" s="327"/>
      <c r="AH552" s="520"/>
      <c r="AI552" s="327"/>
      <c r="AJ552" s="536"/>
      <c r="AK552" s="327"/>
      <c r="AL552" s="556" t="s">
        <v>334</v>
      </c>
      <c r="AM552" s="327"/>
      <c r="AN552" s="553" t="s">
        <v>334</v>
      </c>
      <c r="AO552" s="327"/>
      <c r="AP552" s="547"/>
      <c r="AQ552" s="327"/>
      <c r="AR552" s="548"/>
      <c r="AS552" s="327"/>
      <c r="AT552" s="549"/>
      <c r="AU552" s="327"/>
      <c r="AV552" s="553" t="s">
        <v>334</v>
      </c>
      <c r="AW552" s="327"/>
      <c r="AX552" s="521"/>
      <c r="AY552" s="326"/>
      <c r="AZ552" s="327"/>
      <c r="BA552" s="550"/>
      <c r="BB552" s="327"/>
      <c r="BC552" s="22"/>
      <c r="BD552" s="544" t="s">
        <v>334</v>
      </c>
      <c r="BE552" s="327"/>
      <c r="BF552" s="545"/>
      <c r="BG552" s="326"/>
      <c r="BH552" s="326"/>
      <c r="BI552" s="327"/>
      <c r="BJ552" s="451" t="s">
        <v>303</v>
      </c>
      <c r="BK552" s="326"/>
      <c r="BL552" s="326"/>
      <c r="BM552" s="327"/>
      <c r="BN552" s="558" t="s">
        <v>303</v>
      </c>
      <c r="BO552" s="326"/>
      <c r="BP552" s="326"/>
      <c r="BQ552" s="326"/>
      <c r="BR552" s="326"/>
      <c r="BS552" s="326"/>
      <c r="BT552" s="326"/>
      <c r="BU552" s="326"/>
      <c r="BV552" s="327"/>
    </row>
    <row r="553" spans="1:74" ht="45" customHeight="1" x14ac:dyDescent="0.25">
      <c r="A553" s="10">
        <f t="shared" si="2"/>
        <v>539</v>
      </c>
      <c r="B553" s="559" t="s">
        <v>303</v>
      </c>
      <c r="C553" s="327"/>
      <c r="D553" s="560" t="s">
        <v>307</v>
      </c>
      <c r="E553" s="327"/>
      <c r="F553" s="537" t="s">
        <v>334</v>
      </c>
      <c r="G553" s="327"/>
      <c r="H553" s="566" t="s">
        <v>334</v>
      </c>
      <c r="I553" s="327"/>
      <c r="J553" s="567"/>
      <c r="K553" s="327"/>
      <c r="L553" s="567"/>
      <c r="M553" s="327"/>
      <c r="N553" s="20"/>
      <c r="O553" s="24"/>
      <c r="P553" s="563"/>
      <c r="Q553" s="327"/>
      <c r="R553" s="538"/>
      <c r="S553" s="327"/>
      <c r="T553" s="539"/>
      <c r="U553" s="327"/>
      <c r="V553" s="518"/>
      <c r="W553" s="327"/>
      <c r="X553" s="541" t="s">
        <v>303</v>
      </c>
      <c r="Y553" s="326"/>
      <c r="Z553" s="326"/>
      <c r="AA553" s="327"/>
      <c r="AB553" s="542" t="s">
        <v>303</v>
      </c>
      <c r="AC553" s="326"/>
      <c r="AD553" s="326"/>
      <c r="AE553" s="327"/>
      <c r="AF553" s="520"/>
      <c r="AG553" s="327"/>
      <c r="AH553" s="543"/>
      <c r="AI553" s="327"/>
      <c r="AJ553" s="554"/>
      <c r="AK553" s="327"/>
      <c r="AL553" s="537" t="s">
        <v>334</v>
      </c>
      <c r="AM553" s="327"/>
      <c r="AN553" s="546" t="s">
        <v>334</v>
      </c>
      <c r="AO553" s="327"/>
      <c r="AP553" s="554"/>
      <c r="AQ553" s="327"/>
      <c r="AR553" s="555"/>
      <c r="AS553" s="327"/>
      <c r="AT553" s="549"/>
      <c r="AU553" s="327"/>
      <c r="AV553" s="546" t="s">
        <v>334</v>
      </c>
      <c r="AW553" s="327"/>
      <c r="AX553" s="521"/>
      <c r="AY553" s="326"/>
      <c r="AZ553" s="327"/>
      <c r="BA553" s="536"/>
      <c r="BB553" s="327"/>
      <c r="BC553" s="25"/>
      <c r="BD553" s="551" t="s">
        <v>334</v>
      </c>
      <c r="BE553" s="327"/>
      <c r="BF553" s="508"/>
      <c r="BG553" s="326"/>
      <c r="BH553" s="326"/>
      <c r="BI553" s="327"/>
      <c r="BJ553" s="557" t="s">
        <v>303</v>
      </c>
      <c r="BK553" s="326"/>
      <c r="BL553" s="326"/>
      <c r="BM553" s="327"/>
      <c r="BN553" s="558" t="s">
        <v>303</v>
      </c>
      <c r="BO553" s="326"/>
      <c r="BP553" s="326"/>
      <c r="BQ553" s="326"/>
      <c r="BR553" s="326"/>
      <c r="BS553" s="326"/>
      <c r="BT553" s="326"/>
      <c r="BU553" s="326"/>
      <c r="BV553" s="327"/>
    </row>
    <row r="554" spans="1:74" ht="45" customHeight="1" x14ac:dyDescent="0.25">
      <c r="A554" s="10">
        <f t="shared" si="2"/>
        <v>540</v>
      </c>
      <c r="B554" s="564" t="s">
        <v>303</v>
      </c>
      <c r="C554" s="327"/>
      <c r="D554" s="565" t="s">
        <v>307</v>
      </c>
      <c r="E554" s="327"/>
      <c r="F554" s="537" t="s">
        <v>334</v>
      </c>
      <c r="G554" s="327"/>
      <c r="H554" s="561" t="s">
        <v>334</v>
      </c>
      <c r="I554" s="327"/>
      <c r="J554" s="26"/>
      <c r="K554" s="27"/>
      <c r="L554" s="26"/>
      <c r="M554" s="27"/>
      <c r="N554" s="23"/>
      <c r="O554" s="21"/>
      <c r="P554" s="524"/>
      <c r="Q554" s="327"/>
      <c r="R554" s="516"/>
      <c r="S554" s="327"/>
      <c r="T554" s="517"/>
      <c r="U554" s="327"/>
      <c r="V554" s="540"/>
      <c r="W554" s="327"/>
      <c r="X554" s="438" t="s">
        <v>303</v>
      </c>
      <c r="Y554" s="326"/>
      <c r="Z554" s="326"/>
      <c r="AA554" s="327"/>
      <c r="AB554" s="519" t="s">
        <v>303</v>
      </c>
      <c r="AC554" s="326"/>
      <c r="AD554" s="326"/>
      <c r="AE554" s="327"/>
      <c r="AF554" s="543"/>
      <c r="AG554" s="327"/>
      <c r="AH554" s="520"/>
      <c r="AI554" s="327"/>
      <c r="AJ554" s="536"/>
      <c r="AK554" s="327"/>
      <c r="AL554" s="556" t="s">
        <v>334</v>
      </c>
      <c r="AM554" s="327"/>
      <c r="AN554" s="553" t="s">
        <v>334</v>
      </c>
      <c r="AO554" s="327"/>
      <c r="AP554" s="547"/>
      <c r="AQ554" s="327"/>
      <c r="AR554" s="548"/>
      <c r="AS554" s="327"/>
      <c r="AT554" s="549"/>
      <c r="AU554" s="327"/>
      <c r="AV554" s="553" t="s">
        <v>334</v>
      </c>
      <c r="AW554" s="327"/>
      <c r="AX554" s="521"/>
      <c r="AY554" s="326"/>
      <c r="AZ554" s="327"/>
      <c r="BA554" s="550"/>
      <c r="BB554" s="327"/>
      <c r="BC554" s="22"/>
      <c r="BD554" s="551" t="s">
        <v>334</v>
      </c>
      <c r="BE554" s="327"/>
      <c r="BF554" s="545"/>
      <c r="BG554" s="326"/>
      <c r="BH554" s="326"/>
      <c r="BI554" s="327"/>
      <c r="BJ554" s="451" t="s">
        <v>303</v>
      </c>
      <c r="BK554" s="326"/>
      <c r="BL554" s="326"/>
      <c r="BM554" s="327"/>
      <c r="BN554" s="558" t="s">
        <v>303</v>
      </c>
      <c r="BO554" s="326"/>
      <c r="BP554" s="326"/>
      <c r="BQ554" s="326"/>
      <c r="BR554" s="326"/>
      <c r="BS554" s="326"/>
      <c r="BT554" s="326"/>
      <c r="BU554" s="326"/>
      <c r="BV554" s="327"/>
    </row>
    <row r="555" spans="1:74" ht="45" customHeight="1" x14ac:dyDescent="0.25">
      <c r="A555" s="10">
        <f t="shared" si="2"/>
        <v>541</v>
      </c>
      <c r="B555" s="559" t="s">
        <v>303</v>
      </c>
      <c r="C555" s="327"/>
      <c r="D555" s="560" t="s">
        <v>307</v>
      </c>
      <c r="E555" s="327"/>
      <c r="F555" s="537" t="s">
        <v>334</v>
      </c>
      <c r="G555" s="327"/>
      <c r="H555" s="566" t="s">
        <v>334</v>
      </c>
      <c r="I555" s="327"/>
      <c r="J555" s="567"/>
      <c r="K555" s="327"/>
      <c r="L555" s="567"/>
      <c r="M555" s="327"/>
      <c r="N555" s="20"/>
      <c r="O555" s="24"/>
      <c r="P555" s="563"/>
      <c r="Q555" s="327"/>
      <c r="R555" s="538"/>
      <c r="S555" s="327"/>
      <c r="T555" s="539"/>
      <c r="U555" s="327"/>
      <c r="V555" s="518"/>
      <c r="W555" s="327"/>
      <c r="X555" s="541" t="s">
        <v>303</v>
      </c>
      <c r="Y555" s="326"/>
      <c r="Z555" s="326"/>
      <c r="AA555" s="327"/>
      <c r="AB555" s="542" t="s">
        <v>303</v>
      </c>
      <c r="AC555" s="326"/>
      <c r="AD555" s="326"/>
      <c r="AE555" s="327"/>
      <c r="AF555" s="520"/>
      <c r="AG555" s="327"/>
      <c r="AH555" s="543"/>
      <c r="AI555" s="327"/>
      <c r="AJ555" s="554"/>
      <c r="AK555" s="327"/>
      <c r="AL555" s="537" t="s">
        <v>334</v>
      </c>
      <c r="AM555" s="327"/>
      <c r="AN555" s="546" t="s">
        <v>334</v>
      </c>
      <c r="AO555" s="327"/>
      <c r="AP555" s="554"/>
      <c r="AQ555" s="327"/>
      <c r="AR555" s="555"/>
      <c r="AS555" s="327"/>
      <c r="AT555" s="549"/>
      <c r="AU555" s="327"/>
      <c r="AV555" s="546" t="s">
        <v>334</v>
      </c>
      <c r="AW555" s="327"/>
      <c r="AX555" s="521"/>
      <c r="AY555" s="326"/>
      <c r="AZ555" s="327"/>
      <c r="BA555" s="536"/>
      <c r="BB555" s="327"/>
      <c r="BC555" s="25"/>
      <c r="BD555" s="544" t="s">
        <v>334</v>
      </c>
      <c r="BE555" s="327"/>
      <c r="BF555" s="508"/>
      <c r="BG555" s="326"/>
      <c r="BH555" s="326"/>
      <c r="BI555" s="327"/>
      <c r="BJ555" s="557" t="s">
        <v>303</v>
      </c>
      <c r="BK555" s="326"/>
      <c r="BL555" s="326"/>
      <c r="BM555" s="327"/>
      <c r="BN555" s="558" t="s">
        <v>303</v>
      </c>
      <c r="BO555" s="326"/>
      <c r="BP555" s="326"/>
      <c r="BQ555" s="326"/>
      <c r="BR555" s="326"/>
      <c r="BS555" s="326"/>
      <c r="BT555" s="326"/>
      <c r="BU555" s="326"/>
      <c r="BV555" s="327"/>
    </row>
    <row r="556" spans="1:74" ht="45" customHeight="1" x14ac:dyDescent="0.25">
      <c r="A556" s="10">
        <f t="shared" si="2"/>
        <v>542</v>
      </c>
      <c r="B556" s="564" t="s">
        <v>303</v>
      </c>
      <c r="C556" s="327"/>
      <c r="D556" s="565" t="s">
        <v>307</v>
      </c>
      <c r="E556" s="327"/>
      <c r="F556" s="537" t="s">
        <v>334</v>
      </c>
      <c r="G556" s="327"/>
      <c r="H556" s="561" t="s">
        <v>334</v>
      </c>
      <c r="I556" s="327"/>
      <c r="J556" s="26"/>
      <c r="K556" s="27"/>
      <c r="L556" s="26"/>
      <c r="M556" s="27"/>
      <c r="N556" s="23"/>
      <c r="O556" s="21"/>
      <c r="P556" s="524"/>
      <c r="Q556" s="327"/>
      <c r="R556" s="516"/>
      <c r="S556" s="327"/>
      <c r="T556" s="517"/>
      <c r="U556" s="327"/>
      <c r="V556" s="540"/>
      <c r="W556" s="327"/>
      <c r="X556" s="438" t="s">
        <v>303</v>
      </c>
      <c r="Y556" s="326"/>
      <c r="Z556" s="326"/>
      <c r="AA556" s="327"/>
      <c r="AB556" s="519" t="s">
        <v>303</v>
      </c>
      <c r="AC556" s="326"/>
      <c r="AD556" s="326"/>
      <c r="AE556" s="327"/>
      <c r="AF556" s="543"/>
      <c r="AG556" s="327"/>
      <c r="AH556" s="520"/>
      <c r="AI556" s="327"/>
      <c r="AJ556" s="536"/>
      <c r="AK556" s="327"/>
      <c r="AL556" s="556" t="s">
        <v>334</v>
      </c>
      <c r="AM556" s="327"/>
      <c r="AN556" s="553" t="s">
        <v>334</v>
      </c>
      <c r="AO556" s="327"/>
      <c r="AP556" s="547"/>
      <c r="AQ556" s="327"/>
      <c r="AR556" s="548"/>
      <c r="AS556" s="327"/>
      <c r="AT556" s="549"/>
      <c r="AU556" s="327"/>
      <c r="AV556" s="553" t="s">
        <v>334</v>
      </c>
      <c r="AW556" s="327"/>
      <c r="AX556" s="521"/>
      <c r="AY556" s="326"/>
      <c r="AZ556" s="327"/>
      <c r="BA556" s="550"/>
      <c r="BB556" s="327"/>
      <c r="BC556" s="22"/>
      <c r="BD556" s="551" t="s">
        <v>334</v>
      </c>
      <c r="BE556" s="327"/>
      <c r="BF556" s="545"/>
      <c r="BG556" s="326"/>
      <c r="BH556" s="326"/>
      <c r="BI556" s="327"/>
      <c r="BJ556" s="451" t="s">
        <v>303</v>
      </c>
      <c r="BK556" s="326"/>
      <c r="BL556" s="326"/>
      <c r="BM556" s="327"/>
      <c r="BN556" s="558" t="s">
        <v>303</v>
      </c>
      <c r="BO556" s="326"/>
      <c r="BP556" s="326"/>
      <c r="BQ556" s="326"/>
      <c r="BR556" s="326"/>
      <c r="BS556" s="326"/>
      <c r="BT556" s="326"/>
      <c r="BU556" s="326"/>
      <c r="BV556" s="327"/>
    </row>
    <row r="557" spans="1:74" ht="45" customHeight="1" x14ac:dyDescent="0.25">
      <c r="A557" s="10">
        <f t="shared" si="2"/>
        <v>543</v>
      </c>
      <c r="B557" s="559" t="s">
        <v>303</v>
      </c>
      <c r="C557" s="327"/>
      <c r="D557" s="560" t="s">
        <v>307</v>
      </c>
      <c r="E557" s="327"/>
      <c r="F557" s="537" t="s">
        <v>334</v>
      </c>
      <c r="G557" s="327"/>
      <c r="H557" s="566" t="s">
        <v>334</v>
      </c>
      <c r="I557" s="327"/>
      <c r="J557" s="567"/>
      <c r="K557" s="327"/>
      <c r="L557" s="567"/>
      <c r="M557" s="327"/>
      <c r="N557" s="20"/>
      <c r="O557" s="24"/>
      <c r="P557" s="563"/>
      <c r="Q557" s="327"/>
      <c r="R557" s="538"/>
      <c r="S557" s="327"/>
      <c r="T557" s="539"/>
      <c r="U557" s="327"/>
      <c r="V557" s="518"/>
      <c r="W557" s="327"/>
      <c r="X557" s="541" t="s">
        <v>303</v>
      </c>
      <c r="Y557" s="326"/>
      <c r="Z557" s="326"/>
      <c r="AA557" s="327"/>
      <c r="AB557" s="542" t="s">
        <v>303</v>
      </c>
      <c r="AC557" s="326"/>
      <c r="AD557" s="326"/>
      <c r="AE557" s="327"/>
      <c r="AF557" s="520"/>
      <c r="AG557" s="327"/>
      <c r="AH557" s="543"/>
      <c r="AI557" s="327"/>
      <c r="AJ557" s="554"/>
      <c r="AK557" s="327"/>
      <c r="AL557" s="537" t="s">
        <v>334</v>
      </c>
      <c r="AM557" s="327"/>
      <c r="AN557" s="546" t="s">
        <v>334</v>
      </c>
      <c r="AO557" s="327"/>
      <c r="AP557" s="554"/>
      <c r="AQ557" s="327"/>
      <c r="AR557" s="555"/>
      <c r="AS557" s="327"/>
      <c r="AT557" s="549"/>
      <c r="AU557" s="327"/>
      <c r="AV557" s="546" t="s">
        <v>334</v>
      </c>
      <c r="AW557" s="327"/>
      <c r="AX557" s="521"/>
      <c r="AY557" s="326"/>
      <c r="AZ557" s="327"/>
      <c r="BA557" s="536"/>
      <c r="BB557" s="327"/>
      <c r="BC557" s="25"/>
      <c r="BD557" s="544" t="s">
        <v>334</v>
      </c>
      <c r="BE557" s="327"/>
      <c r="BF557" s="552"/>
      <c r="BG557" s="326"/>
      <c r="BH557" s="326"/>
      <c r="BI557" s="327"/>
      <c r="BJ557" s="557" t="s">
        <v>303</v>
      </c>
      <c r="BK557" s="326"/>
      <c r="BL557" s="326"/>
      <c r="BM557" s="327"/>
      <c r="BN557" s="558" t="s">
        <v>303</v>
      </c>
      <c r="BO557" s="326"/>
      <c r="BP557" s="326"/>
      <c r="BQ557" s="326"/>
      <c r="BR557" s="326"/>
      <c r="BS557" s="326"/>
      <c r="BT557" s="326"/>
      <c r="BU557" s="326"/>
      <c r="BV557" s="327"/>
    </row>
    <row r="558" spans="1:74" ht="45" customHeight="1" x14ac:dyDescent="0.25">
      <c r="A558" s="10">
        <f t="shared" si="2"/>
        <v>544</v>
      </c>
      <c r="B558" s="564" t="s">
        <v>303</v>
      </c>
      <c r="C558" s="327"/>
      <c r="D558" s="565" t="s">
        <v>307</v>
      </c>
      <c r="E558" s="327"/>
      <c r="F558" s="537" t="s">
        <v>334</v>
      </c>
      <c r="G558" s="327"/>
      <c r="H558" s="561" t="s">
        <v>334</v>
      </c>
      <c r="I558" s="327"/>
      <c r="J558" s="26"/>
      <c r="K558" s="27"/>
      <c r="L558" s="26"/>
      <c r="M558" s="27"/>
      <c r="N558" s="23"/>
      <c r="O558" s="21"/>
      <c r="P558" s="524"/>
      <c r="Q558" s="327"/>
      <c r="R558" s="516"/>
      <c r="S558" s="327"/>
      <c r="T558" s="517"/>
      <c r="U558" s="327"/>
      <c r="V558" s="540"/>
      <c r="W558" s="327"/>
      <c r="X558" s="438" t="s">
        <v>303</v>
      </c>
      <c r="Y558" s="326"/>
      <c r="Z558" s="326"/>
      <c r="AA558" s="327"/>
      <c r="AB558" s="519" t="s">
        <v>303</v>
      </c>
      <c r="AC558" s="326"/>
      <c r="AD558" s="326"/>
      <c r="AE558" s="327"/>
      <c r="AF558" s="543"/>
      <c r="AG558" s="327"/>
      <c r="AH558" s="520"/>
      <c r="AI558" s="327"/>
      <c r="AJ558" s="536"/>
      <c r="AK558" s="327"/>
      <c r="AL558" s="556" t="s">
        <v>334</v>
      </c>
      <c r="AM558" s="327"/>
      <c r="AN558" s="553" t="s">
        <v>334</v>
      </c>
      <c r="AO558" s="327"/>
      <c r="AP558" s="547"/>
      <c r="AQ558" s="327"/>
      <c r="AR558" s="548"/>
      <c r="AS558" s="327"/>
      <c r="AT558" s="549"/>
      <c r="AU558" s="327"/>
      <c r="AV558" s="553" t="s">
        <v>334</v>
      </c>
      <c r="AW558" s="327"/>
      <c r="AX558" s="521"/>
      <c r="AY558" s="326"/>
      <c r="AZ558" s="327"/>
      <c r="BA558" s="550"/>
      <c r="BB558" s="327"/>
      <c r="BC558" s="22"/>
      <c r="BD558" s="551" t="s">
        <v>334</v>
      </c>
      <c r="BE558" s="327"/>
      <c r="BF558" s="545"/>
      <c r="BG558" s="326"/>
      <c r="BH558" s="326"/>
      <c r="BI558" s="327"/>
      <c r="BJ558" s="451" t="s">
        <v>303</v>
      </c>
      <c r="BK558" s="326"/>
      <c r="BL558" s="326"/>
      <c r="BM558" s="327"/>
      <c r="BN558" s="558" t="s">
        <v>303</v>
      </c>
      <c r="BO558" s="326"/>
      <c r="BP558" s="326"/>
      <c r="BQ558" s="326"/>
      <c r="BR558" s="326"/>
      <c r="BS558" s="326"/>
      <c r="BT558" s="326"/>
      <c r="BU558" s="326"/>
      <c r="BV558" s="327"/>
    </row>
    <row r="559" spans="1:74" ht="45" customHeight="1" x14ac:dyDescent="0.25">
      <c r="A559" s="10">
        <f t="shared" si="2"/>
        <v>545</v>
      </c>
      <c r="B559" s="559" t="s">
        <v>303</v>
      </c>
      <c r="C559" s="327"/>
      <c r="D559" s="560" t="s">
        <v>307</v>
      </c>
      <c r="E559" s="327"/>
      <c r="F559" s="537" t="s">
        <v>334</v>
      </c>
      <c r="G559" s="327"/>
      <c r="H559" s="566" t="s">
        <v>334</v>
      </c>
      <c r="I559" s="327"/>
      <c r="J559" s="567"/>
      <c r="K559" s="327"/>
      <c r="L559" s="567"/>
      <c r="M559" s="327"/>
      <c r="N559" s="20"/>
      <c r="O559" s="24"/>
      <c r="P559" s="563"/>
      <c r="Q559" s="327"/>
      <c r="R559" s="538"/>
      <c r="S559" s="327"/>
      <c r="T559" s="539"/>
      <c r="U559" s="327"/>
      <c r="V559" s="518"/>
      <c r="W559" s="327"/>
      <c r="X559" s="541" t="s">
        <v>303</v>
      </c>
      <c r="Y559" s="326"/>
      <c r="Z559" s="326"/>
      <c r="AA559" s="327"/>
      <c r="AB559" s="542" t="s">
        <v>303</v>
      </c>
      <c r="AC559" s="326"/>
      <c r="AD559" s="326"/>
      <c r="AE559" s="327"/>
      <c r="AF559" s="520"/>
      <c r="AG559" s="327"/>
      <c r="AH559" s="543"/>
      <c r="AI559" s="327"/>
      <c r="AJ559" s="554"/>
      <c r="AK559" s="327"/>
      <c r="AL559" s="537" t="s">
        <v>334</v>
      </c>
      <c r="AM559" s="327"/>
      <c r="AN559" s="546" t="s">
        <v>334</v>
      </c>
      <c r="AO559" s="327"/>
      <c r="AP559" s="554"/>
      <c r="AQ559" s="327"/>
      <c r="AR559" s="555"/>
      <c r="AS559" s="327"/>
      <c r="AT559" s="549"/>
      <c r="AU559" s="327"/>
      <c r="AV559" s="546" t="s">
        <v>334</v>
      </c>
      <c r="AW559" s="327"/>
      <c r="AX559" s="521"/>
      <c r="AY559" s="326"/>
      <c r="AZ559" s="327"/>
      <c r="BA559" s="536"/>
      <c r="BB559" s="327"/>
      <c r="BC559" s="25"/>
      <c r="BD559" s="544" t="s">
        <v>334</v>
      </c>
      <c r="BE559" s="327"/>
      <c r="BF559" s="508"/>
      <c r="BG559" s="326"/>
      <c r="BH559" s="326"/>
      <c r="BI559" s="327"/>
      <c r="BJ559" s="557" t="s">
        <v>303</v>
      </c>
      <c r="BK559" s="326"/>
      <c r="BL559" s="326"/>
      <c r="BM559" s="327"/>
      <c r="BN559" s="558" t="s">
        <v>303</v>
      </c>
      <c r="BO559" s="326"/>
      <c r="BP559" s="326"/>
      <c r="BQ559" s="326"/>
      <c r="BR559" s="326"/>
      <c r="BS559" s="326"/>
      <c r="BT559" s="326"/>
      <c r="BU559" s="326"/>
      <c r="BV559" s="327"/>
    </row>
    <row r="560" spans="1:74" ht="45" customHeight="1" x14ac:dyDescent="0.25">
      <c r="A560" s="10">
        <f t="shared" si="2"/>
        <v>546</v>
      </c>
      <c r="B560" s="564" t="s">
        <v>303</v>
      </c>
      <c r="C560" s="327"/>
      <c r="D560" s="565" t="s">
        <v>307</v>
      </c>
      <c r="E560" s="327"/>
      <c r="F560" s="537" t="s">
        <v>334</v>
      </c>
      <c r="G560" s="327"/>
      <c r="H560" s="561" t="s">
        <v>334</v>
      </c>
      <c r="I560" s="327"/>
      <c r="J560" s="26"/>
      <c r="K560" s="27"/>
      <c r="L560" s="26"/>
      <c r="M560" s="27"/>
      <c r="N560" s="23"/>
      <c r="O560" s="21"/>
      <c r="P560" s="524"/>
      <c r="Q560" s="327"/>
      <c r="R560" s="516"/>
      <c r="S560" s="327"/>
      <c r="T560" s="517"/>
      <c r="U560" s="327"/>
      <c r="V560" s="540"/>
      <c r="W560" s="327"/>
      <c r="X560" s="438" t="s">
        <v>303</v>
      </c>
      <c r="Y560" s="326"/>
      <c r="Z560" s="326"/>
      <c r="AA560" s="327"/>
      <c r="AB560" s="519" t="s">
        <v>303</v>
      </c>
      <c r="AC560" s="326"/>
      <c r="AD560" s="326"/>
      <c r="AE560" s="327"/>
      <c r="AF560" s="543"/>
      <c r="AG560" s="327"/>
      <c r="AH560" s="520"/>
      <c r="AI560" s="327"/>
      <c r="AJ560" s="536"/>
      <c r="AK560" s="327"/>
      <c r="AL560" s="556" t="s">
        <v>334</v>
      </c>
      <c r="AM560" s="327"/>
      <c r="AN560" s="553" t="s">
        <v>334</v>
      </c>
      <c r="AO560" s="327"/>
      <c r="AP560" s="547"/>
      <c r="AQ560" s="327"/>
      <c r="AR560" s="548"/>
      <c r="AS560" s="327"/>
      <c r="AT560" s="549"/>
      <c r="AU560" s="327"/>
      <c r="AV560" s="553" t="s">
        <v>334</v>
      </c>
      <c r="AW560" s="327"/>
      <c r="AX560" s="521"/>
      <c r="AY560" s="326"/>
      <c r="AZ560" s="327"/>
      <c r="BA560" s="550"/>
      <c r="BB560" s="327"/>
      <c r="BC560" s="22"/>
      <c r="BD560" s="551" t="s">
        <v>334</v>
      </c>
      <c r="BE560" s="327"/>
      <c r="BF560" s="545"/>
      <c r="BG560" s="326"/>
      <c r="BH560" s="326"/>
      <c r="BI560" s="327"/>
      <c r="BJ560" s="451" t="s">
        <v>303</v>
      </c>
      <c r="BK560" s="326"/>
      <c r="BL560" s="326"/>
      <c r="BM560" s="327"/>
      <c r="BN560" s="558" t="s">
        <v>303</v>
      </c>
      <c r="BO560" s="326"/>
      <c r="BP560" s="326"/>
      <c r="BQ560" s="326"/>
      <c r="BR560" s="326"/>
      <c r="BS560" s="326"/>
      <c r="BT560" s="326"/>
      <c r="BU560" s="326"/>
      <c r="BV560" s="327"/>
    </row>
    <row r="561" spans="1:74" ht="45" customHeight="1" x14ac:dyDescent="0.25">
      <c r="A561" s="10">
        <f t="shared" si="2"/>
        <v>547</v>
      </c>
      <c r="B561" s="559" t="s">
        <v>303</v>
      </c>
      <c r="C561" s="327"/>
      <c r="D561" s="560" t="s">
        <v>307</v>
      </c>
      <c r="E561" s="327"/>
      <c r="F561" s="537" t="s">
        <v>334</v>
      </c>
      <c r="G561" s="327"/>
      <c r="H561" s="566" t="s">
        <v>334</v>
      </c>
      <c r="I561" s="327"/>
      <c r="J561" s="567"/>
      <c r="K561" s="327"/>
      <c r="L561" s="567"/>
      <c r="M561" s="327"/>
      <c r="N561" s="20"/>
      <c r="O561" s="24"/>
      <c r="P561" s="563"/>
      <c r="Q561" s="327"/>
      <c r="R561" s="538"/>
      <c r="S561" s="327"/>
      <c r="T561" s="539"/>
      <c r="U561" s="327"/>
      <c r="V561" s="518"/>
      <c r="W561" s="327"/>
      <c r="X561" s="541" t="s">
        <v>303</v>
      </c>
      <c r="Y561" s="326"/>
      <c r="Z561" s="326"/>
      <c r="AA561" s="327"/>
      <c r="AB561" s="542" t="s">
        <v>303</v>
      </c>
      <c r="AC561" s="326"/>
      <c r="AD561" s="326"/>
      <c r="AE561" s="327"/>
      <c r="AF561" s="520"/>
      <c r="AG561" s="327"/>
      <c r="AH561" s="543"/>
      <c r="AI561" s="327"/>
      <c r="AJ561" s="554"/>
      <c r="AK561" s="327"/>
      <c r="AL561" s="537" t="s">
        <v>334</v>
      </c>
      <c r="AM561" s="327"/>
      <c r="AN561" s="546" t="s">
        <v>334</v>
      </c>
      <c r="AO561" s="327"/>
      <c r="AP561" s="554"/>
      <c r="AQ561" s="327"/>
      <c r="AR561" s="555"/>
      <c r="AS561" s="327"/>
      <c r="AT561" s="549"/>
      <c r="AU561" s="327"/>
      <c r="AV561" s="546" t="s">
        <v>334</v>
      </c>
      <c r="AW561" s="327"/>
      <c r="AX561" s="521"/>
      <c r="AY561" s="326"/>
      <c r="AZ561" s="327"/>
      <c r="BA561" s="536"/>
      <c r="BB561" s="327"/>
      <c r="BC561" s="25"/>
      <c r="BD561" s="544" t="s">
        <v>334</v>
      </c>
      <c r="BE561" s="327"/>
      <c r="BF561" s="552"/>
      <c r="BG561" s="326"/>
      <c r="BH561" s="326"/>
      <c r="BI561" s="327"/>
      <c r="BJ561" s="557" t="s">
        <v>303</v>
      </c>
      <c r="BK561" s="326"/>
      <c r="BL561" s="326"/>
      <c r="BM561" s="327"/>
      <c r="BN561" s="558" t="s">
        <v>303</v>
      </c>
      <c r="BO561" s="326"/>
      <c r="BP561" s="326"/>
      <c r="BQ561" s="326"/>
      <c r="BR561" s="326"/>
      <c r="BS561" s="326"/>
      <c r="BT561" s="326"/>
      <c r="BU561" s="326"/>
      <c r="BV561" s="327"/>
    </row>
    <row r="562" spans="1:74" ht="45" customHeight="1" x14ac:dyDescent="0.25">
      <c r="A562" s="10">
        <f t="shared" si="2"/>
        <v>548</v>
      </c>
      <c r="B562" s="564" t="s">
        <v>303</v>
      </c>
      <c r="C562" s="327"/>
      <c r="D562" s="565" t="s">
        <v>307</v>
      </c>
      <c r="E562" s="327"/>
      <c r="F562" s="537" t="s">
        <v>334</v>
      </c>
      <c r="G562" s="327"/>
      <c r="H562" s="561" t="s">
        <v>334</v>
      </c>
      <c r="I562" s="327"/>
      <c r="J562" s="26"/>
      <c r="K562" s="27"/>
      <c r="L562" s="26"/>
      <c r="M562" s="27"/>
      <c r="N562" s="23"/>
      <c r="O562" s="21"/>
      <c r="P562" s="524"/>
      <c r="Q562" s="327"/>
      <c r="R562" s="516"/>
      <c r="S562" s="327"/>
      <c r="T562" s="517"/>
      <c r="U562" s="327"/>
      <c r="V562" s="540"/>
      <c r="W562" s="327"/>
      <c r="X562" s="438" t="s">
        <v>303</v>
      </c>
      <c r="Y562" s="326"/>
      <c r="Z562" s="326"/>
      <c r="AA562" s="327"/>
      <c r="AB562" s="519" t="s">
        <v>303</v>
      </c>
      <c r="AC562" s="326"/>
      <c r="AD562" s="326"/>
      <c r="AE562" s="327"/>
      <c r="AF562" s="543"/>
      <c r="AG562" s="327"/>
      <c r="AH562" s="520"/>
      <c r="AI562" s="327"/>
      <c r="AJ562" s="536"/>
      <c r="AK562" s="327"/>
      <c r="AL562" s="556" t="s">
        <v>334</v>
      </c>
      <c r="AM562" s="327"/>
      <c r="AN562" s="553" t="s">
        <v>334</v>
      </c>
      <c r="AO562" s="327"/>
      <c r="AP562" s="547"/>
      <c r="AQ562" s="327"/>
      <c r="AR562" s="548"/>
      <c r="AS562" s="327"/>
      <c r="AT562" s="549"/>
      <c r="AU562" s="327"/>
      <c r="AV562" s="553" t="s">
        <v>334</v>
      </c>
      <c r="AW562" s="327"/>
      <c r="AX562" s="521"/>
      <c r="AY562" s="326"/>
      <c r="AZ562" s="327"/>
      <c r="BA562" s="550"/>
      <c r="BB562" s="327"/>
      <c r="BC562" s="22"/>
      <c r="BD562" s="551" t="s">
        <v>334</v>
      </c>
      <c r="BE562" s="327"/>
      <c r="BF562" s="545"/>
      <c r="BG562" s="326"/>
      <c r="BH562" s="326"/>
      <c r="BI562" s="327"/>
      <c r="BJ562" s="451" t="s">
        <v>303</v>
      </c>
      <c r="BK562" s="326"/>
      <c r="BL562" s="326"/>
      <c r="BM562" s="327"/>
      <c r="BN562" s="558" t="s">
        <v>303</v>
      </c>
      <c r="BO562" s="326"/>
      <c r="BP562" s="326"/>
      <c r="BQ562" s="326"/>
      <c r="BR562" s="326"/>
      <c r="BS562" s="326"/>
      <c r="BT562" s="326"/>
      <c r="BU562" s="326"/>
      <c r="BV562" s="327"/>
    </row>
    <row r="563" spans="1:74" ht="45" customHeight="1" x14ac:dyDescent="0.25">
      <c r="A563" s="10">
        <f t="shared" si="2"/>
        <v>549</v>
      </c>
      <c r="B563" s="559" t="s">
        <v>303</v>
      </c>
      <c r="C563" s="327"/>
      <c r="D563" s="560" t="s">
        <v>307</v>
      </c>
      <c r="E563" s="327"/>
      <c r="F563" s="537" t="s">
        <v>334</v>
      </c>
      <c r="G563" s="327"/>
      <c r="H563" s="566" t="s">
        <v>334</v>
      </c>
      <c r="I563" s="327"/>
      <c r="J563" s="567"/>
      <c r="K563" s="327"/>
      <c r="L563" s="567"/>
      <c r="M563" s="327"/>
      <c r="N563" s="20"/>
      <c r="O563" s="24"/>
      <c r="P563" s="563"/>
      <c r="Q563" s="327"/>
      <c r="R563" s="538"/>
      <c r="S563" s="327"/>
      <c r="T563" s="539"/>
      <c r="U563" s="327"/>
      <c r="V563" s="518"/>
      <c r="W563" s="327"/>
      <c r="X563" s="541" t="s">
        <v>303</v>
      </c>
      <c r="Y563" s="326"/>
      <c r="Z563" s="326"/>
      <c r="AA563" s="327"/>
      <c r="AB563" s="542" t="s">
        <v>303</v>
      </c>
      <c r="AC563" s="326"/>
      <c r="AD563" s="326"/>
      <c r="AE563" s="327"/>
      <c r="AF563" s="520"/>
      <c r="AG563" s="327"/>
      <c r="AH563" s="543"/>
      <c r="AI563" s="327"/>
      <c r="AJ563" s="554"/>
      <c r="AK563" s="327"/>
      <c r="AL563" s="537" t="s">
        <v>334</v>
      </c>
      <c r="AM563" s="327"/>
      <c r="AN563" s="546" t="s">
        <v>334</v>
      </c>
      <c r="AO563" s="327"/>
      <c r="AP563" s="554"/>
      <c r="AQ563" s="327"/>
      <c r="AR563" s="555"/>
      <c r="AS563" s="327"/>
      <c r="AT563" s="549"/>
      <c r="AU563" s="327"/>
      <c r="AV563" s="546" t="s">
        <v>334</v>
      </c>
      <c r="AW563" s="327"/>
      <c r="AX563" s="521"/>
      <c r="AY563" s="326"/>
      <c r="AZ563" s="327"/>
      <c r="BA563" s="536"/>
      <c r="BB563" s="327"/>
      <c r="BC563" s="25"/>
      <c r="BD563" s="544" t="s">
        <v>334</v>
      </c>
      <c r="BE563" s="327"/>
      <c r="BF563" s="508"/>
      <c r="BG563" s="326"/>
      <c r="BH563" s="326"/>
      <c r="BI563" s="327"/>
      <c r="BJ563" s="557" t="s">
        <v>303</v>
      </c>
      <c r="BK563" s="326"/>
      <c r="BL563" s="326"/>
      <c r="BM563" s="327"/>
      <c r="BN563" s="558" t="s">
        <v>303</v>
      </c>
      <c r="BO563" s="326"/>
      <c r="BP563" s="326"/>
      <c r="BQ563" s="326"/>
      <c r="BR563" s="326"/>
      <c r="BS563" s="326"/>
      <c r="BT563" s="326"/>
      <c r="BU563" s="326"/>
      <c r="BV563" s="327"/>
    </row>
    <row r="564" spans="1:74" ht="45" customHeight="1" x14ac:dyDescent="0.25">
      <c r="A564" s="10">
        <f t="shared" si="2"/>
        <v>550</v>
      </c>
      <c r="B564" s="564" t="s">
        <v>303</v>
      </c>
      <c r="C564" s="327"/>
      <c r="D564" s="565" t="s">
        <v>307</v>
      </c>
      <c r="E564" s="327"/>
      <c r="F564" s="537" t="s">
        <v>334</v>
      </c>
      <c r="G564" s="327"/>
      <c r="H564" s="561" t="s">
        <v>334</v>
      </c>
      <c r="I564" s="327"/>
      <c r="J564" s="26"/>
      <c r="K564" s="27"/>
      <c r="L564" s="26"/>
      <c r="M564" s="27"/>
      <c r="N564" s="23"/>
      <c r="O564" s="21"/>
      <c r="P564" s="524"/>
      <c r="Q564" s="327"/>
      <c r="R564" s="516"/>
      <c r="S564" s="327"/>
      <c r="T564" s="517"/>
      <c r="U564" s="327"/>
      <c r="V564" s="540"/>
      <c r="W564" s="327"/>
      <c r="X564" s="438" t="s">
        <v>303</v>
      </c>
      <c r="Y564" s="326"/>
      <c r="Z564" s="326"/>
      <c r="AA564" s="327"/>
      <c r="AB564" s="519" t="s">
        <v>303</v>
      </c>
      <c r="AC564" s="326"/>
      <c r="AD564" s="326"/>
      <c r="AE564" s="327"/>
      <c r="AF564" s="543"/>
      <c r="AG564" s="327"/>
      <c r="AH564" s="520"/>
      <c r="AI564" s="327"/>
      <c r="AJ564" s="536"/>
      <c r="AK564" s="327"/>
      <c r="AL564" s="556" t="s">
        <v>334</v>
      </c>
      <c r="AM564" s="327"/>
      <c r="AN564" s="553" t="s">
        <v>334</v>
      </c>
      <c r="AO564" s="327"/>
      <c r="AP564" s="547"/>
      <c r="AQ564" s="327"/>
      <c r="AR564" s="548"/>
      <c r="AS564" s="327"/>
      <c r="AT564" s="549"/>
      <c r="AU564" s="327"/>
      <c r="AV564" s="553" t="s">
        <v>334</v>
      </c>
      <c r="AW564" s="327"/>
      <c r="AX564" s="521"/>
      <c r="AY564" s="326"/>
      <c r="AZ564" s="327"/>
      <c r="BA564" s="550"/>
      <c r="BB564" s="327"/>
      <c r="BC564" s="22"/>
      <c r="BD564" s="551" t="s">
        <v>334</v>
      </c>
      <c r="BE564" s="327"/>
      <c r="BF564" s="545"/>
      <c r="BG564" s="326"/>
      <c r="BH564" s="326"/>
      <c r="BI564" s="327"/>
      <c r="BJ564" s="451" t="s">
        <v>303</v>
      </c>
      <c r="BK564" s="326"/>
      <c r="BL564" s="326"/>
      <c r="BM564" s="327"/>
      <c r="BN564" s="558" t="s">
        <v>303</v>
      </c>
      <c r="BO564" s="326"/>
      <c r="BP564" s="326"/>
      <c r="BQ564" s="326"/>
      <c r="BR564" s="326"/>
      <c r="BS564" s="326"/>
      <c r="BT564" s="326"/>
      <c r="BU564" s="326"/>
      <c r="BV564" s="327"/>
    </row>
    <row r="565" spans="1:74" ht="45" customHeight="1" x14ac:dyDescent="0.25">
      <c r="A565" s="10">
        <f t="shared" si="2"/>
        <v>551</v>
      </c>
      <c r="B565" s="559" t="s">
        <v>303</v>
      </c>
      <c r="C565" s="327"/>
      <c r="D565" s="560" t="s">
        <v>307</v>
      </c>
      <c r="E565" s="327"/>
      <c r="F565" s="537" t="s">
        <v>334</v>
      </c>
      <c r="G565" s="327"/>
      <c r="H565" s="566" t="s">
        <v>334</v>
      </c>
      <c r="I565" s="327"/>
      <c r="J565" s="567"/>
      <c r="K565" s="327"/>
      <c r="L565" s="567"/>
      <c r="M565" s="327"/>
      <c r="N565" s="20"/>
      <c r="O565" s="21"/>
      <c r="P565" s="524"/>
      <c r="Q565" s="327"/>
      <c r="R565" s="538"/>
      <c r="S565" s="327"/>
      <c r="T565" s="539"/>
      <c r="U565" s="327"/>
      <c r="V565" s="540"/>
      <c r="W565" s="327"/>
      <c r="X565" s="541" t="s">
        <v>303</v>
      </c>
      <c r="Y565" s="326"/>
      <c r="Z565" s="326"/>
      <c r="AA565" s="327"/>
      <c r="AB565" s="542" t="s">
        <v>303</v>
      </c>
      <c r="AC565" s="326"/>
      <c r="AD565" s="326"/>
      <c r="AE565" s="327"/>
      <c r="AF565" s="543"/>
      <c r="AG565" s="327"/>
      <c r="AH565" s="543"/>
      <c r="AI565" s="327"/>
      <c r="AJ565" s="554"/>
      <c r="AK565" s="327"/>
      <c r="AL565" s="537" t="s">
        <v>334</v>
      </c>
      <c r="AM565" s="327"/>
      <c r="AN565" s="546" t="s">
        <v>334</v>
      </c>
      <c r="AO565" s="327"/>
      <c r="AP565" s="554"/>
      <c r="AQ565" s="327"/>
      <c r="AR565" s="555"/>
      <c r="AS565" s="327"/>
      <c r="AT565" s="549"/>
      <c r="AU565" s="327"/>
      <c r="AV565" s="546" t="s">
        <v>334</v>
      </c>
      <c r="AW565" s="327"/>
      <c r="AX565" s="521"/>
      <c r="AY565" s="326"/>
      <c r="AZ565" s="327"/>
      <c r="BA565" s="536"/>
      <c r="BB565" s="327"/>
      <c r="BC565" s="25"/>
      <c r="BD565" s="544" t="s">
        <v>334</v>
      </c>
      <c r="BE565" s="327"/>
      <c r="BF565" s="508"/>
      <c r="BG565" s="326"/>
      <c r="BH565" s="326"/>
      <c r="BI565" s="327"/>
      <c r="BJ565" s="557" t="s">
        <v>303</v>
      </c>
      <c r="BK565" s="326"/>
      <c r="BL565" s="326"/>
      <c r="BM565" s="327"/>
      <c r="BN565" s="558" t="s">
        <v>303</v>
      </c>
      <c r="BO565" s="326"/>
      <c r="BP565" s="326"/>
      <c r="BQ565" s="326"/>
      <c r="BR565" s="326"/>
      <c r="BS565" s="326"/>
      <c r="BT565" s="326"/>
      <c r="BU565" s="326"/>
      <c r="BV565" s="327"/>
    </row>
    <row r="566" spans="1:74" ht="45" customHeight="1" x14ac:dyDescent="0.25">
      <c r="A566" s="10">
        <f t="shared" si="2"/>
        <v>552</v>
      </c>
      <c r="B566" s="564" t="s">
        <v>303</v>
      </c>
      <c r="C566" s="327"/>
      <c r="D566" s="565" t="s">
        <v>307</v>
      </c>
      <c r="E566" s="327"/>
      <c r="F566" s="537" t="s">
        <v>334</v>
      </c>
      <c r="G566" s="327"/>
      <c r="H566" s="561" t="s">
        <v>334</v>
      </c>
      <c r="I566" s="327"/>
      <c r="J566" s="26"/>
      <c r="K566" s="27"/>
      <c r="L566" s="26"/>
      <c r="M566" s="27"/>
      <c r="N566" s="23"/>
      <c r="O566" s="24"/>
      <c r="P566" s="563"/>
      <c r="Q566" s="327"/>
      <c r="R566" s="516"/>
      <c r="S566" s="327"/>
      <c r="T566" s="517"/>
      <c r="U566" s="327"/>
      <c r="V566" s="518"/>
      <c r="W566" s="327"/>
      <c r="X566" s="438" t="s">
        <v>303</v>
      </c>
      <c r="Y566" s="326"/>
      <c r="Z566" s="326"/>
      <c r="AA566" s="327"/>
      <c r="AB566" s="519" t="s">
        <v>303</v>
      </c>
      <c r="AC566" s="326"/>
      <c r="AD566" s="326"/>
      <c r="AE566" s="327"/>
      <c r="AF566" s="520"/>
      <c r="AG566" s="327"/>
      <c r="AH566" s="520"/>
      <c r="AI566" s="327"/>
      <c r="AJ566" s="536"/>
      <c r="AK566" s="327"/>
      <c r="AL566" s="556" t="s">
        <v>334</v>
      </c>
      <c r="AM566" s="327"/>
      <c r="AN566" s="553" t="s">
        <v>334</v>
      </c>
      <c r="AO566" s="327"/>
      <c r="AP566" s="547"/>
      <c r="AQ566" s="327"/>
      <c r="AR566" s="548"/>
      <c r="AS566" s="327"/>
      <c r="AT566" s="549"/>
      <c r="AU566" s="327"/>
      <c r="AV566" s="553" t="s">
        <v>334</v>
      </c>
      <c r="AW566" s="327"/>
      <c r="AX566" s="521"/>
      <c r="AY566" s="326"/>
      <c r="AZ566" s="327"/>
      <c r="BA566" s="550"/>
      <c r="BB566" s="327"/>
      <c r="BC566" s="22"/>
      <c r="BD566" s="551" t="s">
        <v>334</v>
      </c>
      <c r="BE566" s="327"/>
      <c r="BF566" s="545"/>
      <c r="BG566" s="326"/>
      <c r="BH566" s="326"/>
      <c r="BI566" s="327"/>
      <c r="BJ566" s="451" t="s">
        <v>303</v>
      </c>
      <c r="BK566" s="326"/>
      <c r="BL566" s="326"/>
      <c r="BM566" s="327"/>
      <c r="BN566" s="558" t="s">
        <v>303</v>
      </c>
      <c r="BO566" s="326"/>
      <c r="BP566" s="326"/>
      <c r="BQ566" s="326"/>
      <c r="BR566" s="326"/>
      <c r="BS566" s="326"/>
      <c r="BT566" s="326"/>
      <c r="BU566" s="326"/>
      <c r="BV566" s="327"/>
    </row>
    <row r="567" spans="1:74" ht="45" customHeight="1" x14ac:dyDescent="0.25">
      <c r="A567" s="10">
        <f t="shared" si="2"/>
        <v>553</v>
      </c>
      <c r="B567" s="559" t="s">
        <v>303</v>
      </c>
      <c r="C567" s="327"/>
      <c r="D567" s="560" t="s">
        <v>307</v>
      </c>
      <c r="E567" s="327"/>
      <c r="F567" s="537" t="s">
        <v>334</v>
      </c>
      <c r="G567" s="327"/>
      <c r="H567" s="566" t="s">
        <v>334</v>
      </c>
      <c r="I567" s="327"/>
      <c r="J567" s="567"/>
      <c r="K567" s="327"/>
      <c r="L567" s="567"/>
      <c r="M567" s="327"/>
      <c r="N567" s="20"/>
      <c r="O567" s="21"/>
      <c r="P567" s="524"/>
      <c r="Q567" s="327"/>
      <c r="R567" s="538"/>
      <c r="S567" s="327"/>
      <c r="T567" s="539"/>
      <c r="U567" s="327"/>
      <c r="V567" s="540"/>
      <c r="W567" s="327"/>
      <c r="X567" s="541" t="s">
        <v>303</v>
      </c>
      <c r="Y567" s="326"/>
      <c r="Z567" s="326"/>
      <c r="AA567" s="327"/>
      <c r="AB567" s="542" t="s">
        <v>303</v>
      </c>
      <c r="AC567" s="326"/>
      <c r="AD567" s="326"/>
      <c r="AE567" s="327"/>
      <c r="AF567" s="543"/>
      <c r="AG567" s="327"/>
      <c r="AH567" s="543"/>
      <c r="AI567" s="327"/>
      <c r="AJ567" s="554"/>
      <c r="AK567" s="327"/>
      <c r="AL567" s="537" t="s">
        <v>334</v>
      </c>
      <c r="AM567" s="327"/>
      <c r="AN567" s="546" t="s">
        <v>334</v>
      </c>
      <c r="AO567" s="327"/>
      <c r="AP567" s="554"/>
      <c r="AQ567" s="327"/>
      <c r="AR567" s="555"/>
      <c r="AS567" s="327"/>
      <c r="AT567" s="549"/>
      <c r="AU567" s="327"/>
      <c r="AV567" s="546" t="s">
        <v>334</v>
      </c>
      <c r="AW567" s="327"/>
      <c r="AX567" s="521"/>
      <c r="AY567" s="326"/>
      <c r="AZ567" s="327"/>
      <c r="BA567" s="536"/>
      <c r="BB567" s="327"/>
      <c r="BC567" s="25"/>
      <c r="BD567" s="544" t="s">
        <v>334</v>
      </c>
      <c r="BE567" s="327"/>
      <c r="BF567" s="552"/>
      <c r="BG567" s="326"/>
      <c r="BH567" s="326"/>
      <c r="BI567" s="327"/>
      <c r="BJ567" s="557" t="s">
        <v>303</v>
      </c>
      <c r="BK567" s="326"/>
      <c r="BL567" s="326"/>
      <c r="BM567" s="327"/>
      <c r="BN567" s="558" t="s">
        <v>303</v>
      </c>
      <c r="BO567" s="326"/>
      <c r="BP567" s="326"/>
      <c r="BQ567" s="326"/>
      <c r="BR567" s="326"/>
      <c r="BS567" s="326"/>
      <c r="BT567" s="326"/>
      <c r="BU567" s="326"/>
      <c r="BV567" s="327"/>
    </row>
    <row r="568" spans="1:74" ht="45" customHeight="1" x14ac:dyDescent="0.25">
      <c r="A568" s="10">
        <f t="shared" si="2"/>
        <v>554</v>
      </c>
      <c r="B568" s="564" t="s">
        <v>303</v>
      </c>
      <c r="C568" s="327"/>
      <c r="D568" s="565" t="s">
        <v>307</v>
      </c>
      <c r="E568" s="327"/>
      <c r="F568" s="537" t="s">
        <v>334</v>
      </c>
      <c r="G568" s="327"/>
      <c r="H568" s="561" t="s">
        <v>334</v>
      </c>
      <c r="I568" s="327"/>
      <c r="J568" s="26"/>
      <c r="K568" s="27"/>
      <c r="L568" s="26"/>
      <c r="M568" s="27"/>
      <c r="N568" s="23"/>
      <c r="O568" s="24"/>
      <c r="P568" s="563"/>
      <c r="Q568" s="327"/>
      <c r="R568" s="516"/>
      <c r="S568" s="327"/>
      <c r="T568" s="517"/>
      <c r="U568" s="327"/>
      <c r="V568" s="518"/>
      <c r="W568" s="327"/>
      <c r="X568" s="438" t="s">
        <v>303</v>
      </c>
      <c r="Y568" s="326"/>
      <c r="Z568" s="326"/>
      <c r="AA568" s="327"/>
      <c r="AB568" s="519" t="s">
        <v>303</v>
      </c>
      <c r="AC568" s="326"/>
      <c r="AD568" s="326"/>
      <c r="AE568" s="327"/>
      <c r="AF568" s="520"/>
      <c r="AG568" s="327"/>
      <c r="AH568" s="520"/>
      <c r="AI568" s="327"/>
      <c r="AJ568" s="536"/>
      <c r="AK568" s="327"/>
      <c r="AL568" s="556" t="s">
        <v>334</v>
      </c>
      <c r="AM568" s="327"/>
      <c r="AN568" s="553" t="s">
        <v>334</v>
      </c>
      <c r="AO568" s="327"/>
      <c r="AP568" s="547"/>
      <c r="AQ568" s="327"/>
      <c r="AR568" s="548"/>
      <c r="AS568" s="327"/>
      <c r="AT568" s="549"/>
      <c r="AU568" s="327"/>
      <c r="AV568" s="553" t="s">
        <v>334</v>
      </c>
      <c r="AW568" s="327"/>
      <c r="AX568" s="521"/>
      <c r="AY568" s="326"/>
      <c r="AZ568" s="327"/>
      <c r="BA568" s="550"/>
      <c r="BB568" s="327"/>
      <c r="BC568" s="22"/>
      <c r="BD568" s="551" t="s">
        <v>334</v>
      </c>
      <c r="BE568" s="327"/>
      <c r="BF568" s="545"/>
      <c r="BG568" s="326"/>
      <c r="BH568" s="326"/>
      <c r="BI568" s="327"/>
      <c r="BJ568" s="451" t="s">
        <v>303</v>
      </c>
      <c r="BK568" s="326"/>
      <c r="BL568" s="326"/>
      <c r="BM568" s="327"/>
      <c r="BN568" s="558" t="s">
        <v>303</v>
      </c>
      <c r="BO568" s="326"/>
      <c r="BP568" s="326"/>
      <c r="BQ568" s="326"/>
      <c r="BR568" s="326"/>
      <c r="BS568" s="326"/>
      <c r="BT568" s="326"/>
      <c r="BU568" s="326"/>
      <c r="BV568" s="327"/>
    </row>
    <row r="569" spans="1:74" ht="45" customHeight="1" x14ac:dyDescent="0.25">
      <c r="A569" s="10">
        <f t="shared" si="2"/>
        <v>555</v>
      </c>
      <c r="B569" s="559" t="s">
        <v>303</v>
      </c>
      <c r="C569" s="327"/>
      <c r="D569" s="560" t="s">
        <v>307</v>
      </c>
      <c r="E569" s="327"/>
      <c r="F569" s="537" t="s">
        <v>334</v>
      </c>
      <c r="G569" s="327"/>
      <c r="H569" s="566" t="s">
        <v>334</v>
      </c>
      <c r="I569" s="327"/>
      <c r="J569" s="567"/>
      <c r="K569" s="327"/>
      <c r="L569" s="567"/>
      <c r="M569" s="327"/>
      <c r="N569" s="20"/>
      <c r="O569" s="24"/>
      <c r="P569" s="524"/>
      <c r="Q569" s="327"/>
      <c r="R569" s="538"/>
      <c r="S569" s="327"/>
      <c r="T569" s="539"/>
      <c r="U569" s="327"/>
      <c r="V569" s="540"/>
      <c r="W569" s="327"/>
      <c r="X569" s="541" t="s">
        <v>303</v>
      </c>
      <c r="Y569" s="326"/>
      <c r="Z569" s="326"/>
      <c r="AA569" s="327"/>
      <c r="AB569" s="542" t="s">
        <v>303</v>
      </c>
      <c r="AC569" s="326"/>
      <c r="AD569" s="326"/>
      <c r="AE569" s="327"/>
      <c r="AF569" s="543"/>
      <c r="AG569" s="327"/>
      <c r="AH569" s="543"/>
      <c r="AI569" s="327"/>
      <c r="AJ569" s="554"/>
      <c r="AK569" s="327"/>
      <c r="AL569" s="537" t="s">
        <v>334</v>
      </c>
      <c r="AM569" s="327"/>
      <c r="AN569" s="546" t="s">
        <v>334</v>
      </c>
      <c r="AO569" s="327"/>
      <c r="AP569" s="554"/>
      <c r="AQ569" s="327"/>
      <c r="AR569" s="555"/>
      <c r="AS569" s="327"/>
      <c r="AT569" s="549"/>
      <c r="AU569" s="327"/>
      <c r="AV569" s="546" t="s">
        <v>334</v>
      </c>
      <c r="AW569" s="327"/>
      <c r="AX569" s="521"/>
      <c r="AY569" s="326"/>
      <c r="AZ569" s="327"/>
      <c r="BA569" s="536"/>
      <c r="BB569" s="327"/>
      <c r="BC569" s="25"/>
      <c r="BD569" s="544" t="s">
        <v>334</v>
      </c>
      <c r="BE569" s="327"/>
      <c r="BF569" s="508"/>
      <c r="BG569" s="326"/>
      <c r="BH569" s="326"/>
      <c r="BI569" s="327"/>
      <c r="BJ569" s="557" t="s">
        <v>303</v>
      </c>
      <c r="BK569" s="326"/>
      <c r="BL569" s="326"/>
      <c r="BM569" s="327"/>
      <c r="BN569" s="558" t="s">
        <v>303</v>
      </c>
      <c r="BO569" s="326"/>
      <c r="BP569" s="326"/>
      <c r="BQ569" s="326"/>
      <c r="BR569" s="326"/>
      <c r="BS569" s="326"/>
      <c r="BT569" s="326"/>
      <c r="BU569" s="326"/>
      <c r="BV569" s="327"/>
    </row>
    <row r="570" spans="1:74" ht="45" customHeight="1" x14ac:dyDescent="0.25">
      <c r="A570" s="10">
        <f t="shared" si="2"/>
        <v>556</v>
      </c>
      <c r="B570" s="564" t="s">
        <v>303</v>
      </c>
      <c r="C570" s="327"/>
      <c r="D570" s="565" t="s">
        <v>307</v>
      </c>
      <c r="E570" s="327"/>
      <c r="F570" s="537" t="s">
        <v>334</v>
      </c>
      <c r="G570" s="327"/>
      <c r="H570" s="561" t="s">
        <v>334</v>
      </c>
      <c r="I570" s="327"/>
      <c r="J570" s="26"/>
      <c r="K570" s="27"/>
      <c r="L570" s="26"/>
      <c r="M570" s="27"/>
      <c r="N570" s="23"/>
      <c r="O570" s="21"/>
      <c r="P570" s="563"/>
      <c r="Q570" s="327"/>
      <c r="R570" s="516"/>
      <c r="S570" s="327"/>
      <c r="T570" s="517"/>
      <c r="U570" s="327"/>
      <c r="V570" s="518"/>
      <c r="W570" s="327"/>
      <c r="X570" s="438" t="s">
        <v>303</v>
      </c>
      <c r="Y570" s="326"/>
      <c r="Z570" s="326"/>
      <c r="AA570" s="327"/>
      <c r="AB570" s="519" t="s">
        <v>303</v>
      </c>
      <c r="AC570" s="326"/>
      <c r="AD570" s="326"/>
      <c r="AE570" s="327"/>
      <c r="AF570" s="520"/>
      <c r="AG570" s="327"/>
      <c r="AH570" s="520"/>
      <c r="AI570" s="327"/>
      <c r="AJ570" s="536"/>
      <c r="AK570" s="327"/>
      <c r="AL570" s="556" t="s">
        <v>334</v>
      </c>
      <c r="AM570" s="327"/>
      <c r="AN570" s="553" t="s">
        <v>334</v>
      </c>
      <c r="AO570" s="327"/>
      <c r="AP570" s="547"/>
      <c r="AQ570" s="327"/>
      <c r="AR570" s="548"/>
      <c r="AS570" s="327"/>
      <c r="AT570" s="549"/>
      <c r="AU570" s="327"/>
      <c r="AV570" s="553" t="s">
        <v>334</v>
      </c>
      <c r="AW570" s="327"/>
      <c r="AX570" s="521"/>
      <c r="AY570" s="326"/>
      <c r="AZ570" s="327"/>
      <c r="BA570" s="550"/>
      <c r="BB570" s="327"/>
      <c r="BC570" s="22"/>
      <c r="BD570" s="551" t="s">
        <v>334</v>
      </c>
      <c r="BE570" s="327"/>
      <c r="BF570" s="545"/>
      <c r="BG570" s="326"/>
      <c r="BH570" s="326"/>
      <c r="BI570" s="327"/>
      <c r="BJ570" s="451" t="s">
        <v>303</v>
      </c>
      <c r="BK570" s="326"/>
      <c r="BL570" s="326"/>
      <c r="BM570" s="327"/>
      <c r="BN570" s="558" t="s">
        <v>303</v>
      </c>
      <c r="BO570" s="326"/>
      <c r="BP570" s="326"/>
      <c r="BQ570" s="326"/>
      <c r="BR570" s="326"/>
      <c r="BS570" s="326"/>
      <c r="BT570" s="326"/>
      <c r="BU570" s="326"/>
      <c r="BV570" s="327"/>
    </row>
    <row r="571" spans="1:74" ht="45" customHeight="1" x14ac:dyDescent="0.25">
      <c r="A571" s="10">
        <f t="shared" si="2"/>
        <v>557</v>
      </c>
      <c r="B571" s="559" t="s">
        <v>303</v>
      </c>
      <c r="C571" s="327"/>
      <c r="D571" s="560" t="s">
        <v>307</v>
      </c>
      <c r="E571" s="327"/>
      <c r="F571" s="537" t="s">
        <v>334</v>
      </c>
      <c r="G571" s="327"/>
      <c r="H571" s="566" t="s">
        <v>334</v>
      </c>
      <c r="I571" s="327"/>
      <c r="J571" s="567"/>
      <c r="K571" s="327"/>
      <c r="L571" s="567"/>
      <c r="M571" s="327"/>
      <c r="N571" s="20"/>
      <c r="O571" s="24"/>
      <c r="P571" s="524"/>
      <c r="Q571" s="327"/>
      <c r="R571" s="538"/>
      <c r="S571" s="327"/>
      <c r="T571" s="539"/>
      <c r="U571" s="327"/>
      <c r="V571" s="540"/>
      <c r="W571" s="327"/>
      <c r="X571" s="541" t="s">
        <v>303</v>
      </c>
      <c r="Y571" s="326"/>
      <c r="Z571" s="326"/>
      <c r="AA571" s="327"/>
      <c r="AB571" s="542" t="s">
        <v>303</v>
      </c>
      <c r="AC571" s="326"/>
      <c r="AD571" s="326"/>
      <c r="AE571" s="327"/>
      <c r="AF571" s="543"/>
      <c r="AG571" s="327"/>
      <c r="AH571" s="543"/>
      <c r="AI571" s="327"/>
      <c r="AJ571" s="554"/>
      <c r="AK571" s="327"/>
      <c r="AL571" s="537" t="s">
        <v>334</v>
      </c>
      <c r="AM571" s="327"/>
      <c r="AN571" s="546" t="s">
        <v>334</v>
      </c>
      <c r="AO571" s="327"/>
      <c r="AP571" s="554"/>
      <c r="AQ571" s="327"/>
      <c r="AR571" s="555"/>
      <c r="AS571" s="327"/>
      <c r="AT571" s="549"/>
      <c r="AU571" s="327"/>
      <c r="AV571" s="546" t="s">
        <v>334</v>
      </c>
      <c r="AW571" s="327"/>
      <c r="AX571" s="521"/>
      <c r="AY571" s="326"/>
      <c r="AZ571" s="327"/>
      <c r="BA571" s="536"/>
      <c r="BB571" s="327"/>
      <c r="BC571" s="25"/>
      <c r="BD571" s="544" t="s">
        <v>334</v>
      </c>
      <c r="BE571" s="327"/>
      <c r="BF571" s="552"/>
      <c r="BG571" s="326"/>
      <c r="BH571" s="326"/>
      <c r="BI571" s="327"/>
      <c r="BJ571" s="557" t="s">
        <v>303</v>
      </c>
      <c r="BK571" s="326"/>
      <c r="BL571" s="326"/>
      <c r="BM571" s="327"/>
      <c r="BN571" s="558" t="s">
        <v>303</v>
      </c>
      <c r="BO571" s="326"/>
      <c r="BP571" s="326"/>
      <c r="BQ571" s="326"/>
      <c r="BR571" s="326"/>
      <c r="BS571" s="326"/>
      <c r="BT571" s="326"/>
      <c r="BU571" s="326"/>
      <c r="BV571" s="327"/>
    </row>
    <row r="572" spans="1:74" ht="45" customHeight="1" x14ac:dyDescent="0.25">
      <c r="A572" s="10">
        <f t="shared" si="2"/>
        <v>558</v>
      </c>
      <c r="B572" s="564" t="s">
        <v>303</v>
      </c>
      <c r="C572" s="327"/>
      <c r="D572" s="565" t="s">
        <v>307</v>
      </c>
      <c r="E572" s="327"/>
      <c r="F572" s="537" t="s">
        <v>334</v>
      </c>
      <c r="G572" s="327"/>
      <c r="H572" s="561" t="s">
        <v>334</v>
      </c>
      <c r="I572" s="327"/>
      <c r="J572" s="26"/>
      <c r="K572" s="27"/>
      <c r="L572" s="26"/>
      <c r="M572" s="27"/>
      <c r="N572" s="23"/>
      <c r="O572" s="21"/>
      <c r="P572" s="563"/>
      <c r="Q572" s="327"/>
      <c r="R572" s="516"/>
      <c r="S572" s="327"/>
      <c r="T572" s="517"/>
      <c r="U572" s="327"/>
      <c r="V572" s="518"/>
      <c r="W572" s="327"/>
      <c r="X572" s="438" t="s">
        <v>303</v>
      </c>
      <c r="Y572" s="326"/>
      <c r="Z572" s="326"/>
      <c r="AA572" s="327"/>
      <c r="AB572" s="519" t="s">
        <v>303</v>
      </c>
      <c r="AC572" s="326"/>
      <c r="AD572" s="326"/>
      <c r="AE572" s="327"/>
      <c r="AF572" s="520"/>
      <c r="AG572" s="327"/>
      <c r="AH572" s="520"/>
      <c r="AI572" s="327"/>
      <c r="AJ572" s="536"/>
      <c r="AK572" s="327"/>
      <c r="AL572" s="556" t="s">
        <v>334</v>
      </c>
      <c r="AM572" s="327"/>
      <c r="AN572" s="553" t="s">
        <v>334</v>
      </c>
      <c r="AO572" s="327"/>
      <c r="AP572" s="547"/>
      <c r="AQ572" s="327"/>
      <c r="AR572" s="548"/>
      <c r="AS572" s="327"/>
      <c r="AT572" s="549"/>
      <c r="AU572" s="327"/>
      <c r="AV572" s="553" t="s">
        <v>334</v>
      </c>
      <c r="AW572" s="327"/>
      <c r="AX572" s="521"/>
      <c r="AY572" s="326"/>
      <c r="AZ572" s="327"/>
      <c r="BA572" s="550"/>
      <c r="BB572" s="327"/>
      <c r="BC572" s="22"/>
      <c r="BD572" s="551" t="s">
        <v>334</v>
      </c>
      <c r="BE572" s="327"/>
      <c r="BF572" s="545"/>
      <c r="BG572" s="326"/>
      <c r="BH572" s="326"/>
      <c r="BI572" s="327"/>
      <c r="BJ572" s="451" t="s">
        <v>303</v>
      </c>
      <c r="BK572" s="326"/>
      <c r="BL572" s="326"/>
      <c r="BM572" s="327"/>
      <c r="BN572" s="558" t="s">
        <v>303</v>
      </c>
      <c r="BO572" s="326"/>
      <c r="BP572" s="326"/>
      <c r="BQ572" s="326"/>
      <c r="BR572" s="326"/>
      <c r="BS572" s="326"/>
      <c r="BT572" s="326"/>
      <c r="BU572" s="326"/>
      <c r="BV572" s="327"/>
    </row>
    <row r="573" spans="1:74" ht="45" customHeight="1" x14ac:dyDescent="0.25">
      <c r="A573" s="10">
        <f t="shared" si="2"/>
        <v>559</v>
      </c>
      <c r="B573" s="559" t="s">
        <v>303</v>
      </c>
      <c r="C573" s="327"/>
      <c r="D573" s="560" t="s">
        <v>307</v>
      </c>
      <c r="E573" s="327"/>
      <c r="F573" s="537" t="s">
        <v>334</v>
      </c>
      <c r="G573" s="327"/>
      <c r="H573" s="566" t="s">
        <v>334</v>
      </c>
      <c r="I573" s="327"/>
      <c r="J573" s="567"/>
      <c r="K573" s="327"/>
      <c r="L573" s="567"/>
      <c r="M573" s="327"/>
      <c r="N573" s="20"/>
      <c r="O573" s="24"/>
      <c r="P573" s="524"/>
      <c r="Q573" s="327"/>
      <c r="R573" s="538"/>
      <c r="S573" s="327"/>
      <c r="T573" s="539"/>
      <c r="U573" s="327"/>
      <c r="V573" s="540"/>
      <c r="W573" s="327"/>
      <c r="X573" s="541" t="s">
        <v>303</v>
      </c>
      <c r="Y573" s="326"/>
      <c r="Z573" s="326"/>
      <c r="AA573" s="327"/>
      <c r="AB573" s="542" t="s">
        <v>303</v>
      </c>
      <c r="AC573" s="326"/>
      <c r="AD573" s="326"/>
      <c r="AE573" s="327"/>
      <c r="AF573" s="543"/>
      <c r="AG573" s="327"/>
      <c r="AH573" s="543"/>
      <c r="AI573" s="327"/>
      <c r="AJ573" s="554"/>
      <c r="AK573" s="327"/>
      <c r="AL573" s="537" t="s">
        <v>334</v>
      </c>
      <c r="AM573" s="327"/>
      <c r="AN573" s="546" t="s">
        <v>334</v>
      </c>
      <c r="AO573" s="327"/>
      <c r="AP573" s="554"/>
      <c r="AQ573" s="327"/>
      <c r="AR573" s="555"/>
      <c r="AS573" s="327"/>
      <c r="AT573" s="549"/>
      <c r="AU573" s="327"/>
      <c r="AV573" s="546" t="s">
        <v>334</v>
      </c>
      <c r="AW573" s="327"/>
      <c r="AX573" s="521"/>
      <c r="AY573" s="326"/>
      <c r="AZ573" s="327"/>
      <c r="BA573" s="536"/>
      <c r="BB573" s="327"/>
      <c r="BC573" s="25"/>
      <c r="BD573" s="544" t="s">
        <v>334</v>
      </c>
      <c r="BE573" s="327"/>
      <c r="BF573" s="508"/>
      <c r="BG573" s="326"/>
      <c r="BH573" s="326"/>
      <c r="BI573" s="327"/>
      <c r="BJ573" s="557" t="s">
        <v>303</v>
      </c>
      <c r="BK573" s="326"/>
      <c r="BL573" s="326"/>
      <c r="BM573" s="327"/>
      <c r="BN573" s="558" t="s">
        <v>303</v>
      </c>
      <c r="BO573" s="326"/>
      <c r="BP573" s="326"/>
      <c r="BQ573" s="326"/>
      <c r="BR573" s="326"/>
      <c r="BS573" s="326"/>
      <c r="BT573" s="326"/>
      <c r="BU573" s="326"/>
      <c r="BV573" s="327"/>
    </row>
    <row r="574" spans="1:74" ht="45" customHeight="1" x14ac:dyDescent="0.25">
      <c r="A574" s="10">
        <f t="shared" si="2"/>
        <v>560</v>
      </c>
      <c r="B574" s="564" t="s">
        <v>303</v>
      </c>
      <c r="C574" s="327"/>
      <c r="D574" s="565" t="s">
        <v>307</v>
      </c>
      <c r="E574" s="327"/>
      <c r="F574" s="537" t="s">
        <v>334</v>
      </c>
      <c r="G574" s="327"/>
      <c r="H574" s="561" t="s">
        <v>334</v>
      </c>
      <c r="I574" s="327"/>
      <c r="J574" s="26"/>
      <c r="K574" s="27"/>
      <c r="L574" s="26"/>
      <c r="M574" s="27"/>
      <c r="N574" s="23"/>
      <c r="O574" s="21"/>
      <c r="P574" s="563"/>
      <c r="Q574" s="327"/>
      <c r="R574" s="516"/>
      <c r="S574" s="327"/>
      <c r="T574" s="517"/>
      <c r="U574" s="327"/>
      <c r="V574" s="518"/>
      <c r="W574" s="327"/>
      <c r="X574" s="438" t="s">
        <v>303</v>
      </c>
      <c r="Y574" s="326"/>
      <c r="Z574" s="326"/>
      <c r="AA574" s="327"/>
      <c r="AB574" s="519" t="s">
        <v>303</v>
      </c>
      <c r="AC574" s="326"/>
      <c r="AD574" s="326"/>
      <c r="AE574" s="327"/>
      <c r="AF574" s="520"/>
      <c r="AG574" s="327"/>
      <c r="AH574" s="520"/>
      <c r="AI574" s="327"/>
      <c r="AJ574" s="536"/>
      <c r="AK574" s="327"/>
      <c r="AL574" s="556" t="s">
        <v>334</v>
      </c>
      <c r="AM574" s="327"/>
      <c r="AN574" s="553" t="s">
        <v>334</v>
      </c>
      <c r="AO574" s="327"/>
      <c r="AP574" s="547"/>
      <c r="AQ574" s="327"/>
      <c r="AR574" s="548"/>
      <c r="AS574" s="327"/>
      <c r="AT574" s="549"/>
      <c r="AU574" s="327"/>
      <c r="AV574" s="553" t="s">
        <v>334</v>
      </c>
      <c r="AW574" s="327"/>
      <c r="AX574" s="521"/>
      <c r="AY574" s="326"/>
      <c r="AZ574" s="327"/>
      <c r="BA574" s="550"/>
      <c r="BB574" s="327"/>
      <c r="BC574" s="22"/>
      <c r="BD574" s="551" t="s">
        <v>334</v>
      </c>
      <c r="BE574" s="327"/>
      <c r="BF574" s="545"/>
      <c r="BG574" s="326"/>
      <c r="BH574" s="326"/>
      <c r="BI574" s="327"/>
      <c r="BJ574" s="451" t="s">
        <v>303</v>
      </c>
      <c r="BK574" s="326"/>
      <c r="BL574" s="326"/>
      <c r="BM574" s="327"/>
      <c r="BN574" s="558" t="s">
        <v>303</v>
      </c>
      <c r="BO574" s="326"/>
      <c r="BP574" s="326"/>
      <c r="BQ574" s="326"/>
      <c r="BR574" s="326"/>
      <c r="BS574" s="326"/>
      <c r="BT574" s="326"/>
      <c r="BU574" s="326"/>
      <c r="BV574" s="327"/>
    </row>
    <row r="575" spans="1:74" ht="45" customHeight="1" x14ac:dyDescent="0.25">
      <c r="A575" s="10">
        <f t="shared" si="2"/>
        <v>561</v>
      </c>
      <c r="B575" s="559" t="s">
        <v>303</v>
      </c>
      <c r="C575" s="327"/>
      <c r="D575" s="560" t="s">
        <v>307</v>
      </c>
      <c r="E575" s="327"/>
      <c r="F575" s="537" t="s">
        <v>334</v>
      </c>
      <c r="G575" s="327"/>
      <c r="H575" s="566" t="s">
        <v>334</v>
      </c>
      <c r="I575" s="327"/>
      <c r="J575" s="567"/>
      <c r="K575" s="327"/>
      <c r="L575" s="567"/>
      <c r="M575" s="327"/>
      <c r="N575" s="20"/>
      <c r="O575" s="24"/>
      <c r="P575" s="524"/>
      <c r="Q575" s="327"/>
      <c r="R575" s="538"/>
      <c r="S575" s="327"/>
      <c r="T575" s="539"/>
      <c r="U575" s="327"/>
      <c r="V575" s="540"/>
      <c r="W575" s="327"/>
      <c r="X575" s="541" t="s">
        <v>303</v>
      </c>
      <c r="Y575" s="326"/>
      <c r="Z575" s="326"/>
      <c r="AA575" s="327"/>
      <c r="AB575" s="542" t="s">
        <v>303</v>
      </c>
      <c r="AC575" s="326"/>
      <c r="AD575" s="326"/>
      <c r="AE575" s="327"/>
      <c r="AF575" s="543"/>
      <c r="AG575" s="327"/>
      <c r="AH575" s="543"/>
      <c r="AI575" s="327"/>
      <c r="AJ575" s="554"/>
      <c r="AK575" s="327"/>
      <c r="AL575" s="537" t="s">
        <v>334</v>
      </c>
      <c r="AM575" s="327"/>
      <c r="AN575" s="546" t="s">
        <v>334</v>
      </c>
      <c r="AO575" s="327"/>
      <c r="AP575" s="554"/>
      <c r="AQ575" s="327"/>
      <c r="AR575" s="555"/>
      <c r="AS575" s="327"/>
      <c r="AT575" s="549"/>
      <c r="AU575" s="327"/>
      <c r="AV575" s="546" t="s">
        <v>334</v>
      </c>
      <c r="AW575" s="327"/>
      <c r="AX575" s="521"/>
      <c r="AY575" s="326"/>
      <c r="AZ575" s="327"/>
      <c r="BA575" s="536"/>
      <c r="BB575" s="327"/>
      <c r="BC575" s="25"/>
      <c r="BD575" s="544" t="s">
        <v>334</v>
      </c>
      <c r="BE575" s="327"/>
      <c r="BF575" s="508"/>
      <c r="BG575" s="326"/>
      <c r="BH575" s="326"/>
      <c r="BI575" s="327"/>
      <c r="BJ575" s="557" t="s">
        <v>303</v>
      </c>
      <c r="BK575" s="326"/>
      <c r="BL575" s="326"/>
      <c r="BM575" s="327"/>
      <c r="BN575" s="558" t="s">
        <v>303</v>
      </c>
      <c r="BO575" s="326"/>
      <c r="BP575" s="326"/>
      <c r="BQ575" s="326"/>
      <c r="BR575" s="326"/>
      <c r="BS575" s="326"/>
      <c r="BT575" s="326"/>
      <c r="BU575" s="326"/>
      <c r="BV575" s="327"/>
    </row>
    <row r="576" spans="1:74" ht="45" customHeight="1" x14ac:dyDescent="0.25">
      <c r="A576" s="10">
        <f t="shared" si="2"/>
        <v>562</v>
      </c>
      <c r="B576" s="564" t="s">
        <v>303</v>
      </c>
      <c r="C576" s="327"/>
      <c r="D576" s="565" t="s">
        <v>307</v>
      </c>
      <c r="E576" s="327"/>
      <c r="F576" s="537" t="s">
        <v>334</v>
      </c>
      <c r="G576" s="327"/>
      <c r="H576" s="561" t="s">
        <v>334</v>
      </c>
      <c r="I576" s="327"/>
      <c r="J576" s="26"/>
      <c r="K576" s="27"/>
      <c r="L576" s="26"/>
      <c r="M576" s="27"/>
      <c r="N576" s="23"/>
      <c r="O576" s="21"/>
      <c r="P576" s="563"/>
      <c r="Q576" s="327"/>
      <c r="R576" s="516"/>
      <c r="S576" s="327"/>
      <c r="T576" s="517"/>
      <c r="U576" s="327"/>
      <c r="V576" s="518"/>
      <c r="W576" s="327"/>
      <c r="X576" s="438" t="s">
        <v>303</v>
      </c>
      <c r="Y576" s="326"/>
      <c r="Z576" s="326"/>
      <c r="AA576" s="327"/>
      <c r="AB576" s="519" t="s">
        <v>303</v>
      </c>
      <c r="AC576" s="326"/>
      <c r="AD576" s="326"/>
      <c r="AE576" s="327"/>
      <c r="AF576" s="520"/>
      <c r="AG576" s="327"/>
      <c r="AH576" s="520"/>
      <c r="AI576" s="327"/>
      <c r="AJ576" s="536"/>
      <c r="AK576" s="327"/>
      <c r="AL576" s="556" t="s">
        <v>334</v>
      </c>
      <c r="AM576" s="327"/>
      <c r="AN576" s="553" t="s">
        <v>334</v>
      </c>
      <c r="AO576" s="327"/>
      <c r="AP576" s="547"/>
      <c r="AQ576" s="327"/>
      <c r="AR576" s="548"/>
      <c r="AS576" s="327"/>
      <c r="AT576" s="549"/>
      <c r="AU576" s="327"/>
      <c r="AV576" s="553" t="s">
        <v>334</v>
      </c>
      <c r="AW576" s="327"/>
      <c r="AX576" s="521"/>
      <c r="AY576" s="326"/>
      <c r="AZ576" s="327"/>
      <c r="BA576" s="550"/>
      <c r="BB576" s="327"/>
      <c r="BC576" s="22"/>
      <c r="BD576" s="551" t="s">
        <v>334</v>
      </c>
      <c r="BE576" s="327"/>
      <c r="BF576" s="545"/>
      <c r="BG576" s="326"/>
      <c r="BH576" s="326"/>
      <c r="BI576" s="327"/>
      <c r="BJ576" s="451" t="s">
        <v>303</v>
      </c>
      <c r="BK576" s="326"/>
      <c r="BL576" s="326"/>
      <c r="BM576" s="327"/>
      <c r="BN576" s="558" t="s">
        <v>303</v>
      </c>
      <c r="BO576" s="326"/>
      <c r="BP576" s="326"/>
      <c r="BQ576" s="326"/>
      <c r="BR576" s="326"/>
      <c r="BS576" s="326"/>
      <c r="BT576" s="326"/>
      <c r="BU576" s="326"/>
      <c r="BV576" s="327"/>
    </row>
    <row r="577" spans="1:74" ht="45" customHeight="1" x14ac:dyDescent="0.25">
      <c r="A577" s="10">
        <f t="shared" si="2"/>
        <v>563</v>
      </c>
      <c r="B577" s="559" t="s">
        <v>303</v>
      </c>
      <c r="C577" s="327"/>
      <c r="D577" s="560" t="s">
        <v>307</v>
      </c>
      <c r="E577" s="327"/>
      <c r="F577" s="537" t="s">
        <v>334</v>
      </c>
      <c r="G577" s="327"/>
      <c r="H577" s="566" t="s">
        <v>334</v>
      </c>
      <c r="I577" s="327"/>
      <c r="J577" s="567"/>
      <c r="K577" s="327"/>
      <c r="L577" s="567"/>
      <c r="M577" s="327"/>
      <c r="N577" s="20"/>
      <c r="O577" s="24"/>
      <c r="P577" s="524"/>
      <c r="Q577" s="327"/>
      <c r="R577" s="538"/>
      <c r="S577" s="327"/>
      <c r="T577" s="539"/>
      <c r="U577" s="327"/>
      <c r="V577" s="540"/>
      <c r="W577" s="327"/>
      <c r="X577" s="541" t="s">
        <v>303</v>
      </c>
      <c r="Y577" s="326"/>
      <c r="Z577" s="326"/>
      <c r="AA577" s="327"/>
      <c r="AB577" s="542" t="s">
        <v>303</v>
      </c>
      <c r="AC577" s="326"/>
      <c r="AD577" s="326"/>
      <c r="AE577" s="327"/>
      <c r="AF577" s="543"/>
      <c r="AG577" s="327"/>
      <c r="AH577" s="543"/>
      <c r="AI577" s="327"/>
      <c r="AJ577" s="554"/>
      <c r="AK577" s="327"/>
      <c r="AL577" s="537" t="s">
        <v>334</v>
      </c>
      <c r="AM577" s="327"/>
      <c r="AN577" s="546" t="s">
        <v>334</v>
      </c>
      <c r="AO577" s="327"/>
      <c r="AP577" s="554"/>
      <c r="AQ577" s="327"/>
      <c r="AR577" s="555"/>
      <c r="AS577" s="327"/>
      <c r="AT577" s="549"/>
      <c r="AU577" s="327"/>
      <c r="AV577" s="546" t="s">
        <v>334</v>
      </c>
      <c r="AW577" s="327"/>
      <c r="AX577" s="521"/>
      <c r="AY577" s="326"/>
      <c r="AZ577" s="327"/>
      <c r="BA577" s="536"/>
      <c r="BB577" s="327"/>
      <c r="BC577" s="25"/>
      <c r="BD577" s="544" t="s">
        <v>334</v>
      </c>
      <c r="BE577" s="327"/>
      <c r="BF577" s="552"/>
      <c r="BG577" s="326"/>
      <c r="BH577" s="326"/>
      <c r="BI577" s="327"/>
      <c r="BJ577" s="557" t="s">
        <v>303</v>
      </c>
      <c r="BK577" s="326"/>
      <c r="BL577" s="326"/>
      <c r="BM577" s="327"/>
      <c r="BN577" s="558" t="s">
        <v>303</v>
      </c>
      <c r="BO577" s="326"/>
      <c r="BP577" s="326"/>
      <c r="BQ577" s="326"/>
      <c r="BR577" s="326"/>
      <c r="BS577" s="326"/>
      <c r="BT577" s="326"/>
      <c r="BU577" s="326"/>
      <c r="BV577" s="327"/>
    </row>
    <row r="578" spans="1:74" ht="45" customHeight="1" x14ac:dyDescent="0.25">
      <c r="A578" s="10">
        <f t="shared" si="2"/>
        <v>564</v>
      </c>
      <c r="B578" s="564" t="s">
        <v>303</v>
      </c>
      <c r="C578" s="327"/>
      <c r="D578" s="565" t="s">
        <v>307</v>
      </c>
      <c r="E578" s="327"/>
      <c r="F578" s="537" t="s">
        <v>334</v>
      </c>
      <c r="G578" s="327"/>
      <c r="H578" s="561" t="s">
        <v>334</v>
      </c>
      <c r="I578" s="327"/>
      <c r="J578" s="26"/>
      <c r="K578" s="27"/>
      <c r="L578" s="26"/>
      <c r="M578" s="27"/>
      <c r="N578" s="23"/>
      <c r="O578" s="21"/>
      <c r="P578" s="563"/>
      <c r="Q578" s="327"/>
      <c r="R578" s="516"/>
      <c r="S578" s="327"/>
      <c r="T578" s="517"/>
      <c r="U578" s="327"/>
      <c r="V578" s="518"/>
      <c r="W578" s="327"/>
      <c r="X578" s="438" t="s">
        <v>303</v>
      </c>
      <c r="Y578" s="326"/>
      <c r="Z578" s="326"/>
      <c r="AA578" s="327"/>
      <c r="AB578" s="519" t="s">
        <v>303</v>
      </c>
      <c r="AC578" s="326"/>
      <c r="AD578" s="326"/>
      <c r="AE578" s="327"/>
      <c r="AF578" s="520"/>
      <c r="AG578" s="327"/>
      <c r="AH578" s="520"/>
      <c r="AI578" s="327"/>
      <c r="AJ578" s="536"/>
      <c r="AK578" s="327"/>
      <c r="AL578" s="556" t="s">
        <v>334</v>
      </c>
      <c r="AM578" s="327"/>
      <c r="AN578" s="553" t="s">
        <v>334</v>
      </c>
      <c r="AO578" s="327"/>
      <c r="AP578" s="547"/>
      <c r="AQ578" s="327"/>
      <c r="AR578" s="548"/>
      <c r="AS578" s="327"/>
      <c r="AT578" s="549"/>
      <c r="AU578" s="327"/>
      <c r="AV578" s="553" t="s">
        <v>334</v>
      </c>
      <c r="AW578" s="327"/>
      <c r="AX578" s="521"/>
      <c r="AY578" s="326"/>
      <c r="AZ578" s="327"/>
      <c r="BA578" s="550"/>
      <c r="BB578" s="327"/>
      <c r="BC578" s="22"/>
      <c r="BD578" s="551" t="s">
        <v>334</v>
      </c>
      <c r="BE578" s="327"/>
      <c r="BF578" s="545"/>
      <c r="BG578" s="326"/>
      <c r="BH578" s="326"/>
      <c r="BI578" s="327"/>
      <c r="BJ578" s="451" t="s">
        <v>303</v>
      </c>
      <c r="BK578" s="326"/>
      <c r="BL578" s="326"/>
      <c r="BM578" s="327"/>
      <c r="BN578" s="558" t="s">
        <v>303</v>
      </c>
      <c r="BO578" s="326"/>
      <c r="BP578" s="326"/>
      <c r="BQ578" s="326"/>
      <c r="BR578" s="326"/>
      <c r="BS578" s="326"/>
      <c r="BT578" s="326"/>
      <c r="BU578" s="326"/>
      <c r="BV578" s="327"/>
    </row>
    <row r="579" spans="1:74" ht="45" customHeight="1" x14ac:dyDescent="0.25">
      <c r="A579" s="10">
        <f t="shared" si="2"/>
        <v>565</v>
      </c>
      <c r="B579" s="559" t="s">
        <v>303</v>
      </c>
      <c r="C579" s="327"/>
      <c r="D579" s="560" t="s">
        <v>307</v>
      </c>
      <c r="E579" s="327"/>
      <c r="F579" s="537" t="s">
        <v>334</v>
      </c>
      <c r="G579" s="327"/>
      <c r="H579" s="566" t="s">
        <v>334</v>
      </c>
      <c r="I579" s="327"/>
      <c r="J579" s="567"/>
      <c r="K579" s="327"/>
      <c r="L579" s="567"/>
      <c r="M579" s="327"/>
      <c r="N579" s="20"/>
      <c r="O579" s="24"/>
      <c r="P579" s="563"/>
      <c r="Q579" s="327"/>
      <c r="R579" s="538"/>
      <c r="S579" s="327"/>
      <c r="T579" s="539"/>
      <c r="U579" s="327"/>
      <c r="V579" s="540"/>
      <c r="W579" s="327"/>
      <c r="X579" s="541" t="s">
        <v>303</v>
      </c>
      <c r="Y579" s="326"/>
      <c r="Z579" s="326"/>
      <c r="AA579" s="327"/>
      <c r="AB579" s="542" t="s">
        <v>303</v>
      </c>
      <c r="AC579" s="326"/>
      <c r="AD579" s="326"/>
      <c r="AE579" s="327"/>
      <c r="AF579" s="543"/>
      <c r="AG579" s="327"/>
      <c r="AH579" s="543"/>
      <c r="AI579" s="327"/>
      <c r="AJ579" s="554"/>
      <c r="AK579" s="327"/>
      <c r="AL579" s="537" t="s">
        <v>334</v>
      </c>
      <c r="AM579" s="327"/>
      <c r="AN579" s="546" t="s">
        <v>334</v>
      </c>
      <c r="AO579" s="327"/>
      <c r="AP579" s="554"/>
      <c r="AQ579" s="327"/>
      <c r="AR579" s="555"/>
      <c r="AS579" s="327"/>
      <c r="AT579" s="549"/>
      <c r="AU579" s="327"/>
      <c r="AV579" s="546" t="s">
        <v>334</v>
      </c>
      <c r="AW579" s="327"/>
      <c r="AX579" s="521"/>
      <c r="AY579" s="326"/>
      <c r="AZ579" s="327"/>
      <c r="BA579" s="536"/>
      <c r="BB579" s="327"/>
      <c r="BC579" s="25"/>
      <c r="BD579" s="544" t="s">
        <v>334</v>
      </c>
      <c r="BE579" s="327"/>
      <c r="BF579" s="508"/>
      <c r="BG579" s="326"/>
      <c r="BH579" s="326"/>
      <c r="BI579" s="327"/>
      <c r="BJ579" s="557" t="s">
        <v>303</v>
      </c>
      <c r="BK579" s="326"/>
      <c r="BL579" s="326"/>
      <c r="BM579" s="327"/>
      <c r="BN579" s="558" t="s">
        <v>303</v>
      </c>
      <c r="BO579" s="326"/>
      <c r="BP579" s="326"/>
      <c r="BQ579" s="326"/>
      <c r="BR579" s="326"/>
      <c r="BS579" s="326"/>
      <c r="BT579" s="326"/>
      <c r="BU579" s="326"/>
      <c r="BV579" s="327"/>
    </row>
    <row r="580" spans="1:74" ht="45" customHeight="1" x14ac:dyDescent="0.25">
      <c r="A580" s="10">
        <f t="shared" si="2"/>
        <v>566</v>
      </c>
      <c r="B580" s="564" t="s">
        <v>303</v>
      </c>
      <c r="C580" s="327"/>
      <c r="D580" s="565" t="s">
        <v>307</v>
      </c>
      <c r="E580" s="327"/>
      <c r="F580" s="537" t="s">
        <v>334</v>
      </c>
      <c r="G580" s="327"/>
      <c r="H580" s="561" t="s">
        <v>334</v>
      </c>
      <c r="I580" s="327"/>
      <c r="J580" s="26"/>
      <c r="K580" s="27"/>
      <c r="L580" s="26"/>
      <c r="M580" s="27"/>
      <c r="N580" s="23"/>
      <c r="O580" s="21"/>
      <c r="P580" s="524"/>
      <c r="Q580" s="327"/>
      <c r="R580" s="516"/>
      <c r="S580" s="327"/>
      <c r="T580" s="517"/>
      <c r="U580" s="327"/>
      <c r="V580" s="518"/>
      <c r="W580" s="327"/>
      <c r="X580" s="438" t="s">
        <v>303</v>
      </c>
      <c r="Y580" s="326"/>
      <c r="Z580" s="326"/>
      <c r="AA580" s="327"/>
      <c r="AB580" s="519" t="s">
        <v>303</v>
      </c>
      <c r="AC580" s="326"/>
      <c r="AD580" s="326"/>
      <c r="AE580" s="327"/>
      <c r="AF580" s="520"/>
      <c r="AG580" s="327"/>
      <c r="AH580" s="520"/>
      <c r="AI580" s="327"/>
      <c r="AJ580" s="536"/>
      <c r="AK580" s="327"/>
      <c r="AL580" s="556" t="s">
        <v>334</v>
      </c>
      <c r="AM580" s="327"/>
      <c r="AN580" s="553" t="s">
        <v>334</v>
      </c>
      <c r="AO580" s="327"/>
      <c r="AP580" s="547"/>
      <c r="AQ580" s="327"/>
      <c r="AR580" s="548"/>
      <c r="AS580" s="327"/>
      <c r="AT580" s="549"/>
      <c r="AU580" s="327"/>
      <c r="AV580" s="553" t="s">
        <v>334</v>
      </c>
      <c r="AW580" s="327"/>
      <c r="AX580" s="521"/>
      <c r="AY580" s="326"/>
      <c r="AZ580" s="327"/>
      <c r="BA580" s="550"/>
      <c r="BB580" s="327"/>
      <c r="BC580" s="22"/>
      <c r="BD580" s="551" t="s">
        <v>334</v>
      </c>
      <c r="BE580" s="327"/>
      <c r="BF580" s="545"/>
      <c r="BG580" s="326"/>
      <c r="BH580" s="326"/>
      <c r="BI580" s="327"/>
      <c r="BJ580" s="451" t="s">
        <v>303</v>
      </c>
      <c r="BK580" s="326"/>
      <c r="BL580" s="326"/>
      <c r="BM580" s="327"/>
      <c r="BN580" s="558" t="s">
        <v>303</v>
      </c>
      <c r="BO580" s="326"/>
      <c r="BP580" s="326"/>
      <c r="BQ580" s="326"/>
      <c r="BR580" s="326"/>
      <c r="BS580" s="326"/>
      <c r="BT580" s="326"/>
      <c r="BU580" s="326"/>
      <c r="BV580" s="327"/>
    </row>
    <row r="581" spans="1:74" ht="45" customHeight="1" x14ac:dyDescent="0.25">
      <c r="A581" s="10">
        <f t="shared" si="2"/>
        <v>567</v>
      </c>
      <c r="B581" s="559" t="s">
        <v>303</v>
      </c>
      <c r="C581" s="327"/>
      <c r="D581" s="560" t="s">
        <v>307</v>
      </c>
      <c r="E581" s="327"/>
      <c r="F581" s="537" t="s">
        <v>334</v>
      </c>
      <c r="G581" s="327"/>
      <c r="H581" s="566" t="s">
        <v>334</v>
      </c>
      <c r="I581" s="327"/>
      <c r="J581" s="567"/>
      <c r="K581" s="327"/>
      <c r="L581" s="567"/>
      <c r="M581" s="327"/>
      <c r="N581" s="20"/>
      <c r="O581" s="24"/>
      <c r="P581" s="563"/>
      <c r="Q581" s="327"/>
      <c r="R581" s="538"/>
      <c r="S581" s="327"/>
      <c r="T581" s="539"/>
      <c r="U581" s="327"/>
      <c r="V581" s="540"/>
      <c r="W581" s="327"/>
      <c r="X581" s="541" t="s">
        <v>303</v>
      </c>
      <c r="Y581" s="326"/>
      <c r="Z581" s="326"/>
      <c r="AA581" s="327"/>
      <c r="AB581" s="542" t="s">
        <v>303</v>
      </c>
      <c r="AC581" s="326"/>
      <c r="AD581" s="326"/>
      <c r="AE581" s="327"/>
      <c r="AF581" s="543"/>
      <c r="AG581" s="327"/>
      <c r="AH581" s="543"/>
      <c r="AI581" s="327"/>
      <c r="AJ581" s="554"/>
      <c r="AK581" s="327"/>
      <c r="AL581" s="537" t="s">
        <v>334</v>
      </c>
      <c r="AM581" s="327"/>
      <c r="AN581" s="546" t="s">
        <v>334</v>
      </c>
      <c r="AO581" s="327"/>
      <c r="AP581" s="554"/>
      <c r="AQ581" s="327"/>
      <c r="AR581" s="555"/>
      <c r="AS581" s="327"/>
      <c r="AT581" s="549"/>
      <c r="AU581" s="327"/>
      <c r="AV581" s="546" t="s">
        <v>334</v>
      </c>
      <c r="AW581" s="327"/>
      <c r="AX581" s="521"/>
      <c r="AY581" s="326"/>
      <c r="AZ581" s="327"/>
      <c r="BA581" s="536"/>
      <c r="BB581" s="327"/>
      <c r="BC581" s="25"/>
      <c r="BD581" s="544" t="s">
        <v>334</v>
      </c>
      <c r="BE581" s="327"/>
      <c r="BF581" s="552"/>
      <c r="BG581" s="326"/>
      <c r="BH581" s="326"/>
      <c r="BI581" s="327"/>
      <c r="BJ581" s="557" t="s">
        <v>303</v>
      </c>
      <c r="BK581" s="326"/>
      <c r="BL581" s="326"/>
      <c r="BM581" s="327"/>
      <c r="BN581" s="558" t="s">
        <v>303</v>
      </c>
      <c r="BO581" s="326"/>
      <c r="BP581" s="326"/>
      <c r="BQ581" s="326"/>
      <c r="BR581" s="326"/>
      <c r="BS581" s="326"/>
      <c r="BT581" s="326"/>
      <c r="BU581" s="326"/>
      <c r="BV581" s="327"/>
    </row>
    <row r="582" spans="1:74" ht="45" customHeight="1" x14ac:dyDescent="0.25">
      <c r="A582" s="10">
        <f t="shared" si="2"/>
        <v>568</v>
      </c>
      <c r="B582" s="564" t="s">
        <v>303</v>
      </c>
      <c r="C582" s="327"/>
      <c r="D582" s="565" t="s">
        <v>307</v>
      </c>
      <c r="E582" s="327"/>
      <c r="F582" s="537" t="s">
        <v>334</v>
      </c>
      <c r="G582" s="327"/>
      <c r="H582" s="561" t="s">
        <v>334</v>
      </c>
      <c r="I582" s="327"/>
      <c r="J582" s="26"/>
      <c r="K582" s="27"/>
      <c r="L582" s="26"/>
      <c r="M582" s="27"/>
      <c r="N582" s="23"/>
      <c r="O582" s="21"/>
      <c r="P582" s="524"/>
      <c r="Q582" s="327"/>
      <c r="R582" s="516"/>
      <c r="S582" s="327"/>
      <c r="T582" s="517"/>
      <c r="U582" s="327"/>
      <c r="V582" s="518"/>
      <c r="W582" s="327"/>
      <c r="X582" s="438" t="s">
        <v>303</v>
      </c>
      <c r="Y582" s="326"/>
      <c r="Z582" s="326"/>
      <c r="AA582" s="327"/>
      <c r="AB582" s="519" t="s">
        <v>303</v>
      </c>
      <c r="AC582" s="326"/>
      <c r="AD582" s="326"/>
      <c r="AE582" s="327"/>
      <c r="AF582" s="520"/>
      <c r="AG582" s="327"/>
      <c r="AH582" s="520"/>
      <c r="AI582" s="327"/>
      <c r="AJ582" s="536"/>
      <c r="AK582" s="327"/>
      <c r="AL582" s="556" t="s">
        <v>334</v>
      </c>
      <c r="AM582" s="327"/>
      <c r="AN582" s="553" t="s">
        <v>334</v>
      </c>
      <c r="AO582" s="327"/>
      <c r="AP582" s="547"/>
      <c r="AQ582" s="327"/>
      <c r="AR582" s="548"/>
      <c r="AS582" s="327"/>
      <c r="AT582" s="549"/>
      <c r="AU582" s="327"/>
      <c r="AV582" s="553" t="s">
        <v>334</v>
      </c>
      <c r="AW582" s="327"/>
      <c r="AX582" s="521"/>
      <c r="AY582" s="326"/>
      <c r="AZ582" s="327"/>
      <c r="BA582" s="550"/>
      <c r="BB582" s="327"/>
      <c r="BC582" s="22"/>
      <c r="BD582" s="551" t="s">
        <v>334</v>
      </c>
      <c r="BE582" s="327"/>
      <c r="BF582" s="545"/>
      <c r="BG582" s="326"/>
      <c r="BH582" s="326"/>
      <c r="BI582" s="327"/>
      <c r="BJ582" s="451" t="s">
        <v>303</v>
      </c>
      <c r="BK582" s="326"/>
      <c r="BL582" s="326"/>
      <c r="BM582" s="327"/>
      <c r="BN582" s="558" t="s">
        <v>303</v>
      </c>
      <c r="BO582" s="326"/>
      <c r="BP582" s="326"/>
      <c r="BQ582" s="326"/>
      <c r="BR582" s="326"/>
      <c r="BS582" s="326"/>
      <c r="BT582" s="326"/>
      <c r="BU582" s="326"/>
      <c r="BV582" s="327"/>
    </row>
    <row r="583" spans="1:74" ht="45" customHeight="1" x14ac:dyDescent="0.25">
      <c r="A583" s="10">
        <f t="shared" si="2"/>
        <v>569</v>
      </c>
      <c r="B583" s="559" t="s">
        <v>303</v>
      </c>
      <c r="C583" s="327"/>
      <c r="D583" s="560" t="s">
        <v>307</v>
      </c>
      <c r="E583" s="327"/>
      <c r="F583" s="537" t="s">
        <v>334</v>
      </c>
      <c r="G583" s="327"/>
      <c r="H583" s="566" t="s">
        <v>334</v>
      </c>
      <c r="I583" s="327"/>
      <c r="J583" s="567"/>
      <c r="K583" s="327"/>
      <c r="L583" s="567"/>
      <c r="M583" s="327"/>
      <c r="N583" s="20"/>
      <c r="O583" s="24"/>
      <c r="P583" s="563"/>
      <c r="Q583" s="327"/>
      <c r="R583" s="538"/>
      <c r="S583" s="327"/>
      <c r="T583" s="539"/>
      <c r="U583" s="327"/>
      <c r="V583" s="540"/>
      <c r="W583" s="327"/>
      <c r="X583" s="541" t="s">
        <v>303</v>
      </c>
      <c r="Y583" s="326"/>
      <c r="Z583" s="326"/>
      <c r="AA583" s="327"/>
      <c r="AB583" s="542" t="s">
        <v>303</v>
      </c>
      <c r="AC583" s="326"/>
      <c r="AD583" s="326"/>
      <c r="AE583" s="327"/>
      <c r="AF583" s="543"/>
      <c r="AG583" s="327"/>
      <c r="AH583" s="543"/>
      <c r="AI583" s="327"/>
      <c r="AJ583" s="554"/>
      <c r="AK583" s="327"/>
      <c r="AL583" s="537" t="s">
        <v>334</v>
      </c>
      <c r="AM583" s="327"/>
      <c r="AN583" s="546" t="s">
        <v>334</v>
      </c>
      <c r="AO583" s="327"/>
      <c r="AP583" s="554"/>
      <c r="AQ583" s="327"/>
      <c r="AR583" s="555"/>
      <c r="AS583" s="327"/>
      <c r="AT583" s="549"/>
      <c r="AU583" s="327"/>
      <c r="AV583" s="546" t="s">
        <v>334</v>
      </c>
      <c r="AW583" s="327"/>
      <c r="AX583" s="521"/>
      <c r="AY583" s="326"/>
      <c r="AZ583" s="327"/>
      <c r="BA583" s="536"/>
      <c r="BB583" s="327"/>
      <c r="BC583" s="25"/>
      <c r="BD583" s="544" t="s">
        <v>334</v>
      </c>
      <c r="BE583" s="327"/>
      <c r="BF583" s="508"/>
      <c r="BG583" s="326"/>
      <c r="BH583" s="326"/>
      <c r="BI583" s="327"/>
      <c r="BJ583" s="557" t="s">
        <v>303</v>
      </c>
      <c r="BK583" s="326"/>
      <c r="BL583" s="326"/>
      <c r="BM583" s="327"/>
      <c r="BN583" s="558" t="s">
        <v>303</v>
      </c>
      <c r="BO583" s="326"/>
      <c r="BP583" s="326"/>
      <c r="BQ583" s="326"/>
      <c r="BR583" s="326"/>
      <c r="BS583" s="326"/>
      <c r="BT583" s="326"/>
      <c r="BU583" s="326"/>
      <c r="BV583" s="327"/>
    </row>
    <row r="584" spans="1:74" ht="45" customHeight="1" x14ac:dyDescent="0.25">
      <c r="A584" s="10">
        <f t="shared" si="2"/>
        <v>570</v>
      </c>
      <c r="B584" s="564" t="s">
        <v>303</v>
      </c>
      <c r="C584" s="327"/>
      <c r="D584" s="565" t="s">
        <v>307</v>
      </c>
      <c r="E584" s="327"/>
      <c r="F584" s="537" t="s">
        <v>334</v>
      </c>
      <c r="G584" s="327"/>
      <c r="H584" s="561" t="s">
        <v>334</v>
      </c>
      <c r="I584" s="327"/>
      <c r="J584" s="26"/>
      <c r="K584" s="27"/>
      <c r="L584" s="26"/>
      <c r="M584" s="27"/>
      <c r="N584" s="23"/>
      <c r="O584" s="21"/>
      <c r="P584" s="524"/>
      <c r="Q584" s="327"/>
      <c r="R584" s="516"/>
      <c r="S584" s="327"/>
      <c r="T584" s="517"/>
      <c r="U584" s="327"/>
      <c r="V584" s="518"/>
      <c r="W584" s="327"/>
      <c r="X584" s="438" t="s">
        <v>303</v>
      </c>
      <c r="Y584" s="326"/>
      <c r="Z584" s="326"/>
      <c r="AA584" s="327"/>
      <c r="AB584" s="519" t="s">
        <v>303</v>
      </c>
      <c r="AC584" s="326"/>
      <c r="AD584" s="326"/>
      <c r="AE584" s="327"/>
      <c r="AF584" s="520"/>
      <c r="AG584" s="327"/>
      <c r="AH584" s="520"/>
      <c r="AI584" s="327"/>
      <c r="AJ584" s="536"/>
      <c r="AK584" s="327"/>
      <c r="AL584" s="556" t="s">
        <v>334</v>
      </c>
      <c r="AM584" s="327"/>
      <c r="AN584" s="553" t="s">
        <v>334</v>
      </c>
      <c r="AO584" s="327"/>
      <c r="AP584" s="547"/>
      <c r="AQ584" s="327"/>
      <c r="AR584" s="548"/>
      <c r="AS584" s="327"/>
      <c r="AT584" s="549"/>
      <c r="AU584" s="327"/>
      <c r="AV584" s="553" t="s">
        <v>334</v>
      </c>
      <c r="AW584" s="327"/>
      <c r="AX584" s="521"/>
      <c r="AY584" s="326"/>
      <c r="AZ584" s="327"/>
      <c r="BA584" s="550"/>
      <c r="BB584" s="327"/>
      <c r="BC584" s="22"/>
      <c r="BD584" s="551" t="s">
        <v>334</v>
      </c>
      <c r="BE584" s="327"/>
      <c r="BF584" s="545"/>
      <c r="BG584" s="326"/>
      <c r="BH584" s="326"/>
      <c r="BI584" s="327"/>
      <c r="BJ584" s="451" t="s">
        <v>303</v>
      </c>
      <c r="BK584" s="326"/>
      <c r="BL584" s="326"/>
      <c r="BM584" s="327"/>
      <c r="BN584" s="558" t="s">
        <v>303</v>
      </c>
      <c r="BO584" s="326"/>
      <c r="BP584" s="326"/>
      <c r="BQ584" s="326"/>
      <c r="BR584" s="326"/>
      <c r="BS584" s="326"/>
      <c r="BT584" s="326"/>
      <c r="BU584" s="326"/>
      <c r="BV584" s="327"/>
    </row>
    <row r="585" spans="1:74" ht="45" customHeight="1" x14ac:dyDescent="0.25">
      <c r="A585" s="10">
        <f t="shared" si="2"/>
        <v>571</v>
      </c>
      <c r="B585" s="559" t="s">
        <v>303</v>
      </c>
      <c r="C585" s="327"/>
      <c r="D585" s="560" t="s">
        <v>307</v>
      </c>
      <c r="E585" s="327"/>
      <c r="F585" s="537" t="s">
        <v>334</v>
      </c>
      <c r="G585" s="327"/>
      <c r="H585" s="566" t="s">
        <v>334</v>
      </c>
      <c r="I585" s="327"/>
      <c r="J585" s="567"/>
      <c r="K585" s="327"/>
      <c r="L585" s="567"/>
      <c r="M585" s="327"/>
      <c r="N585" s="20"/>
      <c r="O585" s="24"/>
      <c r="P585" s="563"/>
      <c r="Q585" s="327"/>
      <c r="R585" s="538"/>
      <c r="S585" s="327"/>
      <c r="T585" s="539"/>
      <c r="U585" s="327"/>
      <c r="V585" s="540"/>
      <c r="W585" s="327"/>
      <c r="X585" s="541" t="s">
        <v>303</v>
      </c>
      <c r="Y585" s="326"/>
      <c r="Z585" s="326"/>
      <c r="AA585" s="327"/>
      <c r="AB585" s="542" t="s">
        <v>303</v>
      </c>
      <c r="AC585" s="326"/>
      <c r="AD585" s="326"/>
      <c r="AE585" s="327"/>
      <c r="AF585" s="543"/>
      <c r="AG585" s="327"/>
      <c r="AH585" s="543"/>
      <c r="AI585" s="327"/>
      <c r="AJ585" s="554"/>
      <c r="AK585" s="327"/>
      <c r="AL585" s="537" t="s">
        <v>334</v>
      </c>
      <c r="AM585" s="327"/>
      <c r="AN585" s="546" t="s">
        <v>334</v>
      </c>
      <c r="AO585" s="327"/>
      <c r="AP585" s="554"/>
      <c r="AQ585" s="327"/>
      <c r="AR585" s="555"/>
      <c r="AS585" s="327"/>
      <c r="AT585" s="549"/>
      <c r="AU585" s="327"/>
      <c r="AV585" s="546" t="s">
        <v>334</v>
      </c>
      <c r="AW585" s="327"/>
      <c r="AX585" s="521"/>
      <c r="AY585" s="326"/>
      <c r="AZ585" s="327"/>
      <c r="BA585" s="536"/>
      <c r="BB585" s="327"/>
      <c r="BC585" s="25"/>
      <c r="BD585" s="544" t="s">
        <v>334</v>
      </c>
      <c r="BE585" s="327"/>
      <c r="BF585" s="508"/>
      <c r="BG585" s="326"/>
      <c r="BH585" s="326"/>
      <c r="BI585" s="327"/>
      <c r="BJ585" s="557" t="s">
        <v>303</v>
      </c>
      <c r="BK585" s="326"/>
      <c r="BL585" s="326"/>
      <c r="BM585" s="327"/>
      <c r="BN585" s="558" t="s">
        <v>303</v>
      </c>
      <c r="BO585" s="326"/>
      <c r="BP585" s="326"/>
      <c r="BQ585" s="326"/>
      <c r="BR585" s="326"/>
      <c r="BS585" s="326"/>
      <c r="BT585" s="326"/>
      <c r="BU585" s="326"/>
      <c r="BV585" s="327"/>
    </row>
    <row r="586" spans="1:74" ht="45" customHeight="1" x14ac:dyDescent="0.25">
      <c r="A586" s="10">
        <f t="shared" si="2"/>
        <v>572</v>
      </c>
      <c r="B586" s="564" t="s">
        <v>303</v>
      </c>
      <c r="C586" s="327"/>
      <c r="D586" s="565" t="s">
        <v>307</v>
      </c>
      <c r="E586" s="327"/>
      <c r="F586" s="537" t="s">
        <v>334</v>
      </c>
      <c r="G586" s="327"/>
      <c r="H586" s="561" t="s">
        <v>334</v>
      </c>
      <c r="I586" s="327"/>
      <c r="J586" s="26"/>
      <c r="K586" s="27"/>
      <c r="L586" s="26"/>
      <c r="M586" s="27"/>
      <c r="N586" s="23"/>
      <c r="O586" s="21"/>
      <c r="P586" s="524"/>
      <c r="Q586" s="327"/>
      <c r="R586" s="516"/>
      <c r="S586" s="327"/>
      <c r="T586" s="517"/>
      <c r="U586" s="327"/>
      <c r="V586" s="518"/>
      <c r="W586" s="327"/>
      <c r="X586" s="438" t="s">
        <v>303</v>
      </c>
      <c r="Y586" s="326"/>
      <c r="Z586" s="326"/>
      <c r="AA586" s="327"/>
      <c r="AB586" s="519" t="s">
        <v>303</v>
      </c>
      <c r="AC586" s="326"/>
      <c r="AD586" s="326"/>
      <c r="AE586" s="327"/>
      <c r="AF586" s="520"/>
      <c r="AG586" s="327"/>
      <c r="AH586" s="520"/>
      <c r="AI586" s="327"/>
      <c r="AJ586" s="536"/>
      <c r="AK586" s="327"/>
      <c r="AL586" s="556" t="s">
        <v>334</v>
      </c>
      <c r="AM586" s="327"/>
      <c r="AN586" s="553" t="s">
        <v>334</v>
      </c>
      <c r="AO586" s="327"/>
      <c r="AP586" s="547"/>
      <c r="AQ586" s="327"/>
      <c r="AR586" s="548"/>
      <c r="AS586" s="327"/>
      <c r="AT586" s="549"/>
      <c r="AU586" s="327"/>
      <c r="AV586" s="553" t="s">
        <v>334</v>
      </c>
      <c r="AW586" s="327"/>
      <c r="AX586" s="521"/>
      <c r="AY586" s="326"/>
      <c r="AZ586" s="327"/>
      <c r="BA586" s="550"/>
      <c r="BB586" s="327"/>
      <c r="BC586" s="22"/>
      <c r="BD586" s="551" t="s">
        <v>334</v>
      </c>
      <c r="BE586" s="327"/>
      <c r="BF586" s="545"/>
      <c r="BG586" s="326"/>
      <c r="BH586" s="326"/>
      <c r="BI586" s="327"/>
      <c r="BJ586" s="451" t="s">
        <v>303</v>
      </c>
      <c r="BK586" s="326"/>
      <c r="BL586" s="326"/>
      <c r="BM586" s="327"/>
      <c r="BN586" s="558" t="s">
        <v>303</v>
      </c>
      <c r="BO586" s="326"/>
      <c r="BP586" s="326"/>
      <c r="BQ586" s="326"/>
      <c r="BR586" s="326"/>
      <c r="BS586" s="326"/>
      <c r="BT586" s="326"/>
      <c r="BU586" s="326"/>
      <c r="BV586" s="327"/>
    </row>
    <row r="587" spans="1:74" ht="45" customHeight="1" x14ac:dyDescent="0.25">
      <c r="A587" s="10">
        <f t="shared" si="2"/>
        <v>573</v>
      </c>
      <c r="B587" s="559" t="s">
        <v>303</v>
      </c>
      <c r="C587" s="327"/>
      <c r="D587" s="560" t="s">
        <v>307</v>
      </c>
      <c r="E587" s="327"/>
      <c r="F587" s="537" t="s">
        <v>334</v>
      </c>
      <c r="G587" s="327"/>
      <c r="H587" s="566" t="s">
        <v>334</v>
      </c>
      <c r="I587" s="327"/>
      <c r="J587" s="567"/>
      <c r="K587" s="327"/>
      <c r="L587" s="567"/>
      <c r="M587" s="327"/>
      <c r="N587" s="20"/>
      <c r="O587" s="24"/>
      <c r="P587" s="563"/>
      <c r="Q587" s="327"/>
      <c r="R587" s="538"/>
      <c r="S587" s="327"/>
      <c r="T587" s="539"/>
      <c r="U587" s="327"/>
      <c r="V587" s="540"/>
      <c r="W587" s="327"/>
      <c r="X587" s="541" t="s">
        <v>303</v>
      </c>
      <c r="Y587" s="326"/>
      <c r="Z587" s="326"/>
      <c r="AA587" s="327"/>
      <c r="AB587" s="542" t="s">
        <v>303</v>
      </c>
      <c r="AC587" s="326"/>
      <c r="AD587" s="326"/>
      <c r="AE587" s="327"/>
      <c r="AF587" s="543"/>
      <c r="AG587" s="327"/>
      <c r="AH587" s="543"/>
      <c r="AI587" s="327"/>
      <c r="AJ587" s="554"/>
      <c r="AK587" s="327"/>
      <c r="AL587" s="537" t="s">
        <v>334</v>
      </c>
      <c r="AM587" s="327"/>
      <c r="AN587" s="546" t="s">
        <v>334</v>
      </c>
      <c r="AO587" s="327"/>
      <c r="AP587" s="554"/>
      <c r="AQ587" s="327"/>
      <c r="AR587" s="555"/>
      <c r="AS587" s="327"/>
      <c r="AT587" s="549"/>
      <c r="AU587" s="327"/>
      <c r="AV587" s="546" t="s">
        <v>334</v>
      </c>
      <c r="AW587" s="327"/>
      <c r="AX587" s="521"/>
      <c r="AY587" s="326"/>
      <c r="AZ587" s="327"/>
      <c r="BA587" s="536"/>
      <c r="BB587" s="327"/>
      <c r="BC587" s="25"/>
      <c r="BD587" s="544" t="s">
        <v>334</v>
      </c>
      <c r="BE587" s="327"/>
      <c r="BF587" s="552"/>
      <c r="BG587" s="326"/>
      <c r="BH587" s="326"/>
      <c r="BI587" s="327"/>
      <c r="BJ587" s="557" t="s">
        <v>303</v>
      </c>
      <c r="BK587" s="326"/>
      <c r="BL587" s="326"/>
      <c r="BM587" s="327"/>
      <c r="BN587" s="558" t="s">
        <v>303</v>
      </c>
      <c r="BO587" s="326"/>
      <c r="BP587" s="326"/>
      <c r="BQ587" s="326"/>
      <c r="BR587" s="326"/>
      <c r="BS587" s="326"/>
      <c r="BT587" s="326"/>
      <c r="BU587" s="326"/>
      <c r="BV587" s="327"/>
    </row>
    <row r="588" spans="1:74" ht="45" customHeight="1" x14ac:dyDescent="0.25">
      <c r="A588" s="10">
        <f t="shared" si="2"/>
        <v>574</v>
      </c>
      <c r="B588" s="564" t="s">
        <v>303</v>
      </c>
      <c r="C588" s="327"/>
      <c r="D588" s="565" t="s">
        <v>307</v>
      </c>
      <c r="E588" s="327"/>
      <c r="F588" s="537" t="s">
        <v>334</v>
      </c>
      <c r="G588" s="327"/>
      <c r="H588" s="561" t="s">
        <v>334</v>
      </c>
      <c r="I588" s="327"/>
      <c r="J588" s="26"/>
      <c r="K588" s="27"/>
      <c r="L588" s="26"/>
      <c r="M588" s="27"/>
      <c r="N588" s="23"/>
      <c r="O588" s="21"/>
      <c r="P588" s="524"/>
      <c r="Q588" s="327"/>
      <c r="R588" s="516"/>
      <c r="S588" s="327"/>
      <c r="T588" s="517"/>
      <c r="U588" s="327"/>
      <c r="V588" s="518"/>
      <c r="W588" s="327"/>
      <c r="X588" s="438" t="s">
        <v>303</v>
      </c>
      <c r="Y588" s="326"/>
      <c r="Z588" s="326"/>
      <c r="AA588" s="327"/>
      <c r="AB588" s="519" t="s">
        <v>303</v>
      </c>
      <c r="AC588" s="326"/>
      <c r="AD588" s="326"/>
      <c r="AE588" s="327"/>
      <c r="AF588" s="520"/>
      <c r="AG588" s="327"/>
      <c r="AH588" s="520"/>
      <c r="AI588" s="327"/>
      <c r="AJ588" s="536"/>
      <c r="AK588" s="327"/>
      <c r="AL588" s="556" t="s">
        <v>334</v>
      </c>
      <c r="AM588" s="327"/>
      <c r="AN588" s="553" t="s">
        <v>334</v>
      </c>
      <c r="AO588" s="327"/>
      <c r="AP588" s="547"/>
      <c r="AQ588" s="327"/>
      <c r="AR588" s="548"/>
      <c r="AS588" s="327"/>
      <c r="AT588" s="549"/>
      <c r="AU588" s="327"/>
      <c r="AV588" s="553" t="s">
        <v>334</v>
      </c>
      <c r="AW588" s="327"/>
      <c r="AX588" s="521"/>
      <c r="AY588" s="326"/>
      <c r="AZ588" s="327"/>
      <c r="BA588" s="550"/>
      <c r="BB588" s="327"/>
      <c r="BC588" s="22"/>
      <c r="BD588" s="551" t="s">
        <v>334</v>
      </c>
      <c r="BE588" s="327"/>
      <c r="BF588" s="545"/>
      <c r="BG588" s="326"/>
      <c r="BH588" s="326"/>
      <c r="BI588" s="327"/>
      <c r="BJ588" s="451" t="s">
        <v>303</v>
      </c>
      <c r="BK588" s="326"/>
      <c r="BL588" s="326"/>
      <c r="BM588" s="327"/>
      <c r="BN588" s="558" t="s">
        <v>303</v>
      </c>
      <c r="BO588" s="326"/>
      <c r="BP588" s="326"/>
      <c r="BQ588" s="326"/>
      <c r="BR588" s="326"/>
      <c r="BS588" s="326"/>
      <c r="BT588" s="326"/>
      <c r="BU588" s="326"/>
      <c r="BV588" s="327"/>
    </row>
    <row r="589" spans="1:74" ht="45" customHeight="1" x14ac:dyDescent="0.25">
      <c r="A589" s="10">
        <f t="shared" si="2"/>
        <v>575</v>
      </c>
      <c r="B589" s="559" t="s">
        <v>303</v>
      </c>
      <c r="C589" s="327"/>
      <c r="D589" s="560" t="s">
        <v>307</v>
      </c>
      <c r="E589" s="327"/>
      <c r="F589" s="537" t="s">
        <v>334</v>
      </c>
      <c r="G589" s="327"/>
      <c r="H589" s="566" t="s">
        <v>334</v>
      </c>
      <c r="I589" s="327"/>
      <c r="J589" s="567"/>
      <c r="K589" s="327"/>
      <c r="L589" s="567"/>
      <c r="M589" s="327"/>
      <c r="N589" s="20"/>
      <c r="O589" s="24"/>
      <c r="P589" s="563"/>
      <c r="Q589" s="327"/>
      <c r="R589" s="538"/>
      <c r="S589" s="327"/>
      <c r="T589" s="539"/>
      <c r="U589" s="327"/>
      <c r="V589" s="540"/>
      <c r="W589" s="327"/>
      <c r="X589" s="541" t="s">
        <v>303</v>
      </c>
      <c r="Y589" s="326"/>
      <c r="Z589" s="326"/>
      <c r="AA589" s="327"/>
      <c r="AB589" s="542" t="s">
        <v>303</v>
      </c>
      <c r="AC589" s="326"/>
      <c r="AD589" s="326"/>
      <c r="AE589" s="327"/>
      <c r="AF589" s="543"/>
      <c r="AG589" s="327"/>
      <c r="AH589" s="543"/>
      <c r="AI589" s="327"/>
      <c r="AJ589" s="554"/>
      <c r="AK589" s="327"/>
      <c r="AL589" s="537" t="s">
        <v>334</v>
      </c>
      <c r="AM589" s="327"/>
      <c r="AN589" s="546" t="s">
        <v>334</v>
      </c>
      <c r="AO589" s="327"/>
      <c r="AP589" s="554"/>
      <c r="AQ589" s="327"/>
      <c r="AR589" s="555"/>
      <c r="AS589" s="327"/>
      <c r="AT589" s="549"/>
      <c r="AU589" s="327"/>
      <c r="AV589" s="546" t="s">
        <v>334</v>
      </c>
      <c r="AW589" s="327"/>
      <c r="AX589" s="521"/>
      <c r="AY589" s="326"/>
      <c r="AZ589" s="327"/>
      <c r="BA589" s="536"/>
      <c r="BB589" s="327"/>
      <c r="BC589" s="25"/>
      <c r="BD589" s="544" t="s">
        <v>334</v>
      </c>
      <c r="BE589" s="327"/>
      <c r="BF589" s="508"/>
      <c r="BG589" s="326"/>
      <c r="BH589" s="326"/>
      <c r="BI589" s="327"/>
      <c r="BJ589" s="557" t="s">
        <v>303</v>
      </c>
      <c r="BK589" s="326"/>
      <c r="BL589" s="326"/>
      <c r="BM589" s="327"/>
      <c r="BN589" s="558" t="s">
        <v>303</v>
      </c>
      <c r="BO589" s="326"/>
      <c r="BP589" s="326"/>
      <c r="BQ589" s="326"/>
      <c r="BR589" s="326"/>
      <c r="BS589" s="326"/>
      <c r="BT589" s="326"/>
      <c r="BU589" s="326"/>
      <c r="BV589" s="327"/>
    </row>
    <row r="590" spans="1:74" ht="45" customHeight="1" x14ac:dyDescent="0.25">
      <c r="A590" s="10">
        <f t="shared" si="2"/>
        <v>576</v>
      </c>
      <c r="B590" s="564" t="s">
        <v>303</v>
      </c>
      <c r="C590" s="327"/>
      <c r="D590" s="565" t="s">
        <v>307</v>
      </c>
      <c r="E590" s="327"/>
      <c r="F590" s="537" t="s">
        <v>334</v>
      </c>
      <c r="G590" s="327"/>
      <c r="H590" s="561" t="s">
        <v>334</v>
      </c>
      <c r="I590" s="327"/>
      <c r="J590" s="26"/>
      <c r="K590" s="27"/>
      <c r="L590" s="26"/>
      <c r="M590" s="27"/>
      <c r="N590" s="23"/>
      <c r="O590" s="21"/>
      <c r="P590" s="524"/>
      <c r="Q590" s="327"/>
      <c r="R590" s="516"/>
      <c r="S590" s="327"/>
      <c r="T590" s="517"/>
      <c r="U590" s="327"/>
      <c r="V590" s="518"/>
      <c r="W590" s="327"/>
      <c r="X590" s="438" t="s">
        <v>303</v>
      </c>
      <c r="Y590" s="326"/>
      <c r="Z590" s="326"/>
      <c r="AA590" s="327"/>
      <c r="AB590" s="519" t="s">
        <v>303</v>
      </c>
      <c r="AC590" s="326"/>
      <c r="AD590" s="326"/>
      <c r="AE590" s="327"/>
      <c r="AF590" s="520"/>
      <c r="AG590" s="327"/>
      <c r="AH590" s="520"/>
      <c r="AI590" s="327"/>
      <c r="AJ590" s="536"/>
      <c r="AK590" s="327"/>
      <c r="AL590" s="556" t="s">
        <v>334</v>
      </c>
      <c r="AM590" s="327"/>
      <c r="AN590" s="553" t="s">
        <v>334</v>
      </c>
      <c r="AO590" s="327"/>
      <c r="AP590" s="547"/>
      <c r="AQ590" s="327"/>
      <c r="AR590" s="548"/>
      <c r="AS590" s="327"/>
      <c r="AT590" s="549"/>
      <c r="AU590" s="327"/>
      <c r="AV590" s="553" t="s">
        <v>334</v>
      </c>
      <c r="AW590" s="327"/>
      <c r="AX590" s="521"/>
      <c r="AY590" s="326"/>
      <c r="AZ590" s="327"/>
      <c r="BA590" s="550"/>
      <c r="BB590" s="327"/>
      <c r="BC590" s="22"/>
      <c r="BD590" s="551" t="s">
        <v>334</v>
      </c>
      <c r="BE590" s="327"/>
      <c r="BF590" s="545"/>
      <c r="BG590" s="326"/>
      <c r="BH590" s="326"/>
      <c r="BI590" s="327"/>
      <c r="BJ590" s="451" t="s">
        <v>303</v>
      </c>
      <c r="BK590" s="326"/>
      <c r="BL590" s="326"/>
      <c r="BM590" s="327"/>
      <c r="BN590" s="558" t="s">
        <v>303</v>
      </c>
      <c r="BO590" s="326"/>
      <c r="BP590" s="326"/>
      <c r="BQ590" s="326"/>
      <c r="BR590" s="326"/>
      <c r="BS590" s="326"/>
      <c r="BT590" s="326"/>
      <c r="BU590" s="326"/>
      <c r="BV590" s="327"/>
    </row>
    <row r="591" spans="1:74" ht="45" customHeight="1" x14ac:dyDescent="0.25">
      <c r="A591" s="10">
        <f t="shared" si="2"/>
        <v>577</v>
      </c>
      <c r="B591" s="559" t="s">
        <v>303</v>
      </c>
      <c r="C591" s="327"/>
      <c r="D591" s="560" t="s">
        <v>307</v>
      </c>
      <c r="E591" s="327"/>
      <c r="F591" s="537" t="s">
        <v>334</v>
      </c>
      <c r="G591" s="327"/>
      <c r="H591" s="566" t="s">
        <v>334</v>
      </c>
      <c r="I591" s="327"/>
      <c r="J591" s="567"/>
      <c r="K591" s="327"/>
      <c r="L591" s="567"/>
      <c r="M591" s="327"/>
      <c r="N591" s="20"/>
      <c r="O591" s="24"/>
      <c r="P591" s="563"/>
      <c r="Q591" s="327"/>
      <c r="R591" s="538"/>
      <c r="S591" s="327"/>
      <c r="T591" s="539"/>
      <c r="U591" s="327"/>
      <c r="V591" s="540"/>
      <c r="W591" s="327"/>
      <c r="X591" s="541" t="s">
        <v>303</v>
      </c>
      <c r="Y591" s="326"/>
      <c r="Z591" s="326"/>
      <c r="AA591" s="327"/>
      <c r="AB591" s="542" t="s">
        <v>303</v>
      </c>
      <c r="AC591" s="326"/>
      <c r="AD591" s="326"/>
      <c r="AE591" s="327"/>
      <c r="AF591" s="543"/>
      <c r="AG591" s="327"/>
      <c r="AH591" s="543"/>
      <c r="AI591" s="327"/>
      <c r="AJ591" s="554"/>
      <c r="AK591" s="327"/>
      <c r="AL591" s="537" t="s">
        <v>334</v>
      </c>
      <c r="AM591" s="327"/>
      <c r="AN591" s="546" t="s">
        <v>334</v>
      </c>
      <c r="AO591" s="327"/>
      <c r="AP591" s="554"/>
      <c r="AQ591" s="327"/>
      <c r="AR591" s="555"/>
      <c r="AS591" s="327"/>
      <c r="AT591" s="549"/>
      <c r="AU591" s="327"/>
      <c r="AV591" s="546" t="s">
        <v>334</v>
      </c>
      <c r="AW591" s="327"/>
      <c r="AX591" s="521"/>
      <c r="AY591" s="326"/>
      <c r="AZ591" s="327"/>
      <c r="BA591" s="536"/>
      <c r="BB591" s="327"/>
      <c r="BC591" s="25"/>
      <c r="BD591" s="544" t="s">
        <v>334</v>
      </c>
      <c r="BE591" s="327"/>
      <c r="BF591" s="552"/>
      <c r="BG591" s="326"/>
      <c r="BH591" s="326"/>
      <c r="BI591" s="327"/>
      <c r="BJ591" s="557" t="s">
        <v>303</v>
      </c>
      <c r="BK591" s="326"/>
      <c r="BL591" s="326"/>
      <c r="BM591" s="327"/>
      <c r="BN591" s="558" t="s">
        <v>303</v>
      </c>
      <c r="BO591" s="326"/>
      <c r="BP591" s="326"/>
      <c r="BQ591" s="326"/>
      <c r="BR591" s="326"/>
      <c r="BS591" s="326"/>
      <c r="BT591" s="326"/>
      <c r="BU591" s="326"/>
      <c r="BV591" s="327"/>
    </row>
    <row r="592" spans="1:74" ht="45" customHeight="1" x14ac:dyDescent="0.25">
      <c r="A592" s="10">
        <f t="shared" si="2"/>
        <v>578</v>
      </c>
      <c r="B592" s="564" t="s">
        <v>303</v>
      </c>
      <c r="C592" s="327"/>
      <c r="D592" s="565" t="s">
        <v>307</v>
      </c>
      <c r="E592" s="327"/>
      <c r="F592" s="537" t="s">
        <v>334</v>
      </c>
      <c r="G592" s="327"/>
      <c r="H592" s="561" t="s">
        <v>334</v>
      </c>
      <c r="I592" s="327"/>
      <c r="J592" s="26"/>
      <c r="K592" s="27"/>
      <c r="L592" s="26"/>
      <c r="M592" s="27"/>
      <c r="N592" s="23"/>
      <c r="O592" s="21"/>
      <c r="P592" s="524"/>
      <c r="Q592" s="327"/>
      <c r="R592" s="516"/>
      <c r="S592" s="327"/>
      <c r="T592" s="517"/>
      <c r="U592" s="327"/>
      <c r="V592" s="518"/>
      <c r="W592" s="327"/>
      <c r="X592" s="438" t="s">
        <v>303</v>
      </c>
      <c r="Y592" s="326"/>
      <c r="Z592" s="326"/>
      <c r="AA592" s="327"/>
      <c r="AB592" s="519" t="s">
        <v>303</v>
      </c>
      <c r="AC592" s="326"/>
      <c r="AD592" s="326"/>
      <c r="AE592" s="327"/>
      <c r="AF592" s="520"/>
      <c r="AG592" s="327"/>
      <c r="AH592" s="520"/>
      <c r="AI592" s="327"/>
      <c r="AJ592" s="536"/>
      <c r="AK592" s="327"/>
      <c r="AL592" s="556" t="s">
        <v>334</v>
      </c>
      <c r="AM592" s="327"/>
      <c r="AN592" s="553" t="s">
        <v>334</v>
      </c>
      <c r="AO592" s="327"/>
      <c r="AP592" s="547"/>
      <c r="AQ592" s="327"/>
      <c r="AR592" s="548"/>
      <c r="AS592" s="327"/>
      <c r="AT592" s="549"/>
      <c r="AU592" s="327"/>
      <c r="AV592" s="553" t="s">
        <v>334</v>
      </c>
      <c r="AW592" s="327"/>
      <c r="AX592" s="521"/>
      <c r="AY592" s="326"/>
      <c r="AZ592" s="327"/>
      <c r="BA592" s="550"/>
      <c r="BB592" s="327"/>
      <c r="BC592" s="22"/>
      <c r="BD592" s="551" t="s">
        <v>334</v>
      </c>
      <c r="BE592" s="327"/>
      <c r="BF592" s="545"/>
      <c r="BG592" s="326"/>
      <c r="BH592" s="326"/>
      <c r="BI592" s="327"/>
      <c r="BJ592" s="451" t="s">
        <v>303</v>
      </c>
      <c r="BK592" s="326"/>
      <c r="BL592" s="326"/>
      <c r="BM592" s="327"/>
      <c r="BN592" s="558" t="s">
        <v>303</v>
      </c>
      <c r="BO592" s="326"/>
      <c r="BP592" s="326"/>
      <c r="BQ592" s="326"/>
      <c r="BR592" s="326"/>
      <c r="BS592" s="326"/>
      <c r="BT592" s="326"/>
      <c r="BU592" s="326"/>
      <c r="BV592" s="327"/>
    </row>
    <row r="593" spans="1:74" ht="45" customHeight="1" x14ac:dyDescent="0.25">
      <c r="A593" s="10">
        <f t="shared" si="2"/>
        <v>579</v>
      </c>
      <c r="B593" s="559" t="s">
        <v>303</v>
      </c>
      <c r="C593" s="327"/>
      <c r="D593" s="560" t="s">
        <v>307</v>
      </c>
      <c r="E593" s="327"/>
      <c r="F593" s="537" t="s">
        <v>334</v>
      </c>
      <c r="G593" s="327"/>
      <c r="H593" s="566" t="s">
        <v>334</v>
      </c>
      <c r="I593" s="327"/>
      <c r="J593" s="567"/>
      <c r="K593" s="327"/>
      <c r="L593" s="567"/>
      <c r="M593" s="327"/>
      <c r="N593" s="20"/>
      <c r="O593" s="21"/>
      <c r="P593" s="524"/>
      <c r="Q593" s="327"/>
      <c r="R593" s="538"/>
      <c r="S593" s="327"/>
      <c r="T593" s="539"/>
      <c r="U593" s="327"/>
      <c r="V593" s="540"/>
      <c r="W593" s="327"/>
      <c r="X593" s="541" t="s">
        <v>303</v>
      </c>
      <c r="Y593" s="326"/>
      <c r="Z593" s="326"/>
      <c r="AA593" s="327"/>
      <c r="AB593" s="542" t="s">
        <v>303</v>
      </c>
      <c r="AC593" s="326"/>
      <c r="AD593" s="326"/>
      <c r="AE593" s="327"/>
      <c r="AF593" s="543"/>
      <c r="AG593" s="327"/>
      <c r="AH593" s="543"/>
      <c r="AI593" s="327"/>
      <c r="AJ593" s="554"/>
      <c r="AK593" s="327"/>
      <c r="AL593" s="537" t="s">
        <v>334</v>
      </c>
      <c r="AM593" s="327"/>
      <c r="AN593" s="546" t="s">
        <v>334</v>
      </c>
      <c r="AO593" s="327"/>
      <c r="AP593" s="554"/>
      <c r="AQ593" s="327"/>
      <c r="AR593" s="555"/>
      <c r="AS593" s="327"/>
      <c r="AT593" s="549"/>
      <c r="AU593" s="327"/>
      <c r="AV593" s="546" t="s">
        <v>334</v>
      </c>
      <c r="AW593" s="327"/>
      <c r="AX593" s="521"/>
      <c r="AY593" s="326"/>
      <c r="AZ593" s="327"/>
      <c r="BA593" s="536"/>
      <c r="BB593" s="327"/>
      <c r="BC593" s="25"/>
      <c r="BD593" s="544" t="s">
        <v>334</v>
      </c>
      <c r="BE593" s="327"/>
      <c r="BF593" s="508"/>
      <c r="BG593" s="326"/>
      <c r="BH593" s="326"/>
      <c r="BI593" s="327"/>
      <c r="BJ593" s="557" t="s">
        <v>303</v>
      </c>
      <c r="BK593" s="326"/>
      <c r="BL593" s="326"/>
      <c r="BM593" s="327"/>
      <c r="BN593" s="558" t="s">
        <v>303</v>
      </c>
      <c r="BO593" s="326"/>
      <c r="BP593" s="326"/>
      <c r="BQ593" s="326"/>
      <c r="BR593" s="326"/>
      <c r="BS593" s="326"/>
      <c r="BT593" s="326"/>
      <c r="BU593" s="326"/>
      <c r="BV593" s="327"/>
    </row>
    <row r="594" spans="1:74" ht="45" customHeight="1" x14ac:dyDescent="0.25">
      <c r="A594" s="10">
        <f t="shared" si="2"/>
        <v>580</v>
      </c>
      <c r="B594" s="564" t="s">
        <v>303</v>
      </c>
      <c r="C594" s="327"/>
      <c r="D594" s="565" t="s">
        <v>307</v>
      </c>
      <c r="E594" s="327"/>
      <c r="F594" s="537" t="s">
        <v>334</v>
      </c>
      <c r="G594" s="327"/>
      <c r="H594" s="561" t="s">
        <v>334</v>
      </c>
      <c r="I594" s="327"/>
      <c r="J594" s="26"/>
      <c r="K594" s="27"/>
      <c r="L594" s="26"/>
      <c r="M594" s="27"/>
      <c r="N594" s="23"/>
      <c r="O594" s="24"/>
      <c r="P594" s="563"/>
      <c r="Q594" s="327"/>
      <c r="R594" s="516"/>
      <c r="S594" s="327"/>
      <c r="T594" s="517"/>
      <c r="U594" s="327"/>
      <c r="V594" s="518"/>
      <c r="W594" s="327"/>
      <c r="X594" s="438" t="s">
        <v>303</v>
      </c>
      <c r="Y594" s="326"/>
      <c r="Z594" s="326"/>
      <c r="AA594" s="327"/>
      <c r="AB594" s="519" t="s">
        <v>303</v>
      </c>
      <c r="AC594" s="326"/>
      <c r="AD594" s="326"/>
      <c r="AE594" s="327"/>
      <c r="AF594" s="520"/>
      <c r="AG594" s="327"/>
      <c r="AH594" s="520"/>
      <c r="AI594" s="327"/>
      <c r="AJ594" s="536"/>
      <c r="AK594" s="327"/>
      <c r="AL594" s="556" t="s">
        <v>334</v>
      </c>
      <c r="AM594" s="327"/>
      <c r="AN594" s="553" t="s">
        <v>334</v>
      </c>
      <c r="AO594" s="327"/>
      <c r="AP594" s="547"/>
      <c r="AQ594" s="327"/>
      <c r="AR594" s="548"/>
      <c r="AS594" s="327"/>
      <c r="AT594" s="549"/>
      <c r="AU594" s="327"/>
      <c r="AV594" s="553" t="s">
        <v>334</v>
      </c>
      <c r="AW594" s="327"/>
      <c r="AX594" s="521"/>
      <c r="AY594" s="326"/>
      <c r="AZ594" s="327"/>
      <c r="BA594" s="550"/>
      <c r="BB594" s="327"/>
      <c r="BC594" s="22"/>
      <c r="BD594" s="551" t="s">
        <v>334</v>
      </c>
      <c r="BE594" s="327"/>
      <c r="BF594" s="545"/>
      <c r="BG594" s="326"/>
      <c r="BH594" s="326"/>
      <c r="BI594" s="327"/>
      <c r="BJ594" s="451" t="s">
        <v>303</v>
      </c>
      <c r="BK594" s="326"/>
      <c r="BL594" s="326"/>
      <c r="BM594" s="327"/>
      <c r="BN594" s="558" t="s">
        <v>303</v>
      </c>
      <c r="BO594" s="326"/>
      <c r="BP594" s="326"/>
      <c r="BQ594" s="326"/>
      <c r="BR594" s="326"/>
      <c r="BS594" s="326"/>
      <c r="BT594" s="326"/>
      <c r="BU594" s="326"/>
      <c r="BV594" s="327"/>
    </row>
    <row r="595" spans="1:74" ht="45" customHeight="1" x14ac:dyDescent="0.25">
      <c r="A595" s="10">
        <f t="shared" si="2"/>
        <v>581</v>
      </c>
      <c r="B595" s="559" t="s">
        <v>303</v>
      </c>
      <c r="C595" s="327"/>
      <c r="D595" s="560" t="s">
        <v>307</v>
      </c>
      <c r="E595" s="327"/>
      <c r="F595" s="537" t="s">
        <v>334</v>
      </c>
      <c r="G595" s="327"/>
      <c r="H595" s="566" t="s">
        <v>334</v>
      </c>
      <c r="I595" s="327"/>
      <c r="J595" s="567"/>
      <c r="K595" s="327"/>
      <c r="L595" s="567"/>
      <c r="M595" s="327"/>
      <c r="N595" s="20"/>
      <c r="O595" s="21"/>
      <c r="P595" s="524"/>
      <c r="Q595" s="327"/>
      <c r="R595" s="538"/>
      <c r="S595" s="327"/>
      <c r="T595" s="539"/>
      <c r="U595" s="327"/>
      <c r="V595" s="540"/>
      <c r="W595" s="327"/>
      <c r="X595" s="541" t="s">
        <v>303</v>
      </c>
      <c r="Y595" s="326"/>
      <c r="Z595" s="326"/>
      <c r="AA595" s="327"/>
      <c r="AB595" s="542" t="s">
        <v>303</v>
      </c>
      <c r="AC595" s="326"/>
      <c r="AD595" s="326"/>
      <c r="AE595" s="327"/>
      <c r="AF595" s="543"/>
      <c r="AG595" s="327"/>
      <c r="AH595" s="543"/>
      <c r="AI595" s="327"/>
      <c r="AJ595" s="554"/>
      <c r="AK595" s="327"/>
      <c r="AL595" s="537" t="s">
        <v>334</v>
      </c>
      <c r="AM595" s="327"/>
      <c r="AN595" s="546" t="s">
        <v>334</v>
      </c>
      <c r="AO595" s="327"/>
      <c r="AP595" s="554"/>
      <c r="AQ595" s="327"/>
      <c r="AR595" s="555"/>
      <c r="AS595" s="327"/>
      <c r="AT595" s="549"/>
      <c r="AU595" s="327"/>
      <c r="AV595" s="546" t="s">
        <v>334</v>
      </c>
      <c r="AW595" s="327"/>
      <c r="AX595" s="521"/>
      <c r="AY595" s="326"/>
      <c r="AZ595" s="327"/>
      <c r="BA595" s="536"/>
      <c r="BB595" s="327"/>
      <c r="BC595" s="25"/>
      <c r="BD595" s="544" t="s">
        <v>334</v>
      </c>
      <c r="BE595" s="327"/>
      <c r="BF595" s="508"/>
      <c r="BG595" s="326"/>
      <c r="BH595" s="326"/>
      <c r="BI595" s="327"/>
      <c r="BJ595" s="557" t="s">
        <v>303</v>
      </c>
      <c r="BK595" s="326"/>
      <c r="BL595" s="326"/>
      <c r="BM595" s="327"/>
      <c r="BN595" s="558" t="s">
        <v>303</v>
      </c>
      <c r="BO595" s="326"/>
      <c r="BP595" s="326"/>
      <c r="BQ595" s="326"/>
      <c r="BR595" s="326"/>
      <c r="BS595" s="326"/>
      <c r="BT595" s="326"/>
      <c r="BU595" s="326"/>
      <c r="BV595" s="327"/>
    </row>
    <row r="596" spans="1:74" ht="45" customHeight="1" x14ac:dyDescent="0.25">
      <c r="A596" s="10">
        <f t="shared" si="2"/>
        <v>582</v>
      </c>
      <c r="B596" s="564" t="s">
        <v>303</v>
      </c>
      <c r="C596" s="327"/>
      <c r="D596" s="565" t="s">
        <v>307</v>
      </c>
      <c r="E596" s="327"/>
      <c r="F596" s="537" t="s">
        <v>334</v>
      </c>
      <c r="G596" s="327"/>
      <c r="H596" s="561" t="s">
        <v>334</v>
      </c>
      <c r="I596" s="327"/>
      <c r="J596" s="26"/>
      <c r="K596" s="27"/>
      <c r="L596" s="26"/>
      <c r="M596" s="27"/>
      <c r="N596" s="23"/>
      <c r="O596" s="24"/>
      <c r="P596" s="563"/>
      <c r="Q596" s="327"/>
      <c r="R596" s="516"/>
      <c r="S596" s="327"/>
      <c r="T596" s="517"/>
      <c r="U596" s="327"/>
      <c r="V596" s="518"/>
      <c r="W596" s="327"/>
      <c r="X596" s="438" t="s">
        <v>303</v>
      </c>
      <c r="Y596" s="326"/>
      <c r="Z596" s="326"/>
      <c r="AA596" s="327"/>
      <c r="AB596" s="519" t="s">
        <v>303</v>
      </c>
      <c r="AC596" s="326"/>
      <c r="AD596" s="326"/>
      <c r="AE596" s="327"/>
      <c r="AF596" s="520"/>
      <c r="AG596" s="327"/>
      <c r="AH596" s="520"/>
      <c r="AI596" s="327"/>
      <c r="AJ596" s="536"/>
      <c r="AK596" s="327"/>
      <c r="AL596" s="556" t="s">
        <v>334</v>
      </c>
      <c r="AM596" s="327"/>
      <c r="AN596" s="553" t="s">
        <v>334</v>
      </c>
      <c r="AO596" s="327"/>
      <c r="AP596" s="547"/>
      <c r="AQ596" s="327"/>
      <c r="AR596" s="548"/>
      <c r="AS596" s="327"/>
      <c r="AT596" s="549"/>
      <c r="AU596" s="327"/>
      <c r="AV596" s="553" t="s">
        <v>334</v>
      </c>
      <c r="AW596" s="327"/>
      <c r="AX596" s="521"/>
      <c r="AY596" s="326"/>
      <c r="AZ596" s="327"/>
      <c r="BA596" s="550"/>
      <c r="BB596" s="327"/>
      <c r="BC596" s="22"/>
      <c r="BD596" s="551" t="s">
        <v>334</v>
      </c>
      <c r="BE596" s="327"/>
      <c r="BF596" s="545"/>
      <c r="BG596" s="326"/>
      <c r="BH596" s="326"/>
      <c r="BI596" s="327"/>
      <c r="BJ596" s="451" t="s">
        <v>303</v>
      </c>
      <c r="BK596" s="326"/>
      <c r="BL596" s="326"/>
      <c r="BM596" s="327"/>
      <c r="BN596" s="558" t="s">
        <v>303</v>
      </c>
      <c r="BO596" s="326"/>
      <c r="BP596" s="326"/>
      <c r="BQ596" s="326"/>
      <c r="BR596" s="326"/>
      <c r="BS596" s="326"/>
      <c r="BT596" s="326"/>
      <c r="BU596" s="326"/>
      <c r="BV596" s="327"/>
    </row>
    <row r="597" spans="1:74" ht="45" customHeight="1" x14ac:dyDescent="0.25">
      <c r="A597" s="10">
        <f t="shared" si="2"/>
        <v>583</v>
      </c>
      <c r="B597" s="559" t="s">
        <v>303</v>
      </c>
      <c r="C597" s="327"/>
      <c r="D597" s="560" t="s">
        <v>307</v>
      </c>
      <c r="E597" s="327"/>
      <c r="F597" s="537" t="s">
        <v>334</v>
      </c>
      <c r="G597" s="327"/>
      <c r="H597" s="566" t="s">
        <v>334</v>
      </c>
      <c r="I597" s="327"/>
      <c r="J597" s="567"/>
      <c r="K597" s="327"/>
      <c r="L597" s="567"/>
      <c r="M597" s="327"/>
      <c r="N597" s="20"/>
      <c r="O597" s="24"/>
      <c r="P597" s="524"/>
      <c r="Q597" s="327"/>
      <c r="R597" s="538"/>
      <c r="S597" s="327"/>
      <c r="T597" s="539"/>
      <c r="U597" s="327"/>
      <c r="V597" s="540"/>
      <c r="W597" s="327"/>
      <c r="X597" s="541" t="s">
        <v>303</v>
      </c>
      <c r="Y597" s="326"/>
      <c r="Z597" s="326"/>
      <c r="AA597" s="327"/>
      <c r="AB597" s="542" t="s">
        <v>303</v>
      </c>
      <c r="AC597" s="326"/>
      <c r="AD597" s="326"/>
      <c r="AE597" s="327"/>
      <c r="AF597" s="543"/>
      <c r="AG597" s="327"/>
      <c r="AH597" s="543"/>
      <c r="AI597" s="327"/>
      <c r="AJ597" s="554"/>
      <c r="AK597" s="327"/>
      <c r="AL597" s="537" t="s">
        <v>334</v>
      </c>
      <c r="AM597" s="327"/>
      <c r="AN597" s="546" t="s">
        <v>334</v>
      </c>
      <c r="AO597" s="327"/>
      <c r="AP597" s="554"/>
      <c r="AQ597" s="327"/>
      <c r="AR597" s="555"/>
      <c r="AS597" s="327"/>
      <c r="AT597" s="549"/>
      <c r="AU597" s="327"/>
      <c r="AV597" s="546" t="s">
        <v>334</v>
      </c>
      <c r="AW597" s="327"/>
      <c r="AX597" s="521"/>
      <c r="AY597" s="326"/>
      <c r="AZ597" s="327"/>
      <c r="BA597" s="536"/>
      <c r="BB597" s="327"/>
      <c r="BC597" s="25"/>
      <c r="BD597" s="544" t="s">
        <v>334</v>
      </c>
      <c r="BE597" s="327"/>
      <c r="BF597" s="552"/>
      <c r="BG597" s="326"/>
      <c r="BH597" s="326"/>
      <c r="BI597" s="327"/>
      <c r="BJ597" s="557" t="s">
        <v>303</v>
      </c>
      <c r="BK597" s="326"/>
      <c r="BL597" s="326"/>
      <c r="BM597" s="327"/>
      <c r="BN597" s="558" t="s">
        <v>303</v>
      </c>
      <c r="BO597" s="326"/>
      <c r="BP597" s="326"/>
      <c r="BQ597" s="326"/>
      <c r="BR597" s="326"/>
      <c r="BS597" s="326"/>
      <c r="BT597" s="326"/>
      <c r="BU597" s="326"/>
      <c r="BV597" s="327"/>
    </row>
    <row r="598" spans="1:74" ht="45" customHeight="1" x14ac:dyDescent="0.25">
      <c r="A598" s="10">
        <f t="shared" si="2"/>
        <v>584</v>
      </c>
      <c r="B598" s="564" t="s">
        <v>303</v>
      </c>
      <c r="C598" s="327"/>
      <c r="D598" s="565" t="s">
        <v>307</v>
      </c>
      <c r="E598" s="327"/>
      <c r="F598" s="537" t="s">
        <v>334</v>
      </c>
      <c r="G598" s="327"/>
      <c r="H598" s="561" t="s">
        <v>334</v>
      </c>
      <c r="I598" s="327"/>
      <c r="J598" s="26"/>
      <c r="K598" s="27"/>
      <c r="L598" s="26"/>
      <c r="M598" s="27"/>
      <c r="N598" s="23"/>
      <c r="O598" s="21"/>
      <c r="P598" s="563"/>
      <c r="Q598" s="327"/>
      <c r="R598" s="516"/>
      <c r="S598" s="327"/>
      <c r="T598" s="517"/>
      <c r="U598" s="327"/>
      <c r="V598" s="518"/>
      <c r="W598" s="327"/>
      <c r="X598" s="438" t="s">
        <v>303</v>
      </c>
      <c r="Y598" s="326"/>
      <c r="Z598" s="326"/>
      <c r="AA598" s="327"/>
      <c r="AB598" s="519" t="s">
        <v>303</v>
      </c>
      <c r="AC598" s="326"/>
      <c r="AD598" s="326"/>
      <c r="AE598" s="327"/>
      <c r="AF598" s="520"/>
      <c r="AG598" s="327"/>
      <c r="AH598" s="520"/>
      <c r="AI598" s="327"/>
      <c r="AJ598" s="536"/>
      <c r="AK598" s="327"/>
      <c r="AL598" s="556" t="s">
        <v>334</v>
      </c>
      <c r="AM598" s="327"/>
      <c r="AN598" s="553" t="s">
        <v>334</v>
      </c>
      <c r="AO598" s="327"/>
      <c r="AP598" s="547"/>
      <c r="AQ598" s="327"/>
      <c r="AR598" s="548"/>
      <c r="AS598" s="327"/>
      <c r="AT598" s="549"/>
      <c r="AU598" s="327"/>
      <c r="AV598" s="553" t="s">
        <v>334</v>
      </c>
      <c r="AW598" s="327"/>
      <c r="AX598" s="521"/>
      <c r="AY598" s="326"/>
      <c r="AZ598" s="327"/>
      <c r="BA598" s="550"/>
      <c r="BB598" s="327"/>
      <c r="BC598" s="22"/>
      <c r="BD598" s="551" t="s">
        <v>334</v>
      </c>
      <c r="BE598" s="327"/>
      <c r="BF598" s="545"/>
      <c r="BG598" s="326"/>
      <c r="BH598" s="326"/>
      <c r="BI598" s="327"/>
      <c r="BJ598" s="451" t="s">
        <v>303</v>
      </c>
      <c r="BK598" s="326"/>
      <c r="BL598" s="326"/>
      <c r="BM598" s="327"/>
      <c r="BN598" s="558" t="s">
        <v>303</v>
      </c>
      <c r="BO598" s="326"/>
      <c r="BP598" s="326"/>
      <c r="BQ598" s="326"/>
      <c r="BR598" s="326"/>
      <c r="BS598" s="326"/>
      <c r="BT598" s="326"/>
      <c r="BU598" s="326"/>
      <c r="BV598" s="327"/>
    </row>
    <row r="599" spans="1:74" ht="45" customHeight="1" x14ac:dyDescent="0.25">
      <c r="A599" s="10">
        <f t="shared" si="2"/>
        <v>585</v>
      </c>
      <c r="B599" s="559" t="s">
        <v>303</v>
      </c>
      <c r="C599" s="327"/>
      <c r="D599" s="560" t="s">
        <v>307</v>
      </c>
      <c r="E599" s="327"/>
      <c r="F599" s="537" t="s">
        <v>334</v>
      </c>
      <c r="G599" s="327"/>
      <c r="H599" s="566" t="s">
        <v>334</v>
      </c>
      <c r="I599" s="327"/>
      <c r="J599" s="567"/>
      <c r="K599" s="327"/>
      <c r="L599" s="567"/>
      <c r="M599" s="327"/>
      <c r="N599" s="20"/>
      <c r="O599" s="24"/>
      <c r="P599" s="524"/>
      <c r="Q599" s="327"/>
      <c r="R599" s="538"/>
      <c r="S599" s="327"/>
      <c r="T599" s="539"/>
      <c r="U599" s="327"/>
      <c r="V599" s="540"/>
      <c r="W599" s="327"/>
      <c r="X599" s="541" t="s">
        <v>303</v>
      </c>
      <c r="Y599" s="326"/>
      <c r="Z599" s="326"/>
      <c r="AA599" s="327"/>
      <c r="AB599" s="542" t="s">
        <v>303</v>
      </c>
      <c r="AC599" s="326"/>
      <c r="AD599" s="326"/>
      <c r="AE599" s="327"/>
      <c r="AF599" s="543"/>
      <c r="AG599" s="327"/>
      <c r="AH599" s="543"/>
      <c r="AI599" s="327"/>
      <c r="AJ599" s="554"/>
      <c r="AK599" s="327"/>
      <c r="AL599" s="537" t="s">
        <v>334</v>
      </c>
      <c r="AM599" s="327"/>
      <c r="AN599" s="546" t="s">
        <v>334</v>
      </c>
      <c r="AO599" s="327"/>
      <c r="AP599" s="554"/>
      <c r="AQ599" s="327"/>
      <c r="AR599" s="555"/>
      <c r="AS599" s="327"/>
      <c r="AT599" s="549"/>
      <c r="AU599" s="327"/>
      <c r="AV599" s="546" t="s">
        <v>334</v>
      </c>
      <c r="AW599" s="327"/>
      <c r="AX599" s="521"/>
      <c r="AY599" s="326"/>
      <c r="AZ599" s="327"/>
      <c r="BA599" s="536"/>
      <c r="BB599" s="327"/>
      <c r="BC599" s="25"/>
      <c r="BD599" s="544" t="s">
        <v>334</v>
      </c>
      <c r="BE599" s="327"/>
      <c r="BF599" s="508"/>
      <c r="BG599" s="326"/>
      <c r="BH599" s="326"/>
      <c r="BI599" s="327"/>
      <c r="BJ599" s="557" t="s">
        <v>303</v>
      </c>
      <c r="BK599" s="326"/>
      <c r="BL599" s="326"/>
      <c r="BM599" s="327"/>
      <c r="BN599" s="558" t="s">
        <v>303</v>
      </c>
      <c r="BO599" s="326"/>
      <c r="BP599" s="326"/>
      <c r="BQ599" s="326"/>
      <c r="BR599" s="326"/>
      <c r="BS599" s="326"/>
      <c r="BT599" s="326"/>
      <c r="BU599" s="326"/>
      <c r="BV599" s="327"/>
    </row>
    <row r="600" spans="1:74" ht="45" customHeight="1" x14ac:dyDescent="0.25">
      <c r="A600" s="10">
        <f t="shared" si="2"/>
        <v>586</v>
      </c>
      <c r="B600" s="564" t="s">
        <v>303</v>
      </c>
      <c r="C600" s="327"/>
      <c r="D600" s="565" t="s">
        <v>307</v>
      </c>
      <c r="E600" s="327"/>
      <c r="F600" s="537" t="s">
        <v>334</v>
      </c>
      <c r="G600" s="327"/>
      <c r="H600" s="561" t="s">
        <v>334</v>
      </c>
      <c r="I600" s="327"/>
      <c r="J600" s="26"/>
      <c r="K600" s="27"/>
      <c r="L600" s="26"/>
      <c r="M600" s="27"/>
      <c r="N600" s="23"/>
      <c r="O600" s="21"/>
      <c r="P600" s="563"/>
      <c r="Q600" s="327"/>
      <c r="R600" s="516"/>
      <c r="S600" s="327"/>
      <c r="T600" s="517"/>
      <c r="U600" s="327"/>
      <c r="V600" s="518"/>
      <c r="W600" s="327"/>
      <c r="X600" s="438" t="s">
        <v>303</v>
      </c>
      <c r="Y600" s="326"/>
      <c r="Z600" s="326"/>
      <c r="AA600" s="327"/>
      <c r="AB600" s="519" t="s">
        <v>303</v>
      </c>
      <c r="AC600" s="326"/>
      <c r="AD600" s="326"/>
      <c r="AE600" s="327"/>
      <c r="AF600" s="520"/>
      <c r="AG600" s="327"/>
      <c r="AH600" s="520"/>
      <c r="AI600" s="327"/>
      <c r="AJ600" s="536"/>
      <c r="AK600" s="327"/>
      <c r="AL600" s="556" t="s">
        <v>334</v>
      </c>
      <c r="AM600" s="327"/>
      <c r="AN600" s="553" t="s">
        <v>334</v>
      </c>
      <c r="AO600" s="327"/>
      <c r="AP600" s="547"/>
      <c r="AQ600" s="327"/>
      <c r="AR600" s="548"/>
      <c r="AS600" s="327"/>
      <c r="AT600" s="549"/>
      <c r="AU600" s="327"/>
      <c r="AV600" s="553" t="s">
        <v>334</v>
      </c>
      <c r="AW600" s="327"/>
      <c r="AX600" s="521"/>
      <c r="AY600" s="326"/>
      <c r="AZ600" s="327"/>
      <c r="BA600" s="550"/>
      <c r="BB600" s="327"/>
      <c r="BC600" s="22"/>
      <c r="BD600" s="551" t="s">
        <v>334</v>
      </c>
      <c r="BE600" s="327"/>
      <c r="BF600" s="545"/>
      <c r="BG600" s="326"/>
      <c r="BH600" s="326"/>
      <c r="BI600" s="327"/>
      <c r="BJ600" s="451" t="s">
        <v>303</v>
      </c>
      <c r="BK600" s="326"/>
      <c r="BL600" s="326"/>
      <c r="BM600" s="327"/>
      <c r="BN600" s="558" t="s">
        <v>303</v>
      </c>
      <c r="BO600" s="326"/>
      <c r="BP600" s="326"/>
      <c r="BQ600" s="326"/>
      <c r="BR600" s="326"/>
      <c r="BS600" s="326"/>
      <c r="BT600" s="326"/>
      <c r="BU600" s="326"/>
      <c r="BV600" s="327"/>
    </row>
    <row r="601" spans="1:74" ht="45" customHeight="1" x14ac:dyDescent="0.25">
      <c r="A601" s="10">
        <f t="shared" si="2"/>
        <v>587</v>
      </c>
      <c r="B601" s="559" t="s">
        <v>303</v>
      </c>
      <c r="C601" s="327"/>
      <c r="D601" s="560" t="s">
        <v>307</v>
      </c>
      <c r="E601" s="327"/>
      <c r="F601" s="537" t="s">
        <v>334</v>
      </c>
      <c r="G601" s="327"/>
      <c r="H601" s="566" t="s">
        <v>334</v>
      </c>
      <c r="I601" s="327"/>
      <c r="J601" s="567"/>
      <c r="K601" s="327"/>
      <c r="L601" s="567"/>
      <c r="M601" s="327"/>
      <c r="N601" s="20"/>
      <c r="O601" s="24"/>
      <c r="P601" s="524"/>
      <c r="Q601" s="327"/>
      <c r="R601" s="538"/>
      <c r="S601" s="327"/>
      <c r="T601" s="539"/>
      <c r="U601" s="327"/>
      <c r="V601" s="540"/>
      <c r="W601" s="327"/>
      <c r="X601" s="541" t="s">
        <v>303</v>
      </c>
      <c r="Y601" s="326"/>
      <c r="Z601" s="326"/>
      <c r="AA601" s="327"/>
      <c r="AB601" s="542" t="s">
        <v>303</v>
      </c>
      <c r="AC601" s="326"/>
      <c r="AD601" s="326"/>
      <c r="AE601" s="327"/>
      <c r="AF601" s="543"/>
      <c r="AG601" s="327"/>
      <c r="AH601" s="543"/>
      <c r="AI601" s="327"/>
      <c r="AJ601" s="554"/>
      <c r="AK601" s="327"/>
      <c r="AL601" s="537" t="s">
        <v>334</v>
      </c>
      <c r="AM601" s="327"/>
      <c r="AN601" s="546" t="s">
        <v>334</v>
      </c>
      <c r="AO601" s="327"/>
      <c r="AP601" s="554"/>
      <c r="AQ601" s="327"/>
      <c r="AR601" s="555"/>
      <c r="AS601" s="327"/>
      <c r="AT601" s="549"/>
      <c r="AU601" s="327"/>
      <c r="AV601" s="546" t="s">
        <v>334</v>
      </c>
      <c r="AW601" s="327"/>
      <c r="AX601" s="521"/>
      <c r="AY601" s="326"/>
      <c r="AZ601" s="327"/>
      <c r="BA601" s="536"/>
      <c r="BB601" s="327"/>
      <c r="BC601" s="25"/>
      <c r="BD601" s="544" t="s">
        <v>334</v>
      </c>
      <c r="BE601" s="327"/>
      <c r="BF601" s="552"/>
      <c r="BG601" s="326"/>
      <c r="BH601" s="326"/>
      <c r="BI601" s="327"/>
      <c r="BJ601" s="557" t="s">
        <v>303</v>
      </c>
      <c r="BK601" s="326"/>
      <c r="BL601" s="326"/>
      <c r="BM601" s="327"/>
      <c r="BN601" s="558" t="s">
        <v>303</v>
      </c>
      <c r="BO601" s="326"/>
      <c r="BP601" s="326"/>
      <c r="BQ601" s="326"/>
      <c r="BR601" s="326"/>
      <c r="BS601" s="326"/>
      <c r="BT601" s="326"/>
      <c r="BU601" s="326"/>
      <c r="BV601" s="327"/>
    </row>
    <row r="602" spans="1:74" ht="45" customHeight="1" x14ac:dyDescent="0.25">
      <c r="A602" s="10">
        <f t="shared" si="2"/>
        <v>588</v>
      </c>
      <c r="B602" s="564" t="s">
        <v>303</v>
      </c>
      <c r="C602" s="327"/>
      <c r="D602" s="565" t="s">
        <v>307</v>
      </c>
      <c r="E602" s="327"/>
      <c r="F602" s="537" t="s">
        <v>334</v>
      </c>
      <c r="G602" s="327"/>
      <c r="H602" s="561" t="s">
        <v>334</v>
      </c>
      <c r="I602" s="327"/>
      <c r="J602" s="26"/>
      <c r="K602" s="27"/>
      <c r="L602" s="26"/>
      <c r="M602" s="27"/>
      <c r="N602" s="23"/>
      <c r="O602" s="21"/>
      <c r="P602" s="563"/>
      <c r="Q602" s="327"/>
      <c r="R602" s="516"/>
      <c r="S602" s="327"/>
      <c r="T602" s="517"/>
      <c r="U602" s="327"/>
      <c r="V602" s="518"/>
      <c r="W602" s="327"/>
      <c r="X602" s="438" t="s">
        <v>303</v>
      </c>
      <c r="Y602" s="326"/>
      <c r="Z602" s="326"/>
      <c r="AA602" s="327"/>
      <c r="AB602" s="519" t="s">
        <v>303</v>
      </c>
      <c r="AC602" s="326"/>
      <c r="AD602" s="326"/>
      <c r="AE602" s="327"/>
      <c r="AF602" s="520"/>
      <c r="AG602" s="327"/>
      <c r="AH602" s="520"/>
      <c r="AI602" s="327"/>
      <c r="AJ602" s="536"/>
      <c r="AK602" s="327"/>
      <c r="AL602" s="556" t="s">
        <v>334</v>
      </c>
      <c r="AM602" s="327"/>
      <c r="AN602" s="553" t="s">
        <v>334</v>
      </c>
      <c r="AO602" s="327"/>
      <c r="AP602" s="547"/>
      <c r="AQ602" s="327"/>
      <c r="AR602" s="548"/>
      <c r="AS602" s="327"/>
      <c r="AT602" s="549"/>
      <c r="AU602" s="327"/>
      <c r="AV602" s="553" t="s">
        <v>334</v>
      </c>
      <c r="AW602" s="327"/>
      <c r="AX602" s="521"/>
      <c r="AY602" s="326"/>
      <c r="AZ602" s="327"/>
      <c r="BA602" s="550"/>
      <c r="BB602" s="327"/>
      <c r="BC602" s="22"/>
      <c r="BD602" s="551" t="s">
        <v>334</v>
      </c>
      <c r="BE602" s="327"/>
      <c r="BF602" s="545"/>
      <c r="BG602" s="326"/>
      <c r="BH602" s="326"/>
      <c r="BI602" s="327"/>
      <c r="BJ602" s="451" t="s">
        <v>303</v>
      </c>
      <c r="BK602" s="326"/>
      <c r="BL602" s="326"/>
      <c r="BM602" s="327"/>
      <c r="BN602" s="558" t="s">
        <v>303</v>
      </c>
      <c r="BO602" s="326"/>
      <c r="BP602" s="326"/>
      <c r="BQ602" s="326"/>
      <c r="BR602" s="326"/>
      <c r="BS602" s="326"/>
      <c r="BT602" s="326"/>
      <c r="BU602" s="326"/>
      <c r="BV602" s="327"/>
    </row>
    <row r="603" spans="1:74" ht="45" customHeight="1" x14ac:dyDescent="0.25">
      <c r="A603" s="10">
        <f t="shared" si="2"/>
        <v>589</v>
      </c>
      <c r="B603" s="559" t="s">
        <v>303</v>
      </c>
      <c r="C603" s="327"/>
      <c r="D603" s="560" t="s">
        <v>307</v>
      </c>
      <c r="E603" s="327"/>
      <c r="F603" s="537" t="s">
        <v>334</v>
      </c>
      <c r="G603" s="327"/>
      <c r="H603" s="566" t="s">
        <v>334</v>
      </c>
      <c r="I603" s="327"/>
      <c r="J603" s="567"/>
      <c r="K603" s="327"/>
      <c r="L603" s="567"/>
      <c r="M603" s="327"/>
      <c r="N603" s="20"/>
      <c r="O603" s="24"/>
      <c r="P603" s="524"/>
      <c r="Q603" s="327"/>
      <c r="R603" s="538"/>
      <c r="S603" s="327"/>
      <c r="T603" s="539"/>
      <c r="U603" s="327"/>
      <c r="V603" s="540"/>
      <c r="W603" s="327"/>
      <c r="X603" s="541" t="s">
        <v>303</v>
      </c>
      <c r="Y603" s="326"/>
      <c r="Z603" s="326"/>
      <c r="AA603" s="327"/>
      <c r="AB603" s="542" t="s">
        <v>303</v>
      </c>
      <c r="AC603" s="326"/>
      <c r="AD603" s="326"/>
      <c r="AE603" s="327"/>
      <c r="AF603" s="543"/>
      <c r="AG603" s="327"/>
      <c r="AH603" s="543"/>
      <c r="AI603" s="327"/>
      <c r="AJ603" s="554"/>
      <c r="AK603" s="327"/>
      <c r="AL603" s="537" t="s">
        <v>334</v>
      </c>
      <c r="AM603" s="327"/>
      <c r="AN603" s="546" t="s">
        <v>334</v>
      </c>
      <c r="AO603" s="327"/>
      <c r="AP603" s="554"/>
      <c r="AQ603" s="327"/>
      <c r="AR603" s="555"/>
      <c r="AS603" s="327"/>
      <c r="AT603" s="549"/>
      <c r="AU603" s="327"/>
      <c r="AV603" s="546" t="s">
        <v>334</v>
      </c>
      <c r="AW603" s="327"/>
      <c r="AX603" s="521"/>
      <c r="AY603" s="326"/>
      <c r="AZ603" s="327"/>
      <c r="BA603" s="536"/>
      <c r="BB603" s="327"/>
      <c r="BC603" s="25"/>
      <c r="BD603" s="544" t="s">
        <v>334</v>
      </c>
      <c r="BE603" s="327"/>
      <c r="BF603" s="508"/>
      <c r="BG603" s="326"/>
      <c r="BH603" s="326"/>
      <c r="BI603" s="327"/>
      <c r="BJ603" s="557" t="s">
        <v>303</v>
      </c>
      <c r="BK603" s="326"/>
      <c r="BL603" s="326"/>
      <c r="BM603" s="327"/>
      <c r="BN603" s="558" t="s">
        <v>303</v>
      </c>
      <c r="BO603" s="326"/>
      <c r="BP603" s="326"/>
      <c r="BQ603" s="326"/>
      <c r="BR603" s="326"/>
      <c r="BS603" s="326"/>
      <c r="BT603" s="326"/>
      <c r="BU603" s="326"/>
      <c r="BV603" s="327"/>
    </row>
    <row r="604" spans="1:74" ht="45" customHeight="1" x14ac:dyDescent="0.25">
      <c r="A604" s="10">
        <f t="shared" si="2"/>
        <v>590</v>
      </c>
      <c r="B604" s="564" t="s">
        <v>303</v>
      </c>
      <c r="C604" s="327"/>
      <c r="D604" s="565" t="s">
        <v>307</v>
      </c>
      <c r="E604" s="327"/>
      <c r="F604" s="537" t="s">
        <v>334</v>
      </c>
      <c r="G604" s="327"/>
      <c r="H604" s="561" t="s">
        <v>334</v>
      </c>
      <c r="I604" s="327"/>
      <c r="J604" s="26"/>
      <c r="K604" s="27"/>
      <c r="L604" s="26"/>
      <c r="M604" s="27"/>
      <c r="N604" s="23"/>
      <c r="O604" s="21"/>
      <c r="P604" s="563"/>
      <c r="Q604" s="327"/>
      <c r="R604" s="516"/>
      <c r="S604" s="327"/>
      <c r="T604" s="517"/>
      <c r="U604" s="327"/>
      <c r="V604" s="518"/>
      <c r="W604" s="327"/>
      <c r="X604" s="438" t="s">
        <v>303</v>
      </c>
      <c r="Y604" s="326"/>
      <c r="Z604" s="326"/>
      <c r="AA604" s="327"/>
      <c r="AB604" s="519" t="s">
        <v>303</v>
      </c>
      <c r="AC604" s="326"/>
      <c r="AD604" s="326"/>
      <c r="AE604" s="327"/>
      <c r="AF604" s="520"/>
      <c r="AG604" s="327"/>
      <c r="AH604" s="520"/>
      <c r="AI604" s="327"/>
      <c r="AJ604" s="536"/>
      <c r="AK604" s="327"/>
      <c r="AL604" s="556" t="s">
        <v>334</v>
      </c>
      <c r="AM604" s="327"/>
      <c r="AN604" s="553" t="s">
        <v>334</v>
      </c>
      <c r="AO604" s="327"/>
      <c r="AP604" s="547"/>
      <c r="AQ604" s="327"/>
      <c r="AR604" s="548"/>
      <c r="AS604" s="327"/>
      <c r="AT604" s="549"/>
      <c r="AU604" s="327"/>
      <c r="AV604" s="553" t="s">
        <v>334</v>
      </c>
      <c r="AW604" s="327"/>
      <c r="AX604" s="521"/>
      <c r="AY604" s="326"/>
      <c r="AZ604" s="327"/>
      <c r="BA604" s="550"/>
      <c r="BB604" s="327"/>
      <c r="BC604" s="22"/>
      <c r="BD604" s="551" t="s">
        <v>334</v>
      </c>
      <c r="BE604" s="327"/>
      <c r="BF604" s="545"/>
      <c r="BG604" s="326"/>
      <c r="BH604" s="326"/>
      <c r="BI604" s="327"/>
      <c r="BJ604" s="451" t="s">
        <v>303</v>
      </c>
      <c r="BK604" s="326"/>
      <c r="BL604" s="326"/>
      <c r="BM604" s="327"/>
      <c r="BN604" s="558" t="s">
        <v>303</v>
      </c>
      <c r="BO604" s="326"/>
      <c r="BP604" s="326"/>
      <c r="BQ604" s="326"/>
      <c r="BR604" s="326"/>
      <c r="BS604" s="326"/>
      <c r="BT604" s="326"/>
      <c r="BU604" s="326"/>
      <c r="BV604" s="327"/>
    </row>
    <row r="605" spans="1:74" ht="45" customHeight="1" x14ac:dyDescent="0.25">
      <c r="A605" s="10">
        <f t="shared" si="2"/>
        <v>591</v>
      </c>
      <c r="B605" s="559" t="s">
        <v>303</v>
      </c>
      <c r="C605" s="327"/>
      <c r="D605" s="560" t="s">
        <v>307</v>
      </c>
      <c r="E605" s="327"/>
      <c r="F605" s="537" t="s">
        <v>334</v>
      </c>
      <c r="G605" s="327"/>
      <c r="H605" s="566" t="s">
        <v>334</v>
      </c>
      <c r="I605" s="327"/>
      <c r="J605" s="567"/>
      <c r="K605" s="327"/>
      <c r="L605" s="567"/>
      <c r="M605" s="327"/>
      <c r="N605" s="20"/>
      <c r="O605" s="24"/>
      <c r="P605" s="524"/>
      <c r="Q605" s="327"/>
      <c r="R605" s="538"/>
      <c r="S605" s="327"/>
      <c r="T605" s="539"/>
      <c r="U605" s="327"/>
      <c r="V605" s="540"/>
      <c r="W605" s="327"/>
      <c r="X605" s="541" t="s">
        <v>303</v>
      </c>
      <c r="Y605" s="326"/>
      <c r="Z605" s="326"/>
      <c r="AA605" s="327"/>
      <c r="AB605" s="542" t="s">
        <v>303</v>
      </c>
      <c r="AC605" s="326"/>
      <c r="AD605" s="326"/>
      <c r="AE605" s="327"/>
      <c r="AF605" s="543"/>
      <c r="AG605" s="327"/>
      <c r="AH605" s="543"/>
      <c r="AI605" s="327"/>
      <c r="AJ605" s="554"/>
      <c r="AK605" s="327"/>
      <c r="AL605" s="537" t="s">
        <v>334</v>
      </c>
      <c r="AM605" s="327"/>
      <c r="AN605" s="546" t="s">
        <v>334</v>
      </c>
      <c r="AO605" s="327"/>
      <c r="AP605" s="554"/>
      <c r="AQ605" s="327"/>
      <c r="AR605" s="555"/>
      <c r="AS605" s="327"/>
      <c r="AT605" s="549"/>
      <c r="AU605" s="327"/>
      <c r="AV605" s="546" t="s">
        <v>334</v>
      </c>
      <c r="AW605" s="327"/>
      <c r="AX605" s="521"/>
      <c r="AY605" s="326"/>
      <c r="AZ605" s="327"/>
      <c r="BA605" s="536"/>
      <c r="BB605" s="327"/>
      <c r="BC605" s="25"/>
      <c r="BD605" s="544" t="s">
        <v>334</v>
      </c>
      <c r="BE605" s="327"/>
      <c r="BF605" s="508"/>
      <c r="BG605" s="326"/>
      <c r="BH605" s="326"/>
      <c r="BI605" s="327"/>
      <c r="BJ605" s="557" t="s">
        <v>303</v>
      </c>
      <c r="BK605" s="326"/>
      <c r="BL605" s="326"/>
      <c r="BM605" s="327"/>
      <c r="BN605" s="558" t="s">
        <v>303</v>
      </c>
      <c r="BO605" s="326"/>
      <c r="BP605" s="326"/>
      <c r="BQ605" s="326"/>
      <c r="BR605" s="326"/>
      <c r="BS605" s="326"/>
      <c r="BT605" s="326"/>
      <c r="BU605" s="326"/>
      <c r="BV605" s="327"/>
    </row>
    <row r="606" spans="1:74" ht="45" customHeight="1" x14ac:dyDescent="0.25">
      <c r="A606" s="10">
        <f t="shared" si="2"/>
        <v>592</v>
      </c>
      <c r="B606" s="564" t="s">
        <v>303</v>
      </c>
      <c r="C606" s="327"/>
      <c r="D606" s="565" t="s">
        <v>307</v>
      </c>
      <c r="E606" s="327"/>
      <c r="F606" s="537" t="s">
        <v>334</v>
      </c>
      <c r="G606" s="327"/>
      <c r="H606" s="561" t="s">
        <v>334</v>
      </c>
      <c r="I606" s="327"/>
      <c r="J606" s="26"/>
      <c r="K606" s="27"/>
      <c r="L606" s="26"/>
      <c r="M606" s="27"/>
      <c r="N606" s="23"/>
      <c r="O606" s="21"/>
      <c r="P606" s="563"/>
      <c r="Q606" s="327"/>
      <c r="R606" s="516"/>
      <c r="S606" s="327"/>
      <c r="T606" s="517"/>
      <c r="U606" s="327"/>
      <c r="V606" s="518"/>
      <c r="W606" s="327"/>
      <c r="X606" s="438" t="s">
        <v>303</v>
      </c>
      <c r="Y606" s="326"/>
      <c r="Z606" s="326"/>
      <c r="AA606" s="327"/>
      <c r="AB606" s="519" t="s">
        <v>303</v>
      </c>
      <c r="AC606" s="326"/>
      <c r="AD606" s="326"/>
      <c r="AE606" s="327"/>
      <c r="AF606" s="520"/>
      <c r="AG606" s="327"/>
      <c r="AH606" s="520"/>
      <c r="AI606" s="327"/>
      <c r="AJ606" s="536"/>
      <c r="AK606" s="327"/>
      <c r="AL606" s="556" t="s">
        <v>334</v>
      </c>
      <c r="AM606" s="327"/>
      <c r="AN606" s="553" t="s">
        <v>334</v>
      </c>
      <c r="AO606" s="327"/>
      <c r="AP606" s="547"/>
      <c r="AQ606" s="327"/>
      <c r="AR606" s="548"/>
      <c r="AS606" s="327"/>
      <c r="AT606" s="549"/>
      <c r="AU606" s="327"/>
      <c r="AV606" s="553" t="s">
        <v>334</v>
      </c>
      <c r="AW606" s="327"/>
      <c r="AX606" s="521"/>
      <c r="AY606" s="326"/>
      <c r="AZ606" s="327"/>
      <c r="BA606" s="550"/>
      <c r="BB606" s="327"/>
      <c r="BC606" s="22"/>
      <c r="BD606" s="551" t="s">
        <v>334</v>
      </c>
      <c r="BE606" s="327"/>
      <c r="BF606" s="545"/>
      <c r="BG606" s="326"/>
      <c r="BH606" s="326"/>
      <c r="BI606" s="327"/>
      <c r="BJ606" s="451" t="s">
        <v>303</v>
      </c>
      <c r="BK606" s="326"/>
      <c r="BL606" s="326"/>
      <c r="BM606" s="327"/>
      <c r="BN606" s="558" t="s">
        <v>303</v>
      </c>
      <c r="BO606" s="326"/>
      <c r="BP606" s="326"/>
      <c r="BQ606" s="326"/>
      <c r="BR606" s="326"/>
      <c r="BS606" s="326"/>
      <c r="BT606" s="326"/>
      <c r="BU606" s="326"/>
      <c r="BV606" s="327"/>
    </row>
    <row r="607" spans="1:74" ht="45" customHeight="1" x14ac:dyDescent="0.25">
      <c r="A607" s="10">
        <f t="shared" si="2"/>
        <v>593</v>
      </c>
      <c r="B607" s="564" t="s">
        <v>303</v>
      </c>
      <c r="C607" s="327"/>
      <c r="D607" s="565" t="s">
        <v>307</v>
      </c>
      <c r="E607" s="327"/>
      <c r="F607" s="537" t="s">
        <v>334</v>
      </c>
      <c r="G607" s="327"/>
      <c r="H607" s="566" t="s">
        <v>334</v>
      </c>
      <c r="I607" s="327"/>
      <c r="J607" s="567"/>
      <c r="K607" s="327"/>
      <c r="L607" s="567"/>
      <c r="M607" s="327"/>
      <c r="N607" s="20"/>
      <c r="O607" s="21"/>
      <c r="P607" s="563"/>
      <c r="Q607" s="327"/>
      <c r="R607" s="516"/>
      <c r="S607" s="327"/>
      <c r="T607" s="517"/>
      <c r="U607" s="327"/>
      <c r="V607" s="518"/>
      <c r="W607" s="327"/>
      <c r="X607" s="438" t="s">
        <v>303</v>
      </c>
      <c r="Y607" s="326"/>
      <c r="Z607" s="326"/>
      <c r="AA607" s="327"/>
      <c r="AB607" s="519" t="s">
        <v>303</v>
      </c>
      <c r="AC607" s="326"/>
      <c r="AD607" s="326"/>
      <c r="AE607" s="327"/>
      <c r="AF607" s="520"/>
      <c r="AG607" s="327"/>
      <c r="AH607" s="520"/>
      <c r="AI607" s="327"/>
      <c r="AJ607" s="554"/>
      <c r="AK607" s="327"/>
      <c r="AL607" s="556" t="s">
        <v>334</v>
      </c>
      <c r="AM607" s="327"/>
      <c r="AN607" s="553" t="s">
        <v>334</v>
      </c>
      <c r="AO607" s="327"/>
      <c r="AP607" s="554"/>
      <c r="AQ607" s="327"/>
      <c r="AR607" s="555"/>
      <c r="AS607" s="327"/>
      <c r="AT607" s="549"/>
      <c r="AU607" s="327"/>
      <c r="AV607" s="553" t="s">
        <v>334</v>
      </c>
      <c r="AW607" s="327"/>
      <c r="AX607" s="521"/>
      <c r="AY607" s="326"/>
      <c r="AZ607" s="327"/>
      <c r="BA607" s="536"/>
      <c r="BB607" s="327"/>
      <c r="BC607" s="22"/>
      <c r="BD607" s="551" t="s">
        <v>334</v>
      </c>
      <c r="BE607" s="327"/>
      <c r="BF607" s="552"/>
      <c r="BG607" s="326"/>
      <c r="BH607" s="326"/>
      <c r="BI607" s="327"/>
      <c r="BJ607" s="451" t="s">
        <v>303</v>
      </c>
      <c r="BK607" s="326"/>
      <c r="BL607" s="326"/>
      <c r="BM607" s="327"/>
      <c r="BN607" s="558" t="s">
        <v>303</v>
      </c>
      <c r="BO607" s="326"/>
      <c r="BP607" s="326"/>
      <c r="BQ607" s="326"/>
      <c r="BR607" s="326"/>
      <c r="BS607" s="326"/>
      <c r="BT607" s="326"/>
      <c r="BU607" s="326"/>
      <c r="BV607" s="327"/>
    </row>
    <row r="608" spans="1:74" ht="45" customHeight="1" x14ac:dyDescent="0.25">
      <c r="A608" s="10">
        <f t="shared" si="2"/>
        <v>594</v>
      </c>
      <c r="B608" s="559" t="s">
        <v>303</v>
      </c>
      <c r="C608" s="327"/>
      <c r="D608" s="560" t="s">
        <v>307</v>
      </c>
      <c r="E608" s="327"/>
      <c r="F608" s="537" t="s">
        <v>334</v>
      </c>
      <c r="G608" s="327"/>
      <c r="H608" s="561" t="s">
        <v>334</v>
      </c>
      <c r="I608" s="327"/>
      <c r="J608" s="26"/>
      <c r="K608" s="27"/>
      <c r="L608" s="26"/>
      <c r="M608" s="27"/>
      <c r="N608" s="23"/>
      <c r="O608" s="24"/>
      <c r="P608" s="524"/>
      <c r="Q608" s="327"/>
      <c r="R608" s="538"/>
      <c r="S608" s="327"/>
      <c r="T608" s="539"/>
      <c r="U608" s="327"/>
      <c r="V608" s="540"/>
      <c r="W608" s="327"/>
      <c r="X608" s="541" t="s">
        <v>303</v>
      </c>
      <c r="Y608" s="326"/>
      <c r="Z608" s="326"/>
      <c r="AA608" s="327"/>
      <c r="AB608" s="542" t="s">
        <v>303</v>
      </c>
      <c r="AC608" s="326"/>
      <c r="AD608" s="326"/>
      <c r="AE608" s="327"/>
      <c r="AF608" s="543"/>
      <c r="AG608" s="327"/>
      <c r="AH608" s="543"/>
      <c r="AI608" s="327"/>
      <c r="AJ608" s="536"/>
      <c r="AK608" s="327"/>
      <c r="AL608" s="537" t="s">
        <v>334</v>
      </c>
      <c r="AM608" s="327"/>
      <c r="AN608" s="546" t="s">
        <v>334</v>
      </c>
      <c r="AO608" s="327"/>
      <c r="AP608" s="547"/>
      <c r="AQ608" s="327"/>
      <c r="AR608" s="548"/>
      <c r="AS608" s="327"/>
      <c r="AT608" s="549"/>
      <c r="AU608" s="327"/>
      <c r="AV608" s="546" t="s">
        <v>334</v>
      </c>
      <c r="AW608" s="327"/>
      <c r="AX608" s="521"/>
      <c r="AY608" s="326"/>
      <c r="AZ608" s="327"/>
      <c r="BA608" s="550"/>
      <c r="BB608" s="327"/>
      <c r="BC608" s="25"/>
      <c r="BD608" s="544" t="s">
        <v>334</v>
      </c>
      <c r="BE608" s="327"/>
      <c r="BF608" s="545"/>
      <c r="BG608" s="326"/>
      <c r="BH608" s="326"/>
      <c r="BI608" s="327"/>
      <c r="BJ608" s="557" t="s">
        <v>303</v>
      </c>
      <c r="BK608" s="326"/>
      <c r="BL608" s="326"/>
      <c r="BM608" s="327"/>
      <c r="BN608" s="558" t="s">
        <v>303</v>
      </c>
      <c r="BO608" s="326"/>
      <c r="BP608" s="326"/>
      <c r="BQ608" s="326"/>
      <c r="BR608" s="326"/>
      <c r="BS608" s="326"/>
      <c r="BT608" s="326"/>
      <c r="BU608" s="326"/>
      <c r="BV608" s="327"/>
    </row>
    <row r="609" spans="1:74" ht="45" customHeight="1" x14ac:dyDescent="0.25">
      <c r="A609" s="10">
        <f t="shared" si="2"/>
        <v>595</v>
      </c>
      <c r="B609" s="564" t="s">
        <v>303</v>
      </c>
      <c r="C609" s="327"/>
      <c r="D609" s="565" t="s">
        <v>307</v>
      </c>
      <c r="E609" s="327"/>
      <c r="F609" s="537" t="s">
        <v>334</v>
      </c>
      <c r="G609" s="327"/>
      <c r="H609" s="566" t="s">
        <v>334</v>
      </c>
      <c r="I609" s="327"/>
      <c r="J609" s="567"/>
      <c r="K609" s="327"/>
      <c r="L609" s="567"/>
      <c r="M609" s="327"/>
      <c r="N609" s="20"/>
      <c r="O609" s="21"/>
      <c r="P609" s="563"/>
      <c r="Q609" s="327"/>
      <c r="R609" s="516"/>
      <c r="S609" s="327"/>
      <c r="T609" s="517"/>
      <c r="U609" s="327"/>
      <c r="V609" s="518"/>
      <c r="W609" s="327"/>
      <c r="X609" s="438" t="s">
        <v>303</v>
      </c>
      <c r="Y609" s="326"/>
      <c r="Z609" s="326"/>
      <c r="AA609" s="327"/>
      <c r="AB609" s="519" t="s">
        <v>303</v>
      </c>
      <c r="AC609" s="326"/>
      <c r="AD609" s="326"/>
      <c r="AE609" s="327"/>
      <c r="AF609" s="520"/>
      <c r="AG609" s="327"/>
      <c r="AH609" s="520"/>
      <c r="AI609" s="327"/>
      <c r="AJ609" s="554"/>
      <c r="AK609" s="327"/>
      <c r="AL609" s="556" t="s">
        <v>334</v>
      </c>
      <c r="AM609" s="327"/>
      <c r="AN609" s="553" t="s">
        <v>334</v>
      </c>
      <c r="AO609" s="327"/>
      <c r="AP609" s="554"/>
      <c r="AQ609" s="327"/>
      <c r="AR609" s="555"/>
      <c r="AS609" s="327"/>
      <c r="AT609" s="549"/>
      <c r="AU609" s="327"/>
      <c r="AV609" s="553" t="s">
        <v>334</v>
      </c>
      <c r="AW609" s="327"/>
      <c r="AX609" s="521"/>
      <c r="AY609" s="326"/>
      <c r="AZ609" s="327"/>
      <c r="BA609" s="536"/>
      <c r="BB609" s="327"/>
      <c r="BC609" s="22"/>
      <c r="BD609" s="551" t="s">
        <v>334</v>
      </c>
      <c r="BE609" s="327"/>
      <c r="BF609" s="508"/>
      <c r="BG609" s="326"/>
      <c r="BH609" s="326"/>
      <c r="BI609" s="327"/>
      <c r="BJ609" s="451" t="s">
        <v>303</v>
      </c>
      <c r="BK609" s="326"/>
      <c r="BL609" s="326"/>
      <c r="BM609" s="327"/>
      <c r="BN609" s="558" t="s">
        <v>303</v>
      </c>
      <c r="BO609" s="326"/>
      <c r="BP609" s="326"/>
      <c r="BQ609" s="326"/>
      <c r="BR609" s="326"/>
      <c r="BS609" s="326"/>
      <c r="BT609" s="326"/>
      <c r="BU609" s="326"/>
      <c r="BV609" s="327"/>
    </row>
    <row r="610" spans="1:74" ht="45" customHeight="1" x14ac:dyDescent="0.25">
      <c r="A610" s="10">
        <f t="shared" si="2"/>
        <v>596</v>
      </c>
      <c r="B610" s="564" t="s">
        <v>303</v>
      </c>
      <c r="C610" s="327"/>
      <c r="D610" s="565" t="s">
        <v>307</v>
      </c>
      <c r="E610" s="327"/>
      <c r="F610" s="537" t="s">
        <v>334</v>
      </c>
      <c r="G610" s="327"/>
      <c r="H610" s="561" t="s">
        <v>334</v>
      </c>
      <c r="I610" s="327"/>
      <c r="J610" s="26"/>
      <c r="K610" s="27"/>
      <c r="L610" s="26"/>
      <c r="M610" s="27"/>
      <c r="N610" s="23"/>
      <c r="O610" s="21"/>
      <c r="P610" s="524"/>
      <c r="Q610" s="327"/>
      <c r="R610" s="516"/>
      <c r="S610" s="327"/>
      <c r="T610" s="517"/>
      <c r="U610" s="327"/>
      <c r="V610" s="518"/>
      <c r="W610" s="327"/>
      <c r="X610" s="438" t="s">
        <v>303</v>
      </c>
      <c r="Y610" s="326"/>
      <c r="Z610" s="326"/>
      <c r="AA610" s="327"/>
      <c r="AB610" s="519" t="s">
        <v>303</v>
      </c>
      <c r="AC610" s="326"/>
      <c r="AD610" s="326"/>
      <c r="AE610" s="327"/>
      <c r="AF610" s="520"/>
      <c r="AG610" s="327"/>
      <c r="AH610" s="520"/>
      <c r="AI610" s="327"/>
      <c r="AJ610" s="536"/>
      <c r="AK610" s="327"/>
      <c r="AL610" s="556" t="s">
        <v>334</v>
      </c>
      <c r="AM610" s="327"/>
      <c r="AN610" s="553" t="s">
        <v>334</v>
      </c>
      <c r="AO610" s="327"/>
      <c r="AP610" s="547"/>
      <c r="AQ610" s="327"/>
      <c r="AR610" s="548"/>
      <c r="AS610" s="327"/>
      <c r="AT610" s="549"/>
      <c r="AU610" s="327"/>
      <c r="AV610" s="553" t="s">
        <v>334</v>
      </c>
      <c r="AW610" s="327"/>
      <c r="AX610" s="521"/>
      <c r="AY610" s="326"/>
      <c r="AZ610" s="327"/>
      <c r="BA610" s="550"/>
      <c r="BB610" s="327"/>
      <c r="BC610" s="22"/>
      <c r="BD610" s="551" t="s">
        <v>334</v>
      </c>
      <c r="BE610" s="327"/>
      <c r="BF610" s="545"/>
      <c r="BG610" s="326"/>
      <c r="BH610" s="326"/>
      <c r="BI610" s="327"/>
      <c r="BJ610" s="451" t="s">
        <v>303</v>
      </c>
      <c r="BK610" s="326"/>
      <c r="BL610" s="326"/>
      <c r="BM610" s="327"/>
      <c r="BN610" s="558" t="s">
        <v>303</v>
      </c>
      <c r="BO610" s="326"/>
      <c r="BP610" s="326"/>
      <c r="BQ610" s="326"/>
      <c r="BR610" s="326"/>
      <c r="BS610" s="326"/>
      <c r="BT610" s="326"/>
      <c r="BU610" s="326"/>
      <c r="BV610" s="327"/>
    </row>
    <row r="611" spans="1:74" ht="45" customHeight="1" x14ac:dyDescent="0.25">
      <c r="A611" s="10">
        <f t="shared" si="2"/>
        <v>597</v>
      </c>
      <c r="B611" s="559" t="s">
        <v>303</v>
      </c>
      <c r="C611" s="327"/>
      <c r="D611" s="560" t="s">
        <v>307</v>
      </c>
      <c r="E611" s="327"/>
      <c r="F611" s="537" t="s">
        <v>334</v>
      </c>
      <c r="G611" s="327"/>
      <c r="H611" s="566" t="s">
        <v>334</v>
      </c>
      <c r="I611" s="327"/>
      <c r="J611" s="567"/>
      <c r="K611" s="327"/>
      <c r="L611" s="567"/>
      <c r="M611" s="327"/>
      <c r="N611" s="20"/>
      <c r="O611" s="24"/>
      <c r="P611" s="563"/>
      <c r="Q611" s="327"/>
      <c r="R611" s="538"/>
      <c r="S611" s="327"/>
      <c r="T611" s="539"/>
      <c r="U611" s="327"/>
      <c r="V611" s="540"/>
      <c r="W611" s="327"/>
      <c r="X611" s="541" t="s">
        <v>303</v>
      </c>
      <c r="Y611" s="326"/>
      <c r="Z611" s="326"/>
      <c r="AA611" s="327"/>
      <c r="AB611" s="542" t="s">
        <v>303</v>
      </c>
      <c r="AC611" s="326"/>
      <c r="AD611" s="326"/>
      <c r="AE611" s="327"/>
      <c r="AF611" s="543"/>
      <c r="AG611" s="327"/>
      <c r="AH611" s="543"/>
      <c r="AI611" s="327"/>
      <c r="AJ611" s="554"/>
      <c r="AK611" s="327"/>
      <c r="AL611" s="537" t="s">
        <v>334</v>
      </c>
      <c r="AM611" s="327"/>
      <c r="AN611" s="546" t="s">
        <v>334</v>
      </c>
      <c r="AO611" s="327"/>
      <c r="AP611" s="554"/>
      <c r="AQ611" s="327"/>
      <c r="AR611" s="555"/>
      <c r="AS611" s="327"/>
      <c r="AT611" s="549"/>
      <c r="AU611" s="327"/>
      <c r="AV611" s="546" t="s">
        <v>334</v>
      </c>
      <c r="AW611" s="327"/>
      <c r="AX611" s="521"/>
      <c r="AY611" s="326"/>
      <c r="AZ611" s="327"/>
      <c r="BA611" s="536"/>
      <c r="BB611" s="327"/>
      <c r="BC611" s="25"/>
      <c r="BD611" s="544" t="s">
        <v>334</v>
      </c>
      <c r="BE611" s="327"/>
      <c r="BF611" s="552"/>
      <c r="BG611" s="326"/>
      <c r="BH611" s="326"/>
      <c r="BI611" s="327"/>
      <c r="BJ611" s="557" t="s">
        <v>303</v>
      </c>
      <c r="BK611" s="326"/>
      <c r="BL611" s="326"/>
      <c r="BM611" s="327"/>
      <c r="BN611" s="558" t="s">
        <v>303</v>
      </c>
      <c r="BO611" s="326"/>
      <c r="BP611" s="326"/>
      <c r="BQ611" s="326"/>
      <c r="BR611" s="326"/>
      <c r="BS611" s="326"/>
      <c r="BT611" s="326"/>
      <c r="BU611" s="326"/>
      <c r="BV611" s="327"/>
    </row>
    <row r="612" spans="1:74" ht="45" customHeight="1" x14ac:dyDescent="0.25">
      <c r="A612" s="10">
        <f t="shared" si="2"/>
        <v>598</v>
      </c>
      <c r="B612" s="564" t="s">
        <v>303</v>
      </c>
      <c r="C612" s="327"/>
      <c r="D612" s="565" t="s">
        <v>307</v>
      </c>
      <c r="E612" s="327"/>
      <c r="F612" s="537" t="s">
        <v>334</v>
      </c>
      <c r="G612" s="327"/>
      <c r="H612" s="561" t="s">
        <v>334</v>
      </c>
      <c r="I612" s="327"/>
      <c r="J612" s="562"/>
      <c r="K612" s="327"/>
      <c r="L612" s="562"/>
      <c r="M612" s="327"/>
      <c r="N612" s="23"/>
      <c r="O612" s="21"/>
      <c r="P612" s="524"/>
      <c r="Q612" s="327"/>
      <c r="R612" s="516"/>
      <c r="S612" s="327"/>
      <c r="T612" s="517"/>
      <c r="U612" s="327"/>
      <c r="V612" s="518"/>
      <c r="W612" s="327"/>
      <c r="X612" s="438" t="s">
        <v>303</v>
      </c>
      <c r="Y612" s="326"/>
      <c r="Z612" s="326"/>
      <c r="AA612" s="327"/>
      <c r="AB612" s="519" t="s">
        <v>303</v>
      </c>
      <c r="AC612" s="326"/>
      <c r="AD612" s="326"/>
      <c r="AE612" s="327"/>
      <c r="AF612" s="520"/>
      <c r="AG612" s="327"/>
      <c r="AH612" s="520"/>
      <c r="AI612" s="327"/>
      <c r="AJ612" s="536"/>
      <c r="AK612" s="327"/>
      <c r="AL612" s="556" t="s">
        <v>334</v>
      </c>
      <c r="AM612" s="327"/>
      <c r="AN612" s="553" t="s">
        <v>334</v>
      </c>
      <c r="AO612" s="327"/>
      <c r="AP612" s="547"/>
      <c r="AQ612" s="327"/>
      <c r="AR612" s="548"/>
      <c r="AS612" s="327"/>
      <c r="AT612" s="549"/>
      <c r="AU612" s="327"/>
      <c r="AV612" s="553" t="s">
        <v>334</v>
      </c>
      <c r="AW612" s="327"/>
      <c r="AX612" s="521"/>
      <c r="AY612" s="326"/>
      <c r="AZ612" s="327"/>
      <c r="BA612" s="550"/>
      <c r="BB612" s="327"/>
      <c r="BC612" s="22"/>
      <c r="BD612" s="551" t="s">
        <v>334</v>
      </c>
      <c r="BE612" s="327"/>
      <c r="BF612" s="545"/>
      <c r="BG612" s="326"/>
      <c r="BH612" s="326"/>
      <c r="BI612" s="327"/>
      <c r="BJ612" s="451" t="s">
        <v>303</v>
      </c>
      <c r="BK612" s="326"/>
      <c r="BL612" s="326"/>
      <c r="BM612" s="327"/>
      <c r="BN612" s="558" t="s">
        <v>303</v>
      </c>
      <c r="BO612" s="326"/>
      <c r="BP612" s="326"/>
      <c r="BQ612" s="326"/>
      <c r="BR612" s="326"/>
      <c r="BS612" s="326"/>
      <c r="BT612" s="326"/>
      <c r="BU612" s="326"/>
      <c r="BV612" s="327"/>
    </row>
    <row r="613" spans="1:74" ht="45" customHeight="1" x14ac:dyDescent="0.25">
      <c r="A613" s="10">
        <f t="shared" si="2"/>
        <v>599</v>
      </c>
      <c r="B613" s="559" t="s">
        <v>303</v>
      </c>
      <c r="C613" s="327"/>
      <c r="D613" s="560" t="s">
        <v>307</v>
      </c>
      <c r="E613" s="327"/>
      <c r="F613" s="537" t="s">
        <v>334</v>
      </c>
      <c r="G613" s="327"/>
      <c r="H613" s="566" t="s">
        <v>334</v>
      </c>
      <c r="I613" s="327"/>
      <c r="J613" s="567"/>
      <c r="K613" s="327"/>
      <c r="L613" s="567"/>
      <c r="M613" s="327"/>
      <c r="N613" s="20"/>
      <c r="O613" s="24"/>
      <c r="P613" s="563"/>
      <c r="Q613" s="327"/>
      <c r="R613" s="538"/>
      <c r="S613" s="327"/>
      <c r="T613" s="539"/>
      <c r="U613" s="327"/>
      <c r="V613" s="540"/>
      <c r="W613" s="327"/>
      <c r="X613" s="541" t="s">
        <v>303</v>
      </c>
      <c r="Y613" s="326"/>
      <c r="Z613" s="326"/>
      <c r="AA613" s="327"/>
      <c r="AB613" s="542" t="s">
        <v>303</v>
      </c>
      <c r="AC613" s="326"/>
      <c r="AD613" s="326"/>
      <c r="AE613" s="327"/>
      <c r="AF613" s="543"/>
      <c r="AG613" s="327"/>
      <c r="AH613" s="543"/>
      <c r="AI613" s="327"/>
      <c r="AJ613" s="554"/>
      <c r="AK613" s="327"/>
      <c r="AL613" s="537" t="s">
        <v>334</v>
      </c>
      <c r="AM613" s="327"/>
      <c r="AN613" s="546" t="s">
        <v>334</v>
      </c>
      <c r="AO613" s="327"/>
      <c r="AP613" s="554"/>
      <c r="AQ613" s="327"/>
      <c r="AR613" s="555"/>
      <c r="AS613" s="327"/>
      <c r="AT613" s="549"/>
      <c r="AU613" s="327"/>
      <c r="AV613" s="546" t="s">
        <v>334</v>
      </c>
      <c r="AW613" s="327"/>
      <c r="AX613" s="521"/>
      <c r="AY613" s="326"/>
      <c r="AZ613" s="327"/>
      <c r="BA613" s="536"/>
      <c r="BB613" s="327"/>
      <c r="BC613" s="25"/>
      <c r="BD613" s="544" t="s">
        <v>334</v>
      </c>
      <c r="BE613" s="327"/>
      <c r="BF613" s="508"/>
      <c r="BG613" s="326"/>
      <c r="BH613" s="326"/>
      <c r="BI613" s="327"/>
      <c r="BJ613" s="557" t="s">
        <v>303</v>
      </c>
      <c r="BK613" s="326"/>
      <c r="BL613" s="326"/>
      <c r="BM613" s="327"/>
      <c r="BN613" s="558" t="s">
        <v>303</v>
      </c>
      <c r="BO613" s="326"/>
      <c r="BP613" s="326"/>
      <c r="BQ613" s="326"/>
      <c r="BR613" s="326"/>
      <c r="BS613" s="326"/>
      <c r="BT613" s="326"/>
      <c r="BU613" s="326"/>
      <c r="BV613" s="327"/>
    </row>
    <row r="614" spans="1:74" ht="45" customHeight="1" x14ac:dyDescent="0.25">
      <c r="A614" s="10">
        <f t="shared" si="2"/>
        <v>600</v>
      </c>
      <c r="B614" s="564" t="s">
        <v>303</v>
      </c>
      <c r="C614" s="327"/>
      <c r="D614" s="565" t="s">
        <v>307</v>
      </c>
      <c r="E614" s="327"/>
      <c r="F614" s="537" t="s">
        <v>334</v>
      </c>
      <c r="G614" s="327"/>
      <c r="H614" s="561" t="s">
        <v>334</v>
      </c>
      <c r="I614" s="327"/>
      <c r="J614" s="562"/>
      <c r="K614" s="327"/>
      <c r="L614" s="562"/>
      <c r="M614" s="327"/>
      <c r="N614" s="23"/>
      <c r="O614" s="21"/>
      <c r="P614" s="524"/>
      <c r="Q614" s="327"/>
      <c r="R614" s="516"/>
      <c r="S614" s="327"/>
      <c r="T614" s="517"/>
      <c r="U614" s="327"/>
      <c r="V614" s="518"/>
      <c r="W614" s="327"/>
      <c r="X614" s="438" t="s">
        <v>303</v>
      </c>
      <c r="Y614" s="326"/>
      <c r="Z614" s="326"/>
      <c r="AA614" s="327"/>
      <c r="AB614" s="519" t="s">
        <v>303</v>
      </c>
      <c r="AC614" s="326"/>
      <c r="AD614" s="326"/>
      <c r="AE614" s="327"/>
      <c r="AF614" s="520"/>
      <c r="AG614" s="327"/>
      <c r="AH614" s="520"/>
      <c r="AI614" s="327"/>
      <c r="AJ614" s="536"/>
      <c r="AK614" s="327"/>
      <c r="AL614" s="556" t="s">
        <v>334</v>
      </c>
      <c r="AM614" s="327"/>
      <c r="AN614" s="553" t="s">
        <v>334</v>
      </c>
      <c r="AO614" s="327"/>
      <c r="AP614" s="547"/>
      <c r="AQ614" s="327"/>
      <c r="AR614" s="548"/>
      <c r="AS614" s="327"/>
      <c r="AT614" s="549"/>
      <c r="AU614" s="327"/>
      <c r="AV614" s="553" t="s">
        <v>334</v>
      </c>
      <c r="AW614" s="327"/>
      <c r="AX614" s="521"/>
      <c r="AY614" s="326"/>
      <c r="AZ614" s="327"/>
      <c r="BA614" s="550"/>
      <c r="BB614" s="327"/>
      <c r="BC614" s="22"/>
      <c r="BD614" s="551" t="s">
        <v>334</v>
      </c>
      <c r="BE614" s="327"/>
      <c r="BF614" s="545"/>
      <c r="BG614" s="326"/>
      <c r="BH614" s="326"/>
      <c r="BI614" s="327"/>
      <c r="BJ614" s="451" t="s">
        <v>303</v>
      </c>
      <c r="BK614" s="326"/>
      <c r="BL614" s="326"/>
      <c r="BM614" s="327"/>
      <c r="BN614" s="558" t="s">
        <v>303</v>
      </c>
      <c r="BO614" s="326"/>
      <c r="BP614" s="326"/>
      <c r="BQ614" s="326"/>
      <c r="BR614" s="326"/>
      <c r="BS614" s="326"/>
      <c r="BT614" s="326"/>
      <c r="BU614" s="326"/>
      <c r="BV614" s="327"/>
    </row>
    <row r="615" spans="1:74" ht="45" customHeight="1" x14ac:dyDescent="0.25">
      <c r="A615" s="10">
        <f t="shared" si="2"/>
        <v>601</v>
      </c>
      <c r="B615" s="559" t="s">
        <v>303</v>
      </c>
      <c r="C615" s="327"/>
      <c r="D615" s="560" t="s">
        <v>307</v>
      </c>
      <c r="E615" s="327"/>
      <c r="F615" s="537" t="s">
        <v>334</v>
      </c>
      <c r="G615" s="327"/>
      <c r="H615" s="566" t="s">
        <v>334</v>
      </c>
      <c r="I615" s="327"/>
      <c r="J615" s="567"/>
      <c r="K615" s="327"/>
      <c r="L615" s="567"/>
      <c r="M615" s="327"/>
      <c r="N615" s="23"/>
      <c r="O615" s="24"/>
      <c r="P615" s="563"/>
      <c r="Q615" s="327"/>
      <c r="R615" s="538"/>
      <c r="S615" s="327"/>
      <c r="T615" s="539"/>
      <c r="U615" s="327"/>
      <c r="V615" s="540"/>
      <c r="W615" s="327"/>
      <c r="X615" s="541" t="s">
        <v>303</v>
      </c>
      <c r="Y615" s="326"/>
      <c r="Z615" s="326"/>
      <c r="AA615" s="327"/>
      <c r="AB615" s="542" t="s">
        <v>303</v>
      </c>
      <c r="AC615" s="326"/>
      <c r="AD615" s="326"/>
      <c r="AE615" s="327"/>
      <c r="AF615" s="543"/>
      <c r="AG615" s="327"/>
      <c r="AH615" s="543"/>
      <c r="AI615" s="327"/>
      <c r="AJ615" s="536"/>
      <c r="AK615" s="327"/>
      <c r="AL615" s="537" t="s">
        <v>334</v>
      </c>
      <c r="AM615" s="327"/>
      <c r="AN615" s="546" t="s">
        <v>334</v>
      </c>
      <c r="AO615" s="327"/>
      <c r="AP615" s="547"/>
      <c r="AQ615" s="327"/>
      <c r="AR615" s="548"/>
      <c r="AS615" s="327"/>
      <c r="AT615" s="568"/>
      <c r="AU615" s="327"/>
      <c r="AV615" s="546" t="s">
        <v>334</v>
      </c>
      <c r="AW615" s="327"/>
      <c r="AX615" s="521"/>
      <c r="AY615" s="326"/>
      <c r="AZ615" s="327"/>
      <c r="BA615" s="550"/>
      <c r="BB615" s="327"/>
      <c r="BC615" s="25"/>
      <c r="BD615" s="544" t="s">
        <v>334</v>
      </c>
      <c r="BE615" s="327"/>
      <c r="BF615" s="545"/>
      <c r="BG615" s="326"/>
      <c r="BH615" s="326"/>
      <c r="BI615" s="327"/>
      <c r="BJ615" s="557" t="s">
        <v>303</v>
      </c>
      <c r="BK615" s="326"/>
      <c r="BL615" s="326"/>
      <c r="BM615" s="327"/>
      <c r="BN615" s="558" t="s">
        <v>303</v>
      </c>
      <c r="BO615" s="326"/>
      <c r="BP615" s="326"/>
      <c r="BQ615" s="326"/>
      <c r="BR615" s="326"/>
      <c r="BS615" s="326"/>
      <c r="BT615" s="326"/>
      <c r="BU615" s="326"/>
      <c r="BV615" s="327"/>
    </row>
    <row r="616" spans="1:74" ht="45" customHeight="1" x14ac:dyDescent="0.25">
      <c r="A616" s="10">
        <f t="shared" si="2"/>
        <v>602</v>
      </c>
      <c r="B616" s="564" t="s">
        <v>303</v>
      </c>
      <c r="C616" s="327"/>
      <c r="D616" s="565" t="s">
        <v>307</v>
      </c>
      <c r="E616" s="327"/>
      <c r="F616" s="537" t="s">
        <v>334</v>
      </c>
      <c r="G616" s="327"/>
      <c r="H616" s="561" t="s">
        <v>334</v>
      </c>
      <c r="I616" s="327"/>
      <c r="J616" s="562"/>
      <c r="K616" s="327"/>
      <c r="L616" s="562"/>
      <c r="M616" s="327"/>
      <c r="N616" s="20"/>
      <c r="O616" s="21"/>
      <c r="P616" s="524"/>
      <c r="Q616" s="327"/>
      <c r="R616" s="516"/>
      <c r="S616" s="327"/>
      <c r="T616" s="517"/>
      <c r="U616" s="327"/>
      <c r="V616" s="518"/>
      <c r="W616" s="327"/>
      <c r="X616" s="438" t="s">
        <v>303</v>
      </c>
      <c r="Y616" s="326"/>
      <c r="Z616" s="326"/>
      <c r="AA616" s="327"/>
      <c r="AB616" s="519" t="s">
        <v>303</v>
      </c>
      <c r="AC616" s="326"/>
      <c r="AD616" s="326"/>
      <c r="AE616" s="327"/>
      <c r="AF616" s="520"/>
      <c r="AG616" s="327"/>
      <c r="AH616" s="520"/>
      <c r="AI616" s="327"/>
      <c r="AJ616" s="536"/>
      <c r="AK616" s="327"/>
      <c r="AL616" s="556" t="s">
        <v>334</v>
      </c>
      <c r="AM616" s="327"/>
      <c r="AN616" s="553" t="s">
        <v>334</v>
      </c>
      <c r="AO616" s="327"/>
      <c r="AP616" s="554"/>
      <c r="AQ616" s="327"/>
      <c r="AR616" s="555"/>
      <c r="AS616" s="327"/>
      <c r="AT616" s="549"/>
      <c r="AU616" s="327"/>
      <c r="AV616" s="553" t="s">
        <v>334</v>
      </c>
      <c r="AW616" s="327"/>
      <c r="AX616" s="521"/>
      <c r="AY616" s="326"/>
      <c r="AZ616" s="327"/>
      <c r="BA616" s="536"/>
      <c r="BB616" s="327"/>
      <c r="BC616" s="22"/>
      <c r="BD616" s="551" t="s">
        <v>334</v>
      </c>
      <c r="BE616" s="327"/>
      <c r="BF616" s="508"/>
      <c r="BG616" s="326"/>
      <c r="BH616" s="326"/>
      <c r="BI616" s="327"/>
      <c r="BJ616" s="451" t="s">
        <v>303</v>
      </c>
      <c r="BK616" s="326"/>
      <c r="BL616" s="326"/>
      <c r="BM616" s="327"/>
      <c r="BN616" s="558" t="s">
        <v>303</v>
      </c>
      <c r="BO616" s="326"/>
      <c r="BP616" s="326"/>
      <c r="BQ616" s="326"/>
      <c r="BR616" s="326"/>
      <c r="BS616" s="326"/>
      <c r="BT616" s="326"/>
      <c r="BU616" s="326"/>
      <c r="BV616" s="327"/>
    </row>
    <row r="617" spans="1:74" ht="45" customHeight="1" x14ac:dyDescent="0.25">
      <c r="A617" s="10">
        <f t="shared" si="2"/>
        <v>603</v>
      </c>
      <c r="B617" s="559" t="s">
        <v>303</v>
      </c>
      <c r="C617" s="327"/>
      <c r="D617" s="560" t="s">
        <v>307</v>
      </c>
      <c r="E617" s="327"/>
      <c r="F617" s="537" t="s">
        <v>334</v>
      </c>
      <c r="G617" s="327"/>
      <c r="H617" s="566" t="s">
        <v>334</v>
      </c>
      <c r="I617" s="327"/>
      <c r="J617" s="567"/>
      <c r="K617" s="327"/>
      <c r="L617" s="567"/>
      <c r="M617" s="327"/>
      <c r="N617" s="23"/>
      <c r="O617" s="24"/>
      <c r="P617" s="563"/>
      <c r="Q617" s="327"/>
      <c r="R617" s="538"/>
      <c r="S617" s="327"/>
      <c r="T617" s="539"/>
      <c r="U617" s="327"/>
      <c r="V617" s="540"/>
      <c r="W617" s="327"/>
      <c r="X617" s="541" t="s">
        <v>303</v>
      </c>
      <c r="Y617" s="326"/>
      <c r="Z617" s="326"/>
      <c r="AA617" s="327"/>
      <c r="AB617" s="542" t="s">
        <v>303</v>
      </c>
      <c r="AC617" s="326"/>
      <c r="AD617" s="326"/>
      <c r="AE617" s="327"/>
      <c r="AF617" s="543"/>
      <c r="AG617" s="327"/>
      <c r="AH617" s="543"/>
      <c r="AI617" s="327"/>
      <c r="AJ617" s="536"/>
      <c r="AK617" s="327"/>
      <c r="AL617" s="537" t="s">
        <v>334</v>
      </c>
      <c r="AM617" s="327"/>
      <c r="AN617" s="546" t="s">
        <v>334</v>
      </c>
      <c r="AO617" s="327"/>
      <c r="AP617" s="547"/>
      <c r="AQ617" s="327"/>
      <c r="AR617" s="548"/>
      <c r="AS617" s="327"/>
      <c r="AT617" s="568"/>
      <c r="AU617" s="327"/>
      <c r="AV617" s="546" t="s">
        <v>334</v>
      </c>
      <c r="AW617" s="327"/>
      <c r="AX617" s="521"/>
      <c r="AY617" s="326"/>
      <c r="AZ617" s="327"/>
      <c r="BA617" s="550"/>
      <c r="BB617" s="327"/>
      <c r="BC617" s="25"/>
      <c r="BD617" s="544" t="s">
        <v>334</v>
      </c>
      <c r="BE617" s="327"/>
      <c r="BF617" s="545"/>
      <c r="BG617" s="326"/>
      <c r="BH617" s="326"/>
      <c r="BI617" s="327"/>
      <c r="BJ617" s="557" t="s">
        <v>303</v>
      </c>
      <c r="BK617" s="326"/>
      <c r="BL617" s="326"/>
      <c r="BM617" s="327"/>
      <c r="BN617" s="558" t="s">
        <v>303</v>
      </c>
      <c r="BO617" s="326"/>
      <c r="BP617" s="326"/>
      <c r="BQ617" s="326"/>
      <c r="BR617" s="326"/>
      <c r="BS617" s="326"/>
      <c r="BT617" s="326"/>
      <c r="BU617" s="326"/>
      <c r="BV617" s="327"/>
    </row>
    <row r="618" spans="1:74" ht="45" customHeight="1" x14ac:dyDescent="0.25">
      <c r="A618" s="10">
        <f t="shared" si="2"/>
        <v>604</v>
      </c>
      <c r="B618" s="564" t="s">
        <v>303</v>
      </c>
      <c r="C618" s="327"/>
      <c r="D618" s="565" t="s">
        <v>307</v>
      </c>
      <c r="E618" s="327"/>
      <c r="F618" s="537" t="s">
        <v>334</v>
      </c>
      <c r="G618" s="327"/>
      <c r="H618" s="561" t="s">
        <v>334</v>
      </c>
      <c r="I618" s="327"/>
      <c r="J618" s="562"/>
      <c r="K618" s="327"/>
      <c r="L618" s="562"/>
      <c r="M618" s="327"/>
      <c r="N618" s="20"/>
      <c r="O618" s="21"/>
      <c r="P618" s="524"/>
      <c r="Q618" s="327"/>
      <c r="R618" s="516"/>
      <c r="S618" s="327"/>
      <c r="T618" s="517"/>
      <c r="U618" s="327"/>
      <c r="V618" s="518"/>
      <c r="W618" s="327"/>
      <c r="X618" s="438" t="s">
        <v>303</v>
      </c>
      <c r="Y618" s="326"/>
      <c r="Z618" s="326"/>
      <c r="AA618" s="327"/>
      <c r="AB618" s="519" t="s">
        <v>303</v>
      </c>
      <c r="AC618" s="326"/>
      <c r="AD618" s="326"/>
      <c r="AE618" s="327"/>
      <c r="AF618" s="520"/>
      <c r="AG618" s="327"/>
      <c r="AH618" s="520"/>
      <c r="AI618" s="327"/>
      <c r="AJ618" s="536"/>
      <c r="AK618" s="327"/>
      <c r="AL618" s="556" t="s">
        <v>334</v>
      </c>
      <c r="AM618" s="327"/>
      <c r="AN618" s="553" t="s">
        <v>334</v>
      </c>
      <c r="AO618" s="327"/>
      <c r="AP618" s="554"/>
      <c r="AQ618" s="327"/>
      <c r="AR618" s="555"/>
      <c r="AS618" s="327"/>
      <c r="AT618" s="549"/>
      <c r="AU618" s="327"/>
      <c r="AV618" s="553" t="s">
        <v>334</v>
      </c>
      <c r="AW618" s="327"/>
      <c r="AX618" s="521"/>
      <c r="AY618" s="326"/>
      <c r="AZ618" s="327"/>
      <c r="BA618" s="536"/>
      <c r="BB618" s="327"/>
      <c r="BC618" s="22"/>
      <c r="BD618" s="551" t="s">
        <v>334</v>
      </c>
      <c r="BE618" s="327"/>
      <c r="BF618" s="552"/>
      <c r="BG618" s="326"/>
      <c r="BH618" s="326"/>
      <c r="BI618" s="327"/>
      <c r="BJ618" s="451" t="s">
        <v>303</v>
      </c>
      <c r="BK618" s="326"/>
      <c r="BL618" s="326"/>
      <c r="BM618" s="327"/>
      <c r="BN618" s="558" t="s">
        <v>303</v>
      </c>
      <c r="BO618" s="326"/>
      <c r="BP618" s="326"/>
      <c r="BQ618" s="326"/>
      <c r="BR618" s="326"/>
      <c r="BS618" s="326"/>
      <c r="BT618" s="326"/>
      <c r="BU618" s="326"/>
      <c r="BV618" s="327"/>
    </row>
    <row r="619" spans="1:74" ht="45" customHeight="1" x14ac:dyDescent="0.25">
      <c r="A619" s="10">
        <f t="shared" si="2"/>
        <v>605</v>
      </c>
      <c r="B619" s="559" t="s">
        <v>303</v>
      </c>
      <c r="C619" s="327"/>
      <c r="D619" s="560" t="s">
        <v>307</v>
      </c>
      <c r="E619" s="327"/>
      <c r="F619" s="537" t="s">
        <v>334</v>
      </c>
      <c r="G619" s="327"/>
      <c r="H619" s="566" t="s">
        <v>334</v>
      </c>
      <c r="I619" s="327"/>
      <c r="J619" s="567"/>
      <c r="K619" s="327"/>
      <c r="L619" s="567"/>
      <c r="M619" s="327"/>
      <c r="N619" s="23"/>
      <c r="O619" s="24"/>
      <c r="P619" s="563"/>
      <c r="Q619" s="327"/>
      <c r="R619" s="538"/>
      <c r="S619" s="327"/>
      <c r="T619" s="539"/>
      <c r="U619" s="327"/>
      <c r="V619" s="540"/>
      <c r="W619" s="327"/>
      <c r="X619" s="541" t="s">
        <v>303</v>
      </c>
      <c r="Y619" s="326"/>
      <c r="Z619" s="326"/>
      <c r="AA619" s="327"/>
      <c r="AB619" s="542" t="s">
        <v>303</v>
      </c>
      <c r="AC619" s="326"/>
      <c r="AD619" s="326"/>
      <c r="AE619" s="327"/>
      <c r="AF619" s="543"/>
      <c r="AG619" s="327"/>
      <c r="AH619" s="543"/>
      <c r="AI619" s="327"/>
      <c r="AJ619" s="536"/>
      <c r="AK619" s="327"/>
      <c r="AL619" s="537" t="s">
        <v>334</v>
      </c>
      <c r="AM619" s="327"/>
      <c r="AN619" s="546" t="s">
        <v>334</v>
      </c>
      <c r="AO619" s="327"/>
      <c r="AP619" s="547"/>
      <c r="AQ619" s="327"/>
      <c r="AR619" s="548"/>
      <c r="AS619" s="327"/>
      <c r="AT619" s="568"/>
      <c r="AU619" s="327"/>
      <c r="AV619" s="546" t="s">
        <v>334</v>
      </c>
      <c r="AW619" s="327"/>
      <c r="AX619" s="521"/>
      <c r="AY619" s="326"/>
      <c r="AZ619" s="327"/>
      <c r="BA619" s="550"/>
      <c r="BB619" s="327"/>
      <c r="BC619" s="25"/>
      <c r="BD619" s="544" t="s">
        <v>334</v>
      </c>
      <c r="BE619" s="327"/>
      <c r="BF619" s="545"/>
      <c r="BG619" s="326"/>
      <c r="BH619" s="326"/>
      <c r="BI619" s="327"/>
      <c r="BJ619" s="557" t="s">
        <v>303</v>
      </c>
      <c r="BK619" s="326"/>
      <c r="BL619" s="326"/>
      <c r="BM619" s="327"/>
      <c r="BN619" s="558" t="s">
        <v>303</v>
      </c>
      <c r="BO619" s="326"/>
      <c r="BP619" s="326"/>
      <c r="BQ619" s="326"/>
      <c r="BR619" s="326"/>
      <c r="BS619" s="326"/>
      <c r="BT619" s="326"/>
      <c r="BU619" s="326"/>
      <c r="BV619" s="327"/>
    </row>
    <row r="620" spans="1:74" ht="45" customHeight="1" x14ac:dyDescent="0.25">
      <c r="A620" s="10">
        <f t="shared" si="2"/>
        <v>606</v>
      </c>
      <c r="B620" s="564" t="s">
        <v>303</v>
      </c>
      <c r="C620" s="327"/>
      <c r="D620" s="565" t="s">
        <v>307</v>
      </c>
      <c r="E620" s="327"/>
      <c r="F620" s="537" t="s">
        <v>334</v>
      </c>
      <c r="G620" s="327"/>
      <c r="H620" s="561" t="s">
        <v>334</v>
      </c>
      <c r="I620" s="327"/>
      <c r="J620" s="562"/>
      <c r="K620" s="327"/>
      <c r="L620" s="562"/>
      <c r="M620" s="327"/>
      <c r="N620" s="20"/>
      <c r="O620" s="21"/>
      <c r="P620" s="524"/>
      <c r="Q620" s="327"/>
      <c r="R620" s="516"/>
      <c r="S620" s="327"/>
      <c r="T620" s="517"/>
      <c r="U620" s="327"/>
      <c r="V620" s="518"/>
      <c r="W620" s="327"/>
      <c r="X620" s="438" t="s">
        <v>303</v>
      </c>
      <c r="Y620" s="326"/>
      <c r="Z620" s="326"/>
      <c r="AA620" s="327"/>
      <c r="AB620" s="519" t="s">
        <v>303</v>
      </c>
      <c r="AC620" s="326"/>
      <c r="AD620" s="326"/>
      <c r="AE620" s="327"/>
      <c r="AF620" s="520"/>
      <c r="AG620" s="327"/>
      <c r="AH620" s="520"/>
      <c r="AI620" s="327"/>
      <c r="AJ620" s="536"/>
      <c r="AK620" s="327"/>
      <c r="AL620" s="556" t="s">
        <v>334</v>
      </c>
      <c r="AM620" s="327"/>
      <c r="AN620" s="553" t="s">
        <v>334</v>
      </c>
      <c r="AO620" s="327"/>
      <c r="AP620" s="554"/>
      <c r="AQ620" s="327"/>
      <c r="AR620" s="555"/>
      <c r="AS620" s="327"/>
      <c r="AT620" s="549"/>
      <c r="AU620" s="327"/>
      <c r="AV620" s="553" t="s">
        <v>334</v>
      </c>
      <c r="AW620" s="327"/>
      <c r="AX620" s="521"/>
      <c r="AY620" s="326"/>
      <c r="AZ620" s="327"/>
      <c r="BA620" s="536"/>
      <c r="BB620" s="327"/>
      <c r="BC620" s="22"/>
      <c r="BD620" s="551" t="s">
        <v>334</v>
      </c>
      <c r="BE620" s="327"/>
      <c r="BF620" s="552"/>
      <c r="BG620" s="326"/>
      <c r="BH620" s="326"/>
      <c r="BI620" s="327"/>
      <c r="BJ620" s="451" t="s">
        <v>303</v>
      </c>
      <c r="BK620" s="326"/>
      <c r="BL620" s="326"/>
      <c r="BM620" s="327"/>
      <c r="BN620" s="558" t="s">
        <v>303</v>
      </c>
      <c r="BO620" s="326"/>
      <c r="BP620" s="326"/>
      <c r="BQ620" s="326"/>
      <c r="BR620" s="326"/>
      <c r="BS620" s="326"/>
      <c r="BT620" s="326"/>
      <c r="BU620" s="326"/>
      <c r="BV620" s="327"/>
    </row>
    <row r="621" spans="1:74" ht="45" customHeight="1" x14ac:dyDescent="0.25">
      <c r="A621" s="10">
        <f t="shared" si="2"/>
        <v>607</v>
      </c>
      <c r="B621" s="559" t="s">
        <v>303</v>
      </c>
      <c r="C621" s="327"/>
      <c r="D621" s="560" t="s">
        <v>307</v>
      </c>
      <c r="E621" s="327"/>
      <c r="F621" s="537" t="s">
        <v>334</v>
      </c>
      <c r="G621" s="327"/>
      <c r="H621" s="566" t="s">
        <v>334</v>
      </c>
      <c r="I621" s="327"/>
      <c r="J621" s="567"/>
      <c r="K621" s="327"/>
      <c r="L621" s="567"/>
      <c r="M621" s="327"/>
      <c r="N621" s="23"/>
      <c r="O621" s="24"/>
      <c r="P621" s="563"/>
      <c r="Q621" s="327"/>
      <c r="R621" s="538"/>
      <c r="S621" s="327"/>
      <c r="T621" s="539"/>
      <c r="U621" s="327"/>
      <c r="V621" s="540"/>
      <c r="W621" s="327"/>
      <c r="X621" s="541" t="s">
        <v>303</v>
      </c>
      <c r="Y621" s="326"/>
      <c r="Z621" s="326"/>
      <c r="AA621" s="327"/>
      <c r="AB621" s="542" t="s">
        <v>303</v>
      </c>
      <c r="AC621" s="326"/>
      <c r="AD621" s="326"/>
      <c r="AE621" s="327"/>
      <c r="AF621" s="543"/>
      <c r="AG621" s="327"/>
      <c r="AH621" s="543"/>
      <c r="AI621" s="327"/>
      <c r="AJ621" s="536"/>
      <c r="AK621" s="327"/>
      <c r="AL621" s="537" t="s">
        <v>334</v>
      </c>
      <c r="AM621" s="327"/>
      <c r="AN621" s="546" t="s">
        <v>334</v>
      </c>
      <c r="AO621" s="327"/>
      <c r="AP621" s="547"/>
      <c r="AQ621" s="327"/>
      <c r="AR621" s="548"/>
      <c r="AS621" s="327"/>
      <c r="AT621" s="568"/>
      <c r="AU621" s="327"/>
      <c r="AV621" s="546" t="s">
        <v>334</v>
      </c>
      <c r="AW621" s="327"/>
      <c r="AX621" s="521"/>
      <c r="AY621" s="326"/>
      <c r="AZ621" s="327"/>
      <c r="BA621" s="550"/>
      <c r="BB621" s="327"/>
      <c r="BC621" s="25"/>
      <c r="BD621" s="544" t="s">
        <v>334</v>
      </c>
      <c r="BE621" s="327"/>
      <c r="BF621" s="545"/>
      <c r="BG621" s="326"/>
      <c r="BH621" s="326"/>
      <c r="BI621" s="327"/>
      <c r="BJ621" s="557" t="s">
        <v>303</v>
      </c>
      <c r="BK621" s="326"/>
      <c r="BL621" s="326"/>
      <c r="BM621" s="327"/>
      <c r="BN621" s="558" t="s">
        <v>303</v>
      </c>
      <c r="BO621" s="326"/>
      <c r="BP621" s="326"/>
      <c r="BQ621" s="326"/>
      <c r="BR621" s="326"/>
      <c r="BS621" s="326"/>
      <c r="BT621" s="326"/>
      <c r="BU621" s="326"/>
      <c r="BV621" s="327"/>
    </row>
    <row r="622" spans="1:74" ht="45" customHeight="1" x14ac:dyDescent="0.25">
      <c r="A622" s="10">
        <f t="shared" si="2"/>
        <v>608</v>
      </c>
      <c r="B622" s="564" t="s">
        <v>303</v>
      </c>
      <c r="C622" s="327"/>
      <c r="D622" s="565" t="s">
        <v>307</v>
      </c>
      <c r="E622" s="327"/>
      <c r="F622" s="537" t="s">
        <v>334</v>
      </c>
      <c r="G622" s="327"/>
      <c r="H622" s="561" t="s">
        <v>334</v>
      </c>
      <c r="I622" s="327"/>
      <c r="J622" s="562"/>
      <c r="K622" s="327"/>
      <c r="L622" s="562"/>
      <c r="M622" s="327"/>
      <c r="N622" s="20"/>
      <c r="O622" s="21"/>
      <c r="P622" s="524"/>
      <c r="Q622" s="327"/>
      <c r="R622" s="516"/>
      <c r="S622" s="327"/>
      <c r="T622" s="517"/>
      <c r="U622" s="327"/>
      <c r="V622" s="518"/>
      <c r="W622" s="327"/>
      <c r="X622" s="438" t="s">
        <v>303</v>
      </c>
      <c r="Y622" s="326"/>
      <c r="Z622" s="326"/>
      <c r="AA622" s="327"/>
      <c r="AB622" s="519" t="s">
        <v>303</v>
      </c>
      <c r="AC622" s="326"/>
      <c r="AD622" s="326"/>
      <c r="AE622" s="327"/>
      <c r="AF622" s="520"/>
      <c r="AG622" s="327"/>
      <c r="AH622" s="520"/>
      <c r="AI622" s="327"/>
      <c r="AJ622" s="536"/>
      <c r="AK622" s="327"/>
      <c r="AL622" s="556" t="s">
        <v>334</v>
      </c>
      <c r="AM622" s="327"/>
      <c r="AN622" s="553" t="s">
        <v>334</v>
      </c>
      <c r="AO622" s="327"/>
      <c r="AP622" s="554"/>
      <c r="AQ622" s="327"/>
      <c r="AR622" s="555"/>
      <c r="AS622" s="327"/>
      <c r="AT622" s="549"/>
      <c r="AU622" s="327"/>
      <c r="AV622" s="553" t="s">
        <v>334</v>
      </c>
      <c r="AW622" s="327"/>
      <c r="AX622" s="521"/>
      <c r="AY622" s="326"/>
      <c r="AZ622" s="327"/>
      <c r="BA622" s="536"/>
      <c r="BB622" s="327"/>
      <c r="BC622" s="22"/>
      <c r="BD622" s="551" t="s">
        <v>334</v>
      </c>
      <c r="BE622" s="327"/>
      <c r="BF622" s="508"/>
      <c r="BG622" s="326"/>
      <c r="BH622" s="326"/>
      <c r="BI622" s="327"/>
      <c r="BJ622" s="451" t="s">
        <v>303</v>
      </c>
      <c r="BK622" s="326"/>
      <c r="BL622" s="326"/>
      <c r="BM622" s="327"/>
      <c r="BN622" s="558" t="s">
        <v>303</v>
      </c>
      <c r="BO622" s="326"/>
      <c r="BP622" s="326"/>
      <c r="BQ622" s="326"/>
      <c r="BR622" s="326"/>
      <c r="BS622" s="326"/>
      <c r="BT622" s="326"/>
      <c r="BU622" s="326"/>
      <c r="BV622" s="327"/>
    </row>
    <row r="623" spans="1:74" ht="45" customHeight="1" x14ac:dyDescent="0.25">
      <c r="A623" s="10">
        <f t="shared" si="2"/>
        <v>609</v>
      </c>
      <c r="B623" s="559" t="s">
        <v>303</v>
      </c>
      <c r="C623" s="327"/>
      <c r="D623" s="560" t="s">
        <v>307</v>
      </c>
      <c r="E623" s="327"/>
      <c r="F623" s="537" t="s">
        <v>334</v>
      </c>
      <c r="G623" s="327"/>
      <c r="H623" s="566" t="s">
        <v>334</v>
      </c>
      <c r="I623" s="327"/>
      <c r="J623" s="567"/>
      <c r="K623" s="327"/>
      <c r="L623" s="567"/>
      <c r="M623" s="327"/>
      <c r="N623" s="23"/>
      <c r="O623" s="24"/>
      <c r="P623" s="563"/>
      <c r="Q623" s="327"/>
      <c r="R623" s="538"/>
      <c r="S623" s="327"/>
      <c r="T623" s="539"/>
      <c r="U623" s="327"/>
      <c r="V623" s="540"/>
      <c r="W623" s="327"/>
      <c r="X623" s="541" t="s">
        <v>303</v>
      </c>
      <c r="Y623" s="326"/>
      <c r="Z623" s="326"/>
      <c r="AA623" s="327"/>
      <c r="AB623" s="542" t="s">
        <v>303</v>
      </c>
      <c r="AC623" s="326"/>
      <c r="AD623" s="326"/>
      <c r="AE623" s="327"/>
      <c r="AF623" s="543"/>
      <c r="AG623" s="327"/>
      <c r="AH623" s="543"/>
      <c r="AI623" s="327"/>
      <c r="AJ623" s="536"/>
      <c r="AK623" s="327"/>
      <c r="AL623" s="537" t="s">
        <v>334</v>
      </c>
      <c r="AM623" s="327"/>
      <c r="AN623" s="546" t="s">
        <v>334</v>
      </c>
      <c r="AO623" s="327"/>
      <c r="AP623" s="547"/>
      <c r="AQ623" s="327"/>
      <c r="AR623" s="548"/>
      <c r="AS623" s="327"/>
      <c r="AT623" s="568"/>
      <c r="AU623" s="327"/>
      <c r="AV623" s="546" t="s">
        <v>334</v>
      </c>
      <c r="AW623" s="327"/>
      <c r="AX623" s="521"/>
      <c r="AY623" s="326"/>
      <c r="AZ623" s="327"/>
      <c r="BA623" s="550"/>
      <c r="BB623" s="327"/>
      <c r="BC623" s="25"/>
      <c r="BD623" s="544" t="s">
        <v>334</v>
      </c>
      <c r="BE623" s="327"/>
      <c r="BF623" s="545"/>
      <c r="BG623" s="326"/>
      <c r="BH623" s="326"/>
      <c r="BI623" s="327"/>
      <c r="BJ623" s="557" t="s">
        <v>303</v>
      </c>
      <c r="BK623" s="326"/>
      <c r="BL623" s="326"/>
      <c r="BM623" s="327"/>
      <c r="BN623" s="558" t="s">
        <v>303</v>
      </c>
      <c r="BO623" s="326"/>
      <c r="BP623" s="326"/>
      <c r="BQ623" s="326"/>
      <c r="BR623" s="326"/>
      <c r="BS623" s="326"/>
      <c r="BT623" s="326"/>
      <c r="BU623" s="326"/>
      <c r="BV623" s="327"/>
    </row>
    <row r="624" spans="1:74" ht="45" customHeight="1" x14ac:dyDescent="0.25">
      <c r="A624" s="10">
        <f t="shared" si="2"/>
        <v>610</v>
      </c>
      <c r="B624" s="564" t="s">
        <v>303</v>
      </c>
      <c r="C624" s="327"/>
      <c r="D624" s="565" t="s">
        <v>307</v>
      </c>
      <c r="E624" s="327"/>
      <c r="F624" s="537" t="s">
        <v>334</v>
      </c>
      <c r="G624" s="327"/>
      <c r="H624" s="561" t="s">
        <v>334</v>
      </c>
      <c r="I624" s="327"/>
      <c r="J624" s="562"/>
      <c r="K624" s="327"/>
      <c r="L624" s="562"/>
      <c r="M624" s="327"/>
      <c r="N624" s="20"/>
      <c r="O624" s="21"/>
      <c r="P624" s="524"/>
      <c r="Q624" s="327"/>
      <c r="R624" s="516"/>
      <c r="S624" s="327"/>
      <c r="T624" s="517"/>
      <c r="U624" s="327"/>
      <c r="V624" s="518"/>
      <c r="W624" s="327"/>
      <c r="X624" s="438" t="s">
        <v>303</v>
      </c>
      <c r="Y624" s="326"/>
      <c r="Z624" s="326"/>
      <c r="AA624" s="327"/>
      <c r="AB624" s="519" t="s">
        <v>303</v>
      </c>
      <c r="AC624" s="326"/>
      <c r="AD624" s="326"/>
      <c r="AE624" s="327"/>
      <c r="AF624" s="520"/>
      <c r="AG624" s="327"/>
      <c r="AH624" s="520"/>
      <c r="AI624" s="327"/>
      <c r="AJ624" s="536"/>
      <c r="AK624" s="327"/>
      <c r="AL624" s="556" t="s">
        <v>334</v>
      </c>
      <c r="AM624" s="327"/>
      <c r="AN624" s="553" t="s">
        <v>334</v>
      </c>
      <c r="AO624" s="327"/>
      <c r="AP624" s="554"/>
      <c r="AQ624" s="327"/>
      <c r="AR624" s="555"/>
      <c r="AS624" s="327"/>
      <c r="AT624" s="549"/>
      <c r="AU624" s="327"/>
      <c r="AV624" s="553" t="s">
        <v>334</v>
      </c>
      <c r="AW624" s="327"/>
      <c r="AX624" s="521"/>
      <c r="AY624" s="326"/>
      <c r="AZ624" s="327"/>
      <c r="BA624" s="536"/>
      <c r="BB624" s="327"/>
      <c r="BC624" s="22"/>
      <c r="BD624" s="551" t="s">
        <v>334</v>
      </c>
      <c r="BE624" s="327"/>
      <c r="BF624" s="552"/>
      <c r="BG624" s="326"/>
      <c r="BH624" s="326"/>
      <c r="BI624" s="327"/>
      <c r="BJ624" s="451" t="s">
        <v>303</v>
      </c>
      <c r="BK624" s="326"/>
      <c r="BL624" s="326"/>
      <c r="BM624" s="327"/>
      <c r="BN624" s="558" t="s">
        <v>303</v>
      </c>
      <c r="BO624" s="326"/>
      <c r="BP624" s="326"/>
      <c r="BQ624" s="326"/>
      <c r="BR624" s="326"/>
      <c r="BS624" s="326"/>
      <c r="BT624" s="326"/>
      <c r="BU624" s="326"/>
      <c r="BV624" s="327"/>
    </row>
    <row r="625" spans="1:74" ht="45" customHeight="1" x14ac:dyDescent="0.25">
      <c r="A625" s="10">
        <f t="shared" si="2"/>
        <v>611</v>
      </c>
      <c r="B625" s="559" t="s">
        <v>303</v>
      </c>
      <c r="C625" s="327"/>
      <c r="D625" s="560" t="s">
        <v>307</v>
      </c>
      <c r="E625" s="327"/>
      <c r="F625" s="537" t="s">
        <v>334</v>
      </c>
      <c r="G625" s="327"/>
      <c r="H625" s="566" t="s">
        <v>334</v>
      </c>
      <c r="I625" s="327"/>
      <c r="J625" s="567"/>
      <c r="K625" s="327"/>
      <c r="L625" s="567"/>
      <c r="M625" s="327"/>
      <c r="N625" s="23"/>
      <c r="O625" s="24"/>
      <c r="P625" s="563"/>
      <c r="Q625" s="327"/>
      <c r="R625" s="538"/>
      <c r="S625" s="327"/>
      <c r="T625" s="539"/>
      <c r="U625" s="327"/>
      <c r="V625" s="540"/>
      <c r="W625" s="327"/>
      <c r="X625" s="541" t="s">
        <v>303</v>
      </c>
      <c r="Y625" s="326"/>
      <c r="Z625" s="326"/>
      <c r="AA625" s="327"/>
      <c r="AB625" s="542" t="s">
        <v>303</v>
      </c>
      <c r="AC625" s="326"/>
      <c r="AD625" s="326"/>
      <c r="AE625" s="327"/>
      <c r="AF625" s="543"/>
      <c r="AG625" s="327"/>
      <c r="AH625" s="543"/>
      <c r="AI625" s="327"/>
      <c r="AJ625" s="536"/>
      <c r="AK625" s="327"/>
      <c r="AL625" s="537" t="s">
        <v>334</v>
      </c>
      <c r="AM625" s="327"/>
      <c r="AN625" s="546" t="s">
        <v>334</v>
      </c>
      <c r="AO625" s="327"/>
      <c r="AP625" s="547"/>
      <c r="AQ625" s="327"/>
      <c r="AR625" s="548"/>
      <c r="AS625" s="327"/>
      <c r="AT625" s="549"/>
      <c r="AU625" s="327"/>
      <c r="AV625" s="546" t="s">
        <v>334</v>
      </c>
      <c r="AW625" s="327"/>
      <c r="AX625" s="521"/>
      <c r="AY625" s="326"/>
      <c r="AZ625" s="327"/>
      <c r="BA625" s="550"/>
      <c r="BB625" s="327"/>
      <c r="BC625" s="25"/>
      <c r="BD625" s="544" t="s">
        <v>334</v>
      </c>
      <c r="BE625" s="327"/>
      <c r="BF625" s="545"/>
      <c r="BG625" s="326"/>
      <c r="BH625" s="326"/>
      <c r="BI625" s="327"/>
      <c r="BJ625" s="557" t="s">
        <v>303</v>
      </c>
      <c r="BK625" s="326"/>
      <c r="BL625" s="326"/>
      <c r="BM625" s="327"/>
      <c r="BN625" s="558" t="s">
        <v>303</v>
      </c>
      <c r="BO625" s="326"/>
      <c r="BP625" s="326"/>
      <c r="BQ625" s="326"/>
      <c r="BR625" s="326"/>
      <c r="BS625" s="326"/>
      <c r="BT625" s="326"/>
      <c r="BU625" s="326"/>
      <c r="BV625" s="327"/>
    </row>
    <row r="626" spans="1:74" ht="45" customHeight="1" x14ac:dyDescent="0.25">
      <c r="A626" s="10">
        <f t="shared" si="2"/>
        <v>612</v>
      </c>
      <c r="B626" s="564" t="s">
        <v>303</v>
      </c>
      <c r="C626" s="327"/>
      <c r="D626" s="565" t="s">
        <v>307</v>
      </c>
      <c r="E626" s="327"/>
      <c r="F626" s="537" t="s">
        <v>334</v>
      </c>
      <c r="G626" s="327"/>
      <c r="H626" s="561" t="s">
        <v>334</v>
      </c>
      <c r="I626" s="327"/>
      <c r="J626" s="562"/>
      <c r="K626" s="327"/>
      <c r="L626" s="562"/>
      <c r="M626" s="327"/>
      <c r="N626" s="20"/>
      <c r="O626" s="21"/>
      <c r="P626" s="524"/>
      <c r="Q626" s="327"/>
      <c r="R626" s="516"/>
      <c r="S626" s="327"/>
      <c r="T626" s="517"/>
      <c r="U626" s="327"/>
      <c r="V626" s="518"/>
      <c r="W626" s="327"/>
      <c r="X626" s="438" t="s">
        <v>303</v>
      </c>
      <c r="Y626" s="326"/>
      <c r="Z626" s="326"/>
      <c r="AA626" s="327"/>
      <c r="AB626" s="519" t="s">
        <v>303</v>
      </c>
      <c r="AC626" s="326"/>
      <c r="AD626" s="326"/>
      <c r="AE626" s="327"/>
      <c r="AF626" s="520"/>
      <c r="AG626" s="327"/>
      <c r="AH626" s="520"/>
      <c r="AI626" s="327"/>
      <c r="AJ626" s="536"/>
      <c r="AK626" s="327"/>
      <c r="AL626" s="556" t="s">
        <v>334</v>
      </c>
      <c r="AM626" s="327"/>
      <c r="AN626" s="553" t="s">
        <v>334</v>
      </c>
      <c r="AO626" s="327"/>
      <c r="AP626" s="554"/>
      <c r="AQ626" s="327"/>
      <c r="AR626" s="555"/>
      <c r="AS626" s="327"/>
      <c r="AT626" s="549"/>
      <c r="AU626" s="327"/>
      <c r="AV626" s="553" t="s">
        <v>334</v>
      </c>
      <c r="AW626" s="327"/>
      <c r="AX626" s="521"/>
      <c r="AY626" s="326"/>
      <c r="AZ626" s="327"/>
      <c r="BA626" s="536"/>
      <c r="BB626" s="327"/>
      <c r="BC626" s="22"/>
      <c r="BD626" s="551" t="s">
        <v>334</v>
      </c>
      <c r="BE626" s="327"/>
      <c r="BF626" s="552"/>
      <c r="BG626" s="326"/>
      <c r="BH626" s="326"/>
      <c r="BI626" s="327"/>
      <c r="BJ626" s="451" t="s">
        <v>303</v>
      </c>
      <c r="BK626" s="326"/>
      <c r="BL626" s="326"/>
      <c r="BM626" s="327"/>
      <c r="BN626" s="558" t="s">
        <v>303</v>
      </c>
      <c r="BO626" s="326"/>
      <c r="BP626" s="326"/>
      <c r="BQ626" s="326"/>
      <c r="BR626" s="326"/>
      <c r="BS626" s="326"/>
      <c r="BT626" s="326"/>
      <c r="BU626" s="326"/>
      <c r="BV626" s="327"/>
    </row>
    <row r="627" spans="1:74" ht="45" customHeight="1" x14ac:dyDescent="0.25">
      <c r="A627" s="10">
        <f t="shared" si="2"/>
        <v>613</v>
      </c>
      <c r="B627" s="559" t="s">
        <v>303</v>
      </c>
      <c r="C627" s="327"/>
      <c r="D627" s="560" t="s">
        <v>307</v>
      </c>
      <c r="E627" s="327"/>
      <c r="F627" s="537" t="s">
        <v>334</v>
      </c>
      <c r="G627" s="327"/>
      <c r="H627" s="566" t="s">
        <v>334</v>
      </c>
      <c r="I627" s="327"/>
      <c r="J627" s="567"/>
      <c r="K627" s="327"/>
      <c r="L627" s="567"/>
      <c r="M627" s="327"/>
      <c r="N627" s="23"/>
      <c r="O627" s="24"/>
      <c r="P627" s="563"/>
      <c r="Q627" s="327"/>
      <c r="R627" s="538"/>
      <c r="S627" s="327"/>
      <c r="T627" s="539"/>
      <c r="U627" s="327"/>
      <c r="V627" s="540"/>
      <c r="W627" s="327"/>
      <c r="X627" s="541" t="s">
        <v>303</v>
      </c>
      <c r="Y627" s="326"/>
      <c r="Z627" s="326"/>
      <c r="AA627" s="327"/>
      <c r="AB627" s="542" t="s">
        <v>303</v>
      </c>
      <c r="AC627" s="326"/>
      <c r="AD627" s="326"/>
      <c r="AE627" s="327"/>
      <c r="AF627" s="543"/>
      <c r="AG627" s="327"/>
      <c r="AH627" s="543"/>
      <c r="AI627" s="327"/>
      <c r="AJ627" s="536"/>
      <c r="AK627" s="327"/>
      <c r="AL627" s="537" t="s">
        <v>334</v>
      </c>
      <c r="AM627" s="327"/>
      <c r="AN627" s="546" t="s">
        <v>334</v>
      </c>
      <c r="AO627" s="327"/>
      <c r="AP627" s="547"/>
      <c r="AQ627" s="327"/>
      <c r="AR627" s="548"/>
      <c r="AS627" s="327"/>
      <c r="AT627" s="549"/>
      <c r="AU627" s="327"/>
      <c r="AV627" s="546" t="s">
        <v>334</v>
      </c>
      <c r="AW627" s="327"/>
      <c r="AX627" s="521"/>
      <c r="AY627" s="326"/>
      <c r="AZ627" s="327"/>
      <c r="BA627" s="550"/>
      <c r="BB627" s="327"/>
      <c r="BC627" s="25"/>
      <c r="BD627" s="544" t="s">
        <v>334</v>
      </c>
      <c r="BE627" s="327"/>
      <c r="BF627" s="545"/>
      <c r="BG627" s="326"/>
      <c r="BH627" s="326"/>
      <c r="BI627" s="327"/>
      <c r="BJ627" s="557" t="s">
        <v>303</v>
      </c>
      <c r="BK627" s="326"/>
      <c r="BL627" s="326"/>
      <c r="BM627" s="327"/>
      <c r="BN627" s="558" t="s">
        <v>303</v>
      </c>
      <c r="BO627" s="326"/>
      <c r="BP627" s="326"/>
      <c r="BQ627" s="326"/>
      <c r="BR627" s="326"/>
      <c r="BS627" s="326"/>
      <c r="BT627" s="326"/>
      <c r="BU627" s="326"/>
      <c r="BV627" s="327"/>
    </row>
    <row r="628" spans="1:74" ht="45" customHeight="1" x14ac:dyDescent="0.25">
      <c r="A628" s="10">
        <f t="shared" si="2"/>
        <v>614</v>
      </c>
      <c r="B628" s="564" t="s">
        <v>303</v>
      </c>
      <c r="C628" s="327"/>
      <c r="D628" s="565" t="s">
        <v>307</v>
      </c>
      <c r="E628" s="327"/>
      <c r="F628" s="537" t="s">
        <v>334</v>
      </c>
      <c r="G628" s="327"/>
      <c r="H628" s="561" t="s">
        <v>334</v>
      </c>
      <c r="I628" s="327"/>
      <c r="J628" s="562"/>
      <c r="K628" s="327"/>
      <c r="L628" s="562"/>
      <c r="M628" s="327"/>
      <c r="N628" s="20"/>
      <c r="O628" s="21"/>
      <c r="P628" s="524"/>
      <c r="Q628" s="327"/>
      <c r="R628" s="516"/>
      <c r="S628" s="327"/>
      <c r="T628" s="517"/>
      <c r="U628" s="327"/>
      <c r="V628" s="518"/>
      <c r="W628" s="327"/>
      <c r="X628" s="438" t="s">
        <v>303</v>
      </c>
      <c r="Y628" s="326"/>
      <c r="Z628" s="326"/>
      <c r="AA628" s="327"/>
      <c r="AB628" s="519" t="s">
        <v>303</v>
      </c>
      <c r="AC628" s="326"/>
      <c r="AD628" s="326"/>
      <c r="AE628" s="327"/>
      <c r="AF628" s="520"/>
      <c r="AG628" s="327"/>
      <c r="AH628" s="520"/>
      <c r="AI628" s="327"/>
      <c r="AJ628" s="536"/>
      <c r="AK628" s="327"/>
      <c r="AL628" s="556" t="s">
        <v>334</v>
      </c>
      <c r="AM628" s="327"/>
      <c r="AN628" s="553" t="s">
        <v>334</v>
      </c>
      <c r="AO628" s="327"/>
      <c r="AP628" s="554"/>
      <c r="AQ628" s="327"/>
      <c r="AR628" s="555"/>
      <c r="AS628" s="327"/>
      <c r="AT628" s="549"/>
      <c r="AU628" s="327"/>
      <c r="AV628" s="553" t="s">
        <v>334</v>
      </c>
      <c r="AW628" s="327"/>
      <c r="AX628" s="521"/>
      <c r="AY628" s="326"/>
      <c r="AZ628" s="327"/>
      <c r="BA628" s="536"/>
      <c r="BB628" s="327"/>
      <c r="BC628" s="22"/>
      <c r="BD628" s="551" t="s">
        <v>334</v>
      </c>
      <c r="BE628" s="327"/>
      <c r="BF628" s="552"/>
      <c r="BG628" s="326"/>
      <c r="BH628" s="326"/>
      <c r="BI628" s="327"/>
      <c r="BJ628" s="451" t="s">
        <v>303</v>
      </c>
      <c r="BK628" s="326"/>
      <c r="BL628" s="326"/>
      <c r="BM628" s="327"/>
      <c r="BN628" s="558" t="s">
        <v>303</v>
      </c>
      <c r="BO628" s="326"/>
      <c r="BP628" s="326"/>
      <c r="BQ628" s="326"/>
      <c r="BR628" s="326"/>
      <c r="BS628" s="326"/>
      <c r="BT628" s="326"/>
      <c r="BU628" s="326"/>
      <c r="BV628" s="327"/>
    </row>
    <row r="629" spans="1:74" ht="45" customHeight="1" x14ac:dyDescent="0.25">
      <c r="A629" s="10">
        <f t="shared" si="2"/>
        <v>615</v>
      </c>
      <c r="B629" s="559" t="s">
        <v>303</v>
      </c>
      <c r="C629" s="327"/>
      <c r="D629" s="560" t="s">
        <v>307</v>
      </c>
      <c r="E629" s="327"/>
      <c r="F629" s="537" t="s">
        <v>334</v>
      </c>
      <c r="G629" s="327"/>
      <c r="H629" s="566" t="s">
        <v>334</v>
      </c>
      <c r="I629" s="327"/>
      <c r="J629" s="567"/>
      <c r="K629" s="327"/>
      <c r="L629" s="567"/>
      <c r="M629" s="327"/>
      <c r="N629" s="23"/>
      <c r="O629" s="24"/>
      <c r="P629" s="563"/>
      <c r="Q629" s="327"/>
      <c r="R629" s="538"/>
      <c r="S629" s="327"/>
      <c r="T629" s="539"/>
      <c r="U629" s="327"/>
      <c r="V629" s="540"/>
      <c r="W629" s="327"/>
      <c r="X629" s="541" t="s">
        <v>303</v>
      </c>
      <c r="Y629" s="326"/>
      <c r="Z629" s="326"/>
      <c r="AA629" s="327"/>
      <c r="AB629" s="542" t="s">
        <v>303</v>
      </c>
      <c r="AC629" s="326"/>
      <c r="AD629" s="326"/>
      <c r="AE629" s="327"/>
      <c r="AF629" s="543"/>
      <c r="AG629" s="327"/>
      <c r="AH629" s="543"/>
      <c r="AI629" s="327"/>
      <c r="AJ629" s="536"/>
      <c r="AK629" s="327"/>
      <c r="AL629" s="537" t="s">
        <v>334</v>
      </c>
      <c r="AM629" s="327"/>
      <c r="AN629" s="546" t="s">
        <v>334</v>
      </c>
      <c r="AO629" s="327"/>
      <c r="AP629" s="547"/>
      <c r="AQ629" s="327"/>
      <c r="AR629" s="548"/>
      <c r="AS629" s="327"/>
      <c r="AT629" s="568"/>
      <c r="AU629" s="327"/>
      <c r="AV629" s="546" t="s">
        <v>334</v>
      </c>
      <c r="AW629" s="327"/>
      <c r="AX629" s="521"/>
      <c r="AY629" s="326"/>
      <c r="AZ629" s="327"/>
      <c r="BA629" s="550"/>
      <c r="BB629" s="327"/>
      <c r="BC629" s="25"/>
      <c r="BD629" s="544" t="s">
        <v>334</v>
      </c>
      <c r="BE629" s="327"/>
      <c r="BF629" s="545"/>
      <c r="BG629" s="326"/>
      <c r="BH629" s="326"/>
      <c r="BI629" s="327"/>
      <c r="BJ629" s="557" t="s">
        <v>303</v>
      </c>
      <c r="BK629" s="326"/>
      <c r="BL629" s="326"/>
      <c r="BM629" s="327"/>
      <c r="BN629" s="558" t="s">
        <v>303</v>
      </c>
      <c r="BO629" s="326"/>
      <c r="BP629" s="326"/>
      <c r="BQ629" s="326"/>
      <c r="BR629" s="326"/>
      <c r="BS629" s="326"/>
      <c r="BT629" s="326"/>
      <c r="BU629" s="326"/>
      <c r="BV629" s="327"/>
    </row>
    <row r="630" spans="1:74" ht="45" customHeight="1" x14ac:dyDescent="0.25">
      <c r="A630" s="10">
        <f t="shared" si="2"/>
        <v>616</v>
      </c>
      <c r="B630" s="564" t="s">
        <v>303</v>
      </c>
      <c r="C630" s="327"/>
      <c r="D630" s="565" t="s">
        <v>307</v>
      </c>
      <c r="E630" s="327"/>
      <c r="F630" s="537" t="s">
        <v>334</v>
      </c>
      <c r="G630" s="327"/>
      <c r="H630" s="561" t="s">
        <v>334</v>
      </c>
      <c r="I630" s="327"/>
      <c r="J630" s="562"/>
      <c r="K630" s="327"/>
      <c r="L630" s="562"/>
      <c r="M630" s="327"/>
      <c r="N630" s="20"/>
      <c r="O630" s="21"/>
      <c r="P630" s="524"/>
      <c r="Q630" s="327"/>
      <c r="R630" s="516"/>
      <c r="S630" s="327"/>
      <c r="T630" s="517"/>
      <c r="U630" s="327"/>
      <c r="V630" s="518"/>
      <c r="W630" s="327"/>
      <c r="X630" s="438" t="s">
        <v>303</v>
      </c>
      <c r="Y630" s="326"/>
      <c r="Z630" s="326"/>
      <c r="AA630" s="327"/>
      <c r="AB630" s="519" t="s">
        <v>303</v>
      </c>
      <c r="AC630" s="326"/>
      <c r="AD630" s="326"/>
      <c r="AE630" s="327"/>
      <c r="AF630" s="520"/>
      <c r="AG630" s="327"/>
      <c r="AH630" s="520"/>
      <c r="AI630" s="327"/>
      <c r="AJ630" s="536"/>
      <c r="AK630" s="327"/>
      <c r="AL630" s="556" t="s">
        <v>334</v>
      </c>
      <c r="AM630" s="327"/>
      <c r="AN630" s="553" t="s">
        <v>334</v>
      </c>
      <c r="AO630" s="327"/>
      <c r="AP630" s="554"/>
      <c r="AQ630" s="327"/>
      <c r="AR630" s="555"/>
      <c r="AS630" s="327"/>
      <c r="AT630" s="549"/>
      <c r="AU630" s="327"/>
      <c r="AV630" s="553" t="s">
        <v>334</v>
      </c>
      <c r="AW630" s="327"/>
      <c r="AX630" s="521"/>
      <c r="AY630" s="326"/>
      <c r="AZ630" s="327"/>
      <c r="BA630" s="536"/>
      <c r="BB630" s="327"/>
      <c r="BC630" s="22"/>
      <c r="BD630" s="551" t="s">
        <v>334</v>
      </c>
      <c r="BE630" s="327"/>
      <c r="BF630" s="508"/>
      <c r="BG630" s="326"/>
      <c r="BH630" s="326"/>
      <c r="BI630" s="327"/>
      <c r="BJ630" s="451" t="s">
        <v>303</v>
      </c>
      <c r="BK630" s="326"/>
      <c r="BL630" s="326"/>
      <c r="BM630" s="327"/>
      <c r="BN630" s="558" t="s">
        <v>303</v>
      </c>
      <c r="BO630" s="326"/>
      <c r="BP630" s="326"/>
      <c r="BQ630" s="326"/>
      <c r="BR630" s="326"/>
      <c r="BS630" s="326"/>
      <c r="BT630" s="326"/>
      <c r="BU630" s="326"/>
      <c r="BV630" s="327"/>
    </row>
    <row r="631" spans="1:74" ht="45" customHeight="1" x14ac:dyDescent="0.25">
      <c r="A631" s="10">
        <f t="shared" si="2"/>
        <v>617</v>
      </c>
      <c r="B631" s="559" t="s">
        <v>303</v>
      </c>
      <c r="C631" s="327"/>
      <c r="D631" s="560" t="s">
        <v>307</v>
      </c>
      <c r="E631" s="327"/>
      <c r="F631" s="537" t="s">
        <v>334</v>
      </c>
      <c r="G631" s="327"/>
      <c r="H631" s="566" t="s">
        <v>334</v>
      </c>
      <c r="I631" s="327"/>
      <c r="J631" s="567"/>
      <c r="K631" s="327"/>
      <c r="L631" s="567"/>
      <c r="M631" s="327"/>
      <c r="N631" s="23"/>
      <c r="O631" s="24"/>
      <c r="P631" s="563"/>
      <c r="Q631" s="327"/>
      <c r="R631" s="538"/>
      <c r="S631" s="327"/>
      <c r="T631" s="539"/>
      <c r="U631" s="327"/>
      <c r="V631" s="540"/>
      <c r="W631" s="327"/>
      <c r="X631" s="541" t="s">
        <v>303</v>
      </c>
      <c r="Y631" s="326"/>
      <c r="Z631" s="326"/>
      <c r="AA631" s="327"/>
      <c r="AB631" s="542" t="s">
        <v>303</v>
      </c>
      <c r="AC631" s="326"/>
      <c r="AD631" s="326"/>
      <c r="AE631" s="327"/>
      <c r="AF631" s="543"/>
      <c r="AG631" s="327"/>
      <c r="AH631" s="543"/>
      <c r="AI631" s="327"/>
      <c r="AJ631" s="536"/>
      <c r="AK631" s="327"/>
      <c r="AL631" s="537" t="s">
        <v>334</v>
      </c>
      <c r="AM631" s="327"/>
      <c r="AN631" s="546" t="s">
        <v>334</v>
      </c>
      <c r="AO631" s="327"/>
      <c r="AP631" s="547"/>
      <c r="AQ631" s="327"/>
      <c r="AR631" s="548"/>
      <c r="AS631" s="327"/>
      <c r="AT631" s="568"/>
      <c r="AU631" s="327"/>
      <c r="AV631" s="546" t="s">
        <v>334</v>
      </c>
      <c r="AW631" s="327"/>
      <c r="AX631" s="521"/>
      <c r="AY631" s="326"/>
      <c r="AZ631" s="327"/>
      <c r="BA631" s="550"/>
      <c r="BB631" s="327"/>
      <c r="BC631" s="25"/>
      <c r="BD631" s="544" t="s">
        <v>334</v>
      </c>
      <c r="BE631" s="327"/>
      <c r="BF631" s="545"/>
      <c r="BG631" s="326"/>
      <c r="BH631" s="326"/>
      <c r="BI631" s="327"/>
      <c r="BJ631" s="557" t="s">
        <v>303</v>
      </c>
      <c r="BK631" s="326"/>
      <c r="BL631" s="326"/>
      <c r="BM631" s="327"/>
      <c r="BN631" s="558" t="s">
        <v>303</v>
      </c>
      <c r="BO631" s="326"/>
      <c r="BP631" s="326"/>
      <c r="BQ631" s="326"/>
      <c r="BR631" s="326"/>
      <c r="BS631" s="326"/>
      <c r="BT631" s="326"/>
      <c r="BU631" s="326"/>
      <c r="BV631" s="327"/>
    </row>
    <row r="632" spans="1:74" ht="45" customHeight="1" x14ac:dyDescent="0.25">
      <c r="A632" s="10">
        <f t="shared" si="2"/>
        <v>618</v>
      </c>
      <c r="B632" s="564" t="s">
        <v>303</v>
      </c>
      <c r="C632" s="327"/>
      <c r="D632" s="565" t="s">
        <v>307</v>
      </c>
      <c r="E632" s="327"/>
      <c r="F632" s="537" t="s">
        <v>334</v>
      </c>
      <c r="G632" s="327"/>
      <c r="H632" s="561" t="s">
        <v>334</v>
      </c>
      <c r="I632" s="327"/>
      <c r="J632" s="562"/>
      <c r="K632" s="327"/>
      <c r="L632" s="562"/>
      <c r="M632" s="327"/>
      <c r="N632" s="20"/>
      <c r="O632" s="21"/>
      <c r="P632" s="524"/>
      <c r="Q632" s="327"/>
      <c r="R632" s="516"/>
      <c r="S632" s="327"/>
      <c r="T632" s="517"/>
      <c r="U632" s="327"/>
      <c r="V632" s="518"/>
      <c r="W632" s="327"/>
      <c r="X632" s="438" t="s">
        <v>303</v>
      </c>
      <c r="Y632" s="326"/>
      <c r="Z632" s="326"/>
      <c r="AA632" s="327"/>
      <c r="AB632" s="519" t="s">
        <v>303</v>
      </c>
      <c r="AC632" s="326"/>
      <c r="AD632" s="326"/>
      <c r="AE632" s="327"/>
      <c r="AF632" s="520"/>
      <c r="AG632" s="327"/>
      <c r="AH632" s="520"/>
      <c r="AI632" s="327"/>
      <c r="AJ632" s="536"/>
      <c r="AK632" s="327"/>
      <c r="AL632" s="556" t="s">
        <v>334</v>
      </c>
      <c r="AM632" s="327"/>
      <c r="AN632" s="553" t="s">
        <v>334</v>
      </c>
      <c r="AO632" s="327"/>
      <c r="AP632" s="554"/>
      <c r="AQ632" s="327"/>
      <c r="AR632" s="555"/>
      <c r="AS632" s="327"/>
      <c r="AT632" s="549"/>
      <c r="AU632" s="327"/>
      <c r="AV632" s="553" t="s">
        <v>334</v>
      </c>
      <c r="AW632" s="327"/>
      <c r="AX632" s="521"/>
      <c r="AY632" s="326"/>
      <c r="AZ632" s="327"/>
      <c r="BA632" s="536"/>
      <c r="BB632" s="327"/>
      <c r="BC632" s="22"/>
      <c r="BD632" s="551" t="s">
        <v>334</v>
      </c>
      <c r="BE632" s="327"/>
      <c r="BF632" s="552"/>
      <c r="BG632" s="326"/>
      <c r="BH632" s="326"/>
      <c r="BI632" s="327"/>
      <c r="BJ632" s="451" t="s">
        <v>303</v>
      </c>
      <c r="BK632" s="326"/>
      <c r="BL632" s="326"/>
      <c r="BM632" s="327"/>
      <c r="BN632" s="558" t="s">
        <v>303</v>
      </c>
      <c r="BO632" s="326"/>
      <c r="BP632" s="326"/>
      <c r="BQ632" s="326"/>
      <c r="BR632" s="326"/>
      <c r="BS632" s="326"/>
      <c r="BT632" s="326"/>
      <c r="BU632" s="326"/>
      <c r="BV632" s="327"/>
    </row>
    <row r="633" spans="1:74" ht="45" customHeight="1" x14ac:dyDescent="0.25">
      <c r="A633" s="10">
        <f t="shared" si="2"/>
        <v>619</v>
      </c>
      <c r="B633" s="559" t="s">
        <v>303</v>
      </c>
      <c r="C633" s="327"/>
      <c r="D633" s="560" t="s">
        <v>307</v>
      </c>
      <c r="E633" s="327"/>
      <c r="F633" s="537" t="s">
        <v>334</v>
      </c>
      <c r="G633" s="327"/>
      <c r="H633" s="566" t="s">
        <v>334</v>
      </c>
      <c r="I633" s="327"/>
      <c r="J633" s="567"/>
      <c r="K633" s="327"/>
      <c r="L633" s="567"/>
      <c r="M633" s="327"/>
      <c r="N633" s="23"/>
      <c r="O633" s="24"/>
      <c r="P633" s="563"/>
      <c r="Q633" s="327"/>
      <c r="R633" s="538"/>
      <c r="S633" s="327"/>
      <c r="T633" s="539"/>
      <c r="U633" s="327"/>
      <c r="V633" s="540"/>
      <c r="W633" s="327"/>
      <c r="X633" s="541" t="s">
        <v>303</v>
      </c>
      <c r="Y633" s="326"/>
      <c r="Z633" s="326"/>
      <c r="AA633" s="327"/>
      <c r="AB633" s="542" t="s">
        <v>303</v>
      </c>
      <c r="AC633" s="326"/>
      <c r="AD633" s="326"/>
      <c r="AE633" s="327"/>
      <c r="AF633" s="543"/>
      <c r="AG633" s="327"/>
      <c r="AH633" s="543"/>
      <c r="AI633" s="327"/>
      <c r="AJ633" s="536"/>
      <c r="AK633" s="327"/>
      <c r="AL633" s="537" t="s">
        <v>334</v>
      </c>
      <c r="AM633" s="327"/>
      <c r="AN633" s="546" t="s">
        <v>334</v>
      </c>
      <c r="AO633" s="327"/>
      <c r="AP633" s="547"/>
      <c r="AQ633" s="327"/>
      <c r="AR633" s="548"/>
      <c r="AS633" s="327"/>
      <c r="AT633" s="568"/>
      <c r="AU633" s="327"/>
      <c r="AV633" s="546" t="s">
        <v>334</v>
      </c>
      <c r="AW633" s="327"/>
      <c r="AX633" s="521"/>
      <c r="AY633" s="326"/>
      <c r="AZ633" s="327"/>
      <c r="BA633" s="550"/>
      <c r="BB633" s="327"/>
      <c r="BC633" s="25"/>
      <c r="BD633" s="544" t="s">
        <v>334</v>
      </c>
      <c r="BE633" s="327"/>
      <c r="BF633" s="545"/>
      <c r="BG633" s="326"/>
      <c r="BH633" s="326"/>
      <c r="BI633" s="327"/>
      <c r="BJ633" s="557" t="s">
        <v>303</v>
      </c>
      <c r="BK633" s="326"/>
      <c r="BL633" s="326"/>
      <c r="BM633" s="327"/>
      <c r="BN633" s="558" t="s">
        <v>303</v>
      </c>
      <c r="BO633" s="326"/>
      <c r="BP633" s="326"/>
      <c r="BQ633" s="326"/>
      <c r="BR633" s="326"/>
      <c r="BS633" s="326"/>
      <c r="BT633" s="326"/>
      <c r="BU633" s="326"/>
      <c r="BV633" s="327"/>
    </row>
    <row r="634" spans="1:74" ht="45" customHeight="1" x14ac:dyDescent="0.25">
      <c r="A634" s="10">
        <f t="shared" si="2"/>
        <v>620</v>
      </c>
      <c r="B634" s="564" t="s">
        <v>303</v>
      </c>
      <c r="C634" s="327"/>
      <c r="D634" s="565" t="s">
        <v>307</v>
      </c>
      <c r="E634" s="327"/>
      <c r="F634" s="537" t="s">
        <v>334</v>
      </c>
      <c r="G634" s="327"/>
      <c r="H634" s="561" t="s">
        <v>334</v>
      </c>
      <c r="I634" s="327"/>
      <c r="J634" s="562"/>
      <c r="K634" s="327"/>
      <c r="L634" s="562"/>
      <c r="M634" s="327"/>
      <c r="N634" s="20"/>
      <c r="O634" s="21"/>
      <c r="P634" s="524"/>
      <c r="Q634" s="327"/>
      <c r="R634" s="516"/>
      <c r="S634" s="327"/>
      <c r="T634" s="517"/>
      <c r="U634" s="327"/>
      <c r="V634" s="518"/>
      <c r="W634" s="327"/>
      <c r="X634" s="438" t="s">
        <v>303</v>
      </c>
      <c r="Y634" s="326"/>
      <c r="Z634" s="326"/>
      <c r="AA634" s="327"/>
      <c r="AB634" s="519" t="s">
        <v>303</v>
      </c>
      <c r="AC634" s="326"/>
      <c r="AD634" s="326"/>
      <c r="AE634" s="327"/>
      <c r="AF634" s="520"/>
      <c r="AG634" s="327"/>
      <c r="AH634" s="520"/>
      <c r="AI634" s="327"/>
      <c r="AJ634" s="536"/>
      <c r="AK634" s="327"/>
      <c r="AL634" s="556" t="s">
        <v>334</v>
      </c>
      <c r="AM634" s="327"/>
      <c r="AN634" s="553" t="s">
        <v>334</v>
      </c>
      <c r="AO634" s="327"/>
      <c r="AP634" s="554"/>
      <c r="AQ634" s="327"/>
      <c r="AR634" s="555"/>
      <c r="AS634" s="327"/>
      <c r="AT634" s="549"/>
      <c r="AU634" s="327"/>
      <c r="AV634" s="553" t="s">
        <v>334</v>
      </c>
      <c r="AW634" s="327"/>
      <c r="AX634" s="521"/>
      <c r="AY634" s="326"/>
      <c r="AZ634" s="327"/>
      <c r="BA634" s="536"/>
      <c r="BB634" s="327"/>
      <c r="BC634" s="22"/>
      <c r="BD634" s="551" t="s">
        <v>334</v>
      </c>
      <c r="BE634" s="327"/>
      <c r="BF634" s="552"/>
      <c r="BG634" s="326"/>
      <c r="BH634" s="326"/>
      <c r="BI634" s="327"/>
      <c r="BJ634" s="451" t="s">
        <v>303</v>
      </c>
      <c r="BK634" s="326"/>
      <c r="BL634" s="326"/>
      <c r="BM634" s="327"/>
      <c r="BN634" s="558" t="s">
        <v>303</v>
      </c>
      <c r="BO634" s="326"/>
      <c r="BP634" s="326"/>
      <c r="BQ634" s="326"/>
      <c r="BR634" s="326"/>
      <c r="BS634" s="326"/>
      <c r="BT634" s="326"/>
      <c r="BU634" s="326"/>
      <c r="BV634" s="327"/>
    </row>
    <row r="635" spans="1:74" ht="45" customHeight="1" x14ac:dyDescent="0.25">
      <c r="A635" s="10">
        <f t="shared" si="2"/>
        <v>621</v>
      </c>
      <c r="B635" s="559" t="s">
        <v>303</v>
      </c>
      <c r="C635" s="327"/>
      <c r="D635" s="560" t="s">
        <v>307</v>
      </c>
      <c r="E635" s="327"/>
      <c r="F635" s="537" t="s">
        <v>334</v>
      </c>
      <c r="G635" s="327"/>
      <c r="H635" s="566" t="s">
        <v>334</v>
      </c>
      <c r="I635" s="327"/>
      <c r="J635" s="567"/>
      <c r="K635" s="327"/>
      <c r="L635" s="567"/>
      <c r="M635" s="327"/>
      <c r="N635" s="23"/>
      <c r="O635" s="24"/>
      <c r="P635" s="563"/>
      <c r="Q635" s="327"/>
      <c r="R635" s="538"/>
      <c r="S635" s="327"/>
      <c r="T635" s="539"/>
      <c r="U635" s="327"/>
      <c r="V635" s="540"/>
      <c r="W635" s="327"/>
      <c r="X635" s="541" t="s">
        <v>303</v>
      </c>
      <c r="Y635" s="326"/>
      <c r="Z635" s="326"/>
      <c r="AA635" s="327"/>
      <c r="AB635" s="542" t="s">
        <v>303</v>
      </c>
      <c r="AC635" s="326"/>
      <c r="AD635" s="326"/>
      <c r="AE635" s="327"/>
      <c r="AF635" s="543"/>
      <c r="AG635" s="327"/>
      <c r="AH635" s="543"/>
      <c r="AI635" s="327"/>
      <c r="AJ635" s="536"/>
      <c r="AK635" s="327"/>
      <c r="AL635" s="537" t="s">
        <v>334</v>
      </c>
      <c r="AM635" s="327"/>
      <c r="AN635" s="546" t="s">
        <v>334</v>
      </c>
      <c r="AO635" s="327"/>
      <c r="AP635" s="547"/>
      <c r="AQ635" s="327"/>
      <c r="AR635" s="548"/>
      <c r="AS635" s="327"/>
      <c r="AT635" s="568"/>
      <c r="AU635" s="327"/>
      <c r="AV635" s="546" t="s">
        <v>334</v>
      </c>
      <c r="AW635" s="327"/>
      <c r="AX635" s="521"/>
      <c r="AY635" s="326"/>
      <c r="AZ635" s="327"/>
      <c r="BA635" s="550"/>
      <c r="BB635" s="327"/>
      <c r="BC635" s="25"/>
      <c r="BD635" s="544" t="s">
        <v>334</v>
      </c>
      <c r="BE635" s="327"/>
      <c r="BF635" s="545"/>
      <c r="BG635" s="326"/>
      <c r="BH635" s="326"/>
      <c r="BI635" s="327"/>
      <c r="BJ635" s="557" t="s">
        <v>303</v>
      </c>
      <c r="BK635" s="326"/>
      <c r="BL635" s="326"/>
      <c r="BM635" s="327"/>
      <c r="BN635" s="558" t="s">
        <v>303</v>
      </c>
      <c r="BO635" s="326"/>
      <c r="BP635" s="326"/>
      <c r="BQ635" s="326"/>
      <c r="BR635" s="326"/>
      <c r="BS635" s="326"/>
      <c r="BT635" s="326"/>
      <c r="BU635" s="326"/>
      <c r="BV635" s="327"/>
    </row>
    <row r="636" spans="1:74" ht="45" customHeight="1" x14ac:dyDescent="0.25">
      <c r="A636" s="10">
        <f t="shared" si="2"/>
        <v>622</v>
      </c>
      <c r="B636" s="564" t="s">
        <v>303</v>
      </c>
      <c r="C636" s="327"/>
      <c r="D636" s="565" t="s">
        <v>307</v>
      </c>
      <c r="E636" s="327"/>
      <c r="F636" s="537" t="s">
        <v>334</v>
      </c>
      <c r="G636" s="327"/>
      <c r="H636" s="561" t="s">
        <v>334</v>
      </c>
      <c r="I636" s="327"/>
      <c r="J636" s="562"/>
      <c r="K636" s="327"/>
      <c r="L636" s="562"/>
      <c r="M636" s="327"/>
      <c r="N636" s="20"/>
      <c r="O636" s="21"/>
      <c r="P636" s="524"/>
      <c r="Q636" s="327"/>
      <c r="R636" s="516"/>
      <c r="S636" s="327"/>
      <c r="T636" s="517"/>
      <c r="U636" s="327"/>
      <c r="V636" s="518"/>
      <c r="W636" s="327"/>
      <c r="X636" s="438" t="s">
        <v>303</v>
      </c>
      <c r="Y636" s="326"/>
      <c r="Z636" s="326"/>
      <c r="AA636" s="327"/>
      <c r="AB636" s="519" t="s">
        <v>303</v>
      </c>
      <c r="AC636" s="326"/>
      <c r="AD636" s="326"/>
      <c r="AE636" s="327"/>
      <c r="AF636" s="520"/>
      <c r="AG636" s="327"/>
      <c r="AH636" s="520"/>
      <c r="AI636" s="327"/>
      <c r="AJ636" s="536"/>
      <c r="AK636" s="327"/>
      <c r="AL636" s="556" t="s">
        <v>334</v>
      </c>
      <c r="AM636" s="327"/>
      <c r="AN636" s="553" t="s">
        <v>334</v>
      </c>
      <c r="AO636" s="327"/>
      <c r="AP636" s="554"/>
      <c r="AQ636" s="327"/>
      <c r="AR636" s="555"/>
      <c r="AS636" s="327"/>
      <c r="AT636" s="549"/>
      <c r="AU636" s="327"/>
      <c r="AV636" s="553" t="s">
        <v>334</v>
      </c>
      <c r="AW636" s="327"/>
      <c r="AX636" s="521"/>
      <c r="AY636" s="326"/>
      <c r="AZ636" s="327"/>
      <c r="BA636" s="536"/>
      <c r="BB636" s="327"/>
      <c r="BC636" s="22"/>
      <c r="BD636" s="551" t="s">
        <v>334</v>
      </c>
      <c r="BE636" s="327"/>
      <c r="BF636" s="508"/>
      <c r="BG636" s="326"/>
      <c r="BH636" s="326"/>
      <c r="BI636" s="327"/>
      <c r="BJ636" s="451" t="s">
        <v>303</v>
      </c>
      <c r="BK636" s="326"/>
      <c r="BL636" s="326"/>
      <c r="BM636" s="327"/>
      <c r="BN636" s="558" t="s">
        <v>303</v>
      </c>
      <c r="BO636" s="326"/>
      <c r="BP636" s="326"/>
      <c r="BQ636" s="326"/>
      <c r="BR636" s="326"/>
      <c r="BS636" s="326"/>
      <c r="BT636" s="326"/>
      <c r="BU636" s="326"/>
      <c r="BV636" s="327"/>
    </row>
    <row r="637" spans="1:74" ht="45" customHeight="1" x14ac:dyDescent="0.25">
      <c r="A637" s="10">
        <f t="shared" si="2"/>
        <v>623</v>
      </c>
      <c r="B637" s="559" t="s">
        <v>303</v>
      </c>
      <c r="C637" s="327"/>
      <c r="D637" s="560" t="s">
        <v>307</v>
      </c>
      <c r="E637" s="327"/>
      <c r="F637" s="537" t="s">
        <v>334</v>
      </c>
      <c r="G637" s="327"/>
      <c r="H637" s="566" t="s">
        <v>334</v>
      </c>
      <c r="I637" s="327"/>
      <c r="J637" s="567"/>
      <c r="K637" s="327"/>
      <c r="L637" s="567"/>
      <c r="M637" s="327"/>
      <c r="N637" s="23"/>
      <c r="O637" s="24"/>
      <c r="P637" s="563"/>
      <c r="Q637" s="327"/>
      <c r="R637" s="538"/>
      <c r="S637" s="327"/>
      <c r="T637" s="539"/>
      <c r="U637" s="327"/>
      <c r="V637" s="540"/>
      <c r="W637" s="327"/>
      <c r="X637" s="541" t="s">
        <v>303</v>
      </c>
      <c r="Y637" s="326"/>
      <c r="Z637" s="326"/>
      <c r="AA637" s="327"/>
      <c r="AB637" s="542" t="s">
        <v>303</v>
      </c>
      <c r="AC637" s="326"/>
      <c r="AD637" s="326"/>
      <c r="AE637" s="327"/>
      <c r="AF637" s="543"/>
      <c r="AG637" s="327"/>
      <c r="AH637" s="543"/>
      <c r="AI637" s="327"/>
      <c r="AJ637" s="536"/>
      <c r="AK637" s="327"/>
      <c r="AL637" s="537" t="s">
        <v>334</v>
      </c>
      <c r="AM637" s="327"/>
      <c r="AN637" s="546" t="s">
        <v>334</v>
      </c>
      <c r="AO637" s="327"/>
      <c r="AP637" s="547"/>
      <c r="AQ637" s="327"/>
      <c r="AR637" s="548"/>
      <c r="AS637" s="327"/>
      <c r="AT637" s="568"/>
      <c r="AU637" s="327"/>
      <c r="AV637" s="546" t="s">
        <v>334</v>
      </c>
      <c r="AW637" s="327"/>
      <c r="AX637" s="521"/>
      <c r="AY637" s="326"/>
      <c r="AZ637" s="327"/>
      <c r="BA637" s="550"/>
      <c r="BB637" s="327"/>
      <c r="BC637" s="25"/>
      <c r="BD637" s="544" t="s">
        <v>334</v>
      </c>
      <c r="BE637" s="327"/>
      <c r="BF637" s="545"/>
      <c r="BG637" s="326"/>
      <c r="BH637" s="326"/>
      <c r="BI637" s="327"/>
      <c r="BJ637" s="557" t="s">
        <v>303</v>
      </c>
      <c r="BK637" s="326"/>
      <c r="BL637" s="326"/>
      <c r="BM637" s="327"/>
      <c r="BN637" s="558" t="s">
        <v>303</v>
      </c>
      <c r="BO637" s="326"/>
      <c r="BP637" s="326"/>
      <c r="BQ637" s="326"/>
      <c r="BR637" s="326"/>
      <c r="BS637" s="326"/>
      <c r="BT637" s="326"/>
      <c r="BU637" s="326"/>
      <c r="BV637" s="327"/>
    </row>
    <row r="638" spans="1:74" ht="45" customHeight="1" x14ac:dyDescent="0.25">
      <c r="A638" s="10">
        <f t="shared" si="2"/>
        <v>624</v>
      </c>
      <c r="B638" s="564" t="s">
        <v>303</v>
      </c>
      <c r="C638" s="327"/>
      <c r="D638" s="565" t="s">
        <v>307</v>
      </c>
      <c r="E638" s="327"/>
      <c r="F638" s="537" t="s">
        <v>334</v>
      </c>
      <c r="G638" s="327"/>
      <c r="H638" s="561" t="s">
        <v>334</v>
      </c>
      <c r="I638" s="327"/>
      <c r="J638" s="562"/>
      <c r="K638" s="327"/>
      <c r="L638" s="562"/>
      <c r="M638" s="327"/>
      <c r="N638" s="20"/>
      <c r="O638" s="21"/>
      <c r="P638" s="524"/>
      <c r="Q638" s="327"/>
      <c r="R638" s="516"/>
      <c r="S638" s="327"/>
      <c r="T638" s="517"/>
      <c r="U638" s="327"/>
      <c r="V638" s="518"/>
      <c r="W638" s="327"/>
      <c r="X638" s="438" t="s">
        <v>303</v>
      </c>
      <c r="Y638" s="326"/>
      <c r="Z638" s="326"/>
      <c r="AA638" s="327"/>
      <c r="AB638" s="519" t="s">
        <v>303</v>
      </c>
      <c r="AC638" s="326"/>
      <c r="AD638" s="326"/>
      <c r="AE638" s="327"/>
      <c r="AF638" s="520"/>
      <c r="AG638" s="327"/>
      <c r="AH638" s="520"/>
      <c r="AI638" s="327"/>
      <c r="AJ638" s="536"/>
      <c r="AK638" s="327"/>
      <c r="AL638" s="556" t="s">
        <v>334</v>
      </c>
      <c r="AM638" s="327"/>
      <c r="AN638" s="553" t="s">
        <v>334</v>
      </c>
      <c r="AO638" s="327"/>
      <c r="AP638" s="554"/>
      <c r="AQ638" s="327"/>
      <c r="AR638" s="555"/>
      <c r="AS638" s="327"/>
      <c r="AT638" s="549"/>
      <c r="AU638" s="327"/>
      <c r="AV638" s="553" t="s">
        <v>334</v>
      </c>
      <c r="AW638" s="327"/>
      <c r="AX638" s="521"/>
      <c r="AY638" s="326"/>
      <c r="AZ638" s="327"/>
      <c r="BA638" s="536"/>
      <c r="BB638" s="327"/>
      <c r="BC638" s="22"/>
      <c r="BD638" s="551" t="s">
        <v>334</v>
      </c>
      <c r="BE638" s="327"/>
      <c r="BF638" s="552"/>
      <c r="BG638" s="326"/>
      <c r="BH638" s="326"/>
      <c r="BI638" s="327"/>
      <c r="BJ638" s="451" t="s">
        <v>303</v>
      </c>
      <c r="BK638" s="326"/>
      <c r="BL638" s="326"/>
      <c r="BM638" s="327"/>
      <c r="BN638" s="558" t="s">
        <v>303</v>
      </c>
      <c r="BO638" s="326"/>
      <c r="BP638" s="326"/>
      <c r="BQ638" s="326"/>
      <c r="BR638" s="326"/>
      <c r="BS638" s="326"/>
      <c r="BT638" s="326"/>
      <c r="BU638" s="326"/>
      <c r="BV638" s="327"/>
    </row>
    <row r="639" spans="1:74" ht="45" customHeight="1" x14ac:dyDescent="0.25">
      <c r="A639" s="10">
        <f t="shared" si="2"/>
        <v>625</v>
      </c>
      <c r="B639" s="559" t="s">
        <v>303</v>
      </c>
      <c r="C639" s="327"/>
      <c r="D639" s="560" t="s">
        <v>307</v>
      </c>
      <c r="E639" s="327"/>
      <c r="F639" s="537" t="s">
        <v>334</v>
      </c>
      <c r="G639" s="327"/>
      <c r="H639" s="566" t="s">
        <v>334</v>
      </c>
      <c r="I639" s="327"/>
      <c r="J639" s="567"/>
      <c r="K639" s="327"/>
      <c r="L639" s="567"/>
      <c r="M639" s="327"/>
      <c r="N639" s="23"/>
      <c r="O639" s="24"/>
      <c r="P639" s="563"/>
      <c r="Q639" s="327"/>
      <c r="R639" s="538"/>
      <c r="S639" s="327"/>
      <c r="T639" s="539"/>
      <c r="U639" s="327"/>
      <c r="V639" s="540"/>
      <c r="W639" s="327"/>
      <c r="X639" s="541" t="s">
        <v>303</v>
      </c>
      <c r="Y639" s="326"/>
      <c r="Z639" s="326"/>
      <c r="AA639" s="327"/>
      <c r="AB639" s="542" t="s">
        <v>303</v>
      </c>
      <c r="AC639" s="326"/>
      <c r="AD639" s="326"/>
      <c r="AE639" s="327"/>
      <c r="AF639" s="543"/>
      <c r="AG639" s="327"/>
      <c r="AH639" s="543"/>
      <c r="AI639" s="327"/>
      <c r="AJ639" s="536"/>
      <c r="AK639" s="327"/>
      <c r="AL639" s="537" t="s">
        <v>334</v>
      </c>
      <c r="AM639" s="327"/>
      <c r="AN639" s="546" t="s">
        <v>334</v>
      </c>
      <c r="AO639" s="327"/>
      <c r="AP639" s="547"/>
      <c r="AQ639" s="327"/>
      <c r="AR639" s="548"/>
      <c r="AS639" s="327"/>
      <c r="AT639" s="549"/>
      <c r="AU639" s="327"/>
      <c r="AV639" s="546" t="s">
        <v>334</v>
      </c>
      <c r="AW639" s="327"/>
      <c r="AX639" s="521"/>
      <c r="AY639" s="326"/>
      <c r="AZ639" s="327"/>
      <c r="BA639" s="550"/>
      <c r="BB639" s="327"/>
      <c r="BC639" s="25"/>
      <c r="BD639" s="544" t="s">
        <v>334</v>
      </c>
      <c r="BE639" s="327"/>
      <c r="BF639" s="545"/>
      <c r="BG639" s="326"/>
      <c r="BH639" s="326"/>
      <c r="BI639" s="327"/>
      <c r="BJ639" s="557" t="s">
        <v>303</v>
      </c>
      <c r="BK639" s="326"/>
      <c r="BL639" s="326"/>
      <c r="BM639" s="327"/>
      <c r="BN639" s="558" t="s">
        <v>303</v>
      </c>
      <c r="BO639" s="326"/>
      <c r="BP639" s="326"/>
      <c r="BQ639" s="326"/>
      <c r="BR639" s="326"/>
      <c r="BS639" s="326"/>
      <c r="BT639" s="326"/>
      <c r="BU639" s="326"/>
      <c r="BV639" s="327"/>
    </row>
    <row r="640" spans="1:74" ht="45" customHeight="1" x14ac:dyDescent="0.25">
      <c r="A640" s="10">
        <f t="shared" si="2"/>
        <v>626</v>
      </c>
      <c r="B640" s="564" t="s">
        <v>303</v>
      </c>
      <c r="C640" s="327"/>
      <c r="D640" s="565" t="s">
        <v>307</v>
      </c>
      <c r="E640" s="327"/>
      <c r="F640" s="537" t="s">
        <v>334</v>
      </c>
      <c r="G640" s="327"/>
      <c r="H640" s="561" t="s">
        <v>334</v>
      </c>
      <c r="I640" s="327"/>
      <c r="J640" s="562"/>
      <c r="K640" s="327"/>
      <c r="L640" s="562"/>
      <c r="M640" s="327"/>
      <c r="N640" s="20"/>
      <c r="O640" s="21"/>
      <c r="P640" s="524"/>
      <c r="Q640" s="327"/>
      <c r="R640" s="516"/>
      <c r="S640" s="327"/>
      <c r="T640" s="517"/>
      <c r="U640" s="327"/>
      <c r="V640" s="518"/>
      <c r="W640" s="327"/>
      <c r="X640" s="438" t="s">
        <v>303</v>
      </c>
      <c r="Y640" s="326"/>
      <c r="Z640" s="326"/>
      <c r="AA640" s="327"/>
      <c r="AB640" s="519" t="s">
        <v>303</v>
      </c>
      <c r="AC640" s="326"/>
      <c r="AD640" s="326"/>
      <c r="AE640" s="327"/>
      <c r="AF640" s="520"/>
      <c r="AG640" s="327"/>
      <c r="AH640" s="520"/>
      <c r="AI640" s="327"/>
      <c r="AJ640" s="536"/>
      <c r="AK640" s="327"/>
      <c r="AL640" s="556" t="s">
        <v>334</v>
      </c>
      <c r="AM640" s="327"/>
      <c r="AN640" s="553" t="s">
        <v>334</v>
      </c>
      <c r="AO640" s="327"/>
      <c r="AP640" s="554"/>
      <c r="AQ640" s="327"/>
      <c r="AR640" s="555"/>
      <c r="AS640" s="327"/>
      <c r="AT640" s="549"/>
      <c r="AU640" s="327"/>
      <c r="AV640" s="553" t="s">
        <v>334</v>
      </c>
      <c r="AW640" s="327"/>
      <c r="AX640" s="521"/>
      <c r="AY640" s="326"/>
      <c r="AZ640" s="327"/>
      <c r="BA640" s="536"/>
      <c r="BB640" s="327"/>
      <c r="BC640" s="22"/>
      <c r="BD640" s="551" t="s">
        <v>334</v>
      </c>
      <c r="BE640" s="327"/>
      <c r="BF640" s="552"/>
      <c r="BG640" s="326"/>
      <c r="BH640" s="326"/>
      <c r="BI640" s="327"/>
      <c r="BJ640" s="451" t="s">
        <v>303</v>
      </c>
      <c r="BK640" s="326"/>
      <c r="BL640" s="326"/>
      <c r="BM640" s="327"/>
      <c r="BN640" s="558" t="s">
        <v>303</v>
      </c>
      <c r="BO640" s="326"/>
      <c r="BP640" s="326"/>
      <c r="BQ640" s="326"/>
      <c r="BR640" s="326"/>
      <c r="BS640" s="326"/>
      <c r="BT640" s="326"/>
      <c r="BU640" s="326"/>
      <c r="BV640" s="327"/>
    </row>
    <row r="641" spans="1:74" ht="45" customHeight="1" x14ac:dyDescent="0.25">
      <c r="A641" s="10">
        <f t="shared" si="2"/>
        <v>627</v>
      </c>
      <c r="B641" s="559" t="s">
        <v>303</v>
      </c>
      <c r="C641" s="327"/>
      <c r="D641" s="560" t="s">
        <v>307</v>
      </c>
      <c r="E641" s="327"/>
      <c r="F641" s="537" t="s">
        <v>334</v>
      </c>
      <c r="G641" s="327"/>
      <c r="H641" s="566" t="s">
        <v>334</v>
      </c>
      <c r="I641" s="327"/>
      <c r="J641" s="567"/>
      <c r="K641" s="327"/>
      <c r="L641" s="567"/>
      <c r="M641" s="327"/>
      <c r="N641" s="23"/>
      <c r="O641" s="24"/>
      <c r="P641" s="563"/>
      <c r="Q641" s="327"/>
      <c r="R641" s="538"/>
      <c r="S641" s="327"/>
      <c r="T641" s="539"/>
      <c r="U641" s="327"/>
      <c r="V641" s="540"/>
      <c r="W641" s="327"/>
      <c r="X641" s="541" t="s">
        <v>303</v>
      </c>
      <c r="Y641" s="326"/>
      <c r="Z641" s="326"/>
      <c r="AA641" s="327"/>
      <c r="AB641" s="542" t="s">
        <v>303</v>
      </c>
      <c r="AC641" s="326"/>
      <c r="AD641" s="326"/>
      <c r="AE641" s="327"/>
      <c r="AF641" s="543"/>
      <c r="AG641" s="327"/>
      <c r="AH641" s="543"/>
      <c r="AI641" s="327"/>
      <c r="AJ641" s="536"/>
      <c r="AK641" s="327"/>
      <c r="AL641" s="537" t="s">
        <v>334</v>
      </c>
      <c r="AM641" s="327"/>
      <c r="AN641" s="546" t="s">
        <v>334</v>
      </c>
      <c r="AO641" s="327"/>
      <c r="AP641" s="547"/>
      <c r="AQ641" s="327"/>
      <c r="AR641" s="548"/>
      <c r="AS641" s="327"/>
      <c r="AT641" s="549"/>
      <c r="AU641" s="327"/>
      <c r="AV641" s="546" t="s">
        <v>334</v>
      </c>
      <c r="AW641" s="327"/>
      <c r="AX641" s="521"/>
      <c r="AY641" s="326"/>
      <c r="AZ641" s="327"/>
      <c r="BA641" s="550"/>
      <c r="BB641" s="327"/>
      <c r="BC641" s="25"/>
      <c r="BD641" s="544" t="s">
        <v>334</v>
      </c>
      <c r="BE641" s="327"/>
      <c r="BF641" s="545"/>
      <c r="BG641" s="326"/>
      <c r="BH641" s="326"/>
      <c r="BI641" s="327"/>
      <c r="BJ641" s="557" t="s">
        <v>303</v>
      </c>
      <c r="BK641" s="326"/>
      <c r="BL641" s="326"/>
      <c r="BM641" s="327"/>
      <c r="BN641" s="558" t="s">
        <v>303</v>
      </c>
      <c r="BO641" s="326"/>
      <c r="BP641" s="326"/>
      <c r="BQ641" s="326"/>
      <c r="BR641" s="326"/>
      <c r="BS641" s="326"/>
      <c r="BT641" s="326"/>
      <c r="BU641" s="326"/>
      <c r="BV641" s="327"/>
    </row>
    <row r="642" spans="1:74" ht="45" customHeight="1" x14ac:dyDescent="0.25">
      <c r="A642" s="10">
        <f t="shared" si="2"/>
        <v>628</v>
      </c>
      <c r="B642" s="564" t="s">
        <v>303</v>
      </c>
      <c r="C642" s="327"/>
      <c r="D642" s="565" t="s">
        <v>307</v>
      </c>
      <c r="E642" s="327"/>
      <c r="F642" s="537" t="s">
        <v>334</v>
      </c>
      <c r="G642" s="327"/>
      <c r="H642" s="561" t="s">
        <v>334</v>
      </c>
      <c r="I642" s="327"/>
      <c r="J642" s="562"/>
      <c r="K642" s="327"/>
      <c r="L642" s="562"/>
      <c r="M642" s="327"/>
      <c r="N642" s="20"/>
      <c r="O642" s="21"/>
      <c r="P642" s="524"/>
      <c r="Q642" s="327"/>
      <c r="R642" s="516"/>
      <c r="S642" s="327"/>
      <c r="T642" s="517"/>
      <c r="U642" s="327"/>
      <c r="V642" s="518"/>
      <c r="W642" s="327"/>
      <c r="X642" s="438" t="s">
        <v>303</v>
      </c>
      <c r="Y642" s="326"/>
      <c r="Z642" s="326"/>
      <c r="AA642" s="327"/>
      <c r="AB642" s="519" t="s">
        <v>303</v>
      </c>
      <c r="AC642" s="326"/>
      <c r="AD642" s="326"/>
      <c r="AE642" s="327"/>
      <c r="AF642" s="520"/>
      <c r="AG642" s="327"/>
      <c r="AH642" s="520"/>
      <c r="AI642" s="327"/>
      <c r="AJ642" s="536"/>
      <c r="AK642" s="327"/>
      <c r="AL642" s="556" t="s">
        <v>334</v>
      </c>
      <c r="AM642" s="327"/>
      <c r="AN642" s="553" t="s">
        <v>334</v>
      </c>
      <c r="AO642" s="327"/>
      <c r="AP642" s="554"/>
      <c r="AQ642" s="327"/>
      <c r="AR642" s="555"/>
      <c r="AS642" s="327"/>
      <c r="AT642" s="549"/>
      <c r="AU642" s="327"/>
      <c r="AV642" s="553" t="s">
        <v>334</v>
      </c>
      <c r="AW642" s="327"/>
      <c r="AX642" s="521"/>
      <c r="AY642" s="326"/>
      <c r="AZ642" s="327"/>
      <c r="BA642" s="536"/>
      <c r="BB642" s="327"/>
      <c r="BC642" s="22"/>
      <c r="BD642" s="551" t="s">
        <v>334</v>
      </c>
      <c r="BE642" s="327"/>
      <c r="BF642" s="552"/>
      <c r="BG642" s="326"/>
      <c r="BH642" s="326"/>
      <c r="BI642" s="327"/>
      <c r="BJ642" s="451" t="s">
        <v>303</v>
      </c>
      <c r="BK642" s="326"/>
      <c r="BL642" s="326"/>
      <c r="BM642" s="327"/>
      <c r="BN642" s="558" t="s">
        <v>303</v>
      </c>
      <c r="BO642" s="326"/>
      <c r="BP642" s="326"/>
      <c r="BQ642" s="326"/>
      <c r="BR642" s="326"/>
      <c r="BS642" s="326"/>
      <c r="BT642" s="326"/>
      <c r="BU642" s="326"/>
      <c r="BV642" s="327"/>
    </row>
    <row r="643" spans="1:74" ht="45" customHeight="1" x14ac:dyDescent="0.25">
      <c r="A643" s="10">
        <f t="shared" si="2"/>
        <v>629</v>
      </c>
      <c r="B643" s="559" t="s">
        <v>303</v>
      </c>
      <c r="C643" s="327"/>
      <c r="D643" s="560" t="s">
        <v>307</v>
      </c>
      <c r="E643" s="327"/>
      <c r="F643" s="537" t="s">
        <v>334</v>
      </c>
      <c r="G643" s="327"/>
      <c r="H643" s="566" t="s">
        <v>334</v>
      </c>
      <c r="I643" s="327"/>
      <c r="J643" s="567"/>
      <c r="K643" s="327"/>
      <c r="L643" s="567"/>
      <c r="M643" s="327"/>
      <c r="N643" s="23"/>
      <c r="O643" s="24"/>
      <c r="P643" s="563"/>
      <c r="Q643" s="327"/>
      <c r="R643" s="538"/>
      <c r="S643" s="327"/>
      <c r="T643" s="539"/>
      <c r="U643" s="327"/>
      <c r="V643" s="540"/>
      <c r="W643" s="327"/>
      <c r="X643" s="541" t="s">
        <v>303</v>
      </c>
      <c r="Y643" s="326"/>
      <c r="Z643" s="326"/>
      <c r="AA643" s="327"/>
      <c r="AB643" s="542" t="s">
        <v>303</v>
      </c>
      <c r="AC643" s="326"/>
      <c r="AD643" s="326"/>
      <c r="AE643" s="327"/>
      <c r="AF643" s="543"/>
      <c r="AG643" s="327"/>
      <c r="AH643" s="543"/>
      <c r="AI643" s="327"/>
      <c r="AJ643" s="536"/>
      <c r="AK643" s="327"/>
      <c r="AL643" s="537" t="s">
        <v>334</v>
      </c>
      <c r="AM643" s="327"/>
      <c r="AN643" s="546" t="s">
        <v>334</v>
      </c>
      <c r="AO643" s="327"/>
      <c r="AP643" s="547"/>
      <c r="AQ643" s="327"/>
      <c r="AR643" s="548"/>
      <c r="AS643" s="327"/>
      <c r="AT643" s="568"/>
      <c r="AU643" s="327"/>
      <c r="AV643" s="546" t="s">
        <v>334</v>
      </c>
      <c r="AW643" s="327"/>
      <c r="AX643" s="521"/>
      <c r="AY643" s="326"/>
      <c r="AZ643" s="327"/>
      <c r="BA643" s="550"/>
      <c r="BB643" s="327"/>
      <c r="BC643" s="25"/>
      <c r="BD643" s="544" t="s">
        <v>334</v>
      </c>
      <c r="BE643" s="327"/>
      <c r="BF643" s="545"/>
      <c r="BG643" s="326"/>
      <c r="BH643" s="326"/>
      <c r="BI643" s="327"/>
      <c r="BJ643" s="557" t="s">
        <v>303</v>
      </c>
      <c r="BK643" s="326"/>
      <c r="BL643" s="326"/>
      <c r="BM643" s="327"/>
      <c r="BN643" s="558" t="s">
        <v>303</v>
      </c>
      <c r="BO643" s="326"/>
      <c r="BP643" s="326"/>
      <c r="BQ643" s="326"/>
      <c r="BR643" s="326"/>
      <c r="BS643" s="326"/>
      <c r="BT643" s="326"/>
      <c r="BU643" s="326"/>
      <c r="BV643" s="327"/>
    </row>
    <row r="644" spans="1:74" ht="45" customHeight="1" x14ac:dyDescent="0.25">
      <c r="A644" s="10">
        <f t="shared" si="2"/>
        <v>630</v>
      </c>
      <c r="B644" s="564" t="s">
        <v>303</v>
      </c>
      <c r="C644" s="327"/>
      <c r="D644" s="565" t="s">
        <v>307</v>
      </c>
      <c r="E644" s="327"/>
      <c r="F644" s="537" t="s">
        <v>334</v>
      </c>
      <c r="G644" s="327"/>
      <c r="H644" s="561" t="s">
        <v>334</v>
      </c>
      <c r="I644" s="327"/>
      <c r="J644" s="562"/>
      <c r="K644" s="327"/>
      <c r="L644" s="562"/>
      <c r="M644" s="327"/>
      <c r="N644" s="20"/>
      <c r="O644" s="21"/>
      <c r="P644" s="524"/>
      <c r="Q644" s="327"/>
      <c r="R644" s="516"/>
      <c r="S644" s="327"/>
      <c r="T644" s="517"/>
      <c r="U644" s="327"/>
      <c r="V644" s="518"/>
      <c r="W644" s="327"/>
      <c r="X644" s="438" t="s">
        <v>303</v>
      </c>
      <c r="Y644" s="326"/>
      <c r="Z644" s="326"/>
      <c r="AA644" s="327"/>
      <c r="AB644" s="519" t="s">
        <v>303</v>
      </c>
      <c r="AC644" s="326"/>
      <c r="AD644" s="326"/>
      <c r="AE644" s="327"/>
      <c r="AF644" s="520"/>
      <c r="AG644" s="327"/>
      <c r="AH644" s="520"/>
      <c r="AI644" s="327"/>
      <c r="AJ644" s="536"/>
      <c r="AK644" s="327"/>
      <c r="AL644" s="556" t="s">
        <v>334</v>
      </c>
      <c r="AM644" s="327"/>
      <c r="AN644" s="553" t="s">
        <v>334</v>
      </c>
      <c r="AO644" s="327"/>
      <c r="AP644" s="554"/>
      <c r="AQ644" s="327"/>
      <c r="AR644" s="555"/>
      <c r="AS644" s="327"/>
      <c r="AT644" s="549"/>
      <c r="AU644" s="327"/>
      <c r="AV644" s="553" t="s">
        <v>334</v>
      </c>
      <c r="AW644" s="327"/>
      <c r="AX644" s="521"/>
      <c r="AY644" s="326"/>
      <c r="AZ644" s="327"/>
      <c r="BA644" s="536"/>
      <c r="BB644" s="327"/>
      <c r="BC644" s="22"/>
      <c r="BD644" s="551" t="s">
        <v>334</v>
      </c>
      <c r="BE644" s="327"/>
      <c r="BF644" s="508"/>
      <c r="BG644" s="326"/>
      <c r="BH644" s="326"/>
      <c r="BI644" s="327"/>
      <c r="BJ644" s="451" t="s">
        <v>303</v>
      </c>
      <c r="BK644" s="326"/>
      <c r="BL644" s="326"/>
      <c r="BM644" s="327"/>
      <c r="BN644" s="558" t="s">
        <v>303</v>
      </c>
      <c r="BO644" s="326"/>
      <c r="BP644" s="326"/>
      <c r="BQ644" s="326"/>
      <c r="BR644" s="326"/>
      <c r="BS644" s="326"/>
      <c r="BT644" s="326"/>
      <c r="BU644" s="326"/>
      <c r="BV644" s="327"/>
    </row>
    <row r="645" spans="1:74" ht="45" customHeight="1" x14ac:dyDescent="0.25">
      <c r="A645" s="10">
        <f t="shared" si="2"/>
        <v>631</v>
      </c>
      <c r="B645" s="559" t="s">
        <v>303</v>
      </c>
      <c r="C645" s="327"/>
      <c r="D645" s="560" t="s">
        <v>307</v>
      </c>
      <c r="E645" s="327"/>
      <c r="F645" s="537" t="s">
        <v>334</v>
      </c>
      <c r="G645" s="327"/>
      <c r="H645" s="566" t="s">
        <v>334</v>
      </c>
      <c r="I645" s="327"/>
      <c r="J645" s="567"/>
      <c r="K645" s="327"/>
      <c r="L645" s="567"/>
      <c r="M645" s="327"/>
      <c r="N645" s="23"/>
      <c r="O645" s="24"/>
      <c r="P645" s="563"/>
      <c r="Q645" s="327"/>
      <c r="R645" s="538"/>
      <c r="S645" s="327"/>
      <c r="T645" s="539"/>
      <c r="U645" s="327"/>
      <c r="V645" s="540"/>
      <c r="W645" s="327"/>
      <c r="X645" s="541" t="s">
        <v>303</v>
      </c>
      <c r="Y645" s="326"/>
      <c r="Z645" s="326"/>
      <c r="AA645" s="327"/>
      <c r="AB645" s="542" t="s">
        <v>303</v>
      </c>
      <c r="AC645" s="326"/>
      <c r="AD645" s="326"/>
      <c r="AE645" s="327"/>
      <c r="AF645" s="543"/>
      <c r="AG645" s="327"/>
      <c r="AH645" s="543"/>
      <c r="AI645" s="327"/>
      <c r="AJ645" s="536"/>
      <c r="AK645" s="327"/>
      <c r="AL645" s="537" t="s">
        <v>334</v>
      </c>
      <c r="AM645" s="327"/>
      <c r="AN645" s="546" t="s">
        <v>334</v>
      </c>
      <c r="AO645" s="327"/>
      <c r="AP645" s="547"/>
      <c r="AQ645" s="327"/>
      <c r="AR645" s="548"/>
      <c r="AS645" s="327"/>
      <c r="AT645" s="568"/>
      <c r="AU645" s="327"/>
      <c r="AV645" s="546" t="s">
        <v>334</v>
      </c>
      <c r="AW645" s="327"/>
      <c r="AX645" s="521"/>
      <c r="AY645" s="326"/>
      <c r="AZ645" s="327"/>
      <c r="BA645" s="550"/>
      <c r="BB645" s="327"/>
      <c r="BC645" s="25"/>
      <c r="BD645" s="544" t="s">
        <v>334</v>
      </c>
      <c r="BE645" s="327"/>
      <c r="BF645" s="545"/>
      <c r="BG645" s="326"/>
      <c r="BH645" s="326"/>
      <c r="BI645" s="327"/>
      <c r="BJ645" s="557" t="s">
        <v>303</v>
      </c>
      <c r="BK645" s="326"/>
      <c r="BL645" s="326"/>
      <c r="BM645" s="327"/>
      <c r="BN645" s="558" t="s">
        <v>303</v>
      </c>
      <c r="BO645" s="326"/>
      <c r="BP645" s="326"/>
      <c r="BQ645" s="326"/>
      <c r="BR645" s="326"/>
      <c r="BS645" s="326"/>
      <c r="BT645" s="326"/>
      <c r="BU645" s="326"/>
      <c r="BV645" s="327"/>
    </row>
    <row r="646" spans="1:74" ht="45" customHeight="1" x14ac:dyDescent="0.25">
      <c r="A646" s="10">
        <f t="shared" si="2"/>
        <v>632</v>
      </c>
      <c r="B646" s="564" t="s">
        <v>303</v>
      </c>
      <c r="C646" s="327"/>
      <c r="D646" s="565" t="s">
        <v>307</v>
      </c>
      <c r="E646" s="327"/>
      <c r="F646" s="537" t="s">
        <v>334</v>
      </c>
      <c r="G646" s="327"/>
      <c r="H646" s="561" t="s">
        <v>334</v>
      </c>
      <c r="I646" s="327"/>
      <c r="J646" s="562"/>
      <c r="K646" s="327"/>
      <c r="L646" s="562"/>
      <c r="M646" s="327"/>
      <c r="N646" s="20"/>
      <c r="O646" s="21"/>
      <c r="P646" s="524"/>
      <c r="Q646" s="327"/>
      <c r="R646" s="516"/>
      <c r="S646" s="327"/>
      <c r="T646" s="517"/>
      <c r="U646" s="327"/>
      <c r="V646" s="518"/>
      <c r="W646" s="327"/>
      <c r="X646" s="438" t="s">
        <v>303</v>
      </c>
      <c r="Y646" s="326"/>
      <c r="Z646" s="326"/>
      <c r="AA646" s="327"/>
      <c r="AB646" s="519" t="s">
        <v>303</v>
      </c>
      <c r="AC646" s="326"/>
      <c r="AD646" s="326"/>
      <c r="AE646" s="327"/>
      <c r="AF646" s="520"/>
      <c r="AG646" s="327"/>
      <c r="AH646" s="520"/>
      <c r="AI646" s="327"/>
      <c r="AJ646" s="536"/>
      <c r="AK646" s="327"/>
      <c r="AL646" s="556" t="s">
        <v>334</v>
      </c>
      <c r="AM646" s="327"/>
      <c r="AN646" s="553" t="s">
        <v>334</v>
      </c>
      <c r="AO646" s="327"/>
      <c r="AP646" s="554"/>
      <c r="AQ646" s="327"/>
      <c r="AR646" s="555"/>
      <c r="AS646" s="327"/>
      <c r="AT646" s="549"/>
      <c r="AU646" s="327"/>
      <c r="AV646" s="553" t="s">
        <v>334</v>
      </c>
      <c r="AW646" s="327"/>
      <c r="AX646" s="521"/>
      <c r="AY646" s="326"/>
      <c r="AZ646" s="327"/>
      <c r="BA646" s="536"/>
      <c r="BB646" s="327"/>
      <c r="BC646" s="22"/>
      <c r="BD646" s="551" t="s">
        <v>334</v>
      </c>
      <c r="BE646" s="327"/>
      <c r="BF646" s="552"/>
      <c r="BG646" s="326"/>
      <c r="BH646" s="326"/>
      <c r="BI646" s="327"/>
      <c r="BJ646" s="451" t="s">
        <v>303</v>
      </c>
      <c r="BK646" s="326"/>
      <c r="BL646" s="326"/>
      <c r="BM646" s="327"/>
      <c r="BN646" s="558" t="s">
        <v>303</v>
      </c>
      <c r="BO646" s="326"/>
      <c r="BP646" s="326"/>
      <c r="BQ646" s="326"/>
      <c r="BR646" s="326"/>
      <c r="BS646" s="326"/>
      <c r="BT646" s="326"/>
      <c r="BU646" s="326"/>
      <c r="BV646" s="327"/>
    </row>
    <row r="647" spans="1:74" ht="45" customHeight="1" x14ac:dyDescent="0.25">
      <c r="A647" s="10">
        <f t="shared" si="2"/>
        <v>633</v>
      </c>
      <c r="B647" s="559" t="s">
        <v>303</v>
      </c>
      <c r="C647" s="327"/>
      <c r="D647" s="560" t="s">
        <v>307</v>
      </c>
      <c r="E647" s="327"/>
      <c r="F647" s="537" t="s">
        <v>334</v>
      </c>
      <c r="G647" s="327"/>
      <c r="H647" s="566" t="s">
        <v>334</v>
      </c>
      <c r="I647" s="327"/>
      <c r="J647" s="567"/>
      <c r="K647" s="327"/>
      <c r="L647" s="567"/>
      <c r="M647" s="327"/>
      <c r="N647" s="23"/>
      <c r="O647" s="24"/>
      <c r="P647" s="563"/>
      <c r="Q647" s="327"/>
      <c r="R647" s="538"/>
      <c r="S647" s="327"/>
      <c r="T647" s="539"/>
      <c r="U647" s="327"/>
      <c r="V647" s="540"/>
      <c r="W647" s="327"/>
      <c r="X647" s="541" t="s">
        <v>303</v>
      </c>
      <c r="Y647" s="326"/>
      <c r="Z647" s="326"/>
      <c r="AA647" s="327"/>
      <c r="AB647" s="542" t="s">
        <v>303</v>
      </c>
      <c r="AC647" s="326"/>
      <c r="AD647" s="326"/>
      <c r="AE647" s="327"/>
      <c r="AF647" s="543"/>
      <c r="AG647" s="327"/>
      <c r="AH647" s="543"/>
      <c r="AI647" s="327"/>
      <c r="AJ647" s="536"/>
      <c r="AK647" s="327"/>
      <c r="AL647" s="537" t="s">
        <v>334</v>
      </c>
      <c r="AM647" s="327"/>
      <c r="AN647" s="546" t="s">
        <v>334</v>
      </c>
      <c r="AO647" s="327"/>
      <c r="AP647" s="547"/>
      <c r="AQ647" s="327"/>
      <c r="AR647" s="548"/>
      <c r="AS647" s="327"/>
      <c r="AT647" s="568"/>
      <c r="AU647" s="327"/>
      <c r="AV647" s="546" t="s">
        <v>334</v>
      </c>
      <c r="AW647" s="327"/>
      <c r="AX647" s="521"/>
      <c r="AY647" s="326"/>
      <c r="AZ647" s="327"/>
      <c r="BA647" s="550"/>
      <c r="BB647" s="327"/>
      <c r="BC647" s="25"/>
      <c r="BD647" s="544" t="s">
        <v>334</v>
      </c>
      <c r="BE647" s="327"/>
      <c r="BF647" s="545"/>
      <c r="BG647" s="326"/>
      <c r="BH647" s="326"/>
      <c r="BI647" s="327"/>
      <c r="BJ647" s="557" t="s">
        <v>303</v>
      </c>
      <c r="BK647" s="326"/>
      <c r="BL647" s="326"/>
      <c r="BM647" s="327"/>
      <c r="BN647" s="558" t="s">
        <v>303</v>
      </c>
      <c r="BO647" s="326"/>
      <c r="BP647" s="326"/>
      <c r="BQ647" s="326"/>
      <c r="BR647" s="326"/>
      <c r="BS647" s="326"/>
      <c r="BT647" s="326"/>
      <c r="BU647" s="326"/>
      <c r="BV647" s="327"/>
    </row>
    <row r="648" spans="1:74" ht="45" customHeight="1" x14ac:dyDescent="0.25">
      <c r="A648" s="10">
        <f t="shared" si="2"/>
        <v>634</v>
      </c>
      <c r="B648" s="564" t="s">
        <v>303</v>
      </c>
      <c r="C648" s="327"/>
      <c r="D648" s="565" t="s">
        <v>307</v>
      </c>
      <c r="E648" s="327"/>
      <c r="F648" s="537" t="s">
        <v>334</v>
      </c>
      <c r="G648" s="327"/>
      <c r="H648" s="561" t="s">
        <v>334</v>
      </c>
      <c r="I648" s="327"/>
      <c r="J648" s="562"/>
      <c r="K648" s="327"/>
      <c r="L648" s="562"/>
      <c r="M648" s="327"/>
      <c r="N648" s="20"/>
      <c r="O648" s="21"/>
      <c r="P648" s="524"/>
      <c r="Q648" s="327"/>
      <c r="R648" s="516"/>
      <c r="S648" s="327"/>
      <c r="T648" s="517"/>
      <c r="U648" s="327"/>
      <c r="V648" s="518"/>
      <c r="W648" s="327"/>
      <c r="X648" s="438" t="s">
        <v>303</v>
      </c>
      <c r="Y648" s="326"/>
      <c r="Z648" s="326"/>
      <c r="AA648" s="327"/>
      <c r="AB648" s="519" t="s">
        <v>303</v>
      </c>
      <c r="AC648" s="326"/>
      <c r="AD648" s="326"/>
      <c r="AE648" s="327"/>
      <c r="AF648" s="520"/>
      <c r="AG648" s="327"/>
      <c r="AH648" s="520"/>
      <c r="AI648" s="327"/>
      <c r="AJ648" s="536"/>
      <c r="AK648" s="327"/>
      <c r="AL648" s="556" t="s">
        <v>334</v>
      </c>
      <c r="AM648" s="327"/>
      <c r="AN648" s="553" t="s">
        <v>334</v>
      </c>
      <c r="AO648" s="327"/>
      <c r="AP648" s="554"/>
      <c r="AQ648" s="327"/>
      <c r="AR648" s="555"/>
      <c r="AS648" s="327"/>
      <c r="AT648" s="549"/>
      <c r="AU648" s="327"/>
      <c r="AV648" s="553" t="s">
        <v>334</v>
      </c>
      <c r="AW648" s="327"/>
      <c r="AX648" s="521"/>
      <c r="AY648" s="326"/>
      <c r="AZ648" s="327"/>
      <c r="BA648" s="536"/>
      <c r="BB648" s="327"/>
      <c r="BC648" s="22"/>
      <c r="BD648" s="551" t="s">
        <v>334</v>
      </c>
      <c r="BE648" s="327"/>
      <c r="BF648" s="552"/>
      <c r="BG648" s="326"/>
      <c r="BH648" s="326"/>
      <c r="BI648" s="327"/>
      <c r="BJ648" s="451" t="s">
        <v>303</v>
      </c>
      <c r="BK648" s="326"/>
      <c r="BL648" s="326"/>
      <c r="BM648" s="327"/>
      <c r="BN648" s="558" t="s">
        <v>303</v>
      </c>
      <c r="BO648" s="326"/>
      <c r="BP648" s="326"/>
      <c r="BQ648" s="326"/>
      <c r="BR648" s="326"/>
      <c r="BS648" s="326"/>
      <c r="BT648" s="326"/>
      <c r="BU648" s="326"/>
      <c r="BV648" s="327"/>
    </row>
    <row r="649" spans="1:74" ht="45" customHeight="1" x14ac:dyDescent="0.25">
      <c r="A649" s="10">
        <f t="shared" si="2"/>
        <v>635</v>
      </c>
      <c r="B649" s="559" t="s">
        <v>303</v>
      </c>
      <c r="C649" s="327"/>
      <c r="D649" s="560" t="s">
        <v>307</v>
      </c>
      <c r="E649" s="327"/>
      <c r="F649" s="537" t="s">
        <v>334</v>
      </c>
      <c r="G649" s="327"/>
      <c r="H649" s="566" t="s">
        <v>334</v>
      </c>
      <c r="I649" s="327"/>
      <c r="J649" s="567"/>
      <c r="K649" s="327"/>
      <c r="L649" s="567"/>
      <c r="M649" s="327"/>
      <c r="N649" s="23"/>
      <c r="O649" s="24"/>
      <c r="P649" s="563"/>
      <c r="Q649" s="327"/>
      <c r="R649" s="538"/>
      <c r="S649" s="327"/>
      <c r="T649" s="539"/>
      <c r="U649" s="327"/>
      <c r="V649" s="540"/>
      <c r="W649" s="327"/>
      <c r="X649" s="541" t="s">
        <v>303</v>
      </c>
      <c r="Y649" s="326"/>
      <c r="Z649" s="326"/>
      <c r="AA649" s="327"/>
      <c r="AB649" s="542" t="s">
        <v>303</v>
      </c>
      <c r="AC649" s="326"/>
      <c r="AD649" s="326"/>
      <c r="AE649" s="327"/>
      <c r="AF649" s="543"/>
      <c r="AG649" s="327"/>
      <c r="AH649" s="543"/>
      <c r="AI649" s="327"/>
      <c r="AJ649" s="536"/>
      <c r="AK649" s="327"/>
      <c r="AL649" s="537" t="s">
        <v>334</v>
      </c>
      <c r="AM649" s="327"/>
      <c r="AN649" s="546" t="s">
        <v>334</v>
      </c>
      <c r="AO649" s="327"/>
      <c r="AP649" s="547"/>
      <c r="AQ649" s="327"/>
      <c r="AR649" s="548"/>
      <c r="AS649" s="327"/>
      <c r="AT649" s="568"/>
      <c r="AU649" s="327"/>
      <c r="AV649" s="546" t="s">
        <v>334</v>
      </c>
      <c r="AW649" s="327"/>
      <c r="AX649" s="521"/>
      <c r="AY649" s="326"/>
      <c r="AZ649" s="327"/>
      <c r="BA649" s="550"/>
      <c r="BB649" s="327"/>
      <c r="BC649" s="25"/>
      <c r="BD649" s="544" t="s">
        <v>334</v>
      </c>
      <c r="BE649" s="327"/>
      <c r="BF649" s="545"/>
      <c r="BG649" s="326"/>
      <c r="BH649" s="326"/>
      <c r="BI649" s="327"/>
      <c r="BJ649" s="557" t="s">
        <v>303</v>
      </c>
      <c r="BK649" s="326"/>
      <c r="BL649" s="326"/>
      <c r="BM649" s="327"/>
      <c r="BN649" s="558" t="s">
        <v>303</v>
      </c>
      <c r="BO649" s="326"/>
      <c r="BP649" s="326"/>
      <c r="BQ649" s="326"/>
      <c r="BR649" s="326"/>
      <c r="BS649" s="326"/>
      <c r="BT649" s="326"/>
      <c r="BU649" s="326"/>
      <c r="BV649" s="327"/>
    </row>
    <row r="650" spans="1:74" ht="45" customHeight="1" x14ac:dyDescent="0.25">
      <c r="A650" s="10">
        <f t="shared" si="2"/>
        <v>636</v>
      </c>
      <c r="B650" s="564" t="s">
        <v>303</v>
      </c>
      <c r="C650" s="327"/>
      <c r="D650" s="565" t="s">
        <v>307</v>
      </c>
      <c r="E650" s="327"/>
      <c r="F650" s="537" t="s">
        <v>334</v>
      </c>
      <c r="G650" s="327"/>
      <c r="H650" s="561" t="s">
        <v>334</v>
      </c>
      <c r="I650" s="327"/>
      <c r="J650" s="562"/>
      <c r="K650" s="327"/>
      <c r="L650" s="562"/>
      <c r="M650" s="327"/>
      <c r="N650" s="20"/>
      <c r="O650" s="21"/>
      <c r="P650" s="524"/>
      <c r="Q650" s="327"/>
      <c r="R650" s="516"/>
      <c r="S650" s="327"/>
      <c r="T650" s="517"/>
      <c r="U650" s="327"/>
      <c r="V650" s="518"/>
      <c r="W650" s="327"/>
      <c r="X650" s="438" t="s">
        <v>303</v>
      </c>
      <c r="Y650" s="326"/>
      <c r="Z650" s="326"/>
      <c r="AA650" s="327"/>
      <c r="AB650" s="519" t="s">
        <v>303</v>
      </c>
      <c r="AC650" s="326"/>
      <c r="AD650" s="326"/>
      <c r="AE650" s="327"/>
      <c r="AF650" s="520"/>
      <c r="AG650" s="327"/>
      <c r="AH650" s="520"/>
      <c r="AI650" s="327"/>
      <c r="AJ650" s="536"/>
      <c r="AK650" s="327"/>
      <c r="AL650" s="556" t="s">
        <v>334</v>
      </c>
      <c r="AM650" s="327"/>
      <c r="AN650" s="553" t="s">
        <v>334</v>
      </c>
      <c r="AO650" s="327"/>
      <c r="AP650" s="554"/>
      <c r="AQ650" s="327"/>
      <c r="AR650" s="555"/>
      <c r="AS650" s="327"/>
      <c r="AT650" s="549"/>
      <c r="AU650" s="327"/>
      <c r="AV650" s="553" t="s">
        <v>334</v>
      </c>
      <c r="AW650" s="327"/>
      <c r="AX650" s="521"/>
      <c r="AY650" s="326"/>
      <c r="AZ650" s="327"/>
      <c r="BA650" s="536"/>
      <c r="BB650" s="327"/>
      <c r="BC650" s="22"/>
      <c r="BD650" s="551" t="s">
        <v>334</v>
      </c>
      <c r="BE650" s="327"/>
      <c r="BF650" s="508"/>
      <c r="BG650" s="326"/>
      <c r="BH650" s="326"/>
      <c r="BI650" s="327"/>
      <c r="BJ650" s="451" t="s">
        <v>303</v>
      </c>
      <c r="BK650" s="326"/>
      <c r="BL650" s="326"/>
      <c r="BM650" s="327"/>
      <c r="BN650" s="558" t="s">
        <v>303</v>
      </c>
      <c r="BO650" s="326"/>
      <c r="BP650" s="326"/>
      <c r="BQ650" s="326"/>
      <c r="BR650" s="326"/>
      <c r="BS650" s="326"/>
      <c r="BT650" s="326"/>
      <c r="BU650" s="326"/>
      <c r="BV650" s="327"/>
    </row>
    <row r="651" spans="1:74" ht="45" customHeight="1" x14ac:dyDescent="0.25">
      <c r="A651" s="10">
        <f t="shared" si="2"/>
        <v>637</v>
      </c>
      <c r="B651" s="559" t="s">
        <v>303</v>
      </c>
      <c r="C651" s="327"/>
      <c r="D651" s="560" t="s">
        <v>307</v>
      </c>
      <c r="E651" s="327"/>
      <c r="F651" s="537" t="s">
        <v>334</v>
      </c>
      <c r="G651" s="327"/>
      <c r="H651" s="566" t="s">
        <v>334</v>
      </c>
      <c r="I651" s="327"/>
      <c r="J651" s="567"/>
      <c r="K651" s="327"/>
      <c r="L651" s="567"/>
      <c r="M651" s="327"/>
      <c r="N651" s="23"/>
      <c r="O651" s="24"/>
      <c r="P651" s="563"/>
      <c r="Q651" s="327"/>
      <c r="R651" s="538"/>
      <c r="S651" s="327"/>
      <c r="T651" s="539"/>
      <c r="U651" s="327"/>
      <c r="V651" s="540"/>
      <c r="W651" s="327"/>
      <c r="X651" s="541" t="s">
        <v>303</v>
      </c>
      <c r="Y651" s="326"/>
      <c r="Z651" s="326"/>
      <c r="AA651" s="327"/>
      <c r="AB651" s="542" t="s">
        <v>303</v>
      </c>
      <c r="AC651" s="326"/>
      <c r="AD651" s="326"/>
      <c r="AE651" s="327"/>
      <c r="AF651" s="543"/>
      <c r="AG651" s="327"/>
      <c r="AH651" s="543"/>
      <c r="AI651" s="327"/>
      <c r="AJ651" s="536"/>
      <c r="AK651" s="327"/>
      <c r="AL651" s="537" t="s">
        <v>334</v>
      </c>
      <c r="AM651" s="327"/>
      <c r="AN651" s="546" t="s">
        <v>334</v>
      </c>
      <c r="AO651" s="327"/>
      <c r="AP651" s="547"/>
      <c r="AQ651" s="327"/>
      <c r="AR651" s="548"/>
      <c r="AS651" s="327"/>
      <c r="AT651" s="568"/>
      <c r="AU651" s="327"/>
      <c r="AV651" s="546" t="s">
        <v>334</v>
      </c>
      <c r="AW651" s="327"/>
      <c r="AX651" s="521"/>
      <c r="AY651" s="326"/>
      <c r="AZ651" s="327"/>
      <c r="BA651" s="550"/>
      <c r="BB651" s="327"/>
      <c r="BC651" s="25"/>
      <c r="BD651" s="544" t="s">
        <v>334</v>
      </c>
      <c r="BE651" s="327"/>
      <c r="BF651" s="545"/>
      <c r="BG651" s="326"/>
      <c r="BH651" s="326"/>
      <c r="BI651" s="327"/>
      <c r="BJ651" s="557" t="s">
        <v>303</v>
      </c>
      <c r="BK651" s="326"/>
      <c r="BL651" s="326"/>
      <c r="BM651" s="327"/>
      <c r="BN651" s="558" t="s">
        <v>303</v>
      </c>
      <c r="BO651" s="326"/>
      <c r="BP651" s="326"/>
      <c r="BQ651" s="326"/>
      <c r="BR651" s="326"/>
      <c r="BS651" s="326"/>
      <c r="BT651" s="326"/>
      <c r="BU651" s="326"/>
      <c r="BV651" s="327"/>
    </row>
    <row r="652" spans="1:74" ht="45" customHeight="1" x14ac:dyDescent="0.25">
      <c r="A652" s="10">
        <f t="shared" si="2"/>
        <v>638</v>
      </c>
      <c r="B652" s="564" t="s">
        <v>303</v>
      </c>
      <c r="C652" s="327"/>
      <c r="D652" s="565" t="s">
        <v>307</v>
      </c>
      <c r="E652" s="327"/>
      <c r="F652" s="537" t="s">
        <v>334</v>
      </c>
      <c r="G652" s="327"/>
      <c r="H652" s="561" t="s">
        <v>334</v>
      </c>
      <c r="I652" s="327"/>
      <c r="J652" s="562"/>
      <c r="K652" s="327"/>
      <c r="L652" s="562"/>
      <c r="M652" s="327"/>
      <c r="N652" s="20"/>
      <c r="O652" s="21"/>
      <c r="P652" s="524"/>
      <c r="Q652" s="327"/>
      <c r="R652" s="516"/>
      <c r="S652" s="327"/>
      <c r="T652" s="517"/>
      <c r="U652" s="327"/>
      <c r="V652" s="518"/>
      <c r="W652" s="327"/>
      <c r="X652" s="438" t="s">
        <v>303</v>
      </c>
      <c r="Y652" s="326"/>
      <c r="Z652" s="326"/>
      <c r="AA652" s="327"/>
      <c r="AB652" s="519" t="s">
        <v>303</v>
      </c>
      <c r="AC652" s="326"/>
      <c r="AD652" s="326"/>
      <c r="AE652" s="327"/>
      <c r="AF652" s="520"/>
      <c r="AG652" s="327"/>
      <c r="AH652" s="520"/>
      <c r="AI652" s="327"/>
      <c r="AJ652" s="536"/>
      <c r="AK652" s="327"/>
      <c r="AL652" s="556" t="s">
        <v>334</v>
      </c>
      <c r="AM652" s="327"/>
      <c r="AN652" s="553" t="s">
        <v>334</v>
      </c>
      <c r="AO652" s="327"/>
      <c r="AP652" s="554"/>
      <c r="AQ652" s="327"/>
      <c r="AR652" s="555"/>
      <c r="AS652" s="327"/>
      <c r="AT652" s="549"/>
      <c r="AU652" s="327"/>
      <c r="AV652" s="553" t="s">
        <v>334</v>
      </c>
      <c r="AW652" s="327"/>
      <c r="AX652" s="521"/>
      <c r="AY652" s="326"/>
      <c r="AZ652" s="327"/>
      <c r="BA652" s="536"/>
      <c r="BB652" s="327"/>
      <c r="BC652" s="22"/>
      <c r="BD652" s="551" t="s">
        <v>334</v>
      </c>
      <c r="BE652" s="327"/>
      <c r="BF652" s="552"/>
      <c r="BG652" s="326"/>
      <c r="BH652" s="326"/>
      <c r="BI652" s="327"/>
      <c r="BJ652" s="451" t="s">
        <v>303</v>
      </c>
      <c r="BK652" s="326"/>
      <c r="BL652" s="326"/>
      <c r="BM652" s="327"/>
      <c r="BN652" s="558" t="s">
        <v>303</v>
      </c>
      <c r="BO652" s="326"/>
      <c r="BP652" s="326"/>
      <c r="BQ652" s="326"/>
      <c r="BR652" s="326"/>
      <c r="BS652" s="326"/>
      <c r="BT652" s="326"/>
      <c r="BU652" s="326"/>
      <c r="BV652" s="327"/>
    </row>
    <row r="653" spans="1:74" ht="45" customHeight="1" x14ac:dyDescent="0.25">
      <c r="A653" s="10">
        <f t="shared" si="2"/>
        <v>639</v>
      </c>
      <c r="B653" s="559" t="s">
        <v>303</v>
      </c>
      <c r="C653" s="327"/>
      <c r="D653" s="560" t="s">
        <v>307</v>
      </c>
      <c r="E653" s="327"/>
      <c r="F653" s="537" t="s">
        <v>334</v>
      </c>
      <c r="G653" s="327"/>
      <c r="H653" s="566" t="s">
        <v>334</v>
      </c>
      <c r="I653" s="327"/>
      <c r="J653" s="567"/>
      <c r="K653" s="327"/>
      <c r="L653" s="567"/>
      <c r="M653" s="327"/>
      <c r="N653" s="23"/>
      <c r="O653" s="24"/>
      <c r="P653" s="563"/>
      <c r="Q653" s="327"/>
      <c r="R653" s="538"/>
      <c r="S653" s="327"/>
      <c r="T653" s="539"/>
      <c r="U653" s="327"/>
      <c r="V653" s="540"/>
      <c r="W653" s="327"/>
      <c r="X653" s="541" t="s">
        <v>303</v>
      </c>
      <c r="Y653" s="326"/>
      <c r="Z653" s="326"/>
      <c r="AA653" s="327"/>
      <c r="AB653" s="542" t="s">
        <v>303</v>
      </c>
      <c r="AC653" s="326"/>
      <c r="AD653" s="326"/>
      <c r="AE653" s="327"/>
      <c r="AF653" s="543"/>
      <c r="AG653" s="327"/>
      <c r="AH653" s="543"/>
      <c r="AI653" s="327"/>
      <c r="AJ653" s="536"/>
      <c r="AK653" s="327"/>
      <c r="AL653" s="537" t="s">
        <v>334</v>
      </c>
      <c r="AM653" s="327"/>
      <c r="AN653" s="546" t="s">
        <v>334</v>
      </c>
      <c r="AO653" s="327"/>
      <c r="AP653" s="547"/>
      <c r="AQ653" s="327"/>
      <c r="AR653" s="548"/>
      <c r="AS653" s="327"/>
      <c r="AT653" s="549"/>
      <c r="AU653" s="327"/>
      <c r="AV653" s="546" t="s">
        <v>334</v>
      </c>
      <c r="AW653" s="327"/>
      <c r="AX653" s="521"/>
      <c r="AY653" s="326"/>
      <c r="AZ653" s="327"/>
      <c r="BA653" s="550"/>
      <c r="BB653" s="327"/>
      <c r="BC653" s="25"/>
      <c r="BD653" s="544" t="s">
        <v>334</v>
      </c>
      <c r="BE653" s="327"/>
      <c r="BF653" s="545"/>
      <c r="BG653" s="326"/>
      <c r="BH653" s="326"/>
      <c r="BI653" s="327"/>
      <c r="BJ653" s="557" t="s">
        <v>303</v>
      </c>
      <c r="BK653" s="326"/>
      <c r="BL653" s="326"/>
      <c r="BM653" s="327"/>
      <c r="BN653" s="558" t="s">
        <v>303</v>
      </c>
      <c r="BO653" s="326"/>
      <c r="BP653" s="326"/>
      <c r="BQ653" s="326"/>
      <c r="BR653" s="326"/>
      <c r="BS653" s="326"/>
      <c r="BT653" s="326"/>
      <c r="BU653" s="326"/>
      <c r="BV653" s="327"/>
    </row>
    <row r="654" spans="1:74" ht="45" customHeight="1" x14ac:dyDescent="0.25">
      <c r="A654" s="10">
        <f t="shared" si="2"/>
        <v>640</v>
      </c>
      <c r="B654" s="564" t="s">
        <v>303</v>
      </c>
      <c r="C654" s="327"/>
      <c r="D654" s="565" t="s">
        <v>307</v>
      </c>
      <c r="E654" s="327"/>
      <c r="F654" s="537" t="s">
        <v>334</v>
      </c>
      <c r="G654" s="327"/>
      <c r="H654" s="561" t="s">
        <v>334</v>
      </c>
      <c r="I654" s="327"/>
      <c r="J654" s="562"/>
      <c r="K654" s="327"/>
      <c r="L654" s="562"/>
      <c r="M654" s="327"/>
      <c r="N654" s="20"/>
      <c r="O654" s="21"/>
      <c r="P654" s="524"/>
      <c r="Q654" s="327"/>
      <c r="R654" s="516"/>
      <c r="S654" s="327"/>
      <c r="T654" s="517"/>
      <c r="U654" s="327"/>
      <c r="V654" s="518"/>
      <c r="W654" s="327"/>
      <c r="X654" s="438" t="s">
        <v>303</v>
      </c>
      <c r="Y654" s="326"/>
      <c r="Z654" s="326"/>
      <c r="AA654" s="327"/>
      <c r="AB654" s="519" t="s">
        <v>303</v>
      </c>
      <c r="AC654" s="326"/>
      <c r="AD654" s="326"/>
      <c r="AE654" s="327"/>
      <c r="AF654" s="520"/>
      <c r="AG654" s="327"/>
      <c r="AH654" s="520"/>
      <c r="AI654" s="327"/>
      <c r="AJ654" s="536"/>
      <c r="AK654" s="327"/>
      <c r="AL654" s="556" t="s">
        <v>334</v>
      </c>
      <c r="AM654" s="327"/>
      <c r="AN654" s="553" t="s">
        <v>334</v>
      </c>
      <c r="AO654" s="327"/>
      <c r="AP654" s="554"/>
      <c r="AQ654" s="327"/>
      <c r="AR654" s="555"/>
      <c r="AS654" s="327"/>
      <c r="AT654" s="549"/>
      <c r="AU654" s="327"/>
      <c r="AV654" s="553" t="s">
        <v>334</v>
      </c>
      <c r="AW654" s="327"/>
      <c r="AX654" s="521"/>
      <c r="AY654" s="326"/>
      <c r="AZ654" s="327"/>
      <c r="BA654" s="536"/>
      <c r="BB654" s="327"/>
      <c r="BC654" s="22"/>
      <c r="BD654" s="551" t="s">
        <v>334</v>
      </c>
      <c r="BE654" s="327"/>
      <c r="BF654" s="552"/>
      <c r="BG654" s="326"/>
      <c r="BH654" s="326"/>
      <c r="BI654" s="327"/>
      <c r="BJ654" s="451" t="s">
        <v>303</v>
      </c>
      <c r="BK654" s="326"/>
      <c r="BL654" s="326"/>
      <c r="BM654" s="327"/>
      <c r="BN654" s="558" t="s">
        <v>303</v>
      </c>
      <c r="BO654" s="326"/>
      <c r="BP654" s="326"/>
      <c r="BQ654" s="326"/>
      <c r="BR654" s="326"/>
      <c r="BS654" s="326"/>
      <c r="BT654" s="326"/>
      <c r="BU654" s="326"/>
      <c r="BV654" s="327"/>
    </row>
    <row r="655" spans="1:74" ht="45" customHeight="1" x14ac:dyDescent="0.25">
      <c r="A655" s="10">
        <f t="shared" si="2"/>
        <v>641</v>
      </c>
      <c r="B655" s="559" t="s">
        <v>303</v>
      </c>
      <c r="C655" s="327"/>
      <c r="D655" s="560" t="s">
        <v>307</v>
      </c>
      <c r="E655" s="327"/>
      <c r="F655" s="537" t="s">
        <v>334</v>
      </c>
      <c r="G655" s="327"/>
      <c r="H655" s="566" t="s">
        <v>334</v>
      </c>
      <c r="I655" s="327"/>
      <c r="J655" s="567"/>
      <c r="K655" s="327"/>
      <c r="L655" s="567"/>
      <c r="M655" s="327"/>
      <c r="N655" s="23"/>
      <c r="O655" s="24"/>
      <c r="P655" s="563"/>
      <c r="Q655" s="327"/>
      <c r="R655" s="538"/>
      <c r="S655" s="327"/>
      <c r="T655" s="539"/>
      <c r="U655" s="327"/>
      <c r="V655" s="540"/>
      <c r="W655" s="327"/>
      <c r="X655" s="541" t="s">
        <v>303</v>
      </c>
      <c r="Y655" s="326"/>
      <c r="Z655" s="326"/>
      <c r="AA655" s="327"/>
      <c r="AB655" s="542" t="s">
        <v>303</v>
      </c>
      <c r="AC655" s="326"/>
      <c r="AD655" s="326"/>
      <c r="AE655" s="327"/>
      <c r="AF655" s="543"/>
      <c r="AG655" s="327"/>
      <c r="AH655" s="543"/>
      <c r="AI655" s="327"/>
      <c r="AJ655" s="536"/>
      <c r="AK655" s="327"/>
      <c r="AL655" s="537" t="s">
        <v>334</v>
      </c>
      <c r="AM655" s="327"/>
      <c r="AN655" s="546" t="s">
        <v>334</v>
      </c>
      <c r="AO655" s="327"/>
      <c r="AP655" s="547"/>
      <c r="AQ655" s="327"/>
      <c r="AR655" s="548"/>
      <c r="AS655" s="327"/>
      <c r="AT655" s="549"/>
      <c r="AU655" s="327"/>
      <c r="AV655" s="546" t="s">
        <v>334</v>
      </c>
      <c r="AW655" s="327"/>
      <c r="AX655" s="521"/>
      <c r="AY655" s="326"/>
      <c r="AZ655" s="327"/>
      <c r="BA655" s="550"/>
      <c r="BB655" s="327"/>
      <c r="BC655" s="25"/>
      <c r="BD655" s="544" t="s">
        <v>334</v>
      </c>
      <c r="BE655" s="327"/>
      <c r="BF655" s="545"/>
      <c r="BG655" s="326"/>
      <c r="BH655" s="326"/>
      <c r="BI655" s="327"/>
      <c r="BJ655" s="557" t="s">
        <v>303</v>
      </c>
      <c r="BK655" s="326"/>
      <c r="BL655" s="326"/>
      <c r="BM655" s="327"/>
      <c r="BN655" s="558" t="s">
        <v>303</v>
      </c>
      <c r="BO655" s="326"/>
      <c r="BP655" s="326"/>
      <c r="BQ655" s="326"/>
      <c r="BR655" s="326"/>
      <c r="BS655" s="326"/>
      <c r="BT655" s="326"/>
      <c r="BU655" s="326"/>
      <c r="BV655" s="327"/>
    </row>
    <row r="656" spans="1:74" ht="45" customHeight="1" x14ac:dyDescent="0.25">
      <c r="A656" s="10">
        <f t="shared" si="2"/>
        <v>642</v>
      </c>
      <c r="B656" s="564" t="s">
        <v>303</v>
      </c>
      <c r="C656" s="327"/>
      <c r="D656" s="565" t="s">
        <v>307</v>
      </c>
      <c r="E656" s="327"/>
      <c r="F656" s="537" t="s">
        <v>334</v>
      </c>
      <c r="G656" s="327"/>
      <c r="H656" s="561" t="s">
        <v>334</v>
      </c>
      <c r="I656" s="327"/>
      <c r="J656" s="562"/>
      <c r="K656" s="327"/>
      <c r="L656" s="562"/>
      <c r="M656" s="327"/>
      <c r="N656" s="20"/>
      <c r="O656" s="21"/>
      <c r="P656" s="524"/>
      <c r="Q656" s="327"/>
      <c r="R656" s="516"/>
      <c r="S656" s="327"/>
      <c r="T656" s="517"/>
      <c r="U656" s="327"/>
      <c r="V656" s="518"/>
      <c r="W656" s="327"/>
      <c r="X656" s="438" t="s">
        <v>303</v>
      </c>
      <c r="Y656" s="326"/>
      <c r="Z656" s="326"/>
      <c r="AA656" s="327"/>
      <c r="AB656" s="519" t="s">
        <v>303</v>
      </c>
      <c r="AC656" s="326"/>
      <c r="AD656" s="326"/>
      <c r="AE656" s="327"/>
      <c r="AF656" s="520"/>
      <c r="AG656" s="327"/>
      <c r="AH656" s="520"/>
      <c r="AI656" s="327"/>
      <c r="AJ656" s="536"/>
      <c r="AK656" s="327"/>
      <c r="AL656" s="556" t="s">
        <v>334</v>
      </c>
      <c r="AM656" s="327"/>
      <c r="AN656" s="553" t="s">
        <v>334</v>
      </c>
      <c r="AO656" s="327"/>
      <c r="AP656" s="554"/>
      <c r="AQ656" s="327"/>
      <c r="AR656" s="555"/>
      <c r="AS656" s="327"/>
      <c r="AT656" s="549"/>
      <c r="AU656" s="327"/>
      <c r="AV656" s="553" t="s">
        <v>334</v>
      </c>
      <c r="AW656" s="327"/>
      <c r="AX656" s="521"/>
      <c r="AY656" s="326"/>
      <c r="AZ656" s="327"/>
      <c r="BA656" s="536"/>
      <c r="BB656" s="327"/>
      <c r="BC656" s="22"/>
      <c r="BD656" s="551" t="s">
        <v>334</v>
      </c>
      <c r="BE656" s="327"/>
      <c r="BF656" s="552"/>
      <c r="BG656" s="326"/>
      <c r="BH656" s="326"/>
      <c r="BI656" s="327"/>
      <c r="BJ656" s="451" t="s">
        <v>303</v>
      </c>
      <c r="BK656" s="326"/>
      <c r="BL656" s="326"/>
      <c r="BM656" s="327"/>
      <c r="BN656" s="558" t="s">
        <v>303</v>
      </c>
      <c r="BO656" s="326"/>
      <c r="BP656" s="326"/>
      <c r="BQ656" s="326"/>
      <c r="BR656" s="326"/>
      <c r="BS656" s="326"/>
      <c r="BT656" s="326"/>
      <c r="BU656" s="326"/>
      <c r="BV656" s="327"/>
    </row>
    <row r="657" spans="1:74" ht="45" customHeight="1" x14ac:dyDescent="0.25">
      <c r="A657" s="10">
        <f t="shared" si="2"/>
        <v>643</v>
      </c>
      <c r="B657" s="559" t="s">
        <v>303</v>
      </c>
      <c r="C657" s="327"/>
      <c r="D657" s="560" t="s">
        <v>307</v>
      </c>
      <c r="E657" s="327"/>
      <c r="F657" s="537" t="s">
        <v>334</v>
      </c>
      <c r="G657" s="327"/>
      <c r="H657" s="566" t="s">
        <v>334</v>
      </c>
      <c r="I657" s="327"/>
      <c r="J657" s="567"/>
      <c r="K657" s="327"/>
      <c r="L657" s="567"/>
      <c r="M657" s="327"/>
      <c r="N657" s="23"/>
      <c r="O657" s="24"/>
      <c r="P657" s="563"/>
      <c r="Q657" s="327"/>
      <c r="R657" s="538"/>
      <c r="S657" s="327"/>
      <c r="T657" s="539"/>
      <c r="U657" s="327"/>
      <c r="V657" s="540"/>
      <c r="W657" s="327"/>
      <c r="X657" s="541" t="s">
        <v>303</v>
      </c>
      <c r="Y657" s="326"/>
      <c r="Z657" s="326"/>
      <c r="AA657" s="327"/>
      <c r="AB657" s="542" t="s">
        <v>303</v>
      </c>
      <c r="AC657" s="326"/>
      <c r="AD657" s="326"/>
      <c r="AE657" s="327"/>
      <c r="AF657" s="543"/>
      <c r="AG657" s="327"/>
      <c r="AH657" s="543"/>
      <c r="AI657" s="327"/>
      <c r="AJ657" s="536"/>
      <c r="AK657" s="327"/>
      <c r="AL657" s="537" t="s">
        <v>334</v>
      </c>
      <c r="AM657" s="327"/>
      <c r="AN657" s="546" t="s">
        <v>334</v>
      </c>
      <c r="AO657" s="327"/>
      <c r="AP657" s="547"/>
      <c r="AQ657" s="327"/>
      <c r="AR657" s="548"/>
      <c r="AS657" s="327"/>
      <c r="AT657" s="568"/>
      <c r="AU657" s="327"/>
      <c r="AV657" s="546" t="s">
        <v>334</v>
      </c>
      <c r="AW657" s="327"/>
      <c r="AX657" s="521"/>
      <c r="AY657" s="326"/>
      <c r="AZ657" s="327"/>
      <c r="BA657" s="550"/>
      <c r="BB657" s="327"/>
      <c r="BC657" s="25"/>
      <c r="BD657" s="544" t="s">
        <v>334</v>
      </c>
      <c r="BE657" s="327"/>
      <c r="BF657" s="545"/>
      <c r="BG657" s="326"/>
      <c r="BH657" s="326"/>
      <c r="BI657" s="327"/>
      <c r="BJ657" s="557" t="s">
        <v>303</v>
      </c>
      <c r="BK657" s="326"/>
      <c r="BL657" s="326"/>
      <c r="BM657" s="327"/>
      <c r="BN657" s="558" t="s">
        <v>303</v>
      </c>
      <c r="BO657" s="326"/>
      <c r="BP657" s="326"/>
      <c r="BQ657" s="326"/>
      <c r="BR657" s="326"/>
      <c r="BS657" s="326"/>
      <c r="BT657" s="326"/>
      <c r="BU657" s="326"/>
      <c r="BV657" s="327"/>
    </row>
    <row r="658" spans="1:74" ht="45" customHeight="1" x14ac:dyDescent="0.25">
      <c r="A658" s="10">
        <f t="shared" si="2"/>
        <v>644</v>
      </c>
      <c r="B658" s="564" t="s">
        <v>303</v>
      </c>
      <c r="C658" s="327"/>
      <c r="D658" s="565" t="s">
        <v>307</v>
      </c>
      <c r="E658" s="327"/>
      <c r="F658" s="537" t="s">
        <v>334</v>
      </c>
      <c r="G658" s="327"/>
      <c r="H658" s="561" t="s">
        <v>334</v>
      </c>
      <c r="I658" s="327"/>
      <c r="J658" s="562"/>
      <c r="K658" s="327"/>
      <c r="L658" s="562"/>
      <c r="M658" s="327"/>
      <c r="N658" s="20"/>
      <c r="O658" s="21"/>
      <c r="P658" s="524"/>
      <c r="Q658" s="327"/>
      <c r="R658" s="516"/>
      <c r="S658" s="327"/>
      <c r="T658" s="517"/>
      <c r="U658" s="327"/>
      <c r="V658" s="518"/>
      <c r="W658" s="327"/>
      <c r="X658" s="438" t="s">
        <v>303</v>
      </c>
      <c r="Y658" s="326"/>
      <c r="Z658" s="326"/>
      <c r="AA658" s="327"/>
      <c r="AB658" s="519" t="s">
        <v>303</v>
      </c>
      <c r="AC658" s="326"/>
      <c r="AD658" s="326"/>
      <c r="AE658" s="327"/>
      <c r="AF658" s="520"/>
      <c r="AG658" s="327"/>
      <c r="AH658" s="520"/>
      <c r="AI658" s="327"/>
      <c r="AJ658" s="536"/>
      <c r="AK658" s="327"/>
      <c r="AL658" s="556" t="s">
        <v>334</v>
      </c>
      <c r="AM658" s="327"/>
      <c r="AN658" s="553" t="s">
        <v>334</v>
      </c>
      <c r="AO658" s="327"/>
      <c r="AP658" s="554"/>
      <c r="AQ658" s="327"/>
      <c r="AR658" s="555"/>
      <c r="AS658" s="327"/>
      <c r="AT658" s="549"/>
      <c r="AU658" s="327"/>
      <c r="AV658" s="553" t="s">
        <v>334</v>
      </c>
      <c r="AW658" s="327"/>
      <c r="AX658" s="521"/>
      <c r="AY658" s="326"/>
      <c r="AZ658" s="327"/>
      <c r="BA658" s="536"/>
      <c r="BB658" s="327"/>
      <c r="BC658" s="22"/>
      <c r="BD658" s="551" t="s">
        <v>334</v>
      </c>
      <c r="BE658" s="327"/>
      <c r="BF658" s="508"/>
      <c r="BG658" s="326"/>
      <c r="BH658" s="326"/>
      <c r="BI658" s="327"/>
      <c r="BJ658" s="451" t="s">
        <v>303</v>
      </c>
      <c r="BK658" s="326"/>
      <c r="BL658" s="326"/>
      <c r="BM658" s="327"/>
      <c r="BN658" s="558" t="s">
        <v>303</v>
      </c>
      <c r="BO658" s="326"/>
      <c r="BP658" s="326"/>
      <c r="BQ658" s="326"/>
      <c r="BR658" s="326"/>
      <c r="BS658" s="326"/>
      <c r="BT658" s="326"/>
      <c r="BU658" s="326"/>
      <c r="BV658" s="327"/>
    </row>
    <row r="659" spans="1:74" ht="45" customHeight="1" x14ac:dyDescent="0.25">
      <c r="A659" s="10">
        <f t="shared" si="2"/>
        <v>645</v>
      </c>
      <c r="B659" s="559" t="s">
        <v>303</v>
      </c>
      <c r="C659" s="327"/>
      <c r="D659" s="560" t="s">
        <v>307</v>
      </c>
      <c r="E659" s="327"/>
      <c r="F659" s="537" t="s">
        <v>334</v>
      </c>
      <c r="G659" s="327"/>
      <c r="H659" s="566" t="s">
        <v>334</v>
      </c>
      <c r="I659" s="327"/>
      <c r="J659" s="567"/>
      <c r="K659" s="327"/>
      <c r="L659" s="567"/>
      <c r="M659" s="327"/>
      <c r="N659" s="23"/>
      <c r="O659" s="24"/>
      <c r="P659" s="563"/>
      <c r="Q659" s="327"/>
      <c r="R659" s="538"/>
      <c r="S659" s="327"/>
      <c r="T659" s="539"/>
      <c r="U659" s="327"/>
      <c r="V659" s="540"/>
      <c r="W659" s="327"/>
      <c r="X659" s="541" t="s">
        <v>303</v>
      </c>
      <c r="Y659" s="326"/>
      <c r="Z659" s="326"/>
      <c r="AA659" s="327"/>
      <c r="AB659" s="542" t="s">
        <v>303</v>
      </c>
      <c r="AC659" s="326"/>
      <c r="AD659" s="326"/>
      <c r="AE659" s="327"/>
      <c r="AF659" s="543"/>
      <c r="AG659" s="327"/>
      <c r="AH659" s="543"/>
      <c r="AI659" s="327"/>
      <c r="AJ659" s="536"/>
      <c r="AK659" s="327"/>
      <c r="AL659" s="537" t="s">
        <v>334</v>
      </c>
      <c r="AM659" s="327"/>
      <c r="AN659" s="546" t="s">
        <v>334</v>
      </c>
      <c r="AO659" s="327"/>
      <c r="AP659" s="547"/>
      <c r="AQ659" s="327"/>
      <c r="AR659" s="548"/>
      <c r="AS659" s="327"/>
      <c r="AT659" s="568"/>
      <c r="AU659" s="327"/>
      <c r="AV659" s="546" t="s">
        <v>334</v>
      </c>
      <c r="AW659" s="327"/>
      <c r="AX659" s="521"/>
      <c r="AY659" s="326"/>
      <c r="AZ659" s="327"/>
      <c r="BA659" s="550"/>
      <c r="BB659" s="327"/>
      <c r="BC659" s="25"/>
      <c r="BD659" s="544" t="s">
        <v>334</v>
      </c>
      <c r="BE659" s="327"/>
      <c r="BF659" s="545"/>
      <c r="BG659" s="326"/>
      <c r="BH659" s="326"/>
      <c r="BI659" s="327"/>
      <c r="BJ659" s="557" t="s">
        <v>303</v>
      </c>
      <c r="BK659" s="326"/>
      <c r="BL659" s="326"/>
      <c r="BM659" s="327"/>
      <c r="BN659" s="558" t="s">
        <v>303</v>
      </c>
      <c r="BO659" s="326"/>
      <c r="BP659" s="326"/>
      <c r="BQ659" s="326"/>
      <c r="BR659" s="326"/>
      <c r="BS659" s="326"/>
      <c r="BT659" s="326"/>
      <c r="BU659" s="326"/>
      <c r="BV659" s="327"/>
    </row>
    <row r="660" spans="1:74" ht="45" customHeight="1" x14ac:dyDescent="0.25">
      <c r="A660" s="10">
        <f t="shared" si="2"/>
        <v>646</v>
      </c>
      <c r="B660" s="564" t="s">
        <v>303</v>
      </c>
      <c r="C660" s="327"/>
      <c r="D660" s="565" t="s">
        <v>307</v>
      </c>
      <c r="E660" s="327"/>
      <c r="F660" s="537" t="s">
        <v>334</v>
      </c>
      <c r="G660" s="327"/>
      <c r="H660" s="561" t="s">
        <v>334</v>
      </c>
      <c r="I660" s="327"/>
      <c r="J660" s="562"/>
      <c r="K660" s="327"/>
      <c r="L660" s="562"/>
      <c r="M660" s="327"/>
      <c r="N660" s="20"/>
      <c r="O660" s="21"/>
      <c r="P660" s="524"/>
      <c r="Q660" s="327"/>
      <c r="R660" s="516"/>
      <c r="S660" s="327"/>
      <c r="T660" s="517"/>
      <c r="U660" s="327"/>
      <c r="V660" s="518"/>
      <c r="W660" s="327"/>
      <c r="X660" s="438" t="s">
        <v>303</v>
      </c>
      <c r="Y660" s="326"/>
      <c r="Z660" s="326"/>
      <c r="AA660" s="327"/>
      <c r="AB660" s="519" t="s">
        <v>303</v>
      </c>
      <c r="AC660" s="326"/>
      <c r="AD660" s="326"/>
      <c r="AE660" s="327"/>
      <c r="AF660" s="520"/>
      <c r="AG660" s="327"/>
      <c r="AH660" s="520"/>
      <c r="AI660" s="327"/>
      <c r="AJ660" s="536"/>
      <c r="AK660" s="327"/>
      <c r="AL660" s="556" t="s">
        <v>334</v>
      </c>
      <c r="AM660" s="327"/>
      <c r="AN660" s="553" t="s">
        <v>334</v>
      </c>
      <c r="AO660" s="327"/>
      <c r="AP660" s="554"/>
      <c r="AQ660" s="327"/>
      <c r="AR660" s="555"/>
      <c r="AS660" s="327"/>
      <c r="AT660" s="549"/>
      <c r="AU660" s="327"/>
      <c r="AV660" s="553" t="s">
        <v>334</v>
      </c>
      <c r="AW660" s="327"/>
      <c r="AX660" s="521"/>
      <c r="AY660" s="326"/>
      <c r="AZ660" s="327"/>
      <c r="BA660" s="536"/>
      <c r="BB660" s="327"/>
      <c r="BC660" s="22"/>
      <c r="BD660" s="551" t="s">
        <v>334</v>
      </c>
      <c r="BE660" s="327"/>
      <c r="BF660" s="552"/>
      <c r="BG660" s="326"/>
      <c r="BH660" s="326"/>
      <c r="BI660" s="327"/>
      <c r="BJ660" s="451" t="s">
        <v>303</v>
      </c>
      <c r="BK660" s="326"/>
      <c r="BL660" s="326"/>
      <c r="BM660" s="327"/>
      <c r="BN660" s="558" t="s">
        <v>303</v>
      </c>
      <c r="BO660" s="326"/>
      <c r="BP660" s="326"/>
      <c r="BQ660" s="326"/>
      <c r="BR660" s="326"/>
      <c r="BS660" s="326"/>
      <c r="BT660" s="326"/>
      <c r="BU660" s="326"/>
      <c r="BV660" s="327"/>
    </row>
    <row r="661" spans="1:74" ht="45" customHeight="1" x14ac:dyDescent="0.25">
      <c r="A661" s="10">
        <f t="shared" si="2"/>
        <v>647</v>
      </c>
      <c r="B661" s="559" t="s">
        <v>303</v>
      </c>
      <c r="C661" s="327"/>
      <c r="D661" s="560" t="s">
        <v>307</v>
      </c>
      <c r="E661" s="327"/>
      <c r="F661" s="537" t="s">
        <v>334</v>
      </c>
      <c r="G661" s="327"/>
      <c r="H661" s="566" t="s">
        <v>334</v>
      </c>
      <c r="I661" s="327"/>
      <c r="J661" s="567"/>
      <c r="K661" s="327"/>
      <c r="L661" s="567"/>
      <c r="M661" s="327"/>
      <c r="N661" s="23"/>
      <c r="O661" s="24"/>
      <c r="P661" s="563"/>
      <c r="Q661" s="327"/>
      <c r="R661" s="538"/>
      <c r="S661" s="327"/>
      <c r="T661" s="539"/>
      <c r="U661" s="327"/>
      <c r="V661" s="540"/>
      <c r="W661" s="327"/>
      <c r="X661" s="541" t="s">
        <v>303</v>
      </c>
      <c r="Y661" s="326"/>
      <c r="Z661" s="326"/>
      <c r="AA661" s="327"/>
      <c r="AB661" s="542" t="s">
        <v>303</v>
      </c>
      <c r="AC661" s="326"/>
      <c r="AD661" s="326"/>
      <c r="AE661" s="327"/>
      <c r="AF661" s="543"/>
      <c r="AG661" s="327"/>
      <c r="AH661" s="543"/>
      <c r="AI661" s="327"/>
      <c r="AJ661" s="536"/>
      <c r="AK661" s="327"/>
      <c r="AL661" s="537" t="s">
        <v>334</v>
      </c>
      <c r="AM661" s="327"/>
      <c r="AN661" s="546" t="s">
        <v>334</v>
      </c>
      <c r="AO661" s="327"/>
      <c r="AP661" s="547"/>
      <c r="AQ661" s="327"/>
      <c r="AR661" s="548"/>
      <c r="AS661" s="327"/>
      <c r="AT661" s="568"/>
      <c r="AU661" s="327"/>
      <c r="AV661" s="546" t="s">
        <v>334</v>
      </c>
      <c r="AW661" s="327"/>
      <c r="AX661" s="521"/>
      <c r="AY661" s="326"/>
      <c r="AZ661" s="327"/>
      <c r="BA661" s="550"/>
      <c r="BB661" s="327"/>
      <c r="BC661" s="25"/>
      <c r="BD661" s="544" t="s">
        <v>334</v>
      </c>
      <c r="BE661" s="327"/>
      <c r="BF661" s="545"/>
      <c r="BG661" s="326"/>
      <c r="BH661" s="326"/>
      <c r="BI661" s="327"/>
      <c r="BJ661" s="557" t="s">
        <v>303</v>
      </c>
      <c r="BK661" s="326"/>
      <c r="BL661" s="326"/>
      <c r="BM661" s="327"/>
      <c r="BN661" s="558" t="s">
        <v>303</v>
      </c>
      <c r="BO661" s="326"/>
      <c r="BP661" s="326"/>
      <c r="BQ661" s="326"/>
      <c r="BR661" s="326"/>
      <c r="BS661" s="326"/>
      <c r="BT661" s="326"/>
      <c r="BU661" s="326"/>
      <c r="BV661" s="327"/>
    </row>
    <row r="662" spans="1:74" ht="45" customHeight="1" x14ac:dyDescent="0.25">
      <c r="A662" s="10">
        <f t="shared" si="2"/>
        <v>648</v>
      </c>
      <c r="B662" s="564" t="s">
        <v>303</v>
      </c>
      <c r="C662" s="327"/>
      <c r="D662" s="565" t="s">
        <v>307</v>
      </c>
      <c r="E662" s="327"/>
      <c r="F662" s="537" t="s">
        <v>334</v>
      </c>
      <c r="G662" s="327"/>
      <c r="H662" s="561" t="s">
        <v>334</v>
      </c>
      <c r="I662" s="327"/>
      <c r="J662" s="562"/>
      <c r="K662" s="327"/>
      <c r="L662" s="562"/>
      <c r="M662" s="327"/>
      <c r="N662" s="23"/>
      <c r="O662" s="24"/>
      <c r="P662" s="563"/>
      <c r="Q662" s="327"/>
      <c r="R662" s="538"/>
      <c r="S662" s="327"/>
      <c r="T662" s="539"/>
      <c r="U662" s="327"/>
      <c r="V662" s="518"/>
      <c r="W662" s="327"/>
      <c r="X662" s="438" t="s">
        <v>303</v>
      </c>
      <c r="Y662" s="326"/>
      <c r="Z662" s="326"/>
      <c r="AA662" s="327"/>
      <c r="AB662" s="519" t="s">
        <v>303</v>
      </c>
      <c r="AC662" s="326"/>
      <c r="AD662" s="326"/>
      <c r="AE662" s="327"/>
      <c r="AF662" s="520"/>
      <c r="AG662" s="327"/>
      <c r="AH662" s="520"/>
      <c r="AI662" s="327"/>
      <c r="AJ662" s="536"/>
      <c r="AK662" s="327"/>
      <c r="AL662" s="556" t="s">
        <v>334</v>
      </c>
      <c r="AM662" s="327"/>
      <c r="AN662" s="553" t="s">
        <v>334</v>
      </c>
      <c r="AO662" s="327"/>
      <c r="AP662" s="554"/>
      <c r="AQ662" s="327"/>
      <c r="AR662" s="555"/>
      <c r="AS662" s="327"/>
      <c r="AT662" s="549"/>
      <c r="AU662" s="327"/>
      <c r="AV662" s="553" t="s">
        <v>334</v>
      </c>
      <c r="AW662" s="327"/>
      <c r="AX662" s="521"/>
      <c r="AY662" s="326"/>
      <c r="AZ662" s="327"/>
      <c r="BA662" s="536"/>
      <c r="BB662" s="327"/>
      <c r="BC662" s="22"/>
      <c r="BD662" s="551" t="s">
        <v>334</v>
      </c>
      <c r="BE662" s="327"/>
      <c r="BF662" s="552"/>
      <c r="BG662" s="326"/>
      <c r="BH662" s="326"/>
      <c r="BI662" s="327"/>
      <c r="BJ662" s="451" t="s">
        <v>303</v>
      </c>
      <c r="BK662" s="326"/>
      <c r="BL662" s="326"/>
      <c r="BM662" s="327"/>
      <c r="BN662" s="558" t="s">
        <v>303</v>
      </c>
      <c r="BO662" s="326"/>
      <c r="BP662" s="326"/>
      <c r="BQ662" s="326"/>
      <c r="BR662" s="326"/>
      <c r="BS662" s="326"/>
      <c r="BT662" s="326"/>
      <c r="BU662" s="326"/>
      <c r="BV662" s="327"/>
    </row>
    <row r="663" spans="1:74" ht="45" customHeight="1" x14ac:dyDescent="0.25">
      <c r="A663" s="10">
        <f t="shared" si="2"/>
        <v>649</v>
      </c>
      <c r="B663" s="559" t="s">
        <v>303</v>
      </c>
      <c r="C663" s="327"/>
      <c r="D663" s="560" t="s">
        <v>307</v>
      </c>
      <c r="E663" s="327"/>
      <c r="F663" s="537" t="s">
        <v>334</v>
      </c>
      <c r="G663" s="327"/>
      <c r="H663" s="566" t="s">
        <v>334</v>
      </c>
      <c r="I663" s="327"/>
      <c r="J663" s="567"/>
      <c r="K663" s="327"/>
      <c r="L663" s="567"/>
      <c r="M663" s="327"/>
      <c r="N663" s="20"/>
      <c r="O663" s="21"/>
      <c r="P663" s="524"/>
      <c r="Q663" s="327"/>
      <c r="R663" s="516"/>
      <c r="S663" s="327"/>
      <c r="T663" s="517"/>
      <c r="U663" s="327"/>
      <c r="V663" s="540"/>
      <c r="W663" s="327"/>
      <c r="X663" s="541" t="s">
        <v>303</v>
      </c>
      <c r="Y663" s="326"/>
      <c r="Z663" s="326"/>
      <c r="AA663" s="327"/>
      <c r="AB663" s="542" t="s">
        <v>303</v>
      </c>
      <c r="AC663" s="326"/>
      <c r="AD663" s="326"/>
      <c r="AE663" s="327"/>
      <c r="AF663" s="543"/>
      <c r="AG663" s="327"/>
      <c r="AH663" s="543"/>
      <c r="AI663" s="327"/>
      <c r="AJ663" s="536"/>
      <c r="AK663" s="327"/>
      <c r="AL663" s="537" t="s">
        <v>334</v>
      </c>
      <c r="AM663" s="327"/>
      <c r="AN663" s="546" t="s">
        <v>334</v>
      </c>
      <c r="AO663" s="327"/>
      <c r="AP663" s="547"/>
      <c r="AQ663" s="327"/>
      <c r="AR663" s="548"/>
      <c r="AS663" s="327"/>
      <c r="AT663" s="568"/>
      <c r="AU663" s="327"/>
      <c r="AV663" s="546" t="s">
        <v>334</v>
      </c>
      <c r="AW663" s="327"/>
      <c r="AX663" s="521"/>
      <c r="AY663" s="326"/>
      <c r="AZ663" s="327"/>
      <c r="BA663" s="550"/>
      <c r="BB663" s="327"/>
      <c r="BC663" s="25"/>
      <c r="BD663" s="544" t="s">
        <v>334</v>
      </c>
      <c r="BE663" s="327"/>
      <c r="BF663" s="545"/>
      <c r="BG663" s="326"/>
      <c r="BH663" s="326"/>
      <c r="BI663" s="327"/>
      <c r="BJ663" s="557" t="s">
        <v>303</v>
      </c>
      <c r="BK663" s="326"/>
      <c r="BL663" s="326"/>
      <c r="BM663" s="327"/>
      <c r="BN663" s="558" t="s">
        <v>303</v>
      </c>
      <c r="BO663" s="326"/>
      <c r="BP663" s="326"/>
      <c r="BQ663" s="326"/>
      <c r="BR663" s="326"/>
      <c r="BS663" s="326"/>
      <c r="BT663" s="326"/>
      <c r="BU663" s="326"/>
      <c r="BV663" s="327"/>
    </row>
    <row r="664" spans="1:74" ht="45" customHeight="1" x14ac:dyDescent="0.25">
      <c r="A664" s="10">
        <f t="shared" si="2"/>
        <v>650</v>
      </c>
      <c r="B664" s="564" t="s">
        <v>303</v>
      </c>
      <c r="C664" s="327"/>
      <c r="D664" s="565" t="s">
        <v>307</v>
      </c>
      <c r="E664" s="327"/>
      <c r="F664" s="537" t="s">
        <v>334</v>
      </c>
      <c r="G664" s="327"/>
      <c r="H664" s="561" t="s">
        <v>334</v>
      </c>
      <c r="I664" s="327"/>
      <c r="J664" s="562"/>
      <c r="K664" s="327"/>
      <c r="L664" s="562"/>
      <c r="M664" s="327"/>
      <c r="N664" s="23"/>
      <c r="O664" s="24"/>
      <c r="P664" s="563"/>
      <c r="Q664" s="327"/>
      <c r="R664" s="538"/>
      <c r="S664" s="327"/>
      <c r="T664" s="539"/>
      <c r="U664" s="327"/>
      <c r="V664" s="518"/>
      <c r="W664" s="327"/>
      <c r="X664" s="438" t="s">
        <v>303</v>
      </c>
      <c r="Y664" s="326"/>
      <c r="Z664" s="326"/>
      <c r="AA664" s="327"/>
      <c r="AB664" s="519" t="s">
        <v>303</v>
      </c>
      <c r="AC664" s="326"/>
      <c r="AD664" s="326"/>
      <c r="AE664" s="327"/>
      <c r="AF664" s="520"/>
      <c r="AG664" s="327"/>
      <c r="AH664" s="520"/>
      <c r="AI664" s="327"/>
      <c r="AJ664" s="536"/>
      <c r="AK664" s="327"/>
      <c r="AL664" s="556" t="s">
        <v>334</v>
      </c>
      <c r="AM664" s="327"/>
      <c r="AN664" s="553" t="s">
        <v>334</v>
      </c>
      <c r="AO664" s="327"/>
      <c r="AP664" s="554"/>
      <c r="AQ664" s="327"/>
      <c r="AR664" s="555"/>
      <c r="AS664" s="327"/>
      <c r="AT664" s="549"/>
      <c r="AU664" s="327"/>
      <c r="AV664" s="553" t="s">
        <v>334</v>
      </c>
      <c r="AW664" s="327"/>
      <c r="AX664" s="521"/>
      <c r="AY664" s="326"/>
      <c r="AZ664" s="327"/>
      <c r="BA664" s="536"/>
      <c r="BB664" s="327"/>
      <c r="BC664" s="22"/>
      <c r="BD664" s="551" t="s">
        <v>334</v>
      </c>
      <c r="BE664" s="327"/>
      <c r="BF664" s="508"/>
      <c r="BG664" s="326"/>
      <c r="BH664" s="326"/>
      <c r="BI664" s="327"/>
      <c r="BJ664" s="451" t="s">
        <v>303</v>
      </c>
      <c r="BK664" s="326"/>
      <c r="BL664" s="326"/>
      <c r="BM664" s="327"/>
      <c r="BN664" s="558" t="s">
        <v>303</v>
      </c>
      <c r="BO664" s="326"/>
      <c r="BP664" s="326"/>
      <c r="BQ664" s="326"/>
      <c r="BR664" s="326"/>
      <c r="BS664" s="326"/>
      <c r="BT664" s="326"/>
      <c r="BU664" s="326"/>
      <c r="BV664" s="327"/>
    </row>
    <row r="665" spans="1:74" ht="45" customHeight="1" x14ac:dyDescent="0.25">
      <c r="A665" s="10">
        <f t="shared" si="2"/>
        <v>651</v>
      </c>
      <c r="B665" s="559" t="s">
        <v>303</v>
      </c>
      <c r="C665" s="327"/>
      <c r="D665" s="560" t="s">
        <v>307</v>
      </c>
      <c r="E665" s="327"/>
      <c r="F665" s="537" t="s">
        <v>334</v>
      </c>
      <c r="G665" s="327"/>
      <c r="H665" s="566" t="s">
        <v>334</v>
      </c>
      <c r="I665" s="327"/>
      <c r="J665" s="567"/>
      <c r="K665" s="327"/>
      <c r="L665" s="567"/>
      <c r="M665" s="327"/>
      <c r="N665" s="20"/>
      <c r="O665" s="21"/>
      <c r="P665" s="524"/>
      <c r="Q665" s="327"/>
      <c r="R665" s="516"/>
      <c r="S665" s="327"/>
      <c r="T665" s="517"/>
      <c r="U665" s="327"/>
      <c r="V665" s="540"/>
      <c r="W665" s="327"/>
      <c r="X665" s="541" t="s">
        <v>303</v>
      </c>
      <c r="Y665" s="326"/>
      <c r="Z665" s="326"/>
      <c r="AA665" s="327"/>
      <c r="AB665" s="542" t="s">
        <v>303</v>
      </c>
      <c r="AC665" s="326"/>
      <c r="AD665" s="326"/>
      <c r="AE665" s="327"/>
      <c r="AF665" s="543"/>
      <c r="AG665" s="327"/>
      <c r="AH665" s="543"/>
      <c r="AI665" s="327"/>
      <c r="AJ665" s="536"/>
      <c r="AK665" s="327"/>
      <c r="AL665" s="537" t="s">
        <v>334</v>
      </c>
      <c r="AM665" s="327"/>
      <c r="AN665" s="546" t="s">
        <v>334</v>
      </c>
      <c r="AO665" s="327"/>
      <c r="AP665" s="547"/>
      <c r="AQ665" s="327"/>
      <c r="AR665" s="548"/>
      <c r="AS665" s="327"/>
      <c r="AT665" s="568"/>
      <c r="AU665" s="327"/>
      <c r="AV665" s="546" t="s">
        <v>334</v>
      </c>
      <c r="AW665" s="327"/>
      <c r="AX665" s="521"/>
      <c r="AY665" s="326"/>
      <c r="AZ665" s="327"/>
      <c r="BA665" s="550"/>
      <c r="BB665" s="327"/>
      <c r="BC665" s="25"/>
      <c r="BD665" s="544" t="s">
        <v>334</v>
      </c>
      <c r="BE665" s="327"/>
      <c r="BF665" s="545"/>
      <c r="BG665" s="326"/>
      <c r="BH665" s="326"/>
      <c r="BI665" s="327"/>
      <c r="BJ665" s="557" t="s">
        <v>303</v>
      </c>
      <c r="BK665" s="326"/>
      <c r="BL665" s="326"/>
      <c r="BM665" s="327"/>
      <c r="BN665" s="558" t="s">
        <v>303</v>
      </c>
      <c r="BO665" s="326"/>
      <c r="BP665" s="326"/>
      <c r="BQ665" s="326"/>
      <c r="BR665" s="326"/>
      <c r="BS665" s="326"/>
      <c r="BT665" s="326"/>
      <c r="BU665" s="326"/>
      <c r="BV665" s="327"/>
    </row>
    <row r="666" spans="1:74" ht="45" customHeight="1" x14ac:dyDescent="0.25">
      <c r="A666" s="10">
        <f t="shared" si="2"/>
        <v>652</v>
      </c>
      <c r="B666" s="564" t="s">
        <v>303</v>
      </c>
      <c r="C666" s="327"/>
      <c r="D666" s="565" t="s">
        <v>307</v>
      </c>
      <c r="E666" s="327"/>
      <c r="F666" s="537" t="s">
        <v>334</v>
      </c>
      <c r="G666" s="327"/>
      <c r="H666" s="561" t="s">
        <v>334</v>
      </c>
      <c r="I666" s="327"/>
      <c r="J666" s="562"/>
      <c r="K666" s="327"/>
      <c r="L666" s="562"/>
      <c r="M666" s="327"/>
      <c r="N666" s="23"/>
      <c r="O666" s="24"/>
      <c r="P666" s="563"/>
      <c r="Q666" s="327"/>
      <c r="R666" s="538"/>
      <c r="S666" s="327"/>
      <c r="T666" s="539"/>
      <c r="U666" s="327"/>
      <c r="V666" s="518"/>
      <c r="W666" s="327"/>
      <c r="X666" s="438" t="s">
        <v>303</v>
      </c>
      <c r="Y666" s="326"/>
      <c r="Z666" s="326"/>
      <c r="AA666" s="327"/>
      <c r="AB666" s="519" t="s">
        <v>303</v>
      </c>
      <c r="AC666" s="326"/>
      <c r="AD666" s="326"/>
      <c r="AE666" s="327"/>
      <c r="AF666" s="520"/>
      <c r="AG666" s="327"/>
      <c r="AH666" s="520"/>
      <c r="AI666" s="327"/>
      <c r="AJ666" s="536"/>
      <c r="AK666" s="327"/>
      <c r="AL666" s="556" t="s">
        <v>334</v>
      </c>
      <c r="AM666" s="327"/>
      <c r="AN666" s="553" t="s">
        <v>334</v>
      </c>
      <c r="AO666" s="327"/>
      <c r="AP666" s="554"/>
      <c r="AQ666" s="327"/>
      <c r="AR666" s="555"/>
      <c r="AS666" s="327"/>
      <c r="AT666" s="549"/>
      <c r="AU666" s="327"/>
      <c r="AV666" s="553" t="s">
        <v>334</v>
      </c>
      <c r="AW666" s="327"/>
      <c r="AX666" s="521"/>
      <c r="AY666" s="326"/>
      <c r="AZ666" s="327"/>
      <c r="BA666" s="536"/>
      <c r="BB666" s="327"/>
      <c r="BC666" s="22"/>
      <c r="BD666" s="551" t="s">
        <v>334</v>
      </c>
      <c r="BE666" s="327"/>
      <c r="BF666" s="552"/>
      <c r="BG666" s="326"/>
      <c r="BH666" s="326"/>
      <c r="BI666" s="327"/>
      <c r="BJ666" s="451" t="s">
        <v>303</v>
      </c>
      <c r="BK666" s="326"/>
      <c r="BL666" s="326"/>
      <c r="BM666" s="327"/>
      <c r="BN666" s="558" t="s">
        <v>303</v>
      </c>
      <c r="BO666" s="326"/>
      <c r="BP666" s="326"/>
      <c r="BQ666" s="326"/>
      <c r="BR666" s="326"/>
      <c r="BS666" s="326"/>
      <c r="BT666" s="326"/>
      <c r="BU666" s="326"/>
      <c r="BV666" s="327"/>
    </row>
    <row r="667" spans="1:74" ht="45" customHeight="1" x14ac:dyDescent="0.25">
      <c r="A667" s="10">
        <f t="shared" si="2"/>
        <v>653</v>
      </c>
      <c r="B667" s="559" t="s">
        <v>303</v>
      </c>
      <c r="C667" s="327"/>
      <c r="D667" s="560" t="s">
        <v>307</v>
      </c>
      <c r="E667" s="327"/>
      <c r="F667" s="537" t="s">
        <v>334</v>
      </c>
      <c r="G667" s="327"/>
      <c r="H667" s="566" t="s">
        <v>334</v>
      </c>
      <c r="I667" s="327"/>
      <c r="J667" s="567"/>
      <c r="K667" s="327"/>
      <c r="L667" s="567"/>
      <c r="M667" s="327"/>
      <c r="N667" s="20"/>
      <c r="O667" s="21"/>
      <c r="P667" s="524"/>
      <c r="Q667" s="327"/>
      <c r="R667" s="516"/>
      <c r="S667" s="327"/>
      <c r="T667" s="517"/>
      <c r="U667" s="327"/>
      <c r="V667" s="540"/>
      <c r="W667" s="327"/>
      <c r="X667" s="541" t="s">
        <v>303</v>
      </c>
      <c r="Y667" s="326"/>
      <c r="Z667" s="326"/>
      <c r="AA667" s="327"/>
      <c r="AB667" s="542" t="s">
        <v>303</v>
      </c>
      <c r="AC667" s="326"/>
      <c r="AD667" s="326"/>
      <c r="AE667" s="327"/>
      <c r="AF667" s="543"/>
      <c r="AG667" s="327"/>
      <c r="AH667" s="543"/>
      <c r="AI667" s="327"/>
      <c r="AJ667" s="536"/>
      <c r="AK667" s="327"/>
      <c r="AL667" s="537" t="s">
        <v>334</v>
      </c>
      <c r="AM667" s="327"/>
      <c r="AN667" s="546" t="s">
        <v>334</v>
      </c>
      <c r="AO667" s="327"/>
      <c r="AP667" s="547"/>
      <c r="AQ667" s="327"/>
      <c r="AR667" s="548"/>
      <c r="AS667" s="327"/>
      <c r="AT667" s="549"/>
      <c r="AU667" s="327"/>
      <c r="AV667" s="546" t="s">
        <v>334</v>
      </c>
      <c r="AW667" s="327"/>
      <c r="AX667" s="521"/>
      <c r="AY667" s="326"/>
      <c r="AZ667" s="327"/>
      <c r="BA667" s="550"/>
      <c r="BB667" s="327"/>
      <c r="BC667" s="25"/>
      <c r="BD667" s="544" t="s">
        <v>334</v>
      </c>
      <c r="BE667" s="327"/>
      <c r="BF667" s="545"/>
      <c r="BG667" s="326"/>
      <c r="BH667" s="326"/>
      <c r="BI667" s="327"/>
      <c r="BJ667" s="557" t="s">
        <v>303</v>
      </c>
      <c r="BK667" s="326"/>
      <c r="BL667" s="326"/>
      <c r="BM667" s="327"/>
      <c r="BN667" s="558" t="s">
        <v>303</v>
      </c>
      <c r="BO667" s="326"/>
      <c r="BP667" s="326"/>
      <c r="BQ667" s="326"/>
      <c r="BR667" s="326"/>
      <c r="BS667" s="326"/>
      <c r="BT667" s="326"/>
      <c r="BU667" s="326"/>
      <c r="BV667" s="327"/>
    </row>
    <row r="668" spans="1:74" ht="45" customHeight="1" x14ac:dyDescent="0.25">
      <c r="A668" s="10">
        <f t="shared" si="2"/>
        <v>654</v>
      </c>
      <c r="B668" s="564" t="s">
        <v>303</v>
      </c>
      <c r="C668" s="327"/>
      <c r="D668" s="565" t="s">
        <v>307</v>
      </c>
      <c r="E668" s="327"/>
      <c r="F668" s="537" t="s">
        <v>334</v>
      </c>
      <c r="G668" s="327"/>
      <c r="H668" s="561" t="s">
        <v>334</v>
      </c>
      <c r="I668" s="327"/>
      <c r="J668" s="562"/>
      <c r="K668" s="327"/>
      <c r="L668" s="562"/>
      <c r="M668" s="327"/>
      <c r="N668" s="23"/>
      <c r="O668" s="24"/>
      <c r="P668" s="563"/>
      <c r="Q668" s="327"/>
      <c r="R668" s="538"/>
      <c r="S668" s="327"/>
      <c r="T668" s="539"/>
      <c r="U668" s="327"/>
      <c r="V668" s="518"/>
      <c r="W668" s="327"/>
      <c r="X668" s="438" t="s">
        <v>303</v>
      </c>
      <c r="Y668" s="326"/>
      <c r="Z668" s="326"/>
      <c r="AA668" s="327"/>
      <c r="AB668" s="519" t="s">
        <v>303</v>
      </c>
      <c r="AC668" s="326"/>
      <c r="AD668" s="326"/>
      <c r="AE668" s="327"/>
      <c r="AF668" s="520"/>
      <c r="AG668" s="327"/>
      <c r="AH668" s="520"/>
      <c r="AI668" s="327"/>
      <c r="AJ668" s="536"/>
      <c r="AK668" s="327"/>
      <c r="AL668" s="556" t="s">
        <v>334</v>
      </c>
      <c r="AM668" s="327"/>
      <c r="AN668" s="553" t="s">
        <v>334</v>
      </c>
      <c r="AO668" s="327"/>
      <c r="AP668" s="554"/>
      <c r="AQ668" s="327"/>
      <c r="AR668" s="555"/>
      <c r="AS668" s="327"/>
      <c r="AT668" s="549"/>
      <c r="AU668" s="327"/>
      <c r="AV668" s="553" t="s">
        <v>334</v>
      </c>
      <c r="AW668" s="327"/>
      <c r="AX668" s="521"/>
      <c r="AY668" s="326"/>
      <c r="AZ668" s="327"/>
      <c r="BA668" s="536"/>
      <c r="BB668" s="327"/>
      <c r="BC668" s="22"/>
      <c r="BD668" s="551" t="s">
        <v>334</v>
      </c>
      <c r="BE668" s="327"/>
      <c r="BF668" s="552"/>
      <c r="BG668" s="326"/>
      <c r="BH668" s="326"/>
      <c r="BI668" s="327"/>
      <c r="BJ668" s="451" t="s">
        <v>303</v>
      </c>
      <c r="BK668" s="326"/>
      <c r="BL668" s="326"/>
      <c r="BM668" s="327"/>
      <c r="BN668" s="558" t="s">
        <v>303</v>
      </c>
      <c r="BO668" s="326"/>
      <c r="BP668" s="326"/>
      <c r="BQ668" s="326"/>
      <c r="BR668" s="326"/>
      <c r="BS668" s="326"/>
      <c r="BT668" s="326"/>
      <c r="BU668" s="326"/>
      <c r="BV668" s="327"/>
    </row>
    <row r="669" spans="1:74" ht="45" customHeight="1" x14ac:dyDescent="0.25">
      <c r="A669" s="10">
        <f t="shared" si="2"/>
        <v>655</v>
      </c>
      <c r="B669" s="559" t="s">
        <v>303</v>
      </c>
      <c r="C669" s="327"/>
      <c r="D669" s="560" t="s">
        <v>307</v>
      </c>
      <c r="E669" s="327"/>
      <c r="F669" s="537" t="s">
        <v>334</v>
      </c>
      <c r="G669" s="327"/>
      <c r="H669" s="566" t="s">
        <v>334</v>
      </c>
      <c r="I669" s="327"/>
      <c r="J669" s="567"/>
      <c r="K669" s="327"/>
      <c r="L669" s="567"/>
      <c r="M669" s="327"/>
      <c r="N669" s="20"/>
      <c r="O669" s="21"/>
      <c r="P669" s="524"/>
      <c r="Q669" s="327"/>
      <c r="R669" s="516"/>
      <c r="S669" s="327"/>
      <c r="T669" s="517"/>
      <c r="U669" s="327"/>
      <c r="V669" s="540"/>
      <c r="W669" s="327"/>
      <c r="X669" s="541" t="s">
        <v>303</v>
      </c>
      <c r="Y669" s="326"/>
      <c r="Z669" s="326"/>
      <c r="AA669" s="327"/>
      <c r="AB669" s="542" t="s">
        <v>303</v>
      </c>
      <c r="AC669" s="326"/>
      <c r="AD669" s="326"/>
      <c r="AE669" s="327"/>
      <c r="AF669" s="543"/>
      <c r="AG669" s="327"/>
      <c r="AH669" s="543"/>
      <c r="AI669" s="327"/>
      <c r="AJ669" s="536"/>
      <c r="AK669" s="327"/>
      <c r="AL669" s="537" t="s">
        <v>334</v>
      </c>
      <c r="AM669" s="327"/>
      <c r="AN669" s="546" t="s">
        <v>334</v>
      </c>
      <c r="AO669" s="327"/>
      <c r="AP669" s="547"/>
      <c r="AQ669" s="327"/>
      <c r="AR669" s="548"/>
      <c r="AS669" s="327"/>
      <c r="AT669" s="549"/>
      <c r="AU669" s="327"/>
      <c r="AV669" s="546" t="s">
        <v>334</v>
      </c>
      <c r="AW669" s="327"/>
      <c r="AX669" s="521"/>
      <c r="AY669" s="326"/>
      <c r="AZ669" s="327"/>
      <c r="BA669" s="550"/>
      <c r="BB669" s="327"/>
      <c r="BC669" s="25"/>
      <c r="BD669" s="544" t="s">
        <v>334</v>
      </c>
      <c r="BE669" s="327"/>
      <c r="BF669" s="545"/>
      <c r="BG669" s="326"/>
      <c r="BH669" s="326"/>
      <c r="BI669" s="327"/>
      <c r="BJ669" s="557" t="s">
        <v>303</v>
      </c>
      <c r="BK669" s="326"/>
      <c r="BL669" s="326"/>
      <c r="BM669" s="327"/>
      <c r="BN669" s="558" t="s">
        <v>303</v>
      </c>
      <c r="BO669" s="326"/>
      <c r="BP669" s="326"/>
      <c r="BQ669" s="326"/>
      <c r="BR669" s="326"/>
      <c r="BS669" s="326"/>
      <c r="BT669" s="326"/>
      <c r="BU669" s="326"/>
      <c r="BV669" s="327"/>
    </row>
    <row r="670" spans="1:74" ht="45" customHeight="1" x14ac:dyDescent="0.25">
      <c r="A670" s="10">
        <f t="shared" si="2"/>
        <v>656</v>
      </c>
      <c r="B670" s="564" t="s">
        <v>303</v>
      </c>
      <c r="C670" s="327"/>
      <c r="D670" s="565" t="s">
        <v>307</v>
      </c>
      <c r="E670" s="327"/>
      <c r="F670" s="537" t="s">
        <v>334</v>
      </c>
      <c r="G670" s="327"/>
      <c r="H670" s="561" t="s">
        <v>334</v>
      </c>
      <c r="I670" s="327"/>
      <c r="J670" s="562"/>
      <c r="K670" s="327"/>
      <c r="L670" s="562"/>
      <c r="M670" s="327"/>
      <c r="N670" s="23"/>
      <c r="O670" s="24"/>
      <c r="P670" s="563"/>
      <c r="Q670" s="327"/>
      <c r="R670" s="538"/>
      <c r="S670" s="327"/>
      <c r="T670" s="539"/>
      <c r="U670" s="327"/>
      <c r="V670" s="518"/>
      <c r="W670" s="327"/>
      <c r="X670" s="438" t="s">
        <v>303</v>
      </c>
      <c r="Y670" s="326"/>
      <c r="Z670" s="326"/>
      <c r="AA670" s="327"/>
      <c r="AB670" s="519" t="s">
        <v>303</v>
      </c>
      <c r="AC670" s="326"/>
      <c r="AD670" s="326"/>
      <c r="AE670" s="327"/>
      <c r="AF670" s="520"/>
      <c r="AG670" s="327"/>
      <c r="AH670" s="520"/>
      <c r="AI670" s="327"/>
      <c r="AJ670" s="536"/>
      <c r="AK670" s="327"/>
      <c r="AL670" s="556" t="s">
        <v>334</v>
      </c>
      <c r="AM670" s="327"/>
      <c r="AN670" s="553" t="s">
        <v>334</v>
      </c>
      <c r="AO670" s="327"/>
      <c r="AP670" s="554"/>
      <c r="AQ670" s="327"/>
      <c r="AR670" s="555"/>
      <c r="AS670" s="327"/>
      <c r="AT670" s="549"/>
      <c r="AU670" s="327"/>
      <c r="AV670" s="553" t="s">
        <v>334</v>
      </c>
      <c r="AW670" s="327"/>
      <c r="AX670" s="521"/>
      <c r="AY670" s="326"/>
      <c r="AZ670" s="327"/>
      <c r="BA670" s="536"/>
      <c r="BB670" s="327"/>
      <c r="BC670" s="22"/>
      <c r="BD670" s="551" t="s">
        <v>334</v>
      </c>
      <c r="BE670" s="327"/>
      <c r="BF670" s="552"/>
      <c r="BG670" s="326"/>
      <c r="BH670" s="326"/>
      <c r="BI670" s="327"/>
      <c r="BJ670" s="451" t="s">
        <v>303</v>
      </c>
      <c r="BK670" s="326"/>
      <c r="BL670" s="326"/>
      <c r="BM670" s="327"/>
      <c r="BN670" s="558" t="s">
        <v>303</v>
      </c>
      <c r="BO670" s="326"/>
      <c r="BP670" s="326"/>
      <c r="BQ670" s="326"/>
      <c r="BR670" s="326"/>
      <c r="BS670" s="326"/>
      <c r="BT670" s="326"/>
      <c r="BU670" s="326"/>
      <c r="BV670" s="327"/>
    </row>
    <row r="671" spans="1:74" ht="45" customHeight="1" x14ac:dyDescent="0.25">
      <c r="A671" s="10">
        <f t="shared" si="2"/>
        <v>657</v>
      </c>
      <c r="B671" s="559" t="s">
        <v>303</v>
      </c>
      <c r="C671" s="327"/>
      <c r="D671" s="560" t="s">
        <v>307</v>
      </c>
      <c r="E671" s="327"/>
      <c r="F671" s="537" t="s">
        <v>334</v>
      </c>
      <c r="G671" s="327"/>
      <c r="H671" s="566" t="s">
        <v>334</v>
      </c>
      <c r="I671" s="327"/>
      <c r="J671" s="567"/>
      <c r="K671" s="327"/>
      <c r="L671" s="567"/>
      <c r="M671" s="327"/>
      <c r="N671" s="20"/>
      <c r="O671" s="21"/>
      <c r="P671" s="524"/>
      <c r="Q671" s="327"/>
      <c r="R671" s="516"/>
      <c r="S671" s="327"/>
      <c r="T671" s="517"/>
      <c r="U671" s="327"/>
      <c r="V671" s="540"/>
      <c r="W671" s="327"/>
      <c r="X671" s="541" t="s">
        <v>303</v>
      </c>
      <c r="Y671" s="326"/>
      <c r="Z671" s="326"/>
      <c r="AA671" s="327"/>
      <c r="AB671" s="542" t="s">
        <v>303</v>
      </c>
      <c r="AC671" s="326"/>
      <c r="AD671" s="326"/>
      <c r="AE671" s="327"/>
      <c r="AF671" s="543"/>
      <c r="AG671" s="327"/>
      <c r="AH671" s="543"/>
      <c r="AI671" s="327"/>
      <c r="AJ671" s="536"/>
      <c r="AK671" s="327"/>
      <c r="AL671" s="537" t="s">
        <v>334</v>
      </c>
      <c r="AM671" s="327"/>
      <c r="AN671" s="546" t="s">
        <v>334</v>
      </c>
      <c r="AO671" s="327"/>
      <c r="AP671" s="547"/>
      <c r="AQ671" s="327"/>
      <c r="AR671" s="548"/>
      <c r="AS671" s="327"/>
      <c r="AT671" s="568"/>
      <c r="AU671" s="327"/>
      <c r="AV671" s="546" t="s">
        <v>334</v>
      </c>
      <c r="AW671" s="327"/>
      <c r="AX671" s="521"/>
      <c r="AY671" s="326"/>
      <c r="AZ671" s="327"/>
      <c r="BA671" s="550"/>
      <c r="BB671" s="327"/>
      <c r="BC671" s="25"/>
      <c r="BD671" s="544" t="s">
        <v>334</v>
      </c>
      <c r="BE671" s="327"/>
      <c r="BF671" s="545"/>
      <c r="BG671" s="326"/>
      <c r="BH671" s="326"/>
      <c r="BI671" s="327"/>
      <c r="BJ671" s="557" t="s">
        <v>303</v>
      </c>
      <c r="BK671" s="326"/>
      <c r="BL671" s="326"/>
      <c r="BM671" s="327"/>
      <c r="BN671" s="558" t="s">
        <v>303</v>
      </c>
      <c r="BO671" s="326"/>
      <c r="BP671" s="326"/>
      <c r="BQ671" s="326"/>
      <c r="BR671" s="326"/>
      <c r="BS671" s="326"/>
      <c r="BT671" s="326"/>
      <c r="BU671" s="326"/>
      <c r="BV671" s="327"/>
    </row>
    <row r="672" spans="1:74" ht="45" customHeight="1" x14ac:dyDescent="0.25">
      <c r="A672" s="10">
        <f t="shared" si="2"/>
        <v>658</v>
      </c>
      <c r="B672" s="564" t="s">
        <v>303</v>
      </c>
      <c r="C672" s="327"/>
      <c r="D672" s="565" t="s">
        <v>307</v>
      </c>
      <c r="E672" s="327"/>
      <c r="F672" s="537" t="s">
        <v>334</v>
      </c>
      <c r="G672" s="327"/>
      <c r="H672" s="561" t="s">
        <v>334</v>
      </c>
      <c r="I672" s="327"/>
      <c r="J672" s="562"/>
      <c r="K672" s="327"/>
      <c r="L672" s="562"/>
      <c r="M672" s="327"/>
      <c r="N672" s="23"/>
      <c r="O672" s="24"/>
      <c r="P672" s="563"/>
      <c r="Q672" s="327"/>
      <c r="R672" s="538"/>
      <c r="S672" s="327"/>
      <c r="T672" s="539"/>
      <c r="U672" s="327"/>
      <c r="V672" s="518"/>
      <c r="W672" s="327"/>
      <c r="X672" s="438" t="s">
        <v>303</v>
      </c>
      <c r="Y672" s="326"/>
      <c r="Z672" s="326"/>
      <c r="AA672" s="327"/>
      <c r="AB672" s="519" t="s">
        <v>303</v>
      </c>
      <c r="AC672" s="326"/>
      <c r="AD672" s="326"/>
      <c r="AE672" s="327"/>
      <c r="AF672" s="520"/>
      <c r="AG672" s="327"/>
      <c r="AH672" s="520"/>
      <c r="AI672" s="327"/>
      <c r="AJ672" s="536"/>
      <c r="AK672" s="327"/>
      <c r="AL672" s="556" t="s">
        <v>334</v>
      </c>
      <c r="AM672" s="327"/>
      <c r="AN672" s="553" t="s">
        <v>334</v>
      </c>
      <c r="AO672" s="327"/>
      <c r="AP672" s="554"/>
      <c r="AQ672" s="327"/>
      <c r="AR672" s="555"/>
      <c r="AS672" s="327"/>
      <c r="AT672" s="549"/>
      <c r="AU672" s="327"/>
      <c r="AV672" s="553" t="s">
        <v>334</v>
      </c>
      <c r="AW672" s="327"/>
      <c r="AX672" s="521"/>
      <c r="AY672" s="326"/>
      <c r="AZ672" s="327"/>
      <c r="BA672" s="536"/>
      <c r="BB672" s="327"/>
      <c r="BC672" s="22"/>
      <c r="BD672" s="551" t="s">
        <v>334</v>
      </c>
      <c r="BE672" s="327"/>
      <c r="BF672" s="508"/>
      <c r="BG672" s="326"/>
      <c r="BH672" s="326"/>
      <c r="BI672" s="327"/>
      <c r="BJ672" s="451" t="s">
        <v>303</v>
      </c>
      <c r="BK672" s="326"/>
      <c r="BL672" s="326"/>
      <c r="BM672" s="327"/>
      <c r="BN672" s="558" t="s">
        <v>303</v>
      </c>
      <c r="BO672" s="326"/>
      <c r="BP672" s="326"/>
      <c r="BQ672" s="326"/>
      <c r="BR672" s="326"/>
      <c r="BS672" s="326"/>
      <c r="BT672" s="326"/>
      <c r="BU672" s="326"/>
      <c r="BV672" s="327"/>
    </row>
    <row r="673" spans="1:74" ht="45" customHeight="1" x14ac:dyDescent="0.25">
      <c r="A673" s="10">
        <f t="shared" si="2"/>
        <v>659</v>
      </c>
      <c r="B673" s="559" t="s">
        <v>303</v>
      </c>
      <c r="C673" s="327"/>
      <c r="D673" s="560" t="s">
        <v>307</v>
      </c>
      <c r="E673" s="327"/>
      <c r="F673" s="537" t="s">
        <v>334</v>
      </c>
      <c r="G673" s="327"/>
      <c r="H673" s="566" t="s">
        <v>334</v>
      </c>
      <c r="I673" s="327"/>
      <c r="J673" s="567"/>
      <c r="K673" s="327"/>
      <c r="L673" s="567"/>
      <c r="M673" s="327"/>
      <c r="N673" s="20"/>
      <c r="O673" s="21"/>
      <c r="P673" s="524"/>
      <c r="Q673" s="327"/>
      <c r="R673" s="516"/>
      <c r="S673" s="327"/>
      <c r="T673" s="517"/>
      <c r="U673" s="327"/>
      <c r="V673" s="540"/>
      <c r="W673" s="327"/>
      <c r="X673" s="541" t="s">
        <v>303</v>
      </c>
      <c r="Y673" s="326"/>
      <c r="Z673" s="326"/>
      <c r="AA673" s="327"/>
      <c r="AB673" s="542" t="s">
        <v>303</v>
      </c>
      <c r="AC673" s="326"/>
      <c r="AD673" s="326"/>
      <c r="AE673" s="327"/>
      <c r="AF673" s="543"/>
      <c r="AG673" s="327"/>
      <c r="AH673" s="543"/>
      <c r="AI673" s="327"/>
      <c r="AJ673" s="536"/>
      <c r="AK673" s="327"/>
      <c r="AL673" s="537" t="s">
        <v>334</v>
      </c>
      <c r="AM673" s="327"/>
      <c r="AN673" s="546" t="s">
        <v>334</v>
      </c>
      <c r="AO673" s="327"/>
      <c r="AP673" s="547"/>
      <c r="AQ673" s="327"/>
      <c r="AR673" s="548"/>
      <c r="AS673" s="327"/>
      <c r="AT673" s="568"/>
      <c r="AU673" s="327"/>
      <c r="AV673" s="546" t="s">
        <v>334</v>
      </c>
      <c r="AW673" s="327"/>
      <c r="AX673" s="521"/>
      <c r="AY673" s="326"/>
      <c r="AZ673" s="327"/>
      <c r="BA673" s="550"/>
      <c r="BB673" s="327"/>
      <c r="BC673" s="25"/>
      <c r="BD673" s="544" t="s">
        <v>334</v>
      </c>
      <c r="BE673" s="327"/>
      <c r="BF673" s="545"/>
      <c r="BG673" s="326"/>
      <c r="BH673" s="326"/>
      <c r="BI673" s="327"/>
      <c r="BJ673" s="557" t="s">
        <v>303</v>
      </c>
      <c r="BK673" s="326"/>
      <c r="BL673" s="326"/>
      <c r="BM673" s="327"/>
      <c r="BN673" s="558" t="s">
        <v>303</v>
      </c>
      <c r="BO673" s="326"/>
      <c r="BP673" s="326"/>
      <c r="BQ673" s="326"/>
      <c r="BR673" s="326"/>
      <c r="BS673" s="326"/>
      <c r="BT673" s="326"/>
      <c r="BU673" s="326"/>
      <c r="BV673" s="327"/>
    </row>
    <row r="674" spans="1:74" ht="45" customHeight="1" x14ac:dyDescent="0.25">
      <c r="A674" s="10">
        <f t="shared" si="2"/>
        <v>660</v>
      </c>
      <c r="B674" s="564" t="s">
        <v>303</v>
      </c>
      <c r="C674" s="327"/>
      <c r="D674" s="565" t="s">
        <v>307</v>
      </c>
      <c r="E674" s="327"/>
      <c r="F674" s="537" t="s">
        <v>334</v>
      </c>
      <c r="G674" s="327"/>
      <c r="H674" s="561" t="s">
        <v>334</v>
      </c>
      <c r="I674" s="327"/>
      <c r="J674" s="562"/>
      <c r="K674" s="327"/>
      <c r="L674" s="562"/>
      <c r="M674" s="327"/>
      <c r="N674" s="23"/>
      <c r="O674" s="24"/>
      <c r="P674" s="563"/>
      <c r="Q674" s="327"/>
      <c r="R674" s="538"/>
      <c r="S674" s="327"/>
      <c r="T674" s="539"/>
      <c r="U674" s="327"/>
      <c r="V674" s="518"/>
      <c r="W674" s="327"/>
      <c r="X674" s="438" t="s">
        <v>303</v>
      </c>
      <c r="Y674" s="326"/>
      <c r="Z674" s="326"/>
      <c r="AA674" s="327"/>
      <c r="AB674" s="519" t="s">
        <v>303</v>
      </c>
      <c r="AC674" s="326"/>
      <c r="AD674" s="326"/>
      <c r="AE674" s="327"/>
      <c r="AF674" s="520"/>
      <c r="AG674" s="327"/>
      <c r="AH674" s="520"/>
      <c r="AI674" s="327"/>
      <c r="AJ674" s="536"/>
      <c r="AK674" s="327"/>
      <c r="AL674" s="556" t="s">
        <v>334</v>
      </c>
      <c r="AM674" s="327"/>
      <c r="AN674" s="553" t="s">
        <v>334</v>
      </c>
      <c r="AO674" s="327"/>
      <c r="AP674" s="554"/>
      <c r="AQ674" s="327"/>
      <c r="AR674" s="555"/>
      <c r="AS674" s="327"/>
      <c r="AT674" s="549"/>
      <c r="AU674" s="327"/>
      <c r="AV674" s="553" t="s">
        <v>334</v>
      </c>
      <c r="AW674" s="327"/>
      <c r="AX674" s="521"/>
      <c r="AY674" s="326"/>
      <c r="AZ674" s="327"/>
      <c r="BA674" s="536"/>
      <c r="BB674" s="327"/>
      <c r="BC674" s="22"/>
      <c r="BD674" s="551" t="s">
        <v>334</v>
      </c>
      <c r="BE674" s="327"/>
      <c r="BF674" s="552"/>
      <c r="BG674" s="326"/>
      <c r="BH674" s="326"/>
      <c r="BI674" s="327"/>
      <c r="BJ674" s="451" t="s">
        <v>303</v>
      </c>
      <c r="BK674" s="326"/>
      <c r="BL674" s="326"/>
      <c r="BM674" s="327"/>
      <c r="BN674" s="558" t="s">
        <v>303</v>
      </c>
      <c r="BO674" s="326"/>
      <c r="BP674" s="326"/>
      <c r="BQ674" s="326"/>
      <c r="BR674" s="326"/>
      <c r="BS674" s="326"/>
      <c r="BT674" s="326"/>
      <c r="BU674" s="326"/>
      <c r="BV674" s="327"/>
    </row>
    <row r="675" spans="1:74" ht="45" customHeight="1" x14ac:dyDescent="0.25">
      <c r="A675" s="10">
        <f t="shared" si="2"/>
        <v>661</v>
      </c>
      <c r="B675" s="559" t="s">
        <v>303</v>
      </c>
      <c r="C675" s="327"/>
      <c r="D675" s="560" t="s">
        <v>307</v>
      </c>
      <c r="E675" s="327"/>
      <c r="F675" s="537" t="s">
        <v>334</v>
      </c>
      <c r="G675" s="327"/>
      <c r="H675" s="566" t="s">
        <v>334</v>
      </c>
      <c r="I675" s="327"/>
      <c r="J675" s="567"/>
      <c r="K675" s="327"/>
      <c r="L675" s="567"/>
      <c r="M675" s="327"/>
      <c r="N675" s="20"/>
      <c r="O675" s="21"/>
      <c r="P675" s="524"/>
      <c r="Q675" s="327"/>
      <c r="R675" s="516"/>
      <c r="S675" s="327"/>
      <c r="T675" s="517"/>
      <c r="U675" s="327"/>
      <c r="V675" s="540"/>
      <c r="W675" s="327"/>
      <c r="X675" s="541" t="s">
        <v>303</v>
      </c>
      <c r="Y675" s="326"/>
      <c r="Z675" s="326"/>
      <c r="AA675" s="327"/>
      <c r="AB675" s="542" t="s">
        <v>303</v>
      </c>
      <c r="AC675" s="326"/>
      <c r="AD675" s="326"/>
      <c r="AE675" s="327"/>
      <c r="AF675" s="543"/>
      <c r="AG675" s="327"/>
      <c r="AH675" s="543"/>
      <c r="AI675" s="327"/>
      <c r="AJ675" s="536"/>
      <c r="AK675" s="327"/>
      <c r="AL675" s="537" t="s">
        <v>334</v>
      </c>
      <c r="AM675" s="327"/>
      <c r="AN675" s="546" t="s">
        <v>334</v>
      </c>
      <c r="AO675" s="327"/>
      <c r="AP675" s="547"/>
      <c r="AQ675" s="327"/>
      <c r="AR675" s="548"/>
      <c r="AS675" s="327"/>
      <c r="AT675" s="568"/>
      <c r="AU675" s="327"/>
      <c r="AV675" s="546" t="s">
        <v>334</v>
      </c>
      <c r="AW675" s="327"/>
      <c r="AX675" s="521"/>
      <c r="AY675" s="326"/>
      <c r="AZ675" s="327"/>
      <c r="BA675" s="550"/>
      <c r="BB675" s="327"/>
      <c r="BC675" s="25"/>
      <c r="BD675" s="544" t="s">
        <v>334</v>
      </c>
      <c r="BE675" s="327"/>
      <c r="BF675" s="545"/>
      <c r="BG675" s="326"/>
      <c r="BH675" s="326"/>
      <c r="BI675" s="327"/>
      <c r="BJ675" s="557" t="s">
        <v>303</v>
      </c>
      <c r="BK675" s="326"/>
      <c r="BL675" s="326"/>
      <c r="BM675" s="327"/>
      <c r="BN675" s="558" t="s">
        <v>303</v>
      </c>
      <c r="BO675" s="326"/>
      <c r="BP675" s="326"/>
      <c r="BQ675" s="326"/>
      <c r="BR675" s="326"/>
      <c r="BS675" s="326"/>
      <c r="BT675" s="326"/>
      <c r="BU675" s="326"/>
      <c r="BV675" s="327"/>
    </row>
    <row r="676" spans="1:74" ht="45" customHeight="1" x14ac:dyDescent="0.25">
      <c r="A676" s="10">
        <f t="shared" si="2"/>
        <v>662</v>
      </c>
      <c r="B676" s="564" t="s">
        <v>303</v>
      </c>
      <c r="C676" s="327"/>
      <c r="D676" s="565" t="s">
        <v>307</v>
      </c>
      <c r="E676" s="327"/>
      <c r="F676" s="537" t="s">
        <v>334</v>
      </c>
      <c r="G676" s="327"/>
      <c r="H676" s="561" t="s">
        <v>334</v>
      </c>
      <c r="I676" s="327"/>
      <c r="J676" s="562"/>
      <c r="K676" s="327"/>
      <c r="L676" s="562"/>
      <c r="M676" s="327"/>
      <c r="N676" s="20"/>
      <c r="O676" s="21"/>
      <c r="P676" s="524"/>
      <c r="Q676" s="327"/>
      <c r="R676" s="516"/>
      <c r="S676" s="327"/>
      <c r="T676" s="517"/>
      <c r="U676" s="327"/>
      <c r="V676" s="518"/>
      <c r="W676" s="327"/>
      <c r="X676" s="438" t="s">
        <v>303</v>
      </c>
      <c r="Y676" s="326"/>
      <c r="Z676" s="326"/>
      <c r="AA676" s="327"/>
      <c r="AB676" s="519" t="s">
        <v>303</v>
      </c>
      <c r="AC676" s="326"/>
      <c r="AD676" s="326"/>
      <c r="AE676" s="327"/>
      <c r="AF676" s="520"/>
      <c r="AG676" s="327"/>
      <c r="AH676" s="520"/>
      <c r="AI676" s="327"/>
      <c r="AJ676" s="536"/>
      <c r="AK676" s="327"/>
      <c r="AL676" s="556" t="s">
        <v>334</v>
      </c>
      <c r="AM676" s="327"/>
      <c r="AN676" s="553" t="s">
        <v>334</v>
      </c>
      <c r="AO676" s="327"/>
      <c r="AP676" s="554"/>
      <c r="AQ676" s="327"/>
      <c r="AR676" s="555"/>
      <c r="AS676" s="327"/>
      <c r="AT676" s="549"/>
      <c r="AU676" s="327"/>
      <c r="AV676" s="553" t="s">
        <v>334</v>
      </c>
      <c r="AW676" s="327"/>
      <c r="AX676" s="521"/>
      <c r="AY676" s="326"/>
      <c r="AZ676" s="327"/>
      <c r="BA676" s="536"/>
      <c r="BB676" s="327"/>
      <c r="BC676" s="22"/>
      <c r="BD676" s="551" t="s">
        <v>334</v>
      </c>
      <c r="BE676" s="327"/>
      <c r="BF676" s="552"/>
      <c r="BG676" s="326"/>
      <c r="BH676" s="326"/>
      <c r="BI676" s="327"/>
      <c r="BJ676" s="451" t="s">
        <v>303</v>
      </c>
      <c r="BK676" s="326"/>
      <c r="BL676" s="326"/>
      <c r="BM676" s="327"/>
      <c r="BN676" s="558" t="s">
        <v>303</v>
      </c>
      <c r="BO676" s="326"/>
      <c r="BP676" s="326"/>
      <c r="BQ676" s="326"/>
      <c r="BR676" s="326"/>
      <c r="BS676" s="326"/>
      <c r="BT676" s="326"/>
      <c r="BU676" s="326"/>
      <c r="BV676" s="327"/>
    </row>
    <row r="677" spans="1:74" ht="45" customHeight="1" x14ac:dyDescent="0.25">
      <c r="A677" s="10">
        <f t="shared" si="2"/>
        <v>663</v>
      </c>
      <c r="B677" s="559" t="s">
        <v>303</v>
      </c>
      <c r="C677" s="327"/>
      <c r="D677" s="560" t="s">
        <v>307</v>
      </c>
      <c r="E677" s="327"/>
      <c r="F677" s="537" t="s">
        <v>334</v>
      </c>
      <c r="G677" s="327"/>
      <c r="H677" s="566" t="s">
        <v>334</v>
      </c>
      <c r="I677" s="327"/>
      <c r="J677" s="567"/>
      <c r="K677" s="327"/>
      <c r="L677" s="567"/>
      <c r="M677" s="327"/>
      <c r="N677" s="23"/>
      <c r="O677" s="24"/>
      <c r="P677" s="563"/>
      <c r="Q677" s="327"/>
      <c r="R677" s="538"/>
      <c r="S677" s="327"/>
      <c r="T677" s="539"/>
      <c r="U677" s="327"/>
      <c r="V677" s="540"/>
      <c r="W677" s="327"/>
      <c r="X677" s="541" t="s">
        <v>303</v>
      </c>
      <c r="Y677" s="326"/>
      <c r="Z677" s="326"/>
      <c r="AA677" s="327"/>
      <c r="AB677" s="542" t="s">
        <v>303</v>
      </c>
      <c r="AC677" s="326"/>
      <c r="AD677" s="326"/>
      <c r="AE677" s="327"/>
      <c r="AF677" s="543"/>
      <c r="AG677" s="327"/>
      <c r="AH677" s="543"/>
      <c r="AI677" s="327"/>
      <c r="AJ677" s="536"/>
      <c r="AK677" s="327"/>
      <c r="AL677" s="537" t="s">
        <v>334</v>
      </c>
      <c r="AM677" s="327"/>
      <c r="AN677" s="546" t="s">
        <v>334</v>
      </c>
      <c r="AO677" s="327"/>
      <c r="AP677" s="547"/>
      <c r="AQ677" s="327"/>
      <c r="AR677" s="548"/>
      <c r="AS677" s="327"/>
      <c r="AT677" s="568"/>
      <c r="AU677" s="327"/>
      <c r="AV677" s="546" t="s">
        <v>334</v>
      </c>
      <c r="AW677" s="327"/>
      <c r="AX677" s="521"/>
      <c r="AY677" s="326"/>
      <c r="AZ677" s="327"/>
      <c r="BA677" s="550"/>
      <c r="BB677" s="327"/>
      <c r="BC677" s="25"/>
      <c r="BD677" s="544" t="s">
        <v>334</v>
      </c>
      <c r="BE677" s="327"/>
      <c r="BF677" s="545"/>
      <c r="BG677" s="326"/>
      <c r="BH677" s="326"/>
      <c r="BI677" s="327"/>
      <c r="BJ677" s="557" t="s">
        <v>303</v>
      </c>
      <c r="BK677" s="326"/>
      <c r="BL677" s="326"/>
      <c r="BM677" s="327"/>
      <c r="BN677" s="558" t="s">
        <v>303</v>
      </c>
      <c r="BO677" s="326"/>
      <c r="BP677" s="326"/>
      <c r="BQ677" s="326"/>
      <c r="BR677" s="326"/>
      <c r="BS677" s="326"/>
      <c r="BT677" s="326"/>
      <c r="BU677" s="326"/>
      <c r="BV677" s="327"/>
    </row>
    <row r="678" spans="1:74" ht="45" customHeight="1" x14ac:dyDescent="0.25">
      <c r="A678" s="10">
        <f t="shared" si="2"/>
        <v>664</v>
      </c>
      <c r="B678" s="564" t="s">
        <v>303</v>
      </c>
      <c r="C678" s="327"/>
      <c r="D678" s="565" t="s">
        <v>307</v>
      </c>
      <c r="E678" s="327"/>
      <c r="F678" s="537" t="s">
        <v>334</v>
      </c>
      <c r="G678" s="327"/>
      <c r="H678" s="561" t="s">
        <v>334</v>
      </c>
      <c r="I678" s="327"/>
      <c r="J678" s="562"/>
      <c r="K678" s="327"/>
      <c r="L678" s="562"/>
      <c r="M678" s="327"/>
      <c r="N678" s="20"/>
      <c r="O678" s="21"/>
      <c r="P678" s="524"/>
      <c r="Q678" s="327"/>
      <c r="R678" s="516"/>
      <c r="S678" s="327"/>
      <c r="T678" s="517"/>
      <c r="U678" s="327"/>
      <c r="V678" s="518"/>
      <c r="W678" s="327"/>
      <c r="X678" s="438" t="s">
        <v>303</v>
      </c>
      <c r="Y678" s="326"/>
      <c r="Z678" s="326"/>
      <c r="AA678" s="327"/>
      <c r="AB678" s="519" t="s">
        <v>303</v>
      </c>
      <c r="AC678" s="326"/>
      <c r="AD678" s="326"/>
      <c r="AE678" s="327"/>
      <c r="AF678" s="520"/>
      <c r="AG678" s="327"/>
      <c r="AH678" s="520"/>
      <c r="AI678" s="327"/>
      <c r="AJ678" s="536"/>
      <c r="AK678" s="327"/>
      <c r="AL678" s="556" t="s">
        <v>334</v>
      </c>
      <c r="AM678" s="327"/>
      <c r="AN678" s="553" t="s">
        <v>334</v>
      </c>
      <c r="AO678" s="327"/>
      <c r="AP678" s="554"/>
      <c r="AQ678" s="327"/>
      <c r="AR678" s="555"/>
      <c r="AS678" s="327"/>
      <c r="AT678" s="549"/>
      <c r="AU678" s="327"/>
      <c r="AV678" s="553" t="s">
        <v>334</v>
      </c>
      <c r="AW678" s="327"/>
      <c r="AX678" s="521"/>
      <c r="AY678" s="326"/>
      <c r="AZ678" s="327"/>
      <c r="BA678" s="536"/>
      <c r="BB678" s="327"/>
      <c r="BC678" s="22"/>
      <c r="BD678" s="551" t="s">
        <v>334</v>
      </c>
      <c r="BE678" s="327"/>
      <c r="BF678" s="508"/>
      <c r="BG678" s="326"/>
      <c r="BH678" s="326"/>
      <c r="BI678" s="327"/>
      <c r="BJ678" s="451" t="s">
        <v>303</v>
      </c>
      <c r="BK678" s="326"/>
      <c r="BL678" s="326"/>
      <c r="BM678" s="327"/>
      <c r="BN678" s="558" t="s">
        <v>303</v>
      </c>
      <c r="BO678" s="326"/>
      <c r="BP678" s="326"/>
      <c r="BQ678" s="326"/>
      <c r="BR678" s="326"/>
      <c r="BS678" s="326"/>
      <c r="BT678" s="326"/>
      <c r="BU678" s="326"/>
      <c r="BV678" s="327"/>
    </row>
    <row r="679" spans="1:74" ht="45" customHeight="1" x14ac:dyDescent="0.25">
      <c r="A679" s="10">
        <f t="shared" si="2"/>
        <v>665</v>
      </c>
      <c r="B679" s="559" t="s">
        <v>303</v>
      </c>
      <c r="C679" s="327"/>
      <c r="D679" s="560" t="s">
        <v>307</v>
      </c>
      <c r="E679" s="327"/>
      <c r="F679" s="537" t="s">
        <v>334</v>
      </c>
      <c r="G679" s="327"/>
      <c r="H679" s="566" t="s">
        <v>334</v>
      </c>
      <c r="I679" s="327"/>
      <c r="J679" s="567"/>
      <c r="K679" s="327"/>
      <c r="L679" s="567"/>
      <c r="M679" s="327"/>
      <c r="N679" s="23"/>
      <c r="O679" s="24"/>
      <c r="P679" s="563"/>
      <c r="Q679" s="327"/>
      <c r="R679" s="538"/>
      <c r="S679" s="327"/>
      <c r="T679" s="539"/>
      <c r="U679" s="327"/>
      <c r="V679" s="540"/>
      <c r="W679" s="327"/>
      <c r="X679" s="541" t="s">
        <v>303</v>
      </c>
      <c r="Y679" s="326"/>
      <c r="Z679" s="326"/>
      <c r="AA679" s="327"/>
      <c r="AB679" s="542" t="s">
        <v>303</v>
      </c>
      <c r="AC679" s="326"/>
      <c r="AD679" s="326"/>
      <c r="AE679" s="327"/>
      <c r="AF679" s="543"/>
      <c r="AG679" s="327"/>
      <c r="AH679" s="543"/>
      <c r="AI679" s="327"/>
      <c r="AJ679" s="536"/>
      <c r="AK679" s="327"/>
      <c r="AL679" s="537" t="s">
        <v>334</v>
      </c>
      <c r="AM679" s="327"/>
      <c r="AN679" s="546" t="s">
        <v>334</v>
      </c>
      <c r="AO679" s="327"/>
      <c r="AP679" s="547"/>
      <c r="AQ679" s="327"/>
      <c r="AR679" s="548"/>
      <c r="AS679" s="327"/>
      <c r="AT679" s="568"/>
      <c r="AU679" s="327"/>
      <c r="AV679" s="546" t="s">
        <v>334</v>
      </c>
      <c r="AW679" s="327"/>
      <c r="AX679" s="521"/>
      <c r="AY679" s="326"/>
      <c r="AZ679" s="327"/>
      <c r="BA679" s="550"/>
      <c r="BB679" s="327"/>
      <c r="BC679" s="25"/>
      <c r="BD679" s="544" t="s">
        <v>334</v>
      </c>
      <c r="BE679" s="327"/>
      <c r="BF679" s="545"/>
      <c r="BG679" s="326"/>
      <c r="BH679" s="326"/>
      <c r="BI679" s="327"/>
      <c r="BJ679" s="557" t="s">
        <v>303</v>
      </c>
      <c r="BK679" s="326"/>
      <c r="BL679" s="326"/>
      <c r="BM679" s="327"/>
      <c r="BN679" s="558" t="s">
        <v>303</v>
      </c>
      <c r="BO679" s="326"/>
      <c r="BP679" s="326"/>
      <c r="BQ679" s="326"/>
      <c r="BR679" s="326"/>
      <c r="BS679" s="326"/>
      <c r="BT679" s="326"/>
      <c r="BU679" s="326"/>
      <c r="BV679" s="327"/>
    </row>
    <row r="680" spans="1:74" ht="45" customHeight="1" x14ac:dyDescent="0.25">
      <c r="A680" s="10">
        <f t="shared" si="2"/>
        <v>666</v>
      </c>
      <c r="B680" s="564" t="s">
        <v>303</v>
      </c>
      <c r="C680" s="327"/>
      <c r="D680" s="565" t="s">
        <v>307</v>
      </c>
      <c r="E680" s="327"/>
      <c r="F680" s="537" t="s">
        <v>334</v>
      </c>
      <c r="G680" s="327"/>
      <c r="H680" s="561" t="s">
        <v>334</v>
      </c>
      <c r="I680" s="327"/>
      <c r="J680" s="562"/>
      <c r="K680" s="327"/>
      <c r="L680" s="562"/>
      <c r="M680" s="327"/>
      <c r="N680" s="20"/>
      <c r="O680" s="21"/>
      <c r="P680" s="524"/>
      <c r="Q680" s="327"/>
      <c r="R680" s="516"/>
      <c r="S680" s="327"/>
      <c r="T680" s="517"/>
      <c r="U680" s="327"/>
      <c r="V680" s="518"/>
      <c r="W680" s="327"/>
      <c r="X680" s="438" t="s">
        <v>303</v>
      </c>
      <c r="Y680" s="326"/>
      <c r="Z680" s="326"/>
      <c r="AA680" s="327"/>
      <c r="AB680" s="519" t="s">
        <v>303</v>
      </c>
      <c r="AC680" s="326"/>
      <c r="AD680" s="326"/>
      <c r="AE680" s="327"/>
      <c r="AF680" s="520"/>
      <c r="AG680" s="327"/>
      <c r="AH680" s="520"/>
      <c r="AI680" s="327"/>
      <c r="AJ680" s="536"/>
      <c r="AK680" s="327"/>
      <c r="AL680" s="556" t="s">
        <v>334</v>
      </c>
      <c r="AM680" s="327"/>
      <c r="AN680" s="553" t="s">
        <v>334</v>
      </c>
      <c r="AO680" s="327"/>
      <c r="AP680" s="554"/>
      <c r="AQ680" s="327"/>
      <c r="AR680" s="555"/>
      <c r="AS680" s="327"/>
      <c r="AT680" s="549"/>
      <c r="AU680" s="327"/>
      <c r="AV680" s="553" t="s">
        <v>334</v>
      </c>
      <c r="AW680" s="327"/>
      <c r="AX680" s="521"/>
      <c r="AY680" s="326"/>
      <c r="AZ680" s="327"/>
      <c r="BA680" s="536"/>
      <c r="BB680" s="327"/>
      <c r="BC680" s="22"/>
      <c r="BD680" s="551" t="s">
        <v>334</v>
      </c>
      <c r="BE680" s="327"/>
      <c r="BF680" s="552"/>
      <c r="BG680" s="326"/>
      <c r="BH680" s="326"/>
      <c r="BI680" s="327"/>
      <c r="BJ680" s="451" t="s">
        <v>303</v>
      </c>
      <c r="BK680" s="326"/>
      <c r="BL680" s="326"/>
      <c r="BM680" s="327"/>
      <c r="BN680" s="558" t="s">
        <v>303</v>
      </c>
      <c r="BO680" s="326"/>
      <c r="BP680" s="326"/>
      <c r="BQ680" s="326"/>
      <c r="BR680" s="326"/>
      <c r="BS680" s="326"/>
      <c r="BT680" s="326"/>
      <c r="BU680" s="326"/>
      <c r="BV680" s="327"/>
    </row>
    <row r="681" spans="1:74" ht="45" customHeight="1" x14ac:dyDescent="0.25">
      <c r="A681" s="10">
        <f t="shared" si="2"/>
        <v>667</v>
      </c>
      <c r="B681" s="559" t="s">
        <v>303</v>
      </c>
      <c r="C681" s="327"/>
      <c r="D681" s="560" t="s">
        <v>307</v>
      </c>
      <c r="E681" s="327"/>
      <c r="F681" s="537" t="s">
        <v>334</v>
      </c>
      <c r="G681" s="327"/>
      <c r="H681" s="566" t="s">
        <v>334</v>
      </c>
      <c r="I681" s="327"/>
      <c r="J681" s="567"/>
      <c r="K681" s="327"/>
      <c r="L681" s="567"/>
      <c r="M681" s="327"/>
      <c r="N681" s="23"/>
      <c r="O681" s="24"/>
      <c r="P681" s="563"/>
      <c r="Q681" s="327"/>
      <c r="R681" s="538"/>
      <c r="S681" s="327"/>
      <c r="T681" s="539"/>
      <c r="U681" s="327"/>
      <c r="V681" s="540"/>
      <c r="W681" s="327"/>
      <c r="X681" s="541" t="s">
        <v>303</v>
      </c>
      <c r="Y681" s="326"/>
      <c r="Z681" s="326"/>
      <c r="AA681" s="327"/>
      <c r="AB681" s="542" t="s">
        <v>303</v>
      </c>
      <c r="AC681" s="326"/>
      <c r="AD681" s="326"/>
      <c r="AE681" s="327"/>
      <c r="AF681" s="543"/>
      <c r="AG681" s="327"/>
      <c r="AH681" s="543"/>
      <c r="AI681" s="327"/>
      <c r="AJ681" s="536"/>
      <c r="AK681" s="327"/>
      <c r="AL681" s="537" t="s">
        <v>334</v>
      </c>
      <c r="AM681" s="327"/>
      <c r="AN681" s="546" t="s">
        <v>334</v>
      </c>
      <c r="AO681" s="327"/>
      <c r="AP681" s="547"/>
      <c r="AQ681" s="327"/>
      <c r="AR681" s="548"/>
      <c r="AS681" s="327"/>
      <c r="AT681" s="549"/>
      <c r="AU681" s="327"/>
      <c r="AV681" s="546" t="s">
        <v>334</v>
      </c>
      <c r="AW681" s="327"/>
      <c r="AX681" s="521"/>
      <c r="AY681" s="326"/>
      <c r="AZ681" s="327"/>
      <c r="BA681" s="550"/>
      <c r="BB681" s="327"/>
      <c r="BC681" s="25"/>
      <c r="BD681" s="544" t="s">
        <v>334</v>
      </c>
      <c r="BE681" s="327"/>
      <c r="BF681" s="545"/>
      <c r="BG681" s="326"/>
      <c r="BH681" s="326"/>
      <c r="BI681" s="327"/>
      <c r="BJ681" s="557" t="s">
        <v>303</v>
      </c>
      <c r="BK681" s="326"/>
      <c r="BL681" s="326"/>
      <c r="BM681" s="327"/>
      <c r="BN681" s="558" t="s">
        <v>303</v>
      </c>
      <c r="BO681" s="326"/>
      <c r="BP681" s="326"/>
      <c r="BQ681" s="326"/>
      <c r="BR681" s="326"/>
      <c r="BS681" s="326"/>
      <c r="BT681" s="326"/>
      <c r="BU681" s="326"/>
      <c r="BV681" s="327"/>
    </row>
    <row r="682" spans="1:74" ht="45" customHeight="1" x14ac:dyDescent="0.25">
      <c r="A682" s="10">
        <f t="shared" si="2"/>
        <v>668</v>
      </c>
      <c r="B682" s="564" t="s">
        <v>303</v>
      </c>
      <c r="C682" s="327"/>
      <c r="D682" s="565" t="s">
        <v>307</v>
      </c>
      <c r="E682" s="327"/>
      <c r="F682" s="537" t="s">
        <v>334</v>
      </c>
      <c r="G682" s="327"/>
      <c r="H682" s="561" t="s">
        <v>334</v>
      </c>
      <c r="I682" s="327"/>
      <c r="J682" s="562"/>
      <c r="K682" s="327"/>
      <c r="L682" s="562"/>
      <c r="M682" s="327"/>
      <c r="N682" s="20"/>
      <c r="O682" s="21"/>
      <c r="P682" s="524"/>
      <c r="Q682" s="327"/>
      <c r="R682" s="516"/>
      <c r="S682" s="327"/>
      <c r="T682" s="517"/>
      <c r="U682" s="327"/>
      <c r="V682" s="518"/>
      <c r="W682" s="327"/>
      <c r="X682" s="438" t="s">
        <v>303</v>
      </c>
      <c r="Y682" s="326"/>
      <c r="Z682" s="326"/>
      <c r="AA682" s="327"/>
      <c r="AB682" s="519" t="s">
        <v>303</v>
      </c>
      <c r="AC682" s="326"/>
      <c r="AD682" s="326"/>
      <c r="AE682" s="327"/>
      <c r="AF682" s="520"/>
      <c r="AG682" s="327"/>
      <c r="AH682" s="520"/>
      <c r="AI682" s="327"/>
      <c r="AJ682" s="536"/>
      <c r="AK682" s="327"/>
      <c r="AL682" s="556" t="s">
        <v>334</v>
      </c>
      <c r="AM682" s="327"/>
      <c r="AN682" s="553" t="s">
        <v>334</v>
      </c>
      <c r="AO682" s="327"/>
      <c r="AP682" s="554"/>
      <c r="AQ682" s="327"/>
      <c r="AR682" s="555"/>
      <c r="AS682" s="327"/>
      <c r="AT682" s="549"/>
      <c r="AU682" s="327"/>
      <c r="AV682" s="553" t="s">
        <v>334</v>
      </c>
      <c r="AW682" s="327"/>
      <c r="AX682" s="521"/>
      <c r="AY682" s="326"/>
      <c r="AZ682" s="327"/>
      <c r="BA682" s="536"/>
      <c r="BB682" s="327"/>
      <c r="BC682" s="22"/>
      <c r="BD682" s="551" t="s">
        <v>334</v>
      </c>
      <c r="BE682" s="327"/>
      <c r="BF682" s="552"/>
      <c r="BG682" s="326"/>
      <c r="BH682" s="326"/>
      <c r="BI682" s="327"/>
      <c r="BJ682" s="451" t="s">
        <v>303</v>
      </c>
      <c r="BK682" s="326"/>
      <c r="BL682" s="326"/>
      <c r="BM682" s="327"/>
      <c r="BN682" s="558" t="s">
        <v>303</v>
      </c>
      <c r="BO682" s="326"/>
      <c r="BP682" s="326"/>
      <c r="BQ682" s="326"/>
      <c r="BR682" s="326"/>
      <c r="BS682" s="326"/>
      <c r="BT682" s="326"/>
      <c r="BU682" s="326"/>
      <c r="BV682" s="327"/>
    </row>
    <row r="683" spans="1:74" ht="45" customHeight="1" x14ac:dyDescent="0.25">
      <c r="A683" s="10">
        <f t="shared" si="2"/>
        <v>669</v>
      </c>
      <c r="B683" s="559" t="s">
        <v>303</v>
      </c>
      <c r="C683" s="327"/>
      <c r="D683" s="560" t="s">
        <v>307</v>
      </c>
      <c r="E683" s="327"/>
      <c r="F683" s="537" t="s">
        <v>334</v>
      </c>
      <c r="G683" s="327"/>
      <c r="H683" s="566" t="s">
        <v>334</v>
      </c>
      <c r="I683" s="327"/>
      <c r="J683" s="567"/>
      <c r="K683" s="327"/>
      <c r="L683" s="567"/>
      <c r="M683" s="327"/>
      <c r="N683" s="20"/>
      <c r="O683" s="21"/>
      <c r="P683" s="524"/>
      <c r="Q683" s="327"/>
      <c r="R683" s="538"/>
      <c r="S683" s="327"/>
      <c r="T683" s="539"/>
      <c r="U683" s="327"/>
      <c r="V683" s="540"/>
      <c r="W683" s="327"/>
      <c r="X683" s="541" t="s">
        <v>303</v>
      </c>
      <c r="Y683" s="326"/>
      <c r="Z683" s="326"/>
      <c r="AA683" s="327"/>
      <c r="AB683" s="542" t="s">
        <v>303</v>
      </c>
      <c r="AC683" s="326"/>
      <c r="AD683" s="326"/>
      <c r="AE683" s="327"/>
      <c r="AF683" s="543"/>
      <c r="AG683" s="327"/>
      <c r="AH683" s="543"/>
      <c r="AI683" s="327"/>
      <c r="AJ683" s="536"/>
      <c r="AK683" s="327"/>
      <c r="AL683" s="537" t="s">
        <v>334</v>
      </c>
      <c r="AM683" s="327"/>
      <c r="AN683" s="546" t="s">
        <v>334</v>
      </c>
      <c r="AO683" s="327"/>
      <c r="AP683" s="547"/>
      <c r="AQ683" s="327"/>
      <c r="AR683" s="548"/>
      <c r="AS683" s="327"/>
      <c r="AT683" s="549"/>
      <c r="AU683" s="327"/>
      <c r="AV683" s="546" t="s">
        <v>334</v>
      </c>
      <c r="AW683" s="327"/>
      <c r="AX683" s="521"/>
      <c r="AY683" s="326"/>
      <c r="AZ683" s="327"/>
      <c r="BA683" s="550"/>
      <c r="BB683" s="327"/>
      <c r="BC683" s="25"/>
      <c r="BD683" s="544" t="s">
        <v>334</v>
      </c>
      <c r="BE683" s="327"/>
      <c r="BF683" s="545"/>
      <c r="BG683" s="326"/>
      <c r="BH683" s="326"/>
      <c r="BI683" s="327"/>
      <c r="BJ683" s="557" t="s">
        <v>303</v>
      </c>
      <c r="BK683" s="326"/>
      <c r="BL683" s="326"/>
      <c r="BM683" s="327"/>
      <c r="BN683" s="558" t="s">
        <v>303</v>
      </c>
      <c r="BO683" s="326"/>
      <c r="BP683" s="326"/>
      <c r="BQ683" s="326"/>
      <c r="BR683" s="326"/>
      <c r="BS683" s="326"/>
      <c r="BT683" s="326"/>
      <c r="BU683" s="326"/>
      <c r="BV683" s="327"/>
    </row>
    <row r="684" spans="1:74" ht="45" customHeight="1" x14ac:dyDescent="0.25">
      <c r="A684" s="10">
        <f t="shared" si="2"/>
        <v>670</v>
      </c>
      <c r="B684" s="564" t="s">
        <v>303</v>
      </c>
      <c r="C684" s="327"/>
      <c r="D684" s="565" t="s">
        <v>307</v>
      </c>
      <c r="E684" s="327"/>
      <c r="F684" s="537" t="s">
        <v>334</v>
      </c>
      <c r="G684" s="327"/>
      <c r="H684" s="561" t="s">
        <v>334</v>
      </c>
      <c r="I684" s="327"/>
      <c r="J684" s="562"/>
      <c r="K684" s="327"/>
      <c r="L684" s="562"/>
      <c r="M684" s="327"/>
      <c r="N684" s="23"/>
      <c r="O684" s="24"/>
      <c r="P684" s="563"/>
      <c r="Q684" s="327"/>
      <c r="R684" s="516"/>
      <c r="S684" s="327"/>
      <c r="T684" s="517"/>
      <c r="U684" s="327"/>
      <c r="V684" s="518"/>
      <c r="W684" s="327"/>
      <c r="X684" s="438" t="s">
        <v>303</v>
      </c>
      <c r="Y684" s="326"/>
      <c r="Z684" s="326"/>
      <c r="AA684" s="327"/>
      <c r="AB684" s="519" t="s">
        <v>303</v>
      </c>
      <c r="AC684" s="326"/>
      <c r="AD684" s="326"/>
      <c r="AE684" s="327"/>
      <c r="AF684" s="520"/>
      <c r="AG684" s="327"/>
      <c r="AH684" s="520"/>
      <c r="AI684" s="327"/>
      <c r="AJ684" s="536"/>
      <c r="AK684" s="327"/>
      <c r="AL684" s="556" t="s">
        <v>334</v>
      </c>
      <c r="AM684" s="327"/>
      <c r="AN684" s="553" t="s">
        <v>334</v>
      </c>
      <c r="AO684" s="327"/>
      <c r="AP684" s="554"/>
      <c r="AQ684" s="327"/>
      <c r="AR684" s="555"/>
      <c r="AS684" s="327"/>
      <c r="AT684" s="549"/>
      <c r="AU684" s="327"/>
      <c r="AV684" s="553" t="s">
        <v>334</v>
      </c>
      <c r="AW684" s="327"/>
      <c r="AX684" s="521"/>
      <c r="AY684" s="326"/>
      <c r="AZ684" s="327"/>
      <c r="BA684" s="536"/>
      <c r="BB684" s="327"/>
      <c r="BC684" s="22"/>
      <c r="BD684" s="551" t="s">
        <v>334</v>
      </c>
      <c r="BE684" s="327"/>
      <c r="BF684" s="552"/>
      <c r="BG684" s="326"/>
      <c r="BH684" s="326"/>
      <c r="BI684" s="327"/>
      <c r="BJ684" s="451" t="s">
        <v>303</v>
      </c>
      <c r="BK684" s="326"/>
      <c r="BL684" s="326"/>
      <c r="BM684" s="327"/>
      <c r="BN684" s="558" t="s">
        <v>303</v>
      </c>
      <c r="BO684" s="326"/>
      <c r="BP684" s="326"/>
      <c r="BQ684" s="326"/>
      <c r="BR684" s="326"/>
      <c r="BS684" s="326"/>
      <c r="BT684" s="326"/>
      <c r="BU684" s="326"/>
      <c r="BV684" s="327"/>
    </row>
    <row r="685" spans="1:74" ht="45" customHeight="1" x14ac:dyDescent="0.25">
      <c r="A685" s="10">
        <f t="shared" si="2"/>
        <v>671</v>
      </c>
      <c r="B685" s="559" t="s">
        <v>303</v>
      </c>
      <c r="C685" s="327"/>
      <c r="D685" s="560" t="s">
        <v>307</v>
      </c>
      <c r="E685" s="327"/>
      <c r="F685" s="537" t="s">
        <v>334</v>
      </c>
      <c r="G685" s="327"/>
      <c r="H685" s="566" t="s">
        <v>334</v>
      </c>
      <c r="I685" s="327"/>
      <c r="J685" s="567"/>
      <c r="K685" s="327"/>
      <c r="L685" s="567"/>
      <c r="M685" s="327"/>
      <c r="N685" s="20"/>
      <c r="O685" s="24"/>
      <c r="P685" s="524"/>
      <c r="Q685" s="327"/>
      <c r="R685" s="538"/>
      <c r="S685" s="327"/>
      <c r="T685" s="539"/>
      <c r="U685" s="327"/>
      <c r="V685" s="540"/>
      <c r="W685" s="327"/>
      <c r="X685" s="541" t="s">
        <v>303</v>
      </c>
      <c r="Y685" s="326"/>
      <c r="Z685" s="326"/>
      <c r="AA685" s="327"/>
      <c r="AB685" s="542" t="s">
        <v>303</v>
      </c>
      <c r="AC685" s="326"/>
      <c r="AD685" s="326"/>
      <c r="AE685" s="327"/>
      <c r="AF685" s="543"/>
      <c r="AG685" s="327"/>
      <c r="AH685" s="543"/>
      <c r="AI685" s="327"/>
      <c r="AJ685" s="536"/>
      <c r="AK685" s="327"/>
      <c r="AL685" s="537" t="s">
        <v>334</v>
      </c>
      <c r="AM685" s="327"/>
      <c r="AN685" s="546" t="s">
        <v>334</v>
      </c>
      <c r="AO685" s="327"/>
      <c r="AP685" s="547"/>
      <c r="AQ685" s="327"/>
      <c r="AR685" s="548"/>
      <c r="AS685" s="327"/>
      <c r="AT685" s="568"/>
      <c r="AU685" s="327"/>
      <c r="AV685" s="546" t="s">
        <v>334</v>
      </c>
      <c r="AW685" s="327"/>
      <c r="AX685" s="521"/>
      <c r="AY685" s="326"/>
      <c r="AZ685" s="327"/>
      <c r="BA685" s="550"/>
      <c r="BB685" s="327"/>
      <c r="BC685" s="25"/>
      <c r="BD685" s="544" t="s">
        <v>334</v>
      </c>
      <c r="BE685" s="327"/>
      <c r="BF685" s="545"/>
      <c r="BG685" s="326"/>
      <c r="BH685" s="326"/>
      <c r="BI685" s="327"/>
      <c r="BJ685" s="557" t="s">
        <v>303</v>
      </c>
      <c r="BK685" s="326"/>
      <c r="BL685" s="326"/>
      <c r="BM685" s="327"/>
      <c r="BN685" s="558" t="s">
        <v>303</v>
      </c>
      <c r="BO685" s="326"/>
      <c r="BP685" s="326"/>
      <c r="BQ685" s="326"/>
      <c r="BR685" s="326"/>
      <c r="BS685" s="326"/>
      <c r="BT685" s="326"/>
      <c r="BU685" s="326"/>
      <c r="BV685" s="327"/>
    </row>
    <row r="686" spans="1:74" ht="45" customHeight="1" x14ac:dyDescent="0.25">
      <c r="A686" s="10">
        <f t="shared" si="2"/>
        <v>672</v>
      </c>
      <c r="B686" s="564" t="s">
        <v>303</v>
      </c>
      <c r="C686" s="327"/>
      <c r="D686" s="565" t="s">
        <v>307</v>
      </c>
      <c r="E686" s="327"/>
      <c r="F686" s="537" t="s">
        <v>334</v>
      </c>
      <c r="G686" s="327"/>
      <c r="H686" s="561" t="s">
        <v>334</v>
      </c>
      <c r="I686" s="327"/>
      <c r="J686" s="562"/>
      <c r="K686" s="327"/>
      <c r="L686" s="562"/>
      <c r="M686" s="327"/>
      <c r="N686" s="23"/>
      <c r="O686" s="21"/>
      <c r="P686" s="563"/>
      <c r="Q686" s="327"/>
      <c r="R686" s="516"/>
      <c r="S686" s="327"/>
      <c r="T686" s="517"/>
      <c r="U686" s="327"/>
      <c r="V686" s="518"/>
      <c r="W686" s="327"/>
      <c r="X686" s="438" t="s">
        <v>303</v>
      </c>
      <c r="Y686" s="326"/>
      <c r="Z686" s="326"/>
      <c r="AA686" s="327"/>
      <c r="AB686" s="519" t="s">
        <v>303</v>
      </c>
      <c r="AC686" s="326"/>
      <c r="AD686" s="326"/>
      <c r="AE686" s="327"/>
      <c r="AF686" s="520"/>
      <c r="AG686" s="327"/>
      <c r="AH686" s="520"/>
      <c r="AI686" s="327"/>
      <c r="AJ686" s="536"/>
      <c r="AK686" s="327"/>
      <c r="AL686" s="556" t="s">
        <v>334</v>
      </c>
      <c r="AM686" s="327"/>
      <c r="AN686" s="553" t="s">
        <v>334</v>
      </c>
      <c r="AO686" s="327"/>
      <c r="AP686" s="554"/>
      <c r="AQ686" s="327"/>
      <c r="AR686" s="555"/>
      <c r="AS686" s="327"/>
      <c r="AT686" s="549"/>
      <c r="AU686" s="327"/>
      <c r="AV686" s="553" t="s">
        <v>334</v>
      </c>
      <c r="AW686" s="327"/>
      <c r="AX686" s="521"/>
      <c r="AY686" s="326"/>
      <c r="AZ686" s="327"/>
      <c r="BA686" s="536"/>
      <c r="BB686" s="327"/>
      <c r="BC686" s="22"/>
      <c r="BD686" s="551" t="s">
        <v>334</v>
      </c>
      <c r="BE686" s="327"/>
      <c r="BF686" s="508"/>
      <c r="BG686" s="326"/>
      <c r="BH686" s="326"/>
      <c r="BI686" s="327"/>
      <c r="BJ686" s="451" t="s">
        <v>303</v>
      </c>
      <c r="BK686" s="326"/>
      <c r="BL686" s="326"/>
      <c r="BM686" s="327"/>
      <c r="BN686" s="558" t="s">
        <v>303</v>
      </c>
      <c r="BO686" s="326"/>
      <c r="BP686" s="326"/>
      <c r="BQ686" s="326"/>
      <c r="BR686" s="326"/>
      <c r="BS686" s="326"/>
      <c r="BT686" s="326"/>
      <c r="BU686" s="326"/>
      <c r="BV686" s="327"/>
    </row>
    <row r="687" spans="1:74" ht="45" customHeight="1" x14ac:dyDescent="0.25">
      <c r="A687" s="10">
        <f t="shared" si="2"/>
        <v>673</v>
      </c>
      <c r="B687" s="559" t="s">
        <v>303</v>
      </c>
      <c r="C687" s="327"/>
      <c r="D687" s="560" t="s">
        <v>307</v>
      </c>
      <c r="E687" s="327"/>
      <c r="F687" s="537" t="s">
        <v>334</v>
      </c>
      <c r="G687" s="327"/>
      <c r="H687" s="566" t="s">
        <v>334</v>
      </c>
      <c r="I687" s="327"/>
      <c r="J687" s="567"/>
      <c r="K687" s="327"/>
      <c r="L687" s="567"/>
      <c r="M687" s="327"/>
      <c r="N687" s="20"/>
      <c r="O687" s="24"/>
      <c r="P687" s="524"/>
      <c r="Q687" s="327"/>
      <c r="R687" s="538"/>
      <c r="S687" s="327"/>
      <c r="T687" s="539"/>
      <c r="U687" s="327"/>
      <c r="V687" s="540"/>
      <c r="W687" s="327"/>
      <c r="X687" s="541" t="s">
        <v>303</v>
      </c>
      <c r="Y687" s="326"/>
      <c r="Z687" s="326"/>
      <c r="AA687" s="327"/>
      <c r="AB687" s="542" t="s">
        <v>303</v>
      </c>
      <c r="AC687" s="326"/>
      <c r="AD687" s="326"/>
      <c r="AE687" s="327"/>
      <c r="AF687" s="543"/>
      <c r="AG687" s="327"/>
      <c r="AH687" s="543"/>
      <c r="AI687" s="327"/>
      <c r="AJ687" s="536"/>
      <c r="AK687" s="327"/>
      <c r="AL687" s="537" t="s">
        <v>334</v>
      </c>
      <c r="AM687" s="327"/>
      <c r="AN687" s="546" t="s">
        <v>334</v>
      </c>
      <c r="AO687" s="327"/>
      <c r="AP687" s="547"/>
      <c r="AQ687" s="327"/>
      <c r="AR687" s="548"/>
      <c r="AS687" s="327"/>
      <c r="AT687" s="568"/>
      <c r="AU687" s="327"/>
      <c r="AV687" s="546" t="s">
        <v>334</v>
      </c>
      <c r="AW687" s="327"/>
      <c r="AX687" s="521"/>
      <c r="AY687" s="326"/>
      <c r="AZ687" s="327"/>
      <c r="BA687" s="550"/>
      <c r="BB687" s="327"/>
      <c r="BC687" s="25"/>
      <c r="BD687" s="544" t="s">
        <v>334</v>
      </c>
      <c r="BE687" s="327"/>
      <c r="BF687" s="545"/>
      <c r="BG687" s="326"/>
      <c r="BH687" s="326"/>
      <c r="BI687" s="327"/>
      <c r="BJ687" s="557" t="s">
        <v>303</v>
      </c>
      <c r="BK687" s="326"/>
      <c r="BL687" s="326"/>
      <c r="BM687" s="327"/>
      <c r="BN687" s="558" t="s">
        <v>303</v>
      </c>
      <c r="BO687" s="326"/>
      <c r="BP687" s="326"/>
      <c r="BQ687" s="326"/>
      <c r="BR687" s="326"/>
      <c r="BS687" s="326"/>
      <c r="BT687" s="326"/>
      <c r="BU687" s="326"/>
      <c r="BV687" s="327"/>
    </row>
    <row r="688" spans="1:74" ht="45" customHeight="1" x14ac:dyDescent="0.25">
      <c r="A688" s="10">
        <f t="shared" si="2"/>
        <v>674</v>
      </c>
      <c r="B688" s="564" t="s">
        <v>303</v>
      </c>
      <c r="C688" s="327"/>
      <c r="D688" s="565" t="s">
        <v>307</v>
      </c>
      <c r="E688" s="327"/>
      <c r="F688" s="537" t="s">
        <v>334</v>
      </c>
      <c r="G688" s="327"/>
      <c r="H688" s="561" t="s">
        <v>334</v>
      </c>
      <c r="I688" s="327"/>
      <c r="J688" s="562"/>
      <c r="K688" s="327"/>
      <c r="L688" s="562"/>
      <c r="M688" s="327"/>
      <c r="N688" s="23"/>
      <c r="O688" s="21"/>
      <c r="P688" s="563"/>
      <c r="Q688" s="327"/>
      <c r="R688" s="516"/>
      <c r="S688" s="327"/>
      <c r="T688" s="517"/>
      <c r="U688" s="327"/>
      <c r="V688" s="518"/>
      <c r="W688" s="327"/>
      <c r="X688" s="438" t="s">
        <v>303</v>
      </c>
      <c r="Y688" s="326"/>
      <c r="Z688" s="326"/>
      <c r="AA688" s="327"/>
      <c r="AB688" s="519" t="s">
        <v>303</v>
      </c>
      <c r="AC688" s="326"/>
      <c r="AD688" s="326"/>
      <c r="AE688" s="327"/>
      <c r="AF688" s="520"/>
      <c r="AG688" s="327"/>
      <c r="AH688" s="520"/>
      <c r="AI688" s="327"/>
      <c r="AJ688" s="536"/>
      <c r="AK688" s="327"/>
      <c r="AL688" s="556" t="s">
        <v>334</v>
      </c>
      <c r="AM688" s="327"/>
      <c r="AN688" s="553" t="s">
        <v>334</v>
      </c>
      <c r="AO688" s="327"/>
      <c r="AP688" s="554"/>
      <c r="AQ688" s="327"/>
      <c r="AR688" s="555"/>
      <c r="AS688" s="327"/>
      <c r="AT688" s="549"/>
      <c r="AU688" s="327"/>
      <c r="AV688" s="553" t="s">
        <v>334</v>
      </c>
      <c r="AW688" s="327"/>
      <c r="AX688" s="521"/>
      <c r="AY688" s="326"/>
      <c r="AZ688" s="327"/>
      <c r="BA688" s="536"/>
      <c r="BB688" s="327"/>
      <c r="BC688" s="22"/>
      <c r="BD688" s="551" t="s">
        <v>334</v>
      </c>
      <c r="BE688" s="327"/>
      <c r="BF688" s="552"/>
      <c r="BG688" s="326"/>
      <c r="BH688" s="326"/>
      <c r="BI688" s="327"/>
      <c r="BJ688" s="451" t="s">
        <v>303</v>
      </c>
      <c r="BK688" s="326"/>
      <c r="BL688" s="326"/>
      <c r="BM688" s="327"/>
      <c r="BN688" s="558" t="s">
        <v>303</v>
      </c>
      <c r="BO688" s="326"/>
      <c r="BP688" s="326"/>
      <c r="BQ688" s="326"/>
      <c r="BR688" s="326"/>
      <c r="BS688" s="326"/>
      <c r="BT688" s="326"/>
      <c r="BU688" s="326"/>
      <c r="BV688" s="327"/>
    </row>
    <row r="689" spans="1:74" ht="45" customHeight="1" x14ac:dyDescent="0.25">
      <c r="A689" s="10">
        <f t="shared" si="2"/>
        <v>675</v>
      </c>
      <c r="B689" s="559" t="s">
        <v>303</v>
      </c>
      <c r="C689" s="327"/>
      <c r="D689" s="560" t="s">
        <v>307</v>
      </c>
      <c r="E689" s="327"/>
      <c r="F689" s="537" t="s">
        <v>334</v>
      </c>
      <c r="G689" s="327"/>
      <c r="H689" s="566" t="s">
        <v>334</v>
      </c>
      <c r="I689" s="327"/>
      <c r="J689" s="567"/>
      <c r="K689" s="327"/>
      <c r="L689" s="567"/>
      <c r="M689" s="327"/>
      <c r="N689" s="20"/>
      <c r="O689" s="24"/>
      <c r="P689" s="524"/>
      <c r="Q689" s="327"/>
      <c r="R689" s="538"/>
      <c r="S689" s="327"/>
      <c r="T689" s="539"/>
      <c r="U689" s="327"/>
      <c r="V689" s="540"/>
      <c r="W689" s="327"/>
      <c r="X689" s="541" t="s">
        <v>303</v>
      </c>
      <c r="Y689" s="326"/>
      <c r="Z689" s="326"/>
      <c r="AA689" s="327"/>
      <c r="AB689" s="542" t="s">
        <v>303</v>
      </c>
      <c r="AC689" s="326"/>
      <c r="AD689" s="326"/>
      <c r="AE689" s="327"/>
      <c r="AF689" s="543"/>
      <c r="AG689" s="327"/>
      <c r="AH689" s="543"/>
      <c r="AI689" s="327"/>
      <c r="AJ689" s="536"/>
      <c r="AK689" s="327"/>
      <c r="AL689" s="537" t="s">
        <v>334</v>
      </c>
      <c r="AM689" s="327"/>
      <c r="AN689" s="546" t="s">
        <v>334</v>
      </c>
      <c r="AO689" s="327"/>
      <c r="AP689" s="547"/>
      <c r="AQ689" s="327"/>
      <c r="AR689" s="548"/>
      <c r="AS689" s="327"/>
      <c r="AT689" s="568"/>
      <c r="AU689" s="327"/>
      <c r="AV689" s="546" t="s">
        <v>334</v>
      </c>
      <c r="AW689" s="327"/>
      <c r="AX689" s="521"/>
      <c r="AY689" s="326"/>
      <c r="AZ689" s="327"/>
      <c r="BA689" s="550"/>
      <c r="BB689" s="327"/>
      <c r="BC689" s="25"/>
      <c r="BD689" s="544" t="s">
        <v>334</v>
      </c>
      <c r="BE689" s="327"/>
      <c r="BF689" s="545"/>
      <c r="BG689" s="326"/>
      <c r="BH689" s="326"/>
      <c r="BI689" s="327"/>
      <c r="BJ689" s="557" t="s">
        <v>303</v>
      </c>
      <c r="BK689" s="326"/>
      <c r="BL689" s="326"/>
      <c r="BM689" s="327"/>
      <c r="BN689" s="558" t="s">
        <v>303</v>
      </c>
      <c r="BO689" s="326"/>
      <c r="BP689" s="326"/>
      <c r="BQ689" s="326"/>
      <c r="BR689" s="326"/>
      <c r="BS689" s="326"/>
      <c r="BT689" s="326"/>
      <c r="BU689" s="326"/>
      <c r="BV689" s="327"/>
    </row>
    <row r="690" spans="1:74" ht="45" customHeight="1" x14ac:dyDescent="0.25">
      <c r="A690" s="10">
        <f t="shared" si="2"/>
        <v>676</v>
      </c>
      <c r="B690" s="564" t="s">
        <v>303</v>
      </c>
      <c r="C690" s="327"/>
      <c r="D690" s="565" t="s">
        <v>307</v>
      </c>
      <c r="E690" s="327"/>
      <c r="F690" s="537" t="s">
        <v>334</v>
      </c>
      <c r="G690" s="327"/>
      <c r="H690" s="561" t="s">
        <v>334</v>
      </c>
      <c r="I690" s="327"/>
      <c r="J690" s="562"/>
      <c r="K690" s="327"/>
      <c r="L690" s="562"/>
      <c r="M690" s="327"/>
      <c r="N690" s="23"/>
      <c r="O690" s="21"/>
      <c r="P690" s="563"/>
      <c r="Q690" s="327"/>
      <c r="R690" s="516"/>
      <c r="S690" s="327"/>
      <c r="T690" s="517"/>
      <c r="U690" s="327"/>
      <c r="V690" s="518"/>
      <c r="W690" s="327"/>
      <c r="X690" s="438" t="s">
        <v>303</v>
      </c>
      <c r="Y690" s="326"/>
      <c r="Z690" s="326"/>
      <c r="AA690" s="327"/>
      <c r="AB690" s="519" t="s">
        <v>303</v>
      </c>
      <c r="AC690" s="326"/>
      <c r="AD690" s="326"/>
      <c r="AE690" s="327"/>
      <c r="AF690" s="520"/>
      <c r="AG690" s="327"/>
      <c r="AH690" s="520"/>
      <c r="AI690" s="327"/>
      <c r="AJ690" s="536"/>
      <c r="AK690" s="327"/>
      <c r="AL690" s="556" t="s">
        <v>334</v>
      </c>
      <c r="AM690" s="327"/>
      <c r="AN690" s="553" t="s">
        <v>334</v>
      </c>
      <c r="AO690" s="327"/>
      <c r="AP690" s="554"/>
      <c r="AQ690" s="327"/>
      <c r="AR690" s="555"/>
      <c r="AS690" s="327"/>
      <c r="AT690" s="549"/>
      <c r="AU690" s="327"/>
      <c r="AV690" s="553" t="s">
        <v>334</v>
      </c>
      <c r="AW690" s="327"/>
      <c r="AX690" s="521"/>
      <c r="AY690" s="326"/>
      <c r="AZ690" s="327"/>
      <c r="BA690" s="536"/>
      <c r="BB690" s="327"/>
      <c r="BC690" s="22"/>
      <c r="BD690" s="551" t="s">
        <v>334</v>
      </c>
      <c r="BE690" s="327"/>
      <c r="BF690" s="552"/>
      <c r="BG690" s="326"/>
      <c r="BH690" s="326"/>
      <c r="BI690" s="327"/>
      <c r="BJ690" s="451" t="s">
        <v>303</v>
      </c>
      <c r="BK690" s="326"/>
      <c r="BL690" s="326"/>
      <c r="BM690" s="327"/>
      <c r="BN690" s="558" t="s">
        <v>303</v>
      </c>
      <c r="BO690" s="326"/>
      <c r="BP690" s="326"/>
      <c r="BQ690" s="326"/>
      <c r="BR690" s="326"/>
      <c r="BS690" s="326"/>
      <c r="BT690" s="326"/>
      <c r="BU690" s="326"/>
      <c r="BV690" s="327"/>
    </row>
    <row r="691" spans="1:74" ht="45" customHeight="1" x14ac:dyDescent="0.25">
      <c r="A691" s="10">
        <f t="shared" si="2"/>
        <v>677</v>
      </c>
      <c r="B691" s="559" t="s">
        <v>303</v>
      </c>
      <c r="C691" s="327"/>
      <c r="D691" s="560" t="s">
        <v>307</v>
      </c>
      <c r="E691" s="327"/>
      <c r="F691" s="537" t="s">
        <v>334</v>
      </c>
      <c r="G691" s="327"/>
      <c r="H691" s="566" t="s">
        <v>334</v>
      </c>
      <c r="I691" s="327"/>
      <c r="J691" s="567"/>
      <c r="K691" s="327"/>
      <c r="L691" s="567"/>
      <c r="M691" s="327"/>
      <c r="N691" s="20"/>
      <c r="O691" s="24"/>
      <c r="P691" s="524"/>
      <c r="Q691" s="327"/>
      <c r="R691" s="538"/>
      <c r="S691" s="327"/>
      <c r="T691" s="539"/>
      <c r="U691" s="327"/>
      <c r="V691" s="540"/>
      <c r="W691" s="327"/>
      <c r="X691" s="541" t="s">
        <v>303</v>
      </c>
      <c r="Y691" s="326"/>
      <c r="Z691" s="326"/>
      <c r="AA691" s="327"/>
      <c r="AB691" s="542" t="s">
        <v>303</v>
      </c>
      <c r="AC691" s="326"/>
      <c r="AD691" s="326"/>
      <c r="AE691" s="327"/>
      <c r="AF691" s="543"/>
      <c r="AG691" s="327"/>
      <c r="AH691" s="543"/>
      <c r="AI691" s="327"/>
      <c r="AJ691" s="536"/>
      <c r="AK691" s="327"/>
      <c r="AL691" s="537" t="s">
        <v>334</v>
      </c>
      <c r="AM691" s="327"/>
      <c r="AN691" s="546" t="s">
        <v>334</v>
      </c>
      <c r="AO691" s="327"/>
      <c r="AP691" s="547"/>
      <c r="AQ691" s="327"/>
      <c r="AR691" s="548"/>
      <c r="AS691" s="327"/>
      <c r="AT691" s="568"/>
      <c r="AU691" s="327"/>
      <c r="AV691" s="546" t="s">
        <v>334</v>
      </c>
      <c r="AW691" s="327"/>
      <c r="AX691" s="521"/>
      <c r="AY691" s="326"/>
      <c r="AZ691" s="327"/>
      <c r="BA691" s="550"/>
      <c r="BB691" s="327"/>
      <c r="BC691" s="25"/>
      <c r="BD691" s="544" t="s">
        <v>334</v>
      </c>
      <c r="BE691" s="327"/>
      <c r="BF691" s="545"/>
      <c r="BG691" s="326"/>
      <c r="BH691" s="326"/>
      <c r="BI691" s="327"/>
      <c r="BJ691" s="557" t="s">
        <v>303</v>
      </c>
      <c r="BK691" s="326"/>
      <c r="BL691" s="326"/>
      <c r="BM691" s="327"/>
      <c r="BN691" s="558" t="s">
        <v>303</v>
      </c>
      <c r="BO691" s="326"/>
      <c r="BP691" s="326"/>
      <c r="BQ691" s="326"/>
      <c r="BR691" s="326"/>
      <c r="BS691" s="326"/>
      <c r="BT691" s="326"/>
      <c r="BU691" s="326"/>
      <c r="BV691" s="327"/>
    </row>
    <row r="692" spans="1:74" ht="45" customHeight="1" x14ac:dyDescent="0.25">
      <c r="A692" s="10">
        <f t="shared" si="2"/>
        <v>678</v>
      </c>
      <c r="B692" s="564" t="s">
        <v>303</v>
      </c>
      <c r="C692" s="327"/>
      <c r="D692" s="565" t="s">
        <v>307</v>
      </c>
      <c r="E692" s="327"/>
      <c r="F692" s="537" t="s">
        <v>334</v>
      </c>
      <c r="G692" s="327"/>
      <c r="H692" s="561" t="s">
        <v>334</v>
      </c>
      <c r="I692" s="327"/>
      <c r="J692" s="562"/>
      <c r="K692" s="327"/>
      <c r="L692" s="562"/>
      <c r="M692" s="327"/>
      <c r="N692" s="23"/>
      <c r="O692" s="21"/>
      <c r="P692" s="563"/>
      <c r="Q692" s="327"/>
      <c r="R692" s="516"/>
      <c r="S692" s="327"/>
      <c r="T692" s="517"/>
      <c r="U692" s="327"/>
      <c r="V692" s="518"/>
      <c r="W692" s="327"/>
      <c r="X692" s="438" t="s">
        <v>303</v>
      </c>
      <c r="Y692" s="326"/>
      <c r="Z692" s="326"/>
      <c r="AA692" s="327"/>
      <c r="AB692" s="519" t="s">
        <v>303</v>
      </c>
      <c r="AC692" s="326"/>
      <c r="AD692" s="326"/>
      <c r="AE692" s="327"/>
      <c r="AF692" s="520"/>
      <c r="AG692" s="327"/>
      <c r="AH692" s="520"/>
      <c r="AI692" s="327"/>
      <c r="AJ692" s="536"/>
      <c r="AK692" s="327"/>
      <c r="AL692" s="556" t="s">
        <v>334</v>
      </c>
      <c r="AM692" s="327"/>
      <c r="AN692" s="553" t="s">
        <v>334</v>
      </c>
      <c r="AO692" s="327"/>
      <c r="AP692" s="554"/>
      <c r="AQ692" s="327"/>
      <c r="AR692" s="555"/>
      <c r="AS692" s="327"/>
      <c r="AT692" s="549"/>
      <c r="AU692" s="327"/>
      <c r="AV692" s="553" t="s">
        <v>334</v>
      </c>
      <c r="AW692" s="327"/>
      <c r="AX692" s="521"/>
      <c r="AY692" s="326"/>
      <c r="AZ692" s="327"/>
      <c r="BA692" s="536"/>
      <c r="BB692" s="327"/>
      <c r="BC692" s="22"/>
      <c r="BD692" s="551" t="s">
        <v>334</v>
      </c>
      <c r="BE692" s="327"/>
      <c r="BF692" s="508"/>
      <c r="BG692" s="326"/>
      <c r="BH692" s="326"/>
      <c r="BI692" s="327"/>
      <c r="BJ692" s="451" t="s">
        <v>303</v>
      </c>
      <c r="BK692" s="326"/>
      <c r="BL692" s="326"/>
      <c r="BM692" s="327"/>
      <c r="BN692" s="558" t="s">
        <v>303</v>
      </c>
      <c r="BO692" s="326"/>
      <c r="BP692" s="326"/>
      <c r="BQ692" s="326"/>
      <c r="BR692" s="326"/>
      <c r="BS692" s="326"/>
      <c r="BT692" s="326"/>
      <c r="BU692" s="326"/>
      <c r="BV692" s="327"/>
    </row>
    <row r="693" spans="1:74" ht="45" customHeight="1" x14ac:dyDescent="0.25">
      <c r="A693" s="10">
        <f t="shared" si="2"/>
        <v>679</v>
      </c>
      <c r="B693" s="559" t="s">
        <v>303</v>
      </c>
      <c r="C693" s="327"/>
      <c r="D693" s="560" t="s">
        <v>307</v>
      </c>
      <c r="E693" s="327"/>
      <c r="F693" s="537" t="s">
        <v>334</v>
      </c>
      <c r="G693" s="327"/>
      <c r="H693" s="566" t="s">
        <v>334</v>
      </c>
      <c r="I693" s="327"/>
      <c r="J693" s="567"/>
      <c r="K693" s="327"/>
      <c r="L693" s="567"/>
      <c r="M693" s="327"/>
      <c r="N693" s="20"/>
      <c r="O693" s="24"/>
      <c r="P693" s="524"/>
      <c r="Q693" s="327"/>
      <c r="R693" s="538"/>
      <c r="S693" s="327"/>
      <c r="T693" s="539"/>
      <c r="U693" s="327"/>
      <c r="V693" s="540"/>
      <c r="W693" s="327"/>
      <c r="X693" s="541" t="s">
        <v>303</v>
      </c>
      <c r="Y693" s="326"/>
      <c r="Z693" s="326"/>
      <c r="AA693" s="327"/>
      <c r="AB693" s="542" t="s">
        <v>303</v>
      </c>
      <c r="AC693" s="326"/>
      <c r="AD693" s="326"/>
      <c r="AE693" s="327"/>
      <c r="AF693" s="543"/>
      <c r="AG693" s="327"/>
      <c r="AH693" s="543"/>
      <c r="AI693" s="327"/>
      <c r="AJ693" s="536"/>
      <c r="AK693" s="327"/>
      <c r="AL693" s="537" t="s">
        <v>334</v>
      </c>
      <c r="AM693" s="327"/>
      <c r="AN693" s="546" t="s">
        <v>334</v>
      </c>
      <c r="AO693" s="327"/>
      <c r="AP693" s="547"/>
      <c r="AQ693" s="327"/>
      <c r="AR693" s="548"/>
      <c r="AS693" s="327"/>
      <c r="AT693" s="568"/>
      <c r="AU693" s="327"/>
      <c r="AV693" s="546" t="s">
        <v>334</v>
      </c>
      <c r="AW693" s="327"/>
      <c r="AX693" s="521"/>
      <c r="AY693" s="326"/>
      <c r="AZ693" s="327"/>
      <c r="BA693" s="550"/>
      <c r="BB693" s="327"/>
      <c r="BC693" s="25"/>
      <c r="BD693" s="544" t="s">
        <v>334</v>
      </c>
      <c r="BE693" s="327"/>
      <c r="BF693" s="545"/>
      <c r="BG693" s="326"/>
      <c r="BH693" s="326"/>
      <c r="BI693" s="327"/>
      <c r="BJ693" s="557" t="s">
        <v>303</v>
      </c>
      <c r="BK693" s="326"/>
      <c r="BL693" s="326"/>
      <c r="BM693" s="327"/>
      <c r="BN693" s="558" t="s">
        <v>303</v>
      </c>
      <c r="BO693" s="326"/>
      <c r="BP693" s="326"/>
      <c r="BQ693" s="326"/>
      <c r="BR693" s="326"/>
      <c r="BS693" s="326"/>
      <c r="BT693" s="326"/>
      <c r="BU693" s="326"/>
      <c r="BV693" s="327"/>
    </row>
    <row r="694" spans="1:74" ht="45" customHeight="1" x14ac:dyDescent="0.25">
      <c r="A694" s="10">
        <f t="shared" si="2"/>
        <v>680</v>
      </c>
      <c r="B694" s="564" t="s">
        <v>303</v>
      </c>
      <c r="C694" s="327"/>
      <c r="D694" s="565" t="s">
        <v>307</v>
      </c>
      <c r="E694" s="327"/>
      <c r="F694" s="537" t="s">
        <v>334</v>
      </c>
      <c r="G694" s="327"/>
      <c r="H694" s="561" t="s">
        <v>334</v>
      </c>
      <c r="I694" s="327"/>
      <c r="J694" s="562"/>
      <c r="K694" s="327"/>
      <c r="L694" s="562"/>
      <c r="M694" s="327"/>
      <c r="N694" s="23"/>
      <c r="O694" s="21"/>
      <c r="P694" s="563"/>
      <c r="Q694" s="327"/>
      <c r="R694" s="516"/>
      <c r="S694" s="327"/>
      <c r="T694" s="517"/>
      <c r="U694" s="327"/>
      <c r="V694" s="518"/>
      <c r="W694" s="327"/>
      <c r="X694" s="438" t="s">
        <v>303</v>
      </c>
      <c r="Y694" s="326"/>
      <c r="Z694" s="326"/>
      <c r="AA694" s="327"/>
      <c r="AB694" s="519" t="s">
        <v>303</v>
      </c>
      <c r="AC694" s="326"/>
      <c r="AD694" s="326"/>
      <c r="AE694" s="327"/>
      <c r="AF694" s="520"/>
      <c r="AG694" s="327"/>
      <c r="AH694" s="520"/>
      <c r="AI694" s="327"/>
      <c r="AJ694" s="536"/>
      <c r="AK694" s="327"/>
      <c r="AL694" s="556" t="s">
        <v>334</v>
      </c>
      <c r="AM694" s="327"/>
      <c r="AN694" s="553" t="s">
        <v>334</v>
      </c>
      <c r="AO694" s="327"/>
      <c r="AP694" s="554"/>
      <c r="AQ694" s="327"/>
      <c r="AR694" s="555"/>
      <c r="AS694" s="327"/>
      <c r="AT694" s="549"/>
      <c r="AU694" s="327"/>
      <c r="AV694" s="553" t="s">
        <v>334</v>
      </c>
      <c r="AW694" s="327"/>
      <c r="AX694" s="521"/>
      <c r="AY694" s="326"/>
      <c r="AZ694" s="327"/>
      <c r="BA694" s="536"/>
      <c r="BB694" s="327"/>
      <c r="BC694" s="22"/>
      <c r="BD694" s="551" t="s">
        <v>334</v>
      </c>
      <c r="BE694" s="327"/>
      <c r="BF694" s="552"/>
      <c r="BG694" s="326"/>
      <c r="BH694" s="326"/>
      <c r="BI694" s="327"/>
      <c r="BJ694" s="451" t="s">
        <v>303</v>
      </c>
      <c r="BK694" s="326"/>
      <c r="BL694" s="326"/>
      <c r="BM694" s="327"/>
      <c r="BN694" s="558" t="s">
        <v>303</v>
      </c>
      <c r="BO694" s="326"/>
      <c r="BP694" s="326"/>
      <c r="BQ694" s="326"/>
      <c r="BR694" s="326"/>
      <c r="BS694" s="326"/>
      <c r="BT694" s="326"/>
      <c r="BU694" s="326"/>
      <c r="BV694" s="327"/>
    </row>
    <row r="695" spans="1:74" ht="45" customHeight="1" x14ac:dyDescent="0.25">
      <c r="A695" s="10">
        <f t="shared" si="2"/>
        <v>681</v>
      </c>
      <c r="B695" s="559" t="s">
        <v>303</v>
      </c>
      <c r="C695" s="327"/>
      <c r="D695" s="560" t="s">
        <v>307</v>
      </c>
      <c r="E695" s="327"/>
      <c r="F695" s="537" t="s">
        <v>334</v>
      </c>
      <c r="G695" s="327"/>
      <c r="H695" s="566" t="s">
        <v>334</v>
      </c>
      <c r="I695" s="327"/>
      <c r="J695" s="567"/>
      <c r="K695" s="327"/>
      <c r="L695" s="567"/>
      <c r="M695" s="327"/>
      <c r="N695" s="23"/>
      <c r="O695" s="24"/>
      <c r="P695" s="563"/>
      <c r="Q695" s="327"/>
      <c r="R695" s="538"/>
      <c r="S695" s="327"/>
      <c r="T695" s="539"/>
      <c r="U695" s="327"/>
      <c r="V695" s="540"/>
      <c r="W695" s="327"/>
      <c r="X695" s="541" t="s">
        <v>303</v>
      </c>
      <c r="Y695" s="326"/>
      <c r="Z695" s="326"/>
      <c r="AA695" s="327"/>
      <c r="AB695" s="542" t="s">
        <v>303</v>
      </c>
      <c r="AC695" s="326"/>
      <c r="AD695" s="326"/>
      <c r="AE695" s="327"/>
      <c r="AF695" s="543"/>
      <c r="AG695" s="327"/>
      <c r="AH695" s="543"/>
      <c r="AI695" s="327"/>
      <c r="AJ695" s="536"/>
      <c r="AK695" s="327"/>
      <c r="AL695" s="537" t="s">
        <v>334</v>
      </c>
      <c r="AM695" s="327"/>
      <c r="AN695" s="546" t="s">
        <v>334</v>
      </c>
      <c r="AO695" s="327"/>
      <c r="AP695" s="547"/>
      <c r="AQ695" s="327"/>
      <c r="AR695" s="548"/>
      <c r="AS695" s="327"/>
      <c r="AT695" s="549"/>
      <c r="AU695" s="327"/>
      <c r="AV695" s="546" t="s">
        <v>334</v>
      </c>
      <c r="AW695" s="327"/>
      <c r="AX695" s="521"/>
      <c r="AY695" s="326"/>
      <c r="AZ695" s="327"/>
      <c r="BA695" s="550"/>
      <c r="BB695" s="327"/>
      <c r="BC695" s="25"/>
      <c r="BD695" s="544" t="s">
        <v>334</v>
      </c>
      <c r="BE695" s="327"/>
      <c r="BF695" s="545"/>
      <c r="BG695" s="326"/>
      <c r="BH695" s="326"/>
      <c r="BI695" s="327"/>
      <c r="BJ695" s="557" t="s">
        <v>303</v>
      </c>
      <c r="BK695" s="326"/>
      <c r="BL695" s="326"/>
      <c r="BM695" s="327"/>
      <c r="BN695" s="558" t="s">
        <v>303</v>
      </c>
      <c r="BO695" s="326"/>
      <c r="BP695" s="326"/>
      <c r="BQ695" s="326"/>
      <c r="BR695" s="326"/>
      <c r="BS695" s="326"/>
      <c r="BT695" s="326"/>
      <c r="BU695" s="326"/>
      <c r="BV695" s="327"/>
    </row>
    <row r="696" spans="1:74" ht="45" customHeight="1" x14ac:dyDescent="0.25">
      <c r="A696" s="10">
        <f t="shared" si="2"/>
        <v>682</v>
      </c>
      <c r="B696" s="564" t="s">
        <v>303</v>
      </c>
      <c r="C696" s="327"/>
      <c r="D696" s="565" t="s">
        <v>307</v>
      </c>
      <c r="E696" s="327"/>
      <c r="F696" s="537" t="s">
        <v>334</v>
      </c>
      <c r="G696" s="327"/>
      <c r="H696" s="561" t="s">
        <v>334</v>
      </c>
      <c r="I696" s="327"/>
      <c r="J696" s="562"/>
      <c r="K696" s="327"/>
      <c r="L696" s="562"/>
      <c r="M696" s="327"/>
      <c r="N696" s="20"/>
      <c r="O696" s="21"/>
      <c r="P696" s="524"/>
      <c r="Q696" s="327"/>
      <c r="R696" s="516"/>
      <c r="S696" s="327"/>
      <c r="T696" s="517"/>
      <c r="U696" s="327"/>
      <c r="V696" s="518"/>
      <c r="W696" s="327"/>
      <c r="X696" s="438" t="s">
        <v>303</v>
      </c>
      <c r="Y696" s="326"/>
      <c r="Z696" s="326"/>
      <c r="AA696" s="327"/>
      <c r="AB696" s="519" t="s">
        <v>303</v>
      </c>
      <c r="AC696" s="326"/>
      <c r="AD696" s="326"/>
      <c r="AE696" s="327"/>
      <c r="AF696" s="520"/>
      <c r="AG696" s="327"/>
      <c r="AH696" s="520"/>
      <c r="AI696" s="327"/>
      <c r="AJ696" s="536"/>
      <c r="AK696" s="327"/>
      <c r="AL696" s="556" t="s">
        <v>334</v>
      </c>
      <c r="AM696" s="327"/>
      <c r="AN696" s="553" t="s">
        <v>334</v>
      </c>
      <c r="AO696" s="327"/>
      <c r="AP696" s="554"/>
      <c r="AQ696" s="327"/>
      <c r="AR696" s="555"/>
      <c r="AS696" s="327"/>
      <c r="AT696" s="549"/>
      <c r="AU696" s="327"/>
      <c r="AV696" s="553" t="s">
        <v>334</v>
      </c>
      <c r="AW696" s="327"/>
      <c r="AX696" s="521"/>
      <c r="AY696" s="326"/>
      <c r="AZ696" s="327"/>
      <c r="BA696" s="536"/>
      <c r="BB696" s="327"/>
      <c r="BC696" s="22"/>
      <c r="BD696" s="551" t="s">
        <v>334</v>
      </c>
      <c r="BE696" s="327"/>
      <c r="BF696" s="552"/>
      <c r="BG696" s="326"/>
      <c r="BH696" s="326"/>
      <c r="BI696" s="327"/>
      <c r="BJ696" s="451" t="s">
        <v>303</v>
      </c>
      <c r="BK696" s="326"/>
      <c r="BL696" s="326"/>
      <c r="BM696" s="327"/>
      <c r="BN696" s="558" t="s">
        <v>303</v>
      </c>
      <c r="BO696" s="326"/>
      <c r="BP696" s="326"/>
      <c r="BQ696" s="326"/>
      <c r="BR696" s="326"/>
      <c r="BS696" s="326"/>
      <c r="BT696" s="326"/>
      <c r="BU696" s="326"/>
      <c r="BV696" s="327"/>
    </row>
    <row r="697" spans="1:74" ht="45" customHeight="1" x14ac:dyDescent="0.25">
      <c r="A697" s="10">
        <f t="shared" si="2"/>
        <v>683</v>
      </c>
      <c r="B697" s="559" t="s">
        <v>303</v>
      </c>
      <c r="C697" s="327"/>
      <c r="D697" s="560" t="s">
        <v>307</v>
      </c>
      <c r="E697" s="327"/>
      <c r="F697" s="537" t="s">
        <v>334</v>
      </c>
      <c r="G697" s="327"/>
      <c r="H697" s="566" t="s">
        <v>334</v>
      </c>
      <c r="I697" s="327"/>
      <c r="J697" s="567"/>
      <c r="K697" s="327"/>
      <c r="L697" s="567"/>
      <c r="M697" s="327"/>
      <c r="N697" s="23"/>
      <c r="O697" s="24"/>
      <c r="P697" s="563"/>
      <c r="Q697" s="327"/>
      <c r="R697" s="538"/>
      <c r="S697" s="327"/>
      <c r="T697" s="539"/>
      <c r="U697" s="327"/>
      <c r="V697" s="540"/>
      <c r="W697" s="327"/>
      <c r="X697" s="541" t="s">
        <v>303</v>
      </c>
      <c r="Y697" s="326"/>
      <c r="Z697" s="326"/>
      <c r="AA697" s="327"/>
      <c r="AB697" s="542" t="s">
        <v>303</v>
      </c>
      <c r="AC697" s="326"/>
      <c r="AD697" s="326"/>
      <c r="AE697" s="327"/>
      <c r="AF697" s="543"/>
      <c r="AG697" s="327"/>
      <c r="AH697" s="543"/>
      <c r="AI697" s="327"/>
      <c r="AJ697" s="536"/>
      <c r="AK697" s="327"/>
      <c r="AL697" s="537" t="s">
        <v>334</v>
      </c>
      <c r="AM697" s="327"/>
      <c r="AN697" s="546" t="s">
        <v>334</v>
      </c>
      <c r="AO697" s="327"/>
      <c r="AP697" s="547"/>
      <c r="AQ697" s="327"/>
      <c r="AR697" s="548"/>
      <c r="AS697" s="327"/>
      <c r="AT697" s="549"/>
      <c r="AU697" s="327"/>
      <c r="AV697" s="546" t="s">
        <v>334</v>
      </c>
      <c r="AW697" s="327"/>
      <c r="AX697" s="521"/>
      <c r="AY697" s="326"/>
      <c r="AZ697" s="327"/>
      <c r="BA697" s="550"/>
      <c r="BB697" s="327"/>
      <c r="BC697" s="25"/>
      <c r="BD697" s="544" t="s">
        <v>334</v>
      </c>
      <c r="BE697" s="327"/>
      <c r="BF697" s="545"/>
      <c r="BG697" s="326"/>
      <c r="BH697" s="326"/>
      <c r="BI697" s="327"/>
      <c r="BJ697" s="557" t="s">
        <v>303</v>
      </c>
      <c r="BK697" s="326"/>
      <c r="BL697" s="326"/>
      <c r="BM697" s="327"/>
      <c r="BN697" s="558" t="s">
        <v>303</v>
      </c>
      <c r="BO697" s="326"/>
      <c r="BP697" s="326"/>
      <c r="BQ697" s="326"/>
      <c r="BR697" s="326"/>
      <c r="BS697" s="326"/>
      <c r="BT697" s="326"/>
      <c r="BU697" s="326"/>
      <c r="BV697" s="327"/>
    </row>
    <row r="698" spans="1:74" ht="45" customHeight="1" x14ac:dyDescent="0.25">
      <c r="A698" s="10">
        <f t="shared" si="2"/>
        <v>684</v>
      </c>
      <c r="B698" s="564" t="s">
        <v>303</v>
      </c>
      <c r="C698" s="327"/>
      <c r="D698" s="565" t="s">
        <v>307</v>
      </c>
      <c r="E698" s="327"/>
      <c r="F698" s="537" t="s">
        <v>334</v>
      </c>
      <c r="G698" s="327"/>
      <c r="H698" s="561" t="s">
        <v>334</v>
      </c>
      <c r="I698" s="327"/>
      <c r="J698" s="562"/>
      <c r="K698" s="327"/>
      <c r="L698" s="562"/>
      <c r="M698" s="327"/>
      <c r="N698" s="20"/>
      <c r="O698" s="21"/>
      <c r="P698" s="524"/>
      <c r="Q698" s="327"/>
      <c r="R698" s="516"/>
      <c r="S698" s="327"/>
      <c r="T698" s="517"/>
      <c r="U698" s="327"/>
      <c r="V698" s="518"/>
      <c r="W698" s="327"/>
      <c r="X698" s="438" t="s">
        <v>303</v>
      </c>
      <c r="Y698" s="326"/>
      <c r="Z698" s="326"/>
      <c r="AA698" s="327"/>
      <c r="AB698" s="519" t="s">
        <v>303</v>
      </c>
      <c r="AC698" s="326"/>
      <c r="AD698" s="326"/>
      <c r="AE698" s="327"/>
      <c r="AF698" s="520"/>
      <c r="AG698" s="327"/>
      <c r="AH698" s="520"/>
      <c r="AI698" s="327"/>
      <c r="AJ698" s="536"/>
      <c r="AK698" s="327"/>
      <c r="AL698" s="556" t="s">
        <v>334</v>
      </c>
      <c r="AM698" s="327"/>
      <c r="AN698" s="553" t="s">
        <v>334</v>
      </c>
      <c r="AO698" s="327"/>
      <c r="AP698" s="554"/>
      <c r="AQ698" s="327"/>
      <c r="AR698" s="555"/>
      <c r="AS698" s="327"/>
      <c r="AT698" s="549"/>
      <c r="AU698" s="327"/>
      <c r="AV698" s="553" t="s">
        <v>334</v>
      </c>
      <c r="AW698" s="327"/>
      <c r="AX698" s="521"/>
      <c r="AY698" s="326"/>
      <c r="AZ698" s="327"/>
      <c r="BA698" s="536"/>
      <c r="BB698" s="327"/>
      <c r="BC698" s="22"/>
      <c r="BD698" s="551" t="s">
        <v>334</v>
      </c>
      <c r="BE698" s="327"/>
      <c r="BF698" s="552"/>
      <c r="BG698" s="326"/>
      <c r="BH698" s="326"/>
      <c r="BI698" s="327"/>
      <c r="BJ698" s="451" t="s">
        <v>303</v>
      </c>
      <c r="BK698" s="326"/>
      <c r="BL698" s="326"/>
      <c r="BM698" s="327"/>
      <c r="BN698" s="558" t="s">
        <v>303</v>
      </c>
      <c r="BO698" s="326"/>
      <c r="BP698" s="326"/>
      <c r="BQ698" s="326"/>
      <c r="BR698" s="326"/>
      <c r="BS698" s="326"/>
      <c r="BT698" s="326"/>
      <c r="BU698" s="326"/>
      <c r="BV698" s="327"/>
    </row>
    <row r="699" spans="1:74" ht="45" customHeight="1" x14ac:dyDescent="0.25">
      <c r="A699" s="10">
        <f t="shared" si="2"/>
        <v>685</v>
      </c>
      <c r="B699" s="559" t="s">
        <v>303</v>
      </c>
      <c r="C699" s="327"/>
      <c r="D699" s="560" t="s">
        <v>307</v>
      </c>
      <c r="E699" s="327"/>
      <c r="F699" s="537" t="s">
        <v>334</v>
      </c>
      <c r="G699" s="327"/>
      <c r="H699" s="566" t="s">
        <v>334</v>
      </c>
      <c r="I699" s="327"/>
      <c r="J699" s="567"/>
      <c r="K699" s="327"/>
      <c r="L699" s="567"/>
      <c r="M699" s="327"/>
      <c r="N699" s="23"/>
      <c r="O699" s="24"/>
      <c r="P699" s="563"/>
      <c r="Q699" s="327"/>
      <c r="R699" s="538"/>
      <c r="S699" s="327"/>
      <c r="T699" s="539"/>
      <c r="U699" s="327"/>
      <c r="V699" s="540"/>
      <c r="W699" s="327"/>
      <c r="X699" s="541" t="s">
        <v>303</v>
      </c>
      <c r="Y699" s="326"/>
      <c r="Z699" s="326"/>
      <c r="AA699" s="327"/>
      <c r="AB699" s="542" t="s">
        <v>303</v>
      </c>
      <c r="AC699" s="326"/>
      <c r="AD699" s="326"/>
      <c r="AE699" s="327"/>
      <c r="AF699" s="543"/>
      <c r="AG699" s="327"/>
      <c r="AH699" s="543"/>
      <c r="AI699" s="327"/>
      <c r="AJ699" s="536"/>
      <c r="AK699" s="327"/>
      <c r="AL699" s="537" t="s">
        <v>334</v>
      </c>
      <c r="AM699" s="327"/>
      <c r="AN699" s="546" t="s">
        <v>334</v>
      </c>
      <c r="AO699" s="327"/>
      <c r="AP699" s="547"/>
      <c r="AQ699" s="327"/>
      <c r="AR699" s="548"/>
      <c r="AS699" s="327"/>
      <c r="AT699" s="568"/>
      <c r="AU699" s="327"/>
      <c r="AV699" s="546" t="s">
        <v>334</v>
      </c>
      <c r="AW699" s="327"/>
      <c r="AX699" s="521"/>
      <c r="AY699" s="326"/>
      <c r="AZ699" s="327"/>
      <c r="BA699" s="550"/>
      <c r="BB699" s="327"/>
      <c r="BC699" s="25"/>
      <c r="BD699" s="544" t="s">
        <v>334</v>
      </c>
      <c r="BE699" s="327"/>
      <c r="BF699" s="545"/>
      <c r="BG699" s="326"/>
      <c r="BH699" s="326"/>
      <c r="BI699" s="327"/>
      <c r="BJ699" s="557" t="s">
        <v>303</v>
      </c>
      <c r="BK699" s="326"/>
      <c r="BL699" s="326"/>
      <c r="BM699" s="327"/>
      <c r="BN699" s="558" t="s">
        <v>303</v>
      </c>
      <c r="BO699" s="326"/>
      <c r="BP699" s="326"/>
      <c r="BQ699" s="326"/>
      <c r="BR699" s="326"/>
      <c r="BS699" s="326"/>
      <c r="BT699" s="326"/>
      <c r="BU699" s="326"/>
      <c r="BV699" s="327"/>
    </row>
    <row r="700" spans="1:74" ht="45" customHeight="1" x14ac:dyDescent="0.25">
      <c r="A700" s="10">
        <f t="shared" si="2"/>
        <v>686</v>
      </c>
      <c r="B700" s="564" t="s">
        <v>303</v>
      </c>
      <c r="C700" s="327"/>
      <c r="D700" s="565" t="s">
        <v>307</v>
      </c>
      <c r="E700" s="327"/>
      <c r="F700" s="537" t="s">
        <v>334</v>
      </c>
      <c r="G700" s="327"/>
      <c r="H700" s="561" t="s">
        <v>334</v>
      </c>
      <c r="I700" s="327"/>
      <c r="J700" s="562"/>
      <c r="K700" s="327"/>
      <c r="L700" s="562"/>
      <c r="M700" s="327"/>
      <c r="N700" s="20"/>
      <c r="O700" s="21"/>
      <c r="P700" s="524"/>
      <c r="Q700" s="327"/>
      <c r="R700" s="516"/>
      <c r="S700" s="327"/>
      <c r="T700" s="517"/>
      <c r="U700" s="327"/>
      <c r="V700" s="518"/>
      <c r="W700" s="327"/>
      <c r="X700" s="438" t="s">
        <v>303</v>
      </c>
      <c r="Y700" s="326"/>
      <c r="Z700" s="326"/>
      <c r="AA700" s="327"/>
      <c r="AB700" s="519" t="s">
        <v>303</v>
      </c>
      <c r="AC700" s="326"/>
      <c r="AD700" s="326"/>
      <c r="AE700" s="327"/>
      <c r="AF700" s="520"/>
      <c r="AG700" s="327"/>
      <c r="AH700" s="520"/>
      <c r="AI700" s="327"/>
      <c r="AJ700" s="536"/>
      <c r="AK700" s="327"/>
      <c r="AL700" s="556" t="s">
        <v>334</v>
      </c>
      <c r="AM700" s="327"/>
      <c r="AN700" s="553" t="s">
        <v>334</v>
      </c>
      <c r="AO700" s="327"/>
      <c r="AP700" s="554"/>
      <c r="AQ700" s="327"/>
      <c r="AR700" s="555"/>
      <c r="AS700" s="327"/>
      <c r="AT700" s="549"/>
      <c r="AU700" s="327"/>
      <c r="AV700" s="553" t="s">
        <v>334</v>
      </c>
      <c r="AW700" s="327"/>
      <c r="AX700" s="521"/>
      <c r="AY700" s="326"/>
      <c r="AZ700" s="327"/>
      <c r="BA700" s="536"/>
      <c r="BB700" s="327"/>
      <c r="BC700" s="22"/>
      <c r="BD700" s="551" t="s">
        <v>334</v>
      </c>
      <c r="BE700" s="327"/>
      <c r="BF700" s="508"/>
      <c r="BG700" s="326"/>
      <c r="BH700" s="326"/>
      <c r="BI700" s="327"/>
      <c r="BJ700" s="451" t="s">
        <v>303</v>
      </c>
      <c r="BK700" s="326"/>
      <c r="BL700" s="326"/>
      <c r="BM700" s="327"/>
      <c r="BN700" s="558" t="s">
        <v>303</v>
      </c>
      <c r="BO700" s="326"/>
      <c r="BP700" s="326"/>
      <c r="BQ700" s="326"/>
      <c r="BR700" s="326"/>
      <c r="BS700" s="326"/>
      <c r="BT700" s="326"/>
      <c r="BU700" s="326"/>
      <c r="BV700" s="327"/>
    </row>
    <row r="701" spans="1:74" ht="45" customHeight="1" x14ac:dyDescent="0.25">
      <c r="A701" s="10">
        <f t="shared" si="2"/>
        <v>687</v>
      </c>
      <c r="B701" s="559" t="s">
        <v>303</v>
      </c>
      <c r="C701" s="327"/>
      <c r="D701" s="560" t="s">
        <v>307</v>
      </c>
      <c r="E701" s="327"/>
      <c r="F701" s="537" t="s">
        <v>334</v>
      </c>
      <c r="G701" s="327"/>
      <c r="H701" s="566" t="s">
        <v>334</v>
      </c>
      <c r="I701" s="327"/>
      <c r="J701" s="567"/>
      <c r="K701" s="327"/>
      <c r="L701" s="567"/>
      <c r="M701" s="327"/>
      <c r="N701" s="23"/>
      <c r="O701" s="24"/>
      <c r="P701" s="563"/>
      <c r="Q701" s="327"/>
      <c r="R701" s="538"/>
      <c r="S701" s="327"/>
      <c r="T701" s="539"/>
      <c r="U701" s="327"/>
      <c r="V701" s="540"/>
      <c r="W701" s="327"/>
      <c r="X701" s="541" t="s">
        <v>303</v>
      </c>
      <c r="Y701" s="326"/>
      <c r="Z701" s="326"/>
      <c r="AA701" s="327"/>
      <c r="AB701" s="542" t="s">
        <v>303</v>
      </c>
      <c r="AC701" s="326"/>
      <c r="AD701" s="326"/>
      <c r="AE701" s="327"/>
      <c r="AF701" s="543"/>
      <c r="AG701" s="327"/>
      <c r="AH701" s="543"/>
      <c r="AI701" s="327"/>
      <c r="AJ701" s="536"/>
      <c r="AK701" s="327"/>
      <c r="AL701" s="537" t="s">
        <v>334</v>
      </c>
      <c r="AM701" s="327"/>
      <c r="AN701" s="546" t="s">
        <v>334</v>
      </c>
      <c r="AO701" s="327"/>
      <c r="AP701" s="547"/>
      <c r="AQ701" s="327"/>
      <c r="AR701" s="548"/>
      <c r="AS701" s="327"/>
      <c r="AT701" s="568"/>
      <c r="AU701" s="327"/>
      <c r="AV701" s="546" t="s">
        <v>334</v>
      </c>
      <c r="AW701" s="327"/>
      <c r="AX701" s="521"/>
      <c r="AY701" s="326"/>
      <c r="AZ701" s="327"/>
      <c r="BA701" s="550"/>
      <c r="BB701" s="327"/>
      <c r="BC701" s="25"/>
      <c r="BD701" s="544" t="s">
        <v>334</v>
      </c>
      <c r="BE701" s="327"/>
      <c r="BF701" s="545"/>
      <c r="BG701" s="326"/>
      <c r="BH701" s="326"/>
      <c r="BI701" s="327"/>
      <c r="BJ701" s="557" t="s">
        <v>303</v>
      </c>
      <c r="BK701" s="326"/>
      <c r="BL701" s="326"/>
      <c r="BM701" s="327"/>
      <c r="BN701" s="558" t="s">
        <v>303</v>
      </c>
      <c r="BO701" s="326"/>
      <c r="BP701" s="326"/>
      <c r="BQ701" s="326"/>
      <c r="BR701" s="326"/>
      <c r="BS701" s="326"/>
      <c r="BT701" s="326"/>
      <c r="BU701" s="326"/>
      <c r="BV701" s="327"/>
    </row>
    <row r="702" spans="1:74" ht="45" customHeight="1" x14ac:dyDescent="0.25">
      <c r="A702" s="10">
        <f t="shared" si="2"/>
        <v>688</v>
      </c>
      <c r="B702" s="564" t="s">
        <v>303</v>
      </c>
      <c r="C702" s="327"/>
      <c r="D702" s="565" t="s">
        <v>307</v>
      </c>
      <c r="E702" s="327"/>
      <c r="F702" s="537" t="s">
        <v>334</v>
      </c>
      <c r="G702" s="327"/>
      <c r="H702" s="561" t="s">
        <v>334</v>
      </c>
      <c r="I702" s="327"/>
      <c r="J702" s="562"/>
      <c r="K702" s="327"/>
      <c r="L702" s="562"/>
      <c r="M702" s="327"/>
      <c r="N702" s="20"/>
      <c r="O702" s="21"/>
      <c r="P702" s="524"/>
      <c r="Q702" s="327"/>
      <c r="R702" s="516"/>
      <c r="S702" s="327"/>
      <c r="T702" s="517"/>
      <c r="U702" s="327"/>
      <c r="V702" s="518"/>
      <c r="W702" s="327"/>
      <c r="X702" s="438" t="s">
        <v>303</v>
      </c>
      <c r="Y702" s="326"/>
      <c r="Z702" s="326"/>
      <c r="AA702" s="327"/>
      <c r="AB702" s="519" t="s">
        <v>303</v>
      </c>
      <c r="AC702" s="326"/>
      <c r="AD702" s="326"/>
      <c r="AE702" s="327"/>
      <c r="AF702" s="520"/>
      <c r="AG702" s="327"/>
      <c r="AH702" s="520"/>
      <c r="AI702" s="327"/>
      <c r="AJ702" s="536"/>
      <c r="AK702" s="327"/>
      <c r="AL702" s="556" t="s">
        <v>334</v>
      </c>
      <c r="AM702" s="327"/>
      <c r="AN702" s="553" t="s">
        <v>334</v>
      </c>
      <c r="AO702" s="327"/>
      <c r="AP702" s="554"/>
      <c r="AQ702" s="327"/>
      <c r="AR702" s="555"/>
      <c r="AS702" s="327"/>
      <c r="AT702" s="549"/>
      <c r="AU702" s="327"/>
      <c r="AV702" s="553" t="s">
        <v>334</v>
      </c>
      <c r="AW702" s="327"/>
      <c r="AX702" s="521"/>
      <c r="AY702" s="326"/>
      <c r="AZ702" s="327"/>
      <c r="BA702" s="536"/>
      <c r="BB702" s="327"/>
      <c r="BC702" s="22"/>
      <c r="BD702" s="551" t="s">
        <v>334</v>
      </c>
      <c r="BE702" s="327"/>
      <c r="BF702" s="552"/>
      <c r="BG702" s="326"/>
      <c r="BH702" s="326"/>
      <c r="BI702" s="327"/>
      <c r="BJ702" s="451" t="s">
        <v>303</v>
      </c>
      <c r="BK702" s="326"/>
      <c r="BL702" s="326"/>
      <c r="BM702" s="327"/>
      <c r="BN702" s="558" t="s">
        <v>303</v>
      </c>
      <c r="BO702" s="326"/>
      <c r="BP702" s="326"/>
      <c r="BQ702" s="326"/>
      <c r="BR702" s="326"/>
      <c r="BS702" s="326"/>
      <c r="BT702" s="326"/>
      <c r="BU702" s="326"/>
      <c r="BV702" s="327"/>
    </row>
    <row r="703" spans="1:74" ht="45" customHeight="1" x14ac:dyDescent="0.25">
      <c r="A703" s="10">
        <f t="shared" si="2"/>
        <v>689</v>
      </c>
      <c r="B703" s="559" t="s">
        <v>303</v>
      </c>
      <c r="C703" s="327"/>
      <c r="D703" s="560" t="s">
        <v>307</v>
      </c>
      <c r="E703" s="327"/>
      <c r="F703" s="537" t="s">
        <v>334</v>
      </c>
      <c r="G703" s="327"/>
      <c r="H703" s="566" t="s">
        <v>334</v>
      </c>
      <c r="I703" s="327"/>
      <c r="J703" s="567"/>
      <c r="K703" s="327"/>
      <c r="L703" s="567"/>
      <c r="M703" s="327"/>
      <c r="N703" s="23"/>
      <c r="O703" s="24"/>
      <c r="P703" s="563"/>
      <c r="Q703" s="327"/>
      <c r="R703" s="538"/>
      <c r="S703" s="327"/>
      <c r="T703" s="539"/>
      <c r="U703" s="327"/>
      <c r="V703" s="540"/>
      <c r="W703" s="327"/>
      <c r="X703" s="541" t="s">
        <v>303</v>
      </c>
      <c r="Y703" s="326"/>
      <c r="Z703" s="326"/>
      <c r="AA703" s="327"/>
      <c r="AB703" s="542" t="s">
        <v>303</v>
      </c>
      <c r="AC703" s="326"/>
      <c r="AD703" s="326"/>
      <c r="AE703" s="327"/>
      <c r="AF703" s="543"/>
      <c r="AG703" s="327"/>
      <c r="AH703" s="543"/>
      <c r="AI703" s="327"/>
      <c r="AJ703" s="536"/>
      <c r="AK703" s="327"/>
      <c r="AL703" s="537" t="s">
        <v>334</v>
      </c>
      <c r="AM703" s="327"/>
      <c r="AN703" s="546" t="s">
        <v>334</v>
      </c>
      <c r="AO703" s="327"/>
      <c r="AP703" s="547"/>
      <c r="AQ703" s="327"/>
      <c r="AR703" s="548"/>
      <c r="AS703" s="327"/>
      <c r="AT703" s="568"/>
      <c r="AU703" s="327"/>
      <c r="AV703" s="546" t="s">
        <v>334</v>
      </c>
      <c r="AW703" s="327"/>
      <c r="AX703" s="521"/>
      <c r="AY703" s="326"/>
      <c r="AZ703" s="327"/>
      <c r="BA703" s="550"/>
      <c r="BB703" s="327"/>
      <c r="BC703" s="25"/>
      <c r="BD703" s="544" t="s">
        <v>334</v>
      </c>
      <c r="BE703" s="327"/>
      <c r="BF703" s="545"/>
      <c r="BG703" s="326"/>
      <c r="BH703" s="326"/>
      <c r="BI703" s="327"/>
      <c r="BJ703" s="557" t="s">
        <v>303</v>
      </c>
      <c r="BK703" s="326"/>
      <c r="BL703" s="326"/>
      <c r="BM703" s="327"/>
      <c r="BN703" s="558" t="s">
        <v>303</v>
      </c>
      <c r="BO703" s="326"/>
      <c r="BP703" s="326"/>
      <c r="BQ703" s="326"/>
      <c r="BR703" s="326"/>
      <c r="BS703" s="326"/>
      <c r="BT703" s="326"/>
      <c r="BU703" s="326"/>
      <c r="BV703" s="327"/>
    </row>
    <row r="704" spans="1:74" ht="45" customHeight="1" x14ac:dyDescent="0.25">
      <c r="A704" s="10">
        <f t="shared" si="2"/>
        <v>690</v>
      </c>
      <c r="B704" s="564" t="s">
        <v>303</v>
      </c>
      <c r="C704" s="327"/>
      <c r="D704" s="565" t="s">
        <v>307</v>
      </c>
      <c r="E704" s="327"/>
      <c r="F704" s="537" t="s">
        <v>334</v>
      </c>
      <c r="G704" s="327"/>
      <c r="H704" s="561" t="s">
        <v>334</v>
      </c>
      <c r="I704" s="327"/>
      <c r="J704" s="562"/>
      <c r="K704" s="327"/>
      <c r="L704" s="562"/>
      <c r="M704" s="327"/>
      <c r="N704" s="20"/>
      <c r="O704" s="21"/>
      <c r="P704" s="524"/>
      <c r="Q704" s="327"/>
      <c r="R704" s="516"/>
      <c r="S704" s="327"/>
      <c r="T704" s="517"/>
      <c r="U704" s="327"/>
      <c r="V704" s="518"/>
      <c r="W704" s="327"/>
      <c r="X704" s="438" t="s">
        <v>303</v>
      </c>
      <c r="Y704" s="326"/>
      <c r="Z704" s="326"/>
      <c r="AA704" s="327"/>
      <c r="AB704" s="519" t="s">
        <v>303</v>
      </c>
      <c r="AC704" s="326"/>
      <c r="AD704" s="326"/>
      <c r="AE704" s="327"/>
      <c r="AF704" s="520"/>
      <c r="AG704" s="327"/>
      <c r="AH704" s="520"/>
      <c r="AI704" s="327"/>
      <c r="AJ704" s="536"/>
      <c r="AK704" s="327"/>
      <c r="AL704" s="556" t="s">
        <v>334</v>
      </c>
      <c r="AM704" s="327"/>
      <c r="AN704" s="553" t="s">
        <v>334</v>
      </c>
      <c r="AO704" s="327"/>
      <c r="AP704" s="554"/>
      <c r="AQ704" s="327"/>
      <c r="AR704" s="555"/>
      <c r="AS704" s="327"/>
      <c r="AT704" s="549"/>
      <c r="AU704" s="327"/>
      <c r="AV704" s="553" t="s">
        <v>334</v>
      </c>
      <c r="AW704" s="327"/>
      <c r="AX704" s="521"/>
      <c r="AY704" s="326"/>
      <c r="AZ704" s="327"/>
      <c r="BA704" s="536"/>
      <c r="BB704" s="327"/>
      <c r="BC704" s="22"/>
      <c r="BD704" s="551" t="s">
        <v>334</v>
      </c>
      <c r="BE704" s="327"/>
      <c r="BF704" s="552"/>
      <c r="BG704" s="326"/>
      <c r="BH704" s="326"/>
      <c r="BI704" s="327"/>
      <c r="BJ704" s="451" t="s">
        <v>303</v>
      </c>
      <c r="BK704" s="326"/>
      <c r="BL704" s="326"/>
      <c r="BM704" s="327"/>
      <c r="BN704" s="558" t="s">
        <v>303</v>
      </c>
      <c r="BO704" s="326"/>
      <c r="BP704" s="326"/>
      <c r="BQ704" s="326"/>
      <c r="BR704" s="326"/>
      <c r="BS704" s="326"/>
      <c r="BT704" s="326"/>
      <c r="BU704" s="326"/>
      <c r="BV704" s="327"/>
    </row>
    <row r="705" spans="1:74" ht="45" customHeight="1" x14ac:dyDescent="0.25">
      <c r="A705" s="10">
        <f t="shared" si="2"/>
        <v>691</v>
      </c>
      <c r="B705" s="559" t="s">
        <v>303</v>
      </c>
      <c r="C705" s="327"/>
      <c r="D705" s="560" t="s">
        <v>307</v>
      </c>
      <c r="E705" s="327"/>
      <c r="F705" s="537" t="s">
        <v>334</v>
      </c>
      <c r="G705" s="327"/>
      <c r="H705" s="566" t="s">
        <v>334</v>
      </c>
      <c r="I705" s="327"/>
      <c r="J705" s="567"/>
      <c r="K705" s="327"/>
      <c r="L705" s="567"/>
      <c r="M705" s="327"/>
      <c r="N705" s="23"/>
      <c r="O705" s="24"/>
      <c r="P705" s="563"/>
      <c r="Q705" s="327"/>
      <c r="R705" s="538"/>
      <c r="S705" s="327"/>
      <c r="T705" s="539"/>
      <c r="U705" s="327"/>
      <c r="V705" s="540"/>
      <c r="W705" s="327"/>
      <c r="X705" s="541" t="s">
        <v>303</v>
      </c>
      <c r="Y705" s="326"/>
      <c r="Z705" s="326"/>
      <c r="AA705" s="327"/>
      <c r="AB705" s="542" t="s">
        <v>303</v>
      </c>
      <c r="AC705" s="326"/>
      <c r="AD705" s="326"/>
      <c r="AE705" s="327"/>
      <c r="AF705" s="543"/>
      <c r="AG705" s="327"/>
      <c r="AH705" s="543"/>
      <c r="AI705" s="327"/>
      <c r="AJ705" s="536"/>
      <c r="AK705" s="327"/>
      <c r="AL705" s="537" t="s">
        <v>334</v>
      </c>
      <c r="AM705" s="327"/>
      <c r="AN705" s="546" t="s">
        <v>334</v>
      </c>
      <c r="AO705" s="327"/>
      <c r="AP705" s="547"/>
      <c r="AQ705" s="327"/>
      <c r="AR705" s="548"/>
      <c r="AS705" s="327"/>
      <c r="AT705" s="568"/>
      <c r="AU705" s="327"/>
      <c r="AV705" s="546" t="s">
        <v>334</v>
      </c>
      <c r="AW705" s="327"/>
      <c r="AX705" s="521"/>
      <c r="AY705" s="326"/>
      <c r="AZ705" s="327"/>
      <c r="BA705" s="550"/>
      <c r="BB705" s="327"/>
      <c r="BC705" s="25"/>
      <c r="BD705" s="544" t="s">
        <v>334</v>
      </c>
      <c r="BE705" s="327"/>
      <c r="BF705" s="545"/>
      <c r="BG705" s="326"/>
      <c r="BH705" s="326"/>
      <c r="BI705" s="327"/>
      <c r="BJ705" s="557" t="s">
        <v>303</v>
      </c>
      <c r="BK705" s="326"/>
      <c r="BL705" s="326"/>
      <c r="BM705" s="327"/>
      <c r="BN705" s="558" t="s">
        <v>303</v>
      </c>
      <c r="BO705" s="326"/>
      <c r="BP705" s="326"/>
      <c r="BQ705" s="326"/>
      <c r="BR705" s="326"/>
      <c r="BS705" s="326"/>
      <c r="BT705" s="326"/>
      <c r="BU705" s="326"/>
      <c r="BV705" s="327"/>
    </row>
    <row r="706" spans="1:74" ht="45" customHeight="1" x14ac:dyDescent="0.25">
      <c r="A706" s="10">
        <f t="shared" si="2"/>
        <v>692</v>
      </c>
      <c r="B706" s="564" t="s">
        <v>303</v>
      </c>
      <c r="C706" s="327"/>
      <c r="D706" s="565" t="s">
        <v>307</v>
      </c>
      <c r="E706" s="327"/>
      <c r="F706" s="537" t="s">
        <v>334</v>
      </c>
      <c r="G706" s="327"/>
      <c r="H706" s="561" t="s">
        <v>334</v>
      </c>
      <c r="I706" s="327"/>
      <c r="J706" s="562"/>
      <c r="K706" s="327"/>
      <c r="L706" s="562"/>
      <c r="M706" s="327"/>
      <c r="N706" s="20"/>
      <c r="O706" s="21"/>
      <c r="P706" s="524"/>
      <c r="Q706" s="327"/>
      <c r="R706" s="516"/>
      <c r="S706" s="327"/>
      <c r="T706" s="517"/>
      <c r="U706" s="327"/>
      <c r="V706" s="518"/>
      <c r="W706" s="327"/>
      <c r="X706" s="438" t="s">
        <v>303</v>
      </c>
      <c r="Y706" s="326"/>
      <c r="Z706" s="326"/>
      <c r="AA706" s="327"/>
      <c r="AB706" s="519" t="s">
        <v>303</v>
      </c>
      <c r="AC706" s="326"/>
      <c r="AD706" s="326"/>
      <c r="AE706" s="327"/>
      <c r="AF706" s="520"/>
      <c r="AG706" s="327"/>
      <c r="AH706" s="520"/>
      <c r="AI706" s="327"/>
      <c r="AJ706" s="536"/>
      <c r="AK706" s="327"/>
      <c r="AL706" s="556" t="s">
        <v>334</v>
      </c>
      <c r="AM706" s="327"/>
      <c r="AN706" s="553" t="s">
        <v>334</v>
      </c>
      <c r="AO706" s="327"/>
      <c r="AP706" s="554"/>
      <c r="AQ706" s="327"/>
      <c r="AR706" s="555"/>
      <c r="AS706" s="327"/>
      <c r="AT706" s="549"/>
      <c r="AU706" s="327"/>
      <c r="AV706" s="553" t="s">
        <v>334</v>
      </c>
      <c r="AW706" s="327"/>
      <c r="AX706" s="521"/>
      <c r="AY706" s="326"/>
      <c r="AZ706" s="327"/>
      <c r="BA706" s="536"/>
      <c r="BB706" s="327"/>
      <c r="BC706" s="22"/>
      <c r="BD706" s="551" t="s">
        <v>334</v>
      </c>
      <c r="BE706" s="327"/>
      <c r="BF706" s="508"/>
      <c r="BG706" s="326"/>
      <c r="BH706" s="326"/>
      <c r="BI706" s="327"/>
      <c r="BJ706" s="451" t="s">
        <v>303</v>
      </c>
      <c r="BK706" s="326"/>
      <c r="BL706" s="326"/>
      <c r="BM706" s="327"/>
      <c r="BN706" s="558" t="s">
        <v>303</v>
      </c>
      <c r="BO706" s="326"/>
      <c r="BP706" s="326"/>
      <c r="BQ706" s="326"/>
      <c r="BR706" s="326"/>
      <c r="BS706" s="326"/>
      <c r="BT706" s="326"/>
      <c r="BU706" s="326"/>
      <c r="BV706" s="327"/>
    </row>
    <row r="707" spans="1:74" ht="45" customHeight="1" x14ac:dyDescent="0.25">
      <c r="A707" s="10">
        <f t="shared" si="2"/>
        <v>693</v>
      </c>
      <c r="B707" s="559" t="s">
        <v>303</v>
      </c>
      <c r="C707" s="327"/>
      <c r="D707" s="560" t="s">
        <v>307</v>
      </c>
      <c r="E707" s="327"/>
      <c r="F707" s="537" t="s">
        <v>334</v>
      </c>
      <c r="G707" s="327"/>
      <c r="H707" s="566" t="s">
        <v>334</v>
      </c>
      <c r="I707" s="327"/>
      <c r="J707" s="567"/>
      <c r="K707" s="327"/>
      <c r="L707" s="567"/>
      <c r="M707" s="327"/>
      <c r="N707" s="23"/>
      <c r="O707" s="24"/>
      <c r="P707" s="563"/>
      <c r="Q707" s="327"/>
      <c r="R707" s="538"/>
      <c r="S707" s="327"/>
      <c r="T707" s="539"/>
      <c r="U707" s="327"/>
      <c r="V707" s="540"/>
      <c r="W707" s="327"/>
      <c r="X707" s="541" t="s">
        <v>303</v>
      </c>
      <c r="Y707" s="326"/>
      <c r="Z707" s="326"/>
      <c r="AA707" s="327"/>
      <c r="AB707" s="542" t="s">
        <v>303</v>
      </c>
      <c r="AC707" s="326"/>
      <c r="AD707" s="326"/>
      <c r="AE707" s="327"/>
      <c r="AF707" s="543"/>
      <c r="AG707" s="327"/>
      <c r="AH707" s="543"/>
      <c r="AI707" s="327"/>
      <c r="AJ707" s="536"/>
      <c r="AK707" s="327"/>
      <c r="AL707" s="537" t="s">
        <v>334</v>
      </c>
      <c r="AM707" s="327"/>
      <c r="AN707" s="546" t="s">
        <v>334</v>
      </c>
      <c r="AO707" s="327"/>
      <c r="AP707" s="547"/>
      <c r="AQ707" s="327"/>
      <c r="AR707" s="548"/>
      <c r="AS707" s="327"/>
      <c r="AT707" s="568"/>
      <c r="AU707" s="327"/>
      <c r="AV707" s="546" t="s">
        <v>334</v>
      </c>
      <c r="AW707" s="327"/>
      <c r="AX707" s="521"/>
      <c r="AY707" s="326"/>
      <c r="AZ707" s="327"/>
      <c r="BA707" s="550"/>
      <c r="BB707" s="327"/>
      <c r="BC707" s="25"/>
      <c r="BD707" s="544" t="s">
        <v>334</v>
      </c>
      <c r="BE707" s="327"/>
      <c r="BF707" s="545"/>
      <c r="BG707" s="326"/>
      <c r="BH707" s="326"/>
      <c r="BI707" s="327"/>
      <c r="BJ707" s="557" t="s">
        <v>303</v>
      </c>
      <c r="BK707" s="326"/>
      <c r="BL707" s="326"/>
      <c r="BM707" s="327"/>
      <c r="BN707" s="558" t="s">
        <v>303</v>
      </c>
      <c r="BO707" s="326"/>
      <c r="BP707" s="326"/>
      <c r="BQ707" s="326"/>
      <c r="BR707" s="326"/>
      <c r="BS707" s="326"/>
      <c r="BT707" s="326"/>
      <c r="BU707" s="326"/>
      <c r="BV707" s="327"/>
    </row>
    <row r="708" spans="1:74" ht="45" customHeight="1" x14ac:dyDescent="0.25">
      <c r="A708" s="10">
        <f t="shared" si="2"/>
        <v>694</v>
      </c>
      <c r="B708" s="564" t="s">
        <v>303</v>
      </c>
      <c r="C708" s="327"/>
      <c r="D708" s="565" t="s">
        <v>307</v>
      </c>
      <c r="E708" s="327"/>
      <c r="F708" s="537" t="s">
        <v>334</v>
      </c>
      <c r="G708" s="327"/>
      <c r="H708" s="561" t="s">
        <v>334</v>
      </c>
      <c r="I708" s="327"/>
      <c r="J708" s="562"/>
      <c r="K708" s="327"/>
      <c r="L708" s="562"/>
      <c r="M708" s="327"/>
      <c r="N708" s="20"/>
      <c r="O708" s="21"/>
      <c r="P708" s="524"/>
      <c r="Q708" s="327"/>
      <c r="R708" s="516"/>
      <c r="S708" s="327"/>
      <c r="T708" s="517"/>
      <c r="U708" s="327"/>
      <c r="V708" s="518"/>
      <c r="W708" s="327"/>
      <c r="X708" s="438" t="s">
        <v>303</v>
      </c>
      <c r="Y708" s="326"/>
      <c r="Z708" s="326"/>
      <c r="AA708" s="327"/>
      <c r="AB708" s="519" t="s">
        <v>303</v>
      </c>
      <c r="AC708" s="326"/>
      <c r="AD708" s="326"/>
      <c r="AE708" s="327"/>
      <c r="AF708" s="520"/>
      <c r="AG708" s="327"/>
      <c r="AH708" s="520"/>
      <c r="AI708" s="327"/>
      <c r="AJ708" s="536"/>
      <c r="AK708" s="327"/>
      <c r="AL708" s="556" t="s">
        <v>334</v>
      </c>
      <c r="AM708" s="327"/>
      <c r="AN708" s="553" t="s">
        <v>334</v>
      </c>
      <c r="AO708" s="327"/>
      <c r="AP708" s="554"/>
      <c r="AQ708" s="327"/>
      <c r="AR708" s="555"/>
      <c r="AS708" s="327"/>
      <c r="AT708" s="549"/>
      <c r="AU708" s="327"/>
      <c r="AV708" s="553" t="s">
        <v>334</v>
      </c>
      <c r="AW708" s="327"/>
      <c r="AX708" s="521"/>
      <c r="AY708" s="326"/>
      <c r="AZ708" s="327"/>
      <c r="BA708" s="536"/>
      <c r="BB708" s="327"/>
      <c r="BC708" s="22"/>
      <c r="BD708" s="551" t="s">
        <v>334</v>
      </c>
      <c r="BE708" s="327"/>
      <c r="BF708" s="552"/>
      <c r="BG708" s="326"/>
      <c r="BH708" s="326"/>
      <c r="BI708" s="327"/>
      <c r="BJ708" s="451" t="s">
        <v>303</v>
      </c>
      <c r="BK708" s="326"/>
      <c r="BL708" s="326"/>
      <c r="BM708" s="327"/>
      <c r="BN708" s="558" t="s">
        <v>303</v>
      </c>
      <c r="BO708" s="326"/>
      <c r="BP708" s="326"/>
      <c r="BQ708" s="326"/>
      <c r="BR708" s="326"/>
      <c r="BS708" s="326"/>
      <c r="BT708" s="326"/>
      <c r="BU708" s="326"/>
      <c r="BV708" s="327"/>
    </row>
    <row r="709" spans="1:74" ht="45" customHeight="1" x14ac:dyDescent="0.25">
      <c r="A709" s="10">
        <f t="shared" si="2"/>
        <v>695</v>
      </c>
      <c r="B709" s="559" t="s">
        <v>303</v>
      </c>
      <c r="C709" s="327"/>
      <c r="D709" s="560" t="s">
        <v>307</v>
      </c>
      <c r="E709" s="327"/>
      <c r="F709" s="537" t="s">
        <v>334</v>
      </c>
      <c r="G709" s="327"/>
      <c r="H709" s="566" t="s">
        <v>334</v>
      </c>
      <c r="I709" s="327"/>
      <c r="J709" s="567"/>
      <c r="K709" s="327"/>
      <c r="L709" s="567"/>
      <c r="M709" s="327"/>
      <c r="N709" s="20"/>
      <c r="O709" s="21"/>
      <c r="P709" s="524"/>
      <c r="Q709" s="327"/>
      <c r="R709" s="538"/>
      <c r="S709" s="327"/>
      <c r="T709" s="539"/>
      <c r="U709" s="327"/>
      <c r="V709" s="540"/>
      <c r="W709" s="327"/>
      <c r="X709" s="541" t="s">
        <v>303</v>
      </c>
      <c r="Y709" s="326"/>
      <c r="Z709" s="326"/>
      <c r="AA709" s="327"/>
      <c r="AB709" s="542" t="s">
        <v>303</v>
      </c>
      <c r="AC709" s="326"/>
      <c r="AD709" s="326"/>
      <c r="AE709" s="327"/>
      <c r="AF709" s="543"/>
      <c r="AG709" s="327"/>
      <c r="AH709" s="543"/>
      <c r="AI709" s="327"/>
      <c r="AJ709" s="536"/>
      <c r="AK709" s="327"/>
      <c r="AL709" s="537" t="s">
        <v>334</v>
      </c>
      <c r="AM709" s="327"/>
      <c r="AN709" s="546" t="s">
        <v>334</v>
      </c>
      <c r="AO709" s="327"/>
      <c r="AP709" s="547"/>
      <c r="AQ709" s="327"/>
      <c r="AR709" s="548"/>
      <c r="AS709" s="327"/>
      <c r="AT709" s="549"/>
      <c r="AU709" s="327"/>
      <c r="AV709" s="546" t="s">
        <v>334</v>
      </c>
      <c r="AW709" s="327"/>
      <c r="AX709" s="521"/>
      <c r="AY709" s="326"/>
      <c r="AZ709" s="327"/>
      <c r="BA709" s="550"/>
      <c r="BB709" s="327"/>
      <c r="BC709" s="25"/>
      <c r="BD709" s="544" t="s">
        <v>334</v>
      </c>
      <c r="BE709" s="327"/>
      <c r="BF709" s="545"/>
      <c r="BG709" s="326"/>
      <c r="BH709" s="326"/>
      <c r="BI709" s="327"/>
      <c r="BJ709" s="557" t="s">
        <v>303</v>
      </c>
      <c r="BK709" s="326"/>
      <c r="BL709" s="326"/>
      <c r="BM709" s="327"/>
      <c r="BN709" s="558" t="s">
        <v>303</v>
      </c>
      <c r="BO709" s="326"/>
      <c r="BP709" s="326"/>
      <c r="BQ709" s="326"/>
      <c r="BR709" s="326"/>
      <c r="BS709" s="326"/>
      <c r="BT709" s="326"/>
      <c r="BU709" s="326"/>
      <c r="BV709" s="327"/>
    </row>
    <row r="710" spans="1:74" ht="45" customHeight="1" x14ac:dyDescent="0.25">
      <c r="A710" s="10">
        <f t="shared" si="2"/>
        <v>696</v>
      </c>
      <c r="B710" s="564" t="s">
        <v>303</v>
      </c>
      <c r="C710" s="327"/>
      <c r="D710" s="565" t="s">
        <v>307</v>
      </c>
      <c r="E710" s="327"/>
      <c r="F710" s="537" t="s">
        <v>334</v>
      </c>
      <c r="G710" s="327"/>
      <c r="H710" s="561" t="s">
        <v>334</v>
      </c>
      <c r="I710" s="327"/>
      <c r="J710" s="562"/>
      <c r="K710" s="327"/>
      <c r="L710" s="562"/>
      <c r="M710" s="327"/>
      <c r="N710" s="23"/>
      <c r="O710" s="24"/>
      <c r="P710" s="563"/>
      <c r="Q710" s="327"/>
      <c r="R710" s="516"/>
      <c r="S710" s="327"/>
      <c r="T710" s="517"/>
      <c r="U710" s="327"/>
      <c r="V710" s="518"/>
      <c r="W710" s="327"/>
      <c r="X710" s="438" t="s">
        <v>303</v>
      </c>
      <c r="Y710" s="326"/>
      <c r="Z710" s="326"/>
      <c r="AA710" s="327"/>
      <c r="AB710" s="519" t="s">
        <v>303</v>
      </c>
      <c r="AC710" s="326"/>
      <c r="AD710" s="326"/>
      <c r="AE710" s="327"/>
      <c r="AF710" s="520"/>
      <c r="AG710" s="327"/>
      <c r="AH710" s="520"/>
      <c r="AI710" s="327"/>
      <c r="AJ710" s="536"/>
      <c r="AK710" s="327"/>
      <c r="AL710" s="556" t="s">
        <v>334</v>
      </c>
      <c r="AM710" s="327"/>
      <c r="AN710" s="553" t="s">
        <v>334</v>
      </c>
      <c r="AO710" s="327"/>
      <c r="AP710" s="554"/>
      <c r="AQ710" s="327"/>
      <c r="AR710" s="555"/>
      <c r="AS710" s="327"/>
      <c r="AT710" s="549"/>
      <c r="AU710" s="327"/>
      <c r="AV710" s="553" t="s">
        <v>334</v>
      </c>
      <c r="AW710" s="327"/>
      <c r="AX710" s="521"/>
      <c r="AY710" s="326"/>
      <c r="AZ710" s="327"/>
      <c r="BA710" s="536"/>
      <c r="BB710" s="327"/>
      <c r="BC710" s="22"/>
      <c r="BD710" s="551" t="s">
        <v>334</v>
      </c>
      <c r="BE710" s="327"/>
      <c r="BF710" s="552"/>
      <c r="BG710" s="326"/>
      <c r="BH710" s="326"/>
      <c r="BI710" s="327"/>
      <c r="BJ710" s="451" t="s">
        <v>303</v>
      </c>
      <c r="BK710" s="326"/>
      <c r="BL710" s="326"/>
      <c r="BM710" s="327"/>
      <c r="BN710" s="558" t="s">
        <v>303</v>
      </c>
      <c r="BO710" s="326"/>
      <c r="BP710" s="326"/>
      <c r="BQ710" s="326"/>
      <c r="BR710" s="326"/>
      <c r="BS710" s="326"/>
      <c r="BT710" s="326"/>
      <c r="BU710" s="326"/>
      <c r="BV710" s="327"/>
    </row>
    <row r="711" spans="1:74" ht="45" customHeight="1" x14ac:dyDescent="0.25">
      <c r="A711" s="10">
        <f t="shared" si="2"/>
        <v>697</v>
      </c>
      <c r="B711" s="559" t="s">
        <v>303</v>
      </c>
      <c r="C711" s="327"/>
      <c r="D711" s="560" t="s">
        <v>307</v>
      </c>
      <c r="E711" s="327"/>
      <c r="F711" s="537" t="s">
        <v>334</v>
      </c>
      <c r="G711" s="327"/>
      <c r="H711" s="566" t="s">
        <v>334</v>
      </c>
      <c r="I711" s="327"/>
      <c r="J711" s="567"/>
      <c r="K711" s="327"/>
      <c r="L711" s="567"/>
      <c r="M711" s="327"/>
      <c r="N711" s="20"/>
      <c r="O711" s="21"/>
      <c r="P711" s="524"/>
      <c r="Q711" s="327"/>
      <c r="R711" s="538"/>
      <c r="S711" s="327"/>
      <c r="T711" s="539"/>
      <c r="U711" s="327"/>
      <c r="V711" s="540"/>
      <c r="W711" s="327"/>
      <c r="X711" s="541" t="s">
        <v>303</v>
      </c>
      <c r="Y711" s="326"/>
      <c r="Z711" s="326"/>
      <c r="AA711" s="327"/>
      <c r="AB711" s="542" t="s">
        <v>303</v>
      </c>
      <c r="AC711" s="326"/>
      <c r="AD711" s="326"/>
      <c r="AE711" s="327"/>
      <c r="AF711" s="543"/>
      <c r="AG711" s="327"/>
      <c r="AH711" s="543"/>
      <c r="AI711" s="327"/>
      <c r="AJ711" s="536"/>
      <c r="AK711" s="327"/>
      <c r="AL711" s="537" t="s">
        <v>334</v>
      </c>
      <c r="AM711" s="327"/>
      <c r="AN711" s="546" t="s">
        <v>334</v>
      </c>
      <c r="AO711" s="327"/>
      <c r="AP711" s="547"/>
      <c r="AQ711" s="327"/>
      <c r="AR711" s="548"/>
      <c r="AS711" s="327"/>
      <c r="AT711" s="549"/>
      <c r="AU711" s="327"/>
      <c r="AV711" s="546" t="s">
        <v>334</v>
      </c>
      <c r="AW711" s="327"/>
      <c r="AX711" s="521"/>
      <c r="AY711" s="326"/>
      <c r="AZ711" s="327"/>
      <c r="BA711" s="550"/>
      <c r="BB711" s="327"/>
      <c r="BC711" s="25"/>
      <c r="BD711" s="544" t="s">
        <v>334</v>
      </c>
      <c r="BE711" s="327"/>
      <c r="BF711" s="545"/>
      <c r="BG711" s="326"/>
      <c r="BH711" s="326"/>
      <c r="BI711" s="327"/>
      <c r="BJ711" s="557" t="s">
        <v>303</v>
      </c>
      <c r="BK711" s="326"/>
      <c r="BL711" s="326"/>
      <c r="BM711" s="327"/>
      <c r="BN711" s="558" t="s">
        <v>303</v>
      </c>
      <c r="BO711" s="326"/>
      <c r="BP711" s="326"/>
      <c r="BQ711" s="326"/>
      <c r="BR711" s="326"/>
      <c r="BS711" s="326"/>
      <c r="BT711" s="326"/>
      <c r="BU711" s="326"/>
      <c r="BV711" s="327"/>
    </row>
    <row r="712" spans="1:74" ht="45" customHeight="1" x14ac:dyDescent="0.25">
      <c r="A712" s="10">
        <f t="shared" si="2"/>
        <v>698</v>
      </c>
      <c r="B712" s="564" t="s">
        <v>303</v>
      </c>
      <c r="C712" s="327"/>
      <c r="D712" s="565" t="s">
        <v>307</v>
      </c>
      <c r="E712" s="327"/>
      <c r="F712" s="537" t="s">
        <v>334</v>
      </c>
      <c r="G712" s="327"/>
      <c r="H712" s="561" t="s">
        <v>334</v>
      </c>
      <c r="I712" s="327"/>
      <c r="J712" s="562"/>
      <c r="K712" s="327"/>
      <c r="L712" s="562"/>
      <c r="M712" s="327"/>
      <c r="N712" s="23"/>
      <c r="O712" s="24"/>
      <c r="P712" s="563"/>
      <c r="Q712" s="327"/>
      <c r="R712" s="516"/>
      <c r="S712" s="327"/>
      <c r="T712" s="517"/>
      <c r="U712" s="327"/>
      <c r="V712" s="518"/>
      <c r="W712" s="327"/>
      <c r="X712" s="438" t="s">
        <v>303</v>
      </c>
      <c r="Y712" s="326"/>
      <c r="Z712" s="326"/>
      <c r="AA712" s="327"/>
      <c r="AB712" s="519" t="s">
        <v>303</v>
      </c>
      <c r="AC712" s="326"/>
      <c r="AD712" s="326"/>
      <c r="AE712" s="327"/>
      <c r="AF712" s="520"/>
      <c r="AG712" s="327"/>
      <c r="AH712" s="520"/>
      <c r="AI712" s="327"/>
      <c r="AJ712" s="536"/>
      <c r="AK712" s="327"/>
      <c r="AL712" s="556" t="s">
        <v>334</v>
      </c>
      <c r="AM712" s="327"/>
      <c r="AN712" s="553" t="s">
        <v>334</v>
      </c>
      <c r="AO712" s="327"/>
      <c r="AP712" s="554"/>
      <c r="AQ712" s="327"/>
      <c r="AR712" s="555"/>
      <c r="AS712" s="327"/>
      <c r="AT712" s="549"/>
      <c r="AU712" s="327"/>
      <c r="AV712" s="553" t="s">
        <v>334</v>
      </c>
      <c r="AW712" s="327"/>
      <c r="AX712" s="521"/>
      <c r="AY712" s="326"/>
      <c r="AZ712" s="327"/>
      <c r="BA712" s="536"/>
      <c r="BB712" s="327"/>
      <c r="BC712" s="22"/>
      <c r="BD712" s="551" t="s">
        <v>334</v>
      </c>
      <c r="BE712" s="327"/>
      <c r="BF712" s="552"/>
      <c r="BG712" s="326"/>
      <c r="BH712" s="326"/>
      <c r="BI712" s="327"/>
      <c r="BJ712" s="451" t="s">
        <v>303</v>
      </c>
      <c r="BK712" s="326"/>
      <c r="BL712" s="326"/>
      <c r="BM712" s="327"/>
      <c r="BN712" s="558" t="s">
        <v>303</v>
      </c>
      <c r="BO712" s="326"/>
      <c r="BP712" s="326"/>
      <c r="BQ712" s="326"/>
      <c r="BR712" s="326"/>
      <c r="BS712" s="326"/>
      <c r="BT712" s="326"/>
      <c r="BU712" s="326"/>
      <c r="BV712" s="327"/>
    </row>
    <row r="713" spans="1:74" ht="45" customHeight="1" x14ac:dyDescent="0.25">
      <c r="A713" s="10">
        <f t="shared" si="2"/>
        <v>699</v>
      </c>
      <c r="B713" s="559" t="s">
        <v>303</v>
      </c>
      <c r="C713" s="327"/>
      <c r="D713" s="560" t="s">
        <v>307</v>
      </c>
      <c r="E713" s="327"/>
      <c r="F713" s="537" t="s">
        <v>334</v>
      </c>
      <c r="G713" s="327"/>
      <c r="H713" s="566" t="s">
        <v>334</v>
      </c>
      <c r="I713" s="327"/>
      <c r="J713" s="567"/>
      <c r="K713" s="327"/>
      <c r="L713" s="567"/>
      <c r="M713" s="327"/>
      <c r="N713" s="20"/>
      <c r="O713" s="24"/>
      <c r="P713" s="524"/>
      <c r="Q713" s="327"/>
      <c r="R713" s="538"/>
      <c r="S713" s="327"/>
      <c r="T713" s="539"/>
      <c r="U713" s="327"/>
      <c r="V713" s="540"/>
      <c r="W713" s="327"/>
      <c r="X713" s="541" t="s">
        <v>303</v>
      </c>
      <c r="Y713" s="326"/>
      <c r="Z713" s="326"/>
      <c r="AA713" s="327"/>
      <c r="AB713" s="542" t="s">
        <v>303</v>
      </c>
      <c r="AC713" s="326"/>
      <c r="AD713" s="326"/>
      <c r="AE713" s="327"/>
      <c r="AF713" s="543"/>
      <c r="AG713" s="327"/>
      <c r="AH713" s="543"/>
      <c r="AI713" s="327"/>
      <c r="AJ713" s="536"/>
      <c r="AK713" s="327"/>
      <c r="AL713" s="537" t="s">
        <v>334</v>
      </c>
      <c r="AM713" s="327"/>
      <c r="AN713" s="546" t="s">
        <v>334</v>
      </c>
      <c r="AO713" s="327"/>
      <c r="AP713" s="547"/>
      <c r="AQ713" s="327"/>
      <c r="AR713" s="548"/>
      <c r="AS713" s="327"/>
      <c r="AT713" s="568"/>
      <c r="AU713" s="327"/>
      <c r="AV713" s="546" t="s">
        <v>334</v>
      </c>
      <c r="AW713" s="327"/>
      <c r="AX713" s="521"/>
      <c r="AY713" s="326"/>
      <c r="AZ713" s="327"/>
      <c r="BA713" s="550"/>
      <c r="BB713" s="327"/>
      <c r="BC713" s="25"/>
      <c r="BD713" s="544" t="s">
        <v>334</v>
      </c>
      <c r="BE713" s="327"/>
      <c r="BF713" s="545"/>
      <c r="BG713" s="326"/>
      <c r="BH713" s="326"/>
      <c r="BI713" s="327"/>
      <c r="BJ713" s="557" t="s">
        <v>303</v>
      </c>
      <c r="BK713" s="326"/>
      <c r="BL713" s="326"/>
      <c r="BM713" s="327"/>
      <c r="BN713" s="558" t="s">
        <v>303</v>
      </c>
      <c r="BO713" s="326"/>
      <c r="BP713" s="326"/>
      <c r="BQ713" s="326"/>
      <c r="BR713" s="326"/>
      <c r="BS713" s="326"/>
      <c r="BT713" s="326"/>
      <c r="BU713" s="326"/>
      <c r="BV713" s="327"/>
    </row>
    <row r="714" spans="1:74" ht="45" customHeight="1" x14ac:dyDescent="0.25">
      <c r="A714" s="10">
        <f t="shared" si="2"/>
        <v>700</v>
      </c>
      <c r="B714" s="564" t="s">
        <v>303</v>
      </c>
      <c r="C714" s="327"/>
      <c r="D714" s="565" t="s">
        <v>307</v>
      </c>
      <c r="E714" s="327"/>
      <c r="F714" s="537" t="s">
        <v>334</v>
      </c>
      <c r="G714" s="327"/>
      <c r="H714" s="561" t="s">
        <v>334</v>
      </c>
      <c r="I714" s="327"/>
      <c r="J714" s="562"/>
      <c r="K714" s="327"/>
      <c r="L714" s="562"/>
      <c r="M714" s="327"/>
      <c r="N714" s="23"/>
      <c r="O714" s="21"/>
      <c r="P714" s="563"/>
      <c r="Q714" s="327"/>
      <c r="R714" s="516"/>
      <c r="S714" s="327"/>
      <c r="T714" s="517"/>
      <c r="U714" s="327"/>
      <c r="V714" s="518"/>
      <c r="W714" s="327"/>
      <c r="X714" s="438" t="s">
        <v>303</v>
      </c>
      <c r="Y714" s="326"/>
      <c r="Z714" s="326"/>
      <c r="AA714" s="327"/>
      <c r="AB714" s="519" t="s">
        <v>303</v>
      </c>
      <c r="AC714" s="326"/>
      <c r="AD714" s="326"/>
      <c r="AE714" s="327"/>
      <c r="AF714" s="520"/>
      <c r="AG714" s="327"/>
      <c r="AH714" s="520"/>
      <c r="AI714" s="327"/>
      <c r="AJ714" s="536"/>
      <c r="AK714" s="327"/>
      <c r="AL714" s="556" t="s">
        <v>334</v>
      </c>
      <c r="AM714" s="327"/>
      <c r="AN714" s="553" t="s">
        <v>334</v>
      </c>
      <c r="AO714" s="327"/>
      <c r="AP714" s="554"/>
      <c r="AQ714" s="327"/>
      <c r="AR714" s="555"/>
      <c r="AS714" s="327"/>
      <c r="AT714" s="549"/>
      <c r="AU714" s="327"/>
      <c r="AV714" s="553" t="s">
        <v>334</v>
      </c>
      <c r="AW714" s="327"/>
      <c r="AX714" s="521"/>
      <c r="AY714" s="326"/>
      <c r="AZ714" s="327"/>
      <c r="BA714" s="536"/>
      <c r="BB714" s="327"/>
      <c r="BC714" s="22"/>
      <c r="BD714" s="551" t="s">
        <v>334</v>
      </c>
      <c r="BE714" s="327"/>
      <c r="BF714" s="508"/>
      <c r="BG714" s="326"/>
      <c r="BH714" s="326"/>
      <c r="BI714" s="327"/>
      <c r="BJ714" s="451" t="s">
        <v>303</v>
      </c>
      <c r="BK714" s="326"/>
      <c r="BL714" s="326"/>
      <c r="BM714" s="327"/>
      <c r="BN714" s="558" t="s">
        <v>303</v>
      </c>
      <c r="BO714" s="326"/>
      <c r="BP714" s="326"/>
      <c r="BQ714" s="326"/>
      <c r="BR714" s="326"/>
      <c r="BS714" s="326"/>
      <c r="BT714" s="326"/>
      <c r="BU714" s="326"/>
      <c r="BV714" s="327"/>
    </row>
    <row r="715" spans="1:74" ht="45" customHeight="1" x14ac:dyDescent="0.25">
      <c r="A715" s="10">
        <f t="shared" si="2"/>
        <v>701</v>
      </c>
      <c r="B715" s="559" t="s">
        <v>303</v>
      </c>
      <c r="C715" s="327"/>
      <c r="D715" s="560" t="s">
        <v>307</v>
      </c>
      <c r="E715" s="327"/>
      <c r="F715" s="537" t="s">
        <v>334</v>
      </c>
      <c r="G715" s="327"/>
      <c r="H715" s="566" t="s">
        <v>334</v>
      </c>
      <c r="I715" s="327"/>
      <c r="J715" s="567"/>
      <c r="K715" s="327"/>
      <c r="L715" s="567"/>
      <c r="M715" s="327"/>
      <c r="N715" s="20"/>
      <c r="O715" s="24"/>
      <c r="P715" s="524"/>
      <c r="Q715" s="327"/>
      <c r="R715" s="538"/>
      <c r="S715" s="327"/>
      <c r="T715" s="539"/>
      <c r="U715" s="327"/>
      <c r="V715" s="540"/>
      <c r="W715" s="327"/>
      <c r="X715" s="541" t="s">
        <v>303</v>
      </c>
      <c r="Y715" s="326"/>
      <c r="Z715" s="326"/>
      <c r="AA715" s="327"/>
      <c r="AB715" s="542" t="s">
        <v>303</v>
      </c>
      <c r="AC715" s="326"/>
      <c r="AD715" s="326"/>
      <c r="AE715" s="327"/>
      <c r="AF715" s="543"/>
      <c r="AG715" s="327"/>
      <c r="AH715" s="543"/>
      <c r="AI715" s="327"/>
      <c r="AJ715" s="536"/>
      <c r="AK715" s="327"/>
      <c r="AL715" s="537" t="s">
        <v>334</v>
      </c>
      <c r="AM715" s="327"/>
      <c r="AN715" s="546" t="s">
        <v>334</v>
      </c>
      <c r="AO715" s="327"/>
      <c r="AP715" s="547"/>
      <c r="AQ715" s="327"/>
      <c r="AR715" s="548"/>
      <c r="AS715" s="327"/>
      <c r="AT715" s="568"/>
      <c r="AU715" s="327"/>
      <c r="AV715" s="546" t="s">
        <v>334</v>
      </c>
      <c r="AW715" s="327"/>
      <c r="AX715" s="521"/>
      <c r="AY715" s="326"/>
      <c r="AZ715" s="327"/>
      <c r="BA715" s="550"/>
      <c r="BB715" s="327"/>
      <c r="BC715" s="25"/>
      <c r="BD715" s="544" t="s">
        <v>334</v>
      </c>
      <c r="BE715" s="327"/>
      <c r="BF715" s="545"/>
      <c r="BG715" s="326"/>
      <c r="BH715" s="326"/>
      <c r="BI715" s="327"/>
      <c r="BJ715" s="557" t="s">
        <v>303</v>
      </c>
      <c r="BK715" s="326"/>
      <c r="BL715" s="326"/>
      <c r="BM715" s="327"/>
      <c r="BN715" s="558" t="s">
        <v>303</v>
      </c>
      <c r="BO715" s="326"/>
      <c r="BP715" s="326"/>
      <c r="BQ715" s="326"/>
      <c r="BR715" s="326"/>
      <c r="BS715" s="326"/>
      <c r="BT715" s="326"/>
      <c r="BU715" s="326"/>
      <c r="BV715" s="327"/>
    </row>
    <row r="716" spans="1:74" ht="45" customHeight="1" x14ac:dyDescent="0.25">
      <c r="A716" s="10">
        <f t="shared" si="2"/>
        <v>702</v>
      </c>
      <c r="B716" s="564" t="s">
        <v>303</v>
      </c>
      <c r="C716" s="327"/>
      <c r="D716" s="565" t="s">
        <v>307</v>
      </c>
      <c r="E716" s="327"/>
      <c r="F716" s="537" t="s">
        <v>334</v>
      </c>
      <c r="G716" s="327"/>
      <c r="H716" s="561" t="s">
        <v>334</v>
      </c>
      <c r="I716" s="327"/>
      <c r="J716" s="562"/>
      <c r="K716" s="327"/>
      <c r="L716" s="562"/>
      <c r="M716" s="327"/>
      <c r="N716" s="23"/>
      <c r="O716" s="21"/>
      <c r="P716" s="563"/>
      <c r="Q716" s="327"/>
      <c r="R716" s="516"/>
      <c r="S716" s="327"/>
      <c r="T716" s="517"/>
      <c r="U716" s="327"/>
      <c r="V716" s="518"/>
      <c r="W716" s="327"/>
      <c r="X716" s="438" t="s">
        <v>303</v>
      </c>
      <c r="Y716" s="326"/>
      <c r="Z716" s="326"/>
      <c r="AA716" s="327"/>
      <c r="AB716" s="519" t="s">
        <v>303</v>
      </c>
      <c r="AC716" s="326"/>
      <c r="AD716" s="326"/>
      <c r="AE716" s="327"/>
      <c r="AF716" s="520"/>
      <c r="AG716" s="327"/>
      <c r="AH716" s="520"/>
      <c r="AI716" s="327"/>
      <c r="AJ716" s="536"/>
      <c r="AK716" s="327"/>
      <c r="AL716" s="556" t="s">
        <v>334</v>
      </c>
      <c r="AM716" s="327"/>
      <c r="AN716" s="553" t="s">
        <v>334</v>
      </c>
      <c r="AO716" s="327"/>
      <c r="AP716" s="554"/>
      <c r="AQ716" s="327"/>
      <c r="AR716" s="555"/>
      <c r="AS716" s="327"/>
      <c r="AT716" s="549"/>
      <c r="AU716" s="327"/>
      <c r="AV716" s="553" t="s">
        <v>334</v>
      </c>
      <c r="AW716" s="327"/>
      <c r="AX716" s="521"/>
      <c r="AY716" s="326"/>
      <c r="AZ716" s="327"/>
      <c r="BA716" s="536"/>
      <c r="BB716" s="327"/>
      <c r="BC716" s="22"/>
      <c r="BD716" s="551" t="s">
        <v>334</v>
      </c>
      <c r="BE716" s="327"/>
      <c r="BF716" s="552"/>
      <c r="BG716" s="326"/>
      <c r="BH716" s="326"/>
      <c r="BI716" s="327"/>
      <c r="BJ716" s="451" t="s">
        <v>303</v>
      </c>
      <c r="BK716" s="326"/>
      <c r="BL716" s="326"/>
      <c r="BM716" s="327"/>
      <c r="BN716" s="558" t="s">
        <v>303</v>
      </c>
      <c r="BO716" s="326"/>
      <c r="BP716" s="326"/>
      <c r="BQ716" s="326"/>
      <c r="BR716" s="326"/>
      <c r="BS716" s="326"/>
      <c r="BT716" s="326"/>
      <c r="BU716" s="326"/>
      <c r="BV716" s="327"/>
    </row>
    <row r="717" spans="1:74" ht="45" customHeight="1" x14ac:dyDescent="0.25">
      <c r="A717" s="10">
        <f t="shared" si="2"/>
        <v>703</v>
      </c>
      <c r="B717" s="559" t="s">
        <v>303</v>
      </c>
      <c r="C717" s="327"/>
      <c r="D717" s="560" t="s">
        <v>307</v>
      </c>
      <c r="E717" s="327"/>
      <c r="F717" s="537" t="s">
        <v>334</v>
      </c>
      <c r="G717" s="327"/>
      <c r="H717" s="566" t="s">
        <v>334</v>
      </c>
      <c r="I717" s="327"/>
      <c r="J717" s="567"/>
      <c r="K717" s="327"/>
      <c r="L717" s="567"/>
      <c r="M717" s="327"/>
      <c r="N717" s="20"/>
      <c r="O717" s="24"/>
      <c r="P717" s="524"/>
      <c r="Q717" s="327"/>
      <c r="R717" s="538"/>
      <c r="S717" s="327"/>
      <c r="T717" s="539"/>
      <c r="U717" s="327"/>
      <c r="V717" s="540"/>
      <c r="W717" s="327"/>
      <c r="X717" s="541" t="s">
        <v>303</v>
      </c>
      <c r="Y717" s="326"/>
      <c r="Z717" s="326"/>
      <c r="AA717" s="327"/>
      <c r="AB717" s="542" t="s">
        <v>303</v>
      </c>
      <c r="AC717" s="326"/>
      <c r="AD717" s="326"/>
      <c r="AE717" s="327"/>
      <c r="AF717" s="543"/>
      <c r="AG717" s="327"/>
      <c r="AH717" s="543"/>
      <c r="AI717" s="327"/>
      <c r="AJ717" s="536"/>
      <c r="AK717" s="327"/>
      <c r="AL717" s="537" t="s">
        <v>334</v>
      </c>
      <c r="AM717" s="327"/>
      <c r="AN717" s="546" t="s">
        <v>334</v>
      </c>
      <c r="AO717" s="327"/>
      <c r="AP717" s="547"/>
      <c r="AQ717" s="327"/>
      <c r="AR717" s="548"/>
      <c r="AS717" s="327"/>
      <c r="AT717" s="568"/>
      <c r="AU717" s="327"/>
      <c r="AV717" s="546" t="s">
        <v>334</v>
      </c>
      <c r="AW717" s="327"/>
      <c r="AX717" s="521"/>
      <c r="AY717" s="326"/>
      <c r="AZ717" s="327"/>
      <c r="BA717" s="550"/>
      <c r="BB717" s="327"/>
      <c r="BC717" s="25"/>
      <c r="BD717" s="544" t="s">
        <v>334</v>
      </c>
      <c r="BE717" s="327"/>
      <c r="BF717" s="545"/>
      <c r="BG717" s="326"/>
      <c r="BH717" s="326"/>
      <c r="BI717" s="327"/>
      <c r="BJ717" s="557" t="s">
        <v>303</v>
      </c>
      <c r="BK717" s="326"/>
      <c r="BL717" s="326"/>
      <c r="BM717" s="327"/>
      <c r="BN717" s="558" t="s">
        <v>303</v>
      </c>
      <c r="BO717" s="326"/>
      <c r="BP717" s="326"/>
      <c r="BQ717" s="326"/>
      <c r="BR717" s="326"/>
      <c r="BS717" s="326"/>
      <c r="BT717" s="326"/>
      <c r="BU717" s="326"/>
      <c r="BV717" s="327"/>
    </row>
    <row r="718" spans="1:74" ht="45" customHeight="1" x14ac:dyDescent="0.25">
      <c r="A718" s="10">
        <f t="shared" si="2"/>
        <v>704</v>
      </c>
      <c r="B718" s="564" t="s">
        <v>303</v>
      </c>
      <c r="C718" s="327"/>
      <c r="D718" s="565" t="s">
        <v>307</v>
      </c>
      <c r="E718" s="327"/>
      <c r="F718" s="537" t="s">
        <v>334</v>
      </c>
      <c r="G718" s="327"/>
      <c r="H718" s="561" t="s">
        <v>334</v>
      </c>
      <c r="I718" s="327"/>
      <c r="J718" s="562"/>
      <c r="K718" s="327"/>
      <c r="L718" s="562"/>
      <c r="M718" s="327"/>
      <c r="N718" s="23"/>
      <c r="O718" s="21"/>
      <c r="P718" s="563"/>
      <c r="Q718" s="327"/>
      <c r="R718" s="516"/>
      <c r="S718" s="327"/>
      <c r="T718" s="517"/>
      <c r="U718" s="327"/>
      <c r="V718" s="518"/>
      <c r="W718" s="327"/>
      <c r="X718" s="438" t="s">
        <v>303</v>
      </c>
      <c r="Y718" s="326"/>
      <c r="Z718" s="326"/>
      <c r="AA718" s="327"/>
      <c r="AB718" s="519" t="s">
        <v>303</v>
      </c>
      <c r="AC718" s="326"/>
      <c r="AD718" s="326"/>
      <c r="AE718" s="327"/>
      <c r="AF718" s="520"/>
      <c r="AG718" s="327"/>
      <c r="AH718" s="520"/>
      <c r="AI718" s="327"/>
      <c r="AJ718" s="536"/>
      <c r="AK718" s="327"/>
      <c r="AL718" s="556" t="s">
        <v>334</v>
      </c>
      <c r="AM718" s="327"/>
      <c r="AN718" s="553" t="s">
        <v>334</v>
      </c>
      <c r="AO718" s="327"/>
      <c r="AP718" s="554"/>
      <c r="AQ718" s="327"/>
      <c r="AR718" s="555"/>
      <c r="AS718" s="327"/>
      <c r="AT718" s="549"/>
      <c r="AU718" s="327"/>
      <c r="AV718" s="553" t="s">
        <v>334</v>
      </c>
      <c r="AW718" s="327"/>
      <c r="AX718" s="521"/>
      <c r="AY718" s="326"/>
      <c r="AZ718" s="327"/>
      <c r="BA718" s="536"/>
      <c r="BB718" s="327"/>
      <c r="BC718" s="22"/>
      <c r="BD718" s="551" t="s">
        <v>334</v>
      </c>
      <c r="BE718" s="327"/>
      <c r="BF718" s="552"/>
      <c r="BG718" s="326"/>
      <c r="BH718" s="326"/>
      <c r="BI718" s="327"/>
      <c r="BJ718" s="451" t="s">
        <v>303</v>
      </c>
      <c r="BK718" s="326"/>
      <c r="BL718" s="326"/>
      <c r="BM718" s="327"/>
      <c r="BN718" s="558" t="s">
        <v>303</v>
      </c>
      <c r="BO718" s="326"/>
      <c r="BP718" s="326"/>
      <c r="BQ718" s="326"/>
      <c r="BR718" s="326"/>
      <c r="BS718" s="326"/>
      <c r="BT718" s="326"/>
      <c r="BU718" s="326"/>
      <c r="BV718" s="327"/>
    </row>
    <row r="719" spans="1:74" ht="45" customHeight="1" x14ac:dyDescent="0.25">
      <c r="A719" s="10">
        <f t="shared" si="2"/>
        <v>705</v>
      </c>
      <c r="B719" s="559" t="s">
        <v>303</v>
      </c>
      <c r="C719" s="327"/>
      <c r="D719" s="560" t="s">
        <v>307</v>
      </c>
      <c r="E719" s="327"/>
      <c r="F719" s="537" t="s">
        <v>334</v>
      </c>
      <c r="G719" s="327"/>
      <c r="H719" s="566" t="s">
        <v>334</v>
      </c>
      <c r="I719" s="327"/>
      <c r="J719" s="567"/>
      <c r="K719" s="327"/>
      <c r="L719" s="567"/>
      <c r="M719" s="327"/>
      <c r="N719" s="20"/>
      <c r="O719" s="24"/>
      <c r="P719" s="524"/>
      <c r="Q719" s="327"/>
      <c r="R719" s="538"/>
      <c r="S719" s="327"/>
      <c r="T719" s="539"/>
      <c r="U719" s="327"/>
      <c r="V719" s="540"/>
      <c r="W719" s="327"/>
      <c r="X719" s="541" t="s">
        <v>303</v>
      </c>
      <c r="Y719" s="326"/>
      <c r="Z719" s="326"/>
      <c r="AA719" s="327"/>
      <c r="AB719" s="542" t="s">
        <v>303</v>
      </c>
      <c r="AC719" s="326"/>
      <c r="AD719" s="326"/>
      <c r="AE719" s="327"/>
      <c r="AF719" s="543"/>
      <c r="AG719" s="327"/>
      <c r="AH719" s="543"/>
      <c r="AI719" s="327"/>
      <c r="AJ719" s="536"/>
      <c r="AK719" s="327"/>
      <c r="AL719" s="537" t="s">
        <v>334</v>
      </c>
      <c r="AM719" s="327"/>
      <c r="AN719" s="546" t="s">
        <v>334</v>
      </c>
      <c r="AO719" s="327"/>
      <c r="AP719" s="547"/>
      <c r="AQ719" s="327"/>
      <c r="AR719" s="548"/>
      <c r="AS719" s="327"/>
      <c r="AT719" s="568"/>
      <c r="AU719" s="327"/>
      <c r="AV719" s="546" t="s">
        <v>334</v>
      </c>
      <c r="AW719" s="327"/>
      <c r="AX719" s="521"/>
      <c r="AY719" s="326"/>
      <c r="AZ719" s="327"/>
      <c r="BA719" s="550"/>
      <c r="BB719" s="327"/>
      <c r="BC719" s="25"/>
      <c r="BD719" s="544" t="s">
        <v>334</v>
      </c>
      <c r="BE719" s="327"/>
      <c r="BF719" s="545"/>
      <c r="BG719" s="326"/>
      <c r="BH719" s="326"/>
      <c r="BI719" s="327"/>
      <c r="BJ719" s="557" t="s">
        <v>303</v>
      </c>
      <c r="BK719" s="326"/>
      <c r="BL719" s="326"/>
      <c r="BM719" s="327"/>
      <c r="BN719" s="558" t="s">
        <v>303</v>
      </c>
      <c r="BO719" s="326"/>
      <c r="BP719" s="326"/>
      <c r="BQ719" s="326"/>
      <c r="BR719" s="326"/>
      <c r="BS719" s="326"/>
      <c r="BT719" s="326"/>
      <c r="BU719" s="326"/>
      <c r="BV719" s="327"/>
    </row>
    <row r="720" spans="1:74" ht="45" customHeight="1" x14ac:dyDescent="0.25">
      <c r="A720" s="10">
        <f t="shared" si="2"/>
        <v>706</v>
      </c>
      <c r="B720" s="564" t="s">
        <v>303</v>
      </c>
      <c r="C720" s="327"/>
      <c r="D720" s="565" t="s">
        <v>307</v>
      </c>
      <c r="E720" s="327"/>
      <c r="F720" s="537" t="s">
        <v>334</v>
      </c>
      <c r="G720" s="327"/>
      <c r="H720" s="561" t="s">
        <v>334</v>
      </c>
      <c r="I720" s="327"/>
      <c r="J720" s="562"/>
      <c r="K720" s="327"/>
      <c r="L720" s="562"/>
      <c r="M720" s="327"/>
      <c r="N720" s="23"/>
      <c r="O720" s="21"/>
      <c r="P720" s="563"/>
      <c r="Q720" s="327"/>
      <c r="R720" s="516"/>
      <c r="S720" s="327"/>
      <c r="T720" s="517"/>
      <c r="U720" s="327"/>
      <c r="V720" s="518"/>
      <c r="W720" s="327"/>
      <c r="X720" s="438" t="s">
        <v>303</v>
      </c>
      <c r="Y720" s="326"/>
      <c r="Z720" s="326"/>
      <c r="AA720" s="327"/>
      <c r="AB720" s="519" t="s">
        <v>303</v>
      </c>
      <c r="AC720" s="326"/>
      <c r="AD720" s="326"/>
      <c r="AE720" s="327"/>
      <c r="AF720" s="520"/>
      <c r="AG720" s="327"/>
      <c r="AH720" s="520"/>
      <c r="AI720" s="327"/>
      <c r="AJ720" s="536"/>
      <c r="AK720" s="327"/>
      <c r="AL720" s="556" t="s">
        <v>334</v>
      </c>
      <c r="AM720" s="327"/>
      <c r="AN720" s="553" t="s">
        <v>334</v>
      </c>
      <c r="AO720" s="327"/>
      <c r="AP720" s="554"/>
      <c r="AQ720" s="327"/>
      <c r="AR720" s="555"/>
      <c r="AS720" s="327"/>
      <c r="AT720" s="549"/>
      <c r="AU720" s="327"/>
      <c r="AV720" s="553" t="s">
        <v>334</v>
      </c>
      <c r="AW720" s="327"/>
      <c r="AX720" s="521"/>
      <c r="AY720" s="326"/>
      <c r="AZ720" s="327"/>
      <c r="BA720" s="536"/>
      <c r="BB720" s="327"/>
      <c r="BC720" s="22"/>
      <c r="BD720" s="551" t="s">
        <v>334</v>
      </c>
      <c r="BE720" s="327"/>
      <c r="BF720" s="508"/>
      <c r="BG720" s="326"/>
      <c r="BH720" s="326"/>
      <c r="BI720" s="327"/>
      <c r="BJ720" s="451" t="s">
        <v>303</v>
      </c>
      <c r="BK720" s="326"/>
      <c r="BL720" s="326"/>
      <c r="BM720" s="327"/>
      <c r="BN720" s="558" t="s">
        <v>303</v>
      </c>
      <c r="BO720" s="326"/>
      <c r="BP720" s="326"/>
      <c r="BQ720" s="326"/>
      <c r="BR720" s="326"/>
      <c r="BS720" s="326"/>
      <c r="BT720" s="326"/>
      <c r="BU720" s="326"/>
      <c r="BV720" s="327"/>
    </row>
    <row r="721" spans="1:74" ht="45" customHeight="1" x14ac:dyDescent="0.25">
      <c r="A721" s="10">
        <f t="shared" si="2"/>
        <v>707</v>
      </c>
      <c r="B721" s="559" t="s">
        <v>303</v>
      </c>
      <c r="C721" s="327"/>
      <c r="D721" s="560" t="s">
        <v>307</v>
      </c>
      <c r="E721" s="327"/>
      <c r="F721" s="537" t="s">
        <v>334</v>
      </c>
      <c r="G721" s="327"/>
      <c r="H721" s="566" t="s">
        <v>334</v>
      </c>
      <c r="I721" s="327"/>
      <c r="J721" s="567"/>
      <c r="K721" s="327"/>
      <c r="L721" s="567"/>
      <c r="M721" s="327"/>
      <c r="N721" s="20"/>
      <c r="O721" s="24"/>
      <c r="P721" s="524"/>
      <c r="Q721" s="327"/>
      <c r="R721" s="538"/>
      <c r="S721" s="327"/>
      <c r="T721" s="539"/>
      <c r="U721" s="327"/>
      <c r="V721" s="540"/>
      <c r="W721" s="327"/>
      <c r="X721" s="541" t="s">
        <v>303</v>
      </c>
      <c r="Y721" s="326"/>
      <c r="Z721" s="326"/>
      <c r="AA721" s="327"/>
      <c r="AB721" s="542" t="s">
        <v>303</v>
      </c>
      <c r="AC721" s="326"/>
      <c r="AD721" s="326"/>
      <c r="AE721" s="327"/>
      <c r="AF721" s="543"/>
      <c r="AG721" s="327"/>
      <c r="AH721" s="543"/>
      <c r="AI721" s="327"/>
      <c r="AJ721" s="536"/>
      <c r="AK721" s="327"/>
      <c r="AL721" s="537" t="s">
        <v>334</v>
      </c>
      <c r="AM721" s="327"/>
      <c r="AN721" s="546" t="s">
        <v>334</v>
      </c>
      <c r="AO721" s="327"/>
      <c r="AP721" s="547"/>
      <c r="AQ721" s="327"/>
      <c r="AR721" s="548"/>
      <c r="AS721" s="327"/>
      <c r="AT721" s="568"/>
      <c r="AU721" s="327"/>
      <c r="AV721" s="546" t="s">
        <v>334</v>
      </c>
      <c r="AW721" s="327"/>
      <c r="AX721" s="521"/>
      <c r="AY721" s="326"/>
      <c r="AZ721" s="327"/>
      <c r="BA721" s="550"/>
      <c r="BB721" s="327"/>
      <c r="BC721" s="25"/>
      <c r="BD721" s="544" t="s">
        <v>334</v>
      </c>
      <c r="BE721" s="327"/>
      <c r="BF721" s="545"/>
      <c r="BG721" s="326"/>
      <c r="BH721" s="326"/>
      <c r="BI721" s="327"/>
      <c r="BJ721" s="557" t="s">
        <v>303</v>
      </c>
      <c r="BK721" s="326"/>
      <c r="BL721" s="326"/>
      <c r="BM721" s="327"/>
      <c r="BN721" s="558" t="s">
        <v>303</v>
      </c>
      <c r="BO721" s="326"/>
      <c r="BP721" s="326"/>
      <c r="BQ721" s="326"/>
      <c r="BR721" s="326"/>
      <c r="BS721" s="326"/>
      <c r="BT721" s="326"/>
      <c r="BU721" s="326"/>
      <c r="BV721" s="327"/>
    </row>
    <row r="722" spans="1:74" ht="45" customHeight="1" x14ac:dyDescent="0.25">
      <c r="A722" s="10">
        <f t="shared" si="2"/>
        <v>708</v>
      </c>
      <c r="B722" s="564" t="s">
        <v>303</v>
      </c>
      <c r="C722" s="327"/>
      <c r="D722" s="565" t="s">
        <v>307</v>
      </c>
      <c r="E722" s="327"/>
      <c r="F722" s="537" t="s">
        <v>334</v>
      </c>
      <c r="G722" s="327"/>
      <c r="H722" s="561" t="s">
        <v>334</v>
      </c>
      <c r="I722" s="327"/>
      <c r="J722" s="562"/>
      <c r="K722" s="327"/>
      <c r="L722" s="562"/>
      <c r="M722" s="327"/>
      <c r="N722" s="20"/>
      <c r="O722" s="21"/>
      <c r="P722" s="524"/>
      <c r="Q722" s="327"/>
      <c r="R722" s="516"/>
      <c r="S722" s="327"/>
      <c r="T722" s="517"/>
      <c r="U722" s="327"/>
      <c r="V722" s="518"/>
      <c r="W722" s="327"/>
      <c r="X722" s="438" t="s">
        <v>303</v>
      </c>
      <c r="Y722" s="326"/>
      <c r="Z722" s="326"/>
      <c r="AA722" s="327"/>
      <c r="AB722" s="519" t="s">
        <v>303</v>
      </c>
      <c r="AC722" s="326"/>
      <c r="AD722" s="326"/>
      <c r="AE722" s="327"/>
      <c r="AF722" s="520"/>
      <c r="AG722" s="327"/>
      <c r="AH722" s="520"/>
      <c r="AI722" s="327"/>
      <c r="AJ722" s="536"/>
      <c r="AK722" s="327"/>
      <c r="AL722" s="556" t="s">
        <v>334</v>
      </c>
      <c r="AM722" s="327"/>
      <c r="AN722" s="553" t="s">
        <v>334</v>
      </c>
      <c r="AO722" s="327"/>
      <c r="AP722" s="554"/>
      <c r="AQ722" s="327"/>
      <c r="AR722" s="555"/>
      <c r="AS722" s="327"/>
      <c r="AT722" s="549"/>
      <c r="AU722" s="327"/>
      <c r="AV722" s="553" t="s">
        <v>334</v>
      </c>
      <c r="AW722" s="327"/>
      <c r="AX722" s="521"/>
      <c r="AY722" s="326"/>
      <c r="AZ722" s="327"/>
      <c r="BA722" s="536"/>
      <c r="BB722" s="327"/>
      <c r="BC722" s="22"/>
      <c r="BD722" s="551" t="s">
        <v>334</v>
      </c>
      <c r="BE722" s="327"/>
      <c r="BF722" s="508"/>
      <c r="BG722" s="326"/>
      <c r="BH722" s="326"/>
      <c r="BI722" s="327"/>
      <c r="BJ722" s="451" t="s">
        <v>303</v>
      </c>
      <c r="BK722" s="326"/>
      <c r="BL722" s="326"/>
      <c r="BM722" s="327"/>
      <c r="BN722" s="558" t="s">
        <v>303</v>
      </c>
      <c r="BO722" s="326"/>
      <c r="BP722" s="326"/>
      <c r="BQ722" s="326"/>
      <c r="BR722" s="326"/>
      <c r="BS722" s="326"/>
      <c r="BT722" s="326"/>
      <c r="BU722" s="326"/>
      <c r="BV722" s="327"/>
    </row>
    <row r="723" spans="1:74" ht="45" customHeight="1" x14ac:dyDescent="0.25">
      <c r="A723" s="10">
        <f t="shared" si="2"/>
        <v>709</v>
      </c>
      <c r="B723" s="559" t="s">
        <v>303</v>
      </c>
      <c r="C723" s="327"/>
      <c r="D723" s="560" t="s">
        <v>307</v>
      </c>
      <c r="E723" s="327"/>
      <c r="F723" s="537" t="s">
        <v>334</v>
      </c>
      <c r="G723" s="327"/>
      <c r="H723" s="566" t="s">
        <v>334</v>
      </c>
      <c r="I723" s="327"/>
      <c r="J723" s="567"/>
      <c r="K723" s="327"/>
      <c r="L723" s="567"/>
      <c r="M723" s="327"/>
      <c r="N723" s="23"/>
      <c r="O723" s="24"/>
      <c r="P723" s="563"/>
      <c r="Q723" s="327"/>
      <c r="R723" s="538"/>
      <c r="S723" s="327"/>
      <c r="T723" s="539"/>
      <c r="U723" s="327"/>
      <c r="V723" s="540"/>
      <c r="W723" s="327"/>
      <c r="X723" s="541" t="s">
        <v>303</v>
      </c>
      <c r="Y723" s="326"/>
      <c r="Z723" s="326"/>
      <c r="AA723" s="327"/>
      <c r="AB723" s="542" t="s">
        <v>303</v>
      </c>
      <c r="AC723" s="326"/>
      <c r="AD723" s="326"/>
      <c r="AE723" s="327"/>
      <c r="AF723" s="543"/>
      <c r="AG723" s="327"/>
      <c r="AH723" s="543"/>
      <c r="AI723" s="327"/>
      <c r="AJ723" s="536"/>
      <c r="AK723" s="327"/>
      <c r="AL723" s="537" t="s">
        <v>334</v>
      </c>
      <c r="AM723" s="327"/>
      <c r="AN723" s="546" t="s">
        <v>334</v>
      </c>
      <c r="AO723" s="327"/>
      <c r="AP723" s="547"/>
      <c r="AQ723" s="327"/>
      <c r="AR723" s="548"/>
      <c r="AS723" s="327"/>
      <c r="AT723" s="549"/>
      <c r="AU723" s="327"/>
      <c r="AV723" s="546" t="s">
        <v>334</v>
      </c>
      <c r="AW723" s="327"/>
      <c r="AX723" s="521"/>
      <c r="AY723" s="326"/>
      <c r="AZ723" s="327"/>
      <c r="BA723" s="550"/>
      <c r="BB723" s="327"/>
      <c r="BC723" s="25"/>
      <c r="BD723" s="544" t="s">
        <v>334</v>
      </c>
      <c r="BE723" s="327"/>
      <c r="BF723" s="545"/>
      <c r="BG723" s="326"/>
      <c r="BH723" s="326"/>
      <c r="BI723" s="327"/>
      <c r="BJ723" s="557" t="s">
        <v>303</v>
      </c>
      <c r="BK723" s="326"/>
      <c r="BL723" s="326"/>
      <c r="BM723" s="327"/>
      <c r="BN723" s="558" t="s">
        <v>303</v>
      </c>
      <c r="BO723" s="326"/>
      <c r="BP723" s="326"/>
      <c r="BQ723" s="326"/>
      <c r="BR723" s="326"/>
      <c r="BS723" s="326"/>
      <c r="BT723" s="326"/>
      <c r="BU723" s="326"/>
      <c r="BV723" s="327"/>
    </row>
    <row r="724" spans="1:74" ht="45" customHeight="1" x14ac:dyDescent="0.25">
      <c r="A724" s="10">
        <f t="shared" si="2"/>
        <v>710</v>
      </c>
      <c r="B724" s="564" t="s">
        <v>303</v>
      </c>
      <c r="C724" s="327"/>
      <c r="D724" s="565" t="s">
        <v>307</v>
      </c>
      <c r="E724" s="327"/>
      <c r="F724" s="537" t="s">
        <v>334</v>
      </c>
      <c r="G724" s="327"/>
      <c r="H724" s="561" t="s">
        <v>334</v>
      </c>
      <c r="I724" s="327"/>
      <c r="J724" s="562"/>
      <c r="K724" s="327"/>
      <c r="L724" s="562"/>
      <c r="M724" s="327"/>
      <c r="N724" s="20"/>
      <c r="O724" s="21"/>
      <c r="P724" s="524"/>
      <c r="Q724" s="327"/>
      <c r="R724" s="516"/>
      <c r="S724" s="327"/>
      <c r="T724" s="517"/>
      <c r="U724" s="327"/>
      <c r="V724" s="518"/>
      <c r="W724" s="327"/>
      <c r="X724" s="438" t="s">
        <v>303</v>
      </c>
      <c r="Y724" s="326"/>
      <c r="Z724" s="326"/>
      <c r="AA724" s="327"/>
      <c r="AB724" s="519" t="s">
        <v>303</v>
      </c>
      <c r="AC724" s="326"/>
      <c r="AD724" s="326"/>
      <c r="AE724" s="327"/>
      <c r="AF724" s="520"/>
      <c r="AG724" s="327"/>
      <c r="AH724" s="520"/>
      <c r="AI724" s="327"/>
      <c r="AJ724" s="536"/>
      <c r="AK724" s="327"/>
      <c r="AL724" s="556" t="s">
        <v>334</v>
      </c>
      <c r="AM724" s="327"/>
      <c r="AN724" s="553" t="s">
        <v>334</v>
      </c>
      <c r="AO724" s="327"/>
      <c r="AP724" s="554"/>
      <c r="AQ724" s="327"/>
      <c r="AR724" s="555"/>
      <c r="AS724" s="327"/>
      <c r="AT724" s="549"/>
      <c r="AU724" s="327"/>
      <c r="AV724" s="553" t="s">
        <v>334</v>
      </c>
      <c r="AW724" s="327"/>
      <c r="AX724" s="521"/>
      <c r="AY724" s="326"/>
      <c r="AZ724" s="327"/>
      <c r="BA724" s="536"/>
      <c r="BB724" s="327"/>
      <c r="BC724" s="22"/>
      <c r="BD724" s="551" t="s">
        <v>334</v>
      </c>
      <c r="BE724" s="327"/>
      <c r="BF724" s="552"/>
      <c r="BG724" s="326"/>
      <c r="BH724" s="326"/>
      <c r="BI724" s="327"/>
      <c r="BJ724" s="451" t="s">
        <v>303</v>
      </c>
      <c r="BK724" s="326"/>
      <c r="BL724" s="326"/>
      <c r="BM724" s="327"/>
      <c r="BN724" s="558" t="s">
        <v>303</v>
      </c>
      <c r="BO724" s="326"/>
      <c r="BP724" s="326"/>
      <c r="BQ724" s="326"/>
      <c r="BR724" s="326"/>
      <c r="BS724" s="326"/>
      <c r="BT724" s="326"/>
      <c r="BU724" s="326"/>
      <c r="BV724" s="327"/>
    </row>
    <row r="725" spans="1:74" ht="45" customHeight="1" x14ac:dyDescent="0.25">
      <c r="A725" s="10">
        <f t="shared" si="2"/>
        <v>711</v>
      </c>
      <c r="B725" s="559" t="s">
        <v>303</v>
      </c>
      <c r="C725" s="327"/>
      <c r="D725" s="560" t="s">
        <v>307</v>
      </c>
      <c r="E725" s="327"/>
      <c r="F725" s="537" t="s">
        <v>334</v>
      </c>
      <c r="G725" s="327"/>
      <c r="H725" s="566" t="s">
        <v>334</v>
      </c>
      <c r="I725" s="327"/>
      <c r="J725" s="567"/>
      <c r="K725" s="327"/>
      <c r="L725" s="567"/>
      <c r="M725" s="327"/>
      <c r="N725" s="23"/>
      <c r="O725" s="24"/>
      <c r="P725" s="563"/>
      <c r="Q725" s="327"/>
      <c r="R725" s="538"/>
      <c r="S725" s="327"/>
      <c r="T725" s="539"/>
      <c r="U725" s="327"/>
      <c r="V725" s="540"/>
      <c r="W725" s="327"/>
      <c r="X725" s="541" t="s">
        <v>303</v>
      </c>
      <c r="Y725" s="326"/>
      <c r="Z725" s="326"/>
      <c r="AA725" s="327"/>
      <c r="AB725" s="542" t="s">
        <v>303</v>
      </c>
      <c r="AC725" s="326"/>
      <c r="AD725" s="326"/>
      <c r="AE725" s="327"/>
      <c r="AF725" s="543"/>
      <c r="AG725" s="327"/>
      <c r="AH725" s="543"/>
      <c r="AI725" s="327"/>
      <c r="AJ725" s="536"/>
      <c r="AK725" s="327"/>
      <c r="AL725" s="537" t="s">
        <v>334</v>
      </c>
      <c r="AM725" s="327"/>
      <c r="AN725" s="546" t="s">
        <v>334</v>
      </c>
      <c r="AO725" s="327"/>
      <c r="AP725" s="547"/>
      <c r="AQ725" s="327"/>
      <c r="AR725" s="548"/>
      <c r="AS725" s="327"/>
      <c r="AT725" s="549"/>
      <c r="AU725" s="327"/>
      <c r="AV725" s="546" t="s">
        <v>334</v>
      </c>
      <c r="AW725" s="327"/>
      <c r="AX725" s="521"/>
      <c r="AY725" s="326"/>
      <c r="AZ725" s="327"/>
      <c r="BA725" s="550"/>
      <c r="BB725" s="327"/>
      <c r="BC725" s="25"/>
      <c r="BD725" s="544" t="s">
        <v>334</v>
      </c>
      <c r="BE725" s="327"/>
      <c r="BF725" s="545"/>
      <c r="BG725" s="326"/>
      <c r="BH725" s="326"/>
      <c r="BI725" s="327"/>
      <c r="BJ725" s="557" t="s">
        <v>303</v>
      </c>
      <c r="BK725" s="326"/>
      <c r="BL725" s="326"/>
      <c r="BM725" s="327"/>
      <c r="BN725" s="558" t="s">
        <v>303</v>
      </c>
      <c r="BO725" s="326"/>
      <c r="BP725" s="326"/>
      <c r="BQ725" s="326"/>
      <c r="BR725" s="326"/>
      <c r="BS725" s="326"/>
      <c r="BT725" s="326"/>
      <c r="BU725" s="326"/>
      <c r="BV725" s="327"/>
    </row>
    <row r="726" spans="1:74" ht="45" customHeight="1" x14ac:dyDescent="0.25">
      <c r="A726" s="10">
        <f t="shared" si="2"/>
        <v>712</v>
      </c>
      <c r="B726" s="564" t="s">
        <v>303</v>
      </c>
      <c r="C726" s="327"/>
      <c r="D726" s="565" t="s">
        <v>307</v>
      </c>
      <c r="E726" s="327"/>
      <c r="F726" s="537" t="s">
        <v>334</v>
      </c>
      <c r="G726" s="327"/>
      <c r="H726" s="561" t="s">
        <v>334</v>
      </c>
      <c r="I726" s="327"/>
      <c r="J726" s="562"/>
      <c r="K726" s="327"/>
      <c r="L726" s="562"/>
      <c r="M726" s="327"/>
      <c r="N726" s="20"/>
      <c r="O726" s="21"/>
      <c r="P726" s="524"/>
      <c r="Q726" s="327"/>
      <c r="R726" s="516"/>
      <c r="S726" s="327"/>
      <c r="T726" s="517"/>
      <c r="U726" s="327"/>
      <c r="V726" s="518"/>
      <c r="W726" s="327"/>
      <c r="X726" s="438" t="s">
        <v>303</v>
      </c>
      <c r="Y726" s="326"/>
      <c r="Z726" s="326"/>
      <c r="AA726" s="327"/>
      <c r="AB726" s="519" t="s">
        <v>303</v>
      </c>
      <c r="AC726" s="326"/>
      <c r="AD726" s="326"/>
      <c r="AE726" s="327"/>
      <c r="AF726" s="520"/>
      <c r="AG726" s="327"/>
      <c r="AH726" s="520"/>
      <c r="AI726" s="327"/>
      <c r="AJ726" s="536"/>
      <c r="AK726" s="327"/>
      <c r="AL726" s="556" t="s">
        <v>334</v>
      </c>
      <c r="AM726" s="327"/>
      <c r="AN726" s="553" t="s">
        <v>334</v>
      </c>
      <c r="AO726" s="327"/>
      <c r="AP726" s="554"/>
      <c r="AQ726" s="327"/>
      <c r="AR726" s="555"/>
      <c r="AS726" s="327"/>
      <c r="AT726" s="549"/>
      <c r="AU726" s="327"/>
      <c r="AV726" s="553" t="s">
        <v>334</v>
      </c>
      <c r="AW726" s="327"/>
      <c r="AX726" s="521"/>
      <c r="AY726" s="326"/>
      <c r="AZ726" s="327"/>
      <c r="BA726" s="536"/>
      <c r="BB726" s="327"/>
      <c r="BC726" s="22"/>
      <c r="BD726" s="551" t="s">
        <v>334</v>
      </c>
      <c r="BE726" s="327"/>
      <c r="BF726" s="552"/>
      <c r="BG726" s="326"/>
      <c r="BH726" s="326"/>
      <c r="BI726" s="327"/>
      <c r="BJ726" s="451" t="s">
        <v>303</v>
      </c>
      <c r="BK726" s="326"/>
      <c r="BL726" s="326"/>
      <c r="BM726" s="327"/>
      <c r="BN726" s="558" t="s">
        <v>303</v>
      </c>
      <c r="BO726" s="326"/>
      <c r="BP726" s="326"/>
      <c r="BQ726" s="326"/>
      <c r="BR726" s="326"/>
      <c r="BS726" s="326"/>
      <c r="BT726" s="326"/>
      <c r="BU726" s="326"/>
      <c r="BV726" s="327"/>
    </row>
    <row r="727" spans="1:74" ht="45" customHeight="1" x14ac:dyDescent="0.25">
      <c r="A727" s="10">
        <f t="shared" si="2"/>
        <v>713</v>
      </c>
      <c r="B727" s="559" t="s">
        <v>303</v>
      </c>
      <c r="C727" s="327"/>
      <c r="D727" s="560" t="s">
        <v>307</v>
      </c>
      <c r="E727" s="327"/>
      <c r="F727" s="537" t="s">
        <v>334</v>
      </c>
      <c r="G727" s="327"/>
      <c r="H727" s="566" t="s">
        <v>334</v>
      </c>
      <c r="I727" s="327"/>
      <c r="J727" s="567"/>
      <c r="K727" s="327"/>
      <c r="L727" s="567"/>
      <c r="M727" s="327"/>
      <c r="N727" s="23"/>
      <c r="O727" s="24"/>
      <c r="P727" s="563"/>
      <c r="Q727" s="327"/>
      <c r="R727" s="538"/>
      <c r="S727" s="327"/>
      <c r="T727" s="539"/>
      <c r="U727" s="327"/>
      <c r="V727" s="540"/>
      <c r="W727" s="327"/>
      <c r="X727" s="541" t="s">
        <v>303</v>
      </c>
      <c r="Y727" s="326"/>
      <c r="Z727" s="326"/>
      <c r="AA727" s="327"/>
      <c r="AB727" s="542" t="s">
        <v>303</v>
      </c>
      <c r="AC727" s="326"/>
      <c r="AD727" s="326"/>
      <c r="AE727" s="327"/>
      <c r="AF727" s="543"/>
      <c r="AG727" s="327"/>
      <c r="AH727" s="543"/>
      <c r="AI727" s="327"/>
      <c r="AJ727" s="536"/>
      <c r="AK727" s="327"/>
      <c r="AL727" s="537" t="s">
        <v>334</v>
      </c>
      <c r="AM727" s="327"/>
      <c r="AN727" s="546" t="s">
        <v>334</v>
      </c>
      <c r="AO727" s="327"/>
      <c r="AP727" s="547"/>
      <c r="AQ727" s="327"/>
      <c r="AR727" s="548"/>
      <c r="AS727" s="327"/>
      <c r="AT727" s="568"/>
      <c r="AU727" s="327"/>
      <c r="AV727" s="546" t="s">
        <v>334</v>
      </c>
      <c r="AW727" s="327"/>
      <c r="AX727" s="521"/>
      <c r="AY727" s="326"/>
      <c r="AZ727" s="327"/>
      <c r="BA727" s="550"/>
      <c r="BB727" s="327"/>
      <c r="BC727" s="25"/>
      <c r="BD727" s="544" t="s">
        <v>334</v>
      </c>
      <c r="BE727" s="327"/>
      <c r="BF727" s="545"/>
      <c r="BG727" s="326"/>
      <c r="BH727" s="326"/>
      <c r="BI727" s="327"/>
      <c r="BJ727" s="557" t="s">
        <v>303</v>
      </c>
      <c r="BK727" s="326"/>
      <c r="BL727" s="326"/>
      <c r="BM727" s="327"/>
      <c r="BN727" s="558" t="s">
        <v>303</v>
      </c>
      <c r="BO727" s="326"/>
      <c r="BP727" s="326"/>
      <c r="BQ727" s="326"/>
      <c r="BR727" s="326"/>
      <c r="BS727" s="326"/>
      <c r="BT727" s="326"/>
      <c r="BU727" s="326"/>
      <c r="BV727" s="327"/>
    </row>
    <row r="728" spans="1:74" ht="45" customHeight="1" x14ac:dyDescent="0.25">
      <c r="A728" s="10">
        <f t="shared" si="2"/>
        <v>714</v>
      </c>
      <c r="B728" s="564" t="s">
        <v>303</v>
      </c>
      <c r="C728" s="327"/>
      <c r="D728" s="565" t="s">
        <v>307</v>
      </c>
      <c r="E728" s="327"/>
      <c r="F728" s="537" t="s">
        <v>334</v>
      </c>
      <c r="G728" s="327"/>
      <c r="H728" s="561" t="s">
        <v>334</v>
      </c>
      <c r="I728" s="327"/>
      <c r="J728" s="562"/>
      <c r="K728" s="327"/>
      <c r="L728" s="562"/>
      <c r="M728" s="327"/>
      <c r="N728" s="20"/>
      <c r="O728" s="21"/>
      <c r="P728" s="524"/>
      <c r="Q728" s="327"/>
      <c r="R728" s="516"/>
      <c r="S728" s="327"/>
      <c r="T728" s="517"/>
      <c r="U728" s="327"/>
      <c r="V728" s="518"/>
      <c r="W728" s="327"/>
      <c r="X728" s="438" t="s">
        <v>303</v>
      </c>
      <c r="Y728" s="326"/>
      <c r="Z728" s="326"/>
      <c r="AA728" s="327"/>
      <c r="AB728" s="519" t="s">
        <v>303</v>
      </c>
      <c r="AC728" s="326"/>
      <c r="AD728" s="326"/>
      <c r="AE728" s="327"/>
      <c r="AF728" s="520"/>
      <c r="AG728" s="327"/>
      <c r="AH728" s="520"/>
      <c r="AI728" s="327"/>
      <c r="AJ728" s="536"/>
      <c r="AK728" s="327"/>
      <c r="AL728" s="556" t="s">
        <v>334</v>
      </c>
      <c r="AM728" s="327"/>
      <c r="AN728" s="553" t="s">
        <v>334</v>
      </c>
      <c r="AO728" s="327"/>
      <c r="AP728" s="554"/>
      <c r="AQ728" s="327"/>
      <c r="AR728" s="555"/>
      <c r="AS728" s="327"/>
      <c r="AT728" s="549"/>
      <c r="AU728" s="327"/>
      <c r="AV728" s="553" t="s">
        <v>334</v>
      </c>
      <c r="AW728" s="327"/>
      <c r="AX728" s="521"/>
      <c r="AY728" s="326"/>
      <c r="AZ728" s="327"/>
      <c r="BA728" s="536"/>
      <c r="BB728" s="327"/>
      <c r="BC728" s="22"/>
      <c r="BD728" s="551" t="s">
        <v>334</v>
      </c>
      <c r="BE728" s="327"/>
      <c r="BF728" s="508"/>
      <c r="BG728" s="326"/>
      <c r="BH728" s="326"/>
      <c r="BI728" s="327"/>
      <c r="BJ728" s="451" t="s">
        <v>303</v>
      </c>
      <c r="BK728" s="326"/>
      <c r="BL728" s="326"/>
      <c r="BM728" s="327"/>
      <c r="BN728" s="558" t="s">
        <v>303</v>
      </c>
      <c r="BO728" s="326"/>
      <c r="BP728" s="326"/>
      <c r="BQ728" s="326"/>
      <c r="BR728" s="326"/>
      <c r="BS728" s="326"/>
      <c r="BT728" s="326"/>
      <c r="BU728" s="326"/>
      <c r="BV728" s="327"/>
    </row>
    <row r="729" spans="1:74" ht="45" customHeight="1" x14ac:dyDescent="0.25">
      <c r="A729" s="10">
        <f t="shared" si="2"/>
        <v>715</v>
      </c>
      <c r="B729" s="559" t="s">
        <v>303</v>
      </c>
      <c r="C729" s="327"/>
      <c r="D729" s="560" t="s">
        <v>307</v>
      </c>
      <c r="E729" s="327"/>
      <c r="F729" s="537" t="s">
        <v>334</v>
      </c>
      <c r="G729" s="327"/>
      <c r="H729" s="566" t="s">
        <v>334</v>
      </c>
      <c r="I729" s="327"/>
      <c r="J729" s="567"/>
      <c r="K729" s="327"/>
      <c r="L729" s="567"/>
      <c r="M729" s="327"/>
      <c r="N729" s="23"/>
      <c r="O729" s="24"/>
      <c r="P729" s="563"/>
      <c r="Q729" s="327"/>
      <c r="R729" s="538"/>
      <c r="S729" s="327"/>
      <c r="T729" s="539"/>
      <c r="U729" s="327"/>
      <c r="V729" s="540"/>
      <c r="W729" s="327"/>
      <c r="X729" s="541" t="s">
        <v>303</v>
      </c>
      <c r="Y729" s="326"/>
      <c r="Z729" s="326"/>
      <c r="AA729" s="327"/>
      <c r="AB729" s="542" t="s">
        <v>303</v>
      </c>
      <c r="AC729" s="326"/>
      <c r="AD729" s="326"/>
      <c r="AE729" s="327"/>
      <c r="AF729" s="543"/>
      <c r="AG729" s="327"/>
      <c r="AH729" s="543"/>
      <c r="AI729" s="327"/>
      <c r="AJ729" s="536"/>
      <c r="AK729" s="327"/>
      <c r="AL729" s="537" t="s">
        <v>334</v>
      </c>
      <c r="AM729" s="327"/>
      <c r="AN729" s="546" t="s">
        <v>334</v>
      </c>
      <c r="AO729" s="327"/>
      <c r="AP729" s="547"/>
      <c r="AQ729" s="327"/>
      <c r="AR729" s="548"/>
      <c r="AS729" s="327"/>
      <c r="AT729" s="568"/>
      <c r="AU729" s="327"/>
      <c r="AV729" s="546" t="s">
        <v>334</v>
      </c>
      <c r="AW729" s="327"/>
      <c r="AX729" s="521"/>
      <c r="AY729" s="326"/>
      <c r="AZ729" s="327"/>
      <c r="BA729" s="550"/>
      <c r="BB729" s="327"/>
      <c r="BC729" s="25"/>
      <c r="BD729" s="544" t="s">
        <v>334</v>
      </c>
      <c r="BE729" s="327"/>
      <c r="BF729" s="545"/>
      <c r="BG729" s="326"/>
      <c r="BH729" s="326"/>
      <c r="BI729" s="327"/>
      <c r="BJ729" s="557" t="s">
        <v>303</v>
      </c>
      <c r="BK729" s="326"/>
      <c r="BL729" s="326"/>
      <c r="BM729" s="327"/>
      <c r="BN729" s="558" t="s">
        <v>303</v>
      </c>
      <c r="BO729" s="326"/>
      <c r="BP729" s="326"/>
      <c r="BQ729" s="326"/>
      <c r="BR729" s="326"/>
      <c r="BS729" s="326"/>
      <c r="BT729" s="326"/>
      <c r="BU729" s="326"/>
      <c r="BV729" s="327"/>
    </row>
    <row r="730" spans="1:74" ht="45" customHeight="1" x14ac:dyDescent="0.25">
      <c r="A730" s="10">
        <f t="shared" si="2"/>
        <v>716</v>
      </c>
      <c r="B730" s="564" t="s">
        <v>303</v>
      </c>
      <c r="C730" s="327"/>
      <c r="D730" s="565" t="s">
        <v>307</v>
      </c>
      <c r="E730" s="327"/>
      <c r="F730" s="537" t="s">
        <v>334</v>
      </c>
      <c r="G730" s="327"/>
      <c r="H730" s="561" t="s">
        <v>334</v>
      </c>
      <c r="I730" s="327"/>
      <c r="J730" s="562"/>
      <c r="K730" s="327"/>
      <c r="L730" s="562"/>
      <c r="M730" s="327"/>
      <c r="N730" s="20"/>
      <c r="O730" s="21"/>
      <c r="P730" s="524"/>
      <c r="Q730" s="327"/>
      <c r="R730" s="516"/>
      <c r="S730" s="327"/>
      <c r="T730" s="517"/>
      <c r="U730" s="327"/>
      <c r="V730" s="518"/>
      <c r="W730" s="327"/>
      <c r="X730" s="438" t="s">
        <v>303</v>
      </c>
      <c r="Y730" s="326"/>
      <c r="Z730" s="326"/>
      <c r="AA730" s="327"/>
      <c r="AB730" s="519" t="s">
        <v>303</v>
      </c>
      <c r="AC730" s="326"/>
      <c r="AD730" s="326"/>
      <c r="AE730" s="327"/>
      <c r="AF730" s="520"/>
      <c r="AG730" s="327"/>
      <c r="AH730" s="520"/>
      <c r="AI730" s="327"/>
      <c r="AJ730" s="536"/>
      <c r="AK730" s="327"/>
      <c r="AL730" s="556" t="s">
        <v>334</v>
      </c>
      <c r="AM730" s="327"/>
      <c r="AN730" s="553" t="s">
        <v>334</v>
      </c>
      <c r="AO730" s="327"/>
      <c r="AP730" s="554"/>
      <c r="AQ730" s="327"/>
      <c r="AR730" s="555"/>
      <c r="AS730" s="327"/>
      <c r="AT730" s="549"/>
      <c r="AU730" s="327"/>
      <c r="AV730" s="553" t="s">
        <v>334</v>
      </c>
      <c r="AW730" s="327"/>
      <c r="AX730" s="521"/>
      <c r="AY730" s="326"/>
      <c r="AZ730" s="327"/>
      <c r="BA730" s="536"/>
      <c r="BB730" s="327"/>
      <c r="BC730" s="22"/>
      <c r="BD730" s="551" t="s">
        <v>334</v>
      </c>
      <c r="BE730" s="327"/>
      <c r="BF730" s="552"/>
      <c r="BG730" s="326"/>
      <c r="BH730" s="326"/>
      <c r="BI730" s="327"/>
      <c r="BJ730" s="451" t="s">
        <v>303</v>
      </c>
      <c r="BK730" s="326"/>
      <c r="BL730" s="326"/>
      <c r="BM730" s="327"/>
      <c r="BN730" s="558" t="s">
        <v>303</v>
      </c>
      <c r="BO730" s="326"/>
      <c r="BP730" s="326"/>
      <c r="BQ730" s="326"/>
      <c r="BR730" s="326"/>
      <c r="BS730" s="326"/>
      <c r="BT730" s="326"/>
      <c r="BU730" s="326"/>
      <c r="BV730" s="327"/>
    </row>
    <row r="731" spans="1:74" ht="45" customHeight="1" x14ac:dyDescent="0.25">
      <c r="A731" s="10">
        <f t="shared" si="2"/>
        <v>717</v>
      </c>
      <c r="B731" s="559" t="s">
        <v>303</v>
      </c>
      <c r="C731" s="327"/>
      <c r="D731" s="560" t="s">
        <v>307</v>
      </c>
      <c r="E731" s="327"/>
      <c r="F731" s="537" t="s">
        <v>334</v>
      </c>
      <c r="G731" s="327"/>
      <c r="H731" s="566" t="s">
        <v>334</v>
      </c>
      <c r="I731" s="327"/>
      <c r="J731" s="567"/>
      <c r="K731" s="327"/>
      <c r="L731" s="567"/>
      <c r="M731" s="327"/>
      <c r="N731" s="23"/>
      <c r="O731" s="24"/>
      <c r="P731" s="563"/>
      <c r="Q731" s="327"/>
      <c r="R731" s="538"/>
      <c r="S731" s="327"/>
      <c r="T731" s="539"/>
      <c r="U731" s="327"/>
      <c r="V731" s="540"/>
      <c r="W731" s="327"/>
      <c r="X731" s="541" t="s">
        <v>303</v>
      </c>
      <c r="Y731" s="326"/>
      <c r="Z731" s="326"/>
      <c r="AA731" s="327"/>
      <c r="AB731" s="542" t="s">
        <v>303</v>
      </c>
      <c r="AC731" s="326"/>
      <c r="AD731" s="326"/>
      <c r="AE731" s="327"/>
      <c r="AF731" s="543"/>
      <c r="AG731" s="327"/>
      <c r="AH731" s="543"/>
      <c r="AI731" s="327"/>
      <c r="AJ731" s="536"/>
      <c r="AK731" s="327"/>
      <c r="AL731" s="537" t="s">
        <v>334</v>
      </c>
      <c r="AM731" s="327"/>
      <c r="AN731" s="546" t="s">
        <v>334</v>
      </c>
      <c r="AO731" s="327"/>
      <c r="AP731" s="547"/>
      <c r="AQ731" s="327"/>
      <c r="AR731" s="548"/>
      <c r="AS731" s="327"/>
      <c r="AT731" s="568"/>
      <c r="AU731" s="327"/>
      <c r="AV731" s="546" t="s">
        <v>334</v>
      </c>
      <c r="AW731" s="327"/>
      <c r="AX731" s="521"/>
      <c r="AY731" s="326"/>
      <c r="AZ731" s="327"/>
      <c r="BA731" s="550"/>
      <c r="BB731" s="327"/>
      <c r="BC731" s="25"/>
      <c r="BD731" s="544" t="s">
        <v>334</v>
      </c>
      <c r="BE731" s="327"/>
      <c r="BF731" s="545"/>
      <c r="BG731" s="326"/>
      <c r="BH731" s="326"/>
      <c r="BI731" s="327"/>
      <c r="BJ731" s="557" t="s">
        <v>303</v>
      </c>
      <c r="BK731" s="326"/>
      <c r="BL731" s="326"/>
      <c r="BM731" s="327"/>
      <c r="BN731" s="558" t="s">
        <v>303</v>
      </c>
      <c r="BO731" s="326"/>
      <c r="BP731" s="326"/>
      <c r="BQ731" s="326"/>
      <c r="BR731" s="326"/>
      <c r="BS731" s="326"/>
      <c r="BT731" s="326"/>
      <c r="BU731" s="326"/>
      <c r="BV731" s="327"/>
    </row>
    <row r="732" spans="1:74" ht="45" customHeight="1" x14ac:dyDescent="0.25">
      <c r="A732" s="10">
        <f t="shared" si="2"/>
        <v>718</v>
      </c>
      <c r="B732" s="564" t="s">
        <v>303</v>
      </c>
      <c r="C732" s="327"/>
      <c r="D732" s="565" t="s">
        <v>307</v>
      </c>
      <c r="E732" s="327"/>
      <c r="F732" s="537" t="s">
        <v>334</v>
      </c>
      <c r="G732" s="327"/>
      <c r="H732" s="561" t="s">
        <v>334</v>
      </c>
      <c r="I732" s="327"/>
      <c r="J732" s="562"/>
      <c r="K732" s="327"/>
      <c r="L732" s="562"/>
      <c r="M732" s="327"/>
      <c r="N732" s="20"/>
      <c r="O732" s="21"/>
      <c r="P732" s="524"/>
      <c r="Q732" s="327"/>
      <c r="R732" s="516"/>
      <c r="S732" s="327"/>
      <c r="T732" s="517"/>
      <c r="U732" s="327"/>
      <c r="V732" s="518"/>
      <c r="W732" s="327"/>
      <c r="X732" s="438" t="s">
        <v>303</v>
      </c>
      <c r="Y732" s="326"/>
      <c r="Z732" s="326"/>
      <c r="AA732" s="327"/>
      <c r="AB732" s="519" t="s">
        <v>303</v>
      </c>
      <c r="AC732" s="326"/>
      <c r="AD732" s="326"/>
      <c r="AE732" s="327"/>
      <c r="AF732" s="520"/>
      <c r="AG732" s="327"/>
      <c r="AH732" s="520"/>
      <c r="AI732" s="327"/>
      <c r="AJ732" s="536"/>
      <c r="AK732" s="327"/>
      <c r="AL732" s="556" t="s">
        <v>334</v>
      </c>
      <c r="AM732" s="327"/>
      <c r="AN732" s="553" t="s">
        <v>334</v>
      </c>
      <c r="AO732" s="327"/>
      <c r="AP732" s="554"/>
      <c r="AQ732" s="327"/>
      <c r="AR732" s="555"/>
      <c r="AS732" s="327"/>
      <c r="AT732" s="549"/>
      <c r="AU732" s="327"/>
      <c r="AV732" s="553" t="s">
        <v>334</v>
      </c>
      <c r="AW732" s="327"/>
      <c r="AX732" s="521"/>
      <c r="AY732" s="326"/>
      <c r="AZ732" s="327"/>
      <c r="BA732" s="536"/>
      <c r="BB732" s="327"/>
      <c r="BC732" s="22"/>
      <c r="BD732" s="551" t="s">
        <v>334</v>
      </c>
      <c r="BE732" s="327"/>
      <c r="BF732" s="552"/>
      <c r="BG732" s="326"/>
      <c r="BH732" s="326"/>
      <c r="BI732" s="327"/>
      <c r="BJ732" s="451" t="s">
        <v>303</v>
      </c>
      <c r="BK732" s="326"/>
      <c r="BL732" s="326"/>
      <c r="BM732" s="327"/>
      <c r="BN732" s="558" t="s">
        <v>303</v>
      </c>
      <c r="BO732" s="326"/>
      <c r="BP732" s="326"/>
      <c r="BQ732" s="326"/>
      <c r="BR732" s="326"/>
      <c r="BS732" s="326"/>
      <c r="BT732" s="326"/>
      <c r="BU732" s="326"/>
      <c r="BV732" s="327"/>
    </row>
    <row r="733" spans="1:74" ht="45" customHeight="1" x14ac:dyDescent="0.25">
      <c r="A733" s="10">
        <f t="shared" si="2"/>
        <v>719</v>
      </c>
      <c r="B733" s="559" t="s">
        <v>303</v>
      </c>
      <c r="C733" s="327"/>
      <c r="D733" s="560" t="s">
        <v>307</v>
      </c>
      <c r="E733" s="327"/>
      <c r="F733" s="537" t="s">
        <v>334</v>
      </c>
      <c r="G733" s="327"/>
      <c r="H733" s="566" t="s">
        <v>334</v>
      </c>
      <c r="I733" s="327"/>
      <c r="J733" s="567"/>
      <c r="K733" s="327"/>
      <c r="L733" s="567"/>
      <c r="M733" s="327"/>
      <c r="N733" s="23"/>
      <c r="O733" s="24"/>
      <c r="P733" s="563"/>
      <c r="Q733" s="327"/>
      <c r="R733" s="538"/>
      <c r="S733" s="327"/>
      <c r="T733" s="539"/>
      <c r="U733" s="327"/>
      <c r="V733" s="540"/>
      <c r="W733" s="327"/>
      <c r="X733" s="541" t="s">
        <v>303</v>
      </c>
      <c r="Y733" s="326"/>
      <c r="Z733" s="326"/>
      <c r="AA733" s="327"/>
      <c r="AB733" s="542" t="s">
        <v>303</v>
      </c>
      <c r="AC733" s="326"/>
      <c r="AD733" s="326"/>
      <c r="AE733" s="327"/>
      <c r="AF733" s="543"/>
      <c r="AG733" s="327"/>
      <c r="AH733" s="543"/>
      <c r="AI733" s="327"/>
      <c r="AJ733" s="536"/>
      <c r="AK733" s="327"/>
      <c r="AL733" s="537" t="s">
        <v>334</v>
      </c>
      <c r="AM733" s="327"/>
      <c r="AN733" s="546" t="s">
        <v>334</v>
      </c>
      <c r="AO733" s="327"/>
      <c r="AP733" s="547"/>
      <c r="AQ733" s="327"/>
      <c r="AR733" s="548"/>
      <c r="AS733" s="327"/>
      <c r="AT733" s="568"/>
      <c r="AU733" s="327"/>
      <c r="AV733" s="546" t="s">
        <v>334</v>
      </c>
      <c r="AW733" s="327"/>
      <c r="AX733" s="521"/>
      <c r="AY733" s="326"/>
      <c r="AZ733" s="327"/>
      <c r="BA733" s="550"/>
      <c r="BB733" s="327"/>
      <c r="BC733" s="25"/>
      <c r="BD733" s="544" t="s">
        <v>334</v>
      </c>
      <c r="BE733" s="327"/>
      <c r="BF733" s="545"/>
      <c r="BG733" s="326"/>
      <c r="BH733" s="326"/>
      <c r="BI733" s="327"/>
      <c r="BJ733" s="557" t="s">
        <v>303</v>
      </c>
      <c r="BK733" s="326"/>
      <c r="BL733" s="326"/>
      <c r="BM733" s="327"/>
      <c r="BN733" s="558" t="s">
        <v>303</v>
      </c>
      <c r="BO733" s="326"/>
      <c r="BP733" s="326"/>
      <c r="BQ733" s="326"/>
      <c r="BR733" s="326"/>
      <c r="BS733" s="326"/>
      <c r="BT733" s="326"/>
      <c r="BU733" s="326"/>
      <c r="BV733" s="327"/>
    </row>
    <row r="734" spans="1:74" ht="45" customHeight="1" x14ac:dyDescent="0.25">
      <c r="A734" s="10">
        <f t="shared" si="2"/>
        <v>720</v>
      </c>
      <c r="B734" s="564" t="s">
        <v>303</v>
      </c>
      <c r="C734" s="327"/>
      <c r="D734" s="565" t="s">
        <v>307</v>
      </c>
      <c r="E734" s="327"/>
      <c r="F734" s="537" t="s">
        <v>334</v>
      </c>
      <c r="G734" s="327"/>
      <c r="H734" s="561" t="s">
        <v>334</v>
      </c>
      <c r="I734" s="327"/>
      <c r="J734" s="562"/>
      <c r="K734" s="327"/>
      <c r="L734" s="562"/>
      <c r="M734" s="327"/>
      <c r="N734" s="20"/>
      <c r="O734" s="21"/>
      <c r="P734" s="524"/>
      <c r="Q734" s="327"/>
      <c r="R734" s="516"/>
      <c r="S734" s="327"/>
      <c r="T734" s="517"/>
      <c r="U734" s="327"/>
      <c r="V734" s="518"/>
      <c r="W734" s="327"/>
      <c r="X734" s="438" t="s">
        <v>303</v>
      </c>
      <c r="Y734" s="326"/>
      <c r="Z734" s="326"/>
      <c r="AA734" s="327"/>
      <c r="AB734" s="519" t="s">
        <v>303</v>
      </c>
      <c r="AC734" s="326"/>
      <c r="AD734" s="326"/>
      <c r="AE734" s="327"/>
      <c r="AF734" s="520"/>
      <c r="AG734" s="327"/>
      <c r="AH734" s="520"/>
      <c r="AI734" s="327"/>
      <c r="AJ734" s="536"/>
      <c r="AK734" s="327"/>
      <c r="AL734" s="556" t="s">
        <v>334</v>
      </c>
      <c r="AM734" s="327"/>
      <c r="AN734" s="553" t="s">
        <v>334</v>
      </c>
      <c r="AO734" s="327"/>
      <c r="AP734" s="554"/>
      <c r="AQ734" s="327"/>
      <c r="AR734" s="555"/>
      <c r="AS734" s="327"/>
      <c r="AT734" s="549"/>
      <c r="AU734" s="327"/>
      <c r="AV734" s="553" t="s">
        <v>334</v>
      </c>
      <c r="AW734" s="327"/>
      <c r="AX734" s="521"/>
      <c r="AY734" s="326"/>
      <c r="AZ734" s="327"/>
      <c r="BA734" s="536"/>
      <c r="BB734" s="327"/>
      <c r="BC734" s="22"/>
      <c r="BD734" s="551" t="s">
        <v>334</v>
      </c>
      <c r="BE734" s="327"/>
      <c r="BF734" s="508"/>
      <c r="BG734" s="326"/>
      <c r="BH734" s="326"/>
      <c r="BI734" s="327"/>
      <c r="BJ734" s="451" t="s">
        <v>303</v>
      </c>
      <c r="BK734" s="326"/>
      <c r="BL734" s="326"/>
      <c r="BM734" s="327"/>
      <c r="BN734" s="558" t="s">
        <v>303</v>
      </c>
      <c r="BO734" s="326"/>
      <c r="BP734" s="326"/>
      <c r="BQ734" s="326"/>
      <c r="BR734" s="326"/>
      <c r="BS734" s="326"/>
      <c r="BT734" s="326"/>
      <c r="BU734" s="326"/>
      <c r="BV734" s="327"/>
    </row>
    <row r="735" spans="1:74" ht="45" customHeight="1" x14ac:dyDescent="0.25">
      <c r="A735" s="10">
        <f t="shared" si="2"/>
        <v>721</v>
      </c>
      <c r="B735" s="559" t="s">
        <v>303</v>
      </c>
      <c r="C735" s="327"/>
      <c r="D735" s="560" t="s">
        <v>307</v>
      </c>
      <c r="E735" s="327"/>
      <c r="F735" s="537" t="s">
        <v>334</v>
      </c>
      <c r="G735" s="327"/>
      <c r="H735" s="566" t="s">
        <v>334</v>
      </c>
      <c r="I735" s="327"/>
      <c r="J735" s="567"/>
      <c r="K735" s="327"/>
      <c r="L735" s="567"/>
      <c r="M735" s="327"/>
      <c r="N735" s="23"/>
      <c r="O735" s="24"/>
      <c r="P735" s="563"/>
      <c r="Q735" s="327"/>
      <c r="R735" s="538"/>
      <c r="S735" s="327"/>
      <c r="T735" s="539"/>
      <c r="U735" s="327"/>
      <c r="V735" s="540"/>
      <c r="W735" s="327"/>
      <c r="X735" s="541" t="s">
        <v>303</v>
      </c>
      <c r="Y735" s="326"/>
      <c r="Z735" s="326"/>
      <c r="AA735" s="327"/>
      <c r="AB735" s="542" t="s">
        <v>303</v>
      </c>
      <c r="AC735" s="326"/>
      <c r="AD735" s="326"/>
      <c r="AE735" s="327"/>
      <c r="AF735" s="543"/>
      <c r="AG735" s="327"/>
      <c r="AH735" s="543"/>
      <c r="AI735" s="327"/>
      <c r="AJ735" s="536"/>
      <c r="AK735" s="327"/>
      <c r="AL735" s="537" t="s">
        <v>334</v>
      </c>
      <c r="AM735" s="327"/>
      <c r="AN735" s="546" t="s">
        <v>334</v>
      </c>
      <c r="AO735" s="327"/>
      <c r="AP735" s="547"/>
      <c r="AQ735" s="327"/>
      <c r="AR735" s="548"/>
      <c r="AS735" s="327"/>
      <c r="AT735" s="568"/>
      <c r="AU735" s="327"/>
      <c r="AV735" s="546" t="s">
        <v>334</v>
      </c>
      <c r="AW735" s="327"/>
      <c r="AX735" s="521"/>
      <c r="AY735" s="326"/>
      <c r="AZ735" s="327"/>
      <c r="BA735" s="550"/>
      <c r="BB735" s="327"/>
      <c r="BC735" s="25"/>
      <c r="BD735" s="544" t="s">
        <v>334</v>
      </c>
      <c r="BE735" s="327"/>
      <c r="BF735" s="545"/>
      <c r="BG735" s="326"/>
      <c r="BH735" s="326"/>
      <c r="BI735" s="327"/>
      <c r="BJ735" s="557" t="s">
        <v>303</v>
      </c>
      <c r="BK735" s="326"/>
      <c r="BL735" s="326"/>
      <c r="BM735" s="327"/>
      <c r="BN735" s="558" t="s">
        <v>303</v>
      </c>
      <c r="BO735" s="326"/>
      <c r="BP735" s="326"/>
      <c r="BQ735" s="326"/>
      <c r="BR735" s="326"/>
      <c r="BS735" s="326"/>
      <c r="BT735" s="326"/>
      <c r="BU735" s="326"/>
      <c r="BV735" s="327"/>
    </row>
    <row r="736" spans="1:74" ht="45" customHeight="1" x14ac:dyDescent="0.25">
      <c r="A736" s="10">
        <f t="shared" si="2"/>
        <v>722</v>
      </c>
      <c r="B736" s="564" t="s">
        <v>303</v>
      </c>
      <c r="C736" s="327"/>
      <c r="D736" s="565" t="s">
        <v>307</v>
      </c>
      <c r="E736" s="327"/>
      <c r="F736" s="537" t="s">
        <v>334</v>
      </c>
      <c r="G736" s="327"/>
      <c r="H736" s="561" t="s">
        <v>334</v>
      </c>
      <c r="I736" s="327"/>
      <c r="J736" s="562"/>
      <c r="K736" s="327"/>
      <c r="L736" s="562"/>
      <c r="M736" s="327"/>
      <c r="N736" s="20"/>
      <c r="O736" s="21"/>
      <c r="P736" s="524"/>
      <c r="Q736" s="327"/>
      <c r="R736" s="516"/>
      <c r="S736" s="327"/>
      <c r="T736" s="517"/>
      <c r="U736" s="327"/>
      <c r="V736" s="518"/>
      <c r="W736" s="327"/>
      <c r="X736" s="438" t="s">
        <v>303</v>
      </c>
      <c r="Y736" s="326"/>
      <c r="Z736" s="326"/>
      <c r="AA736" s="327"/>
      <c r="AB736" s="519" t="s">
        <v>303</v>
      </c>
      <c r="AC736" s="326"/>
      <c r="AD736" s="326"/>
      <c r="AE736" s="327"/>
      <c r="AF736" s="520"/>
      <c r="AG736" s="327"/>
      <c r="AH736" s="520"/>
      <c r="AI736" s="327"/>
      <c r="AJ736" s="536"/>
      <c r="AK736" s="327"/>
      <c r="AL736" s="556" t="s">
        <v>334</v>
      </c>
      <c r="AM736" s="327"/>
      <c r="AN736" s="553" t="s">
        <v>334</v>
      </c>
      <c r="AO736" s="327"/>
      <c r="AP736" s="554"/>
      <c r="AQ736" s="327"/>
      <c r="AR736" s="555"/>
      <c r="AS736" s="327"/>
      <c r="AT736" s="549"/>
      <c r="AU736" s="327"/>
      <c r="AV736" s="553" t="s">
        <v>334</v>
      </c>
      <c r="AW736" s="327"/>
      <c r="AX736" s="521"/>
      <c r="AY736" s="326"/>
      <c r="AZ736" s="327"/>
      <c r="BA736" s="536"/>
      <c r="BB736" s="327"/>
      <c r="BC736" s="22"/>
      <c r="BD736" s="551" t="s">
        <v>334</v>
      </c>
      <c r="BE736" s="327"/>
      <c r="BF736" s="552"/>
      <c r="BG736" s="326"/>
      <c r="BH736" s="326"/>
      <c r="BI736" s="327"/>
      <c r="BJ736" s="451" t="s">
        <v>303</v>
      </c>
      <c r="BK736" s="326"/>
      <c r="BL736" s="326"/>
      <c r="BM736" s="327"/>
      <c r="BN736" s="558" t="s">
        <v>303</v>
      </c>
      <c r="BO736" s="326"/>
      <c r="BP736" s="326"/>
      <c r="BQ736" s="326"/>
      <c r="BR736" s="326"/>
      <c r="BS736" s="326"/>
      <c r="BT736" s="326"/>
      <c r="BU736" s="326"/>
      <c r="BV736" s="327"/>
    </row>
    <row r="737" spans="1:74" ht="45" customHeight="1" x14ac:dyDescent="0.25">
      <c r="A737" s="10">
        <f t="shared" si="2"/>
        <v>723</v>
      </c>
      <c r="B737" s="559" t="s">
        <v>303</v>
      </c>
      <c r="C737" s="327"/>
      <c r="D737" s="560" t="s">
        <v>307</v>
      </c>
      <c r="E737" s="327"/>
      <c r="F737" s="537" t="s">
        <v>334</v>
      </c>
      <c r="G737" s="327"/>
      <c r="H737" s="566" t="s">
        <v>334</v>
      </c>
      <c r="I737" s="327"/>
      <c r="J737" s="567"/>
      <c r="K737" s="327"/>
      <c r="L737" s="567"/>
      <c r="M737" s="327"/>
      <c r="N737" s="20"/>
      <c r="O737" s="21"/>
      <c r="P737" s="524"/>
      <c r="Q737" s="327"/>
      <c r="R737" s="538"/>
      <c r="S737" s="327"/>
      <c r="T737" s="539"/>
      <c r="U737" s="327"/>
      <c r="V737" s="540"/>
      <c r="W737" s="327"/>
      <c r="X737" s="541" t="s">
        <v>303</v>
      </c>
      <c r="Y737" s="326"/>
      <c r="Z737" s="326"/>
      <c r="AA737" s="327"/>
      <c r="AB737" s="542" t="s">
        <v>303</v>
      </c>
      <c r="AC737" s="326"/>
      <c r="AD737" s="326"/>
      <c r="AE737" s="327"/>
      <c r="AF737" s="543"/>
      <c r="AG737" s="327"/>
      <c r="AH737" s="543"/>
      <c r="AI737" s="327"/>
      <c r="AJ737" s="536"/>
      <c r="AK737" s="327"/>
      <c r="AL737" s="537" t="s">
        <v>334</v>
      </c>
      <c r="AM737" s="327"/>
      <c r="AN737" s="546" t="s">
        <v>334</v>
      </c>
      <c r="AO737" s="327"/>
      <c r="AP737" s="547"/>
      <c r="AQ737" s="327"/>
      <c r="AR737" s="548"/>
      <c r="AS737" s="327"/>
      <c r="AT737" s="549"/>
      <c r="AU737" s="327"/>
      <c r="AV737" s="546" t="s">
        <v>334</v>
      </c>
      <c r="AW737" s="327"/>
      <c r="AX737" s="521"/>
      <c r="AY737" s="326"/>
      <c r="AZ737" s="327"/>
      <c r="BA737" s="550"/>
      <c r="BB737" s="327"/>
      <c r="BC737" s="25"/>
      <c r="BD737" s="544" t="s">
        <v>334</v>
      </c>
      <c r="BE737" s="327"/>
      <c r="BF737" s="545"/>
      <c r="BG737" s="326"/>
      <c r="BH737" s="326"/>
      <c r="BI737" s="327"/>
      <c r="BJ737" s="557" t="s">
        <v>303</v>
      </c>
      <c r="BK737" s="326"/>
      <c r="BL737" s="326"/>
      <c r="BM737" s="327"/>
      <c r="BN737" s="558" t="s">
        <v>303</v>
      </c>
      <c r="BO737" s="326"/>
      <c r="BP737" s="326"/>
      <c r="BQ737" s="326"/>
      <c r="BR737" s="326"/>
      <c r="BS737" s="326"/>
      <c r="BT737" s="326"/>
      <c r="BU737" s="326"/>
      <c r="BV737" s="327"/>
    </row>
    <row r="738" spans="1:74" ht="45" customHeight="1" x14ac:dyDescent="0.25">
      <c r="A738" s="10">
        <f t="shared" si="2"/>
        <v>724</v>
      </c>
      <c r="B738" s="564" t="s">
        <v>303</v>
      </c>
      <c r="C738" s="327"/>
      <c r="D738" s="565" t="s">
        <v>307</v>
      </c>
      <c r="E738" s="327"/>
      <c r="F738" s="537" t="s">
        <v>334</v>
      </c>
      <c r="G738" s="327"/>
      <c r="H738" s="561" t="s">
        <v>334</v>
      </c>
      <c r="I738" s="327"/>
      <c r="J738" s="562"/>
      <c r="K738" s="327"/>
      <c r="L738" s="562"/>
      <c r="M738" s="327"/>
      <c r="N738" s="23"/>
      <c r="O738" s="24"/>
      <c r="P738" s="563"/>
      <c r="Q738" s="327"/>
      <c r="R738" s="516"/>
      <c r="S738" s="327"/>
      <c r="T738" s="517"/>
      <c r="U738" s="327"/>
      <c r="V738" s="518"/>
      <c r="W738" s="327"/>
      <c r="X738" s="438" t="s">
        <v>303</v>
      </c>
      <c r="Y738" s="326"/>
      <c r="Z738" s="326"/>
      <c r="AA738" s="327"/>
      <c r="AB738" s="519" t="s">
        <v>303</v>
      </c>
      <c r="AC738" s="326"/>
      <c r="AD738" s="326"/>
      <c r="AE738" s="327"/>
      <c r="AF738" s="520"/>
      <c r="AG738" s="327"/>
      <c r="AH738" s="520"/>
      <c r="AI738" s="327"/>
      <c r="AJ738" s="536"/>
      <c r="AK738" s="327"/>
      <c r="AL738" s="556" t="s">
        <v>334</v>
      </c>
      <c r="AM738" s="327"/>
      <c r="AN738" s="553" t="s">
        <v>334</v>
      </c>
      <c r="AO738" s="327"/>
      <c r="AP738" s="554"/>
      <c r="AQ738" s="327"/>
      <c r="AR738" s="555"/>
      <c r="AS738" s="327"/>
      <c r="AT738" s="549"/>
      <c r="AU738" s="327"/>
      <c r="AV738" s="553" t="s">
        <v>334</v>
      </c>
      <c r="AW738" s="327"/>
      <c r="AX738" s="521"/>
      <c r="AY738" s="326"/>
      <c r="AZ738" s="327"/>
      <c r="BA738" s="536"/>
      <c r="BB738" s="327"/>
      <c r="BC738" s="22"/>
      <c r="BD738" s="551" t="s">
        <v>334</v>
      </c>
      <c r="BE738" s="327"/>
      <c r="BF738" s="552"/>
      <c r="BG738" s="326"/>
      <c r="BH738" s="326"/>
      <c r="BI738" s="327"/>
      <c r="BJ738" s="451" t="s">
        <v>303</v>
      </c>
      <c r="BK738" s="326"/>
      <c r="BL738" s="326"/>
      <c r="BM738" s="327"/>
      <c r="BN738" s="558" t="s">
        <v>303</v>
      </c>
      <c r="BO738" s="326"/>
      <c r="BP738" s="326"/>
      <c r="BQ738" s="326"/>
      <c r="BR738" s="326"/>
      <c r="BS738" s="326"/>
      <c r="BT738" s="326"/>
      <c r="BU738" s="326"/>
      <c r="BV738" s="327"/>
    </row>
    <row r="739" spans="1:74" ht="45" customHeight="1" x14ac:dyDescent="0.25">
      <c r="A739" s="10">
        <f t="shared" si="2"/>
        <v>725</v>
      </c>
      <c r="B739" s="559" t="s">
        <v>303</v>
      </c>
      <c r="C739" s="327"/>
      <c r="D739" s="560" t="s">
        <v>307</v>
      </c>
      <c r="E739" s="327"/>
      <c r="F739" s="537" t="s">
        <v>334</v>
      </c>
      <c r="G739" s="327"/>
      <c r="H739" s="566" t="s">
        <v>334</v>
      </c>
      <c r="I739" s="327"/>
      <c r="J739" s="567"/>
      <c r="K739" s="327"/>
      <c r="L739" s="567"/>
      <c r="M739" s="327"/>
      <c r="N739" s="20"/>
      <c r="O739" s="21"/>
      <c r="P739" s="524"/>
      <c r="Q739" s="327"/>
      <c r="R739" s="538"/>
      <c r="S739" s="327"/>
      <c r="T739" s="539"/>
      <c r="U739" s="327"/>
      <c r="V739" s="540"/>
      <c r="W739" s="327"/>
      <c r="X739" s="541" t="s">
        <v>303</v>
      </c>
      <c r="Y739" s="326"/>
      <c r="Z739" s="326"/>
      <c r="AA739" s="327"/>
      <c r="AB739" s="542" t="s">
        <v>303</v>
      </c>
      <c r="AC739" s="326"/>
      <c r="AD739" s="326"/>
      <c r="AE739" s="327"/>
      <c r="AF739" s="543"/>
      <c r="AG739" s="327"/>
      <c r="AH739" s="543"/>
      <c r="AI739" s="327"/>
      <c r="AJ739" s="536"/>
      <c r="AK739" s="327"/>
      <c r="AL739" s="537" t="s">
        <v>334</v>
      </c>
      <c r="AM739" s="327"/>
      <c r="AN739" s="546" t="s">
        <v>334</v>
      </c>
      <c r="AO739" s="327"/>
      <c r="AP739" s="547"/>
      <c r="AQ739" s="327"/>
      <c r="AR739" s="548"/>
      <c r="AS739" s="327"/>
      <c r="AT739" s="549"/>
      <c r="AU739" s="327"/>
      <c r="AV739" s="546" t="s">
        <v>334</v>
      </c>
      <c r="AW739" s="327"/>
      <c r="AX739" s="521"/>
      <c r="AY739" s="326"/>
      <c r="AZ739" s="327"/>
      <c r="BA739" s="550"/>
      <c r="BB739" s="327"/>
      <c r="BC739" s="25"/>
      <c r="BD739" s="544" t="s">
        <v>334</v>
      </c>
      <c r="BE739" s="327"/>
      <c r="BF739" s="545"/>
      <c r="BG739" s="326"/>
      <c r="BH739" s="326"/>
      <c r="BI739" s="327"/>
      <c r="BJ739" s="557" t="s">
        <v>303</v>
      </c>
      <c r="BK739" s="326"/>
      <c r="BL739" s="326"/>
      <c r="BM739" s="327"/>
      <c r="BN739" s="558" t="s">
        <v>303</v>
      </c>
      <c r="BO739" s="326"/>
      <c r="BP739" s="326"/>
      <c r="BQ739" s="326"/>
      <c r="BR739" s="326"/>
      <c r="BS739" s="326"/>
      <c r="BT739" s="326"/>
      <c r="BU739" s="326"/>
      <c r="BV739" s="327"/>
    </row>
    <row r="740" spans="1:74" ht="45" customHeight="1" x14ac:dyDescent="0.25">
      <c r="A740" s="10">
        <f t="shared" si="2"/>
        <v>726</v>
      </c>
      <c r="B740" s="564" t="s">
        <v>303</v>
      </c>
      <c r="C740" s="327"/>
      <c r="D740" s="565" t="s">
        <v>307</v>
      </c>
      <c r="E740" s="327"/>
      <c r="F740" s="537" t="s">
        <v>334</v>
      </c>
      <c r="G740" s="327"/>
      <c r="H740" s="561" t="s">
        <v>334</v>
      </c>
      <c r="I740" s="327"/>
      <c r="J740" s="562"/>
      <c r="K740" s="327"/>
      <c r="L740" s="562"/>
      <c r="M740" s="327"/>
      <c r="N740" s="23"/>
      <c r="O740" s="24"/>
      <c r="P740" s="563"/>
      <c r="Q740" s="327"/>
      <c r="R740" s="516"/>
      <c r="S740" s="327"/>
      <c r="T740" s="517"/>
      <c r="U740" s="327"/>
      <c r="V740" s="518"/>
      <c r="W740" s="327"/>
      <c r="X740" s="438" t="s">
        <v>303</v>
      </c>
      <c r="Y740" s="326"/>
      <c r="Z740" s="326"/>
      <c r="AA740" s="327"/>
      <c r="AB740" s="519" t="s">
        <v>303</v>
      </c>
      <c r="AC740" s="326"/>
      <c r="AD740" s="326"/>
      <c r="AE740" s="327"/>
      <c r="AF740" s="520"/>
      <c r="AG740" s="327"/>
      <c r="AH740" s="520"/>
      <c r="AI740" s="327"/>
      <c r="AJ740" s="536"/>
      <c r="AK740" s="327"/>
      <c r="AL740" s="556" t="s">
        <v>334</v>
      </c>
      <c r="AM740" s="327"/>
      <c r="AN740" s="553" t="s">
        <v>334</v>
      </c>
      <c r="AO740" s="327"/>
      <c r="AP740" s="554"/>
      <c r="AQ740" s="327"/>
      <c r="AR740" s="555"/>
      <c r="AS740" s="327"/>
      <c r="AT740" s="549"/>
      <c r="AU740" s="327"/>
      <c r="AV740" s="553" t="s">
        <v>334</v>
      </c>
      <c r="AW740" s="327"/>
      <c r="AX740" s="521"/>
      <c r="AY740" s="326"/>
      <c r="AZ740" s="327"/>
      <c r="BA740" s="536"/>
      <c r="BB740" s="327"/>
      <c r="BC740" s="22"/>
      <c r="BD740" s="551" t="s">
        <v>334</v>
      </c>
      <c r="BE740" s="327"/>
      <c r="BF740" s="552"/>
      <c r="BG740" s="326"/>
      <c r="BH740" s="326"/>
      <c r="BI740" s="327"/>
      <c r="BJ740" s="451" t="s">
        <v>303</v>
      </c>
      <c r="BK740" s="326"/>
      <c r="BL740" s="326"/>
      <c r="BM740" s="327"/>
      <c r="BN740" s="558" t="s">
        <v>303</v>
      </c>
      <c r="BO740" s="326"/>
      <c r="BP740" s="326"/>
      <c r="BQ740" s="326"/>
      <c r="BR740" s="326"/>
      <c r="BS740" s="326"/>
      <c r="BT740" s="326"/>
      <c r="BU740" s="326"/>
      <c r="BV740" s="327"/>
    </row>
    <row r="741" spans="1:74" ht="45" customHeight="1" x14ac:dyDescent="0.25">
      <c r="A741" s="10">
        <f t="shared" si="2"/>
        <v>727</v>
      </c>
      <c r="B741" s="559" t="s">
        <v>303</v>
      </c>
      <c r="C741" s="327"/>
      <c r="D741" s="560" t="s">
        <v>307</v>
      </c>
      <c r="E741" s="327"/>
      <c r="F741" s="537" t="s">
        <v>334</v>
      </c>
      <c r="G741" s="327"/>
      <c r="H741" s="566" t="s">
        <v>334</v>
      </c>
      <c r="I741" s="327"/>
      <c r="J741" s="567"/>
      <c r="K741" s="327"/>
      <c r="L741" s="567"/>
      <c r="M741" s="327"/>
      <c r="N741" s="20"/>
      <c r="O741" s="24"/>
      <c r="P741" s="524"/>
      <c r="Q741" s="327"/>
      <c r="R741" s="538"/>
      <c r="S741" s="327"/>
      <c r="T741" s="539"/>
      <c r="U741" s="327"/>
      <c r="V741" s="540"/>
      <c r="W741" s="327"/>
      <c r="X741" s="541" t="s">
        <v>303</v>
      </c>
      <c r="Y741" s="326"/>
      <c r="Z741" s="326"/>
      <c r="AA741" s="327"/>
      <c r="AB741" s="542" t="s">
        <v>303</v>
      </c>
      <c r="AC741" s="326"/>
      <c r="AD741" s="326"/>
      <c r="AE741" s="327"/>
      <c r="AF741" s="543"/>
      <c r="AG741" s="327"/>
      <c r="AH741" s="543"/>
      <c r="AI741" s="327"/>
      <c r="AJ741" s="536"/>
      <c r="AK741" s="327"/>
      <c r="AL741" s="537" t="s">
        <v>334</v>
      </c>
      <c r="AM741" s="327"/>
      <c r="AN741" s="546" t="s">
        <v>334</v>
      </c>
      <c r="AO741" s="327"/>
      <c r="AP741" s="547"/>
      <c r="AQ741" s="327"/>
      <c r="AR741" s="548"/>
      <c r="AS741" s="327"/>
      <c r="AT741" s="568"/>
      <c r="AU741" s="327"/>
      <c r="AV741" s="546" t="s">
        <v>334</v>
      </c>
      <c r="AW741" s="327"/>
      <c r="AX741" s="521"/>
      <c r="AY741" s="326"/>
      <c r="AZ741" s="327"/>
      <c r="BA741" s="550"/>
      <c r="BB741" s="327"/>
      <c r="BC741" s="25"/>
      <c r="BD741" s="544" t="s">
        <v>334</v>
      </c>
      <c r="BE741" s="327"/>
      <c r="BF741" s="545"/>
      <c r="BG741" s="326"/>
      <c r="BH741" s="326"/>
      <c r="BI741" s="327"/>
      <c r="BJ741" s="557" t="s">
        <v>303</v>
      </c>
      <c r="BK741" s="326"/>
      <c r="BL741" s="326"/>
      <c r="BM741" s="327"/>
      <c r="BN741" s="558" t="s">
        <v>303</v>
      </c>
      <c r="BO741" s="326"/>
      <c r="BP741" s="326"/>
      <c r="BQ741" s="326"/>
      <c r="BR741" s="326"/>
      <c r="BS741" s="326"/>
      <c r="BT741" s="326"/>
      <c r="BU741" s="326"/>
      <c r="BV741" s="327"/>
    </row>
    <row r="742" spans="1:74" ht="45" customHeight="1" x14ac:dyDescent="0.25">
      <c r="A742" s="10">
        <f t="shared" si="2"/>
        <v>728</v>
      </c>
      <c r="B742" s="564" t="s">
        <v>303</v>
      </c>
      <c r="C742" s="327"/>
      <c r="D742" s="565" t="s">
        <v>307</v>
      </c>
      <c r="E742" s="327"/>
      <c r="F742" s="537" t="s">
        <v>334</v>
      </c>
      <c r="G742" s="327"/>
      <c r="H742" s="561" t="s">
        <v>334</v>
      </c>
      <c r="I742" s="327"/>
      <c r="J742" s="562"/>
      <c r="K742" s="327"/>
      <c r="L742" s="562"/>
      <c r="M742" s="327"/>
      <c r="N742" s="23"/>
      <c r="O742" s="21"/>
      <c r="P742" s="563"/>
      <c r="Q742" s="327"/>
      <c r="R742" s="516"/>
      <c r="S742" s="327"/>
      <c r="T742" s="517"/>
      <c r="U742" s="327"/>
      <c r="V742" s="518"/>
      <c r="W742" s="327"/>
      <c r="X742" s="438" t="s">
        <v>303</v>
      </c>
      <c r="Y742" s="326"/>
      <c r="Z742" s="326"/>
      <c r="AA742" s="327"/>
      <c r="AB742" s="519" t="s">
        <v>303</v>
      </c>
      <c r="AC742" s="326"/>
      <c r="AD742" s="326"/>
      <c r="AE742" s="327"/>
      <c r="AF742" s="520"/>
      <c r="AG742" s="327"/>
      <c r="AH742" s="520"/>
      <c r="AI742" s="327"/>
      <c r="AJ742" s="536"/>
      <c r="AK742" s="327"/>
      <c r="AL742" s="556" t="s">
        <v>334</v>
      </c>
      <c r="AM742" s="327"/>
      <c r="AN742" s="553" t="s">
        <v>334</v>
      </c>
      <c r="AO742" s="327"/>
      <c r="AP742" s="554"/>
      <c r="AQ742" s="327"/>
      <c r="AR742" s="555"/>
      <c r="AS742" s="327"/>
      <c r="AT742" s="549"/>
      <c r="AU742" s="327"/>
      <c r="AV742" s="553" t="s">
        <v>334</v>
      </c>
      <c r="AW742" s="327"/>
      <c r="AX742" s="521"/>
      <c r="AY742" s="326"/>
      <c r="AZ742" s="327"/>
      <c r="BA742" s="536"/>
      <c r="BB742" s="327"/>
      <c r="BC742" s="22"/>
      <c r="BD742" s="551" t="s">
        <v>334</v>
      </c>
      <c r="BE742" s="327"/>
      <c r="BF742" s="508"/>
      <c r="BG742" s="326"/>
      <c r="BH742" s="326"/>
      <c r="BI742" s="327"/>
      <c r="BJ742" s="451" t="s">
        <v>303</v>
      </c>
      <c r="BK742" s="326"/>
      <c r="BL742" s="326"/>
      <c r="BM742" s="327"/>
      <c r="BN742" s="558" t="s">
        <v>303</v>
      </c>
      <c r="BO742" s="326"/>
      <c r="BP742" s="326"/>
      <c r="BQ742" s="326"/>
      <c r="BR742" s="326"/>
      <c r="BS742" s="326"/>
      <c r="BT742" s="326"/>
      <c r="BU742" s="326"/>
      <c r="BV742" s="327"/>
    </row>
    <row r="743" spans="1:74" ht="45" customHeight="1" x14ac:dyDescent="0.25">
      <c r="A743" s="10">
        <f t="shared" si="2"/>
        <v>729</v>
      </c>
      <c r="B743" s="559" t="s">
        <v>303</v>
      </c>
      <c r="C743" s="327"/>
      <c r="D743" s="560" t="s">
        <v>307</v>
      </c>
      <c r="E743" s="327"/>
      <c r="F743" s="537" t="s">
        <v>334</v>
      </c>
      <c r="G743" s="327"/>
      <c r="H743" s="566" t="s">
        <v>334</v>
      </c>
      <c r="I743" s="327"/>
      <c r="J743" s="567"/>
      <c r="K743" s="327"/>
      <c r="L743" s="567"/>
      <c r="M743" s="327"/>
      <c r="N743" s="20"/>
      <c r="O743" s="24"/>
      <c r="P743" s="524"/>
      <c r="Q743" s="327"/>
      <c r="R743" s="538"/>
      <c r="S743" s="327"/>
      <c r="T743" s="539"/>
      <c r="U743" s="327"/>
      <c r="V743" s="540"/>
      <c r="W743" s="327"/>
      <c r="X743" s="541" t="s">
        <v>303</v>
      </c>
      <c r="Y743" s="326"/>
      <c r="Z743" s="326"/>
      <c r="AA743" s="327"/>
      <c r="AB743" s="542" t="s">
        <v>303</v>
      </c>
      <c r="AC743" s="326"/>
      <c r="AD743" s="326"/>
      <c r="AE743" s="327"/>
      <c r="AF743" s="543"/>
      <c r="AG743" s="327"/>
      <c r="AH743" s="543"/>
      <c r="AI743" s="327"/>
      <c r="AJ743" s="536"/>
      <c r="AK743" s="327"/>
      <c r="AL743" s="537" t="s">
        <v>334</v>
      </c>
      <c r="AM743" s="327"/>
      <c r="AN743" s="546" t="s">
        <v>334</v>
      </c>
      <c r="AO743" s="327"/>
      <c r="AP743" s="547"/>
      <c r="AQ743" s="327"/>
      <c r="AR743" s="548"/>
      <c r="AS743" s="327"/>
      <c r="AT743" s="568"/>
      <c r="AU743" s="327"/>
      <c r="AV743" s="546" t="s">
        <v>334</v>
      </c>
      <c r="AW743" s="327"/>
      <c r="AX743" s="521"/>
      <c r="AY743" s="326"/>
      <c r="AZ743" s="327"/>
      <c r="BA743" s="550"/>
      <c r="BB743" s="327"/>
      <c r="BC743" s="25"/>
      <c r="BD743" s="544" t="s">
        <v>334</v>
      </c>
      <c r="BE743" s="327"/>
      <c r="BF743" s="545"/>
      <c r="BG743" s="326"/>
      <c r="BH743" s="326"/>
      <c r="BI743" s="327"/>
      <c r="BJ743" s="557" t="s">
        <v>303</v>
      </c>
      <c r="BK743" s="326"/>
      <c r="BL743" s="326"/>
      <c r="BM743" s="327"/>
      <c r="BN743" s="558" t="s">
        <v>303</v>
      </c>
      <c r="BO743" s="326"/>
      <c r="BP743" s="326"/>
      <c r="BQ743" s="326"/>
      <c r="BR743" s="326"/>
      <c r="BS743" s="326"/>
      <c r="BT743" s="326"/>
      <c r="BU743" s="326"/>
      <c r="BV743" s="327"/>
    </row>
    <row r="744" spans="1:74" ht="45" customHeight="1" x14ac:dyDescent="0.25">
      <c r="A744" s="10">
        <f t="shared" si="2"/>
        <v>730</v>
      </c>
      <c r="B744" s="564" t="s">
        <v>303</v>
      </c>
      <c r="C744" s="327"/>
      <c r="D744" s="565" t="s">
        <v>307</v>
      </c>
      <c r="E744" s="327"/>
      <c r="F744" s="537" t="s">
        <v>334</v>
      </c>
      <c r="G744" s="327"/>
      <c r="H744" s="561" t="s">
        <v>334</v>
      </c>
      <c r="I744" s="327"/>
      <c r="J744" s="562"/>
      <c r="K744" s="327"/>
      <c r="L744" s="562"/>
      <c r="M744" s="327"/>
      <c r="N744" s="23"/>
      <c r="O744" s="21"/>
      <c r="P744" s="563"/>
      <c r="Q744" s="327"/>
      <c r="R744" s="516"/>
      <c r="S744" s="327"/>
      <c r="T744" s="517"/>
      <c r="U744" s="327"/>
      <c r="V744" s="518"/>
      <c r="W744" s="327"/>
      <c r="X744" s="438" t="s">
        <v>303</v>
      </c>
      <c r="Y744" s="326"/>
      <c r="Z744" s="326"/>
      <c r="AA744" s="327"/>
      <c r="AB744" s="519" t="s">
        <v>303</v>
      </c>
      <c r="AC744" s="326"/>
      <c r="AD744" s="326"/>
      <c r="AE744" s="327"/>
      <c r="AF744" s="520"/>
      <c r="AG744" s="327"/>
      <c r="AH744" s="520"/>
      <c r="AI744" s="327"/>
      <c r="AJ744" s="536"/>
      <c r="AK744" s="327"/>
      <c r="AL744" s="556" t="s">
        <v>334</v>
      </c>
      <c r="AM744" s="327"/>
      <c r="AN744" s="553" t="s">
        <v>334</v>
      </c>
      <c r="AO744" s="327"/>
      <c r="AP744" s="554"/>
      <c r="AQ744" s="327"/>
      <c r="AR744" s="555"/>
      <c r="AS744" s="327"/>
      <c r="AT744" s="549"/>
      <c r="AU744" s="327"/>
      <c r="AV744" s="553" t="s">
        <v>334</v>
      </c>
      <c r="AW744" s="327"/>
      <c r="AX744" s="521"/>
      <c r="AY744" s="326"/>
      <c r="AZ744" s="327"/>
      <c r="BA744" s="536"/>
      <c r="BB744" s="327"/>
      <c r="BC744" s="22"/>
      <c r="BD744" s="551" t="s">
        <v>334</v>
      </c>
      <c r="BE744" s="327"/>
      <c r="BF744" s="552"/>
      <c r="BG744" s="326"/>
      <c r="BH744" s="326"/>
      <c r="BI744" s="327"/>
      <c r="BJ744" s="451" t="s">
        <v>303</v>
      </c>
      <c r="BK744" s="326"/>
      <c r="BL744" s="326"/>
      <c r="BM744" s="327"/>
      <c r="BN744" s="558" t="s">
        <v>303</v>
      </c>
      <c r="BO744" s="326"/>
      <c r="BP744" s="326"/>
      <c r="BQ744" s="326"/>
      <c r="BR744" s="326"/>
      <c r="BS744" s="326"/>
      <c r="BT744" s="326"/>
      <c r="BU744" s="326"/>
      <c r="BV744" s="327"/>
    </row>
    <row r="745" spans="1:74" ht="45" customHeight="1" x14ac:dyDescent="0.25">
      <c r="A745" s="10">
        <f t="shared" si="2"/>
        <v>731</v>
      </c>
      <c r="B745" s="559" t="s">
        <v>303</v>
      </c>
      <c r="C745" s="327"/>
      <c r="D745" s="560" t="s">
        <v>307</v>
      </c>
      <c r="E745" s="327"/>
      <c r="F745" s="537" t="s">
        <v>334</v>
      </c>
      <c r="G745" s="327"/>
      <c r="H745" s="566" t="s">
        <v>334</v>
      </c>
      <c r="I745" s="327"/>
      <c r="J745" s="567"/>
      <c r="K745" s="327"/>
      <c r="L745" s="567"/>
      <c r="M745" s="327"/>
      <c r="N745" s="20"/>
      <c r="O745" s="24"/>
      <c r="P745" s="524"/>
      <c r="Q745" s="327"/>
      <c r="R745" s="538"/>
      <c r="S745" s="327"/>
      <c r="T745" s="539"/>
      <c r="U745" s="327"/>
      <c r="V745" s="540"/>
      <c r="W745" s="327"/>
      <c r="X745" s="541" t="s">
        <v>303</v>
      </c>
      <c r="Y745" s="326"/>
      <c r="Z745" s="326"/>
      <c r="AA745" s="327"/>
      <c r="AB745" s="542" t="s">
        <v>303</v>
      </c>
      <c r="AC745" s="326"/>
      <c r="AD745" s="326"/>
      <c r="AE745" s="327"/>
      <c r="AF745" s="543"/>
      <c r="AG745" s="327"/>
      <c r="AH745" s="543"/>
      <c r="AI745" s="327"/>
      <c r="AJ745" s="536"/>
      <c r="AK745" s="327"/>
      <c r="AL745" s="537" t="s">
        <v>334</v>
      </c>
      <c r="AM745" s="327"/>
      <c r="AN745" s="546" t="s">
        <v>334</v>
      </c>
      <c r="AO745" s="327"/>
      <c r="AP745" s="547"/>
      <c r="AQ745" s="327"/>
      <c r="AR745" s="548"/>
      <c r="AS745" s="327"/>
      <c r="AT745" s="568"/>
      <c r="AU745" s="327"/>
      <c r="AV745" s="546" t="s">
        <v>334</v>
      </c>
      <c r="AW745" s="327"/>
      <c r="AX745" s="521"/>
      <c r="AY745" s="326"/>
      <c r="AZ745" s="327"/>
      <c r="BA745" s="550"/>
      <c r="BB745" s="327"/>
      <c r="BC745" s="25"/>
      <c r="BD745" s="544" t="s">
        <v>334</v>
      </c>
      <c r="BE745" s="327"/>
      <c r="BF745" s="545"/>
      <c r="BG745" s="326"/>
      <c r="BH745" s="326"/>
      <c r="BI745" s="327"/>
      <c r="BJ745" s="557" t="s">
        <v>303</v>
      </c>
      <c r="BK745" s="326"/>
      <c r="BL745" s="326"/>
      <c r="BM745" s="327"/>
      <c r="BN745" s="558" t="s">
        <v>303</v>
      </c>
      <c r="BO745" s="326"/>
      <c r="BP745" s="326"/>
      <c r="BQ745" s="326"/>
      <c r="BR745" s="326"/>
      <c r="BS745" s="326"/>
      <c r="BT745" s="326"/>
      <c r="BU745" s="326"/>
      <c r="BV745" s="327"/>
    </row>
    <row r="746" spans="1:74" ht="45" customHeight="1" x14ac:dyDescent="0.25">
      <c r="A746" s="10">
        <f t="shared" si="2"/>
        <v>732</v>
      </c>
      <c r="B746" s="564" t="s">
        <v>303</v>
      </c>
      <c r="C746" s="327"/>
      <c r="D746" s="565" t="s">
        <v>307</v>
      </c>
      <c r="E746" s="327"/>
      <c r="F746" s="537" t="s">
        <v>334</v>
      </c>
      <c r="G746" s="327"/>
      <c r="H746" s="561" t="s">
        <v>334</v>
      </c>
      <c r="I746" s="327"/>
      <c r="J746" s="562"/>
      <c r="K746" s="327"/>
      <c r="L746" s="562"/>
      <c r="M746" s="327"/>
      <c r="N746" s="23"/>
      <c r="O746" s="21"/>
      <c r="P746" s="563"/>
      <c r="Q746" s="327"/>
      <c r="R746" s="516"/>
      <c r="S746" s="327"/>
      <c r="T746" s="517"/>
      <c r="U746" s="327"/>
      <c r="V746" s="518"/>
      <c r="W746" s="327"/>
      <c r="X746" s="438" t="s">
        <v>303</v>
      </c>
      <c r="Y746" s="326"/>
      <c r="Z746" s="326"/>
      <c r="AA746" s="327"/>
      <c r="AB746" s="519" t="s">
        <v>303</v>
      </c>
      <c r="AC746" s="326"/>
      <c r="AD746" s="326"/>
      <c r="AE746" s="327"/>
      <c r="AF746" s="520"/>
      <c r="AG746" s="327"/>
      <c r="AH746" s="520"/>
      <c r="AI746" s="327"/>
      <c r="AJ746" s="536"/>
      <c r="AK746" s="327"/>
      <c r="AL746" s="556" t="s">
        <v>334</v>
      </c>
      <c r="AM746" s="327"/>
      <c r="AN746" s="553" t="s">
        <v>334</v>
      </c>
      <c r="AO746" s="327"/>
      <c r="AP746" s="554"/>
      <c r="AQ746" s="327"/>
      <c r="AR746" s="555"/>
      <c r="AS746" s="327"/>
      <c r="AT746" s="549"/>
      <c r="AU746" s="327"/>
      <c r="AV746" s="553" t="s">
        <v>334</v>
      </c>
      <c r="AW746" s="327"/>
      <c r="AX746" s="521"/>
      <c r="AY746" s="326"/>
      <c r="AZ746" s="327"/>
      <c r="BA746" s="536"/>
      <c r="BB746" s="327"/>
      <c r="BC746" s="22"/>
      <c r="BD746" s="551" t="s">
        <v>334</v>
      </c>
      <c r="BE746" s="327"/>
      <c r="BF746" s="552"/>
      <c r="BG746" s="326"/>
      <c r="BH746" s="326"/>
      <c r="BI746" s="327"/>
      <c r="BJ746" s="451" t="s">
        <v>303</v>
      </c>
      <c r="BK746" s="326"/>
      <c r="BL746" s="326"/>
      <c r="BM746" s="327"/>
      <c r="BN746" s="558" t="s">
        <v>303</v>
      </c>
      <c r="BO746" s="326"/>
      <c r="BP746" s="326"/>
      <c r="BQ746" s="326"/>
      <c r="BR746" s="326"/>
      <c r="BS746" s="326"/>
      <c r="BT746" s="326"/>
      <c r="BU746" s="326"/>
      <c r="BV746" s="327"/>
    </row>
    <row r="747" spans="1:74" ht="45" customHeight="1" x14ac:dyDescent="0.25">
      <c r="A747" s="10">
        <f t="shared" si="2"/>
        <v>733</v>
      </c>
      <c r="B747" s="559" t="s">
        <v>303</v>
      </c>
      <c r="C747" s="327"/>
      <c r="D747" s="560" t="s">
        <v>307</v>
      </c>
      <c r="E747" s="327"/>
      <c r="F747" s="537" t="s">
        <v>334</v>
      </c>
      <c r="G747" s="327"/>
      <c r="H747" s="566" t="s">
        <v>334</v>
      </c>
      <c r="I747" s="327"/>
      <c r="J747" s="567"/>
      <c r="K747" s="327"/>
      <c r="L747" s="567"/>
      <c r="M747" s="327"/>
      <c r="N747" s="20"/>
      <c r="O747" s="24"/>
      <c r="P747" s="524"/>
      <c r="Q747" s="327"/>
      <c r="R747" s="538"/>
      <c r="S747" s="327"/>
      <c r="T747" s="539"/>
      <c r="U747" s="327"/>
      <c r="V747" s="540"/>
      <c r="W747" s="327"/>
      <c r="X747" s="541" t="s">
        <v>303</v>
      </c>
      <c r="Y747" s="326"/>
      <c r="Z747" s="326"/>
      <c r="AA747" s="327"/>
      <c r="AB747" s="542" t="s">
        <v>303</v>
      </c>
      <c r="AC747" s="326"/>
      <c r="AD747" s="326"/>
      <c r="AE747" s="327"/>
      <c r="AF747" s="543"/>
      <c r="AG747" s="327"/>
      <c r="AH747" s="543"/>
      <c r="AI747" s="327"/>
      <c r="AJ747" s="536"/>
      <c r="AK747" s="327"/>
      <c r="AL747" s="537" t="s">
        <v>334</v>
      </c>
      <c r="AM747" s="327"/>
      <c r="AN747" s="546" t="s">
        <v>334</v>
      </c>
      <c r="AO747" s="327"/>
      <c r="AP747" s="547"/>
      <c r="AQ747" s="327"/>
      <c r="AR747" s="548"/>
      <c r="AS747" s="327"/>
      <c r="AT747" s="568"/>
      <c r="AU747" s="327"/>
      <c r="AV747" s="546" t="s">
        <v>334</v>
      </c>
      <c r="AW747" s="327"/>
      <c r="AX747" s="521"/>
      <c r="AY747" s="326"/>
      <c r="AZ747" s="327"/>
      <c r="BA747" s="550"/>
      <c r="BB747" s="327"/>
      <c r="BC747" s="25"/>
      <c r="BD747" s="544" t="s">
        <v>334</v>
      </c>
      <c r="BE747" s="327"/>
      <c r="BF747" s="545"/>
      <c r="BG747" s="326"/>
      <c r="BH747" s="326"/>
      <c r="BI747" s="327"/>
      <c r="BJ747" s="557" t="s">
        <v>303</v>
      </c>
      <c r="BK747" s="326"/>
      <c r="BL747" s="326"/>
      <c r="BM747" s="327"/>
      <c r="BN747" s="558" t="s">
        <v>303</v>
      </c>
      <c r="BO747" s="326"/>
      <c r="BP747" s="326"/>
      <c r="BQ747" s="326"/>
      <c r="BR747" s="326"/>
      <c r="BS747" s="326"/>
      <c r="BT747" s="326"/>
      <c r="BU747" s="326"/>
      <c r="BV747" s="327"/>
    </row>
    <row r="748" spans="1:74" ht="45" customHeight="1" x14ac:dyDescent="0.25">
      <c r="A748" s="10">
        <f t="shared" si="2"/>
        <v>734</v>
      </c>
      <c r="B748" s="564" t="s">
        <v>303</v>
      </c>
      <c r="C748" s="327"/>
      <c r="D748" s="565" t="s">
        <v>307</v>
      </c>
      <c r="E748" s="327"/>
      <c r="F748" s="537" t="s">
        <v>334</v>
      </c>
      <c r="G748" s="327"/>
      <c r="H748" s="561" t="s">
        <v>334</v>
      </c>
      <c r="I748" s="327"/>
      <c r="J748" s="562"/>
      <c r="K748" s="327"/>
      <c r="L748" s="562"/>
      <c r="M748" s="327"/>
      <c r="N748" s="23"/>
      <c r="O748" s="21"/>
      <c r="P748" s="563"/>
      <c r="Q748" s="327"/>
      <c r="R748" s="516"/>
      <c r="S748" s="327"/>
      <c r="T748" s="517"/>
      <c r="U748" s="327"/>
      <c r="V748" s="518"/>
      <c r="W748" s="327"/>
      <c r="X748" s="438" t="s">
        <v>303</v>
      </c>
      <c r="Y748" s="326"/>
      <c r="Z748" s="326"/>
      <c r="AA748" s="327"/>
      <c r="AB748" s="519" t="s">
        <v>303</v>
      </c>
      <c r="AC748" s="326"/>
      <c r="AD748" s="326"/>
      <c r="AE748" s="327"/>
      <c r="AF748" s="520"/>
      <c r="AG748" s="327"/>
      <c r="AH748" s="520"/>
      <c r="AI748" s="327"/>
      <c r="AJ748" s="536"/>
      <c r="AK748" s="327"/>
      <c r="AL748" s="556" t="s">
        <v>334</v>
      </c>
      <c r="AM748" s="327"/>
      <c r="AN748" s="553" t="s">
        <v>334</v>
      </c>
      <c r="AO748" s="327"/>
      <c r="AP748" s="554"/>
      <c r="AQ748" s="327"/>
      <c r="AR748" s="555"/>
      <c r="AS748" s="327"/>
      <c r="AT748" s="549"/>
      <c r="AU748" s="327"/>
      <c r="AV748" s="553" t="s">
        <v>334</v>
      </c>
      <c r="AW748" s="327"/>
      <c r="AX748" s="521"/>
      <c r="AY748" s="326"/>
      <c r="AZ748" s="327"/>
      <c r="BA748" s="536"/>
      <c r="BB748" s="327"/>
      <c r="BC748" s="22"/>
      <c r="BD748" s="551" t="s">
        <v>334</v>
      </c>
      <c r="BE748" s="327"/>
      <c r="BF748" s="508"/>
      <c r="BG748" s="326"/>
      <c r="BH748" s="326"/>
      <c r="BI748" s="327"/>
      <c r="BJ748" s="451" t="s">
        <v>303</v>
      </c>
      <c r="BK748" s="326"/>
      <c r="BL748" s="326"/>
      <c r="BM748" s="327"/>
      <c r="BN748" s="558" t="s">
        <v>303</v>
      </c>
      <c r="BO748" s="326"/>
      <c r="BP748" s="326"/>
      <c r="BQ748" s="326"/>
      <c r="BR748" s="326"/>
      <c r="BS748" s="326"/>
      <c r="BT748" s="326"/>
      <c r="BU748" s="326"/>
      <c r="BV748" s="327"/>
    </row>
    <row r="749" spans="1:74" ht="45" customHeight="1" x14ac:dyDescent="0.25">
      <c r="A749" s="10">
        <f t="shared" si="2"/>
        <v>735</v>
      </c>
      <c r="B749" s="559" t="s">
        <v>303</v>
      </c>
      <c r="C749" s="327"/>
      <c r="D749" s="560" t="s">
        <v>307</v>
      </c>
      <c r="E749" s="327"/>
      <c r="F749" s="537" t="s">
        <v>334</v>
      </c>
      <c r="G749" s="327"/>
      <c r="H749" s="566" t="s">
        <v>334</v>
      </c>
      <c r="I749" s="327"/>
      <c r="J749" s="567"/>
      <c r="K749" s="327"/>
      <c r="L749" s="567"/>
      <c r="M749" s="327"/>
      <c r="N749" s="20"/>
      <c r="O749" s="24"/>
      <c r="P749" s="524"/>
      <c r="Q749" s="327"/>
      <c r="R749" s="538"/>
      <c r="S749" s="327"/>
      <c r="T749" s="539"/>
      <c r="U749" s="327"/>
      <c r="V749" s="540"/>
      <c r="W749" s="327"/>
      <c r="X749" s="541" t="s">
        <v>303</v>
      </c>
      <c r="Y749" s="326"/>
      <c r="Z749" s="326"/>
      <c r="AA749" s="327"/>
      <c r="AB749" s="542" t="s">
        <v>303</v>
      </c>
      <c r="AC749" s="326"/>
      <c r="AD749" s="326"/>
      <c r="AE749" s="327"/>
      <c r="AF749" s="543"/>
      <c r="AG749" s="327"/>
      <c r="AH749" s="543"/>
      <c r="AI749" s="327"/>
      <c r="AJ749" s="536"/>
      <c r="AK749" s="327"/>
      <c r="AL749" s="537" t="s">
        <v>334</v>
      </c>
      <c r="AM749" s="327"/>
      <c r="AN749" s="546" t="s">
        <v>334</v>
      </c>
      <c r="AO749" s="327"/>
      <c r="AP749" s="547"/>
      <c r="AQ749" s="327"/>
      <c r="AR749" s="548"/>
      <c r="AS749" s="327"/>
      <c r="AT749" s="568"/>
      <c r="AU749" s="327"/>
      <c r="AV749" s="546" t="s">
        <v>334</v>
      </c>
      <c r="AW749" s="327"/>
      <c r="AX749" s="521"/>
      <c r="AY749" s="326"/>
      <c r="AZ749" s="327"/>
      <c r="BA749" s="550"/>
      <c r="BB749" s="327"/>
      <c r="BC749" s="25"/>
      <c r="BD749" s="544" t="s">
        <v>334</v>
      </c>
      <c r="BE749" s="327"/>
      <c r="BF749" s="545"/>
      <c r="BG749" s="326"/>
      <c r="BH749" s="326"/>
      <c r="BI749" s="327"/>
      <c r="BJ749" s="557" t="s">
        <v>303</v>
      </c>
      <c r="BK749" s="326"/>
      <c r="BL749" s="326"/>
      <c r="BM749" s="327"/>
      <c r="BN749" s="558" t="s">
        <v>303</v>
      </c>
      <c r="BO749" s="326"/>
      <c r="BP749" s="326"/>
      <c r="BQ749" s="326"/>
      <c r="BR749" s="326"/>
      <c r="BS749" s="326"/>
      <c r="BT749" s="326"/>
      <c r="BU749" s="326"/>
      <c r="BV749" s="327"/>
    </row>
    <row r="750" spans="1:74" ht="45" customHeight="1" x14ac:dyDescent="0.25">
      <c r="A750" s="10">
        <f t="shared" si="2"/>
        <v>736</v>
      </c>
      <c r="B750" s="564" t="s">
        <v>303</v>
      </c>
      <c r="C750" s="327"/>
      <c r="D750" s="565" t="s">
        <v>307</v>
      </c>
      <c r="E750" s="327"/>
      <c r="F750" s="537" t="s">
        <v>334</v>
      </c>
      <c r="G750" s="327"/>
      <c r="H750" s="561" t="s">
        <v>334</v>
      </c>
      <c r="I750" s="327"/>
      <c r="J750" s="562"/>
      <c r="K750" s="327"/>
      <c r="L750" s="562"/>
      <c r="M750" s="327"/>
      <c r="N750" s="23"/>
      <c r="O750" s="21"/>
      <c r="P750" s="563"/>
      <c r="Q750" s="327"/>
      <c r="R750" s="516"/>
      <c r="S750" s="327"/>
      <c r="T750" s="517"/>
      <c r="U750" s="327"/>
      <c r="V750" s="518"/>
      <c r="W750" s="327"/>
      <c r="X750" s="438" t="s">
        <v>303</v>
      </c>
      <c r="Y750" s="326"/>
      <c r="Z750" s="326"/>
      <c r="AA750" s="327"/>
      <c r="AB750" s="519" t="s">
        <v>303</v>
      </c>
      <c r="AC750" s="326"/>
      <c r="AD750" s="326"/>
      <c r="AE750" s="327"/>
      <c r="AF750" s="520"/>
      <c r="AG750" s="327"/>
      <c r="AH750" s="520"/>
      <c r="AI750" s="327"/>
      <c r="AJ750" s="536"/>
      <c r="AK750" s="327"/>
      <c r="AL750" s="556" t="s">
        <v>334</v>
      </c>
      <c r="AM750" s="327"/>
      <c r="AN750" s="553" t="s">
        <v>334</v>
      </c>
      <c r="AO750" s="327"/>
      <c r="AP750" s="554"/>
      <c r="AQ750" s="327"/>
      <c r="AR750" s="555"/>
      <c r="AS750" s="327"/>
      <c r="AT750" s="549"/>
      <c r="AU750" s="327"/>
      <c r="AV750" s="553" t="s">
        <v>334</v>
      </c>
      <c r="AW750" s="327"/>
      <c r="AX750" s="521"/>
      <c r="AY750" s="326"/>
      <c r="AZ750" s="327"/>
      <c r="BA750" s="536"/>
      <c r="BB750" s="327"/>
      <c r="BC750" s="22"/>
      <c r="BD750" s="551" t="s">
        <v>334</v>
      </c>
      <c r="BE750" s="327"/>
      <c r="BF750" s="552"/>
      <c r="BG750" s="326"/>
      <c r="BH750" s="326"/>
      <c r="BI750" s="327"/>
      <c r="BJ750" s="451" t="s">
        <v>303</v>
      </c>
      <c r="BK750" s="326"/>
      <c r="BL750" s="326"/>
      <c r="BM750" s="327"/>
      <c r="BN750" s="558" t="s">
        <v>303</v>
      </c>
      <c r="BO750" s="326"/>
      <c r="BP750" s="326"/>
      <c r="BQ750" s="326"/>
      <c r="BR750" s="326"/>
      <c r="BS750" s="326"/>
      <c r="BT750" s="326"/>
      <c r="BU750" s="326"/>
      <c r="BV750" s="327"/>
    </row>
    <row r="751" spans="1:74" ht="45" customHeight="1" x14ac:dyDescent="0.25">
      <c r="A751" s="10">
        <f t="shared" si="2"/>
        <v>737</v>
      </c>
      <c r="B751" s="559" t="s">
        <v>303</v>
      </c>
      <c r="C751" s="327"/>
      <c r="D751" s="560" t="s">
        <v>307</v>
      </c>
      <c r="E751" s="327"/>
      <c r="F751" s="537" t="s">
        <v>334</v>
      </c>
      <c r="G751" s="327"/>
      <c r="H751" s="566" t="s">
        <v>334</v>
      </c>
      <c r="I751" s="327"/>
      <c r="J751" s="567"/>
      <c r="K751" s="327"/>
      <c r="L751" s="567"/>
      <c r="M751" s="327"/>
      <c r="N751" s="23"/>
      <c r="O751" s="24"/>
      <c r="P751" s="563"/>
      <c r="Q751" s="327"/>
      <c r="R751" s="538"/>
      <c r="S751" s="327"/>
      <c r="T751" s="539"/>
      <c r="U751" s="327"/>
      <c r="V751" s="540"/>
      <c r="W751" s="327"/>
      <c r="X751" s="541" t="s">
        <v>303</v>
      </c>
      <c r="Y751" s="326"/>
      <c r="Z751" s="326"/>
      <c r="AA751" s="327"/>
      <c r="AB751" s="542" t="s">
        <v>303</v>
      </c>
      <c r="AC751" s="326"/>
      <c r="AD751" s="326"/>
      <c r="AE751" s="327"/>
      <c r="AF751" s="543"/>
      <c r="AG751" s="327"/>
      <c r="AH751" s="543"/>
      <c r="AI751" s="327"/>
      <c r="AJ751" s="536"/>
      <c r="AK751" s="327"/>
      <c r="AL751" s="537" t="s">
        <v>334</v>
      </c>
      <c r="AM751" s="327"/>
      <c r="AN751" s="546" t="s">
        <v>334</v>
      </c>
      <c r="AO751" s="327"/>
      <c r="AP751" s="547"/>
      <c r="AQ751" s="327"/>
      <c r="AR751" s="548"/>
      <c r="AS751" s="327"/>
      <c r="AT751" s="549"/>
      <c r="AU751" s="327"/>
      <c r="AV751" s="546" t="s">
        <v>334</v>
      </c>
      <c r="AW751" s="327"/>
      <c r="AX751" s="521"/>
      <c r="AY751" s="326"/>
      <c r="AZ751" s="327"/>
      <c r="BA751" s="550"/>
      <c r="BB751" s="327"/>
      <c r="BC751" s="25"/>
      <c r="BD751" s="551" t="s">
        <v>334</v>
      </c>
      <c r="BE751" s="327"/>
      <c r="BF751" s="545"/>
      <c r="BG751" s="326"/>
      <c r="BH751" s="326"/>
      <c r="BI751" s="327"/>
      <c r="BJ751" s="557" t="s">
        <v>303</v>
      </c>
      <c r="BK751" s="326"/>
      <c r="BL751" s="326"/>
      <c r="BM751" s="327"/>
      <c r="BN751" s="558" t="s">
        <v>303</v>
      </c>
      <c r="BO751" s="326"/>
      <c r="BP751" s="326"/>
      <c r="BQ751" s="326"/>
      <c r="BR751" s="326"/>
      <c r="BS751" s="326"/>
      <c r="BT751" s="326"/>
      <c r="BU751" s="326"/>
      <c r="BV751" s="327"/>
    </row>
    <row r="752" spans="1:74" ht="45" customHeight="1" x14ac:dyDescent="0.25">
      <c r="A752" s="10">
        <f t="shared" si="2"/>
        <v>738</v>
      </c>
      <c r="B752" s="564" t="s">
        <v>303</v>
      </c>
      <c r="C752" s="327"/>
      <c r="D752" s="565" t="s">
        <v>307</v>
      </c>
      <c r="E752" s="327"/>
      <c r="F752" s="537" t="s">
        <v>334</v>
      </c>
      <c r="G752" s="327"/>
      <c r="H752" s="561" t="s">
        <v>334</v>
      </c>
      <c r="I752" s="327"/>
      <c r="J752" s="562"/>
      <c r="K752" s="327"/>
      <c r="L752" s="562"/>
      <c r="M752" s="327"/>
      <c r="N752" s="20"/>
      <c r="O752" s="21"/>
      <c r="P752" s="524"/>
      <c r="Q752" s="327"/>
      <c r="R752" s="516"/>
      <c r="S752" s="327"/>
      <c r="T752" s="517"/>
      <c r="U752" s="327"/>
      <c r="V752" s="518"/>
      <c r="W752" s="327"/>
      <c r="X752" s="438" t="s">
        <v>303</v>
      </c>
      <c r="Y752" s="326"/>
      <c r="Z752" s="326"/>
      <c r="AA752" s="327"/>
      <c r="AB752" s="519" t="s">
        <v>303</v>
      </c>
      <c r="AC752" s="326"/>
      <c r="AD752" s="326"/>
      <c r="AE752" s="327"/>
      <c r="AF752" s="520"/>
      <c r="AG752" s="327"/>
      <c r="AH752" s="520"/>
      <c r="AI752" s="327"/>
      <c r="AJ752" s="536"/>
      <c r="AK752" s="327"/>
      <c r="AL752" s="556" t="s">
        <v>334</v>
      </c>
      <c r="AM752" s="327"/>
      <c r="AN752" s="553" t="s">
        <v>334</v>
      </c>
      <c r="AO752" s="327"/>
      <c r="AP752" s="554"/>
      <c r="AQ752" s="327"/>
      <c r="AR752" s="555"/>
      <c r="AS752" s="327"/>
      <c r="AT752" s="549"/>
      <c r="AU752" s="327"/>
      <c r="AV752" s="553" t="s">
        <v>334</v>
      </c>
      <c r="AW752" s="327"/>
      <c r="AX752" s="521"/>
      <c r="AY752" s="326"/>
      <c r="AZ752" s="327"/>
      <c r="BA752" s="536"/>
      <c r="BB752" s="327"/>
      <c r="BC752" s="22"/>
      <c r="BD752" s="544" t="s">
        <v>334</v>
      </c>
      <c r="BE752" s="327"/>
      <c r="BF752" s="552"/>
      <c r="BG752" s="326"/>
      <c r="BH752" s="326"/>
      <c r="BI752" s="327"/>
      <c r="BJ752" s="451" t="s">
        <v>303</v>
      </c>
      <c r="BK752" s="326"/>
      <c r="BL752" s="326"/>
      <c r="BM752" s="327"/>
      <c r="BN752" s="558" t="s">
        <v>303</v>
      </c>
      <c r="BO752" s="326"/>
      <c r="BP752" s="326"/>
      <c r="BQ752" s="326"/>
      <c r="BR752" s="326"/>
      <c r="BS752" s="326"/>
      <c r="BT752" s="326"/>
      <c r="BU752" s="326"/>
      <c r="BV752" s="327"/>
    </row>
    <row r="753" spans="1:74" ht="45" customHeight="1" x14ac:dyDescent="0.25">
      <c r="A753" s="10">
        <f t="shared" si="2"/>
        <v>739</v>
      </c>
      <c r="B753" s="559" t="s">
        <v>303</v>
      </c>
      <c r="C753" s="327"/>
      <c r="D753" s="560" t="s">
        <v>307</v>
      </c>
      <c r="E753" s="327"/>
      <c r="F753" s="537" t="s">
        <v>334</v>
      </c>
      <c r="G753" s="327"/>
      <c r="H753" s="566" t="s">
        <v>334</v>
      </c>
      <c r="I753" s="327"/>
      <c r="J753" s="567"/>
      <c r="K753" s="327"/>
      <c r="L753" s="567"/>
      <c r="M753" s="327"/>
      <c r="N753" s="23"/>
      <c r="O753" s="24"/>
      <c r="P753" s="563"/>
      <c r="Q753" s="327"/>
      <c r="R753" s="538"/>
      <c r="S753" s="327"/>
      <c r="T753" s="539"/>
      <c r="U753" s="327"/>
      <c r="V753" s="540"/>
      <c r="W753" s="327"/>
      <c r="X753" s="541" t="s">
        <v>303</v>
      </c>
      <c r="Y753" s="326"/>
      <c r="Z753" s="326"/>
      <c r="AA753" s="327"/>
      <c r="AB753" s="542" t="s">
        <v>303</v>
      </c>
      <c r="AC753" s="326"/>
      <c r="AD753" s="326"/>
      <c r="AE753" s="327"/>
      <c r="AF753" s="543"/>
      <c r="AG753" s="327"/>
      <c r="AH753" s="543"/>
      <c r="AI753" s="327"/>
      <c r="AJ753" s="536"/>
      <c r="AK753" s="327"/>
      <c r="AL753" s="537" t="s">
        <v>334</v>
      </c>
      <c r="AM753" s="327"/>
      <c r="AN753" s="546" t="s">
        <v>334</v>
      </c>
      <c r="AO753" s="327"/>
      <c r="AP753" s="547"/>
      <c r="AQ753" s="327"/>
      <c r="AR753" s="548"/>
      <c r="AS753" s="327"/>
      <c r="AT753" s="549"/>
      <c r="AU753" s="327"/>
      <c r="AV753" s="546" t="s">
        <v>334</v>
      </c>
      <c r="AW753" s="327"/>
      <c r="AX753" s="521"/>
      <c r="AY753" s="326"/>
      <c r="AZ753" s="327"/>
      <c r="BA753" s="550"/>
      <c r="BB753" s="327"/>
      <c r="BC753" s="25"/>
      <c r="BD753" s="551" t="s">
        <v>334</v>
      </c>
      <c r="BE753" s="327"/>
      <c r="BF753" s="545"/>
      <c r="BG753" s="326"/>
      <c r="BH753" s="326"/>
      <c r="BI753" s="327"/>
      <c r="BJ753" s="557" t="s">
        <v>303</v>
      </c>
      <c r="BK753" s="326"/>
      <c r="BL753" s="326"/>
      <c r="BM753" s="327"/>
      <c r="BN753" s="558" t="s">
        <v>303</v>
      </c>
      <c r="BO753" s="326"/>
      <c r="BP753" s="326"/>
      <c r="BQ753" s="326"/>
      <c r="BR753" s="326"/>
      <c r="BS753" s="326"/>
      <c r="BT753" s="326"/>
      <c r="BU753" s="326"/>
      <c r="BV753" s="327"/>
    </row>
    <row r="754" spans="1:74" ht="45" customHeight="1" x14ac:dyDescent="0.25">
      <c r="A754" s="10">
        <f t="shared" si="2"/>
        <v>740</v>
      </c>
      <c r="B754" s="564" t="s">
        <v>303</v>
      </c>
      <c r="C754" s="327"/>
      <c r="D754" s="565" t="s">
        <v>307</v>
      </c>
      <c r="E754" s="327"/>
      <c r="F754" s="537" t="s">
        <v>334</v>
      </c>
      <c r="G754" s="327"/>
      <c r="H754" s="561" t="s">
        <v>334</v>
      </c>
      <c r="I754" s="327"/>
      <c r="J754" s="562"/>
      <c r="K754" s="327"/>
      <c r="L754" s="562"/>
      <c r="M754" s="327"/>
      <c r="N754" s="20"/>
      <c r="O754" s="21"/>
      <c r="P754" s="524"/>
      <c r="Q754" s="327"/>
      <c r="R754" s="516"/>
      <c r="S754" s="327"/>
      <c r="T754" s="517"/>
      <c r="U754" s="327"/>
      <c r="V754" s="518"/>
      <c r="W754" s="327"/>
      <c r="X754" s="438" t="s">
        <v>303</v>
      </c>
      <c r="Y754" s="326"/>
      <c r="Z754" s="326"/>
      <c r="AA754" s="327"/>
      <c r="AB754" s="519" t="s">
        <v>303</v>
      </c>
      <c r="AC754" s="326"/>
      <c r="AD754" s="326"/>
      <c r="AE754" s="327"/>
      <c r="AF754" s="520"/>
      <c r="AG754" s="327"/>
      <c r="AH754" s="520"/>
      <c r="AI754" s="327"/>
      <c r="AJ754" s="536"/>
      <c r="AK754" s="327"/>
      <c r="AL754" s="556" t="s">
        <v>334</v>
      </c>
      <c r="AM754" s="327"/>
      <c r="AN754" s="553" t="s">
        <v>334</v>
      </c>
      <c r="AO754" s="327"/>
      <c r="AP754" s="554"/>
      <c r="AQ754" s="327"/>
      <c r="AR754" s="555"/>
      <c r="AS754" s="327"/>
      <c r="AT754" s="549"/>
      <c r="AU754" s="327"/>
      <c r="AV754" s="553" t="s">
        <v>334</v>
      </c>
      <c r="AW754" s="327"/>
      <c r="AX754" s="521"/>
      <c r="AY754" s="326"/>
      <c r="AZ754" s="327"/>
      <c r="BA754" s="536"/>
      <c r="BB754" s="327"/>
      <c r="BC754" s="22"/>
      <c r="BD754" s="551" t="s">
        <v>334</v>
      </c>
      <c r="BE754" s="327"/>
      <c r="BF754" s="552"/>
      <c r="BG754" s="326"/>
      <c r="BH754" s="326"/>
      <c r="BI754" s="327"/>
      <c r="BJ754" s="451" t="s">
        <v>303</v>
      </c>
      <c r="BK754" s="326"/>
      <c r="BL754" s="326"/>
      <c r="BM754" s="327"/>
      <c r="BN754" s="558" t="s">
        <v>303</v>
      </c>
      <c r="BO754" s="326"/>
      <c r="BP754" s="326"/>
      <c r="BQ754" s="326"/>
      <c r="BR754" s="326"/>
      <c r="BS754" s="326"/>
      <c r="BT754" s="326"/>
      <c r="BU754" s="326"/>
      <c r="BV754" s="327"/>
    </row>
    <row r="755" spans="1:74" ht="45" customHeight="1" x14ac:dyDescent="0.25">
      <c r="A755" s="10">
        <f t="shared" si="2"/>
        <v>741</v>
      </c>
      <c r="B755" s="559" t="s">
        <v>303</v>
      </c>
      <c r="C755" s="327"/>
      <c r="D755" s="560" t="s">
        <v>307</v>
      </c>
      <c r="E755" s="327"/>
      <c r="F755" s="537" t="s">
        <v>334</v>
      </c>
      <c r="G755" s="327"/>
      <c r="H755" s="566" t="s">
        <v>334</v>
      </c>
      <c r="I755" s="327"/>
      <c r="J755" s="567"/>
      <c r="K755" s="327"/>
      <c r="L755" s="567"/>
      <c r="M755" s="327"/>
      <c r="N755" s="23"/>
      <c r="O755" s="24"/>
      <c r="P755" s="563"/>
      <c r="Q755" s="327"/>
      <c r="R755" s="538"/>
      <c r="S755" s="327"/>
      <c r="T755" s="539"/>
      <c r="U755" s="327"/>
      <c r="V755" s="540"/>
      <c r="W755" s="327"/>
      <c r="X755" s="541" t="s">
        <v>303</v>
      </c>
      <c r="Y755" s="326"/>
      <c r="Z755" s="326"/>
      <c r="AA755" s="327"/>
      <c r="AB755" s="542" t="s">
        <v>303</v>
      </c>
      <c r="AC755" s="326"/>
      <c r="AD755" s="326"/>
      <c r="AE755" s="327"/>
      <c r="AF755" s="543"/>
      <c r="AG755" s="327"/>
      <c r="AH755" s="543"/>
      <c r="AI755" s="327"/>
      <c r="AJ755" s="536"/>
      <c r="AK755" s="327"/>
      <c r="AL755" s="537" t="s">
        <v>334</v>
      </c>
      <c r="AM755" s="327"/>
      <c r="AN755" s="546" t="s">
        <v>334</v>
      </c>
      <c r="AO755" s="327"/>
      <c r="AP755" s="547"/>
      <c r="AQ755" s="327"/>
      <c r="AR755" s="548"/>
      <c r="AS755" s="327"/>
      <c r="AT755" s="568"/>
      <c r="AU755" s="327"/>
      <c r="AV755" s="546" t="s">
        <v>334</v>
      </c>
      <c r="AW755" s="327"/>
      <c r="AX755" s="521"/>
      <c r="AY755" s="326"/>
      <c r="AZ755" s="327"/>
      <c r="BA755" s="550"/>
      <c r="BB755" s="327"/>
      <c r="BC755" s="25"/>
      <c r="BD755" s="544" t="s">
        <v>334</v>
      </c>
      <c r="BE755" s="327"/>
      <c r="BF755" s="545"/>
      <c r="BG755" s="326"/>
      <c r="BH755" s="326"/>
      <c r="BI755" s="327"/>
      <c r="BJ755" s="557" t="s">
        <v>303</v>
      </c>
      <c r="BK755" s="326"/>
      <c r="BL755" s="326"/>
      <c r="BM755" s="327"/>
      <c r="BN755" s="558" t="s">
        <v>303</v>
      </c>
      <c r="BO755" s="326"/>
      <c r="BP755" s="326"/>
      <c r="BQ755" s="326"/>
      <c r="BR755" s="326"/>
      <c r="BS755" s="326"/>
      <c r="BT755" s="326"/>
      <c r="BU755" s="326"/>
      <c r="BV755" s="327"/>
    </row>
    <row r="756" spans="1:74" ht="45" customHeight="1" x14ac:dyDescent="0.25">
      <c r="A756" s="10">
        <f t="shared" si="2"/>
        <v>742</v>
      </c>
      <c r="B756" s="564" t="s">
        <v>303</v>
      </c>
      <c r="C756" s="327"/>
      <c r="D756" s="565" t="s">
        <v>307</v>
      </c>
      <c r="E756" s="327"/>
      <c r="F756" s="537" t="s">
        <v>334</v>
      </c>
      <c r="G756" s="327"/>
      <c r="H756" s="561" t="s">
        <v>334</v>
      </c>
      <c r="I756" s="327"/>
      <c r="J756" s="562"/>
      <c r="K756" s="327"/>
      <c r="L756" s="562"/>
      <c r="M756" s="327"/>
      <c r="N756" s="20"/>
      <c r="O756" s="21"/>
      <c r="P756" s="524"/>
      <c r="Q756" s="327"/>
      <c r="R756" s="516"/>
      <c r="S756" s="327"/>
      <c r="T756" s="517"/>
      <c r="U756" s="327"/>
      <c r="V756" s="518"/>
      <c r="W756" s="327"/>
      <c r="X756" s="438" t="s">
        <v>303</v>
      </c>
      <c r="Y756" s="326"/>
      <c r="Z756" s="326"/>
      <c r="AA756" s="327"/>
      <c r="AB756" s="519" t="s">
        <v>303</v>
      </c>
      <c r="AC756" s="326"/>
      <c r="AD756" s="326"/>
      <c r="AE756" s="327"/>
      <c r="AF756" s="520"/>
      <c r="AG756" s="327"/>
      <c r="AH756" s="520"/>
      <c r="AI756" s="327"/>
      <c r="AJ756" s="536"/>
      <c r="AK756" s="327"/>
      <c r="AL756" s="556" t="s">
        <v>334</v>
      </c>
      <c r="AM756" s="327"/>
      <c r="AN756" s="553" t="s">
        <v>334</v>
      </c>
      <c r="AO756" s="327"/>
      <c r="AP756" s="554"/>
      <c r="AQ756" s="327"/>
      <c r="AR756" s="555"/>
      <c r="AS756" s="327"/>
      <c r="AT756" s="549"/>
      <c r="AU756" s="327"/>
      <c r="AV756" s="553" t="s">
        <v>334</v>
      </c>
      <c r="AW756" s="327"/>
      <c r="AX756" s="521"/>
      <c r="AY756" s="326"/>
      <c r="AZ756" s="327"/>
      <c r="BA756" s="536"/>
      <c r="BB756" s="327"/>
      <c r="BC756" s="22"/>
      <c r="BD756" s="551" t="s">
        <v>334</v>
      </c>
      <c r="BE756" s="327"/>
      <c r="BF756" s="508"/>
      <c r="BG756" s="326"/>
      <c r="BH756" s="326"/>
      <c r="BI756" s="327"/>
      <c r="BJ756" s="451" t="s">
        <v>303</v>
      </c>
      <c r="BK756" s="326"/>
      <c r="BL756" s="326"/>
      <c r="BM756" s="327"/>
      <c r="BN756" s="558" t="s">
        <v>303</v>
      </c>
      <c r="BO756" s="326"/>
      <c r="BP756" s="326"/>
      <c r="BQ756" s="326"/>
      <c r="BR756" s="326"/>
      <c r="BS756" s="326"/>
      <c r="BT756" s="326"/>
      <c r="BU756" s="326"/>
      <c r="BV756" s="327"/>
    </row>
    <row r="757" spans="1:74" ht="45" customHeight="1" x14ac:dyDescent="0.25">
      <c r="A757" s="10">
        <f t="shared" si="2"/>
        <v>743</v>
      </c>
      <c r="B757" s="559" t="s">
        <v>303</v>
      </c>
      <c r="C757" s="327"/>
      <c r="D757" s="560" t="s">
        <v>307</v>
      </c>
      <c r="E757" s="327"/>
      <c r="F757" s="537" t="s">
        <v>334</v>
      </c>
      <c r="G757" s="327"/>
      <c r="H757" s="566" t="s">
        <v>334</v>
      </c>
      <c r="I757" s="327"/>
      <c r="J757" s="567"/>
      <c r="K757" s="327"/>
      <c r="L757" s="567"/>
      <c r="M757" s="327"/>
      <c r="N757" s="23"/>
      <c r="O757" s="24"/>
      <c r="P757" s="563"/>
      <c r="Q757" s="327"/>
      <c r="R757" s="538"/>
      <c r="S757" s="327"/>
      <c r="T757" s="539"/>
      <c r="U757" s="327"/>
      <c r="V757" s="540"/>
      <c r="W757" s="327"/>
      <c r="X757" s="541" t="s">
        <v>303</v>
      </c>
      <c r="Y757" s="326"/>
      <c r="Z757" s="326"/>
      <c r="AA757" s="327"/>
      <c r="AB757" s="542" t="s">
        <v>303</v>
      </c>
      <c r="AC757" s="326"/>
      <c r="AD757" s="326"/>
      <c r="AE757" s="327"/>
      <c r="AF757" s="543"/>
      <c r="AG757" s="327"/>
      <c r="AH757" s="543"/>
      <c r="AI757" s="327"/>
      <c r="AJ757" s="536"/>
      <c r="AK757" s="327"/>
      <c r="AL757" s="537" t="s">
        <v>334</v>
      </c>
      <c r="AM757" s="327"/>
      <c r="AN757" s="546" t="s">
        <v>334</v>
      </c>
      <c r="AO757" s="327"/>
      <c r="AP757" s="547"/>
      <c r="AQ757" s="327"/>
      <c r="AR757" s="548"/>
      <c r="AS757" s="327"/>
      <c r="AT757" s="568"/>
      <c r="AU757" s="327"/>
      <c r="AV757" s="546" t="s">
        <v>334</v>
      </c>
      <c r="AW757" s="327"/>
      <c r="AX757" s="521"/>
      <c r="AY757" s="326"/>
      <c r="AZ757" s="327"/>
      <c r="BA757" s="550"/>
      <c r="BB757" s="327"/>
      <c r="BC757" s="25"/>
      <c r="BD757" s="544" t="s">
        <v>334</v>
      </c>
      <c r="BE757" s="327"/>
      <c r="BF757" s="545"/>
      <c r="BG757" s="326"/>
      <c r="BH757" s="326"/>
      <c r="BI757" s="327"/>
      <c r="BJ757" s="557" t="s">
        <v>303</v>
      </c>
      <c r="BK757" s="326"/>
      <c r="BL757" s="326"/>
      <c r="BM757" s="327"/>
      <c r="BN757" s="558" t="s">
        <v>303</v>
      </c>
      <c r="BO757" s="326"/>
      <c r="BP757" s="326"/>
      <c r="BQ757" s="326"/>
      <c r="BR757" s="326"/>
      <c r="BS757" s="326"/>
      <c r="BT757" s="326"/>
      <c r="BU757" s="326"/>
      <c r="BV757" s="327"/>
    </row>
    <row r="758" spans="1:74" ht="45" customHeight="1" x14ac:dyDescent="0.25">
      <c r="A758" s="10">
        <f t="shared" si="2"/>
        <v>744</v>
      </c>
      <c r="B758" s="564" t="s">
        <v>303</v>
      </c>
      <c r="C758" s="327"/>
      <c r="D758" s="565" t="s">
        <v>307</v>
      </c>
      <c r="E758" s="327"/>
      <c r="F758" s="537" t="s">
        <v>334</v>
      </c>
      <c r="G758" s="327"/>
      <c r="H758" s="561" t="s">
        <v>334</v>
      </c>
      <c r="I758" s="327"/>
      <c r="J758" s="562"/>
      <c r="K758" s="327"/>
      <c r="L758" s="562"/>
      <c r="M758" s="327"/>
      <c r="N758" s="20"/>
      <c r="O758" s="21"/>
      <c r="P758" s="524"/>
      <c r="Q758" s="327"/>
      <c r="R758" s="516"/>
      <c r="S758" s="327"/>
      <c r="T758" s="517"/>
      <c r="U758" s="327"/>
      <c r="V758" s="518"/>
      <c r="W758" s="327"/>
      <c r="X758" s="438" t="s">
        <v>303</v>
      </c>
      <c r="Y758" s="326"/>
      <c r="Z758" s="326"/>
      <c r="AA758" s="327"/>
      <c r="AB758" s="519" t="s">
        <v>303</v>
      </c>
      <c r="AC758" s="326"/>
      <c r="AD758" s="326"/>
      <c r="AE758" s="327"/>
      <c r="AF758" s="520"/>
      <c r="AG758" s="327"/>
      <c r="AH758" s="520"/>
      <c r="AI758" s="327"/>
      <c r="AJ758" s="536"/>
      <c r="AK758" s="327"/>
      <c r="AL758" s="556" t="s">
        <v>334</v>
      </c>
      <c r="AM758" s="327"/>
      <c r="AN758" s="553" t="s">
        <v>334</v>
      </c>
      <c r="AO758" s="327"/>
      <c r="AP758" s="554"/>
      <c r="AQ758" s="327"/>
      <c r="AR758" s="555"/>
      <c r="AS758" s="327"/>
      <c r="AT758" s="549"/>
      <c r="AU758" s="327"/>
      <c r="AV758" s="553" t="s">
        <v>334</v>
      </c>
      <c r="AW758" s="327"/>
      <c r="AX758" s="521"/>
      <c r="AY758" s="326"/>
      <c r="AZ758" s="327"/>
      <c r="BA758" s="536"/>
      <c r="BB758" s="327"/>
      <c r="BC758" s="22"/>
      <c r="BD758" s="551" t="s">
        <v>334</v>
      </c>
      <c r="BE758" s="327"/>
      <c r="BF758" s="552"/>
      <c r="BG758" s="326"/>
      <c r="BH758" s="326"/>
      <c r="BI758" s="327"/>
      <c r="BJ758" s="451" t="s">
        <v>303</v>
      </c>
      <c r="BK758" s="326"/>
      <c r="BL758" s="326"/>
      <c r="BM758" s="327"/>
      <c r="BN758" s="558" t="s">
        <v>303</v>
      </c>
      <c r="BO758" s="326"/>
      <c r="BP758" s="326"/>
      <c r="BQ758" s="326"/>
      <c r="BR758" s="326"/>
      <c r="BS758" s="326"/>
      <c r="BT758" s="326"/>
      <c r="BU758" s="326"/>
      <c r="BV758" s="327"/>
    </row>
    <row r="759" spans="1:74" ht="45" customHeight="1" x14ac:dyDescent="0.25">
      <c r="A759" s="10">
        <f t="shared" si="2"/>
        <v>745</v>
      </c>
      <c r="B759" s="559" t="s">
        <v>303</v>
      </c>
      <c r="C759" s="327"/>
      <c r="D759" s="560" t="s">
        <v>307</v>
      </c>
      <c r="E759" s="327"/>
      <c r="F759" s="537" t="s">
        <v>334</v>
      </c>
      <c r="G759" s="327"/>
      <c r="H759" s="566" t="s">
        <v>334</v>
      </c>
      <c r="I759" s="327"/>
      <c r="J759" s="567"/>
      <c r="K759" s="327"/>
      <c r="L759" s="567"/>
      <c r="M759" s="327"/>
      <c r="N759" s="23"/>
      <c r="O759" s="24"/>
      <c r="P759" s="563"/>
      <c r="Q759" s="327"/>
      <c r="R759" s="538"/>
      <c r="S759" s="327"/>
      <c r="T759" s="539"/>
      <c r="U759" s="327"/>
      <c r="V759" s="540"/>
      <c r="W759" s="327"/>
      <c r="X759" s="541" t="s">
        <v>303</v>
      </c>
      <c r="Y759" s="326"/>
      <c r="Z759" s="326"/>
      <c r="AA759" s="327"/>
      <c r="AB759" s="542" t="s">
        <v>303</v>
      </c>
      <c r="AC759" s="326"/>
      <c r="AD759" s="326"/>
      <c r="AE759" s="327"/>
      <c r="AF759" s="543"/>
      <c r="AG759" s="327"/>
      <c r="AH759" s="543"/>
      <c r="AI759" s="327"/>
      <c r="AJ759" s="536"/>
      <c r="AK759" s="327"/>
      <c r="AL759" s="537" t="s">
        <v>334</v>
      </c>
      <c r="AM759" s="327"/>
      <c r="AN759" s="546" t="s">
        <v>334</v>
      </c>
      <c r="AO759" s="327"/>
      <c r="AP759" s="547"/>
      <c r="AQ759" s="327"/>
      <c r="AR759" s="548"/>
      <c r="AS759" s="327"/>
      <c r="AT759" s="568"/>
      <c r="AU759" s="327"/>
      <c r="AV759" s="546" t="s">
        <v>334</v>
      </c>
      <c r="AW759" s="327"/>
      <c r="AX759" s="521"/>
      <c r="AY759" s="326"/>
      <c r="AZ759" s="327"/>
      <c r="BA759" s="550"/>
      <c r="BB759" s="327"/>
      <c r="BC759" s="25"/>
      <c r="BD759" s="544" t="s">
        <v>334</v>
      </c>
      <c r="BE759" s="327"/>
      <c r="BF759" s="545"/>
      <c r="BG759" s="326"/>
      <c r="BH759" s="326"/>
      <c r="BI759" s="327"/>
      <c r="BJ759" s="557" t="s">
        <v>303</v>
      </c>
      <c r="BK759" s="326"/>
      <c r="BL759" s="326"/>
      <c r="BM759" s="327"/>
      <c r="BN759" s="558" t="s">
        <v>303</v>
      </c>
      <c r="BO759" s="326"/>
      <c r="BP759" s="326"/>
      <c r="BQ759" s="326"/>
      <c r="BR759" s="326"/>
      <c r="BS759" s="326"/>
      <c r="BT759" s="326"/>
      <c r="BU759" s="326"/>
      <c r="BV759" s="327"/>
    </row>
    <row r="760" spans="1:74" ht="45" customHeight="1" x14ac:dyDescent="0.25">
      <c r="A760" s="10">
        <f t="shared" si="2"/>
        <v>746</v>
      </c>
      <c r="B760" s="564" t="s">
        <v>303</v>
      </c>
      <c r="C760" s="327"/>
      <c r="D760" s="565" t="s">
        <v>307</v>
      </c>
      <c r="E760" s="327"/>
      <c r="F760" s="537" t="s">
        <v>334</v>
      </c>
      <c r="G760" s="327"/>
      <c r="H760" s="561" t="s">
        <v>334</v>
      </c>
      <c r="I760" s="327"/>
      <c r="J760" s="562"/>
      <c r="K760" s="327"/>
      <c r="L760" s="562"/>
      <c r="M760" s="327"/>
      <c r="N760" s="20"/>
      <c r="O760" s="21"/>
      <c r="P760" s="524"/>
      <c r="Q760" s="327"/>
      <c r="R760" s="516"/>
      <c r="S760" s="327"/>
      <c r="T760" s="517"/>
      <c r="U760" s="327"/>
      <c r="V760" s="518"/>
      <c r="W760" s="327"/>
      <c r="X760" s="438" t="s">
        <v>303</v>
      </c>
      <c r="Y760" s="326"/>
      <c r="Z760" s="326"/>
      <c r="AA760" s="327"/>
      <c r="AB760" s="519" t="s">
        <v>303</v>
      </c>
      <c r="AC760" s="326"/>
      <c r="AD760" s="326"/>
      <c r="AE760" s="327"/>
      <c r="AF760" s="520"/>
      <c r="AG760" s="327"/>
      <c r="AH760" s="520"/>
      <c r="AI760" s="327"/>
      <c r="AJ760" s="536"/>
      <c r="AK760" s="327"/>
      <c r="AL760" s="556" t="s">
        <v>334</v>
      </c>
      <c r="AM760" s="327"/>
      <c r="AN760" s="553" t="s">
        <v>334</v>
      </c>
      <c r="AO760" s="327"/>
      <c r="AP760" s="554"/>
      <c r="AQ760" s="327"/>
      <c r="AR760" s="555"/>
      <c r="AS760" s="327"/>
      <c r="AT760" s="549"/>
      <c r="AU760" s="327"/>
      <c r="AV760" s="553" t="s">
        <v>334</v>
      </c>
      <c r="AW760" s="327"/>
      <c r="AX760" s="521"/>
      <c r="AY760" s="326"/>
      <c r="AZ760" s="327"/>
      <c r="BA760" s="536"/>
      <c r="BB760" s="327"/>
      <c r="BC760" s="22"/>
      <c r="BD760" s="551" t="s">
        <v>334</v>
      </c>
      <c r="BE760" s="327"/>
      <c r="BF760" s="552"/>
      <c r="BG760" s="326"/>
      <c r="BH760" s="326"/>
      <c r="BI760" s="327"/>
      <c r="BJ760" s="451" t="s">
        <v>303</v>
      </c>
      <c r="BK760" s="326"/>
      <c r="BL760" s="326"/>
      <c r="BM760" s="327"/>
      <c r="BN760" s="558" t="s">
        <v>303</v>
      </c>
      <c r="BO760" s="326"/>
      <c r="BP760" s="326"/>
      <c r="BQ760" s="326"/>
      <c r="BR760" s="326"/>
      <c r="BS760" s="326"/>
      <c r="BT760" s="326"/>
      <c r="BU760" s="326"/>
      <c r="BV760" s="327"/>
    </row>
    <row r="761" spans="1:74" ht="45" customHeight="1" x14ac:dyDescent="0.25">
      <c r="A761" s="10">
        <f t="shared" si="2"/>
        <v>747</v>
      </c>
      <c r="B761" s="559" t="s">
        <v>303</v>
      </c>
      <c r="C761" s="327"/>
      <c r="D761" s="560" t="s">
        <v>307</v>
      </c>
      <c r="E761" s="327"/>
      <c r="F761" s="537" t="s">
        <v>334</v>
      </c>
      <c r="G761" s="327"/>
      <c r="H761" s="566" t="s">
        <v>334</v>
      </c>
      <c r="I761" s="327"/>
      <c r="J761" s="567"/>
      <c r="K761" s="327"/>
      <c r="L761" s="567"/>
      <c r="M761" s="327"/>
      <c r="N761" s="23"/>
      <c r="O761" s="24"/>
      <c r="P761" s="563"/>
      <c r="Q761" s="327"/>
      <c r="R761" s="538"/>
      <c r="S761" s="327"/>
      <c r="T761" s="539"/>
      <c r="U761" s="327"/>
      <c r="V761" s="540"/>
      <c r="W761" s="327"/>
      <c r="X761" s="541" t="s">
        <v>303</v>
      </c>
      <c r="Y761" s="326"/>
      <c r="Z761" s="326"/>
      <c r="AA761" s="327"/>
      <c r="AB761" s="542" t="s">
        <v>303</v>
      </c>
      <c r="AC761" s="326"/>
      <c r="AD761" s="326"/>
      <c r="AE761" s="327"/>
      <c r="AF761" s="543"/>
      <c r="AG761" s="327"/>
      <c r="AH761" s="543"/>
      <c r="AI761" s="327"/>
      <c r="AJ761" s="536"/>
      <c r="AK761" s="327"/>
      <c r="AL761" s="537" t="s">
        <v>334</v>
      </c>
      <c r="AM761" s="327"/>
      <c r="AN761" s="546" t="s">
        <v>334</v>
      </c>
      <c r="AO761" s="327"/>
      <c r="AP761" s="547"/>
      <c r="AQ761" s="327"/>
      <c r="AR761" s="548"/>
      <c r="AS761" s="327"/>
      <c r="AT761" s="568"/>
      <c r="AU761" s="327"/>
      <c r="AV761" s="546" t="s">
        <v>334</v>
      </c>
      <c r="AW761" s="327"/>
      <c r="AX761" s="521"/>
      <c r="AY761" s="326"/>
      <c r="AZ761" s="327"/>
      <c r="BA761" s="550"/>
      <c r="BB761" s="327"/>
      <c r="BC761" s="25"/>
      <c r="BD761" s="544" t="s">
        <v>334</v>
      </c>
      <c r="BE761" s="327"/>
      <c r="BF761" s="545"/>
      <c r="BG761" s="326"/>
      <c r="BH761" s="326"/>
      <c r="BI761" s="327"/>
      <c r="BJ761" s="557" t="s">
        <v>303</v>
      </c>
      <c r="BK761" s="326"/>
      <c r="BL761" s="326"/>
      <c r="BM761" s="327"/>
      <c r="BN761" s="558" t="s">
        <v>303</v>
      </c>
      <c r="BO761" s="326"/>
      <c r="BP761" s="326"/>
      <c r="BQ761" s="326"/>
      <c r="BR761" s="326"/>
      <c r="BS761" s="326"/>
      <c r="BT761" s="326"/>
      <c r="BU761" s="326"/>
      <c r="BV761" s="327"/>
    </row>
    <row r="762" spans="1:74" ht="45" customHeight="1" x14ac:dyDescent="0.25">
      <c r="A762" s="10">
        <f t="shared" si="2"/>
        <v>748</v>
      </c>
      <c r="B762" s="564" t="s">
        <v>303</v>
      </c>
      <c r="C762" s="327"/>
      <c r="D762" s="565" t="s">
        <v>307</v>
      </c>
      <c r="E762" s="327"/>
      <c r="F762" s="537" t="s">
        <v>334</v>
      </c>
      <c r="G762" s="327"/>
      <c r="H762" s="561" t="s">
        <v>334</v>
      </c>
      <c r="I762" s="327"/>
      <c r="J762" s="562"/>
      <c r="K762" s="327"/>
      <c r="L762" s="562"/>
      <c r="M762" s="327"/>
      <c r="N762" s="20"/>
      <c r="O762" s="21"/>
      <c r="P762" s="524"/>
      <c r="Q762" s="327"/>
      <c r="R762" s="516"/>
      <c r="S762" s="327"/>
      <c r="T762" s="517"/>
      <c r="U762" s="327"/>
      <c r="V762" s="518"/>
      <c r="W762" s="327"/>
      <c r="X762" s="438" t="s">
        <v>303</v>
      </c>
      <c r="Y762" s="326"/>
      <c r="Z762" s="326"/>
      <c r="AA762" s="327"/>
      <c r="AB762" s="519" t="s">
        <v>303</v>
      </c>
      <c r="AC762" s="326"/>
      <c r="AD762" s="326"/>
      <c r="AE762" s="327"/>
      <c r="AF762" s="520"/>
      <c r="AG762" s="327"/>
      <c r="AH762" s="520"/>
      <c r="AI762" s="327"/>
      <c r="AJ762" s="536"/>
      <c r="AK762" s="327"/>
      <c r="AL762" s="556" t="s">
        <v>334</v>
      </c>
      <c r="AM762" s="327"/>
      <c r="AN762" s="553" t="s">
        <v>334</v>
      </c>
      <c r="AO762" s="327"/>
      <c r="AP762" s="554"/>
      <c r="AQ762" s="327"/>
      <c r="AR762" s="555"/>
      <c r="AS762" s="327"/>
      <c r="AT762" s="549"/>
      <c r="AU762" s="327"/>
      <c r="AV762" s="553" t="s">
        <v>334</v>
      </c>
      <c r="AW762" s="327"/>
      <c r="AX762" s="521"/>
      <c r="AY762" s="326"/>
      <c r="AZ762" s="327"/>
      <c r="BA762" s="536"/>
      <c r="BB762" s="327"/>
      <c r="BC762" s="22"/>
      <c r="BD762" s="551" t="s">
        <v>334</v>
      </c>
      <c r="BE762" s="327"/>
      <c r="BF762" s="508"/>
      <c r="BG762" s="326"/>
      <c r="BH762" s="326"/>
      <c r="BI762" s="327"/>
      <c r="BJ762" s="451" t="s">
        <v>303</v>
      </c>
      <c r="BK762" s="326"/>
      <c r="BL762" s="326"/>
      <c r="BM762" s="327"/>
      <c r="BN762" s="558" t="s">
        <v>303</v>
      </c>
      <c r="BO762" s="326"/>
      <c r="BP762" s="326"/>
      <c r="BQ762" s="326"/>
      <c r="BR762" s="326"/>
      <c r="BS762" s="326"/>
      <c r="BT762" s="326"/>
      <c r="BU762" s="326"/>
      <c r="BV762" s="327"/>
    </row>
    <row r="763" spans="1:74" ht="45" customHeight="1" x14ac:dyDescent="0.25">
      <c r="A763" s="10">
        <f t="shared" si="2"/>
        <v>749</v>
      </c>
      <c r="B763" s="559" t="s">
        <v>303</v>
      </c>
      <c r="C763" s="327"/>
      <c r="D763" s="560" t="s">
        <v>307</v>
      </c>
      <c r="E763" s="327"/>
      <c r="F763" s="537" t="s">
        <v>334</v>
      </c>
      <c r="G763" s="327"/>
      <c r="H763" s="566" t="s">
        <v>334</v>
      </c>
      <c r="I763" s="327"/>
      <c r="J763" s="567"/>
      <c r="K763" s="327"/>
      <c r="L763" s="567"/>
      <c r="M763" s="327"/>
      <c r="N763" s="23"/>
      <c r="O763" s="24"/>
      <c r="P763" s="563"/>
      <c r="Q763" s="327"/>
      <c r="R763" s="538"/>
      <c r="S763" s="327"/>
      <c r="T763" s="539"/>
      <c r="U763" s="327"/>
      <c r="V763" s="540"/>
      <c r="W763" s="327"/>
      <c r="X763" s="541" t="s">
        <v>303</v>
      </c>
      <c r="Y763" s="326"/>
      <c r="Z763" s="326"/>
      <c r="AA763" s="327"/>
      <c r="AB763" s="542" t="s">
        <v>303</v>
      </c>
      <c r="AC763" s="326"/>
      <c r="AD763" s="326"/>
      <c r="AE763" s="327"/>
      <c r="AF763" s="543"/>
      <c r="AG763" s="327"/>
      <c r="AH763" s="543"/>
      <c r="AI763" s="327"/>
      <c r="AJ763" s="536"/>
      <c r="AK763" s="327"/>
      <c r="AL763" s="537" t="s">
        <v>334</v>
      </c>
      <c r="AM763" s="327"/>
      <c r="AN763" s="546" t="s">
        <v>334</v>
      </c>
      <c r="AO763" s="327"/>
      <c r="AP763" s="547"/>
      <c r="AQ763" s="327"/>
      <c r="AR763" s="548"/>
      <c r="AS763" s="327"/>
      <c r="AT763" s="568"/>
      <c r="AU763" s="327"/>
      <c r="AV763" s="546" t="s">
        <v>334</v>
      </c>
      <c r="AW763" s="327"/>
      <c r="AX763" s="521"/>
      <c r="AY763" s="326"/>
      <c r="AZ763" s="327"/>
      <c r="BA763" s="550"/>
      <c r="BB763" s="327"/>
      <c r="BC763" s="25"/>
      <c r="BD763" s="544" t="s">
        <v>334</v>
      </c>
      <c r="BE763" s="327"/>
      <c r="BF763" s="545"/>
      <c r="BG763" s="326"/>
      <c r="BH763" s="326"/>
      <c r="BI763" s="327"/>
      <c r="BJ763" s="557" t="s">
        <v>303</v>
      </c>
      <c r="BK763" s="326"/>
      <c r="BL763" s="326"/>
      <c r="BM763" s="327"/>
      <c r="BN763" s="558" t="s">
        <v>303</v>
      </c>
      <c r="BO763" s="326"/>
      <c r="BP763" s="326"/>
      <c r="BQ763" s="326"/>
      <c r="BR763" s="326"/>
      <c r="BS763" s="326"/>
      <c r="BT763" s="326"/>
      <c r="BU763" s="326"/>
      <c r="BV763" s="327"/>
    </row>
    <row r="764" spans="1:74" ht="45" customHeight="1" x14ac:dyDescent="0.25">
      <c r="A764" s="10">
        <f t="shared" si="2"/>
        <v>750</v>
      </c>
      <c r="B764" s="564" t="s">
        <v>303</v>
      </c>
      <c r="C764" s="327"/>
      <c r="D764" s="565" t="s">
        <v>307</v>
      </c>
      <c r="E764" s="327"/>
      <c r="F764" s="537" t="s">
        <v>334</v>
      </c>
      <c r="G764" s="327"/>
      <c r="H764" s="561" t="s">
        <v>334</v>
      </c>
      <c r="I764" s="327"/>
      <c r="J764" s="562"/>
      <c r="K764" s="327"/>
      <c r="L764" s="562"/>
      <c r="M764" s="327"/>
      <c r="N764" s="20"/>
      <c r="O764" s="21"/>
      <c r="P764" s="524"/>
      <c r="Q764" s="327"/>
      <c r="R764" s="516"/>
      <c r="S764" s="327"/>
      <c r="T764" s="517"/>
      <c r="U764" s="327"/>
      <c r="V764" s="518"/>
      <c r="W764" s="327"/>
      <c r="X764" s="438" t="s">
        <v>303</v>
      </c>
      <c r="Y764" s="326"/>
      <c r="Z764" s="326"/>
      <c r="AA764" s="327"/>
      <c r="AB764" s="519" t="s">
        <v>303</v>
      </c>
      <c r="AC764" s="326"/>
      <c r="AD764" s="326"/>
      <c r="AE764" s="327"/>
      <c r="AF764" s="520"/>
      <c r="AG764" s="327"/>
      <c r="AH764" s="520"/>
      <c r="AI764" s="327"/>
      <c r="AJ764" s="536"/>
      <c r="AK764" s="327"/>
      <c r="AL764" s="556" t="s">
        <v>334</v>
      </c>
      <c r="AM764" s="327"/>
      <c r="AN764" s="553" t="s">
        <v>334</v>
      </c>
      <c r="AO764" s="327"/>
      <c r="AP764" s="554"/>
      <c r="AQ764" s="327"/>
      <c r="AR764" s="555"/>
      <c r="AS764" s="327"/>
      <c r="AT764" s="549"/>
      <c r="AU764" s="327"/>
      <c r="AV764" s="553" t="s">
        <v>334</v>
      </c>
      <c r="AW764" s="327"/>
      <c r="AX764" s="521"/>
      <c r="AY764" s="326"/>
      <c r="AZ764" s="327"/>
      <c r="BA764" s="536"/>
      <c r="BB764" s="327"/>
      <c r="BC764" s="22"/>
      <c r="BD764" s="551" t="s">
        <v>334</v>
      </c>
      <c r="BE764" s="327"/>
      <c r="BF764" s="552"/>
      <c r="BG764" s="326"/>
      <c r="BH764" s="326"/>
      <c r="BI764" s="327"/>
      <c r="BJ764" s="451" t="s">
        <v>303</v>
      </c>
      <c r="BK764" s="326"/>
      <c r="BL764" s="326"/>
      <c r="BM764" s="327"/>
      <c r="BN764" s="558" t="s">
        <v>303</v>
      </c>
      <c r="BO764" s="326"/>
      <c r="BP764" s="326"/>
      <c r="BQ764" s="326"/>
      <c r="BR764" s="326"/>
      <c r="BS764" s="326"/>
      <c r="BT764" s="326"/>
      <c r="BU764" s="326"/>
      <c r="BV764" s="327"/>
    </row>
    <row r="765" spans="1:74" ht="45" customHeight="1" x14ac:dyDescent="0.25">
      <c r="A765" s="10">
        <f t="shared" si="2"/>
        <v>751</v>
      </c>
      <c r="B765" s="559" t="s">
        <v>303</v>
      </c>
      <c r="C765" s="327"/>
      <c r="D765" s="560" t="s">
        <v>307</v>
      </c>
      <c r="E765" s="327"/>
      <c r="F765" s="537" t="s">
        <v>334</v>
      </c>
      <c r="G765" s="327"/>
      <c r="H765" s="566" t="s">
        <v>334</v>
      </c>
      <c r="I765" s="327"/>
      <c r="J765" s="567"/>
      <c r="K765" s="327"/>
      <c r="L765" s="567"/>
      <c r="M765" s="327"/>
      <c r="N765" s="20"/>
      <c r="O765" s="21"/>
      <c r="P765" s="524"/>
      <c r="Q765" s="327"/>
      <c r="R765" s="538"/>
      <c r="S765" s="327"/>
      <c r="T765" s="539"/>
      <c r="U765" s="327"/>
      <c r="V765" s="540"/>
      <c r="W765" s="327"/>
      <c r="X765" s="541" t="s">
        <v>303</v>
      </c>
      <c r="Y765" s="326"/>
      <c r="Z765" s="326"/>
      <c r="AA765" s="327"/>
      <c r="AB765" s="542" t="s">
        <v>303</v>
      </c>
      <c r="AC765" s="326"/>
      <c r="AD765" s="326"/>
      <c r="AE765" s="327"/>
      <c r="AF765" s="543"/>
      <c r="AG765" s="327"/>
      <c r="AH765" s="543"/>
      <c r="AI765" s="327"/>
      <c r="AJ765" s="536"/>
      <c r="AK765" s="327"/>
      <c r="AL765" s="537" t="s">
        <v>334</v>
      </c>
      <c r="AM765" s="327"/>
      <c r="AN765" s="546" t="s">
        <v>334</v>
      </c>
      <c r="AO765" s="327"/>
      <c r="AP765" s="547"/>
      <c r="AQ765" s="327"/>
      <c r="AR765" s="548"/>
      <c r="AS765" s="327"/>
      <c r="AT765" s="549"/>
      <c r="AU765" s="327"/>
      <c r="AV765" s="546" t="s">
        <v>334</v>
      </c>
      <c r="AW765" s="327"/>
      <c r="AX765" s="521"/>
      <c r="AY765" s="326"/>
      <c r="AZ765" s="327"/>
      <c r="BA765" s="550"/>
      <c r="BB765" s="327"/>
      <c r="BC765" s="25"/>
      <c r="BD765" s="544" t="s">
        <v>334</v>
      </c>
      <c r="BE765" s="327"/>
      <c r="BF765" s="545"/>
      <c r="BG765" s="326"/>
      <c r="BH765" s="326"/>
      <c r="BI765" s="327"/>
      <c r="BJ765" s="557" t="s">
        <v>303</v>
      </c>
      <c r="BK765" s="326"/>
      <c r="BL765" s="326"/>
      <c r="BM765" s="327"/>
      <c r="BN765" s="558" t="s">
        <v>303</v>
      </c>
      <c r="BO765" s="326"/>
      <c r="BP765" s="326"/>
      <c r="BQ765" s="326"/>
      <c r="BR765" s="326"/>
      <c r="BS765" s="326"/>
      <c r="BT765" s="326"/>
      <c r="BU765" s="326"/>
      <c r="BV765" s="327"/>
    </row>
    <row r="766" spans="1:74" ht="45" customHeight="1" x14ac:dyDescent="0.25">
      <c r="A766" s="10">
        <f t="shared" si="2"/>
        <v>752</v>
      </c>
      <c r="B766" s="564" t="s">
        <v>303</v>
      </c>
      <c r="C766" s="327"/>
      <c r="D766" s="565" t="s">
        <v>307</v>
      </c>
      <c r="E766" s="327"/>
      <c r="F766" s="537" t="s">
        <v>334</v>
      </c>
      <c r="G766" s="327"/>
      <c r="H766" s="561" t="s">
        <v>334</v>
      </c>
      <c r="I766" s="327"/>
      <c r="J766" s="562"/>
      <c r="K766" s="327"/>
      <c r="L766" s="562"/>
      <c r="M766" s="327"/>
      <c r="N766" s="23"/>
      <c r="O766" s="24"/>
      <c r="P766" s="563"/>
      <c r="Q766" s="327"/>
      <c r="R766" s="516"/>
      <c r="S766" s="327"/>
      <c r="T766" s="517"/>
      <c r="U766" s="327"/>
      <c r="V766" s="518"/>
      <c r="W766" s="327"/>
      <c r="X766" s="438" t="s">
        <v>303</v>
      </c>
      <c r="Y766" s="326"/>
      <c r="Z766" s="326"/>
      <c r="AA766" s="327"/>
      <c r="AB766" s="519" t="s">
        <v>303</v>
      </c>
      <c r="AC766" s="326"/>
      <c r="AD766" s="326"/>
      <c r="AE766" s="327"/>
      <c r="AF766" s="520"/>
      <c r="AG766" s="327"/>
      <c r="AH766" s="520"/>
      <c r="AI766" s="327"/>
      <c r="AJ766" s="536"/>
      <c r="AK766" s="327"/>
      <c r="AL766" s="556" t="s">
        <v>334</v>
      </c>
      <c r="AM766" s="327"/>
      <c r="AN766" s="553" t="s">
        <v>334</v>
      </c>
      <c r="AO766" s="327"/>
      <c r="AP766" s="554"/>
      <c r="AQ766" s="327"/>
      <c r="AR766" s="555"/>
      <c r="AS766" s="327"/>
      <c r="AT766" s="549"/>
      <c r="AU766" s="327"/>
      <c r="AV766" s="553" t="s">
        <v>334</v>
      </c>
      <c r="AW766" s="327"/>
      <c r="AX766" s="521"/>
      <c r="AY766" s="326"/>
      <c r="AZ766" s="327"/>
      <c r="BA766" s="536"/>
      <c r="BB766" s="327"/>
      <c r="BC766" s="22"/>
      <c r="BD766" s="551" t="s">
        <v>334</v>
      </c>
      <c r="BE766" s="327"/>
      <c r="BF766" s="552"/>
      <c r="BG766" s="326"/>
      <c r="BH766" s="326"/>
      <c r="BI766" s="327"/>
      <c r="BJ766" s="451" t="s">
        <v>303</v>
      </c>
      <c r="BK766" s="326"/>
      <c r="BL766" s="326"/>
      <c r="BM766" s="327"/>
      <c r="BN766" s="558" t="s">
        <v>303</v>
      </c>
      <c r="BO766" s="326"/>
      <c r="BP766" s="326"/>
      <c r="BQ766" s="326"/>
      <c r="BR766" s="326"/>
      <c r="BS766" s="326"/>
      <c r="BT766" s="326"/>
      <c r="BU766" s="326"/>
      <c r="BV766" s="327"/>
    </row>
    <row r="767" spans="1:74" ht="45" customHeight="1" x14ac:dyDescent="0.25">
      <c r="A767" s="10">
        <f t="shared" si="2"/>
        <v>753</v>
      </c>
      <c r="B767" s="559" t="s">
        <v>303</v>
      </c>
      <c r="C767" s="327"/>
      <c r="D767" s="560" t="s">
        <v>307</v>
      </c>
      <c r="E767" s="327"/>
      <c r="F767" s="537" t="s">
        <v>334</v>
      </c>
      <c r="G767" s="327"/>
      <c r="H767" s="566" t="s">
        <v>334</v>
      </c>
      <c r="I767" s="327"/>
      <c r="J767" s="567"/>
      <c r="K767" s="327"/>
      <c r="L767" s="567"/>
      <c r="M767" s="327"/>
      <c r="N767" s="20"/>
      <c r="O767" s="21"/>
      <c r="P767" s="524"/>
      <c r="Q767" s="327"/>
      <c r="R767" s="538"/>
      <c r="S767" s="327"/>
      <c r="T767" s="539"/>
      <c r="U767" s="327"/>
      <c r="V767" s="540"/>
      <c r="W767" s="327"/>
      <c r="X767" s="541" t="s">
        <v>303</v>
      </c>
      <c r="Y767" s="326"/>
      <c r="Z767" s="326"/>
      <c r="AA767" s="327"/>
      <c r="AB767" s="542" t="s">
        <v>303</v>
      </c>
      <c r="AC767" s="326"/>
      <c r="AD767" s="326"/>
      <c r="AE767" s="327"/>
      <c r="AF767" s="543"/>
      <c r="AG767" s="327"/>
      <c r="AH767" s="543"/>
      <c r="AI767" s="327"/>
      <c r="AJ767" s="536"/>
      <c r="AK767" s="327"/>
      <c r="AL767" s="537" t="s">
        <v>334</v>
      </c>
      <c r="AM767" s="327"/>
      <c r="AN767" s="546" t="s">
        <v>334</v>
      </c>
      <c r="AO767" s="327"/>
      <c r="AP767" s="547"/>
      <c r="AQ767" s="327"/>
      <c r="AR767" s="548"/>
      <c r="AS767" s="327"/>
      <c r="AT767" s="549"/>
      <c r="AU767" s="327"/>
      <c r="AV767" s="546" t="s">
        <v>334</v>
      </c>
      <c r="AW767" s="327"/>
      <c r="AX767" s="521"/>
      <c r="AY767" s="326"/>
      <c r="AZ767" s="327"/>
      <c r="BA767" s="550"/>
      <c r="BB767" s="327"/>
      <c r="BC767" s="25"/>
      <c r="BD767" s="544" t="s">
        <v>334</v>
      </c>
      <c r="BE767" s="327"/>
      <c r="BF767" s="545"/>
      <c r="BG767" s="326"/>
      <c r="BH767" s="326"/>
      <c r="BI767" s="327"/>
      <c r="BJ767" s="557" t="s">
        <v>303</v>
      </c>
      <c r="BK767" s="326"/>
      <c r="BL767" s="326"/>
      <c r="BM767" s="327"/>
      <c r="BN767" s="558" t="s">
        <v>303</v>
      </c>
      <c r="BO767" s="326"/>
      <c r="BP767" s="326"/>
      <c r="BQ767" s="326"/>
      <c r="BR767" s="326"/>
      <c r="BS767" s="326"/>
      <c r="BT767" s="326"/>
      <c r="BU767" s="326"/>
      <c r="BV767" s="327"/>
    </row>
    <row r="768" spans="1:74" ht="45" customHeight="1" x14ac:dyDescent="0.25">
      <c r="A768" s="10">
        <f t="shared" si="2"/>
        <v>754</v>
      </c>
      <c r="B768" s="564" t="s">
        <v>303</v>
      </c>
      <c r="C768" s="327"/>
      <c r="D768" s="565" t="s">
        <v>307</v>
      </c>
      <c r="E768" s="327"/>
      <c r="F768" s="537" t="s">
        <v>334</v>
      </c>
      <c r="G768" s="327"/>
      <c r="H768" s="561" t="s">
        <v>334</v>
      </c>
      <c r="I768" s="327"/>
      <c r="J768" s="562"/>
      <c r="K768" s="327"/>
      <c r="L768" s="562"/>
      <c r="M768" s="327"/>
      <c r="N768" s="23"/>
      <c r="O768" s="24"/>
      <c r="P768" s="563"/>
      <c r="Q768" s="327"/>
      <c r="R768" s="516"/>
      <c r="S768" s="327"/>
      <c r="T768" s="517"/>
      <c r="U768" s="327"/>
      <c r="V768" s="518"/>
      <c r="W768" s="327"/>
      <c r="X768" s="438" t="s">
        <v>303</v>
      </c>
      <c r="Y768" s="326"/>
      <c r="Z768" s="326"/>
      <c r="AA768" s="327"/>
      <c r="AB768" s="519" t="s">
        <v>303</v>
      </c>
      <c r="AC768" s="326"/>
      <c r="AD768" s="326"/>
      <c r="AE768" s="327"/>
      <c r="AF768" s="520"/>
      <c r="AG768" s="327"/>
      <c r="AH768" s="520"/>
      <c r="AI768" s="327"/>
      <c r="AJ768" s="536"/>
      <c r="AK768" s="327"/>
      <c r="AL768" s="556" t="s">
        <v>334</v>
      </c>
      <c r="AM768" s="327"/>
      <c r="AN768" s="553" t="s">
        <v>334</v>
      </c>
      <c r="AO768" s="327"/>
      <c r="AP768" s="554"/>
      <c r="AQ768" s="327"/>
      <c r="AR768" s="555"/>
      <c r="AS768" s="327"/>
      <c r="AT768" s="549"/>
      <c r="AU768" s="327"/>
      <c r="AV768" s="553" t="s">
        <v>334</v>
      </c>
      <c r="AW768" s="327"/>
      <c r="AX768" s="521"/>
      <c r="AY768" s="326"/>
      <c r="AZ768" s="327"/>
      <c r="BA768" s="536"/>
      <c r="BB768" s="327"/>
      <c r="BC768" s="22"/>
      <c r="BD768" s="551" t="s">
        <v>334</v>
      </c>
      <c r="BE768" s="327"/>
      <c r="BF768" s="552"/>
      <c r="BG768" s="326"/>
      <c r="BH768" s="326"/>
      <c r="BI768" s="327"/>
      <c r="BJ768" s="451" t="s">
        <v>303</v>
      </c>
      <c r="BK768" s="326"/>
      <c r="BL768" s="326"/>
      <c r="BM768" s="327"/>
      <c r="BN768" s="558" t="s">
        <v>303</v>
      </c>
      <c r="BO768" s="326"/>
      <c r="BP768" s="326"/>
      <c r="BQ768" s="326"/>
      <c r="BR768" s="326"/>
      <c r="BS768" s="326"/>
      <c r="BT768" s="326"/>
      <c r="BU768" s="326"/>
      <c r="BV768" s="327"/>
    </row>
    <row r="769" spans="1:74" ht="45" customHeight="1" x14ac:dyDescent="0.25">
      <c r="A769" s="10">
        <f t="shared" si="2"/>
        <v>755</v>
      </c>
      <c r="B769" s="559" t="s">
        <v>303</v>
      </c>
      <c r="C769" s="327"/>
      <c r="D769" s="560" t="s">
        <v>307</v>
      </c>
      <c r="E769" s="327"/>
      <c r="F769" s="537" t="s">
        <v>334</v>
      </c>
      <c r="G769" s="327"/>
      <c r="H769" s="566" t="s">
        <v>334</v>
      </c>
      <c r="I769" s="327"/>
      <c r="J769" s="567"/>
      <c r="K769" s="327"/>
      <c r="L769" s="567"/>
      <c r="M769" s="327"/>
      <c r="N769" s="20"/>
      <c r="O769" s="24"/>
      <c r="P769" s="524"/>
      <c r="Q769" s="327"/>
      <c r="R769" s="538"/>
      <c r="S769" s="327"/>
      <c r="T769" s="539"/>
      <c r="U769" s="327"/>
      <c r="V769" s="540"/>
      <c r="W769" s="327"/>
      <c r="X769" s="541" t="s">
        <v>303</v>
      </c>
      <c r="Y769" s="326"/>
      <c r="Z769" s="326"/>
      <c r="AA769" s="327"/>
      <c r="AB769" s="542" t="s">
        <v>303</v>
      </c>
      <c r="AC769" s="326"/>
      <c r="AD769" s="326"/>
      <c r="AE769" s="327"/>
      <c r="AF769" s="543"/>
      <c r="AG769" s="327"/>
      <c r="AH769" s="543"/>
      <c r="AI769" s="327"/>
      <c r="AJ769" s="536"/>
      <c r="AK769" s="327"/>
      <c r="AL769" s="537" t="s">
        <v>334</v>
      </c>
      <c r="AM769" s="327"/>
      <c r="AN769" s="546" t="s">
        <v>334</v>
      </c>
      <c r="AO769" s="327"/>
      <c r="AP769" s="547"/>
      <c r="AQ769" s="327"/>
      <c r="AR769" s="548"/>
      <c r="AS769" s="327"/>
      <c r="AT769" s="568"/>
      <c r="AU769" s="327"/>
      <c r="AV769" s="546" t="s">
        <v>334</v>
      </c>
      <c r="AW769" s="327"/>
      <c r="AX769" s="521"/>
      <c r="AY769" s="326"/>
      <c r="AZ769" s="327"/>
      <c r="BA769" s="550"/>
      <c r="BB769" s="327"/>
      <c r="BC769" s="25"/>
      <c r="BD769" s="544" t="s">
        <v>334</v>
      </c>
      <c r="BE769" s="327"/>
      <c r="BF769" s="545"/>
      <c r="BG769" s="326"/>
      <c r="BH769" s="326"/>
      <c r="BI769" s="327"/>
      <c r="BJ769" s="557" t="s">
        <v>303</v>
      </c>
      <c r="BK769" s="326"/>
      <c r="BL769" s="326"/>
      <c r="BM769" s="327"/>
      <c r="BN769" s="558" t="s">
        <v>303</v>
      </c>
      <c r="BO769" s="326"/>
      <c r="BP769" s="326"/>
      <c r="BQ769" s="326"/>
      <c r="BR769" s="326"/>
      <c r="BS769" s="326"/>
      <c r="BT769" s="326"/>
      <c r="BU769" s="326"/>
      <c r="BV769" s="327"/>
    </row>
    <row r="770" spans="1:74" ht="45" customHeight="1" x14ac:dyDescent="0.25">
      <c r="A770" s="10">
        <f t="shared" si="2"/>
        <v>756</v>
      </c>
      <c r="B770" s="564" t="s">
        <v>303</v>
      </c>
      <c r="C770" s="327"/>
      <c r="D770" s="565" t="s">
        <v>307</v>
      </c>
      <c r="E770" s="327"/>
      <c r="F770" s="537" t="s">
        <v>334</v>
      </c>
      <c r="G770" s="327"/>
      <c r="H770" s="561" t="s">
        <v>334</v>
      </c>
      <c r="I770" s="327"/>
      <c r="J770" s="562"/>
      <c r="K770" s="327"/>
      <c r="L770" s="562"/>
      <c r="M770" s="327"/>
      <c r="N770" s="23"/>
      <c r="O770" s="21"/>
      <c r="P770" s="563"/>
      <c r="Q770" s="327"/>
      <c r="R770" s="516"/>
      <c r="S770" s="327"/>
      <c r="T770" s="517"/>
      <c r="U770" s="327"/>
      <c r="V770" s="518"/>
      <c r="W770" s="327"/>
      <c r="X770" s="438" t="s">
        <v>303</v>
      </c>
      <c r="Y770" s="326"/>
      <c r="Z770" s="326"/>
      <c r="AA770" s="327"/>
      <c r="AB770" s="519" t="s">
        <v>303</v>
      </c>
      <c r="AC770" s="326"/>
      <c r="AD770" s="326"/>
      <c r="AE770" s="327"/>
      <c r="AF770" s="520"/>
      <c r="AG770" s="327"/>
      <c r="AH770" s="520"/>
      <c r="AI770" s="327"/>
      <c r="AJ770" s="536"/>
      <c r="AK770" s="327"/>
      <c r="AL770" s="556" t="s">
        <v>334</v>
      </c>
      <c r="AM770" s="327"/>
      <c r="AN770" s="553" t="s">
        <v>334</v>
      </c>
      <c r="AO770" s="327"/>
      <c r="AP770" s="554"/>
      <c r="AQ770" s="327"/>
      <c r="AR770" s="555"/>
      <c r="AS770" s="327"/>
      <c r="AT770" s="549"/>
      <c r="AU770" s="327"/>
      <c r="AV770" s="553" t="s">
        <v>334</v>
      </c>
      <c r="AW770" s="327"/>
      <c r="AX770" s="521"/>
      <c r="AY770" s="326"/>
      <c r="AZ770" s="327"/>
      <c r="BA770" s="536"/>
      <c r="BB770" s="327"/>
      <c r="BC770" s="22"/>
      <c r="BD770" s="551" t="s">
        <v>334</v>
      </c>
      <c r="BE770" s="327"/>
      <c r="BF770" s="508"/>
      <c r="BG770" s="326"/>
      <c r="BH770" s="326"/>
      <c r="BI770" s="327"/>
      <c r="BJ770" s="451" t="s">
        <v>303</v>
      </c>
      <c r="BK770" s="326"/>
      <c r="BL770" s="326"/>
      <c r="BM770" s="327"/>
      <c r="BN770" s="558" t="s">
        <v>303</v>
      </c>
      <c r="BO770" s="326"/>
      <c r="BP770" s="326"/>
      <c r="BQ770" s="326"/>
      <c r="BR770" s="326"/>
      <c r="BS770" s="326"/>
      <c r="BT770" s="326"/>
      <c r="BU770" s="326"/>
      <c r="BV770" s="327"/>
    </row>
    <row r="771" spans="1:74" ht="45" customHeight="1" x14ac:dyDescent="0.25">
      <c r="A771" s="10">
        <f t="shared" si="2"/>
        <v>757</v>
      </c>
      <c r="B771" s="559" t="s">
        <v>303</v>
      </c>
      <c r="C771" s="327"/>
      <c r="D771" s="560" t="s">
        <v>307</v>
      </c>
      <c r="E771" s="327"/>
      <c r="F771" s="537" t="s">
        <v>334</v>
      </c>
      <c r="G771" s="327"/>
      <c r="H771" s="566" t="s">
        <v>334</v>
      </c>
      <c r="I771" s="327"/>
      <c r="J771" s="567"/>
      <c r="K771" s="327"/>
      <c r="L771" s="567"/>
      <c r="M771" s="327"/>
      <c r="N771" s="20"/>
      <c r="O771" s="24"/>
      <c r="P771" s="524"/>
      <c r="Q771" s="327"/>
      <c r="R771" s="538"/>
      <c r="S771" s="327"/>
      <c r="T771" s="539"/>
      <c r="U771" s="327"/>
      <c r="V771" s="540"/>
      <c r="W771" s="327"/>
      <c r="X771" s="541" t="s">
        <v>303</v>
      </c>
      <c r="Y771" s="326"/>
      <c r="Z771" s="326"/>
      <c r="AA771" s="327"/>
      <c r="AB771" s="542" t="s">
        <v>303</v>
      </c>
      <c r="AC771" s="326"/>
      <c r="AD771" s="326"/>
      <c r="AE771" s="327"/>
      <c r="AF771" s="543"/>
      <c r="AG771" s="327"/>
      <c r="AH771" s="543"/>
      <c r="AI771" s="327"/>
      <c r="AJ771" s="536"/>
      <c r="AK771" s="327"/>
      <c r="AL771" s="537" t="s">
        <v>334</v>
      </c>
      <c r="AM771" s="327"/>
      <c r="AN771" s="546" t="s">
        <v>334</v>
      </c>
      <c r="AO771" s="327"/>
      <c r="AP771" s="547"/>
      <c r="AQ771" s="327"/>
      <c r="AR771" s="548"/>
      <c r="AS771" s="327"/>
      <c r="AT771" s="568"/>
      <c r="AU771" s="327"/>
      <c r="AV771" s="546" t="s">
        <v>334</v>
      </c>
      <c r="AW771" s="327"/>
      <c r="AX771" s="521"/>
      <c r="AY771" s="326"/>
      <c r="AZ771" s="327"/>
      <c r="BA771" s="550"/>
      <c r="BB771" s="327"/>
      <c r="BC771" s="25"/>
      <c r="BD771" s="544" t="s">
        <v>334</v>
      </c>
      <c r="BE771" s="327"/>
      <c r="BF771" s="545"/>
      <c r="BG771" s="326"/>
      <c r="BH771" s="326"/>
      <c r="BI771" s="327"/>
      <c r="BJ771" s="557" t="s">
        <v>303</v>
      </c>
      <c r="BK771" s="326"/>
      <c r="BL771" s="326"/>
      <c r="BM771" s="327"/>
      <c r="BN771" s="558" t="s">
        <v>303</v>
      </c>
      <c r="BO771" s="326"/>
      <c r="BP771" s="326"/>
      <c r="BQ771" s="326"/>
      <c r="BR771" s="326"/>
      <c r="BS771" s="326"/>
      <c r="BT771" s="326"/>
      <c r="BU771" s="326"/>
      <c r="BV771" s="327"/>
    </row>
    <row r="772" spans="1:74" ht="45" customHeight="1" x14ac:dyDescent="0.25">
      <c r="A772" s="10">
        <f t="shared" si="2"/>
        <v>758</v>
      </c>
      <c r="B772" s="564" t="s">
        <v>303</v>
      </c>
      <c r="C772" s="327"/>
      <c r="D772" s="565" t="s">
        <v>307</v>
      </c>
      <c r="E772" s="327"/>
      <c r="F772" s="537" t="s">
        <v>334</v>
      </c>
      <c r="G772" s="327"/>
      <c r="H772" s="561" t="s">
        <v>334</v>
      </c>
      <c r="I772" s="327"/>
      <c r="J772" s="562"/>
      <c r="K772" s="327"/>
      <c r="L772" s="562"/>
      <c r="M772" s="327"/>
      <c r="N772" s="23"/>
      <c r="O772" s="21"/>
      <c r="P772" s="563"/>
      <c r="Q772" s="327"/>
      <c r="R772" s="516"/>
      <c r="S772" s="327"/>
      <c r="T772" s="517"/>
      <c r="U772" s="327"/>
      <c r="V772" s="518"/>
      <c r="W772" s="327"/>
      <c r="X772" s="438" t="s">
        <v>303</v>
      </c>
      <c r="Y772" s="326"/>
      <c r="Z772" s="326"/>
      <c r="AA772" s="327"/>
      <c r="AB772" s="519" t="s">
        <v>303</v>
      </c>
      <c r="AC772" s="326"/>
      <c r="AD772" s="326"/>
      <c r="AE772" s="327"/>
      <c r="AF772" s="520"/>
      <c r="AG772" s="327"/>
      <c r="AH772" s="520"/>
      <c r="AI772" s="327"/>
      <c r="AJ772" s="536"/>
      <c r="AK772" s="327"/>
      <c r="AL772" s="556" t="s">
        <v>334</v>
      </c>
      <c r="AM772" s="327"/>
      <c r="AN772" s="553" t="s">
        <v>334</v>
      </c>
      <c r="AO772" s="327"/>
      <c r="AP772" s="554"/>
      <c r="AQ772" s="327"/>
      <c r="AR772" s="555"/>
      <c r="AS772" s="327"/>
      <c r="AT772" s="549"/>
      <c r="AU772" s="327"/>
      <c r="AV772" s="553" t="s">
        <v>334</v>
      </c>
      <c r="AW772" s="327"/>
      <c r="AX772" s="521"/>
      <c r="AY772" s="326"/>
      <c r="AZ772" s="327"/>
      <c r="BA772" s="536"/>
      <c r="BB772" s="327"/>
      <c r="BC772" s="22"/>
      <c r="BD772" s="551" t="s">
        <v>334</v>
      </c>
      <c r="BE772" s="327"/>
      <c r="BF772" s="552"/>
      <c r="BG772" s="326"/>
      <c r="BH772" s="326"/>
      <c r="BI772" s="327"/>
      <c r="BJ772" s="451" t="s">
        <v>303</v>
      </c>
      <c r="BK772" s="326"/>
      <c r="BL772" s="326"/>
      <c r="BM772" s="327"/>
      <c r="BN772" s="558" t="s">
        <v>303</v>
      </c>
      <c r="BO772" s="326"/>
      <c r="BP772" s="326"/>
      <c r="BQ772" s="326"/>
      <c r="BR772" s="326"/>
      <c r="BS772" s="326"/>
      <c r="BT772" s="326"/>
      <c r="BU772" s="326"/>
      <c r="BV772" s="327"/>
    </row>
    <row r="773" spans="1:74" ht="45" customHeight="1" x14ac:dyDescent="0.25">
      <c r="A773" s="10">
        <f t="shared" si="2"/>
        <v>759</v>
      </c>
      <c r="B773" s="559" t="s">
        <v>303</v>
      </c>
      <c r="C773" s="327"/>
      <c r="D773" s="560" t="s">
        <v>307</v>
      </c>
      <c r="E773" s="327"/>
      <c r="F773" s="537" t="s">
        <v>334</v>
      </c>
      <c r="G773" s="327"/>
      <c r="H773" s="566" t="s">
        <v>334</v>
      </c>
      <c r="I773" s="327"/>
      <c r="J773" s="567"/>
      <c r="K773" s="327"/>
      <c r="L773" s="567"/>
      <c r="M773" s="327"/>
      <c r="N773" s="20"/>
      <c r="O773" s="24"/>
      <c r="P773" s="524"/>
      <c r="Q773" s="327"/>
      <c r="R773" s="538"/>
      <c r="S773" s="327"/>
      <c r="T773" s="539"/>
      <c r="U773" s="327"/>
      <c r="V773" s="540"/>
      <c r="W773" s="327"/>
      <c r="X773" s="541" t="s">
        <v>303</v>
      </c>
      <c r="Y773" s="326"/>
      <c r="Z773" s="326"/>
      <c r="AA773" s="327"/>
      <c r="AB773" s="542" t="s">
        <v>303</v>
      </c>
      <c r="AC773" s="326"/>
      <c r="AD773" s="326"/>
      <c r="AE773" s="327"/>
      <c r="AF773" s="543"/>
      <c r="AG773" s="327"/>
      <c r="AH773" s="543"/>
      <c r="AI773" s="327"/>
      <c r="AJ773" s="536"/>
      <c r="AK773" s="327"/>
      <c r="AL773" s="537" t="s">
        <v>334</v>
      </c>
      <c r="AM773" s="327"/>
      <c r="AN773" s="546" t="s">
        <v>334</v>
      </c>
      <c r="AO773" s="327"/>
      <c r="AP773" s="547"/>
      <c r="AQ773" s="327"/>
      <c r="AR773" s="548"/>
      <c r="AS773" s="327"/>
      <c r="AT773" s="568"/>
      <c r="AU773" s="327"/>
      <c r="AV773" s="546" t="s">
        <v>334</v>
      </c>
      <c r="AW773" s="327"/>
      <c r="AX773" s="521"/>
      <c r="AY773" s="326"/>
      <c r="AZ773" s="327"/>
      <c r="BA773" s="550"/>
      <c r="BB773" s="327"/>
      <c r="BC773" s="25"/>
      <c r="BD773" s="544" t="s">
        <v>334</v>
      </c>
      <c r="BE773" s="327"/>
      <c r="BF773" s="545"/>
      <c r="BG773" s="326"/>
      <c r="BH773" s="326"/>
      <c r="BI773" s="327"/>
      <c r="BJ773" s="557" t="s">
        <v>303</v>
      </c>
      <c r="BK773" s="326"/>
      <c r="BL773" s="326"/>
      <c r="BM773" s="327"/>
      <c r="BN773" s="558" t="s">
        <v>303</v>
      </c>
      <c r="BO773" s="326"/>
      <c r="BP773" s="326"/>
      <c r="BQ773" s="326"/>
      <c r="BR773" s="326"/>
      <c r="BS773" s="326"/>
      <c r="BT773" s="326"/>
      <c r="BU773" s="326"/>
      <c r="BV773" s="327"/>
    </row>
    <row r="774" spans="1:74" ht="45" customHeight="1" x14ac:dyDescent="0.25">
      <c r="A774" s="10">
        <f t="shared" si="2"/>
        <v>760</v>
      </c>
      <c r="B774" s="564" t="s">
        <v>303</v>
      </c>
      <c r="C774" s="327"/>
      <c r="D774" s="565" t="s">
        <v>307</v>
      </c>
      <c r="E774" s="327"/>
      <c r="F774" s="537" t="s">
        <v>334</v>
      </c>
      <c r="G774" s="327"/>
      <c r="H774" s="561" t="s">
        <v>334</v>
      </c>
      <c r="I774" s="327"/>
      <c r="J774" s="562"/>
      <c r="K774" s="327"/>
      <c r="L774" s="562"/>
      <c r="M774" s="327"/>
      <c r="N774" s="23"/>
      <c r="O774" s="21"/>
      <c r="P774" s="563"/>
      <c r="Q774" s="327"/>
      <c r="R774" s="516"/>
      <c r="S774" s="327"/>
      <c r="T774" s="517"/>
      <c r="U774" s="327"/>
      <c r="V774" s="518"/>
      <c r="W774" s="327"/>
      <c r="X774" s="438" t="s">
        <v>303</v>
      </c>
      <c r="Y774" s="326"/>
      <c r="Z774" s="326"/>
      <c r="AA774" s="327"/>
      <c r="AB774" s="519" t="s">
        <v>303</v>
      </c>
      <c r="AC774" s="326"/>
      <c r="AD774" s="326"/>
      <c r="AE774" s="327"/>
      <c r="AF774" s="520"/>
      <c r="AG774" s="327"/>
      <c r="AH774" s="520"/>
      <c r="AI774" s="327"/>
      <c r="AJ774" s="536"/>
      <c r="AK774" s="327"/>
      <c r="AL774" s="556" t="s">
        <v>334</v>
      </c>
      <c r="AM774" s="327"/>
      <c r="AN774" s="553" t="s">
        <v>334</v>
      </c>
      <c r="AO774" s="327"/>
      <c r="AP774" s="554"/>
      <c r="AQ774" s="327"/>
      <c r="AR774" s="555"/>
      <c r="AS774" s="327"/>
      <c r="AT774" s="549"/>
      <c r="AU774" s="327"/>
      <c r="AV774" s="553" t="s">
        <v>334</v>
      </c>
      <c r="AW774" s="327"/>
      <c r="AX774" s="521"/>
      <c r="AY774" s="326"/>
      <c r="AZ774" s="327"/>
      <c r="BA774" s="536"/>
      <c r="BB774" s="327"/>
      <c r="BC774" s="22"/>
      <c r="BD774" s="551" t="s">
        <v>334</v>
      </c>
      <c r="BE774" s="327"/>
      <c r="BF774" s="552"/>
      <c r="BG774" s="326"/>
      <c r="BH774" s="326"/>
      <c r="BI774" s="327"/>
      <c r="BJ774" s="451" t="s">
        <v>303</v>
      </c>
      <c r="BK774" s="326"/>
      <c r="BL774" s="326"/>
      <c r="BM774" s="327"/>
      <c r="BN774" s="558" t="s">
        <v>303</v>
      </c>
      <c r="BO774" s="326"/>
      <c r="BP774" s="326"/>
      <c r="BQ774" s="326"/>
      <c r="BR774" s="326"/>
      <c r="BS774" s="326"/>
      <c r="BT774" s="326"/>
      <c r="BU774" s="326"/>
      <c r="BV774" s="327"/>
    </row>
    <row r="775" spans="1:74" ht="45" customHeight="1" x14ac:dyDescent="0.25">
      <c r="A775" s="10">
        <f t="shared" si="2"/>
        <v>761</v>
      </c>
      <c r="B775" s="559" t="s">
        <v>303</v>
      </c>
      <c r="C775" s="327"/>
      <c r="D775" s="560" t="s">
        <v>307</v>
      </c>
      <c r="E775" s="327"/>
      <c r="F775" s="537" t="s">
        <v>334</v>
      </c>
      <c r="G775" s="327"/>
      <c r="H775" s="566" t="s">
        <v>334</v>
      </c>
      <c r="I775" s="327"/>
      <c r="J775" s="567"/>
      <c r="K775" s="327"/>
      <c r="L775" s="567"/>
      <c r="M775" s="327"/>
      <c r="N775" s="20"/>
      <c r="O775" s="24"/>
      <c r="P775" s="524"/>
      <c r="Q775" s="327"/>
      <c r="R775" s="538"/>
      <c r="S775" s="327"/>
      <c r="T775" s="539"/>
      <c r="U775" s="327"/>
      <c r="V775" s="540"/>
      <c r="W775" s="327"/>
      <c r="X775" s="541" t="s">
        <v>303</v>
      </c>
      <c r="Y775" s="326"/>
      <c r="Z775" s="326"/>
      <c r="AA775" s="327"/>
      <c r="AB775" s="542" t="s">
        <v>303</v>
      </c>
      <c r="AC775" s="326"/>
      <c r="AD775" s="326"/>
      <c r="AE775" s="327"/>
      <c r="AF775" s="543"/>
      <c r="AG775" s="327"/>
      <c r="AH775" s="543"/>
      <c r="AI775" s="327"/>
      <c r="AJ775" s="536"/>
      <c r="AK775" s="327"/>
      <c r="AL775" s="537" t="s">
        <v>334</v>
      </c>
      <c r="AM775" s="327"/>
      <c r="AN775" s="546" t="s">
        <v>334</v>
      </c>
      <c r="AO775" s="327"/>
      <c r="AP775" s="547"/>
      <c r="AQ775" s="327"/>
      <c r="AR775" s="548"/>
      <c r="AS775" s="327"/>
      <c r="AT775" s="568"/>
      <c r="AU775" s="327"/>
      <c r="AV775" s="546" t="s">
        <v>334</v>
      </c>
      <c r="AW775" s="327"/>
      <c r="AX775" s="521"/>
      <c r="AY775" s="326"/>
      <c r="AZ775" s="327"/>
      <c r="BA775" s="550"/>
      <c r="BB775" s="327"/>
      <c r="BC775" s="25"/>
      <c r="BD775" s="544" t="s">
        <v>334</v>
      </c>
      <c r="BE775" s="327"/>
      <c r="BF775" s="545"/>
      <c r="BG775" s="326"/>
      <c r="BH775" s="326"/>
      <c r="BI775" s="327"/>
      <c r="BJ775" s="557" t="s">
        <v>303</v>
      </c>
      <c r="BK775" s="326"/>
      <c r="BL775" s="326"/>
      <c r="BM775" s="327"/>
      <c r="BN775" s="558" t="s">
        <v>303</v>
      </c>
      <c r="BO775" s="326"/>
      <c r="BP775" s="326"/>
      <c r="BQ775" s="326"/>
      <c r="BR775" s="326"/>
      <c r="BS775" s="326"/>
      <c r="BT775" s="326"/>
      <c r="BU775" s="326"/>
      <c r="BV775" s="327"/>
    </row>
    <row r="776" spans="1:74" ht="45" customHeight="1" x14ac:dyDescent="0.25">
      <c r="A776" s="10">
        <f t="shared" si="2"/>
        <v>762</v>
      </c>
      <c r="B776" s="564" t="s">
        <v>303</v>
      </c>
      <c r="C776" s="327"/>
      <c r="D776" s="565" t="s">
        <v>307</v>
      </c>
      <c r="E776" s="327"/>
      <c r="F776" s="537" t="s">
        <v>334</v>
      </c>
      <c r="G776" s="327"/>
      <c r="H776" s="561" t="s">
        <v>334</v>
      </c>
      <c r="I776" s="327"/>
      <c r="J776" s="562"/>
      <c r="K776" s="327"/>
      <c r="L776" s="562"/>
      <c r="M776" s="327"/>
      <c r="N776" s="23"/>
      <c r="O776" s="21"/>
      <c r="P776" s="563"/>
      <c r="Q776" s="327"/>
      <c r="R776" s="516"/>
      <c r="S776" s="327"/>
      <c r="T776" s="517"/>
      <c r="U776" s="327"/>
      <c r="V776" s="518"/>
      <c r="W776" s="327"/>
      <c r="X776" s="438" t="s">
        <v>303</v>
      </c>
      <c r="Y776" s="326"/>
      <c r="Z776" s="326"/>
      <c r="AA776" s="327"/>
      <c r="AB776" s="519" t="s">
        <v>303</v>
      </c>
      <c r="AC776" s="326"/>
      <c r="AD776" s="326"/>
      <c r="AE776" s="327"/>
      <c r="AF776" s="520"/>
      <c r="AG776" s="327"/>
      <c r="AH776" s="520"/>
      <c r="AI776" s="327"/>
      <c r="AJ776" s="536"/>
      <c r="AK776" s="327"/>
      <c r="AL776" s="556" t="s">
        <v>334</v>
      </c>
      <c r="AM776" s="327"/>
      <c r="AN776" s="553" t="s">
        <v>334</v>
      </c>
      <c r="AO776" s="327"/>
      <c r="AP776" s="554"/>
      <c r="AQ776" s="327"/>
      <c r="AR776" s="555"/>
      <c r="AS776" s="327"/>
      <c r="AT776" s="549"/>
      <c r="AU776" s="327"/>
      <c r="AV776" s="553" t="s">
        <v>334</v>
      </c>
      <c r="AW776" s="327"/>
      <c r="AX776" s="521"/>
      <c r="AY776" s="326"/>
      <c r="AZ776" s="327"/>
      <c r="BA776" s="536"/>
      <c r="BB776" s="327"/>
      <c r="BC776" s="22"/>
      <c r="BD776" s="551" t="s">
        <v>334</v>
      </c>
      <c r="BE776" s="327"/>
      <c r="BF776" s="508"/>
      <c r="BG776" s="326"/>
      <c r="BH776" s="326"/>
      <c r="BI776" s="327"/>
      <c r="BJ776" s="451" t="s">
        <v>303</v>
      </c>
      <c r="BK776" s="326"/>
      <c r="BL776" s="326"/>
      <c r="BM776" s="327"/>
      <c r="BN776" s="558" t="s">
        <v>303</v>
      </c>
      <c r="BO776" s="326"/>
      <c r="BP776" s="326"/>
      <c r="BQ776" s="326"/>
      <c r="BR776" s="326"/>
      <c r="BS776" s="326"/>
      <c r="BT776" s="326"/>
      <c r="BU776" s="326"/>
      <c r="BV776" s="327"/>
    </row>
    <row r="777" spans="1:74" ht="45" customHeight="1" x14ac:dyDescent="0.25">
      <c r="A777" s="10">
        <f t="shared" si="2"/>
        <v>763</v>
      </c>
      <c r="B777" s="559" t="s">
        <v>303</v>
      </c>
      <c r="C777" s="327"/>
      <c r="D777" s="560" t="s">
        <v>307</v>
      </c>
      <c r="E777" s="327"/>
      <c r="F777" s="537" t="s">
        <v>334</v>
      </c>
      <c r="G777" s="327"/>
      <c r="H777" s="566" t="s">
        <v>334</v>
      </c>
      <c r="I777" s="327"/>
      <c r="J777" s="567"/>
      <c r="K777" s="327"/>
      <c r="L777" s="567"/>
      <c r="M777" s="327"/>
      <c r="N777" s="20"/>
      <c r="O777" s="24"/>
      <c r="P777" s="524"/>
      <c r="Q777" s="327"/>
      <c r="R777" s="538"/>
      <c r="S777" s="327"/>
      <c r="T777" s="539"/>
      <c r="U777" s="327"/>
      <c r="V777" s="540"/>
      <c r="W777" s="327"/>
      <c r="X777" s="541" t="s">
        <v>303</v>
      </c>
      <c r="Y777" s="326"/>
      <c r="Z777" s="326"/>
      <c r="AA777" s="327"/>
      <c r="AB777" s="542" t="s">
        <v>303</v>
      </c>
      <c r="AC777" s="326"/>
      <c r="AD777" s="326"/>
      <c r="AE777" s="327"/>
      <c r="AF777" s="543"/>
      <c r="AG777" s="327"/>
      <c r="AH777" s="543"/>
      <c r="AI777" s="327"/>
      <c r="AJ777" s="536"/>
      <c r="AK777" s="327"/>
      <c r="AL777" s="537" t="s">
        <v>334</v>
      </c>
      <c r="AM777" s="327"/>
      <c r="AN777" s="546" t="s">
        <v>334</v>
      </c>
      <c r="AO777" s="327"/>
      <c r="AP777" s="547"/>
      <c r="AQ777" s="327"/>
      <c r="AR777" s="548"/>
      <c r="AS777" s="327"/>
      <c r="AT777" s="568"/>
      <c r="AU777" s="327"/>
      <c r="AV777" s="546" t="s">
        <v>334</v>
      </c>
      <c r="AW777" s="327"/>
      <c r="AX777" s="521"/>
      <c r="AY777" s="326"/>
      <c r="AZ777" s="327"/>
      <c r="BA777" s="550"/>
      <c r="BB777" s="327"/>
      <c r="BC777" s="25"/>
      <c r="BD777" s="544" t="s">
        <v>334</v>
      </c>
      <c r="BE777" s="327"/>
      <c r="BF777" s="545"/>
      <c r="BG777" s="326"/>
      <c r="BH777" s="326"/>
      <c r="BI777" s="327"/>
      <c r="BJ777" s="557" t="s">
        <v>303</v>
      </c>
      <c r="BK777" s="326"/>
      <c r="BL777" s="326"/>
      <c r="BM777" s="327"/>
      <c r="BN777" s="558" t="s">
        <v>303</v>
      </c>
      <c r="BO777" s="326"/>
      <c r="BP777" s="326"/>
      <c r="BQ777" s="326"/>
      <c r="BR777" s="326"/>
      <c r="BS777" s="326"/>
      <c r="BT777" s="326"/>
      <c r="BU777" s="326"/>
      <c r="BV777" s="327"/>
    </row>
    <row r="778" spans="1:74" ht="45" customHeight="1" x14ac:dyDescent="0.25">
      <c r="A778" s="10">
        <f t="shared" si="2"/>
        <v>764</v>
      </c>
      <c r="B778" s="564" t="s">
        <v>303</v>
      </c>
      <c r="C778" s="327"/>
      <c r="D778" s="565" t="s">
        <v>307</v>
      </c>
      <c r="E778" s="327"/>
      <c r="F778" s="537" t="s">
        <v>334</v>
      </c>
      <c r="G778" s="327"/>
      <c r="H778" s="561" t="s">
        <v>334</v>
      </c>
      <c r="I778" s="327"/>
      <c r="J778" s="562"/>
      <c r="K778" s="327"/>
      <c r="L778" s="562"/>
      <c r="M778" s="327"/>
      <c r="N778" s="23"/>
      <c r="O778" s="21"/>
      <c r="P778" s="563"/>
      <c r="Q778" s="327"/>
      <c r="R778" s="516"/>
      <c r="S778" s="327"/>
      <c r="T778" s="517"/>
      <c r="U778" s="327"/>
      <c r="V778" s="518"/>
      <c r="W778" s="327"/>
      <c r="X778" s="438" t="s">
        <v>303</v>
      </c>
      <c r="Y778" s="326"/>
      <c r="Z778" s="326"/>
      <c r="AA778" s="327"/>
      <c r="AB778" s="519" t="s">
        <v>303</v>
      </c>
      <c r="AC778" s="326"/>
      <c r="AD778" s="326"/>
      <c r="AE778" s="327"/>
      <c r="AF778" s="520"/>
      <c r="AG778" s="327"/>
      <c r="AH778" s="520"/>
      <c r="AI778" s="327"/>
      <c r="AJ778" s="536"/>
      <c r="AK778" s="327"/>
      <c r="AL778" s="556" t="s">
        <v>334</v>
      </c>
      <c r="AM778" s="327"/>
      <c r="AN778" s="553" t="s">
        <v>334</v>
      </c>
      <c r="AO778" s="327"/>
      <c r="AP778" s="554"/>
      <c r="AQ778" s="327"/>
      <c r="AR778" s="555"/>
      <c r="AS778" s="327"/>
      <c r="AT778" s="549"/>
      <c r="AU778" s="327"/>
      <c r="AV778" s="553" t="s">
        <v>334</v>
      </c>
      <c r="AW778" s="327"/>
      <c r="AX778" s="521"/>
      <c r="AY778" s="326"/>
      <c r="AZ778" s="327"/>
      <c r="BA778" s="536"/>
      <c r="BB778" s="327"/>
      <c r="BC778" s="22"/>
      <c r="BD778" s="551" t="s">
        <v>334</v>
      </c>
      <c r="BE778" s="327"/>
      <c r="BF778" s="552"/>
      <c r="BG778" s="326"/>
      <c r="BH778" s="326"/>
      <c r="BI778" s="327"/>
      <c r="BJ778" s="451" t="s">
        <v>303</v>
      </c>
      <c r="BK778" s="326"/>
      <c r="BL778" s="326"/>
      <c r="BM778" s="327"/>
      <c r="BN778" s="558" t="s">
        <v>303</v>
      </c>
      <c r="BO778" s="326"/>
      <c r="BP778" s="326"/>
      <c r="BQ778" s="326"/>
      <c r="BR778" s="326"/>
      <c r="BS778" s="326"/>
      <c r="BT778" s="326"/>
      <c r="BU778" s="326"/>
      <c r="BV778" s="327"/>
    </row>
    <row r="779" spans="1:74" ht="45" customHeight="1" x14ac:dyDescent="0.25">
      <c r="A779" s="10">
        <f t="shared" si="2"/>
        <v>765</v>
      </c>
      <c r="B779" s="559" t="s">
        <v>303</v>
      </c>
      <c r="C779" s="327"/>
      <c r="D779" s="560" t="s">
        <v>307</v>
      </c>
      <c r="E779" s="327"/>
      <c r="F779" s="537" t="s">
        <v>334</v>
      </c>
      <c r="G779" s="327"/>
      <c r="H779" s="566" t="s">
        <v>334</v>
      </c>
      <c r="I779" s="327"/>
      <c r="J779" s="567"/>
      <c r="K779" s="327"/>
      <c r="L779" s="567"/>
      <c r="M779" s="327"/>
      <c r="N779" s="23"/>
      <c r="O779" s="24"/>
      <c r="P779" s="563"/>
      <c r="Q779" s="327"/>
      <c r="R779" s="538"/>
      <c r="S779" s="327"/>
      <c r="T779" s="539"/>
      <c r="U779" s="327"/>
      <c r="V779" s="540"/>
      <c r="W779" s="327"/>
      <c r="X779" s="541" t="s">
        <v>303</v>
      </c>
      <c r="Y779" s="326"/>
      <c r="Z779" s="326"/>
      <c r="AA779" s="327"/>
      <c r="AB779" s="542" t="s">
        <v>303</v>
      </c>
      <c r="AC779" s="326"/>
      <c r="AD779" s="326"/>
      <c r="AE779" s="327"/>
      <c r="AF779" s="543"/>
      <c r="AG779" s="327"/>
      <c r="AH779" s="543"/>
      <c r="AI779" s="327"/>
      <c r="AJ779" s="536"/>
      <c r="AK779" s="327"/>
      <c r="AL779" s="537" t="s">
        <v>334</v>
      </c>
      <c r="AM779" s="327"/>
      <c r="AN779" s="546" t="s">
        <v>334</v>
      </c>
      <c r="AO779" s="327"/>
      <c r="AP779" s="547"/>
      <c r="AQ779" s="327"/>
      <c r="AR779" s="548"/>
      <c r="AS779" s="327"/>
      <c r="AT779" s="549"/>
      <c r="AU779" s="327"/>
      <c r="AV779" s="546" t="s">
        <v>334</v>
      </c>
      <c r="AW779" s="327"/>
      <c r="AX779" s="521"/>
      <c r="AY779" s="326"/>
      <c r="AZ779" s="327"/>
      <c r="BA779" s="550"/>
      <c r="BB779" s="327"/>
      <c r="BC779" s="25"/>
      <c r="BD779" s="544" t="s">
        <v>334</v>
      </c>
      <c r="BE779" s="327"/>
      <c r="BF779" s="545"/>
      <c r="BG779" s="326"/>
      <c r="BH779" s="326"/>
      <c r="BI779" s="327"/>
      <c r="BJ779" s="557" t="s">
        <v>303</v>
      </c>
      <c r="BK779" s="326"/>
      <c r="BL779" s="326"/>
      <c r="BM779" s="327"/>
      <c r="BN779" s="558" t="s">
        <v>303</v>
      </c>
      <c r="BO779" s="326"/>
      <c r="BP779" s="326"/>
      <c r="BQ779" s="326"/>
      <c r="BR779" s="326"/>
      <c r="BS779" s="326"/>
      <c r="BT779" s="326"/>
      <c r="BU779" s="326"/>
      <c r="BV779" s="327"/>
    </row>
    <row r="780" spans="1:74" ht="45" customHeight="1" x14ac:dyDescent="0.25">
      <c r="A780" s="10">
        <f t="shared" ref="A780:A1034" si="3">ROW(A766)</f>
        <v>766</v>
      </c>
      <c r="B780" s="564" t="s">
        <v>303</v>
      </c>
      <c r="C780" s="327"/>
      <c r="D780" s="565" t="s">
        <v>307</v>
      </c>
      <c r="E780" s="327"/>
      <c r="F780" s="537" t="s">
        <v>334</v>
      </c>
      <c r="G780" s="327"/>
      <c r="H780" s="561" t="s">
        <v>334</v>
      </c>
      <c r="I780" s="327"/>
      <c r="J780" s="562"/>
      <c r="K780" s="327"/>
      <c r="L780" s="562"/>
      <c r="M780" s="327"/>
      <c r="N780" s="20"/>
      <c r="O780" s="21"/>
      <c r="P780" s="524"/>
      <c r="Q780" s="327"/>
      <c r="R780" s="516"/>
      <c r="S780" s="327"/>
      <c r="T780" s="517"/>
      <c r="U780" s="327"/>
      <c r="V780" s="518"/>
      <c r="W780" s="327"/>
      <c r="X780" s="438" t="s">
        <v>303</v>
      </c>
      <c r="Y780" s="326"/>
      <c r="Z780" s="326"/>
      <c r="AA780" s="327"/>
      <c r="AB780" s="519" t="s">
        <v>303</v>
      </c>
      <c r="AC780" s="326"/>
      <c r="AD780" s="326"/>
      <c r="AE780" s="327"/>
      <c r="AF780" s="520"/>
      <c r="AG780" s="327"/>
      <c r="AH780" s="520"/>
      <c r="AI780" s="327"/>
      <c r="AJ780" s="536"/>
      <c r="AK780" s="327"/>
      <c r="AL780" s="556" t="s">
        <v>334</v>
      </c>
      <c r="AM780" s="327"/>
      <c r="AN780" s="553" t="s">
        <v>334</v>
      </c>
      <c r="AO780" s="327"/>
      <c r="AP780" s="554"/>
      <c r="AQ780" s="327"/>
      <c r="AR780" s="555"/>
      <c r="AS780" s="327"/>
      <c r="AT780" s="549"/>
      <c r="AU780" s="327"/>
      <c r="AV780" s="553" t="s">
        <v>334</v>
      </c>
      <c r="AW780" s="327"/>
      <c r="AX780" s="521"/>
      <c r="AY780" s="326"/>
      <c r="AZ780" s="327"/>
      <c r="BA780" s="536"/>
      <c r="BB780" s="327"/>
      <c r="BC780" s="22"/>
      <c r="BD780" s="551" t="s">
        <v>334</v>
      </c>
      <c r="BE780" s="327"/>
      <c r="BF780" s="552"/>
      <c r="BG780" s="326"/>
      <c r="BH780" s="326"/>
      <c r="BI780" s="327"/>
      <c r="BJ780" s="451" t="s">
        <v>303</v>
      </c>
      <c r="BK780" s="326"/>
      <c r="BL780" s="326"/>
      <c r="BM780" s="327"/>
      <c r="BN780" s="558" t="s">
        <v>303</v>
      </c>
      <c r="BO780" s="326"/>
      <c r="BP780" s="326"/>
      <c r="BQ780" s="326"/>
      <c r="BR780" s="326"/>
      <c r="BS780" s="326"/>
      <c r="BT780" s="326"/>
      <c r="BU780" s="326"/>
      <c r="BV780" s="327"/>
    </row>
    <row r="781" spans="1:74" ht="45" customHeight="1" x14ac:dyDescent="0.25">
      <c r="A781" s="10">
        <f t="shared" si="3"/>
        <v>767</v>
      </c>
      <c r="B781" s="559" t="s">
        <v>303</v>
      </c>
      <c r="C781" s="327"/>
      <c r="D781" s="560" t="s">
        <v>307</v>
      </c>
      <c r="E781" s="327"/>
      <c r="F781" s="537" t="s">
        <v>334</v>
      </c>
      <c r="G781" s="327"/>
      <c r="H781" s="566" t="s">
        <v>334</v>
      </c>
      <c r="I781" s="327"/>
      <c r="J781" s="567"/>
      <c r="K781" s="327"/>
      <c r="L781" s="567"/>
      <c r="M781" s="327"/>
      <c r="N781" s="23"/>
      <c r="O781" s="24"/>
      <c r="P781" s="563"/>
      <c r="Q781" s="327"/>
      <c r="R781" s="538"/>
      <c r="S781" s="327"/>
      <c r="T781" s="539"/>
      <c r="U781" s="327"/>
      <c r="V781" s="540"/>
      <c r="W781" s="327"/>
      <c r="X781" s="541" t="s">
        <v>303</v>
      </c>
      <c r="Y781" s="326"/>
      <c r="Z781" s="326"/>
      <c r="AA781" s="327"/>
      <c r="AB781" s="542" t="s">
        <v>303</v>
      </c>
      <c r="AC781" s="326"/>
      <c r="AD781" s="326"/>
      <c r="AE781" s="327"/>
      <c r="AF781" s="543"/>
      <c r="AG781" s="327"/>
      <c r="AH781" s="543"/>
      <c r="AI781" s="327"/>
      <c r="AJ781" s="536"/>
      <c r="AK781" s="327"/>
      <c r="AL781" s="537" t="s">
        <v>334</v>
      </c>
      <c r="AM781" s="327"/>
      <c r="AN781" s="546" t="s">
        <v>334</v>
      </c>
      <c r="AO781" s="327"/>
      <c r="AP781" s="547"/>
      <c r="AQ781" s="327"/>
      <c r="AR781" s="548"/>
      <c r="AS781" s="327"/>
      <c r="AT781" s="549"/>
      <c r="AU781" s="327"/>
      <c r="AV781" s="546" t="s">
        <v>334</v>
      </c>
      <c r="AW781" s="327"/>
      <c r="AX781" s="521"/>
      <c r="AY781" s="326"/>
      <c r="AZ781" s="327"/>
      <c r="BA781" s="550"/>
      <c r="BB781" s="327"/>
      <c r="BC781" s="25"/>
      <c r="BD781" s="544" t="s">
        <v>334</v>
      </c>
      <c r="BE781" s="327"/>
      <c r="BF781" s="545"/>
      <c r="BG781" s="326"/>
      <c r="BH781" s="326"/>
      <c r="BI781" s="327"/>
      <c r="BJ781" s="557" t="s">
        <v>303</v>
      </c>
      <c r="BK781" s="326"/>
      <c r="BL781" s="326"/>
      <c r="BM781" s="327"/>
      <c r="BN781" s="558" t="s">
        <v>303</v>
      </c>
      <c r="BO781" s="326"/>
      <c r="BP781" s="326"/>
      <c r="BQ781" s="326"/>
      <c r="BR781" s="326"/>
      <c r="BS781" s="326"/>
      <c r="BT781" s="326"/>
      <c r="BU781" s="326"/>
      <c r="BV781" s="327"/>
    </row>
    <row r="782" spans="1:74" ht="45" customHeight="1" x14ac:dyDescent="0.25">
      <c r="A782" s="10">
        <f t="shared" si="3"/>
        <v>768</v>
      </c>
      <c r="B782" s="564" t="s">
        <v>303</v>
      </c>
      <c r="C782" s="327"/>
      <c r="D782" s="565" t="s">
        <v>307</v>
      </c>
      <c r="E782" s="327"/>
      <c r="F782" s="537" t="s">
        <v>334</v>
      </c>
      <c r="G782" s="327"/>
      <c r="H782" s="561" t="s">
        <v>334</v>
      </c>
      <c r="I782" s="327"/>
      <c r="J782" s="562"/>
      <c r="K782" s="327"/>
      <c r="L782" s="562"/>
      <c r="M782" s="327"/>
      <c r="N782" s="20"/>
      <c r="O782" s="21"/>
      <c r="P782" s="524"/>
      <c r="Q782" s="327"/>
      <c r="R782" s="516"/>
      <c r="S782" s="327"/>
      <c r="T782" s="517"/>
      <c r="U782" s="327"/>
      <c r="V782" s="518"/>
      <c r="W782" s="327"/>
      <c r="X782" s="438" t="s">
        <v>303</v>
      </c>
      <c r="Y782" s="326"/>
      <c r="Z782" s="326"/>
      <c r="AA782" s="327"/>
      <c r="AB782" s="519" t="s">
        <v>303</v>
      </c>
      <c r="AC782" s="326"/>
      <c r="AD782" s="326"/>
      <c r="AE782" s="327"/>
      <c r="AF782" s="520"/>
      <c r="AG782" s="327"/>
      <c r="AH782" s="520"/>
      <c r="AI782" s="327"/>
      <c r="AJ782" s="536"/>
      <c r="AK782" s="327"/>
      <c r="AL782" s="556" t="s">
        <v>334</v>
      </c>
      <c r="AM782" s="327"/>
      <c r="AN782" s="553" t="s">
        <v>334</v>
      </c>
      <c r="AO782" s="327"/>
      <c r="AP782" s="554"/>
      <c r="AQ782" s="327"/>
      <c r="AR782" s="555"/>
      <c r="AS782" s="327"/>
      <c r="AT782" s="549"/>
      <c r="AU782" s="327"/>
      <c r="AV782" s="553" t="s">
        <v>334</v>
      </c>
      <c r="AW782" s="327"/>
      <c r="AX782" s="521"/>
      <c r="AY782" s="326"/>
      <c r="AZ782" s="327"/>
      <c r="BA782" s="536"/>
      <c r="BB782" s="327"/>
      <c r="BC782" s="22"/>
      <c r="BD782" s="551" t="s">
        <v>334</v>
      </c>
      <c r="BE782" s="327"/>
      <c r="BF782" s="552"/>
      <c r="BG782" s="326"/>
      <c r="BH782" s="326"/>
      <c r="BI782" s="327"/>
      <c r="BJ782" s="451" t="s">
        <v>303</v>
      </c>
      <c r="BK782" s="326"/>
      <c r="BL782" s="326"/>
      <c r="BM782" s="327"/>
      <c r="BN782" s="558" t="s">
        <v>303</v>
      </c>
      <c r="BO782" s="326"/>
      <c r="BP782" s="326"/>
      <c r="BQ782" s="326"/>
      <c r="BR782" s="326"/>
      <c r="BS782" s="326"/>
      <c r="BT782" s="326"/>
      <c r="BU782" s="326"/>
      <c r="BV782" s="327"/>
    </row>
    <row r="783" spans="1:74" ht="45" customHeight="1" x14ac:dyDescent="0.25">
      <c r="A783" s="10">
        <f t="shared" si="3"/>
        <v>769</v>
      </c>
      <c r="B783" s="559" t="s">
        <v>303</v>
      </c>
      <c r="C783" s="327"/>
      <c r="D783" s="560" t="s">
        <v>307</v>
      </c>
      <c r="E783" s="327"/>
      <c r="F783" s="537" t="s">
        <v>334</v>
      </c>
      <c r="G783" s="327"/>
      <c r="H783" s="566" t="s">
        <v>334</v>
      </c>
      <c r="I783" s="327"/>
      <c r="J783" s="567"/>
      <c r="K783" s="327"/>
      <c r="L783" s="567"/>
      <c r="M783" s="327"/>
      <c r="N783" s="23"/>
      <c r="O783" s="24"/>
      <c r="P783" s="563"/>
      <c r="Q783" s="327"/>
      <c r="R783" s="538"/>
      <c r="S783" s="327"/>
      <c r="T783" s="539"/>
      <c r="U783" s="327"/>
      <c r="V783" s="540"/>
      <c r="W783" s="327"/>
      <c r="X783" s="541" t="s">
        <v>303</v>
      </c>
      <c r="Y783" s="326"/>
      <c r="Z783" s="326"/>
      <c r="AA783" s="327"/>
      <c r="AB783" s="542" t="s">
        <v>303</v>
      </c>
      <c r="AC783" s="326"/>
      <c r="AD783" s="326"/>
      <c r="AE783" s="327"/>
      <c r="AF783" s="543"/>
      <c r="AG783" s="327"/>
      <c r="AH783" s="543"/>
      <c r="AI783" s="327"/>
      <c r="AJ783" s="536"/>
      <c r="AK783" s="327"/>
      <c r="AL783" s="537" t="s">
        <v>334</v>
      </c>
      <c r="AM783" s="327"/>
      <c r="AN783" s="546" t="s">
        <v>334</v>
      </c>
      <c r="AO783" s="327"/>
      <c r="AP783" s="547"/>
      <c r="AQ783" s="327"/>
      <c r="AR783" s="548"/>
      <c r="AS783" s="327"/>
      <c r="AT783" s="568"/>
      <c r="AU783" s="327"/>
      <c r="AV783" s="546" t="s">
        <v>334</v>
      </c>
      <c r="AW783" s="327"/>
      <c r="AX783" s="521"/>
      <c r="AY783" s="326"/>
      <c r="AZ783" s="327"/>
      <c r="BA783" s="550"/>
      <c r="BB783" s="327"/>
      <c r="BC783" s="25"/>
      <c r="BD783" s="544" t="s">
        <v>334</v>
      </c>
      <c r="BE783" s="327"/>
      <c r="BF783" s="545"/>
      <c r="BG783" s="326"/>
      <c r="BH783" s="326"/>
      <c r="BI783" s="327"/>
      <c r="BJ783" s="557" t="s">
        <v>303</v>
      </c>
      <c r="BK783" s="326"/>
      <c r="BL783" s="326"/>
      <c r="BM783" s="327"/>
      <c r="BN783" s="558" t="s">
        <v>303</v>
      </c>
      <c r="BO783" s="326"/>
      <c r="BP783" s="326"/>
      <c r="BQ783" s="326"/>
      <c r="BR783" s="326"/>
      <c r="BS783" s="326"/>
      <c r="BT783" s="326"/>
      <c r="BU783" s="326"/>
      <c r="BV783" s="327"/>
    </row>
    <row r="784" spans="1:74" ht="45" customHeight="1" x14ac:dyDescent="0.25">
      <c r="A784" s="10">
        <f t="shared" si="3"/>
        <v>770</v>
      </c>
      <c r="B784" s="564" t="s">
        <v>303</v>
      </c>
      <c r="C784" s="327"/>
      <c r="D784" s="565" t="s">
        <v>307</v>
      </c>
      <c r="E784" s="327"/>
      <c r="F784" s="537" t="s">
        <v>334</v>
      </c>
      <c r="G784" s="327"/>
      <c r="H784" s="561" t="s">
        <v>334</v>
      </c>
      <c r="I784" s="327"/>
      <c r="J784" s="562"/>
      <c r="K784" s="327"/>
      <c r="L784" s="562"/>
      <c r="M784" s="327"/>
      <c r="N784" s="20"/>
      <c r="O784" s="21"/>
      <c r="P784" s="524"/>
      <c r="Q784" s="327"/>
      <c r="R784" s="516"/>
      <c r="S784" s="327"/>
      <c r="T784" s="517"/>
      <c r="U784" s="327"/>
      <c r="V784" s="518"/>
      <c r="W784" s="327"/>
      <c r="X784" s="438" t="s">
        <v>303</v>
      </c>
      <c r="Y784" s="326"/>
      <c r="Z784" s="326"/>
      <c r="AA784" s="327"/>
      <c r="AB784" s="519" t="s">
        <v>303</v>
      </c>
      <c r="AC784" s="326"/>
      <c r="AD784" s="326"/>
      <c r="AE784" s="327"/>
      <c r="AF784" s="520"/>
      <c r="AG784" s="327"/>
      <c r="AH784" s="520"/>
      <c r="AI784" s="327"/>
      <c r="AJ784" s="536"/>
      <c r="AK784" s="327"/>
      <c r="AL784" s="556" t="s">
        <v>334</v>
      </c>
      <c r="AM784" s="327"/>
      <c r="AN784" s="553" t="s">
        <v>334</v>
      </c>
      <c r="AO784" s="327"/>
      <c r="AP784" s="554"/>
      <c r="AQ784" s="327"/>
      <c r="AR784" s="555"/>
      <c r="AS784" s="327"/>
      <c r="AT784" s="549"/>
      <c r="AU784" s="327"/>
      <c r="AV784" s="553" t="s">
        <v>334</v>
      </c>
      <c r="AW784" s="327"/>
      <c r="AX784" s="521"/>
      <c r="AY784" s="326"/>
      <c r="AZ784" s="327"/>
      <c r="BA784" s="536"/>
      <c r="BB784" s="327"/>
      <c r="BC784" s="22"/>
      <c r="BD784" s="551" t="s">
        <v>334</v>
      </c>
      <c r="BE784" s="327"/>
      <c r="BF784" s="508"/>
      <c r="BG784" s="326"/>
      <c r="BH784" s="326"/>
      <c r="BI784" s="327"/>
      <c r="BJ784" s="451" t="s">
        <v>303</v>
      </c>
      <c r="BK784" s="326"/>
      <c r="BL784" s="326"/>
      <c r="BM784" s="327"/>
      <c r="BN784" s="558" t="s">
        <v>303</v>
      </c>
      <c r="BO784" s="326"/>
      <c r="BP784" s="326"/>
      <c r="BQ784" s="326"/>
      <c r="BR784" s="326"/>
      <c r="BS784" s="326"/>
      <c r="BT784" s="326"/>
      <c r="BU784" s="326"/>
      <c r="BV784" s="327"/>
    </row>
    <row r="785" spans="1:74" ht="45" customHeight="1" x14ac:dyDescent="0.25">
      <c r="A785" s="10">
        <f t="shared" si="3"/>
        <v>771</v>
      </c>
      <c r="B785" s="559" t="s">
        <v>303</v>
      </c>
      <c r="C785" s="327"/>
      <c r="D785" s="560" t="s">
        <v>307</v>
      </c>
      <c r="E785" s="327"/>
      <c r="F785" s="537" t="s">
        <v>334</v>
      </c>
      <c r="G785" s="327"/>
      <c r="H785" s="566" t="s">
        <v>334</v>
      </c>
      <c r="I785" s="327"/>
      <c r="J785" s="567"/>
      <c r="K785" s="327"/>
      <c r="L785" s="567"/>
      <c r="M785" s="327"/>
      <c r="N785" s="23"/>
      <c r="O785" s="24"/>
      <c r="P785" s="563"/>
      <c r="Q785" s="327"/>
      <c r="R785" s="538"/>
      <c r="S785" s="327"/>
      <c r="T785" s="539"/>
      <c r="U785" s="327"/>
      <c r="V785" s="540"/>
      <c r="W785" s="327"/>
      <c r="X785" s="541" t="s">
        <v>303</v>
      </c>
      <c r="Y785" s="326"/>
      <c r="Z785" s="326"/>
      <c r="AA785" s="327"/>
      <c r="AB785" s="542" t="s">
        <v>303</v>
      </c>
      <c r="AC785" s="326"/>
      <c r="AD785" s="326"/>
      <c r="AE785" s="327"/>
      <c r="AF785" s="543"/>
      <c r="AG785" s="327"/>
      <c r="AH785" s="543"/>
      <c r="AI785" s="327"/>
      <c r="AJ785" s="536"/>
      <c r="AK785" s="327"/>
      <c r="AL785" s="537" t="s">
        <v>334</v>
      </c>
      <c r="AM785" s="327"/>
      <c r="AN785" s="546" t="s">
        <v>334</v>
      </c>
      <c r="AO785" s="327"/>
      <c r="AP785" s="547"/>
      <c r="AQ785" s="327"/>
      <c r="AR785" s="548"/>
      <c r="AS785" s="327"/>
      <c r="AT785" s="568"/>
      <c r="AU785" s="327"/>
      <c r="AV785" s="546" t="s">
        <v>334</v>
      </c>
      <c r="AW785" s="327"/>
      <c r="AX785" s="521"/>
      <c r="AY785" s="326"/>
      <c r="AZ785" s="327"/>
      <c r="BA785" s="550"/>
      <c r="BB785" s="327"/>
      <c r="BC785" s="25"/>
      <c r="BD785" s="544" t="s">
        <v>334</v>
      </c>
      <c r="BE785" s="327"/>
      <c r="BF785" s="545"/>
      <c r="BG785" s="326"/>
      <c r="BH785" s="326"/>
      <c r="BI785" s="327"/>
      <c r="BJ785" s="557" t="s">
        <v>303</v>
      </c>
      <c r="BK785" s="326"/>
      <c r="BL785" s="326"/>
      <c r="BM785" s="327"/>
      <c r="BN785" s="558" t="s">
        <v>303</v>
      </c>
      <c r="BO785" s="326"/>
      <c r="BP785" s="326"/>
      <c r="BQ785" s="326"/>
      <c r="BR785" s="326"/>
      <c r="BS785" s="326"/>
      <c r="BT785" s="326"/>
      <c r="BU785" s="326"/>
      <c r="BV785" s="327"/>
    </row>
    <row r="786" spans="1:74" ht="45" customHeight="1" x14ac:dyDescent="0.25">
      <c r="A786" s="10">
        <f t="shared" si="3"/>
        <v>772</v>
      </c>
      <c r="B786" s="564" t="s">
        <v>303</v>
      </c>
      <c r="C786" s="327"/>
      <c r="D786" s="565" t="s">
        <v>307</v>
      </c>
      <c r="E786" s="327"/>
      <c r="F786" s="537" t="s">
        <v>334</v>
      </c>
      <c r="G786" s="327"/>
      <c r="H786" s="561" t="s">
        <v>334</v>
      </c>
      <c r="I786" s="327"/>
      <c r="J786" s="562"/>
      <c r="K786" s="327"/>
      <c r="L786" s="562"/>
      <c r="M786" s="327"/>
      <c r="N786" s="20"/>
      <c r="O786" s="21"/>
      <c r="P786" s="524"/>
      <c r="Q786" s="327"/>
      <c r="R786" s="516"/>
      <c r="S786" s="327"/>
      <c r="T786" s="517"/>
      <c r="U786" s="327"/>
      <c r="V786" s="518"/>
      <c r="W786" s="327"/>
      <c r="X786" s="438" t="s">
        <v>303</v>
      </c>
      <c r="Y786" s="326"/>
      <c r="Z786" s="326"/>
      <c r="AA786" s="327"/>
      <c r="AB786" s="519" t="s">
        <v>303</v>
      </c>
      <c r="AC786" s="326"/>
      <c r="AD786" s="326"/>
      <c r="AE786" s="327"/>
      <c r="AF786" s="520"/>
      <c r="AG786" s="327"/>
      <c r="AH786" s="520"/>
      <c r="AI786" s="327"/>
      <c r="AJ786" s="536"/>
      <c r="AK786" s="327"/>
      <c r="AL786" s="556" t="s">
        <v>334</v>
      </c>
      <c r="AM786" s="327"/>
      <c r="AN786" s="553" t="s">
        <v>334</v>
      </c>
      <c r="AO786" s="327"/>
      <c r="AP786" s="554"/>
      <c r="AQ786" s="327"/>
      <c r="AR786" s="555"/>
      <c r="AS786" s="327"/>
      <c r="AT786" s="549"/>
      <c r="AU786" s="327"/>
      <c r="AV786" s="553" t="s">
        <v>334</v>
      </c>
      <c r="AW786" s="327"/>
      <c r="AX786" s="521"/>
      <c r="AY786" s="326"/>
      <c r="AZ786" s="327"/>
      <c r="BA786" s="536"/>
      <c r="BB786" s="327"/>
      <c r="BC786" s="22"/>
      <c r="BD786" s="551" t="s">
        <v>334</v>
      </c>
      <c r="BE786" s="327"/>
      <c r="BF786" s="552"/>
      <c r="BG786" s="326"/>
      <c r="BH786" s="326"/>
      <c r="BI786" s="327"/>
      <c r="BJ786" s="451" t="s">
        <v>303</v>
      </c>
      <c r="BK786" s="326"/>
      <c r="BL786" s="326"/>
      <c r="BM786" s="327"/>
      <c r="BN786" s="558" t="s">
        <v>303</v>
      </c>
      <c r="BO786" s="326"/>
      <c r="BP786" s="326"/>
      <c r="BQ786" s="326"/>
      <c r="BR786" s="326"/>
      <c r="BS786" s="326"/>
      <c r="BT786" s="326"/>
      <c r="BU786" s="326"/>
      <c r="BV786" s="327"/>
    </row>
    <row r="787" spans="1:74" ht="45" customHeight="1" x14ac:dyDescent="0.25">
      <c r="A787" s="10">
        <f t="shared" si="3"/>
        <v>773</v>
      </c>
      <c r="B787" s="559" t="s">
        <v>303</v>
      </c>
      <c r="C787" s="327"/>
      <c r="D787" s="560" t="s">
        <v>307</v>
      </c>
      <c r="E787" s="327"/>
      <c r="F787" s="537" t="s">
        <v>334</v>
      </c>
      <c r="G787" s="327"/>
      <c r="H787" s="566" t="s">
        <v>334</v>
      </c>
      <c r="I787" s="327"/>
      <c r="J787" s="567"/>
      <c r="K787" s="327"/>
      <c r="L787" s="567"/>
      <c r="M787" s="327"/>
      <c r="N787" s="23"/>
      <c r="O787" s="24"/>
      <c r="P787" s="563"/>
      <c r="Q787" s="327"/>
      <c r="R787" s="538"/>
      <c r="S787" s="327"/>
      <c r="T787" s="539"/>
      <c r="U787" s="327"/>
      <c r="V787" s="540"/>
      <c r="W787" s="327"/>
      <c r="X787" s="541" t="s">
        <v>303</v>
      </c>
      <c r="Y787" s="326"/>
      <c r="Z787" s="326"/>
      <c r="AA787" s="327"/>
      <c r="AB787" s="542" t="s">
        <v>303</v>
      </c>
      <c r="AC787" s="326"/>
      <c r="AD787" s="326"/>
      <c r="AE787" s="327"/>
      <c r="AF787" s="543"/>
      <c r="AG787" s="327"/>
      <c r="AH787" s="543"/>
      <c r="AI787" s="327"/>
      <c r="AJ787" s="536"/>
      <c r="AK787" s="327"/>
      <c r="AL787" s="537" t="s">
        <v>334</v>
      </c>
      <c r="AM787" s="327"/>
      <c r="AN787" s="546" t="s">
        <v>334</v>
      </c>
      <c r="AO787" s="327"/>
      <c r="AP787" s="547"/>
      <c r="AQ787" s="327"/>
      <c r="AR787" s="548"/>
      <c r="AS787" s="327"/>
      <c r="AT787" s="568"/>
      <c r="AU787" s="327"/>
      <c r="AV787" s="546" t="s">
        <v>334</v>
      </c>
      <c r="AW787" s="327"/>
      <c r="AX787" s="521"/>
      <c r="AY787" s="326"/>
      <c r="AZ787" s="327"/>
      <c r="BA787" s="550"/>
      <c r="BB787" s="327"/>
      <c r="BC787" s="25"/>
      <c r="BD787" s="544" t="s">
        <v>334</v>
      </c>
      <c r="BE787" s="327"/>
      <c r="BF787" s="545"/>
      <c r="BG787" s="326"/>
      <c r="BH787" s="326"/>
      <c r="BI787" s="327"/>
      <c r="BJ787" s="557" t="s">
        <v>303</v>
      </c>
      <c r="BK787" s="326"/>
      <c r="BL787" s="326"/>
      <c r="BM787" s="327"/>
      <c r="BN787" s="558" t="s">
        <v>303</v>
      </c>
      <c r="BO787" s="326"/>
      <c r="BP787" s="326"/>
      <c r="BQ787" s="326"/>
      <c r="BR787" s="326"/>
      <c r="BS787" s="326"/>
      <c r="BT787" s="326"/>
      <c r="BU787" s="326"/>
      <c r="BV787" s="327"/>
    </row>
    <row r="788" spans="1:74" ht="45" customHeight="1" x14ac:dyDescent="0.25">
      <c r="A788" s="10">
        <f t="shared" si="3"/>
        <v>774</v>
      </c>
      <c r="B788" s="564" t="s">
        <v>303</v>
      </c>
      <c r="C788" s="327"/>
      <c r="D788" s="565" t="s">
        <v>307</v>
      </c>
      <c r="E788" s="327"/>
      <c r="F788" s="537" t="s">
        <v>334</v>
      </c>
      <c r="G788" s="327"/>
      <c r="H788" s="561" t="s">
        <v>334</v>
      </c>
      <c r="I788" s="327"/>
      <c r="J788" s="562"/>
      <c r="K788" s="327"/>
      <c r="L788" s="562"/>
      <c r="M788" s="327"/>
      <c r="N788" s="20"/>
      <c r="O788" s="21"/>
      <c r="P788" s="524"/>
      <c r="Q788" s="327"/>
      <c r="R788" s="516"/>
      <c r="S788" s="327"/>
      <c r="T788" s="517"/>
      <c r="U788" s="327"/>
      <c r="V788" s="518"/>
      <c r="W788" s="327"/>
      <c r="X788" s="438" t="s">
        <v>303</v>
      </c>
      <c r="Y788" s="326"/>
      <c r="Z788" s="326"/>
      <c r="AA788" s="327"/>
      <c r="AB788" s="519" t="s">
        <v>303</v>
      </c>
      <c r="AC788" s="326"/>
      <c r="AD788" s="326"/>
      <c r="AE788" s="327"/>
      <c r="AF788" s="520"/>
      <c r="AG788" s="327"/>
      <c r="AH788" s="520"/>
      <c r="AI788" s="327"/>
      <c r="AJ788" s="536"/>
      <c r="AK788" s="327"/>
      <c r="AL788" s="556" t="s">
        <v>334</v>
      </c>
      <c r="AM788" s="327"/>
      <c r="AN788" s="553" t="s">
        <v>334</v>
      </c>
      <c r="AO788" s="327"/>
      <c r="AP788" s="554"/>
      <c r="AQ788" s="327"/>
      <c r="AR788" s="555"/>
      <c r="AS788" s="327"/>
      <c r="AT788" s="549"/>
      <c r="AU788" s="327"/>
      <c r="AV788" s="553" t="s">
        <v>334</v>
      </c>
      <c r="AW788" s="327"/>
      <c r="AX788" s="521"/>
      <c r="AY788" s="326"/>
      <c r="AZ788" s="327"/>
      <c r="BA788" s="536"/>
      <c r="BB788" s="327"/>
      <c r="BC788" s="22"/>
      <c r="BD788" s="551" t="s">
        <v>334</v>
      </c>
      <c r="BE788" s="327"/>
      <c r="BF788" s="552"/>
      <c r="BG788" s="326"/>
      <c r="BH788" s="326"/>
      <c r="BI788" s="327"/>
      <c r="BJ788" s="451" t="s">
        <v>303</v>
      </c>
      <c r="BK788" s="326"/>
      <c r="BL788" s="326"/>
      <c r="BM788" s="327"/>
      <c r="BN788" s="558" t="s">
        <v>303</v>
      </c>
      <c r="BO788" s="326"/>
      <c r="BP788" s="326"/>
      <c r="BQ788" s="326"/>
      <c r="BR788" s="326"/>
      <c r="BS788" s="326"/>
      <c r="BT788" s="326"/>
      <c r="BU788" s="326"/>
      <c r="BV788" s="327"/>
    </row>
    <row r="789" spans="1:74" ht="45" customHeight="1" x14ac:dyDescent="0.25">
      <c r="A789" s="10">
        <f t="shared" si="3"/>
        <v>775</v>
      </c>
      <c r="B789" s="559" t="s">
        <v>303</v>
      </c>
      <c r="C789" s="327"/>
      <c r="D789" s="560" t="s">
        <v>307</v>
      </c>
      <c r="E789" s="327"/>
      <c r="F789" s="537" t="s">
        <v>334</v>
      </c>
      <c r="G789" s="327"/>
      <c r="H789" s="566" t="s">
        <v>334</v>
      </c>
      <c r="I789" s="327"/>
      <c r="J789" s="567"/>
      <c r="K789" s="327"/>
      <c r="L789" s="567"/>
      <c r="M789" s="327"/>
      <c r="N789" s="23"/>
      <c r="O789" s="24"/>
      <c r="P789" s="563"/>
      <c r="Q789" s="327"/>
      <c r="R789" s="538"/>
      <c r="S789" s="327"/>
      <c r="T789" s="539"/>
      <c r="U789" s="327"/>
      <c r="V789" s="540"/>
      <c r="W789" s="327"/>
      <c r="X789" s="541" t="s">
        <v>303</v>
      </c>
      <c r="Y789" s="326"/>
      <c r="Z789" s="326"/>
      <c r="AA789" s="327"/>
      <c r="AB789" s="542" t="s">
        <v>303</v>
      </c>
      <c r="AC789" s="326"/>
      <c r="AD789" s="326"/>
      <c r="AE789" s="327"/>
      <c r="AF789" s="543"/>
      <c r="AG789" s="327"/>
      <c r="AH789" s="543"/>
      <c r="AI789" s="327"/>
      <c r="AJ789" s="536"/>
      <c r="AK789" s="327"/>
      <c r="AL789" s="537" t="s">
        <v>334</v>
      </c>
      <c r="AM789" s="327"/>
      <c r="AN789" s="546" t="s">
        <v>334</v>
      </c>
      <c r="AO789" s="327"/>
      <c r="AP789" s="547"/>
      <c r="AQ789" s="327"/>
      <c r="AR789" s="548"/>
      <c r="AS789" s="327"/>
      <c r="AT789" s="568"/>
      <c r="AU789" s="327"/>
      <c r="AV789" s="546" t="s">
        <v>334</v>
      </c>
      <c r="AW789" s="327"/>
      <c r="AX789" s="521"/>
      <c r="AY789" s="326"/>
      <c r="AZ789" s="327"/>
      <c r="BA789" s="550"/>
      <c r="BB789" s="327"/>
      <c r="BC789" s="25"/>
      <c r="BD789" s="544" t="s">
        <v>334</v>
      </c>
      <c r="BE789" s="327"/>
      <c r="BF789" s="545"/>
      <c r="BG789" s="326"/>
      <c r="BH789" s="326"/>
      <c r="BI789" s="327"/>
      <c r="BJ789" s="557" t="s">
        <v>303</v>
      </c>
      <c r="BK789" s="326"/>
      <c r="BL789" s="326"/>
      <c r="BM789" s="327"/>
      <c r="BN789" s="558" t="s">
        <v>303</v>
      </c>
      <c r="BO789" s="326"/>
      <c r="BP789" s="326"/>
      <c r="BQ789" s="326"/>
      <c r="BR789" s="326"/>
      <c r="BS789" s="326"/>
      <c r="BT789" s="326"/>
      <c r="BU789" s="326"/>
      <c r="BV789" s="327"/>
    </row>
    <row r="790" spans="1:74" ht="45" customHeight="1" x14ac:dyDescent="0.25">
      <c r="A790" s="10">
        <f t="shared" si="3"/>
        <v>776</v>
      </c>
      <c r="B790" s="564" t="s">
        <v>303</v>
      </c>
      <c r="C790" s="327"/>
      <c r="D790" s="565" t="s">
        <v>307</v>
      </c>
      <c r="E790" s="327"/>
      <c r="F790" s="537" t="s">
        <v>334</v>
      </c>
      <c r="G790" s="327"/>
      <c r="H790" s="561" t="s">
        <v>334</v>
      </c>
      <c r="I790" s="327"/>
      <c r="J790" s="562"/>
      <c r="K790" s="327"/>
      <c r="L790" s="562"/>
      <c r="M790" s="327"/>
      <c r="N790" s="20"/>
      <c r="O790" s="21"/>
      <c r="P790" s="524"/>
      <c r="Q790" s="327"/>
      <c r="R790" s="516"/>
      <c r="S790" s="327"/>
      <c r="T790" s="517"/>
      <c r="U790" s="327"/>
      <c r="V790" s="518"/>
      <c r="W790" s="327"/>
      <c r="X790" s="438" t="s">
        <v>303</v>
      </c>
      <c r="Y790" s="326"/>
      <c r="Z790" s="326"/>
      <c r="AA790" s="327"/>
      <c r="AB790" s="519" t="s">
        <v>303</v>
      </c>
      <c r="AC790" s="326"/>
      <c r="AD790" s="326"/>
      <c r="AE790" s="327"/>
      <c r="AF790" s="520"/>
      <c r="AG790" s="327"/>
      <c r="AH790" s="520"/>
      <c r="AI790" s="327"/>
      <c r="AJ790" s="536"/>
      <c r="AK790" s="327"/>
      <c r="AL790" s="556" t="s">
        <v>334</v>
      </c>
      <c r="AM790" s="327"/>
      <c r="AN790" s="553" t="s">
        <v>334</v>
      </c>
      <c r="AO790" s="327"/>
      <c r="AP790" s="554"/>
      <c r="AQ790" s="327"/>
      <c r="AR790" s="555"/>
      <c r="AS790" s="327"/>
      <c r="AT790" s="549"/>
      <c r="AU790" s="327"/>
      <c r="AV790" s="553" t="s">
        <v>334</v>
      </c>
      <c r="AW790" s="327"/>
      <c r="AX790" s="521"/>
      <c r="AY790" s="326"/>
      <c r="AZ790" s="327"/>
      <c r="BA790" s="536"/>
      <c r="BB790" s="327"/>
      <c r="BC790" s="22"/>
      <c r="BD790" s="551" t="s">
        <v>334</v>
      </c>
      <c r="BE790" s="327"/>
      <c r="BF790" s="508"/>
      <c r="BG790" s="326"/>
      <c r="BH790" s="326"/>
      <c r="BI790" s="327"/>
      <c r="BJ790" s="451" t="s">
        <v>303</v>
      </c>
      <c r="BK790" s="326"/>
      <c r="BL790" s="326"/>
      <c r="BM790" s="327"/>
      <c r="BN790" s="558" t="s">
        <v>303</v>
      </c>
      <c r="BO790" s="326"/>
      <c r="BP790" s="326"/>
      <c r="BQ790" s="326"/>
      <c r="BR790" s="326"/>
      <c r="BS790" s="326"/>
      <c r="BT790" s="326"/>
      <c r="BU790" s="326"/>
      <c r="BV790" s="327"/>
    </row>
    <row r="791" spans="1:74" ht="45" customHeight="1" x14ac:dyDescent="0.25">
      <c r="A791" s="10">
        <f t="shared" si="3"/>
        <v>777</v>
      </c>
      <c r="B791" s="559" t="s">
        <v>303</v>
      </c>
      <c r="C791" s="327"/>
      <c r="D791" s="560" t="s">
        <v>307</v>
      </c>
      <c r="E791" s="327"/>
      <c r="F791" s="537" t="s">
        <v>334</v>
      </c>
      <c r="G791" s="327"/>
      <c r="H791" s="566" t="s">
        <v>334</v>
      </c>
      <c r="I791" s="327"/>
      <c r="J791" s="567"/>
      <c r="K791" s="327"/>
      <c r="L791" s="567"/>
      <c r="M791" s="327"/>
      <c r="N791" s="23"/>
      <c r="O791" s="24"/>
      <c r="P791" s="563"/>
      <c r="Q791" s="327"/>
      <c r="R791" s="538"/>
      <c r="S791" s="327"/>
      <c r="T791" s="539"/>
      <c r="U791" s="327"/>
      <c r="V791" s="540"/>
      <c r="W791" s="327"/>
      <c r="X791" s="541" t="s">
        <v>303</v>
      </c>
      <c r="Y791" s="326"/>
      <c r="Z791" s="326"/>
      <c r="AA791" s="327"/>
      <c r="AB791" s="542" t="s">
        <v>303</v>
      </c>
      <c r="AC791" s="326"/>
      <c r="AD791" s="326"/>
      <c r="AE791" s="327"/>
      <c r="AF791" s="543"/>
      <c r="AG791" s="327"/>
      <c r="AH791" s="543"/>
      <c r="AI791" s="327"/>
      <c r="AJ791" s="536"/>
      <c r="AK791" s="327"/>
      <c r="AL791" s="537" t="s">
        <v>334</v>
      </c>
      <c r="AM791" s="327"/>
      <c r="AN791" s="546" t="s">
        <v>334</v>
      </c>
      <c r="AO791" s="327"/>
      <c r="AP791" s="547"/>
      <c r="AQ791" s="327"/>
      <c r="AR791" s="548"/>
      <c r="AS791" s="327"/>
      <c r="AT791" s="568"/>
      <c r="AU791" s="327"/>
      <c r="AV791" s="546" t="s">
        <v>334</v>
      </c>
      <c r="AW791" s="327"/>
      <c r="AX791" s="521"/>
      <c r="AY791" s="326"/>
      <c r="AZ791" s="327"/>
      <c r="BA791" s="550"/>
      <c r="BB791" s="327"/>
      <c r="BC791" s="25"/>
      <c r="BD791" s="544" t="s">
        <v>334</v>
      </c>
      <c r="BE791" s="327"/>
      <c r="BF791" s="545"/>
      <c r="BG791" s="326"/>
      <c r="BH791" s="326"/>
      <c r="BI791" s="327"/>
      <c r="BJ791" s="557" t="s">
        <v>303</v>
      </c>
      <c r="BK791" s="326"/>
      <c r="BL791" s="326"/>
      <c r="BM791" s="327"/>
      <c r="BN791" s="558" t="s">
        <v>303</v>
      </c>
      <c r="BO791" s="326"/>
      <c r="BP791" s="326"/>
      <c r="BQ791" s="326"/>
      <c r="BR791" s="326"/>
      <c r="BS791" s="326"/>
      <c r="BT791" s="326"/>
      <c r="BU791" s="326"/>
      <c r="BV791" s="327"/>
    </row>
    <row r="792" spans="1:74" ht="45" customHeight="1" x14ac:dyDescent="0.25">
      <c r="A792" s="10">
        <f t="shared" si="3"/>
        <v>778</v>
      </c>
      <c r="B792" s="564" t="s">
        <v>303</v>
      </c>
      <c r="C792" s="327"/>
      <c r="D792" s="565" t="s">
        <v>307</v>
      </c>
      <c r="E792" s="327"/>
      <c r="F792" s="537" t="s">
        <v>334</v>
      </c>
      <c r="G792" s="327"/>
      <c r="H792" s="561" t="s">
        <v>334</v>
      </c>
      <c r="I792" s="327"/>
      <c r="J792" s="562"/>
      <c r="K792" s="327"/>
      <c r="L792" s="562"/>
      <c r="M792" s="327"/>
      <c r="N792" s="20"/>
      <c r="O792" s="21"/>
      <c r="P792" s="524"/>
      <c r="Q792" s="327"/>
      <c r="R792" s="516"/>
      <c r="S792" s="327"/>
      <c r="T792" s="517"/>
      <c r="U792" s="327"/>
      <c r="V792" s="518"/>
      <c r="W792" s="327"/>
      <c r="X792" s="438" t="s">
        <v>303</v>
      </c>
      <c r="Y792" s="326"/>
      <c r="Z792" s="326"/>
      <c r="AA792" s="327"/>
      <c r="AB792" s="519" t="s">
        <v>303</v>
      </c>
      <c r="AC792" s="326"/>
      <c r="AD792" s="326"/>
      <c r="AE792" s="327"/>
      <c r="AF792" s="520"/>
      <c r="AG792" s="327"/>
      <c r="AH792" s="520"/>
      <c r="AI792" s="327"/>
      <c r="AJ792" s="536"/>
      <c r="AK792" s="327"/>
      <c r="AL792" s="556" t="s">
        <v>334</v>
      </c>
      <c r="AM792" s="327"/>
      <c r="AN792" s="553" t="s">
        <v>334</v>
      </c>
      <c r="AO792" s="327"/>
      <c r="AP792" s="554"/>
      <c r="AQ792" s="327"/>
      <c r="AR792" s="555"/>
      <c r="AS792" s="327"/>
      <c r="AT792" s="549"/>
      <c r="AU792" s="327"/>
      <c r="AV792" s="553" t="s">
        <v>334</v>
      </c>
      <c r="AW792" s="327"/>
      <c r="AX792" s="521"/>
      <c r="AY792" s="326"/>
      <c r="AZ792" s="327"/>
      <c r="BA792" s="536"/>
      <c r="BB792" s="327"/>
      <c r="BC792" s="22"/>
      <c r="BD792" s="551" t="s">
        <v>334</v>
      </c>
      <c r="BE792" s="327"/>
      <c r="BF792" s="552"/>
      <c r="BG792" s="326"/>
      <c r="BH792" s="326"/>
      <c r="BI792" s="327"/>
      <c r="BJ792" s="451" t="s">
        <v>303</v>
      </c>
      <c r="BK792" s="326"/>
      <c r="BL792" s="326"/>
      <c r="BM792" s="327"/>
      <c r="BN792" s="558" t="s">
        <v>303</v>
      </c>
      <c r="BO792" s="326"/>
      <c r="BP792" s="326"/>
      <c r="BQ792" s="326"/>
      <c r="BR792" s="326"/>
      <c r="BS792" s="326"/>
      <c r="BT792" s="326"/>
      <c r="BU792" s="326"/>
      <c r="BV792" s="327"/>
    </row>
    <row r="793" spans="1:74" ht="45" customHeight="1" x14ac:dyDescent="0.25">
      <c r="A793" s="10">
        <f t="shared" si="3"/>
        <v>779</v>
      </c>
      <c r="B793" s="559" t="s">
        <v>303</v>
      </c>
      <c r="C793" s="327"/>
      <c r="D793" s="560" t="s">
        <v>307</v>
      </c>
      <c r="E793" s="327"/>
      <c r="F793" s="537" t="s">
        <v>334</v>
      </c>
      <c r="G793" s="327"/>
      <c r="H793" s="566" t="s">
        <v>334</v>
      </c>
      <c r="I793" s="327"/>
      <c r="J793" s="567"/>
      <c r="K793" s="327"/>
      <c r="L793" s="567"/>
      <c r="M793" s="327"/>
      <c r="N793" s="20"/>
      <c r="O793" s="21"/>
      <c r="P793" s="524"/>
      <c r="Q793" s="327"/>
      <c r="R793" s="538"/>
      <c r="S793" s="327"/>
      <c r="T793" s="539"/>
      <c r="U793" s="327"/>
      <c r="V793" s="540"/>
      <c r="W793" s="327"/>
      <c r="X793" s="541" t="s">
        <v>303</v>
      </c>
      <c r="Y793" s="326"/>
      <c r="Z793" s="326"/>
      <c r="AA793" s="327"/>
      <c r="AB793" s="542" t="s">
        <v>303</v>
      </c>
      <c r="AC793" s="326"/>
      <c r="AD793" s="326"/>
      <c r="AE793" s="327"/>
      <c r="AF793" s="543"/>
      <c r="AG793" s="327"/>
      <c r="AH793" s="543"/>
      <c r="AI793" s="327"/>
      <c r="AJ793" s="536"/>
      <c r="AK793" s="327"/>
      <c r="AL793" s="537" t="s">
        <v>334</v>
      </c>
      <c r="AM793" s="327"/>
      <c r="AN793" s="546" t="s">
        <v>334</v>
      </c>
      <c r="AO793" s="327"/>
      <c r="AP793" s="547"/>
      <c r="AQ793" s="327"/>
      <c r="AR793" s="548"/>
      <c r="AS793" s="327"/>
      <c r="AT793" s="549"/>
      <c r="AU793" s="327"/>
      <c r="AV793" s="546" t="s">
        <v>334</v>
      </c>
      <c r="AW793" s="327"/>
      <c r="AX793" s="521"/>
      <c r="AY793" s="326"/>
      <c r="AZ793" s="327"/>
      <c r="BA793" s="550"/>
      <c r="BB793" s="327"/>
      <c r="BC793" s="25"/>
      <c r="BD793" s="544" t="s">
        <v>334</v>
      </c>
      <c r="BE793" s="327"/>
      <c r="BF793" s="545"/>
      <c r="BG793" s="326"/>
      <c r="BH793" s="326"/>
      <c r="BI793" s="327"/>
      <c r="BJ793" s="557" t="s">
        <v>303</v>
      </c>
      <c r="BK793" s="326"/>
      <c r="BL793" s="326"/>
      <c r="BM793" s="327"/>
      <c r="BN793" s="558" t="s">
        <v>303</v>
      </c>
      <c r="BO793" s="326"/>
      <c r="BP793" s="326"/>
      <c r="BQ793" s="326"/>
      <c r="BR793" s="326"/>
      <c r="BS793" s="326"/>
      <c r="BT793" s="326"/>
      <c r="BU793" s="326"/>
      <c r="BV793" s="327"/>
    </row>
    <row r="794" spans="1:74" ht="45" customHeight="1" x14ac:dyDescent="0.25">
      <c r="A794" s="10">
        <f t="shared" si="3"/>
        <v>780</v>
      </c>
      <c r="B794" s="564" t="s">
        <v>303</v>
      </c>
      <c r="C794" s="327"/>
      <c r="D794" s="565" t="s">
        <v>307</v>
      </c>
      <c r="E794" s="327"/>
      <c r="F794" s="537" t="s">
        <v>334</v>
      </c>
      <c r="G794" s="327"/>
      <c r="H794" s="561" t="s">
        <v>334</v>
      </c>
      <c r="I794" s="327"/>
      <c r="J794" s="562"/>
      <c r="K794" s="327"/>
      <c r="L794" s="562"/>
      <c r="M794" s="327"/>
      <c r="N794" s="23"/>
      <c r="O794" s="24"/>
      <c r="P794" s="563"/>
      <c r="Q794" s="327"/>
      <c r="R794" s="516"/>
      <c r="S794" s="327"/>
      <c r="T794" s="517"/>
      <c r="U794" s="327"/>
      <c r="V794" s="518"/>
      <c r="W794" s="327"/>
      <c r="X794" s="438" t="s">
        <v>303</v>
      </c>
      <c r="Y794" s="326"/>
      <c r="Z794" s="326"/>
      <c r="AA794" s="327"/>
      <c r="AB794" s="519" t="s">
        <v>303</v>
      </c>
      <c r="AC794" s="326"/>
      <c r="AD794" s="326"/>
      <c r="AE794" s="327"/>
      <c r="AF794" s="520"/>
      <c r="AG794" s="327"/>
      <c r="AH794" s="520"/>
      <c r="AI794" s="327"/>
      <c r="AJ794" s="536"/>
      <c r="AK794" s="327"/>
      <c r="AL794" s="556" t="s">
        <v>334</v>
      </c>
      <c r="AM794" s="327"/>
      <c r="AN794" s="553" t="s">
        <v>334</v>
      </c>
      <c r="AO794" s="327"/>
      <c r="AP794" s="554"/>
      <c r="AQ794" s="327"/>
      <c r="AR794" s="555"/>
      <c r="AS794" s="327"/>
      <c r="AT794" s="549"/>
      <c r="AU794" s="327"/>
      <c r="AV794" s="553" t="s">
        <v>334</v>
      </c>
      <c r="AW794" s="327"/>
      <c r="AX794" s="521"/>
      <c r="AY794" s="326"/>
      <c r="AZ794" s="327"/>
      <c r="BA794" s="536"/>
      <c r="BB794" s="327"/>
      <c r="BC794" s="22"/>
      <c r="BD794" s="551" t="s">
        <v>334</v>
      </c>
      <c r="BE794" s="327"/>
      <c r="BF794" s="552"/>
      <c r="BG794" s="326"/>
      <c r="BH794" s="326"/>
      <c r="BI794" s="327"/>
      <c r="BJ794" s="451" t="s">
        <v>303</v>
      </c>
      <c r="BK794" s="326"/>
      <c r="BL794" s="326"/>
      <c r="BM794" s="327"/>
      <c r="BN794" s="558" t="s">
        <v>303</v>
      </c>
      <c r="BO794" s="326"/>
      <c r="BP794" s="326"/>
      <c r="BQ794" s="326"/>
      <c r="BR794" s="326"/>
      <c r="BS794" s="326"/>
      <c r="BT794" s="326"/>
      <c r="BU794" s="326"/>
      <c r="BV794" s="327"/>
    </row>
    <row r="795" spans="1:74" ht="45" customHeight="1" x14ac:dyDescent="0.25">
      <c r="A795" s="10">
        <f t="shared" si="3"/>
        <v>781</v>
      </c>
      <c r="B795" s="559" t="s">
        <v>303</v>
      </c>
      <c r="C795" s="327"/>
      <c r="D795" s="560" t="s">
        <v>307</v>
      </c>
      <c r="E795" s="327"/>
      <c r="F795" s="537" t="s">
        <v>334</v>
      </c>
      <c r="G795" s="327"/>
      <c r="H795" s="566" t="s">
        <v>334</v>
      </c>
      <c r="I795" s="327"/>
      <c r="J795" s="567"/>
      <c r="K795" s="327"/>
      <c r="L795" s="567"/>
      <c r="M795" s="327"/>
      <c r="N795" s="20"/>
      <c r="O795" s="21"/>
      <c r="P795" s="524"/>
      <c r="Q795" s="327"/>
      <c r="R795" s="538"/>
      <c r="S795" s="327"/>
      <c r="T795" s="539"/>
      <c r="U795" s="327"/>
      <c r="V795" s="540"/>
      <c r="W795" s="327"/>
      <c r="X795" s="541" t="s">
        <v>303</v>
      </c>
      <c r="Y795" s="326"/>
      <c r="Z795" s="326"/>
      <c r="AA795" s="327"/>
      <c r="AB795" s="542" t="s">
        <v>303</v>
      </c>
      <c r="AC795" s="326"/>
      <c r="AD795" s="326"/>
      <c r="AE795" s="327"/>
      <c r="AF795" s="543"/>
      <c r="AG795" s="327"/>
      <c r="AH795" s="543"/>
      <c r="AI795" s="327"/>
      <c r="AJ795" s="536"/>
      <c r="AK795" s="327"/>
      <c r="AL795" s="537" t="s">
        <v>334</v>
      </c>
      <c r="AM795" s="327"/>
      <c r="AN795" s="546" t="s">
        <v>334</v>
      </c>
      <c r="AO795" s="327"/>
      <c r="AP795" s="547"/>
      <c r="AQ795" s="327"/>
      <c r="AR795" s="548"/>
      <c r="AS795" s="327"/>
      <c r="AT795" s="549"/>
      <c r="AU795" s="327"/>
      <c r="AV795" s="546" t="s">
        <v>334</v>
      </c>
      <c r="AW795" s="327"/>
      <c r="AX795" s="521"/>
      <c r="AY795" s="326"/>
      <c r="AZ795" s="327"/>
      <c r="BA795" s="550"/>
      <c r="BB795" s="327"/>
      <c r="BC795" s="25"/>
      <c r="BD795" s="544" t="s">
        <v>334</v>
      </c>
      <c r="BE795" s="327"/>
      <c r="BF795" s="545"/>
      <c r="BG795" s="326"/>
      <c r="BH795" s="326"/>
      <c r="BI795" s="327"/>
      <c r="BJ795" s="557" t="s">
        <v>303</v>
      </c>
      <c r="BK795" s="326"/>
      <c r="BL795" s="326"/>
      <c r="BM795" s="327"/>
      <c r="BN795" s="558" t="s">
        <v>303</v>
      </c>
      <c r="BO795" s="326"/>
      <c r="BP795" s="326"/>
      <c r="BQ795" s="326"/>
      <c r="BR795" s="326"/>
      <c r="BS795" s="326"/>
      <c r="BT795" s="326"/>
      <c r="BU795" s="326"/>
      <c r="BV795" s="327"/>
    </row>
    <row r="796" spans="1:74" ht="45" customHeight="1" x14ac:dyDescent="0.25">
      <c r="A796" s="10">
        <f t="shared" si="3"/>
        <v>782</v>
      </c>
      <c r="B796" s="564" t="s">
        <v>303</v>
      </c>
      <c r="C796" s="327"/>
      <c r="D796" s="565" t="s">
        <v>307</v>
      </c>
      <c r="E796" s="327"/>
      <c r="F796" s="537" t="s">
        <v>334</v>
      </c>
      <c r="G796" s="327"/>
      <c r="H796" s="561" t="s">
        <v>334</v>
      </c>
      <c r="I796" s="327"/>
      <c r="J796" s="562"/>
      <c r="K796" s="327"/>
      <c r="L796" s="562"/>
      <c r="M796" s="327"/>
      <c r="N796" s="23"/>
      <c r="O796" s="24"/>
      <c r="P796" s="563"/>
      <c r="Q796" s="327"/>
      <c r="R796" s="516"/>
      <c r="S796" s="327"/>
      <c r="T796" s="517"/>
      <c r="U796" s="327"/>
      <c r="V796" s="518"/>
      <c r="W796" s="327"/>
      <c r="X796" s="438" t="s">
        <v>303</v>
      </c>
      <c r="Y796" s="326"/>
      <c r="Z796" s="326"/>
      <c r="AA796" s="327"/>
      <c r="AB796" s="519" t="s">
        <v>303</v>
      </c>
      <c r="AC796" s="326"/>
      <c r="AD796" s="326"/>
      <c r="AE796" s="327"/>
      <c r="AF796" s="520"/>
      <c r="AG796" s="327"/>
      <c r="AH796" s="520"/>
      <c r="AI796" s="327"/>
      <c r="AJ796" s="536"/>
      <c r="AK796" s="327"/>
      <c r="AL796" s="556" t="s">
        <v>334</v>
      </c>
      <c r="AM796" s="327"/>
      <c r="AN796" s="553" t="s">
        <v>334</v>
      </c>
      <c r="AO796" s="327"/>
      <c r="AP796" s="554"/>
      <c r="AQ796" s="327"/>
      <c r="AR796" s="555"/>
      <c r="AS796" s="327"/>
      <c r="AT796" s="549"/>
      <c r="AU796" s="327"/>
      <c r="AV796" s="553" t="s">
        <v>334</v>
      </c>
      <c r="AW796" s="327"/>
      <c r="AX796" s="521"/>
      <c r="AY796" s="326"/>
      <c r="AZ796" s="327"/>
      <c r="BA796" s="536"/>
      <c r="BB796" s="327"/>
      <c r="BC796" s="22"/>
      <c r="BD796" s="551" t="s">
        <v>334</v>
      </c>
      <c r="BE796" s="327"/>
      <c r="BF796" s="552"/>
      <c r="BG796" s="326"/>
      <c r="BH796" s="326"/>
      <c r="BI796" s="327"/>
      <c r="BJ796" s="451" t="s">
        <v>303</v>
      </c>
      <c r="BK796" s="326"/>
      <c r="BL796" s="326"/>
      <c r="BM796" s="327"/>
      <c r="BN796" s="558" t="s">
        <v>303</v>
      </c>
      <c r="BO796" s="326"/>
      <c r="BP796" s="326"/>
      <c r="BQ796" s="326"/>
      <c r="BR796" s="326"/>
      <c r="BS796" s="326"/>
      <c r="BT796" s="326"/>
      <c r="BU796" s="326"/>
      <c r="BV796" s="327"/>
    </row>
    <row r="797" spans="1:74" ht="45" customHeight="1" x14ac:dyDescent="0.25">
      <c r="A797" s="10">
        <f t="shared" si="3"/>
        <v>783</v>
      </c>
      <c r="B797" s="559" t="s">
        <v>303</v>
      </c>
      <c r="C797" s="327"/>
      <c r="D797" s="560" t="s">
        <v>307</v>
      </c>
      <c r="E797" s="327"/>
      <c r="F797" s="537" t="s">
        <v>334</v>
      </c>
      <c r="G797" s="327"/>
      <c r="H797" s="566" t="s">
        <v>334</v>
      </c>
      <c r="I797" s="327"/>
      <c r="J797" s="567"/>
      <c r="K797" s="327"/>
      <c r="L797" s="567"/>
      <c r="M797" s="327"/>
      <c r="N797" s="20"/>
      <c r="O797" s="24"/>
      <c r="P797" s="524"/>
      <c r="Q797" s="327"/>
      <c r="R797" s="538"/>
      <c r="S797" s="327"/>
      <c r="T797" s="539"/>
      <c r="U797" s="327"/>
      <c r="V797" s="540"/>
      <c r="W797" s="327"/>
      <c r="X797" s="541" t="s">
        <v>303</v>
      </c>
      <c r="Y797" s="326"/>
      <c r="Z797" s="326"/>
      <c r="AA797" s="327"/>
      <c r="AB797" s="542" t="s">
        <v>303</v>
      </c>
      <c r="AC797" s="326"/>
      <c r="AD797" s="326"/>
      <c r="AE797" s="327"/>
      <c r="AF797" s="543"/>
      <c r="AG797" s="327"/>
      <c r="AH797" s="543"/>
      <c r="AI797" s="327"/>
      <c r="AJ797" s="536"/>
      <c r="AK797" s="327"/>
      <c r="AL797" s="537" t="s">
        <v>334</v>
      </c>
      <c r="AM797" s="327"/>
      <c r="AN797" s="546" t="s">
        <v>334</v>
      </c>
      <c r="AO797" s="327"/>
      <c r="AP797" s="547"/>
      <c r="AQ797" s="327"/>
      <c r="AR797" s="548"/>
      <c r="AS797" s="327"/>
      <c r="AT797" s="568"/>
      <c r="AU797" s="327"/>
      <c r="AV797" s="546" t="s">
        <v>334</v>
      </c>
      <c r="AW797" s="327"/>
      <c r="AX797" s="521"/>
      <c r="AY797" s="326"/>
      <c r="AZ797" s="327"/>
      <c r="BA797" s="550"/>
      <c r="BB797" s="327"/>
      <c r="BC797" s="25"/>
      <c r="BD797" s="544" t="s">
        <v>334</v>
      </c>
      <c r="BE797" s="327"/>
      <c r="BF797" s="545"/>
      <c r="BG797" s="326"/>
      <c r="BH797" s="326"/>
      <c r="BI797" s="327"/>
      <c r="BJ797" s="557" t="s">
        <v>303</v>
      </c>
      <c r="BK797" s="326"/>
      <c r="BL797" s="326"/>
      <c r="BM797" s="327"/>
      <c r="BN797" s="558" t="s">
        <v>303</v>
      </c>
      <c r="BO797" s="326"/>
      <c r="BP797" s="326"/>
      <c r="BQ797" s="326"/>
      <c r="BR797" s="326"/>
      <c r="BS797" s="326"/>
      <c r="BT797" s="326"/>
      <c r="BU797" s="326"/>
      <c r="BV797" s="327"/>
    </row>
    <row r="798" spans="1:74" ht="45" customHeight="1" x14ac:dyDescent="0.25">
      <c r="A798" s="10">
        <f t="shared" si="3"/>
        <v>784</v>
      </c>
      <c r="B798" s="564" t="s">
        <v>303</v>
      </c>
      <c r="C798" s="327"/>
      <c r="D798" s="565" t="s">
        <v>307</v>
      </c>
      <c r="E798" s="327"/>
      <c r="F798" s="537" t="s">
        <v>334</v>
      </c>
      <c r="G798" s="327"/>
      <c r="H798" s="561" t="s">
        <v>334</v>
      </c>
      <c r="I798" s="327"/>
      <c r="J798" s="562"/>
      <c r="K798" s="327"/>
      <c r="L798" s="562"/>
      <c r="M798" s="327"/>
      <c r="N798" s="23"/>
      <c r="O798" s="21"/>
      <c r="P798" s="563"/>
      <c r="Q798" s="327"/>
      <c r="R798" s="516"/>
      <c r="S798" s="327"/>
      <c r="T798" s="517"/>
      <c r="U798" s="327"/>
      <c r="V798" s="518"/>
      <c r="W798" s="327"/>
      <c r="X798" s="438" t="s">
        <v>303</v>
      </c>
      <c r="Y798" s="326"/>
      <c r="Z798" s="326"/>
      <c r="AA798" s="327"/>
      <c r="AB798" s="519" t="s">
        <v>303</v>
      </c>
      <c r="AC798" s="326"/>
      <c r="AD798" s="326"/>
      <c r="AE798" s="327"/>
      <c r="AF798" s="520"/>
      <c r="AG798" s="327"/>
      <c r="AH798" s="520"/>
      <c r="AI798" s="327"/>
      <c r="AJ798" s="536"/>
      <c r="AK798" s="327"/>
      <c r="AL798" s="556" t="s">
        <v>334</v>
      </c>
      <c r="AM798" s="327"/>
      <c r="AN798" s="553" t="s">
        <v>334</v>
      </c>
      <c r="AO798" s="327"/>
      <c r="AP798" s="554"/>
      <c r="AQ798" s="327"/>
      <c r="AR798" s="555"/>
      <c r="AS798" s="327"/>
      <c r="AT798" s="549"/>
      <c r="AU798" s="327"/>
      <c r="AV798" s="553" t="s">
        <v>334</v>
      </c>
      <c r="AW798" s="327"/>
      <c r="AX798" s="521"/>
      <c r="AY798" s="326"/>
      <c r="AZ798" s="327"/>
      <c r="BA798" s="536"/>
      <c r="BB798" s="327"/>
      <c r="BC798" s="22"/>
      <c r="BD798" s="551" t="s">
        <v>334</v>
      </c>
      <c r="BE798" s="327"/>
      <c r="BF798" s="508"/>
      <c r="BG798" s="326"/>
      <c r="BH798" s="326"/>
      <c r="BI798" s="327"/>
      <c r="BJ798" s="451" t="s">
        <v>303</v>
      </c>
      <c r="BK798" s="326"/>
      <c r="BL798" s="326"/>
      <c r="BM798" s="327"/>
      <c r="BN798" s="558" t="s">
        <v>303</v>
      </c>
      <c r="BO798" s="326"/>
      <c r="BP798" s="326"/>
      <c r="BQ798" s="326"/>
      <c r="BR798" s="326"/>
      <c r="BS798" s="326"/>
      <c r="BT798" s="326"/>
      <c r="BU798" s="326"/>
      <c r="BV798" s="327"/>
    </row>
    <row r="799" spans="1:74" ht="45" customHeight="1" x14ac:dyDescent="0.25">
      <c r="A799" s="10">
        <f t="shared" si="3"/>
        <v>785</v>
      </c>
      <c r="B799" s="559" t="s">
        <v>303</v>
      </c>
      <c r="C799" s="327"/>
      <c r="D799" s="560" t="s">
        <v>307</v>
      </c>
      <c r="E799" s="327"/>
      <c r="F799" s="537" t="s">
        <v>334</v>
      </c>
      <c r="G799" s="327"/>
      <c r="H799" s="566" t="s">
        <v>334</v>
      </c>
      <c r="I799" s="327"/>
      <c r="J799" s="567"/>
      <c r="K799" s="327"/>
      <c r="L799" s="567"/>
      <c r="M799" s="327"/>
      <c r="N799" s="20"/>
      <c r="O799" s="24"/>
      <c r="P799" s="524"/>
      <c r="Q799" s="327"/>
      <c r="R799" s="538"/>
      <c r="S799" s="327"/>
      <c r="T799" s="539"/>
      <c r="U799" s="327"/>
      <c r="V799" s="540"/>
      <c r="W799" s="327"/>
      <c r="X799" s="541" t="s">
        <v>303</v>
      </c>
      <c r="Y799" s="326"/>
      <c r="Z799" s="326"/>
      <c r="AA799" s="327"/>
      <c r="AB799" s="542" t="s">
        <v>303</v>
      </c>
      <c r="AC799" s="326"/>
      <c r="AD799" s="326"/>
      <c r="AE799" s="327"/>
      <c r="AF799" s="543"/>
      <c r="AG799" s="327"/>
      <c r="AH799" s="543"/>
      <c r="AI799" s="327"/>
      <c r="AJ799" s="536"/>
      <c r="AK799" s="327"/>
      <c r="AL799" s="537" t="s">
        <v>334</v>
      </c>
      <c r="AM799" s="327"/>
      <c r="AN799" s="546" t="s">
        <v>334</v>
      </c>
      <c r="AO799" s="327"/>
      <c r="AP799" s="547"/>
      <c r="AQ799" s="327"/>
      <c r="AR799" s="548"/>
      <c r="AS799" s="327"/>
      <c r="AT799" s="568"/>
      <c r="AU799" s="327"/>
      <c r="AV799" s="546" t="s">
        <v>334</v>
      </c>
      <c r="AW799" s="327"/>
      <c r="AX799" s="521"/>
      <c r="AY799" s="326"/>
      <c r="AZ799" s="327"/>
      <c r="BA799" s="550"/>
      <c r="BB799" s="327"/>
      <c r="BC799" s="25"/>
      <c r="BD799" s="544" t="s">
        <v>334</v>
      </c>
      <c r="BE799" s="327"/>
      <c r="BF799" s="545"/>
      <c r="BG799" s="326"/>
      <c r="BH799" s="326"/>
      <c r="BI799" s="327"/>
      <c r="BJ799" s="557" t="s">
        <v>303</v>
      </c>
      <c r="BK799" s="326"/>
      <c r="BL799" s="326"/>
      <c r="BM799" s="327"/>
      <c r="BN799" s="558" t="s">
        <v>303</v>
      </c>
      <c r="BO799" s="326"/>
      <c r="BP799" s="326"/>
      <c r="BQ799" s="326"/>
      <c r="BR799" s="326"/>
      <c r="BS799" s="326"/>
      <c r="BT799" s="326"/>
      <c r="BU799" s="326"/>
      <c r="BV799" s="327"/>
    </row>
    <row r="800" spans="1:74" ht="45" customHeight="1" x14ac:dyDescent="0.25">
      <c r="A800" s="10">
        <f t="shared" si="3"/>
        <v>786</v>
      </c>
      <c r="B800" s="564" t="s">
        <v>303</v>
      </c>
      <c r="C800" s="327"/>
      <c r="D800" s="565" t="s">
        <v>307</v>
      </c>
      <c r="E800" s="327"/>
      <c r="F800" s="537" t="s">
        <v>334</v>
      </c>
      <c r="G800" s="327"/>
      <c r="H800" s="561" t="s">
        <v>334</v>
      </c>
      <c r="I800" s="327"/>
      <c r="J800" s="562"/>
      <c r="K800" s="327"/>
      <c r="L800" s="562"/>
      <c r="M800" s="327"/>
      <c r="N800" s="23"/>
      <c r="O800" s="21"/>
      <c r="P800" s="563"/>
      <c r="Q800" s="327"/>
      <c r="R800" s="516"/>
      <c r="S800" s="327"/>
      <c r="T800" s="517"/>
      <c r="U800" s="327"/>
      <c r="V800" s="518"/>
      <c r="W800" s="327"/>
      <c r="X800" s="438" t="s">
        <v>303</v>
      </c>
      <c r="Y800" s="326"/>
      <c r="Z800" s="326"/>
      <c r="AA800" s="327"/>
      <c r="AB800" s="519" t="s">
        <v>303</v>
      </c>
      <c r="AC800" s="326"/>
      <c r="AD800" s="326"/>
      <c r="AE800" s="327"/>
      <c r="AF800" s="520"/>
      <c r="AG800" s="327"/>
      <c r="AH800" s="520"/>
      <c r="AI800" s="327"/>
      <c r="AJ800" s="536"/>
      <c r="AK800" s="327"/>
      <c r="AL800" s="556" t="s">
        <v>334</v>
      </c>
      <c r="AM800" s="327"/>
      <c r="AN800" s="553" t="s">
        <v>334</v>
      </c>
      <c r="AO800" s="327"/>
      <c r="AP800" s="554"/>
      <c r="AQ800" s="327"/>
      <c r="AR800" s="555"/>
      <c r="AS800" s="327"/>
      <c r="AT800" s="549"/>
      <c r="AU800" s="327"/>
      <c r="AV800" s="553" t="s">
        <v>334</v>
      </c>
      <c r="AW800" s="327"/>
      <c r="AX800" s="521"/>
      <c r="AY800" s="326"/>
      <c r="AZ800" s="327"/>
      <c r="BA800" s="536"/>
      <c r="BB800" s="327"/>
      <c r="BC800" s="22"/>
      <c r="BD800" s="551" t="s">
        <v>334</v>
      </c>
      <c r="BE800" s="327"/>
      <c r="BF800" s="552"/>
      <c r="BG800" s="326"/>
      <c r="BH800" s="326"/>
      <c r="BI800" s="327"/>
      <c r="BJ800" s="451" t="s">
        <v>303</v>
      </c>
      <c r="BK800" s="326"/>
      <c r="BL800" s="326"/>
      <c r="BM800" s="327"/>
      <c r="BN800" s="558" t="s">
        <v>303</v>
      </c>
      <c r="BO800" s="326"/>
      <c r="BP800" s="326"/>
      <c r="BQ800" s="326"/>
      <c r="BR800" s="326"/>
      <c r="BS800" s="326"/>
      <c r="BT800" s="326"/>
      <c r="BU800" s="326"/>
      <c r="BV800" s="327"/>
    </row>
    <row r="801" spans="1:74" ht="45" customHeight="1" x14ac:dyDescent="0.25">
      <c r="A801" s="10">
        <f t="shared" si="3"/>
        <v>787</v>
      </c>
      <c r="B801" s="559" t="s">
        <v>303</v>
      </c>
      <c r="C801" s="327"/>
      <c r="D801" s="560" t="s">
        <v>307</v>
      </c>
      <c r="E801" s="327"/>
      <c r="F801" s="537" t="s">
        <v>334</v>
      </c>
      <c r="G801" s="327"/>
      <c r="H801" s="566" t="s">
        <v>334</v>
      </c>
      <c r="I801" s="327"/>
      <c r="J801" s="567"/>
      <c r="K801" s="327"/>
      <c r="L801" s="567"/>
      <c r="M801" s="327"/>
      <c r="N801" s="20"/>
      <c r="O801" s="24"/>
      <c r="P801" s="524"/>
      <c r="Q801" s="327"/>
      <c r="R801" s="538"/>
      <c r="S801" s="327"/>
      <c r="T801" s="539"/>
      <c r="U801" s="327"/>
      <c r="V801" s="540"/>
      <c r="W801" s="327"/>
      <c r="X801" s="541" t="s">
        <v>303</v>
      </c>
      <c r="Y801" s="326"/>
      <c r="Z801" s="326"/>
      <c r="AA801" s="327"/>
      <c r="AB801" s="542" t="s">
        <v>303</v>
      </c>
      <c r="AC801" s="326"/>
      <c r="AD801" s="326"/>
      <c r="AE801" s="327"/>
      <c r="AF801" s="543"/>
      <c r="AG801" s="327"/>
      <c r="AH801" s="543"/>
      <c r="AI801" s="327"/>
      <c r="AJ801" s="536"/>
      <c r="AK801" s="327"/>
      <c r="AL801" s="537" t="s">
        <v>334</v>
      </c>
      <c r="AM801" s="327"/>
      <c r="AN801" s="546" t="s">
        <v>334</v>
      </c>
      <c r="AO801" s="327"/>
      <c r="AP801" s="547"/>
      <c r="AQ801" s="327"/>
      <c r="AR801" s="548"/>
      <c r="AS801" s="327"/>
      <c r="AT801" s="568"/>
      <c r="AU801" s="327"/>
      <c r="AV801" s="546" t="s">
        <v>334</v>
      </c>
      <c r="AW801" s="327"/>
      <c r="AX801" s="521"/>
      <c r="AY801" s="326"/>
      <c r="AZ801" s="327"/>
      <c r="BA801" s="550"/>
      <c r="BB801" s="327"/>
      <c r="BC801" s="25"/>
      <c r="BD801" s="544" t="s">
        <v>334</v>
      </c>
      <c r="BE801" s="327"/>
      <c r="BF801" s="545"/>
      <c r="BG801" s="326"/>
      <c r="BH801" s="326"/>
      <c r="BI801" s="327"/>
      <c r="BJ801" s="557" t="s">
        <v>303</v>
      </c>
      <c r="BK801" s="326"/>
      <c r="BL801" s="326"/>
      <c r="BM801" s="327"/>
      <c r="BN801" s="558" t="s">
        <v>303</v>
      </c>
      <c r="BO801" s="326"/>
      <c r="BP801" s="326"/>
      <c r="BQ801" s="326"/>
      <c r="BR801" s="326"/>
      <c r="BS801" s="326"/>
      <c r="BT801" s="326"/>
      <c r="BU801" s="326"/>
      <c r="BV801" s="327"/>
    </row>
    <row r="802" spans="1:74" ht="45" customHeight="1" x14ac:dyDescent="0.25">
      <c r="A802" s="10">
        <f t="shared" si="3"/>
        <v>788</v>
      </c>
      <c r="B802" s="564" t="s">
        <v>303</v>
      </c>
      <c r="C802" s="327"/>
      <c r="D802" s="565" t="s">
        <v>307</v>
      </c>
      <c r="E802" s="327"/>
      <c r="F802" s="537" t="s">
        <v>334</v>
      </c>
      <c r="G802" s="327"/>
      <c r="H802" s="561" t="s">
        <v>334</v>
      </c>
      <c r="I802" s="327"/>
      <c r="J802" s="562"/>
      <c r="K802" s="327"/>
      <c r="L802" s="562"/>
      <c r="M802" s="327"/>
      <c r="N802" s="23"/>
      <c r="O802" s="21"/>
      <c r="P802" s="563"/>
      <c r="Q802" s="327"/>
      <c r="R802" s="516"/>
      <c r="S802" s="327"/>
      <c r="T802" s="517"/>
      <c r="U802" s="327"/>
      <c r="V802" s="518"/>
      <c r="W802" s="327"/>
      <c r="X802" s="438" t="s">
        <v>303</v>
      </c>
      <c r="Y802" s="326"/>
      <c r="Z802" s="326"/>
      <c r="AA802" s="327"/>
      <c r="AB802" s="519" t="s">
        <v>303</v>
      </c>
      <c r="AC802" s="326"/>
      <c r="AD802" s="326"/>
      <c r="AE802" s="327"/>
      <c r="AF802" s="520"/>
      <c r="AG802" s="327"/>
      <c r="AH802" s="520"/>
      <c r="AI802" s="327"/>
      <c r="AJ802" s="536"/>
      <c r="AK802" s="327"/>
      <c r="AL802" s="556" t="s">
        <v>334</v>
      </c>
      <c r="AM802" s="327"/>
      <c r="AN802" s="553" t="s">
        <v>334</v>
      </c>
      <c r="AO802" s="327"/>
      <c r="AP802" s="554"/>
      <c r="AQ802" s="327"/>
      <c r="AR802" s="555"/>
      <c r="AS802" s="327"/>
      <c r="AT802" s="549"/>
      <c r="AU802" s="327"/>
      <c r="AV802" s="553" t="s">
        <v>334</v>
      </c>
      <c r="AW802" s="327"/>
      <c r="AX802" s="521"/>
      <c r="AY802" s="326"/>
      <c r="AZ802" s="327"/>
      <c r="BA802" s="536"/>
      <c r="BB802" s="327"/>
      <c r="BC802" s="22"/>
      <c r="BD802" s="551" t="s">
        <v>334</v>
      </c>
      <c r="BE802" s="327"/>
      <c r="BF802" s="552"/>
      <c r="BG802" s="326"/>
      <c r="BH802" s="326"/>
      <c r="BI802" s="327"/>
      <c r="BJ802" s="451" t="s">
        <v>303</v>
      </c>
      <c r="BK802" s="326"/>
      <c r="BL802" s="326"/>
      <c r="BM802" s="327"/>
      <c r="BN802" s="558" t="s">
        <v>303</v>
      </c>
      <c r="BO802" s="326"/>
      <c r="BP802" s="326"/>
      <c r="BQ802" s="326"/>
      <c r="BR802" s="326"/>
      <c r="BS802" s="326"/>
      <c r="BT802" s="326"/>
      <c r="BU802" s="326"/>
      <c r="BV802" s="327"/>
    </row>
    <row r="803" spans="1:74" ht="45" customHeight="1" x14ac:dyDescent="0.25">
      <c r="A803" s="10">
        <f t="shared" si="3"/>
        <v>789</v>
      </c>
      <c r="B803" s="559" t="s">
        <v>303</v>
      </c>
      <c r="C803" s="327"/>
      <c r="D803" s="560" t="s">
        <v>307</v>
      </c>
      <c r="E803" s="327"/>
      <c r="F803" s="537" t="s">
        <v>334</v>
      </c>
      <c r="G803" s="327"/>
      <c r="H803" s="566" t="s">
        <v>334</v>
      </c>
      <c r="I803" s="327"/>
      <c r="J803" s="567"/>
      <c r="K803" s="327"/>
      <c r="L803" s="567"/>
      <c r="M803" s="327"/>
      <c r="N803" s="20"/>
      <c r="O803" s="24"/>
      <c r="P803" s="524"/>
      <c r="Q803" s="327"/>
      <c r="R803" s="538"/>
      <c r="S803" s="327"/>
      <c r="T803" s="539"/>
      <c r="U803" s="327"/>
      <c r="V803" s="540"/>
      <c r="W803" s="327"/>
      <c r="X803" s="541" t="s">
        <v>303</v>
      </c>
      <c r="Y803" s="326"/>
      <c r="Z803" s="326"/>
      <c r="AA803" s="327"/>
      <c r="AB803" s="542" t="s">
        <v>303</v>
      </c>
      <c r="AC803" s="326"/>
      <c r="AD803" s="326"/>
      <c r="AE803" s="327"/>
      <c r="AF803" s="543"/>
      <c r="AG803" s="327"/>
      <c r="AH803" s="543"/>
      <c r="AI803" s="327"/>
      <c r="AJ803" s="536"/>
      <c r="AK803" s="327"/>
      <c r="AL803" s="537" t="s">
        <v>334</v>
      </c>
      <c r="AM803" s="327"/>
      <c r="AN803" s="546" t="s">
        <v>334</v>
      </c>
      <c r="AO803" s="327"/>
      <c r="AP803" s="547"/>
      <c r="AQ803" s="327"/>
      <c r="AR803" s="548"/>
      <c r="AS803" s="327"/>
      <c r="AT803" s="568"/>
      <c r="AU803" s="327"/>
      <c r="AV803" s="546" t="s">
        <v>334</v>
      </c>
      <c r="AW803" s="327"/>
      <c r="AX803" s="521"/>
      <c r="AY803" s="326"/>
      <c r="AZ803" s="327"/>
      <c r="BA803" s="550"/>
      <c r="BB803" s="327"/>
      <c r="BC803" s="25"/>
      <c r="BD803" s="544" t="s">
        <v>334</v>
      </c>
      <c r="BE803" s="327"/>
      <c r="BF803" s="545"/>
      <c r="BG803" s="326"/>
      <c r="BH803" s="326"/>
      <c r="BI803" s="327"/>
      <c r="BJ803" s="557" t="s">
        <v>303</v>
      </c>
      <c r="BK803" s="326"/>
      <c r="BL803" s="326"/>
      <c r="BM803" s="327"/>
      <c r="BN803" s="558" t="s">
        <v>303</v>
      </c>
      <c r="BO803" s="326"/>
      <c r="BP803" s="326"/>
      <c r="BQ803" s="326"/>
      <c r="BR803" s="326"/>
      <c r="BS803" s="326"/>
      <c r="BT803" s="326"/>
      <c r="BU803" s="326"/>
      <c r="BV803" s="327"/>
    </row>
    <row r="804" spans="1:74" ht="45" customHeight="1" x14ac:dyDescent="0.25">
      <c r="A804" s="10">
        <f t="shared" si="3"/>
        <v>790</v>
      </c>
      <c r="B804" s="564" t="s">
        <v>303</v>
      </c>
      <c r="C804" s="327"/>
      <c r="D804" s="565" t="s">
        <v>307</v>
      </c>
      <c r="E804" s="327"/>
      <c r="F804" s="537" t="s">
        <v>334</v>
      </c>
      <c r="G804" s="327"/>
      <c r="H804" s="561" t="s">
        <v>334</v>
      </c>
      <c r="I804" s="327"/>
      <c r="J804" s="562"/>
      <c r="K804" s="327"/>
      <c r="L804" s="562"/>
      <c r="M804" s="327"/>
      <c r="N804" s="23"/>
      <c r="O804" s="21"/>
      <c r="P804" s="563"/>
      <c r="Q804" s="327"/>
      <c r="R804" s="516"/>
      <c r="S804" s="327"/>
      <c r="T804" s="517"/>
      <c r="U804" s="327"/>
      <c r="V804" s="518"/>
      <c r="W804" s="327"/>
      <c r="X804" s="438" t="s">
        <v>303</v>
      </c>
      <c r="Y804" s="326"/>
      <c r="Z804" s="326"/>
      <c r="AA804" s="327"/>
      <c r="AB804" s="519" t="s">
        <v>303</v>
      </c>
      <c r="AC804" s="326"/>
      <c r="AD804" s="326"/>
      <c r="AE804" s="327"/>
      <c r="AF804" s="520"/>
      <c r="AG804" s="327"/>
      <c r="AH804" s="520"/>
      <c r="AI804" s="327"/>
      <c r="AJ804" s="536"/>
      <c r="AK804" s="327"/>
      <c r="AL804" s="556" t="s">
        <v>334</v>
      </c>
      <c r="AM804" s="327"/>
      <c r="AN804" s="553" t="s">
        <v>334</v>
      </c>
      <c r="AO804" s="327"/>
      <c r="AP804" s="554"/>
      <c r="AQ804" s="327"/>
      <c r="AR804" s="555"/>
      <c r="AS804" s="327"/>
      <c r="AT804" s="549"/>
      <c r="AU804" s="327"/>
      <c r="AV804" s="553" t="s">
        <v>334</v>
      </c>
      <c r="AW804" s="327"/>
      <c r="AX804" s="521"/>
      <c r="AY804" s="326"/>
      <c r="AZ804" s="327"/>
      <c r="BA804" s="536"/>
      <c r="BB804" s="327"/>
      <c r="BC804" s="22"/>
      <c r="BD804" s="551" t="s">
        <v>334</v>
      </c>
      <c r="BE804" s="327"/>
      <c r="BF804" s="508"/>
      <c r="BG804" s="326"/>
      <c r="BH804" s="326"/>
      <c r="BI804" s="327"/>
      <c r="BJ804" s="451" t="s">
        <v>303</v>
      </c>
      <c r="BK804" s="326"/>
      <c r="BL804" s="326"/>
      <c r="BM804" s="327"/>
      <c r="BN804" s="558" t="s">
        <v>303</v>
      </c>
      <c r="BO804" s="326"/>
      <c r="BP804" s="326"/>
      <c r="BQ804" s="326"/>
      <c r="BR804" s="326"/>
      <c r="BS804" s="326"/>
      <c r="BT804" s="326"/>
      <c r="BU804" s="326"/>
      <c r="BV804" s="327"/>
    </row>
    <row r="805" spans="1:74" ht="45" customHeight="1" x14ac:dyDescent="0.25">
      <c r="A805" s="10">
        <f t="shared" si="3"/>
        <v>791</v>
      </c>
      <c r="B805" s="559" t="s">
        <v>303</v>
      </c>
      <c r="C805" s="327"/>
      <c r="D805" s="560" t="s">
        <v>307</v>
      </c>
      <c r="E805" s="327"/>
      <c r="F805" s="537" t="s">
        <v>334</v>
      </c>
      <c r="G805" s="327"/>
      <c r="H805" s="566" t="s">
        <v>334</v>
      </c>
      <c r="I805" s="327"/>
      <c r="J805" s="567"/>
      <c r="K805" s="327"/>
      <c r="L805" s="567"/>
      <c r="M805" s="327"/>
      <c r="N805" s="20"/>
      <c r="O805" s="24"/>
      <c r="P805" s="524"/>
      <c r="Q805" s="327"/>
      <c r="R805" s="538"/>
      <c r="S805" s="327"/>
      <c r="T805" s="539"/>
      <c r="U805" s="327"/>
      <c r="V805" s="540"/>
      <c r="W805" s="327"/>
      <c r="X805" s="541" t="s">
        <v>303</v>
      </c>
      <c r="Y805" s="326"/>
      <c r="Z805" s="326"/>
      <c r="AA805" s="327"/>
      <c r="AB805" s="542" t="s">
        <v>303</v>
      </c>
      <c r="AC805" s="326"/>
      <c r="AD805" s="326"/>
      <c r="AE805" s="327"/>
      <c r="AF805" s="543"/>
      <c r="AG805" s="327"/>
      <c r="AH805" s="543"/>
      <c r="AI805" s="327"/>
      <c r="AJ805" s="536"/>
      <c r="AK805" s="327"/>
      <c r="AL805" s="537" t="s">
        <v>334</v>
      </c>
      <c r="AM805" s="327"/>
      <c r="AN805" s="546" t="s">
        <v>334</v>
      </c>
      <c r="AO805" s="327"/>
      <c r="AP805" s="547"/>
      <c r="AQ805" s="327"/>
      <c r="AR805" s="548"/>
      <c r="AS805" s="327"/>
      <c r="AT805" s="568"/>
      <c r="AU805" s="327"/>
      <c r="AV805" s="546" t="s">
        <v>334</v>
      </c>
      <c r="AW805" s="327"/>
      <c r="AX805" s="521"/>
      <c r="AY805" s="326"/>
      <c r="AZ805" s="327"/>
      <c r="BA805" s="550"/>
      <c r="BB805" s="327"/>
      <c r="BC805" s="25"/>
      <c r="BD805" s="544" t="s">
        <v>334</v>
      </c>
      <c r="BE805" s="327"/>
      <c r="BF805" s="545"/>
      <c r="BG805" s="326"/>
      <c r="BH805" s="326"/>
      <c r="BI805" s="327"/>
      <c r="BJ805" s="557" t="s">
        <v>303</v>
      </c>
      <c r="BK805" s="326"/>
      <c r="BL805" s="326"/>
      <c r="BM805" s="327"/>
      <c r="BN805" s="558" t="s">
        <v>303</v>
      </c>
      <c r="BO805" s="326"/>
      <c r="BP805" s="326"/>
      <c r="BQ805" s="326"/>
      <c r="BR805" s="326"/>
      <c r="BS805" s="326"/>
      <c r="BT805" s="326"/>
      <c r="BU805" s="326"/>
      <c r="BV805" s="327"/>
    </row>
    <row r="806" spans="1:74" ht="45" customHeight="1" x14ac:dyDescent="0.25">
      <c r="A806" s="10">
        <f t="shared" si="3"/>
        <v>792</v>
      </c>
      <c r="B806" s="564" t="s">
        <v>303</v>
      </c>
      <c r="C806" s="327"/>
      <c r="D806" s="565" t="s">
        <v>307</v>
      </c>
      <c r="E806" s="327"/>
      <c r="F806" s="537" t="s">
        <v>334</v>
      </c>
      <c r="G806" s="327"/>
      <c r="H806" s="561" t="s">
        <v>334</v>
      </c>
      <c r="I806" s="327"/>
      <c r="J806" s="26"/>
      <c r="K806" s="27"/>
      <c r="L806" s="26"/>
      <c r="M806" s="27"/>
      <c r="N806" s="23"/>
      <c r="O806" s="21"/>
      <c r="P806" s="563"/>
      <c r="Q806" s="327"/>
      <c r="R806" s="516"/>
      <c r="S806" s="327"/>
      <c r="T806" s="517"/>
      <c r="U806" s="327"/>
      <c r="V806" s="518"/>
      <c r="W806" s="327"/>
      <c r="X806" s="438" t="s">
        <v>303</v>
      </c>
      <c r="Y806" s="326"/>
      <c r="Z806" s="326"/>
      <c r="AA806" s="327"/>
      <c r="AB806" s="519" t="s">
        <v>303</v>
      </c>
      <c r="AC806" s="326"/>
      <c r="AD806" s="326"/>
      <c r="AE806" s="327"/>
      <c r="AF806" s="520"/>
      <c r="AG806" s="327"/>
      <c r="AH806" s="520"/>
      <c r="AI806" s="327"/>
      <c r="AJ806" s="536"/>
      <c r="AK806" s="327"/>
      <c r="AL806" s="556" t="s">
        <v>334</v>
      </c>
      <c r="AM806" s="327"/>
      <c r="AN806" s="553" t="s">
        <v>334</v>
      </c>
      <c r="AO806" s="327"/>
      <c r="AP806" s="554"/>
      <c r="AQ806" s="327"/>
      <c r="AR806" s="555"/>
      <c r="AS806" s="327"/>
      <c r="AT806" s="549"/>
      <c r="AU806" s="327"/>
      <c r="AV806" s="553" t="s">
        <v>334</v>
      </c>
      <c r="AW806" s="327"/>
      <c r="AX806" s="521"/>
      <c r="AY806" s="326"/>
      <c r="AZ806" s="327"/>
      <c r="BA806" s="536"/>
      <c r="BB806" s="327"/>
      <c r="BC806" s="22"/>
      <c r="BD806" s="551" t="s">
        <v>334</v>
      </c>
      <c r="BE806" s="327"/>
      <c r="BF806" s="552"/>
      <c r="BG806" s="326"/>
      <c r="BH806" s="326"/>
      <c r="BI806" s="327"/>
      <c r="BJ806" s="451" t="s">
        <v>303</v>
      </c>
      <c r="BK806" s="326"/>
      <c r="BL806" s="326"/>
      <c r="BM806" s="327"/>
      <c r="BN806" s="558" t="s">
        <v>303</v>
      </c>
      <c r="BO806" s="326"/>
      <c r="BP806" s="326"/>
      <c r="BQ806" s="326"/>
      <c r="BR806" s="326"/>
      <c r="BS806" s="326"/>
      <c r="BT806" s="326"/>
      <c r="BU806" s="326"/>
      <c r="BV806" s="327"/>
    </row>
    <row r="807" spans="1:74" ht="45" customHeight="1" x14ac:dyDescent="0.25">
      <c r="A807" s="10">
        <f t="shared" si="3"/>
        <v>793</v>
      </c>
      <c r="B807" s="564" t="s">
        <v>303</v>
      </c>
      <c r="C807" s="327"/>
      <c r="D807" s="565" t="s">
        <v>307</v>
      </c>
      <c r="E807" s="327"/>
      <c r="F807" s="537" t="s">
        <v>334</v>
      </c>
      <c r="G807" s="327"/>
      <c r="H807" s="566" t="s">
        <v>334</v>
      </c>
      <c r="I807" s="327"/>
      <c r="J807" s="567"/>
      <c r="K807" s="327"/>
      <c r="L807" s="567"/>
      <c r="M807" s="327"/>
      <c r="N807" s="23"/>
      <c r="O807" s="21"/>
      <c r="P807" s="563"/>
      <c r="Q807" s="327"/>
      <c r="R807" s="516"/>
      <c r="S807" s="327"/>
      <c r="T807" s="517"/>
      <c r="U807" s="327"/>
      <c r="V807" s="518"/>
      <c r="W807" s="327"/>
      <c r="X807" s="438" t="s">
        <v>303</v>
      </c>
      <c r="Y807" s="326"/>
      <c r="Z807" s="326"/>
      <c r="AA807" s="327"/>
      <c r="AB807" s="519" t="s">
        <v>303</v>
      </c>
      <c r="AC807" s="326"/>
      <c r="AD807" s="326"/>
      <c r="AE807" s="327"/>
      <c r="AF807" s="520"/>
      <c r="AG807" s="327"/>
      <c r="AH807" s="520"/>
      <c r="AI807" s="327"/>
      <c r="AJ807" s="536"/>
      <c r="AK807" s="327"/>
      <c r="AL807" s="556" t="s">
        <v>334</v>
      </c>
      <c r="AM807" s="327"/>
      <c r="AN807" s="553" t="s">
        <v>334</v>
      </c>
      <c r="AO807" s="327"/>
      <c r="AP807" s="554"/>
      <c r="AQ807" s="327"/>
      <c r="AR807" s="555"/>
      <c r="AS807" s="327"/>
      <c r="AT807" s="549"/>
      <c r="AU807" s="327"/>
      <c r="AV807" s="553" t="s">
        <v>334</v>
      </c>
      <c r="AW807" s="327"/>
      <c r="AX807" s="521"/>
      <c r="AY807" s="326"/>
      <c r="AZ807" s="327"/>
      <c r="BA807" s="536"/>
      <c r="BB807" s="327"/>
      <c r="BC807" s="22"/>
      <c r="BD807" s="551" t="s">
        <v>334</v>
      </c>
      <c r="BE807" s="327"/>
      <c r="BF807" s="508"/>
      <c r="BG807" s="326"/>
      <c r="BH807" s="326"/>
      <c r="BI807" s="327"/>
      <c r="BJ807" s="451" t="s">
        <v>303</v>
      </c>
      <c r="BK807" s="326"/>
      <c r="BL807" s="326"/>
      <c r="BM807" s="327"/>
      <c r="BN807" s="558" t="s">
        <v>303</v>
      </c>
      <c r="BO807" s="326"/>
      <c r="BP807" s="326"/>
      <c r="BQ807" s="326"/>
      <c r="BR807" s="326"/>
      <c r="BS807" s="326"/>
      <c r="BT807" s="326"/>
      <c r="BU807" s="326"/>
      <c r="BV807" s="327"/>
    </row>
    <row r="808" spans="1:74" ht="45" customHeight="1" x14ac:dyDescent="0.25">
      <c r="A808" s="10">
        <f t="shared" si="3"/>
        <v>794</v>
      </c>
      <c r="B808" s="559" t="s">
        <v>303</v>
      </c>
      <c r="C808" s="327"/>
      <c r="D808" s="560" t="s">
        <v>307</v>
      </c>
      <c r="E808" s="327"/>
      <c r="F808" s="537" t="s">
        <v>334</v>
      </c>
      <c r="G808" s="327"/>
      <c r="H808" s="561" t="s">
        <v>334</v>
      </c>
      <c r="I808" s="327"/>
      <c r="J808" s="26"/>
      <c r="K808" s="27"/>
      <c r="L808" s="26"/>
      <c r="M808" s="27"/>
      <c r="N808" s="20"/>
      <c r="O808" s="24"/>
      <c r="P808" s="524"/>
      <c r="Q808" s="327"/>
      <c r="R808" s="538"/>
      <c r="S808" s="327"/>
      <c r="T808" s="539"/>
      <c r="U808" s="327"/>
      <c r="V808" s="540"/>
      <c r="W808" s="327"/>
      <c r="X808" s="541" t="s">
        <v>303</v>
      </c>
      <c r="Y808" s="326"/>
      <c r="Z808" s="326"/>
      <c r="AA808" s="327"/>
      <c r="AB808" s="542" t="s">
        <v>303</v>
      </c>
      <c r="AC808" s="326"/>
      <c r="AD808" s="326"/>
      <c r="AE808" s="327"/>
      <c r="AF808" s="543"/>
      <c r="AG808" s="327"/>
      <c r="AH808" s="543"/>
      <c r="AI808" s="327"/>
      <c r="AJ808" s="536"/>
      <c r="AK808" s="327"/>
      <c r="AL808" s="537" t="s">
        <v>334</v>
      </c>
      <c r="AM808" s="327"/>
      <c r="AN808" s="546" t="s">
        <v>334</v>
      </c>
      <c r="AO808" s="327"/>
      <c r="AP808" s="547"/>
      <c r="AQ808" s="327"/>
      <c r="AR808" s="548"/>
      <c r="AS808" s="327"/>
      <c r="AT808" s="568"/>
      <c r="AU808" s="327"/>
      <c r="AV808" s="546" t="s">
        <v>334</v>
      </c>
      <c r="AW808" s="327"/>
      <c r="AX808" s="521"/>
      <c r="AY808" s="326"/>
      <c r="AZ808" s="327"/>
      <c r="BA808" s="550"/>
      <c r="BB808" s="327"/>
      <c r="BC808" s="25"/>
      <c r="BD808" s="544" t="s">
        <v>334</v>
      </c>
      <c r="BE808" s="327"/>
      <c r="BF808" s="545"/>
      <c r="BG808" s="326"/>
      <c r="BH808" s="326"/>
      <c r="BI808" s="327"/>
      <c r="BJ808" s="557" t="s">
        <v>303</v>
      </c>
      <c r="BK808" s="326"/>
      <c r="BL808" s="326"/>
      <c r="BM808" s="327"/>
      <c r="BN808" s="558" t="s">
        <v>303</v>
      </c>
      <c r="BO808" s="326"/>
      <c r="BP808" s="326"/>
      <c r="BQ808" s="326"/>
      <c r="BR808" s="326"/>
      <c r="BS808" s="326"/>
      <c r="BT808" s="326"/>
      <c r="BU808" s="326"/>
      <c r="BV808" s="327"/>
    </row>
    <row r="809" spans="1:74" ht="45" customHeight="1" x14ac:dyDescent="0.25">
      <c r="A809" s="10">
        <f t="shared" si="3"/>
        <v>795</v>
      </c>
      <c r="B809" s="564" t="s">
        <v>303</v>
      </c>
      <c r="C809" s="327"/>
      <c r="D809" s="565" t="s">
        <v>307</v>
      </c>
      <c r="E809" s="327"/>
      <c r="F809" s="537" t="s">
        <v>334</v>
      </c>
      <c r="G809" s="327"/>
      <c r="H809" s="566" t="s">
        <v>334</v>
      </c>
      <c r="I809" s="327"/>
      <c r="J809" s="567"/>
      <c r="K809" s="327"/>
      <c r="L809" s="567"/>
      <c r="M809" s="327"/>
      <c r="N809" s="23"/>
      <c r="O809" s="21"/>
      <c r="P809" s="563"/>
      <c r="Q809" s="327"/>
      <c r="R809" s="516"/>
      <c r="S809" s="327"/>
      <c r="T809" s="517"/>
      <c r="U809" s="327"/>
      <c r="V809" s="518"/>
      <c r="W809" s="327"/>
      <c r="X809" s="438" t="s">
        <v>303</v>
      </c>
      <c r="Y809" s="326"/>
      <c r="Z809" s="326"/>
      <c r="AA809" s="327"/>
      <c r="AB809" s="519" t="s">
        <v>303</v>
      </c>
      <c r="AC809" s="326"/>
      <c r="AD809" s="326"/>
      <c r="AE809" s="327"/>
      <c r="AF809" s="520"/>
      <c r="AG809" s="327"/>
      <c r="AH809" s="520"/>
      <c r="AI809" s="327"/>
      <c r="AJ809" s="536"/>
      <c r="AK809" s="327"/>
      <c r="AL809" s="556" t="s">
        <v>334</v>
      </c>
      <c r="AM809" s="327"/>
      <c r="AN809" s="553" t="s">
        <v>334</v>
      </c>
      <c r="AO809" s="327"/>
      <c r="AP809" s="554"/>
      <c r="AQ809" s="327"/>
      <c r="AR809" s="555"/>
      <c r="AS809" s="327"/>
      <c r="AT809" s="549"/>
      <c r="AU809" s="327"/>
      <c r="AV809" s="553" t="s">
        <v>334</v>
      </c>
      <c r="AW809" s="327"/>
      <c r="AX809" s="521"/>
      <c r="AY809" s="326"/>
      <c r="AZ809" s="327"/>
      <c r="BA809" s="536"/>
      <c r="BB809" s="327"/>
      <c r="BC809" s="22"/>
      <c r="BD809" s="551" t="s">
        <v>334</v>
      </c>
      <c r="BE809" s="327"/>
      <c r="BF809" s="552"/>
      <c r="BG809" s="326"/>
      <c r="BH809" s="326"/>
      <c r="BI809" s="327"/>
      <c r="BJ809" s="451" t="s">
        <v>303</v>
      </c>
      <c r="BK809" s="326"/>
      <c r="BL809" s="326"/>
      <c r="BM809" s="327"/>
      <c r="BN809" s="558" t="s">
        <v>303</v>
      </c>
      <c r="BO809" s="326"/>
      <c r="BP809" s="326"/>
      <c r="BQ809" s="326"/>
      <c r="BR809" s="326"/>
      <c r="BS809" s="326"/>
      <c r="BT809" s="326"/>
      <c r="BU809" s="326"/>
      <c r="BV809" s="327"/>
    </row>
    <row r="810" spans="1:74" ht="45" customHeight="1" x14ac:dyDescent="0.25">
      <c r="A810" s="10">
        <f t="shared" si="3"/>
        <v>796</v>
      </c>
      <c r="B810" s="564" t="s">
        <v>303</v>
      </c>
      <c r="C810" s="327"/>
      <c r="D810" s="565" t="s">
        <v>307</v>
      </c>
      <c r="E810" s="327"/>
      <c r="F810" s="537" t="s">
        <v>334</v>
      </c>
      <c r="G810" s="327"/>
      <c r="H810" s="561" t="s">
        <v>334</v>
      </c>
      <c r="I810" s="327"/>
      <c r="J810" s="26"/>
      <c r="K810" s="27"/>
      <c r="L810" s="26"/>
      <c r="M810" s="27"/>
      <c r="N810" s="20"/>
      <c r="O810" s="21"/>
      <c r="P810" s="524"/>
      <c r="Q810" s="327"/>
      <c r="R810" s="516"/>
      <c r="S810" s="327"/>
      <c r="T810" s="517"/>
      <c r="U810" s="327"/>
      <c r="V810" s="518"/>
      <c r="W810" s="327"/>
      <c r="X810" s="438" t="s">
        <v>303</v>
      </c>
      <c r="Y810" s="326"/>
      <c r="Z810" s="326"/>
      <c r="AA810" s="327"/>
      <c r="AB810" s="519" t="s">
        <v>303</v>
      </c>
      <c r="AC810" s="326"/>
      <c r="AD810" s="326"/>
      <c r="AE810" s="327"/>
      <c r="AF810" s="520"/>
      <c r="AG810" s="327"/>
      <c r="AH810" s="520"/>
      <c r="AI810" s="327"/>
      <c r="AJ810" s="536"/>
      <c r="AK810" s="327"/>
      <c r="AL810" s="556" t="s">
        <v>334</v>
      </c>
      <c r="AM810" s="327"/>
      <c r="AN810" s="553" t="s">
        <v>334</v>
      </c>
      <c r="AO810" s="327"/>
      <c r="AP810" s="554"/>
      <c r="AQ810" s="327"/>
      <c r="AR810" s="555"/>
      <c r="AS810" s="327"/>
      <c r="AT810" s="549"/>
      <c r="AU810" s="327"/>
      <c r="AV810" s="553" t="s">
        <v>334</v>
      </c>
      <c r="AW810" s="327"/>
      <c r="AX810" s="521"/>
      <c r="AY810" s="326"/>
      <c r="AZ810" s="327"/>
      <c r="BA810" s="536"/>
      <c r="BB810" s="327"/>
      <c r="BC810" s="22"/>
      <c r="BD810" s="551" t="s">
        <v>334</v>
      </c>
      <c r="BE810" s="327"/>
      <c r="BF810" s="508"/>
      <c r="BG810" s="326"/>
      <c r="BH810" s="326"/>
      <c r="BI810" s="327"/>
      <c r="BJ810" s="451" t="s">
        <v>303</v>
      </c>
      <c r="BK810" s="326"/>
      <c r="BL810" s="326"/>
      <c r="BM810" s="327"/>
      <c r="BN810" s="558" t="s">
        <v>303</v>
      </c>
      <c r="BO810" s="326"/>
      <c r="BP810" s="326"/>
      <c r="BQ810" s="326"/>
      <c r="BR810" s="326"/>
      <c r="BS810" s="326"/>
      <c r="BT810" s="326"/>
      <c r="BU810" s="326"/>
      <c r="BV810" s="327"/>
    </row>
    <row r="811" spans="1:74" ht="45" customHeight="1" x14ac:dyDescent="0.25">
      <c r="A811" s="10">
        <f t="shared" si="3"/>
        <v>797</v>
      </c>
      <c r="B811" s="559" t="s">
        <v>303</v>
      </c>
      <c r="C811" s="327"/>
      <c r="D811" s="560" t="s">
        <v>307</v>
      </c>
      <c r="E811" s="327"/>
      <c r="F811" s="537" t="s">
        <v>334</v>
      </c>
      <c r="G811" s="327"/>
      <c r="H811" s="566" t="s">
        <v>334</v>
      </c>
      <c r="I811" s="327"/>
      <c r="J811" s="567"/>
      <c r="K811" s="327"/>
      <c r="L811" s="567"/>
      <c r="M811" s="327"/>
      <c r="N811" s="23"/>
      <c r="O811" s="24"/>
      <c r="P811" s="563"/>
      <c r="Q811" s="327"/>
      <c r="R811" s="538"/>
      <c r="S811" s="327"/>
      <c r="T811" s="539"/>
      <c r="U811" s="327"/>
      <c r="V811" s="540"/>
      <c r="W811" s="327"/>
      <c r="X811" s="541" t="s">
        <v>303</v>
      </c>
      <c r="Y811" s="326"/>
      <c r="Z811" s="326"/>
      <c r="AA811" s="327"/>
      <c r="AB811" s="542" t="s">
        <v>303</v>
      </c>
      <c r="AC811" s="326"/>
      <c r="AD811" s="326"/>
      <c r="AE811" s="327"/>
      <c r="AF811" s="543"/>
      <c r="AG811" s="327"/>
      <c r="AH811" s="543"/>
      <c r="AI811" s="327"/>
      <c r="AJ811" s="536"/>
      <c r="AK811" s="327"/>
      <c r="AL811" s="537" t="s">
        <v>334</v>
      </c>
      <c r="AM811" s="327"/>
      <c r="AN811" s="546" t="s">
        <v>334</v>
      </c>
      <c r="AO811" s="327"/>
      <c r="AP811" s="547"/>
      <c r="AQ811" s="327"/>
      <c r="AR811" s="548"/>
      <c r="AS811" s="327"/>
      <c r="AT811" s="549"/>
      <c r="AU811" s="327"/>
      <c r="AV811" s="546" t="s">
        <v>334</v>
      </c>
      <c r="AW811" s="327"/>
      <c r="AX811" s="521"/>
      <c r="AY811" s="326"/>
      <c r="AZ811" s="327"/>
      <c r="BA811" s="550"/>
      <c r="BB811" s="327"/>
      <c r="BC811" s="25"/>
      <c r="BD811" s="544" t="s">
        <v>334</v>
      </c>
      <c r="BE811" s="327"/>
      <c r="BF811" s="545"/>
      <c r="BG811" s="326"/>
      <c r="BH811" s="326"/>
      <c r="BI811" s="327"/>
      <c r="BJ811" s="557" t="s">
        <v>303</v>
      </c>
      <c r="BK811" s="326"/>
      <c r="BL811" s="326"/>
      <c r="BM811" s="327"/>
      <c r="BN811" s="558" t="s">
        <v>303</v>
      </c>
      <c r="BO811" s="326"/>
      <c r="BP811" s="326"/>
      <c r="BQ811" s="326"/>
      <c r="BR811" s="326"/>
      <c r="BS811" s="326"/>
      <c r="BT811" s="326"/>
      <c r="BU811" s="326"/>
      <c r="BV811" s="327"/>
    </row>
    <row r="812" spans="1:74" ht="45" customHeight="1" x14ac:dyDescent="0.25">
      <c r="A812" s="10">
        <f t="shared" si="3"/>
        <v>798</v>
      </c>
      <c r="B812" s="564" t="s">
        <v>303</v>
      </c>
      <c r="C812" s="327"/>
      <c r="D812" s="565" t="s">
        <v>307</v>
      </c>
      <c r="E812" s="327"/>
      <c r="F812" s="537" t="s">
        <v>334</v>
      </c>
      <c r="G812" s="327"/>
      <c r="H812" s="561" t="s">
        <v>334</v>
      </c>
      <c r="I812" s="327"/>
      <c r="J812" s="26"/>
      <c r="K812" s="27"/>
      <c r="L812" s="26"/>
      <c r="M812" s="27"/>
      <c r="N812" s="20"/>
      <c r="O812" s="21"/>
      <c r="P812" s="524"/>
      <c r="Q812" s="327"/>
      <c r="R812" s="516"/>
      <c r="S812" s="327"/>
      <c r="T812" s="517"/>
      <c r="U812" s="327"/>
      <c r="V812" s="518"/>
      <c r="W812" s="327"/>
      <c r="X812" s="438" t="s">
        <v>303</v>
      </c>
      <c r="Y812" s="326"/>
      <c r="Z812" s="326"/>
      <c r="AA812" s="327"/>
      <c r="AB812" s="519" t="s">
        <v>303</v>
      </c>
      <c r="AC812" s="326"/>
      <c r="AD812" s="326"/>
      <c r="AE812" s="327"/>
      <c r="AF812" s="520"/>
      <c r="AG812" s="327"/>
      <c r="AH812" s="520"/>
      <c r="AI812" s="327"/>
      <c r="AJ812" s="536"/>
      <c r="AK812" s="327"/>
      <c r="AL812" s="556" t="s">
        <v>334</v>
      </c>
      <c r="AM812" s="327"/>
      <c r="AN812" s="553" t="s">
        <v>334</v>
      </c>
      <c r="AO812" s="327"/>
      <c r="AP812" s="554"/>
      <c r="AQ812" s="327"/>
      <c r="AR812" s="555"/>
      <c r="AS812" s="327"/>
      <c r="AT812" s="549"/>
      <c r="AU812" s="327"/>
      <c r="AV812" s="553" t="s">
        <v>334</v>
      </c>
      <c r="AW812" s="327"/>
      <c r="AX812" s="521"/>
      <c r="AY812" s="326"/>
      <c r="AZ812" s="327"/>
      <c r="BA812" s="536"/>
      <c r="BB812" s="327"/>
      <c r="BC812" s="22"/>
      <c r="BD812" s="551" t="s">
        <v>334</v>
      </c>
      <c r="BE812" s="327"/>
      <c r="BF812" s="552"/>
      <c r="BG812" s="326"/>
      <c r="BH812" s="326"/>
      <c r="BI812" s="327"/>
      <c r="BJ812" s="451" t="s">
        <v>303</v>
      </c>
      <c r="BK812" s="326"/>
      <c r="BL812" s="326"/>
      <c r="BM812" s="327"/>
      <c r="BN812" s="558" t="s">
        <v>303</v>
      </c>
      <c r="BO812" s="326"/>
      <c r="BP812" s="326"/>
      <c r="BQ812" s="326"/>
      <c r="BR812" s="326"/>
      <c r="BS812" s="326"/>
      <c r="BT812" s="326"/>
      <c r="BU812" s="326"/>
      <c r="BV812" s="327"/>
    </row>
    <row r="813" spans="1:74" ht="45" customHeight="1" x14ac:dyDescent="0.25">
      <c r="A813" s="10">
        <f t="shared" si="3"/>
        <v>799</v>
      </c>
      <c r="B813" s="559" t="s">
        <v>303</v>
      </c>
      <c r="C813" s="327"/>
      <c r="D813" s="560" t="s">
        <v>307</v>
      </c>
      <c r="E813" s="327"/>
      <c r="F813" s="537" t="s">
        <v>334</v>
      </c>
      <c r="G813" s="327"/>
      <c r="H813" s="566" t="s">
        <v>334</v>
      </c>
      <c r="I813" s="327"/>
      <c r="J813" s="567"/>
      <c r="K813" s="327"/>
      <c r="L813" s="567"/>
      <c r="M813" s="327"/>
      <c r="N813" s="23"/>
      <c r="O813" s="24"/>
      <c r="P813" s="563"/>
      <c r="Q813" s="327"/>
      <c r="R813" s="538"/>
      <c r="S813" s="327"/>
      <c r="T813" s="539"/>
      <c r="U813" s="327"/>
      <c r="V813" s="540"/>
      <c r="W813" s="327"/>
      <c r="X813" s="541" t="s">
        <v>303</v>
      </c>
      <c r="Y813" s="326"/>
      <c r="Z813" s="326"/>
      <c r="AA813" s="327"/>
      <c r="AB813" s="542" t="s">
        <v>303</v>
      </c>
      <c r="AC813" s="326"/>
      <c r="AD813" s="326"/>
      <c r="AE813" s="327"/>
      <c r="AF813" s="543"/>
      <c r="AG813" s="327"/>
      <c r="AH813" s="543"/>
      <c r="AI813" s="327"/>
      <c r="AJ813" s="536"/>
      <c r="AK813" s="327"/>
      <c r="AL813" s="537" t="s">
        <v>334</v>
      </c>
      <c r="AM813" s="327"/>
      <c r="AN813" s="546" t="s">
        <v>334</v>
      </c>
      <c r="AO813" s="327"/>
      <c r="AP813" s="547"/>
      <c r="AQ813" s="327"/>
      <c r="AR813" s="548"/>
      <c r="AS813" s="327"/>
      <c r="AT813" s="549"/>
      <c r="AU813" s="327"/>
      <c r="AV813" s="546" t="s">
        <v>334</v>
      </c>
      <c r="AW813" s="327"/>
      <c r="AX813" s="521"/>
      <c r="AY813" s="326"/>
      <c r="AZ813" s="327"/>
      <c r="BA813" s="550"/>
      <c r="BB813" s="327"/>
      <c r="BC813" s="25"/>
      <c r="BD813" s="544" t="s">
        <v>334</v>
      </c>
      <c r="BE813" s="327"/>
      <c r="BF813" s="545"/>
      <c r="BG813" s="326"/>
      <c r="BH813" s="326"/>
      <c r="BI813" s="327"/>
      <c r="BJ813" s="557" t="s">
        <v>303</v>
      </c>
      <c r="BK813" s="326"/>
      <c r="BL813" s="326"/>
      <c r="BM813" s="327"/>
      <c r="BN813" s="558" t="s">
        <v>303</v>
      </c>
      <c r="BO813" s="326"/>
      <c r="BP813" s="326"/>
      <c r="BQ813" s="326"/>
      <c r="BR813" s="326"/>
      <c r="BS813" s="326"/>
      <c r="BT813" s="326"/>
      <c r="BU813" s="326"/>
      <c r="BV813" s="327"/>
    </row>
    <row r="814" spans="1:74" ht="45" customHeight="1" x14ac:dyDescent="0.25">
      <c r="A814" s="10">
        <f t="shared" si="3"/>
        <v>800</v>
      </c>
      <c r="B814" s="564" t="s">
        <v>303</v>
      </c>
      <c r="C814" s="327"/>
      <c r="D814" s="565" t="s">
        <v>307</v>
      </c>
      <c r="E814" s="327"/>
      <c r="F814" s="537" t="s">
        <v>334</v>
      </c>
      <c r="G814" s="327"/>
      <c r="H814" s="561" t="s">
        <v>334</v>
      </c>
      <c r="I814" s="327"/>
      <c r="J814" s="26"/>
      <c r="K814" s="27"/>
      <c r="L814" s="26"/>
      <c r="M814" s="27"/>
      <c r="N814" s="20"/>
      <c r="O814" s="21"/>
      <c r="P814" s="524"/>
      <c r="Q814" s="327"/>
      <c r="R814" s="516"/>
      <c r="S814" s="327"/>
      <c r="T814" s="517"/>
      <c r="U814" s="327"/>
      <c r="V814" s="518"/>
      <c r="W814" s="327"/>
      <c r="X814" s="438" t="s">
        <v>303</v>
      </c>
      <c r="Y814" s="326"/>
      <c r="Z814" s="326"/>
      <c r="AA814" s="327"/>
      <c r="AB814" s="519" t="s">
        <v>303</v>
      </c>
      <c r="AC814" s="326"/>
      <c r="AD814" s="326"/>
      <c r="AE814" s="327"/>
      <c r="AF814" s="520"/>
      <c r="AG814" s="327"/>
      <c r="AH814" s="520"/>
      <c r="AI814" s="327"/>
      <c r="AJ814" s="536"/>
      <c r="AK814" s="327"/>
      <c r="AL814" s="556" t="s">
        <v>334</v>
      </c>
      <c r="AM814" s="327"/>
      <c r="AN814" s="553" t="s">
        <v>334</v>
      </c>
      <c r="AO814" s="327"/>
      <c r="AP814" s="554"/>
      <c r="AQ814" s="327"/>
      <c r="AR814" s="555"/>
      <c r="AS814" s="327"/>
      <c r="AT814" s="549"/>
      <c r="AU814" s="327"/>
      <c r="AV814" s="553" t="s">
        <v>334</v>
      </c>
      <c r="AW814" s="327"/>
      <c r="AX814" s="521"/>
      <c r="AY814" s="326"/>
      <c r="AZ814" s="327"/>
      <c r="BA814" s="536"/>
      <c r="BB814" s="327"/>
      <c r="BC814" s="22"/>
      <c r="BD814" s="551" t="s">
        <v>334</v>
      </c>
      <c r="BE814" s="327"/>
      <c r="BF814" s="552"/>
      <c r="BG814" s="326"/>
      <c r="BH814" s="326"/>
      <c r="BI814" s="327"/>
      <c r="BJ814" s="451" t="s">
        <v>303</v>
      </c>
      <c r="BK814" s="326"/>
      <c r="BL814" s="326"/>
      <c r="BM814" s="327"/>
      <c r="BN814" s="558" t="s">
        <v>303</v>
      </c>
      <c r="BO814" s="326"/>
      <c r="BP814" s="326"/>
      <c r="BQ814" s="326"/>
      <c r="BR814" s="326"/>
      <c r="BS814" s="326"/>
      <c r="BT814" s="326"/>
      <c r="BU814" s="326"/>
      <c r="BV814" s="327"/>
    </row>
    <row r="815" spans="1:74" ht="45" customHeight="1" x14ac:dyDescent="0.25">
      <c r="A815" s="10">
        <f t="shared" si="3"/>
        <v>801</v>
      </c>
      <c r="B815" s="559" t="s">
        <v>303</v>
      </c>
      <c r="C815" s="327"/>
      <c r="D815" s="560" t="s">
        <v>307</v>
      </c>
      <c r="E815" s="327"/>
      <c r="F815" s="537" t="s">
        <v>334</v>
      </c>
      <c r="G815" s="327"/>
      <c r="H815" s="566" t="s">
        <v>334</v>
      </c>
      <c r="I815" s="327"/>
      <c r="J815" s="567"/>
      <c r="K815" s="327"/>
      <c r="L815" s="567"/>
      <c r="M815" s="327"/>
      <c r="N815" s="23"/>
      <c r="O815" s="24"/>
      <c r="P815" s="563"/>
      <c r="Q815" s="327"/>
      <c r="R815" s="538"/>
      <c r="S815" s="327"/>
      <c r="T815" s="539"/>
      <c r="U815" s="327"/>
      <c r="V815" s="540"/>
      <c r="W815" s="327"/>
      <c r="X815" s="541" t="s">
        <v>303</v>
      </c>
      <c r="Y815" s="326"/>
      <c r="Z815" s="326"/>
      <c r="AA815" s="327"/>
      <c r="AB815" s="542" t="s">
        <v>303</v>
      </c>
      <c r="AC815" s="326"/>
      <c r="AD815" s="326"/>
      <c r="AE815" s="327"/>
      <c r="AF815" s="543"/>
      <c r="AG815" s="327"/>
      <c r="AH815" s="543"/>
      <c r="AI815" s="327"/>
      <c r="AJ815" s="536"/>
      <c r="AK815" s="327"/>
      <c r="AL815" s="537" t="s">
        <v>334</v>
      </c>
      <c r="AM815" s="327"/>
      <c r="AN815" s="546" t="s">
        <v>334</v>
      </c>
      <c r="AO815" s="327"/>
      <c r="AP815" s="547"/>
      <c r="AQ815" s="327"/>
      <c r="AR815" s="548"/>
      <c r="AS815" s="327"/>
      <c r="AT815" s="568"/>
      <c r="AU815" s="327"/>
      <c r="AV815" s="546" t="s">
        <v>334</v>
      </c>
      <c r="AW815" s="327"/>
      <c r="AX815" s="521"/>
      <c r="AY815" s="326"/>
      <c r="AZ815" s="327"/>
      <c r="BA815" s="550"/>
      <c r="BB815" s="327"/>
      <c r="BC815" s="25"/>
      <c r="BD815" s="544" t="s">
        <v>334</v>
      </c>
      <c r="BE815" s="327"/>
      <c r="BF815" s="545"/>
      <c r="BG815" s="326"/>
      <c r="BH815" s="326"/>
      <c r="BI815" s="327"/>
      <c r="BJ815" s="557" t="s">
        <v>303</v>
      </c>
      <c r="BK815" s="326"/>
      <c r="BL815" s="326"/>
      <c r="BM815" s="327"/>
      <c r="BN815" s="558" t="s">
        <v>303</v>
      </c>
      <c r="BO815" s="326"/>
      <c r="BP815" s="326"/>
      <c r="BQ815" s="326"/>
      <c r="BR815" s="326"/>
      <c r="BS815" s="326"/>
      <c r="BT815" s="326"/>
      <c r="BU815" s="326"/>
      <c r="BV815" s="327"/>
    </row>
    <row r="816" spans="1:74" ht="45" customHeight="1" x14ac:dyDescent="0.25">
      <c r="A816" s="10">
        <f t="shared" si="3"/>
        <v>802</v>
      </c>
      <c r="B816" s="564" t="s">
        <v>303</v>
      </c>
      <c r="C816" s="327"/>
      <c r="D816" s="565" t="s">
        <v>307</v>
      </c>
      <c r="E816" s="327"/>
      <c r="F816" s="537" t="s">
        <v>334</v>
      </c>
      <c r="G816" s="327"/>
      <c r="H816" s="561" t="s">
        <v>334</v>
      </c>
      <c r="I816" s="327"/>
      <c r="J816" s="26"/>
      <c r="K816" s="27"/>
      <c r="L816" s="26"/>
      <c r="M816" s="27"/>
      <c r="N816" s="20"/>
      <c r="O816" s="21"/>
      <c r="P816" s="524"/>
      <c r="Q816" s="327"/>
      <c r="R816" s="516"/>
      <c r="S816" s="327"/>
      <c r="T816" s="517"/>
      <c r="U816" s="327"/>
      <c r="V816" s="518"/>
      <c r="W816" s="327"/>
      <c r="X816" s="438" t="s">
        <v>303</v>
      </c>
      <c r="Y816" s="326"/>
      <c r="Z816" s="326"/>
      <c r="AA816" s="327"/>
      <c r="AB816" s="519" t="s">
        <v>303</v>
      </c>
      <c r="AC816" s="326"/>
      <c r="AD816" s="326"/>
      <c r="AE816" s="327"/>
      <c r="AF816" s="520"/>
      <c r="AG816" s="327"/>
      <c r="AH816" s="520"/>
      <c r="AI816" s="327"/>
      <c r="AJ816" s="536"/>
      <c r="AK816" s="327"/>
      <c r="AL816" s="556" t="s">
        <v>334</v>
      </c>
      <c r="AM816" s="327"/>
      <c r="AN816" s="553" t="s">
        <v>334</v>
      </c>
      <c r="AO816" s="327"/>
      <c r="AP816" s="554"/>
      <c r="AQ816" s="327"/>
      <c r="AR816" s="555"/>
      <c r="AS816" s="327"/>
      <c r="AT816" s="549"/>
      <c r="AU816" s="327"/>
      <c r="AV816" s="553" t="s">
        <v>334</v>
      </c>
      <c r="AW816" s="327"/>
      <c r="AX816" s="521"/>
      <c r="AY816" s="326"/>
      <c r="AZ816" s="327"/>
      <c r="BA816" s="536"/>
      <c r="BB816" s="327"/>
      <c r="BC816" s="22"/>
      <c r="BD816" s="551" t="s">
        <v>334</v>
      </c>
      <c r="BE816" s="327"/>
      <c r="BF816" s="508"/>
      <c r="BG816" s="326"/>
      <c r="BH816" s="326"/>
      <c r="BI816" s="327"/>
      <c r="BJ816" s="451" t="s">
        <v>303</v>
      </c>
      <c r="BK816" s="326"/>
      <c r="BL816" s="326"/>
      <c r="BM816" s="327"/>
      <c r="BN816" s="558" t="s">
        <v>303</v>
      </c>
      <c r="BO816" s="326"/>
      <c r="BP816" s="326"/>
      <c r="BQ816" s="326"/>
      <c r="BR816" s="326"/>
      <c r="BS816" s="326"/>
      <c r="BT816" s="326"/>
      <c r="BU816" s="326"/>
      <c r="BV816" s="327"/>
    </row>
    <row r="817" spans="1:74" ht="45" customHeight="1" x14ac:dyDescent="0.25">
      <c r="A817" s="10">
        <f t="shared" si="3"/>
        <v>803</v>
      </c>
      <c r="B817" s="559" t="s">
        <v>303</v>
      </c>
      <c r="C817" s="327"/>
      <c r="D817" s="560" t="s">
        <v>307</v>
      </c>
      <c r="E817" s="327"/>
      <c r="F817" s="537" t="s">
        <v>334</v>
      </c>
      <c r="G817" s="327"/>
      <c r="H817" s="566" t="s">
        <v>334</v>
      </c>
      <c r="I817" s="327"/>
      <c r="J817" s="567"/>
      <c r="K817" s="327"/>
      <c r="L817" s="567"/>
      <c r="M817" s="327"/>
      <c r="N817" s="23"/>
      <c r="O817" s="24"/>
      <c r="P817" s="563"/>
      <c r="Q817" s="327"/>
      <c r="R817" s="538"/>
      <c r="S817" s="327"/>
      <c r="T817" s="539"/>
      <c r="U817" s="327"/>
      <c r="V817" s="540"/>
      <c r="W817" s="327"/>
      <c r="X817" s="541" t="s">
        <v>303</v>
      </c>
      <c r="Y817" s="326"/>
      <c r="Z817" s="326"/>
      <c r="AA817" s="327"/>
      <c r="AB817" s="542" t="s">
        <v>303</v>
      </c>
      <c r="AC817" s="326"/>
      <c r="AD817" s="326"/>
      <c r="AE817" s="327"/>
      <c r="AF817" s="543"/>
      <c r="AG817" s="327"/>
      <c r="AH817" s="543"/>
      <c r="AI817" s="327"/>
      <c r="AJ817" s="536"/>
      <c r="AK817" s="327"/>
      <c r="AL817" s="537" t="s">
        <v>334</v>
      </c>
      <c r="AM817" s="327"/>
      <c r="AN817" s="546" t="s">
        <v>334</v>
      </c>
      <c r="AO817" s="327"/>
      <c r="AP817" s="547"/>
      <c r="AQ817" s="327"/>
      <c r="AR817" s="548"/>
      <c r="AS817" s="327"/>
      <c r="AT817" s="568"/>
      <c r="AU817" s="327"/>
      <c r="AV817" s="546" t="s">
        <v>334</v>
      </c>
      <c r="AW817" s="327"/>
      <c r="AX817" s="521"/>
      <c r="AY817" s="326"/>
      <c r="AZ817" s="327"/>
      <c r="BA817" s="550"/>
      <c r="BB817" s="327"/>
      <c r="BC817" s="25"/>
      <c r="BD817" s="544" t="s">
        <v>334</v>
      </c>
      <c r="BE817" s="327"/>
      <c r="BF817" s="545"/>
      <c r="BG817" s="326"/>
      <c r="BH817" s="326"/>
      <c r="BI817" s="327"/>
      <c r="BJ817" s="557" t="s">
        <v>303</v>
      </c>
      <c r="BK817" s="326"/>
      <c r="BL817" s="326"/>
      <c r="BM817" s="327"/>
      <c r="BN817" s="558" t="s">
        <v>303</v>
      </c>
      <c r="BO817" s="326"/>
      <c r="BP817" s="326"/>
      <c r="BQ817" s="326"/>
      <c r="BR817" s="326"/>
      <c r="BS817" s="326"/>
      <c r="BT817" s="326"/>
      <c r="BU817" s="326"/>
      <c r="BV817" s="327"/>
    </row>
    <row r="818" spans="1:74" ht="45" customHeight="1" x14ac:dyDescent="0.25">
      <c r="A818" s="10">
        <f t="shared" si="3"/>
        <v>804</v>
      </c>
      <c r="B818" s="564" t="s">
        <v>303</v>
      </c>
      <c r="C818" s="327"/>
      <c r="D818" s="565" t="s">
        <v>307</v>
      </c>
      <c r="E818" s="327"/>
      <c r="F818" s="537" t="s">
        <v>334</v>
      </c>
      <c r="G818" s="327"/>
      <c r="H818" s="561" t="s">
        <v>334</v>
      </c>
      <c r="I818" s="327"/>
      <c r="J818" s="26"/>
      <c r="K818" s="27"/>
      <c r="L818" s="26"/>
      <c r="M818" s="27"/>
      <c r="N818" s="20"/>
      <c r="O818" s="21"/>
      <c r="P818" s="524"/>
      <c r="Q818" s="327"/>
      <c r="R818" s="516"/>
      <c r="S818" s="327"/>
      <c r="T818" s="517"/>
      <c r="U818" s="327"/>
      <c r="V818" s="518"/>
      <c r="W818" s="327"/>
      <c r="X818" s="438" t="s">
        <v>303</v>
      </c>
      <c r="Y818" s="326"/>
      <c r="Z818" s="326"/>
      <c r="AA818" s="327"/>
      <c r="AB818" s="519" t="s">
        <v>303</v>
      </c>
      <c r="AC818" s="326"/>
      <c r="AD818" s="326"/>
      <c r="AE818" s="327"/>
      <c r="AF818" s="520"/>
      <c r="AG818" s="327"/>
      <c r="AH818" s="520"/>
      <c r="AI818" s="327"/>
      <c r="AJ818" s="536"/>
      <c r="AK818" s="327"/>
      <c r="AL818" s="556" t="s">
        <v>334</v>
      </c>
      <c r="AM818" s="327"/>
      <c r="AN818" s="553" t="s">
        <v>334</v>
      </c>
      <c r="AO818" s="327"/>
      <c r="AP818" s="554"/>
      <c r="AQ818" s="327"/>
      <c r="AR818" s="555"/>
      <c r="AS818" s="327"/>
      <c r="AT818" s="549"/>
      <c r="AU818" s="327"/>
      <c r="AV818" s="553" t="s">
        <v>334</v>
      </c>
      <c r="AW818" s="327"/>
      <c r="AX818" s="521"/>
      <c r="AY818" s="326"/>
      <c r="AZ818" s="327"/>
      <c r="BA818" s="536"/>
      <c r="BB818" s="327"/>
      <c r="BC818" s="22"/>
      <c r="BD818" s="551" t="s">
        <v>334</v>
      </c>
      <c r="BE818" s="327"/>
      <c r="BF818" s="552"/>
      <c r="BG818" s="326"/>
      <c r="BH818" s="326"/>
      <c r="BI818" s="327"/>
      <c r="BJ818" s="451" t="s">
        <v>303</v>
      </c>
      <c r="BK818" s="326"/>
      <c r="BL818" s="326"/>
      <c r="BM818" s="327"/>
      <c r="BN818" s="558" t="s">
        <v>303</v>
      </c>
      <c r="BO818" s="326"/>
      <c r="BP818" s="326"/>
      <c r="BQ818" s="326"/>
      <c r="BR818" s="326"/>
      <c r="BS818" s="326"/>
      <c r="BT818" s="326"/>
      <c r="BU818" s="326"/>
      <c r="BV818" s="327"/>
    </row>
    <row r="819" spans="1:74" ht="45" customHeight="1" x14ac:dyDescent="0.25">
      <c r="A819" s="10">
        <f t="shared" si="3"/>
        <v>805</v>
      </c>
      <c r="B819" s="559" t="s">
        <v>303</v>
      </c>
      <c r="C819" s="327"/>
      <c r="D819" s="560" t="s">
        <v>307</v>
      </c>
      <c r="E819" s="327"/>
      <c r="F819" s="537" t="s">
        <v>334</v>
      </c>
      <c r="G819" s="327"/>
      <c r="H819" s="566" t="s">
        <v>334</v>
      </c>
      <c r="I819" s="327"/>
      <c r="J819" s="567"/>
      <c r="K819" s="327"/>
      <c r="L819" s="567"/>
      <c r="M819" s="327"/>
      <c r="N819" s="23"/>
      <c r="O819" s="24"/>
      <c r="P819" s="563"/>
      <c r="Q819" s="327"/>
      <c r="R819" s="538"/>
      <c r="S819" s="327"/>
      <c r="T819" s="539"/>
      <c r="U819" s="327"/>
      <c r="V819" s="540"/>
      <c r="W819" s="327"/>
      <c r="X819" s="541" t="s">
        <v>303</v>
      </c>
      <c r="Y819" s="326"/>
      <c r="Z819" s="326"/>
      <c r="AA819" s="327"/>
      <c r="AB819" s="542" t="s">
        <v>303</v>
      </c>
      <c r="AC819" s="326"/>
      <c r="AD819" s="326"/>
      <c r="AE819" s="327"/>
      <c r="AF819" s="543"/>
      <c r="AG819" s="327"/>
      <c r="AH819" s="543"/>
      <c r="AI819" s="327"/>
      <c r="AJ819" s="536"/>
      <c r="AK819" s="327"/>
      <c r="AL819" s="537" t="s">
        <v>334</v>
      </c>
      <c r="AM819" s="327"/>
      <c r="AN819" s="546" t="s">
        <v>334</v>
      </c>
      <c r="AO819" s="327"/>
      <c r="AP819" s="547"/>
      <c r="AQ819" s="327"/>
      <c r="AR819" s="548"/>
      <c r="AS819" s="327"/>
      <c r="AT819" s="568"/>
      <c r="AU819" s="327"/>
      <c r="AV819" s="546" t="s">
        <v>334</v>
      </c>
      <c r="AW819" s="327"/>
      <c r="AX819" s="521"/>
      <c r="AY819" s="326"/>
      <c r="AZ819" s="327"/>
      <c r="BA819" s="550"/>
      <c r="BB819" s="327"/>
      <c r="BC819" s="25"/>
      <c r="BD819" s="544" t="s">
        <v>334</v>
      </c>
      <c r="BE819" s="327"/>
      <c r="BF819" s="545"/>
      <c r="BG819" s="326"/>
      <c r="BH819" s="326"/>
      <c r="BI819" s="327"/>
      <c r="BJ819" s="557" t="s">
        <v>303</v>
      </c>
      <c r="BK819" s="326"/>
      <c r="BL819" s="326"/>
      <c r="BM819" s="327"/>
      <c r="BN819" s="558" t="s">
        <v>303</v>
      </c>
      <c r="BO819" s="326"/>
      <c r="BP819" s="326"/>
      <c r="BQ819" s="326"/>
      <c r="BR819" s="326"/>
      <c r="BS819" s="326"/>
      <c r="BT819" s="326"/>
      <c r="BU819" s="326"/>
      <c r="BV819" s="327"/>
    </row>
    <row r="820" spans="1:74" ht="45" customHeight="1" x14ac:dyDescent="0.25">
      <c r="A820" s="10">
        <f t="shared" si="3"/>
        <v>806</v>
      </c>
      <c r="B820" s="564" t="s">
        <v>303</v>
      </c>
      <c r="C820" s="327"/>
      <c r="D820" s="565" t="s">
        <v>307</v>
      </c>
      <c r="E820" s="327"/>
      <c r="F820" s="537" t="s">
        <v>334</v>
      </c>
      <c r="G820" s="327"/>
      <c r="H820" s="561" t="s">
        <v>334</v>
      </c>
      <c r="I820" s="327"/>
      <c r="J820" s="26"/>
      <c r="K820" s="27"/>
      <c r="L820" s="26"/>
      <c r="M820" s="27"/>
      <c r="N820" s="20"/>
      <c r="O820" s="21"/>
      <c r="P820" s="524"/>
      <c r="Q820" s="327"/>
      <c r="R820" s="516"/>
      <c r="S820" s="327"/>
      <c r="T820" s="517"/>
      <c r="U820" s="327"/>
      <c r="V820" s="518"/>
      <c r="W820" s="327"/>
      <c r="X820" s="438" t="s">
        <v>303</v>
      </c>
      <c r="Y820" s="326"/>
      <c r="Z820" s="326"/>
      <c r="AA820" s="327"/>
      <c r="AB820" s="519" t="s">
        <v>303</v>
      </c>
      <c r="AC820" s="326"/>
      <c r="AD820" s="326"/>
      <c r="AE820" s="327"/>
      <c r="AF820" s="520"/>
      <c r="AG820" s="327"/>
      <c r="AH820" s="520"/>
      <c r="AI820" s="327"/>
      <c r="AJ820" s="536"/>
      <c r="AK820" s="327"/>
      <c r="AL820" s="556" t="s">
        <v>334</v>
      </c>
      <c r="AM820" s="327"/>
      <c r="AN820" s="553" t="s">
        <v>334</v>
      </c>
      <c r="AO820" s="327"/>
      <c r="AP820" s="554"/>
      <c r="AQ820" s="327"/>
      <c r="AR820" s="555"/>
      <c r="AS820" s="327"/>
      <c r="AT820" s="549"/>
      <c r="AU820" s="327"/>
      <c r="AV820" s="553" t="s">
        <v>334</v>
      </c>
      <c r="AW820" s="327"/>
      <c r="AX820" s="521"/>
      <c r="AY820" s="326"/>
      <c r="AZ820" s="327"/>
      <c r="BA820" s="536"/>
      <c r="BB820" s="327"/>
      <c r="BC820" s="22"/>
      <c r="BD820" s="551" t="s">
        <v>334</v>
      </c>
      <c r="BE820" s="327"/>
      <c r="BF820" s="552"/>
      <c r="BG820" s="326"/>
      <c r="BH820" s="326"/>
      <c r="BI820" s="327"/>
      <c r="BJ820" s="451" t="s">
        <v>303</v>
      </c>
      <c r="BK820" s="326"/>
      <c r="BL820" s="326"/>
      <c r="BM820" s="327"/>
      <c r="BN820" s="558" t="s">
        <v>303</v>
      </c>
      <c r="BO820" s="326"/>
      <c r="BP820" s="326"/>
      <c r="BQ820" s="326"/>
      <c r="BR820" s="326"/>
      <c r="BS820" s="326"/>
      <c r="BT820" s="326"/>
      <c r="BU820" s="326"/>
      <c r="BV820" s="327"/>
    </row>
    <row r="821" spans="1:74" ht="45" customHeight="1" x14ac:dyDescent="0.25">
      <c r="A821" s="10">
        <f t="shared" si="3"/>
        <v>807</v>
      </c>
      <c r="B821" s="559" t="s">
        <v>303</v>
      </c>
      <c r="C821" s="327"/>
      <c r="D821" s="560" t="s">
        <v>307</v>
      </c>
      <c r="E821" s="327"/>
      <c r="F821" s="537" t="s">
        <v>334</v>
      </c>
      <c r="G821" s="327"/>
      <c r="H821" s="566" t="s">
        <v>334</v>
      </c>
      <c r="I821" s="327"/>
      <c r="J821" s="567"/>
      <c r="K821" s="327"/>
      <c r="L821" s="567"/>
      <c r="M821" s="327"/>
      <c r="N821" s="23"/>
      <c r="O821" s="24"/>
      <c r="P821" s="563"/>
      <c r="Q821" s="327"/>
      <c r="R821" s="538"/>
      <c r="S821" s="327"/>
      <c r="T821" s="539"/>
      <c r="U821" s="327"/>
      <c r="V821" s="540"/>
      <c r="W821" s="327"/>
      <c r="X821" s="541" t="s">
        <v>303</v>
      </c>
      <c r="Y821" s="326"/>
      <c r="Z821" s="326"/>
      <c r="AA821" s="327"/>
      <c r="AB821" s="542" t="s">
        <v>303</v>
      </c>
      <c r="AC821" s="326"/>
      <c r="AD821" s="326"/>
      <c r="AE821" s="327"/>
      <c r="AF821" s="543"/>
      <c r="AG821" s="327"/>
      <c r="AH821" s="543"/>
      <c r="AI821" s="327"/>
      <c r="AJ821" s="536"/>
      <c r="AK821" s="327"/>
      <c r="AL821" s="537" t="s">
        <v>334</v>
      </c>
      <c r="AM821" s="327"/>
      <c r="AN821" s="546" t="s">
        <v>334</v>
      </c>
      <c r="AO821" s="327"/>
      <c r="AP821" s="547"/>
      <c r="AQ821" s="327"/>
      <c r="AR821" s="548"/>
      <c r="AS821" s="327"/>
      <c r="AT821" s="568"/>
      <c r="AU821" s="327"/>
      <c r="AV821" s="546" t="s">
        <v>334</v>
      </c>
      <c r="AW821" s="327"/>
      <c r="AX821" s="521"/>
      <c r="AY821" s="326"/>
      <c r="AZ821" s="327"/>
      <c r="BA821" s="550"/>
      <c r="BB821" s="327"/>
      <c r="BC821" s="25"/>
      <c r="BD821" s="544" t="s">
        <v>334</v>
      </c>
      <c r="BE821" s="327"/>
      <c r="BF821" s="545"/>
      <c r="BG821" s="326"/>
      <c r="BH821" s="326"/>
      <c r="BI821" s="327"/>
      <c r="BJ821" s="557" t="s">
        <v>303</v>
      </c>
      <c r="BK821" s="326"/>
      <c r="BL821" s="326"/>
      <c r="BM821" s="327"/>
      <c r="BN821" s="558" t="s">
        <v>303</v>
      </c>
      <c r="BO821" s="326"/>
      <c r="BP821" s="326"/>
      <c r="BQ821" s="326"/>
      <c r="BR821" s="326"/>
      <c r="BS821" s="326"/>
      <c r="BT821" s="326"/>
      <c r="BU821" s="326"/>
      <c r="BV821" s="327"/>
    </row>
    <row r="822" spans="1:74" ht="45" customHeight="1" x14ac:dyDescent="0.25">
      <c r="A822" s="10">
        <f t="shared" si="3"/>
        <v>808</v>
      </c>
      <c r="B822" s="564" t="s">
        <v>303</v>
      </c>
      <c r="C822" s="327"/>
      <c r="D822" s="565" t="s">
        <v>307</v>
      </c>
      <c r="E822" s="327"/>
      <c r="F822" s="537" t="s">
        <v>334</v>
      </c>
      <c r="G822" s="327"/>
      <c r="H822" s="561" t="s">
        <v>334</v>
      </c>
      <c r="I822" s="327"/>
      <c r="J822" s="26"/>
      <c r="K822" s="27"/>
      <c r="L822" s="26"/>
      <c r="M822" s="27"/>
      <c r="N822" s="20"/>
      <c r="O822" s="21"/>
      <c r="P822" s="524"/>
      <c r="Q822" s="327"/>
      <c r="R822" s="516"/>
      <c r="S822" s="327"/>
      <c r="T822" s="517"/>
      <c r="U822" s="327"/>
      <c r="V822" s="518"/>
      <c r="W822" s="327"/>
      <c r="X822" s="438" t="s">
        <v>303</v>
      </c>
      <c r="Y822" s="326"/>
      <c r="Z822" s="326"/>
      <c r="AA822" s="327"/>
      <c r="AB822" s="519" t="s">
        <v>303</v>
      </c>
      <c r="AC822" s="326"/>
      <c r="AD822" s="326"/>
      <c r="AE822" s="327"/>
      <c r="AF822" s="520"/>
      <c r="AG822" s="327"/>
      <c r="AH822" s="520"/>
      <c r="AI822" s="327"/>
      <c r="AJ822" s="536"/>
      <c r="AK822" s="327"/>
      <c r="AL822" s="556" t="s">
        <v>334</v>
      </c>
      <c r="AM822" s="327"/>
      <c r="AN822" s="553" t="s">
        <v>334</v>
      </c>
      <c r="AO822" s="327"/>
      <c r="AP822" s="554"/>
      <c r="AQ822" s="327"/>
      <c r="AR822" s="555"/>
      <c r="AS822" s="327"/>
      <c r="AT822" s="549"/>
      <c r="AU822" s="327"/>
      <c r="AV822" s="553" t="s">
        <v>334</v>
      </c>
      <c r="AW822" s="327"/>
      <c r="AX822" s="521"/>
      <c r="AY822" s="326"/>
      <c r="AZ822" s="327"/>
      <c r="BA822" s="536"/>
      <c r="BB822" s="327"/>
      <c r="BC822" s="22"/>
      <c r="BD822" s="551" t="s">
        <v>334</v>
      </c>
      <c r="BE822" s="327"/>
      <c r="BF822" s="508"/>
      <c r="BG822" s="326"/>
      <c r="BH822" s="326"/>
      <c r="BI822" s="327"/>
      <c r="BJ822" s="451" t="s">
        <v>303</v>
      </c>
      <c r="BK822" s="326"/>
      <c r="BL822" s="326"/>
      <c r="BM822" s="327"/>
      <c r="BN822" s="558" t="s">
        <v>303</v>
      </c>
      <c r="BO822" s="326"/>
      <c r="BP822" s="326"/>
      <c r="BQ822" s="326"/>
      <c r="BR822" s="326"/>
      <c r="BS822" s="326"/>
      <c r="BT822" s="326"/>
      <c r="BU822" s="326"/>
      <c r="BV822" s="327"/>
    </row>
    <row r="823" spans="1:74" ht="45" customHeight="1" x14ac:dyDescent="0.25">
      <c r="A823" s="10">
        <f t="shared" si="3"/>
        <v>809</v>
      </c>
      <c r="B823" s="559" t="s">
        <v>303</v>
      </c>
      <c r="C823" s="327"/>
      <c r="D823" s="560" t="s">
        <v>307</v>
      </c>
      <c r="E823" s="327"/>
      <c r="F823" s="537" t="s">
        <v>334</v>
      </c>
      <c r="G823" s="327"/>
      <c r="H823" s="566" t="s">
        <v>334</v>
      </c>
      <c r="I823" s="327"/>
      <c r="J823" s="567"/>
      <c r="K823" s="327"/>
      <c r="L823" s="567"/>
      <c r="M823" s="327"/>
      <c r="N823" s="23"/>
      <c r="O823" s="24"/>
      <c r="P823" s="563"/>
      <c r="Q823" s="327"/>
      <c r="R823" s="538"/>
      <c r="S823" s="327"/>
      <c r="T823" s="539"/>
      <c r="U823" s="327"/>
      <c r="V823" s="540"/>
      <c r="W823" s="327"/>
      <c r="X823" s="541" t="s">
        <v>303</v>
      </c>
      <c r="Y823" s="326"/>
      <c r="Z823" s="326"/>
      <c r="AA823" s="327"/>
      <c r="AB823" s="542" t="s">
        <v>303</v>
      </c>
      <c r="AC823" s="326"/>
      <c r="AD823" s="326"/>
      <c r="AE823" s="327"/>
      <c r="AF823" s="543"/>
      <c r="AG823" s="327"/>
      <c r="AH823" s="543"/>
      <c r="AI823" s="327"/>
      <c r="AJ823" s="536"/>
      <c r="AK823" s="327"/>
      <c r="AL823" s="537" t="s">
        <v>334</v>
      </c>
      <c r="AM823" s="327"/>
      <c r="AN823" s="546" t="s">
        <v>334</v>
      </c>
      <c r="AO823" s="327"/>
      <c r="AP823" s="547"/>
      <c r="AQ823" s="327"/>
      <c r="AR823" s="548"/>
      <c r="AS823" s="327"/>
      <c r="AT823" s="568"/>
      <c r="AU823" s="327"/>
      <c r="AV823" s="546" t="s">
        <v>334</v>
      </c>
      <c r="AW823" s="327"/>
      <c r="AX823" s="521"/>
      <c r="AY823" s="326"/>
      <c r="AZ823" s="327"/>
      <c r="BA823" s="550"/>
      <c r="BB823" s="327"/>
      <c r="BC823" s="25"/>
      <c r="BD823" s="544" t="s">
        <v>334</v>
      </c>
      <c r="BE823" s="327"/>
      <c r="BF823" s="545"/>
      <c r="BG823" s="326"/>
      <c r="BH823" s="326"/>
      <c r="BI823" s="327"/>
      <c r="BJ823" s="557" t="s">
        <v>303</v>
      </c>
      <c r="BK823" s="326"/>
      <c r="BL823" s="326"/>
      <c r="BM823" s="327"/>
      <c r="BN823" s="558" t="s">
        <v>303</v>
      </c>
      <c r="BO823" s="326"/>
      <c r="BP823" s="326"/>
      <c r="BQ823" s="326"/>
      <c r="BR823" s="326"/>
      <c r="BS823" s="326"/>
      <c r="BT823" s="326"/>
      <c r="BU823" s="326"/>
      <c r="BV823" s="327"/>
    </row>
    <row r="824" spans="1:74" ht="45" customHeight="1" x14ac:dyDescent="0.25">
      <c r="A824" s="10">
        <f t="shared" si="3"/>
        <v>810</v>
      </c>
      <c r="B824" s="564" t="s">
        <v>303</v>
      </c>
      <c r="C824" s="327"/>
      <c r="D824" s="565" t="s">
        <v>307</v>
      </c>
      <c r="E824" s="327"/>
      <c r="F824" s="537" t="s">
        <v>334</v>
      </c>
      <c r="G824" s="327"/>
      <c r="H824" s="561" t="s">
        <v>334</v>
      </c>
      <c r="I824" s="327"/>
      <c r="J824" s="26"/>
      <c r="K824" s="27"/>
      <c r="L824" s="26"/>
      <c r="M824" s="27"/>
      <c r="N824" s="20"/>
      <c r="O824" s="21"/>
      <c r="P824" s="524"/>
      <c r="Q824" s="327"/>
      <c r="R824" s="516"/>
      <c r="S824" s="327"/>
      <c r="T824" s="517"/>
      <c r="U824" s="327"/>
      <c r="V824" s="518"/>
      <c r="W824" s="327"/>
      <c r="X824" s="438" t="s">
        <v>303</v>
      </c>
      <c r="Y824" s="326"/>
      <c r="Z824" s="326"/>
      <c r="AA824" s="327"/>
      <c r="AB824" s="519" t="s">
        <v>303</v>
      </c>
      <c r="AC824" s="326"/>
      <c r="AD824" s="326"/>
      <c r="AE824" s="327"/>
      <c r="AF824" s="520"/>
      <c r="AG824" s="327"/>
      <c r="AH824" s="520"/>
      <c r="AI824" s="327"/>
      <c r="AJ824" s="536"/>
      <c r="AK824" s="327"/>
      <c r="AL824" s="556" t="s">
        <v>334</v>
      </c>
      <c r="AM824" s="327"/>
      <c r="AN824" s="553" t="s">
        <v>334</v>
      </c>
      <c r="AO824" s="327"/>
      <c r="AP824" s="554"/>
      <c r="AQ824" s="327"/>
      <c r="AR824" s="555"/>
      <c r="AS824" s="327"/>
      <c r="AT824" s="549"/>
      <c r="AU824" s="327"/>
      <c r="AV824" s="553" t="s">
        <v>334</v>
      </c>
      <c r="AW824" s="327"/>
      <c r="AX824" s="521"/>
      <c r="AY824" s="326"/>
      <c r="AZ824" s="327"/>
      <c r="BA824" s="536"/>
      <c r="BB824" s="327"/>
      <c r="BC824" s="22"/>
      <c r="BD824" s="551" t="s">
        <v>334</v>
      </c>
      <c r="BE824" s="327"/>
      <c r="BF824" s="552"/>
      <c r="BG824" s="326"/>
      <c r="BH824" s="326"/>
      <c r="BI824" s="327"/>
      <c r="BJ824" s="451" t="s">
        <v>303</v>
      </c>
      <c r="BK824" s="326"/>
      <c r="BL824" s="326"/>
      <c r="BM824" s="327"/>
      <c r="BN824" s="558" t="s">
        <v>303</v>
      </c>
      <c r="BO824" s="326"/>
      <c r="BP824" s="326"/>
      <c r="BQ824" s="326"/>
      <c r="BR824" s="326"/>
      <c r="BS824" s="326"/>
      <c r="BT824" s="326"/>
      <c r="BU824" s="326"/>
      <c r="BV824" s="327"/>
    </row>
    <row r="825" spans="1:74" ht="45" customHeight="1" x14ac:dyDescent="0.25">
      <c r="A825" s="10">
        <f t="shared" si="3"/>
        <v>811</v>
      </c>
      <c r="B825" s="559" t="s">
        <v>303</v>
      </c>
      <c r="C825" s="327"/>
      <c r="D825" s="560" t="s">
        <v>307</v>
      </c>
      <c r="E825" s="327"/>
      <c r="F825" s="537" t="s">
        <v>334</v>
      </c>
      <c r="G825" s="327"/>
      <c r="H825" s="566" t="s">
        <v>334</v>
      </c>
      <c r="I825" s="327"/>
      <c r="J825" s="567"/>
      <c r="K825" s="327"/>
      <c r="L825" s="567"/>
      <c r="M825" s="327"/>
      <c r="N825" s="23"/>
      <c r="O825" s="24"/>
      <c r="P825" s="563"/>
      <c r="Q825" s="327"/>
      <c r="R825" s="538"/>
      <c r="S825" s="327"/>
      <c r="T825" s="539"/>
      <c r="U825" s="327"/>
      <c r="V825" s="540"/>
      <c r="W825" s="327"/>
      <c r="X825" s="541" t="s">
        <v>303</v>
      </c>
      <c r="Y825" s="326"/>
      <c r="Z825" s="326"/>
      <c r="AA825" s="327"/>
      <c r="AB825" s="542" t="s">
        <v>303</v>
      </c>
      <c r="AC825" s="326"/>
      <c r="AD825" s="326"/>
      <c r="AE825" s="327"/>
      <c r="AF825" s="543"/>
      <c r="AG825" s="327"/>
      <c r="AH825" s="543"/>
      <c r="AI825" s="327"/>
      <c r="AJ825" s="536"/>
      <c r="AK825" s="327"/>
      <c r="AL825" s="537" t="s">
        <v>334</v>
      </c>
      <c r="AM825" s="327"/>
      <c r="AN825" s="546" t="s">
        <v>334</v>
      </c>
      <c r="AO825" s="327"/>
      <c r="AP825" s="547"/>
      <c r="AQ825" s="327"/>
      <c r="AR825" s="548"/>
      <c r="AS825" s="327"/>
      <c r="AT825" s="549"/>
      <c r="AU825" s="327"/>
      <c r="AV825" s="546" t="s">
        <v>334</v>
      </c>
      <c r="AW825" s="327"/>
      <c r="AX825" s="521"/>
      <c r="AY825" s="326"/>
      <c r="AZ825" s="327"/>
      <c r="BA825" s="550"/>
      <c r="BB825" s="327"/>
      <c r="BC825" s="25"/>
      <c r="BD825" s="544" t="s">
        <v>334</v>
      </c>
      <c r="BE825" s="327"/>
      <c r="BF825" s="545"/>
      <c r="BG825" s="326"/>
      <c r="BH825" s="326"/>
      <c r="BI825" s="327"/>
      <c r="BJ825" s="557" t="s">
        <v>303</v>
      </c>
      <c r="BK825" s="326"/>
      <c r="BL825" s="326"/>
      <c r="BM825" s="327"/>
      <c r="BN825" s="558" t="s">
        <v>303</v>
      </c>
      <c r="BO825" s="326"/>
      <c r="BP825" s="326"/>
      <c r="BQ825" s="326"/>
      <c r="BR825" s="326"/>
      <c r="BS825" s="326"/>
      <c r="BT825" s="326"/>
      <c r="BU825" s="326"/>
      <c r="BV825" s="327"/>
    </row>
    <row r="826" spans="1:74" ht="45" customHeight="1" x14ac:dyDescent="0.25">
      <c r="A826" s="10">
        <f t="shared" si="3"/>
        <v>812</v>
      </c>
      <c r="B826" s="564" t="s">
        <v>303</v>
      </c>
      <c r="C826" s="327"/>
      <c r="D826" s="565" t="s">
        <v>307</v>
      </c>
      <c r="E826" s="327"/>
      <c r="F826" s="537" t="s">
        <v>334</v>
      </c>
      <c r="G826" s="327"/>
      <c r="H826" s="561" t="s">
        <v>334</v>
      </c>
      <c r="I826" s="327"/>
      <c r="J826" s="26"/>
      <c r="K826" s="27"/>
      <c r="L826" s="26"/>
      <c r="M826" s="27"/>
      <c r="N826" s="20"/>
      <c r="O826" s="21"/>
      <c r="P826" s="524"/>
      <c r="Q826" s="327"/>
      <c r="R826" s="516"/>
      <c r="S826" s="327"/>
      <c r="T826" s="517"/>
      <c r="U826" s="327"/>
      <c r="V826" s="518"/>
      <c r="W826" s="327"/>
      <c r="X826" s="438" t="s">
        <v>303</v>
      </c>
      <c r="Y826" s="326"/>
      <c r="Z826" s="326"/>
      <c r="AA826" s="327"/>
      <c r="AB826" s="519" t="s">
        <v>303</v>
      </c>
      <c r="AC826" s="326"/>
      <c r="AD826" s="326"/>
      <c r="AE826" s="327"/>
      <c r="AF826" s="520"/>
      <c r="AG826" s="327"/>
      <c r="AH826" s="520"/>
      <c r="AI826" s="327"/>
      <c r="AJ826" s="536"/>
      <c r="AK826" s="327"/>
      <c r="AL826" s="556" t="s">
        <v>334</v>
      </c>
      <c r="AM826" s="327"/>
      <c r="AN826" s="553" t="s">
        <v>334</v>
      </c>
      <c r="AO826" s="327"/>
      <c r="AP826" s="554"/>
      <c r="AQ826" s="327"/>
      <c r="AR826" s="555"/>
      <c r="AS826" s="327"/>
      <c r="AT826" s="549"/>
      <c r="AU826" s="327"/>
      <c r="AV826" s="553" t="s">
        <v>334</v>
      </c>
      <c r="AW826" s="327"/>
      <c r="AX826" s="521"/>
      <c r="AY826" s="326"/>
      <c r="AZ826" s="327"/>
      <c r="BA826" s="536"/>
      <c r="BB826" s="327"/>
      <c r="BC826" s="22"/>
      <c r="BD826" s="551" t="s">
        <v>334</v>
      </c>
      <c r="BE826" s="327"/>
      <c r="BF826" s="552"/>
      <c r="BG826" s="326"/>
      <c r="BH826" s="326"/>
      <c r="BI826" s="327"/>
      <c r="BJ826" s="451" t="s">
        <v>303</v>
      </c>
      <c r="BK826" s="326"/>
      <c r="BL826" s="326"/>
      <c r="BM826" s="327"/>
      <c r="BN826" s="558" t="s">
        <v>303</v>
      </c>
      <c r="BO826" s="326"/>
      <c r="BP826" s="326"/>
      <c r="BQ826" s="326"/>
      <c r="BR826" s="326"/>
      <c r="BS826" s="326"/>
      <c r="BT826" s="326"/>
      <c r="BU826" s="326"/>
      <c r="BV826" s="327"/>
    </row>
    <row r="827" spans="1:74" ht="45" customHeight="1" x14ac:dyDescent="0.25">
      <c r="A827" s="10">
        <f t="shared" si="3"/>
        <v>813</v>
      </c>
      <c r="B827" s="559" t="s">
        <v>303</v>
      </c>
      <c r="C827" s="327"/>
      <c r="D827" s="560" t="s">
        <v>307</v>
      </c>
      <c r="E827" s="327"/>
      <c r="F827" s="537" t="s">
        <v>334</v>
      </c>
      <c r="G827" s="327"/>
      <c r="H827" s="566" t="s">
        <v>334</v>
      </c>
      <c r="I827" s="327"/>
      <c r="J827" s="567"/>
      <c r="K827" s="327"/>
      <c r="L827" s="567"/>
      <c r="M827" s="327"/>
      <c r="N827" s="23"/>
      <c r="O827" s="24"/>
      <c r="P827" s="563"/>
      <c r="Q827" s="327"/>
      <c r="R827" s="538"/>
      <c r="S827" s="327"/>
      <c r="T827" s="539"/>
      <c r="U827" s="327"/>
      <c r="V827" s="540"/>
      <c r="W827" s="327"/>
      <c r="X827" s="541" t="s">
        <v>303</v>
      </c>
      <c r="Y827" s="326"/>
      <c r="Z827" s="326"/>
      <c r="AA827" s="327"/>
      <c r="AB827" s="542" t="s">
        <v>303</v>
      </c>
      <c r="AC827" s="326"/>
      <c r="AD827" s="326"/>
      <c r="AE827" s="327"/>
      <c r="AF827" s="543"/>
      <c r="AG827" s="327"/>
      <c r="AH827" s="543"/>
      <c r="AI827" s="327"/>
      <c r="AJ827" s="536"/>
      <c r="AK827" s="327"/>
      <c r="AL827" s="537" t="s">
        <v>334</v>
      </c>
      <c r="AM827" s="327"/>
      <c r="AN827" s="546" t="s">
        <v>334</v>
      </c>
      <c r="AO827" s="327"/>
      <c r="AP827" s="547"/>
      <c r="AQ827" s="327"/>
      <c r="AR827" s="548"/>
      <c r="AS827" s="327"/>
      <c r="AT827" s="549"/>
      <c r="AU827" s="327"/>
      <c r="AV827" s="546" t="s">
        <v>334</v>
      </c>
      <c r="AW827" s="327"/>
      <c r="AX827" s="521"/>
      <c r="AY827" s="326"/>
      <c r="AZ827" s="327"/>
      <c r="BA827" s="550"/>
      <c r="BB827" s="327"/>
      <c r="BC827" s="25"/>
      <c r="BD827" s="544" t="s">
        <v>334</v>
      </c>
      <c r="BE827" s="327"/>
      <c r="BF827" s="545"/>
      <c r="BG827" s="326"/>
      <c r="BH827" s="326"/>
      <c r="BI827" s="327"/>
      <c r="BJ827" s="557" t="s">
        <v>303</v>
      </c>
      <c r="BK827" s="326"/>
      <c r="BL827" s="326"/>
      <c r="BM827" s="327"/>
      <c r="BN827" s="558" t="s">
        <v>303</v>
      </c>
      <c r="BO827" s="326"/>
      <c r="BP827" s="326"/>
      <c r="BQ827" s="326"/>
      <c r="BR827" s="326"/>
      <c r="BS827" s="326"/>
      <c r="BT827" s="326"/>
      <c r="BU827" s="326"/>
      <c r="BV827" s="327"/>
    </row>
    <row r="828" spans="1:74" ht="45" customHeight="1" x14ac:dyDescent="0.25">
      <c r="A828" s="10">
        <f t="shared" si="3"/>
        <v>814</v>
      </c>
      <c r="B828" s="564" t="s">
        <v>303</v>
      </c>
      <c r="C828" s="327"/>
      <c r="D828" s="565" t="s">
        <v>307</v>
      </c>
      <c r="E828" s="327"/>
      <c r="F828" s="537" t="s">
        <v>334</v>
      </c>
      <c r="G828" s="327"/>
      <c r="H828" s="561" t="s">
        <v>334</v>
      </c>
      <c r="I828" s="327"/>
      <c r="J828" s="26"/>
      <c r="K828" s="27"/>
      <c r="L828" s="26"/>
      <c r="M828" s="27"/>
      <c r="N828" s="20"/>
      <c r="O828" s="21"/>
      <c r="P828" s="524"/>
      <c r="Q828" s="327"/>
      <c r="R828" s="516"/>
      <c r="S828" s="327"/>
      <c r="T828" s="517"/>
      <c r="U828" s="327"/>
      <c r="V828" s="518"/>
      <c r="W828" s="327"/>
      <c r="X828" s="438" t="s">
        <v>303</v>
      </c>
      <c r="Y828" s="326"/>
      <c r="Z828" s="326"/>
      <c r="AA828" s="327"/>
      <c r="AB828" s="519" t="s">
        <v>303</v>
      </c>
      <c r="AC828" s="326"/>
      <c r="AD828" s="326"/>
      <c r="AE828" s="327"/>
      <c r="AF828" s="520"/>
      <c r="AG828" s="327"/>
      <c r="AH828" s="520"/>
      <c r="AI828" s="327"/>
      <c r="AJ828" s="536"/>
      <c r="AK828" s="327"/>
      <c r="AL828" s="556" t="s">
        <v>334</v>
      </c>
      <c r="AM828" s="327"/>
      <c r="AN828" s="553" t="s">
        <v>334</v>
      </c>
      <c r="AO828" s="327"/>
      <c r="AP828" s="554"/>
      <c r="AQ828" s="327"/>
      <c r="AR828" s="555"/>
      <c r="AS828" s="327"/>
      <c r="AT828" s="549"/>
      <c r="AU828" s="327"/>
      <c r="AV828" s="553" t="s">
        <v>334</v>
      </c>
      <c r="AW828" s="327"/>
      <c r="AX828" s="521"/>
      <c r="AY828" s="326"/>
      <c r="AZ828" s="327"/>
      <c r="BA828" s="536"/>
      <c r="BB828" s="327"/>
      <c r="BC828" s="22"/>
      <c r="BD828" s="551" t="s">
        <v>334</v>
      </c>
      <c r="BE828" s="327"/>
      <c r="BF828" s="552"/>
      <c r="BG828" s="326"/>
      <c r="BH828" s="326"/>
      <c r="BI828" s="327"/>
      <c r="BJ828" s="451" t="s">
        <v>303</v>
      </c>
      <c r="BK828" s="326"/>
      <c r="BL828" s="326"/>
      <c r="BM828" s="327"/>
      <c r="BN828" s="558" t="s">
        <v>303</v>
      </c>
      <c r="BO828" s="326"/>
      <c r="BP828" s="326"/>
      <c r="BQ828" s="326"/>
      <c r="BR828" s="326"/>
      <c r="BS828" s="326"/>
      <c r="BT828" s="326"/>
      <c r="BU828" s="326"/>
      <c r="BV828" s="327"/>
    </row>
    <row r="829" spans="1:74" ht="45" customHeight="1" x14ac:dyDescent="0.25">
      <c r="A829" s="10">
        <f t="shared" si="3"/>
        <v>815</v>
      </c>
      <c r="B829" s="559" t="s">
        <v>303</v>
      </c>
      <c r="C829" s="327"/>
      <c r="D829" s="560" t="s">
        <v>307</v>
      </c>
      <c r="E829" s="327"/>
      <c r="F829" s="537" t="s">
        <v>334</v>
      </c>
      <c r="G829" s="327"/>
      <c r="H829" s="566" t="s">
        <v>334</v>
      </c>
      <c r="I829" s="327"/>
      <c r="J829" s="567"/>
      <c r="K829" s="327"/>
      <c r="L829" s="567"/>
      <c r="M829" s="327"/>
      <c r="N829" s="23"/>
      <c r="O829" s="24"/>
      <c r="P829" s="563"/>
      <c r="Q829" s="327"/>
      <c r="R829" s="538"/>
      <c r="S829" s="327"/>
      <c r="T829" s="539"/>
      <c r="U829" s="327"/>
      <c r="V829" s="540"/>
      <c r="W829" s="327"/>
      <c r="X829" s="541" t="s">
        <v>303</v>
      </c>
      <c r="Y829" s="326"/>
      <c r="Z829" s="326"/>
      <c r="AA829" s="327"/>
      <c r="AB829" s="542" t="s">
        <v>303</v>
      </c>
      <c r="AC829" s="326"/>
      <c r="AD829" s="326"/>
      <c r="AE829" s="327"/>
      <c r="AF829" s="543"/>
      <c r="AG829" s="327"/>
      <c r="AH829" s="543"/>
      <c r="AI829" s="327"/>
      <c r="AJ829" s="536"/>
      <c r="AK829" s="327"/>
      <c r="AL829" s="537" t="s">
        <v>334</v>
      </c>
      <c r="AM829" s="327"/>
      <c r="AN829" s="546" t="s">
        <v>334</v>
      </c>
      <c r="AO829" s="327"/>
      <c r="AP829" s="547"/>
      <c r="AQ829" s="327"/>
      <c r="AR829" s="548"/>
      <c r="AS829" s="327"/>
      <c r="AT829" s="568"/>
      <c r="AU829" s="327"/>
      <c r="AV829" s="546" t="s">
        <v>334</v>
      </c>
      <c r="AW829" s="327"/>
      <c r="AX829" s="521"/>
      <c r="AY829" s="326"/>
      <c r="AZ829" s="327"/>
      <c r="BA829" s="550"/>
      <c r="BB829" s="327"/>
      <c r="BC829" s="25"/>
      <c r="BD829" s="544" t="s">
        <v>334</v>
      </c>
      <c r="BE829" s="327"/>
      <c r="BF829" s="545"/>
      <c r="BG829" s="326"/>
      <c r="BH829" s="326"/>
      <c r="BI829" s="327"/>
      <c r="BJ829" s="557" t="s">
        <v>303</v>
      </c>
      <c r="BK829" s="326"/>
      <c r="BL829" s="326"/>
      <c r="BM829" s="327"/>
      <c r="BN829" s="558" t="s">
        <v>303</v>
      </c>
      <c r="BO829" s="326"/>
      <c r="BP829" s="326"/>
      <c r="BQ829" s="326"/>
      <c r="BR829" s="326"/>
      <c r="BS829" s="326"/>
      <c r="BT829" s="326"/>
      <c r="BU829" s="326"/>
      <c r="BV829" s="327"/>
    </row>
    <row r="830" spans="1:74" ht="45" customHeight="1" x14ac:dyDescent="0.25">
      <c r="A830" s="10">
        <f t="shared" si="3"/>
        <v>816</v>
      </c>
      <c r="B830" s="564" t="s">
        <v>303</v>
      </c>
      <c r="C830" s="327"/>
      <c r="D830" s="565" t="s">
        <v>307</v>
      </c>
      <c r="E830" s="327"/>
      <c r="F830" s="537" t="s">
        <v>334</v>
      </c>
      <c r="G830" s="327"/>
      <c r="H830" s="561" t="s">
        <v>334</v>
      </c>
      <c r="I830" s="327"/>
      <c r="J830" s="26"/>
      <c r="K830" s="27"/>
      <c r="L830" s="26"/>
      <c r="M830" s="27"/>
      <c r="N830" s="20"/>
      <c r="O830" s="21"/>
      <c r="P830" s="524"/>
      <c r="Q830" s="327"/>
      <c r="R830" s="516"/>
      <c r="S830" s="327"/>
      <c r="T830" s="517"/>
      <c r="U830" s="327"/>
      <c r="V830" s="518"/>
      <c r="W830" s="327"/>
      <c r="X830" s="438" t="s">
        <v>303</v>
      </c>
      <c r="Y830" s="326"/>
      <c r="Z830" s="326"/>
      <c r="AA830" s="327"/>
      <c r="AB830" s="519" t="s">
        <v>303</v>
      </c>
      <c r="AC830" s="326"/>
      <c r="AD830" s="326"/>
      <c r="AE830" s="327"/>
      <c r="AF830" s="520"/>
      <c r="AG830" s="327"/>
      <c r="AH830" s="520"/>
      <c r="AI830" s="327"/>
      <c r="AJ830" s="536"/>
      <c r="AK830" s="327"/>
      <c r="AL830" s="556" t="s">
        <v>334</v>
      </c>
      <c r="AM830" s="327"/>
      <c r="AN830" s="553" t="s">
        <v>334</v>
      </c>
      <c r="AO830" s="327"/>
      <c r="AP830" s="554"/>
      <c r="AQ830" s="327"/>
      <c r="AR830" s="555"/>
      <c r="AS830" s="327"/>
      <c r="AT830" s="549"/>
      <c r="AU830" s="327"/>
      <c r="AV830" s="553" t="s">
        <v>334</v>
      </c>
      <c r="AW830" s="327"/>
      <c r="AX830" s="521"/>
      <c r="AY830" s="326"/>
      <c r="AZ830" s="327"/>
      <c r="BA830" s="536"/>
      <c r="BB830" s="327"/>
      <c r="BC830" s="22"/>
      <c r="BD830" s="551" t="s">
        <v>334</v>
      </c>
      <c r="BE830" s="327"/>
      <c r="BF830" s="508"/>
      <c r="BG830" s="326"/>
      <c r="BH830" s="326"/>
      <c r="BI830" s="327"/>
      <c r="BJ830" s="451" t="s">
        <v>303</v>
      </c>
      <c r="BK830" s="326"/>
      <c r="BL830" s="326"/>
      <c r="BM830" s="327"/>
      <c r="BN830" s="558" t="s">
        <v>303</v>
      </c>
      <c r="BO830" s="326"/>
      <c r="BP830" s="326"/>
      <c r="BQ830" s="326"/>
      <c r="BR830" s="326"/>
      <c r="BS830" s="326"/>
      <c r="BT830" s="326"/>
      <c r="BU830" s="326"/>
      <c r="BV830" s="327"/>
    </row>
    <row r="831" spans="1:74" ht="45" customHeight="1" x14ac:dyDescent="0.25">
      <c r="A831" s="10">
        <f t="shared" si="3"/>
        <v>817</v>
      </c>
      <c r="B831" s="559" t="s">
        <v>303</v>
      </c>
      <c r="C831" s="327"/>
      <c r="D831" s="560" t="s">
        <v>307</v>
      </c>
      <c r="E831" s="327"/>
      <c r="F831" s="537" t="s">
        <v>334</v>
      </c>
      <c r="G831" s="327"/>
      <c r="H831" s="566" t="s">
        <v>334</v>
      </c>
      <c r="I831" s="327"/>
      <c r="J831" s="567"/>
      <c r="K831" s="327"/>
      <c r="L831" s="567"/>
      <c r="M831" s="327"/>
      <c r="N831" s="23"/>
      <c r="O831" s="24"/>
      <c r="P831" s="563"/>
      <c r="Q831" s="327"/>
      <c r="R831" s="538"/>
      <c r="S831" s="327"/>
      <c r="T831" s="539"/>
      <c r="U831" s="327"/>
      <c r="V831" s="540"/>
      <c r="W831" s="327"/>
      <c r="X831" s="541" t="s">
        <v>303</v>
      </c>
      <c r="Y831" s="326"/>
      <c r="Z831" s="326"/>
      <c r="AA831" s="327"/>
      <c r="AB831" s="542" t="s">
        <v>303</v>
      </c>
      <c r="AC831" s="326"/>
      <c r="AD831" s="326"/>
      <c r="AE831" s="327"/>
      <c r="AF831" s="543"/>
      <c r="AG831" s="327"/>
      <c r="AH831" s="543"/>
      <c r="AI831" s="327"/>
      <c r="AJ831" s="536"/>
      <c r="AK831" s="327"/>
      <c r="AL831" s="537" t="s">
        <v>334</v>
      </c>
      <c r="AM831" s="327"/>
      <c r="AN831" s="546" t="s">
        <v>334</v>
      </c>
      <c r="AO831" s="327"/>
      <c r="AP831" s="547"/>
      <c r="AQ831" s="327"/>
      <c r="AR831" s="548"/>
      <c r="AS831" s="327"/>
      <c r="AT831" s="568"/>
      <c r="AU831" s="327"/>
      <c r="AV831" s="546" t="s">
        <v>334</v>
      </c>
      <c r="AW831" s="327"/>
      <c r="AX831" s="521"/>
      <c r="AY831" s="326"/>
      <c r="AZ831" s="327"/>
      <c r="BA831" s="550"/>
      <c r="BB831" s="327"/>
      <c r="BC831" s="25"/>
      <c r="BD831" s="544" t="s">
        <v>334</v>
      </c>
      <c r="BE831" s="327"/>
      <c r="BF831" s="545"/>
      <c r="BG831" s="326"/>
      <c r="BH831" s="326"/>
      <c r="BI831" s="327"/>
      <c r="BJ831" s="557" t="s">
        <v>303</v>
      </c>
      <c r="BK831" s="326"/>
      <c r="BL831" s="326"/>
      <c r="BM831" s="327"/>
      <c r="BN831" s="558" t="s">
        <v>303</v>
      </c>
      <c r="BO831" s="326"/>
      <c r="BP831" s="326"/>
      <c r="BQ831" s="326"/>
      <c r="BR831" s="326"/>
      <c r="BS831" s="326"/>
      <c r="BT831" s="326"/>
      <c r="BU831" s="326"/>
      <c r="BV831" s="327"/>
    </row>
    <row r="832" spans="1:74" ht="45" customHeight="1" x14ac:dyDescent="0.25">
      <c r="A832" s="10">
        <f t="shared" si="3"/>
        <v>818</v>
      </c>
      <c r="B832" s="564" t="s">
        <v>303</v>
      </c>
      <c r="C832" s="327"/>
      <c r="D832" s="565" t="s">
        <v>307</v>
      </c>
      <c r="E832" s="327"/>
      <c r="F832" s="537" t="s">
        <v>334</v>
      </c>
      <c r="G832" s="327"/>
      <c r="H832" s="561" t="s">
        <v>334</v>
      </c>
      <c r="I832" s="327"/>
      <c r="J832" s="26"/>
      <c r="K832" s="27"/>
      <c r="L832" s="26"/>
      <c r="M832" s="27"/>
      <c r="N832" s="20"/>
      <c r="O832" s="21"/>
      <c r="P832" s="524"/>
      <c r="Q832" s="327"/>
      <c r="R832" s="516"/>
      <c r="S832" s="327"/>
      <c r="T832" s="517"/>
      <c r="U832" s="327"/>
      <c r="V832" s="518"/>
      <c r="W832" s="327"/>
      <c r="X832" s="438" t="s">
        <v>303</v>
      </c>
      <c r="Y832" s="326"/>
      <c r="Z832" s="326"/>
      <c r="AA832" s="327"/>
      <c r="AB832" s="519" t="s">
        <v>303</v>
      </c>
      <c r="AC832" s="326"/>
      <c r="AD832" s="326"/>
      <c r="AE832" s="327"/>
      <c r="AF832" s="520"/>
      <c r="AG832" s="327"/>
      <c r="AH832" s="520"/>
      <c r="AI832" s="327"/>
      <c r="AJ832" s="536"/>
      <c r="AK832" s="327"/>
      <c r="AL832" s="556" t="s">
        <v>334</v>
      </c>
      <c r="AM832" s="327"/>
      <c r="AN832" s="553" t="s">
        <v>334</v>
      </c>
      <c r="AO832" s="327"/>
      <c r="AP832" s="554"/>
      <c r="AQ832" s="327"/>
      <c r="AR832" s="555"/>
      <c r="AS832" s="327"/>
      <c r="AT832" s="549"/>
      <c r="AU832" s="327"/>
      <c r="AV832" s="553" t="s">
        <v>334</v>
      </c>
      <c r="AW832" s="327"/>
      <c r="AX832" s="521"/>
      <c r="AY832" s="326"/>
      <c r="AZ832" s="327"/>
      <c r="BA832" s="536"/>
      <c r="BB832" s="327"/>
      <c r="BC832" s="22"/>
      <c r="BD832" s="551" t="s">
        <v>334</v>
      </c>
      <c r="BE832" s="327"/>
      <c r="BF832" s="552"/>
      <c r="BG832" s="326"/>
      <c r="BH832" s="326"/>
      <c r="BI832" s="327"/>
      <c r="BJ832" s="451" t="s">
        <v>303</v>
      </c>
      <c r="BK832" s="326"/>
      <c r="BL832" s="326"/>
      <c r="BM832" s="327"/>
      <c r="BN832" s="558" t="s">
        <v>303</v>
      </c>
      <c r="BO832" s="326"/>
      <c r="BP832" s="326"/>
      <c r="BQ832" s="326"/>
      <c r="BR832" s="326"/>
      <c r="BS832" s="326"/>
      <c r="BT832" s="326"/>
      <c r="BU832" s="326"/>
      <c r="BV832" s="327"/>
    </row>
    <row r="833" spans="1:74" ht="45" customHeight="1" x14ac:dyDescent="0.25">
      <c r="A833" s="10">
        <f t="shared" si="3"/>
        <v>819</v>
      </c>
      <c r="B833" s="559" t="s">
        <v>303</v>
      </c>
      <c r="C833" s="327"/>
      <c r="D833" s="560" t="s">
        <v>307</v>
      </c>
      <c r="E833" s="327"/>
      <c r="F833" s="537" t="s">
        <v>334</v>
      </c>
      <c r="G833" s="327"/>
      <c r="H833" s="566" t="s">
        <v>334</v>
      </c>
      <c r="I833" s="327"/>
      <c r="J833" s="567"/>
      <c r="K833" s="327"/>
      <c r="L833" s="567"/>
      <c r="M833" s="327"/>
      <c r="N833" s="23"/>
      <c r="O833" s="24"/>
      <c r="P833" s="563"/>
      <c r="Q833" s="327"/>
      <c r="R833" s="538"/>
      <c r="S833" s="327"/>
      <c r="T833" s="539"/>
      <c r="U833" s="327"/>
      <c r="V833" s="540"/>
      <c r="W833" s="327"/>
      <c r="X833" s="541" t="s">
        <v>303</v>
      </c>
      <c r="Y833" s="326"/>
      <c r="Z833" s="326"/>
      <c r="AA833" s="327"/>
      <c r="AB833" s="542" t="s">
        <v>303</v>
      </c>
      <c r="AC833" s="326"/>
      <c r="AD833" s="326"/>
      <c r="AE833" s="327"/>
      <c r="AF833" s="543"/>
      <c r="AG833" s="327"/>
      <c r="AH833" s="543"/>
      <c r="AI833" s="327"/>
      <c r="AJ833" s="536"/>
      <c r="AK833" s="327"/>
      <c r="AL833" s="537" t="s">
        <v>334</v>
      </c>
      <c r="AM833" s="327"/>
      <c r="AN833" s="546" t="s">
        <v>334</v>
      </c>
      <c r="AO833" s="327"/>
      <c r="AP833" s="547"/>
      <c r="AQ833" s="327"/>
      <c r="AR833" s="548"/>
      <c r="AS833" s="327"/>
      <c r="AT833" s="568"/>
      <c r="AU833" s="327"/>
      <c r="AV833" s="546" t="s">
        <v>334</v>
      </c>
      <c r="AW833" s="327"/>
      <c r="AX833" s="521"/>
      <c r="AY833" s="326"/>
      <c r="AZ833" s="327"/>
      <c r="BA833" s="550"/>
      <c r="BB833" s="327"/>
      <c r="BC833" s="25"/>
      <c r="BD833" s="544" t="s">
        <v>334</v>
      </c>
      <c r="BE833" s="327"/>
      <c r="BF833" s="545"/>
      <c r="BG833" s="326"/>
      <c r="BH833" s="326"/>
      <c r="BI833" s="327"/>
      <c r="BJ833" s="557" t="s">
        <v>303</v>
      </c>
      <c r="BK833" s="326"/>
      <c r="BL833" s="326"/>
      <c r="BM833" s="327"/>
      <c r="BN833" s="558" t="s">
        <v>303</v>
      </c>
      <c r="BO833" s="326"/>
      <c r="BP833" s="326"/>
      <c r="BQ833" s="326"/>
      <c r="BR833" s="326"/>
      <c r="BS833" s="326"/>
      <c r="BT833" s="326"/>
      <c r="BU833" s="326"/>
      <c r="BV833" s="327"/>
    </row>
    <row r="834" spans="1:74" ht="45" customHeight="1" x14ac:dyDescent="0.25">
      <c r="A834" s="10">
        <f t="shared" si="3"/>
        <v>820</v>
      </c>
      <c r="B834" s="564" t="s">
        <v>303</v>
      </c>
      <c r="C834" s="327"/>
      <c r="D834" s="565" t="s">
        <v>307</v>
      </c>
      <c r="E834" s="327"/>
      <c r="F834" s="537" t="s">
        <v>334</v>
      </c>
      <c r="G834" s="327"/>
      <c r="H834" s="561" t="s">
        <v>334</v>
      </c>
      <c r="I834" s="327"/>
      <c r="J834" s="26"/>
      <c r="K834" s="27"/>
      <c r="L834" s="26"/>
      <c r="M834" s="27"/>
      <c r="N834" s="20"/>
      <c r="O834" s="21"/>
      <c r="P834" s="524"/>
      <c r="Q834" s="327"/>
      <c r="R834" s="516"/>
      <c r="S834" s="327"/>
      <c r="T834" s="517"/>
      <c r="U834" s="327"/>
      <c r="V834" s="518"/>
      <c r="W834" s="327"/>
      <c r="X834" s="438" t="s">
        <v>303</v>
      </c>
      <c r="Y834" s="326"/>
      <c r="Z834" s="326"/>
      <c r="AA834" s="327"/>
      <c r="AB834" s="519" t="s">
        <v>303</v>
      </c>
      <c r="AC834" s="326"/>
      <c r="AD834" s="326"/>
      <c r="AE834" s="327"/>
      <c r="AF834" s="520"/>
      <c r="AG834" s="327"/>
      <c r="AH834" s="520"/>
      <c r="AI834" s="327"/>
      <c r="AJ834" s="536"/>
      <c r="AK834" s="327"/>
      <c r="AL834" s="556" t="s">
        <v>334</v>
      </c>
      <c r="AM834" s="327"/>
      <c r="AN834" s="553" t="s">
        <v>334</v>
      </c>
      <c r="AO834" s="327"/>
      <c r="AP834" s="554"/>
      <c r="AQ834" s="327"/>
      <c r="AR834" s="555"/>
      <c r="AS834" s="327"/>
      <c r="AT834" s="549"/>
      <c r="AU834" s="327"/>
      <c r="AV834" s="553" t="s">
        <v>334</v>
      </c>
      <c r="AW834" s="327"/>
      <c r="AX834" s="521"/>
      <c r="AY834" s="326"/>
      <c r="AZ834" s="327"/>
      <c r="BA834" s="536"/>
      <c r="BB834" s="327"/>
      <c r="BC834" s="22"/>
      <c r="BD834" s="551" t="s">
        <v>334</v>
      </c>
      <c r="BE834" s="327"/>
      <c r="BF834" s="552"/>
      <c r="BG834" s="326"/>
      <c r="BH834" s="326"/>
      <c r="BI834" s="327"/>
      <c r="BJ834" s="451" t="s">
        <v>303</v>
      </c>
      <c r="BK834" s="326"/>
      <c r="BL834" s="326"/>
      <c r="BM834" s="327"/>
      <c r="BN834" s="558" t="s">
        <v>303</v>
      </c>
      <c r="BO834" s="326"/>
      <c r="BP834" s="326"/>
      <c r="BQ834" s="326"/>
      <c r="BR834" s="326"/>
      <c r="BS834" s="326"/>
      <c r="BT834" s="326"/>
      <c r="BU834" s="326"/>
      <c r="BV834" s="327"/>
    </row>
    <row r="835" spans="1:74" ht="45" customHeight="1" x14ac:dyDescent="0.25">
      <c r="A835" s="10">
        <f t="shared" si="3"/>
        <v>821</v>
      </c>
      <c r="B835" s="559" t="s">
        <v>303</v>
      </c>
      <c r="C835" s="327"/>
      <c r="D835" s="560" t="s">
        <v>307</v>
      </c>
      <c r="E835" s="327"/>
      <c r="F835" s="537" t="s">
        <v>334</v>
      </c>
      <c r="G835" s="327"/>
      <c r="H835" s="566" t="s">
        <v>334</v>
      </c>
      <c r="I835" s="327"/>
      <c r="J835" s="567"/>
      <c r="K835" s="327"/>
      <c r="L835" s="567"/>
      <c r="M835" s="327"/>
      <c r="N835" s="23"/>
      <c r="O835" s="24"/>
      <c r="P835" s="563"/>
      <c r="Q835" s="327"/>
      <c r="R835" s="538"/>
      <c r="S835" s="327"/>
      <c r="T835" s="539"/>
      <c r="U835" s="327"/>
      <c r="V835" s="540"/>
      <c r="W835" s="327"/>
      <c r="X835" s="541" t="s">
        <v>303</v>
      </c>
      <c r="Y835" s="326"/>
      <c r="Z835" s="326"/>
      <c r="AA835" s="327"/>
      <c r="AB835" s="542" t="s">
        <v>303</v>
      </c>
      <c r="AC835" s="326"/>
      <c r="AD835" s="326"/>
      <c r="AE835" s="327"/>
      <c r="AF835" s="543"/>
      <c r="AG835" s="327"/>
      <c r="AH835" s="543"/>
      <c r="AI835" s="327"/>
      <c r="AJ835" s="536"/>
      <c r="AK835" s="327"/>
      <c r="AL835" s="537" t="s">
        <v>334</v>
      </c>
      <c r="AM835" s="327"/>
      <c r="AN835" s="546" t="s">
        <v>334</v>
      </c>
      <c r="AO835" s="327"/>
      <c r="AP835" s="547"/>
      <c r="AQ835" s="327"/>
      <c r="AR835" s="548"/>
      <c r="AS835" s="327"/>
      <c r="AT835" s="568"/>
      <c r="AU835" s="327"/>
      <c r="AV835" s="546" t="s">
        <v>334</v>
      </c>
      <c r="AW835" s="327"/>
      <c r="AX835" s="521"/>
      <c r="AY835" s="326"/>
      <c r="AZ835" s="327"/>
      <c r="BA835" s="550"/>
      <c r="BB835" s="327"/>
      <c r="BC835" s="25"/>
      <c r="BD835" s="544" t="s">
        <v>334</v>
      </c>
      <c r="BE835" s="327"/>
      <c r="BF835" s="545"/>
      <c r="BG835" s="326"/>
      <c r="BH835" s="326"/>
      <c r="BI835" s="327"/>
      <c r="BJ835" s="557" t="s">
        <v>303</v>
      </c>
      <c r="BK835" s="326"/>
      <c r="BL835" s="326"/>
      <c r="BM835" s="327"/>
      <c r="BN835" s="558" t="s">
        <v>303</v>
      </c>
      <c r="BO835" s="326"/>
      <c r="BP835" s="326"/>
      <c r="BQ835" s="326"/>
      <c r="BR835" s="326"/>
      <c r="BS835" s="326"/>
      <c r="BT835" s="326"/>
      <c r="BU835" s="326"/>
      <c r="BV835" s="327"/>
    </row>
    <row r="836" spans="1:74" ht="45" customHeight="1" x14ac:dyDescent="0.25">
      <c r="A836" s="10">
        <f t="shared" si="3"/>
        <v>822</v>
      </c>
      <c r="B836" s="564" t="s">
        <v>303</v>
      </c>
      <c r="C836" s="327"/>
      <c r="D836" s="565" t="s">
        <v>307</v>
      </c>
      <c r="E836" s="327"/>
      <c r="F836" s="537" t="s">
        <v>334</v>
      </c>
      <c r="G836" s="327"/>
      <c r="H836" s="561" t="s">
        <v>334</v>
      </c>
      <c r="I836" s="327"/>
      <c r="J836" s="26"/>
      <c r="K836" s="27"/>
      <c r="L836" s="26"/>
      <c r="M836" s="27"/>
      <c r="N836" s="20"/>
      <c r="O836" s="21"/>
      <c r="P836" s="524"/>
      <c r="Q836" s="327"/>
      <c r="R836" s="516"/>
      <c r="S836" s="327"/>
      <c r="T836" s="517"/>
      <c r="U836" s="327"/>
      <c r="V836" s="518"/>
      <c r="W836" s="327"/>
      <c r="X836" s="438" t="s">
        <v>303</v>
      </c>
      <c r="Y836" s="326"/>
      <c r="Z836" s="326"/>
      <c r="AA836" s="327"/>
      <c r="AB836" s="519" t="s">
        <v>303</v>
      </c>
      <c r="AC836" s="326"/>
      <c r="AD836" s="326"/>
      <c r="AE836" s="327"/>
      <c r="AF836" s="520"/>
      <c r="AG836" s="327"/>
      <c r="AH836" s="520"/>
      <c r="AI836" s="327"/>
      <c r="AJ836" s="536"/>
      <c r="AK836" s="327"/>
      <c r="AL836" s="556" t="s">
        <v>334</v>
      </c>
      <c r="AM836" s="327"/>
      <c r="AN836" s="553" t="s">
        <v>334</v>
      </c>
      <c r="AO836" s="327"/>
      <c r="AP836" s="554"/>
      <c r="AQ836" s="327"/>
      <c r="AR836" s="555"/>
      <c r="AS836" s="327"/>
      <c r="AT836" s="549"/>
      <c r="AU836" s="327"/>
      <c r="AV836" s="553" t="s">
        <v>334</v>
      </c>
      <c r="AW836" s="327"/>
      <c r="AX836" s="521"/>
      <c r="AY836" s="326"/>
      <c r="AZ836" s="327"/>
      <c r="BA836" s="536"/>
      <c r="BB836" s="327"/>
      <c r="BC836" s="22"/>
      <c r="BD836" s="551" t="s">
        <v>334</v>
      </c>
      <c r="BE836" s="327"/>
      <c r="BF836" s="508"/>
      <c r="BG836" s="326"/>
      <c r="BH836" s="326"/>
      <c r="BI836" s="327"/>
      <c r="BJ836" s="451" t="s">
        <v>303</v>
      </c>
      <c r="BK836" s="326"/>
      <c r="BL836" s="326"/>
      <c r="BM836" s="327"/>
      <c r="BN836" s="558" t="s">
        <v>303</v>
      </c>
      <c r="BO836" s="326"/>
      <c r="BP836" s="326"/>
      <c r="BQ836" s="326"/>
      <c r="BR836" s="326"/>
      <c r="BS836" s="326"/>
      <c r="BT836" s="326"/>
      <c r="BU836" s="326"/>
      <c r="BV836" s="327"/>
    </row>
    <row r="837" spans="1:74" ht="45" customHeight="1" x14ac:dyDescent="0.25">
      <c r="A837" s="10">
        <f t="shared" si="3"/>
        <v>823</v>
      </c>
      <c r="B837" s="559" t="s">
        <v>303</v>
      </c>
      <c r="C837" s="327"/>
      <c r="D837" s="560" t="s">
        <v>307</v>
      </c>
      <c r="E837" s="327"/>
      <c r="F837" s="537" t="s">
        <v>334</v>
      </c>
      <c r="G837" s="327"/>
      <c r="H837" s="566" t="s">
        <v>334</v>
      </c>
      <c r="I837" s="327"/>
      <c r="J837" s="567"/>
      <c r="K837" s="327"/>
      <c r="L837" s="567"/>
      <c r="M837" s="327"/>
      <c r="N837" s="23"/>
      <c r="O837" s="24"/>
      <c r="P837" s="563"/>
      <c r="Q837" s="327"/>
      <c r="R837" s="538"/>
      <c r="S837" s="327"/>
      <c r="T837" s="539"/>
      <c r="U837" s="327"/>
      <c r="V837" s="540"/>
      <c r="W837" s="327"/>
      <c r="X837" s="541" t="s">
        <v>303</v>
      </c>
      <c r="Y837" s="326"/>
      <c r="Z837" s="326"/>
      <c r="AA837" s="327"/>
      <c r="AB837" s="542" t="s">
        <v>303</v>
      </c>
      <c r="AC837" s="326"/>
      <c r="AD837" s="326"/>
      <c r="AE837" s="327"/>
      <c r="AF837" s="543"/>
      <c r="AG837" s="327"/>
      <c r="AH837" s="543"/>
      <c r="AI837" s="327"/>
      <c r="AJ837" s="536"/>
      <c r="AK837" s="327"/>
      <c r="AL837" s="537" t="s">
        <v>334</v>
      </c>
      <c r="AM837" s="327"/>
      <c r="AN837" s="546" t="s">
        <v>334</v>
      </c>
      <c r="AO837" s="327"/>
      <c r="AP837" s="547"/>
      <c r="AQ837" s="327"/>
      <c r="AR837" s="548"/>
      <c r="AS837" s="327"/>
      <c r="AT837" s="568"/>
      <c r="AU837" s="327"/>
      <c r="AV837" s="546" t="s">
        <v>334</v>
      </c>
      <c r="AW837" s="327"/>
      <c r="AX837" s="521"/>
      <c r="AY837" s="326"/>
      <c r="AZ837" s="327"/>
      <c r="BA837" s="550"/>
      <c r="BB837" s="327"/>
      <c r="BC837" s="25"/>
      <c r="BD837" s="544" t="s">
        <v>334</v>
      </c>
      <c r="BE837" s="327"/>
      <c r="BF837" s="545"/>
      <c r="BG837" s="326"/>
      <c r="BH837" s="326"/>
      <c r="BI837" s="327"/>
      <c r="BJ837" s="557" t="s">
        <v>303</v>
      </c>
      <c r="BK837" s="326"/>
      <c r="BL837" s="326"/>
      <c r="BM837" s="327"/>
      <c r="BN837" s="558" t="s">
        <v>303</v>
      </c>
      <c r="BO837" s="326"/>
      <c r="BP837" s="326"/>
      <c r="BQ837" s="326"/>
      <c r="BR837" s="326"/>
      <c r="BS837" s="326"/>
      <c r="BT837" s="326"/>
      <c r="BU837" s="326"/>
      <c r="BV837" s="327"/>
    </row>
    <row r="838" spans="1:74" ht="45" customHeight="1" x14ac:dyDescent="0.25">
      <c r="A838" s="10">
        <f t="shared" si="3"/>
        <v>824</v>
      </c>
      <c r="B838" s="564" t="s">
        <v>303</v>
      </c>
      <c r="C838" s="327"/>
      <c r="D838" s="565" t="s">
        <v>307</v>
      </c>
      <c r="E838" s="327"/>
      <c r="F838" s="537" t="s">
        <v>334</v>
      </c>
      <c r="G838" s="327"/>
      <c r="H838" s="561" t="s">
        <v>334</v>
      </c>
      <c r="I838" s="327"/>
      <c r="J838" s="26"/>
      <c r="K838" s="27"/>
      <c r="L838" s="26"/>
      <c r="M838" s="27"/>
      <c r="N838" s="20"/>
      <c r="O838" s="21"/>
      <c r="P838" s="524"/>
      <c r="Q838" s="327"/>
      <c r="R838" s="516"/>
      <c r="S838" s="327"/>
      <c r="T838" s="517"/>
      <c r="U838" s="327"/>
      <c r="V838" s="518"/>
      <c r="W838" s="327"/>
      <c r="X838" s="438" t="s">
        <v>303</v>
      </c>
      <c r="Y838" s="326"/>
      <c r="Z838" s="326"/>
      <c r="AA838" s="327"/>
      <c r="AB838" s="519" t="s">
        <v>303</v>
      </c>
      <c r="AC838" s="326"/>
      <c r="AD838" s="326"/>
      <c r="AE838" s="327"/>
      <c r="AF838" s="520"/>
      <c r="AG838" s="327"/>
      <c r="AH838" s="520"/>
      <c r="AI838" s="327"/>
      <c r="AJ838" s="536"/>
      <c r="AK838" s="327"/>
      <c r="AL838" s="556" t="s">
        <v>334</v>
      </c>
      <c r="AM838" s="327"/>
      <c r="AN838" s="553" t="s">
        <v>334</v>
      </c>
      <c r="AO838" s="327"/>
      <c r="AP838" s="554"/>
      <c r="AQ838" s="327"/>
      <c r="AR838" s="555"/>
      <c r="AS838" s="327"/>
      <c r="AT838" s="549"/>
      <c r="AU838" s="327"/>
      <c r="AV838" s="553" t="s">
        <v>334</v>
      </c>
      <c r="AW838" s="327"/>
      <c r="AX838" s="521"/>
      <c r="AY838" s="326"/>
      <c r="AZ838" s="327"/>
      <c r="BA838" s="536"/>
      <c r="BB838" s="327"/>
      <c r="BC838" s="22"/>
      <c r="BD838" s="551" t="s">
        <v>334</v>
      </c>
      <c r="BE838" s="327"/>
      <c r="BF838" s="552"/>
      <c r="BG838" s="326"/>
      <c r="BH838" s="326"/>
      <c r="BI838" s="327"/>
      <c r="BJ838" s="451" t="s">
        <v>303</v>
      </c>
      <c r="BK838" s="326"/>
      <c r="BL838" s="326"/>
      <c r="BM838" s="327"/>
      <c r="BN838" s="558" t="s">
        <v>303</v>
      </c>
      <c r="BO838" s="326"/>
      <c r="BP838" s="326"/>
      <c r="BQ838" s="326"/>
      <c r="BR838" s="326"/>
      <c r="BS838" s="326"/>
      <c r="BT838" s="326"/>
      <c r="BU838" s="326"/>
      <c r="BV838" s="327"/>
    </row>
    <row r="839" spans="1:74" ht="45" customHeight="1" x14ac:dyDescent="0.25">
      <c r="A839" s="10">
        <f t="shared" si="3"/>
        <v>825</v>
      </c>
      <c r="B839" s="559" t="s">
        <v>303</v>
      </c>
      <c r="C839" s="327"/>
      <c r="D839" s="560" t="s">
        <v>307</v>
      </c>
      <c r="E839" s="327"/>
      <c r="F839" s="537" t="s">
        <v>334</v>
      </c>
      <c r="G839" s="327"/>
      <c r="H839" s="566" t="s">
        <v>334</v>
      </c>
      <c r="I839" s="327"/>
      <c r="J839" s="567"/>
      <c r="K839" s="327"/>
      <c r="L839" s="567"/>
      <c r="M839" s="327"/>
      <c r="N839" s="23"/>
      <c r="O839" s="24"/>
      <c r="P839" s="563"/>
      <c r="Q839" s="327"/>
      <c r="R839" s="538"/>
      <c r="S839" s="327"/>
      <c r="T839" s="539"/>
      <c r="U839" s="327"/>
      <c r="V839" s="540"/>
      <c r="W839" s="327"/>
      <c r="X839" s="541" t="s">
        <v>303</v>
      </c>
      <c r="Y839" s="326"/>
      <c r="Z839" s="326"/>
      <c r="AA839" s="327"/>
      <c r="AB839" s="542" t="s">
        <v>303</v>
      </c>
      <c r="AC839" s="326"/>
      <c r="AD839" s="326"/>
      <c r="AE839" s="327"/>
      <c r="AF839" s="543"/>
      <c r="AG839" s="327"/>
      <c r="AH839" s="543"/>
      <c r="AI839" s="327"/>
      <c r="AJ839" s="536"/>
      <c r="AK839" s="327"/>
      <c r="AL839" s="537" t="s">
        <v>334</v>
      </c>
      <c r="AM839" s="327"/>
      <c r="AN839" s="546" t="s">
        <v>334</v>
      </c>
      <c r="AO839" s="327"/>
      <c r="AP839" s="547"/>
      <c r="AQ839" s="327"/>
      <c r="AR839" s="548"/>
      <c r="AS839" s="327"/>
      <c r="AT839" s="549"/>
      <c r="AU839" s="327"/>
      <c r="AV839" s="546" t="s">
        <v>334</v>
      </c>
      <c r="AW839" s="327"/>
      <c r="AX839" s="521"/>
      <c r="AY839" s="326"/>
      <c r="AZ839" s="327"/>
      <c r="BA839" s="550"/>
      <c r="BB839" s="327"/>
      <c r="BC839" s="25"/>
      <c r="BD839" s="544" t="s">
        <v>334</v>
      </c>
      <c r="BE839" s="327"/>
      <c r="BF839" s="545"/>
      <c r="BG839" s="326"/>
      <c r="BH839" s="326"/>
      <c r="BI839" s="327"/>
      <c r="BJ839" s="557" t="s">
        <v>303</v>
      </c>
      <c r="BK839" s="326"/>
      <c r="BL839" s="326"/>
      <c r="BM839" s="327"/>
      <c r="BN839" s="558" t="s">
        <v>303</v>
      </c>
      <c r="BO839" s="326"/>
      <c r="BP839" s="326"/>
      <c r="BQ839" s="326"/>
      <c r="BR839" s="326"/>
      <c r="BS839" s="326"/>
      <c r="BT839" s="326"/>
      <c r="BU839" s="326"/>
      <c r="BV839" s="327"/>
    </row>
    <row r="840" spans="1:74" ht="45" customHeight="1" x14ac:dyDescent="0.25">
      <c r="A840" s="10">
        <f t="shared" si="3"/>
        <v>826</v>
      </c>
      <c r="B840" s="564" t="s">
        <v>303</v>
      </c>
      <c r="C840" s="327"/>
      <c r="D840" s="565" t="s">
        <v>307</v>
      </c>
      <c r="E840" s="327"/>
      <c r="F840" s="537" t="s">
        <v>334</v>
      </c>
      <c r="G840" s="327"/>
      <c r="H840" s="561" t="s">
        <v>334</v>
      </c>
      <c r="I840" s="327"/>
      <c r="J840" s="26"/>
      <c r="K840" s="27"/>
      <c r="L840" s="26"/>
      <c r="M840" s="27"/>
      <c r="N840" s="20"/>
      <c r="O840" s="21"/>
      <c r="P840" s="524"/>
      <c r="Q840" s="327"/>
      <c r="R840" s="516"/>
      <c r="S840" s="327"/>
      <c r="T840" s="517"/>
      <c r="U840" s="327"/>
      <c r="V840" s="518"/>
      <c r="W840" s="327"/>
      <c r="X840" s="438" t="s">
        <v>303</v>
      </c>
      <c r="Y840" s="326"/>
      <c r="Z840" s="326"/>
      <c r="AA840" s="327"/>
      <c r="AB840" s="519" t="s">
        <v>303</v>
      </c>
      <c r="AC840" s="326"/>
      <c r="AD840" s="326"/>
      <c r="AE840" s="327"/>
      <c r="AF840" s="520"/>
      <c r="AG840" s="327"/>
      <c r="AH840" s="520"/>
      <c r="AI840" s="327"/>
      <c r="AJ840" s="536"/>
      <c r="AK840" s="327"/>
      <c r="AL840" s="556" t="s">
        <v>334</v>
      </c>
      <c r="AM840" s="327"/>
      <c r="AN840" s="553" t="s">
        <v>334</v>
      </c>
      <c r="AO840" s="327"/>
      <c r="AP840" s="554"/>
      <c r="AQ840" s="327"/>
      <c r="AR840" s="555"/>
      <c r="AS840" s="327"/>
      <c r="AT840" s="549"/>
      <c r="AU840" s="327"/>
      <c r="AV840" s="553" t="s">
        <v>334</v>
      </c>
      <c r="AW840" s="327"/>
      <c r="AX840" s="521"/>
      <c r="AY840" s="326"/>
      <c r="AZ840" s="327"/>
      <c r="BA840" s="536"/>
      <c r="BB840" s="327"/>
      <c r="BC840" s="22"/>
      <c r="BD840" s="551" t="s">
        <v>334</v>
      </c>
      <c r="BE840" s="327"/>
      <c r="BF840" s="552"/>
      <c r="BG840" s="326"/>
      <c r="BH840" s="326"/>
      <c r="BI840" s="327"/>
      <c r="BJ840" s="451" t="s">
        <v>303</v>
      </c>
      <c r="BK840" s="326"/>
      <c r="BL840" s="326"/>
      <c r="BM840" s="327"/>
      <c r="BN840" s="558" t="s">
        <v>303</v>
      </c>
      <c r="BO840" s="326"/>
      <c r="BP840" s="326"/>
      <c r="BQ840" s="326"/>
      <c r="BR840" s="326"/>
      <c r="BS840" s="326"/>
      <c r="BT840" s="326"/>
      <c r="BU840" s="326"/>
      <c r="BV840" s="327"/>
    </row>
    <row r="841" spans="1:74" ht="45" customHeight="1" x14ac:dyDescent="0.25">
      <c r="A841" s="10">
        <f t="shared" si="3"/>
        <v>827</v>
      </c>
      <c r="B841" s="559" t="s">
        <v>303</v>
      </c>
      <c r="C841" s="327"/>
      <c r="D841" s="560" t="s">
        <v>307</v>
      </c>
      <c r="E841" s="327"/>
      <c r="F841" s="537" t="s">
        <v>334</v>
      </c>
      <c r="G841" s="327"/>
      <c r="H841" s="566" t="s">
        <v>334</v>
      </c>
      <c r="I841" s="327"/>
      <c r="J841" s="567"/>
      <c r="K841" s="327"/>
      <c r="L841" s="567"/>
      <c r="M841" s="327"/>
      <c r="N841" s="23"/>
      <c r="O841" s="24"/>
      <c r="P841" s="563"/>
      <c r="Q841" s="327"/>
      <c r="R841" s="538"/>
      <c r="S841" s="327"/>
      <c r="T841" s="539"/>
      <c r="U841" s="327"/>
      <c r="V841" s="540"/>
      <c r="W841" s="327"/>
      <c r="X841" s="541" t="s">
        <v>303</v>
      </c>
      <c r="Y841" s="326"/>
      <c r="Z841" s="326"/>
      <c r="AA841" s="327"/>
      <c r="AB841" s="542" t="s">
        <v>303</v>
      </c>
      <c r="AC841" s="326"/>
      <c r="AD841" s="326"/>
      <c r="AE841" s="327"/>
      <c r="AF841" s="543"/>
      <c r="AG841" s="327"/>
      <c r="AH841" s="543"/>
      <c r="AI841" s="327"/>
      <c r="AJ841" s="536"/>
      <c r="AK841" s="327"/>
      <c r="AL841" s="537" t="s">
        <v>334</v>
      </c>
      <c r="AM841" s="327"/>
      <c r="AN841" s="546" t="s">
        <v>334</v>
      </c>
      <c r="AO841" s="327"/>
      <c r="AP841" s="547"/>
      <c r="AQ841" s="327"/>
      <c r="AR841" s="548"/>
      <c r="AS841" s="327"/>
      <c r="AT841" s="549"/>
      <c r="AU841" s="327"/>
      <c r="AV841" s="546" t="s">
        <v>334</v>
      </c>
      <c r="AW841" s="327"/>
      <c r="AX841" s="521"/>
      <c r="AY841" s="326"/>
      <c r="AZ841" s="327"/>
      <c r="BA841" s="550"/>
      <c r="BB841" s="327"/>
      <c r="BC841" s="25"/>
      <c r="BD841" s="544" t="s">
        <v>334</v>
      </c>
      <c r="BE841" s="327"/>
      <c r="BF841" s="545"/>
      <c r="BG841" s="326"/>
      <c r="BH841" s="326"/>
      <c r="BI841" s="327"/>
      <c r="BJ841" s="557" t="s">
        <v>303</v>
      </c>
      <c r="BK841" s="326"/>
      <c r="BL841" s="326"/>
      <c r="BM841" s="327"/>
      <c r="BN841" s="558" t="s">
        <v>303</v>
      </c>
      <c r="BO841" s="326"/>
      <c r="BP841" s="326"/>
      <c r="BQ841" s="326"/>
      <c r="BR841" s="326"/>
      <c r="BS841" s="326"/>
      <c r="BT841" s="326"/>
      <c r="BU841" s="326"/>
      <c r="BV841" s="327"/>
    </row>
    <row r="842" spans="1:74" ht="45" customHeight="1" x14ac:dyDescent="0.25">
      <c r="A842" s="10">
        <f t="shared" si="3"/>
        <v>828</v>
      </c>
      <c r="B842" s="564" t="s">
        <v>303</v>
      </c>
      <c r="C842" s="327"/>
      <c r="D842" s="565" t="s">
        <v>307</v>
      </c>
      <c r="E842" s="327"/>
      <c r="F842" s="537" t="s">
        <v>334</v>
      </c>
      <c r="G842" s="327"/>
      <c r="H842" s="561" t="s">
        <v>334</v>
      </c>
      <c r="I842" s="327"/>
      <c r="J842" s="26"/>
      <c r="K842" s="27"/>
      <c r="L842" s="26"/>
      <c r="M842" s="27"/>
      <c r="N842" s="20"/>
      <c r="O842" s="21"/>
      <c r="P842" s="524"/>
      <c r="Q842" s="327"/>
      <c r="R842" s="516"/>
      <c r="S842" s="327"/>
      <c r="T842" s="517"/>
      <c r="U842" s="327"/>
      <c r="V842" s="518"/>
      <c r="W842" s="327"/>
      <c r="X842" s="438" t="s">
        <v>303</v>
      </c>
      <c r="Y842" s="326"/>
      <c r="Z842" s="326"/>
      <c r="AA842" s="327"/>
      <c r="AB842" s="519" t="s">
        <v>303</v>
      </c>
      <c r="AC842" s="326"/>
      <c r="AD842" s="326"/>
      <c r="AE842" s="327"/>
      <c r="AF842" s="520"/>
      <c r="AG842" s="327"/>
      <c r="AH842" s="520"/>
      <c r="AI842" s="327"/>
      <c r="AJ842" s="536"/>
      <c r="AK842" s="327"/>
      <c r="AL842" s="556" t="s">
        <v>334</v>
      </c>
      <c r="AM842" s="327"/>
      <c r="AN842" s="553" t="s">
        <v>334</v>
      </c>
      <c r="AO842" s="327"/>
      <c r="AP842" s="554"/>
      <c r="AQ842" s="327"/>
      <c r="AR842" s="555"/>
      <c r="AS842" s="327"/>
      <c r="AT842" s="549"/>
      <c r="AU842" s="327"/>
      <c r="AV842" s="553" t="s">
        <v>334</v>
      </c>
      <c r="AW842" s="327"/>
      <c r="AX842" s="521"/>
      <c r="AY842" s="326"/>
      <c r="AZ842" s="327"/>
      <c r="BA842" s="536"/>
      <c r="BB842" s="327"/>
      <c r="BC842" s="22"/>
      <c r="BD842" s="551" t="s">
        <v>334</v>
      </c>
      <c r="BE842" s="327"/>
      <c r="BF842" s="552"/>
      <c r="BG842" s="326"/>
      <c r="BH842" s="326"/>
      <c r="BI842" s="327"/>
      <c r="BJ842" s="451" t="s">
        <v>303</v>
      </c>
      <c r="BK842" s="326"/>
      <c r="BL842" s="326"/>
      <c r="BM842" s="327"/>
      <c r="BN842" s="558" t="s">
        <v>303</v>
      </c>
      <c r="BO842" s="326"/>
      <c r="BP842" s="326"/>
      <c r="BQ842" s="326"/>
      <c r="BR842" s="326"/>
      <c r="BS842" s="326"/>
      <c r="BT842" s="326"/>
      <c r="BU842" s="326"/>
      <c r="BV842" s="327"/>
    </row>
    <row r="843" spans="1:74" ht="45" customHeight="1" x14ac:dyDescent="0.25">
      <c r="A843" s="10">
        <f t="shared" si="3"/>
        <v>829</v>
      </c>
      <c r="B843" s="559" t="s">
        <v>303</v>
      </c>
      <c r="C843" s="327"/>
      <c r="D843" s="560" t="s">
        <v>307</v>
      </c>
      <c r="E843" s="327"/>
      <c r="F843" s="537" t="s">
        <v>334</v>
      </c>
      <c r="G843" s="327"/>
      <c r="H843" s="566" t="s">
        <v>334</v>
      </c>
      <c r="I843" s="327"/>
      <c r="J843" s="567"/>
      <c r="K843" s="327"/>
      <c r="L843" s="567"/>
      <c r="M843" s="327"/>
      <c r="N843" s="23"/>
      <c r="O843" s="24"/>
      <c r="P843" s="563"/>
      <c r="Q843" s="327"/>
      <c r="R843" s="538"/>
      <c r="S843" s="327"/>
      <c r="T843" s="539"/>
      <c r="U843" s="327"/>
      <c r="V843" s="540"/>
      <c r="W843" s="327"/>
      <c r="X843" s="541" t="s">
        <v>303</v>
      </c>
      <c r="Y843" s="326"/>
      <c r="Z843" s="326"/>
      <c r="AA843" s="327"/>
      <c r="AB843" s="542" t="s">
        <v>303</v>
      </c>
      <c r="AC843" s="326"/>
      <c r="AD843" s="326"/>
      <c r="AE843" s="327"/>
      <c r="AF843" s="543"/>
      <c r="AG843" s="327"/>
      <c r="AH843" s="543"/>
      <c r="AI843" s="327"/>
      <c r="AJ843" s="536"/>
      <c r="AK843" s="327"/>
      <c r="AL843" s="537" t="s">
        <v>334</v>
      </c>
      <c r="AM843" s="327"/>
      <c r="AN843" s="546" t="s">
        <v>334</v>
      </c>
      <c r="AO843" s="327"/>
      <c r="AP843" s="547"/>
      <c r="AQ843" s="327"/>
      <c r="AR843" s="548"/>
      <c r="AS843" s="327"/>
      <c r="AT843" s="568"/>
      <c r="AU843" s="327"/>
      <c r="AV843" s="546" t="s">
        <v>334</v>
      </c>
      <c r="AW843" s="327"/>
      <c r="AX843" s="521"/>
      <c r="AY843" s="326"/>
      <c r="AZ843" s="327"/>
      <c r="BA843" s="550"/>
      <c r="BB843" s="327"/>
      <c r="BC843" s="25"/>
      <c r="BD843" s="544" t="s">
        <v>334</v>
      </c>
      <c r="BE843" s="327"/>
      <c r="BF843" s="545"/>
      <c r="BG843" s="326"/>
      <c r="BH843" s="326"/>
      <c r="BI843" s="327"/>
      <c r="BJ843" s="557" t="s">
        <v>303</v>
      </c>
      <c r="BK843" s="326"/>
      <c r="BL843" s="326"/>
      <c r="BM843" s="327"/>
      <c r="BN843" s="558" t="s">
        <v>303</v>
      </c>
      <c r="BO843" s="326"/>
      <c r="BP843" s="326"/>
      <c r="BQ843" s="326"/>
      <c r="BR843" s="326"/>
      <c r="BS843" s="326"/>
      <c r="BT843" s="326"/>
      <c r="BU843" s="326"/>
      <c r="BV843" s="327"/>
    </row>
    <row r="844" spans="1:74" ht="45" customHeight="1" x14ac:dyDescent="0.25">
      <c r="A844" s="10">
        <f t="shared" si="3"/>
        <v>830</v>
      </c>
      <c r="B844" s="564" t="s">
        <v>303</v>
      </c>
      <c r="C844" s="327"/>
      <c r="D844" s="565" t="s">
        <v>307</v>
      </c>
      <c r="E844" s="327"/>
      <c r="F844" s="537" t="s">
        <v>334</v>
      </c>
      <c r="G844" s="327"/>
      <c r="H844" s="561" t="s">
        <v>334</v>
      </c>
      <c r="I844" s="327"/>
      <c r="J844" s="26"/>
      <c r="K844" s="27"/>
      <c r="L844" s="26"/>
      <c r="M844" s="27"/>
      <c r="N844" s="20"/>
      <c r="O844" s="21"/>
      <c r="P844" s="524"/>
      <c r="Q844" s="327"/>
      <c r="R844" s="516"/>
      <c r="S844" s="327"/>
      <c r="T844" s="517"/>
      <c r="U844" s="327"/>
      <c r="V844" s="518"/>
      <c r="W844" s="327"/>
      <c r="X844" s="438" t="s">
        <v>303</v>
      </c>
      <c r="Y844" s="326"/>
      <c r="Z844" s="326"/>
      <c r="AA844" s="327"/>
      <c r="AB844" s="519" t="s">
        <v>303</v>
      </c>
      <c r="AC844" s="326"/>
      <c r="AD844" s="326"/>
      <c r="AE844" s="327"/>
      <c r="AF844" s="520"/>
      <c r="AG844" s="327"/>
      <c r="AH844" s="520"/>
      <c r="AI844" s="327"/>
      <c r="AJ844" s="536"/>
      <c r="AK844" s="327"/>
      <c r="AL844" s="556" t="s">
        <v>334</v>
      </c>
      <c r="AM844" s="327"/>
      <c r="AN844" s="553" t="s">
        <v>334</v>
      </c>
      <c r="AO844" s="327"/>
      <c r="AP844" s="554"/>
      <c r="AQ844" s="327"/>
      <c r="AR844" s="555"/>
      <c r="AS844" s="327"/>
      <c r="AT844" s="549"/>
      <c r="AU844" s="327"/>
      <c r="AV844" s="553" t="s">
        <v>334</v>
      </c>
      <c r="AW844" s="327"/>
      <c r="AX844" s="521"/>
      <c r="AY844" s="326"/>
      <c r="AZ844" s="327"/>
      <c r="BA844" s="536"/>
      <c r="BB844" s="327"/>
      <c r="BC844" s="22"/>
      <c r="BD844" s="551" t="s">
        <v>334</v>
      </c>
      <c r="BE844" s="327"/>
      <c r="BF844" s="508"/>
      <c r="BG844" s="326"/>
      <c r="BH844" s="326"/>
      <c r="BI844" s="327"/>
      <c r="BJ844" s="451" t="s">
        <v>303</v>
      </c>
      <c r="BK844" s="326"/>
      <c r="BL844" s="326"/>
      <c r="BM844" s="327"/>
      <c r="BN844" s="558" t="s">
        <v>303</v>
      </c>
      <c r="BO844" s="326"/>
      <c r="BP844" s="326"/>
      <c r="BQ844" s="326"/>
      <c r="BR844" s="326"/>
      <c r="BS844" s="326"/>
      <c r="BT844" s="326"/>
      <c r="BU844" s="326"/>
      <c r="BV844" s="327"/>
    </row>
    <row r="845" spans="1:74" ht="45" customHeight="1" x14ac:dyDescent="0.25">
      <c r="A845" s="10">
        <f t="shared" si="3"/>
        <v>831</v>
      </c>
      <c r="B845" s="559" t="s">
        <v>303</v>
      </c>
      <c r="C845" s="327"/>
      <c r="D845" s="560" t="s">
        <v>307</v>
      </c>
      <c r="E845" s="327"/>
      <c r="F845" s="537" t="s">
        <v>334</v>
      </c>
      <c r="G845" s="327"/>
      <c r="H845" s="566" t="s">
        <v>334</v>
      </c>
      <c r="I845" s="327"/>
      <c r="J845" s="567"/>
      <c r="K845" s="327"/>
      <c r="L845" s="567"/>
      <c r="M845" s="327"/>
      <c r="N845" s="23"/>
      <c r="O845" s="24"/>
      <c r="P845" s="563"/>
      <c r="Q845" s="327"/>
      <c r="R845" s="538"/>
      <c r="S845" s="327"/>
      <c r="T845" s="539"/>
      <c r="U845" s="327"/>
      <c r="V845" s="540"/>
      <c r="W845" s="327"/>
      <c r="X845" s="541" t="s">
        <v>303</v>
      </c>
      <c r="Y845" s="326"/>
      <c r="Z845" s="326"/>
      <c r="AA845" s="327"/>
      <c r="AB845" s="542" t="s">
        <v>303</v>
      </c>
      <c r="AC845" s="326"/>
      <c r="AD845" s="326"/>
      <c r="AE845" s="327"/>
      <c r="AF845" s="543"/>
      <c r="AG845" s="327"/>
      <c r="AH845" s="543"/>
      <c r="AI845" s="327"/>
      <c r="AJ845" s="536"/>
      <c r="AK845" s="327"/>
      <c r="AL845" s="537" t="s">
        <v>334</v>
      </c>
      <c r="AM845" s="327"/>
      <c r="AN845" s="546" t="s">
        <v>334</v>
      </c>
      <c r="AO845" s="327"/>
      <c r="AP845" s="547"/>
      <c r="AQ845" s="327"/>
      <c r="AR845" s="548"/>
      <c r="AS845" s="327"/>
      <c r="AT845" s="568"/>
      <c r="AU845" s="327"/>
      <c r="AV845" s="546" t="s">
        <v>334</v>
      </c>
      <c r="AW845" s="327"/>
      <c r="AX845" s="521"/>
      <c r="AY845" s="326"/>
      <c r="AZ845" s="327"/>
      <c r="BA845" s="550"/>
      <c r="BB845" s="327"/>
      <c r="BC845" s="25"/>
      <c r="BD845" s="544" t="s">
        <v>334</v>
      </c>
      <c r="BE845" s="327"/>
      <c r="BF845" s="545"/>
      <c r="BG845" s="326"/>
      <c r="BH845" s="326"/>
      <c r="BI845" s="327"/>
      <c r="BJ845" s="557" t="s">
        <v>303</v>
      </c>
      <c r="BK845" s="326"/>
      <c r="BL845" s="326"/>
      <c r="BM845" s="327"/>
      <c r="BN845" s="558" t="s">
        <v>303</v>
      </c>
      <c r="BO845" s="326"/>
      <c r="BP845" s="326"/>
      <c r="BQ845" s="326"/>
      <c r="BR845" s="326"/>
      <c r="BS845" s="326"/>
      <c r="BT845" s="326"/>
      <c r="BU845" s="326"/>
      <c r="BV845" s="327"/>
    </row>
    <row r="846" spans="1:74" ht="45" customHeight="1" x14ac:dyDescent="0.25">
      <c r="A846" s="10">
        <f t="shared" si="3"/>
        <v>832</v>
      </c>
      <c r="B846" s="564" t="s">
        <v>303</v>
      </c>
      <c r="C846" s="327"/>
      <c r="D846" s="565" t="s">
        <v>307</v>
      </c>
      <c r="E846" s="327"/>
      <c r="F846" s="537" t="s">
        <v>334</v>
      </c>
      <c r="G846" s="327"/>
      <c r="H846" s="561" t="s">
        <v>334</v>
      </c>
      <c r="I846" s="327"/>
      <c r="J846" s="26"/>
      <c r="K846" s="27"/>
      <c r="L846" s="26"/>
      <c r="M846" s="27"/>
      <c r="N846" s="20"/>
      <c r="O846" s="21"/>
      <c r="P846" s="524"/>
      <c r="Q846" s="327"/>
      <c r="R846" s="516"/>
      <c r="S846" s="327"/>
      <c r="T846" s="517"/>
      <c r="U846" s="327"/>
      <c r="V846" s="518"/>
      <c r="W846" s="327"/>
      <c r="X846" s="438" t="s">
        <v>303</v>
      </c>
      <c r="Y846" s="326"/>
      <c r="Z846" s="326"/>
      <c r="AA846" s="327"/>
      <c r="AB846" s="519" t="s">
        <v>303</v>
      </c>
      <c r="AC846" s="326"/>
      <c r="AD846" s="326"/>
      <c r="AE846" s="327"/>
      <c r="AF846" s="520"/>
      <c r="AG846" s="327"/>
      <c r="AH846" s="520"/>
      <c r="AI846" s="327"/>
      <c r="AJ846" s="536"/>
      <c r="AK846" s="327"/>
      <c r="AL846" s="556" t="s">
        <v>334</v>
      </c>
      <c r="AM846" s="327"/>
      <c r="AN846" s="553" t="s">
        <v>334</v>
      </c>
      <c r="AO846" s="327"/>
      <c r="AP846" s="554"/>
      <c r="AQ846" s="327"/>
      <c r="AR846" s="555"/>
      <c r="AS846" s="327"/>
      <c r="AT846" s="549"/>
      <c r="AU846" s="327"/>
      <c r="AV846" s="553" t="s">
        <v>334</v>
      </c>
      <c r="AW846" s="327"/>
      <c r="AX846" s="521"/>
      <c r="AY846" s="326"/>
      <c r="AZ846" s="327"/>
      <c r="BA846" s="536"/>
      <c r="BB846" s="327"/>
      <c r="BC846" s="22"/>
      <c r="BD846" s="551" t="s">
        <v>334</v>
      </c>
      <c r="BE846" s="327"/>
      <c r="BF846" s="552"/>
      <c r="BG846" s="326"/>
      <c r="BH846" s="326"/>
      <c r="BI846" s="327"/>
      <c r="BJ846" s="451" t="s">
        <v>303</v>
      </c>
      <c r="BK846" s="326"/>
      <c r="BL846" s="326"/>
      <c r="BM846" s="327"/>
      <c r="BN846" s="558" t="s">
        <v>303</v>
      </c>
      <c r="BO846" s="326"/>
      <c r="BP846" s="326"/>
      <c r="BQ846" s="326"/>
      <c r="BR846" s="326"/>
      <c r="BS846" s="326"/>
      <c r="BT846" s="326"/>
      <c r="BU846" s="326"/>
      <c r="BV846" s="327"/>
    </row>
    <row r="847" spans="1:74" ht="45" customHeight="1" x14ac:dyDescent="0.25">
      <c r="A847" s="10">
        <f t="shared" si="3"/>
        <v>833</v>
      </c>
      <c r="B847" s="559" t="s">
        <v>303</v>
      </c>
      <c r="C847" s="327"/>
      <c r="D847" s="560" t="s">
        <v>307</v>
      </c>
      <c r="E847" s="327"/>
      <c r="F847" s="537" t="s">
        <v>334</v>
      </c>
      <c r="G847" s="327"/>
      <c r="H847" s="566" t="s">
        <v>334</v>
      </c>
      <c r="I847" s="327"/>
      <c r="J847" s="567"/>
      <c r="K847" s="327"/>
      <c r="L847" s="567"/>
      <c r="M847" s="327"/>
      <c r="N847" s="23"/>
      <c r="O847" s="24"/>
      <c r="P847" s="563"/>
      <c r="Q847" s="327"/>
      <c r="R847" s="538"/>
      <c r="S847" s="327"/>
      <c r="T847" s="539"/>
      <c r="U847" s="327"/>
      <c r="V847" s="540"/>
      <c r="W847" s="327"/>
      <c r="X847" s="541" t="s">
        <v>303</v>
      </c>
      <c r="Y847" s="326"/>
      <c r="Z847" s="326"/>
      <c r="AA847" s="327"/>
      <c r="AB847" s="542" t="s">
        <v>303</v>
      </c>
      <c r="AC847" s="326"/>
      <c r="AD847" s="326"/>
      <c r="AE847" s="327"/>
      <c r="AF847" s="543"/>
      <c r="AG847" s="327"/>
      <c r="AH847" s="543"/>
      <c r="AI847" s="327"/>
      <c r="AJ847" s="536"/>
      <c r="AK847" s="327"/>
      <c r="AL847" s="537" t="s">
        <v>334</v>
      </c>
      <c r="AM847" s="327"/>
      <c r="AN847" s="546" t="s">
        <v>334</v>
      </c>
      <c r="AO847" s="327"/>
      <c r="AP847" s="547"/>
      <c r="AQ847" s="327"/>
      <c r="AR847" s="548"/>
      <c r="AS847" s="327"/>
      <c r="AT847" s="568"/>
      <c r="AU847" s="327"/>
      <c r="AV847" s="546" t="s">
        <v>334</v>
      </c>
      <c r="AW847" s="327"/>
      <c r="AX847" s="521"/>
      <c r="AY847" s="326"/>
      <c r="AZ847" s="327"/>
      <c r="BA847" s="550"/>
      <c r="BB847" s="327"/>
      <c r="BC847" s="25"/>
      <c r="BD847" s="544" t="s">
        <v>334</v>
      </c>
      <c r="BE847" s="327"/>
      <c r="BF847" s="545"/>
      <c r="BG847" s="326"/>
      <c r="BH847" s="326"/>
      <c r="BI847" s="327"/>
      <c r="BJ847" s="557" t="s">
        <v>303</v>
      </c>
      <c r="BK847" s="326"/>
      <c r="BL847" s="326"/>
      <c r="BM847" s="327"/>
      <c r="BN847" s="558" t="s">
        <v>303</v>
      </c>
      <c r="BO847" s="326"/>
      <c r="BP847" s="326"/>
      <c r="BQ847" s="326"/>
      <c r="BR847" s="326"/>
      <c r="BS847" s="326"/>
      <c r="BT847" s="326"/>
      <c r="BU847" s="326"/>
      <c r="BV847" s="327"/>
    </row>
    <row r="848" spans="1:74" ht="45" customHeight="1" x14ac:dyDescent="0.25">
      <c r="A848" s="10">
        <f t="shared" si="3"/>
        <v>834</v>
      </c>
      <c r="B848" s="564" t="s">
        <v>303</v>
      </c>
      <c r="C848" s="327"/>
      <c r="D848" s="565" t="s">
        <v>307</v>
      </c>
      <c r="E848" s="327"/>
      <c r="F848" s="537" t="s">
        <v>334</v>
      </c>
      <c r="G848" s="327"/>
      <c r="H848" s="561" t="s">
        <v>334</v>
      </c>
      <c r="I848" s="327"/>
      <c r="J848" s="26"/>
      <c r="K848" s="27"/>
      <c r="L848" s="26"/>
      <c r="M848" s="27"/>
      <c r="N848" s="20"/>
      <c r="O848" s="21"/>
      <c r="P848" s="524"/>
      <c r="Q848" s="327"/>
      <c r="R848" s="516"/>
      <c r="S848" s="327"/>
      <c r="T848" s="517"/>
      <c r="U848" s="327"/>
      <c r="V848" s="518"/>
      <c r="W848" s="327"/>
      <c r="X848" s="438" t="s">
        <v>303</v>
      </c>
      <c r="Y848" s="326"/>
      <c r="Z848" s="326"/>
      <c r="AA848" s="327"/>
      <c r="AB848" s="519" t="s">
        <v>303</v>
      </c>
      <c r="AC848" s="326"/>
      <c r="AD848" s="326"/>
      <c r="AE848" s="327"/>
      <c r="AF848" s="520"/>
      <c r="AG848" s="327"/>
      <c r="AH848" s="520"/>
      <c r="AI848" s="327"/>
      <c r="AJ848" s="536"/>
      <c r="AK848" s="327"/>
      <c r="AL848" s="556" t="s">
        <v>334</v>
      </c>
      <c r="AM848" s="327"/>
      <c r="AN848" s="553" t="s">
        <v>334</v>
      </c>
      <c r="AO848" s="327"/>
      <c r="AP848" s="554"/>
      <c r="AQ848" s="327"/>
      <c r="AR848" s="555"/>
      <c r="AS848" s="327"/>
      <c r="AT848" s="549"/>
      <c r="AU848" s="327"/>
      <c r="AV848" s="553" t="s">
        <v>334</v>
      </c>
      <c r="AW848" s="327"/>
      <c r="AX848" s="521"/>
      <c r="AY848" s="326"/>
      <c r="AZ848" s="327"/>
      <c r="BA848" s="536"/>
      <c r="BB848" s="327"/>
      <c r="BC848" s="22"/>
      <c r="BD848" s="551" t="s">
        <v>334</v>
      </c>
      <c r="BE848" s="327"/>
      <c r="BF848" s="552"/>
      <c r="BG848" s="326"/>
      <c r="BH848" s="326"/>
      <c r="BI848" s="327"/>
      <c r="BJ848" s="451" t="s">
        <v>303</v>
      </c>
      <c r="BK848" s="326"/>
      <c r="BL848" s="326"/>
      <c r="BM848" s="327"/>
      <c r="BN848" s="558" t="s">
        <v>303</v>
      </c>
      <c r="BO848" s="326"/>
      <c r="BP848" s="326"/>
      <c r="BQ848" s="326"/>
      <c r="BR848" s="326"/>
      <c r="BS848" s="326"/>
      <c r="BT848" s="326"/>
      <c r="BU848" s="326"/>
      <c r="BV848" s="327"/>
    </row>
    <row r="849" spans="1:74" ht="45" customHeight="1" x14ac:dyDescent="0.25">
      <c r="A849" s="10">
        <f t="shared" si="3"/>
        <v>835</v>
      </c>
      <c r="B849" s="559" t="s">
        <v>303</v>
      </c>
      <c r="C849" s="327"/>
      <c r="D849" s="560" t="s">
        <v>307</v>
      </c>
      <c r="E849" s="327"/>
      <c r="F849" s="537" t="s">
        <v>334</v>
      </c>
      <c r="G849" s="327"/>
      <c r="H849" s="566" t="s">
        <v>334</v>
      </c>
      <c r="I849" s="327"/>
      <c r="J849" s="567"/>
      <c r="K849" s="327"/>
      <c r="L849" s="567"/>
      <c r="M849" s="327"/>
      <c r="N849" s="23"/>
      <c r="O849" s="24"/>
      <c r="P849" s="563"/>
      <c r="Q849" s="327"/>
      <c r="R849" s="538"/>
      <c r="S849" s="327"/>
      <c r="T849" s="539"/>
      <c r="U849" s="327"/>
      <c r="V849" s="540"/>
      <c r="W849" s="327"/>
      <c r="X849" s="541" t="s">
        <v>303</v>
      </c>
      <c r="Y849" s="326"/>
      <c r="Z849" s="326"/>
      <c r="AA849" s="327"/>
      <c r="AB849" s="542" t="s">
        <v>303</v>
      </c>
      <c r="AC849" s="326"/>
      <c r="AD849" s="326"/>
      <c r="AE849" s="327"/>
      <c r="AF849" s="543"/>
      <c r="AG849" s="327"/>
      <c r="AH849" s="543"/>
      <c r="AI849" s="327"/>
      <c r="AJ849" s="536"/>
      <c r="AK849" s="327"/>
      <c r="AL849" s="537" t="s">
        <v>334</v>
      </c>
      <c r="AM849" s="327"/>
      <c r="AN849" s="546" t="s">
        <v>334</v>
      </c>
      <c r="AO849" s="327"/>
      <c r="AP849" s="547"/>
      <c r="AQ849" s="327"/>
      <c r="AR849" s="548"/>
      <c r="AS849" s="327"/>
      <c r="AT849" s="568"/>
      <c r="AU849" s="327"/>
      <c r="AV849" s="546" t="s">
        <v>334</v>
      </c>
      <c r="AW849" s="327"/>
      <c r="AX849" s="521"/>
      <c r="AY849" s="326"/>
      <c r="AZ849" s="327"/>
      <c r="BA849" s="550"/>
      <c r="BB849" s="327"/>
      <c r="BC849" s="25"/>
      <c r="BD849" s="544" t="s">
        <v>334</v>
      </c>
      <c r="BE849" s="327"/>
      <c r="BF849" s="545"/>
      <c r="BG849" s="326"/>
      <c r="BH849" s="326"/>
      <c r="BI849" s="327"/>
      <c r="BJ849" s="557" t="s">
        <v>303</v>
      </c>
      <c r="BK849" s="326"/>
      <c r="BL849" s="326"/>
      <c r="BM849" s="327"/>
      <c r="BN849" s="558" t="s">
        <v>303</v>
      </c>
      <c r="BO849" s="326"/>
      <c r="BP849" s="326"/>
      <c r="BQ849" s="326"/>
      <c r="BR849" s="326"/>
      <c r="BS849" s="326"/>
      <c r="BT849" s="326"/>
      <c r="BU849" s="326"/>
      <c r="BV849" s="327"/>
    </row>
    <row r="850" spans="1:74" ht="45" customHeight="1" x14ac:dyDescent="0.25">
      <c r="A850" s="10">
        <f t="shared" si="3"/>
        <v>836</v>
      </c>
      <c r="B850" s="564" t="s">
        <v>303</v>
      </c>
      <c r="C850" s="327"/>
      <c r="D850" s="565" t="s">
        <v>307</v>
      </c>
      <c r="E850" s="327"/>
      <c r="F850" s="537" t="s">
        <v>334</v>
      </c>
      <c r="G850" s="327"/>
      <c r="H850" s="561" t="s">
        <v>334</v>
      </c>
      <c r="I850" s="327"/>
      <c r="J850" s="26"/>
      <c r="K850" s="27"/>
      <c r="L850" s="26"/>
      <c r="M850" s="27"/>
      <c r="N850" s="20"/>
      <c r="O850" s="21"/>
      <c r="P850" s="524"/>
      <c r="Q850" s="327"/>
      <c r="R850" s="516"/>
      <c r="S850" s="327"/>
      <c r="T850" s="517"/>
      <c r="U850" s="327"/>
      <c r="V850" s="518"/>
      <c r="W850" s="327"/>
      <c r="X850" s="438" t="s">
        <v>303</v>
      </c>
      <c r="Y850" s="326"/>
      <c r="Z850" s="326"/>
      <c r="AA850" s="327"/>
      <c r="AB850" s="519" t="s">
        <v>303</v>
      </c>
      <c r="AC850" s="326"/>
      <c r="AD850" s="326"/>
      <c r="AE850" s="327"/>
      <c r="AF850" s="520"/>
      <c r="AG850" s="327"/>
      <c r="AH850" s="520"/>
      <c r="AI850" s="327"/>
      <c r="AJ850" s="536"/>
      <c r="AK850" s="327"/>
      <c r="AL850" s="556" t="s">
        <v>334</v>
      </c>
      <c r="AM850" s="327"/>
      <c r="AN850" s="553" t="s">
        <v>334</v>
      </c>
      <c r="AO850" s="327"/>
      <c r="AP850" s="554"/>
      <c r="AQ850" s="327"/>
      <c r="AR850" s="555"/>
      <c r="AS850" s="327"/>
      <c r="AT850" s="549"/>
      <c r="AU850" s="327"/>
      <c r="AV850" s="553" t="s">
        <v>334</v>
      </c>
      <c r="AW850" s="327"/>
      <c r="AX850" s="521"/>
      <c r="AY850" s="326"/>
      <c r="AZ850" s="327"/>
      <c r="BA850" s="536"/>
      <c r="BB850" s="327"/>
      <c r="BC850" s="22"/>
      <c r="BD850" s="551" t="s">
        <v>334</v>
      </c>
      <c r="BE850" s="327"/>
      <c r="BF850" s="508"/>
      <c r="BG850" s="326"/>
      <c r="BH850" s="326"/>
      <c r="BI850" s="327"/>
      <c r="BJ850" s="451" t="s">
        <v>303</v>
      </c>
      <c r="BK850" s="326"/>
      <c r="BL850" s="326"/>
      <c r="BM850" s="327"/>
      <c r="BN850" s="558" t="s">
        <v>303</v>
      </c>
      <c r="BO850" s="326"/>
      <c r="BP850" s="326"/>
      <c r="BQ850" s="326"/>
      <c r="BR850" s="326"/>
      <c r="BS850" s="326"/>
      <c r="BT850" s="326"/>
      <c r="BU850" s="326"/>
      <c r="BV850" s="327"/>
    </row>
    <row r="851" spans="1:74" ht="45" customHeight="1" x14ac:dyDescent="0.25">
      <c r="A851" s="10">
        <f t="shared" si="3"/>
        <v>837</v>
      </c>
      <c r="B851" s="559" t="s">
        <v>303</v>
      </c>
      <c r="C851" s="327"/>
      <c r="D851" s="560" t="s">
        <v>307</v>
      </c>
      <c r="E851" s="327"/>
      <c r="F851" s="537" t="s">
        <v>334</v>
      </c>
      <c r="G851" s="327"/>
      <c r="H851" s="566" t="s">
        <v>334</v>
      </c>
      <c r="I851" s="327"/>
      <c r="J851" s="567"/>
      <c r="K851" s="327"/>
      <c r="L851" s="567"/>
      <c r="M851" s="327"/>
      <c r="N851" s="23"/>
      <c r="O851" s="24"/>
      <c r="P851" s="563"/>
      <c r="Q851" s="327"/>
      <c r="R851" s="538"/>
      <c r="S851" s="327"/>
      <c r="T851" s="539"/>
      <c r="U851" s="327"/>
      <c r="V851" s="540"/>
      <c r="W851" s="327"/>
      <c r="X851" s="541" t="s">
        <v>303</v>
      </c>
      <c r="Y851" s="326"/>
      <c r="Z851" s="326"/>
      <c r="AA851" s="327"/>
      <c r="AB851" s="542" t="s">
        <v>303</v>
      </c>
      <c r="AC851" s="326"/>
      <c r="AD851" s="326"/>
      <c r="AE851" s="327"/>
      <c r="AF851" s="543"/>
      <c r="AG851" s="327"/>
      <c r="AH851" s="543"/>
      <c r="AI851" s="327"/>
      <c r="AJ851" s="536"/>
      <c r="AK851" s="327"/>
      <c r="AL851" s="537" t="s">
        <v>334</v>
      </c>
      <c r="AM851" s="327"/>
      <c r="AN851" s="546" t="s">
        <v>334</v>
      </c>
      <c r="AO851" s="327"/>
      <c r="AP851" s="547"/>
      <c r="AQ851" s="327"/>
      <c r="AR851" s="548"/>
      <c r="AS851" s="327"/>
      <c r="AT851" s="568"/>
      <c r="AU851" s="327"/>
      <c r="AV851" s="546" t="s">
        <v>334</v>
      </c>
      <c r="AW851" s="327"/>
      <c r="AX851" s="521"/>
      <c r="AY851" s="326"/>
      <c r="AZ851" s="327"/>
      <c r="BA851" s="550"/>
      <c r="BB851" s="327"/>
      <c r="BC851" s="25"/>
      <c r="BD851" s="544" t="s">
        <v>334</v>
      </c>
      <c r="BE851" s="327"/>
      <c r="BF851" s="545"/>
      <c r="BG851" s="326"/>
      <c r="BH851" s="326"/>
      <c r="BI851" s="327"/>
      <c r="BJ851" s="557" t="s">
        <v>303</v>
      </c>
      <c r="BK851" s="326"/>
      <c r="BL851" s="326"/>
      <c r="BM851" s="327"/>
      <c r="BN851" s="558" t="s">
        <v>303</v>
      </c>
      <c r="BO851" s="326"/>
      <c r="BP851" s="326"/>
      <c r="BQ851" s="326"/>
      <c r="BR851" s="326"/>
      <c r="BS851" s="326"/>
      <c r="BT851" s="326"/>
      <c r="BU851" s="326"/>
      <c r="BV851" s="327"/>
    </row>
    <row r="852" spans="1:74" ht="45" customHeight="1" x14ac:dyDescent="0.25">
      <c r="A852" s="10">
        <f t="shared" si="3"/>
        <v>838</v>
      </c>
      <c r="B852" s="564" t="s">
        <v>303</v>
      </c>
      <c r="C852" s="327"/>
      <c r="D852" s="565" t="s">
        <v>307</v>
      </c>
      <c r="E852" s="327"/>
      <c r="F852" s="537" t="s">
        <v>334</v>
      </c>
      <c r="G852" s="327"/>
      <c r="H852" s="561" t="s">
        <v>334</v>
      </c>
      <c r="I852" s="327"/>
      <c r="J852" s="26"/>
      <c r="K852" s="27"/>
      <c r="L852" s="26"/>
      <c r="M852" s="27"/>
      <c r="N852" s="20"/>
      <c r="O852" s="21"/>
      <c r="P852" s="524"/>
      <c r="Q852" s="327"/>
      <c r="R852" s="516"/>
      <c r="S852" s="327"/>
      <c r="T852" s="517"/>
      <c r="U852" s="327"/>
      <c r="V852" s="518"/>
      <c r="W852" s="327"/>
      <c r="X852" s="438" t="s">
        <v>303</v>
      </c>
      <c r="Y852" s="326"/>
      <c r="Z852" s="326"/>
      <c r="AA852" s="327"/>
      <c r="AB852" s="519" t="s">
        <v>303</v>
      </c>
      <c r="AC852" s="326"/>
      <c r="AD852" s="326"/>
      <c r="AE852" s="327"/>
      <c r="AF852" s="520"/>
      <c r="AG852" s="327"/>
      <c r="AH852" s="520"/>
      <c r="AI852" s="327"/>
      <c r="AJ852" s="536"/>
      <c r="AK852" s="327"/>
      <c r="AL852" s="556" t="s">
        <v>334</v>
      </c>
      <c r="AM852" s="327"/>
      <c r="AN852" s="553" t="s">
        <v>334</v>
      </c>
      <c r="AO852" s="327"/>
      <c r="AP852" s="554"/>
      <c r="AQ852" s="327"/>
      <c r="AR852" s="555"/>
      <c r="AS852" s="327"/>
      <c r="AT852" s="549"/>
      <c r="AU852" s="327"/>
      <c r="AV852" s="553" t="s">
        <v>334</v>
      </c>
      <c r="AW852" s="327"/>
      <c r="AX852" s="521"/>
      <c r="AY852" s="326"/>
      <c r="AZ852" s="327"/>
      <c r="BA852" s="536"/>
      <c r="BB852" s="327"/>
      <c r="BC852" s="22"/>
      <c r="BD852" s="551" t="s">
        <v>334</v>
      </c>
      <c r="BE852" s="327"/>
      <c r="BF852" s="552"/>
      <c r="BG852" s="326"/>
      <c r="BH852" s="326"/>
      <c r="BI852" s="327"/>
      <c r="BJ852" s="451" t="s">
        <v>303</v>
      </c>
      <c r="BK852" s="326"/>
      <c r="BL852" s="326"/>
      <c r="BM852" s="327"/>
      <c r="BN852" s="558" t="s">
        <v>303</v>
      </c>
      <c r="BO852" s="326"/>
      <c r="BP852" s="326"/>
      <c r="BQ852" s="326"/>
      <c r="BR852" s="326"/>
      <c r="BS852" s="326"/>
      <c r="BT852" s="326"/>
      <c r="BU852" s="326"/>
      <c r="BV852" s="327"/>
    </row>
    <row r="853" spans="1:74" ht="45" customHeight="1" x14ac:dyDescent="0.25">
      <c r="A853" s="10">
        <f t="shared" si="3"/>
        <v>839</v>
      </c>
      <c r="B853" s="559" t="s">
        <v>303</v>
      </c>
      <c r="C853" s="327"/>
      <c r="D853" s="560" t="s">
        <v>307</v>
      </c>
      <c r="E853" s="327"/>
      <c r="F853" s="537" t="s">
        <v>334</v>
      </c>
      <c r="G853" s="327"/>
      <c r="H853" s="566" t="s">
        <v>334</v>
      </c>
      <c r="I853" s="327"/>
      <c r="J853" s="567"/>
      <c r="K853" s="327"/>
      <c r="L853" s="567"/>
      <c r="M853" s="327"/>
      <c r="N853" s="23"/>
      <c r="O853" s="24"/>
      <c r="P853" s="563"/>
      <c r="Q853" s="327"/>
      <c r="R853" s="538"/>
      <c r="S853" s="327"/>
      <c r="T853" s="539"/>
      <c r="U853" s="327"/>
      <c r="V853" s="540"/>
      <c r="W853" s="327"/>
      <c r="X853" s="541" t="s">
        <v>303</v>
      </c>
      <c r="Y853" s="326"/>
      <c r="Z853" s="326"/>
      <c r="AA853" s="327"/>
      <c r="AB853" s="542" t="s">
        <v>303</v>
      </c>
      <c r="AC853" s="326"/>
      <c r="AD853" s="326"/>
      <c r="AE853" s="327"/>
      <c r="AF853" s="543"/>
      <c r="AG853" s="327"/>
      <c r="AH853" s="543"/>
      <c r="AI853" s="327"/>
      <c r="AJ853" s="536"/>
      <c r="AK853" s="327"/>
      <c r="AL853" s="537" t="s">
        <v>334</v>
      </c>
      <c r="AM853" s="327"/>
      <c r="AN853" s="546" t="s">
        <v>334</v>
      </c>
      <c r="AO853" s="327"/>
      <c r="AP853" s="547"/>
      <c r="AQ853" s="327"/>
      <c r="AR853" s="548"/>
      <c r="AS853" s="327"/>
      <c r="AT853" s="549"/>
      <c r="AU853" s="327"/>
      <c r="AV853" s="546" t="s">
        <v>334</v>
      </c>
      <c r="AW853" s="327"/>
      <c r="AX853" s="521"/>
      <c r="AY853" s="326"/>
      <c r="AZ853" s="327"/>
      <c r="BA853" s="550"/>
      <c r="BB853" s="327"/>
      <c r="BC853" s="25"/>
      <c r="BD853" s="544" t="s">
        <v>334</v>
      </c>
      <c r="BE853" s="327"/>
      <c r="BF853" s="545"/>
      <c r="BG853" s="326"/>
      <c r="BH853" s="326"/>
      <c r="BI853" s="327"/>
      <c r="BJ853" s="557" t="s">
        <v>303</v>
      </c>
      <c r="BK853" s="326"/>
      <c r="BL853" s="326"/>
      <c r="BM853" s="327"/>
      <c r="BN853" s="558" t="s">
        <v>303</v>
      </c>
      <c r="BO853" s="326"/>
      <c r="BP853" s="326"/>
      <c r="BQ853" s="326"/>
      <c r="BR853" s="326"/>
      <c r="BS853" s="326"/>
      <c r="BT853" s="326"/>
      <c r="BU853" s="326"/>
      <c r="BV853" s="327"/>
    </row>
    <row r="854" spans="1:74" ht="45" customHeight="1" x14ac:dyDescent="0.25">
      <c r="A854" s="10">
        <f t="shared" si="3"/>
        <v>840</v>
      </c>
      <c r="B854" s="564" t="s">
        <v>303</v>
      </c>
      <c r="C854" s="327"/>
      <c r="D854" s="565" t="s">
        <v>307</v>
      </c>
      <c r="E854" s="327"/>
      <c r="F854" s="537" t="s">
        <v>334</v>
      </c>
      <c r="G854" s="327"/>
      <c r="H854" s="561" t="s">
        <v>334</v>
      </c>
      <c r="I854" s="327"/>
      <c r="J854" s="26"/>
      <c r="K854" s="27"/>
      <c r="L854" s="26"/>
      <c r="M854" s="27"/>
      <c r="N854" s="20"/>
      <c r="O854" s="21"/>
      <c r="P854" s="524"/>
      <c r="Q854" s="327"/>
      <c r="R854" s="516"/>
      <c r="S854" s="327"/>
      <c r="T854" s="517"/>
      <c r="U854" s="327"/>
      <c r="V854" s="518"/>
      <c r="W854" s="327"/>
      <c r="X854" s="438" t="s">
        <v>303</v>
      </c>
      <c r="Y854" s="326"/>
      <c r="Z854" s="326"/>
      <c r="AA854" s="327"/>
      <c r="AB854" s="519" t="s">
        <v>303</v>
      </c>
      <c r="AC854" s="326"/>
      <c r="AD854" s="326"/>
      <c r="AE854" s="327"/>
      <c r="AF854" s="520"/>
      <c r="AG854" s="327"/>
      <c r="AH854" s="520"/>
      <c r="AI854" s="327"/>
      <c r="AJ854" s="536"/>
      <c r="AK854" s="327"/>
      <c r="AL854" s="556" t="s">
        <v>334</v>
      </c>
      <c r="AM854" s="327"/>
      <c r="AN854" s="553" t="s">
        <v>334</v>
      </c>
      <c r="AO854" s="327"/>
      <c r="AP854" s="554"/>
      <c r="AQ854" s="327"/>
      <c r="AR854" s="555"/>
      <c r="AS854" s="327"/>
      <c r="AT854" s="549"/>
      <c r="AU854" s="327"/>
      <c r="AV854" s="553" t="s">
        <v>334</v>
      </c>
      <c r="AW854" s="327"/>
      <c r="AX854" s="521"/>
      <c r="AY854" s="326"/>
      <c r="AZ854" s="327"/>
      <c r="BA854" s="536"/>
      <c r="BB854" s="327"/>
      <c r="BC854" s="22"/>
      <c r="BD854" s="551" t="s">
        <v>334</v>
      </c>
      <c r="BE854" s="327"/>
      <c r="BF854" s="552"/>
      <c r="BG854" s="326"/>
      <c r="BH854" s="326"/>
      <c r="BI854" s="327"/>
      <c r="BJ854" s="451" t="s">
        <v>303</v>
      </c>
      <c r="BK854" s="326"/>
      <c r="BL854" s="326"/>
      <c r="BM854" s="327"/>
      <c r="BN854" s="558" t="s">
        <v>303</v>
      </c>
      <c r="BO854" s="326"/>
      <c r="BP854" s="326"/>
      <c r="BQ854" s="326"/>
      <c r="BR854" s="326"/>
      <c r="BS854" s="326"/>
      <c r="BT854" s="326"/>
      <c r="BU854" s="326"/>
      <c r="BV854" s="327"/>
    </row>
    <row r="855" spans="1:74" ht="45" customHeight="1" x14ac:dyDescent="0.25">
      <c r="A855" s="10">
        <f t="shared" si="3"/>
        <v>841</v>
      </c>
      <c r="B855" s="559" t="s">
        <v>303</v>
      </c>
      <c r="C855" s="327"/>
      <c r="D855" s="560" t="s">
        <v>307</v>
      </c>
      <c r="E855" s="327"/>
      <c r="F855" s="537" t="s">
        <v>334</v>
      </c>
      <c r="G855" s="327"/>
      <c r="H855" s="566" t="s">
        <v>334</v>
      </c>
      <c r="I855" s="327"/>
      <c r="J855" s="567"/>
      <c r="K855" s="327"/>
      <c r="L855" s="567"/>
      <c r="M855" s="327"/>
      <c r="N855" s="23"/>
      <c r="O855" s="24"/>
      <c r="P855" s="563"/>
      <c r="Q855" s="327"/>
      <c r="R855" s="538"/>
      <c r="S855" s="327"/>
      <c r="T855" s="539"/>
      <c r="U855" s="327"/>
      <c r="V855" s="540"/>
      <c r="W855" s="327"/>
      <c r="X855" s="541" t="s">
        <v>303</v>
      </c>
      <c r="Y855" s="326"/>
      <c r="Z855" s="326"/>
      <c r="AA855" s="327"/>
      <c r="AB855" s="542" t="s">
        <v>303</v>
      </c>
      <c r="AC855" s="326"/>
      <c r="AD855" s="326"/>
      <c r="AE855" s="327"/>
      <c r="AF855" s="543"/>
      <c r="AG855" s="327"/>
      <c r="AH855" s="543"/>
      <c r="AI855" s="327"/>
      <c r="AJ855" s="536"/>
      <c r="AK855" s="327"/>
      <c r="AL855" s="537" t="s">
        <v>334</v>
      </c>
      <c r="AM855" s="327"/>
      <c r="AN855" s="546" t="s">
        <v>334</v>
      </c>
      <c r="AO855" s="327"/>
      <c r="AP855" s="547"/>
      <c r="AQ855" s="327"/>
      <c r="AR855" s="548"/>
      <c r="AS855" s="327"/>
      <c r="AT855" s="549"/>
      <c r="AU855" s="327"/>
      <c r="AV855" s="546" t="s">
        <v>334</v>
      </c>
      <c r="AW855" s="327"/>
      <c r="AX855" s="521"/>
      <c r="AY855" s="326"/>
      <c r="AZ855" s="327"/>
      <c r="BA855" s="550"/>
      <c r="BB855" s="327"/>
      <c r="BC855" s="25"/>
      <c r="BD855" s="544" t="s">
        <v>334</v>
      </c>
      <c r="BE855" s="327"/>
      <c r="BF855" s="545"/>
      <c r="BG855" s="326"/>
      <c r="BH855" s="326"/>
      <c r="BI855" s="327"/>
      <c r="BJ855" s="557" t="s">
        <v>303</v>
      </c>
      <c r="BK855" s="326"/>
      <c r="BL855" s="326"/>
      <c r="BM855" s="327"/>
      <c r="BN855" s="558" t="s">
        <v>303</v>
      </c>
      <c r="BO855" s="326"/>
      <c r="BP855" s="326"/>
      <c r="BQ855" s="326"/>
      <c r="BR855" s="326"/>
      <c r="BS855" s="326"/>
      <c r="BT855" s="326"/>
      <c r="BU855" s="326"/>
      <c r="BV855" s="327"/>
    </row>
    <row r="856" spans="1:74" ht="45" customHeight="1" x14ac:dyDescent="0.25">
      <c r="A856" s="10">
        <f t="shared" si="3"/>
        <v>842</v>
      </c>
      <c r="B856" s="564" t="s">
        <v>303</v>
      </c>
      <c r="C856" s="327"/>
      <c r="D856" s="565" t="s">
        <v>307</v>
      </c>
      <c r="E856" s="327"/>
      <c r="F856" s="537" t="s">
        <v>334</v>
      </c>
      <c r="G856" s="327"/>
      <c r="H856" s="561" t="s">
        <v>334</v>
      </c>
      <c r="I856" s="327"/>
      <c r="J856" s="26"/>
      <c r="K856" s="27"/>
      <c r="L856" s="26"/>
      <c r="M856" s="27"/>
      <c r="N856" s="20"/>
      <c r="O856" s="21"/>
      <c r="P856" s="524"/>
      <c r="Q856" s="327"/>
      <c r="R856" s="516"/>
      <c r="S856" s="327"/>
      <c r="T856" s="517"/>
      <c r="U856" s="327"/>
      <c r="V856" s="518"/>
      <c r="W856" s="327"/>
      <c r="X856" s="438" t="s">
        <v>303</v>
      </c>
      <c r="Y856" s="326"/>
      <c r="Z856" s="326"/>
      <c r="AA856" s="327"/>
      <c r="AB856" s="519" t="s">
        <v>303</v>
      </c>
      <c r="AC856" s="326"/>
      <c r="AD856" s="326"/>
      <c r="AE856" s="327"/>
      <c r="AF856" s="520"/>
      <c r="AG856" s="327"/>
      <c r="AH856" s="520"/>
      <c r="AI856" s="327"/>
      <c r="AJ856" s="536"/>
      <c r="AK856" s="327"/>
      <c r="AL856" s="556" t="s">
        <v>334</v>
      </c>
      <c r="AM856" s="327"/>
      <c r="AN856" s="553" t="s">
        <v>334</v>
      </c>
      <c r="AO856" s="327"/>
      <c r="AP856" s="554"/>
      <c r="AQ856" s="327"/>
      <c r="AR856" s="555"/>
      <c r="AS856" s="327"/>
      <c r="AT856" s="549"/>
      <c r="AU856" s="327"/>
      <c r="AV856" s="553" t="s">
        <v>334</v>
      </c>
      <c r="AW856" s="327"/>
      <c r="AX856" s="521"/>
      <c r="AY856" s="326"/>
      <c r="AZ856" s="327"/>
      <c r="BA856" s="536"/>
      <c r="BB856" s="327"/>
      <c r="BC856" s="22"/>
      <c r="BD856" s="551" t="s">
        <v>334</v>
      </c>
      <c r="BE856" s="327"/>
      <c r="BF856" s="552"/>
      <c r="BG856" s="326"/>
      <c r="BH856" s="326"/>
      <c r="BI856" s="327"/>
      <c r="BJ856" s="451" t="s">
        <v>303</v>
      </c>
      <c r="BK856" s="326"/>
      <c r="BL856" s="326"/>
      <c r="BM856" s="327"/>
      <c r="BN856" s="558" t="s">
        <v>303</v>
      </c>
      <c r="BO856" s="326"/>
      <c r="BP856" s="326"/>
      <c r="BQ856" s="326"/>
      <c r="BR856" s="326"/>
      <c r="BS856" s="326"/>
      <c r="BT856" s="326"/>
      <c r="BU856" s="326"/>
      <c r="BV856" s="327"/>
    </row>
    <row r="857" spans="1:74" ht="45" customHeight="1" x14ac:dyDescent="0.25">
      <c r="A857" s="10">
        <f t="shared" si="3"/>
        <v>843</v>
      </c>
      <c r="B857" s="559" t="s">
        <v>303</v>
      </c>
      <c r="C857" s="327"/>
      <c r="D857" s="560" t="s">
        <v>307</v>
      </c>
      <c r="E857" s="327"/>
      <c r="F857" s="537" t="s">
        <v>334</v>
      </c>
      <c r="G857" s="327"/>
      <c r="H857" s="566" t="s">
        <v>334</v>
      </c>
      <c r="I857" s="327"/>
      <c r="J857" s="567"/>
      <c r="K857" s="327"/>
      <c r="L857" s="567"/>
      <c r="M857" s="327"/>
      <c r="N857" s="23"/>
      <c r="O857" s="24"/>
      <c r="P857" s="563"/>
      <c r="Q857" s="327"/>
      <c r="R857" s="538"/>
      <c r="S857" s="327"/>
      <c r="T857" s="539"/>
      <c r="U857" s="327"/>
      <c r="V857" s="540"/>
      <c r="W857" s="327"/>
      <c r="X857" s="541" t="s">
        <v>303</v>
      </c>
      <c r="Y857" s="326"/>
      <c r="Z857" s="326"/>
      <c r="AA857" s="327"/>
      <c r="AB857" s="542" t="s">
        <v>303</v>
      </c>
      <c r="AC857" s="326"/>
      <c r="AD857" s="326"/>
      <c r="AE857" s="327"/>
      <c r="AF857" s="543"/>
      <c r="AG857" s="327"/>
      <c r="AH857" s="543"/>
      <c r="AI857" s="327"/>
      <c r="AJ857" s="536"/>
      <c r="AK857" s="327"/>
      <c r="AL857" s="537" t="s">
        <v>334</v>
      </c>
      <c r="AM857" s="327"/>
      <c r="AN857" s="546" t="s">
        <v>334</v>
      </c>
      <c r="AO857" s="327"/>
      <c r="AP857" s="547"/>
      <c r="AQ857" s="327"/>
      <c r="AR857" s="548"/>
      <c r="AS857" s="327"/>
      <c r="AT857" s="568"/>
      <c r="AU857" s="327"/>
      <c r="AV857" s="546" t="s">
        <v>334</v>
      </c>
      <c r="AW857" s="327"/>
      <c r="AX857" s="521"/>
      <c r="AY857" s="326"/>
      <c r="AZ857" s="327"/>
      <c r="BA857" s="550"/>
      <c r="BB857" s="327"/>
      <c r="BC857" s="25"/>
      <c r="BD857" s="544" t="s">
        <v>334</v>
      </c>
      <c r="BE857" s="327"/>
      <c r="BF857" s="545"/>
      <c r="BG857" s="326"/>
      <c r="BH857" s="326"/>
      <c r="BI857" s="327"/>
      <c r="BJ857" s="557" t="s">
        <v>303</v>
      </c>
      <c r="BK857" s="326"/>
      <c r="BL857" s="326"/>
      <c r="BM857" s="327"/>
      <c r="BN857" s="558" t="s">
        <v>303</v>
      </c>
      <c r="BO857" s="326"/>
      <c r="BP857" s="326"/>
      <c r="BQ857" s="326"/>
      <c r="BR857" s="326"/>
      <c r="BS857" s="326"/>
      <c r="BT857" s="326"/>
      <c r="BU857" s="326"/>
      <c r="BV857" s="327"/>
    </row>
    <row r="858" spans="1:74" ht="45" customHeight="1" x14ac:dyDescent="0.25">
      <c r="A858" s="10">
        <f t="shared" si="3"/>
        <v>844</v>
      </c>
      <c r="B858" s="564" t="s">
        <v>303</v>
      </c>
      <c r="C858" s="327"/>
      <c r="D858" s="565" t="s">
        <v>307</v>
      </c>
      <c r="E858" s="327"/>
      <c r="F858" s="537" t="s">
        <v>334</v>
      </c>
      <c r="G858" s="327"/>
      <c r="H858" s="561" t="s">
        <v>334</v>
      </c>
      <c r="I858" s="327"/>
      <c r="J858" s="26"/>
      <c r="K858" s="27"/>
      <c r="L858" s="26"/>
      <c r="M858" s="27"/>
      <c r="N858" s="20"/>
      <c r="O858" s="21"/>
      <c r="P858" s="524"/>
      <c r="Q858" s="327"/>
      <c r="R858" s="516"/>
      <c r="S858" s="327"/>
      <c r="T858" s="517"/>
      <c r="U858" s="327"/>
      <c r="V858" s="518"/>
      <c r="W858" s="327"/>
      <c r="X858" s="438" t="s">
        <v>303</v>
      </c>
      <c r="Y858" s="326"/>
      <c r="Z858" s="326"/>
      <c r="AA858" s="327"/>
      <c r="AB858" s="519" t="s">
        <v>303</v>
      </c>
      <c r="AC858" s="326"/>
      <c r="AD858" s="326"/>
      <c r="AE858" s="327"/>
      <c r="AF858" s="520"/>
      <c r="AG858" s="327"/>
      <c r="AH858" s="520"/>
      <c r="AI858" s="327"/>
      <c r="AJ858" s="536"/>
      <c r="AK858" s="327"/>
      <c r="AL858" s="556" t="s">
        <v>334</v>
      </c>
      <c r="AM858" s="327"/>
      <c r="AN858" s="553" t="s">
        <v>334</v>
      </c>
      <c r="AO858" s="327"/>
      <c r="AP858" s="554"/>
      <c r="AQ858" s="327"/>
      <c r="AR858" s="555"/>
      <c r="AS858" s="327"/>
      <c r="AT858" s="549"/>
      <c r="AU858" s="327"/>
      <c r="AV858" s="553" t="s">
        <v>334</v>
      </c>
      <c r="AW858" s="327"/>
      <c r="AX858" s="521"/>
      <c r="AY858" s="326"/>
      <c r="AZ858" s="327"/>
      <c r="BA858" s="536"/>
      <c r="BB858" s="327"/>
      <c r="BC858" s="22"/>
      <c r="BD858" s="551" t="s">
        <v>334</v>
      </c>
      <c r="BE858" s="327"/>
      <c r="BF858" s="508"/>
      <c r="BG858" s="326"/>
      <c r="BH858" s="326"/>
      <c r="BI858" s="327"/>
      <c r="BJ858" s="451" t="s">
        <v>303</v>
      </c>
      <c r="BK858" s="326"/>
      <c r="BL858" s="326"/>
      <c r="BM858" s="327"/>
      <c r="BN858" s="558" t="s">
        <v>303</v>
      </c>
      <c r="BO858" s="326"/>
      <c r="BP858" s="326"/>
      <c r="BQ858" s="326"/>
      <c r="BR858" s="326"/>
      <c r="BS858" s="326"/>
      <c r="BT858" s="326"/>
      <c r="BU858" s="326"/>
      <c r="BV858" s="327"/>
    </row>
    <row r="859" spans="1:74" ht="45" customHeight="1" x14ac:dyDescent="0.25">
      <c r="A859" s="10">
        <f t="shared" si="3"/>
        <v>845</v>
      </c>
      <c r="B859" s="559" t="s">
        <v>303</v>
      </c>
      <c r="C859" s="327"/>
      <c r="D859" s="560" t="s">
        <v>307</v>
      </c>
      <c r="E859" s="327"/>
      <c r="F859" s="537" t="s">
        <v>334</v>
      </c>
      <c r="G859" s="327"/>
      <c r="H859" s="566" t="s">
        <v>334</v>
      </c>
      <c r="I859" s="327"/>
      <c r="J859" s="567"/>
      <c r="K859" s="327"/>
      <c r="L859" s="567"/>
      <c r="M859" s="327"/>
      <c r="N859" s="23"/>
      <c r="O859" s="24"/>
      <c r="P859" s="563"/>
      <c r="Q859" s="327"/>
      <c r="R859" s="538"/>
      <c r="S859" s="327"/>
      <c r="T859" s="539"/>
      <c r="U859" s="327"/>
      <c r="V859" s="540"/>
      <c r="W859" s="327"/>
      <c r="X859" s="541" t="s">
        <v>303</v>
      </c>
      <c r="Y859" s="326"/>
      <c r="Z859" s="326"/>
      <c r="AA859" s="327"/>
      <c r="AB859" s="542" t="s">
        <v>303</v>
      </c>
      <c r="AC859" s="326"/>
      <c r="AD859" s="326"/>
      <c r="AE859" s="327"/>
      <c r="AF859" s="543"/>
      <c r="AG859" s="327"/>
      <c r="AH859" s="543"/>
      <c r="AI859" s="327"/>
      <c r="AJ859" s="536"/>
      <c r="AK859" s="327"/>
      <c r="AL859" s="537" t="s">
        <v>334</v>
      </c>
      <c r="AM859" s="327"/>
      <c r="AN859" s="546" t="s">
        <v>334</v>
      </c>
      <c r="AO859" s="327"/>
      <c r="AP859" s="547"/>
      <c r="AQ859" s="327"/>
      <c r="AR859" s="548"/>
      <c r="AS859" s="327"/>
      <c r="AT859" s="568"/>
      <c r="AU859" s="327"/>
      <c r="AV859" s="546" t="s">
        <v>334</v>
      </c>
      <c r="AW859" s="327"/>
      <c r="AX859" s="521"/>
      <c r="AY859" s="326"/>
      <c r="AZ859" s="327"/>
      <c r="BA859" s="550"/>
      <c r="BB859" s="327"/>
      <c r="BC859" s="25"/>
      <c r="BD859" s="544" t="s">
        <v>334</v>
      </c>
      <c r="BE859" s="327"/>
      <c r="BF859" s="545"/>
      <c r="BG859" s="326"/>
      <c r="BH859" s="326"/>
      <c r="BI859" s="327"/>
      <c r="BJ859" s="557" t="s">
        <v>303</v>
      </c>
      <c r="BK859" s="326"/>
      <c r="BL859" s="326"/>
      <c r="BM859" s="327"/>
      <c r="BN859" s="558" t="s">
        <v>303</v>
      </c>
      <c r="BO859" s="326"/>
      <c r="BP859" s="326"/>
      <c r="BQ859" s="326"/>
      <c r="BR859" s="326"/>
      <c r="BS859" s="326"/>
      <c r="BT859" s="326"/>
      <c r="BU859" s="326"/>
      <c r="BV859" s="327"/>
    </row>
    <row r="860" spans="1:74" ht="45" customHeight="1" x14ac:dyDescent="0.25">
      <c r="A860" s="10">
        <f t="shared" si="3"/>
        <v>846</v>
      </c>
      <c r="B860" s="564" t="s">
        <v>303</v>
      </c>
      <c r="C860" s="327"/>
      <c r="D860" s="565" t="s">
        <v>307</v>
      </c>
      <c r="E860" s="327"/>
      <c r="F860" s="537" t="s">
        <v>334</v>
      </c>
      <c r="G860" s="327"/>
      <c r="H860" s="561" t="s">
        <v>334</v>
      </c>
      <c r="I860" s="327"/>
      <c r="J860" s="26"/>
      <c r="K860" s="27"/>
      <c r="L860" s="26"/>
      <c r="M860" s="27"/>
      <c r="N860" s="20"/>
      <c r="O860" s="21"/>
      <c r="P860" s="524"/>
      <c r="Q860" s="327"/>
      <c r="R860" s="516"/>
      <c r="S860" s="327"/>
      <c r="T860" s="517"/>
      <c r="U860" s="327"/>
      <c r="V860" s="518"/>
      <c r="W860" s="327"/>
      <c r="X860" s="438" t="s">
        <v>303</v>
      </c>
      <c r="Y860" s="326"/>
      <c r="Z860" s="326"/>
      <c r="AA860" s="327"/>
      <c r="AB860" s="519" t="s">
        <v>303</v>
      </c>
      <c r="AC860" s="326"/>
      <c r="AD860" s="326"/>
      <c r="AE860" s="327"/>
      <c r="AF860" s="520"/>
      <c r="AG860" s="327"/>
      <c r="AH860" s="520"/>
      <c r="AI860" s="327"/>
      <c r="AJ860" s="536"/>
      <c r="AK860" s="327"/>
      <c r="AL860" s="556" t="s">
        <v>334</v>
      </c>
      <c r="AM860" s="327"/>
      <c r="AN860" s="553" t="s">
        <v>334</v>
      </c>
      <c r="AO860" s="327"/>
      <c r="AP860" s="554"/>
      <c r="AQ860" s="327"/>
      <c r="AR860" s="555"/>
      <c r="AS860" s="327"/>
      <c r="AT860" s="549"/>
      <c r="AU860" s="327"/>
      <c r="AV860" s="553" t="s">
        <v>334</v>
      </c>
      <c r="AW860" s="327"/>
      <c r="AX860" s="521"/>
      <c r="AY860" s="326"/>
      <c r="AZ860" s="327"/>
      <c r="BA860" s="536"/>
      <c r="BB860" s="327"/>
      <c r="BC860" s="22"/>
      <c r="BD860" s="551" t="s">
        <v>334</v>
      </c>
      <c r="BE860" s="327"/>
      <c r="BF860" s="552"/>
      <c r="BG860" s="326"/>
      <c r="BH860" s="326"/>
      <c r="BI860" s="327"/>
      <c r="BJ860" s="451" t="s">
        <v>303</v>
      </c>
      <c r="BK860" s="326"/>
      <c r="BL860" s="326"/>
      <c r="BM860" s="327"/>
      <c r="BN860" s="558" t="s">
        <v>303</v>
      </c>
      <c r="BO860" s="326"/>
      <c r="BP860" s="326"/>
      <c r="BQ860" s="326"/>
      <c r="BR860" s="326"/>
      <c r="BS860" s="326"/>
      <c r="BT860" s="326"/>
      <c r="BU860" s="326"/>
      <c r="BV860" s="327"/>
    </row>
    <row r="861" spans="1:74" ht="45" customHeight="1" x14ac:dyDescent="0.25">
      <c r="A861" s="10">
        <f t="shared" si="3"/>
        <v>847</v>
      </c>
      <c r="B861" s="559" t="s">
        <v>303</v>
      </c>
      <c r="C861" s="327"/>
      <c r="D861" s="560" t="s">
        <v>307</v>
      </c>
      <c r="E861" s="327"/>
      <c r="F861" s="537" t="s">
        <v>334</v>
      </c>
      <c r="G861" s="327"/>
      <c r="H861" s="566" t="s">
        <v>334</v>
      </c>
      <c r="I861" s="327"/>
      <c r="J861" s="567"/>
      <c r="K861" s="327"/>
      <c r="L861" s="567"/>
      <c r="M861" s="327"/>
      <c r="N861" s="23"/>
      <c r="O861" s="24"/>
      <c r="P861" s="563"/>
      <c r="Q861" s="327"/>
      <c r="R861" s="538"/>
      <c r="S861" s="327"/>
      <c r="T861" s="539"/>
      <c r="U861" s="327"/>
      <c r="V861" s="540"/>
      <c r="W861" s="327"/>
      <c r="X861" s="541" t="s">
        <v>303</v>
      </c>
      <c r="Y861" s="326"/>
      <c r="Z861" s="326"/>
      <c r="AA861" s="327"/>
      <c r="AB861" s="542" t="s">
        <v>303</v>
      </c>
      <c r="AC861" s="326"/>
      <c r="AD861" s="326"/>
      <c r="AE861" s="327"/>
      <c r="AF861" s="543"/>
      <c r="AG861" s="327"/>
      <c r="AH861" s="543"/>
      <c r="AI861" s="327"/>
      <c r="AJ861" s="536"/>
      <c r="AK861" s="327"/>
      <c r="AL861" s="537" t="s">
        <v>334</v>
      </c>
      <c r="AM861" s="327"/>
      <c r="AN861" s="546" t="s">
        <v>334</v>
      </c>
      <c r="AO861" s="327"/>
      <c r="AP861" s="547"/>
      <c r="AQ861" s="327"/>
      <c r="AR861" s="548"/>
      <c r="AS861" s="327"/>
      <c r="AT861" s="568"/>
      <c r="AU861" s="327"/>
      <c r="AV861" s="546" t="s">
        <v>334</v>
      </c>
      <c r="AW861" s="327"/>
      <c r="AX861" s="521"/>
      <c r="AY861" s="326"/>
      <c r="AZ861" s="327"/>
      <c r="BA861" s="550"/>
      <c r="BB861" s="327"/>
      <c r="BC861" s="25"/>
      <c r="BD861" s="544" t="s">
        <v>334</v>
      </c>
      <c r="BE861" s="327"/>
      <c r="BF861" s="545"/>
      <c r="BG861" s="326"/>
      <c r="BH861" s="326"/>
      <c r="BI861" s="327"/>
      <c r="BJ861" s="557" t="s">
        <v>303</v>
      </c>
      <c r="BK861" s="326"/>
      <c r="BL861" s="326"/>
      <c r="BM861" s="327"/>
      <c r="BN861" s="558" t="s">
        <v>303</v>
      </c>
      <c r="BO861" s="326"/>
      <c r="BP861" s="326"/>
      <c r="BQ861" s="326"/>
      <c r="BR861" s="326"/>
      <c r="BS861" s="326"/>
      <c r="BT861" s="326"/>
      <c r="BU861" s="326"/>
      <c r="BV861" s="327"/>
    </row>
    <row r="862" spans="1:74" ht="45" customHeight="1" x14ac:dyDescent="0.25">
      <c r="A862" s="10">
        <f t="shared" si="3"/>
        <v>848</v>
      </c>
      <c r="B862" s="564" t="s">
        <v>303</v>
      </c>
      <c r="C862" s="327"/>
      <c r="D862" s="565" t="s">
        <v>307</v>
      </c>
      <c r="E862" s="327"/>
      <c r="F862" s="537" t="s">
        <v>334</v>
      </c>
      <c r="G862" s="327"/>
      <c r="H862" s="561" t="s">
        <v>334</v>
      </c>
      <c r="I862" s="327"/>
      <c r="J862" s="26"/>
      <c r="K862" s="27"/>
      <c r="L862" s="26"/>
      <c r="M862" s="27"/>
      <c r="N862" s="23"/>
      <c r="O862" s="24"/>
      <c r="P862" s="563"/>
      <c r="Q862" s="327"/>
      <c r="R862" s="538"/>
      <c r="S862" s="327"/>
      <c r="T862" s="539"/>
      <c r="U862" s="327"/>
      <c r="V862" s="518"/>
      <c r="W862" s="327"/>
      <c r="X862" s="438" t="s">
        <v>303</v>
      </c>
      <c r="Y862" s="326"/>
      <c r="Z862" s="326"/>
      <c r="AA862" s="327"/>
      <c r="AB862" s="519" t="s">
        <v>303</v>
      </c>
      <c r="AC862" s="326"/>
      <c r="AD862" s="326"/>
      <c r="AE862" s="327"/>
      <c r="AF862" s="520"/>
      <c r="AG862" s="327"/>
      <c r="AH862" s="520"/>
      <c r="AI862" s="327"/>
      <c r="AJ862" s="536"/>
      <c r="AK862" s="327"/>
      <c r="AL862" s="556" t="s">
        <v>334</v>
      </c>
      <c r="AM862" s="327"/>
      <c r="AN862" s="553" t="s">
        <v>334</v>
      </c>
      <c r="AO862" s="327"/>
      <c r="AP862" s="554"/>
      <c r="AQ862" s="327"/>
      <c r="AR862" s="555"/>
      <c r="AS862" s="327"/>
      <c r="AT862" s="549"/>
      <c r="AU862" s="327"/>
      <c r="AV862" s="553" t="s">
        <v>334</v>
      </c>
      <c r="AW862" s="327"/>
      <c r="AX862" s="521"/>
      <c r="AY862" s="326"/>
      <c r="AZ862" s="327"/>
      <c r="BA862" s="536"/>
      <c r="BB862" s="327"/>
      <c r="BC862" s="22"/>
      <c r="BD862" s="551" t="s">
        <v>334</v>
      </c>
      <c r="BE862" s="327"/>
      <c r="BF862" s="552"/>
      <c r="BG862" s="326"/>
      <c r="BH862" s="326"/>
      <c r="BI862" s="327"/>
      <c r="BJ862" s="451" t="s">
        <v>303</v>
      </c>
      <c r="BK862" s="326"/>
      <c r="BL862" s="326"/>
      <c r="BM862" s="327"/>
      <c r="BN862" s="558" t="s">
        <v>303</v>
      </c>
      <c r="BO862" s="326"/>
      <c r="BP862" s="326"/>
      <c r="BQ862" s="326"/>
      <c r="BR862" s="326"/>
      <c r="BS862" s="326"/>
      <c r="BT862" s="326"/>
      <c r="BU862" s="326"/>
      <c r="BV862" s="327"/>
    </row>
    <row r="863" spans="1:74" ht="45" customHeight="1" x14ac:dyDescent="0.25">
      <c r="A863" s="10">
        <f t="shared" si="3"/>
        <v>849</v>
      </c>
      <c r="B863" s="559" t="s">
        <v>303</v>
      </c>
      <c r="C863" s="327"/>
      <c r="D863" s="560" t="s">
        <v>307</v>
      </c>
      <c r="E863" s="327"/>
      <c r="F863" s="537" t="s">
        <v>334</v>
      </c>
      <c r="G863" s="327"/>
      <c r="H863" s="566" t="s">
        <v>334</v>
      </c>
      <c r="I863" s="327"/>
      <c r="J863" s="567"/>
      <c r="K863" s="327"/>
      <c r="L863" s="567"/>
      <c r="M863" s="327"/>
      <c r="N863" s="20"/>
      <c r="O863" s="21"/>
      <c r="P863" s="524"/>
      <c r="Q863" s="327"/>
      <c r="R863" s="516"/>
      <c r="S863" s="327"/>
      <c r="T863" s="517"/>
      <c r="U863" s="327"/>
      <c r="V863" s="540"/>
      <c r="W863" s="327"/>
      <c r="X863" s="541" t="s">
        <v>303</v>
      </c>
      <c r="Y863" s="326"/>
      <c r="Z863" s="326"/>
      <c r="AA863" s="327"/>
      <c r="AB863" s="542" t="s">
        <v>303</v>
      </c>
      <c r="AC863" s="326"/>
      <c r="AD863" s="326"/>
      <c r="AE863" s="327"/>
      <c r="AF863" s="543"/>
      <c r="AG863" s="327"/>
      <c r="AH863" s="543"/>
      <c r="AI863" s="327"/>
      <c r="AJ863" s="536"/>
      <c r="AK863" s="327"/>
      <c r="AL863" s="537" t="s">
        <v>334</v>
      </c>
      <c r="AM863" s="327"/>
      <c r="AN863" s="546" t="s">
        <v>334</v>
      </c>
      <c r="AO863" s="327"/>
      <c r="AP863" s="547"/>
      <c r="AQ863" s="327"/>
      <c r="AR863" s="548"/>
      <c r="AS863" s="327"/>
      <c r="AT863" s="568"/>
      <c r="AU863" s="327"/>
      <c r="AV863" s="546" t="s">
        <v>334</v>
      </c>
      <c r="AW863" s="327"/>
      <c r="AX863" s="521"/>
      <c r="AY863" s="326"/>
      <c r="AZ863" s="327"/>
      <c r="BA863" s="550"/>
      <c r="BB863" s="327"/>
      <c r="BC863" s="25"/>
      <c r="BD863" s="544" t="s">
        <v>334</v>
      </c>
      <c r="BE863" s="327"/>
      <c r="BF863" s="545"/>
      <c r="BG863" s="326"/>
      <c r="BH863" s="326"/>
      <c r="BI863" s="327"/>
      <c r="BJ863" s="557" t="s">
        <v>303</v>
      </c>
      <c r="BK863" s="326"/>
      <c r="BL863" s="326"/>
      <c r="BM863" s="327"/>
      <c r="BN863" s="558" t="s">
        <v>303</v>
      </c>
      <c r="BO863" s="326"/>
      <c r="BP863" s="326"/>
      <c r="BQ863" s="326"/>
      <c r="BR863" s="326"/>
      <c r="BS863" s="326"/>
      <c r="BT863" s="326"/>
      <c r="BU863" s="326"/>
      <c r="BV863" s="327"/>
    </row>
    <row r="864" spans="1:74" ht="45" customHeight="1" x14ac:dyDescent="0.25">
      <c r="A864" s="10">
        <f t="shared" si="3"/>
        <v>850</v>
      </c>
      <c r="B864" s="564" t="s">
        <v>303</v>
      </c>
      <c r="C864" s="327"/>
      <c r="D864" s="565" t="s">
        <v>307</v>
      </c>
      <c r="E864" s="327"/>
      <c r="F864" s="537" t="s">
        <v>334</v>
      </c>
      <c r="G864" s="327"/>
      <c r="H864" s="561" t="s">
        <v>334</v>
      </c>
      <c r="I864" s="327"/>
      <c r="J864" s="26"/>
      <c r="K864" s="27"/>
      <c r="L864" s="26"/>
      <c r="M864" s="27"/>
      <c r="N864" s="23"/>
      <c r="O864" s="24"/>
      <c r="P864" s="563"/>
      <c r="Q864" s="327"/>
      <c r="R864" s="538"/>
      <c r="S864" s="327"/>
      <c r="T864" s="539"/>
      <c r="U864" s="327"/>
      <c r="V864" s="518"/>
      <c r="W864" s="327"/>
      <c r="X864" s="438" t="s">
        <v>303</v>
      </c>
      <c r="Y864" s="326"/>
      <c r="Z864" s="326"/>
      <c r="AA864" s="327"/>
      <c r="AB864" s="519" t="s">
        <v>303</v>
      </c>
      <c r="AC864" s="326"/>
      <c r="AD864" s="326"/>
      <c r="AE864" s="327"/>
      <c r="AF864" s="520"/>
      <c r="AG864" s="327"/>
      <c r="AH864" s="520"/>
      <c r="AI864" s="327"/>
      <c r="AJ864" s="536"/>
      <c r="AK864" s="327"/>
      <c r="AL864" s="556" t="s">
        <v>334</v>
      </c>
      <c r="AM864" s="327"/>
      <c r="AN864" s="553" t="s">
        <v>334</v>
      </c>
      <c r="AO864" s="327"/>
      <c r="AP864" s="554"/>
      <c r="AQ864" s="327"/>
      <c r="AR864" s="555"/>
      <c r="AS864" s="327"/>
      <c r="AT864" s="549"/>
      <c r="AU864" s="327"/>
      <c r="AV864" s="553" t="s">
        <v>334</v>
      </c>
      <c r="AW864" s="327"/>
      <c r="AX864" s="521"/>
      <c r="AY864" s="326"/>
      <c r="AZ864" s="327"/>
      <c r="BA864" s="536"/>
      <c r="BB864" s="327"/>
      <c r="BC864" s="22"/>
      <c r="BD864" s="551" t="s">
        <v>334</v>
      </c>
      <c r="BE864" s="327"/>
      <c r="BF864" s="508"/>
      <c r="BG864" s="326"/>
      <c r="BH864" s="326"/>
      <c r="BI864" s="327"/>
      <c r="BJ864" s="451" t="s">
        <v>303</v>
      </c>
      <c r="BK864" s="326"/>
      <c r="BL864" s="326"/>
      <c r="BM864" s="327"/>
      <c r="BN864" s="558" t="s">
        <v>303</v>
      </c>
      <c r="BO864" s="326"/>
      <c r="BP864" s="326"/>
      <c r="BQ864" s="326"/>
      <c r="BR864" s="326"/>
      <c r="BS864" s="326"/>
      <c r="BT864" s="326"/>
      <c r="BU864" s="326"/>
      <c r="BV864" s="327"/>
    </row>
    <row r="865" spans="1:74" ht="45" customHeight="1" x14ac:dyDescent="0.25">
      <c r="A865" s="10">
        <f t="shared" si="3"/>
        <v>851</v>
      </c>
      <c r="B865" s="559" t="s">
        <v>303</v>
      </c>
      <c r="C865" s="327"/>
      <c r="D865" s="560" t="s">
        <v>307</v>
      </c>
      <c r="E865" s="327"/>
      <c r="F865" s="537" t="s">
        <v>334</v>
      </c>
      <c r="G865" s="327"/>
      <c r="H865" s="566" t="s">
        <v>334</v>
      </c>
      <c r="I865" s="327"/>
      <c r="J865" s="567"/>
      <c r="K865" s="327"/>
      <c r="L865" s="567"/>
      <c r="M865" s="327"/>
      <c r="N865" s="20"/>
      <c r="O865" s="21"/>
      <c r="P865" s="524"/>
      <c r="Q865" s="327"/>
      <c r="R865" s="516"/>
      <c r="S865" s="327"/>
      <c r="T865" s="517"/>
      <c r="U865" s="327"/>
      <c r="V865" s="540"/>
      <c r="W865" s="327"/>
      <c r="X865" s="541" t="s">
        <v>303</v>
      </c>
      <c r="Y865" s="326"/>
      <c r="Z865" s="326"/>
      <c r="AA865" s="327"/>
      <c r="AB865" s="542" t="s">
        <v>303</v>
      </c>
      <c r="AC865" s="326"/>
      <c r="AD865" s="326"/>
      <c r="AE865" s="327"/>
      <c r="AF865" s="543"/>
      <c r="AG865" s="327"/>
      <c r="AH865" s="543"/>
      <c r="AI865" s="327"/>
      <c r="AJ865" s="536"/>
      <c r="AK865" s="327"/>
      <c r="AL865" s="537" t="s">
        <v>334</v>
      </c>
      <c r="AM865" s="327"/>
      <c r="AN865" s="546" t="s">
        <v>334</v>
      </c>
      <c r="AO865" s="327"/>
      <c r="AP865" s="547"/>
      <c r="AQ865" s="327"/>
      <c r="AR865" s="548"/>
      <c r="AS865" s="327"/>
      <c r="AT865" s="568"/>
      <c r="AU865" s="327"/>
      <c r="AV865" s="546" t="s">
        <v>334</v>
      </c>
      <c r="AW865" s="327"/>
      <c r="AX865" s="521"/>
      <c r="AY865" s="326"/>
      <c r="AZ865" s="327"/>
      <c r="BA865" s="550"/>
      <c r="BB865" s="327"/>
      <c r="BC865" s="25"/>
      <c r="BD865" s="544" t="s">
        <v>334</v>
      </c>
      <c r="BE865" s="327"/>
      <c r="BF865" s="545"/>
      <c r="BG865" s="326"/>
      <c r="BH865" s="326"/>
      <c r="BI865" s="327"/>
      <c r="BJ865" s="557" t="s">
        <v>303</v>
      </c>
      <c r="BK865" s="326"/>
      <c r="BL865" s="326"/>
      <c r="BM865" s="327"/>
      <c r="BN865" s="558" t="s">
        <v>303</v>
      </c>
      <c r="BO865" s="326"/>
      <c r="BP865" s="326"/>
      <c r="BQ865" s="326"/>
      <c r="BR865" s="326"/>
      <c r="BS865" s="326"/>
      <c r="BT865" s="326"/>
      <c r="BU865" s="326"/>
      <c r="BV865" s="327"/>
    </row>
    <row r="866" spans="1:74" ht="45" customHeight="1" x14ac:dyDescent="0.25">
      <c r="A866" s="10">
        <f t="shared" si="3"/>
        <v>852</v>
      </c>
      <c r="B866" s="564" t="s">
        <v>303</v>
      </c>
      <c r="C866" s="327"/>
      <c r="D866" s="565" t="s">
        <v>307</v>
      </c>
      <c r="E866" s="327"/>
      <c r="F866" s="537" t="s">
        <v>334</v>
      </c>
      <c r="G866" s="327"/>
      <c r="H866" s="561" t="s">
        <v>334</v>
      </c>
      <c r="I866" s="327"/>
      <c r="J866" s="26"/>
      <c r="K866" s="27"/>
      <c r="L866" s="26"/>
      <c r="M866" s="27"/>
      <c r="N866" s="23"/>
      <c r="O866" s="24"/>
      <c r="P866" s="563"/>
      <c r="Q866" s="327"/>
      <c r="R866" s="538"/>
      <c r="S866" s="327"/>
      <c r="T866" s="539"/>
      <c r="U866" s="327"/>
      <c r="V866" s="518"/>
      <c r="W866" s="327"/>
      <c r="X866" s="438" t="s">
        <v>303</v>
      </c>
      <c r="Y866" s="326"/>
      <c r="Z866" s="326"/>
      <c r="AA866" s="327"/>
      <c r="AB866" s="519" t="s">
        <v>303</v>
      </c>
      <c r="AC866" s="326"/>
      <c r="AD866" s="326"/>
      <c r="AE866" s="327"/>
      <c r="AF866" s="520"/>
      <c r="AG866" s="327"/>
      <c r="AH866" s="520"/>
      <c r="AI866" s="327"/>
      <c r="AJ866" s="536"/>
      <c r="AK866" s="327"/>
      <c r="AL866" s="556" t="s">
        <v>334</v>
      </c>
      <c r="AM866" s="327"/>
      <c r="AN866" s="553" t="s">
        <v>334</v>
      </c>
      <c r="AO866" s="327"/>
      <c r="AP866" s="554"/>
      <c r="AQ866" s="327"/>
      <c r="AR866" s="555"/>
      <c r="AS866" s="327"/>
      <c r="AT866" s="549"/>
      <c r="AU866" s="327"/>
      <c r="AV866" s="553" t="s">
        <v>334</v>
      </c>
      <c r="AW866" s="327"/>
      <c r="AX866" s="521"/>
      <c r="AY866" s="326"/>
      <c r="AZ866" s="327"/>
      <c r="BA866" s="536"/>
      <c r="BB866" s="327"/>
      <c r="BC866" s="22"/>
      <c r="BD866" s="551" t="s">
        <v>334</v>
      </c>
      <c r="BE866" s="327"/>
      <c r="BF866" s="552"/>
      <c r="BG866" s="326"/>
      <c r="BH866" s="326"/>
      <c r="BI866" s="327"/>
      <c r="BJ866" s="451" t="s">
        <v>303</v>
      </c>
      <c r="BK866" s="326"/>
      <c r="BL866" s="326"/>
      <c r="BM866" s="327"/>
      <c r="BN866" s="558" t="s">
        <v>303</v>
      </c>
      <c r="BO866" s="326"/>
      <c r="BP866" s="326"/>
      <c r="BQ866" s="326"/>
      <c r="BR866" s="326"/>
      <c r="BS866" s="326"/>
      <c r="BT866" s="326"/>
      <c r="BU866" s="326"/>
      <c r="BV866" s="327"/>
    </row>
    <row r="867" spans="1:74" ht="45" customHeight="1" x14ac:dyDescent="0.25">
      <c r="A867" s="10">
        <f t="shared" si="3"/>
        <v>853</v>
      </c>
      <c r="B867" s="559" t="s">
        <v>303</v>
      </c>
      <c r="C867" s="327"/>
      <c r="D867" s="560" t="s">
        <v>307</v>
      </c>
      <c r="E867" s="327"/>
      <c r="F867" s="537" t="s">
        <v>334</v>
      </c>
      <c r="G867" s="327"/>
      <c r="H867" s="566" t="s">
        <v>334</v>
      </c>
      <c r="I867" s="327"/>
      <c r="J867" s="567"/>
      <c r="K867" s="327"/>
      <c r="L867" s="567"/>
      <c r="M867" s="327"/>
      <c r="N867" s="20"/>
      <c r="O867" s="21"/>
      <c r="P867" s="524"/>
      <c r="Q867" s="327"/>
      <c r="R867" s="516"/>
      <c r="S867" s="327"/>
      <c r="T867" s="517"/>
      <c r="U867" s="327"/>
      <c r="V867" s="540"/>
      <c r="W867" s="327"/>
      <c r="X867" s="541" t="s">
        <v>303</v>
      </c>
      <c r="Y867" s="326"/>
      <c r="Z867" s="326"/>
      <c r="AA867" s="327"/>
      <c r="AB867" s="542" t="s">
        <v>303</v>
      </c>
      <c r="AC867" s="326"/>
      <c r="AD867" s="326"/>
      <c r="AE867" s="327"/>
      <c r="AF867" s="543"/>
      <c r="AG867" s="327"/>
      <c r="AH867" s="543"/>
      <c r="AI867" s="327"/>
      <c r="AJ867" s="536"/>
      <c r="AK867" s="327"/>
      <c r="AL867" s="537" t="s">
        <v>334</v>
      </c>
      <c r="AM867" s="327"/>
      <c r="AN867" s="546" t="s">
        <v>334</v>
      </c>
      <c r="AO867" s="327"/>
      <c r="AP867" s="547"/>
      <c r="AQ867" s="327"/>
      <c r="AR867" s="548"/>
      <c r="AS867" s="327"/>
      <c r="AT867" s="549"/>
      <c r="AU867" s="327"/>
      <c r="AV867" s="546" t="s">
        <v>334</v>
      </c>
      <c r="AW867" s="327"/>
      <c r="AX867" s="521"/>
      <c r="AY867" s="326"/>
      <c r="AZ867" s="327"/>
      <c r="BA867" s="550"/>
      <c r="BB867" s="327"/>
      <c r="BC867" s="25"/>
      <c r="BD867" s="544" t="s">
        <v>334</v>
      </c>
      <c r="BE867" s="327"/>
      <c r="BF867" s="545"/>
      <c r="BG867" s="326"/>
      <c r="BH867" s="326"/>
      <c r="BI867" s="327"/>
      <c r="BJ867" s="557" t="s">
        <v>303</v>
      </c>
      <c r="BK867" s="326"/>
      <c r="BL867" s="326"/>
      <c r="BM867" s="327"/>
      <c r="BN867" s="558" t="s">
        <v>303</v>
      </c>
      <c r="BO867" s="326"/>
      <c r="BP867" s="326"/>
      <c r="BQ867" s="326"/>
      <c r="BR867" s="326"/>
      <c r="BS867" s="326"/>
      <c r="BT867" s="326"/>
      <c r="BU867" s="326"/>
      <c r="BV867" s="327"/>
    </row>
    <row r="868" spans="1:74" ht="45" customHeight="1" x14ac:dyDescent="0.25">
      <c r="A868" s="10">
        <f t="shared" si="3"/>
        <v>854</v>
      </c>
      <c r="B868" s="564" t="s">
        <v>303</v>
      </c>
      <c r="C868" s="327"/>
      <c r="D868" s="565" t="s">
        <v>307</v>
      </c>
      <c r="E868" s="327"/>
      <c r="F868" s="537" t="s">
        <v>334</v>
      </c>
      <c r="G868" s="327"/>
      <c r="H868" s="561" t="s">
        <v>334</v>
      </c>
      <c r="I868" s="327"/>
      <c r="J868" s="26"/>
      <c r="K868" s="27"/>
      <c r="L868" s="26"/>
      <c r="M868" s="27"/>
      <c r="N868" s="23"/>
      <c r="O868" s="24"/>
      <c r="P868" s="563"/>
      <c r="Q868" s="327"/>
      <c r="R868" s="538"/>
      <c r="S868" s="327"/>
      <c r="T868" s="539"/>
      <c r="U868" s="327"/>
      <c r="V868" s="518"/>
      <c r="W868" s="327"/>
      <c r="X868" s="438" t="s">
        <v>303</v>
      </c>
      <c r="Y868" s="326"/>
      <c r="Z868" s="326"/>
      <c r="AA868" s="327"/>
      <c r="AB868" s="519" t="s">
        <v>303</v>
      </c>
      <c r="AC868" s="326"/>
      <c r="AD868" s="326"/>
      <c r="AE868" s="327"/>
      <c r="AF868" s="520"/>
      <c r="AG868" s="327"/>
      <c r="AH868" s="520"/>
      <c r="AI868" s="327"/>
      <c r="AJ868" s="536"/>
      <c r="AK868" s="327"/>
      <c r="AL868" s="556" t="s">
        <v>334</v>
      </c>
      <c r="AM868" s="327"/>
      <c r="AN868" s="553" t="s">
        <v>334</v>
      </c>
      <c r="AO868" s="327"/>
      <c r="AP868" s="554"/>
      <c r="AQ868" s="327"/>
      <c r="AR868" s="555"/>
      <c r="AS868" s="327"/>
      <c r="AT868" s="549"/>
      <c r="AU868" s="327"/>
      <c r="AV868" s="553" t="s">
        <v>334</v>
      </c>
      <c r="AW868" s="327"/>
      <c r="AX868" s="521"/>
      <c r="AY868" s="326"/>
      <c r="AZ868" s="327"/>
      <c r="BA868" s="536"/>
      <c r="BB868" s="327"/>
      <c r="BC868" s="22"/>
      <c r="BD868" s="551" t="s">
        <v>334</v>
      </c>
      <c r="BE868" s="327"/>
      <c r="BF868" s="552"/>
      <c r="BG868" s="326"/>
      <c r="BH868" s="326"/>
      <c r="BI868" s="327"/>
      <c r="BJ868" s="451" t="s">
        <v>303</v>
      </c>
      <c r="BK868" s="326"/>
      <c r="BL868" s="326"/>
      <c r="BM868" s="327"/>
      <c r="BN868" s="558" t="s">
        <v>303</v>
      </c>
      <c r="BO868" s="326"/>
      <c r="BP868" s="326"/>
      <c r="BQ868" s="326"/>
      <c r="BR868" s="326"/>
      <c r="BS868" s="326"/>
      <c r="BT868" s="326"/>
      <c r="BU868" s="326"/>
      <c r="BV868" s="327"/>
    </row>
    <row r="869" spans="1:74" ht="45" customHeight="1" x14ac:dyDescent="0.25">
      <c r="A869" s="10">
        <f t="shared" si="3"/>
        <v>855</v>
      </c>
      <c r="B869" s="559" t="s">
        <v>303</v>
      </c>
      <c r="C869" s="327"/>
      <c r="D869" s="560" t="s">
        <v>307</v>
      </c>
      <c r="E869" s="327"/>
      <c r="F869" s="537" t="s">
        <v>334</v>
      </c>
      <c r="G869" s="327"/>
      <c r="H869" s="566" t="s">
        <v>334</v>
      </c>
      <c r="I869" s="327"/>
      <c r="J869" s="567"/>
      <c r="K869" s="327"/>
      <c r="L869" s="567"/>
      <c r="M869" s="327"/>
      <c r="N869" s="20"/>
      <c r="O869" s="21"/>
      <c r="P869" s="524"/>
      <c r="Q869" s="327"/>
      <c r="R869" s="516"/>
      <c r="S869" s="327"/>
      <c r="T869" s="517"/>
      <c r="U869" s="327"/>
      <c r="V869" s="540"/>
      <c r="W869" s="327"/>
      <c r="X869" s="541" t="s">
        <v>303</v>
      </c>
      <c r="Y869" s="326"/>
      <c r="Z869" s="326"/>
      <c r="AA869" s="327"/>
      <c r="AB869" s="542" t="s">
        <v>303</v>
      </c>
      <c r="AC869" s="326"/>
      <c r="AD869" s="326"/>
      <c r="AE869" s="327"/>
      <c r="AF869" s="543"/>
      <c r="AG869" s="327"/>
      <c r="AH869" s="543"/>
      <c r="AI869" s="327"/>
      <c r="AJ869" s="536"/>
      <c r="AK869" s="327"/>
      <c r="AL869" s="537" t="s">
        <v>334</v>
      </c>
      <c r="AM869" s="327"/>
      <c r="AN869" s="546" t="s">
        <v>334</v>
      </c>
      <c r="AO869" s="327"/>
      <c r="AP869" s="547"/>
      <c r="AQ869" s="327"/>
      <c r="AR869" s="548"/>
      <c r="AS869" s="327"/>
      <c r="AT869" s="549"/>
      <c r="AU869" s="327"/>
      <c r="AV869" s="546" t="s">
        <v>334</v>
      </c>
      <c r="AW869" s="327"/>
      <c r="AX869" s="521"/>
      <c r="AY869" s="326"/>
      <c r="AZ869" s="327"/>
      <c r="BA869" s="550"/>
      <c r="BB869" s="327"/>
      <c r="BC869" s="25"/>
      <c r="BD869" s="544" t="s">
        <v>334</v>
      </c>
      <c r="BE869" s="327"/>
      <c r="BF869" s="545"/>
      <c r="BG869" s="326"/>
      <c r="BH869" s="326"/>
      <c r="BI869" s="327"/>
      <c r="BJ869" s="557" t="s">
        <v>303</v>
      </c>
      <c r="BK869" s="326"/>
      <c r="BL869" s="326"/>
      <c r="BM869" s="327"/>
      <c r="BN869" s="558" t="s">
        <v>303</v>
      </c>
      <c r="BO869" s="326"/>
      <c r="BP869" s="326"/>
      <c r="BQ869" s="326"/>
      <c r="BR869" s="326"/>
      <c r="BS869" s="326"/>
      <c r="BT869" s="326"/>
      <c r="BU869" s="326"/>
      <c r="BV869" s="327"/>
    </row>
    <row r="870" spans="1:74" ht="45" customHeight="1" x14ac:dyDescent="0.25">
      <c r="A870" s="10">
        <f t="shared" si="3"/>
        <v>856</v>
      </c>
      <c r="B870" s="564" t="s">
        <v>303</v>
      </c>
      <c r="C870" s="327"/>
      <c r="D870" s="565" t="s">
        <v>307</v>
      </c>
      <c r="E870" s="327"/>
      <c r="F870" s="537" t="s">
        <v>334</v>
      </c>
      <c r="G870" s="327"/>
      <c r="H870" s="561" t="s">
        <v>334</v>
      </c>
      <c r="I870" s="327"/>
      <c r="J870" s="26"/>
      <c r="K870" s="27"/>
      <c r="L870" s="26"/>
      <c r="M870" s="27"/>
      <c r="N870" s="23"/>
      <c r="O870" s="24"/>
      <c r="P870" s="563"/>
      <c r="Q870" s="327"/>
      <c r="R870" s="538"/>
      <c r="S870" s="327"/>
      <c r="T870" s="539"/>
      <c r="U870" s="327"/>
      <c r="V870" s="518"/>
      <c r="W870" s="327"/>
      <c r="X870" s="438" t="s">
        <v>303</v>
      </c>
      <c r="Y870" s="326"/>
      <c r="Z870" s="326"/>
      <c r="AA870" s="327"/>
      <c r="AB870" s="519" t="s">
        <v>303</v>
      </c>
      <c r="AC870" s="326"/>
      <c r="AD870" s="326"/>
      <c r="AE870" s="327"/>
      <c r="AF870" s="520"/>
      <c r="AG870" s="327"/>
      <c r="AH870" s="520"/>
      <c r="AI870" s="327"/>
      <c r="AJ870" s="536"/>
      <c r="AK870" s="327"/>
      <c r="AL870" s="556" t="s">
        <v>334</v>
      </c>
      <c r="AM870" s="327"/>
      <c r="AN870" s="553" t="s">
        <v>334</v>
      </c>
      <c r="AO870" s="327"/>
      <c r="AP870" s="554"/>
      <c r="AQ870" s="327"/>
      <c r="AR870" s="555"/>
      <c r="AS870" s="327"/>
      <c r="AT870" s="549"/>
      <c r="AU870" s="327"/>
      <c r="AV870" s="553" t="s">
        <v>334</v>
      </c>
      <c r="AW870" s="327"/>
      <c r="AX870" s="521"/>
      <c r="AY870" s="326"/>
      <c r="AZ870" s="327"/>
      <c r="BA870" s="536"/>
      <c r="BB870" s="327"/>
      <c r="BC870" s="22"/>
      <c r="BD870" s="551" t="s">
        <v>334</v>
      </c>
      <c r="BE870" s="327"/>
      <c r="BF870" s="552"/>
      <c r="BG870" s="326"/>
      <c r="BH870" s="326"/>
      <c r="BI870" s="327"/>
      <c r="BJ870" s="451" t="s">
        <v>303</v>
      </c>
      <c r="BK870" s="326"/>
      <c r="BL870" s="326"/>
      <c r="BM870" s="327"/>
      <c r="BN870" s="558" t="s">
        <v>303</v>
      </c>
      <c r="BO870" s="326"/>
      <c r="BP870" s="326"/>
      <c r="BQ870" s="326"/>
      <c r="BR870" s="326"/>
      <c r="BS870" s="326"/>
      <c r="BT870" s="326"/>
      <c r="BU870" s="326"/>
      <c r="BV870" s="327"/>
    </row>
    <row r="871" spans="1:74" ht="45" customHeight="1" x14ac:dyDescent="0.25">
      <c r="A871" s="10">
        <f t="shared" si="3"/>
        <v>857</v>
      </c>
      <c r="B871" s="559" t="s">
        <v>303</v>
      </c>
      <c r="C871" s="327"/>
      <c r="D871" s="560" t="s">
        <v>307</v>
      </c>
      <c r="E871" s="327"/>
      <c r="F871" s="537" t="s">
        <v>334</v>
      </c>
      <c r="G871" s="327"/>
      <c r="H871" s="566" t="s">
        <v>334</v>
      </c>
      <c r="I871" s="327"/>
      <c r="J871" s="567"/>
      <c r="K871" s="327"/>
      <c r="L871" s="567"/>
      <c r="M871" s="327"/>
      <c r="N871" s="20"/>
      <c r="O871" s="21"/>
      <c r="P871" s="524"/>
      <c r="Q871" s="327"/>
      <c r="R871" s="516"/>
      <c r="S871" s="327"/>
      <c r="T871" s="517"/>
      <c r="U871" s="327"/>
      <c r="V871" s="540"/>
      <c r="W871" s="327"/>
      <c r="X871" s="541" t="s">
        <v>303</v>
      </c>
      <c r="Y871" s="326"/>
      <c r="Z871" s="326"/>
      <c r="AA871" s="327"/>
      <c r="AB871" s="542" t="s">
        <v>303</v>
      </c>
      <c r="AC871" s="326"/>
      <c r="AD871" s="326"/>
      <c r="AE871" s="327"/>
      <c r="AF871" s="543"/>
      <c r="AG871" s="327"/>
      <c r="AH871" s="543"/>
      <c r="AI871" s="327"/>
      <c r="AJ871" s="536"/>
      <c r="AK871" s="327"/>
      <c r="AL871" s="537" t="s">
        <v>334</v>
      </c>
      <c r="AM871" s="327"/>
      <c r="AN871" s="546" t="s">
        <v>334</v>
      </c>
      <c r="AO871" s="327"/>
      <c r="AP871" s="547"/>
      <c r="AQ871" s="327"/>
      <c r="AR871" s="548"/>
      <c r="AS871" s="327"/>
      <c r="AT871" s="568"/>
      <c r="AU871" s="327"/>
      <c r="AV871" s="546" t="s">
        <v>334</v>
      </c>
      <c r="AW871" s="327"/>
      <c r="AX871" s="521"/>
      <c r="AY871" s="326"/>
      <c r="AZ871" s="327"/>
      <c r="BA871" s="550"/>
      <c r="BB871" s="327"/>
      <c r="BC871" s="25"/>
      <c r="BD871" s="544" t="s">
        <v>334</v>
      </c>
      <c r="BE871" s="327"/>
      <c r="BF871" s="545"/>
      <c r="BG871" s="326"/>
      <c r="BH871" s="326"/>
      <c r="BI871" s="327"/>
      <c r="BJ871" s="557" t="s">
        <v>303</v>
      </c>
      <c r="BK871" s="326"/>
      <c r="BL871" s="326"/>
      <c r="BM871" s="327"/>
      <c r="BN871" s="558" t="s">
        <v>303</v>
      </c>
      <c r="BO871" s="326"/>
      <c r="BP871" s="326"/>
      <c r="BQ871" s="326"/>
      <c r="BR871" s="326"/>
      <c r="BS871" s="326"/>
      <c r="BT871" s="326"/>
      <c r="BU871" s="326"/>
      <c r="BV871" s="327"/>
    </row>
    <row r="872" spans="1:74" ht="45" customHeight="1" x14ac:dyDescent="0.25">
      <c r="A872" s="10">
        <f t="shared" si="3"/>
        <v>858</v>
      </c>
      <c r="B872" s="564" t="s">
        <v>303</v>
      </c>
      <c r="C872" s="327"/>
      <c r="D872" s="565" t="s">
        <v>307</v>
      </c>
      <c r="E872" s="327"/>
      <c r="F872" s="537" t="s">
        <v>334</v>
      </c>
      <c r="G872" s="327"/>
      <c r="H872" s="561" t="s">
        <v>334</v>
      </c>
      <c r="I872" s="327"/>
      <c r="J872" s="26"/>
      <c r="K872" s="27"/>
      <c r="L872" s="26"/>
      <c r="M872" s="27"/>
      <c r="N872" s="23"/>
      <c r="O872" s="24"/>
      <c r="P872" s="563"/>
      <c r="Q872" s="327"/>
      <c r="R872" s="538"/>
      <c r="S872" s="327"/>
      <c r="T872" s="539"/>
      <c r="U872" s="327"/>
      <c r="V872" s="518"/>
      <c r="W872" s="327"/>
      <c r="X872" s="438" t="s">
        <v>303</v>
      </c>
      <c r="Y872" s="326"/>
      <c r="Z872" s="326"/>
      <c r="AA872" s="327"/>
      <c r="AB872" s="519" t="s">
        <v>303</v>
      </c>
      <c r="AC872" s="326"/>
      <c r="AD872" s="326"/>
      <c r="AE872" s="327"/>
      <c r="AF872" s="520"/>
      <c r="AG872" s="327"/>
      <c r="AH872" s="520"/>
      <c r="AI872" s="327"/>
      <c r="AJ872" s="536"/>
      <c r="AK872" s="327"/>
      <c r="AL872" s="556" t="s">
        <v>334</v>
      </c>
      <c r="AM872" s="327"/>
      <c r="AN872" s="553" t="s">
        <v>334</v>
      </c>
      <c r="AO872" s="327"/>
      <c r="AP872" s="554"/>
      <c r="AQ872" s="327"/>
      <c r="AR872" s="555"/>
      <c r="AS872" s="327"/>
      <c r="AT872" s="549"/>
      <c r="AU872" s="327"/>
      <c r="AV872" s="553" t="s">
        <v>334</v>
      </c>
      <c r="AW872" s="327"/>
      <c r="AX872" s="521"/>
      <c r="AY872" s="326"/>
      <c r="AZ872" s="327"/>
      <c r="BA872" s="536"/>
      <c r="BB872" s="327"/>
      <c r="BC872" s="22"/>
      <c r="BD872" s="551" t="s">
        <v>334</v>
      </c>
      <c r="BE872" s="327"/>
      <c r="BF872" s="508"/>
      <c r="BG872" s="326"/>
      <c r="BH872" s="326"/>
      <c r="BI872" s="327"/>
      <c r="BJ872" s="451" t="s">
        <v>303</v>
      </c>
      <c r="BK872" s="326"/>
      <c r="BL872" s="326"/>
      <c r="BM872" s="327"/>
      <c r="BN872" s="558" t="s">
        <v>303</v>
      </c>
      <c r="BO872" s="326"/>
      <c r="BP872" s="326"/>
      <c r="BQ872" s="326"/>
      <c r="BR872" s="326"/>
      <c r="BS872" s="326"/>
      <c r="BT872" s="326"/>
      <c r="BU872" s="326"/>
      <c r="BV872" s="327"/>
    </row>
    <row r="873" spans="1:74" ht="45" customHeight="1" x14ac:dyDescent="0.25">
      <c r="A873" s="10">
        <f t="shared" si="3"/>
        <v>859</v>
      </c>
      <c r="B873" s="559" t="s">
        <v>303</v>
      </c>
      <c r="C873" s="327"/>
      <c r="D873" s="560" t="s">
        <v>307</v>
      </c>
      <c r="E873" s="327"/>
      <c r="F873" s="537" t="s">
        <v>334</v>
      </c>
      <c r="G873" s="327"/>
      <c r="H873" s="566" t="s">
        <v>334</v>
      </c>
      <c r="I873" s="327"/>
      <c r="J873" s="567"/>
      <c r="K873" s="327"/>
      <c r="L873" s="567"/>
      <c r="M873" s="327"/>
      <c r="N873" s="20"/>
      <c r="O873" s="21"/>
      <c r="P873" s="524"/>
      <c r="Q873" s="327"/>
      <c r="R873" s="516"/>
      <c r="S873" s="327"/>
      <c r="T873" s="517"/>
      <c r="U873" s="327"/>
      <c r="V873" s="540"/>
      <c r="W873" s="327"/>
      <c r="X873" s="541" t="s">
        <v>303</v>
      </c>
      <c r="Y873" s="326"/>
      <c r="Z873" s="326"/>
      <c r="AA873" s="327"/>
      <c r="AB873" s="542" t="s">
        <v>303</v>
      </c>
      <c r="AC873" s="326"/>
      <c r="AD873" s="326"/>
      <c r="AE873" s="327"/>
      <c r="AF873" s="543"/>
      <c r="AG873" s="327"/>
      <c r="AH873" s="543"/>
      <c r="AI873" s="327"/>
      <c r="AJ873" s="536"/>
      <c r="AK873" s="327"/>
      <c r="AL873" s="537" t="s">
        <v>334</v>
      </c>
      <c r="AM873" s="327"/>
      <c r="AN873" s="546" t="s">
        <v>334</v>
      </c>
      <c r="AO873" s="327"/>
      <c r="AP873" s="547"/>
      <c r="AQ873" s="327"/>
      <c r="AR873" s="548"/>
      <c r="AS873" s="327"/>
      <c r="AT873" s="568"/>
      <c r="AU873" s="327"/>
      <c r="AV873" s="546" t="s">
        <v>334</v>
      </c>
      <c r="AW873" s="327"/>
      <c r="AX873" s="521"/>
      <c r="AY873" s="326"/>
      <c r="AZ873" s="327"/>
      <c r="BA873" s="550"/>
      <c r="BB873" s="327"/>
      <c r="BC873" s="25"/>
      <c r="BD873" s="544" t="s">
        <v>334</v>
      </c>
      <c r="BE873" s="327"/>
      <c r="BF873" s="545"/>
      <c r="BG873" s="326"/>
      <c r="BH873" s="326"/>
      <c r="BI873" s="327"/>
      <c r="BJ873" s="557" t="s">
        <v>303</v>
      </c>
      <c r="BK873" s="326"/>
      <c r="BL873" s="326"/>
      <c r="BM873" s="327"/>
      <c r="BN873" s="558" t="s">
        <v>303</v>
      </c>
      <c r="BO873" s="326"/>
      <c r="BP873" s="326"/>
      <c r="BQ873" s="326"/>
      <c r="BR873" s="326"/>
      <c r="BS873" s="326"/>
      <c r="BT873" s="326"/>
      <c r="BU873" s="326"/>
      <c r="BV873" s="327"/>
    </row>
    <row r="874" spans="1:74" ht="45" customHeight="1" x14ac:dyDescent="0.25">
      <c r="A874" s="10">
        <f t="shared" si="3"/>
        <v>860</v>
      </c>
      <c r="B874" s="564" t="s">
        <v>303</v>
      </c>
      <c r="C874" s="327"/>
      <c r="D874" s="565" t="s">
        <v>307</v>
      </c>
      <c r="E874" s="327"/>
      <c r="F874" s="537" t="s">
        <v>334</v>
      </c>
      <c r="G874" s="327"/>
      <c r="H874" s="561" t="s">
        <v>334</v>
      </c>
      <c r="I874" s="327"/>
      <c r="J874" s="26"/>
      <c r="K874" s="27"/>
      <c r="L874" s="26"/>
      <c r="M874" s="27"/>
      <c r="N874" s="23"/>
      <c r="O874" s="24"/>
      <c r="P874" s="563"/>
      <c r="Q874" s="327"/>
      <c r="R874" s="538"/>
      <c r="S874" s="327"/>
      <c r="T874" s="539"/>
      <c r="U874" s="327"/>
      <c r="V874" s="518"/>
      <c r="W874" s="327"/>
      <c r="X874" s="438" t="s">
        <v>303</v>
      </c>
      <c r="Y874" s="326"/>
      <c r="Z874" s="326"/>
      <c r="AA874" s="327"/>
      <c r="AB874" s="519" t="s">
        <v>303</v>
      </c>
      <c r="AC874" s="326"/>
      <c r="AD874" s="326"/>
      <c r="AE874" s="327"/>
      <c r="AF874" s="520"/>
      <c r="AG874" s="327"/>
      <c r="AH874" s="520"/>
      <c r="AI874" s="327"/>
      <c r="AJ874" s="536"/>
      <c r="AK874" s="327"/>
      <c r="AL874" s="556" t="s">
        <v>334</v>
      </c>
      <c r="AM874" s="327"/>
      <c r="AN874" s="553" t="s">
        <v>334</v>
      </c>
      <c r="AO874" s="327"/>
      <c r="AP874" s="554"/>
      <c r="AQ874" s="327"/>
      <c r="AR874" s="555"/>
      <c r="AS874" s="327"/>
      <c r="AT874" s="549"/>
      <c r="AU874" s="327"/>
      <c r="AV874" s="553" t="s">
        <v>334</v>
      </c>
      <c r="AW874" s="327"/>
      <c r="AX874" s="521"/>
      <c r="AY874" s="326"/>
      <c r="AZ874" s="327"/>
      <c r="BA874" s="536"/>
      <c r="BB874" s="327"/>
      <c r="BC874" s="22"/>
      <c r="BD874" s="551" t="s">
        <v>334</v>
      </c>
      <c r="BE874" s="327"/>
      <c r="BF874" s="552"/>
      <c r="BG874" s="326"/>
      <c r="BH874" s="326"/>
      <c r="BI874" s="327"/>
      <c r="BJ874" s="451" t="s">
        <v>303</v>
      </c>
      <c r="BK874" s="326"/>
      <c r="BL874" s="326"/>
      <c r="BM874" s="327"/>
      <c r="BN874" s="558" t="s">
        <v>303</v>
      </c>
      <c r="BO874" s="326"/>
      <c r="BP874" s="326"/>
      <c r="BQ874" s="326"/>
      <c r="BR874" s="326"/>
      <c r="BS874" s="326"/>
      <c r="BT874" s="326"/>
      <c r="BU874" s="326"/>
      <c r="BV874" s="327"/>
    </row>
    <row r="875" spans="1:74" ht="45" customHeight="1" x14ac:dyDescent="0.25">
      <c r="A875" s="10">
        <f t="shared" si="3"/>
        <v>861</v>
      </c>
      <c r="B875" s="559" t="s">
        <v>303</v>
      </c>
      <c r="C875" s="327"/>
      <c r="D875" s="560" t="s">
        <v>307</v>
      </c>
      <c r="E875" s="327"/>
      <c r="F875" s="537" t="s">
        <v>334</v>
      </c>
      <c r="G875" s="327"/>
      <c r="H875" s="566" t="s">
        <v>334</v>
      </c>
      <c r="I875" s="327"/>
      <c r="J875" s="567"/>
      <c r="K875" s="327"/>
      <c r="L875" s="567"/>
      <c r="M875" s="327"/>
      <c r="N875" s="20"/>
      <c r="O875" s="21"/>
      <c r="P875" s="524"/>
      <c r="Q875" s="327"/>
      <c r="R875" s="516"/>
      <c r="S875" s="327"/>
      <c r="T875" s="517"/>
      <c r="U875" s="327"/>
      <c r="V875" s="540"/>
      <c r="W875" s="327"/>
      <c r="X875" s="541" t="s">
        <v>303</v>
      </c>
      <c r="Y875" s="326"/>
      <c r="Z875" s="326"/>
      <c r="AA875" s="327"/>
      <c r="AB875" s="542" t="s">
        <v>303</v>
      </c>
      <c r="AC875" s="326"/>
      <c r="AD875" s="326"/>
      <c r="AE875" s="327"/>
      <c r="AF875" s="543"/>
      <c r="AG875" s="327"/>
      <c r="AH875" s="543"/>
      <c r="AI875" s="327"/>
      <c r="AJ875" s="536"/>
      <c r="AK875" s="327"/>
      <c r="AL875" s="537" t="s">
        <v>334</v>
      </c>
      <c r="AM875" s="327"/>
      <c r="AN875" s="546" t="s">
        <v>334</v>
      </c>
      <c r="AO875" s="327"/>
      <c r="AP875" s="547"/>
      <c r="AQ875" s="327"/>
      <c r="AR875" s="548"/>
      <c r="AS875" s="327"/>
      <c r="AT875" s="568"/>
      <c r="AU875" s="327"/>
      <c r="AV875" s="546" t="s">
        <v>334</v>
      </c>
      <c r="AW875" s="327"/>
      <c r="AX875" s="521"/>
      <c r="AY875" s="326"/>
      <c r="AZ875" s="327"/>
      <c r="BA875" s="550"/>
      <c r="BB875" s="327"/>
      <c r="BC875" s="25"/>
      <c r="BD875" s="544" t="s">
        <v>334</v>
      </c>
      <c r="BE875" s="327"/>
      <c r="BF875" s="545"/>
      <c r="BG875" s="326"/>
      <c r="BH875" s="326"/>
      <c r="BI875" s="327"/>
      <c r="BJ875" s="557" t="s">
        <v>303</v>
      </c>
      <c r="BK875" s="326"/>
      <c r="BL875" s="326"/>
      <c r="BM875" s="327"/>
      <c r="BN875" s="558" t="s">
        <v>303</v>
      </c>
      <c r="BO875" s="326"/>
      <c r="BP875" s="326"/>
      <c r="BQ875" s="326"/>
      <c r="BR875" s="326"/>
      <c r="BS875" s="326"/>
      <c r="BT875" s="326"/>
      <c r="BU875" s="326"/>
      <c r="BV875" s="327"/>
    </row>
    <row r="876" spans="1:74" ht="45" customHeight="1" x14ac:dyDescent="0.25">
      <c r="A876" s="10">
        <f t="shared" si="3"/>
        <v>862</v>
      </c>
      <c r="B876" s="564" t="s">
        <v>303</v>
      </c>
      <c r="C876" s="327"/>
      <c r="D876" s="565" t="s">
        <v>307</v>
      </c>
      <c r="E876" s="327"/>
      <c r="F876" s="537" t="s">
        <v>334</v>
      </c>
      <c r="G876" s="327"/>
      <c r="H876" s="561" t="s">
        <v>334</v>
      </c>
      <c r="I876" s="327"/>
      <c r="J876" s="26"/>
      <c r="K876" s="27"/>
      <c r="L876" s="26"/>
      <c r="M876" s="27"/>
      <c r="N876" s="20"/>
      <c r="O876" s="21"/>
      <c r="P876" s="524"/>
      <c r="Q876" s="327"/>
      <c r="R876" s="516"/>
      <c r="S876" s="327"/>
      <c r="T876" s="517"/>
      <c r="U876" s="327"/>
      <c r="V876" s="518"/>
      <c r="W876" s="327"/>
      <c r="X876" s="438" t="s">
        <v>303</v>
      </c>
      <c r="Y876" s="326"/>
      <c r="Z876" s="326"/>
      <c r="AA876" s="327"/>
      <c r="AB876" s="519" t="s">
        <v>303</v>
      </c>
      <c r="AC876" s="326"/>
      <c r="AD876" s="326"/>
      <c r="AE876" s="327"/>
      <c r="AF876" s="520"/>
      <c r="AG876" s="327"/>
      <c r="AH876" s="520"/>
      <c r="AI876" s="327"/>
      <c r="AJ876" s="536"/>
      <c r="AK876" s="327"/>
      <c r="AL876" s="556" t="s">
        <v>334</v>
      </c>
      <c r="AM876" s="327"/>
      <c r="AN876" s="553" t="s">
        <v>334</v>
      </c>
      <c r="AO876" s="327"/>
      <c r="AP876" s="554"/>
      <c r="AQ876" s="327"/>
      <c r="AR876" s="555"/>
      <c r="AS876" s="327"/>
      <c r="AT876" s="549"/>
      <c r="AU876" s="327"/>
      <c r="AV876" s="553" t="s">
        <v>334</v>
      </c>
      <c r="AW876" s="327"/>
      <c r="AX876" s="521"/>
      <c r="AY876" s="326"/>
      <c r="AZ876" s="327"/>
      <c r="BA876" s="536"/>
      <c r="BB876" s="327"/>
      <c r="BC876" s="22"/>
      <c r="BD876" s="551" t="s">
        <v>334</v>
      </c>
      <c r="BE876" s="327"/>
      <c r="BF876" s="552"/>
      <c r="BG876" s="326"/>
      <c r="BH876" s="326"/>
      <c r="BI876" s="327"/>
      <c r="BJ876" s="451" t="s">
        <v>303</v>
      </c>
      <c r="BK876" s="326"/>
      <c r="BL876" s="326"/>
      <c r="BM876" s="327"/>
      <c r="BN876" s="558" t="s">
        <v>303</v>
      </c>
      <c r="BO876" s="326"/>
      <c r="BP876" s="326"/>
      <c r="BQ876" s="326"/>
      <c r="BR876" s="326"/>
      <c r="BS876" s="326"/>
      <c r="BT876" s="326"/>
      <c r="BU876" s="326"/>
      <c r="BV876" s="327"/>
    </row>
    <row r="877" spans="1:74" ht="45" customHeight="1" x14ac:dyDescent="0.25">
      <c r="A877" s="10">
        <f t="shared" si="3"/>
        <v>863</v>
      </c>
      <c r="B877" s="559" t="s">
        <v>303</v>
      </c>
      <c r="C877" s="327"/>
      <c r="D877" s="560" t="s">
        <v>307</v>
      </c>
      <c r="E877" s="327"/>
      <c r="F877" s="537" t="s">
        <v>334</v>
      </c>
      <c r="G877" s="327"/>
      <c r="H877" s="566" t="s">
        <v>334</v>
      </c>
      <c r="I877" s="327"/>
      <c r="J877" s="567"/>
      <c r="K877" s="327"/>
      <c r="L877" s="567"/>
      <c r="M877" s="327"/>
      <c r="N877" s="23"/>
      <c r="O877" s="24"/>
      <c r="P877" s="563"/>
      <c r="Q877" s="327"/>
      <c r="R877" s="538"/>
      <c r="S877" s="327"/>
      <c r="T877" s="539"/>
      <c r="U877" s="327"/>
      <c r="V877" s="540"/>
      <c r="W877" s="327"/>
      <c r="X877" s="541" t="s">
        <v>303</v>
      </c>
      <c r="Y877" s="326"/>
      <c r="Z877" s="326"/>
      <c r="AA877" s="327"/>
      <c r="AB877" s="542" t="s">
        <v>303</v>
      </c>
      <c r="AC877" s="326"/>
      <c r="AD877" s="326"/>
      <c r="AE877" s="327"/>
      <c r="AF877" s="543"/>
      <c r="AG877" s="327"/>
      <c r="AH877" s="543"/>
      <c r="AI877" s="327"/>
      <c r="AJ877" s="536"/>
      <c r="AK877" s="327"/>
      <c r="AL877" s="537" t="s">
        <v>334</v>
      </c>
      <c r="AM877" s="327"/>
      <c r="AN877" s="546" t="s">
        <v>334</v>
      </c>
      <c r="AO877" s="327"/>
      <c r="AP877" s="547"/>
      <c r="AQ877" s="327"/>
      <c r="AR877" s="548"/>
      <c r="AS877" s="327"/>
      <c r="AT877" s="568"/>
      <c r="AU877" s="327"/>
      <c r="AV877" s="546" t="s">
        <v>334</v>
      </c>
      <c r="AW877" s="327"/>
      <c r="AX877" s="521"/>
      <c r="AY877" s="326"/>
      <c r="AZ877" s="327"/>
      <c r="BA877" s="550"/>
      <c r="BB877" s="327"/>
      <c r="BC877" s="25"/>
      <c r="BD877" s="544" t="s">
        <v>334</v>
      </c>
      <c r="BE877" s="327"/>
      <c r="BF877" s="545"/>
      <c r="BG877" s="326"/>
      <c r="BH877" s="326"/>
      <c r="BI877" s="327"/>
      <c r="BJ877" s="557" t="s">
        <v>303</v>
      </c>
      <c r="BK877" s="326"/>
      <c r="BL877" s="326"/>
      <c r="BM877" s="327"/>
      <c r="BN877" s="558" t="s">
        <v>303</v>
      </c>
      <c r="BO877" s="326"/>
      <c r="BP877" s="326"/>
      <c r="BQ877" s="326"/>
      <c r="BR877" s="326"/>
      <c r="BS877" s="326"/>
      <c r="BT877" s="326"/>
      <c r="BU877" s="326"/>
      <c r="BV877" s="327"/>
    </row>
    <row r="878" spans="1:74" ht="45" customHeight="1" x14ac:dyDescent="0.25">
      <c r="A878" s="10">
        <f t="shared" si="3"/>
        <v>864</v>
      </c>
      <c r="B878" s="564" t="s">
        <v>303</v>
      </c>
      <c r="C878" s="327"/>
      <c r="D878" s="565" t="s">
        <v>307</v>
      </c>
      <c r="E878" s="327"/>
      <c r="F878" s="537" t="s">
        <v>334</v>
      </c>
      <c r="G878" s="327"/>
      <c r="H878" s="561" t="s">
        <v>334</v>
      </c>
      <c r="I878" s="327"/>
      <c r="J878" s="26"/>
      <c r="K878" s="27"/>
      <c r="L878" s="26"/>
      <c r="M878" s="27"/>
      <c r="N878" s="20"/>
      <c r="O878" s="21"/>
      <c r="P878" s="524"/>
      <c r="Q878" s="327"/>
      <c r="R878" s="516"/>
      <c r="S878" s="327"/>
      <c r="T878" s="517"/>
      <c r="U878" s="327"/>
      <c r="V878" s="518"/>
      <c r="W878" s="327"/>
      <c r="X878" s="438" t="s">
        <v>303</v>
      </c>
      <c r="Y878" s="326"/>
      <c r="Z878" s="326"/>
      <c r="AA878" s="327"/>
      <c r="AB878" s="519" t="s">
        <v>303</v>
      </c>
      <c r="AC878" s="326"/>
      <c r="AD878" s="326"/>
      <c r="AE878" s="327"/>
      <c r="AF878" s="520"/>
      <c r="AG878" s="327"/>
      <c r="AH878" s="520"/>
      <c r="AI878" s="327"/>
      <c r="AJ878" s="536"/>
      <c r="AK878" s="327"/>
      <c r="AL878" s="556" t="s">
        <v>334</v>
      </c>
      <c r="AM878" s="327"/>
      <c r="AN878" s="553" t="s">
        <v>334</v>
      </c>
      <c r="AO878" s="327"/>
      <c r="AP878" s="554"/>
      <c r="AQ878" s="327"/>
      <c r="AR878" s="555"/>
      <c r="AS878" s="327"/>
      <c r="AT878" s="549"/>
      <c r="AU878" s="327"/>
      <c r="AV878" s="553" t="s">
        <v>334</v>
      </c>
      <c r="AW878" s="327"/>
      <c r="AX878" s="521"/>
      <c r="AY878" s="326"/>
      <c r="AZ878" s="327"/>
      <c r="BA878" s="536"/>
      <c r="BB878" s="327"/>
      <c r="BC878" s="22"/>
      <c r="BD878" s="551" t="s">
        <v>334</v>
      </c>
      <c r="BE878" s="327"/>
      <c r="BF878" s="508"/>
      <c r="BG878" s="326"/>
      <c r="BH878" s="326"/>
      <c r="BI878" s="327"/>
      <c r="BJ878" s="451" t="s">
        <v>303</v>
      </c>
      <c r="BK878" s="326"/>
      <c r="BL878" s="326"/>
      <c r="BM878" s="327"/>
      <c r="BN878" s="558" t="s">
        <v>303</v>
      </c>
      <c r="BO878" s="326"/>
      <c r="BP878" s="326"/>
      <c r="BQ878" s="326"/>
      <c r="BR878" s="326"/>
      <c r="BS878" s="326"/>
      <c r="BT878" s="326"/>
      <c r="BU878" s="326"/>
      <c r="BV878" s="327"/>
    </row>
    <row r="879" spans="1:74" ht="45" customHeight="1" x14ac:dyDescent="0.25">
      <c r="A879" s="10">
        <f t="shared" si="3"/>
        <v>865</v>
      </c>
      <c r="B879" s="559" t="s">
        <v>303</v>
      </c>
      <c r="C879" s="327"/>
      <c r="D879" s="560" t="s">
        <v>307</v>
      </c>
      <c r="E879" s="327"/>
      <c r="F879" s="537" t="s">
        <v>334</v>
      </c>
      <c r="G879" s="327"/>
      <c r="H879" s="566" t="s">
        <v>334</v>
      </c>
      <c r="I879" s="327"/>
      <c r="J879" s="567"/>
      <c r="K879" s="327"/>
      <c r="L879" s="567"/>
      <c r="M879" s="327"/>
      <c r="N879" s="23"/>
      <c r="O879" s="24"/>
      <c r="P879" s="563"/>
      <c r="Q879" s="327"/>
      <c r="R879" s="538"/>
      <c r="S879" s="327"/>
      <c r="T879" s="539"/>
      <c r="U879" s="327"/>
      <c r="V879" s="540"/>
      <c r="W879" s="327"/>
      <c r="X879" s="541" t="s">
        <v>303</v>
      </c>
      <c r="Y879" s="326"/>
      <c r="Z879" s="326"/>
      <c r="AA879" s="327"/>
      <c r="AB879" s="542" t="s">
        <v>303</v>
      </c>
      <c r="AC879" s="326"/>
      <c r="AD879" s="326"/>
      <c r="AE879" s="327"/>
      <c r="AF879" s="543"/>
      <c r="AG879" s="327"/>
      <c r="AH879" s="543"/>
      <c r="AI879" s="327"/>
      <c r="AJ879" s="536"/>
      <c r="AK879" s="327"/>
      <c r="AL879" s="537" t="s">
        <v>334</v>
      </c>
      <c r="AM879" s="327"/>
      <c r="AN879" s="546" t="s">
        <v>334</v>
      </c>
      <c r="AO879" s="327"/>
      <c r="AP879" s="547"/>
      <c r="AQ879" s="327"/>
      <c r="AR879" s="548"/>
      <c r="AS879" s="327"/>
      <c r="AT879" s="568"/>
      <c r="AU879" s="327"/>
      <c r="AV879" s="546" t="s">
        <v>334</v>
      </c>
      <c r="AW879" s="327"/>
      <c r="AX879" s="521"/>
      <c r="AY879" s="326"/>
      <c r="AZ879" s="327"/>
      <c r="BA879" s="550"/>
      <c r="BB879" s="327"/>
      <c r="BC879" s="25"/>
      <c r="BD879" s="544" t="s">
        <v>334</v>
      </c>
      <c r="BE879" s="327"/>
      <c r="BF879" s="545"/>
      <c r="BG879" s="326"/>
      <c r="BH879" s="326"/>
      <c r="BI879" s="327"/>
      <c r="BJ879" s="557" t="s">
        <v>303</v>
      </c>
      <c r="BK879" s="326"/>
      <c r="BL879" s="326"/>
      <c r="BM879" s="327"/>
      <c r="BN879" s="558" t="s">
        <v>303</v>
      </c>
      <c r="BO879" s="326"/>
      <c r="BP879" s="326"/>
      <c r="BQ879" s="326"/>
      <c r="BR879" s="326"/>
      <c r="BS879" s="326"/>
      <c r="BT879" s="326"/>
      <c r="BU879" s="326"/>
      <c r="BV879" s="327"/>
    </row>
    <row r="880" spans="1:74" ht="45" customHeight="1" x14ac:dyDescent="0.25">
      <c r="A880" s="10">
        <f t="shared" si="3"/>
        <v>866</v>
      </c>
      <c r="B880" s="564" t="s">
        <v>303</v>
      </c>
      <c r="C880" s="327"/>
      <c r="D880" s="565" t="s">
        <v>307</v>
      </c>
      <c r="E880" s="327"/>
      <c r="F880" s="537" t="s">
        <v>334</v>
      </c>
      <c r="G880" s="327"/>
      <c r="H880" s="561" t="s">
        <v>334</v>
      </c>
      <c r="I880" s="327"/>
      <c r="J880" s="26"/>
      <c r="K880" s="27"/>
      <c r="L880" s="26"/>
      <c r="M880" s="27"/>
      <c r="N880" s="20"/>
      <c r="O880" s="21"/>
      <c r="P880" s="524"/>
      <c r="Q880" s="327"/>
      <c r="R880" s="516"/>
      <c r="S880" s="327"/>
      <c r="T880" s="517"/>
      <c r="U880" s="327"/>
      <c r="V880" s="518"/>
      <c r="W880" s="327"/>
      <c r="X880" s="438" t="s">
        <v>303</v>
      </c>
      <c r="Y880" s="326"/>
      <c r="Z880" s="326"/>
      <c r="AA880" s="327"/>
      <c r="AB880" s="519" t="s">
        <v>303</v>
      </c>
      <c r="AC880" s="326"/>
      <c r="AD880" s="326"/>
      <c r="AE880" s="327"/>
      <c r="AF880" s="520"/>
      <c r="AG880" s="327"/>
      <c r="AH880" s="520"/>
      <c r="AI880" s="327"/>
      <c r="AJ880" s="536"/>
      <c r="AK880" s="327"/>
      <c r="AL880" s="556" t="s">
        <v>334</v>
      </c>
      <c r="AM880" s="327"/>
      <c r="AN880" s="553" t="s">
        <v>334</v>
      </c>
      <c r="AO880" s="327"/>
      <c r="AP880" s="554"/>
      <c r="AQ880" s="327"/>
      <c r="AR880" s="555"/>
      <c r="AS880" s="327"/>
      <c r="AT880" s="549"/>
      <c r="AU880" s="327"/>
      <c r="AV880" s="553" t="s">
        <v>334</v>
      </c>
      <c r="AW880" s="327"/>
      <c r="AX880" s="521"/>
      <c r="AY880" s="326"/>
      <c r="AZ880" s="327"/>
      <c r="BA880" s="536"/>
      <c r="BB880" s="327"/>
      <c r="BC880" s="22"/>
      <c r="BD880" s="551" t="s">
        <v>334</v>
      </c>
      <c r="BE880" s="327"/>
      <c r="BF880" s="552"/>
      <c r="BG880" s="326"/>
      <c r="BH880" s="326"/>
      <c r="BI880" s="327"/>
      <c r="BJ880" s="451" t="s">
        <v>303</v>
      </c>
      <c r="BK880" s="326"/>
      <c r="BL880" s="326"/>
      <c r="BM880" s="327"/>
      <c r="BN880" s="558" t="s">
        <v>303</v>
      </c>
      <c r="BO880" s="326"/>
      <c r="BP880" s="326"/>
      <c r="BQ880" s="326"/>
      <c r="BR880" s="326"/>
      <c r="BS880" s="326"/>
      <c r="BT880" s="326"/>
      <c r="BU880" s="326"/>
      <c r="BV880" s="327"/>
    </row>
    <row r="881" spans="1:74" ht="45" customHeight="1" x14ac:dyDescent="0.25">
      <c r="A881" s="10">
        <f t="shared" si="3"/>
        <v>867</v>
      </c>
      <c r="B881" s="559" t="s">
        <v>303</v>
      </c>
      <c r="C881" s="327"/>
      <c r="D881" s="560" t="s">
        <v>307</v>
      </c>
      <c r="E881" s="327"/>
      <c r="F881" s="537" t="s">
        <v>334</v>
      </c>
      <c r="G881" s="327"/>
      <c r="H881" s="566" t="s">
        <v>334</v>
      </c>
      <c r="I881" s="327"/>
      <c r="J881" s="567"/>
      <c r="K881" s="327"/>
      <c r="L881" s="567"/>
      <c r="M881" s="327"/>
      <c r="N881" s="23"/>
      <c r="O881" s="24"/>
      <c r="P881" s="563"/>
      <c r="Q881" s="327"/>
      <c r="R881" s="538"/>
      <c r="S881" s="327"/>
      <c r="T881" s="539"/>
      <c r="U881" s="327"/>
      <c r="V881" s="540"/>
      <c r="W881" s="327"/>
      <c r="X881" s="541" t="s">
        <v>303</v>
      </c>
      <c r="Y881" s="326"/>
      <c r="Z881" s="326"/>
      <c r="AA881" s="327"/>
      <c r="AB881" s="542" t="s">
        <v>303</v>
      </c>
      <c r="AC881" s="326"/>
      <c r="AD881" s="326"/>
      <c r="AE881" s="327"/>
      <c r="AF881" s="543"/>
      <c r="AG881" s="327"/>
      <c r="AH881" s="543"/>
      <c r="AI881" s="327"/>
      <c r="AJ881" s="536"/>
      <c r="AK881" s="327"/>
      <c r="AL881" s="537" t="s">
        <v>334</v>
      </c>
      <c r="AM881" s="327"/>
      <c r="AN881" s="546" t="s">
        <v>334</v>
      </c>
      <c r="AO881" s="327"/>
      <c r="AP881" s="547"/>
      <c r="AQ881" s="327"/>
      <c r="AR881" s="548"/>
      <c r="AS881" s="327"/>
      <c r="AT881" s="549"/>
      <c r="AU881" s="327"/>
      <c r="AV881" s="546" t="s">
        <v>334</v>
      </c>
      <c r="AW881" s="327"/>
      <c r="AX881" s="521"/>
      <c r="AY881" s="326"/>
      <c r="AZ881" s="327"/>
      <c r="BA881" s="550"/>
      <c r="BB881" s="327"/>
      <c r="BC881" s="25"/>
      <c r="BD881" s="544" t="s">
        <v>334</v>
      </c>
      <c r="BE881" s="327"/>
      <c r="BF881" s="545"/>
      <c r="BG881" s="326"/>
      <c r="BH881" s="326"/>
      <c r="BI881" s="327"/>
      <c r="BJ881" s="557" t="s">
        <v>303</v>
      </c>
      <c r="BK881" s="326"/>
      <c r="BL881" s="326"/>
      <c r="BM881" s="327"/>
      <c r="BN881" s="558" t="s">
        <v>303</v>
      </c>
      <c r="BO881" s="326"/>
      <c r="BP881" s="326"/>
      <c r="BQ881" s="326"/>
      <c r="BR881" s="326"/>
      <c r="BS881" s="326"/>
      <c r="BT881" s="326"/>
      <c r="BU881" s="326"/>
      <c r="BV881" s="327"/>
    </row>
    <row r="882" spans="1:74" ht="45" customHeight="1" x14ac:dyDescent="0.25">
      <c r="A882" s="10">
        <f t="shared" si="3"/>
        <v>868</v>
      </c>
      <c r="B882" s="564" t="s">
        <v>303</v>
      </c>
      <c r="C882" s="327"/>
      <c r="D882" s="565" t="s">
        <v>307</v>
      </c>
      <c r="E882" s="327"/>
      <c r="F882" s="537" t="s">
        <v>334</v>
      </c>
      <c r="G882" s="327"/>
      <c r="H882" s="561" t="s">
        <v>334</v>
      </c>
      <c r="I882" s="327"/>
      <c r="J882" s="26"/>
      <c r="K882" s="27"/>
      <c r="L882" s="26"/>
      <c r="M882" s="27"/>
      <c r="N882" s="20"/>
      <c r="O882" s="21"/>
      <c r="P882" s="524"/>
      <c r="Q882" s="327"/>
      <c r="R882" s="516"/>
      <c r="S882" s="327"/>
      <c r="T882" s="517"/>
      <c r="U882" s="327"/>
      <c r="V882" s="518"/>
      <c r="W882" s="327"/>
      <c r="X882" s="438" t="s">
        <v>303</v>
      </c>
      <c r="Y882" s="326"/>
      <c r="Z882" s="326"/>
      <c r="AA882" s="327"/>
      <c r="AB882" s="519" t="s">
        <v>303</v>
      </c>
      <c r="AC882" s="326"/>
      <c r="AD882" s="326"/>
      <c r="AE882" s="327"/>
      <c r="AF882" s="520"/>
      <c r="AG882" s="327"/>
      <c r="AH882" s="520"/>
      <c r="AI882" s="327"/>
      <c r="AJ882" s="536"/>
      <c r="AK882" s="327"/>
      <c r="AL882" s="556" t="s">
        <v>334</v>
      </c>
      <c r="AM882" s="327"/>
      <c r="AN882" s="553" t="s">
        <v>334</v>
      </c>
      <c r="AO882" s="327"/>
      <c r="AP882" s="554"/>
      <c r="AQ882" s="327"/>
      <c r="AR882" s="555"/>
      <c r="AS882" s="327"/>
      <c r="AT882" s="549"/>
      <c r="AU882" s="327"/>
      <c r="AV882" s="553" t="s">
        <v>334</v>
      </c>
      <c r="AW882" s="327"/>
      <c r="AX882" s="521"/>
      <c r="AY882" s="326"/>
      <c r="AZ882" s="327"/>
      <c r="BA882" s="536"/>
      <c r="BB882" s="327"/>
      <c r="BC882" s="22"/>
      <c r="BD882" s="551" t="s">
        <v>334</v>
      </c>
      <c r="BE882" s="327"/>
      <c r="BF882" s="552"/>
      <c r="BG882" s="326"/>
      <c r="BH882" s="326"/>
      <c r="BI882" s="327"/>
      <c r="BJ882" s="451" t="s">
        <v>303</v>
      </c>
      <c r="BK882" s="326"/>
      <c r="BL882" s="326"/>
      <c r="BM882" s="327"/>
      <c r="BN882" s="558" t="s">
        <v>303</v>
      </c>
      <c r="BO882" s="326"/>
      <c r="BP882" s="326"/>
      <c r="BQ882" s="326"/>
      <c r="BR882" s="326"/>
      <c r="BS882" s="326"/>
      <c r="BT882" s="326"/>
      <c r="BU882" s="326"/>
      <c r="BV882" s="327"/>
    </row>
    <row r="883" spans="1:74" ht="45" customHeight="1" x14ac:dyDescent="0.25">
      <c r="A883" s="10">
        <f t="shared" si="3"/>
        <v>869</v>
      </c>
      <c r="B883" s="559" t="s">
        <v>303</v>
      </c>
      <c r="C883" s="327"/>
      <c r="D883" s="560" t="s">
        <v>307</v>
      </c>
      <c r="E883" s="327"/>
      <c r="F883" s="537" t="s">
        <v>334</v>
      </c>
      <c r="G883" s="327"/>
      <c r="H883" s="566" t="s">
        <v>334</v>
      </c>
      <c r="I883" s="327"/>
      <c r="J883" s="567"/>
      <c r="K883" s="327"/>
      <c r="L883" s="567"/>
      <c r="M883" s="327"/>
      <c r="N883" s="20"/>
      <c r="O883" s="21"/>
      <c r="P883" s="524"/>
      <c r="Q883" s="327"/>
      <c r="R883" s="538"/>
      <c r="S883" s="327"/>
      <c r="T883" s="539"/>
      <c r="U883" s="327"/>
      <c r="V883" s="540"/>
      <c r="W883" s="327"/>
      <c r="X883" s="541" t="s">
        <v>303</v>
      </c>
      <c r="Y883" s="326"/>
      <c r="Z883" s="326"/>
      <c r="AA883" s="327"/>
      <c r="AB883" s="542" t="s">
        <v>303</v>
      </c>
      <c r="AC883" s="326"/>
      <c r="AD883" s="326"/>
      <c r="AE883" s="327"/>
      <c r="AF883" s="543"/>
      <c r="AG883" s="327"/>
      <c r="AH883" s="543"/>
      <c r="AI883" s="327"/>
      <c r="AJ883" s="536"/>
      <c r="AK883" s="327"/>
      <c r="AL883" s="537" t="s">
        <v>334</v>
      </c>
      <c r="AM883" s="327"/>
      <c r="AN883" s="546" t="s">
        <v>334</v>
      </c>
      <c r="AO883" s="327"/>
      <c r="AP883" s="547"/>
      <c r="AQ883" s="327"/>
      <c r="AR883" s="548"/>
      <c r="AS883" s="327"/>
      <c r="AT883" s="549"/>
      <c r="AU883" s="327"/>
      <c r="AV883" s="546" t="s">
        <v>334</v>
      </c>
      <c r="AW883" s="327"/>
      <c r="AX883" s="521"/>
      <c r="AY883" s="326"/>
      <c r="AZ883" s="327"/>
      <c r="BA883" s="550"/>
      <c r="BB883" s="327"/>
      <c r="BC883" s="25"/>
      <c r="BD883" s="544" t="s">
        <v>334</v>
      </c>
      <c r="BE883" s="327"/>
      <c r="BF883" s="545"/>
      <c r="BG883" s="326"/>
      <c r="BH883" s="326"/>
      <c r="BI883" s="327"/>
      <c r="BJ883" s="557" t="s">
        <v>303</v>
      </c>
      <c r="BK883" s="326"/>
      <c r="BL883" s="326"/>
      <c r="BM883" s="327"/>
      <c r="BN883" s="558" t="s">
        <v>303</v>
      </c>
      <c r="BO883" s="326"/>
      <c r="BP883" s="326"/>
      <c r="BQ883" s="326"/>
      <c r="BR883" s="326"/>
      <c r="BS883" s="326"/>
      <c r="BT883" s="326"/>
      <c r="BU883" s="326"/>
      <c r="BV883" s="327"/>
    </row>
    <row r="884" spans="1:74" ht="45" customHeight="1" x14ac:dyDescent="0.25">
      <c r="A884" s="10">
        <f t="shared" si="3"/>
        <v>870</v>
      </c>
      <c r="B884" s="564" t="s">
        <v>303</v>
      </c>
      <c r="C884" s="327"/>
      <c r="D884" s="565" t="s">
        <v>307</v>
      </c>
      <c r="E884" s="327"/>
      <c r="F884" s="537" t="s">
        <v>334</v>
      </c>
      <c r="G884" s="327"/>
      <c r="H884" s="561" t="s">
        <v>334</v>
      </c>
      <c r="I884" s="327"/>
      <c r="J884" s="26"/>
      <c r="K884" s="27"/>
      <c r="L884" s="26"/>
      <c r="M884" s="27"/>
      <c r="N884" s="23"/>
      <c r="O884" s="24"/>
      <c r="P884" s="563"/>
      <c r="Q884" s="327"/>
      <c r="R884" s="516"/>
      <c r="S884" s="327"/>
      <c r="T884" s="517"/>
      <c r="U884" s="327"/>
      <c r="V884" s="518"/>
      <c r="W884" s="327"/>
      <c r="X884" s="438" t="s">
        <v>303</v>
      </c>
      <c r="Y884" s="326"/>
      <c r="Z884" s="326"/>
      <c r="AA884" s="327"/>
      <c r="AB884" s="519" t="s">
        <v>303</v>
      </c>
      <c r="AC884" s="326"/>
      <c r="AD884" s="326"/>
      <c r="AE884" s="327"/>
      <c r="AF884" s="520"/>
      <c r="AG884" s="327"/>
      <c r="AH884" s="520"/>
      <c r="AI884" s="327"/>
      <c r="AJ884" s="536"/>
      <c r="AK884" s="327"/>
      <c r="AL884" s="556" t="s">
        <v>334</v>
      </c>
      <c r="AM884" s="327"/>
      <c r="AN884" s="553" t="s">
        <v>334</v>
      </c>
      <c r="AO884" s="327"/>
      <c r="AP884" s="554"/>
      <c r="AQ884" s="327"/>
      <c r="AR884" s="555"/>
      <c r="AS884" s="327"/>
      <c r="AT884" s="549"/>
      <c r="AU884" s="327"/>
      <c r="AV884" s="553" t="s">
        <v>334</v>
      </c>
      <c r="AW884" s="327"/>
      <c r="AX884" s="521"/>
      <c r="AY884" s="326"/>
      <c r="AZ884" s="327"/>
      <c r="BA884" s="536"/>
      <c r="BB884" s="327"/>
      <c r="BC884" s="22"/>
      <c r="BD884" s="551" t="s">
        <v>334</v>
      </c>
      <c r="BE884" s="327"/>
      <c r="BF884" s="552"/>
      <c r="BG884" s="326"/>
      <c r="BH884" s="326"/>
      <c r="BI884" s="327"/>
      <c r="BJ884" s="451" t="s">
        <v>303</v>
      </c>
      <c r="BK884" s="326"/>
      <c r="BL884" s="326"/>
      <c r="BM884" s="327"/>
      <c r="BN884" s="558" t="s">
        <v>303</v>
      </c>
      <c r="BO884" s="326"/>
      <c r="BP884" s="326"/>
      <c r="BQ884" s="326"/>
      <c r="BR884" s="326"/>
      <c r="BS884" s="326"/>
      <c r="BT884" s="326"/>
      <c r="BU884" s="326"/>
      <c r="BV884" s="327"/>
    </row>
    <row r="885" spans="1:74" ht="45" customHeight="1" x14ac:dyDescent="0.25">
      <c r="A885" s="10">
        <f t="shared" si="3"/>
        <v>871</v>
      </c>
      <c r="B885" s="559" t="s">
        <v>303</v>
      </c>
      <c r="C885" s="327"/>
      <c r="D885" s="560" t="s">
        <v>307</v>
      </c>
      <c r="E885" s="327"/>
      <c r="F885" s="537" t="s">
        <v>334</v>
      </c>
      <c r="G885" s="327"/>
      <c r="H885" s="566" t="s">
        <v>334</v>
      </c>
      <c r="I885" s="327"/>
      <c r="J885" s="567"/>
      <c r="K885" s="327"/>
      <c r="L885" s="567"/>
      <c r="M885" s="327"/>
      <c r="N885" s="20"/>
      <c r="O885" s="24"/>
      <c r="P885" s="524"/>
      <c r="Q885" s="327"/>
      <c r="R885" s="538"/>
      <c r="S885" s="327"/>
      <c r="T885" s="539"/>
      <c r="U885" s="327"/>
      <c r="V885" s="540"/>
      <c r="W885" s="327"/>
      <c r="X885" s="541" t="s">
        <v>303</v>
      </c>
      <c r="Y885" s="326"/>
      <c r="Z885" s="326"/>
      <c r="AA885" s="327"/>
      <c r="AB885" s="542" t="s">
        <v>303</v>
      </c>
      <c r="AC885" s="326"/>
      <c r="AD885" s="326"/>
      <c r="AE885" s="327"/>
      <c r="AF885" s="543"/>
      <c r="AG885" s="327"/>
      <c r="AH885" s="543"/>
      <c r="AI885" s="327"/>
      <c r="AJ885" s="536"/>
      <c r="AK885" s="327"/>
      <c r="AL885" s="537" t="s">
        <v>334</v>
      </c>
      <c r="AM885" s="327"/>
      <c r="AN885" s="546" t="s">
        <v>334</v>
      </c>
      <c r="AO885" s="327"/>
      <c r="AP885" s="547"/>
      <c r="AQ885" s="327"/>
      <c r="AR885" s="548"/>
      <c r="AS885" s="327"/>
      <c r="AT885" s="568"/>
      <c r="AU885" s="327"/>
      <c r="AV885" s="546" t="s">
        <v>334</v>
      </c>
      <c r="AW885" s="327"/>
      <c r="AX885" s="521"/>
      <c r="AY885" s="326"/>
      <c r="AZ885" s="327"/>
      <c r="BA885" s="550"/>
      <c r="BB885" s="327"/>
      <c r="BC885" s="25"/>
      <c r="BD885" s="544" t="s">
        <v>334</v>
      </c>
      <c r="BE885" s="327"/>
      <c r="BF885" s="545"/>
      <c r="BG885" s="326"/>
      <c r="BH885" s="326"/>
      <c r="BI885" s="327"/>
      <c r="BJ885" s="557" t="s">
        <v>303</v>
      </c>
      <c r="BK885" s="326"/>
      <c r="BL885" s="326"/>
      <c r="BM885" s="327"/>
      <c r="BN885" s="558" t="s">
        <v>303</v>
      </c>
      <c r="BO885" s="326"/>
      <c r="BP885" s="326"/>
      <c r="BQ885" s="326"/>
      <c r="BR885" s="326"/>
      <c r="BS885" s="326"/>
      <c r="BT885" s="326"/>
      <c r="BU885" s="326"/>
      <c r="BV885" s="327"/>
    </row>
    <row r="886" spans="1:74" ht="45" customHeight="1" x14ac:dyDescent="0.25">
      <c r="A886" s="10">
        <f t="shared" si="3"/>
        <v>872</v>
      </c>
      <c r="B886" s="564" t="s">
        <v>303</v>
      </c>
      <c r="C886" s="327"/>
      <c r="D886" s="565" t="s">
        <v>307</v>
      </c>
      <c r="E886" s="327"/>
      <c r="F886" s="537" t="s">
        <v>334</v>
      </c>
      <c r="G886" s="327"/>
      <c r="H886" s="561" t="s">
        <v>334</v>
      </c>
      <c r="I886" s="327"/>
      <c r="J886" s="26"/>
      <c r="K886" s="27"/>
      <c r="L886" s="26"/>
      <c r="M886" s="27"/>
      <c r="N886" s="23"/>
      <c r="O886" s="21"/>
      <c r="P886" s="563"/>
      <c r="Q886" s="327"/>
      <c r="R886" s="516"/>
      <c r="S886" s="327"/>
      <c r="T886" s="517"/>
      <c r="U886" s="327"/>
      <c r="V886" s="518"/>
      <c r="W886" s="327"/>
      <c r="X886" s="438" t="s">
        <v>303</v>
      </c>
      <c r="Y886" s="326"/>
      <c r="Z886" s="326"/>
      <c r="AA886" s="327"/>
      <c r="AB886" s="519" t="s">
        <v>303</v>
      </c>
      <c r="AC886" s="326"/>
      <c r="AD886" s="326"/>
      <c r="AE886" s="327"/>
      <c r="AF886" s="520"/>
      <c r="AG886" s="327"/>
      <c r="AH886" s="520"/>
      <c r="AI886" s="327"/>
      <c r="AJ886" s="536"/>
      <c r="AK886" s="327"/>
      <c r="AL886" s="556" t="s">
        <v>334</v>
      </c>
      <c r="AM886" s="327"/>
      <c r="AN886" s="553" t="s">
        <v>334</v>
      </c>
      <c r="AO886" s="327"/>
      <c r="AP886" s="554"/>
      <c r="AQ886" s="327"/>
      <c r="AR886" s="555"/>
      <c r="AS886" s="327"/>
      <c r="AT886" s="549"/>
      <c r="AU886" s="327"/>
      <c r="AV886" s="553" t="s">
        <v>334</v>
      </c>
      <c r="AW886" s="327"/>
      <c r="AX886" s="521"/>
      <c r="AY886" s="326"/>
      <c r="AZ886" s="327"/>
      <c r="BA886" s="536"/>
      <c r="BB886" s="327"/>
      <c r="BC886" s="22"/>
      <c r="BD886" s="551" t="s">
        <v>334</v>
      </c>
      <c r="BE886" s="327"/>
      <c r="BF886" s="508"/>
      <c r="BG886" s="326"/>
      <c r="BH886" s="326"/>
      <c r="BI886" s="327"/>
      <c r="BJ886" s="451" t="s">
        <v>303</v>
      </c>
      <c r="BK886" s="326"/>
      <c r="BL886" s="326"/>
      <c r="BM886" s="327"/>
      <c r="BN886" s="558" t="s">
        <v>303</v>
      </c>
      <c r="BO886" s="326"/>
      <c r="BP886" s="326"/>
      <c r="BQ886" s="326"/>
      <c r="BR886" s="326"/>
      <c r="BS886" s="326"/>
      <c r="BT886" s="326"/>
      <c r="BU886" s="326"/>
      <c r="BV886" s="327"/>
    </row>
    <row r="887" spans="1:74" ht="45" customHeight="1" x14ac:dyDescent="0.25">
      <c r="A887" s="10">
        <f t="shared" si="3"/>
        <v>873</v>
      </c>
      <c r="B887" s="559" t="s">
        <v>303</v>
      </c>
      <c r="C887" s="327"/>
      <c r="D887" s="560" t="s">
        <v>307</v>
      </c>
      <c r="E887" s="327"/>
      <c r="F887" s="537" t="s">
        <v>334</v>
      </c>
      <c r="G887" s="327"/>
      <c r="H887" s="566" t="s">
        <v>334</v>
      </c>
      <c r="I887" s="327"/>
      <c r="J887" s="567"/>
      <c r="K887" s="327"/>
      <c r="L887" s="567"/>
      <c r="M887" s="327"/>
      <c r="N887" s="20"/>
      <c r="O887" s="24"/>
      <c r="P887" s="524"/>
      <c r="Q887" s="327"/>
      <c r="R887" s="538"/>
      <c r="S887" s="327"/>
      <c r="T887" s="539"/>
      <c r="U887" s="327"/>
      <c r="V887" s="540"/>
      <c r="W887" s="327"/>
      <c r="X887" s="541" t="s">
        <v>303</v>
      </c>
      <c r="Y887" s="326"/>
      <c r="Z887" s="326"/>
      <c r="AA887" s="327"/>
      <c r="AB887" s="542" t="s">
        <v>303</v>
      </c>
      <c r="AC887" s="326"/>
      <c r="AD887" s="326"/>
      <c r="AE887" s="327"/>
      <c r="AF887" s="543"/>
      <c r="AG887" s="327"/>
      <c r="AH887" s="543"/>
      <c r="AI887" s="327"/>
      <c r="AJ887" s="536"/>
      <c r="AK887" s="327"/>
      <c r="AL887" s="537" t="s">
        <v>334</v>
      </c>
      <c r="AM887" s="327"/>
      <c r="AN887" s="546" t="s">
        <v>334</v>
      </c>
      <c r="AO887" s="327"/>
      <c r="AP887" s="547"/>
      <c r="AQ887" s="327"/>
      <c r="AR887" s="548"/>
      <c r="AS887" s="327"/>
      <c r="AT887" s="568"/>
      <c r="AU887" s="327"/>
      <c r="AV887" s="546" t="s">
        <v>334</v>
      </c>
      <c r="AW887" s="327"/>
      <c r="AX887" s="521"/>
      <c r="AY887" s="326"/>
      <c r="AZ887" s="327"/>
      <c r="BA887" s="550"/>
      <c r="BB887" s="327"/>
      <c r="BC887" s="25"/>
      <c r="BD887" s="544" t="s">
        <v>334</v>
      </c>
      <c r="BE887" s="327"/>
      <c r="BF887" s="545"/>
      <c r="BG887" s="326"/>
      <c r="BH887" s="326"/>
      <c r="BI887" s="327"/>
      <c r="BJ887" s="557" t="s">
        <v>303</v>
      </c>
      <c r="BK887" s="326"/>
      <c r="BL887" s="326"/>
      <c r="BM887" s="327"/>
      <c r="BN887" s="558" t="s">
        <v>303</v>
      </c>
      <c r="BO887" s="326"/>
      <c r="BP887" s="326"/>
      <c r="BQ887" s="326"/>
      <c r="BR887" s="326"/>
      <c r="BS887" s="326"/>
      <c r="BT887" s="326"/>
      <c r="BU887" s="326"/>
      <c r="BV887" s="327"/>
    </row>
    <row r="888" spans="1:74" ht="45" customHeight="1" x14ac:dyDescent="0.25">
      <c r="A888" s="10">
        <f t="shared" si="3"/>
        <v>874</v>
      </c>
      <c r="B888" s="564" t="s">
        <v>303</v>
      </c>
      <c r="C888" s="327"/>
      <c r="D888" s="565" t="s">
        <v>307</v>
      </c>
      <c r="E888" s="327"/>
      <c r="F888" s="537" t="s">
        <v>334</v>
      </c>
      <c r="G888" s="327"/>
      <c r="H888" s="561" t="s">
        <v>334</v>
      </c>
      <c r="I888" s="327"/>
      <c r="J888" s="26"/>
      <c r="K888" s="27"/>
      <c r="L888" s="26"/>
      <c r="M888" s="27"/>
      <c r="N888" s="23"/>
      <c r="O888" s="21"/>
      <c r="P888" s="563"/>
      <c r="Q888" s="327"/>
      <c r="R888" s="516"/>
      <c r="S888" s="327"/>
      <c r="T888" s="517"/>
      <c r="U888" s="327"/>
      <c r="V888" s="518"/>
      <c r="W888" s="327"/>
      <c r="X888" s="438" t="s">
        <v>303</v>
      </c>
      <c r="Y888" s="326"/>
      <c r="Z888" s="326"/>
      <c r="AA888" s="327"/>
      <c r="AB888" s="519" t="s">
        <v>303</v>
      </c>
      <c r="AC888" s="326"/>
      <c r="AD888" s="326"/>
      <c r="AE888" s="327"/>
      <c r="AF888" s="520"/>
      <c r="AG888" s="327"/>
      <c r="AH888" s="520"/>
      <c r="AI888" s="327"/>
      <c r="AJ888" s="536"/>
      <c r="AK888" s="327"/>
      <c r="AL888" s="556" t="s">
        <v>334</v>
      </c>
      <c r="AM888" s="327"/>
      <c r="AN888" s="553" t="s">
        <v>334</v>
      </c>
      <c r="AO888" s="327"/>
      <c r="AP888" s="554"/>
      <c r="AQ888" s="327"/>
      <c r="AR888" s="555"/>
      <c r="AS888" s="327"/>
      <c r="AT888" s="549"/>
      <c r="AU888" s="327"/>
      <c r="AV888" s="553" t="s">
        <v>334</v>
      </c>
      <c r="AW888" s="327"/>
      <c r="AX888" s="521"/>
      <c r="AY888" s="326"/>
      <c r="AZ888" s="327"/>
      <c r="BA888" s="536"/>
      <c r="BB888" s="327"/>
      <c r="BC888" s="22"/>
      <c r="BD888" s="551" t="s">
        <v>334</v>
      </c>
      <c r="BE888" s="327"/>
      <c r="BF888" s="552"/>
      <c r="BG888" s="326"/>
      <c r="BH888" s="326"/>
      <c r="BI888" s="327"/>
      <c r="BJ888" s="451" t="s">
        <v>303</v>
      </c>
      <c r="BK888" s="326"/>
      <c r="BL888" s="326"/>
      <c r="BM888" s="327"/>
      <c r="BN888" s="558" t="s">
        <v>303</v>
      </c>
      <c r="BO888" s="326"/>
      <c r="BP888" s="326"/>
      <c r="BQ888" s="326"/>
      <c r="BR888" s="326"/>
      <c r="BS888" s="326"/>
      <c r="BT888" s="326"/>
      <c r="BU888" s="326"/>
      <c r="BV888" s="327"/>
    </row>
    <row r="889" spans="1:74" ht="45" customHeight="1" x14ac:dyDescent="0.25">
      <c r="A889" s="10">
        <f t="shared" si="3"/>
        <v>875</v>
      </c>
      <c r="B889" s="559" t="s">
        <v>303</v>
      </c>
      <c r="C889" s="327"/>
      <c r="D889" s="560" t="s">
        <v>307</v>
      </c>
      <c r="E889" s="327"/>
      <c r="F889" s="537" t="s">
        <v>334</v>
      </c>
      <c r="G889" s="327"/>
      <c r="H889" s="566" t="s">
        <v>334</v>
      </c>
      <c r="I889" s="327"/>
      <c r="J889" s="567"/>
      <c r="K889" s="327"/>
      <c r="L889" s="567"/>
      <c r="M889" s="327"/>
      <c r="N889" s="20"/>
      <c r="O889" s="24"/>
      <c r="P889" s="524"/>
      <c r="Q889" s="327"/>
      <c r="R889" s="538"/>
      <c r="S889" s="327"/>
      <c r="T889" s="539"/>
      <c r="U889" s="327"/>
      <c r="V889" s="540"/>
      <c r="W889" s="327"/>
      <c r="X889" s="541" t="s">
        <v>303</v>
      </c>
      <c r="Y889" s="326"/>
      <c r="Z889" s="326"/>
      <c r="AA889" s="327"/>
      <c r="AB889" s="542" t="s">
        <v>303</v>
      </c>
      <c r="AC889" s="326"/>
      <c r="AD889" s="326"/>
      <c r="AE889" s="327"/>
      <c r="AF889" s="543"/>
      <c r="AG889" s="327"/>
      <c r="AH889" s="543"/>
      <c r="AI889" s="327"/>
      <c r="AJ889" s="536"/>
      <c r="AK889" s="327"/>
      <c r="AL889" s="537" t="s">
        <v>334</v>
      </c>
      <c r="AM889" s="327"/>
      <c r="AN889" s="546" t="s">
        <v>334</v>
      </c>
      <c r="AO889" s="327"/>
      <c r="AP889" s="547"/>
      <c r="AQ889" s="327"/>
      <c r="AR889" s="548"/>
      <c r="AS889" s="327"/>
      <c r="AT889" s="568"/>
      <c r="AU889" s="327"/>
      <c r="AV889" s="546" t="s">
        <v>334</v>
      </c>
      <c r="AW889" s="327"/>
      <c r="AX889" s="521"/>
      <c r="AY889" s="326"/>
      <c r="AZ889" s="327"/>
      <c r="BA889" s="550"/>
      <c r="BB889" s="327"/>
      <c r="BC889" s="25"/>
      <c r="BD889" s="544" t="s">
        <v>334</v>
      </c>
      <c r="BE889" s="327"/>
      <c r="BF889" s="545"/>
      <c r="BG889" s="326"/>
      <c r="BH889" s="326"/>
      <c r="BI889" s="327"/>
      <c r="BJ889" s="557" t="s">
        <v>303</v>
      </c>
      <c r="BK889" s="326"/>
      <c r="BL889" s="326"/>
      <c r="BM889" s="327"/>
      <c r="BN889" s="558" t="s">
        <v>303</v>
      </c>
      <c r="BO889" s="326"/>
      <c r="BP889" s="326"/>
      <c r="BQ889" s="326"/>
      <c r="BR889" s="326"/>
      <c r="BS889" s="326"/>
      <c r="BT889" s="326"/>
      <c r="BU889" s="326"/>
      <c r="BV889" s="327"/>
    </row>
    <row r="890" spans="1:74" ht="45" customHeight="1" x14ac:dyDescent="0.25">
      <c r="A890" s="10">
        <f t="shared" si="3"/>
        <v>876</v>
      </c>
      <c r="B890" s="564" t="s">
        <v>303</v>
      </c>
      <c r="C890" s="327"/>
      <c r="D890" s="565" t="s">
        <v>307</v>
      </c>
      <c r="E890" s="327"/>
      <c r="F890" s="537" t="s">
        <v>334</v>
      </c>
      <c r="G890" s="327"/>
      <c r="H890" s="561" t="s">
        <v>334</v>
      </c>
      <c r="I890" s="327"/>
      <c r="J890" s="26"/>
      <c r="K890" s="27"/>
      <c r="L890" s="26"/>
      <c r="M890" s="27"/>
      <c r="N890" s="23"/>
      <c r="O890" s="21"/>
      <c r="P890" s="563"/>
      <c r="Q890" s="327"/>
      <c r="R890" s="516"/>
      <c r="S890" s="327"/>
      <c r="T890" s="517"/>
      <c r="U890" s="327"/>
      <c r="V890" s="518"/>
      <c r="W890" s="327"/>
      <c r="X890" s="438" t="s">
        <v>303</v>
      </c>
      <c r="Y890" s="326"/>
      <c r="Z890" s="326"/>
      <c r="AA890" s="327"/>
      <c r="AB890" s="519" t="s">
        <v>303</v>
      </c>
      <c r="AC890" s="326"/>
      <c r="AD890" s="326"/>
      <c r="AE890" s="327"/>
      <c r="AF890" s="520"/>
      <c r="AG890" s="327"/>
      <c r="AH890" s="520"/>
      <c r="AI890" s="327"/>
      <c r="AJ890" s="536"/>
      <c r="AK890" s="327"/>
      <c r="AL890" s="556" t="s">
        <v>334</v>
      </c>
      <c r="AM890" s="327"/>
      <c r="AN890" s="553" t="s">
        <v>334</v>
      </c>
      <c r="AO890" s="327"/>
      <c r="AP890" s="554"/>
      <c r="AQ890" s="327"/>
      <c r="AR890" s="555"/>
      <c r="AS890" s="327"/>
      <c r="AT890" s="549"/>
      <c r="AU890" s="327"/>
      <c r="AV890" s="553" t="s">
        <v>334</v>
      </c>
      <c r="AW890" s="327"/>
      <c r="AX890" s="521"/>
      <c r="AY890" s="326"/>
      <c r="AZ890" s="327"/>
      <c r="BA890" s="536"/>
      <c r="BB890" s="327"/>
      <c r="BC890" s="22"/>
      <c r="BD890" s="551" t="s">
        <v>334</v>
      </c>
      <c r="BE890" s="327"/>
      <c r="BF890" s="552"/>
      <c r="BG890" s="326"/>
      <c r="BH890" s="326"/>
      <c r="BI890" s="327"/>
      <c r="BJ890" s="451" t="s">
        <v>303</v>
      </c>
      <c r="BK890" s="326"/>
      <c r="BL890" s="326"/>
      <c r="BM890" s="327"/>
      <c r="BN890" s="558" t="s">
        <v>303</v>
      </c>
      <c r="BO890" s="326"/>
      <c r="BP890" s="326"/>
      <c r="BQ890" s="326"/>
      <c r="BR890" s="326"/>
      <c r="BS890" s="326"/>
      <c r="BT890" s="326"/>
      <c r="BU890" s="326"/>
      <c r="BV890" s="327"/>
    </row>
    <row r="891" spans="1:74" ht="45" customHeight="1" x14ac:dyDescent="0.25">
      <c r="A891" s="10">
        <f t="shared" si="3"/>
        <v>877</v>
      </c>
      <c r="B891" s="559" t="s">
        <v>303</v>
      </c>
      <c r="C891" s="327"/>
      <c r="D891" s="560" t="s">
        <v>307</v>
      </c>
      <c r="E891" s="327"/>
      <c r="F891" s="537" t="s">
        <v>334</v>
      </c>
      <c r="G891" s="327"/>
      <c r="H891" s="566" t="s">
        <v>334</v>
      </c>
      <c r="I891" s="327"/>
      <c r="J891" s="567"/>
      <c r="K891" s="327"/>
      <c r="L891" s="567"/>
      <c r="M891" s="327"/>
      <c r="N891" s="20"/>
      <c r="O891" s="24"/>
      <c r="P891" s="524"/>
      <c r="Q891" s="327"/>
      <c r="R891" s="538"/>
      <c r="S891" s="327"/>
      <c r="T891" s="539"/>
      <c r="U891" s="327"/>
      <c r="V891" s="540"/>
      <c r="W891" s="327"/>
      <c r="X891" s="541" t="s">
        <v>303</v>
      </c>
      <c r="Y891" s="326"/>
      <c r="Z891" s="326"/>
      <c r="AA891" s="327"/>
      <c r="AB891" s="542" t="s">
        <v>303</v>
      </c>
      <c r="AC891" s="326"/>
      <c r="AD891" s="326"/>
      <c r="AE891" s="327"/>
      <c r="AF891" s="543"/>
      <c r="AG891" s="327"/>
      <c r="AH891" s="543"/>
      <c r="AI891" s="327"/>
      <c r="AJ891" s="536"/>
      <c r="AK891" s="327"/>
      <c r="AL891" s="537" t="s">
        <v>334</v>
      </c>
      <c r="AM891" s="327"/>
      <c r="AN891" s="546" t="s">
        <v>334</v>
      </c>
      <c r="AO891" s="327"/>
      <c r="AP891" s="547"/>
      <c r="AQ891" s="327"/>
      <c r="AR891" s="548"/>
      <c r="AS891" s="327"/>
      <c r="AT891" s="568"/>
      <c r="AU891" s="327"/>
      <c r="AV891" s="546" t="s">
        <v>334</v>
      </c>
      <c r="AW891" s="327"/>
      <c r="AX891" s="521"/>
      <c r="AY891" s="326"/>
      <c r="AZ891" s="327"/>
      <c r="BA891" s="550"/>
      <c r="BB891" s="327"/>
      <c r="BC891" s="25"/>
      <c r="BD891" s="544" t="s">
        <v>334</v>
      </c>
      <c r="BE891" s="327"/>
      <c r="BF891" s="545"/>
      <c r="BG891" s="326"/>
      <c r="BH891" s="326"/>
      <c r="BI891" s="327"/>
      <c r="BJ891" s="557" t="s">
        <v>303</v>
      </c>
      <c r="BK891" s="326"/>
      <c r="BL891" s="326"/>
      <c r="BM891" s="327"/>
      <c r="BN891" s="558" t="s">
        <v>303</v>
      </c>
      <c r="BO891" s="326"/>
      <c r="BP891" s="326"/>
      <c r="BQ891" s="326"/>
      <c r="BR891" s="326"/>
      <c r="BS891" s="326"/>
      <c r="BT891" s="326"/>
      <c r="BU891" s="326"/>
      <c r="BV891" s="327"/>
    </row>
    <row r="892" spans="1:74" ht="45" customHeight="1" x14ac:dyDescent="0.25">
      <c r="A892" s="10">
        <f t="shared" si="3"/>
        <v>878</v>
      </c>
      <c r="B892" s="564" t="s">
        <v>303</v>
      </c>
      <c r="C892" s="327"/>
      <c r="D892" s="565" t="s">
        <v>307</v>
      </c>
      <c r="E892" s="327"/>
      <c r="F892" s="537" t="s">
        <v>334</v>
      </c>
      <c r="G892" s="327"/>
      <c r="H892" s="561" t="s">
        <v>334</v>
      </c>
      <c r="I892" s="327"/>
      <c r="J892" s="26"/>
      <c r="K892" s="27"/>
      <c r="L892" s="26"/>
      <c r="M892" s="27"/>
      <c r="N892" s="23"/>
      <c r="O892" s="21"/>
      <c r="P892" s="563"/>
      <c r="Q892" s="327"/>
      <c r="R892" s="516"/>
      <c r="S892" s="327"/>
      <c r="T892" s="517"/>
      <c r="U892" s="327"/>
      <c r="V892" s="518"/>
      <c r="W892" s="327"/>
      <c r="X892" s="438" t="s">
        <v>303</v>
      </c>
      <c r="Y892" s="326"/>
      <c r="Z892" s="326"/>
      <c r="AA892" s="327"/>
      <c r="AB892" s="519" t="s">
        <v>303</v>
      </c>
      <c r="AC892" s="326"/>
      <c r="AD892" s="326"/>
      <c r="AE892" s="327"/>
      <c r="AF892" s="520"/>
      <c r="AG892" s="327"/>
      <c r="AH892" s="520"/>
      <c r="AI892" s="327"/>
      <c r="AJ892" s="536"/>
      <c r="AK892" s="327"/>
      <c r="AL892" s="556" t="s">
        <v>334</v>
      </c>
      <c r="AM892" s="327"/>
      <c r="AN892" s="553" t="s">
        <v>334</v>
      </c>
      <c r="AO892" s="327"/>
      <c r="AP892" s="554"/>
      <c r="AQ892" s="327"/>
      <c r="AR892" s="555"/>
      <c r="AS892" s="327"/>
      <c r="AT892" s="549"/>
      <c r="AU892" s="327"/>
      <c r="AV892" s="553" t="s">
        <v>334</v>
      </c>
      <c r="AW892" s="327"/>
      <c r="AX892" s="521"/>
      <c r="AY892" s="326"/>
      <c r="AZ892" s="327"/>
      <c r="BA892" s="536"/>
      <c r="BB892" s="327"/>
      <c r="BC892" s="22"/>
      <c r="BD892" s="551" t="s">
        <v>334</v>
      </c>
      <c r="BE892" s="327"/>
      <c r="BF892" s="508"/>
      <c r="BG892" s="326"/>
      <c r="BH892" s="326"/>
      <c r="BI892" s="327"/>
      <c r="BJ892" s="451" t="s">
        <v>303</v>
      </c>
      <c r="BK892" s="326"/>
      <c r="BL892" s="326"/>
      <c r="BM892" s="327"/>
      <c r="BN892" s="558" t="s">
        <v>303</v>
      </c>
      <c r="BO892" s="326"/>
      <c r="BP892" s="326"/>
      <c r="BQ892" s="326"/>
      <c r="BR892" s="326"/>
      <c r="BS892" s="326"/>
      <c r="BT892" s="326"/>
      <c r="BU892" s="326"/>
      <c r="BV892" s="327"/>
    </row>
    <row r="893" spans="1:74" ht="45" customHeight="1" x14ac:dyDescent="0.25">
      <c r="A893" s="10">
        <f t="shared" si="3"/>
        <v>879</v>
      </c>
      <c r="B893" s="559" t="s">
        <v>303</v>
      </c>
      <c r="C893" s="327"/>
      <c r="D893" s="560" t="s">
        <v>307</v>
      </c>
      <c r="E893" s="327"/>
      <c r="F893" s="537" t="s">
        <v>334</v>
      </c>
      <c r="G893" s="327"/>
      <c r="H893" s="566" t="s">
        <v>334</v>
      </c>
      <c r="I893" s="327"/>
      <c r="J893" s="567"/>
      <c r="K893" s="327"/>
      <c r="L893" s="567"/>
      <c r="M893" s="327"/>
      <c r="N893" s="20"/>
      <c r="O893" s="24"/>
      <c r="P893" s="524"/>
      <c r="Q893" s="327"/>
      <c r="R893" s="538"/>
      <c r="S893" s="327"/>
      <c r="T893" s="539"/>
      <c r="U893" s="327"/>
      <c r="V893" s="540"/>
      <c r="W893" s="327"/>
      <c r="X893" s="541" t="s">
        <v>303</v>
      </c>
      <c r="Y893" s="326"/>
      <c r="Z893" s="326"/>
      <c r="AA893" s="327"/>
      <c r="AB893" s="542" t="s">
        <v>303</v>
      </c>
      <c r="AC893" s="326"/>
      <c r="AD893" s="326"/>
      <c r="AE893" s="327"/>
      <c r="AF893" s="543"/>
      <c r="AG893" s="327"/>
      <c r="AH893" s="543"/>
      <c r="AI893" s="327"/>
      <c r="AJ893" s="536"/>
      <c r="AK893" s="327"/>
      <c r="AL893" s="537" t="s">
        <v>334</v>
      </c>
      <c r="AM893" s="327"/>
      <c r="AN893" s="546" t="s">
        <v>334</v>
      </c>
      <c r="AO893" s="327"/>
      <c r="AP893" s="547"/>
      <c r="AQ893" s="327"/>
      <c r="AR893" s="548"/>
      <c r="AS893" s="327"/>
      <c r="AT893" s="568"/>
      <c r="AU893" s="327"/>
      <c r="AV893" s="546" t="s">
        <v>334</v>
      </c>
      <c r="AW893" s="327"/>
      <c r="AX893" s="521"/>
      <c r="AY893" s="326"/>
      <c r="AZ893" s="327"/>
      <c r="BA893" s="550"/>
      <c r="BB893" s="327"/>
      <c r="BC893" s="25"/>
      <c r="BD893" s="544" t="s">
        <v>334</v>
      </c>
      <c r="BE893" s="327"/>
      <c r="BF893" s="545"/>
      <c r="BG893" s="326"/>
      <c r="BH893" s="326"/>
      <c r="BI893" s="327"/>
      <c r="BJ893" s="557" t="s">
        <v>303</v>
      </c>
      <c r="BK893" s="326"/>
      <c r="BL893" s="326"/>
      <c r="BM893" s="327"/>
      <c r="BN893" s="558" t="s">
        <v>303</v>
      </c>
      <c r="BO893" s="326"/>
      <c r="BP893" s="326"/>
      <c r="BQ893" s="326"/>
      <c r="BR893" s="326"/>
      <c r="BS893" s="326"/>
      <c r="BT893" s="326"/>
      <c r="BU893" s="326"/>
      <c r="BV893" s="327"/>
    </row>
    <row r="894" spans="1:74" ht="45" customHeight="1" x14ac:dyDescent="0.25">
      <c r="A894" s="10">
        <f t="shared" si="3"/>
        <v>880</v>
      </c>
      <c r="B894" s="564" t="s">
        <v>303</v>
      </c>
      <c r="C894" s="327"/>
      <c r="D894" s="565" t="s">
        <v>307</v>
      </c>
      <c r="E894" s="327"/>
      <c r="F894" s="537" t="s">
        <v>334</v>
      </c>
      <c r="G894" s="327"/>
      <c r="H894" s="561" t="s">
        <v>334</v>
      </c>
      <c r="I894" s="327"/>
      <c r="J894" s="26"/>
      <c r="K894" s="27"/>
      <c r="L894" s="26"/>
      <c r="M894" s="27"/>
      <c r="N894" s="23"/>
      <c r="O894" s="21"/>
      <c r="P894" s="563"/>
      <c r="Q894" s="327"/>
      <c r="R894" s="516"/>
      <c r="S894" s="327"/>
      <c r="T894" s="517"/>
      <c r="U894" s="327"/>
      <c r="V894" s="518"/>
      <c r="W894" s="327"/>
      <c r="X894" s="438" t="s">
        <v>303</v>
      </c>
      <c r="Y894" s="326"/>
      <c r="Z894" s="326"/>
      <c r="AA894" s="327"/>
      <c r="AB894" s="519" t="s">
        <v>303</v>
      </c>
      <c r="AC894" s="326"/>
      <c r="AD894" s="326"/>
      <c r="AE894" s="327"/>
      <c r="AF894" s="520"/>
      <c r="AG894" s="327"/>
      <c r="AH894" s="520"/>
      <c r="AI894" s="327"/>
      <c r="AJ894" s="536"/>
      <c r="AK894" s="327"/>
      <c r="AL894" s="556" t="s">
        <v>334</v>
      </c>
      <c r="AM894" s="327"/>
      <c r="AN894" s="553" t="s">
        <v>334</v>
      </c>
      <c r="AO894" s="327"/>
      <c r="AP894" s="554"/>
      <c r="AQ894" s="327"/>
      <c r="AR894" s="555"/>
      <c r="AS894" s="327"/>
      <c r="AT894" s="549"/>
      <c r="AU894" s="327"/>
      <c r="AV894" s="553" t="s">
        <v>334</v>
      </c>
      <c r="AW894" s="327"/>
      <c r="AX894" s="521"/>
      <c r="AY894" s="326"/>
      <c r="AZ894" s="327"/>
      <c r="BA894" s="536"/>
      <c r="BB894" s="327"/>
      <c r="BC894" s="22"/>
      <c r="BD894" s="551" t="s">
        <v>334</v>
      </c>
      <c r="BE894" s="327"/>
      <c r="BF894" s="552"/>
      <c r="BG894" s="326"/>
      <c r="BH894" s="326"/>
      <c r="BI894" s="327"/>
      <c r="BJ894" s="451" t="s">
        <v>303</v>
      </c>
      <c r="BK894" s="326"/>
      <c r="BL894" s="326"/>
      <c r="BM894" s="327"/>
      <c r="BN894" s="558" t="s">
        <v>303</v>
      </c>
      <c r="BO894" s="326"/>
      <c r="BP894" s="326"/>
      <c r="BQ894" s="326"/>
      <c r="BR894" s="326"/>
      <c r="BS894" s="326"/>
      <c r="BT894" s="326"/>
      <c r="BU894" s="326"/>
      <c r="BV894" s="327"/>
    </row>
    <row r="895" spans="1:74" ht="45" customHeight="1" x14ac:dyDescent="0.25">
      <c r="A895" s="10">
        <f t="shared" si="3"/>
        <v>881</v>
      </c>
      <c r="B895" s="559" t="s">
        <v>303</v>
      </c>
      <c r="C895" s="327"/>
      <c r="D895" s="560" t="s">
        <v>307</v>
      </c>
      <c r="E895" s="327"/>
      <c r="F895" s="537" t="s">
        <v>334</v>
      </c>
      <c r="G895" s="327"/>
      <c r="H895" s="566" t="s">
        <v>334</v>
      </c>
      <c r="I895" s="327"/>
      <c r="J895" s="567"/>
      <c r="K895" s="327"/>
      <c r="L895" s="567"/>
      <c r="M895" s="327"/>
      <c r="N895" s="23"/>
      <c r="O895" s="24"/>
      <c r="P895" s="563"/>
      <c r="Q895" s="327"/>
      <c r="R895" s="538"/>
      <c r="S895" s="327"/>
      <c r="T895" s="539"/>
      <c r="U895" s="327"/>
      <c r="V895" s="540"/>
      <c r="W895" s="327"/>
      <c r="X895" s="541" t="s">
        <v>303</v>
      </c>
      <c r="Y895" s="326"/>
      <c r="Z895" s="326"/>
      <c r="AA895" s="327"/>
      <c r="AB895" s="542" t="s">
        <v>303</v>
      </c>
      <c r="AC895" s="326"/>
      <c r="AD895" s="326"/>
      <c r="AE895" s="327"/>
      <c r="AF895" s="543"/>
      <c r="AG895" s="327"/>
      <c r="AH895" s="543"/>
      <c r="AI895" s="327"/>
      <c r="AJ895" s="536"/>
      <c r="AK895" s="327"/>
      <c r="AL895" s="537" t="s">
        <v>334</v>
      </c>
      <c r="AM895" s="327"/>
      <c r="AN895" s="546" t="s">
        <v>334</v>
      </c>
      <c r="AO895" s="327"/>
      <c r="AP895" s="547"/>
      <c r="AQ895" s="327"/>
      <c r="AR895" s="548"/>
      <c r="AS895" s="327"/>
      <c r="AT895" s="549"/>
      <c r="AU895" s="327"/>
      <c r="AV895" s="546" t="s">
        <v>334</v>
      </c>
      <c r="AW895" s="327"/>
      <c r="AX895" s="521"/>
      <c r="AY895" s="326"/>
      <c r="AZ895" s="327"/>
      <c r="BA895" s="550"/>
      <c r="BB895" s="327"/>
      <c r="BC895" s="25"/>
      <c r="BD895" s="544" t="s">
        <v>334</v>
      </c>
      <c r="BE895" s="327"/>
      <c r="BF895" s="545"/>
      <c r="BG895" s="326"/>
      <c r="BH895" s="326"/>
      <c r="BI895" s="327"/>
      <c r="BJ895" s="557" t="s">
        <v>303</v>
      </c>
      <c r="BK895" s="326"/>
      <c r="BL895" s="326"/>
      <c r="BM895" s="327"/>
      <c r="BN895" s="558" t="s">
        <v>303</v>
      </c>
      <c r="BO895" s="326"/>
      <c r="BP895" s="326"/>
      <c r="BQ895" s="326"/>
      <c r="BR895" s="326"/>
      <c r="BS895" s="326"/>
      <c r="BT895" s="326"/>
      <c r="BU895" s="326"/>
      <c r="BV895" s="327"/>
    </row>
    <row r="896" spans="1:74" ht="45" customHeight="1" x14ac:dyDescent="0.25">
      <c r="A896" s="10">
        <f t="shared" si="3"/>
        <v>882</v>
      </c>
      <c r="B896" s="564" t="s">
        <v>303</v>
      </c>
      <c r="C896" s="327"/>
      <c r="D896" s="565" t="s">
        <v>307</v>
      </c>
      <c r="E896" s="327"/>
      <c r="F896" s="537" t="s">
        <v>334</v>
      </c>
      <c r="G896" s="327"/>
      <c r="H896" s="561" t="s">
        <v>334</v>
      </c>
      <c r="I896" s="327"/>
      <c r="J896" s="26"/>
      <c r="K896" s="27"/>
      <c r="L896" s="26"/>
      <c r="M896" s="27"/>
      <c r="N896" s="20"/>
      <c r="O896" s="21"/>
      <c r="P896" s="524"/>
      <c r="Q896" s="327"/>
      <c r="R896" s="516"/>
      <c r="S896" s="327"/>
      <c r="T896" s="517"/>
      <c r="U896" s="327"/>
      <c r="V896" s="518"/>
      <c r="W896" s="327"/>
      <c r="X896" s="438" t="s">
        <v>303</v>
      </c>
      <c r="Y896" s="326"/>
      <c r="Z896" s="326"/>
      <c r="AA896" s="327"/>
      <c r="AB896" s="519" t="s">
        <v>303</v>
      </c>
      <c r="AC896" s="326"/>
      <c r="AD896" s="326"/>
      <c r="AE896" s="327"/>
      <c r="AF896" s="520"/>
      <c r="AG896" s="327"/>
      <c r="AH896" s="520"/>
      <c r="AI896" s="327"/>
      <c r="AJ896" s="536"/>
      <c r="AK896" s="327"/>
      <c r="AL896" s="556" t="s">
        <v>334</v>
      </c>
      <c r="AM896" s="327"/>
      <c r="AN896" s="553" t="s">
        <v>334</v>
      </c>
      <c r="AO896" s="327"/>
      <c r="AP896" s="554"/>
      <c r="AQ896" s="327"/>
      <c r="AR896" s="555"/>
      <c r="AS896" s="327"/>
      <c r="AT896" s="549"/>
      <c r="AU896" s="327"/>
      <c r="AV896" s="553" t="s">
        <v>334</v>
      </c>
      <c r="AW896" s="327"/>
      <c r="AX896" s="521"/>
      <c r="AY896" s="326"/>
      <c r="AZ896" s="327"/>
      <c r="BA896" s="536"/>
      <c r="BB896" s="327"/>
      <c r="BC896" s="22"/>
      <c r="BD896" s="551" t="s">
        <v>334</v>
      </c>
      <c r="BE896" s="327"/>
      <c r="BF896" s="552"/>
      <c r="BG896" s="326"/>
      <c r="BH896" s="326"/>
      <c r="BI896" s="327"/>
      <c r="BJ896" s="451" t="s">
        <v>303</v>
      </c>
      <c r="BK896" s="326"/>
      <c r="BL896" s="326"/>
      <c r="BM896" s="327"/>
      <c r="BN896" s="558" t="s">
        <v>303</v>
      </c>
      <c r="BO896" s="326"/>
      <c r="BP896" s="326"/>
      <c r="BQ896" s="326"/>
      <c r="BR896" s="326"/>
      <c r="BS896" s="326"/>
      <c r="BT896" s="326"/>
      <c r="BU896" s="326"/>
      <c r="BV896" s="327"/>
    </row>
    <row r="897" spans="1:74" ht="45" customHeight="1" x14ac:dyDescent="0.25">
      <c r="A897" s="10">
        <f t="shared" si="3"/>
        <v>883</v>
      </c>
      <c r="B897" s="559" t="s">
        <v>303</v>
      </c>
      <c r="C897" s="327"/>
      <c r="D897" s="560" t="s">
        <v>307</v>
      </c>
      <c r="E897" s="327"/>
      <c r="F897" s="537" t="s">
        <v>334</v>
      </c>
      <c r="G897" s="327"/>
      <c r="H897" s="566" t="s">
        <v>334</v>
      </c>
      <c r="I897" s="327"/>
      <c r="J897" s="567"/>
      <c r="K897" s="327"/>
      <c r="L897" s="567"/>
      <c r="M897" s="327"/>
      <c r="N897" s="23"/>
      <c r="O897" s="24"/>
      <c r="P897" s="563"/>
      <c r="Q897" s="327"/>
      <c r="R897" s="538"/>
      <c r="S897" s="327"/>
      <c r="T897" s="539"/>
      <c r="U897" s="327"/>
      <c r="V897" s="540"/>
      <c r="W897" s="327"/>
      <c r="X897" s="541" t="s">
        <v>303</v>
      </c>
      <c r="Y897" s="326"/>
      <c r="Z897" s="326"/>
      <c r="AA897" s="327"/>
      <c r="AB897" s="542" t="s">
        <v>303</v>
      </c>
      <c r="AC897" s="326"/>
      <c r="AD897" s="326"/>
      <c r="AE897" s="327"/>
      <c r="AF897" s="543"/>
      <c r="AG897" s="327"/>
      <c r="AH897" s="543"/>
      <c r="AI897" s="327"/>
      <c r="AJ897" s="536"/>
      <c r="AK897" s="327"/>
      <c r="AL897" s="537" t="s">
        <v>334</v>
      </c>
      <c r="AM897" s="327"/>
      <c r="AN897" s="546" t="s">
        <v>334</v>
      </c>
      <c r="AO897" s="327"/>
      <c r="AP897" s="547"/>
      <c r="AQ897" s="327"/>
      <c r="AR897" s="548"/>
      <c r="AS897" s="327"/>
      <c r="AT897" s="549"/>
      <c r="AU897" s="327"/>
      <c r="AV897" s="546" t="s">
        <v>334</v>
      </c>
      <c r="AW897" s="327"/>
      <c r="AX897" s="521"/>
      <c r="AY897" s="326"/>
      <c r="AZ897" s="327"/>
      <c r="BA897" s="550"/>
      <c r="BB897" s="327"/>
      <c r="BC897" s="25"/>
      <c r="BD897" s="544" t="s">
        <v>334</v>
      </c>
      <c r="BE897" s="327"/>
      <c r="BF897" s="545"/>
      <c r="BG897" s="326"/>
      <c r="BH897" s="326"/>
      <c r="BI897" s="327"/>
      <c r="BJ897" s="557" t="s">
        <v>303</v>
      </c>
      <c r="BK897" s="326"/>
      <c r="BL897" s="326"/>
      <c r="BM897" s="327"/>
      <c r="BN897" s="558" t="s">
        <v>303</v>
      </c>
      <c r="BO897" s="326"/>
      <c r="BP897" s="326"/>
      <c r="BQ897" s="326"/>
      <c r="BR897" s="326"/>
      <c r="BS897" s="326"/>
      <c r="BT897" s="326"/>
      <c r="BU897" s="326"/>
      <c r="BV897" s="327"/>
    </row>
    <row r="898" spans="1:74" ht="45" customHeight="1" x14ac:dyDescent="0.25">
      <c r="A898" s="10">
        <f t="shared" si="3"/>
        <v>884</v>
      </c>
      <c r="B898" s="564" t="s">
        <v>303</v>
      </c>
      <c r="C898" s="327"/>
      <c r="D898" s="565" t="s">
        <v>307</v>
      </c>
      <c r="E898" s="327"/>
      <c r="F898" s="537" t="s">
        <v>334</v>
      </c>
      <c r="G898" s="327"/>
      <c r="H898" s="561" t="s">
        <v>334</v>
      </c>
      <c r="I898" s="327"/>
      <c r="J898" s="26"/>
      <c r="K898" s="27"/>
      <c r="L898" s="26"/>
      <c r="M898" s="27"/>
      <c r="N898" s="20"/>
      <c r="O898" s="21"/>
      <c r="P898" s="524"/>
      <c r="Q898" s="327"/>
      <c r="R898" s="516"/>
      <c r="S898" s="327"/>
      <c r="T898" s="517"/>
      <c r="U898" s="327"/>
      <c r="V898" s="518"/>
      <c r="W898" s="327"/>
      <c r="X898" s="438" t="s">
        <v>303</v>
      </c>
      <c r="Y898" s="326"/>
      <c r="Z898" s="326"/>
      <c r="AA898" s="327"/>
      <c r="AB898" s="519" t="s">
        <v>303</v>
      </c>
      <c r="AC898" s="326"/>
      <c r="AD898" s="326"/>
      <c r="AE898" s="327"/>
      <c r="AF898" s="520"/>
      <c r="AG898" s="327"/>
      <c r="AH898" s="520"/>
      <c r="AI898" s="327"/>
      <c r="AJ898" s="536"/>
      <c r="AK898" s="327"/>
      <c r="AL898" s="556" t="s">
        <v>334</v>
      </c>
      <c r="AM898" s="327"/>
      <c r="AN898" s="553" t="s">
        <v>334</v>
      </c>
      <c r="AO898" s="327"/>
      <c r="AP898" s="554"/>
      <c r="AQ898" s="327"/>
      <c r="AR898" s="555"/>
      <c r="AS898" s="327"/>
      <c r="AT898" s="549"/>
      <c r="AU898" s="327"/>
      <c r="AV898" s="553" t="s">
        <v>334</v>
      </c>
      <c r="AW898" s="327"/>
      <c r="AX898" s="521"/>
      <c r="AY898" s="326"/>
      <c r="AZ898" s="327"/>
      <c r="BA898" s="536"/>
      <c r="BB898" s="327"/>
      <c r="BC898" s="22"/>
      <c r="BD898" s="551" t="s">
        <v>334</v>
      </c>
      <c r="BE898" s="327"/>
      <c r="BF898" s="552"/>
      <c r="BG898" s="326"/>
      <c r="BH898" s="326"/>
      <c r="BI898" s="327"/>
      <c r="BJ898" s="451" t="s">
        <v>303</v>
      </c>
      <c r="BK898" s="326"/>
      <c r="BL898" s="326"/>
      <c r="BM898" s="327"/>
      <c r="BN898" s="558" t="s">
        <v>303</v>
      </c>
      <c r="BO898" s="326"/>
      <c r="BP898" s="326"/>
      <c r="BQ898" s="326"/>
      <c r="BR898" s="326"/>
      <c r="BS898" s="326"/>
      <c r="BT898" s="326"/>
      <c r="BU898" s="326"/>
      <c r="BV898" s="327"/>
    </row>
    <row r="899" spans="1:74" ht="45" customHeight="1" x14ac:dyDescent="0.25">
      <c r="A899" s="10">
        <f t="shared" si="3"/>
        <v>885</v>
      </c>
      <c r="B899" s="559" t="s">
        <v>303</v>
      </c>
      <c r="C899" s="327"/>
      <c r="D899" s="560" t="s">
        <v>307</v>
      </c>
      <c r="E899" s="327"/>
      <c r="F899" s="537" t="s">
        <v>334</v>
      </c>
      <c r="G899" s="327"/>
      <c r="H899" s="566" t="s">
        <v>334</v>
      </c>
      <c r="I899" s="327"/>
      <c r="J899" s="567"/>
      <c r="K899" s="327"/>
      <c r="L899" s="567"/>
      <c r="M899" s="327"/>
      <c r="N899" s="23"/>
      <c r="O899" s="24"/>
      <c r="P899" s="563"/>
      <c r="Q899" s="327"/>
      <c r="R899" s="538"/>
      <c r="S899" s="327"/>
      <c r="T899" s="539"/>
      <c r="U899" s="327"/>
      <c r="V899" s="540"/>
      <c r="W899" s="327"/>
      <c r="X899" s="541" t="s">
        <v>303</v>
      </c>
      <c r="Y899" s="326"/>
      <c r="Z899" s="326"/>
      <c r="AA899" s="327"/>
      <c r="AB899" s="542" t="s">
        <v>303</v>
      </c>
      <c r="AC899" s="326"/>
      <c r="AD899" s="326"/>
      <c r="AE899" s="327"/>
      <c r="AF899" s="543"/>
      <c r="AG899" s="327"/>
      <c r="AH899" s="543"/>
      <c r="AI899" s="327"/>
      <c r="AJ899" s="536"/>
      <c r="AK899" s="327"/>
      <c r="AL899" s="537" t="s">
        <v>334</v>
      </c>
      <c r="AM899" s="327"/>
      <c r="AN899" s="546" t="s">
        <v>334</v>
      </c>
      <c r="AO899" s="327"/>
      <c r="AP899" s="547"/>
      <c r="AQ899" s="327"/>
      <c r="AR899" s="548"/>
      <c r="AS899" s="327"/>
      <c r="AT899" s="568"/>
      <c r="AU899" s="327"/>
      <c r="AV899" s="546" t="s">
        <v>334</v>
      </c>
      <c r="AW899" s="327"/>
      <c r="AX899" s="521"/>
      <c r="AY899" s="326"/>
      <c r="AZ899" s="327"/>
      <c r="BA899" s="550"/>
      <c r="BB899" s="327"/>
      <c r="BC899" s="25"/>
      <c r="BD899" s="544" t="s">
        <v>334</v>
      </c>
      <c r="BE899" s="327"/>
      <c r="BF899" s="545"/>
      <c r="BG899" s="326"/>
      <c r="BH899" s="326"/>
      <c r="BI899" s="327"/>
      <c r="BJ899" s="557" t="s">
        <v>303</v>
      </c>
      <c r="BK899" s="326"/>
      <c r="BL899" s="326"/>
      <c r="BM899" s="327"/>
      <c r="BN899" s="558" t="s">
        <v>303</v>
      </c>
      <c r="BO899" s="326"/>
      <c r="BP899" s="326"/>
      <c r="BQ899" s="326"/>
      <c r="BR899" s="326"/>
      <c r="BS899" s="326"/>
      <c r="BT899" s="326"/>
      <c r="BU899" s="326"/>
      <c r="BV899" s="327"/>
    </row>
    <row r="900" spans="1:74" ht="45" customHeight="1" x14ac:dyDescent="0.25">
      <c r="A900" s="10">
        <f t="shared" si="3"/>
        <v>886</v>
      </c>
      <c r="B900" s="564" t="s">
        <v>303</v>
      </c>
      <c r="C900" s="327"/>
      <c r="D900" s="565" t="s">
        <v>307</v>
      </c>
      <c r="E900" s="327"/>
      <c r="F900" s="537" t="s">
        <v>334</v>
      </c>
      <c r="G900" s="327"/>
      <c r="H900" s="561" t="s">
        <v>334</v>
      </c>
      <c r="I900" s="327"/>
      <c r="J900" s="26"/>
      <c r="K900" s="27"/>
      <c r="L900" s="26"/>
      <c r="M900" s="27"/>
      <c r="N900" s="20"/>
      <c r="O900" s="21"/>
      <c r="P900" s="524"/>
      <c r="Q900" s="327"/>
      <c r="R900" s="516"/>
      <c r="S900" s="327"/>
      <c r="T900" s="517"/>
      <c r="U900" s="327"/>
      <c r="V900" s="518"/>
      <c r="W900" s="327"/>
      <c r="X900" s="438" t="s">
        <v>303</v>
      </c>
      <c r="Y900" s="326"/>
      <c r="Z900" s="326"/>
      <c r="AA900" s="327"/>
      <c r="AB900" s="519" t="s">
        <v>303</v>
      </c>
      <c r="AC900" s="326"/>
      <c r="AD900" s="326"/>
      <c r="AE900" s="327"/>
      <c r="AF900" s="520"/>
      <c r="AG900" s="327"/>
      <c r="AH900" s="520"/>
      <c r="AI900" s="327"/>
      <c r="AJ900" s="536"/>
      <c r="AK900" s="327"/>
      <c r="AL900" s="556" t="s">
        <v>334</v>
      </c>
      <c r="AM900" s="327"/>
      <c r="AN900" s="553" t="s">
        <v>334</v>
      </c>
      <c r="AO900" s="327"/>
      <c r="AP900" s="554"/>
      <c r="AQ900" s="327"/>
      <c r="AR900" s="555"/>
      <c r="AS900" s="327"/>
      <c r="AT900" s="549"/>
      <c r="AU900" s="327"/>
      <c r="AV900" s="553" t="s">
        <v>334</v>
      </c>
      <c r="AW900" s="327"/>
      <c r="AX900" s="521"/>
      <c r="AY900" s="326"/>
      <c r="AZ900" s="327"/>
      <c r="BA900" s="536"/>
      <c r="BB900" s="327"/>
      <c r="BC900" s="22"/>
      <c r="BD900" s="551" t="s">
        <v>334</v>
      </c>
      <c r="BE900" s="327"/>
      <c r="BF900" s="508"/>
      <c r="BG900" s="326"/>
      <c r="BH900" s="326"/>
      <c r="BI900" s="327"/>
      <c r="BJ900" s="451" t="s">
        <v>303</v>
      </c>
      <c r="BK900" s="326"/>
      <c r="BL900" s="326"/>
      <c r="BM900" s="327"/>
      <c r="BN900" s="558" t="s">
        <v>303</v>
      </c>
      <c r="BO900" s="326"/>
      <c r="BP900" s="326"/>
      <c r="BQ900" s="326"/>
      <c r="BR900" s="326"/>
      <c r="BS900" s="326"/>
      <c r="BT900" s="326"/>
      <c r="BU900" s="326"/>
      <c r="BV900" s="327"/>
    </row>
    <row r="901" spans="1:74" ht="45" customHeight="1" x14ac:dyDescent="0.25">
      <c r="A901" s="10">
        <f t="shared" si="3"/>
        <v>887</v>
      </c>
      <c r="B901" s="559" t="s">
        <v>303</v>
      </c>
      <c r="C901" s="327"/>
      <c r="D901" s="560" t="s">
        <v>307</v>
      </c>
      <c r="E901" s="327"/>
      <c r="F901" s="537" t="s">
        <v>334</v>
      </c>
      <c r="G901" s="327"/>
      <c r="H901" s="566" t="s">
        <v>334</v>
      </c>
      <c r="I901" s="327"/>
      <c r="J901" s="567"/>
      <c r="K901" s="327"/>
      <c r="L901" s="567"/>
      <c r="M901" s="327"/>
      <c r="N901" s="23"/>
      <c r="O901" s="24"/>
      <c r="P901" s="563"/>
      <c r="Q901" s="327"/>
      <c r="R901" s="538"/>
      <c r="S901" s="327"/>
      <c r="T901" s="539"/>
      <c r="U901" s="327"/>
      <c r="V901" s="540"/>
      <c r="W901" s="327"/>
      <c r="X901" s="541" t="s">
        <v>303</v>
      </c>
      <c r="Y901" s="326"/>
      <c r="Z901" s="326"/>
      <c r="AA901" s="327"/>
      <c r="AB901" s="542" t="s">
        <v>303</v>
      </c>
      <c r="AC901" s="326"/>
      <c r="AD901" s="326"/>
      <c r="AE901" s="327"/>
      <c r="AF901" s="543"/>
      <c r="AG901" s="327"/>
      <c r="AH901" s="543"/>
      <c r="AI901" s="327"/>
      <c r="AJ901" s="536"/>
      <c r="AK901" s="327"/>
      <c r="AL901" s="537" t="s">
        <v>334</v>
      </c>
      <c r="AM901" s="327"/>
      <c r="AN901" s="546" t="s">
        <v>334</v>
      </c>
      <c r="AO901" s="327"/>
      <c r="AP901" s="547"/>
      <c r="AQ901" s="327"/>
      <c r="AR901" s="548"/>
      <c r="AS901" s="327"/>
      <c r="AT901" s="568"/>
      <c r="AU901" s="327"/>
      <c r="AV901" s="546" t="s">
        <v>334</v>
      </c>
      <c r="AW901" s="327"/>
      <c r="AX901" s="521"/>
      <c r="AY901" s="326"/>
      <c r="AZ901" s="327"/>
      <c r="BA901" s="550"/>
      <c r="BB901" s="327"/>
      <c r="BC901" s="25"/>
      <c r="BD901" s="544" t="s">
        <v>334</v>
      </c>
      <c r="BE901" s="327"/>
      <c r="BF901" s="545"/>
      <c r="BG901" s="326"/>
      <c r="BH901" s="326"/>
      <c r="BI901" s="327"/>
      <c r="BJ901" s="557" t="s">
        <v>303</v>
      </c>
      <c r="BK901" s="326"/>
      <c r="BL901" s="326"/>
      <c r="BM901" s="327"/>
      <c r="BN901" s="558" t="s">
        <v>303</v>
      </c>
      <c r="BO901" s="326"/>
      <c r="BP901" s="326"/>
      <c r="BQ901" s="326"/>
      <c r="BR901" s="326"/>
      <c r="BS901" s="326"/>
      <c r="BT901" s="326"/>
      <c r="BU901" s="326"/>
      <c r="BV901" s="327"/>
    </row>
    <row r="902" spans="1:74" ht="45" customHeight="1" x14ac:dyDescent="0.25">
      <c r="A902" s="10">
        <f t="shared" si="3"/>
        <v>888</v>
      </c>
      <c r="B902" s="564" t="s">
        <v>303</v>
      </c>
      <c r="C902" s="327"/>
      <c r="D902" s="565" t="s">
        <v>307</v>
      </c>
      <c r="E902" s="327"/>
      <c r="F902" s="537" t="s">
        <v>334</v>
      </c>
      <c r="G902" s="327"/>
      <c r="H902" s="561" t="s">
        <v>334</v>
      </c>
      <c r="I902" s="327"/>
      <c r="J902" s="26"/>
      <c r="K902" s="27"/>
      <c r="L902" s="26"/>
      <c r="M902" s="27"/>
      <c r="N902" s="20"/>
      <c r="O902" s="21"/>
      <c r="P902" s="524"/>
      <c r="Q902" s="327"/>
      <c r="R902" s="516"/>
      <c r="S902" s="327"/>
      <c r="T902" s="517"/>
      <c r="U902" s="327"/>
      <c r="V902" s="518"/>
      <c r="W902" s="327"/>
      <c r="X902" s="438" t="s">
        <v>303</v>
      </c>
      <c r="Y902" s="326"/>
      <c r="Z902" s="326"/>
      <c r="AA902" s="327"/>
      <c r="AB902" s="519" t="s">
        <v>303</v>
      </c>
      <c r="AC902" s="326"/>
      <c r="AD902" s="326"/>
      <c r="AE902" s="327"/>
      <c r="AF902" s="520"/>
      <c r="AG902" s="327"/>
      <c r="AH902" s="520"/>
      <c r="AI902" s="327"/>
      <c r="AJ902" s="536"/>
      <c r="AK902" s="327"/>
      <c r="AL902" s="556" t="s">
        <v>334</v>
      </c>
      <c r="AM902" s="327"/>
      <c r="AN902" s="553" t="s">
        <v>334</v>
      </c>
      <c r="AO902" s="327"/>
      <c r="AP902" s="554"/>
      <c r="AQ902" s="327"/>
      <c r="AR902" s="555"/>
      <c r="AS902" s="327"/>
      <c r="AT902" s="549"/>
      <c r="AU902" s="327"/>
      <c r="AV902" s="553" t="s">
        <v>334</v>
      </c>
      <c r="AW902" s="327"/>
      <c r="AX902" s="521"/>
      <c r="AY902" s="326"/>
      <c r="AZ902" s="327"/>
      <c r="BA902" s="536"/>
      <c r="BB902" s="327"/>
      <c r="BC902" s="22"/>
      <c r="BD902" s="551" t="s">
        <v>334</v>
      </c>
      <c r="BE902" s="327"/>
      <c r="BF902" s="552"/>
      <c r="BG902" s="326"/>
      <c r="BH902" s="326"/>
      <c r="BI902" s="327"/>
      <c r="BJ902" s="451" t="s">
        <v>303</v>
      </c>
      <c r="BK902" s="326"/>
      <c r="BL902" s="326"/>
      <c r="BM902" s="327"/>
      <c r="BN902" s="558" t="s">
        <v>303</v>
      </c>
      <c r="BO902" s="326"/>
      <c r="BP902" s="326"/>
      <c r="BQ902" s="326"/>
      <c r="BR902" s="326"/>
      <c r="BS902" s="326"/>
      <c r="BT902" s="326"/>
      <c r="BU902" s="326"/>
      <c r="BV902" s="327"/>
    </row>
    <row r="903" spans="1:74" ht="45" customHeight="1" x14ac:dyDescent="0.25">
      <c r="A903" s="10">
        <f t="shared" si="3"/>
        <v>889</v>
      </c>
      <c r="B903" s="559" t="s">
        <v>303</v>
      </c>
      <c r="C903" s="327"/>
      <c r="D903" s="560" t="s">
        <v>307</v>
      </c>
      <c r="E903" s="327"/>
      <c r="F903" s="537" t="s">
        <v>334</v>
      </c>
      <c r="G903" s="327"/>
      <c r="H903" s="566" t="s">
        <v>334</v>
      </c>
      <c r="I903" s="327"/>
      <c r="J903" s="567"/>
      <c r="K903" s="327"/>
      <c r="L903" s="567"/>
      <c r="M903" s="327"/>
      <c r="N903" s="23"/>
      <c r="O903" s="24"/>
      <c r="P903" s="563"/>
      <c r="Q903" s="327"/>
      <c r="R903" s="538"/>
      <c r="S903" s="327"/>
      <c r="T903" s="539"/>
      <c r="U903" s="327"/>
      <c r="V903" s="540"/>
      <c r="W903" s="327"/>
      <c r="X903" s="541" t="s">
        <v>303</v>
      </c>
      <c r="Y903" s="326"/>
      <c r="Z903" s="326"/>
      <c r="AA903" s="327"/>
      <c r="AB903" s="542" t="s">
        <v>303</v>
      </c>
      <c r="AC903" s="326"/>
      <c r="AD903" s="326"/>
      <c r="AE903" s="327"/>
      <c r="AF903" s="543"/>
      <c r="AG903" s="327"/>
      <c r="AH903" s="543"/>
      <c r="AI903" s="327"/>
      <c r="AJ903" s="536"/>
      <c r="AK903" s="327"/>
      <c r="AL903" s="537" t="s">
        <v>334</v>
      </c>
      <c r="AM903" s="327"/>
      <c r="AN903" s="546" t="s">
        <v>334</v>
      </c>
      <c r="AO903" s="327"/>
      <c r="AP903" s="547"/>
      <c r="AQ903" s="327"/>
      <c r="AR903" s="548"/>
      <c r="AS903" s="327"/>
      <c r="AT903" s="568"/>
      <c r="AU903" s="327"/>
      <c r="AV903" s="546" t="s">
        <v>334</v>
      </c>
      <c r="AW903" s="327"/>
      <c r="AX903" s="521"/>
      <c r="AY903" s="326"/>
      <c r="AZ903" s="327"/>
      <c r="BA903" s="550"/>
      <c r="BB903" s="327"/>
      <c r="BC903" s="25"/>
      <c r="BD903" s="544" t="s">
        <v>334</v>
      </c>
      <c r="BE903" s="327"/>
      <c r="BF903" s="545"/>
      <c r="BG903" s="326"/>
      <c r="BH903" s="326"/>
      <c r="BI903" s="327"/>
      <c r="BJ903" s="557" t="s">
        <v>303</v>
      </c>
      <c r="BK903" s="326"/>
      <c r="BL903" s="326"/>
      <c r="BM903" s="327"/>
      <c r="BN903" s="558" t="s">
        <v>303</v>
      </c>
      <c r="BO903" s="326"/>
      <c r="BP903" s="326"/>
      <c r="BQ903" s="326"/>
      <c r="BR903" s="326"/>
      <c r="BS903" s="326"/>
      <c r="BT903" s="326"/>
      <c r="BU903" s="326"/>
      <c r="BV903" s="327"/>
    </row>
    <row r="904" spans="1:74" ht="45" customHeight="1" x14ac:dyDescent="0.25">
      <c r="A904" s="10">
        <f t="shared" si="3"/>
        <v>890</v>
      </c>
      <c r="B904" s="564" t="s">
        <v>303</v>
      </c>
      <c r="C904" s="327"/>
      <c r="D904" s="565" t="s">
        <v>307</v>
      </c>
      <c r="E904" s="327"/>
      <c r="F904" s="537" t="s">
        <v>334</v>
      </c>
      <c r="G904" s="327"/>
      <c r="H904" s="561" t="s">
        <v>334</v>
      </c>
      <c r="I904" s="327"/>
      <c r="J904" s="26"/>
      <c r="K904" s="27"/>
      <c r="L904" s="26"/>
      <c r="M904" s="27"/>
      <c r="N904" s="20"/>
      <c r="O904" s="21"/>
      <c r="P904" s="524"/>
      <c r="Q904" s="327"/>
      <c r="R904" s="516"/>
      <c r="S904" s="327"/>
      <c r="T904" s="517"/>
      <c r="U904" s="327"/>
      <c r="V904" s="518"/>
      <c r="W904" s="327"/>
      <c r="X904" s="438" t="s">
        <v>303</v>
      </c>
      <c r="Y904" s="326"/>
      <c r="Z904" s="326"/>
      <c r="AA904" s="327"/>
      <c r="AB904" s="519" t="s">
        <v>303</v>
      </c>
      <c r="AC904" s="326"/>
      <c r="AD904" s="326"/>
      <c r="AE904" s="327"/>
      <c r="AF904" s="520"/>
      <c r="AG904" s="327"/>
      <c r="AH904" s="520"/>
      <c r="AI904" s="327"/>
      <c r="AJ904" s="536"/>
      <c r="AK904" s="327"/>
      <c r="AL904" s="556" t="s">
        <v>334</v>
      </c>
      <c r="AM904" s="327"/>
      <c r="AN904" s="553" t="s">
        <v>334</v>
      </c>
      <c r="AO904" s="327"/>
      <c r="AP904" s="554"/>
      <c r="AQ904" s="327"/>
      <c r="AR904" s="555"/>
      <c r="AS904" s="327"/>
      <c r="AT904" s="549"/>
      <c r="AU904" s="327"/>
      <c r="AV904" s="553" t="s">
        <v>334</v>
      </c>
      <c r="AW904" s="327"/>
      <c r="AX904" s="521"/>
      <c r="AY904" s="326"/>
      <c r="AZ904" s="327"/>
      <c r="BA904" s="536"/>
      <c r="BB904" s="327"/>
      <c r="BC904" s="22"/>
      <c r="BD904" s="551" t="s">
        <v>334</v>
      </c>
      <c r="BE904" s="327"/>
      <c r="BF904" s="552"/>
      <c r="BG904" s="326"/>
      <c r="BH904" s="326"/>
      <c r="BI904" s="327"/>
      <c r="BJ904" s="451" t="s">
        <v>303</v>
      </c>
      <c r="BK904" s="326"/>
      <c r="BL904" s="326"/>
      <c r="BM904" s="327"/>
      <c r="BN904" s="558" t="s">
        <v>303</v>
      </c>
      <c r="BO904" s="326"/>
      <c r="BP904" s="326"/>
      <c r="BQ904" s="326"/>
      <c r="BR904" s="326"/>
      <c r="BS904" s="326"/>
      <c r="BT904" s="326"/>
      <c r="BU904" s="326"/>
      <c r="BV904" s="327"/>
    </row>
    <row r="905" spans="1:74" ht="45" customHeight="1" x14ac:dyDescent="0.25">
      <c r="A905" s="10">
        <f t="shared" si="3"/>
        <v>891</v>
      </c>
      <c r="B905" s="559" t="s">
        <v>303</v>
      </c>
      <c r="C905" s="327"/>
      <c r="D905" s="560" t="s">
        <v>307</v>
      </c>
      <c r="E905" s="327"/>
      <c r="F905" s="537" t="s">
        <v>334</v>
      </c>
      <c r="G905" s="327"/>
      <c r="H905" s="566" t="s">
        <v>334</v>
      </c>
      <c r="I905" s="327"/>
      <c r="J905" s="567"/>
      <c r="K905" s="327"/>
      <c r="L905" s="567"/>
      <c r="M905" s="327"/>
      <c r="N905" s="23"/>
      <c r="O905" s="24"/>
      <c r="P905" s="563"/>
      <c r="Q905" s="327"/>
      <c r="R905" s="538"/>
      <c r="S905" s="327"/>
      <c r="T905" s="539"/>
      <c r="U905" s="327"/>
      <c r="V905" s="540"/>
      <c r="W905" s="327"/>
      <c r="X905" s="541" t="s">
        <v>303</v>
      </c>
      <c r="Y905" s="326"/>
      <c r="Z905" s="326"/>
      <c r="AA905" s="327"/>
      <c r="AB905" s="542" t="s">
        <v>303</v>
      </c>
      <c r="AC905" s="326"/>
      <c r="AD905" s="326"/>
      <c r="AE905" s="327"/>
      <c r="AF905" s="543"/>
      <c r="AG905" s="327"/>
      <c r="AH905" s="543"/>
      <c r="AI905" s="327"/>
      <c r="AJ905" s="536"/>
      <c r="AK905" s="327"/>
      <c r="AL905" s="537" t="s">
        <v>334</v>
      </c>
      <c r="AM905" s="327"/>
      <c r="AN905" s="546" t="s">
        <v>334</v>
      </c>
      <c r="AO905" s="327"/>
      <c r="AP905" s="547"/>
      <c r="AQ905" s="327"/>
      <c r="AR905" s="548"/>
      <c r="AS905" s="327"/>
      <c r="AT905" s="568"/>
      <c r="AU905" s="327"/>
      <c r="AV905" s="546" t="s">
        <v>334</v>
      </c>
      <c r="AW905" s="327"/>
      <c r="AX905" s="521"/>
      <c r="AY905" s="326"/>
      <c r="AZ905" s="327"/>
      <c r="BA905" s="550"/>
      <c r="BB905" s="327"/>
      <c r="BC905" s="25"/>
      <c r="BD905" s="544" t="s">
        <v>334</v>
      </c>
      <c r="BE905" s="327"/>
      <c r="BF905" s="545"/>
      <c r="BG905" s="326"/>
      <c r="BH905" s="326"/>
      <c r="BI905" s="327"/>
      <c r="BJ905" s="557" t="s">
        <v>303</v>
      </c>
      <c r="BK905" s="326"/>
      <c r="BL905" s="326"/>
      <c r="BM905" s="327"/>
      <c r="BN905" s="558" t="s">
        <v>303</v>
      </c>
      <c r="BO905" s="326"/>
      <c r="BP905" s="326"/>
      <c r="BQ905" s="326"/>
      <c r="BR905" s="326"/>
      <c r="BS905" s="326"/>
      <c r="BT905" s="326"/>
      <c r="BU905" s="326"/>
      <c r="BV905" s="327"/>
    </row>
    <row r="906" spans="1:74" ht="45" customHeight="1" x14ac:dyDescent="0.25">
      <c r="A906" s="10">
        <f t="shared" si="3"/>
        <v>892</v>
      </c>
      <c r="B906" s="564" t="s">
        <v>303</v>
      </c>
      <c r="C906" s="327"/>
      <c r="D906" s="565" t="s">
        <v>307</v>
      </c>
      <c r="E906" s="327"/>
      <c r="F906" s="537" t="s">
        <v>334</v>
      </c>
      <c r="G906" s="327"/>
      <c r="H906" s="561" t="s">
        <v>334</v>
      </c>
      <c r="I906" s="327"/>
      <c r="J906" s="26"/>
      <c r="K906" s="27"/>
      <c r="L906" s="26"/>
      <c r="M906" s="27"/>
      <c r="N906" s="20"/>
      <c r="O906" s="21"/>
      <c r="P906" s="524"/>
      <c r="Q906" s="327"/>
      <c r="R906" s="516"/>
      <c r="S906" s="327"/>
      <c r="T906" s="517"/>
      <c r="U906" s="327"/>
      <c r="V906" s="518"/>
      <c r="W906" s="327"/>
      <c r="X906" s="438" t="s">
        <v>303</v>
      </c>
      <c r="Y906" s="326"/>
      <c r="Z906" s="326"/>
      <c r="AA906" s="327"/>
      <c r="AB906" s="519" t="s">
        <v>303</v>
      </c>
      <c r="AC906" s="326"/>
      <c r="AD906" s="326"/>
      <c r="AE906" s="327"/>
      <c r="AF906" s="520"/>
      <c r="AG906" s="327"/>
      <c r="AH906" s="520"/>
      <c r="AI906" s="327"/>
      <c r="AJ906" s="536"/>
      <c r="AK906" s="327"/>
      <c r="AL906" s="556" t="s">
        <v>334</v>
      </c>
      <c r="AM906" s="327"/>
      <c r="AN906" s="553" t="s">
        <v>334</v>
      </c>
      <c r="AO906" s="327"/>
      <c r="AP906" s="554"/>
      <c r="AQ906" s="327"/>
      <c r="AR906" s="555"/>
      <c r="AS906" s="327"/>
      <c r="AT906" s="549"/>
      <c r="AU906" s="327"/>
      <c r="AV906" s="553" t="s">
        <v>334</v>
      </c>
      <c r="AW906" s="327"/>
      <c r="AX906" s="521"/>
      <c r="AY906" s="326"/>
      <c r="AZ906" s="327"/>
      <c r="BA906" s="536"/>
      <c r="BB906" s="327"/>
      <c r="BC906" s="22"/>
      <c r="BD906" s="551" t="s">
        <v>334</v>
      </c>
      <c r="BE906" s="327"/>
      <c r="BF906" s="508"/>
      <c r="BG906" s="326"/>
      <c r="BH906" s="326"/>
      <c r="BI906" s="327"/>
      <c r="BJ906" s="451" t="s">
        <v>303</v>
      </c>
      <c r="BK906" s="326"/>
      <c r="BL906" s="326"/>
      <c r="BM906" s="327"/>
      <c r="BN906" s="558" t="s">
        <v>303</v>
      </c>
      <c r="BO906" s="326"/>
      <c r="BP906" s="326"/>
      <c r="BQ906" s="326"/>
      <c r="BR906" s="326"/>
      <c r="BS906" s="326"/>
      <c r="BT906" s="326"/>
      <c r="BU906" s="326"/>
      <c r="BV906" s="327"/>
    </row>
    <row r="907" spans="1:74" ht="45" customHeight="1" x14ac:dyDescent="0.25">
      <c r="A907" s="10">
        <f t="shared" si="3"/>
        <v>893</v>
      </c>
      <c r="B907" s="559" t="s">
        <v>303</v>
      </c>
      <c r="C907" s="327"/>
      <c r="D907" s="560" t="s">
        <v>307</v>
      </c>
      <c r="E907" s="327"/>
      <c r="F907" s="537" t="s">
        <v>334</v>
      </c>
      <c r="G907" s="327"/>
      <c r="H907" s="566" t="s">
        <v>334</v>
      </c>
      <c r="I907" s="327"/>
      <c r="J907" s="567"/>
      <c r="K907" s="327"/>
      <c r="L907" s="567"/>
      <c r="M907" s="327"/>
      <c r="N907" s="23"/>
      <c r="O907" s="24"/>
      <c r="P907" s="563"/>
      <c r="Q907" s="327"/>
      <c r="R907" s="538"/>
      <c r="S907" s="327"/>
      <c r="T907" s="539"/>
      <c r="U907" s="327"/>
      <c r="V907" s="540"/>
      <c r="W907" s="327"/>
      <c r="X907" s="541" t="s">
        <v>303</v>
      </c>
      <c r="Y907" s="326"/>
      <c r="Z907" s="326"/>
      <c r="AA907" s="327"/>
      <c r="AB907" s="542" t="s">
        <v>303</v>
      </c>
      <c r="AC907" s="326"/>
      <c r="AD907" s="326"/>
      <c r="AE907" s="327"/>
      <c r="AF907" s="543"/>
      <c r="AG907" s="327"/>
      <c r="AH907" s="543"/>
      <c r="AI907" s="327"/>
      <c r="AJ907" s="536"/>
      <c r="AK907" s="327"/>
      <c r="AL907" s="537" t="s">
        <v>334</v>
      </c>
      <c r="AM907" s="327"/>
      <c r="AN907" s="546" t="s">
        <v>334</v>
      </c>
      <c r="AO907" s="327"/>
      <c r="AP907" s="547"/>
      <c r="AQ907" s="327"/>
      <c r="AR907" s="548"/>
      <c r="AS907" s="327"/>
      <c r="AT907" s="568"/>
      <c r="AU907" s="327"/>
      <c r="AV907" s="546" t="s">
        <v>334</v>
      </c>
      <c r="AW907" s="327"/>
      <c r="AX907" s="521"/>
      <c r="AY907" s="326"/>
      <c r="AZ907" s="327"/>
      <c r="BA907" s="550"/>
      <c r="BB907" s="327"/>
      <c r="BC907" s="25"/>
      <c r="BD907" s="544" t="s">
        <v>334</v>
      </c>
      <c r="BE907" s="327"/>
      <c r="BF907" s="545"/>
      <c r="BG907" s="326"/>
      <c r="BH907" s="326"/>
      <c r="BI907" s="327"/>
      <c r="BJ907" s="557" t="s">
        <v>303</v>
      </c>
      <c r="BK907" s="326"/>
      <c r="BL907" s="326"/>
      <c r="BM907" s="327"/>
      <c r="BN907" s="558" t="s">
        <v>303</v>
      </c>
      <c r="BO907" s="326"/>
      <c r="BP907" s="326"/>
      <c r="BQ907" s="326"/>
      <c r="BR907" s="326"/>
      <c r="BS907" s="326"/>
      <c r="BT907" s="326"/>
      <c r="BU907" s="326"/>
      <c r="BV907" s="327"/>
    </row>
    <row r="908" spans="1:74" ht="45" customHeight="1" x14ac:dyDescent="0.25">
      <c r="A908" s="10">
        <f t="shared" si="3"/>
        <v>894</v>
      </c>
      <c r="B908" s="564" t="s">
        <v>303</v>
      </c>
      <c r="C908" s="327"/>
      <c r="D908" s="565" t="s">
        <v>307</v>
      </c>
      <c r="E908" s="327"/>
      <c r="F908" s="537" t="s">
        <v>334</v>
      </c>
      <c r="G908" s="327"/>
      <c r="H908" s="561" t="s">
        <v>334</v>
      </c>
      <c r="I908" s="327"/>
      <c r="J908" s="26"/>
      <c r="K908" s="27"/>
      <c r="L908" s="26"/>
      <c r="M908" s="27"/>
      <c r="N908" s="20"/>
      <c r="O908" s="21"/>
      <c r="P908" s="524"/>
      <c r="Q908" s="327"/>
      <c r="R908" s="516"/>
      <c r="S908" s="327"/>
      <c r="T908" s="517"/>
      <c r="U908" s="327"/>
      <c r="V908" s="518"/>
      <c r="W908" s="327"/>
      <c r="X908" s="438" t="s">
        <v>303</v>
      </c>
      <c r="Y908" s="326"/>
      <c r="Z908" s="326"/>
      <c r="AA908" s="327"/>
      <c r="AB908" s="519" t="s">
        <v>303</v>
      </c>
      <c r="AC908" s="326"/>
      <c r="AD908" s="326"/>
      <c r="AE908" s="327"/>
      <c r="AF908" s="520"/>
      <c r="AG908" s="327"/>
      <c r="AH908" s="520"/>
      <c r="AI908" s="327"/>
      <c r="AJ908" s="536"/>
      <c r="AK908" s="327"/>
      <c r="AL908" s="556" t="s">
        <v>334</v>
      </c>
      <c r="AM908" s="327"/>
      <c r="AN908" s="553" t="s">
        <v>334</v>
      </c>
      <c r="AO908" s="327"/>
      <c r="AP908" s="554"/>
      <c r="AQ908" s="327"/>
      <c r="AR908" s="555"/>
      <c r="AS908" s="327"/>
      <c r="AT908" s="549"/>
      <c r="AU908" s="327"/>
      <c r="AV908" s="553" t="s">
        <v>334</v>
      </c>
      <c r="AW908" s="327"/>
      <c r="AX908" s="521"/>
      <c r="AY908" s="326"/>
      <c r="AZ908" s="327"/>
      <c r="BA908" s="536"/>
      <c r="BB908" s="327"/>
      <c r="BC908" s="22"/>
      <c r="BD908" s="551" t="s">
        <v>334</v>
      </c>
      <c r="BE908" s="327"/>
      <c r="BF908" s="552"/>
      <c r="BG908" s="326"/>
      <c r="BH908" s="326"/>
      <c r="BI908" s="327"/>
      <c r="BJ908" s="451" t="s">
        <v>303</v>
      </c>
      <c r="BK908" s="326"/>
      <c r="BL908" s="326"/>
      <c r="BM908" s="327"/>
      <c r="BN908" s="558" t="s">
        <v>303</v>
      </c>
      <c r="BO908" s="326"/>
      <c r="BP908" s="326"/>
      <c r="BQ908" s="326"/>
      <c r="BR908" s="326"/>
      <c r="BS908" s="326"/>
      <c r="BT908" s="326"/>
      <c r="BU908" s="326"/>
      <c r="BV908" s="327"/>
    </row>
    <row r="909" spans="1:74" ht="45" customHeight="1" x14ac:dyDescent="0.25">
      <c r="A909" s="10">
        <f t="shared" si="3"/>
        <v>895</v>
      </c>
      <c r="B909" s="559" t="s">
        <v>303</v>
      </c>
      <c r="C909" s="327"/>
      <c r="D909" s="560" t="s">
        <v>307</v>
      </c>
      <c r="E909" s="327"/>
      <c r="F909" s="537" t="s">
        <v>334</v>
      </c>
      <c r="G909" s="327"/>
      <c r="H909" s="566" t="s">
        <v>334</v>
      </c>
      <c r="I909" s="327"/>
      <c r="J909" s="567"/>
      <c r="K909" s="327"/>
      <c r="L909" s="567"/>
      <c r="M909" s="327"/>
      <c r="N909" s="20"/>
      <c r="O909" s="21"/>
      <c r="P909" s="524"/>
      <c r="Q909" s="327"/>
      <c r="R909" s="538"/>
      <c r="S909" s="327"/>
      <c r="T909" s="539"/>
      <c r="U909" s="327"/>
      <c r="V909" s="540"/>
      <c r="W909" s="327"/>
      <c r="X909" s="541" t="s">
        <v>303</v>
      </c>
      <c r="Y909" s="326"/>
      <c r="Z909" s="326"/>
      <c r="AA909" s="327"/>
      <c r="AB909" s="542" t="s">
        <v>303</v>
      </c>
      <c r="AC909" s="326"/>
      <c r="AD909" s="326"/>
      <c r="AE909" s="327"/>
      <c r="AF909" s="543"/>
      <c r="AG909" s="327"/>
      <c r="AH909" s="543"/>
      <c r="AI909" s="327"/>
      <c r="AJ909" s="536"/>
      <c r="AK909" s="327"/>
      <c r="AL909" s="537" t="s">
        <v>334</v>
      </c>
      <c r="AM909" s="327"/>
      <c r="AN909" s="546" t="s">
        <v>334</v>
      </c>
      <c r="AO909" s="327"/>
      <c r="AP909" s="547"/>
      <c r="AQ909" s="327"/>
      <c r="AR909" s="548"/>
      <c r="AS909" s="327"/>
      <c r="AT909" s="549"/>
      <c r="AU909" s="327"/>
      <c r="AV909" s="546" t="s">
        <v>334</v>
      </c>
      <c r="AW909" s="327"/>
      <c r="AX909" s="521"/>
      <c r="AY909" s="326"/>
      <c r="AZ909" s="327"/>
      <c r="BA909" s="550"/>
      <c r="BB909" s="327"/>
      <c r="BC909" s="25"/>
      <c r="BD909" s="544" t="s">
        <v>334</v>
      </c>
      <c r="BE909" s="327"/>
      <c r="BF909" s="545"/>
      <c r="BG909" s="326"/>
      <c r="BH909" s="326"/>
      <c r="BI909" s="327"/>
      <c r="BJ909" s="557" t="s">
        <v>303</v>
      </c>
      <c r="BK909" s="326"/>
      <c r="BL909" s="326"/>
      <c r="BM909" s="327"/>
      <c r="BN909" s="558" t="s">
        <v>303</v>
      </c>
      <c r="BO909" s="326"/>
      <c r="BP909" s="326"/>
      <c r="BQ909" s="326"/>
      <c r="BR909" s="326"/>
      <c r="BS909" s="326"/>
      <c r="BT909" s="326"/>
      <c r="BU909" s="326"/>
      <c r="BV909" s="327"/>
    </row>
    <row r="910" spans="1:74" ht="45" customHeight="1" x14ac:dyDescent="0.25">
      <c r="A910" s="10">
        <f t="shared" si="3"/>
        <v>896</v>
      </c>
      <c r="B910" s="564" t="s">
        <v>303</v>
      </c>
      <c r="C910" s="327"/>
      <c r="D910" s="565" t="s">
        <v>307</v>
      </c>
      <c r="E910" s="327"/>
      <c r="F910" s="537" t="s">
        <v>334</v>
      </c>
      <c r="G910" s="327"/>
      <c r="H910" s="561" t="s">
        <v>334</v>
      </c>
      <c r="I910" s="327"/>
      <c r="J910" s="562"/>
      <c r="K910" s="327"/>
      <c r="L910" s="562"/>
      <c r="M910" s="327"/>
      <c r="N910" s="23"/>
      <c r="O910" s="24"/>
      <c r="P910" s="563"/>
      <c r="Q910" s="327"/>
      <c r="R910" s="516"/>
      <c r="S910" s="327"/>
      <c r="T910" s="517"/>
      <c r="U910" s="327"/>
      <c r="V910" s="518"/>
      <c r="W910" s="327"/>
      <c r="X910" s="438" t="s">
        <v>303</v>
      </c>
      <c r="Y910" s="326"/>
      <c r="Z910" s="326"/>
      <c r="AA910" s="327"/>
      <c r="AB910" s="519" t="s">
        <v>303</v>
      </c>
      <c r="AC910" s="326"/>
      <c r="AD910" s="326"/>
      <c r="AE910" s="327"/>
      <c r="AF910" s="520"/>
      <c r="AG910" s="327"/>
      <c r="AH910" s="520"/>
      <c r="AI910" s="327"/>
      <c r="AJ910" s="536"/>
      <c r="AK910" s="327"/>
      <c r="AL910" s="556" t="s">
        <v>334</v>
      </c>
      <c r="AM910" s="327"/>
      <c r="AN910" s="553" t="s">
        <v>334</v>
      </c>
      <c r="AO910" s="327"/>
      <c r="AP910" s="554"/>
      <c r="AQ910" s="327"/>
      <c r="AR910" s="555"/>
      <c r="AS910" s="327"/>
      <c r="AT910" s="549"/>
      <c r="AU910" s="327"/>
      <c r="AV910" s="553" t="s">
        <v>334</v>
      </c>
      <c r="AW910" s="327"/>
      <c r="AX910" s="521"/>
      <c r="AY910" s="326"/>
      <c r="AZ910" s="327"/>
      <c r="BA910" s="536"/>
      <c r="BB910" s="327"/>
      <c r="BC910" s="22"/>
      <c r="BD910" s="551" t="s">
        <v>334</v>
      </c>
      <c r="BE910" s="327"/>
      <c r="BF910" s="552"/>
      <c r="BG910" s="326"/>
      <c r="BH910" s="326"/>
      <c r="BI910" s="327"/>
      <c r="BJ910" s="451" t="s">
        <v>303</v>
      </c>
      <c r="BK910" s="326"/>
      <c r="BL910" s="326"/>
      <c r="BM910" s="327"/>
      <c r="BN910" s="558" t="s">
        <v>303</v>
      </c>
      <c r="BO910" s="326"/>
      <c r="BP910" s="326"/>
      <c r="BQ910" s="326"/>
      <c r="BR910" s="326"/>
      <c r="BS910" s="326"/>
      <c r="BT910" s="326"/>
      <c r="BU910" s="326"/>
      <c r="BV910" s="327"/>
    </row>
    <row r="911" spans="1:74" ht="45" customHeight="1" x14ac:dyDescent="0.25">
      <c r="A911" s="10">
        <f t="shared" si="3"/>
        <v>897</v>
      </c>
      <c r="B911" s="559" t="s">
        <v>303</v>
      </c>
      <c r="C911" s="327"/>
      <c r="D911" s="560" t="s">
        <v>307</v>
      </c>
      <c r="E911" s="327"/>
      <c r="F911" s="537" t="s">
        <v>334</v>
      </c>
      <c r="G911" s="327"/>
      <c r="H911" s="566" t="s">
        <v>334</v>
      </c>
      <c r="I911" s="327"/>
      <c r="J911" s="567"/>
      <c r="K911" s="327"/>
      <c r="L911" s="567"/>
      <c r="M911" s="327"/>
      <c r="N911" s="20"/>
      <c r="O911" s="21"/>
      <c r="P911" s="524"/>
      <c r="Q911" s="327"/>
      <c r="R911" s="538"/>
      <c r="S911" s="327"/>
      <c r="T911" s="539"/>
      <c r="U911" s="327"/>
      <c r="V911" s="540"/>
      <c r="W911" s="327"/>
      <c r="X911" s="541" t="s">
        <v>303</v>
      </c>
      <c r="Y911" s="326"/>
      <c r="Z911" s="326"/>
      <c r="AA911" s="327"/>
      <c r="AB911" s="542" t="s">
        <v>303</v>
      </c>
      <c r="AC911" s="326"/>
      <c r="AD911" s="326"/>
      <c r="AE911" s="327"/>
      <c r="AF911" s="543"/>
      <c r="AG911" s="327"/>
      <c r="AH911" s="543"/>
      <c r="AI911" s="327"/>
      <c r="AJ911" s="536"/>
      <c r="AK911" s="327"/>
      <c r="AL911" s="537" t="s">
        <v>334</v>
      </c>
      <c r="AM911" s="327"/>
      <c r="AN911" s="546" t="s">
        <v>334</v>
      </c>
      <c r="AO911" s="327"/>
      <c r="AP911" s="547"/>
      <c r="AQ911" s="327"/>
      <c r="AR911" s="548"/>
      <c r="AS911" s="327"/>
      <c r="AT911" s="549"/>
      <c r="AU911" s="327"/>
      <c r="AV911" s="546" t="s">
        <v>334</v>
      </c>
      <c r="AW911" s="327"/>
      <c r="AX911" s="521"/>
      <c r="AY911" s="326"/>
      <c r="AZ911" s="327"/>
      <c r="BA911" s="550"/>
      <c r="BB911" s="327"/>
      <c r="BC911" s="25"/>
      <c r="BD911" s="544" t="s">
        <v>334</v>
      </c>
      <c r="BE911" s="327"/>
      <c r="BF911" s="545"/>
      <c r="BG911" s="326"/>
      <c r="BH911" s="326"/>
      <c r="BI911" s="327"/>
      <c r="BJ911" s="557" t="s">
        <v>303</v>
      </c>
      <c r="BK911" s="326"/>
      <c r="BL911" s="326"/>
      <c r="BM911" s="327"/>
      <c r="BN911" s="558" t="s">
        <v>303</v>
      </c>
      <c r="BO911" s="326"/>
      <c r="BP911" s="326"/>
      <c r="BQ911" s="326"/>
      <c r="BR911" s="326"/>
      <c r="BS911" s="326"/>
      <c r="BT911" s="326"/>
      <c r="BU911" s="326"/>
      <c r="BV911" s="327"/>
    </row>
    <row r="912" spans="1:74" ht="45" customHeight="1" x14ac:dyDescent="0.25">
      <c r="A912" s="10">
        <f t="shared" si="3"/>
        <v>898</v>
      </c>
      <c r="B912" s="564" t="s">
        <v>303</v>
      </c>
      <c r="C912" s="327"/>
      <c r="D912" s="565" t="s">
        <v>307</v>
      </c>
      <c r="E912" s="327"/>
      <c r="F912" s="537" t="s">
        <v>334</v>
      </c>
      <c r="G912" s="327"/>
      <c r="H912" s="561" t="s">
        <v>334</v>
      </c>
      <c r="I912" s="327"/>
      <c r="J912" s="562"/>
      <c r="K912" s="327"/>
      <c r="L912" s="562"/>
      <c r="M912" s="327"/>
      <c r="N912" s="23"/>
      <c r="O912" s="24"/>
      <c r="P912" s="563"/>
      <c r="Q912" s="327"/>
      <c r="R912" s="516"/>
      <c r="S912" s="327"/>
      <c r="T912" s="517"/>
      <c r="U912" s="327"/>
      <c r="V912" s="518"/>
      <c r="W912" s="327"/>
      <c r="X912" s="438" t="s">
        <v>303</v>
      </c>
      <c r="Y912" s="326"/>
      <c r="Z912" s="326"/>
      <c r="AA912" s="327"/>
      <c r="AB912" s="519" t="s">
        <v>303</v>
      </c>
      <c r="AC912" s="326"/>
      <c r="AD912" s="326"/>
      <c r="AE912" s="327"/>
      <c r="AF912" s="520"/>
      <c r="AG912" s="327"/>
      <c r="AH912" s="520"/>
      <c r="AI912" s="327"/>
      <c r="AJ912" s="536"/>
      <c r="AK912" s="327"/>
      <c r="AL912" s="556" t="s">
        <v>334</v>
      </c>
      <c r="AM912" s="327"/>
      <c r="AN912" s="553" t="s">
        <v>334</v>
      </c>
      <c r="AO912" s="327"/>
      <c r="AP912" s="554"/>
      <c r="AQ912" s="327"/>
      <c r="AR912" s="555"/>
      <c r="AS912" s="327"/>
      <c r="AT912" s="549"/>
      <c r="AU912" s="327"/>
      <c r="AV912" s="553" t="s">
        <v>334</v>
      </c>
      <c r="AW912" s="327"/>
      <c r="AX912" s="521"/>
      <c r="AY912" s="326"/>
      <c r="AZ912" s="327"/>
      <c r="BA912" s="536"/>
      <c r="BB912" s="327"/>
      <c r="BC912" s="22"/>
      <c r="BD912" s="551" t="s">
        <v>334</v>
      </c>
      <c r="BE912" s="327"/>
      <c r="BF912" s="552"/>
      <c r="BG912" s="326"/>
      <c r="BH912" s="326"/>
      <c r="BI912" s="327"/>
      <c r="BJ912" s="451" t="s">
        <v>303</v>
      </c>
      <c r="BK912" s="326"/>
      <c r="BL912" s="326"/>
      <c r="BM912" s="327"/>
      <c r="BN912" s="558" t="s">
        <v>303</v>
      </c>
      <c r="BO912" s="326"/>
      <c r="BP912" s="326"/>
      <c r="BQ912" s="326"/>
      <c r="BR912" s="326"/>
      <c r="BS912" s="326"/>
      <c r="BT912" s="326"/>
      <c r="BU912" s="326"/>
      <c r="BV912" s="327"/>
    </row>
    <row r="913" spans="1:74" ht="45" customHeight="1" x14ac:dyDescent="0.25">
      <c r="A913" s="10">
        <f t="shared" si="3"/>
        <v>899</v>
      </c>
      <c r="B913" s="559" t="s">
        <v>303</v>
      </c>
      <c r="C913" s="327"/>
      <c r="D913" s="560" t="s">
        <v>307</v>
      </c>
      <c r="E913" s="327"/>
      <c r="F913" s="537" t="s">
        <v>334</v>
      </c>
      <c r="G913" s="327"/>
      <c r="H913" s="566" t="s">
        <v>334</v>
      </c>
      <c r="I913" s="327"/>
      <c r="J913" s="567"/>
      <c r="K913" s="327"/>
      <c r="L913" s="567"/>
      <c r="M913" s="327"/>
      <c r="N913" s="20"/>
      <c r="O913" s="24"/>
      <c r="P913" s="524"/>
      <c r="Q913" s="327"/>
      <c r="R913" s="538"/>
      <c r="S913" s="327"/>
      <c r="T913" s="539"/>
      <c r="U913" s="327"/>
      <c r="V913" s="540"/>
      <c r="W913" s="327"/>
      <c r="X913" s="541" t="s">
        <v>303</v>
      </c>
      <c r="Y913" s="326"/>
      <c r="Z913" s="326"/>
      <c r="AA913" s="327"/>
      <c r="AB913" s="542" t="s">
        <v>303</v>
      </c>
      <c r="AC913" s="326"/>
      <c r="AD913" s="326"/>
      <c r="AE913" s="327"/>
      <c r="AF913" s="543"/>
      <c r="AG913" s="327"/>
      <c r="AH913" s="543"/>
      <c r="AI913" s="327"/>
      <c r="AJ913" s="536"/>
      <c r="AK913" s="327"/>
      <c r="AL913" s="537" t="s">
        <v>334</v>
      </c>
      <c r="AM913" s="327"/>
      <c r="AN913" s="546" t="s">
        <v>334</v>
      </c>
      <c r="AO913" s="327"/>
      <c r="AP913" s="547"/>
      <c r="AQ913" s="327"/>
      <c r="AR913" s="548"/>
      <c r="AS913" s="327"/>
      <c r="AT913" s="568"/>
      <c r="AU913" s="327"/>
      <c r="AV913" s="546" t="s">
        <v>334</v>
      </c>
      <c r="AW913" s="327"/>
      <c r="AX913" s="521"/>
      <c r="AY913" s="326"/>
      <c r="AZ913" s="327"/>
      <c r="BA913" s="550"/>
      <c r="BB913" s="327"/>
      <c r="BC913" s="25"/>
      <c r="BD913" s="544" t="s">
        <v>334</v>
      </c>
      <c r="BE913" s="327"/>
      <c r="BF913" s="545"/>
      <c r="BG913" s="326"/>
      <c r="BH913" s="326"/>
      <c r="BI913" s="327"/>
      <c r="BJ913" s="557" t="s">
        <v>303</v>
      </c>
      <c r="BK913" s="326"/>
      <c r="BL913" s="326"/>
      <c r="BM913" s="327"/>
      <c r="BN913" s="558" t="s">
        <v>303</v>
      </c>
      <c r="BO913" s="326"/>
      <c r="BP913" s="326"/>
      <c r="BQ913" s="326"/>
      <c r="BR913" s="326"/>
      <c r="BS913" s="326"/>
      <c r="BT913" s="326"/>
      <c r="BU913" s="326"/>
      <c r="BV913" s="327"/>
    </row>
    <row r="914" spans="1:74" ht="45" customHeight="1" x14ac:dyDescent="0.25">
      <c r="A914" s="10">
        <f t="shared" si="3"/>
        <v>900</v>
      </c>
      <c r="B914" s="564" t="s">
        <v>303</v>
      </c>
      <c r="C914" s="327"/>
      <c r="D914" s="565" t="s">
        <v>307</v>
      </c>
      <c r="E914" s="327"/>
      <c r="F914" s="537" t="s">
        <v>334</v>
      </c>
      <c r="G914" s="327"/>
      <c r="H914" s="561" t="s">
        <v>334</v>
      </c>
      <c r="I914" s="327"/>
      <c r="J914" s="562"/>
      <c r="K914" s="327"/>
      <c r="L914" s="562"/>
      <c r="M914" s="327"/>
      <c r="N914" s="23"/>
      <c r="O914" s="21"/>
      <c r="P914" s="563"/>
      <c r="Q914" s="327"/>
      <c r="R914" s="516"/>
      <c r="S914" s="327"/>
      <c r="T914" s="517"/>
      <c r="U914" s="327"/>
      <c r="V914" s="518"/>
      <c r="W914" s="327"/>
      <c r="X914" s="438" t="s">
        <v>303</v>
      </c>
      <c r="Y914" s="326"/>
      <c r="Z914" s="326"/>
      <c r="AA914" s="327"/>
      <c r="AB914" s="519" t="s">
        <v>303</v>
      </c>
      <c r="AC914" s="326"/>
      <c r="AD914" s="326"/>
      <c r="AE914" s="327"/>
      <c r="AF914" s="520"/>
      <c r="AG914" s="327"/>
      <c r="AH914" s="520"/>
      <c r="AI914" s="327"/>
      <c r="AJ914" s="536"/>
      <c r="AK914" s="327"/>
      <c r="AL914" s="556" t="s">
        <v>334</v>
      </c>
      <c r="AM914" s="327"/>
      <c r="AN914" s="553" t="s">
        <v>334</v>
      </c>
      <c r="AO914" s="327"/>
      <c r="AP914" s="554"/>
      <c r="AQ914" s="327"/>
      <c r="AR914" s="555"/>
      <c r="AS914" s="327"/>
      <c r="AT914" s="549"/>
      <c r="AU914" s="327"/>
      <c r="AV914" s="553" t="s">
        <v>334</v>
      </c>
      <c r="AW914" s="327"/>
      <c r="AX914" s="521"/>
      <c r="AY914" s="326"/>
      <c r="AZ914" s="327"/>
      <c r="BA914" s="536"/>
      <c r="BB914" s="327"/>
      <c r="BC914" s="22"/>
      <c r="BD914" s="551" t="s">
        <v>334</v>
      </c>
      <c r="BE914" s="327"/>
      <c r="BF914" s="508"/>
      <c r="BG914" s="326"/>
      <c r="BH914" s="326"/>
      <c r="BI914" s="327"/>
      <c r="BJ914" s="451" t="s">
        <v>303</v>
      </c>
      <c r="BK914" s="326"/>
      <c r="BL914" s="326"/>
      <c r="BM914" s="327"/>
      <c r="BN914" s="558" t="s">
        <v>303</v>
      </c>
      <c r="BO914" s="326"/>
      <c r="BP914" s="326"/>
      <c r="BQ914" s="326"/>
      <c r="BR914" s="326"/>
      <c r="BS914" s="326"/>
      <c r="BT914" s="326"/>
      <c r="BU914" s="326"/>
      <c r="BV914" s="327"/>
    </row>
    <row r="915" spans="1:74" ht="45" customHeight="1" x14ac:dyDescent="0.25">
      <c r="A915" s="10">
        <f t="shared" si="3"/>
        <v>901</v>
      </c>
      <c r="B915" s="559" t="s">
        <v>303</v>
      </c>
      <c r="C915" s="327"/>
      <c r="D915" s="560" t="s">
        <v>307</v>
      </c>
      <c r="E915" s="327"/>
      <c r="F915" s="537" t="s">
        <v>334</v>
      </c>
      <c r="G915" s="327"/>
      <c r="H915" s="566" t="s">
        <v>334</v>
      </c>
      <c r="I915" s="327"/>
      <c r="J915" s="567"/>
      <c r="K915" s="327"/>
      <c r="L915" s="567"/>
      <c r="M915" s="327"/>
      <c r="N915" s="20"/>
      <c r="O915" s="24"/>
      <c r="P915" s="524"/>
      <c r="Q915" s="327"/>
      <c r="R915" s="538"/>
      <c r="S915" s="327"/>
      <c r="T915" s="539"/>
      <c r="U915" s="327"/>
      <c r="V915" s="540"/>
      <c r="W915" s="327"/>
      <c r="X915" s="541" t="s">
        <v>303</v>
      </c>
      <c r="Y915" s="326"/>
      <c r="Z915" s="326"/>
      <c r="AA915" s="327"/>
      <c r="AB915" s="542" t="s">
        <v>303</v>
      </c>
      <c r="AC915" s="326"/>
      <c r="AD915" s="326"/>
      <c r="AE915" s="327"/>
      <c r="AF915" s="543"/>
      <c r="AG915" s="327"/>
      <c r="AH915" s="543"/>
      <c r="AI915" s="327"/>
      <c r="AJ915" s="536"/>
      <c r="AK915" s="327"/>
      <c r="AL915" s="537" t="s">
        <v>334</v>
      </c>
      <c r="AM915" s="327"/>
      <c r="AN915" s="546" t="s">
        <v>334</v>
      </c>
      <c r="AO915" s="327"/>
      <c r="AP915" s="547"/>
      <c r="AQ915" s="327"/>
      <c r="AR915" s="548"/>
      <c r="AS915" s="327"/>
      <c r="AT915" s="568"/>
      <c r="AU915" s="327"/>
      <c r="AV915" s="546" t="s">
        <v>334</v>
      </c>
      <c r="AW915" s="327"/>
      <c r="AX915" s="521"/>
      <c r="AY915" s="326"/>
      <c r="AZ915" s="327"/>
      <c r="BA915" s="550"/>
      <c r="BB915" s="327"/>
      <c r="BC915" s="25"/>
      <c r="BD915" s="544" t="s">
        <v>334</v>
      </c>
      <c r="BE915" s="327"/>
      <c r="BF915" s="545"/>
      <c r="BG915" s="326"/>
      <c r="BH915" s="326"/>
      <c r="BI915" s="327"/>
      <c r="BJ915" s="557" t="s">
        <v>303</v>
      </c>
      <c r="BK915" s="326"/>
      <c r="BL915" s="326"/>
      <c r="BM915" s="327"/>
      <c r="BN915" s="558" t="s">
        <v>303</v>
      </c>
      <c r="BO915" s="326"/>
      <c r="BP915" s="326"/>
      <c r="BQ915" s="326"/>
      <c r="BR915" s="326"/>
      <c r="BS915" s="326"/>
      <c r="BT915" s="326"/>
      <c r="BU915" s="326"/>
      <c r="BV915" s="327"/>
    </row>
    <row r="916" spans="1:74" ht="45" customHeight="1" x14ac:dyDescent="0.25">
      <c r="A916" s="10">
        <f t="shared" si="3"/>
        <v>902</v>
      </c>
      <c r="B916" s="564" t="s">
        <v>303</v>
      </c>
      <c r="C916" s="327"/>
      <c r="D916" s="565" t="s">
        <v>307</v>
      </c>
      <c r="E916" s="327"/>
      <c r="F916" s="537" t="s">
        <v>334</v>
      </c>
      <c r="G916" s="327"/>
      <c r="H916" s="561" t="s">
        <v>334</v>
      </c>
      <c r="I916" s="327"/>
      <c r="J916" s="562"/>
      <c r="K916" s="327"/>
      <c r="L916" s="562"/>
      <c r="M916" s="327"/>
      <c r="N916" s="23"/>
      <c r="O916" s="21"/>
      <c r="P916" s="563"/>
      <c r="Q916" s="327"/>
      <c r="R916" s="516"/>
      <c r="S916" s="327"/>
      <c r="T916" s="517"/>
      <c r="U916" s="327"/>
      <c r="V916" s="518"/>
      <c r="W916" s="327"/>
      <c r="X916" s="438" t="s">
        <v>303</v>
      </c>
      <c r="Y916" s="326"/>
      <c r="Z916" s="326"/>
      <c r="AA916" s="327"/>
      <c r="AB916" s="519" t="s">
        <v>303</v>
      </c>
      <c r="AC916" s="326"/>
      <c r="AD916" s="326"/>
      <c r="AE916" s="327"/>
      <c r="AF916" s="520"/>
      <c r="AG916" s="327"/>
      <c r="AH916" s="520"/>
      <c r="AI916" s="327"/>
      <c r="AJ916" s="536"/>
      <c r="AK916" s="327"/>
      <c r="AL916" s="556" t="s">
        <v>334</v>
      </c>
      <c r="AM916" s="327"/>
      <c r="AN916" s="553" t="s">
        <v>334</v>
      </c>
      <c r="AO916" s="327"/>
      <c r="AP916" s="554"/>
      <c r="AQ916" s="327"/>
      <c r="AR916" s="555"/>
      <c r="AS916" s="327"/>
      <c r="AT916" s="549"/>
      <c r="AU916" s="327"/>
      <c r="AV916" s="553" t="s">
        <v>334</v>
      </c>
      <c r="AW916" s="327"/>
      <c r="AX916" s="521"/>
      <c r="AY916" s="326"/>
      <c r="AZ916" s="327"/>
      <c r="BA916" s="536"/>
      <c r="BB916" s="327"/>
      <c r="BC916" s="22"/>
      <c r="BD916" s="551" t="s">
        <v>334</v>
      </c>
      <c r="BE916" s="327"/>
      <c r="BF916" s="552"/>
      <c r="BG916" s="326"/>
      <c r="BH916" s="326"/>
      <c r="BI916" s="327"/>
      <c r="BJ916" s="451" t="s">
        <v>303</v>
      </c>
      <c r="BK916" s="326"/>
      <c r="BL916" s="326"/>
      <c r="BM916" s="327"/>
      <c r="BN916" s="558" t="s">
        <v>303</v>
      </c>
      <c r="BO916" s="326"/>
      <c r="BP916" s="326"/>
      <c r="BQ916" s="326"/>
      <c r="BR916" s="326"/>
      <c r="BS916" s="326"/>
      <c r="BT916" s="326"/>
      <c r="BU916" s="326"/>
      <c r="BV916" s="327"/>
    </row>
    <row r="917" spans="1:74" ht="45" customHeight="1" x14ac:dyDescent="0.25">
      <c r="A917" s="10">
        <f t="shared" si="3"/>
        <v>903</v>
      </c>
      <c r="B917" s="559" t="s">
        <v>303</v>
      </c>
      <c r="C917" s="327"/>
      <c r="D917" s="560" t="s">
        <v>307</v>
      </c>
      <c r="E917" s="327"/>
      <c r="F917" s="537" t="s">
        <v>334</v>
      </c>
      <c r="G917" s="327"/>
      <c r="H917" s="566" t="s">
        <v>334</v>
      </c>
      <c r="I917" s="327"/>
      <c r="J917" s="567"/>
      <c r="K917" s="327"/>
      <c r="L917" s="567"/>
      <c r="M917" s="327"/>
      <c r="N917" s="20"/>
      <c r="O917" s="24"/>
      <c r="P917" s="524"/>
      <c r="Q917" s="327"/>
      <c r="R917" s="538"/>
      <c r="S917" s="327"/>
      <c r="T917" s="539"/>
      <c r="U917" s="327"/>
      <c r="V917" s="540"/>
      <c r="W917" s="327"/>
      <c r="X917" s="541" t="s">
        <v>303</v>
      </c>
      <c r="Y917" s="326"/>
      <c r="Z917" s="326"/>
      <c r="AA917" s="327"/>
      <c r="AB917" s="542" t="s">
        <v>303</v>
      </c>
      <c r="AC917" s="326"/>
      <c r="AD917" s="326"/>
      <c r="AE917" s="327"/>
      <c r="AF917" s="543"/>
      <c r="AG917" s="327"/>
      <c r="AH917" s="543"/>
      <c r="AI917" s="327"/>
      <c r="AJ917" s="536"/>
      <c r="AK917" s="327"/>
      <c r="AL917" s="537" t="s">
        <v>334</v>
      </c>
      <c r="AM917" s="327"/>
      <c r="AN917" s="546" t="s">
        <v>334</v>
      </c>
      <c r="AO917" s="327"/>
      <c r="AP917" s="547"/>
      <c r="AQ917" s="327"/>
      <c r="AR917" s="548"/>
      <c r="AS917" s="327"/>
      <c r="AT917" s="568"/>
      <c r="AU917" s="327"/>
      <c r="AV917" s="546" t="s">
        <v>334</v>
      </c>
      <c r="AW917" s="327"/>
      <c r="AX917" s="521"/>
      <c r="AY917" s="326"/>
      <c r="AZ917" s="327"/>
      <c r="BA917" s="550"/>
      <c r="BB917" s="327"/>
      <c r="BC917" s="25"/>
      <c r="BD917" s="544" t="s">
        <v>334</v>
      </c>
      <c r="BE917" s="327"/>
      <c r="BF917" s="545"/>
      <c r="BG917" s="326"/>
      <c r="BH917" s="326"/>
      <c r="BI917" s="327"/>
      <c r="BJ917" s="557" t="s">
        <v>303</v>
      </c>
      <c r="BK917" s="326"/>
      <c r="BL917" s="326"/>
      <c r="BM917" s="327"/>
      <c r="BN917" s="558" t="s">
        <v>303</v>
      </c>
      <c r="BO917" s="326"/>
      <c r="BP917" s="326"/>
      <c r="BQ917" s="326"/>
      <c r="BR917" s="326"/>
      <c r="BS917" s="326"/>
      <c r="BT917" s="326"/>
      <c r="BU917" s="326"/>
      <c r="BV917" s="327"/>
    </row>
    <row r="918" spans="1:74" ht="45" customHeight="1" x14ac:dyDescent="0.25">
      <c r="A918" s="10">
        <f t="shared" si="3"/>
        <v>904</v>
      </c>
      <c r="B918" s="564" t="s">
        <v>303</v>
      </c>
      <c r="C918" s="327"/>
      <c r="D918" s="565" t="s">
        <v>307</v>
      </c>
      <c r="E918" s="327"/>
      <c r="F918" s="537" t="s">
        <v>334</v>
      </c>
      <c r="G918" s="327"/>
      <c r="H918" s="561" t="s">
        <v>334</v>
      </c>
      <c r="I918" s="327"/>
      <c r="J918" s="562"/>
      <c r="K918" s="327"/>
      <c r="L918" s="562"/>
      <c r="M918" s="327"/>
      <c r="N918" s="23"/>
      <c r="O918" s="21"/>
      <c r="P918" s="563"/>
      <c r="Q918" s="327"/>
      <c r="R918" s="516"/>
      <c r="S918" s="327"/>
      <c r="T918" s="517"/>
      <c r="U918" s="327"/>
      <c r="V918" s="518"/>
      <c r="W918" s="327"/>
      <c r="X918" s="438" t="s">
        <v>303</v>
      </c>
      <c r="Y918" s="326"/>
      <c r="Z918" s="326"/>
      <c r="AA918" s="327"/>
      <c r="AB918" s="519" t="s">
        <v>303</v>
      </c>
      <c r="AC918" s="326"/>
      <c r="AD918" s="326"/>
      <c r="AE918" s="327"/>
      <c r="AF918" s="520"/>
      <c r="AG918" s="327"/>
      <c r="AH918" s="520"/>
      <c r="AI918" s="327"/>
      <c r="AJ918" s="536"/>
      <c r="AK918" s="327"/>
      <c r="AL918" s="556" t="s">
        <v>334</v>
      </c>
      <c r="AM918" s="327"/>
      <c r="AN918" s="553" t="s">
        <v>334</v>
      </c>
      <c r="AO918" s="327"/>
      <c r="AP918" s="554"/>
      <c r="AQ918" s="327"/>
      <c r="AR918" s="555"/>
      <c r="AS918" s="327"/>
      <c r="AT918" s="549"/>
      <c r="AU918" s="327"/>
      <c r="AV918" s="553" t="s">
        <v>334</v>
      </c>
      <c r="AW918" s="327"/>
      <c r="AX918" s="521"/>
      <c r="AY918" s="326"/>
      <c r="AZ918" s="327"/>
      <c r="BA918" s="536"/>
      <c r="BB918" s="327"/>
      <c r="BC918" s="22"/>
      <c r="BD918" s="551" t="s">
        <v>334</v>
      </c>
      <c r="BE918" s="327"/>
      <c r="BF918" s="552"/>
      <c r="BG918" s="326"/>
      <c r="BH918" s="326"/>
      <c r="BI918" s="327"/>
      <c r="BJ918" s="451" t="s">
        <v>303</v>
      </c>
      <c r="BK918" s="326"/>
      <c r="BL918" s="326"/>
      <c r="BM918" s="327"/>
      <c r="BN918" s="558" t="s">
        <v>303</v>
      </c>
      <c r="BO918" s="326"/>
      <c r="BP918" s="326"/>
      <c r="BQ918" s="326"/>
      <c r="BR918" s="326"/>
      <c r="BS918" s="326"/>
      <c r="BT918" s="326"/>
      <c r="BU918" s="326"/>
      <c r="BV918" s="327"/>
    </row>
    <row r="919" spans="1:74" ht="45" customHeight="1" x14ac:dyDescent="0.25">
      <c r="A919" s="10">
        <f t="shared" si="3"/>
        <v>905</v>
      </c>
      <c r="B919" s="559" t="s">
        <v>303</v>
      </c>
      <c r="C919" s="327"/>
      <c r="D919" s="560" t="s">
        <v>307</v>
      </c>
      <c r="E919" s="327"/>
      <c r="F919" s="537" t="s">
        <v>334</v>
      </c>
      <c r="G919" s="327"/>
      <c r="H919" s="566" t="s">
        <v>334</v>
      </c>
      <c r="I919" s="327"/>
      <c r="J919" s="567"/>
      <c r="K919" s="327"/>
      <c r="L919" s="567"/>
      <c r="M919" s="327"/>
      <c r="N919" s="20"/>
      <c r="O919" s="24"/>
      <c r="P919" s="524"/>
      <c r="Q919" s="327"/>
      <c r="R919" s="538"/>
      <c r="S919" s="327"/>
      <c r="T919" s="539"/>
      <c r="U919" s="327"/>
      <c r="V919" s="540"/>
      <c r="W919" s="327"/>
      <c r="X919" s="541" t="s">
        <v>303</v>
      </c>
      <c r="Y919" s="326"/>
      <c r="Z919" s="326"/>
      <c r="AA919" s="327"/>
      <c r="AB919" s="542" t="s">
        <v>303</v>
      </c>
      <c r="AC919" s="326"/>
      <c r="AD919" s="326"/>
      <c r="AE919" s="327"/>
      <c r="AF919" s="543"/>
      <c r="AG919" s="327"/>
      <c r="AH919" s="543"/>
      <c r="AI919" s="327"/>
      <c r="AJ919" s="536"/>
      <c r="AK919" s="327"/>
      <c r="AL919" s="537" t="s">
        <v>334</v>
      </c>
      <c r="AM919" s="327"/>
      <c r="AN919" s="546" t="s">
        <v>334</v>
      </c>
      <c r="AO919" s="327"/>
      <c r="AP919" s="547"/>
      <c r="AQ919" s="327"/>
      <c r="AR919" s="548"/>
      <c r="AS919" s="327"/>
      <c r="AT919" s="568"/>
      <c r="AU919" s="327"/>
      <c r="AV919" s="546" t="s">
        <v>334</v>
      </c>
      <c r="AW919" s="327"/>
      <c r="AX919" s="521"/>
      <c r="AY919" s="326"/>
      <c r="AZ919" s="327"/>
      <c r="BA919" s="550"/>
      <c r="BB919" s="327"/>
      <c r="BC919" s="25"/>
      <c r="BD919" s="544" t="s">
        <v>334</v>
      </c>
      <c r="BE919" s="327"/>
      <c r="BF919" s="545"/>
      <c r="BG919" s="326"/>
      <c r="BH919" s="326"/>
      <c r="BI919" s="327"/>
      <c r="BJ919" s="557" t="s">
        <v>303</v>
      </c>
      <c r="BK919" s="326"/>
      <c r="BL919" s="326"/>
      <c r="BM919" s="327"/>
      <c r="BN919" s="558" t="s">
        <v>303</v>
      </c>
      <c r="BO919" s="326"/>
      <c r="BP919" s="326"/>
      <c r="BQ919" s="326"/>
      <c r="BR919" s="326"/>
      <c r="BS919" s="326"/>
      <c r="BT919" s="326"/>
      <c r="BU919" s="326"/>
      <c r="BV919" s="327"/>
    </row>
    <row r="920" spans="1:74" ht="45" customHeight="1" x14ac:dyDescent="0.25">
      <c r="A920" s="10">
        <f t="shared" si="3"/>
        <v>906</v>
      </c>
      <c r="B920" s="564" t="s">
        <v>303</v>
      </c>
      <c r="C920" s="327"/>
      <c r="D920" s="565" t="s">
        <v>307</v>
      </c>
      <c r="E920" s="327"/>
      <c r="F920" s="537" t="s">
        <v>334</v>
      </c>
      <c r="G920" s="327"/>
      <c r="H920" s="561" t="s">
        <v>334</v>
      </c>
      <c r="I920" s="327"/>
      <c r="J920" s="562"/>
      <c r="K920" s="327"/>
      <c r="L920" s="562"/>
      <c r="M920" s="327"/>
      <c r="N920" s="23"/>
      <c r="O920" s="21"/>
      <c r="P920" s="563"/>
      <c r="Q920" s="327"/>
      <c r="R920" s="516"/>
      <c r="S920" s="327"/>
      <c r="T920" s="517"/>
      <c r="U920" s="327"/>
      <c r="V920" s="518"/>
      <c r="W920" s="327"/>
      <c r="X920" s="438" t="s">
        <v>303</v>
      </c>
      <c r="Y920" s="326"/>
      <c r="Z920" s="326"/>
      <c r="AA920" s="327"/>
      <c r="AB920" s="519" t="s">
        <v>303</v>
      </c>
      <c r="AC920" s="326"/>
      <c r="AD920" s="326"/>
      <c r="AE920" s="327"/>
      <c r="AF920" s="520"/>
      <c r="AG920" s="327"/>
      <c r="AH920" s="520"/>
      <c r="AI920" s="327"/>
      <c r="AJ920" s="536"/>
      <c r="AK920" s="327"/>
      <c r="AL920" s="556" t="s">
        <v>334</v>
      </c>
      <c r="AM920" s="327"/>
      <c r="AN920" s="553" t="s">
        <v>334</v>
      </c>
      <c r="AO920" s="327"/>
      <c r="AP920" s="554"/>
      <c r="AQ920" s="327"/>
      <c r="AR920" s="555"/>
      <c r="AS920" s="327"/>
      <c r="AT920" s="549"/>
      <c r="AU920" s="327"/>
      <c r="AV920" s="553" t="s">
        <v>334</v>
      </c>
      <c r="AW920" s="327"/>
      <c r="AX920" s="521"/>
      <c r="AY920" s="326"/>
      <c r="AZ920" s="327"/>
      <c r="BA920" s="536"/>
      <c r="BB920" s="327"/>
      <c r="BC920" s="22"/>
      <c r="BD920" s="551" t="s">
        <v>334</v>
      </c>
      <c r="BE920" s="327"/>
      <c r="BF920" s="508"/>
      <c r="BG920" s="326"/>
      <c r="BH920" s="326"/>
      <c r="BI920" s="327"/>
      <c r="BJ920" s="451" t="s">
        <v>303</v>
      </c>
      <c r="BK920" s="326"/>
      <c r="BL920" s="326"/>
      <c r="BM920" s="327"/>
      <c r="BN920" s="558" t="s">
        <v>303</v>
      </c>
      <c r="BO920" s="326"/>
      <c r="BP920" s="326"/>
      <c r="BQ920" s="326"/>
      <c r="BR920" s="326"/>
      <c r="BS920" s="326"/>
      <c r="BT920" s="326"/>
      <c r="BU920" s="326"/>
      <c r="BV920" s="327"/>
    </row>
    <row r="921" spans="1:74" ht="45" customHeight="1" x14ac:dyDescent="0.25">
      <c r="A921" s="10">
        <f t="shared" si="3"/>
        <v>907</v>
      </c>
      <c r="B921" s="559" t="s">
        <v>303</v>
      </c>
      <c r="C921" s="327"/>
      <c r="D921" s="560" t="s">
        <v>307</v>
      </c>
      <c r="E921" s="327"/>
      <c r="F921" s="537" t="s">
        <v>334</v>
      </c>
      <c r="G921" s="327"/>
      <c r="H921" s="566" t="s">
        <v>334</v>
      </c>
      <c r="I921" s="327"/>
      <c r="J921" s="567"/>
      <c r="K921" s="327"/>
      <c r="L921" s="567"/>
      <c r="M921" s="327"/>
      <c r="N921" s="20"/>
      <c r="O921" s="24"/>
      <c r="P921" s="524"/>
      <c r="Q921" s="327"/>
      <c r="R921" s="538"/>
      <c r="S921" s="327"/>
      <c r="T921" s="539"/>
      <c r="U921" s="327"/>
      <c r="V921" s="540"/>
      <c r="W921" s="327"/>
      <c r="X921" s="541" t="s">
        <v>303</v>
      </c>
      <c r="Y921" s="326"/>
      <c r="Z921" s="326"/>
      <c r="AA921" s="327"/>
      <c r="AB921" s="542" t="s">
        <v>303</v>
      </c>
      <c r="AC921" s="326"/>
      <c r="AD921" s="326"/>
      <c r="AE921" s="327"/>
      <c r="AF921" s="543"/>
      <c r="AG921" s="327"/>
      <c r="AH921" s="543"/>
      <c r="AI921" s="327"/>
      <c r="AJ921" s="536"/>
      <c r="AK921" s="327"/>
      <c r="AL921" s="537" t="s">
        <v>334</v>
      </c>
      <c r="AM921" s="327"/>
      <c r="AN921" s="546" t="s">
        <v>334</v>
      </c>
      <c r="AO921" s="327"/>
      <c r="AP921" s="547"/>
      <c r="AQ921" s="327"/>
      <c r="AR921" s="548"/>
      <c r="AS921" s="327"/>
      <c r="AT921" s="568"/>
      <c r="AU921" s="327"/>
      <c r="AV921" s="546" t="s">
        <v>334</v>
      </c>
      <c r="AW921" s="327"/>
      <c r="AX921" s="521"/>
      <c r="AY921" s="326"/>
      <c r="AZ921" s="327"/>
      <c r="BA921" s="550"/>
      <c r="BB921" s="327"/>
      <c r="BC921" s="25"/>
      <c r="BD921" s="544" t="s">
        <v>334</v>
      </c>
      <c r="BE921" s="327"/>
      <c r="BF921" s="545"/>
      <c r="BG921" s="326"/>
      <c r="BH921" s="326"/>
      <c r="BI921" s="327"/>
      <c r="BJ921" s="557" t="s">
        <v>303</v>
      </c>
      <c r="BK921" s="326"/>
      <c r="BL921" s="326"/>
      <c r="BM921" s="327"/>
      <c r="BN921" s="558" t="s">
        <v>303</v>
      </c>
      <c r="BO921" s="326"/>
      <c r="BP921" s="326"/>
      <c r="BQ921" s="326"/>
      <c r="BR921" s="326"/>
      <c r="BS921" s="326"/>
      <c r="BT921" s="326"/>
      <c r="BU921" s="326"/>
      <c r="BV921" s="327"/>
    </row>
    <row r="922" spans="1:74" ht="45" customHeight="1" x14ac:dyDescent="0.25">
      <c r="A922" s="10">
        <f t="shared" si="3"/>
        <v>908</v>
      </c>
      <c r="B922" s="564" t="s">
        <v>303</v>
      </c>
      <c r="C922" s="327"/>
      <c r="D922" s="565" t="s">
        <v>307</v>
      </c>
      <c r="E922" s="327"/>
      <c r="F922" s="537" t="s">
        <v>334</v>
      </c>
      <c r="G922" s="327"/>
      <c r="H922" s="561" t="s">
        <v>334</v>
      </c>
      <c r="I922" s="327"/>
      <c r="J922" s="562"/>
      <c r="K922" s="327"/>
      <c r="L922" s="562"/>
      <c r="M922" s="327"/>
      <c r="N922" s="20"/>
      <c r="O922" s="21"/>
      <c r="P922" s="524"/>
      <c r="Q922" s="327"/>
      <c r="R922" s="516"/>
      <c r="S922" s="327"/>
      <c r="T922" s="517"/>
      <c r="U922" s="327"/>
      <c r="V922" s="518"/>
      <c r="W922" s="327"/>
      <c r="X922" s="438" t="s">
        <v>303</v>
      </c>
      <c r="Y922" s="326"/>
      <c r="Z922" s="326"/>
      <c r="AA922" s="327"/>
      <c r="AB922" s="519" t="s">
        <v>303</v>
      </c>
      <c r="AC922" s="326"/>
      <c r="AD922" s="326"/>
      <c r="AE922" s="327"/>
      <c r="AF922" s="520"/>
      <c r="AG922" s="327"/>
      <c r="AH922" s="520"/>
      <c r="AI922" s="327"/>
      <c r="AJ922" s="536"/>
      <c r="AK922" s="327"/>
      <c r="AL922" s="556" t="s">
        <v>334</v>
      </c>
      <c r="AM922" s="327"/>
      <c r="AN922" s="553" t="s">
        <v>334</v>
      </c>
      <c r="AO922" s="327"/>
      <c r="AP922" s="554"/>
      <c r="AQ922" s="327"/>
      <c r="AR922" s="555"/>
      <c r="AS922" s="327"/>
      <c r="AT922" s="549"/>
      <c r="AU922" s="327"/>
      <c r="AV922" s="553" t="s">
        <v>334</v>
      </c>
      <c r="AW922" s="327"/>
      <c r="AX922" s="521"/>
      <c r="AY922" s="326"/>
      <c r="AZ922" s="327"/>
      <c r="BA922" s="536"/>
      <c r="BB922" s="327"/>
      <c r="BC922" s="22"/>
      <c r="BD922" s="551" t="s">
        <v>334</v>
      </c>
      <c r="BE922" s="327"/>
      <c r="BF922" s="508"/>
      <c r="BG922" s="326"/>
      <c r="BH922" s="326"/>
      <c r="BI922" s="327"/>
      <c r="BJ922" s="451" t="s">
        <v>303</v>
      </c>
      <c r="BK922" s="326"/>
      <c r="BL922" s="326"/>
      <c r="BM922" s="327"/>
      <c r="BN922" s="558" t="s">
        <v>303</v>
      </c>
      <c r="BO922" s="326"/>
      <c r="BP922" s="326"/>
      <c r="BQ922" s="326"/>
      <c r="BR922" s="326"/>
      <c r="BS922" s="326"/>
      <c r="BT922" s="326"/>
      <c r="BU922" s="326"/>
      <c r="BV922" s="327"/>
    </row>
    <row r="923" spans="1:74" ht="45" customHeight="1" x14ac:dyDescent="0.25">
      <c r="A923" s="10">
        <f t="shared" si="3"/>
        <v>909</v>
      </c>
      <c r="B923" s="559" t="s">
        <v>303</v>
      </c>
      <c r="C923" s="327"/>
      <c r="D923" s="560" t="s">
        <v>307</v>
      </c>
      <c r="E923" s="327"/>
      <c r="F923" s="537" t="s">
        <v>334</v>
      </c>
      <c r="G923" s="327"/>
      <c r="H923" s="566" t="s">
        <v>334</v>
      </c>
      <c r="I923" s="327"/>
      <c r="J923" s="567"/>
      <c r="K923" s="327"/>
      <c r="L923" s="567"/>
      <c r="M923" s="327"/>
      <c r="N923" s="23"/>
      <c r="O923" s="24"/>
      <c r="P923" s="563"/>
      <c r="Q923" s="327"/>
      <c r="R923" s="538"/>
      <c r="S923" s="327"/>
      <c r="T923" s="539"/>
      <c r="U923" s="327"/>
      <c r="V923" s="540"/>
      <c r="W923" s="327"/>
      <c r="X923" s="541" t="s">
        <v>303</v>
      </c>
      <c r="Y923" s="326"/>
      <c r="Z923" s="326"/>
      <c r="AA923" s="327"/>
      <c r="AB923" s="542" t="s">
        <v>303</v>
      </c>
      <c r="AC923" s="326"/>
      <c r="AD923" s="326"/>
      <c r="AE923" s="327"/>
      <c r="AF923" s="543"/>
      <c r="AG923" s="327"/>
      <c r="AH923" s="543"/>
      <c r="AI923" s="327"/>
      <c r="AJ923" s="536"/>
      <c r="AK923" s="327"/>
      <c r="AL923" s="537" t="s">
        <v>334</v>
      </c>
      <c r="AM923" s="327"/>
      <c r="AN923" s="546" t="s">
        <v>334</v>
      </c>
      <c r="AO923" s="327"/>
      <c r="AP923" s="547"/>
      <c r="AQ923" s="327"/>
      <c r="AR923" s="548"/>
      <c r="AS923" s="327"/>
      <c r="AT923" s="549"/>
      <c r="AU923" s="327"/>
      <c r="AV923" s="546" t="s">
        <v>334</v>
      </c>
      <c r="AW923" s="327"/>
      <c r="AX923" s="521"/>
      <c r="AY923" s="326"/>
      <c r="AZ923" s="327"/>
      <c r="BA923" s="550"/>
      <c r="BB923" s="327"/>
      <c r="BC923" s="25"/>
      <c r="BD923" s="544" t="s">
        <v>334</v>
      </c>
      <c r="BE923" s="327"/>
      <c r="BF923" s="545"/>
      <c r="BG923" s="326"/>
      <c r="BH923" s="326"/>
      <c r="BI923" s="327"/>
      <c r="BJ923" s="557" t="s">
        <v>303</v>
      </c>
      <c r="BK923" s="326"/>
      <c r="BL923" s="326"/>
      <c r="BM923" s="327"/>
      <c r="BN923" s="558" t="s">
        <v>303</v>
      </c>
      <c r="BO923" s="326"/>
      <c r="BP923" s="326"/>
      <c r="BQ923" s="326"/>
      <c r="BR923" s="326"/>
      <c r="BS923" s="326"/>
      <c r="BT923" s="326"/>
      <c r="BU923" s="326"/>
      <c r="BV923" s="327"/>
    </row>
    <row r="924" spans="1:74" ht="45" customHeight="1" x14ac:dyDescent="0.25">
      <c r="A924" s="10">
        <f t="shared" si="3"/>
        <v>910</v>
      </c>
      <c r="B924" s="564" t="s">
        <v>303</v>
      </c>
      <c r="C924" s="327"/>
      <c r="D924" s="565" t="s">
        <v>307</v>
      </c>
      <c r="E924" s="327"/>
      <c r="F924" s="537" t="s">
        <v>334</v>
      </c>
      <c r="G924" s="327"/>
      <c r="H924" s="561" t="s">
        <v>334</v>
      </c>
      <c r="I924" s="327"/>
      <c r="J924" s="562"/>
      <c r="K924" s="327"/>
      <c r="L924" s="562"/>
      <c r="M924" s="327"/>
      <c r="N924" s="20"/>
      <c r="O924" s="21"/>
      <c r="P924" s="524"/>
      <c r="Q924" s="327"/>
      <c r="R924" s="516"/>
      <c r="S924" s="327"/>
      <c r="T924" s="517"/>
      <c r="U924" s="327"/>
      <c r="V924" s="518"/>
      <c r="W924" s="327"/>
      <c r="X924" s="438" t="s">
        <v>303</v>
      </c>
      <c r="Y924" s="326"/>
      <c r="Z924" s="326"/>
      <c r="AA924" s="327"/>
      <c r="AB924" s="519" t="s">
        <v>303</v>
      </c>
      <c r="AC924" s="326"/>
      <c r="AD924" s="326"/>
      <c r="AE924" s="327"/>
      <c r="AF924" s="520"/>
      <c r="AG924" s="327"/>
      <c r="AH924" s="520"/>
      <c r="AI924" s="327"/>
      <c r="AJ924" s="536"/>
      <c r="AK924" s="327"/>
      <c r="AL924" s="556" t="s">
        <v>334</v>
      </c>
      <c r="AM924" s="327"/>
      <c r="AN924" s="553" t="s">
        <v>334</v>
      </c>
      <c r="AO924" s="327"/>
      <c r="AP924" s="554"/>
      <c r="AQ924" s="327"/>
      <c r="AR924" s="555"/>
      <c r="AS924" s="327"/>
      <c r="AT924" s="549"/>
      <c r="AU924" s="327"/>
      <c r="AV924" s="553" t="s">
        <v>334</v>
      </c>
      <c r="AW924" s="327"/>
      <c r="AX924" s="521"/>
      <c r="AY924" s="326"/>
      <c r="AZ924" s="327"/>
      <c r="BA924" s="536"/>
      <c r="BB924" s="327"/>
      <c r="BC924" s="22"/>
      <c r="BD924" s="551" t="s">
        <v>334</v>
      </c>
      <c r="BE924" s="327"/>
      <c r="BF924" s="552"/>
      <c r="BG924" s="326"/>
      <c r="BH924" s="326"/>
      <c r="BI924" s="327"/>
      <c r="BJ924" s="451" t="s">
        <v>303</v>
      </c>
      <c r="BK924" s="326"/>
      <c r="BL924" s="326"/>
      <c r="BM924" s="327"/>
      <c r="BN924" s="558" t="s">
        <v>303</v>
      </c>
      <c r="BO924" s="326"/>
      <c r="BP924" s="326"/>
      <c r="BQ924" s="326"/>
      <c r="BR924" s="326"/>
      <c r="BS924" s="326"/>
      <c r="BT924" s="326"/>
      <c r="BU924" s="326"/>
      <c r="BV924" s="327"/>
    </row>
    <row r="925" spans="1:74" ht="45" customHeight="1" x14ac:dyDescent="0.25">
      <c r="A925" s="10">
        <f t="shared" si="3"/>
        <v>911</v>
      </c>
      <c r="B925" s="559" t="s">
        <v>303</v>
      </c>
      <c r="C925" s="327"/>
      <c r="D925" s="560" t="s">
        <v>307</v>
      </c>
      <c r="E925" s="327"/>
      <c r="F925" s="537" t="s">
        <v>334</v>
      </c>
      <c r="G925" s="327"/>
      <c r="H925" s="566" t="s">
        <v>334</v>
      </c>
      <c r="I925" s="327"/>
      <c r="J925" s="567"/>
      <c r="K925" s="327"/>
      <c r="L925" s="567"/>
      <c r="M925" s="327"/>
      <c r="N925" s="23"/>
      <c r="O925" s="24"/>
      <c r="P925" s="563"/>
      <c r="Q925" s="327"/>
      <c r="R925" s="538"/>
      <c r="S925" s="327"/>
      <c r="T925" s="539"/>
      <c r="U925" s="327"/>
      <c r="V925" s="540"/>
      <c r="W925" s="327"/>
      <c r="X925" s="541" t="s">
        <v>303</v>
      </c>
      <c r="Y925" s="326"/>
      <c r="Z925" s="326"/>
      <c r="AA925" s="327"/>
      <c r="AB925" s="542" t="s">
        <v>303</v>
      </c>
      <c r="AC925" s="326"/>
      <c r="AD925" s="326"/>
      <c r="AE925" s="327"/>
      <c r="AF925" s="543"/>
      <c r="AG925" s="327"/>
      <c r="AH925" s="543"/>
      <c r="AI925" s="327"/>
      <c r="AJ925" s="536"/>
      <c r="AK925" s="327"/>
      <c r="AL925" s="537" t="s">
        <v>334</v>
      </c>
      <c r="AM925" s="327"/>
      <c r="AN925" s="546" t="s">
        <v>334</v>
      </c>
      <c r="AO925" s="327"/>
      <c r="AP925" s="547"/>
      <c r="AQ925" s="327"/>
      <c r="AR925" s="548"/>
      <c r="AS925" s="327"/>
      <c r="AT925" s="549"/>
      <c r="AU925" s="327"/>
      <c r="AV925" s="546" t="s">
        <v>334</v>
      </c>
      <c r="AW925" s="327"/>
      <c r="AX925" s="521"/>
      <c r="AY925" s="326"/>
      <c r="AZ925" s="327"/>
      <c r="BA925" s="550"/>
      <c r="BB925" s="327"/>
      <c r="BC925" s="25"/>
      <c r="BD925" s="544" t="s">
        <v>334</v>
      </c>
      <c r="BE925" s="327"/>
      <c r="BF925" s="545"/>
      <c r="BG925" s="326"/>
      <c r="BH925" s="326"/>
      <c r="BI925" s="327"/>
      <c r="BJ925" s="557" t="s">
        <v>303</v>
      </c>
      <c r="BK925" s="326"/>
      <c r="BL925" s="326"/>
      <c r="BM925" s="327"/>
      <c r="BN925" s="558" t="s">
        <v>303</v>
      </c>
      <c r="BO925" s="326"/>
      <c r="BP925" s="326"/>
      <c r="BQ925" s="326"/>
      <c r="BR925" s="326"/>
      <c r="BS925" s="326"/>
      <c r="BT925" s="326"/>
      <c r="BU925" s="326"/>
      <c r="BV925" s="327"/>
    </row>
    <row r="926" spans="1:74" ht="45" customHeight="1" x14ac:dyDescent="0.25">
      <c r="A926" s="10">
        <f t="shared" si="3"/>
        <v>912</v>
      </c>
      <c r="B926" s="564" t="s">
        <v>303</v>
      </c>
      <c r="C926" s="327"/>
      <c r="D926" s="565" t="s">
        <v>307</v>
      </c>
      <c r="E926" s="327"/>
      <c r="F926" s="537" t="s">
        <v>334</v>
      </c>
      <c r="G926" s="327"/>
      <c r="H926" s="561" t="s">
        <v>334</v>
      </c>
      <c r="I926" s="327"/>
      <c r="J926" s="562"/>
      <c r="K926" s="327"/>
      <c r="L926" s="562"/>
      <c r="M926" s="327"/>
      <c r="N926" s="20"/>
      <c r="O926" s="21"/>
      <c r="P926" s="524"/>
      <c r="Q926" s="327"/>
      <c r="R926" s="516"/>
      <c r="S926" s="327"/>
      <c r="T926" s="517"/>
      <c r="U926" s="327"/>
      <c r="V926" s="518"/>
      <c r="W926" s="327"/>
      <c r="X926" s="438" t="s">
        <v>303</v>
      </c>
      <c r="Y926" s="326"/>
      <c r="Z926" s="326"/>
      <c r="AA926" s="327"/>
      <c r="AB926" s="519" t="s">
        <v>303</v>
      </c>
      <c r="AC926" s="326"/>
      <c r="AD926" s="326"/>
      <c r="AE926" s="327"/>
      <c r="AF926" s="520"/>
      <c r="AG926" s="327"/>
      <c r="AH926" s="520"/>
      <c r="AI926" s="327"/>
      <c r="AJ926" s="536"/>
      <c r="AK926" s="327"/>
      <c r="AL926" s="556" t="s">
        <v>334</v>
      </c>
      <c r="AM926" s="327"/>
      <c r="AN926" s="553" t="s">
        <v>334</v>
      </c>
      <c r="AO926" s="327"/>
      <c r="AP926" s="554"/>
      <c r="AQ926" s="327"/>
      <c r="AR926" s="555"/>
      <c r="AS926" s="327"/>
      <c r="AT926" s="549"/>
      <c r="AU926" s="327"/>
      <c r="AV926" s="553" t="s">
        <v>334</v>
      </c>
      <c r="AW926" s="327"/>
      <c r="AX926" s="521"/>
      <c r="AY926" s="326"/>
      <c r="AZ926" s="327"/>
      <c r="BA926" s="536"/>
      <c r="BB926" s="327"/>
      <c r="BC926" s="22"/>
      <c r="BD926" s="551" t="s">
        <v>334</v>
      </c>
      <c r="BE926" s="327"/>
      <c r="BF926" s="552"/>
      <c r="BG926" s="326"/>
      <c r="BH926" s="326"/>
      <c r="BI926" s="327"/>
      <c r="BJ926" s="451" t="s">
        <v>303</v>
      </c>
      <c r="BK926" s="326"/>
      <c r="BL926" s="326"/>
      <c r="BM926" s="327"/>
      <c r="BN926" s="558" t="s">
        <v>303</v>
      </c>
      <c r="BO926" s="326"/>
      <c r="BP926" s="326"/>
      <c r="BQ926" s="326"/>
      <c r="BR926" s="326"/>
      <c r="BS926" s="326"/>
      <c r="BT926" s="326"/>
      <c r="BU926" s="326"/>
      <c r="BV926" s="327"/>
    </row>
    <row r="927" spans="1:74" ht="45" customHeight="1" x14ac:dyDescent="0.25">
      <c r="A927" s="10">
        <f t="shared" si="3"/>
        <v>913</v>
      </c>
      <c r="B927" s="559" t="s">
        <v>303</v>
      </c>
      <c r="C927" s="327"/>
      <c r="D927" s="560" t="s">
        <v>307</v>
      </c>
      <c r="E927" s="327"/>
      <c r="F927" s="537" t="s">
        <v>334</v>
      </c>
      <c r="G927" s="327"/>
      <c r="H927" s="566" t="s">
        <v>334</v>
      </c>
      <c r="I927" s="327"/>
      <c r="J927" s="567"/>
      <c r="K927" s="327"/>
      <c r="L927" s="567"/>
      <c r="M927" s="327"/>
      <c r="N927" s="23"/>
      <c r="O927" s="24"/>
      <c r="P927" s="563"/>
      <c r="Q927" s="327"/>
      <c r="R927" s="538"/>
      <c r="S927" s="327"/>
      <c r="T927" s="539"/>
      <c r="U927" s="327"/>
      <c r="V927" s="540"/>
      <c r="W927" s="327"/>
      <c r="X927" s="541" t="s">
        <v>303</v>
      </c>
      <c r="Y927" s="326"/>
      <c r="Z927" s="326"/>
      <c r="AA927" s="327"/>
      <c r="AB927" s="542" t="s">
        <v>303</v>
      </c>
      <c r="AC927" s="326"/>
      <c r="AD927" s="326"/>
      <c r="AE927" s="327"/>
      <c r="AF927" s="543"/>
      <c r="AG927" s="327"/>
      <c r="AH927" s="543"/>
      <c r="AI927" s="327"/>
      <c r="AJ927" s="536"/>
      <c r="AK927" s="327"/>
      <c r="AL927" s="537" t="s">
        <v>334</v>
      </c>
      <c r="AM927" s="327"/>
      <c r="AN927" s="546" t="s">
        <v>334</v>
      </c>
      <c r="AO927" s="327"/>
      <c r="AP927" s="547"/>
      <c r="AQ927" s="327"/>
      <c r="AR927" s="548"/>
      <c r="AS927" s="327"/>
      <c r="AT927" s="568"/>
      <c r="AU927" s="327"/>
      <c r="AV927" s="546" t="s">
        <v>334</v>
      </c>
      <c r="AW927" s="327"/>
      <c r="AX927" s="521"/>
      <c r="AY927" s="326"/>
      <c r="AZ927" s="327"/>
      <c r="BA927" s="550"/>
      <c r="BB927" s="327"/>
      <c r="BC927" s="25"/>
      <c r="BD927" s="544" t="s">
        <v>334</v>
      </c>
      <c r="BE927" s="327"/>
      <c r="BF927" s="545"/>
      <c r="BG927" s="326"/>
      <c r="BH927" s="326"/>
      <c r="BI927" s="327"/>
      <c r="BJ927" s="557" t="s">
        <v>303</v>
      </c>
      <c r="BK927" s="326"/>
      <c r="BL927" s="326"/>
      <c r="BM927" s="327"/>
      <c r="BN927" s="558" t="s">
        <v>303</v>
      </c>
      <c r="BO927" s="326"/>
      <c r="BP927" s="326"/>
      <c r="BQ927" s="326"/>
      <c r="BR927" s="326"/>
      <c r="BS927" s="326"/>
      <c r="BT927" s="326"/>
      <c r="BU927" s="326"/>
      <c r="BV927" s="327"/>
    </row>
    <row r="928" spans="1:74" ht="45" customHeight="1" x14ac:dyDescent="0.25">
      <c r="A928" s="10">
        <f t="shared" si="3"/>
        <v>914</v>
      </c>
      <c r="B928" s="564" t="s">
        <v>303</v>
      </c>
      <c r="C928" s="327"/>
      <c r="D928" s="565" t="s">
        <v>307</v>
      </c>
      <c r="E928" s="327"/>
      <c r="F928" s="537" t="s">
        <v>334</v>
      </c>
      <c r="G928" s="327"/>
      <c r="H928" s="561" t="s">
        <v>334</v>
      </c>
      <c r="I928" s="327"/>
      <c r="J928" s="562"/>
      <c r="K928" s="327"/>
      <c r="L928" s="562"/>
      <c r="M928" s="327"/>
      <c r="N928" s="20"/>
      <c r="O928" s="21"/>
      <c r="P928" s="524"/>
      <c r="Q928" s="327"/>
      <c r="R928" s="516"/>
      <c r="S928" s="327"/>
      <c r="T928" s="517"/>
      <c r="U928" s="327"/>
      <c r="V928" s="518"/>
      <c r="W928" s="327"/>
      <c r="X928" s="438" t="s">
        <v>303</v>
      </c>
      <c r="Y928" s="326"/>
      <c r="Z928" s="326"/>
      <c r="AA928" s="327"/>
      <c r="AB928" s="519" t="s">
        <v>303</v>
      </c>
      <c r="AC928" s="326"/>
      <c r="AD928" s="326"/>
      <c r="AE928" s="327"/>
      <c r="AF928" s="520"/>
      <c r="AG928" s="327"/>
      <c r="AH928" s="520"/>
      <c r="AI928" s="327"/>
      <c r="AJ928" s="536"/>
      <c r="AK928" s="327"/>
      <c r="AL928" s="556" t="s">
        <v>334</v>
      </c>
      <c r="AM928" s="327"/>
      <c r="AN928" s="553" t="s">
        <v>334</v>
      </c>
      <c r="AO928" s="327"/>
      <c r="AP928" s="554"/>
      <c r="AQ928" s="327"/>
      <c r="AR928" s="555"/>
      <c r="AS928" s="327"/>
      <c r="AT928" s="549"/>
      <c r="AU928" s="327"/>
      <c r="AV928" s="553" t="s">
        <v>334</v>
      </c>
      <c r="AW928" s="327"/>
      <c r="AX928" s="521"/>
      <c r="AY928" s="326"/>
      <c r="AZ928" s="327"/>
      <c r="BA928" s="536"/>
      <c r="BB928" s="327"/>
      <c r="BC928" s="22"/>
      <c r="BD928" s="551" t="s">
        <v>334</v>
      </c>
      <c r="BE928" s="327"/>
      <c r="BF928" s="508"/>
      <c r="BG928" s="326"/>
      <c r="BH928" s="326"/>
      <c r="BI928" s="327"/>
      <c r="BJ928" s="451" t="s">
        <v>303</v>
      </c>
      <c r="BK928" s="326"/>
      <c r="BL928" s="326"/>
      <c r="BM928" s="327"/>
      <c r="BN928" s="558" t="s">
        <v>303</v>
      </c>
      <c r="BO928" s="326"/>
      <c r="BP928" s="326"/>
      <c r="BQ928" s="326"/>
      <c r="BR928" s="326"/>
      <c r="BS928" s="326"/>
      <c r="BT928" s="326"/>
      <c r="BU928" s="326"/>
      <c r="BV928" s="327"/>
    </row>
    <row r="929" spans="1:74" ht="45" customHeight="1" x14ac:dyDescent="0.25">
      <c r="A929" s="10">
        <f t="shared" si="3"/>
        <v>915</v>
      </c>
      <c r="B929" s="559" t="s">
        <v>303</v>
      </c>
      <c r="C929" s="327"/>
      <c r="D929" s="560" t="s">
        <v>307</v>
      </c>
      <c r="E929" s="327"/>
      <c r="F929" s="537" t="s">
        <v>334</v>
      </c>
      <c r="G929" s="327"/>
      <c r="H929" s="566" t="s">
        <v>334</v>
      </c>
      <c r="I929" s="327"/>
      <c r="J929" s="567"/>
      <c r="K929" s="327"/>
      <c r="L929" s="567"/>
      <c r="M929" s="327"/>
      <c r="N929" s="23"/>
      <c r="O929" s="24"/>
      <c r="P929" s="563"/>
      <c r="Q929" s="327"/>
      <c r="R929" s="538"/>
      <c r="S929" s="327"/>
      <c r="T929" s="539"/>
      <c r="U929" s="327"/>
      <c r="V929" s="540"/>
      <c r="W929" s="327"/>
      <c r="X929" s="541" t="s">
        <v>303</v>
      </c>
      <c r="Y929" s="326"/>
      <c r="Z929" s="326"/>
      <c r="AA929" s="327"/>
      <c r="AB929" s="542" t="s">
        <v>303</v>
      </c>
      <c r="AC929" s="326"/>
      <c r="AD929" s="326"/>
      <c r="AE929" s="327"/>
      <c r="AF929" s="543"/>
      <c r="AG929" s="327"/>
      <c r="AH929" s="543"/>
      <c r="AI929" s="327"/>
      <c r="AJ929" s="536"/>
      <c r="AK929" s="327"/>
      <c r="AL929" s="537" t="s">
        <v>334</v>
      </c>
      <c r="AM929" s="327"/>
      <c r="AN929" s="546" t="s">
        <v>334</v>
      </c>
      <c r="AO929" s="327"/>
      <c r="AP929" s="547"/>
      <c r="AQ929" s="327"/>
      <c r="AR929" s="548"/>
      <c r="AS929" s="327"/>
      <c r="AT929" s="568"/>
      <c r="AU929" s="327"/>
      <c r="AV929" s="546" t="s">
        <v>334</v>
      </c>
      <c r="AW929" s="327"/>
      <c r="AX929" s="521"/>
      <c r="AY929" s="326"/>
      <c r="AZ929" s="327"/>
      <c r="BA929" s="550"/>
      <c r="BB929" s="327"/>
      <c r="BC929" s="25"/>
      <c r="BD929" s="544" t="s">
        <v>334</v>
      </c>
      <c r="BE929" s="327"/>
      <c r="BF929" s="545"/>
      <c r="BG929" s="326"/>
      <c r="BH929" s="326"/>
      <c r="BI929" s="327"/>
      <c r="BJ929" s="557" t="s">
        <v>303</v>
      </c>
      <c r="BK929" s="326"/>
      <c r="BL929" s="326"/>
      <c r="BM929" s="327"/>
      <c r="BN929" s="558" t="s">
        <v>303</v>
      </c>
      <c r="BO929" s="326"/>
      <c r="BP929" s="326"/>
      <c r="BQ929" s="326"/>
      <c r="BR929" s="326"/>
      <c r="BS929" s="326"/>
      <c r="BT929" s="326"/>
      <c r="BU929" s="326"/>
      <c r="BV929" s="327"/>
    </row>
    <row r="930" spans="1:74" ht="45" customHeight="1" x14ac:dyDescent="0.25">
      <c r="A930" s="10">
        <f t="shared" si="3"/>
        <v>916</v>
      </c>
      <c r="B930" s="564" t="s">
        <v>303</v>
      </c>
      <c r="C930" s="327"/>
      <c r="D930" s="565" t="s">
        <v>307</v>
      </c>
      <c r="E930" s="327"/>
      <c r="F930" s="537" t="s">
        <v>334</v>
      </c>
      <c r="G930" s="327"/>
      <c r="H930" s="561" t="s">
        <v>334</v>
      </c>
      <c r="I930" s="327"/>
      <c r="J930" s="562"/>
      <c r="K930" s="327"/>
      <c r="L930" s="562"/>
      <c r="M930" s="327"/>
      <c r="N930" s="20"/>
      <c r="O930" s="21"/>
      <c r="P930" s="524"/>
      <c r="Q930" s="327"/>
      <c r="R930" s="516"/>
      <c r="S930" s="327"/>
      <c r="T930" s="517"/>
      <c r="U930" s="327"/>
      <c r="V930" s="518"/>
      <c r="W930" s="327"/>
      <c r="X930" s="438" t="s">
        <v>303</v>
      </c>
      <c r="Y930" s="326"/>
      <c r="Z930" s="326"/>
      <c r="AA930" s="327"/>
      <c r="AB930" s="519" t="s">
        <v>303</v>
      </c>
      <c r="AC930" s="326"/>
      <c r="AD930" s="326"/>
      <c r="AE930" s="327"/>
      <c r="AF930" s="520"/>
      <c r="AG930" s="327"/>
      <c r="AH930" s="520"/>
      <c r="AI930" s="327"/>
      <c r="AJ930" s="536"/>
      <c r="AK930" s="327"/>
      <c r="AL930" s="556" t="s">
        <v>334</v>
      </c>
      <c r="AM930" s="327"/>
      <c r="AN930" s="553" t="s">
        <v>334</v>
      </c>
      <c r="AO930" s="327"/>
      <c r="AP930" s="554"/>
      <c r="AQ930" s="327"/>
      <c r="AR930" s="555"/>
      <c r="AS930" s="327"/>
      <c r="AT930" s="549"/>
      <c r="AU930" s="327"/>
      <c r="AV930" s="553" t="s">
        <v>334</v>
      </c>
      <c r="AW930" s="327"/>
      <c r="AX930" s="521"/>
      <c r="AY930" s="326"/>
      <c r="AZ930" s="327"/>
      <c r="BA930" s="536"/>
      <c r="BB930" s="327"/>
      <c r="BC930" s="22"/>
      <c r="BD930" s="551" t="s">
        <v>334</v>
      </c>
      <c r="BE930" s="327"/>
      <c r="BF930" s="552"/>
      <c r="BG930" s="326"/>
      <c r="BH930" s="326"/>
      <c r="BI930" s="327"/>
      <c r="BJ930" s="451" t="s">
        <v>303</v>
      </c>
      <c r="BK930" s="326"/>
      <c r="BL930" s="326"/>
      <c r="BM930" s="327"/>
      <c r="BN930" s="558" t="s">
        <v>303</v>
      </c>
      <c r="BO930" s="326"/>
      <c r="BP930" s="326"/>
      <c r="BQ930" s="326"/>
      <c r="BR930" s="326"/>
      <c r="BS930" s="326"/>
      <c r="BT930" s="326"/>
      <c r="BU930" s="326"/>
      <c r="BV930" s="327"/>
    </row>
    <row r="931" spans="1:74" ht="45" customHeight="1" x14ac:dyDescent="0.25">
      <c r="A931" s="10">
        <f t="shared" si="3"/>
        <v>917</v>
      </c>
      <c r="B931" s="559" t="s">
        <v>303</v>
      </c>
      <c r="C931" s="327"/>
      <c r="D931" s="560" t="s">
        <v>307</v>
      </c>
      <c r="E931" s="327"/>
      <c r="F931" s="537" t="s">
        <v>334</v>
      </c>
      <c r="G931" s="327"/>
      <c r="H931" s="566" t="s">
        <v>334</v>
      </c>
      <c r="I931" s="327"/>
      <c r="J931" s="567"/>
      <c r="K931" s="327"/>
      <c r="L931" s="567"/>
      <c r="M931" s="327"/>
      <c r="N931" s="23"/>
      <c r="O931" s="24"/>
      <c r="P931" s="563"/>
      <c r="Q931" s="327"/>
      <c r="R931" s="538"/>
      <c r="S931" s="327"/>
      <c r="T931" s="539"/>
      <c r="U931" s="327"/>
      <c r="V931" s="540"/>
      <c r="W931" s="327"/>
      <c r="X931" s="541" t="s">
        <v>303</v>
      </c>
      <c r="Y931" s="326"/>
      <c r="Z931" s="326"/>
      <c r="AA931" s="327"/>
      <c r="AB931" s="542" t="s">
        <v>303</v>
      </c>
      <c r="AC931" s="326"/>
      <c r="AD931" s="326"/>
      <c r="AE931" s="327"/>
      <c r="AF931" s="543"/>
      <c r="AG931" s="327"/>
      <c r="AH931" s="543"/>
      <c r="AI931" s="327"/>
      <c r="AJ931" s="536"/>
      <c r="AK931" s="327"/>
      <c r="AL931" s="537" t="s">
        <v>334</v>
      </c>
      <c r="AM931" s="327"/>
      <c r="AN931" s="546" t="s">
        <v>334</v>
      </c>
      <c r="AO931" s="327"/>
      <c r="AP931" s="547"/>
      <c r="AQ931" s="327"/>
      <c r="AR931" s="548"/>
      <c r="AS931" s="327"/>
      <c r="AT931" s="568"/>
      <c r="AU931" s="327"/>
      <c r="AV931" s="546" t="s">
        <v>334</v>
      </c>
      <c r="AW931" s="327"/>
      <c r="AX931" s="521"/>
      <c r="AY931" s="326"/>
      <c r="AZ931" s="327"/>
      <c r="BA931" s="550"/>
      <c r="BB931" s="327"/>
      <c r="BC931" s="25"/>
      <c r="BD931" s="544" t="s">
        <v>334</v>
      </c>
      <c r="BE931" s="327"/>
      <c r="BF931" s="545"/>
      <c r="BG931" s="326"/>
      <c r="BH931" s="326"/>
      <c r="BI931" s="327"/>
      <c r="BJ931" s="557" t="s">
        <v>303</v>
      </c>
      <c r="BK931" s="326"/>
      <c r="BL931" s="326"/>
      <c r="BM931" s="327"/>
      <c r="BN931" s="558" t="s">
        <v>303</v>
      </c>
      <c r="BO931" s="326"/>
      <c r="BP931" s="326"/>
      <c r="BQ931" s="326"/>
      <c r="BR931" s="326"/>
      <c r="BS931" s="326"/>
      <c r="BT931" s="326"/>
      <c r="BU931" s="326"/>
      <c r="BV931" s="327"/>
    </row>
    <row r="932" spans="1:74" ht="45" customHeight="1" x14ac:dyDescent="0.25">
      <c r="A932" s="10">
        <f t="shared" si="3"/>
        <v>918</v>
      </c>
      <c r="B932" s="564" t="s">
        <v>303</v>
      </c>
      <c r="C932" s="327"/>
      <c r="D932" s="565" t="s">
        <v>307</v>
      </c>
      <c r="E932" s="327"/>
      <c r="F932" s="537" t="s">
        <v>334</v>
      </c>
      <c r="G932" s="327"/>
      <c r="H932" s="561" t="s">
        <v>334</v>
      </c>
      <c r="I932" s="327"/>
      <c r="J932" s="562"/>
      <c r="K932" s="327"/>
      <c r="L932" s="562"/>
      <c r="M932" s="327"/>
      <c r="N932" s="20"/>
      <c r="O932" s="21"/>
      <c r="P932" s="524"/>
      <c r="Q932" s="327"/>
      <c r="R932" s="516"/>
      <c r="S932" s="327"/>
      <c r="T932" s="517"/>
      <c r="U932" s="327"/>
      <c r="V932" s="518"/>
      <c r="W932" s="327"/>
      <c r="X932" s="438" t="s">
        <v>303</v>
      </c>
      <c r="Y932" s="326"/>
      <c r="Z932" s="326"/>
      <c r="AA932" s="327"/>
      <c r="AB932" s="519" t="s">
        <v>303</v>
      </c>
      <c r="AC932" s="326"/>
      <c r="AD932" s="326"/>
      <c r="AE932" s="327"/>
      <c r="AF932" s="520"/>
      <c r="AG932" s="327"/>
      <c r="AH932" s="520"/>
      <c r="AI932" s="327"/>
      <c r="AJ932" s="536"/>
      <c r="AK932" s="327"/>
      <c r="AL932" s="556" t="s">
        <v>334</v>
      </c>
      <c r="AM932" s="327"/>
      <c r="AN932" s="553" t="s">
        <v>334</v>
      </c>
      <c r="AO932" s="327"/>
      <c r="AP932" s="554"/>
      <c r="AQ932" s="327"/>
      <c r="AR932" s="555"/>
      <c r="AS932" s="327"/>
      <c r="AT932" s="549"/>
      <c r="AU932" s="327"/>
      <c r="AV932" s="553" t="s">
        <v>334</v>
      </c>
      <c r="AW932" s="327"/>
      <c r="AX932" s="521"/>
      <c r="AY932" s="326"/>
      <c r="AZ932" s="327"/>
      <c r="BA932" s="536"/>
      <c r="BB932" s="327"/>
      <c r="BC932" s="22"/>
      <c r="BD932" s="551" t="s">
        <v>334</v>
      </c>
      <c r="BE932" s="327"/>
      <c r="BF932" s="552"/>
      <c r="BG932" s="326"/>
      <c r="BH932" s="326"/>
      <c r="BI932" s="327"/>
      <c r="BJ932" s="451" t="s">
        <v>303</v>
      </c>
      <c r="BK932" s="326"/>
      <c r="BL932" s="326"/>
      <c r="BM932" s="327"/>
      <c r="BN932" s="558" t="s">
        <v>303</v>
      </c>
      <c r="BO932" s="326"/>
      <c r="BP932" s="326"/>
      <c r="BQ932" s="326"/>
      <c r="BR932" s="326"/>
      <c r="BS932" s="326"/>
      <c r="BT932" s="326"/>
      <c r="BU932" s="326"/>
      <c r="BV932" s="327"/>
    </row>
    <row r="933" spans="1:74" ht="45" customHeight="1" x14ac:dyDescent="0.25">
      <c r="A933" s="10">
        <f t="shared" si="3"/>
        <v>919</v>
      </c>
      <c r="B933" s="559" t="s">
        <v>303</v>
      </c>
      <c r="C933" s="327"/>
      <c r="D933" s="560" t="s">
        <v>307</v>
      </c>
      <c r="E933" s="327"/>
      <c r="F933" s="537" t="s">
        <v>334</v>
      </c>
      <c r="G933" s="327"/>
      <c r="H933" s="566" t="s">
        <v>334</v>
      </c>
      <c r="I933" s="327"/>
      <c r="J933" s="567"/>
      <c r="K933" s="327"/>
      <c r="L933" s="567"/>
      <c r="M933" s="327"/>
      <c r="N933" s="23"/>
      <c r="O933" s="24"/>
      <c r="P933" s="563"/>
      <c r="Q933" s="327"/>
      <c r="R933" s="538"/>
      <c r="S933" s="327"/>
      <c r="T933" s="539"/>
      <c r="U933" s="327"/>
      <c r="V933" s="540"/>
      <c r="W933" s="327"/>
      <c r="X933" s="541" t="s">
        <v>303</v>
      </c>
      <c r="Y933" s="326"/>
      <c r="Z933" s="326"/>
      <c r="AA933" s="327"/>
      <c r="AB933" s="542" t="s">
        <v>303</v>
      </c>
      <c r="AC933" s="326"/>
      <c r="AD933" s="326"/>
      <c r="AE933" s="327"/>
      <c r="AF933" s="543"/>
      <c r="AG933" s="327"/>
      <c r="AH933" s="543"/>
      <c r="AI933" s="327"/>
      <c r="AJ933" s="536"/>
      <c r="AK933" s="327"/>
      <c r="AL933" s="537" t="s">
        <v>334</v>
      </c>
      <c r="AM933" s="327"/>
      <c r="AN933" s="546" t="s">
        <v>334</v>
      </c>
      <c r="AO933" s="327"/>
      <c r="AP933" s="547"/>
      <c r="AQ933" s="327"/>
      <c r="AR933" s="548"/>
      <c r="AS933" s="327"/>
      <c r="AT933" s="568"/>
      <c r="AU933" s="327"/>
      <c r="AV933" s="546" t="s">
        <v>334</v>
      </c>
      <c r="AW933" s="327"/>
      <c r="AX933" s="521"/>
      <c r="AY933" s="326"/>
      <c r="AZ933" s="327"/>
      <c r="BA933" s="550"/>
      <c r="BB933" s="327"/>
      <c r="BC933" s="25"/>
      <c r="BD933" s="544" t="s">
        <v>334</v>
      </c>
      <c r="BE933" s="327"/>
      <c r="BF933" s="545"/>
      <c r="BG933" s="326"/>
      <c r="BH933" s="326"/>
      <c r="BI933" s="327"/>
      <c r="BJ933" s="557" t="s">
        <v>303</v>
      </c>
      <c r="BK933" s="326"/>
      <c r="BL933" s="326"/>
      <c r="BM933" s="327"/>
      <c r="BN933" s="558" t="s">
        <v>303</v>
      </c>
      <c r="BO933" s="326"/>
      <c r="BP933" s="326"/>
      <c r="BQ933" s="326"/>
      <c r="BR933" s="326"/>
      <c r="BS933" s="326"/>
      <c r="BT933" s="326"/>
      <c r="BU933" s="326"/>
      <c r="BV933" s="327"/>
    </row>
    <row r="934" spans="1:74" ht="45" customHeight="1" x14ac:dyDescent="0.25">
      <c r="A934" s="10">
        <f t="shared" si="3"/>
        <v>920</v>
      </c>
      <c r="B934" s="564" t="s">
        <v>303</v>
      </c>
      <c r="C934" s="327"/>
      <c r="D934" s="565" t="s">
        <v>307</v>
      </c>
      <c r="E934" s="327"/>
      <c r="F934" s="537" t="s">
        <v>334</v>
      </c>
      <c r="G934" s="327"/>
      <c r="H934" s="561" t="s">
        <v>334</v>
      </c>
      <c r="I934" s="327"/>
      <c r="J934" s="562"/>
      <c r="K934" s="327"/>
      <c r="L934" s="562"/>
      <c r="M934" s="327"/>
      <c r="N934" s="20"/>
      <c r="O934" s="21"/>
      <c r="P934" s="524"/>
      <c r="Q934" s="327"/>
      <c r="R934" s="516"/>
      <c r="S934" s="327"/>
      <c r="T934" s="517"/>
      <c r="U934" s="327"/>
      <c r="V934" s="518"/>
      <c r="W934" s="327"/>
      <c r="X934" s="438" t="s">
        <v>303</v>
      </c>
      <c r="Y934" s="326"/>
      <c r="Z934" s="326"/>
      <c r="AA934" s="327"/>
      <c r="AB934" s="519" t="s">
        <v>303</v>
      </c>
      <c r="AC934" s="326"/>
      <c r="AD934" s="326"/>
      <c r="AE934" s="327"/>
      <c r="AF934" s="520"/>
      <c r="AG934" s="327"/>
      <c r="AH934" s="520"/>
      <c r="AI934" s="327"/>
      <c r="AJ934" s="536"/>
      <c r="AK934" s="327"/>
      <c r="AL934" s="556" t="s">
        <v>334</v>
      </c>
      <c r="AM934" s="327"/>
      <c r="AN934" s="553" t="s">
        <v>334</v>
      </c>
      <c r="AO934" s="327"/>
      <c r="AP934" s="554"/>
      <c r="AQ934" s="327"/>
      <c r="AR934" s="555"/>
      <c r="AS934" s="327"/>
      <c r="AT934" s="549"/>
      <c r="AU934" s="327"/>
      <c r="AV934" s="553" t="s">
        <v>334</v>
      </c>
      <c r="AW934" s="327"/>
      <c r="AX934" s="521"/>
      <c r="AY934" s="326"/>
      <c r="AZ934" s="327"/>
      <c r="BA934" s="536"/>
      <c r="BB934" s="327"/>
      <c r="BC934" s="22"/>
      <c r="BD934" s="551" t="s">
        <v>334</v>
      </c>
      <c r="BE934" s="327"/>
      <c r="BF934" s="508"/>
      <c r="BG934" s="326"/>
      <c r="BH934" s="326"/>
      <c r="BI934" s="327"/>
      <c r="BJ934" s="451" t="s">
        <v>303</v>
      </c>
      <c r="BK934" s="326"/>
      <c r="BL934" s="326"/>
      <c r="BM934" s="327"/>
      <c r="BN934" s="558" t="s">
        <v>303</v>
      </c>
      <c r="BO934" s="326"/>
      <c r="BP934" s="326"/>
      <c r="BQ934" s="326"/>
      <c r="BR934" s="326"/>
      <c r="BS934" s="326"/>
      <c r="BT934" s="326"/>
      <c r="BU934" s="326"/>
      <c r="BV934" s="327"/>
    </row>
    <row r="935" spans="1:74" ht="45" customHeight="1" x14ac:dyDescent="0.25">
      <c r="A935" s="10">
        <f t="shared" si="3"/>
        <v>921</v>
      </c>
      <c r="B935" s="559" t="s">
        <v>303</v>
      </c>
      <c r="C935" s="327"/>
      <c r="D935" s="560" t="s">
        <v>307</v>
      </c>
      <c r="E935" s="327"/>
      <c r="F935" s="537" t="s">
        <v>334</v>
      </c>
      <c r="G935" s="327"/>
      <c r="H935" s="566" t="s">
        <v>334</v>
      </c>
      <c r="I935" s="327"/>
      <c r="J935" s="567"/>
      <c r="K935" s="327"/>
      <c r="L935" s="567"/>
      <c r="M935" s="327"/>
      <c r="N935" s="23"/>
      <c r="O935" s="24"/>
      <c r="P935" s="563"/>
      <c r="Q935" s="327"/>
      <c r="R935" s="538"/>
      <c r="S935" s="327"/>
      <c r="T935" s="539"/>
      <c r="U935" s="327"/>
      <c r="V935" s="540"/>
      <c r="W935" s="327"/>
      <c r="X935" s="541" t="s">
        <v>303</v>
      </c>
      <c r="Y935" s="326"/>
      <c r="Z935" s="326"/>
      <c r="AA935" s="327"/>
      <c r="AB935" s="542" t="s">
        <v>303</v>
      </c>
      <c r="AC935" s="326"/>
      <c r="AD935" s="326"/>
      <c r="AE935" s="327"/>
      <c r="AF935" s="543"/>
      <c r="AG935" s="327"/>
      <c r="AH935" s="543"/>
      <c r="AI935" s="327"/>
      <c r="AJ935" s="536"/>
      <c r="AK935" s="327"/>
      <c r="AL935" s="537" t="s">
        <v>334</v>
      </c>
      <c r="AM935" s="327"/>
      <c r="AN935" s="546" t="s">
        <v>334</v>
      </c>
      <c r="AO935" s="327"/>
      <c r="AP935" s="547"/>
      <c r="AQ935" s="327"/>
      <c r="AR935" s="548"/>
      <c r="AS935" s="327"/>
      <c r="AT935" s="568"/>
      <c r="AU935" s="327"/>
      <c r="AV935" s="546" t="s">
        <v>334</v>
      </c>
      <c r="AW935" s="327"/>
      <c r="AX935" s="521"/>
      <c r="AY935" s="326"/>
      <c r="AZ935" s="327"/>
      <c r="BA935" s="550"/>
      <c r="BB935" s="327"/>
      <c r="BC935" s="25"/>
      <c r="BD935" s="544" t="s">
        <v>334</v>
      </c>
      <c r="BE935" s="327"/>
      <c r="BF935" s="545"/>
      <c r="BG935" s="326"/>
      <c r="BH935" s="326"/>
      <c r="BI935" s="327"/>
      <c r="BJ935" s="557" t="s">
        <v>303</v>
      </c>
      <c r="BK935" s="326"/>
      <c r="BL935" s="326"/>
      <c r="BM935" s="327"/>
      <c r="BN935" s="558" t="s">
        <v>303</v>
      </c>
      <c r="BO935" s="326"/>
      <c r="BP935" s="326"/>
      <c r="BQ935" s="326"/>
      <c r="BR935" s="326"/>
      <c r="BS935" s="326"/>
      <c r="BT935" s="326"/>
      <c r="BU935" s="326"/>
      <c r="BV935" s="327"/>
    </row>
    <row r="936" spans="1:74" ht="45" customHeight="1" x14ac:dyDescent="0.25">
      <c r="A936" s="10">
        <f t="shared" si="3"/>
        <v>922</v>
      </c>
      <c r="B936" s="564" t="s">
        <v>303</v>
      </c>
      <c r="C936" s="327"/>
      <c r="D936" s="565" t="s">
        <v>307</v>
      </c>
      <c r="E936" s="327"/>
      <c r="F936" s="537" t="s">
        <v>334</v>
      </c>
      <c r="G936" s="327"/>
      <c r="H936" s="561" t="s">
        <v>334</v>
      </c>
      <c r="I936" s="327"/>
      <c r="J936" s="562"/>
      <c r="K936" s="327"/>
      <c r="L936" s="562"/>
      <c r="M936" s="327"/>
      <c r="N936" s="20"/>
      <c r="O936" s="21"/>
      <c r="P936" s="524"/>
      <c r="Q936" s="327"/>
      <c r="R936" s="516"/>
      <c r="S936" s="327"/>
      <c r="T936" s="517"/>
      <c r="U936" s="327"/>
      <c r="V936" s="518"/>
      <c r="W936" s="327"/>
      <c r="X936" s="438" t="s">
        <v>303</v>
      </c>
      <c r="Y936" s="326"/>
      <c r="Z936" s="326"/>
      <c r="AA936" s="327"/>
      <c r="AB936" s="519" t="s">
        <v>303</v>
      </c>
      <c r="AC936" s="326"/>
      <c r="AD936" s="326"/>
      <c r="AE936" s="327"/>
      <c r="AF936" s="520"/>
      <c r="AG936" s="327"/>
      <c r="AH936" s="520"/>
      <c r="AI936" s="327"/>
      <c r="AJ936" s="536"/>
      <c r="AK936" s="327"/>
      <c r="AL936" s="556" t="s">
        <v>334</v>
      </c>
      <c r="AM936" s="327"/>
      <c r="AN936" s="553" t="s">
        <v>334</v>
      </c>
      <c r="AO936" s="327"/>
      <c r="AP936" s="554"/>
      <c r="AQ936" s="327"/>
      <c r="AR936" s="555"/>
      <c r="AS936" s="327"/>
      <c r="AT936" s="549"/>
      <c r="AU936" s="327"/>
      <c r="AV936" s="553" t="s">
        <v>334</v>
      </c>
      <c r="AW936" s="327"/>
      <c r="AX936" s="521"/>
      <c r="AY936" s="326"/>
      <c r="AZ936" s="327"/>
      <c r="BA936" s="536"/>
      <c r="BB936" s="327"/>
      <c r="BC936" s="22"/>
      <c r="BD936" s="551" t="s">
        <v>334</v>
      </c>
      <c r="BE936" s="327"/>
      <c r="BF936" s="552"/>
      <c r="BG936" s="326"/>
      <c r="BH936" s="326"/>
      <c r="BI936" s="327"/>
      <c r="BJ936" s="451" t="s">
        <v>303</v>
      </c>
      <c r="BK936" s="326"/>
      <c r="BL936" s="326"/>
      <c r="BM936" s="327"/>
      <c r="BN936" s="558" t="s">
        <v>303</v>
      </c>
      <c r="BO936" s="326"/>
      <c r="BP936" s="326"/>
      <c r="BQ936" s="326"/>
      <c r="BR936" s="326"/>
      <c r="BS936" s="326"/>
      <c r="BT936" s="326"/>
      <c r="BU936" s="326"/>
      <c r="BV936" s="327"/>
    </row>
    <row r="937" spans="1:74" ht="45" customHeight="1" x14ac:dyDescent="0.25">
      <c r="A937" s="10">
        <f t="shared" si="3"/>
        <v>923</v>
      </c>
      <c r="B937" s="559" t="s">
        <v>303</v>
      </c>
      <c r="C937" s="327"/>
      <c r="D937" s="560" t="s">
        <v>307</v>
      </c>
      <c r="E937" s="327"/>
      <c r="F937" s="537" t="s">
        <v>334</v>
      </c>
      <c r="G937" s="327"/>
      <c r="H937" s="566" t="s">
        <v>334</v>
      </c>
      <c r="I937" s="327"/>
      <c r="J937" s="567"/>
      <c r="K937" s="327"/>
      <c r="L937" s="567"/>
      <c r="M937" s="327"/>
      <c r="N937" s="20"/>
      <c r="O937" s="21"/>
      <c r="P937" s="524"/>
      <c r="Q937" s="327"/>
      <c r="R937" s="538"/>
      <c r="S937" s="327"/>
      <c r="T937" s="539"/>
      <c r="U937" s="327"/>
      <c r="V937" s="540"/>
      <c r="W937" s="327"/>
      <c r="X937" s="541" t="s">
        <v>303</v>
      </c>
      <c r="Y937" s="326"/>
      <c r="Z937" s="326"/>
      <c r="AA937" s="327"/>
      <c r="AB937" s="542" t="s">
        <v>303</v>
      </c>
      <c r="AC937" s="326"/>
      <c r="AD937" s="326"/>
      <c r="AE937" s="327"/>
      <c r="AF937" s="543"/>
      <c r="AG937" s="327"/>
      <c r="AH937" s="543"/>
      <c r="AI937" s="327"/>
      <c r="AJ937" s="536"/>
      <c r="AK937" s="327"/>
      <c r="AL937" s="537" t="s">
        <v>334</v>
      </c>
      <c r="AM937" s="327"/>
      <c r="AN937" s="546" t="s">
        <v>334</v>
      </c>
      <c r="AO937" s="327"/>
      <c r="AP937" s="547"/>
      <c r="AQ937" s="327"/>
      <c r="AR937" s="548"/>
      <c r="AS937" s="327"/>
      <c r="AT937" s="549"/>
      <c r="AU937" s="327"/>
      <c r="AV937" s="546" t="s">
        <v>334</v>
      </c>
      <c r="AW937" s="327"/>
      <c r="AX937" s="521"/>
      <c r="AY937" s="326"/>
      <c r="AZ937" s="327"/>
      <c r="BA937" s="550"/>
      <c r="BB937" s="327"/>
      <c r="BC937" s="25"/>
      <c r="BD937" s="544" t="s">
        <v>334</v>
      </c>
      <c r="BE937" s="327"/>
      <c r="BF937" s="545"/>
      <c r="BG937" s="326"/>
      <c r="BH937" s="326"/>
      <c r="BI937" s="327"/>
      <c r="BJ937" s="557" t="s">
        <v>303</v>
      </c>
      <c r="BK937" s="326"/>
      <c r="BL937" s="326"/>
      <c r="BM937" s="327"/>
      <c r="BN937" s="558" t="s">
        <v>303</v>
      </c>
      <c r="BO937" s="326"/>
      <c r="BP937" s="326"/>
      <c r="BQ937" s="326"/>
      <c r="BR937" s="326"/>
      <c r="BS937" s="326"/>
      <c r="BT937" s="326"/>
      <c r="BU937" s="326"/>
      <c r="BV937" s="327"/>
    </row>
    <row r="938" spans="1:74" ht="45" customHeight="1" x14ac:dyDescent="0.25">
      <c r="A938" s="10">
        <f t="shared" si="3"/>
        <v>924</v>
      </c>
      <c r="B938" s="564" t="s">
        <v>303</v>
      </c>
      <c r="C938" s="327"/>
      <c r="D938" s="565" t="s">
        <v>307</v>
      </c>
      <c r="E938" s="327"/>
      <c r="F938" s="537" t="s">
        <v>334</v>
      </c>
      <c r="G938" s="327"/>
      <c r="H938" s="561" t="s">
        <v>334</v>
      </c>
      <c r="I938" s="327"/>
      <c r="J938" s="562"/>
      <c r="K938" s="327"/>
      <c r="L938" s="562"/>
      <c r="M938" s="327"/>
      <c r="N938" s="23"/>
      <c r="O938" s="24"/>
      <c r="P938" s="563"/>
      <c r="Q938" s="327"/>
      <c r="R938" s="516"/>
      <c r="S938" s="327"/>
      <c r="T938" s="517"/>
      <c r="U938" s="327"/>
      <c r="V938" s="518"/>
      <c r="W938" s="327"/>
      <c r="X938" s="438" t="s">
        <v>303</v>
      </c>
      <c r="Y938" s="326"/>
      <c r="Z938" s="326"/>
      <c r="AA938" s="327"/>
      <c r="AB938" s="519" t="s">
        <v>303</v>
      </c>
      <c r="AC938" s="326"/>
      <c r="AD938" s="326"/>
      <c r="AE938" s="327"/>
      <c r="AF938" s="520"/>
      <c r="AG938" s="327"/>
      <c r="AH938" s="520"/>
      <c r="AI938" s="327"/>
      <c r="AJ938" s="536"/>
      <c r="AK938" s="327"/>
      <c r="AL938" s="556" t="s">
        <v>334</v>
      </c>
      <c r="AM938" s="327"/>
      <c r="AN938" s="553" t="s">
        <v>334</v>
      </c>
      <c r="AO938" s="327"/>
      <c r="AP938" s="554"/>
      <c r="AQ938" s="327"/>
      <c r="AR938" s="555"/>
      <c r="AS938" s="327"/>
      <c r="AT938" s="549"/>
      <c r="AU938" s="327"/>
      <c r="AV938" s="553" t="s">
        <v>334</v>
      </c>
      <c r="AW938" s="327"/>
      <c r="AX938" s="521"/>
      <c r="AY938" s="326"/>
      <c r="AZ938" s="327"/>
      <c r="BA938" s="536"/>
      <c r="BB938" s="327"/>
      <c r="BC938" s="22"/>
      <c r="BD938" s="551" t="s">
        <v>334</v>
      </c>
      <c r="BE938" s="327"/>
      <c r="BF938" s="552"/>
      <c r="BG938" s="326"/>
      <c r="BH938" s="326"/>
      <c r="BI938" s="327"/>
      <c r="BJ938" s="451" t="s">
        <v>303</v>
      </c>
      <c r="BK938" s="326"/>
      <c r="BL938" s="326"/>
      <c r="BM938" s="327"/>
      <c r="BN938" s="558" t="s">
        <v>303</v>
      </c>
      <c r="BO938" s="326"/>
      <c r="BP938" s="326"/>
      <c r="BQ938" s="326"/>
      <c r="BR938" s="326"/>
      <c r="BS938" s="326"/>
      <c r="BT938" s="326"/>
      <c r="BU938" s="326"/>
      <c r="BV938" s="327"/>
    </row>
    <row r="939" spans="1:74" ht="45" customHeight="1" x14ac:dyDescent="0.25">
      <c r="A939" s="10">
        <f t="shared" si="3"/>
        <v>925</v>
      </c>
      <c r="B939" s="559" t="s">
        <v>303</v>
      </c>
      <c r="C939" s="327"/>
      <c r="D939" s="560" t="s">
        <v>307</v>
      </c>
      <c r="E939" s="327"/>
      <c r="F939" s="537" t="s">
        <v>334</v>
      </c>
      <c r="G939" s="327"/>
      <c r="H939" s="566" t="s">
        <v>334</v>
      </c>
      <c r="I939" s="327"/>
      <c r="J939" s="567"/>
      <c r="K939" s="327"/>
      <c r="L939" s="567"/>
      <c r="M939" s="327"/>
      <c r="N939" s="20"/>
      <c r="O939" s="21"/>
      <c r="P939" s="524"/>
      <c r="Q939" s="327"/>
      <c r="R939" s="538"/>
      <c r="S939" s="327"/>
      <c r="T939" s="539"/>
      <c r="U939" s="327"/>
      <c r="V939" s="540"/>
      <c r="W939" s="327"/>
      <c r="X939" s="541" t="s">
        <v>303</v>
      </c>
      <c r="Y939" s="326"/>
      <c r="Z939" s="326"/>
      <c r="AA939" s="327"/>
      <c r="AB939" s="542" t="s">
        <v>303</v>
      </c>
      <c r="AC939" s="326"/>
      <c r="AD939" s="326"/>
      <c r="AE939" s="327"/>
      <c r="AF939" s="543"/>
      <c r="AG939" s="327"/>
      <c r="AH939" s="543"/>
      <c r="AI939" s="327"/>
      <c r="AJ939" s="536"/>
      <c r="AK939" s="327"/>
      <c r="AL939" s="537" t="s">
        <v>334</v>
      </c>
      <c r="AM939" s="327"/>
      <c r="AN939" s="546" t="s">
        <v>334</v>
      </c>
      <c r="AO939" s="327"/>
      <c r="AP939" s="547"/>
      <c r="AQ939" s="327"/>
      <c r="AR939" s="548"/>
      <c r="AS939" s="327"/>
      <c r="AT939" s="549"/>
      <c r="AU939" s="327"/>
      <c r="AV939" s="546" t="s">
        <v>334</v>
      </c>
      <c r="AW939" s="327"/>
      <c r="AX939" s="521"/>
      <c r="AY939" s="326"/>
      <c r="AZ939" s="327"/>
      <c r="BA939" s="550"/>
      <c r="BB939" s="327"/>
      <c r="BC939" s="25"/>
      <c r="BD939" s="544" t="s">
        <v>334</v>
      </c>
      <c r="BE939" s="327"/>
      <c r="BF939" s="545"/>
      <c r="BG939" s="326"/>
      <c r="BH939" s="326"/>
      <c r="BI939" s="327"/>
      <c r="BJ939" s="557" t="s">
        <v>303</v>
      </c>
      <c r="BK939" s="326"/>
      <c r="BL939" s="326"/>
      <c r="BM939" s="327"/>
      <c r="BN939" s="558" t="s">
        <v>303</v>
      </c>
      <c r="BO939" s="326"/>
      <c r="BP939" s="326"/>
      <c r="BQ939" s="326"/>
      <c r="BR939" s="326"/>
      <c r="BS939" s="326"/>
      <c r="BT939" s="326"/>
      <c r="BU939" s="326"/>
      <c r="BV939" s="327"/>
    </row>
    <row r="940" spans="1:74" ht="45" customHeight="1" x14ac:dyDescent="0.25">
      <c r="A940" s="10">
        <f t="shared" si="3"/>
        <v>926</v>
      </c>
      <c r="B940" s="564" t="s">
        <v>303</v>
      </c>
      <c r="C940" s="327"/>
      <c r="D940" s="565" t="s">
        <v>307</v>
      </c>
      <c r="E940" s="327"/>
      <c r="F940" s="537" t="s">
        <v>334</v>
      </c>
      <c r="G940" s="327"/>
      <c r="H940" s="561" t="s">
        <v>334</v>
      </c>
      <c r="I940" s="327"/>
      <c r="J940" s="562"/>
      <c r="K940" s="327"/>
      <c r="L940" s="562"/>
      <c r="M940" s="327"/>
      <c r="N940" s="23"/>
      <c r="O940" s="24"/>
      <c r="P940" s="563"/>
      <c r="Q940" s="327"/>
      <c r="R940" s="516"/>
      <c r="S940" s="327"/>
      <c r="T940" s="517"/>
      <c r="U940" s="327"/>
      <c r="V940" s="518"/>
      <c r="W940" s="327"/>
      <c r="X940" s="438" t="s">
        <v>303</v>
      </c>
      <c r="Y940" s="326"/>
      <c r="Z940" s="326"/>
      <c r="AA940" s="327"/>
      <c r="AB940" s="519" t="s">
        <v>303</v>
      </c>
      <c r="AC940" s="326"/>
      <c r="AD940" s="326"/>
      <c r="AE940" s="327"/>
      <c r="AF940" s="520"/>
      <c r="AG940" s="327"/>
      <c r="AH940" s="520"/>
      <c r="AI940" s="327"/>
      <c r="AJ940" s="536"/>
      <c r="AK940" s="327"/>
      <c r="AL940" s="556" t="s">
        <v>334</v>
      </c>
      <c r="AM940" s="327"/>
      <c r="AN940" s="553" t="s">
        <v>334</v>
      </c>
      <c r="AO940" s="327"/>
      <c r="AP940" s="554"/>
      <c r="AQ940" s="327"/>
      <c r="AR940" s="555"/>
      <c r="AS940" s="327"/>
      <c r="AT940" s="549"/>
      <c r="AU940" s="327"/>
      <c r="AV940" s="553" t="s">
        <v>334</v>
      </c>
      <c r="AW940" s="327"/>
      <c r="AX940" s="521"/>
      <c r="AY940" s="326"/>
      <c r="AZ940" s="327"/>
      <c r="BA940" s="536"/>
      <c r="BB940" s="327"/>
      <c r="BC940" s="22"/>
      <c r="BD940" s="551" t="s">
        <v>334</v>
      </c>
      <c r="BE940" s="327"/>
      <c r="BF940" s="552"/>
      <c r="BG940" s="326"/>
      <c r="BH940" s="326"/>
      <c r="BI940" s="327"/>
      <c r="BJ940" s="451" t="s">
        <v>303</v>
      </c>
      <c r="BK940" s="326"/>
      <c r="BL940" s="326"/>
      <c r="BM940" s="327"/>
      <c r="BN940" s="558" t="s">
        <v>303</v>
      </c>
      <c r="BO940" s="326"/>
      <c r="BP940" s="326"/>
      <c r="BQ940" s="326"/>
      <c r="BR940" s="326"/>
      <c r="BS940" s="326"/>
      <c r="BT940" s="326"/>
      <c r="BU940" s="326"/>
      <c r="BV940" s="327"/>
    </row>
    <row r="941" spans="1:74" ht="45" customHeight="1" x14ac:dyDescent="0.25">
      <c r="A941" s="10">
        <f t="shared" si="3"/>
        <v>927</v>
      </c>
      <c r="B941" s="559" t="s">
        <v>303</v>
      </c>
      <c r="C941" s="327"/>
      <c r="D941" s="560" t="s">
        <v>307</v>
      </c>
      <c r="E941" s="327"/>
      <c r="F941" s="537" t="s">
        <v>334</v>
      </c>
      <c r="G941" s="327"/>
      <c r="H941" s="566" t="s">
        <v>334</v>
      </c>
      <c r="I941" s="327"/>
      <c r="J941" s="567"/>
      <c r="K941" s="327"/>
      <c r="L941" s="567"/>
      <c r="M941" s="327"/>
      <c r="N941" s="20"/>
      <c r="O941" s="24"/>
      <c r="P941" s="524"/>
      <c r="Q941" s="327"/>
      <c r="R941" s="538"/>
      <c r="S941" s="327"/>
      <c r="T941" s="539"/>
      <c r="U941" s="327"/>
      <c r="V941" s="540"/>
      <c r="W941" s="327"/>
      <c r="X941" s="541" t="s">
        <v>303</v>
      </c>
      <c r="Y941" s="326"/>
      <c r="Z941" s="326"/>
      <c r="AA941" s="327"/>
      <c r="AB941" s="542" t="s">
        <v>303</v>
      </c>
      <c r="AC941" s="326"/>
      <c r="AD941" s="326"/>
      <c r="AE941" s="327"/>
      <c r="AF941" s="543"/>
      <c r="AG941" s="327"/>
      <c r="AH941" s="543"/>
      <c r="AI941" s="327"/>
      <c r="AJ941" s="536"/>
      <c r="AK941" s="327"/>
      <c r="AL941" s="537" t="s">
        <v>334</v>
      </c>
      <c r="AM941" s="327"/>
      <c r="AN941" s="546" t="s">
        <v>334</v>
      </c>
      <c r="AO941" s="327"/>
      <c r="AP941" s="547"/>
      <c r="AQ941" s="327"/>
      <c r="AR941" s="548"/>
      <c r="AS941" s="327"/>
      <c r="AT941" s="568"/>
      <c r="AU941" s="327"/>
      <c r="AV941" s="546" t="s">
        <v>334</v>
      </c>
      <c r="AW941" s="327"/>
      <c r="AX941" s="521"/>
      <c r="AY941" s="326"/>
      <c r="AZ941" s="327"/>
      <c r="BA941" s="550"/>
      <c r="BB941" s="327"/>
      <c r="BC941" s="25"/>
      <c r="BD941" s="544" t="s">
        <v>334</v>
      </c>
      <c r="BE941" s="327"/>
      <c r="BF941" s="545"/>
      <c r="BG941" s="326"/>
      <c r="BH941" s="326"/>
      <c r="BI941" s="327"/>
      <c r="BJ941" s="557" t="s">
        <v>303</v>
      </c>
      <c r="BK941" s="326"/>
      <c r="BL941" s="326"/>
      <c r="BM941" s="327"/>
      <c r="BN941" s="558" t="s">
        <v>303</v>
      </c>
      <c r="BO941" s="326"/>
      <c r="BP941" s="326"/>
      <c r="BQ941" s="326"/>
      <c r="BR941" s="326"/>
      <c r="BS941" s="326"/>
      <c r="BT941" s="326"/>
      <c r="BU941" s="326"/>
      <c r="BV941" s="327"/>
    </row>
    <row r="942" spans="1:74" ht="45" customHeight="1" x14ac:dyDescent="0.25">
      <c r="A942" s="10">
        <f t="shared" si="3"/>
        <v>928</v>
      </c>
      <c r="B942" s="564" t="s">
        <v>303</v>
      </c>
      <c r="C942" s="327"/>
      <c r="D942" s="565" t="s">
        <v>307</v>
      </c>
      <c r="E942" s="327"/>
      <c r="F942" s="537" t="s">
        <v>334</v>
      </c>
      <c r="G942" s="327"/>
      <c r="H942" s="561" t="s">
        <v>334</v>
      </c>
      <c r="I942" s="327"/>
      <c r="J942" s="562"/>
      <c r="K942" s="327"/>
      <c r="L942" s="562"/>
      <c r="M942" s="327"/>
      <c r="N942" s="23"/>
      <c r="O942" s="21"/>
      <c r="P942" s="563"/>
      <c r="Q942" s="327"/>
      <c r="R942" s="516"/>
      <c r="S942" s="327"/>
      <c r="T942" s="517"/>
      <c r="U942" s="327"/>
      <c r="V942" s="518"/>
      <c r="W942" s="327"/>
      <c r="X942" s="438" t="s">
        <v>303</v>
      </c>
      <c r="Y942" s="326"/>
      <c r="Z942" s="326"/>
      <c r="AA942" s="327"/>
      <c r="AB942" s="519" t="s">
        <v>303</v>
      </c>
      <c r="AC942" s="326"/>
      <c r="AD942" s="326"/>
      <c r="AE942" s="327"/>
      <c r="AF942" s="520"/>
      <c r="AG942" s="327"/>
      <c r="AH942" s="520"/>
      <c r="AI942" s="327"/>
      <c r="AJ942" s="536"/>
      <c r="AK942" s="327"/>
      <c r="AL942" s="556" t="s">
        <v>334</v>
      </c>
      <c r="AM942" s="327"/>
      <c r="AN942" s="553" t="s">
        <v>334</v>
      </c>
      <c r="AO942" s="327"/>
      <c r="AP942" s="554"/>
      <c r="AQ942" s="327"/>
      <c r="AR942" s="555"/>
      <c r="AS942" s="327"/>
      <c r="AT942" s="549"/>
      <c r="AU942" s="327"/>
      <c r="AV942" s="553" t="s">
        <v>334</v>
      </c>
      <c r="AW942" s="327"/>
      <c r="AX942" s="521"/>
      <c r="AY942" s="326"/>
      <c r="AZ942" s="327"/>
      <c r="BA942" s="536"/>
      <c r="BB942" s="327"/>
      <c r="BC942" s="22"/>
      <c r="BD942" s="551" t="s">
        <v>334</v>
      </c>
      <c r="BE942" s="327"/>
      <c r="BF942" s="508"/>
      <c r="BG942" s="326"/>
      <c r="BH942" s="326"/>
      <c r="BI942" s="327"/>
      <c r="BJ942" s="451" t="s">
        <v>303</v>
      </c>
      <c r="BK942" s="326"/>
      <c r="BL942" s="326"/>
      <c r="BM942" s="327"/>
      <c r="BN942" s="558" t="s">
        <v>303</v>
      </c>
      <c r="BO942" s="326"/>
      <c r="BP942" s="326"/>
      <c r="BQ942" s="326"/>
      <c r="BR942" s="326"/>
      <c r="BS942" s="326"/>
      <c r="BT942" s="326"/>
      <c r="BU942" s="326"/>
      <c r="BV942" s="327"/>
    </row>
    <row r="943" spans="1:74" ht="45" customHeight="1" x14ac:dyDescent="0.25">
      <c r="A943" s="10">
        <f t="shared" si="3"/>
        <v>929</v>
      </c>
      <c r="B943" s="559" t="s">
        <v>303</v>
      </c>
      <c r="C943" s="327"/>
      <c r="D943" s="560" t="s">
        <v>307</v>
      </c>
      <c r="E943" s="327"/>
      <c r="F943" s="537" t="s">
        <v>334</v>
      </c>
      <c r="G943" s="327"/>
      <c r="H943" s="566" t="s">
        <v>334</v>
      </c>
      <c r="I943" s="327"/>
      <c r="J943" s="567"/>
      <c r="K943" s="327"/>
      <c r="L943" s="567"/>
      <c r="M943" s="327"/>
      <c r="N943" s="20"/>
      <c r="O943" s="24"/>
      <c r="P943" s="524"/>
      <c r="Q943" s="327"/>
      <c r="R943" s="538"/>
      <c r="S943" s="327"/>
      <c r="T943" s="539"/>
      <c r="U943" s="327"/>
      <c r="V943" s="540"/>
      <c r="W943" s="327"/>
      <c r="X943" s="541" t="s">
        <v>303</v>
      </c>
      <c r="Y943" s="326"/>
      <c r="Z943" s="326"/>
      <c r="AA943" s="327"/>
      <c r="AB943" s="542" t="s">
        <v>303</v>
      </c>
      <c r="AC943" s="326"/>
      <c r="AD943" s="326"/>
      <c r="AE943" s="327"/>
      <c r="AF943" s="543"/>
      <c r="AG943" s="327"/>
      <c r="AH943" s="543"/>
      <c r="AI943" s="327"/>
      <c r="AJ943" s="536"/>
      <c r="AK943" s="327"/>
      <c r="AL943" s="537" t="s">
        <v>334</v>
      </c>
      <c r="AM943" s="327"/>
      <c r="AN943" s="546" t="s">
        <v>334</v>
      </c>
      <c r="AO943" s="327"/>
      <c r="AP943" s="547"/>
      <c r="AQ943" s="327"/>
      <c r="AR943" s="548"/>
      <c r="AS943" s="327"/>
      <c r="AT943" s="568"/>
      <c r="AU943" s="327"/>
      <c r="AV943" s="546" t="s">
        <v>334</v>
      </c>
      <c r="AW943" s="327"/>
      <c r="AX943" s="521"/>
      <c r="AY943" s="326"/>
      <c r="AZ943" s="327"/>
      <c r="BA943" s="550"/>
      <c r="BB943" s="327"/>
      <c r="BC943" s="25"/>
      <c r="BD943" s="544" t="s">
        <v>334</v>
      </c>
      <c r="BE943" s="327"/>
      <c r="BF943" s="545"/>
      <c r="BG943" s="326"/>
      <c r="BH943" s="326"/>
      <c r="BI943" s="327"/>
      <c r="BJ943" s="557" t="s">
        <v>303</v>
      </c>
      <c r="BK943" s="326"/>
      <c r="BL943" s="326"/>
      <c r="BM943" s="327"/>
      <c r="BN943" s="558" t="s">
        <v>303</v>
      </c>
      <c r="BO943" s="326"/>
      <c r="BP943" s="326"/>
      <c r="BQ943" s="326"/>
      <c r="BR943" s="326"/>
      <c r="BS943" s="326"/>
      <c r="BT943" s="326"/>
      <c r="BU943" s="326"/>
      <c r="BV943" s="327"/>
    </row>
    <row r="944" spans="1:74" ht="45" customHeight="1" x14ac:dyDescent="0.25">
      <c r="A944" s="10">
        <f t="shared" si="3"/>
        <v>930</v>
      </c>
      <c r="B944" s="564" t="s">
        <v>303</v>
      </c>
      <c r="C944" s="327"/>
      <c r="D944" s="565" t="s">
        <v>307</v>
      </c>
      <c r="E944" s="327"/>
      <c r="F944" s="537" t="s">
        <v>334</v>
      </c>
      <c r="G944" s="327"/>
      <c r="H944" s="561" t="s">
        <v>334</v>
      </c>
      <c r="I944" s="327"/>
      <c r="J944" s="562"/>
      <c r="K944" s="327"/>
      <c r="L944" s="562"/>
      <c r="M944" s="327"/>
      <c r="N944" s="23"/>
      <c r="O944" s="21"/>
      <c r="P944" s="563"/>
      <c r="Q944" s="327"/>
      <c r="R944" s="516"/>
      <c r="S944" s="327"/>
      <c r="T944" s="517"/>
      <c r="U944" s="327"/>
      <c r="V944" s="518"/>
      <c r="W944" s="327"/>
      <c r="X944" s="438" t="s">
        <v>303</v>
      </c>
      <c r="Y944" s="326"/>
      <c r="Z944" s="326"/>
      <c r="AA944" s="327"/>
      <c r="AB944" s="519" t="s">
        <v>303</v>
      </c>
      <c r="AC944" s="326"/>
      <c r="AD944" s="326"/>
      <c r="AE944" s="327"/>
      <c r="AF944" s="520"/>
      <c r="AG944" s="327"/>
      <c r="AH944" s="520"/>
      <c r="AI944" s="327"/>
      <c r="AJ944" s="536"/>
      <c r="AK944" s="327"/>
      <c r="AL944" s="556" t="s">
        <v>334</v>
      </c>
      <c r="AM944" s="327"/>
      <c r="AN944" s="553" t="s">
        <v>334</v>
      </c>
      <c r="AO944" s="327"/>
      <c r="AP944" s="554"/>
      <c r="AQ944" s="327"/>
      <c r="AR944" s="555"/>
      <c r="AS944" s="327"/>
      <c r="AT944" s="549"/>
      <c r="AU944" s="327"/>
      <c r="AV944" s="553" t="s">
        <v>334</v>
      </c>
      <c r="AW944" s="327"/>
      <c r="AX944" s="521"/>
      <c r="AY944" s="326"/>
      <c r="AZ944" s="327"/>
      <c r="BA944" s="536"/>
      <c r="BB944" s="327"/>
      <c r="BC944" s="22"/>
      <c r="BD944" s="551" t="s">
        <v>334</v>
      </c>
      <c r="BE944" s="327"/>
      <c r="BF944" s="552"/>
      <c r="BG944" s="326"/>
      <c r="BH944" s="326"/>
      <c r="BI944" s="327"/>
      <c r="BJ944" s="451" t="s">
        <v>303</v>
      </c>
      <c r="BK944" s="326"/>
      <c r="BL944" s="326"/>
      <c r="BM944" s="327"/>
      <c r="BN944" s="558" t="s">
        <v>303</v>
      </c>
      <c r="BO944" s="326"/>
      <c r="BP944" s="326"/>
      <c r="BQ944" s="326"/>
      <c r="BR944" s="326"/>
      <c r="BS944" s="326"/>
      <c r="BT944" s="326"/>
      <c r="BU944" s="326"/>
      <c r="BV944" s="327"/>
    </row>
    <row r="945" spans="1:74" ht="45" customHeight="1" x14ac:dyDescent="0.25">
      <c r="A945" s="10">
        <f t="shared" si="3"/>
        <v>931</v>
      </c>
      <c r="B945" s="559" t="s">
        <v>303</v>
      </c>
      <c r="C945" s="327"/>
      <c r="D945" s="560" t="s">
        <v>307</v>
      </c>
      <c r="E945" s="327"/>
      <c r="F945" s="537" t="s">
        <v>334</v>
      </c>
      <c r="G945" s="327"/>
      <c r="H945" s="566" t="s">
        <v>334</v>
      </c>
      <c r="I945" s="327"/>
      <c r="J945" s="567"/>
      <c r="K945" s="327"/>
      <c r="L945" s="567"/>
      <c r="M945" s="327"/>
      <c r="N945" s="20"/>
      <c r="O945" s="24"/>
      <c r="P945" s="524"/>
      <c r="Q945" s="327"/>
      <c r="R945" s="538"/>
      <c r="S945" s="327"/>
      <c r="T945" s="539"/>
      <c r="U945" s="327"/>
      <c r="V945" s="540"/>
      <c r="W945" s="327"/>
      <c r="X945" s="541" t="s">
        <v>303</v>
      </c>
      <c r="Y945" s="326"/>
      <c r="Z945" s="326"/>
      <c r="AA945" s="327"/>
      <c r="AB945" s="542" t="s">
        <v>303</v>
      </c>
      <c r="AC945" s="326"/>
      <c r="AD945" s="326"/>
      <c r="AE945" s="327"/>
      <c r="AF945" s="543"/>
      <c r="AG945" s="327"/>
      <c r="AH945" s="543"/>
      <c r="AI945" s="327"/>
      <c r="AJ945" s="536"/>
      <c r="AK945" s="327"/>
      <c r="AL945" s="537" t="s">
        <v>334</v>
      </c>
      <c r="AM945" s="327"/>
      <c r="AN945" s="546" t="s">
        <v>334</v>
      </c>
      <c r="AO945" s="327"/>
      <c r="AP945" s="547"/>
      <c r="AQ945" s="327"/>
      <c r="AR945" s="548"/>
      <c r="AS945" s="327"/>
      <c r="AT945" s="568"/>
      <c r="AU945" s="327"/>
      <c r="AV945" s="546" t="s">
        <v>334</v>
      </c>
      <c r="AW945" s="327"/>
      <c r="AX945" s="521"/>
      <c r="AY945" s="326"/>
      <c r="AZ945" s="327"/>
      <c r="BA945" s="550"/>
      <c r="BB945" s="327"/>
      <c r="BC945" s="25"/>
      <c r="BD945" s="544" t="s">
        <v>334</v>
      </c>
      <c r="BE945" s="327"/>
      <c r="BF945" s="545"/>
      <c r="BG945" s="326"/>
      <c r="BH945" s="326"/>
      <c r="BI945" s="327"/>
      <c r="BJ945" s="557" t="s">
        <v>303</v>
      </c>
      <c r="BK945" s="326"/>
      <c r="BL945" s="326"/>
      <c r="BM945" s="327"/>
      <c r="BN945" s="558" t="s">
        <v>303</v>
      </c>
      <c r="BO945" s="326"/>
      <c r="BP945" s="326"/>
      <c r="BQ945" s="326"/>
      <c r="BR945" s="326"/>
      <c r="BS945" s="326"/>
      <c r="BT945" s="326"/>
      <c r="BU945" s="326"/>
      <c r="BV945" s="327"/>
    </row>
    <row r="946" spans="1:74" ht="45" customHeight="1" x14ac:dyDescent="0.25">
      <c r="A946" s="10">
        <f t="shared" si="3"/>
        <v>932</v>
      </c>
      <c r="B946" s="564" t="s">
        <v>303</v>
      </c>
      <c r="C946" s="327"/>
      <c r="D946" s="565" t="s">
        <v>307</v>
      </c>
      <c r="E946" s="327"/>
      <c r="F946" s="537" t="s">
        <v>334</v>
      </c>
      <c r="G946" s="327"/>
      <c r="H946" s="561" t="s">
        <v>334</v>
      </c>
      <c r="I946" s="327"/>
      <c r="J946" s="562"/>
      <c r="K946" s="327"/>
      <c r="L946" s="562"/>
      <c r="M946" s="327"/>
      <c r="N946" s="23"/>
      <c r="O946" s="21"/>
      <c r="P946" s="563"/>
      <c r="Q946" s="327"/>
      <c r="R946" s="516"/>
      <c r="S946" s="327"/>
      <c r="T946" s="517"/>
      <c r="U946" s="327"/>
      <c r="V946" s="518"/>
      <c r="W946" s="327"/>
      <c r="X946" s="438" t="s">
        <v>303</v>
      </c>
      <c r="Y946" s="326"/>
      <c r="Z946" s="326"/>
      <c r="AA946" s="327"/>
      <c r="AB946" s="519" t="s">
        <v>303</v>
      </c>
      <c r="AC946" s="326"/>
      <c r="AD946" s="326"/>
      <c r="AE946" s="327"/>
      <c r="AF946" s="520"/>
      <c r="AG946" s="327"/>
      <c r="AH946" s="520"/>
      <c r="AI946" s="327"/>
      <c r="AJ946" s="536"/>
      <c r="AK946" s="327"/>
      <c r="AL946" s="556" t="s">
        <v>334</v>
      </c>
      <c r="AM946" s="327"/>
      <c r="AN946" s="553" t="s">
        <v>334</v>
      </c>
      <c r="AO946" s="327"/>
      <c r="AP946" s="554"/>
      <c r="AQ946" s="327"/>
      <c r="AR946" s="555"/>
      <c r="AS946" s="327"/>
      <c r="AT946" s="549"/>
      <c r="AU946" s="327"/>
      <c r="AV946" s="553" t="s">
        <v>334</v>
      </c>
      <c r="AW946" s="327"/>
      <c r="AX946" s="521"/>
      <c r="AY946" s="326"/>
      <c r="AZ946" s="327"/>
      <c r="BA946" s="536"/>
      <c r="BB946" s="327"/>
      <c r="BC946" s="22"/>
      <c r="BD946" s="551" t="s">
        <v>334</v>
      </c>
      <c r="BE946" s="327"/>
      <c r="BF946" s="552"/>
      <c r="BG946" s="326"/>
      <c r="BH946" s="326"/>
      <c r="BI946" s="327"/>
      <c r="BJ946" s="451" t="s">
        <v>303</v>
      </c>
      <c r="BK946" s="326"/>
      <c r="BL946" s="326"/>
      <c r="BM946" s="327"/>
      <c r="BN946" s="558" t="s">
        <v>303</v>
      </c>
      <c r="BO946" s="326"/>
      <c r="BP946" s="326"/>
      <c r="BQ946" s="326"/>
      <c r="BR946" s="326"/>
      <c r="BS946" s="326"/>
      <c r="BT946" s="326"/>
      <c r="BU946" s="326"/>
      <c r="BV946" s="327"/>
    </row>
    <row r="947" spans="1:74" ht="45" customHeight="1" x14ac:dyDescent="0.25">
      <c r="A947" s="10">
        <f t="shared" si="3"/>
        <v>933</v>
      </c>
      <c r="B947" s="559" t="s">
        <v>303</v>
      </c>
      <c r="C947" s="327"/>
      <c r="D947" s="560" t="s">
        <v>307</v>
      </c>
      <c r="E947" s="327"/>
      <c r="F947" s="537" t="s">
        <v>334</v>
      </c>
      <c r="G947" s="327"/>
      <c r="H947" s="566" t="s">
        <v>334</v>
      </c>
      <c r="I947" s="327"/>
      <c r="J947" s="567"/>
      <c r="K947" s="327"/>
      <c r="L947" s="567"/>
      <c r="M947" s="327"/>
      <c r="N947" s="20"/>
      <c r="O947" s="24"/>
      <c r="P947" s="524"/>
      <c r="Q947" s="327"/>
      <c r="R947" s="538"/>
      <c r="S947" s="327"/>
      <c r="T947" s="539"/>
      <c r="U947" s="327"/>
      <c r="V947" s="540"/>
      <c r="W947" s="327"/>
      <c r="X947" s="541" t="s">
        <v>303</v>
      </c>
      <c r="Y947" s="326"/>
      <c r="Z947" s="326"/>
      <c r="AA947" s="327"/>
      <c r="AB947" s="542" t="s">
        <v>303</v>
      </c>
      <c r="AC947" s="326"/>
      <c r="AD947" s="326"/>
      <c r="AE947" s="327"/>
      <c r="AF947" s="543"/>
      <c r="AG947" s="327"/>
      <c r="AH947" s="543"/>
      <c r="AI947" s="327"/>
      <c r="AJ947" s="536"/>
      <c r="AK947" s="327"/>
      <c r="AL947" s="537" t="s">
        <v>334</v>
      </c>
      <c r="AM947" s="327"/>
      <c r="AN947" s="546" t="s">
        <v>334</v>
      </c>
      <c r="AO947" s="327"/>
      <c r="AP947" s="547"/>
      <c r="AQ947" s="327"/>
      <c r="AR947" s="548"/>
      <c r="AS947" s="327"/>
      <c r="AT947" s="568"/>
      <c r="AU947" s="327"/>
      <c r="AV947" s="546" t="s">
        <v>334</v>
      </c>
      <c r="AW947" s="327"/>
      <c r="AX947" s="521"/>
      <c r="AY947" s="326"/>
      <c r="AZ947" s="327"/>
      <c r="BA947" s="550"/>
      <c r="BB947" s="327"/>
      <c r="BC947" s="25"/>
      <c r="BD947" s="544" t="s">
        <v>334</v>
      </c>
      <c r="BE947" s="327"/>
      <c r="BF947" s="545"/>
      <c r="BG947" s="326"/>
      <c r="BH947" s="326"/>
      <c r="BI947" s="327"/>
      <c r="BJ947" s="557" t="s">
        <v>303</v>
      </c>
      <c r="BK947" s="326"/>
      <c r="BL947" s="326"/>
      <c r="BM947" s="327"/>
      <c r="BN947" s="558" t="s">
        <v>303</v>
      </c>
      <c r="BO947" s="326"/>
      <c r="BP947" s="326"/>
      <c r="BQ947" s="326"/>
      <c r="BR947" s="326"/>
      <c r="BS947" s="326"/>
      <c r="BT947" s="326"/>
      <c r="BU947" s="326"/>
      <c r="BV947" s="327"/>
    </row>
    <row r="948" spans="1:74" ht="45" customHeight="1" x14ac:dyDescent="0.25">
      <c r="A948" s="10">
        <f t="shared" si="3"/>
        <v>934</v>
      </c>
      <c r="B948" s="564" t="s">
        <v>303</v>
      </c>
      <c r="C948" s="327"/>
      <c r="D948" s="565" t="s">
        <v>307</v>
      </c>
      <c r="E948" s="327"/>
      <c r="F948" s="537" t="s">
        <v>334</v>
      </c>
      <c r="G948" s="327"/>
      <c r="H948" s="561" t="s">
        <v>334</v>
      </c>
      <c r="I948" s="327"/>
      <c r="J948" s="562"/>
      <c r="K948" s="327"/>
      <c r="L948" s="562"/>
      <c r="M948" s="327"/>
      <c r="N948" s="23"/>
      <c r="O948" s="21"/>
      <c r="P948" s="563"/>
      <c r="Q948" s="327"/>
      <c r="R948" s="516"/>
      <c r="S948" s="327"/>
      <c r="T948" s="517"/>
      <c r="U948" s="327"/>
      <c r="V948" s="518"/>
      <c r="W948" s="327"/>
      <c r="X948" s="438" t="s">
        <v>303</v>
      </c>
      <c r="Y948" s="326"/>
      <c r="Z948" s="326"/>
      <c r="AA948" s="327"/>
      <c r="AB948" s="519" t="s">
        <v>303</v>
      </c>
      <c r="AC948" s="326"/>
      <c r="AD948" s="326"/>
      <c r="AE948" s="327"/>
      <c r="AF948" s="520"/>
      <c r="AG948" s="327"/>
      <c r="AH948" s="520"/>
      <c r="AI948" s="327"/>
      <c r="AJ948" s="536"/>
      <c r="AK948" s="327"/>
      <c r="AL948" s="556" t="s">
        <v>334</v>
      </c>
      <c r="AM948" s="327"/>
      <c r="AN948" s="553" t="s">
        <v>334</v>
      </c>
      <c r="AO948" s="327"/>
      <c r="AP948" s="554"/>
      <c r="AQ948" s="327"/>
      <c r="AR948" s="555"/>
      <c r="AS948" s="327"/>
      <c r="AT948" s="549"/>
      <c r="AU948" s="327"/>
      <c r="AV948" s="553" t="s">
        <v>334</v>
      </c>
      <c r="AW948" s="327"/>
      <c r="AX948" s="521"/>
      <c r="AY948" s="326"/>
      <c r="AZ948" s="327"/>
      <c r="BA948" s="536"/>
      <c r="BB948" s="327"/>
      <c r="BC948" s="22"/>
      <c r="BD948" s="551" t="s">
        <v>334</v>
      </c>
      <c r="BE948" s="327"/>
      <c r="BF948" s="508"/>
      <c r="BG948" s="326"/>
      <c r="BH948" s="326"/>
      <c r="BI948" s="327"/>
      <c r="BJ948" s="451" t="s">
        <v>303</v>
      </c>
      <c r="BK948" s="326"/>
      <c r="BL948" s="326"/>
      <c r="BM948" s="327"/>
      <c r="BN948" s="558" t="s">
        <v>303</v>
      </c>
      <c r="BO948" s="326"/>
      <c r="BP948" s="326"/>
      <c r="BQ948" s="326"/>
      <c r="BR948" s="326"/>
      <c r="BS948" s="326"/>
      <c r="BT948" s="326"/>
      <c r="BU948" s="326"/>
      <c r="BV948" s="327"/>
    </row>
    <row r="949" spans="1:74" ht="45" customHeight="1" x14ac:dyDescent="0.25">
      <c r="A949" s="10">
        <f t="shared" si="3"/>
        <v>935</v>
      </c>
      <c r="B949" s="559" t="s">
        <v>303</v>
      </c>
      <c r="C949" s="327"/>
      <c r="D949" s="560" t="s">
        <v>307</v>
      </c>
      <c r="E949" s="327"/>
      <c r="F949" s="537" t="s">
        <v>334</v>
      </c>
      <c r="G949" s="327"/>
      <c r="H949" s="566" t="s">
        <v>334</v>
      </c>
      <c r="I949" s="327"/>
      <c r="J949" s="567"/>
      <c r="K949" s="327"/>
      <c r="L949" s="567"/>
      <c r="M949" s="327"/>
      <c r="N949" s="20"/>
      <c r="O949" s="24"/>
      <c r="P949" s="524"/>
      <c r="Q949" s="327"/>
      <c r="R949" s="538"/>
      <c r="S949" s="327"/>
      <c r="T949" s="539"/>
      <c r="U949" s="327"/>
      <c r="V949" s="540"/>
      <c r="W949" s="327"/>
      <c r="X949" s="541" t="s">
        <v>303</v>
      </c>
      <c r="Y949" s="326"/>
      <c r="Z949" s="326"/>
      <c r="AA949" s="327"/>
      <c r="AB949" s="542" t="s">
        <v>303</v>
      </c>
      <c r="AC949" s="326"/>
      <c r="AD949" s="326"/>
      <c r="AE949" s="327"/>
      <c r="AF949" s="543"/>
      <c r="AG949" s="327"/>
      <c r="AH949" s="543"/>
      <c r="AI949" s="327"/>
      <c r="AJ949" s="536"/>
      <c r="AK949" s="327"/>
      <c r="AL949" s="537" t="s">
        <v>334</v>
      </c>
      <c r="AM949" s="327"/>
      <c r="AN949" s="546" t="s">
        <v>334</v>
      </c>
      <c r="AO949" s="327"/>
      <c r="AP949" s="547"/>
      <c r="AQ949" s="327"/>
      <c r="AR949" s="548"/>
      <c r="AS949" s="327"/>
      <c r="AT949" s="568"/>
      <c r="AU949" s="327"/>
      <c r="AV949" s="546" t="s">
        <v>334</v>
      </c>
      <c r="AW949" s="327"/>
      <c r="AX949" s="521"/>
      <c r="AY949" s="326"/>
      <c r="AZ949" s="327"/>
      <c r="BA949" s="550"/>
      <c r="BB949" s="327"/>
      <c r="BC949" s="25"/>
      <c r="BD949" s="544" t="s">
        <v>334</v>
      </c>
      <c r="BE949" s="327"/>
      <c r="BF949" s="545"/>
      <c r="BG949" s="326"/>
      <c r="BH949" s="326"/>
      <c r="BI949" s="327"/>
      <c r="BJ949" s="557" t="s">
        <v>303</v>
      </c>
      <c r="BK949" s="326"/>
      <c r="BL949" s="326"/>
      <c r="BM949" s="327"/>
      <c r="BN949" s="558" t="s">
        <v>303</v>
      </c>
      <c r="BO949" s="326"/>
      <c r="BP949" s="326"/>
      <c r="BQ949" s="326"/>
      <c r="BR949" s="326"/>
      <c r="BS949" s="326"/>
      <c r="BT949" s="326"/>
      <c r="BU949" s="326"/>
      <c r="BV949" s="327"/>
    </row>
    <row r="950" spans="1:74" ht="45" customHeight="1" x14ac:dyDescent="0.25">
      <c r="A950" s="10">
        <f t="shared" si="3"/>
        <v>936</v>
      </c>
      <c r="B950" s="564" t="s">
        <v>303</v>
      </c>
      <c r="C950" s="327"/>
      <c r="D950" s="565" t="s">
        <v>307</v>
      </c>
      <c r="E950" s="327"/>
      <c r="F950" s="537" t="s">
        <v>334</v>
      </c>
      <c r="G950" s="327"/>
      <c r="H950" s="561" t="s">
        <v>334</v>
      </c>
      <c r="I950" s="327"/>
      <c r="J950" s="562"/>
      <c r="K950" s="327"/>
      <c r="L950" s="562"/>
      <c r="M950" s="327"/>
      <c r="N950" s="23"/>
      <c r="O950" s="21"/>
      <c r="P950" s="563"/>
      <c r="Q950" s="327"/>
      <c r="R950" s="516"/>
      <c r="S950" s="327"/>
      <c r="T950" s="517"/>
      <c r="U950" s="327"/>
      <c r="V950" s="518"/>
      <c r="W950" s="327"/>
      <c r="X950" s="438" t="s">
        <v>303</v>
      </c>
      <c r="Y950" s="326"/>
      <c r="Z950" s="326"/>
      <c r="AA950" s="327"/>
      <c r="AB950" s="519" t="s">
        <v>303</v>
      </c>
      <c r="AC950" s="326"/>
      <c r="AD950" s="326"/>
      <c r="AE950" s="327"/>
      <c r="AF950" s="520"/>
      <c r="AG950" s="327"/>
      <c r="AH950" s="520"/>
      <c r="AI950" s="327"/>
      <c r="AJ950" s="536"/>
      <c r="AK950" s="327"/>
      <c r="AL950" s="556" t="s">
        <v>334</v>
      </c>
      <c r="AM950" s="327"/>
      <c r="AN950" s="553" t="s">
        <v>334</v>
      </c>
      <c r="AO950" s="327"/>
      <c r="AP950" s="554"/>
      <c r="AQ950" s="327"/>
      <c r="AR950" s="555"/>
      <c r="AS950" s="327"/>
      <c r="AT950" s="549"/>
      <c r="AU950" s="327"/>
      <c r="AV950" s="553" t="s">
        <v>334</v>
      </c>
      <c r="AW950" s="327"/>
      <c r="AX950" s="521"/>
      <c r="AY950" s="326"/>
      <c r="AZ950" s="327"/>
      <c r="BA950" s="536"/>
      <c r="BB950" s="327"/>
      <c r="BC950" s="22"/>
      <c r="BD950" s="551" t="s">
        <v>334</v>
      </c>
      <c r="BE950" s="327"/>
      <c r="BF950" s="552"/>
      <c r="BG950" s="326"/>
      <c r="BH950" s="326"/>
      <c r="BI950" s="327"/>
      <c r="BJ950" s="451" t="s">
        <v>303</v>
      </c>
      <c r="BK950" s="326"/>
      <c r="BL950" s="326"/>
      <c r="BM950" s="327"/>
      <c r="BN950" s="558" t="s">
        <v>303</v>
      </c>
      <c r="BO950" s="326"/>
      <c r="BP950" s="326"/>
      <c r="BQ950" s="326"/>
      <c r="BR950" s="326"/>
      <c r="BS950" s="326"/>
      <c r="BT950" s="326"/>
      <c r="BU950" s="326"/>
      <c r="BV950" s="327"/>
    </row>
    <row r="951" spans="1:74" ht="45" customHeight="1" x14ac:dyDescent="0.25">
      <c r="A951" s="10">
        <f t="shared" si="3"/>
        <v>937</v>
      </c>
      <c r="B951" s="559" t="s">
        <v>303</v>
      </c>
      <c r="C951" s="327"/>
      <c r="D951" s="560" t="s">
        <v>307</v>
      </c>
      <c r="E951" s="327"/>
      <c r="F951" s="537" t="s">
        <v>334</v>
      </c>
      <c r="G951" s="327"/>
      <c r="H951" s="566" t="s">
        <v>334</v>
      </c>
      <c r="I951" s="327"/>
      <c r="J951" s="567"/>
      <c r="K951" s="327"/>
      <c r="L951" s="567"/>
      <c r="M951" s="327"/>
      <c r="N951" s="23"/>
      <c r="O951" s="24"/>
      <c r="P951" s="563"/>
      <c r="Q951" s="327"/>
      <c r="R951" s="538"/>
      <c r="S951" s="327"/>
      <c r="T951" s="539"/>
      <c r="U951" s="327"/>
      <c r="V951" s="540"/>
      <c r="W951" s="327"/>
      <c r="X951" s="541" t="s">
        <v>303</v>
      </c>
      <c r="Y951" s="326"/>
      <c r="Z951" s="326"/>
      <c r="AA951" s="327"/>
      <c r="AB951" s="542" t="s">
        <v>303</v>
      </c>
      <c r="AC951" s="326"/>
      <c r="AD951" s="326"/>
      <c r="AE951" s="327"/>
      <c r="AF951" s="543"/>
      <c r="AG951" s="327"/>
      <c r="AH951" s="543"/>
      <c r="AI951" s="327"/>
      <c r="AJ951" s="536"/>
      <c r="AK951" s="327"/>
      <c r="AL951" s="537" t="s">
        <v>334</v>
      </c>
      <c r="AM951" s="327"/>
      <c r="AN951" s="546" t="s">
        <v>334</v>
      </c>
      <c r="AO951" s="327"/>
      <c r="AP951" s="547"/>
      <c r="AQ951" s="327"/>
      <c r="AR951" s="548"/>
      <c r="AS951" s="327"/>
      <c r="AT951" s="549"/>
      <c r="AU951" s="327"/>
      <c r="AV951" s="546" t="s">
        <v>334</v>
      </c>
      <c r="AW951" s="327"/>
      <c r="AX951" s="521"/>
      <c r="AY951" s="326"/>
      <c r="AZ951" s="327"/>
      <c r="BA951" s="550"/>
      <c r="BB951" s="327"/>
      <c r="BC951" s="25"/>
      <c r="BD951" s="551" t="s">
        <v>334</v>
      </c>
      <c r="BE951" s="327"/>
      <c r="BF951" s="545"/>
      <c r="BG951" s="326"/>
      <c r="BH951" s="326"/>
      <c r="BI951" s="327"/>
      <c r="BJ951" s="557" t="s">
        <v>303</v>
      </c>
      <c r="BK951" s="326"/>
      <c r="BL951" s="326"/>
      <c r="BM951" s="327"/>
      <c r="BN951" s="558" t="s">
        <v>303</v>
      </c>
      <c r="BO951" s="326"/>
      <c r="BP951" s="326"/>
      <c r="BQ951" s="326"/>
      <c r="BR951" s="326"/>
      <c r="BS951" s="326"/>
      <c r="BT951" s="326"/>
      <c r="BU951" s="326"/>
      <c r="BV951" s="327"/>
    </row>
    <row r="952" spans="1:74" ht="45" customHeight="1" x14ac:dyDescent="0.25">
      <c r="A952" s="10">
        <f t="shared" si="3"/>
        <v>938</v>
      </c>
      <c r="B952" s="564" t="s">
        <v>303</v>
      </c>
      <c r="C952" s="327"/>
      <c r="D952" s="565" t="s">
        <v>307</v>
      </c>
      <c r="E952" s="327"/>
      <c r="F952" s="537" t="s">
        <v>334</v>
      </c>
      <c r="G952" s="327"/>
      <c r="H952" s="561" t="s">
        <v>334</v>
      </c>
      <c r="I952" s="327"/>
      <c r="J952" s="562"/>
      <c r="K952" s="327"/>
      <c r="L952" s="562"/>
      <c r="M952" s="327"/>
      <c r="N952" s="20"/>
      <c r="O952" s="21"/>
      <c r="P952" s="524"/>
      <c r="Q952" s="327"/>
      <c r="R952" s="516"/>
      <c r="S952" s="327"/>
      <c r="T952" s="517"/>
      <c r="U952" s="327"/>
      <c r="V952" s="518"/>
      <c r="W952" s="327"/>
      <c r="X952" s="438" t="s">
        <v>303</v>
      </c>
      <c r="Y952" s="326"/>
      <c r="Z952" s="326"/>
      <c r="AA952" s="327"/>
      <c r="AB952" s="519" t="s">
        <v>303</v>
      </c>
      <c r="AC952" s="326"/>
      <c r="AD952" s="326"/>
      <c r="AE952" s="327"/>
      <c r="AF952" s="520"/>
      <c r="AG952" s="327"/>
      <c r="AH952" s="520"/>
      <c r="AI952" s="327"/>
      <c r="AJ952" s="536"/>
      <c r="AK952" s="327"/>
      <c r="AL952" s="556" t="s">
        <v>334</v>
      </c>
      <c r="AM952" s="327"/>
      <c r="AN952" s="553" t="s">
        <v>334</v>
      </c>
      <c r="AO952" s="327"/>
      <c r="AP952" s="554"/>
      <c r="AQ952" s="327"/>
      <c r="AR952" s="555"/>
      <c r="AS952" s="327"/>
      <c r="AT952" s="549"/>
      <c r="AU952" s="327"/>
      <c r="AV952" s="553" t="s">
        <v>334</v>
      </c>
      <c r="AW952" s="327"/>
      <c r="AX952" s="521"/>
      <c r="AY952" s="326"/>
      <c r="AZ952" s="327"/>
      <c r="BA952" s="536"/>
      <c r="BB952" s="327"/>
      <c r="BC952" s="22"/>
      <c r="BD952" s="544" t="s">
        <v>334</v>
      </c>
      <c r="BE952" s="327"/>
      <c r="BF952" s="552"/>
      <c r="BG952" s="326"/>
      <c r="BH952" s="326"/>
      <c r="BI952" s="327"/>
      <c r="BJ952" s="451" t="s">
        <v>303</v>
      </c>
      <c r="BK952" s="326"/>
      <c r="BL952" s="326"/>
      <c r="BM952" s="327"/>
      <c r="BN952" s="558" t="s">
        <v>303</v>
      </c>
      <c r="BO952" s="326"/>
      <c r="BP952" s="326"/>
      <c r="BQ952" s="326"/>
      <c r="BR952" s="326"/>
      <c r="BS952" s="326"/>
      <c r="BT952" s="326"/>
      <c r="BU952" s="326"/>
      <c r="BV952" s="327"/>
    </row>
    <row r="953" spans="1:74" ht="45" customHeight="1" x14ac:dyDescent="0.25">
      <c r="A953" s="10">
        <f t="shared" si="3"/>
        <v>939</v>
      </c>
      <c r="B953" s="559" t="s">
        <v>303</v>
      </c>
      <c r="C953" s="327"/>
      <c r="D953" s="560" t="s">
        <v>307</v>
      </c>
      <c r="E953" s="327"/>
      <c r="F953" s="537" t="s">
        <v>334</v>
      </c>
      <c r="G953" s="327"/>
      <c r="H953" s="566" t="s">
        <v>334</v>
      </c>
      <c r="I953" s="327"/>
      <c r="J953" s="567"/>
      <c r="K953" s="327"/>
      <c r="L953" s="567"/>
      <c r="M953" s="327"/>
      <c r="N953" s="23"/>
      <c r="O953" s="24"/>
      <c r="P953" s="563"/>
      <c r="Q953" s="327"/>
      <c r="R953" s="538"/>
      <c r="S953" s="327"/>
      <c r="T953" s="539"/>
      <c r="U953" s="327"/>
      <c r="V953" s="540"/>
      <c r="W953" s="327"/>
      <c r="X953" s="541" t="s">
        <v>303</v>
      </c>
      <c r="Y953" s="326"/>
      <c r="Z953" s="326"/>
      <c r="AA953" s="327"/>
      <c r="AB953" s="542" t="s">
        <v>303</v>
      </c>
      <c r="AC953" s="326"/>
      <c r="AD953" s="326"/>
      <c r="AE953" s="327"/>
      <c r="AF953" s="543"/>
      <c r="AG953" s="327"/>
      <c r="AH953" s="543"/>
      <c r="AI953" s="327"/>
      <c r="AJ953" s="536"/>
      <c r="AK953" s="327"/>
      <c r="AL953" s="537" t="s">
        <v>334</v>
      </c>
      <c r="AM953" s="327"/>
      <c r="AN953" s="546" t="s">
        <v>334</v>
      </c>
      <c r="AO953" s="327"/>
      <c r="AP953" s="547"/>
      <c r="AQ953" s="327"/>
      <c r="AR953" s="548"/>
      <c r="AS953" s="327"/>
      <c r="AT953" s="549"/>
      <c r="AU953" s="327"/>
      <c r="AV953" s="546" t="s">
        <v>334</v>
      </c>
      <c r="AW953" s="327"/>
      <c r="AX953" s="521"/>
      <c r="AY953" s="326"/>
      <c r="AZ953" s="327"/>
      <c r="BA953" s="550"/>
      <c r="BB953" s="327"/>
      <c r="BC953" s="25"/>
      <c r="BD953" s="551" t="s">
        <v>334</v>
      </c>
      <c r="BE953" s="327"/>
      <c r="BF953" s="545"/>
      <c r="BG953" s="326"/>
      <c r="BH953" s="326"/>
      <c r="BI953" s="327"/>
      <c r="BJ953" s="557" t="s">
        <v>303</v>
      </c>
      <c r="BK953" s="326"/>
      <c r="BL953" s="326"/>
      <c r="BM953" s="327"/>
      <c r="BN953" s="558" t="s">
        <v>303</v>
      </c>
      <c r="BO953" s="326"/>
      <c r="BP953" s="326"/>
      <c r="BQ953" s="326"/>
      <c r="BR953" s="326"/>
      <c r="BS953" s="326"/>
      <c r="BT953" s="326"/>
      <c r="BU953" s="326"/>
      <c r="BV953" s="327"/>
    </row>
    <row r="954" spans="1:74" ht="45" customHeight="1" x14ac:dyDescent="0.25">
      <c r="A954" s="10">
        <f t="shared" si="3"/>
        <v>940</v>
      </c>
      <c r="B954" s="564" t="s">
        <v>303</v>
      </c>
      <c r="C954" s="327"/>
      <c r="D954" s="565" t="s">
        <v>307</v>
      </c>
      <c r="E954" s="327"/>
      <c r="F954" s="537" t="s">
        <v>334</v>
      </c>
      <c r="G954" s="327"/>
      <c r="H954" s="561" t="s">
        <v>334</v>
      </c>
      <c r="I954" s="327"/>
      <c r="J954" s="562"/>
      <c r="K954" s="327"/>
      <c r="L954" s="562"/>
      <c r="M954" s="327"/>
      <c r="N954" s="20"/>
      <c r="O954" s="21"/>
      <c r="P954" s="524"/>
      <c r="Q954" s="327"/>
      <c r="R954" s="516"/>
      <c r="S954" s="327"/>
      <c r="T954" s="517"/>
      <c r="U954" s="327"/>
      <c r="V954" s="518"/>
      <c r="W954" s="327"/>
      <c r="X954" s="438" t="s">
        <v>303</v>
      </c>
      <c r="Y954" s="326"/>
      <c r="Z954" s="326"/>
      <c r="AA954" s="327"/>
      <c r="AB954" s="519" t="s">
        <v>303</v>
      </c>
      <c r="AC954" s="326"/>
      <c r="AD954" s="326"/>
      <c r="AE954" s="327"/>
      <c r="AF954" s="520"/>
      <c r="AG954" s="327"/>
      <c r="AH954" s="520"/>
      <c r="AI954" s="327"/>
      <c r="AJ954" s="536"/>
      <c r="AK954" s="327"/>
      <c r="AL954" s="556" t="s">
        <v>334</v>
      </c>
      <c r="AM954" s="327"/>
      <c r="AN954" s="553" t="s">
        <v>334</v>
      </c>
      <c r="AO954" s="327"/>
      <c r="AP954" s="554"/>
      <c r="AQ954" s="327"/>
      <c r="AR954" s="555"/>
      <c r="AS954" s="327"/>
      <c r="AT954" s="549"/>
      <c r="AU954" s="327"/>
      <c r="AV954" s="553" t="s">
        <v>334</v>
      </c>
      <c r="AW954" s="327"/>
      <c r="AX954" s="521"/>
      <c r="AY954" s="326"/>
      <c r="AZ954" s="327"/>
      <c r="BA954" s="536"/>
      <c r="BB954" s="327"/>
      <c r="BC954" s="22"/>
      <c r="BD954" s="551" t="s">
        <v>334</v>
      </c>
      <c r="BE954" s="327"/>
      <c r="BF954" s="552"/>
      <c r="BG954" s="326"/>
      <c r="BH954" s="326"/>
      <c r="BI954" s="327"/>
      <c r="BJ954" s="451" t="s">
        <v>303</v>
      </c>
      <c r="BK954" s="326"/>
      <c r="BL954" s="326"/>
      <c r="BM954" s="327"/>
      <c r="BN954" s="558" t="s">
        <v>303</v>
      </c>
      <c r="BO954" s="326"/>
      <c r="BP954" s="326"/>
      <c r="BQ954" s="326"/>
      <c r="BR954" s="326"/>
      <c r="BS954" s="326"/>
      <c r="BT954" s="326"/>
      <c r="BU954" s="326"/>
      <c r="BV954" s="327"/>
    </row>
    <row r="955" spans="1:74" ht="45" customHeight="1" x14ac:dyDescent="0.25">
      <c r="A955" s="10">
        <f t="shared" si="3"/>
        <v>941</v>
      </c>
      <c r="B955" s="559" t="s">
        <v>303</v>
      </c>
      <c r="C955" s="327"/>
      <c r="D955" s="560" t="s">
        <v>307</v>
      </c>
      <c r="E955" s="327"/>
      <c r="F955" s="537" t="s">
        <v>334</v>
      </c>
      <c r="G955" s="327"/>
      <c r="H955" s="566" t="s">
        <v>334</v>
      </c>
      <c r="I955" s="327"/>
      <c r="J955" s="567"/>
      <c r="K955" s="327"/>
      <c r="L955" s="567"/>
      <c r="M955" s="327"/>
      <c r="N955" s="23"/>
      <c r="O955" s="24"/>
      <c r="P955" s="563"/>
      <c r="Q955" s="327"/>
      <c r="R955" s="538"/>
      <c r="S955" s="327"/>
      <c r="T955" s="539"/>
      <c r="U955" s="327"/>
      <c r="V955" s="540"/>
      <c r="W955" s="327"/>
      <c r="X955" s="541" t="s">
        <v>303</v>
      </c>
      <c r="Y955" s="326"/>
      <c r="Z955" s="326"/>
      <c r="AA955" s="327"/>
      <c r="AB955" s="542" t="s">
        <v>303</v>
      </c>
      <c r="AC955" s="326"/>
      <c r="AD955" s="326"/>
      <c r="AE955" s="327"/>
      <c r="AF955" s="543"/>
      <c r="AG955" s="327"/>
      <c r="AH955" s="543"/>
      <c r="AI955" s="327"/>
      <c r="AJ955" s="536"/>
      <c r="AK955" s="327"/>
      <c r="AL955" s="537" t="s">
        <v>334</v>
      </c>
      <c r="AM955" s="327"/>
      <c r="AN955" s="546" t="s">
        <v>334</v>
      </c>
      <c r="AO955" s="327"/>
      <c r="AP955" s="547"/>
      <c r="AQ955" s="327"/>
      <c r="AR955" s="548"/>
      <c r="AS955" s="327"/>
      <c r="AT955" s="568"/>
      <c r="AU955" s="327"/>
      <c r="AV955" s="546" t="s">
        <v>334</v>
      </c>
      <c r="AW955" s="327"/>
      <c r="AX955" s="521"/>
      <c r="AY955" s="326"/>
      <c r="AZ955" s="327"/>
      <c r="BA955" s="550"/>
      <c r="BB955" s="327"/>
      <c r="BC955" s="25"/>
      <c r="BD955" s="544" t="s">
        <v>334</v>
      </c>
      <c r="BE955" s="327"/>
      <c r="BF955" s="545"/>
      <c r="BG955" s="326"/>
      <c r="BH955" s="326"/>
      <c r="BI955" s="327"/>
      <c r="BJ955" s="557" t="s">
        <v>303</v>
      </c>
      <c r="BK955" s="326"/>
      <c r="BL955" s="326"/>
      <c r="BM955" s="327"/>
      <c r="BN955" s="558" t="s">
        <v>303</v>
      </c>
      <c r="BO955" s="326"/>
      <c r="BP955" s="326"/>
      <c r="BQ955" s="326"/>
      <c r="BR955" s="326"/>
      <c r="BS955" s="326"/>
      <c r="BT955" s="326"/>
      <c r="BU955" s="326"/>
      <c r="BV955" s="327"/>
    </row>
    <row r="956" spans="1:74" ht="45" customHeight="1" x14ac:dyDescent="0.25">
      <c r="A956" s="10">
        <f t="shared" si="3"/>
        <v>942</v>
      </c>
      <c r="B956" s="564" t="s">
        <v>303</v>
      </c>
      <c r="C956" s="327"/>
      <c r="D956" s="565" t="s">
        <v>307</v>
      </c>
      <c r="E956" s="327"/>
      <c r="F956" s="537" t="s">
        <v>334</v>
      </c>
      <c r="G956" s="327"/>
      <c r="H956" s="561" t="s">
        <v>334</v>
      </c>
      <c r="I956" s="327"/>
      <c r="J956" s="562"/>
      <c r="K956" s="327"/>
      <c r="L956" s="562"/>
      <c r="M956" s="327"/>
      <c r="N956" s="20"/>
      <c r="O956" s="21"/>
      <c r="P956" s="524"/>
      <c r="Q956" s="327"/>
      <c r="R956" s="516"/>
      <c r="S956" s="327"/>
      <c r="T956" s="517"/>
      <c r="U956" s="327"/>
      <c r="V956" s="518"/>
      <c r="W956" s="327"/>
      <c r="X956" s="438" t="s">
        <v>303</v>
      </c>
      <c r="Y956" s="326"/>
      <c r="Z956" s="326"/>
      <c r="AA956" s="327"/>
      <c r="AB956" s="519" t="s">
        <v>303</v>
      </c>
      <c r="AC956" s="326"/>
      <c r="AD956" s="326"/>
      <c r="AE956" s="327"/>
      <c r="AF956" s="520"/>
      <c r="AG956" s="327"/>
      <c r="AH956" s="520"/>
      <c r="AI956" s="327"/>
      <c r="AJ956" s="536"/>
      <c r="AK956" s="327"/>
      <c r="AL956" s="556" t="s">
        <v>334</v>
      </c>
      <c r="AM956" s="327"/>
      <c r="AN956" s="553" t="s">
        <v>334</v>
      </c>
      <c r="AO956" s="327"/>
      <c r="AP956" s="554"/>
      <c r="AQ956" s="327"/>
      <c r="AR956" s="555"/>
      <c r="AS956" s="327"/>
      <c r="AT956" s="549"/>
      <c r="AU956" s="327"/>
      <c r="AV956" s="553" t="s">
        <v>334</v>
      </c>
      <c r="AW956" s="327"/>
      <c r="AX956" s="521"/>
      <c r="AY956" s="326"/>
      <c r="AZ956" s="327"/>
      <c r="BA956" s="536"/>
      <c r="BB956" s="327"/>
      <c r="BC956" s="22"/>
      <c r="BD956" s="551" t="s">
        <v>334</v>
      </c>
      <c r="BE956" s="327"/>
      <c r="BF956" s="508"/>
      <c r="BG956" s="326"/>
      <c r="BH956" s="326"/>
      <c r="BI956" s="327"/>
      <c r="BJ956" s="451" t="s">
        <v>303</v>
      </c>
      <c r="BK956" s="326"/>
      <c r="BL956" s="326"/>
      <c r="BM956" s="327"/>
      <c r="BN956" s="558" t="s">
        <v>303</v>
      </c>
      <c r="BO956" s="326"/>
      <c r="BP956" s="326"/>
      <c r="BQ956" s="326"/>
      <c r="BR956" s="326"/>
      <c r="BS956" s="326"/>
      <c r="BT956" s="326"/>
      <c r="BU956" s="326"/>
      <c r="BV956" s="327"/>
    </row>
    <row r="957" spans="1:74" ht="45" customHeight="1" x14ac:dyDescent="0.25">
      <c r="A957" s="10">
        <f t="shared" si="3"/>
        <v>943</v>
      </c>
      <c r="B957" s="559" t="s">
        <v>303</v>
      </c>
      <c r="C957" s="327"/>
      <c r="D957" s="560" t="s">
        <v>307</v>
      </c>
      <c r="E957" s="327"/>
      <c r="F957" s="537" t="s">
        <v>334</v>
      </c>
      <c r="G957" s="327"/>
      <c r="H957" s="566" t="s">
        <v>334</v>
      </c>
      <c r="I957" s="327"/>
      <c r="J957" s="567"/>
      <c r="K957" s="327"/>
      <c r="L957" s="567"/>
      <c r="M957" s="327"/>
      <c r="N957" s="23"/>
      <c r="O957" s="24"/>
      <c r="P957" s="563"/>
      <c r="Q957" s="327"/>
      <c r="R957" s="538"/>
      <c r="S957" s="327"/>
      <c r="T957" s="539"/>
      <c r="U957" s="327"/>
      <c r="V957" s="540"/>
      <c r="W957" s="327"/>
      <c r="X957" s="541" t="s">
        <v>303</v>
      </c>
      <c r="Y957" s="326"/>
      <c r="Z957" s="326"/>
      <c r="AA957" s="327"/>
      <c r="AB957" s="542" t="s">
        <v>303</v>
      </c>
      <c r="AC957" s="326"/>
      <c r="AD957" s="326"/>
      <c r="AE957" s="327"/>
      <c r="AF957" s="543"/>
      <c r="AG957" s="327"/>
      <c r="AH957" s="543"/>
      <c r="AI957" s="327"/>
      <c r="AJ957" s="536"/>
      <c r="AK957" s="327"/>
      <c r="AL957" s="537" t="s">
        <v>334</v>
      </c>
      <c r="AM957" s="327"/>
      <c r="AN957" s="546" t="s">
        <v>334</v>
      </c>
      <c r="AO957" s="327"/>
      <c r="AP957" s="547"/>
      <c r="AQ957" s="327"/>
      <c r="AR957" s="548"/>
      <c r="AS957" s="327"/>
      <c r="AT957" s="568"/>
      <c r="AU957" s="327"/>
      <c r="AV957" s="546" t="s">
        <v>334</v>
      </c>
      <c r="AW957" s="327"/>
      <c r="AX957" s="521"/>
      <c r="AY957" s="326"/>
      <c r="AZ957" s="327"/>
      <c r="BA957" s="550"/>
      <c r="BB957" s="327"/>
      <c r="BC957" s="25"/>
      <c r="BD957" s="544" t="s">
        <v>334</v>
      </c>
      <c r="BE957" s="327"/>
      <c r="BF957" s="545"/>
      <c r="BG957" s="326"/>
      <c r="BH957" s="326"/>
      <c r="BI957" s="327"/>
      <c r="BJ957" s="557" t="s">
        <v>303</v>
      </c>
      <c r="BK957" s="326"/>
      <c r="BL957" s="326"/>
      <c r="BM957" s="327"/>
      <c r="BN957" s="558" t="s">
        <v>303</v>
      </c>
      <c r="BO957" s="326"/>
      <c r="BP957" s="326"/>
      <c r="BQ957" s="326"/>
      <c r="BR957" s="326"/>
      <c r="BS957" s="326"/>
      <c r="BT957" s="326"/>
      <c r="BU957" s="326"/>
      <c r="BV957" s="327"/>
    </row>
    <row r="958" spans="1:74" ht="45" customHeight="1" x14ac:dyDescent="0.25">
      <c r="A958" s="10">
        <f t="shared" si="3"/>
        <v>944</v>
      </c>
      <c r="B958" s="564" t="s">
        <v>303</v>
      </c>
      <c r="C958" s="327"/>
      <c r="D958" s="565" t="s">
        <v>307</v>
      </c>
      <c r="E958" s="327"/>
      <c r="F958" s="537" t="s">
        <v>334</v>
      </c>
      <c r="G958" s="327"/>
      <c r="H958" s="561" t="s">
        <v>334</v>
      </c>
      <c r="I958" s="327"/>
      <c r="J958" s="562"/>
      <c r="K958" s="327"/>
      <c r="L958" s="562"/>
      <c r="M958" s="327"/>
      <c r="N958" s="20"/>
      <c r="O958" s="21"/>
      <c r="P958" s="524"/>
      <c r="Q958" s="327"/>
      <c r="R958" s="516"/>
      <c r="S958" s="327"/>
      <c r="T958" s="517"/>
      <c r="U958" s="327"/>
      <c r="V958" s="518"/>
      <c r="W958" s="327"/>
      <c r="X958" s="438" t="s">
        <v>303</v>
      </c>
      <c r="Y958" s="326"/>
      <c r="Z958" s="326"/>
      <c r="AA958" s="327"/>
      <c r="AB958" s="519" t="s">
        <v>303</v>
      </c>
      <c r="AC958" s="326"/>
      <c r="AD958" s="326"/>
      <c r="AE958" s="327"/>
      <c r="AF958" s="520"/>
      <c r="AG958" s="327"/>
      <c r="AH958" s="520"/>
      <c r="AI958" s="327"/>
      <c r="AJ958" s="536"/>
      <c r="AK958" s="327"/>
      <c r="AL958" s="556" t="s">
        <v>334</v>
      </c>
      <c r="AM958" s="327"/>
      <c r="AN958" s="553" t="s">
        <v>334</v>
      </c>
      <c r="AO958" s="327"/>
      <c r="AP958" s="554"/>
      <c r="AQ958" s="327"/>
      <c r="AR958" s="555"/>
      <c r="AS958" s="327"/>
      <c r="AT958" s="549"/>
      <c r="AU958" s="327"/>
      <c r="AV958" s="553" t="s">
        <v>334</v>
      </c>
      <c r="AW958" s="327"/>
      <c r="AX958" s="521"/>
      <c r="AY958" s="326"/>
      <c r="AZ958" s="327"/>
      <c r="BA958" s="536"/>
      <c r="BB958" s="327"/>
      <c r="BC958" s="22"/>
      <c r="BD958" s="551" t="s">
        <v>334</v>
      </c>
      <c r="BE958" s="327"/>
      <c r="BF958" s="552"/>
      <c r="BG958" s="326"/>
      <c r="BH958" s="326"/>
      <c r="BI958" s="327"/>
      <c r="BJ958" s="451" t="s">
        <v>303</v>
      </c>
      <c r="BK958" s="326"/>
      <c r="BL958" s="326"/>
      <c r="BM958" s="327"/>
      <c r="BN958" s="558" t="s">
        <v>303</v>
      </c>
      <c r="BO958" s="326"/>
      <c r="BP958" s="326"/>
      <c r="BQ958" s="326"/>
      <c r="BR958" s="326"/>
      <c r="BS958" s="326"/>
      <c r="BT958" s="326"/>
      <c r="BU958" s="326"/>
      <c r="BV958" s="327"/>
    </row>
    <row r="959" spans="1:74" ht="45" customHeight="1" x14ac:dyDescent="0.25">
      <c r="A959" s="10">
        <f t="shared" si="3"/>
        <v>945</v>
      </c>
      <c r="B959" s="559" t="s">
        <v>303</v>
      </c>
      <c r="C959" s="327"/>
      <c r="D959" s="560" t="s">
        <v>307</v>
      </c>
      <c r="E959" s="327"/>
      <c r="F959" s="537" t="s">
        <v>334</v>
      </c>
      <c r="G959" s="327"/>
      <c r="H959" s="566" t="s">
        <v>334</v>
      </c>
      <c r="I959" s="327"/>
      <c r="J959" s="567"/>
      <c r="K959" s="327"/>
      <c r="L959" s="567"/>
      <c r="M959" s="327"/>
      <c r="N959" s="23"/>
      <c r="O959" s="24"/>
      <c r="P959" s="563"/>
      <c r="Q959" s="327"/>
      <c r="R959" s="538"/>
      <c r="S959" s="327"/>
      <c r="T959" s="539"/>
      <c r="U959" s="327"/>
      <c r="V959" s="540"/>
      <c r="W959" s="327"/>
      <c r="X959" s="541" t="s">
        <v>303</v>
      </c>
      <c r="Y959" s="326"/>
      <c r="Z959" s="326"/>
      <c r="AA959" s="327"/>
      <c r="AB959" s="542" t="s">
        <v>303</v>
      </c>
      <c r="AC959" s="326"/>
      <c r="AD959" s="326"/>
      <c r="AE959" s="327"/>
      <c r="AF959" s="543"/>
      <c r="AG959" s="327"/>
      <c r="AH959" s="543"/>
      <c r="AI959" s="327"/>
      <c r="AJ959" s="536"/>
      <c r="AK959" s="327"/>
      <c r="AL959" s="537" t="s">
        <v>334</v>
      </c>
      <c r="AM959" s="327"/>
      <c r="AN959" s="546" t="s">
        <v>334</v>
      </c>
      <c r="AO959" s="327"/>
      <c r="AP959" s="547"/>
      <c r="AQ959" s="327"/>
      <c r="AR959" s="548"/>
      <c r="AS959" s="327"/>
      <c r="AT959" s="568"/>
      <c r="AU959" s="327"/>
      <c r="AV959" s="546" t="s">
        <v>334</v>
      </c>
      <c r="AW959" s="327"/>
      <c r="AX959" s="521"/>
      <c r="AY959" s="326"/>
      <c r="AZ959" s="327"/>
      <c r="BA959" s="550"/>
      <c r="BB959" s="327"/>
      <c r="BC959" s="25"/>
      <c r="BD959" s="544" t="s">
        <v>334</v>
      </c>
      <c r="BE959" s="327"/>
      <c r="BF959" s="545"/>
      <c r="BG959" s="326"/>
      <c r="BH959" s="326"/>
      <c r="BI959" s="327"/>
      <c r="BJ959" s="557" t="s">
        <v>303</v>
      </c>
      <c r="BK959" s="326"/>
      <c r="BL959" s="326"/>
      <c r="BM959" s="327"/>
      <c r="BN959" s="558" t="s">
        <v>303</v>
      </c>
      <c r="BO959" s="326"/>
      <c r="BP959" s="326"/>
      <c r="BQ959" s="326"/>
      <c r="BR959" s="326"/>
      <c r="BS959" s="326"/>
      <c r="BT959" s="326"/>
      <c r="BU959" s="326"/>
      <c r="BV959" s="327"/>
    </row>
    <row r="960" spans="1:74" ht="45" customHeight="1" x14ac:dyDescent="0.25">
      <c r="A960" s="10">
        <f t="shared" si="3"/>
        <v>946</v>
      </c>
      <c r="B960" s="564" t="s">
        <v>303</v>
      </c>
      <c r="C960" s="327"/>
      <c r="D960" s="565" t="s">
        <v>307</v>
      </c>
      <c r="E960" s="327"/>
      <c r="F960" s="537" t="s">
        <v>334</v>
      </c>
      <c r="G960" s="327"/>
      <c r="H960" s="561" t="s">
        <v>334</v>
      </c>
      <c r="I960" s="327"/>
      <c r="J960" s="562"/>
      <c r="K960" s="327"/>
      <c r="L960" s="562"/>
      <c r="M960" s="327"/>
      <c r="N960" s="20"/>
      <c r="O960" s="21"/>
      <c r="P960" s="524"/>
      <c r="Q960" s="327"/>
      <c r="R960" s="516"/>
      <c r="S960" s="327"/>
      <c r="T960" s="517"/>
      <c r="U960" s="327"/>
      <c r="V960" s="518"/>
      <c r="W960" s="327"/>
      <c r="X960" s="438" t="s">
        <v>303</v>
      </c>
      <c r="Y960" s="326"/>
      <c r="Z960" s="326"/>
      <c r="AA960" s="327"/>
      <c r="AB960" s="519" t="s">
        <v>303</v>
      </c>
      <c r="AC960" s="326"/>
      <c r="AD960" s="326"/>
      <c r="AE960" s="327"/>
      <c r="AF960" s="520"/>
      <c r="AG960" s="327"/>
      <c r="AH960" s="520"/>
      <c r="AI960" s="327"/>
      <c r="AJ960" s="536"/>
      <c r="AK960" s="327"/>
      <c r="AL960" s="556" t="s">
        <v>334</v>
      </c>
      <c r="AM960" s="327"/>
      <c r="AN960" s="553" t="s">
        <v>334</v>
      </c>
      <c r="AO960" s="327"/>
      <c r="AP960" s="554"/>
      <c r="AQ960" s="327"/>
      <c r="AR960" s="555"/>
      <c r="AS960" s="327"/>
      <c r="AT960" s="549"/>
      <c r="AU960" s="327"/>
      <c r="AV960" s="553" t="s">
        <v>334</v>
      </c>
      <c r="AW960" s="327"/>
      <c r="AX960" s="521"/>
      <c r="AY960" s="326"/>
      <c r="AZ960" s="327"/>
      <c r="BA960" s="536"/>
      <c r="BB960" s="327"/>
      <c r="BC960" s="22"/>
      <c r="BD960" s="551" t="s">
        <v>334</v>
      </c>
      <c r="BE960" s="327"/>
      <c r="BF960" s="552"/>
      <c r="BG960" s="326"/>
      <c r="BH960" s="326"/>
      <c r="BI960" s="327"/>
      <c r="BJ960" s="451" t="s">
        <v>303</v>
      </c>
      <c r="BK960" s="326"/>
      <c r="BL960" s="326"/>
      <c r="BM960" s="327"/>
      <c r="BN960" s="558" t="s">
        <v>303</v>
      </c>
      <c r="BO960" s="326"/>
      <c r="BP960" s="326"/>
      <c r="BQ960" s="326"/>
      <c r="BR960" s="326"/>
      <c r="BS960" s="326"/>
      <c r="BT960" s="326"/>
      <c r="BU960" s="326"/>
      <c r="BV960" s="327"/>
    </row>
    <row r="961" spans="1:74" ht="45" customHeight="1" x14ac:dyDescent="0.25">
      <c r="A961" s="10">
        <f t="shared" si="3"/>
        <v>947</v>
      </c>
      <c r="B961" s="559" t="s">
        <v>303</v>
      </c>
      <c r="C961" s="327"/>
      <c r="D961" s="560" t="s">
        <v>307</v>
      </c>
      <c r="E961" s="327"/>
      <c r="F961" s="537" t="s">
        <v>334</v>
      </c>
      <c r="G961" s="327"/>
      <c r="H961" s="566" t="s">
        <v>334</v>
      </c>
      <c r="I961" s="327"/>
      <c r="J961" s="567"/>
      <c r="K961" s="327"/>
      <c r="L961" s="567"/>
      <c r="M961" s="327"/>
      <c r="N961" s="23"/>
      <c r="O961" s="24"/>
      <c r="P961" s="563"/>
      <c r="Q961" s="327"/>
      <c r="R961" s="538"/>
      <c r="S961" s="327"/>
      <c r="T961" s="539"/>
      <c r="U961" s="327"/>
      <c r="V961" s="540"/>
      <c r="W961" s="327"/>
      <c r="X961" s="541" t="s">
        <v>303</v>
      </c>
      <c r="Y961" s="326"/>
      <c r="Z961" s="326"/>
      <c r="AA961" s="327"/>
      <c r="AB961" s="542" t="s">
        <v>303</v>
      </c>
      <c r="AC961" s="326"/>
      <c r="AD961" s="326"/>
      <c r="AE961" s="327"/>
      <c r="AF961" s="543"/>
      <c r="AG961" s="327"/>
      <c r="AH961" s="543"/>
      <c r="AI961" s="327"/>
      <c r="AJ961" s="536"/>
      <c r="AK961" s="327"/>
      <c r="AL961" s="537" t="s">
        <v>334</v>
      </c>
      <c r="AM961" s="327"/>
      <c r="AN961" s="546" t="s">
        <v>334</v>
      </c>
      <c r="AO961" s="327"/>
      <c r="AP961" s="547"/>
      <c r="AQ961" s="327"/>
      <c r="AR961" s="548"/>
      <c r="AS961" s="327"/>
      <c r="AT961" s="568"/>
      <c r="AU961" s="327"/>
      <c r="AV961" s="546" t="s">
        <v>334</v>
      </c>
      <c r="AW961" s="327"/>
      <c r="AX961" s="521"/>
      <c r="AY961" s="326"/>
      <c r="AZ961" s="327"/>
      <c r="BA961" s="550"/>
      <c r="BB961" s="327"/>
      <c r="BC961" s="25"/>
      <c r="BD961" s="544" t="s">
        <v>334</v>
      </c>
      <c r="BE961" s="327"/>
      <c r="BF961" s="545"/>
      <c r="BG961" s="326"/>
      <c r="BH961" s="326"/>
      <c r="BI961" s="327"/>
      <c r="BJ961" s="557" t="s">
        <v>303</v>
      </c>
      <c r="BK961" s="326"/>
      <c r="BL961" s="326"/>
      <c r="BM961" s="327"/>
      <c r="BN961" s="558" t="s">
        <v>303</v>
      </c>
      <c r="BO961" s="326"/>
      <c r="BP961" s="326"/>
      <c r="BQ961" s="326"/>
      <c r="BR961" s="326"/>
      <c r="BS961" s="326"/>
      <c r="BT961" s="326"/>
      <c r="BU961" s="326"/>
      <c r="BV961" s="327"/>
    </row>
    <row r="962" spans="1:74" ht="45" customHeight="1" x14ac:dyDescent="0.25">
      <c r="A962" s="10">
        <f t="shared" si="3"/>
        <v>948</v>
      </c>
      <c r="B962" s="564" t="s">
        <v>303</v>
      </c>
      <c r="C962" s="327"/>
      <c r="D962" s="565" t="s">
        <v>307</v>
      </c>
      <c r="E962" s="327"/>
      <c r="F962" s="537" t="s">
        <v>334</v>
      </c>
      <c r="G962" s="327"/>
      <c r="H962" s="561" t="s">
        <v>334</v>
      </c>
      <c r="I962" s="327"/>
      <c r="J962" s="562"/>
      <c r="K962" s="327"/>
      <c r="L962" s="562"/>
      <c r="M962" s="327"/>
      <c r="N962" s="20"/>
      <c r="O962" s="21"/>
      <c r="P962" s="524"/>
      <c r="Q962" s="327"/>
      <c r="R962" s="516"/>
      <c r="S962" s="327"/>
      <c r="T962" s="517"/>
      <c r="U962" s="327"/>
      <c r="V962" s="518"/>
      <c r="W962" s="327"/>
      <c r="X962" s="438" t="s">
        <v>303</v>
      </c>
      <c r="Y962" s="326"/>
      <c r="Z962" s="326"/>
      <c r="AA962" s="327"/>
      <c r="AB962" s="519" t="s">
        <v>303</v>
      </c>
      <c r="AC962" s="326"/>
      <c r="AD962" s="326"/>
      <c r="AE962" s="327"/>
      <c r="AF962" s="520"/>
      <c r="AG962" s="327"/>
      <c r="AH962" s="520"/>
      <c r="AI962" s="327"/>
      <c r="AJ962" s="536"/>
      <c r="AK962" s="327"/>
      <c r="AL962" s="556" t="s">
        <v>334</v>
      </c>
      <c r="AM962" s="327"/>
      <c r="AN962" s="553" t="s">
        <v>334</v>
      </c>
      <c r="AO962" s="327"/>
      <c r="AP962" s="554"/>
      <c r="AQ962" s="327"/>
      <c r="AR962" s="555"/>
      <c r="AS962" s="327"/>
      <c r="AT962" s="549"/>
      <c r="AU962" s="327"/>
      <c r="AV962" s="553" t="s">
        <v>334</v>
      </c>
      <c r="AW962" s="327"/>
      <c r="AX962" s="521"/>
      <c r="AY962" s="326"/>
      <c r="AZ962" s="327"/>
      <c r="BA962" s="536"/>
      <c r="BB962" s="327"/>
      <c r="BC962" s="22"/>
      <c r="BD962" s="551" t="s">
        <v>334</v>
      </c>
      <c r="BE962" s="327"/>
      <c r="BF962" s="508"/>
      <c r="BG962" s="326"/>
      <c r="BH962" s="326"/>
      <c r="BI962" s="327"/>
      <c r="BJ962" s="451" t="s">
        <v>303</v>
      </c>
      <c r="BK962" s="326"/>
      <c r="BL962" s="326"/>
      <c r="BM962" s="327"/>
      <c r="BN962" s="558" t="s">
        <v>303</v>
      </c>
      <c r="BO962" s="326"/>
      <c r="BP962" s="326"/>
      <c r="BQ962" s="326"/>
      <c r="BR962" s="326"/>
      <c r="BS962" s="326"/>
      <c r="BT962" s="326"/>
      <c r="BU962" s="326"/>
      <c r="BV962" s="327"/>
    </row>
    <row r="963" spans="1:74" ht="45" customHeight="1" x14ac:dyDescent="0.25">
      <c r="A963" s="10">
        <f t="shared" si="3"/>
        <v>949</v>
      </c>
      <c r="B963" s="559" t="s">
        <v>303</v>
      </c>
      <c r="C963" s="327"/>
      <c r="D963" s="560" t="s">
        <v>307</v>
      </c>
      <c r="E963" s="327"/>
      <c r="F963" s="537" t="s">
        <v>334</v>
      </c>
      <c r="G963" s="327"/>
      <c r="H963" s="566" t="s">
        <v>334</v>
      </c>
      <c r="I963" s="327"/>
      <c r="J963" s="567"/>
      <c r="K963" s="327"/>
      <c r="L963" s="567"/>
      <c r="M963" s="327"/>
      <c r="N963" s="23"/>
      <c r="O963" s="24"/>
      <c r="P963" s="563"/>
      <c r="Q963" s="327"/>
      <c r="R963" s="538"/>
      <c r="S963" s="327"/>
      <c r="T963" s="539"/>
      <c r="U963" s="327"/>
      <c r="V963" s="540"/>
      <c r="W963" s="327"/>
      <c r="X963" s="541" t="s">
        <v>303</v>
      </c>
      <c r="Y963" s="326"/>
      <c r="Z963" s="326"/>
      <c r="AA963" s="327"/>
      <c r="AB963" s="542" t="s">
        <v>303</v>
      </c>
      <c r="AC963" s="326"/>
      <c r="AD963" s="326"/>
      <c r="AE963" s="327"/>
      <c r="AF963" s="543"/>
      <c r="AG963" s="327"/>
      <c r="AH963" s="543"/>
      <c r="AI963" s="327"/>
      <c r="AJ963" s="536"/>
      <c r="AK963" s="327"/>
      <c r="AL963" s="537" t="s">
        <v>334</v>
      </c>
      <c r="AM963" s="327"/>
      <c r="AN963" s="546" t="s">
        <v>334</v>
      </c>
      <c r="AO963" s="327"/>
      <c r="AP963" s="547"/>
      <c r="AQ963" s="327"/>
      <c r="AR963" s="548"/>
      <c r="AS963" s="327"/>
      <c r="AT963" s="568"/>
      <c r="AU963" s="327"/>
      <c r="AV963" s="546" t="s">
        <v>334</v>
      </c>
      <c r="AW963" s="327"/>
      <c r="AX963" s="521"/>
      <c r="AY963" s="326"/>
      <c r="AZ963" s="327"/>
      <c r="BA963" s="550"/>
      <c r="BB963" s="327"/>
      <c r="BC963" s="25"/>
      <c r="BD963" s="544" t="s">
        <v>334</v>
      </c>
      <c r="BE963" s="327"/>
      <c r="BF963" s="545"/>
      <c r="BG963" s="326"/>
      <c r="BH963" s="326"/>
      <c r="BI963" s="327"/>
      <c r="BJ963" s="557" t="s">
        <v>303</v>
      </c>
      <c r="BK963" s="326"/>
      <c r="BL963" s="326"/>
      <c r="BM963" s="327"/>
      <c r="BN963" s="558" t="s">
        <v>303</v>
      </c>
      <c r="BO963" s="326"/>
      <c r="BP963" s="326"/>
      <c r="BQ963" s="326"/>
      <c r="BR963" s="326"/>
      <c r="BS963" s="326"/>
      <c r="BT963" s="326"/>
      <c r="BU963" s="326"/>
      <c r="BV963" s="327"/>
    </row>
    <row r="964" spans="1:74" ht="45" customHeight="1" x14ac:dyDescent="0.25">
      <c r="A964" s="10">
        <f t="shared" si="3"/>
        <v>950</v>
      </c>
      <c r="B964" s="564" t="s">
        <v>303</v>
      </c>
      <c r="C964" s="327"/>
      <c r="D964" s="565" t="s">
        <v>307</v>
      </c>
      <c r="E964" s="327"/>
      <c r="F964" s="537" t="s">
        <v>334</v>
      </c>
      <c r="G964" s="327"/>
      <c r="H964" s="561" t="s">
        <v>334</v>
      </c>
      <c r="I964" s="327"/>
      <c r="J964" s="562"/>
      <c r="K964" s="327"/>
      <c r="L964" s="562"/>
      <c r="M964" s="327"/>
      <c r="N964" s="20"/>
      <c r="O964" s="21"/>
      <c r="P964" s="524"/>
      <c r="Q964" s="327"/>
      <c r="R964" s="516"/>
      <c r="S964" s="327"/>
      <c r="T964" s="517"/>
      <c r="U964" s="327"/>
      <c r="V964" s="518"/>
      <c r="W964" s="327"/>
      <c r="X964" s="438" t="s">
        <v>303</v>
      </c>
      <c r="Y964" s="326"/>
      <c r="Z964" s="326"/>
      <c r="AA964" s="327"/>
      <c r="AB964" s="519" t="s">
        <v>303</v>
      </c>
      <c r="AC964" s="326"/>
      <c r="AD964" s="326"/>
      <c r="AE964" s="327"/>
      <c r="AF964" s="520"/>
      <c r="AG964" s="327"/>
      <c r="AH964" s="520"/>
      <c r="AI964" s="327"/>
      <c r="AJ964" s="536"/>
      <c r="AK964" s="327"/>
      <c r="AL964" s="556" t="s">
        <v>334</v>
      </c>
      <c r="AM964" s="327"/>
      <c r="AN964" s="553" t="s">
        <v>334</v>
      </c>
      <c r="AO964" s="327"/>
      <c r="AP964" s="554"/>
      <c r="AQ964" s="327"/>
      <c r="AR964" s="555"/>
      <c r="AS964" s="327"/>
      <c r="AT964" s="549"/>
      <c r="AU964" s="327"/>
      <c r="AV964" s="553" t="s">
        <v>334</v>
      </c>
      <c r="AW964" s="327"/>
      <c r="AX964" s="521"/>
      <c r="AY964" s="326"/>
      <c r="AZ964" s="327"/>
      <c r="BA964" s="536"/>
      <c r="BB964" s="327"/>
      <c r="BC964" s="22"/>
      <c r="BD964" s="551" t="s">
        <v>334</v>
      </c>
      <c r="BE964" s="327"/>
      <c r="BF964" s="552"/>
      <c r="BG964" s="326"/>
      <c r="BH964" s="326"/>
      <c r="BI964" s="327"/>
      <c r="BJ964" s="451" t="s">
        <v>303</v>
      </c>
      <c r="BK964" s="326"/>
      <c r="BL964" s="326"/>
      <c r="BM964" s="327"/>
      <c r="BN964" s="558" t="s">
        <v>303</v>
      </c>
      <c r="BO964" s="326"/>
      <c r="BP964" s="326"/>
      <c r="BQ964" s="326"/>
      <c r="BR964" s="326"/>
      <c r="BS964" s="326"/>
      <c r="BT964" s="326"/>
      <c r="BU964" s="326"/>
      <c r="BV964" s="327"/>
    </row>
    <row r="965" spans="1:74" ht="45" customHeight="1" x14ac:dyDescent="0.25">
      <c r="A965" s="10">
        <f t="shared" si="3"/>
        <v>951</v>
      </c>
      <c r="B965" s="559" t="s">
        <v>303</v>
      </c>
      <c r="C965" s="327"/>
      <c r="D965" s="560" t="s">
        <v>307</v>
      </c>
      <c r="E965" s="327"/>
      <c r="F965" s="537" t="s">
        <v>334</v>
      </c>
      <c r="G965" s="327"/>
      <c r="H965" s="566" t="s">
        <v>334</v>
      </c>
      <c r="I965" s="327"/>
      <c r="J965" s="567"/>
      <c r="K965" s="327"/>
      <c r="L965" s="567"/>
      <c r="M965" s="327"/>
      <c r="N965" s="20"/>
      <c r="O965" s="21"/>
      <c r="P965" s="524"/>
      <c r="Q965" s="327"/>
      <c r="R965" s="538"/>
      <c r="S965" s="327"/>
      <c r="T965" s="539"/>
      <c r="U965" s="327"/>
      <c r="V965" s="540"/>
      <c r="W965" s="327"/>
      <c r="X965" s="541" t="s">
        <v>303</v>
      </c>
      <c r="Y965" s="326"/>
      <c r="Z965" s="326"/>
      <c r="AA965" s="327"/>
      <c r="AB965" s="542" t="s">
        <v>303</v>
      </c>
      <c r="AC965" s="326"/>
      <c r="AD965" s="326"/>
      <c r="AE965" s="327"/>
      <c r="AF965" s="543"/>
      <c r="AG965" s="327"/>
      <c r="AH965" s="543"/>
      <c r="AI965" s="327"/>
      <c r="AJ965" s="536"/>
      <c r="AK965" s="327"/>
      <c r="AL965" s="537" t="s">
        <v>334</v>
      </c>
      <c r="AM965" s="327"/>
      <c r="AN965" s="546" t="s">
        <v>334</v>
      </c>
      <c r="AO965" s="327"/>
      <c r="AP965" s="547"/>
      <c r="AQ965" s="327"/>
      <c r="AR965" s="548"/>
      <c r="AS965" s="327"/>
      <c r="AT965" s="549"/>
      <c r="AU965" s="327"/>
      <c r="AV965" s="546" t="s">
        <v>334</v>
      </c>
      <c r="AW965" s="327"/>
      <c r="AX965" s="521"/>
      <c r="AY965" s="326"/>
      <c r="AZ965" s="327"/>
      <c r="BA965" s="550"/>
      <c r="BB965" s="327"/>
      <c r="BC965" s="25"/>
      <c r="BD965" s="544" t="s">
        <v>334</v>
      </c>
      <c r="BE965" s="327"/>
      <c r="BF965" s="545"/>
      <c r="BG965" s="326"/>
      <c r="BH965" s="326"/>
      <c r="BI965" s="327"/>
      <c r="BJ965" s="557" t="s">
        <v>303</v>
      </c>
      <c r="BK965" s="326"/>
      <c r="BL965" s="326"/>
      <c r="BM965" s="327"/>
      <c r="BN965" s="558" t="s">
        <v>303</v>
      </c>
      <c r="BO965" s="326"/>
      <c r="BP965" s="326"/>
      <c r="BQ965" s="326"/>
      <c r="BR965" s="326"/>
      <c r="BS965" s="326"/>
      <c r="BT965" s="326"/>
      <c r="BU965" s="326"/>
      <c r="BV965" s="327"/>
    </row>
    <row r="966" spans="1:74" ht="45" customHeight="1" x14ac:dyDescent="0.25">
      <c r="A966" s="10">
        <f t="shared" si="3"/>
        <v>952</v>
      </c>
      <c r="B966" s="564" t="s">
        <v>303</v>
      </c>
      <c r="C966" s="327"/>
      <c r="D966" s="565" t="s">
        <v>307</v>
      </c>
      <c r="E966" s="327"/>
      <c r="F966" s="537" t="s">
        <v>334</v>
      </c>
      <c r="G966" s="327"/>
      <c r="H966" s="561" t="s">
        <v>334</v>
      </c>
      <c r="I966" s="327"/>
      <c r="J966" s="562"/>
      <c r="K966" s="327"/>
      <c r="L966" s="562"/>
      <c r="M966" s="327"/>
      <c r="N966" s="23"/>
      <c r="O966" s="24"/>
      <c r="P966" s="563"/>
      <c r="Q966" s="327"/>
      <c r="R966" s="516"/>
      <c r="S966" s="327"/>
      <c r="T966" s="517"/>
      <c r="U966" s="327"/>
      <c r="V966" s="518"/>
      <c r="W966" s="327"/>
      <c r="X966" s="438" t="s">
        <v>303</v>
      </c>
      <c r="Y966" s="326"/>
      <c r="Z966" s="326"/>
      <c r="AA966" s="327"/>
      <c r="AB966" s="519" t="s">
        <v>303</v>
      </c>
      <c r="AC966" s="326"/>
      <c r="AD966" s="326"/>
      <c r="AE966" s="327"/>
      <c r="AF966" s="520"/>
      <c r="AG966" s="327"/>
      <c r="AH966" s="520"/>
      <c r="AI966" s="327"/>
      <c r="AJ966" s="536"/>
      <c r="AK966" s="327"/>
      <c r="AL966" s="556" t="s">
        <v>334</v>
      </c>
      <c r="AM966" s="327"/>
      <c r="AN966" s="553" t="s">
        <v>334</v>
      </c>
      <c r="AO966" s="327"/>
      <c r="AP966" s="554"/>
      <c r="AQ966" s="327"/>
      <c r="AR966" s="555"/>
      <c r="AS966" s="327"/>
      <c r="AT966" s="549"/>
      <c r="AU966" s="327"/>
      <c r="AV966" s="553" t="s">
        <v>334</v>
      </c>
      <c r="AW966" s="327"/>
      <c r="AX966" s="521"/>
      <c r="AY966" s="326"/>
      <c r="AZ966" s="327"/>
      <c r="BA966" s="536"/>
      <c r="BB966" s="327"/>
      <c r="BC966" s="22"/>
      <c r="BD966" s="551" t="s">
        <v>334</v>
      </c>
      <c r="BE966" s="327"/>
      <c r="BF966" s="552"/>
      <c r="BG966" s="326"/>
      <c r="BH966" s="326"/>
      <c r="BI966" s="327"/>
      <c r="BJ966" s="451" t="s">
        <v>303</v>
      </c>
      <c r="BK966" s="326"/>
      <c r="BL966" s="326"/>
      <c r="BM966" s="327"/>
      <c r="BN966" s="558" t="s">
        <v>303</v>
      </c>
      <c r="BO966" s="326"/>
      <c r="BP966" s="326"/>
      <c r="BQ966" s="326"/>
      <c r="BR966" s="326"/>
      <c r="BS966" s="326"/>
      <c r="BT966" s="326"/>
      <c r="BU966" s="326"/>
      <c r="BV966" s="327"/>
    </row>
    <row r="967" spans="1:74" ht="45" customHeight="1" x14ac:dyDescent="0.25">
      <c r="A967" s="10">
        <f t="shared" si="3"/>
        <v>953</v>
      </c>
      <c r="B967" s="559" t="s">
        <v>303</v>
      </c>
      <c r="C967" s="327"/>
      <c r="D967" s="560" t="s">
        <v>307</v>
      </c>
      <c r="E967" s="327"/>
      <c r="F967" s="537" t="s">
        <v>334</v>
      </c>
      <c r="G967" s="327"/>
      <c r="H967" s="566" t="s">
        <v>334</v>
      </c>
      <c r="I967" s="327"/>
      <c r="J967" s="567"/>
      <c r="K967" s="327"/>
      <c r="L967" s="567"/>
      <c r="M967" s="327"/>
      <c r="N967" s="20"/>
      <c r="O967" s="21"/>
      <c r="P967" s="524"/>
      <c r="Q967" s="327"/>
      <c r="R967" s="538"/>
      <c r="S967" s="327"/>
      <c r="T967" s="539"/>
      <c r="U967" s="327"/>
      <c r="V967" s="540"/>
      <c r="W967" s="327"/>
      <c r="X967" s="541" t="s">
        <v>303</v>
      </c>
      <c r="Y967" s="326"/>
      <c r="Z967" s="326"/>
      <c r="AA967" s="327"/>
      <c r="AB967" s="542" t="s">
        <v>303</v>
      </c>
      <c r="AC967" s="326"/>
      <c r="AD967" s="326"/>
      <c r="AE967" s="327"/>
      <c r="AF967" s="543"/>
      <c r="AG967" s="327"/>
      <c r="AH967" s="543"/>
      <c r="AI967" s="327"/>
      <c r="AJ967" s="536"/>
      <c r="AK967" s="327"/>
      <c r="AL967" s="537" t="s">
        <v>334</v>
      </c>
      <c r="AM967" s="327"/>
      <c r="AN967" s="546" t="s">
        <v>334</v>
      </c>
      <c r="AO967" s="327"/>
      <c r="AP967" s="547"/>
      <c r="AQ967" s="327"/>
      <c r="AR967" s="548"/>
      <c r="AS967" s="327"/>
      <c r="AT967" s="549"/>
      <c r="AU967" s="327"/>
      <c r="AV967" s="546" t="s">
        <v>334</v>
      </c>
      <c r="AW967" s="327"/>
      <c r="AX967" s="521"/>
      <c r="AY967" s="326"/>
      <c r="AZ967" s="327"/>
      <c r="BA967" s="550"/>
      <c r="BB967" s="327"/>
      <c r="BC967" s="25"/>
      <c r="BD967" s="544" t="s">
        <v>334</v>
      </c>
      <c r="BE967" s="327"/>
      <c r="BF967" s="545"/>
      <c r="BG967" s="326"/>
      <c r="BH967" s="326"/>
      <c r="BI967" s="327"/>
      <c r="BJ967" s="557" t="s">
        <v>303</v>
      </c>
      <c r="BK967" s="326"/>
      <c r="BL967" s="326"/>
      <c r="BM967" s="327"/>
      <c r="BN967" s="558" t="s">
        <v>303</v>
      </c>
      <c r="BO967" s="326"/>
      <c r="BP967" s="326"/>
      <c r="BQ967" s="326"/>
      <c r="BR967" s="326"/>
      <c r="BS967" s="326"/>
      <c r="BT967" s="326"/>
      <c r="BU967" s="326"/>
      <c r="BV967" s="327"/>
    </row>
    <row r="968" spans="1:74" ht="45" customHeight="1" x14ac:dyDescent="0.25">
      <c r="A968" s="10">
        <f t="shared" si="3"/>
        <v>954</v>
      </c>
      <c r="B968" s="564" t="s">
        <v>303</v>
      </c>
      <c r="C968" s="327"/>
      <c r="D968" s="565" t="s">
        <v>307</v>
      </c>
      <c r="E968" s="327"/>
      <c r="F968" s="537" t="s">
        <v>334</v>
      </c>
      <c r="G968" s="327"/>
      <c r="H968" s="561" t="s">
        <v>334</v>
      </c>
      <c r="I968" s="327"/>
      <c r="J968" s="562"/>
      <c r="K968" s="327"/>
      <c r="L968" s="562"/>
      <c r="M968" s="327"/>
      <c r="N968" s="23"/>
      <c r="O968" s="24"/>
      <c r="P968" s="563"/>
      <c r="Q968" s="327"/>
      <c r="R968" s="516"/>
      <c r="S968" s="327"/>
      <c r="T968" s="517"/>
      <c r="U968" s="327"/>
      <c r="V968" s="518"/>
      <c r="W968" s="327"/>
      <c r="X968" s="438" t="s">
        <v>303</v>
      </c>
      <c r="Y968" s="326"/>
      <c r="Z968" s="326"/>
      <c r="AA968" s="327"/>
      <c r="AB968" s="519" t="s">
        <v>303</v>
      </c>
      <c r="AC968" s="326"/>
      <c r="AD968" s="326"/>
      <c r="AE968" s="327"/>
      <c r="AF968" s="520"/>
      <c r="AG968" s="327"/>
      <c r="AH968" s="520"/>
      <c r="AI968" s="327"/>
      <c r="AJ968" s="536"/>
      <c r="AK968" s="327"/>
      <c r="AL968" s="556" t="s">
        <v>334</v>
      </c>
      <c r="AM968" s="327"/>
      <c r="AN968" s="553" t="s">
        <v>334</v>
      </c>
      <c r="AO968" s="327"/>
      <c r="AP968" s="554"/>
      <c r="AQ968" s="327"/>
      <c r="AR968" s="555"/>
      <c r="AS968" s="327"/>
      <c r="AT968" s="549"/>
      <c r="AU968" s="327"/>
      <c r="AV968" s="553" t="s">
        <v>334</v>
      </c>
      <c r="AW968" s="327"/>
      <c r="AX968" s="521"/>
      <c r="AY968" s="326"/>
      <c r="AZ968" s="327"/>
      <c r="BA968" s="536"/>
      <c r="BB968" s="327"/>
      <c r="BC968" s="22"/>
      <c r="BD968" s="551" t="s">
        <v>334</v>
      </c>
      <c r="BE968" s="327"/>
      <c r="BF968" s="552"/>
      <c r="BG968" s="326"/>
      <c r="BH968" s="326"/>
      <c r="BI968" s="327"/>
      <c r="BJ968" s="451" t="s">
        <v>303</v>
      </c>
      <c r="BK968" s="326"/>
      <c r="BL968" s="326"/>
      <c r="BM968" s="327"/>
      <c r="BN968" s="558" t="s">
        <v>303</v>
      </c>
      <c r="BO968" s="326"/>
      <c r="BP968" s="326"/>
      <c r="BQ968" s="326"/>
      <c r="BR968" s="326"/>
      <c r="BS968" s="326"/>
      <c r="BT968" s="326"/>
      <c r="BU968" s="326"/>
      <c r="BV968" s="327"/>
    </row>
    <row r="969" spans="1:74" ht="45" customHeight="1" x14ac:dyDescent="0.25">
      <c r="A969" s="10">
        <f t="shared" si="3"/>
        <v>955</v>
      </c>
      <c r="B969" s="559" t="s">
        <v>303</v>
      </c>
      <c r="C969" s="327"/>
      <c r="D969" s="560" t="s">
        <v>307</v>
      </c>
      <c r="E969" s="327"/>
      <c r="F969" s="537" t="s">
        <v>334</v>
      </c>
      <c r="G969" s="327"/>
      <c r="H969" s="566" t="s">
        <v>334</v>
      </c>
      <c r="I969" s="327"/>
      <c r="J969" s="567"/>
      <c r="K969" s="327"/>
      <c r="L969" s="567"/>
      <c r="M969" s="327"/>
      <c r="N969" s="20"/>
      <c r="O969" s="24"/>
      <c r="P969" s="524"/>
      <c r="Q969" s="327"/>
      <c r="R969" s="538"/>
      <c r="S969" s="327"/>
      <c r="T969" s="539"/>
      <c r="U969" s="327"/>
      <c r="V969" s="540"/>
      <c r="W969" s="327"/>
      <c r="X969" s="541" t="s">
        <v>303</v>
      </c>
      <c r="Y969" s="326"/>
      <c r="Z969" s="326"/>
      <c r="AA969" s="327"/>
      <c r="AB969" s="542" t="s">
        <v>303</v>
      </c>
      <c r="AC969" s="326"/>
      <c r="AD969" s="326"/>
      <c r="AE969" s="327"/>
      <c r="AF969" s="543"/>
      <c r="AG969" s="327"/>
      <c r="AH969" s="543"/>
      <c r="AI969" s="327"/>
      <c r="AJ969" s="536"/>
      <c r="AK969" s="327"/>
      <c r="AL969" s="537" t="s">
        <v>334</v>
      </c>
      <c r="AM969" s="327"/>
      <c r="AN969" s="546" t="s">
        <v>334</v>
      </c>
      <c r="AO969" s="327"/>
      <c r="AP969" s="547"/>
      <c r="AQ969" s="327"/>
      <c r="AR969" s="548"/>
      <c r="AS969" s="327"/>
      <c r="AT969" s="568"/>
      <c r="AU969" s="327"/>
      <c r="AV969" s="546" t="s">
        <v>334</v>
      </c>
      <c r="AW969" s="327"/>
      <c r="AX969" s="521"/>
      <c r="AY969" s="326"/>
      <c r="AZ969" s="327"/>
      <c r="BA969" s="550"/>
      <c r="BB969" s="327"/>
      <c r="BC969" s="25"/>
      <c r="BD969" s="544" t="s">
        <v>334</v>
      </c>
      <c r="BE969" s="327"/>
      <c r="BF969" s="545"/>
      <c r="BG969" s="326"/>
      <c r="BH969" s="326"/>
      <c r="BI969" s="327"/>
      <c r="BJ969" s="557" t="s">
        <v>303</v>
      </c>
      <c r="BK969" s="326"/>
      <c r="BL969" s="326"/>
      <c r="BM969" s="327"/>
      <c r="BN969" s="558" t="s">
        <v>303</v>
      </c>
      <c r="BO969" s="326"/>
      <c r="BP969" s="326"/>
      <c r="BQ969" s="326"/>
      <c r="BR969" s="326"/>
      <c r="BS969" s="326"/>
      <c r="BT969" s="326"/>
      <c r="BU969" s="326"/>
      <c r="BV969" s="327"/>
    </row>
    <row r="970" spans="1:74" ht="45" customHeight="1" x14ac:dyDescent="0.25">
      <c r="A970" s="10">
        <f t="shared" si="3"/>
        <v>956</v>
      </c>
      <c r="B970" s="564" t="s">
        <v>303</v>
      </c>
      <c r="C970" s="327"/>
      <c r="D970" s="565" t="s">
        <v>307</v>
      </c>
      <c r="E970" s="327"/>
      <c r="F970" s="537" t="s">
        <v>334</v>
      </c>
      <c r="G970" s="327"/>
      <c r="H970" s="561" t="s">
        <v>334</v>
      </c>
      <c r="I970" s="327"/>
      <c r="J970" s="562"/>
      <c r="K970" s="327"/>
      <c r="L970" s="562"/>
      <c r="M970" s="327"/>
      <c r="N970" s="23"/>
      <c r="O970" s="21"/>
      <c r="P970" s="563"/>
      <c r="Q970" s="327"/>
      <c r="R970" s="516"/>
      <c r="S970" s="327"/>
      <c r="T970" s="517"/>
      <c r="U970" s="327"/>
      <c r="V970" s="518"/>
      <c r="W970" s="327"/>
      <c r="X970" s="438" t="s">
        <v>303</v>
      </c>
      <c r="Y970" s="326"/>
      <c r="Z970" s="326"/>
      <c r="AA970" s="327"/>
      <c r="AB970" s="519" t="s">
        <v>303</v>
      </c>
      <c r="AC970" s="326"/>
      <c r="AD970" s="326"/>
      <c r="AE970" s="327"/>
      <c r="AF970" s="520"/>
      <c r="AG970" s="327"/>
      <c r="AH970" s="520"/>
      <c r="AI970" s="327"/>
      <c r="AJ970" s="536"/>
      <c r="AK970" s="327"/>
      <c r="AL970" s="556" t="s">
        <v>334</v>
      </c>
      <c r="AM970" s="327"/>
      <c r="AN970" s="553" t="s">
        <v>334</v>
      </c>
      <c r="AO970" s="327"/>
      <c r="AP970" s="554"/>
      <c r="AQ970" s="327"/>
      <c r="AR970" s="555"/>
      <c r="AS970" s="327"/>
      <c r="AT970" s="549"/>
      <c r="AU970" s="327"/>
      <c r="AV970" s="553" t="s">
        <v>334</v>
      </c>
      <c r="AW970" s="327"/>
      <c r="AX970" s="521"/>
      <c r="AY970" s="326"/>
      <c r="AZ970" s="327"/>
      <c r="BA970" s="536"/>
      <c r="BB970" s="327"/>
      <c r="BC970" s="22"/>
      <c r="BD970" s="551" t="s">
        <v>334</v>
      </c>
      <c r="BE970" s="327"/>
      <c r="BF970" s="508"/>
      <c r="BG970" s="326"/>
      <c r="BH970" s="326"/>
      <c r="BI970" s="327"/>
      <c r="BJ970" s="451" t="s">
        <v>303</v>
      </c>
      <c r="BK970" s="326"/>
      <c r="BL970" s="326"/>
      <c r="BM970" s="327"/>
      <c r="BN970" s="558" t="s">
        <v>303</v>
      </c>
      <c r="BO970" s="326"/>
      <c r="BP970" s="326"/>
      <c r="BQ970" s="326"/>
      <c r="BR970" s="326"/>
      <c r="BS970" s="326"/>
      <c r="BT970" s="326"/>
      <c r="BU970" s="326"/>
      <c r="BV970" s="327"/>
    </row>
    <row r="971" spans="1:74" ht="45" customHeight="1" x14ac:dyDescent="0.25">
      <c r="A971" s="10">
        <f t="shared" si="3"/>
        <v>957</v>
      </c>
      <c r="B971" s="559" t="s">
        <v>303</v>
      </c>
      <c r="C971" s="327"/>
      <c r="D971" s="560" t="s">
        <v>307</v>
      </c>
      <c r="E971" s="327"/>
      <c r="F971" s="537" t="s">
        <v>334</v>
      </c>
      <c r="G971" s="327"/>
      <c r="H971" s="566" t="s">
        <v>334</v>
      </c>
      <c r="I971" s="327"/>
      <c r="J971" s="567"/>
      <c r="K971" s="327"/>
      <c r="L971" s="567"/>
      <c r="M971" s="327"/>
      <c r="N971" s="20"/>
      <c r="O971" s="24"/>
      <c r="P971" s="524"/>
      <c r="Q971" s="327"/>
      <c r="R971" s="538"/>
      <c r="S971" s="327"/>
      <c r="T971" s="539"/>
      <c r="U971" s="327"/>
      <c r="V971" s="540"/>
      <c r="W971" s="327"/>
      <c r="X971" s="541" t="s">
        <v>303</v>
      </c>
      <c r="Y971" s="326"/>
      <c r="Z971" s="326"/>
      <c r="AA971" s="327"/>
      <c r="AB971" s="542" t="s">
        <v>303</v>
      </c>
      <c r="AC971" s="326"/>
      <c r="AD971" s="326"/>
      <c r="AE971" s="327"/>
      <c r="AF971" s="543"/>
      <c r="AG971" s="327"/>
      <c r="AH971" s="543"/>
      <c r="AI971" s="327"/>
      <c r="AJ971" s="536"/>
      <c r="AK971" s="327"/>
      <c r="AL971" s="537" t="s">
        <v>334</v>
      </c>
      <c r="AM971" s="327"/>
      <c r="AN971" s="546" t="s">
        <v>334</v>
      </c>
      <c r="AO971" s="327"/>
      <c r="AP971" s="547"/>
      <c r="AQ971" s="327"/>
      <c r="AR971" s="548"/>
      <c r="AS971" s="327"/>
      <c r="AT971" s="568"/>
      <c r="AU971" s="327"/>
      <c r="AV971" s="546" t="s">
        <v>334</v>
      </c>
      <c r="AW971" s="327"/>
      <c r="AX971" s="521"/>
      <c r="AY971" s="326"/>
      <c r="AZ971" s="327"/>
      <c r="BA971" s="550"/>
      <c r="BB971" s="327"/>
      <c r="BC971" s="25"/>
      <c r="BD971" s="544" t="s">
        <v>334</v>
      </c>
      <c r="BE971" s="327"/>
      <c r="BF971" s="545"/>
      <c r="BG971" s="326"/>
      <c r="BH971" s="326"/>
      <c r="BI971" s="327"/>
      <c r="BJ971" s="557" t="s">
        <v>303</v>
      </c>
      <c r="BK971" s="326"/>
      <c r="BL971" s="326"/>
      <c r="BM971" s="327"/>
      <c r="BN971" s="558" t="s">
        <v>303</v>
      </c>
      <c r="BO971" s="326"/>
      <c r="BP971" s="326"/>
      <c r="BQ971" s="326"/>
      <c r="BR971" s="326"/>
      <c r="BS971" s="326"/>
      <c r="BT971" s="326"/>
      <c r="BU971" s="326"/>
      <c r="BV971" s="327"/>
    </row>
    <row r="972" spans="1:74" ht="45" customHeight="1" x14ac:dyDescent="0.25">
      <c r="A972" s="10">
        <f t="shared" si="3"/>
        <v>958</v>
      </c>
      <c r="B972" s="564" t="s">
        <v>303</v>
      </c>
      <c r="C972" s="327"/>
      <c r="D972" s="565" t="s">
        <v>307</v>
      </c>
      <c r="E972" s="327"/>
      <c r="F972" s="537" t="s">
        <v>334</v>
      </c>
      <c r="G972" s="327"/>
      <c r="H972" s="561" t="s">
        <v>334</v>
      </c>
      <c r="I972" s="327"/>
      <c r="J972" s="562"/>
      <c r="K972" s="327"/>
      <c r="L972" s="562"/>
      <c r="M972" s="327"/>
      <c r="N972" s="23"/>
      <c r="O972" s="21"/>
      <c r="P972" s="563"/>
      <c r="Q972" s="327"/>
      <c r="R972" s="516"/>
      <c r="S972" s="327"/>
      <c r="T972" s="517"/>
      <c r="U972" s="327"/>
      <c r="V972" s="518"/>
      <c r="W972" s="327"/>
      <c r="X972" s="438" t="s">
        <v>303</v>
      </c>
      <c r="Y972" s="326"/>
      <c r="Z972" s="326"/>
      <c r="AA972" s="327"/>
      <c r="AB972" s="519" t="s">
        <v>303</v>
      </c>
      <c r="AC972" s="326"/>
      <c r="AD972" s="326"/>
      <c r="AE972" s="327"/>
      <c r="AF972" s="520"/>
      <c r="AG972" s="327"/>
      <c r="AH972" s="520"/>
      <c r="AI972" s="327"/>
      <c r="AJ972" s="536"/>
      <c r="AK972" s="327"/>
      <c r="AL972" s="556" t="s">
        <v>334</v>
      </c>
      <c r="AM972" s="327"/>
      <c r="AN972" s="553" t="s">
        <v>334</v>
      </c>
      <c r="AO972" s="327"/>
      <c r="AP972" s="554"/>
      <c r="AQ972" s="327"/>
      <c r="AR972" s="555"/>
      <c r="AS972" s="327"/>
      <c r="AT972" s="549"/>
      <c r="AU972" s="327"/>
      <c r="AV972" s="553" t="s">
        <v>334</v>
      </c>
      <c r="AW972" s="327"/>
      <c r="AX972" s="521"/>
      <c r="AY972" s="326"/>
      <c r="AZ972" s="327"/>
      <c r="BA972" s="536"/>
      <c r="BB972" s="327"/>
      <c r="BC972" s="22"/>
      <c r="BD972" s="551" t="s">
        <v>334</v>
      </c>
      <c r="BE972" s="327"/>
      <c r="BF972" s="552"/>
      <c r="BG972" s="326"/>
      <c r="BH972" s="326"/>
      <c r="BI972" s="327"/>
      <c r="BJ972" s="451" t="s">
        <v>303</v>
      </c>
      <c r="BK972" s="326"/>
      <c r="BL972" s="326"/>
      <c r="BM972" s="327"/>
      <c r="BN972" s="558" t="s">
        <v>303</v>
      </c>
      <c r="BO972" s="326"/>
      <c r="BP972" s="326"/>
      <c r="BQ972" s="326"/>
      <c r="BR972" s="326"/>
      <c r="BS972" s="326"/>
      <c r="BT972" s="326"/>
      <c r="BU972" s="326"/>
      <c r="BV972" s="327"/>
    </row>
    <row r="973" spans="1:74" ht="45" customHeight="1" x14ac:dyDescent="0.25">
      <c r="A973" s="10">
        <f t="shared" si="3"/>
        <v>959</v>
      </c>
      <c r="B973" s="559" t="s">
        <v>303</v>
      </c>
      <c r="C973" s="327"/>
      <c r="D973" s="560" t="s">
        <v>307</v>
      </c>
      <c r="E973" s="327"/>
      <c r="F973" s="537" t="s">
        <v>334</v>
      </c>
      <c r="G973" s="327"/>
      <c r="H973" s="566" t="s">
        <v>334</v>
      </c>
      <c r="I973" s="327"/>
      <c r="J973" s="567"/>
      <c r="K973" s="327"/>
      <c r="L973" s="567"/>
      <c r="M973" s="327"/>
      <c r="N973" s="20"/>
      <c r="O973" s="24"/>
      <c r="P973" s="524"/>
      <c r="Q973" s="327"/>
      <c r="R973" s="538"/>
      <c r="S973" s="327"/>
      <c r="T973" s="539"/>
      <c r="U973" s="327"/>
      <c r="V973" s="540"/>
      <c r="W973" s="327"/>
      <c r="X973" s="541" t="s">
        <v>303</v>
      </c>
      <c r="Y973" s="326"/>
      <c r="Z973" s="326"/>
      <c r="AA973" s="327"/>
      <c r="AB973" s="542" t="s">
        <v>303</v>
      </c>
      <c r="AC973" s="326"/>
      <c r="AD973" s="326"/>
      <c r="AE973" s="327"/>
      <c r="AF973" s="543"/>
      <c r="AG973" s="327"/>
      <c r="AH973" s="543"/>
      <c r="AI973" s="327"/>
      <c r="AJ973" s="536"/>
      <c r="AK973" s="327"/>
      <c r="AL973" s="537" t="s">
        <v>334</v>
      </c>
      <c r="AM973" s="327"/>
      <c r="AN973" s="546" t="s">
        <v>334</v>
      </c>
      <c r="AO973" s="327"/>
      <c r="AP973" s="547"/>
      <c r="AQ973" s="327"/>
      <c r="AR973" s="548"/>
      <c r="AS973" s="327"/>
      <c r="AT973" s="568"/>
      <c r="AU973" s="327"/>
      <c r="AV973" s="546" t="s">
        <v>334</v>
      </c>
      <c r="AW973" s="327"/>
      <c r="AX973" s="521"/>
      <c r="AY973" s="326"/>
      <c r="AZ973" s="327"/>
      <c r="BA973" s="550"/>
      <c r="BB973" s="327"/>
      <c r="BC973" s="25"/>
      <c r="BD973" s="544" t="s">
        <v>334</v>
      </c>
      <c r="BE973" s="327"/>
      <c r="BF973" s="545"/>
      <c r="BG973" s="326"/>
      <c r="BH973" s="326"/>
      <c r="BI973" s="327"/>
      <c r="BJ973" s="557" t="s">
        <v>303</v>
      </c>
      <c r="BK973" s="326"/>
      <c r="BL973" s="326"/>
      <c r="BM973" s="327"/>
      <c r="BN973" s="558" t="s">
        <v>303</v>
      </c>
      <c r="BO973" s="326"/>
      <c r="BP973" s="326"/>
      <c r="BQ973" s="326"/>
      <c r="BR973" s="326"/>
      <c r="BS973" s="326"/>
      <c r="BT973" s="326"/>
      <c r="BU973" s="326"/>
      <c r="BV973" s="327"/>
    </row>
    <row r="974" spans="1:74" ht="45" customHeight="1" x14ac:dyDescent="0.25">
      <c r="A974" s="10">
        <f t="shared" si="3"/>
        <v>960</v>
      </c>
      <c r="B974" s="564" t="s">
        <v>303</v>
      </c>
      <c r="C974" s="327"/>
      <c r="D974" s="565" t="s">
        <v>307</v>
      </c>
      <c r="E974" s="327"/>
      <c r="F974" s="537" t="s">
        <v>334</v>
      </c>
      <c r="G974" s="327"/>
      <c r="H974" s="561" t="s">
        <v>334</v>
      </c>
      <c r="I974" s="327"/>
      <c r="J974" s="562"/>
      <c r="K974" s="327"/>
      <c r="L974" s="562"/>
      <c r="M974" s="327"/>
      <c r="N974" s="23"/>
      <c r="O974" s="21"/>
      <c r="P974" s="563"/>
      <c r="Q974" s="327"/>
      <c r="R974" s="516"/>
      <c r="S974" s="327"/>
      <c r="T974" s="517"/>
      <c r="U974" s="327"/>
      <c r="V974" s="518"/>
      <c r="W974" s="327"/>
      <c r="X974" s="438" t="s">
        <v>303</v>
      </c>
      <c r="Y974" s="326"/>
      <c r="Z974" s="326"/>
      <c r="AA974" s="327"/>
      <c r="AB974" s="519" t="s">
        <v>303</v>
      </c>
      <c r="AC974" s="326"/>
      <c r="AD974" s="326"/>
      <c r="AE974" s="327"/>
      <c r="AF974" s="520"/>
      <c r="AG974" s="327"/>
      <c r="AH974" s="520"/>
      <c r="AI974" s="327"/>
      <c r="AJ974" s="536"/>
      <c r="AK974" s="327"/>
      <c r="AL974" s="556" t="s">
        <v>334</v>
      </c>
      <c r="AM974" s="327"/>
      <c r="AN974" s="553" t="s">
        <v>334</v>
      </c>
      <c r="AO974" s="327"/>
      <c r="AP974" s="554"/>
      <c r="AQ974" s="327"/>
      <c r="AR974" s="555"/>
      <c r="AS974" s="327"/>
      <c r="AT974" s="549"/>
      <c r="AU974" s="327"/>
      <c r="AV974" s="553" t="s">
        <v>334</v>
      </c>
      <c r="AW974" s="327"/>
      <c r="AX974" s="521"/>
      <c r="AY974" s="326"/>
      <c r="AZ974" s="327"/>
      <c r="BA974" s="536"/>
      <c r="BB974" s="327"/>
      <c r="BC974" s="22"/>
      <c r="BD974" s="551" t="s">
        <v>334</v>
      </c>
      <c r="BE974" s="327"/>
      <c r="BF974" s="552"/>
      <c r="BG974" s="326"/>
      <c r="BH974" s="326"/>
      <c r="BI974" s="327"/>
      <c r="BJ974" s="451" t="s">
        <v>303</v>
      </c>
      <c r="BK974" s="326"/>
      <c r="BL974" s="326"/>
      <c r="BM974" s="327"/>
      <c r="BN974" s="558" t="s">
        <v>303</v>
      </c>
      <c r="BO974" s="326"/>
      <c r="BP974" s="326"/>
      <c r="BQ974" s="326"/>
      <c r="BR974" s="326"/>
      <c r="BS974" s="326"/>
      <c r="BT974" s="326"/>
      <c r="BU974" s="326"/>
      <c r="BV974" s="327"/>
    </row>
    <row r="975" spans="1:74" ht="45" customHeight="1" x14ac:dyDescent="0.25">
      <c r="A975" s="10">
        <f t="shared" si="3"/>
        <v>961</v>
      </c>
      <c r="B975" s="559" t="s">
        <v>303</v>
      </c>
      <c r="C975" s="327"/>
      <c r="D975" s="560" t="s">
        <v>307</v>
      </c>
      <c r="E975" s="327"/>
      <c r="F975" s="537" t="s">
        <v>334</v>
      </c>
      <c r="G975" s="327"/>
      <c r="H975" s="566" t="s">
        <v>334</v>
      </c>
      <c r="I975" s="327"/>
      <c r="J975" s="567"/>
      <c r="K975" s="327"/>
      <c r="L975" s="567"/>
      <c r="M975" s="327"/>
      <c r="N975" s="20"/>
      <c r="O975" s="24"/>
      <c r="P975" s="524"/>
      <c r="Q975" s="327"/>
      <c r="R975" s="538"/>
      <c r="S975" s="327"/>
      <c r="T975" s="539"/>
      <c r="U975" s="327"/>
      <c r="V975" s="540"/>
      <c r="W975" s="327"/>
      <c r="X975" s="541" t="s">
        <v>303</v>
      </c>
      <c r="Y975" s="326"/>
      <c r="Z975" s="326"/>
      <c r="AA975" s="327"/>
      <c r="AB975" s="542" t="s">
        <v>303</v>
      </c>
      <c r="AC975" s="326"/>
      <c r="AD975" s="326"/>
      <c r="AE975" s="327"/>
      <c r="AF975" s="543"/>
      <c r="AG975" s="327"/>
      <c r="AH975" s="543"/>
      <c r="AI975" s="327"/>
      <c r="AJ975" s="536"/>
      <c r="AK975" s="327"/>
      <c r="AL975" s="537" t="s">
        <v>334</v>
      </c>
      <c r="AM975" s="327"/>
      <c r="AN975" s="546" t="s">
        <v>334</v>
      </c>
      <c r="AO975" s="327"/>
      <c r="AP975" s="547"/>
      <c r="AQ975" s="327"/>
      <c r="AR975" s="548"/>
      <c r="AS975" s="327"/>
      <c r="AT975" s="568"/>
      <c r="AU975" s="327"/>
      <c r="AV975" s="546" t="s">
        <v>334</v>
      </c>
      <c r="AW975" s="327"/>
      <c r="AX975" s="521"/>
      <c r="AY975" s="326"/>
      <c r="AZ975" s="327"/>
      <c r="BA975" s="550"/>
      <c r="BB975" s="327"/>
      <c r="BC975" s="25"/>
      <c r="BD975" s="544" t="s">
        <v>334</v>
      </c>
      <c r="BE975" s="327"/>
      <c r="BF975" s="545"/>
      <c r="BG975" s="326"/>
      <c r="BH975" s="326"/>
      <c r="BI975" s="327"/>
      <c r="BJ975" s="557" t="s">
        <v>303</v>
      </c>
      <c r="BK975" s="326"/>
      <c r="BL975" s="326"/>
      <c r="BM975" s="327"/>
      <c r="BN975" s="558" t="s">
        <v>303</v>
      </c>
      <c r="BO975" s="326"/>
      <c r="BP975" s="326"/>
      <c r="BQ975" s="326"/>
      <c r="BR975" s="326"/>
      <c r="BS975" s="326"/>
      <c r="BT975" s="326"/>
      <c r="BU975" s="326"/>
      <c r="BV975" s="327"/>
    </row>
    <row r="976" spans="1:74" ht="45" customHeight="1" x14ac:dyDescent="0.25">
      <c r="A976" s="10">
        <f t="shared" si="3"/>
        <v>962</v>
      </c>
      <c r="B976" s="564" t="s">
        <v>303</v>
      </c>
      <c r="C976" s="327"/>
      <c r="D976" s="565" t="s">
        <v>307</v>
      </c>
      <c r="E976" s="327"/>
      <c r="F976" s="537" t="s">
        <v>334</v>
      </c>
      <c r="G976" s="327"/>
      <c r="H976" s="561" t="s">
        <v>334</v>
      </c>
      <c r="I976" s="327"/>
      <c r="J976" s="562"/>
      <c r="K976" s="327"/>
      <c r="L976" s="562"/>
      <c r="M976" s="327"/>
      <c r="N976" s="23"/>
      <c r="O976" s="21"/>
      <c r="P976" s="563"/>
      <c r="Q976" s="327"/>
      <c r="R976" s="516"/>
      <c r="S976" s="327"/>
      <c r="T976" s="517"/>
      <c r="U976" s="327"/>
      <c r="V976" s="518"/>
      <c r="W976" s="327"/>
      <c r="X976" s="438" t="s">
        <v>303</v>
      </c>
      <c r="Y976" s="326"/>
      <c r="Z976" s="326"/>
      <c r="AA976" s="327"/>
      <c r="AB976" s="519" t="s">
        <v>303</v>
      </c>
      <c r="AC976" s="326"/>
      <c r="AD976" s="326"/>
      <c r="AE976" s="327"/>
      <c r="AF976" s="520"/>
      <c r="AG976" s="327"/>
      <c r="AH976" s="520"/>
      <c r="AI976" s="327"/>
      <c r="AJ976" s="536"/>
      <c r="AK976" s="327"/>
      <c r="AL976" s="556" t="s">
        <v>334</v>
      </c>
      <c r="AM976" s="327"/>
      <c r="AN976" s="553" t="s">
        <v>334</v>
      </c>
      <c r="AO976" s="327"/>
      <c r="AP976" s="554"/>
      <c r="AQ976" s="327"/>
      <c r="AR976" s="555"/>
      <c r="AS976" s="327"/>
      <c r="AT976" s="549"/>
      <c r="AU976" s="327"/>
      <c r="AV976" s="553" t="s">
        <v>334</v>
      </c>
      <c r="AW976" s="327"/>
      <c r="AX976" s="521"/>
      <c r="AY976" s="326"/>
      <c r="AZ976" s="327"/>
      <c r="BA976" s="536"/>
      <c r="BB976" s="327"/>
      <c r="BC976" s="22"/>
      <c r="BD976" s="551" t="s">
        <v>334</v>
      </c>
      <c r="BE976" s="327"/>
      <c r="BF976" s="508"/>
      <c r="BG976" s="326"/>
      <c r="BH976" s="326"/>
      <c r="BI976" s="327"/>
      <c r="BJ976" s="451" t="s">
        <v>303</v>
      </c>
      <c r="BK976" s="326"/>
      <c r="BL976" s="326"/>
      <c r="BM976" s="327"/>
      <c r="BN976" s="558" t="s">
        <v>303</v>
      </c>
      <c r="BO976" s="326"/>
      <c r="BP976" s="326"/>
      <c r="BQ976" s="326"/>
      <c r="BR976" s="326"/>
      <c r="BS976" s="326"/>
      <c r="BT976" s="326"/>
      <c r="BU976" s="326"/>
      <c r="BV976" s="327"/>
    </row>
    <row r="977" spans="1:74" ht="45" customHeight="1" x14ac:dyDescent="0.25">
      <c r="A977" s="10">
        <f t="shared" si="3"/>
        <v>963</v>
      </c>
      <c r="B977" s="559" t="s">
        <v>303</v>
      </c>
      <c r="C977" s="327"/>
      <c r="D977" s="560" t="s">
        <v>307</v>
      </c>
      <c r="E977" s="327"/>
      <c r="F977" s="537" t="s">
        <v>334</v>
      </c>
      <c r="G977" s="327"/>
      <c r="H977" s="566" t="s">
        <v>334</v>
      </c>
      <c r="I977" s="327"/>
      <c r="J977" s="567"/>
      <c r="K977" s="327"/>
      <c r="L977" s="567"/>
      <c r="M977" s="327"/>
      <c r="N977" s="20"/>
      <c r="O977" s="24"/>
      <c r="P977" s="524"/>
      <c r="Q977" s="327"/>
      <c r="R977" s="538"/>
      <c r="S977" s="327"/>
      <c r="T977" s="539"/>
      <c r="U977" s="327"/>
      <c r="V977" s="540"/>
      <c r="W977" s="327"/>
      <c r="X977" s="541" t="s">
        <v>303</v>
      </c>
      <c r="Y977" s="326"/>
      <c r="Z977" s="326"/>
      <c r="AA977" s="327"/>
      <c r="AB977" s="542" t="s">
        <v>303</v>
      </c>
      <c r="AC977" s="326"/>
      <c r="AD977" s="326"/>
      <c r="AE977" s="327"/>
      <c r="AF977" s="543"/>
      <c r="AG977" s="327"/>
      <c r="AH977" s="543"/>
      <c r="AI977" s="327"/>
      <c r="AJ977" s="536"/>
      <c r="AK977" s="327"/>
      <c r="AL977" s="537" t="s">
        <v>334</v>
      </c>
      <c r="AM977" s="327"/>
      <c r="AN977" s="546" t="s">
        <v>334</v>
      </c>
      <c r="AO977" s="327"/>
      <c r="AP977" s="547"/>
      <c r="AQ977" s="327"/>
      <c r="AR977" s="548"/>
      <c r="AS977" s="327"/>
      <c r="AT977" s="568"/>
      <c r="AU977" s="327"/>
      <c r="AV977" s="546" t="s">
        <v>334</v>
      </c>
      <c r="AW977" s="327"/>
      <c r="AX977" s="521"/>
      <c r="AY977" s="326"/>
      <c r="AZ977" s="327"/>
      <c r="BA977" s="550"/>
      <c r="BB977" s="327"/>
      <c r="BC977" s="25"/>
      <c r="BD977" s="544" t="s">
        <v>334</v>
      </c>
      <c r="BE977" s="327"/>
      <c r="BF977" s="545"/>
      <c r="BG977" s="326"/>
      <c r="BH977" s="326"/>
      <c r="BI977" s="327"/>
      <c r="BJ977" s="557" t="s">
        <v>303</v>
      </c>
      <c r="BK977" s="326"/>
      <c r="BL977" s="326"/>
      <c r="BM977" s="327"/>
      <c r="BN977" s="558" t="s">
        <v>303</v>
      </c>
      <c r="BO977" s="326"/>
      <c r="BP977" s="326"/>
      <c r="BQ977" s="326"/>
      <c r="BR977" s="326"/>
      <c r="BS977" s="326"/>
      <c r="BT977" s="326"/>
      <c r="BU977" s="326"/>
      <c r="BV977" s="327"/>
    </row>
    <row r="978" spans="1:74" ht="45" customHeight="1" x14ac:dyDescent="0.25">
      <c r="A978" s="10">
        <f t="shared" si="3"/>
        <v>964</v>
      </c>
      <c r="B978" s="564" t="s">
        <v>303</v>
      </c>
      <c r="C978" s="327"/>
      <c r="D978" s="565" t="s">
        <v>307</v>
      </c>
      <c r="E978" s="327"/>
      <c r="F978" s="537" t="s">
        <v>334</v>
      </c>
      <c r="G978" s="327"/>
      <c r="H978" s="561" t="s">
        <v>334</v>
      </c>
      <c r="I978" s="327"/>
      <c r="J978" s="562"/>
      <c r="K978" s="327"/>
      <c r="L978" s="562"/>
      <c r="M978" s="327"/>
      <c r="N978" s="23"/>
      <c r="O978" s="21"/>
      <c r="P978" s="563"/>
      <c r="Q978" s="327"/>
      <c r="R978" s="516"/>
      <c r="S978" s="327"/>
      <c r="T978" s="517"/>
      <c r="U978" s="327"/>
      <c r="V978" s="518"/>
      <c r="W978" s="327"/>
      <c r="X978" s="438" t="s">
        <v>303</v>
      </c>
      <c r="Y978" s="326"/>
      <c r="Z978" s="326"/>
      <c r="AA978" s="327"/>
      <c r="AB978" s="519" t="s">
        <v>303</v>
      </c>
      <c r="AC978" s="326"/>
      <c r="AD978" s="326"/>
      <c r="AE978" s="327"/>
      <c r="AF978" s="520"/>
      <c r="AG978" s="327"/>
      <c r="AH978" s="520"/>
      <c r="AI978" s="327"/>
      <c r="AJ978" s="536"/>
      <c r="AK978" s="327"/>
      <c r="AL978" s="556" t="s">
        <v>334</v>
      </c>
      <c r="AM978" s="327"/>
      <c r="AN978" s="553" t="s">
        <v>334</v>
      </c>
      <c r="AO978" s="327"/>
      <c r="AP978" s="554"/>
      <c r="AQ978" s="327"/>
      <c r="AR978" s="555"/>
      <c r="AS978" s="327"/>
      <c r="AT978" s="549"/>
      <c r="AU978" s="327"/>
      <c r="AV978" s="553" t="s">
        <v>334</v>
      </c>
      <c r="AW978" s="327"/>
      <c r="AX978" s="521"/>
      <c r="AY978" s="326"/>
      <c r="AZ978" s="327"/>
      <c r="BA978" s="536"/>
      <c r="BB978" s="327"/>
      <c r="BC978" s="22"/>
      <c r="BD978" s="551" t="s">
        <v>334</v>
      </c>
      <c r="BE978" s="327"/>
      <c r="BF978" s="552"/>
      <c r="BG978" s="326"/>
      <c r="BH978" s="326"/>
      <c r="BI978" s="327"/>
      <c r="BJ978" s="451" t="s">
        <v>303</v>
      </c>
      <c r="BK978" s="326"/>
      <c r="BL978" s="326"/>
      <c r="BM978" s="327"/>
      <c r="BN978" s="558" t="s">
        <v>303</v>
      </c>
      <c r="BO978" s="326"/>
      <c r="BP978" s="326"/>
      <c r="BQ978" s="326"/>
      <c r="BR978" s="326"/>
      <c r="BS978" s="326"/>
      <c r="BT978" s="326"/>
      <c r="BU978" s="326"/>
      <c r="BV978" s="327"/>
    </row>
    <row r="979" spans="1:74" ht="45" customHeight="1" x14ac:dyDescent="0.25">
      <c r="A979" s="10">
        <f t="shared" si="3"/>
        <v>965</v>
      </c>
      <c r="B979" s="559" t="s">
        <v>303</v>
      </c>
      <c r="C979" s="327"/>
      <c r="D979" s="560" t="s">
        <v>307</v>
      </c>
      <c r="E979" s="327"/>
      <c r="F979" s="537" t="s">
        <v>334</v>
      </c>
      <c r="G979" s="327"/>
      <c r="H979" s="566" t="s">
        <v>334</v>
      </c>
      <c r="I979" s="327"/>
      <c r="J979" s="567"/>
      <c r="K979" s="327"/>
      <c r="L979" s="567"/>
      <c r="M979" s="327"/>
      <c r="N979" s="23"/>
      <c r="O979" s="24"/>
      <c r="P979" s="563"/>
      <c r="Q979" s="327"/>
      <c r="R979" s="538"/>
      <c r="S979" s="327"/>
      <c r="T979" s="539"/>
      <c r="U979" s="327"/>
      <c r="V979" s="540"/>
      <c r="W979" s="327"/>
      <c r="X979" s="541" t="s">
        <v>303</v>
      </c>
      <c r="Y979" s="326"/>
      <c r="Z979" s="326"/>
      <c r="AA979" s="327"/>
      <c r="AB979" s="542" t="s">
        <v>303</v>
      </c>
      <c r="AC979" s="326"/>
      <c r="AD979" s="326"/>
      <c r="AE979" s="327"/>
      <c r="AF979" s="543"/>
      <c r="AG979" s="327"/>
      <c r="AH979" s="543"/>
      <c r="AI979" s="327"/>
      <c r="AJ979" s="536"/>
      <c r="AK979" s="327"/>
      <c r="AL979" s="537" t="s">
        <v>334</v>
      </c>
      <c r="AM979" s="327"/>
      <c r="AN979" s="546" t="s">
        <v>334</v>
      </c>
      <c r="AO979" s="327"/>
      <c r="AP979" s="547"/>
      <c r="AQ979" s="327"/>
      <c r="AR979" s="548"/>
      <c r="AS979" s="327"/>
      <c r="AT979" s="549"/>
      <c r="AU979" s="327"/>
      <c r="AV979" s="546" t="s">
        <v>334</v>
      </c>
      <c r="AW979" s="327"/>
      <c r="AX979" s="521"/>
      <c r="AY979" s="326"/>
      <c r="AZ979" s="327"/>
      <c r="BA979" s="550"/>
      <c r="BB979" s="327"/>
      <c r="BC979" s="25"/>
      <c r="BD979" s="544" t="s">
        <v>334</v>
      </c>
      <c r="BE979" s="327"/>
      <c r="BF979" s="545"/>
      <c r="BG979" s="326"/>
      <c r="BH979" s="326"/>
      <c r="BI979" s="327"/>
      <c r="BJ979" s="557" t="s">
        <v>303</v>
      </c>
      <c r="BK979" s="326"/>
      <c r="BL979" s="326"/>
      <c r="BM979" s="327"/>
      <c r="BN979" s="558" t="s">
        <v>303</v>
      </c>
      <c r="BO979" s="326"/>
      <c r="BP979" s="326"/>
      <c r="BQ979" s="326"/>
      <c r="BR979" s="326"/>
      <c r="BS979" s="326"/>
      <c r="BT979" s="326"/>
      <c r="BU979" s="326"/>
      <c r="BV979" s="327"/>
    </row>
    <row r="980" spans="1:74" ht="45" customHeight="1" x14ac:dyDescent="0.25">
      <c r="A980" s="10">
        <f t="shared" si="3"/>
        <v>966</v>
      </c>
      <c r="B980" s="564" t="s">
        <v>303</v>
      </c>
      <c r="C980" s="327"/>
      <c r="D980" s="565" t="s">
        <v>307</v>
      </c>
      <c r="E980" s="327"/>
      <c r="F980" s="537" t="s">
        <v>334</v>
      </c>
      <c r="G980" s="327"/>
      <c r="H980" s="561" t="s">
        <v>334</v>
      </c>
      <c r="I980" s="327"/>
      <c r="J980" s="562"/>
      <c r="K980" s="327"/>
      <c r="L980" s="562"/>
      <c r="M980" s="327"/>
      <c r="N980" s="20"/>
      <c r="O980" s="21"/>
      <c r="P980" s="524"/>
      <c r="Q980" s="327"/>
      <c r="R980" s="516"/>
      <c r="S980" s="327"/>
      <c r="T980" s="517"/>
      <c r="U980" s="327"/>
      <c r="V980" s="518"/>
      <c r="W980" s="327"/>
      <c r="X980" s="438" t="s">
        <v>303</v>
      </c>
      <c r="Y980" s="326"/>
      <c r="Z980" s="326"/>
      <c r="AA980" s="327"/>
      <c r="AB980" s="519" t="s">
        <v>303</v>
      </c>
      <c r="AC980" s="326"/>
      <c r="AD980" s="326"/>
      <c r="AE980" s="327"/>
      <c r="AF980" s="520"/>
      <c r="AG980" s="327"/>
      <c r="AH980" s="520"/>
      <c r="AI980" s="327"/>
      <c r="AJ980" s="536"/>
      <c r="AK980" s="327"/>
      <c r="AL980" s="556" t="s">
        <v>334</v>
      </c>
      <c r="AM980" s="327"/>
      <c r="AN980" s="553" t="s">
        <v>334</v>
      </c>
      <c r="AO980" s="327"/>
      <c r="AP980" s="554"/>
      <c r="AQ980" s="327"/>
      <c r="AR980" s="555"/>
      <c r="AS980" s="327"/>
      <c r="AT980" s="549"/>
      <c r="AU980" s="327"/>
      <c r="AV980" s="553" t="s">
        <v>334</v>
      </c>
      <c r="AW980" s="327"/>
      <c r="AX980" s="521"/>
      <c r="AY980" s="326"/>
      <c r="AZ980" s="327"/>
      <c r="BA980" s="536"/>
      <c r="BB980" s="327"/>
      <c r="BC980" s="22"/>
      <c r="BD980" s="551" t="s">
        <v>334</v>
      </c>
      <c r="BE980" s="327"/>
      <c r="BF980" s="552"/>
      <c r="BG980" s="326"/>
      <c r="BH980" s="326"/>
      <c r="BI980" s="327"/>
      <c r="BJ980" s="451" t="s">
        <v>303</v>
      </c>
      <c r="BK980" s="326"/>
      <c r="BL980" s="326"/>
      <c r="BM980" s="327"/>
      <c r="BN980" s="558" t="s">
        <v>303</v>
      </c>
      <c r="BO980" s="326"/>
      <c r="BP980" s="326"/>
      <c r="BQ980" s="326"/>
      <c r="BR980" s="326"/>
      <c r="BS980" s="326"/>
      <c r="BT980" s="326"/>
      <c r="BU980" s="326"/>
      <c r="BV980" s="327"/>
    </row>
    <row r="981" spans="1:74" ht="45" customHeight="1" x14ac:dyDescent="0.25">
      <c r="A981" s="10">
        <f t="shared" si="3"/>
        <v>967</v>
      </c>
      <c r="B981" s="559" t="s">
        <v>303</v>
      </c>
      <c r="C981" s="327"/>
      <c r="D981" s="560" t="s">
        <v>307</v>
      </c>
      <c r="E981" s="327"/>
      <c r="F981" s="537" t="s">
        <v>334</v>
      </c>
      <c r="G981" s="327"/>
      <c r="H981" s="566" t="s">
        <v>334</v>
      </c>
      <c r="I981" s="327"/>
      <c r="J981" s="567"/>
      <c r="K981" s="327"/>
      <c r="L981" s="567"/>
      <c r="M981" s="327"/>
      <c r="N981" s="23"/>
      <c r="O981" s="24"/>
      <c r="P981" s="563"/>
      <c r="Q981" s="327"/>
      <c r="R981" s="538"/>
      <c r="S981" s="327"/>
      <c r="T981" s="539"/>
      <c r="U981" s="327"/>
      <c r="V981" s="540"/>
      <c r="W981" s="327"/>
      <c r="X981" s="541" t="s">
        <v>303</v>
      </c>
      <c r="Y981" s="326"/>
      <c r="Z981" s="326"/>
      <c r="AA981" s="327"/>
      <c r="AB981" s="542" t="s">
        <v>303</v>
      </c>
      <c r="AC981" s="326"/>
      <c r="AD981" s="326"/>
      <c r="AE981" s="327"/>
      <c r="AF981" s="543"/>
      <c r="AG981" s="327"/>
      <c r="AH981" s="543"/>
      <c r="AI981" s="327"/>
      <c r="AJ981" s="536"/>
      <c r="AK981" s="327"/>
      <c r="AL981" s="537" t="s">
        <v>334</v>
      </c>
      <c r="AM981" s="327"/>
      <c r="AN981" s="546" t="s">
        <v>334</v>
      </c>
      <c r="AO981" s="327"/>
      <c r="AP981" s="547"/>
      <c r="AQ981" s="327"/>
      <c r="AR981" s="548"/>
      <c r="AS981" s="327"/>
      <c r="AT981" s="549"/>
      <c r="AU981" s="327"/>
      <c r="AV981" s="546" t="s">
        <v>334</v>
      </c>
      <c r="AW981" s="327"/>
      <c r="AX981" s="521"/>
      <c r="AY981" s="326"/>
      <c r="AZ981" s="327"/>
      <c r="BA981" s="550"/>
      <c r="BB981" s="327"/>
      <c r="BC981" s="25"/>
      <c r="BD981" s="544" t="s">
        <v>334</v>
      </c>
      <c r="BE981" s="327"/>
      <c r="BF981" s="545"/>
      <c r="BG981" s="326"/>
      <c r="BH981" s="326"/>
      <c r="BI981" s="327"/>
      <c r="BJ981" s="557" t="s">
        <v>303</v>
      </c>
      <c r="BK981" s="326"/>
      <c r="BL981" s="326"/>
      <c r="BM981" s="327"/>
      <c r="BN981" s="558" t="s">
        <v>303</v>
      </c>
      <c r="BO981" s="326"/>
      <c r="BP981" s="326"/>
      <c r="BQ981" s="326"/>
      <c r="BR981" s="326"/>
      <c r="BS981" s="326"/>
      <c r="BT981" s="326"/>
      <c r="BU981" s="326"/>
      <c r="BV981" s="327"/>
    </row>
    <row r="982" spans="1:74" ht="45" customHeight="1" x14ac:dyDescent="0.25">
      <c r="A982" s="10">
        <f t="shared" si="3"/>
        <v>968</v>
      </c>
      <c r="B982" s="564" t="s">
        <v>303</v>
      </c>
      <c r="C982" s="327"/>
      <c r="D982" s="565" t="s">
        <v>307</v>
      </c>
      <c r="E982" s="327"/>
      <c r="F982" s="537" t="s">
        <v>334</v>
      </c>
      <c r="G982" s="327"/>
      <c r="H982" s="561" t="s">
        <v>334</v>
      </c>
      <c r="I982" s="327"/>
      <c r="J982" s="562"/>
      <c r="K982" s="327"/>
      <c r="L982" s="562"/>
      <c r="M982" s="327"/>
      <c r="N982" s="20"/>
      <c r="O982" s="21"/>
      <c r="P982" s="524"/>
      <c r="Q982" s="327"/>
      <c r="R982" s="516"/>
      <c r="S982" s="327"/>
      <c r="T982" s="517"/>
      <c r="U982" s="327"/>
      <c r="V982" s="518"/>
      <c r="W982" s="327"/>
      <c r="X982" s="438" t="s">
        <v>303</v>
      </c>
      <c r="Y982" s="326"/>
      <c r="Z982" s="326"/>
      <c r="AA982" s="327"/>
      <c r="AB982" s="519" t="s">
        <v>303</v>
      </c>
      <c r="AC982" s="326"/>
      <c r="AD982" s="326"/>
      <c r="AE982" s="327"/>
      <c r="AF982" s="520"/>
      <c r="AG982" s="327"/>
      <c r="AH982" s="520"/>
      <c r="AI982" s="327"/>
      <c r="AJ982" s="536"/>
      <c r="AK982" s="327"/>
      <c r="AL982" s="556" t="s">
        <v>334</v>
      </c>
      <c r="AM982" s="327"/>
      <c r="AN982" s="553" t="s">
        <v>334</v>
      </c>
      <c r="AO982" s="327"/>
      <c r="AP982" s="554"/>
      <c r="AQ982" s="327"/>
      <c r="AR982" s="555"/>
      <c r="AS982" s="327"/>
      <c r="AT982" s="549"/>
      <c r="AU982" s="327"/>
      <c r="AV982" s="553" t="s">
        <v>334</v>
      </c>
      <c r="AW982" s="327"/>
      <c r="AX982" s="521"/>
      <c r="AY982" s="326"/>
      <c r="AZ982" s="327"/>
      <c r="BA982" s="536"/>
      <c r="BB982" s="327"/>
      <c r="BC982" s="22"/>
      <c r="BD982" s="551" t="s">
        <v>334</v>
      </c>
      <c r="BE982" s="327"/>
      <c r="BF982" s="552"/>
      <c r="BG982" s="326"/>
      <c r="BH982" s="326"/>
      <c r="BI982" s="327"/>
      <c r="BJ982" s="451" t="s">
        <v>303</v>
      </c>
      <c r="BK982" s="326"/>
      <c r="BL982" s="326"/>
      <c r="BM982" s="327"/>
      <c r="BN982" s="558" t="s">
        <v>303</v>
      </c>
      <c r="BO982" s="326"/>
      <c r="BP982" s="326"/>
      <c r="BQ982" s="326"/>
      <c r="BR982" s="326"/>
      <c r="BS982" s="326"/>
      <c r="BT982" s="326"/>
      <c r="BU982" s="326"/>
      <c r="BV982" s="327"/>
    </row>
    <row r="983" spans="1:74" ht="45" customHeight="1" x14ac:dyDescent="0.25">
      <c r="A983" s="10">
        <f t="shared" si="3"/>
        <v>969</v>
      </c>
      <c r="B983" s="559" t="s">
        <v>303</v>
      </c>
      <c r="C983" s="327"/>
      <c r="D983" s="560" t="s">
        <v>307</v>
      </c>
      <c r="E983" s="327"/>
      <c r="F983" s="537" t="s">
        <v>334</v>
      </c>
      <c r="G983" s="327"/>
      <c r="H983" s="566" t="s">
        <v>334</v>
      </c>
      <c r="I983" s="327"/>
      <c r="J983" s="567"/>
      <c r="K983" s="327"/>
      <c r="L983" s="567"/>
      <c r="M983" s="327"/>
      <c r="N983" s="23"/>
      <c r="O983" s="24"/>
      <c r="P983" s="563"/>
      <c r="Q983" s="327"/>
      <c r="R983" s="538"/>
      <c r="S983" s="327"/>
      <c r="T983" s="539"/>
      <c r="U983" s="327"/>
      <c r="V983" s="540"/>
      <c r="W983" s="327"/>
      <c r="X983" s="541" t="s">
        <v>303</v>
      </c>
      <c r="Y983" s="326"/>
      <c r="Z983" s="326"/>
      <c r="AA983" s="327"/>
      <c r="AB983" s="542" t="s">
        <v>303</v>
      </c>
      <c r="AC983" s="326"/>
      <c r="AD983" s="326"/>
      <c r="AE983" s="327"/>
      <c r="AF983" s="543"/>
      <c r="AG983" s="327"/>
      <c r="AH983" s="543"/>
      <c r="AI983" s="327"/>
      <c r="AJ983" s="536"/>
      <c r="AK983" s="327"/>
      <c r="AL983" s="537" t="s">
        <v>334</v>
      </c>
      <c r="AM983" s="327"/>
      <c r="AN983" s="546" t="s">
        <v>334</v>
      </c>
      <c r="AO983" s="327"/>
      <c r="AP983" s="547"/>
      <c r="AQ983" s="327"/>
      <c r="AR983" s="548"/>
      <c r="AS983" s="327"/>
      <c r="AT983" s="568"/>
      <c r="AU983" s="327"/>
      <c r="AV983" s="546" t="s">
        <v>334</v>
      </c>
      <c r="AW983" s="327"/>
      <c r="AX983" s="521"/>
      <c r="AY983" s="326"/>
      <c r="AZ983" s="327"/>
      <c r="BA983" s="550"/>
      <c r="BB983" s="327"/>
      <c r="BC983" s="25"/>
      <c r="BD983" s="544" t="s">
        <v>334</v>
      </c>
      <c r="BE983" s="327"/>
      <c r="BF983" s="545"/>
      <c r="BG983" s="326"/>
      <c r="BH983" s="326"/>
      <c r="BI983" s="327"/>
      <c r="BJ983" s="557" t="s">
        <v>303</v>
      </c>
      <c r="BK983" s="326"/>
      <c r="BL983" s="326"/>
      <c r="BM983" s="327"/>
      <c r="BN983" s="558" t="s">
        <v>303</v>
      </c>
      <c r="BO983" s="326"/>
      <c r="BP983" s="326"/>
      <c r="BQ983" s="326"/>
      <c r="BR983" s="326"/>
      <c r="BS983" s="326"/>
      <c r="BT983" s="326"/>
      <c r="BU983" s="326"/>
      <c r="BV983" s="327"/>
    </row>
    <row r="984" spans="1:74" ht="45" customHeight="1" x14ac:dyDescent="0.25">
      <c r="A984" s="10">
        <f t="shared" si="3"/>
        <v>970</v>
      </c>
      <c r="B984" s="564" t="s">
        <v>303</v>
      </c>
      <c r="C984" s="327"/>
      <c r="D984" s="565" t="s">
        <v>307</v>
      </c>
      <c r="E984" s="327"/>
      <c r="F984" s="537" t="s">
        <v>334</v>
      </c>
      <c r="G984" s="327"/>
      <c r="H984" s="561" t="s">
        <v>334</v>
      </c>
      <c r="I984" s="327"/>
      <c r="J984" s="562"/>
      <c r="K984" s="327"/>
      <c r="L984" s="562"/>
      <c r="M984" s="327"/>
      <c r="N984" s="20"/>
      <c r="O984" s="21"/>
      <c r="P984" s="524"/>
      <c r="Q984" s="327"/>
      <c r="R984" s="516"/>
      <c r="S984" s="327"/>
      <c r="T984" s="517"/>
      <c r="U984" s="327"/>
      <c r="V984" s="518"/>
      <c r="W984" s="327"/>
      <c r="X984" s="438" t="s">
        <v>303</v>
      </c>
      <c r="Y984" s="326"/>
      <c r="Z984" s="326"/>
      <c r="AA984" s="327"/>
      <c r="AB984" s="519" t="s">
        <v>303</v>
      </c>
      <c r="AC984" s="326"/>
      <c r="AD984" s="326"/>
      <c r="AE984" s="327"/>
      <c r="AF984" s="520"/>
      <c r="AG984" s="327"/>
      <c r="AH984" s="520"/>
      <c r="AI984" s="327"/>
      <c r="AJ984" s="536"/>
      <c r="AK984" s="327"/>
      <c r="AL984" s="556" t="s">
        <v>334</v>
      </c>
      <c r="AM984" s="327"/>
      <c r="AN984" s="553" t="s">
        <v>334</v>
      </c>
      <c r="AO984" s="327"/>
      <c r="AP984" s="554"/>
      <c r="AQ984" s="327"/>
      <c r="AR984" s="555"/>
      <c r="AS984" s="327"/>
      <c r="AT984" s="549"/>
      <c r="AU984" s="327"/>
      <c r="AV984" s="553" t="s">
        <v>334</v>
      </c>
      <c r="AW984" s="327"/>
      <c r="AX984" s="521"/>
      <c r="AY984" s="326"/>
      <c r="AZ984" s="327"/>
      <c r="BA984" s="536"/>
      <c r="BB984" s="327"/>
      <c r="BC984" s="22"/>
      <c r="BD984" s="551" t="s">
        <v>334</v>
      </c>
      <c r="BE984" s="327"/>
      <c r="BF984" s="508"/>
      <c r="BG984" s="326"/>
      <c r="BH984" s="326"/>
      <c r="BI984" s="327"/>
      <c r="BJ984" s="451" t="s">
        <v>303</v>
      </c>
      <c r="BK984" s="326"/>
      <c r="BL984" s="326"/>
      <c r="BM984" s="327"/>
      <c r="BN984" s="558" t="s">
        <v>303</v>
      </c>
      <c r="BO984" s="326"/>
      <c r="BP984" s="326"/>
      <c r="BQ984" s="326"/>
      <c r="BR984" s="326"/>
      <c r="BS984" s="326"/>
      <c r="BT984" s="326"/>
      <c r="BU984" s="326"/>
      <c r="BV984" s="327"/>
    </row>
    <row r="985" spans="1:74" ht="45" customHeight="1" x14ac:dyDescent="0.25">
      <c r="A985" s="10">
        <f t="shared" si="3"/>
        <v>971</v>
      </c>
      <c r="B985" s="559" t="s">
        <v>303</v>
      </c>
      <c r="C985" s="327"/>
      <c r="D985" s="560" t="s">
        <v>307</v>
      </c>
      <c r="E985" s="327"/>
      <c r="F985" s="537" t="s">
        <v>334</v>
      </c>
      <c r="G985" s="327"/>
      <c r="H985" s="566" t="s">
        <v>334</v>
      </c>
      <c r="I985" s="327"/>
      <c r="J985" s="567"/>
      <c r="K985" s="327"/>
      <c r="L985" s="567"/>
      <c r="M985" s="327"/>
      <c r="N985" s="23"/>
      <c r="O985" s="24"/>
      <c r="P985" s="563"/>
      <c r="Q985" s="327"/>
      <c r="R985" s="538"/>
      <c r="S985" s="327"/>
      <c r="T985" s="539"/>
      <c r="U985" s="327"/>
      <c r="V985" s="540"/>
      <c r="W985" s="327"/>
      <c r="X985" s="541" t="s">
        <v>303</v>
      </c>
      <c r="Y985" s="326"/>
      <c r="Z985" s="326"/>
      <c r="AA985" s="327"/>
      <c r="AB985" s="542" t="s">
        <v>303</v>
      </c>
      <c r="AC985" s="326"/>
      <c r="AD985" s="326"/>
      <c r="AE985" s="327"/>
      <c r="AF985" s="543"/>
      <c r="AG985" s="327"/>
      <c r="AH985" s="543"/>
      <c r="AI985" s="327"/>
      <c r="AJ985" s="536"/>
      <c r="AK985" s="327"/>
      <c r="AL985" s="537" t="s">
        <v>334</v>
      </c>
      <c r="AM985" s="327"/>
      <c r="AN985" s="546" t="s">
        <v>334</v>
      </c>
      <c r="AO985" s="327"/>
      <c r="AP985" s="547"/>
      <c r="AQ985" s="327"/>
      <c r="AR985" s="548"/>
      <c r="AS985" s="327"/>
      <c r="AT985" s="568"/>
      <c r="AU985" s="327"/>
      <c r="AV985" s="546" t="s">
        <v>334</v>
      </c>
      <c r="AW985" s="327"/>
      <c r="AX985" s="521"/>
      <c r="AY985" s="326"/>
      <c r="AZ985" s="327"/>
      <c r="BA985" s="550"/>
      <c r="BB985" s="327"/>
      <c r="BC985" s="25"/>
      <c r="BD985" s="544" t="s">
        <v>334</v>
      </c>
      <c r="BE985" s="327"/>
      <c r="BF985" s="545"/>
      <c r="BG985" s="326"/>
      <c r="BH985" s="326"/>
      <c r="BI985" s="327"/>
      <c r="BJ985" s="557" t="s">
        <v>303</v>
      </c>
      <c r="BK985" s="326"/>
      <c r="BL985" s="326"/>
      <c r="BM985" s="327"/>
      <c r="BN985" s="558" t="s">
        <v>303</v>
      </c>
      <c r="BO985" s="326"/>
      <c r="BP985" s="326"/>
      <c r="BQ985" s="326"/>
      <c r="BR985" s="326"/>
      <c r="BS985" s="326"/>
      <c r="BT985" s="326"/>
      <c r="BU985" s="326"/>
      <c r="BV985" s="327"/>
    </row>
    <row r="986" spans="1:74" ht="45" customHeight="1" x14ac:dyDescent="0.25">
      <c r="A986" s="10">
        <f t="shared" si="3"/>
        <v>972</v>
      </c>
      <c r="B986" s="564" t="s">
        <v>303</v>
      </c>
      <c r="C986" s="327"/>
      <c r="D986" s="565" t="s">
        <v>307</v>
      </c>
      <c r="E986" s="327"/>
      <c r="F986" s="537" t="s">
        <v>334</v>
      </c>
      <c r="G986" s="327"/>
      <c r="H986" s="561" t="s">
        <v>334</v>
      </c>
      <c r="I986" s="327"/>
      <c r="J986" s="562"/>
      <c r="K986" s="327"/>
      <c r="L986" s="562"/>
      <c r="M986" s="327"/>
      <c r="N986" s="20"/>
      <c r="O986" s="21"/>
      <c r="P986" s="524"/>
      <c r="Q986" s="327"/>
      <c r="R986" s="516"/>
      <c r="S986" s="327"/>
      <c r="T986" s="517"/>
      <c r="U986" s="327"/>
      <c r="V986" s="518"/>
      <c r="W986" s="327"/>
      <c r="X986" s="438" t="s">
        <v>303</v>
      </c>
      <c r="Y986" s="326"/>
      <c r="Z986" s="326"/>
      <c r="AA986" s="327"/>
      <c r="AB986" s="519" t="s">
        <v>303</v>
      </c>
      <c r="AC986" s="326"/>
      <c r="AD986" s="326"/>
      <c r="AE986" s="327"/>
      <c r="AF986" s="520"/>
      <c r="AG986" s="327"/>
      <c r="AH986" s="520"/>
      <c r="AI986" s="327"/>
      <c r="AJ986" s="536"/>
      <c r="AK986" s="327"/>
      <c r="AL986" s="556" t="s">
        <v>334</v>
      </c>
      <c r="AM986" s="327"/>
      <c r="AN986" s="553" t="s">
        <v>334</v>
      </c>
      <c r="AO986" s="327"/>
      <c r="AP986" s="554"/>
      <c r="AQ986" s="327"/>
      <c r="AR986" s="555"/>
      <c r="AS986" s="327"/>
      <c r="AT986" s="549"/>
      <c r="AU986" s="327"/>
      <c r="AV986" s="553" t="s">
        <v>334</v>
      </c>
      <c r="AW986" s="327"/>
      <c r="AX986" s="521"/>
      <c r="AY986" s="326"/>
      <c r="AZ986" s="327"/>
      <c r="BA986" s="536"/>
      <c r="BB986" s="327"/>
      <c r="BC986" s="22"/>
      <c r="BD986" s="551" t="s">
        <v>334</v>
      </c>
      <c r="BE986" s="327"/>
      <c r="BF986" s="552"/>
      <c r="BG986" s="326"/>
      <c r="BH986" s="326"/>
      <c r="BI986" s="327"/>
      <c r="BJ986" s="451" t="s">
        <v>303</v>
      </c>
      <c r="BK986" s="326"/>
      <c r="BL986" s="326"/>
      <c r="BM986" s="327"/>
      <c r="BN986" s="558" t="s">
        <v>303</v>
      </c>
      <c r="BO986" s="326"/>
      <c r="BP986" s="326"/>
      <c r="BQ986" s="326"/>
      <c r="BR986" s="326"/>
      <c r="BS986" s="326"/>
      <c r="BT986" s="326"/>
      <c r="BU986" s="326"/>
      <c r="BV986" s="327"/>
    </row>
    <row r="987" spans="1:74" ht="45" customHeight="1" x14ac:dyDescent="0.25">
      <c r="A987" s="10">
        <f t="shared" si="3"/>
        <v>973</v>
      </c>
      <c r="B987" s="559" t="s">
        <v>303</v>
      </c>
      <c r="C987" s="327"/>
      <c r="D987" s="560" t="s">
        <v>307</v>
      </c>
      <c r="E987" s="327"/>
      <c r="F987" s="537" t="s">
        <v>334</v>
      </c>
      <c r="G987" s="327"/>
      <c r="H987" s="566" t="s">
        <v>334</v>
      </c>
      <c r="I987" s="327"/>
      <c r="J987" s="567"/>
      <c r="K987" s="327"/>
      <c r="L987" s="567"/>
      <c r="M987" s="327"/>
      <c r="N987" s="23"/>
      <c r="O987" s="24"/>
      <c r="P987" s="563"/>
      <c r="Q987" s="327"/>
      <c r="R987" s="538"/>
      <c r="S987" s="327"/>
      <c r="T987" s="539"/>
      <c r="U987" s="327"/>
      <c r="V987" s="540"/>
      <c r="W987" s="327"/>
      <c r="X987" s="541" t="s">
        <v>303</v>
      </c>
      <c r="Y987" s="326"/>
      <c r="Z987" s="326"/>
      <c r="AA987" s="327"/>
      <c r="AB987" s="542" t="s">
        <v>303</v>
      </c>
      <c r="AC987" s="326"/>
      <c r="AD987" s="326"/>
      <c r="AE987" s="327"/>
      <c r="AF987" s="543"/>
      <c r="AG987" s="327"/>
      <c r="AH987" s="543"/>
      <c r="AI987" s="327"/>
      <c r="AJ987" s="536"/>
      <c r="AK987" s="327"/>
      <c r="AL987" s="537" t="s">
        <v>334</v>
      </c>
      <c r="AM987" s="327"/>
      <c r="AN987" s="546" t="s">
        <v>334</v>
      </c>
      <c r="AO987" s="327"/>
      <c r="AP987" s="547"/>
      <c r="AQ987" s="327"/>
      <c r="AR987" s="548"/>
      <c r="AS987" s="327"/>
      <c r="AT987" s="568"/>
      <c r="AU987" s="327"/>
      <c r="AV987" s="546" t="s">
        <v>334</v>
      </c>
      <c r="AW987" s="327"/>
      <c r="AX987" s="521"/>
      <c r="AY987" s="326"/>
      <c r="AZ987" s="327"/>
      <c r="BA987" s="550"/>
      <c r="BB987" s="327"/>
      <c r="BC987" s="25"/>
      <c r="BD987" s="544" t="s">
        <v>334</v>
      </c>
      <c r="BE987" s="327"/>
      <c r="BF987" s="545"/>
      <c r="BG987" s="326"/>
      <c r="BH987" s="326"/>
      <c r="BI987" s="327"/>
      <c r="BJ987" s="557" t="s">
        <v>303</v>
      </c>
      <c r="BK987" s="326"/>
      <c r="BL987" s="326"/>
      <c r="BM987" s="327"/>
      <c r="BN987" s="558" t="s">
        <v>303</v>
      </c>
      <c r="BO987" s="326"/>
      <c r="BP987" s="326"/>
      <c r="BQ987" s="326"/>
      <c r="BR987" s="326"/>
      <c r="BS987" s="326"/>
      <c r="BT987" s="326"/>
      <c r="BU987" s="326"/>
      <c r="BV987" s="327"/>
    </row>
    <row r="988" spans="1:74" ht="45" customHeight="1" x14ac:dyDescent="0.25">
      <c r="A988" s="10">
        <f t="shared" si="3"/>
        <v>974</v>
      </c>
      <c r="B988" s="564" t="s">
        <v>303</v>
      </c>
      <c r="C988" s="327"/>
      <c r="D988" s="565" t="s">
        <v>307</v>
      </c>
      <c r="E988" s="327"/>
      <c r="F988" s="537" t="s">
        <v>334</v>
      </c>
      <c r="G988" s="327"/>
      <c r="H988" s="561" t="s">
        <v>334</v>
      </c>
      <c r="I988" s="327"/>
      <c r="J988" s="562"/>
      <c r="K988" s="327"/>
      <c r="L988" s="562"/>
      <c r="M988" s="327"/>
      <c r="N988" s="20"/>
      <c r="O988" s="21"/>
      <c r="P988" s="524"/>
      <c r="Q988" s="327"/>
      <c r="R988" s="516"/>
      <c r="S988" s="327"/>
      <c r="T988" s="517"/>
      <c r="U988" s="327"/>
      <c r="V988" s="518"/>
      <c r="W988" s="327"/>
      <c r="X988" s="438" t="s">
        <v>303</v>
      </c>
      <c r="Y988" s="326"/>
      <c r="Z988" s="326"/>
      <c r="AA988" s="327"/>
      <c r="AB988" s="519" t="s">
        <v>303</v>
      </c>
      <c r="AC988" s="326"/>
      <c r="AD988" s="326"/>
      <c r="AE988" s="327"/>
      <c r="AF988" s="520"/>
      <c r="AG988" s="327"/>
      <c r="AH988" s="520"/>
      <c r="AI988" s="327"/>
      <c r="AJ988" s="536"/>
      <c r="AK988" s="327"/>
      <c r="AL988" s="556" t="s">
        <v>334</v>
      </c>
      <c r="AM988" s="327"/>
      <c r="AN988" s="553" t="s">
        <v>334</v>
      </c>
      <c r="AO988" s="327"/>
      <c r="AP988" s="554"/>
      <c r="AQ988" s="327"/>
      <c r="AR988" s="555"/>
      <c r="AS988" s="327"/>
      <c r="AT988" s="549"/>
      <c r="AU988" s="327"/>
      <c r="AV988" s="553" t="s">
        <v>334</v>
      </c>
      <c r="AW988" s="327"/>
      <c r="AX988" s="521"/>
      <c r="AY988" s="326"/>
      <c r="AZ988" s="327"/>
      <c r="BA988" s="536"/>
      <c r="BB988" s="327"/>
      <c r="BC988" s="22"/>
      <c r="BD988" s="551" t="s">
        <v>334</v>
      </c>
      <c r="BE988" s="327"/>
      <c r="BF988" s="552"/>
      <c r="BG988" s="326"/>
      <c r="BH988" s="326"/>
      <c r="BI988" s="327"/>
      <c r="BJ988" s="451" t="s">
        <v>303</v>
      </c>
      <c r="BK988" s="326"/>
      <c r="BL988" s="326"/>
      <c r="BM988" s="327"/>
      <c r="BN988" s="558" t="s">
        <v>303</v>
      </c>
      <c r="BO988" s="326"/>
      <c r="BP988" s="326"/>
      <c r="BQ988" s="326"/>
      <c r="BR988" s="326"/>
      <c r="BS988" s="326"/>
      <c r="BT988" s="326"/>
      <c r="BU988" s="326"/>
      <c r="BV988" s="327"/>
    </row>
    <row r="989" spans="1:74" ht="45" customHeight="1" x14ac:dyDescent="0.25">
      <c r="A989" s="10">
        <f t="shared" si="3"/>
        <v>975</v>
      </c>
      <c r="B989" s="559" t="s">
        <v>303</v>
      </c>
      <c r="C989" s="327"/>
      <c r="D989" s="560" t="s">
        <v>307</v>
      </c>
      <c r="E989" s="327"/>
      <c r="F989" s="537" t="s">
        <v>334</v>
      </c>
      <c r="G989" s="327"/>
      <c r="H989" s="566" t="s">
        <v>334</v>
      </c>
      <c r="I989" s="327"/>
      <c r="J989" s="567"/>
      <c r="K989" s="327"/>
      <c r="L989" s="567"/>
      <c r="M989" s="327"/>
      <c r="N989" s="23"/>
      <c r="O989" s="24"/>
      <c r="P989" s="563"/>
      <c r="Q989" s="327"/>
      <c r="R989" s="538"/>
      <c r="S989" s="327"/>
      <c r="T989" s="539"/>
      <c r="U989" s="327"/>
      <c r="V989" s="540"/>
      <c r="W989" s="327"/>
      <c r="X989" s="541" t="s">
        <v>303</v>
      </c>
      <c r="Y989" s="326"/>
      <c r="Z989" s="326"/>
      <c r="AA989" s="327"/>
      <c r="AB989" s="542" t="s">
        <v>303</v>
      </c>
      <c r="AC989" s="326"/>
      <c r="AD989" s="326"/>
      <c r="AE989" s="327"/>
      <c r="AF989" s="543"/>
      <c r="AG989" s="327"/>
      <c r="AH989" s="543"/>
      <c r="AI989" s="327"/>
      <c r="AJ989" s="536"/>
      <c r="AK989" s="327"/>
      <c r="AL989" s="537" t="s">
        <v>334</v>
      </c>
      <c r="AM989" s="327"/>
      <c r="AN989" s="546" t="s">
        <v>334</v>
      </c>
      <c r="AO989" s="327"/>
      <c r="AP989" s="547"/>
      <c r="AQ989" s="327"/>
      <c r="AR989" s="548"/>
      <c r="AS989" s="327"/>
      <c r="AT989" s="568"/>
      <c r="AU989" s="327"/>
      <c r="AV989" s="546" t="s">
        <v>334</v>
      </c>
      <c r="AW989" s="327"/>
      <c r="AX989" s="521"/>
      <c r="AY989" s="326"/>
      <c r="AZ989" s="327"/>
      <c r="BA989" s="550"/>
      <c r="BB989" s="327"/>
      <c r="BC989" s="25"/>
      <c r="BD989" s="544" t="s">
        <v>334</v>
      </c>
      <c r="BE989" s="327"/>
      <c r="BF989" s="545"/>
      <c r="BG989" s="326"/>
      <c r="BH989" s="326"/>
      <c r="BI989" s="327"/>
      <c r="BJ989" s="557" t="s">
        <v>303</v>
      </c>
      <c r="BK989" s="326"/>
      <c r="BL989" s="326"/>
      <c r="BM989" s="327"/>
      <c r="BN989" s="558" t="s">
        <v>303</v>
      </c>
      <c r="BO989" s="326"/>
      <c r="BP989" s="326"/>
      <c r="BQ989" s="326"/>
      <c r="BR989" s="326"/>
      <c r="BS989" s="326"/>
      <c r="BT989" s="326"/>
      <c r="BU989" s="326"/>
      <c r="BV989" s="327"/>
    </row>
    <row r="990" spans="1:74" ht="45" customHeight="1" x14ac:dyDescent="0.25">
      <c r="A990" s="10">
        <f t="shared" si="3"/>
        <v>976</v>
      </c>
      <c r="B990" s="564" t="s">
        <v>303</v>
      </c>
      <c r="C990" s="327"/>
      <c r="D990" s="565" t="s">
        <v>307</v>
      </c>
      <c r="E990" s="327"/>
      <c r="F990" s="537" t="s">
        <v>334</v>
      </c>
      <c r="G990" s="327"/>
      <c r="H990" s="561" t="s">
        <v>334</v>
      </c>
      <c r="I990" s="327"/>
      <c r="J990" s="562"/>
      <c r="K990" s="327"/>
      <c r="L990" s="562"/>
      <c r="M990" s="327"/>
      <c r="N990" s="20"/>
      <c r="O990" s="21"/>
      <c r="P990" s="524"/>
      <c r="Q990" s="327"/>
      <c r="R990" s="516"/>
      <c r="S990" s="327"/>
      <c r="T990" s="517"/>
      <c r="U990" s="327"/>
      <c r="V990" s="518"/>
      <c r="W990" s="327"/>
      <c r="X990" s="438" t="s">
        <v>303</v>
      </c>
      <c r="Y990" s="326"/>
      <c r="Z990" s="326"/>
      <c r="AA990" s="327"/>
      <c r="AB990" s="519" t="s">
        <v>303</v>
      </c>
      <c r="AC990" s="326"/>
      <c r="AD990" s="326"/>
      <c r="AE990" s="327"/>
      <c r="AF990" s="520"/>
      <c r="AG990" s="327"/>
      <c r="AH990" s="520"/>
      <c r="AI990" s="327"/>
      <c r="AJ990" s="536"/>
      <c r="AK990" s="327"/>
      <c r="AL990" s="556" t="s">
        <v>334</v>
      </c>
      <c r="AM990" s="327"/>
      <c r="AN990" s="553" t="s">
        <v>334</v>
      </c>
      <c r="AO990" s="327"/>
      <c r="AP990" s="554"/>
      <c r="AQ990" s="327"/>
      <c r="AR990" s="555"/>
      <c r="AS990" s="327"/>
      <c r="AT990" s="549"/>
      <c r="AU990" s="327"/>
      <c r="AV990" s="553" t="s">
        <v>334</v>
      </c>
      <c r="AW990" s="327"/>
      <c r="AX990" s="521"/>
      <c r="AY990" s="326"/>
      <c r="AZ990" s="327"/>
      <c r="BA990" s="536"/>
      <c r="BB990" s="327"/>
      <c r="BC990" s="22"/>
      <c r="BD990" s="551" t="s">
        <v>334</v>
      </c>
      <c r="BE990" s="327"/>
      <c r="BF990" s="508"/>
      <c r="BG990" s="326"/>
      <c r="BH990" s="326"/>
      <c r="BI990" s="327"/>
      <c r="BJ990" s="451" t="s">
        <v>303</v>
      </c>
      <c r="BK990" s="326"/>
      <c r="BL990" s="326"/>
      <c r="BM990" s="327"/>
      <c r="BN990" s="558" t="s">
        <v>303</v>
      </c>
      <c r="BO990" s="326"/>
      <c r="BP990" s="326"/>
      <c r="BQ990" s="326"/>
      <c r="BR990" s="326"/>
      <c r="BS990" s="326"/>
      <c r="BT990" s="326"/>
      <c r="BU990" s="326"/>
      <c r="BV990" s="327"/>
    </row>
    <row r="991" spans="1:74" ht="45" customHeight="1" x14ac:dyDescent="0.25">
      <c r="A991" s="10">
        <f t="shared" si="3"/>
        <v>977</v>
      </c>
      <c r="B991" s="559" t="s">
        <v>303</v>
      </c>
      <c r="C991" s="327"/>
      <c r="D991" s="560" t="s">
        <v>307</v>
      </c>
      <c r="E991" s="327"/>
      <c r="F991" s="537" t="s">
        <v>334</v>
      </c>
      <c r="G991" s="327"/>
      <c r="H991" s="566" t="s">
        <v>334</v>
      </c>
      <c r="I991" s="327"/>
      <c r="J991" s="567"/>
      <c r="K991" s="327"/>
      <c r="L991" s="567"/>
      <c r="M991" s="327"/>
      <c r="N991" s="23"/>
      <c r="O991" s="24"/>
      <c r="P991" s="563"/>
      <c r="Q991" s="327"/>
      <c r="R991" s="538"/>
      <c r="S991" s="327"/>
      <c r="T991" s="539"/>
      <c r="U991" s="327"/>
      <c r="V991" s="540"/>
      <c r="W991" s="327"/>
      <c r="X991" s="541" t="s">
        <v>303</v>
      </c>
      <c r="Y991" s="326"/>
      <c r="Z991" s="326"/>
      <c r="AA991" s="327"/>
      <c r="AB991" s="542" t="s">
        <v>303</v>
      </c>
      <c r="AC991" s="326"/>
      <c r="AD991" s="326"/>
      <c r="AE991" s="327"/>
      <c r="AF991" s="543"/>
      <c r="AG991" s="327"/>
      <c r="AH991" s="543"/>
      <c r="AI991" s="327"/>
      <c r="AJ991" s="536"/>
      <c r="AK991" s="327"/>
      <c r="AL991" s="537" t="s">
        <v>334</v>
      </c>
      <c r="AM991" s="327"/>
      <c r="AN991" s="546" t="s">
        <v>334</v>
      </c>
      <c r="AO991" s="327"/>
      <c r="AP991" s="547"/>
      <c r="AQ991" s="327"/>
      <c r="AR991" s="548"/>
      <c r="AS991" s="327"/>
      <c r="AT991" s="568"/>
      <c r="AU991" s="327"/>
      <c r="AV991" s="546" t="s">
        <v>334</v>
      </c>
      <c r="AW991" s="327"/>
      <c r="AX991" s="521"/>
      <c r="AY991" s="326"/>
      <c r="AZ991" s="327"/>
      <c r="BA991" s="550"/>
      <c r="BB991" s="327"/>
      <c r="BC991" s="25"/>
      <c r="BD991" s="544" t="s">
        <v>334</v>
      </c>
      <c r="BE991" s="327"/>
      <c r="BF991" s="545"/>
      <c r="BG991" s="326"/>
      <c r="BH991" s="326"/>
      <c r="BI991" s="327"/>
      <c r="BJ991" s="557" t="s">
        <v>303</v>
      </c>
      <c r="BK991" s="326"/>
      <c r="BL991" s="326"/>
      <c r="BM991" s="327"/>
      <c r="BN991" s="558" t="s">
        <v>303</v>
      </c>
      <c r="BO991" s="326"/>
      <c r="BP991" s="326"/>
      <c r="BQ991" s="326"/>
      <c r="BR991" s="326"/>
      <c r="BS991" s="326"/>
      <c r="BT991" s="326"/>
      <c r="BU991" s="326"/>
      <c r="BV991" s="327"/>
    </row>
    <row r="992" spans="1:74" ht="45" customHeight="1" x14ac:dyDescent="0.25">
      <c r="A992" s="10">
        <f t="shared" si="3"/>
        <v>978</v>
      </c>
      <c r="B992" s="564" t="s">
        <v>303</v>
      </c>
      <c r="C992" s="327"/>
      <c r="D992" s="565" t="s">
        <v>307</v>
      </c>
      <c r="E992" s="327"/>
      <c r="F992" s="537" t="s">
        <v>334</v>
      </c>
      <c r="G992" s="327"/>
      <c r="H992" s="561" t="s">
        <v>334</v>
      </c>
      <c r="I992" s="327"/>
      <c r="J992" s="562"/>
      <c r="K992" s="327"/>
      <c r="L992" s="562"/>
      <c r="M992" s="327"/>
      <c r="N992" s="20"/>
      <c r="O992" s="21"/>
      <c r="P992" s="524"/>
      <c r="Q992" s="327"/>
      <c r="R992" s="516"/>
      <c r="S992" s="327"/>
      <c r="T992" s="517"/>
      <c r="U992" s="327"/>
      <c r="V992" s="518"/>
      <c r="W992" s="327"/>
      <c r="X992" s="438" t="s">
        <v>303</v>
      </c>
      <c r="Y992" s="326"/>
      <c r="Z992" s="326"/>
      <c r="AA992" s="327"/>
      <c r="AB992" s="519" t="s">
        <v>303</v>
      </c>
      <c r="AC992" s="326"/>
      <c r="AD992" s="326"/>
      <c r="AE992" s="327"/>
      <c r="AF992" s="520"/>
      <c r="AG992" s="327"/>
      <c r="AH992" s="520"/>
      <c r="AI992" s="327"/>
      <c r="AJ992" s="536"/>
      <c r="AK992" s="327"/>
      <c r="AL992" s="556" t="s">
        <v>334</v>
      </c>
      <c r="AM992" s="327"/>
      <c r="AN992" s="553" t="s">
        <v>334</v>
      </c>
      <c r="AO992" s="327"/>
      <c r="AP992" s="554"/>
      <c r="AQ992" s="327"/>
      <c r="AR992" s="555"/>
      <c r="AS992" s="327"/>
      <c r="AT992" s="549"/>
      <c r="AU992" s="327"/>
      <c r="AV992" s="553" t="s">
        <v>334</v>
      </c>
      <c r="AW992" s="327"/>
      <c r="AX992" s="521"/>
      <c r="AY992" s="326"/>
      <c r="AZ992" s="327"/>
      <c r="BA992" s="536"/>
      <c r="BB992" s="327"/>
      <c r="BC992" s="22"/>
      <c r="BD992" s="551" t="s">
        <v>334</v>
      </c>
      <c r="BE992" s="327"/>
      <c r="BF992" s="552"/>
      <c r="BG992" s="326"/>
      <c r="BH992" s="326"/>
      <c r="BI992" s="327"/>
      <c r="BJ992" s="451" t="s">
        <v>303</v>
      </c>
      <c r="BK992" s="326"/>
      <c r="BL992" s="326"/>
      <c r="BM992" s="327"/>
      <c r="BN992" s="558" t="s">
        <v>303</v>
      </c>
      <c r="BO992" s="326"/>
      <c r="BP992" s="326"/>
      <c r="BQ992" s="326"/>
      <c r="BR992" s="326"/>
      <c r="BS992" s="326"/>
      <c r="BT992" s="326"/>
      <c r="BU992" s="326"/>
      <c r="BV992" s="327"/>
    </row>
    <row r="993" spans="1:74" ht="45" customHeight="1" x14ac:dyDescent="0.25">
      <c r="A993" s="10">
        <f t="shared" si="3"/>
        <v>979</v>
      </c>
      <c r="B993" s="559" t="s">
        <v>303</v>
      </c>
      <c r="C993" s="327"/>
      <c r="D993" s="560" t="s">
        <v>307</v>
      </c>
      <c r="E993" s="327"/>
      <c r="F993" s="537" t="s">
        <v>334</v>
      </c>
      <c r="G993" s="327"/>
      <c r="H993" s="566" t="s">
        <v>334</v>
      </c>
      <c r="I993" s="327"/>
      <c r="J993" s="567"/>
      <c r="K993" s="327"/>
      <c r="L993" s="567"/>
      <c r="M993" s="327"/>
      <c r="N993" s="20"/>
      <c r="O993" s="21"/>
      <c r="P993" s="524"/>
      <c r="Q993" s="327"/>
      <c r="R993" s="538"/>
      <c r="S993" s="327"/>
      <c r="T993" s="539"/>
      <c r="U993" s="327"/>
      <c r="V993" s="540"/>
      <c r="W993" s="327"/>
      <c r="X993" s="541" t="s">
        <v>303</v>
      </c>
      <c r="Y993" s="326"/>
      <c r="Z993" s="326"/>
      <c r="AA993" s="327"/>
      <c r="AB993" s="542" t="s">
        <v>303</v>
      </c>
      <c r="AC993" s="326"/>
      <c r="AD993" s="326"/>
      <c r="AE993" s="327"/>
      <c r="AF993" s="543"/>
      <c r="AG993" s="327"/>
      <c r="AH993" s="543"/>
      <c r="AI993" s="327"/>
      <c r="AJ993" s="536"/>
      <c r="AK993" s="327"/>
      <c r="AL993" s="537" t="s">
        <v>334</v>
      </c>
      <c r="AM993" s="327"/>
      <c r="AN993" s="546" t="s">
        <v>334</v>
      </c>
      <c r="AO993" s="327"/>
      <c r="AP993" s="547"/>
      <c r="AQ993" s="327"/>
      <c r="AR993" s="548"/>
      <c r="AS993" s="327"/>
      <c r="AT993" s="549"/>
      <c r="AU993" s="327"/>
      <c r="AV993" s="546" t="s">
        <v>334</v>
      </c>
      <c r="AW993" s="327"/>
      <c r="AX993" s="521"/>
      <c r="AY993" s="326"/>
      <c r="AZ993" s="327"/>
      <c r="BA993" s="550"/>
      <c r="BB993" s="327"/>
      <c r="BC993" s="25"/>
      <c r="BD993" s="544" t="s">
        <v>334</v>
      </c>
      <c r="BE993" s="327"/>
      <c r="BF993" s="545"/>
      <c r="BG993" s="326"/>
      <c r="BH993" s="326"/>
      <c r="BI993" s="327"/>
      <c r="BJ993" s="557" t="s">
        <v>303</v>
      </c>
      <c r="BK993" s="326"/>
      <c r="BL993" s="326"/>
      <c r="BM993" s="327"/>
      <c r="BN993" s="558" t="s">
        <v>303</v>
      </c>
      <c r="BO993" s="326"/>
      <c r="BP993" s="326"/>
      <c r="BQ993" s="326"/>
      <c r="BR993" s="326"/>
      <c r="BS993" s="326"/>
      <c r="BT993" s="326"/>
      <c r="BU993" s="326"/>
      <c r="BV993" s="327"/>
    </row>
    <row r="994" spans="1:74" ht="45" customHeight="1" x14ac:dyDescent="0.25">
      <c r="A994" s="10">
        <f t="shared" si="3"/>
        <v>980</v>
      </c>
      <c r="B994" s="564" t="s">
        <v>303</v>
      </c>
      <c r="C994" s="327"/>
      <c r="D994" s="565" t="s">
        <v>307</v>
      </c>
      <c r="E994" s="327"/>
      <c r="F994" s="537" t="s">
        <v>334</v>
      </c>
      <c r="G994" s="327"/>
      <c r="H994" s="561" t="s">
        <v>334</v>
      </c>
      <c r="I994" s="327"/>
      <c r="J994" s="562"/>
      <c r="K994" s="327"/>
      <c r="L994" s="562"/>
      <c r="M994" s="327"/>
      <c r="N994" s="23"/>
      <c r="O994" s="24"/>
      <c r="P994" s="563"/>
      <c r="Q994" s="327"/>
      <c r="R994" s="516"/>
      <c r="S994" s="327"/>
      <c r="T994" s="517"/>
      <c r="U994" s="327"/>
      <c r="V994" s="518"/>
      <c r="W994" s="327"/>
      <c r="X994" s="438" t="s">
        <v>303</v>
      </c>
      <c r="Y994" s="326"/>
      <c r="Z994" s="326"/>
      <c r="AA994" s="327"/>
      <c r="AB994" s="519" t="s">
        <v>303</v>
      </c>
      <c r="AC994" s="326"/>
      <c r="AD994" s="326"/>
      <c r="AE994" s="327"/>
      <c r="AF994" s="520"/>
      <c r="AG994" s="327"/>
      <c r="AH994" s="520"/>
      <c r="AI994" s="327"/>
      <c r="AJ994" s="536"/>
      <c r="AK994" s="327"/>
      <c r="AL994" s="556" t="s">
        <v>334</v>
      </c>
      <c r="AM994" s="327"/>
      <c r="AN994" s="553" t="s">
        <v>334</v>
      </c>
      <c r="AO994" s="327"/>
      <c r="AP994" s="554"/>
      <c r="AQ994" s="327"/>
      <c r="AR994" s="555"/>
      <c r="AS994" s="327"/>
      <c r="AT994" s="549"/>
      <c r="AU994" s="327"/>
      <c r="AV994" s="553" t="s">
        <v>334</v>
      </c>
      <c r="AW994" s="327"/>
      <c r="AX994" s="521"/>
      <c r="AY994" s="326"/>
      <c r="AZ994" s="327"/>
      <c r="BA994" s="536"/>
      <c r="BB994" s="327"/>
      <c r="BC994" s="22"/>
      <c r="BD994" s="551" t="s">
        <v>334</v>
      </c>
      <c r="BE994" s="327"/>
      <c r="BF994" s="552"/>
      <c r="BG994" s="326"/>
      <c r="BH994" s="326"/>
      <c r="BI994" s="327"/>
      <c r="BJ994" s="451" t="s">
        <v>303</v>
      </c>
      <c r="BK994" s="326"/>
      <c r="BL994" s="326"/>
      <c r="BM994" s="327"/>
      <c r="BN994" s="558" t="s">
        <v>303</v>
      </c>
      <c r="BO994" s="326"/>
      <c r="BP994" s="326"/>
      <c r="BQ994" s="326"/>
      <c r="BR994" s="326"/>
      <c r="BS994" s="326"/>
      <c r="BT994" s="326"/>
      <c r="BU994" s="326"/>
      <c r="BV994" s="327"/>
    </row>
    <row r="995" spans="1:74" ht="45" customHeight="1" x14ac:dyDescent="0.25">
      <c r="A995" s="10">
        <f t="shared" si="3"/>
        <v>981</v>
      </c>
      <c r="B995" s="559" t="s">
        <v>303</v>
      </c>
      <c r="C995" s="327"/>
      <c r="D995" s="560" t="s">
        <v>307</v>
      </c>
      <c r="E995" s="327"/>
      <c r="F995" s="537" t="s">
        <v>334</v>
      </c>
      <c r="G995" s="327"/>
      <c r="H995" s="566" t="s">
        <v>334</v>
      </c>
      <c r="I995" s="327"/>
      <c r="J995" s="567"/>
      <c r="K995" s="327"/>
      <c r="L995" s="567"/>
      <c r="M995" s="327"/>
      <c r="N995" s="20"/>
      <c r="O995" s="21"/>
      <c r="P995" s="524"/>
      <c r="Q995" s="327"/>
      <c r="R995" s="538"/>
      <c r="S995" s="327"/>
      <c r="T995" s="539"/>
      <c r="U995" s="327"/>
      <c r="V995" s="540"/>
      <c r="W995" s="327"/>
      <c r="X995" s="541" t="s">
        <v>303</v>
      </c>
      <c r="Y995" s="326"/>
      <c r="Z995" s="326"/>
      <c r="AA995" s="327"/>
      <c r="AB995" s="542" t="s">
        <v>303</v>
      </c>
      <c r="AC995" s="326"/>
      <c r="AD995" s="326"/>
      <c r="AE995" s="327"/>
      <c r="AF995" s="543"/>
      <c r="AG995" s="327"/>
      <c r="AH995" s="543"/>
      <c r="AI995" s="327"/>
      <c r="AJ995" s="536"/>
      <c r="AK995" s="327"/>
      <c r="AL995" s="537" t="s">
        <v>334</v>
      </c>
      <c r="AM995" s="327"/>
      <c r="AN995" s="546" t="s">
        <v>334</v>
      </c>
      <c r="AO995" s="327"/>
      <c r="AP995" s="547"/>
      <c r="AQ995" s="327"/>
      <c r="AR995" s="548"/>
      <c r="AS995" s="327"/>
      <c r="AT995" s="549"/>
      <c r="AU995" s="327"/>
      <c r="AV995" s="546" t="s">
        <v>334</v>
      </c>
      <c r="AW995" s="327"/>
      <c r="AX995" s="521"/>
      <c r="AY995" s="326"/>
      <c r="AZ995" s="327"/>
      <c r="BA995" s="550"/>
      <c r="BB995" s="327"/>
      <c r="BC995" s="25"/>
      <c r="BD995" s="544" t="s">
        <v>334</v>
      </c>
      <c r="BE995" s="327"/>
      <c r="BF995" s="545"/>
      <c r="BG995" s="326"/>
      <c r="BH995" s="326"/>
      <c r="BI995" s="327"/>
      <c r="BJ995" s="557" t="s">
        <v>303</v>
      </c>
      <c r="BK995" s="326"/>
      <c r="BL995" s="326"/>
      <c r="BM995" s="327"/>
      <c r="BN995" s="558" t="s">
        <v>303</v>
      </c>
      <c r="BO995" s="326"/>
      <c r="BP995" s="326"/>
      <c r="BQ995" s="326"/>
      <c r="BR995" s="326"/>
      <c r="BS995" s="326"/>
      <c r="BT995" s="326"/>
      <c r="BU995" s="326"/>
      <c r="BV995" s="327"/>
    </row>
    <row r="996" spans="1:74" ht="45" customHeight="1" x14ac:dyDescent="0.25">
      <c r="A996" s="10">
        <f t="shared" si="3"/>
        <v>982</v>
      </c>
      <c r="B996" s="564" t="s">
        <v>303</v>
      </c>
      <c r="C996" s="327"/>
      <c r="D996" s="565" t="s">
        <v>307</v>
      </c>
      <c r="E996" s="327"/>
      <c r="F996" s="537" t="s">
        <v>334</v>
      </c>
      <c r="G996" s="327"/>
      <c r="H996" s="561" t="s">
        <v>334</v>
      </c>
      <c r="I996" s="327"/>
      <c r="J996" s="562"/>
      <c r="K996" s="327"/>
      <c r="L996" s="562"/>
      <c r="M996" s="327"/>
      <c r="N996" s="23"/>
      <c r="O996" s="24"/>
      <c r="P996" s="563"/>
      <c r="Q996" s="327"/>
      <c r="R996" s="516"/>
      <c r="S996" s="327"/>
      <c r="T996" s="517"/>
      <c r="U996" s="327"/>
      <c r="V996" s="518"/>
      <c r="W996" s="327"/>
      <c r="X996" s="438" t="s">
        <v>303</v>
      </c>
      <c r="Y996" s="326"/>
      <c r="Z996" s="326"/>
      <c r="AA996" s="327"/>
      <c r="AB996" s="519" t="s">
        <v>303</v>
      </c>
      <c r="AC996" s="326"/>
      <c r="AD996" s="326"/>
      <c r="AE996" s="327"/>
      <c r="AF996" s="520"/>
      <c r="AG996" s="327"/>
      <c r="AH996" s="520"/>
      <c r="AI996" s="327"/>
      <c r="AJ996" s="536"/>
      <c r="AK996" s="327"/>
      <c r="AL996" s="556" t="s">
        <v>334</v>
      </c>
      <c r="AM996" s="327"/>
      <c r="AN996" s="553" t="s">
        <v>334</v>
      </c>
      <c r="AO996" s="327"/>
      <c r="AP996" s="554"/>
      <c r="AQ996" s="327"/>
      <c r="AR996" s="555"/>
      <c r="AS996" s="327"/>
      <c r="AT996" s="549"/>
      <c r="AU996" s="327"/>
      <c r="AV996" s="553" t="s">
        <v>334</v>
      </c>
      <c r="AW996" s="327"/>
      <c r="AX996" s="521"/>
      <c r="AY996" s="326"/>
      <c r="AZ996" s="327"/>
      <c r="BA996" s="536"/>
      <c r="BB996" s="327"/>
      <c r="BC996" s="22"/>
      <c r="BD996" s="551" t="s">
        <v>334</v>
      </c>
      <c r="BE996" s="327"/>
      <c r="BF996" s="552"/>
      <c r="BG996" s="326"/>
      <c r="BH996" s="326"/>
      <c r="BI996" s="327"/>
      <c r="BJ996" s="451" t="s">
        <v>303</v>
      </c>
      <c r="BK996" s="326"/>
      <c r="BL996" s="326"/>
      <c r="BM996" s="327"/>
      <c r="BN996" s="558" t="s">
        <v>303</v>
      </c>
      <c r="BO996" s="326"/>
      <c r="BP996" s="326"/>
      <c r="BQ996" s="326"/>
      <c r="BR996" s="326"/>
      <c r="BS996" s="326"/>
      <c r="BT996" s="326"/>
      <c r="BU996" s="326"/>
      <c r="BV996" s="327"/>
    </row>
    <row r="997" spans="1:74" ht="45" customHeight="1" x14ac:dyDescent="0.25">
      <c r="A997" s="10">
        <f t="shared" si="3"/>
        <v>983</v>
      </c>
      <c r="B997" s="559" t="s">
        <v>303</v>
      </c>
      <c r="C997" s="327"/>
      <c r="D997" s="560" t="s">
        <v>307</v>
      </c>
      <c r="E997" s="327"/>
      <c r="F997" s="537" t="s">
        <v>334</v>
      </c>
      <c r="G997" s="327"/>
      <c r="H997" s="566" t="s">
        <v>334</v>
      </c>
      <c r="I997" s="327"/>
      <c r="J997" s="567"/>
      <c r="K997" s="327"/>
      <c r="L997" s="567"/>
      <c r="M997" s="327"/>
      <c r="N997" s="20"/>
      <c r="O997" s="24"/>
      <c r="P997" s="524"/>
      <c r="Q997" s="327"/>
      <c r="R997" s="538"/>
      <c r="S997" s="327"/>
      <c r="T997" s="539"/>
      <c r="U997" s="327"/>
      <c r="V997" s="540"/>
      <c r="W997" s="327"/>
      <c r="X997" s="541" t="s">
        <v>303</v>
      </c>
      <c r="Y997" s="326"/>
      <c r="Z997" s="326"/>
      <c r="AA997" s="327"/>
      <c r="AB997" s="542" t="s">
        <v>303</v>
      </c>
      <c r="AC997" s="326"/>
      <c r="AD997" s="326"/>
      <c r="AE997" s="327"/>
      <c r="AF997" s="543"/>
      <c r="AG997" s="327"/>
      <c r="AH997" s="543"/>
      <c r="AI997" s="327"/>
      <c r="AJ997" s="536"/>
      <c r="AK997" s="327"/>
      <c r="AL997" s="537" t="s">
        <v>334</v>
      </c>
      <c r="AM997" s="327"/>
      <c r="AN997" s="546" t="s">
        <v>334</v>
      </c>
      <c r="AO997" s="327"/>
      <c r="AP997" s="547"/>
      <c r="AQ997" s="327"/>
      <c r="AR997" s="548"/>
      <c r="AS997" s="327"/>
      <c r="AT997" s="568"/>
      <c r="AU997" s="327"/>
      <c r="AV997" s="546" t="s">
        <v>334</v>
      </c>
      <c r="AW997" s="327"/>
      <c r="AX997" s="521"/>
      <c r="AY997" s="326"/>
      <c r="AZ997" s="327"/>
      <c r="BA997" s="550"/>
      <c r="BB997" s="327"/>
      <c r="BC997" s="25"/>
      <c r="BD997" s="544" t="s">
        <v>334</v>
      </c>
      <c r="BE997" s="327"/>
      <c r="BF997" s="545"/>
      <c r="BG997" s="326"/>
      <c r="BH997" s="326"/>
      <c r="BI997" s="327"/>
      <c r="BJ997" s="557" t="s">
        <v>303</v>
      </c>
      <c r="BK997" s="326"/>
      <c r="BL997" s="326"/>
      <c r="BM997" s="327"/>
      <c r="BN997" s="558" t="s">
        <v>303</v>
      </c>
      <c r="BO997" s="326"/>
      <c r="BP997" s="326"/>
      <c r="BQ997" s="326"/>
      <c r="BR997" s="326"/>
      <c r="BS997" s="326"/>
      <c r="BT997" s="326"/>
      <c r="BU997" s="326"/>
      <c r="BV997" s="327"/>
    </row>
    <row r="998" spans="1:74" ht="45" customHeight="1" x14ac:dyDescent="0.25">
      <c r="A998" s="10">
        <f t="shared" si="3"/>
        <v>984</v>
      </c>
      <c r="B998" s="564" t="s">
        <v>303</v>
      </c>
      <c r="C998" s="327"/>
      <c r="D998" s="565" t="s">
        <v>307</v>
      </c>
      <c r="E998" s="327"/>
      <c r="F998" s="537" t="s">
        <v>334</v>
      </c>
      <c r="G998" s="327"/>
      <c r="H998" s="561" t="s">
        <v>334</v>
      </c>
      <c r="I998" s="327"/>
      <c r="J998" s="562"/>
      <c r="K998" s="327"/>
      <c r="L998" s="562"/>
      <c r="M998" s="327"/>
      <c r="N998" s="23"/>
      <c r="O998" s="21"/>
      <c r="P998" s="563"/>
      <c r="Q998" s="327"/>
      <c r="R998" s="516"/>
      <c r="S998" s="327"/>
      <c r="T998" s="517"/>
      <c r="U998" s="327"/>
      <c r="V998" s="518"/>
      <c r="W998" s="327"/>
      <c r="X998" s="438" t="s">
        <v>303</v>
      </c>
      <c r="Y998" s="326"/>
      <c r="Z998" s="326"/>
      <c r="AA998" s="327"/>
      <c r="AB998" s="519" t="s">
        <v>303</v>
      </c>
      <c r="AC998" s="326"/>
      <c r="AD998" s="326"/>
      <c r="AE998" s="327"/>
      <c r="AF998" s="520"/>
      <c r="AG998" s="327"/>
      <c r="AH998" s="520"/>
      <c r="AI998" s="327"/>
      <c r="AJ998" s="536"/>
      <c r="AK998" s="327"/>
      <c r="AL998" s="556" t="s">
        <v>334</v>
      </c>
      <c r="AM998" s="327"/>
      <c r="AN998" s="553" t="s">
        <v>334</v>
      </c>
      <c r="AO998" s="327"/>
      <c r="AP998" s="554"/>
      <c r="AQ998" s="327"/>
      <c r="AR998" s="555"/>
      <c r="AS998" s="327"/>
      <c r="AT998" s="549"/>
      <c r="AU998" s="327"/>
      <c r="AV998" s="553" t="s">
        <v>334</v>
      </c>
      <c r="AW998" s="327"/>
      <c r="AX998" s="521"/>
      <c r="AY998" s="326"/>
      <c r="AZ998" s="327"/>
      <c r="BA998" s="536"/>
      <c r="BB998" s="327"/>
      <c r="BC998" s="22"/>
      <c r="BD998" s="551" t="s">
        <v>334</v>
      </c>
      <c r="BE998" s="327"/>
      <c r="BF998" s="508"/>
      <c r="BG998" s="326"/>
      <c r="BH998" s="326"/>
      <c r="BI998" s="327"/>
      <c r="BJ998" s="451" t="s">
        <v>303</v>
      </c>
      <c r="BK998" s="326"/>
      <c r="BL998" s="326"/>
      <c r="BM998" s="327"/>
      <c r="BN998" s="558" t="s">
        <v>303</v>
      </c>
      <c r="BO998" s="326"/>
      <c r="BP998" s="326"/>
      <c r="BQ998" s="326"/>
      <c r="BR998" s="326"/>
      <c r="BS998" s="326"/>
      <c r="BT998" s="326"/>
      <c r="BU998" s="326"/>
      <c r="BV998" s="327"/>
    </row>
    <row r="999" spans="1:74" ht="45" customHeight="1" x14ac:dyDescent="0.25">
      <c r="A999" s="10">
        <f t="shared" si="3"/>
        <v>985</v>
      </c>
      <c r="B999" s="559" t="s">
        <v>303</v>
      </c>
      <c r="C999" s="327"/>
      <c r="D999" s="560" t="s">
        <v>307</v>
      </c>
      <c r="E999" s="327"/>
      <c r="F999" s="537" t="s">
        <v>334</v>
      </c>
      <c r="G999" s="327"/>
      <c r="H999" s="566" t="s">
        <v>334</v>
      </c>
      <c r="I999" s="327"/>
      <c r="J999" s="567"/>
      <c r="K999" s="327"/>
      <c r="L999" s="567"/>
      <c r="M999" s="327"/>
      <c r="N999" s="20"/>
      <c r="O999" s="24"/>
      <c r="P999" s="524"/>
      <c r="Q999" s="327"/>
      <c r="R999" s="538"/>
      <c r="S999" s="327"/>
      <c r="T999" s="539"/>
      <c r="U999" s="327"/>
      <c r="V999" s="540"/>
      <c r="W999" s="327"/>
      <c r="X999" s="541" t="s">
        <v>303</v>
      </c>
      <c r="Y999" s="326"/>
      <c r="Z999" s="326"/>
      <c r="AA999" s="327"/>
      <c r="AB999" s="542" t="s">
        <v>303</v>
      </c>
      <c r="AC999" s="326"/>
      <c r="AD999" s="326"/>
      <c r="AE999" s="327"/>
      <c r="AF999" s="543"/>
      <c r="AG999" s="327"/>
      <c r="AH999" s="543"/>
      <c r="AI999" s="327"/>
      <c r="AJ999" s="536"/>
      <c r="AK999" s="327"/>
      <c r="AL999" s="537" t="s">
        <v>334</v>
      </c>
      <c r="AM999" s="327"/>
      <c r="AN999" s="546" t="s">
        <v>334</v>
      </c>
      <c r="AO999" s="327"/>
      <c r="AP999" s="547"/>
      <c r="AQ999" s="327"/>
      <c r="AR999" s="548"/>
      <c r="AS999" s="327"/>
      <c r="AT999" s="568"/>
      <c r="AU999" s="327"/>
      <c r="AV999" s="546" t="s">
        <v>334</v>
      </c>
      <c r="AW999" s="327"/>
      <c r="AX999" s="521"/>
      <c r="AY999" s="326"/>
      <c r="AZ999" s="327"/>
      <c r="BA999" s="550"/>
      <c r="BB999" s="327"/>
      <c r="BC999" s="25"/>
      <c r="BD999" s="544" t="s">
        <v>334</v>
      </c>
      <c r="BE999" s="327"/>
      <c r="BF999" s="545"/>
      <c r="BG999" s="326"/>
      <c r="BH999" s="326"/>
      <c r="BI999" s="327"/>
      <c r="BJ999" s="557" t="s">
        <v>303</v>
      </c>
      <c r="BK999" s="326"/>
      <c r="BL999" s="326"/>
      <c r="BM999" s="327"/>
      <c r="BN999" s="558" t="s">
        <v>303</v>
      </c>
      <c r="BO999" s="326"/>
      <c r="BP999" s="326"/>
      <c r="BQ999" s="326"/>
      <c r="BR999" s="326"/>
      <c r="BS999" s="326"/>
      <c r="BT999" s="326"/>
      <c r="BU999" s="326"/>
      <c r="BV999" s="327"/>
    </row>
    <row r="1000" spans="1:74" ht="45" customHeight="1" x14ac:dyDescent="0.25">
      <c r="A1000" s="10">
        <f t="shared" si="3"/>
        <v>986</v>
      </c>
      <c r="B1000" s="564" t="s">
        <v>303</v>
      </c>
      <c r="C1000" s="327"/>
      <c r="D1000" s="565" t="s">
        <v>307</v>
      </c>
      <c r="E1000" s="327"/>
      <c r="F1000" s="537" t="s">
        <v>334</v>
      </c>
      <c r="G1000" s="327"/>
      <c r="H1000" s="561" t="s">
        <v>334</v>
      </c>
      <c r="I1000" s="327"/>
      <c r="J1000" s="562"/>
      <c r="K1000" s="327"/>
      <c r="L1000" s="562"/>
      <c r="M1000" s="327"/>
      <c r="N1000" s="23"/>
      <c r="O1000" s="21"/>
      <c r="P1000" s="563"/>
      <c r="Q1000" s="327"/>
      <c r="R1000" s="516"/>
      <c r="S1000" s="327"/>
      <c r="T1000" s="517"/>
      <c r="U1000" s="327"/>
      <c r="V1000" s="518"/>
      <c r="W1000" s="327"/>
      <c r="X1000" s="438" t="s">
        <v>303</v>
      </c>
      <c r="Y1000" s="326"/>
      <c r="Z1000" s="326"/>
      <c r="AA1000" s="327"/>
      <c r="AB1000" s="519" t="s">
        <v>303</v>
      </c>
      <c r="AC1000" s="326"/>
      <c r="AD1000" s="326"/>
      <c r="AE1000" s="327"/>
      <c r="AF1000" s="520"/>
      <c r="AG1000" s="327"/>
      <c r="AH1000" s="520"/>
      <c r="AI1000" s="327"/>
      <c r="AJ1000" s="536"/>
      <c r="AK1000" s="327"/>
      <c r="AL1000" s="556" t="s">
        <v>334</v>
      </c>
      <c r="AM1000" s="327"/>
      <c r="AN1000" s="553" t="s">
        <v>334</v>
      </c>
      <c r="AO1000" s="327"/>
      <c r="AP1000" s="554"/>
      <c r="AQ1000" s="327"/>
      <c r="AR1000" s="555"/>
      <c r="AS1000" s="327"/>
      <c r="AT1000" s="549"/>
      <c r="AU1000" s="327"/>
      <c r="AV1000" s="553" t="s">
        <v>334</v>
      </c>
      <c r="AW1000" s="327"/>
      <c r="AX1000" s="521"/>
      <c r="AY1000" s="326"/>
      <c r="AZ1000" s="327"/>
      <c r="BA1000" s="536"/>
      <c r="BB1000" s="327"/>
      <c r="BC1000" s="22"/>
      <c r="BD1000" s="551" t="s">
        <v>334</v>
      </c>
      <c r="BE1000" s="327"/>
      <c r="BF1000" s="552"/>
      <c r="BG1000" s="326"/>
      <c r="BH1000" s="326"/>
      <c r="BI1000" s="327"/>
      <c r="BJ1000" s="451" t="s">
        <v>303</v>
      </c>
      <c r="BK1000" s="326"/>
      <c r="BL1000" s="326"/>
      <c r="BM1000" s="327"/>
      <c r="BN1000" s="558" t="s">
        <v>303</v>
      </c>
      <c r="BO1000" s="326"/>
      <c r="BP1000" s="326"/>
      <c r="BQ1000" s="326"/>
      <c r="BR1000" s="326"/>
      <c r="BS1000" s="326"/>
      <c r="BT1000" s="326"/>
      <c r="BU1000" s="326"/>
      <c r="BV1000" s="327"/>
    </row>
    <row r="1001" spans="1:74" ht="45" customHeight="1" x14ac:dyDescent="0.25">
      <c r="A1001" s="10">
        <f t="shared" si="3"/>
        <v>987</v>
      </c>
      <c r="B1001" s="559" t="s">
        <v>303</v>
      </c>
      <c r="C1001" s="327"/>
      <c r="D1001" s="560" t="s">
        <v>307</v>
      </c>
      <c r="E1001" s="327"/>
      <c r="F1001" s="537" t="s">
        <v>334</v>
      </c>
      <c r="G1001" s="327"/>
      <c r="H1001" s="566" t="s">
        <v>334</v>
      </c>
      <c r="I1001" s="327"/>
      <c r="J1001" s="567"/>
      <c r="K1001" s="327"/>
      <c r="L1001" s="567"/>
      <c r="M1001" s="327"/>
      <c r="N1001" s="20"/>
      <c r="O1001" s="24"/>
      <c r="P1001" s="524"/>
      <c r="Q1001" s="327"/>
      <c r="R1001" s="538"/>
      <c r="S1001" s="327"/>
      <c r="T1001" s="539"/>
      <c r="U1001" s="327"/>
      <c r="V1001" s="540"/>
      <c r="W1001" s="327"/>
      <c r="X1001" s="541" t="s">
        <v>303</v>
      </c>
      <c r="Y1001" s="326"/>
      <c r="Z1001" s="326"/>
      <c r="AA1001" s="327"/>
      <c r="AB1001" s="542" t="s">
        <v>303</v>
      </c>
      <c r="AC1001" s="326"/>
      <c r="AD1001" s="326"/>
      <c r="AE1001" s="327"/>
      <c r="AF1001" s="543"/>
      <c r="AG1001" s="327"/>
      <c r="AH1001" s="543"/>
      <c r="AI1001" s="327"/>
      <c r="AJ1001" s="536"/>
      <c r="AK1001" s="327"/>
      <c r="AL1001" s="537" t="s">
        <v>334</v>
      </c>
      <c r="AM1001" s="327"/>
      <c r="AN1001" s="546" t="s">
        <v>334</v>
      </c>
      <c r="AO1001" s="327"/>
      <c r="AP1001" s="547"/>
      <c r="AQ1001" s="327"/>
      <c r="AR1001" s="548"/>
      <c r="AS1001" s="327"/>
      <c r="AT1001" s="568"/>
      <c r="AU1001" s="327"/>
      <c r="AV1001" s="546" t="s">
        <v>334</v>
      </c>
      <c r="AW1001" s="327"/>
      <c r="AX1001" s="521"/>
      <c r="AY1001" s="326"/>
      <c r="AZ1001" s="327"/>
      <c r="BA1001" s="550"/>
      <c r="BB1001" s="327"/>
      <c r="BC1001" s="25"/>
      <c r="BD1001" s="544" t="s">
        <v>334</v>
      </c>
      <c r="BE1001" s="327"/>
      <c r="BF1001" s="545"/>
      <c r="BG1001" s="326"/>
      <c r="BH1001" s="326"/>
      <c r="BI1001" s="327"/>
      <c r="BJ1001" s="557" t="s">
        <v>303</v>
      </c>
      <c r="BK1001" s="326"/>
      <c r="BL1001" s="326"/>
      <c r="BM1001" s="327"/>
      <c r="BN1001" s="558" t="s">
        <v>303</v>
      </c>
      <c r="BO1001" s="326"/>
      <c r="BP1001" s="326"/>
      <c r="BQ1001" s="326"/>
      <c r="BR1001" s="326"/>
      <c r="BS1001" s="326"/>
      <c r="BT1001" s="326"/>
      <c r="BU1001" s="326"/>
      <c r="BV1001" s="327"/>
    </row>
    <row r="1002" spans="1:74" ht="45" customHeight="1" x14ac:dyDescent="0.25">
      <c r="A1002" s="10">
        <f t="shared" si="3"/>
        <v>988</v>
      </c>
      <c r="B1002" s="564" t="s">
        <v>303</v>
      </c>
      <c r="C1002" s="327"/>
      <c r="D1002" s="565" t="s">
        <v>307</v>
      </c>
      <c r="E1002" s="327"/>
      <c r="F1002" s="537" t="s">
        <v>334</v>
      </c>
      <c r="G1002" s="327"/>
      <c r="H1002" s="561" t="s">
        <v>334</v>
      </c>
      <c r="I1002" s="327"/>
      <c r="J1002" s="562"/>
      <c r="K1002" s="327"/>
      <c r="L1002" s="562"/>
      <c r="M1002" s="327"/>
      <c r="N1002" s="23"/>
      <c r="O1002" s="21"/>
      <c r="P1002" s="563"/>
      <c r="Q1002" s="327"/>
      <c r="R1002" s="516"/>
      <c r="S1002" s="327"/>
      <c r="T1002" s="517"/>
      <c r="U1002" s="327"/>
      <c r="V1002" s="518"/>
      <c r="W1002" s="327"/>
      <c r="X1002" s="438" t="s">
        <v>303</v>
      </c>
      <c r="Y1002" s="326"/>
      <c r="Z1002" s="326"/>
      <c r="AA1002" s="327"/>
      <c r="AB1002" s="519" t="s">
        <v>303</v>
      </c>
      <c r="AC1002" s="326"/>
      <c r="AD1002" s="326"/>
      <c r="AE1002" s="327"/>
      <c r="AF1002" s="520"/>
      <c r="AG1002" s="327"/>
      <c r="AH1002" s="520"/>
      <c r="AI1002" s="327"/>
      <c r="AJ1002" s="536"/>
      <c r="AK1002" s="327"/>
      <c r="AL1002" s="556" t="s">
        <v>334</v>
      </c>
      <c r="AM1002" s="327"/>
      <c r="AN1002" s="553" t="s">
        <v>334</v>
      </c>
      <c r="AO1002" s="327"/>
      <c r="AP1002" s="554"/>
      <c r="AQ1002" s="327"/>
      <c r="AR1002" s="555"/>
      <c r="AS1002" s="327"/>
      <c r="AT1002" s="549"/>
      <c r="AU1002" s="327"/>
      <c r="AV1002" s="553" t="s">
        <v>334</v>
      </c>
      <c r="AW1002" s="327"/>
      <c r="AX1002" s="521"/>
      <c r="AY1002" s="326"/>
      <c r="AZ1002" s="327"/>
      <c r="BA1002" s="536"/>
      <c r="BB1002" s="327"/>
      <c r="BC1002" s="22"/>
      <c r="BD1002" s="551" t="s">
        <v>334</v>
      </c>
      <c r="BE1002" s="327"/>
      <c r="BF1002" s="552"/>
      <c r="BG1002" s="326"/>
      <c r="BH1002" s="326"/>
      <c r="BI1002" s="327"/>
      <c r="BJ1002" s="451" t="s">
        <v>303</v>
      </c>
      <c r="BK1002" s="326"/>
      <c r="BL1002" s="326"/>
      <c r="BM1002" s="327"/>
      <c r="BN1002" s="558" t="s">
        <v>303</v>
      </c>
      <c r="BO1002" s="326"/>
      <c r="BP1002" s="326"/>
      <c r="BQ1002" s="326"/>
      <c r="BR1002" s="326"/>
      <c r="BS1002" s="326"/>
      <c r="BT1002" s="326"/>
      <c r="BU1002" s="326"/>
      <c r="BV1002" s="327"/>
    </row>
    <row r="1003" spans="1:74" ht="45" customHeight="1" x14ac:dyDescent="0.25">
      <c r="A1003" s="10">
        <f t="shared" si="3"/>
        <v>989</v>
      </c>
      <c r="B1003" s="559" t="s">
        <v>303</v>
      </c>
      <c r="C1003" s="327"/>
      <c r="D1003" s="560" t="s">
        <v>307</v>
      </c>
      <c r="E1003" s="327"/>
      <c r="F1003" s="537" t="s">
        <v>334</v>
      </c>
      <c r="G1003" s="327"/>
      <c r="H1003" s="566" t="s">
        <v>334</v>
      </c>
      <c r="I1003" s="327"/>
      <c r="J1003" s="567"/>
      <c r="K1003" s="327"/>
      <c r="L1003" s="567"/>
      <c r="M1003" s="327"/>
      <c r="N1003" s="20"/>
      <c r="O1003" s="24"/>
      <c r="P1003" s="524"/>
      <c r="Q1003" s="327"/>
      <c r="R1003" s="538"/>
      <c r="S1003" s="327"/>
      <c r="T1003" s="539"/>
      <c r="U1003" s="327"/>
      <c r="V1003" s="540"/>
      <c r="W1003" s="327"/>
      <c r="X1003" s="541" t="s">
        <v>303</v>
      </c>
      <c r="Y1003" s="326"/>
      <c r="Z1003" s="326"/>
      <c r="AA1003" s="327"/>
      <c r="AB1003" s="542" t="s">
        <v>303</v>
      </c>
      <c r="AC1003" s="326"/>
      <c r="AD1003" s="326"/>
      <c r="AE1003" s="327"/>
      <c r="AF1003" s="543"/>
      <c r="AG1003" s="327"/>
      <c r="AH1003" s="543"/>
      <c r="AI1003" s="327"/>
      <c r="AJ1003" s="536"/>
      <c r="AK1003" s="327"/>
      <c r="AL1003" s="537" t="s">
        <v>334</v>
      </c>
      <c r="AM1003" s="327"/>
      <c r="AN1003" s="546" t="s">
        <v>334</v>
      </c>
      <c r="AO1003" s="327"/>
      <c r="AP1003" s="547"/>
      <c r="AQ1003" s="327"/>
      <c r="AR1003" s="548"/>
      <c r="AS1003" s="327"/>
      <c r="AT1003" s="568"/>
      <c r="AU1003" s="327"/>
      <c r="AV1003" s="546" t="s">
        <v>334</v>
      </c>
      <c r="AW1003" s="327"/>
      <c r="AX1003" s="521"/>
      <c r="AY1003" s="326"/>
      <c r="AZ1003" s="327"/>
      <c r="BA1003" s="550"/>
      <c r="BB1003" s="327"/>
      <c r="BC1003" s="25"/>
      <c r="BD1003" s="544" t="s">
        <v>334</v>
      </c>
      <c r="BE1003" s="327"/>
      <c r="BF1003" s="545"/>
      <c r="BG1003" s="326"/>
      <c r="BH1003" s="326"/>
      <c r="BI1003" s="327"/>
      <c r="BJ1003" s="557" t="s">
        <v>303</v>
      </c>
      <c r="BK1003" s="326"/>
      <c r="BL1003" s="326"/>
      <c r="BM1003" s="327"/>
      <c r="BN1003" s="558" t="s">
        <v>303</v>
      </c>
      <c r="BO1003" s="326"/>
      <c r="BP1003" s="326"/>
      <c r="BQ1003" s="326"/>
      <c r="BR1003" s="326"/>
      <c r="BS1003" s="326"/>
      <c r="BT1003" s="326"/>
      <c r="BU1003" s="326"/>
      <c r="BV1003" s="327"/>
    </row>
    <row r="1004" spans="1:74" ht="45" customHeight="1" x14ac:dyDescent="0.25">
      <c r="A1004" s="10">
        <f t="shared" si="3"/>
        <v>990</v>
      </c>
      <c r="B1004" s="564" t="s">
        <v>303</v>
      </c>
      <c r="C1004" s="327"/>
      <c r="D1004" s="565" t="s">
        <v>307</v>
      </c>
      <c r="E1004" s="327"/>
      <c r="F1004" s="537" t="s">
        <v>334</v>
      </c>
      <c r="G1004" s="327"/>
      <c r="H1004" s="561" t="s">
        <v>334</v>
      </c>
      <c r="I1004" s="327"/>
      <c r="J1004" s="562"/>
      <c r="K1004" s="327"/>
      <c r="L1004" s="562"/>
      <c r="M1004" s="327"/>
      <c r="N1004" s="23"/>
      <c r="O1004" s="21"/>
      <c r="P1004" s="563"/>
      <c r="Q1004" s="327"/>
      <c r="R1004" s="516"/>
      <c r="S1004" s="327"/>
      <c r="T1004" s="517"/>
      <c r="U1004" s="327"/>
      <c r="V1004" s="518"/>
      <c r="W1004" s="327"/>
      <c r="X1004" s="438" t="s">
        <v>303</v>
      </c>
      <c r="Y1004" s="326"/>
      <c r="Z1004" s="326"/>
      <c r="AA1004" s="327"/>
      <c r="AB1004" s="519" t="s">
        <v>303</v>
      </c>
      <c r="AC1004" s="326"/>
      <c r="AD1004" s="326"/>
      <c r="AE1004" s="327"/>
      <c r="AF1004" s="520"/>
      <c r="AG1004" s="327"/>
      <c r="AH1004" s="520"/>
      <c r="AI1004" s="327"/>
      <c r="AJ1004" s="536"/>
      <c r="AK1004" s="327"/>
      <c r="AL1004" s="556" t="s">
        <v>334</v>
      </c>
      <c r="AM1004" s="327"/>
      <c r="AN1004" s="553" t="s">
        <v>334</v>
      </c>
      <c r="AO1004" s="327"/>
      <c r="AP1004" s="554"/>
      <c r="AQ1004" s="327"/>
      <c r="AR1004" s="555"/>
      <c r="AS1004" s="327"/>
      <c r="AT1004" s="549"/>
      <c r="AU1004" s="327"/>
      <c r="AV1004" s="553" t="s">
        <v>334</v>
      </c>
      <c r="AW1004" s="327"/>
      <c r="AX1004" s="521"/>
      <c r="AY1004" s="326"/>
      <c r="AZ1004" s="327"/>
      <c r="BA1004" s="536"/>
      <c r="BB1004" s="327"/>
      <c r="BC1004" s="22"/>
      <c r="BD1004" s="551" t="s">
        <v>334</v>
      </c>
      <c r="BE1004" s="327"/>
      <c r="BF1004" s="508"/>
      <c r="BG1004" s="326"/>
      <c r="BH1004" s="326"/>
      <c r="BI1004" s="327"/>
      <c r="BJ1004" s="451" t="s">
        <v>303</v>
      </c>
      <c r="BK1004" s="326"/>
      <c r="BL1004" s="326"/>
      <c r="BM1004" s="327"/>
      <c r="BN1004" s="558" t="s">
        <v>303</v>
      </c>
      <c r="BO1004" s="326"/>
      <c r="BP1004" s="326"/>
      <c r="BQ1004" s="326"/>
      <c r="BR1004" s="326"/>
      <c r="BS1004" s="326"/>
      <c r="BT1004" s="326"/>
      <c r="BU1004" s="326"/>
      <c r="BV1004" s="327"/>
    </row>
    <row r="1005" spans="1:74" ht="45" customHeight="1" x14ac:dyDescent="0.25">
      <c r="A1005" s="10">
        <f t="shared" si="3"/>
        <v>991</v>
      </c>
      <c r="B1005" s="559" t="s">
        <v>303</v>
      </c>
      <c r="C1005" s="327"/>
      <c r="D1005" s="560" t="s">
        <v>307</v>
      </c>
      <c r="E1005" s="327"/>
      <c r="F1005" s="537" t="s">
        <v>334</v>
      </c>
      <c r="G1005" s="327"/>
      <c r="H1005" s="566" t="s">
        <v>334</v>
      </c>
      <c r="I1005" s="327"/>
      <c r="J1005" s="567"/>
      <c r="K1005" s="327"/>
      <c r="L1005" s="567"/>
      <c r="M1005" s="327"/>
      <c r="N1005" s="20"/>
      <c r="O1005" s="24"/>
      <c r="P1005" s="524"/>
      <c r="Q1005" s="327"/>
      <c r="R1005" s="538"/>
      <c r="S1005" s="327"/>
      <c r="T1005" s="539"/>
      <c r="U1005" s="327"/>
      <c r="V1005" s="540"/>
      <c r="W1005" s="327"/>
      <c r="X1005" s="541" t="s">
        <v>303</v>
      </c>
      <c r="Y1005" s="326"/>
      <c r="Z1005" s="326"/>
      <c r="AA1005" s="327"/>
      <c r="AB1005" s="542" t="s">
        <v>303</v>
      </c>
      <c r="AC1005" s="326"/>
      <c r="AD1005" s="326"/>
      <c r="AE1005" s="327"/>
      <c r="AF1005" s="543"/>
      <c r="AG1005" s="327"/>
      <c r="AH1005" s="543"/>
      <c r="AI1005" s="327"/>
      <c r="AJ1005" s="536"/>
      <c r="AK1005" s="327"/>
      <c r="AL1005" s="537" t="s">
        <v>334</v>
      </c>
      <c r="AM1005" s="327"/>
      <c r="AN1005" s="546" t="s">
        <v>334</v>
      </c>
      <c r="AO1005" s="327"/>
      <c r="AP1005" s="547"/>
      <c r="AQ1005" s="327"/>
      <c r="AR1005" s="548"/>
      <c r="AS1005" s="327"/>
      <c r="AT1005" s="568"/>
      <c r="AU1005" s="327"/>
      <c r="AV1005" s="546" t="s">
        <v>334</v>
      </c>
      <c r="AW1005" s="327"/>
      <c r="AX1005" s="521"/>
      <c r="AY1005" s="326"/>
      <c r="AZ1005" s="327"/>
      <c r="BA1005" s="550"/>
      <c r="BB1005" s="327"/>
      <c r="BC1005" s="25"/>
      <c r="BD1005" s="544" t="s">
        <v>334</v>
      </c>
      <c r="BE1005" s="327"/>
      <c r="BF1005" s="545"/>
      <c r="BG1005" s="326"/>
      <c r="BH1005" s="326"/>
      <c r="BI1005" s="327"/>
      <c r="BJ1005" s="557" t="s">
        <v>303</v>
      </c>
      <c r="BK1005" s="326"/>
      <c r="BL1005" s="326"/>
      <c r="BM1005" s="327"/>
      <c r="BN1005" s="558" t="s">
        <v>303</v>
      </c>
      <c r="BO1005" s="326"/>
      <c r="BP1005" s="326"/>
      <c r="BQ1005" s="326"/>
      <c r="BR1005" s="326"/>
      <c r="BS1005" s="326"/>
      <c r="BT1005" s="326"/>
      <c r="BU1005" s="326"/>
      <c r="BV1005" s="327"/>
    </row>
    <row r="1006" spans="1:74" ht="45" customHeight="1" x14ac:dyDescent="0.25">
      <c r="A1006" s="10">
        <f t="shared" si="3"/>
        <v>992</v>
      </c>
      <c r="B1006" s="564" t="s">
        <v>303</v>
      </c>
      <c r="C1006" s="327"/>
      <c r="D1006" s="565" t="s">
        <v>307</v>
      </c>
      <c r="E1006" s="327"/>
      <c r="F1006" s="537" t="s">
        <v>334</v>
      </c>
      <c r="G1006" s="327"/>
      <c r="H1006" s="561" t="s">
        <v>334</v>
      </c>
      <c r="I1006" s="327"/>
      <c r="J1006" s="562"/>
      <c r="K1006" s="327"/>
      <c r="L1006" s="562"/>
      <c r="M1006" s="327"/>
      <c r="N1006" s="23"/>
      <c r="O1006" s="21"/>
      <c r="P1006" s="563"/>
      <c r="Q1006" s="327"/>
      <c r="R1006" s="516"/>
      <c r="S1006" s="327"/>
      <c r="T1006" s="517"/>
      <c r="U1006" s="327"/>
      <c r="V1006" s="518"/>
      <c r="W1006" s="327"/>
      <c r="X1006" s="438" t="s">
        <v>303</v>
      </c>
      <c r="Y1006" s="326"/>
      <c r="Z1006" s="326"/>
      <c r="AA1006" s="327"/>
      <c r="AB1006" s="519" t="s">
        <v>303</v>
      </c>
      <c r="AC1006" s="326"/>
      <c r="AD1006" s="326"/>
      <c r="AE1006" s="327"/>
      <c r="AF1006" s="520"/>
      <c r="AG1006" s="327"/>
      <c r="AH1006" s="520"/>
      <c r="AI1006" s="327"/>
      <c r="AJ1006" s="536"/>
      <c r="AK1006" s="327"/>
      <c r="AL1006" s="556" t="s">
        <v>334</v>
      </c>
      <c r="AM1006" s="327"/>
      <c r="AN1006" s="553" t="s">
        <v>334</v>
      </c>
      <c r="AO1006" s="327"/>
      <c r="AP1006" s="554"/>
      <c r="AQ1006" s="327"/>
      <c r="AR1006" s="555"/>
      <c r="AS1006" s="327"/>
      <c r="AT1006" s="549"/>
      <c r="AU1006" s="327"/>
      <c r="AV1006" s="553" t="s">
        <v>334</v>
      </c>
      <c r="AW1006" s="327"/>
      <c r="AX1006" s="521"/>
      <c r="AY1006" s="326"/>
      <c r="AZ1006" s="327"/>
      <c r="BA1006" s="536"/>
      <c r="BB1006" s="327"/>
      <c r="BC1006" s="22"/>
      <c r="BD1006" s="551" t="s">
        <v>334</v>
      </c>
      <c r="BE1006" s="327"/>
      <c r="BF1006" s="552"/>
      <c r="BG1006" s="326"/>
      <c r="BH1006" s="326"/>
      <c r="BI1006" s="327"/>
      <c r="BJ1006" s="451" t="s">
        <v>303</v>
      </c>
      <c r="BK1006" s="326"/>
      <c r="BL1006" s="326"/>
      <c r="BM1006" s="327"/>
      <c r="BN1006" s="558" t="s">
        <v>303</v>
      </c>
      <c r="BO1006" s="326"/>
      <c r="BP1006" s="326"/>
      <c r="BQ1006" s="326"/>
      <c r="BR1006" s="326"/>
      <c r="BS1006" s="326"/>
      <c r="BT1006" s="326"/>
      <c r="BU1006" s="326"/>
      <c r="BV1006" s="327"/>
    </row>
    <row r="1007" spans="1:74" ht="45" customHeight="1" x14ac:dyDescent="0.25">
      <c r="A1007" s="10">
        <f t="shared" si="3"/>
        <v>993</v>
      </c>
      <c r="B1007" s="564" t="s">
        <v>303</v>
      </c>
      <c r="C1007" s="327"/>
      <c r="D1007" s="565" t="s">
        <v>307</v>
      </c>
      <c r="E1007" s="327"/>
      <c r="F1007" s="537" t="s">
        <v>334</v>
      </c>
      <c r="G1007" s="327"/>
      <c r="H1007" s="566" t="s">
        <v>334</v>
      </c>
      <c r="I1007" s="327"/>
      <c r="J1007" s="567"/>
      <c r="K1007" s="327"/>
      <c r="L1007" s="567"/>
      <c r="M1007" s="327"/>
      <c r="N1007" s="23"/>
      <c r="O1007" s="21"/>
      <c r="P1007" s="563"/>
      <c r="Q1007" s="327"/>
      <c r="R1007" s="516"/>
      <c r="S1007" s="327"/>
      <c r="T1007" s="517"/>
      <c r="U1007" s="327"/>
      <c r="V1007" s="518"/>
      <c r="W1007" s="327"/>
      <c r="X1007" s="438" t="s">
        <v>303</v>
      </c>
      <c r="Y1007" s="326"/>
      <c r="Z1007" s="326"/>
      <c r="AA1007" s="327"/>
      <c r="AB1007" s="519" t="s">
        <v>303</v>
      </c>
      <c r="AC1007" s="326"/>
      <c r="AD1007" s="326"/>
      <c r="AE1007" s="327"/>
      <c r="AF1007" s="520"/>
      <c r="AG1007" s="327"/>
      <c r="AH1007" s="520"/>
      <c r="AI1007" s="327"/>
      <c r="AJ1007" s="536"/>
      <c r="AK1007" s="327"/>
      <c r="AL1007" s="556" t="s">
        <v>334</v>
      </c>
      <c r="AM1007" s="327"/>
      <c r="AN1007" s="553" t="s">
        <v>334</v>
      </c>
      <c r="AO1007" s="327"/>
      <c r="AP1007" s="554"/>
      <c r="AQ1007" s="327"/>
      <c r="AR1007" s="555"/>
      <c r="AS1007" s="327"/>
      <c r="AT1007" s="549"/>
      <c r="AU1007" s="327"/>
      <c r="AV1007" s="553" t="s">
        <v>334</v>
      </c>
      <c r="AW1007" s="327"/>
      <c r="AX1007" s="521"/>
      <c r="AY1007" s="326"/>
      <c r="AZ1007" s="327"/>
      <c r="BA1007" s="536"/>
      <c r="BB1007" s="327"/>
      <c r="BC1007" s="22"/>
      <c r="BD1007" s="551" t="s">
        <v>334</v>
      </c>
      <c r="BE1007" s="327"/>
      <c r="BF1007" s="508"/>
      <c r="BG1007" s="326"/>
      <c r="BH1007" s="326"/>
      <c r="BI1007" s="327"/>
      <c r="BJ1007" s="451" t="s">
        <v>303</v>
      </c>
      <c r="BK1007" s="326"/>
      <c r="BL1007" s="326"/>
      <c r="BM1007" s="327"/>
      <c r="BN1007" s="558" t="s">
        <v>303</v>
      </c>
      <c r="BO1007" s="326"/>
      <c r="BP1007" s="326"/>
      <c r="BQ1007" s="326"/>
      <c r="BR1007" s="326"/>
      <c r="BS1007" s="326"/>
      <c r="BT1007" s="326"/>
      <c r="BU1007" s="326"/>
      <c r="BV1007" s="327"/>
    </row>
    <row r="1008" spans="1:74" ht="45" customHeight="1" x14ac:dyDescent="0.25">
      <c r="A1008" s="10">
        <f t="shared" si="3"/>
        <v>994</v>
      </c>
      <c r="B1008" s="559" t="s">
        <v>303</v>
      </c>
      <c r="C1008" s="327"/>
      <c r="D1008" s="560" t="s">
        <v>307</v>
      </c>
      <c r="E1008" s="327"/>
      <c r="F1008" s="537" t="s">
        <v>334</v>
      </c>
      <c r="G1008" s="327"/>
      <c r="H1008" s="561" t="s">
        <v>334</v>
      </c>
      <c r="I1008" s="327"/>
      <c r="J1008" s="562"/>
      <c r="K1008" s="327"/>
      <c r="L1008" s="562"/>
      <c r="M1008" s="327"/>
      <c r="N1008" s="20"/>
      <c r="O1008" s="24"/>
      <c r="P1008" s="524"/>
      <c r="Q1008" s="327"/>
      <c r="R1008" s="538"/>
      <c r="S1008" s="327"/>
      <c r="T1008" s="539"/>
      <c r="U1008" s="327"/>
      <c r="V1008" s="540"/>
      <c r="W1008" s="327"/>
      <c r="X1008" s="541" t="s">
        <v>303</v>
      </c>
      <c r="Y1008" s="326"/>
      <c r="Z1008" s="326"/>
      <c r="AA1008" s="327"/>
      <c r="AB1008" s="542" t="s">
        <v>303</v>
      </c>
      <c r="AC1008" s="326"/>
      <c r="AD1008" s="326"/>
      <c r="AE1008" s="327"/>
      <c r="AF1008" s="543"/>
      <c r="AG1008" s="327"/>
      <c r="AH1008" s="543"/>
      <c r="AI1008" s="327"/>
      <c r="AJ1008" s="536"/>
      <c r="AK1008" s="327"/>
      <c r="AL1008" s="537" t="s">
        <v>334</v>
      </c>
      <c r="AM1008" s="327"/>
      <c r="AN1008" s="546" t="s">
        <v>334</v>
      </c>
      <c r="AO1008" s="327"/>
      <c r="AP1008" s="547"/>
      <c r="AQ1008" s="327"/>
      <c r="AR1008" s="548"/>
      <c r="AS1008" s="327"/>
      <c r="AT1008" s="568"/>
      <c r="AU1008" s="327"/>
      <c r="AV1008" s="546" t="s">
        <v>334</v>
      </c>
      <c r="AW1008" s="327"/>
      <c r="AX1008" s="521"/>
      <c r="AY1008" s="326"/>
      <c r="AZ1008" s="327"/>
      <c r="BA1008" s="550"/>
      <c r="BB1008" s="327"/>
      <c r="BC1008" s="25"/>
      <c r="BD1008" s="544" t="s">
        <v>334</v>
      </c>
      <c r="BE1008" s="327"/>
      <c r="BF1008" s="545"/>
      <c r="BG1008" s="326"/>
      <c r="BH1008" s="326"/>
      <c r="BI1008" s="327"/>
      <c r="BJ1008" s="557" t="s">
        <v>303</v>
      </c>
      <c r="BK1008" s="326"/>
      <c r="BL1008" s="326"/>
      <c r="BM1008" s="327"/>
      <c r="BN1008" s="558" t="s">
        <v>303</v>
      </c>
      <c r="BO1008" s="326"/>
      <c r="BP1008" s="326"/>
      <c r="BQ1008" s="326"/>
      <c r="BR1008" s="326"/>
      <c r="BS1008" s="326"/>
      <c r="BT1008" s="326"/>
      <c r="BU1008" s="326"/>
      <c r="BV1008" s="327"/>
    </row>
    <row r="1009" spans="1:74" ht="45" customHeight="1" x14ac:dyDescent="0.25">
      <c r="A1009" s="10">
        <f t="shared" si="3"/>
        <v>995</v>
      </c>
      <c r="B1009" s="564" t="s">
        <v>303</v>
      </c>
      <c r="C1009" s="327"/>
      <c r="D1009" s="565" t="s">
        <v>307</v>
      </c>
      <c r="E1009" s="327"/>
      <c r="F1009" s="537" t="s">
        <v>334</v>
      </c>
      <c r="G1009" s="327"/>
      <c r="H1009" s="566" t="s">
        <v>334</v>
      </c>
      <c r="I1009" s="327"/>
      <c r="J1009" s="567"/>
      <c r="K1009" s="327"/>
      <c r="L1009" s="567"/>
      <c r="M1009" s="327"/>
      <c r="N1009" s="23"/>
      <c r="O1009" s="21"/>
      <c r="P1009" s="563"/>
      <c r="Q1009" s="327"/>
      <c r="R1009" s="516"/>
      <c r="S1009" s="327"/>
      <c r="T1009" s="517"/>
      <c r="U1009" s="327"/>
      <c r="V1009" s="518"/>
      <c r="W1009" s="327"/>
      <c r="X1009" s="438" t="s">
        <v>303</v>
      </c>
      <c r="Y1009" s="326"/>
      <c r="Z1009" s="326"/>
      <c r="AA1009" s="327"/>
      <c r="AB1009" s="519" t="s">
        <v>303</v>
      </c>
      <c r="AC1009" s="326"/>
      <c r="AD1009" s="326"/>
      <c r="AE1009" s="327"/>
      <c r="AF1009" s="520"/>
      <c r="AG1009" s="327"/>
      <c r="AH1009" s="520"/>
      <c r="AI1009" s="327"/>
      <c r="AJ1009" s="536"/>
      <c r="AK1009" s="327"/>
      <c r="AL1009" s="556" t="s">
        <v>334</v>
      </c>
      <c r="AM1009" s="327"/>
      <c r="AN1009" s="553" t="s">
        <v>334</v>
      </c>
      <c r="AO1009" s="327"/>
      <c r="AP1009" s="554"/>
      <c r="AQ1009" s="327"/>
      <c r="AR1009" s="555"/>
      <c r="AS1009" s="327"/>
      <c r="AT1009" s="549"/>
      <c r="AU1009" s="327"/>
      <c r="AV1009" s="553" t="s">
        <v>334</v>
      </c>
      <c r="AW1009" s="327"/>
      <c r="AX1009" s="521"/>
      <c r="AY1009" s="326"/>
      <c r="AZ1009" s="327"/>
      <c r="BA1009" s="536"/>
      <c r="BB1009" s="327"/>
      <c r="BC1009" s="22"/>
      <c r="BD1009" s="551" t="s">
        <v>334</v>
      </c>
      <c r="BE1009" s="327"/>
      <c r="BF1009" s="552"/>
      <c r="BG1009" s="326"/>
      <c r="BH1009" s="326"/>
      <c r="BI1009" s="327"/>
      <c r="BJ1009" s="451" t="s">
        <v>303</v>
      </c>
      <c r="BK1009" s="326"/>
      <c r="BL1009" s="326"/>
      <c r="BM1009" s="327"/>
      <c r="BN1009" s="558" t="s">
        <v>303</v>
      </c>
      <c r="BO1009" s="326"/>
      <c r="BP1009" s="326"/>
      <c r="BQ1009" s="326"/>
      <c r="BR1009" s="326"/>
      <c r="BS1009" s="326"/>
      <c r="BT1009" s="326"/>
      <c r="BU1009" s="326"/>
      <c r="BV1009" s="327"/>
    </row>
    <row r="1010" spans="1:74" ht="45" customHeight="1" x14ac:dyDescent="0.25">
      <c r="A1010" s="10">
        <f t="shared" si="3"/>
        <v>996</v>
      </c>
      <c r="B1010" s="564" t="s">
        <v>303</v>
      </c>
      <c r="C1010" s="327"/>
      <c r="D1010" s="565" t="s">
        <v>307</v>
      </c>
      <c r="E1010" s="327"/>
      <c r="F1010" s="537" t="s">
        <v>334</v>
      </c>
      <c r="G1010" s="327"/>
      <c r="H1010" s="561" t="s">
        <v>334</v>
      </c>
      <c r="I1010" s="327"/>
      <c r="J1010" s="562"/>
      <c r="K1010" s="327"/>
      <c r="L1010" s="562"/>
      <c r="M1010" s="327"/>
      <c r="N1010" s="20"/>
      <c r="O1010" s="21"/>
      <c r="P1010" s="524"/>
      <c r="Q1010" s="327"/>
      <c r="R1010" s="516"/>
      <c r="S1010" s="327"/>
      <c r="T1010" s="517"/>
      <c r="U1010" s="327"/>
      <c r="V1010" s="518"/>
      <c r="W1010" s="327"/>
      <c r="X1010" s="438" t="s">
        <v>303</v>
      </c>
      <c r="Y1010" s="326"/>
      <c r="Z1010" s="326"/>
      <c r="AA1010" s="327"/>
      <c r="AB1010" s="519" t="s">
        <v>303</v>
      </c>
      <c r="AC1010" s="326"/>
      <c r="AD1010" s="326"/>
      <c r="AE1010" s="327"/>
      <c r="AF1010" s="520"/>
      <c r="AG1010" s="327"/>
      <c r="AH1010" s="520"/>
      <c r="AI1010" s="327"/>
      <c r="AJ1010" s="536"/>
      <c r="AK1010" s="327"/>
      <c r="AL1010" s="556" t="s">
        <v>334</v>
      </c>
      <c r="AM1010" s="327"/>
      <c r="AN1010" s="553" t="s">
        <v>334</v>
      </c>
      <c r="AO1010" s="327"/>
      <c r="AP1010" s="554"/>
      <c r="AQ1010" s="327"/>
      <c r="AR1010" s="555"/>
      <c r="AS1010" s="327"/>
      <c r="AT1010" s="549"/>
      <c r="AU1010" s="327"/>
      <c r="AV1010" s="553" t="s">
        <v>334</v>
      </c>
      <c r="AW1010" s="327"/>
      <c r="AX1010" s="521"/>
      <c r="AY1010" s="326"/>
      <c r="AZ1010" s="327"/>
      <c r="BA1010" s="536"/>
      <c r="BB1010" s="327"/>
      <c r="BC1010" s="22"/>
      <c r="BD1010" s="551" t="s">
        <v>334</v>
      </c>
      <c r="BE1010" s="327"/>
      <c r="BF1010" s="508"/>
      <c r="BG1010" s="326"/>
      <c r="BH1010" s="326"/>
      <c r="BI1010" s="327"/>
      <c r="BJ1010" s="451" t="s">
        <v>303</v>
      </c>
      <c r="BK1010" s="326"/>
      <c r="BL1010" s="326"/>
      <c r="BM1010" s="327"/>
      <c r="BN1010" s="558" t="s">
        <v>303</v>
      </c>
      <c r="BO1010" s="326"/>
      <c r="BP1010" s="326"/>
      <c r="BQ1010" s="326"/>
      <c r="BR1010" s="326"/>
      <c r="BS1010" s="326"/>
      <c r="BT1010" s="326"/>
      <c r="BU1010" s="326"/>
      <c r="BV1010" s="327"/>
    </row>
    <row r="1011" spans="1:74" ht="45" customHeight="1" x14ac:dyDescent="0.25">
      <c r="A1011" s="10">
        <f t="shared" si="3"/>
        <v>997</v>
      </c>
      <c r="B1011" s="559" t="s">
        <v>303</v>
      </c>
      <c r="C1011" s="327"/>
      <c r="D1011" s="560" t="s">
        <v>307</v>
      </c>
      <c r="E1011" s="327"/>
      <c r="F1011" s="537" t="s">
        <v>334</v>
      </c>
      <c r="G1011" s="327"/>
      <c r="H1011" s="566" t="s">
        <v>334</v>
      </c>
      <c r="I1011" s="327"/>
      <c r="J1011" s="567"/>
      <c r="K1011" s="327"/>
      <c r="L1011" s="567"/>
      <c r="M1011" s="327"/>
      <c r="N1011" s="23"/>
      <c r="O1011" s="24"/>
      <c r="P1011" s="563"/>
      <c r="Q1011" s="327"/>
      <c r="R1011" s="538"/>
      <c r="S1011" s="327"/>
      <c r="T1011" s="539"/>
      <c r="U1011" s="327"/>
      <c r="V1011" s="540"/>
      <c r="W1011" s="327"/>
      <c r="X1011" s="541" t="s">
        <v>303</v>
      </c>
      <c r="Y1011" s="326"/>
      <c r="Z1011" s="326"/>
      <c r="AA1011" s="327"/>
      <c r="AB1011" s="542" t="s">
        <v>303</v>
      </c>
      <c r="AC1011" s="326"/>
      <c r="AD1011" s="326"/>
      <c r="AE1011" s="327"/>
      <c r="AF1011" s="543"/>
      <c r="AG1011" s="327"/>
      <c r="AH1011" s="543"/>
      <c r="AI1011" s="327"/>
      <c r="AJ1011" s="536"/>
      <c r="AK1011" s="327"/>
      <c r="AL1011" s="537" t="s">
        <v>334</v>
      </c>
      <c r="AM1011" s="327"/>
      <c r="AN1011" s="546" t="s">
        <v>334</v>
      </c>
      <c r="AO1011" s="327"/>
      <c r="AP1011" s="547"/>
      <c r="AQ1011" s="327"/>
      <c r="AR1011" s="548"/>
      <c r="AS1011" s="327"/>
      <c r="AT1011" s="549"/>
      <c r="AU1011" s="327"/>
      <c r="AV1011" s="546" t="s">
        <v>334</v>
      </c>
      <c r="AW1011" s="327"/>
      <c r="AX1011" s="521"/>
      <c r="AY1011" s="326"/>
      <c r="AZ1011" s="327"/>
      <c r="BA1011" s="550"/>
      <c r="BB1011" s="327"/>
      <c r="BC1011" s="25"/>
      <c r="BD1011" s="544" t="s">
        <v>334</v>
      </c>
      <c r="BE1011" s="327"/>
      <c r="BF1011" s="545"/>
      <c r="BG1011" s="326"/>
      <c r="BH1011" s="326"/>
      <c r="BI1011" s="327"/>
      <c r="BJ1011" s="557" t="s">
        <v>303</v>
      </c>
      <c r="BK1011" s="326"/>
      <c r="BL1011" s="326"/>
      <c r="BM1011" s="327"/>
      <c r="BN1011" s="558" t="s">
        <v>303</v>
      </c>
      <c r="BO1011" s="326"/>
      <c r="BP1011" s="326"/>
      <c r="BQ1011" s="326"/>
      <c r="BR1011" s="326"/>
      <c r="BS1011" s="326"/>
      <c r="BT1011" s="326"/>
      <c r="BU1011" s="326"/>
      <c r="BV1011" s="327"/>
    </row>
    <row r="1012" spans="1:74" ht="45" customHeight="1" x14ac:dyDescent="0.25">
      <c r="A1012" s="10">
        <f t="shared" si="3"/>
        <v>998</v>
      </c>
      <c r="B1012" s="564" t="s">
        <v>303</v>
      </c>
      <c r="C1012" s="327"/>
      <c r="D1012" s="565" t="s">
        <v>307</v>
      </c>
      <c r="E1012" s="327"/>
      <c r="F1012" s="537" t="s">
        <v>334</v>
      </c>
      <c r="G1012" s="327"/>
      <c r="H1012" s="561" t="s">
        <v>334</v>
      </c>
      <c r="I1012" s="327"/>
      <c r="J1012" s="562"/>
      <c r="K1012" s="327"/>
      <c r="L1012" s="562"/>
      <c r="M1012" s="327"/>
      <c r="N1012" s="20"/>
      <c r="O1012" s="21"/>
      <c r="P1012" s="524"/>
      <c r="Q1012" s="327"/>
      <c r="R1012" s="516"/>
      <c r="S1012" s="327"/>
      <c r="T1012" s="517"/>
      <c r="U1012" s="327"/>
      <c r="V1012" s="518"/>
      <c r="W1012" s="327"/>
      <c r="X1012" s="438" t="s">
        <v>303</v>
      </c>
      <c r="Y1012" s="326"/>
      <c r="Z1012" s="326"/>
      <c r="AA1012" s="327"/>
      <c r="AB1012" s="519" t="s">
        <v>303</v>
      </c>
      <c r="AC1012" s="326"/>
      <c r="AD1012" s="326"/>
      <c r="AE1012" s="327"/>
      <c r="AF1012" s="520"/>
      <c r="AG1012" s="327"/>
      <c r="AH1012" s="520"/>
      <c r="AI1012" s="327"/>
      <c r="AJ1012" s="536"/>
      <c r="AK1012" s="327"/>
      <c r="AL1012" s="556" t="s">
        <v>334</v>
      </c>
      <c r="AM1012" s="327"/>
      <c r="AN1012" s="553" t="s">
        <v>334</v>
      </c>
      <c r="AO1012" s="327"/>
      <c r="AP1012" s="554"/>
      <c r="AQ1012" s="327"/>
      <c r="AR1012" s="555"/>
      <c r="AS1012" s="327"/>
      <c r="AT1012" s="549"/>
      <c r="AU1012" s="327"/>
      <c r="AV1012" s="553" t="s">
        <v>334</v>
      </c>
      <c r="AW1012" s="327"/>
      <c r="AX1012" s="521"/>
      <c r="AY1012" s="326"/>
      <c r="AZ1012" s="327"/>
      <c r="BA1012" s="536"/>
      <c r="BB1012" s="327"/>
      <c r="BC1012" s="22"/>
      <c r="BD1012" s="551" t="s">
        <v>334</v>
      </c>
      <c r="BE1012" s="327"/>
      <c r="BF1012" s="552"/>
      <c r="BG1012" s="326"/>
      <c r="BH1012" s="326"/>
      <c r="BI1012" s="327"/>
      <c r="BJ1012" s="451" t="s">
        <v>303</v>
      </c>
      <c r="BK1012" s="326"/>
      <c r="BL1012" s="326"/>
      <c r="BM1012" s="327"/>
      <c r="BN1012" s="558" t="s">
        <v>303</v>
      </c>
      <c r="BO1012" s="326"/>
      <c r="BP1012" s="326"/>
      <c r="BQ1012" s="326"/>
      <c r="BR1012" s="326"/>
      <c r="BS1012" s="326"/>
      <c r="BT1012" s="326"/>
      <c r="BU1012" s="326"/>
      <c r="BV1012" s="327"/>
    </row>
    <row r="1013" spans="1:74" ht="45" customHeight="1" x14ac:dyDescent="0.25">
      <c r="A1013" s="10">
        <f t="shared" si="3"/>
        <v>999</v>
      </c>
      <c r="B1013" s="559" t="s">
        <v>303</v>
      </c>
      <c r="C1013" s="327"/>
      <c r="D1013" s="560" t="s">
        <v>307</v>
      </c>
      <c r="E1013" s="327"/>
      <c r="F1013" s="537" t="s">
        <v>334</v>
      </c>
      <c r="G1013" s="327"/>
      <c r="H1013" s="566" t="s">
        <v>334</v>
      </c>
      <c r="I1013" s="327"/>
      <c r="J1013" s="567"/>
      <c r="K1013" s="327"/>
      <c r="L1013" s="567"/>
      <c r="M1013" s="327"/>
      <c r="N1013" s="23"/>
      <c r="O1013" s="24"/>
      <c r="P1013" s="563"/>
      <c r="Q1013" s="327"/>
      <c r="R1013" s="538"/>
      <c r="S1013" s="327"/>
      <c r="T1013" s="539"/>
      <c r="U1013" s="327"/>
      <c r="V1013" s="540"/>
      <c r="W1013" s="327"/>
      <c r="X1013" s="541" t="s">
        <v>303</v>
      </c>
      <c r="Y1013" s="326"/>
      <c r="Z1013" s="326"/>
      <c r="AA1013" s="327"/>
      <c r="AB1013" s="542" t="s">
        <v>303</v>
      </c>
      <c r="AC1013" s="326"/>
      <c r="AD1013" s="326"/>
      <c r="AE1013" s="327"/>
      <c r="AF1013" s="543"/>
      <c r="AG1013" s="327"/>
      <c r="AH1013" s="543"/>
      <c r="AI1013" s="327"/>
      <c r="AJ1013" s="536"/>
      <c r="AK1013" s="327"/>
      <c r="AL1013" s="537" t="s">
        <v>334</v>
      </c>
      <c r="AM1013" s="327"/>
      <c r="AN1013" s="546" t="s">
        <v>334</v>
      </c>
      <c r="AO1013" s="327"/>
      <c r="AP1013" s="547"/>
      <c r="AQ1013" s="327"/>
      <c r="AR1013" s="548"/>
      <c r="AS1013" s="327"/>
      <c r="AT1013" s="549"/>
      <c r="AU1013" s="327"/>
      <c r="AV1013" s="546" t="s">
        <v>334</v>
      </c>
      <c r="AW1013" s="327"/>
      <c r="AX1013" s="521"/>
      <c r="AY1013" s="326"/>
      <c r="AZ1013" s="327"/>
      <c r="BA1013" s="550"/>
      <c r="BB1013" s="327"/>
      <c r="BC1013" s="25"/>
      <c r="BD1013" s="544" t="s">
        <v>334</v>
      </c>
      <c r="BE1013" s="327"/>
      <c r="BF1013" s="545"/>
      <c r="BG1013" s="326"/>
      <c r="BH1013" s="326"/>
      <c r="BI1013" s="327"/>
      <c r="BJ1013" s="557" t="s">
        <v>303</v>
      </c>
      <c r="BK1013" s="326"/>
      <c r="BL1013" s="326"/>
      <c r="BM1013" s="327"/>
      <c r="BN1013" s="558" t="s">
        <v>303</v>
      </c>
      <c r="BO1013" s="326"/>
      <c r="BP1013" s="326"/>
      <c r="BQ1013" s="326"/>
      <c r="BR1013" s="326"/>
      <c r="BS1013" s="326"/>
      <c r="BT1013" s="326"/>
      <c r="BU1013" s="326"/>
      <c r="BV1013" s="327"/>
    </row>
    <row r="1014" spans="1:74" ht="45" customHeight="1" x14ac:dyDescent="0.25">
      <c r="A1014" s="10">
        <f t="shared" si="3"/>
        <v>1000</v>
      </c>
      <c r="B1014" s="564" t="s">
        <v>303</v>
      </c>
      <c r="C1014" s="327"/>
      <c r="D1014" s="565" t="s">
        <v>307</v>
      </c>
      <c r="E1014" s="327"/>
      <c r="F1014" s="537" t="s">
        <v>334</v>
      </c>
      <c r="G1014" s="327"/>
      <c r="H1014" s="561" t="s">
        <v>334</v>
      </c>
      <c r="I1014" s="327"/>
      <c r="J1014" s="562"/>
      <c r="K1014" s="327"/>
      <c r="L1014" s="562"/>
      <c r="M1014" s="327"/>
      <c r="N1014" s="20"/>
      <c r="O1014" s="21"/>
      <c r="P1014" s="524"/>
      <c r="Q1014" s="327"/>
      <c r="R1014" s="516"/>
      <c r="S1014" s="327"/>
      <c r="T1014" s="517"/>
      <c r="U1014" s="327"/>
      <c r="V1014" s="518"/>
      <c r="W1014" s="327"/>
      <c r="X1014" s="438" t="s">
        <v>303</v>
      </c>
      <c r="Y1014" s="326"/>
      <c r="Z1014" s="326"/>
      <c r="AA1014" s="327"/>
      <c r="AB1014" s="519" t="s">
        <v>303</v>
      </c>
      <c r="AC1014" s="326"/>
      <c r="AD1014" s="326"/>
      <c r="AE1014" s="327"/>
      <c r="AF1014" s="520"/>
      <c r="AG1014" s="327"/>
      <c r="AH1014" s="520"/>
      <c r="AI1014" s="327"/>
      <c r="AJ1014" s="536"/>
      <c r="AK1014" s="327"/>
      <c r="AL1014" s="556" t="s">
        <v>334</v>
      </c>
      <c r="AM1014" s="327"/>
      <c r="AN1014" s="553" t="s">
        <v>334</v>
      </c>
      <c r="AO1014" s="327"/>
      <c r="AP1014" s="554"/>
      <c r="AQ1014" s="327"/>
      <c r="AR1014" s="555"/>
      <c r="AS1014" s="327"/>
      <c r="AT1014" s="549"/>
      <c r="AU1014" s="327"/>
      <c r="AV1014" s="553" t="s">
        <v>334</v>
      </c>
      <c r="AW1014" s="327"/>
      <c r="AX1014" s="521"/>
      <c r="AY1014" s="326"/>
      <c r="AZ1014" s="327"/>
      <c r="BA1014" s="536"/>
      <c r="BB1014" s="327"/>
      <c r="BC1014" s="22"/>
      <c r="BD1014" s="551" t="s">
        <v>334</v>
      </c>
      <c r="BE1014" s="327"/>
      <c r="BF1014" s="552"/>
      <c r="BG1014" s="326"/>
      <c r="BH1014" s="326"/>
      <c r="BI1014" s="327"/>
      <c r="BJ1014" s="451" t="s">
        <v>303</v>
      </c>
      <c r="BK1014" s="326"/>
      <c r="BL1014" s="326"/>
      <c r="BM1014" s="327"/>
      <c r="BN1014" s="558" t="s">
        <v>303</v>
      </c>
      <c r="BO1014" s="326"/>
      <c r="BP1014" s="326"/>
      <c r="BQ1014" s="326"/>
      <c r="BR1014" s="326"/>
      <c r="BS1014" s="326"/>
      <c r="BT1014" s="326"/>
      <c r="BU1014" s="326"/>
      <c r="BV1014" s="327"/>
    </row>
    <row r="1015" spans="1:74" ht="45" customHeight="1" x14ac:dyDescent="0.25">
      <c r="A1015" s="10">
        <f t="shared" si="3"/>
        <v>1001</v>
      </c>
      <c r="B1015" s="559" t="s">
        <v>303</v>
      </c>
      <c r="C1015" s="327"/>
      <c r="D1015" s="560" t="s">
        <v>307</v>
      </c>
      <c r="E1015" s="327"/>
      <c r="F1015" s="537" t="s">
        <v>334</v>
      </c>
      <c r="G1015" s="327"/>
      <c r="H1015" s="566" t="s">
        <v>334</v>
      </c>
      <c r="I1015" s="327"/>
      <c r="J1015" s="567"/>
      <c r="K1015" s="327"/>
      <c r="L1015" s="567"/>
      <c r="M1015" s="327"/>
      <c r="N1015" s="23"/>
      <c r="O1015" s="24"/>
      <c r="P1015" s="563"/>
      <c r="Q1015" s="327"/>
      <c r="R1015" s="538"/>
      <c r="S1015" s="327"/>
      <c r="T1015" s="539"/>
      <c r="U1015" s="327"/>
      <c r="V1015" s="540"/>
      <c r="W1015" s="327"/>
      <c r="X1015" s="541" t="s">
        <v>303</v>
      </c>
      <c r="Y1015" s="326"/>
      <c r="Z1015" s="326"/>
      <c r="AA1015" s="327"/>
      <c r="AB1015" s="542" t="s">
        <v>303</v>
      </c>
      <c r="AC1015" s="326"/>
      <c r="AD1015" s="326"/>
      <c r="AE1015" s="327"/>
      <c r="AF1015" s="543"/>
      <c r="AG1015" s="327"/>
      <c r="AH1015" s="543"/>
      <c r="AI1015" s="327"/>
      <c r="AJ1015" s="536"/>
      <c r="AK1015" s="327"/>
      <c r="AL1015" s="537" t="s">
        <v>334</v>
      </c>
      <c r="AM1015" s="327"/>
      <c r="AN1015" s="546" t="s">
        <v>334</v>
      </c>
      <c r="AO1015" s="327"/>
      <c r="AP1015" s="547"/>
      <c r="AQ1015" s="327"/>
      <c r="AR1015" s="548"/>
      <c r="AS1015" s="327"/>
      <c r="AT1015" s="568"/>
      <c r="AU1015" s="327"/>
      <c r="AV1015" s="546" t="s">
        <v>334</v>
      </c>
      <c r="AW1015" s="327"/>
      <c r="AX1015" s="521"/>
      <c r="AY1015" s="326"/>
      <c r="AZ1015" s="327"/>
      <c r="BA1015" s="550"/>
      <c r="BB1015" s="327"/>
      <c r="BC1015" s="25"/>
      <c r="BD1015" s="544" t="s">
        <v>334</v>
      </c>
      <c r="BE1015" s="327"/>
      <c r="BF1015" s="545"/>
      <c r="BG1015" s="326"/>
      <c r="BH1015" s="326"/>
      <c r="BI1015" s="327"/>
      <c r="BJ1015" s="557" t="s">
        <v>303</v>
      </c>
      <c r="BK1015" s="326"/>
      <c r="BL1015" s="326"/>
      <c r="BM1015" s="327"/>
      <c r="BN1015" s="558" t="s">
        <v>303</v>
      </c>
      <c r="BO1015" s="326"/>
      <c r="BP1015" s="326"/>
      <c r="BQ1015" s="326"/>
      <c r="BR1015" s="326"/>
      <c r="BS1015" s="326"/>
      <c r="BT1015" s="326"/>
      <c r="BU1015" s="326"/>
      <c r="BV1015" s="327"/>
    </row>
    <row r="1016" spans="1:74" ht="45" customHeight="1" x14ac:dyDescent="0.25">
      <c r="A1016" s="10">
        <f t="shared" si="3"/>
        <v>1002</v>
      </c>
      <c r="B1016" s="564" t="s">
        <v>303</v>
      </c>
      <c r="C1016" s="327"/>
      <c r="D1016" s="565" t="s">
        <v>307</v>
      </c>
      <c r="E1016" s="327"/>
      <c r="F1016" s="537" t="s">
        <v>334</v>
      </c>
      <c r="G1016" s="327"/>
      <c r="H1016" s="561" t="s">
        <v>334</v>
      </c>
      <c r="I1016" s="327"/>
      <c r="J1016" s="562"/>
      <c r="K1016" s="327"/>
      <c r="L1016" s="562"/>
      <c r="M1016" s="327"/>
      <c r="N1016" s="20"/>
      <c r="O1016" s="21"/>
      <c r="P1016" s="524"/>
      <c r="Q1016" s="327"/>
      <c r="R1016" s="516"/>
      <c r="S1016" s="327"/>
      <c r="T1016" s="517"/>
      <c r="U1016" s="327"/>
      <c r="V1016" s="518"/>
      <c r="W1016" s="327"/>
      <c r="X1016" s="438" t="s">
        <v>303</v>
      </c>
      <c r="Y1016" s="326"/>
      <c r="Z1016" s="326"/>
      <c r="AA1016" s="327"/>
      <c r="AB1016" s="519" t="s">
        <v>303</v>
      </c>
      <c r="AC1016" s="326"/>
      <c r="AD1016" s="326"/>
      <c r="AE1016" s="327"/>
      <c r="AF1016" s="520"/>
      <c r="AG1016" s="327"/>
      <c r="AH1016" s="520"/>
      <c r="AI1016" s="327"/>
      <c r="AJ1016" s="536"/>
      <c r="AK1016" s="327"/>
      <c r="AL1016" s="556" t="s">
        <v>334</v>
      </c>
      <c r="AM1016" s="327"/>
      <c r="AN1016" s="553" t="s">
        <v>334</v>
      </c>
      <c r="AO1016" s="327"/>
      <c r="AP1016" s="554"/>
      <c r="AQ1016" s="327"/>
      <c r="AR1016" s="555"/>
      <c r="AS1016" s="327"/>
      <c r="AT1016" s="549"/>
      <c r="AU1016" s="327"/>
      <c r="AV1016" s="553" t="s">
        <v>334</v>
      </c>
      <c r="AW1016" s="327"/>
      <c r="AX1016" s="521"/>
      <c r="AY1016" s="326"/>
      <c r="AZ1016" s="327"/>
      <c r="BA1016" s="536"/>
      <c r="BB1016" s="327"/>
      <c r="BC1016" s="22"/>
      <c r="BD1016" s="551" t="s">
        <v>334</v>
      </c>
      <c r="BE1016" s="327"/>
      <c r="BF1016" s="508"/>
      <c r="BG1016" s="326"/>
      <c r="BH1016" s="326"/>
      <c r="BI1016" s="327"/>
      <c r="BJ1016" s="451" t="s">
        <v>303</v>
      </c>
      <c r="BK1016" s="326"/>
      <c r="BL1016" s="326"/>
      <c r="BM1016" s="327"/>
      <c r="BN1016" s="558" t="s">
        <v>303</v>
      </c>
      <c r="BO1016" s="326"/>
      <c r="BP1016" s="326"/>
      <c r="BQ1016" s="326"/>
      <c r="BR1016" s="326"/>
      <c r="BS1016" s="326"/>
      <c r="BT1016" s="326"/>
      <c r="BU1016" s="326"/>
      <c r="BV1016" s="327"/>
    </row>
    <row r="1017" spans="1:74" ht="45" customHeight="1" x14ac:dyDescent="0.25">
      <c r="A1017" s="10">
        <f t="shared" si="3"/>
        <v>1003</v>
      </c>
      <c r="B1017" s="559" t="s">
        <v>303</v>
      </c>
      <c r="C1017" s="327"/>
      <c r="D1017" s="560" t="s">
        <v>307</v>
      </c>
      <c r="E1017" s="327"/>
      <c r="F1017" s="537" t="s">
        <v>334</v>
      </c>
      <c r="G1017" s="327"/>
      <c r="H1017" s="566" t="s">
        <v>334</v>
      </c>
      <c r="I1017" s="327"/>
      <c r="J1017" s="567"/>
      <c r="K1017" s="327"/>
      <c r="L1017" s="567"/>
      <c r="M1017" s="327"/>
      <c r="N1017" s="23"/>
      <c r="O1017" s="24"/>
      <c r="P1017" s="563"/>
      <c r="Q1017" s="327"/>
      <c r="R1017" s="538"/>
      <c r="S1017" s="327"/>
      <c r="T1017" s="539"/>
      <c r="U1017" s="327"/>
      <c r="V1017" s="540"/>
      <c r="W1017" s="327"/>
      <c r="X1017" s="541" t="s">
        <v>303</v>
      </c>
      <c r="Y1017" s="326"/>
      <c r="Z1017" s="326"/>
      <c r="AA1017" s="327"/>
      <c r="AB1017" s="542" t="s">
        <v>303</v>
      </c>
      <c r="AC1017" s="326"/>
      <c r="AD1017" s="326"/>
      <c r="AE1017" s="327"/>
      <c r="AF1017" s="543"/>
      <c r="AG1017" s="327"/>
      <c r="AH1017" s="543"/>
      <c r="AI1017" s="327"/>
      <c r="AJ1017" s="536"/>
      <c r="AK1017" s="327"/>
      <c r="AL1017" s="537" t="s">
        <v>334</v>
      </c>
      <c r="AM1017" s="327"/>
      <c r="AN1017" s="546" t="s">
        <v>334</v>
      </c>
      <c r="AO1017" s="327"/>
      <c r="AP1017" s="547"/>
      <c r="AQ1017" s="327"/>
      <c r="AR1017" s="548"/>
      <c r="AS1017" s="327"/>
      <c r="AT1017" s="568"/>
      <c r="AU1017" s="327"/>
      <c r="AV1017" s="546" t="s">
        <v>334</v>
      </c>
      <c r="AW1017" s="327"/>
      <c r="AX1017" s="521"/>
      <c r="AY1017" s="326"/>
      <c r="AZ1017" s="327"/>
      <c r="BA1017" s="550"/>
      <c r="BB1017" s="327"/>
      <c r="BC1017" s="25"/>
      <c r="BD1017" s="544" t="s">
        <v>334</v>
      </c>
      <c r="BE1017" s="327"/>
      <c r="BF1017" s="545"/>
      <c r="BG1017" s="326"/>
      <c r="BH1017" s="326"/>
      <c r="BI1017" s="327"/>
      <c r="BJ1017" s="557" t="s">
        <v>303</v>
      </c>
      <c r="BK1017" s="326"/>
      <c r="BL1017" s="326"/>
      <c r="BM1017" s="327"/>
      <c r="BN1017" s="558" t="s">
        <v>303</v>
      </c>
      <c r="BO1017" s="326"/>
      <c r="BP1017" s="326"/>
      <c r="BQ1017" s="326"/>
      <c r="BR1017" s="326"/>
      <c r="BS1017" s="326"/>
      <c r="BT1017" s="326"/>
      <c r="BU1017" s="326"/>
      <c r="BV1017" s="327"/>
    </row>
    <row r="1018" spans="1:74" ht="45" customHeight="1" x14ac:dyDescent="0.25">
      <c r="A1018" s="10">
        <f t="shared" si="3"/>
        <v>1004</v>
      </c>
      <c r="B1018" s="564" t="s">
        <v>303</v>
      </c>
      <c r="C1018" s="327"/>
      <c r="D1018" s="565" t="s">
        <v>307</v>
      </c>
      <c r="E1018" s="327"/>
      <c r="F1018" s="537" t="s">
        <v>334</v>
      </c>
      <c r="G1018" s="327"/>
      <c r="H1018" s="561" t="s">
        <v>334</v>
      </c>
      <c r="I1018" s="327"/>
      <c r="J1018" s="562"/>
      <c r="K1018" s="327"/>
      <c r="L1018" s="562"/>
      <c r="M1018" s="327"/>
      <c r="N1018" s="20"/>
      <c r="O1018" s="21"/>
      <c r="P1018" s="524"/>
      <c r="Q1018" s="327"/>
      <c r="R1018" s="516"/>
      <c r="S1018" s="327"/>
      <c r="T1018" s="517"/>
      <c r="U1018" s="327"/>
      <c r="V1018" s="518"/>
      <c r="W1018" s="327"/>
      <c r="X1018" s="438" t="s">
        <v>303</v>
      </c>
      <c r="Y1018" s="326"/>
      <c r="Z1018" s="326"/>
      <c r="AA1018" s="327"/>
      <c r="AB1018" s="519" t="s">
        <v>303</v>
      </c>
      <c r="AC1018" s="326"/>
      <c r="AD1018" s="326"/>
      <c r="AE1018" s="327"/>
      <c r="AF1018" s="520"/>
      <c r="AG1018" s="327"/>
      <c r="AH1018" s="520"/>
      <c r="AI1018" s="327"/>
      <c r="AJ1018" s="536"/>
      <c r="AK1018" s="327"/>
      <c r="AL1018" s="556" t="s">
        <v>334</v>
      </c>
      <c r="AM1018" s="327"/>
      <c r="AN1018" s="553" t="s">
        <v>334</v>
      </c>
      <c r="AO1018" s="327"/>
      <c r="AP1018" s="554"/>
      <c r="AQ1018" s="327"/>
      <c r="AR1018" s="555"/>
      <c r="AS1018" s="327"/>
      <c r="AT1018" s="549"/>
      <c r="AU1018" s="327"/>
      <c r="AV1018" s="553" t="s">
        <v>334</v>
      </c>
      <c r="AW1018" s="327"/>
      <c r="AX1018" s="521"/>
      <c r="AY1018" s="326"/>
      <c r="AZ1018" s="327"/>
      <c r="BA1018" s="536"/>
      <c r="BB1018" s="327"/>
      <c r="BC1018" s="22"/>
      <c r="BD1018" s="551" t="s">
        <v>334</v>
      </c>
      <c r="BE1018" s="327"/>
      <c r="BF1018" s="552"/>
      <c r="BG1018" s="326"/>
      <c r="BH1018" s="326"/>
      <c r="BI1018" s="327"/>
      <c r="BJ1018" s="451" t="s">
        <v>303</v>
      </c>
      <c r="BK1018" s="326"/>
      <c r="BL1018" s="326"/>
      <c r="BM1018" s="327"/>
      <c r="BN1018" s="558" t="s">
        <v>303</v>
      </c>
      <c r="BO1018" s="326"/>
      <c r="BP1018" s="326"/>
      <c r="BQ1018" s="326"/>
      <c r="BR1018" s="326"/>
      <c r="BS1018" s="326"/>
      <c r="BT1018" s="326"/>
      <c r="BU1018" s="326"/>
      <c r="BV1018" s="327"/>
    </row>
    <row r="1019" spans="1:74" ht="45" customHeight="1" x14ac:dyDescent="0.25">
      <c r="A1019" s="10">
        <f t="shared" si="3"/>
        <v>1005</v>
      </c>
      <c r="B1019" s="559" t="s">
        <v>303</v>
      </c>
      <c r="C1019" s="327"/>
      <c r="D1019" s="560" t="s">
        <v>307</v>
      </c>
      <c r="E1019" s="327"/>
      <c r="F1019" s="537" t="s">
        <v>334</v>
      </c>
      <c r="G1019" s="327"/>
      <c r="H1019" s="566" t="s">
        <v>334</v>
      </c>
      <c r="I1019" s="327"/>
      <c r="J1019" s="567"/>
      <c r="K1019" s="327"/>
      <c r="L1019" s="567"/>
      <c r="M1019" s="327"/>
      <c r="N1019" s="23"/>
      <c r="O1019" s="24"/>
      <c r="P1019" s="563"/>
      <c r="Q1019" s="327"/>
      <c r="R1019" s="538"/>
      <c r="S1019" s="327"/>
      <c r="T1019" s="539"/>
      <c r="U1019" s="327"/>
      <c r="V1019" s="540"/>
      <c r="W1019" s="327"/>
      <c r="X1019" s="541" t="s">
        <v>303</v>
      </c>
      <c r="Y1019" s="326"/>
      <c r="Z1019" s="326"/>
      <c r="AA1019" s="327"/>
      <c r="AB1019" s="542" t="s">
        <v>303</v>
      </c>
      <c r="AC1019" s="326"/>
      <c r="AD1019" s="326"/>
      <c r="AE1019" s="327"/>
      <c r="AF1019" s="543"/>
      <c r="AG1019" s="327"/>
      <c r="AH1019" s="543"/>
      <c r="AI1019" s="327"/>
      <c r="AJ1019" s="536"/>
      <c r="AK1019" s="327"/>
      <c r="AL1019" s="537" t="s">
        <v>334</v>
      </c>
      <c r="AM1019" s="327"/>
      <c r="AN1019" s="546" t="s">
        <v>334</v>
      </c>
      <c r="AO1019" s="327"/>
      <c r="AP1019" s="547"/>
      <c r="AQ1019" s="327"/>
      <c r="AR1019" s="548"/>
      <c r="AS1019" s="327"/>
      <c r="AT1019" s="568"/>
      <c r="AU1019" s="327"/>
      <c r="AV1019" s="546" t="s">
        <v>334</v>
      </c>
      <c r="AW1019" s="327"/>
      <c r="AX1019" s="521"/>
      <c r="AY1019" s="326"/>
      <c r="AZ1019" s="327"/>
      <c r="BA1019" s="550"/>
      <c r="BB1019" s="327"/>
      <c r="BC1019" s="25"/>
      <c r="BD1019" s="544" t="s">
        <v>334</v>
      </c>
      <c r="BE1019" s="327"/>
      <c r="BF1019" s="545"/>
      <c r="BG1019" s="326"/>
      <c r="BH1019" s="326"/>
      <c r="BI1019" s="327"/>
      <c r="BJ1019" s="557" t="s">
        <v>303</v>
      </c>
      <c r="BK1019" s="326"/>
      <c r="BL1019" s="326"/>
      <c r="BM1019" s="327"/>
      <c r="BN1019" s="558" t="s">
        <v>303</v>
      </c>
      <c r="BO1019" s="326"/>
      <c r="BP1019" s="326"/>
      <c r="BQ1019" s="326"/>
      <c r="BR1019" s="326"/>
      <c r="BS1019" s="326"/>
      <c r="BT1019" s="326"/>
      <c r="BU1019" s="326"/>
      <c r="BV1019" s="327"/>
    </row>
    <row r="1020" spans="1:74" ht="45" customHeight="1" x14ac:dyDescent="0.25">
      <c r="A1020" s="10">
        <f t="shared" si="3"/>
        <v>1006</v>
      </c>
      <c r="B1020" s="564" t="s">
        <v>303</v>
      </c>
      <c r="C1020" s="327"/>
      <c r="D1020" s="565" t="s">
        <v>307</v>
      </c>
      <c r="E1020" s="327"/>
      <c r="F1020" s="537" t="s">
        <v>334</v>
      </c>
      <c r="G1020" s="327"/>
      <c r="H1020" s="561" t="s">
        <v>334</v>
      </c>
      <c r="I1020" s="327"/>
      <c r="J1020" s="562"/>
      <c r="K1020" s="327"/>
      <c r="L1020" s="562"/>
      <c r="M1020" s="327"/>
      <c r="N1020" s="20"/>
      <c r="O1020" s="21"/>
      <c r="P1020" s="524"/>
      <c r="Q1020" s="327"/>
      <c r="R1020" s="516"/>
      <c r="S1020" s="327"/>
      <c r="T1020" s="517"/>
      <c r="U1020" s="327"/>
      <c r="V1020" s="518"/>
      <c r="W1020" s="327"/>
      <c r="X1020" s="438" t="s">
        <v>303</v>
      </c>
      <c r="Y1020" s="326"/>
      <c r="Z1020" s="326"/>
      <c r="AA1020" s="327"/>
      <c r="AB1020" s="519" t="s">
        <v>303</v>
      </c>
      <c r="AC1020" s="326"/>
      <c r="AD1020" s="326"/>
      <c r="AE1020" s="327"/>
      <c r="AF1020" s="520"/>
      <c r="AG1020" s="327"/>
      <c r="AH1020" s="520"/>
      <c r="AI1020" s="327"/>
      <c r="AJ1020" s="536"/>
      <c r="AK1020" s="327"/>
      <c r="AL1020" s="556" t="s">
        <v>334</v>
      </c>
      <c r="AM1020" s="327"/>
      <c r="AN1020" s="553" t="s">
        <v>334</v>
      </c>
      <c r="AO1020" s="327"/>
      <c r="AP1020" s="554"/>
      <c r="AQ1020" s="327"/>
      <c r="AR1020" s="555"/>
      <c r="AS1020" s="327"/>
      <c r="AT1020" s="549"/>
      <c r="AU1020" s="327"/>
      <c r="AV1020" s="553" t="s">
        <v>334</v>
      </c>
      <c r="AW1020" s="327"/>
      <c r="AX1020" s="521"/>
      <c r="AY1020" s="326"/>
      <c r="AZ1020" s="327"/>
      <c r="BA1020" s="536"/>
      <c r="BB1020" s="327"/>
      <c r="BC1020" s="22"/>
      <c r="BD1020" s="551" t="s">
        <v>334</v>
      </c>
      <c r="BE1020" s="327"/>
      <c r="BF1020" s="552"/>
      <c r="BG1020" s="326"/>
      <c r="BH1020" s="326"/>
      <c r="BI1020" s="327"/>
      <c r="BJ1020" s="451" t="s">
        <v>303</v>
      </c>
      <c r="BK1020" s="326"/>
      <c r="BL1020" s="326"/>
      <c r="BM1020" s="327"/>
      <c r="BN1020" s="558" t="s">
        <v>303</v>
      </c>
      <c r="BO1020" s="326"/>
      <c r="BP1020" s="326"/>
      <c r="BQ1020" s="326"/>
      <c r="BR1020" s="326"/>
      <c r="BS1020" s="326"/>
      <c r="BT1020" s="326"/>
      <c r="BU1020" s="326"/>
      <c r="BV1020" s="327"/>
    </row>
    <row r="1021" spans="1:74" ht="45" customHeight="1" x14ac:dyDescent="0.25">
      <c r="A1021" s="10">
        <f t="shared" si="3"/>
        <v>1007</v>
      </c>
      <c r="B1021" s="559" t="s">
        <v>303</v>
      </c>
      <c r="C1021" s="327"/>
      <c r="D1021" s="560" t="s">
        <v>307</v>
      </c>
      <c r="E1021" s="327"/>
      <c r="F1021" s="537" t="s">
        <v>334</v>
      </c>
      <c r="G1021" s="327"/>
      <c r="H1021" s="566" t="s">
        <v>334</v>
      </c>
      <c r="I1021" s="327"/>
      <c r="J1021" s="567"/>
      <c r="K1021" s="327"/>
      <c r="L1021" s="567"/>
      <c r="M1021" s="327"/>
      <c r="N1021" s="23"/>
      <c r="O1021" s="24"/>
      <c r="P1021" s="563"/>
      <c r="Q1021" s="327"/>
      <c r="R1021" s="538"/>
      <c r="S1021" s="327"/>
      <c r="T1021" s="539"/>
      <c r="U1021" s="327"/>
      <c r="V1021" s="540"/>
      <c r="W1021" s="327"/>
      <c r="X1021" s="541" t="s">
        <v>303</v>
      </c>
      <c r="Y1021" s="326"/>
      <c r="Z1021" s="326"/>
      <c r="AA1021" s="327"/>
      <c r="AB1021" s="542" t="s">
        <v>303</v>
      </c>
      <c r="AC1021" s="326"/>
      <c r="AD1021" s="326"/>
      <c r="AE1021" s="327"/>
      <c r="AF1021" s="543"/>
      <c r="AG1021" s="327"/>
      <c r="AH1021" s="543"/>
      <c r="AI1021" s="327"/>
      <c r="AJ1021" s="536"/>
      <c r="AK1021" s="327"/>
      <c r="AL1021" s="537" t="s">
        <v>334</v>
      </c>
      <c r="AM1021" s="327"/>
      <c r="AN1021" s="546" t="s">
        <v>334</v>
      </c>
      <c r="AO1021" s="327"/>
      <c r="AP1021" s="547"/>
      <c r="AQ1021" s="327"/>
      <c r="AR1021" s="548"/>
      <c r="AS1021" s="327"/>
      <c r="AT1021" s="568"/>
      <c r="AU1021" s="327"/>
      <c r="AV1021" s="546" t="s">
        <v>334</v>
      </c>
      <c r="AW1021" s="327"/>
      <c r="AX1021" s="521"/>
      <c r="AY1021" s="326"/>
      <c r="AZ1021" s="327"/>
      <c r="BA1021" s="550"/>
      <c r="BB1021" s="327"/>
      <c r="BC1021" s="25"/>
      <c r="BD1021" s="544" t="s">
        <v>334</v>
      </c>
      <c r="BE1021" s="327"/>
      <c r="BF1021" s="545"/>
      <c r="BG1021" s="326"/>
      <c r="BH1021" s="326"/>
      <c r="BI1021" s="327"/>
      <c r="BJ1021" s="557" t="s">
        <v>303</v>
      </c>
      <c r="BK1021" s="326"/>
      <c r="BL1021" s="326"/>
      <c r="BM1021" s="327"/>
      <c r="BN1021" s="558" t="s">
        <v>303</v>
      </c>
      <c r="BO1021" s="326"/>
      <c r="BP1021" s="326"/>
      <c r="BQ1021" s="326"/>
      <c r="BR1021" s="326"/>
      <c r="BS1021" s="326"/>
      <c r="BT1021" s="326"/>
      <c r="BU1021" s="326"/>
      <c r="BV1021" s="327"/>
    </row>
    <row r="1022" spans="1:74" ht="45" customHeight="1" x14ac:dyDescent="0.25">
      <c r="A1022" s="10">
        <f t="shared" si="3"/>
        <v>1008</v>
      </c>
      <c r="B1022" s="564" t="s">
        <v>303</v>
      </c>
      <c r="C1022" s="327"/>
      <c r="D1022" s="565" t="s">
        <v>307</v>
      </c>
      <c r="E1022" s="327"/>
      <c r="F1022" s="537" t="s">
        <v>334</v>
      </c>
      <c r="G1022" s="327"/>
      <c r="H1022" s="561" t="s">
        <v>334</v>
      </c>
      <c r="I1022" s="327"/>
      <c r="J1022" s="562"/>
      <c r="K1022" s="327"/>
      <c r="L1022" s="562"/>
      <c r="M1022" s="327"/>
      <c r="N1022" s="20"/>
      <c r="O1022" s="21"/>
      <c r="P1022" s="524"/>
      <c r="Q1022" s="327"/>
      <c r="R1022" s="516"/>
      <c r="S1022" s="327"/>
      <c r="T1022" s="517"/>
      <c r="U1022" s="327"/>
      <c r="V1022" s="518"/>
      <c r="W1022" s="327"/>
      <c r="X1022" s="438" t="s">
        <v>303</v>
      </c>
      <c r="Y1022" s="326"/>
      <c r="Z1022" s="326"/>
      <c r="AA1022" s="327"/>
      <c r="AB1022" s="519" t="s">
        <v>303</v>
      </c>
      <c r="AC1022" s="326"/>
      <c r="AD1022" s="326"/>
      <c r="AE1022" s="327"/>
      <c r="AF1022" s="520"/>
      <c r="AG1022" s="327"/>
      <c r="AH1022" s="520"/>
      <c r="AI1022" s="327"/>
      <c r="AJ1022" s="536"/>
      <c r="AK1022" s="327"/>
      <c r="AL1022" s="556" t="s">
        <v>334</v>
      </c>
      <c r="AM1022" s="327"/>
      <c r="AN1022" s="553" t="s">
        <v>334</v>
      </c>
      <c r="AO1022" s="327"/>
      <c r="AP1022" s="554"/>
      <c r="AQ1022" s="327"/>
      <c r="AR1022" s="555"/>
      <c r="AS1022" s="327"/>
      <c r="AT1022" s="549"/>
      <c r="AU1022" s="327"/>
      <c r="AV1022" s="553" t="s">
        <v>334</v>
      </c>
      <c r="AW1022" s="327"/>
      <c r="AX1022" s="521"/>
      <c r="AY1022" s="326"/>
      <c r="AZ1022" s="327"/>
      <c r="BA1022" s="536"/>
      <c r="BB1022" s="327"/>
      <c r="BC1022" s="22"/>
      <c r="BD1022" s="551" t="s">
        <v>334</v>
      </c>
      <c r="BE1022" s="327"/>
      <c r="BF1022" s="508"/>
      <c r="BG1022" s="326"/>
      <c r="BH1022" s="326"/>
      <c r="BI1022" s="327"/>
      <c r="BJ1022" s="451" t="s">
        <v>303</v>
      </c>
      <c r="BK1022" s="326"/>
      <c r="BL1022" s="326"/>
      <c r="BM1022" s="327"/>
      <c r="BN1022" s="558" t="s">
        <v>303</v>
      </c>
      <c r="BO1022" s="326"/>
      <c r="BP1022" s="326"/>
      <c r="BQ1022" s="326"/>
      <c r="BR1022" s="326"/>
      <c r="BS1022" s="326"/>
      <c r="BT1022" s="326"/>
      <c r="BU1022" s="326"/>
      <c r="BV1022" s="327"/>
    </row>
    <row r="1023" spans="1:74" ht="45" customHeight="1" x14ac:dyDescent="0.25">
      <c r="A1023" s="10">
        <f t="shared" si="3"/>
        <v>1009</v>
      </c>
      <c r="B1023" s="559" t="s">
        <v>303</v>
      </c>
      <c r="C1023" s="327"/>
      <c r="D1023" s="560" t="s">
        <v>307</v>
      </c>
      <c r="E1023" s="327"/>
      <c r="F1023" s="537" t="s">
        <v>334</v>
      </c>
      <c r="G1023" s="327"/>
      <c r="H1023" s="566" t="s">
        <v>334</v>
      </c>
      <c r="I1023" s="327"/>
      <c r="J1023" s="567"/>
      <c r="K1023" s="327"/>
      <c r="L1023" s="567"/>
      <c r="M1023" s="327"/>
      <c r="N1023" s="23"/>
      <c r="O1023" s="24"/>
      <c r="P1023" s="563"/>
      <c r="Q1023" s="327"/>
      <c r="R1023" s="538"/>
      <c r="S1023" s="327"/>
      <c r="T1023" s="539"/>
      <c r="U1023" s="327"/>
      <c r="V1023" s="540"/>
      <c r="W1023" s="327"/>
      <c r="X1023" s="541" t="s">
        <v>303</v>
      </c>
      <c r="Y1023" s="326"/>
      <c r="Z1023" s="326"/>
      <c r="AA1023" s="327"/>
      <c r="AB1023" s="542" t="s">
        <v>303</v>
      </c>
      <c r="AC1023" s="326"/>
      <c r="AD1023" s="326"/>
      <c r="AE1023" s="327"/>
      <c r="AF1023" s="543"/>
      <c r="AG1023" s="327"/>
      <c r="AH1023" s="543"/>
      <c r="AI1023" s="327"/>
      <c r="AJ1023" s="536"/>
      <c r="AK1023" s="327"/>
      <c r="AL1023" s="537" t="s">
        <v>334</v>
      </c>
      <c r="AM1023" s="327"/>
      <c r="AN1023" s="546" t="s">
        <v>334</v>
      </c>
      <c r="AO1023" s="327"/>
      <c r="AP1023" s="547"/>
      <c r="AQ1023" s="327"/>
      <c r="AR1023" s="548"/>
      <c r="AS1023" s="327"/>
      <c r="AT1023" s="568"/>
      <c r="AU1023" s="327"/>
      <c r="AV1023" s="546" t="s">
        <v>334</v>
      </c>
      <c r="AW1023" s="327"/>
      <c r="AX1023" s="521"/>
      <c r="AY1023" s="326"/>
      <c r="AZ1023" s="327"/>
      <c r="BA1023" s="550"/>
      <c r="BB1023" s="327"/>
      <c r="BC1023" s="25"/>
      <c r="BD1023" s="544" t="s">
        <v>334</v>
      </c>
      <c r="BE1023" s="327"/>
      <c r="BF1023" s="545"/>
      <c r="BG1023" s="326"/>
      <c r="BH1023" s="326"/>
      <c r="BI1023" s="327"/>
      <c r="BJ1023" s="557" t="s">
        <v>303</v>
      </c>
      <c r="BK1023" s="326"/>
      <c r="BL1023" s="326"/>
      <c r="BM1023" s="327"/>
      <c r="BN1023" s="558" t="s">
        <v>303</v>
      </c>
      <c r="BO1023" s="326"/>
      <c r="BP1023" s="326"/>
      <c r="BQ1023" s="326"/>
      <c r="BR1023" s="326"/>
      <c r="BS1023" s="326"/>
      <c r="BT1023" s="326"/>
      <c r="BU1023" s="326"/>
      <c r="BV1023" s="327"/>
    </row>
    <row r="1024" spans="1:74" ht="45" customHeight="1" x14ac:dyDescent="0.25">
      <c r="A1024" s="10">
        <f t="shared" si="3"/>
        <v>1010</v>
      </c>
      <c r="B1024" s="564" t="s">
        <v>303</v>
      </c>
      <c r="C1024" s="327"/>
      <c r="D1024" s="565" t="s">
        <v>307</v>
      </c>
      <c r="E1024" s="327"/>
      <c r="F1024" s="537" t="s">
        <v>334</v>
      </c>
      <c r="G1024" s="327"/>
      <c r="H1024" s="561" t="s">
        <v>334</v>
      </c>
      <c r="I1024" s="327"/>
      <c r="J1024" s="562"/>
      <c r="K1024" s="327"/>
      <c r="L1024" s="562"/>
      <c r="M1024" s="327"/>
      <c r="N1024" s="20"/>
      <c r="O1024" s="21"/>
      <c r="P1024" s="524"/>
      <c r="Q1024" s="327"/>
      <c r="R1024" s="516"/>
      <c r="S1024" s="327"/>
      <c r="T1024" s="517"/>
      <c r="U1024" s="327"/>
      <c r="V1024" s="518"/>
      <c r="W1024" s="327"/>
      <c r="X1024" s="438" t="s">
        <v>303</v>
      </c>
      <c r="Y1024" s="326"/>
      <c r="Z1024" s="326"/>
      <c r="AA1024" s="327"/>
      <c r="AB1024" s="519" t="s">
        <v>303</v>
      </c>
      <c r="AC1024" s="326"/>
      <c r="AD1024" s="326"/>
      <c r="AE1024" s="327"/>
      <c r="AF1024" s="520"/>
      <c r="AG1024" s="327"/>
      <c r="AH1024" s="520"/>
      <c r="AI1024" s="327"/>
      <c r="AJ1024" s="536"/>
      <c r="AK1024" s="327"/>
      <c r="AL1024" s="556" t="s">
        <v>334</v>
      </c>
      <c r="AM1024" s="327"/>
      <c r="AN1024" s="553" t="s">
        <v>334</v>
      </c>
      <c r="AO1024" s="327"/>
      <c r="AP1024" s="554"/>
      <c r="AQ1024" s="327"/>
      <c r="AR1024" s="555"/>
      <c r="AS1024" s="327"/>
      <c r="AT1024" s="549"/>
      <c r="AU1024" s="327"/>
      <c r="AV1024" s="553" t="s">
        <v>334</v>
      </c>
      <c r="AW1024" s="327"/>
      <c r="AX1024" s="521"/>
      <c r="AY1024" s="326"/>
      <c r="AZ1024" s="327"/>
      <c r="BA1024" s="536"/>
      <c r="BB1024" s="327"/>
      <c r="BC1024" s="22"/>
      <c r="BD1024" s="551" t="s">
        <v>334</v>
      </c>
      <c r="BE1024" s="327"/>
      <c r="BF1024" s="552"/>
      <c r="BG1024" s="326"/>
      <c r="BH1024" s="326"/>
      <c r="BI1024" s="327"/>
      <c r="BJ1024" s="451" t="s">
        <v>303</v>
      </c>
      <c r="BK1024" s="326"/>
      <c r="BL1024" s="326"/>
      <c r="BM1024" s="327"/>
      <c r="BN1024" s="558" t="s">
        <v>303</v>
      </c>
      <c r="BO1024" s="326"/>
      <c r="BP1024" s="326"/>
      <c r="BQ1024" s="326"/>
      <c r="BR1024" s="326"/>
      <c r="BS1024" s="326"/>
      <c r="BT1024" s="326"/>
      <c r="BU1024" s="326"/>
      <c r="BV1024" s="327"/>
    </row>
    <row r="1025" spans="1:74" ht="45" customHeight="1" x14ac:dyDescent="0.25">
      <c r="A1025" s="10">
        <f t="shared" si="3"/>
        <v>1011</v>
      </c>
      <c r="B1025" s="559" t="s">
        <v>303</v>
      </c>
      <c r="C1025" s="327"/>
      <c r="D1025" s="560" t="s">
        <v>307</v>
      </c>
      <c r="E1025" s="327"/>
      <c r="F1025" s="537" t="s">
        <v>334</v>
      </c>
      <c r="G1025" s="327"/>
      <c r="H1025" s="566" t="s">
        <v>334</v>
      </c>
      <c r="I1025" s="327"/>
      <c r="J1025" s="567"/>
      <c r="K1025" s="327"/>
      <c r="L1025" s="567"/>
      <c r="M1025" s="327"/>
      <c r="N1025" s="23"/>
      <c r="O1025" s="24"/>
      <c r="P1025" s="563"/>
      <c r="Q1025" s="327"/>
      <c r="R1025" s="538"/>
      <c r="S1025" s="327"/>
      <c r="T1025" s="539"/>
      <c r="U1025" s="327"/>
      <c r="V1025" s="540"/>
      <c r="W1025" s="327"/>
      <c r="X1025" s="541" t="s">
        <v>303</v>
      </c>
      <c r="Y1025" s="326"/>
      <c r="Z1025" s="326"/>
      <c r="AA1025" s="327"/>
      <c r="AB1025" s="542" t="s">
        <v>303</v>
      </c>
      <c r="AC1025" s="326"/>
      <c r="AD1025" s="326"/>
      <c r="AE1025" s="327"/>
      <c r="AF1025" s="543"/>
      <c r="AG1025" s="327"/>
      <c r="AH1025" s="543"/>
      <c r="AI1025" s="327"/>
      <c r="AJ1025" s="536"/>
      <c r="AK1025" s="327"/>
      <c r="AL1025" s="537" t="s">
        <v>334</v>
      </c>
      <c r="AM1025" s="327"/>
      <c r="AN1025" s="546" t="s">
        <v>334</v>
      </c>
      <c r="AO1025" s="327"/>
      <c r="AP1025" s="547"/>
      <c r="AQ1025" s="327"/>
      <c r="AR1025" s="548"/>
      <c r="AS1025" s="327"/>
      <c r="AT1025" s="549"/>
      <c r="AU1025" s="327"/>
      <c r="AV1025" s="546" t="s">
        <v>334</v>
      </c>
      <c r="AW1025" s="327"/>
      <c r="AX1025" s="521"/>
      <c r="AY1025" s="326"/>
      <c r="AZ1025" s="327"/>
      <c r="BA1025" s="550"/>
      <c r="BB1025" s="327"/>
      <c r="BC1025" s="25"/>
      <c r="BD1025" s="544" t="s">
        <v>334</v>
      </c>
      <c r="BE1025" s="327"/>
      <c r="BF1025" s="545"/>
      <c r="BG1025" s="326"/>
      <c r="BH1025" s="326"/>
      <c r="BI1025" s="327"/>
      <c r="BJ1025" s="557" t="s">
        <v>303</v>
      </c>
      <c r="BK1025" s="326"/>
      <c r="BL1025" s="326"/>
      <c r="BM1025" s="327"/>
      <c r="BN1025" s="558" t="s">
        <v>303</v>
      </c>
      <c r="BO1025" s="326"/>
      <c r="BP1025" s="326"/>
      <c r="BQ1025" s="326"/>
      <c r="BR1025" s="326"/>
      <c r="BS1025" s="326"/>
      <c r="BT1025" s="326"/>
      <c r="BU1025" s="326"/>
      <c r="BV1025" s="327"/>
    </row>
    <row r="1026" spans="1:74" ht="45" customHeight="1" x14ac:dyDescent="0.25">
      <c r="A1026" s="10">
        <f t="shared" si="3"/>
        <v>1012</v>
      </c>
      <c r="B1026" s="564" t="s">
        <v>303</v>
      </c>
      <c r="C1026" s="327"/>
      <c r="D1026" s="565" t="s">
        <v>307</v>
      </c>
      <c r="E1026" s="327"/>
      <c r="F1026" s="537" t="s">
        <v>334</v>
      </c>
      <c r="G1026" s="327"/>
      <c r="H1026" s="561" t="s">
        <v>334</v>
      </c>
      <c r="I1026" s="327"/>
      <c r="J1026" s="562"/>
      <c r="K1026" s="327"/>
      <c r="L1026" s="562"/>
      <c r="M1026" s="327"/>
      <c r="N1026" s="20"/>
      <c r="O1026" s="21"/>
      <c r="P1026" s="524"/>
      <c r="Q1026" s="327"/>
      <c r="R1026" s="516"/>
      <c r="S1026" s="327"/>
      <c r="T1026" s="517"/>
      <c r="U1026" s="327"/>
      <c r="V1026" s="518"/>
      <c r="W1026" s="327"/>
      <c r="X1026" s="438" t="s">
        <v>303</v>
      </c>
      <c r="Y1026" s="326"/>
      <c r="Z1026" s="326"/>
      <c r="AA1026" s="327"/>
      <c r="AB1026" s="519" t="s">
        <v>303</v>
      </c>
      <c r="AC1026" s="326"/>
      <c r="AD1026" s="326"/>
      <c r="AE1026" s="327"/>
      <c r="AF1026" s="520"/>
      <c r="AG1026" s="327"/>
      <c r="AH1026" s="520"/>
      <c r="AI1026" s="327"/>
      <c r="AJ1026" s="536"/>
      <c r="AK1026" s="327"/>
      <c r="AL1026" s="556" t="s">
        <v>334</v>
      </c>
      <c r="AM1026" s="327"/>
      <c r="AN1026" s="553" t="s">
        <v>334</v>
      </c>
      <c r="AO1026" s="327"/>
      <c r="AP1026" s="554"/>
      <c r="AQ1026" s="327"/>
      <c r="AR1026" s="555"/>
      <c r="AS1026" s="327"/>
      <c r="AT1026" s="549"/>
      <c r="AU1026" s="327"/>
      <c r="AV1026" s="553" t="s">
        <v>334</v>
      </c>
      <c r="AW1026" s="327"/>
      <c r="AX1026" s="521"/>
      <c r="AY1026" s="326"/>
      <c r="AZ1026" s="327"/>
      <c r="BA1026" s="536"/>
      <c r="BB1026" s="327"/>
      <c r="BC1026" s="22"/>
      <c r="BD1026" s="551" t="s">
        <v>334</v>
      </c>
      <c r="BE1026" s="327"/>
      <c r="BF1026" s="552"/>
      <c r="BG1026" s="326"/>
      <c r="BH1026" s="326"/>
      <c r="BI1026" s="327"/>
      <c r="BJ1026" s="451" t="s">
        <v>303</v>
      </c>
      <c r="BK1026" s="326"/>
      <c r="BL1026" s="326"/>
      <c r="BM1026" s="327"/>
      <c r="BN1026" s="558" t="s">
        <v>303</v>
      </c>
      <c r="BO1026" s="326"/>
      <c r="BP1026" s="326"/>
      <c r="BQ1026" s="326"/>
      <c r="BR1026" s="326"/>
      <c r="BS1026" s="326"/>
      <c r="BT1026" s="326"/>
      <c r="BU1026" s="326"/>
      <c r="BV1026" s="327"/>
    </row>
    <row r="1027" spans="1:74" ht="45" customHeight="1" x14ac:dyDescent="0.25">
      <c r="A1027" s="10">
        <f t="shared" si="3"/>
        <v>1013</v>
      </c>
      <c r="B1027" s="559" t="s">
        <v>303</v>
      </c>
      <c r="C1027" s="327"/>
      <c r="D1027" s="560" t="s">
        <v>307</v>
      </c>
      <c r="E1027" s="327"/>
      <c r="F1027" s="537" t="s">
        <v>334</v>
      </c>
      <c r="G1027" s="327"/>
      <c r="H1027" s="566" t="s">
        <v>334</v>
      </c>
      <c r="I1027" s="327"/>
      <c r="J1027" s="567"/>
      <c r="K1027" s="327"/>
      <c r="L1027" s="567"/>
      <c r="M1027" s="327"/>
      <c r="N1027" s="23"/>
      <c r="O1027" s="24"/>
      <c r="P1027" s="563"/>
      <c r="Q1027" s="327"/>
      <c r="R1027" s="538"/>
      <c r="S1027" s="327"/>
      <c r="T1027" s="539"/>
      <c r="U1027" s="327"/>
      <c r="V1027" s="540"/>
      <c r="W1027" s="327"/>
      <c r="X1027" s="541" t="s">
        <v>303</v>
      </c>
      <c r="Y1027" s="326"/>
      <c r="Z1027" s="326"/>
      <c r="AA1027" s="327"/>
      <c r="AB1027" s="542" t="s">
        <v>303</v>
      </c>
      <c r="AC1027" s="326"/>
      <c r="AD1027" s="326"/>
      <c r="AE1027" s="327"/>
      <c r="AF1027" s="543"/>
      <c r="AG1027" s="327"/>
      <c r="AH1027" s="543"/>
      <c r="AI1027" s="327"/>
      <c r="AJ1027" s="536"/>
      <c r="AK1027" s="327"/>
      <c r="AL1027" s="537" t="s">
        <v>334</v>
      </c>
      <c r="AM1027" s="327"/>
      <c r="AN1027" s="546" t="s">
        <v>334</v>
      </c>
      <c r="AO1027" s="327"/>
      <c r="AP1027" s="547"/>
      <c r="AQ1027" s="327"/>
      <c r="AR1027" s="548"/>
      <c r="AS1027" s="327"/>
      <c r="AT1027" s="549"/>
      <c r="AU1027" s="327"/>
      <c r="AV1027" s="546" t="s">
        <v>334</v>
      </c>
      <c r="AW1027" s="327"/>
      <c r="AX1027" s="521"/>
      <c r="AY1027" s="326"/>
      <c r="AZ1027" s="327"/>
      <c r="BA1027" s="550"/>
      <c r="BB1027" s="327"/>
      <c r="BC1027" s="25"/>
      <c r="BD1027" s="544" t="s">
        <v>334</v>
      </c>
      <c r="BE1027" s="327"/>
      <c r="BF1027" s="545"/>
      <c r="BG1027" s="326"/>
      <c r="BH1027" s="326"/>
      <c r="BI1027" s="327"/>
      <c r="BJ1027" s="557" t="s">
        <v>303</v>
      </c>
      <c r="BK1027" s="326"/>
      <c r="BL1027" s="326"/>
      <c r="BM1027" s="327"/>
      <c r="BN1027" s="558" t="s">
        <v>303</v>
      </c>
      <c r="BO1027" s="326"/>
      <c r="BP1027" s="326"/>
      <c r="BQ1027" s="326"/>
      <c r="BR1027" s="326"/>
      <c r="BS1027" s="326"/>
      <c r="BT1027" s="326"/>
      <c r="BU1027" s="326"/>
      <c r="BV1027" s="327"/>
    </row>
    <row r="1028" spans="1:74" ht="45" customHeight="1" x14ac:dyDescent="0.25">
      <c r="A1028" s="10">
        <f t="shared" si="3"/>
        <v>1014</v>
      </c>
      <c r="B1028" s="564" t="s">
        <v>303</v>
      </c>
      <c r="C1028" s="327"/>
      <c r="D1028" s="565" t="s">
        <v>307</v>
      </c>
      <c r="E1028" s="327"/>
      <c r="F1028" s="537" t="s">
        <v>334</v>
      </c>
      <c r="G1028" s="327"/>
      <c r="H1028" s="561" t="s">
        <v>334</v>
      </c>
      <c r="I1028" s="327"/>
      <c r="J1028" s="562"/>
      <c r="K1028" s="327"/>
      <c r="L1028" s="562"/>
      <c r="M1028" s="327"/>
      <c r="N1028" s="20"/>
      <c r="O1028" s="21"/>
      <c r="P1028" s="524"/>
      <c r="Q1028" s="327"/>
      <c r="R1028" s="516"/>
      <c r="S1028" s="327"/>
      <c r="T1028" s="517"/>
      <c r="U1028" s="327"/>
      <c r="V1028" s="518"/>
      <c r="W1028" s="327"/>
      <c r="X1028" s="438" t="s">
        <v>303</v>
      </c>
      <c r="Y1028" s="326"/>
      <c r="Z1028" s="326"/>
      <c r="AA1028" s="327"/>
      <c r="AB1028" s="519" t="s">
        <v>303</v>
      </c>
      <c r="AC1028" s="326"/>
      <c r="AD1028" s="326"/>
      <c r="AE1028" s="327"/>
      <c r="AF1028" s="520"/>
      <c r="AG1028" s="327"/>
      <c r="AH1028" s="520"/>
      <c r="AI1028" s="327"/>
      <c r="AJ1028" s="536"/>
      <c r="AK1028" s="327"/>
      <c r="AL1028" s="556" t="s">
        <v>334</v>
      </c>
      <c r="AM1028" s="327"/>
      <c r="AN1028" s="553" t="s">
        <v>334</v>
      </c>
      <c r="AO1028" s="327"/>
      <c r="AP1028" s="554"/>
      <c r="AQ1028" s="327"/>
      <c r="AR1028" s="555"/>
      <c r="AS1028" s="327"/>
      <c r="AT1028" s="549"/>
      <c r="AU1028" s="327"/>
      <c r="AV1028" s="553" t="s">
        <v>334</v>
      </c>
      <c r="AW1028" s="327"/>
      <c r="AX1028" s="521"/>
      <c r="AY1028" s="326"/>
      <c r="AZ1028" s="327"/>
      <c r="BA1028" s="536"/>
      <c r="BB1028" s="327"/>
      <c r="BC1028" s="22"/>
      <c r="BD1028" s="551" t="s">
        <v>334</v>
      </c>
      <c r="BE1028" s="327"/>
      <c r="BF1028" s="552"/>
      <c r="BG1028" s="326"/>
      <c r="BH1028" s="326"/>
      <c r="BI1028" s="327"/>
      <c r="BJ1028" s="451" t="s">
        <v>303</v>
      </c>
      <c r="BK1028" s="326"/>
      <c r="BL1028" s="326"/>
      <c r="BM1028" s="327"/>
      <c r="BN1028" s="558" t="s">
        <v>303</v>
      </c>
      <c r="BO1028" s="326"/>
      <c r="BP1028" s="326"/>
      <c r="BQ1028" s="326"/>
      <c r="BR1028" s="326"/>
      <c r="BS1028" s="326"/>
      <c r="BT1028" s="326"/>
      <c r="BU1028" s="326"/>
      <c r="BV1028" s="327"/>
    </row>
    <row r="1029" spans="1:74" ht="45" customHeight="1" x14ac:dyDescent="0.25">
      <c r="A1029" s="10">
        <f t="shared" si="3"/>
        <v>1015</v>
      </c>
      <c r="B1029" s="559" t="s">
        <v>303</v>
      </c>
      <c r="C1029" s="327"/>
      <c r="D1029" s="560" t="s">
        <v>307</v>
      </c>
      <c r="E1029" s="327"/>
      <c r="F1029" s="537" t="s">
        <v>334</v>
      </c>
      <c r="G1029" s="327"/>
      <c r="H1029" s="566" t="s">
        <v>334</v>
      </c>
      <c r="I1029" s="327"/>
      <c r="J1029" s="567"/>
      <c r="K1029" s="327"/>
      <c r="L1029" s="567"/>
      <c r="M1029" s="327"/>
      <c r="N1029" s="23"/>
      <c r="O1029" s="24"/>
      <c r="P1029" s="563"/>
      <c r="Q1029" s="327"/>
      <c r="R1029" s="538"/>
      <c r="S1029" s="327"/>
      <c r="T1029" s="539"/>
      <c r="U1029" s="327"/>
      <c r="V1029" s="540"/>
      <c r="W1029" s="327"/>
      <c r="X1029" s="541" t="s">
        <v>303</v>
      </c>
      <c r="Y1029" s="326"/>
      <c r="Z1029" s="326"/>
      <c r="AA1029" s="327"/>
      <c r="AB1029" s="542" t="s">
        <v>303</v>
      </c>
      <c r="AC1029" s="326"/>
      <c r="AD1029" s="326"/>
      <c r="AE1029" s="327"/>
      <c r="AF1029" s="543"/>
      <c r="AG1029" s="327"/>
      <c r="AH1029" s="543"/>
      <c r="AI1029" s="327"/>
      <c r="AJ1029" s="536"/>
      <c r="AK1029" s="327"/>
      <c r="AL1029" s="537" t="s">
        <v>334</v>
      </c>
      <c r="AM1029" s="327"/>
      <c r="AN1029" s="546" t="s">
        <v>334</v>
      </c>
      <c r="AO1029" s="327"/>
      <c r="AP1029" s="547"/>
      <c r="AQ1029" s="327"/>
      <c r="AR1029" s="548"/>
      <c r="AS1029" s="327"/>
      <c r="AT1029" s="568"/>
      <c r="AU1029" s="327"/>
      <c r="AV1029" s="546" t="s">
        <v>334</v>
      </c>
      <c r="AW1029" s="327"/>
      <c r="AX1029" s="521"/>
      <c r="AY1029" s="326"/>
      <c r="AZ1029" s="327"/>
      <c r="BA1029" s="550"/>
      <c r="BB1029" s="327"/>
      <c r="BC1029" s="25"/>
      <c r="BD1029" s="544" t="s">
        <v>334</v>
      </c>
      <c r="BE1029" s="327"/>
      <c r="BF1029" s="545"/>
      <c r="BG1029" s="326"/>
      <c r="BH1029" s="326"/>
      <c r="BI1029" s="327"/>
      <c r="BJ1029" s="557" t="s">
        <v>303</v>
      </c>
      <c r="BK1029" s="326"/>
      <c r="BL1029" s="326"/>
      <c r="BM1029" s="327"/>
      <c r="BN1029" s="558" t="s">
        <v>303</v>
      </c>
      <c r="BO1029" s="326"/>
      <c r="BP1029" s="326"/>
      <c r="BQ1029" s="326"/>
      <c r="BR1029" s="326"/>
      <c r="BS1029" s="326"/>
      <c r="BT1029" s="326"/>
      <c r="BU1029" s="326"/>
      <c r="BV1029" s="327"/>
    </row>
    <row r="1030" spans="1:74" ht="45" customHeight="1" x14ac:dyDescent="0.25">
      <c r="A1030" s="10">
        <f t="shared" si="3"/>
        <v>1016</v>
      </c>
      <c r="B1030" s="564" t="s">
        <v>303</v>
      </c>
      <c r="C1030" s="327"/>
      <c r="D1030" s="565" t="s">
        <v>307</v>
      </c>
      <c r="E1030" s="327"/>
      <c r="F1030" s="537" t="s">
        <v>334</v>
      </c>
      <c r="G1030" s="327"/>
      <c r="H1030" s="561" t="s">
        <v>334</v>
      </c>
      <c r="I1030" s="327"/>
      <c r="J1030" s="562"/>
      <c r="K1030" s="327"/>
      <c r="L1030" s="562"/>
      <c r="M1030" s="327"/>
      <c r="N1030" s="20"/>
      <c r="O1030" s="21"/>
      <c r="P1030" s="524"/>
      <c r="Q1030" s="327"/>
      <c r="R1030" s="516"/>
      <c r="S1030" s="327"/>
      <c r="T1030" s="517"/>
      <c r="U1030" s="327"/>
      <c r="V1030" s="518"/>
      <c r="W1030" s="327"/>
      <c r="X1030" s="438" t="s">
        <v>303</v>
      </c>
      <c r="Y1030" s="326"/>
      <c r="Z1030" s="326"/>
      <c r="AA1030" s="327"/>
      <c r="AB1030" s="519" t="s">
        <v>303</v>
      </c>
      <c r="AC1030" s="326"/>
      <c r="AD1030" s="326"/>
      <c r="AE1030" s="327"/>
      <c r="AF1030" s="520"/>
      <c r="AG1030" s="327"/>
      <c r="AH1030" s="520"/>
      <c r="AI1030" s="327"/>
      <c r="AJ1030" s="536"/>
      <c r="AK1030" s="327"/>
      <c r="AL1030" s="556" t="s">
        <v>334</v>
      </c>
      <c r="AM1030" s="327"/>
      <c r="AN1030" s="553" t="s">
        <v>334</v>
      </c>
      <c r="AO1030" s="327"/>
      <c r="AP1030" s="554"/>
      <c r="AQ1030" s="327"/>
      <c r="AR1030" s="555"/>
      <c r="AS1030" s="327"/>
      <c r="AT1030" s="549"/>
      <c r="AU1030" s="327"/>
      <c r="AV1030" s="553" t="s">
        <v>334</v>
      </c>
      <c r="AW1030" s="327"/>
      <c r="AX1030" s="521"/>
      <c r="AY1030" s="326"/>
      <c r="AZ1030" s="327"/>
      <c r="BA1030" s="536"/>
      <c r="BB1030" s="327"/>
      <c r="BC1030" s="22"/>
      <c r="BD1030" s="551" t="s">
        <v>334</v>
      </c>
      <c r="BE1030" s="327"/>
      <c r="BF1030" s="508"/>
      <c r="BG1030" s="326"/>
      <c r="BH1030" s="326"/>
      <c r="BI1030" s="327"/>
      <c r="BJ1030" s="451" t="s">
        <v>303</v>
      </c>
      <c r="BK1030" s="326"/>
      <c r="BL1030" s="326"/>
      <c r="BM1030" s="327"/>
      <c r="BN1030" s="558" t="s">
        <v>303</v>
      </c>
      <c r="BO1030" s="326"/>
      <c r="BP1030" s="326"/>
      <c r="BQ1030" s="326"/>
      <c r="BR1030" s="326"/>
      <c r="BS1030" s="326"/>
      <c r="BT1030" s="326"/>
      <c r="BU1030" s="326"/>
      <c r="BV1030" s="327"/>
    </row>
    <row r="1031" spans="1:74" ht="45" customHeight="1" x14ac:dyDescent="0.25">
      <c r="A1031" s="10">
        <f t="shared" si="3"/>
        <v>1017</v>
      </c>
      <c r="B1031" s="559" t="s">
        <v>303</v>
      </c>
      <c r="C1031" s="327"/>
      <c r="D1031" s="560" t="s">
        <v>307</v>
      </c>
      <c r="E1031" s="327"/>
      <c r="F1031" s="537" t="s">
        <v>334</v>
      </c>
      <c r="G1031" s="327"/>
      <c r="H1031" s="566" t="s">
        <v>334</v>
      </c>
      <c r="I1031" s="327"/>
      <c r="J1031" s="567"/>
      <c r="K1031" s="327"/>
      <c r="L1031" s="567"/>
      <c r="M1031" s="327"/>
      <c r="N1031" s="23"/>
      <c r="O1031" s="24"/>
      <c r="P1031" s="563"/>
      <c r="Q1031" s="327"/>
      <c r="R1031" s="538"/>
      <c r="S1031" s="327"/>
      <c r="T1031" s="539"/>
      <c r="U1031" s="327"/>
      <c r="V1031" s="540"/>
      <c r="W1031" s="327"/>
      <c r="X1031" s="541" t="s">
        <v>303</v>
      </c>
      <c r="Y1031" s="326"/>
      <c r="Z1031" s="326"/>
      <c r="AA1031" s="327"/>
      <c r="AB1031" s="542" t="s">
        <v>303</v>
      </c>
      <c r="AC1031" s="326"/>
      <c r="AD1031" s="326"/>
      <c r="AE1031" s="327"/>
      <c r="AF1031" s="543"/>
      <c r="AG1031" s="327"/>
      <c r="AH1031" s="543"/>
      <c r="AI1031" s="327"/>
      <c r="AJ1031" s="536"/>
      <c r="AK1031" s="327"/>
      <c r="AL1031" s="537" t="s">
        <v>334</v>
      </c>
      <c r="AM1031" s="327"/>
      <c r="AN1031" s="546" t="s">
        <v>334</v>
      </c>
      <c r="AO1031" s="327"/>
      <c r="AP1031" s="547"/>
      <c r="AQ1031" s="327"/>
      <c r="AR1031" s="548"/>
      <c r="AS1031" s="327"/>
      <c r="AT1031" s="568"/>
      <c r="AU1031" s="327"/>
      <c r="AV1031" s="546" t="s">
        <v>334</v>
      </c>
      <c r="AW1031" s="327"/>
      <c r="AX1031" s="521"/>
      <c r="AY1031" s="326"/>
      <c r="AZ1031" s="327"/>
      <c r="BA1031" s="550"/>
      <c r="BB1031" s="327"/>
      <c r="BC1031" s="25"/>
      <c r="BD1031" s="544" t="s">
        <v>334</v>
      </c>
      <c r="BE1031" s="327"/>
      <c r="BF1031" s="545"/>
      <c r="BG1031" s="326"/>
      <c r="BH1031" s="326"/>
      <c r="BI1031" s="327"/>
      <c r="BJ1031" s="557" t="s">
        <v>303</v>
      </c>
      <c r="BK1031" s="326"/>
      <c r="BL1031" s="326"/>
      <c r="BM1031" s="327"/>
      <c r="BN1031" s="558" t="s">
        <v>303</v>
      </c>
      <c r="BO1031" s="326"/>
      <c r="BP1031" s="326"/>
      <c r="BQ1031" s="326"/>
      <c r="BR1031" s="326"/>
      <c r="BS1031" s="326"/>
      <c r="BT1031" s="326"/>
      <c r="BU1031" s="326"/>
      <c r="BV1031" s="327"/>
    </row>
    <row r="1032" spans="1:74" ht="45" customHeight="1" x14ac:dyDescent="0.25">
      <c r="A1032" s="10">
        <f t="shared" si="3"/>
        <v>1018</v>
      </c>
      <c r="B1032" s="564" t="s">
        <v>303</v>
      </c>
      <c r="C1032" s="327"/>
      <c r="D1032" s="565" t="s">
        <v>307</v>
      </c>
      <c r="E1032" s="327"/>
      <c r="F1032" s="537" t="s">
        <v>334</v>
      </c>
      <c r="G1032" s="327"/>
      <c r="H1032" s="561" t="s">
        <v>334</v>
      </c>
      <c r="I1032" s="327"/>
      <c r="J1032" s="562"/>
      <c r="K1032" s="327"/>
      <c r="L1032" s="562"/>
      <c r="M1032" s="327"/>
      <c r="N1032" s="20"/>
      <c r="O1032" s="21"/>
      <c r="P1032" s="524"/>
      <c r="Q1032" s="327"/>
      <c r="R1032" s="516"/>
      <c r="S1032" s="327"/>
      <c r="T1032" s="517"/>
      <c r="U1032" s="327"/>
      <c r="V1032" s="518"/>
      <c r="W1032" s="327"/>
      <c r="X1032" s="438" t="s">
        <v>303</v>
      </c>
      <c r="Y1032" s="326"/>
      <c r="Z1032" s="326"/>
      <c r="AA1032" s="327"/>
      <c r="AB1032" s="519" t="s">
        <v>303</v>
      </c>
      <c r="AC1032" s="326"/>
      <c r="AD1032" s="326"/>
      <c r="AE1032" s="327"/>
      <c r="AF1032" s="520"/>
      <c r="AG1032" s="327"/>
      <c r="AH1032" s="520"/>
      <c r="AI1032" s="327"/>
      <c r="AJ1032" s="536"/>
      <c r="AK1032" s="327"/>
      <c r="AL1032" s="556" t="s">
        <v>334</v>
      </c>
      <c r="AM1032" s="327"/>
      <c r="AN1032" s="553" t="s">
        <v>334</v>
      </c>
      <c r="AO1032" s="327"/>
      <c r="AP1032" s="554"/>
      <c r="AQ1032" s="327"/>
      <c r="AR1032" s="555"/>
      <c r="AS1032" s="327"/>
      <c r="AT1032" s="549"/>
      <c r="AU1032" s="327"/>
      <c r="AV1032" s="553" t="s">
        <v>334</v>
      </c>
      <c r="AW1032" s="327"/>
      <c r="AX1032" s="521"/>
      <c r="AY1032" s="326"/>
      <c r="AZ1032" s="327"/>
      <c r="BA1032" s="536"/>
      <c r="BB1032" s="327"/>
      <c r="BC1032" s="22"/>
      <c r="BD1032" s="551" t="s">
        <v>334</v>
      </c>
      <c r="BE1032" s="327"/>
      <c r="BF1032" s="552"/>
      <c r="BG1032" s="326"/>
      <c r="BH1032" s="326"/>
      <c r="BI1032" s="327"/>
      <c r="BJ1032" s="451" t="s">
        <v>303</v>
      </c>
      <c r="BK1032" s="326"/>
      <c r="BL1032" s="326"/>
      <c r="BM1032" s="327"/>
      <c r="BN1032" s="558" t="s">
        <v>303</v>
      </c>
      <c r="BO1032" s="326"/>
      <c r="BP1032" s="326"/>
      <c r="BQ1032" s="326"/>
      <c r="BR1032" s="326"/>
      <c r="BS1032" s="326"/>
      <c r="BT1032" s="326"/>
      <c r="BU1032" s="326"/>
      <c r="BV1032" s="327"/>
    </row>
    <row r="1033" spans="1:74" ht="45" customHeight="1" x14ac:dyDescent="0.25">
      <c r="A1033" s="10">
        <f t="shared" si="3"/>
        <v>1019</v>
      </c>
      <c r="B1033" s="559" t="s">
        <v>303</v>
      </c>
      <c r="C1033" s="327"/>
      <c r="D1033" s="560" t="s">
        <v>307</v>
      </c>
      <c r="E1033" s="327"/>
      <c r="F1033" s="537" t="s">
        <v>334</v>
      </c>
      <c r="G1033" s="327"/>
      <c r="H1033" s="566" t="s">
        <v>334</v>
      </c>
      <c r="I1033" s="327"/>
      <c r="J1033" s="567"/>
      <c r="K1033" s="327"/>
      <c r="L1033" s="567"/>
      <c r="M1033" s="327"/>
      <c r="N1033" s="23"/>
      <c r="O1033" s="24"/>
      <c r="P1033" s="563"/>
      <c r="Q1033" s="327"/>
      <c r="R1033" s="538"/>
      <c r="S1033" s="327"/>
      <c r="T1033" s="539"/>
      <c r="U1033" s="327"/>
      <c r="V1033" s="540"/>
      <c r="W1033" s="327"/>
      <c r="X1033" s="541" t="s">
        <v>303</v>
      </c>
      <c r="Y1033" s="326"/>
      <c r="Z1033" s="326"/>
      <c r="AA1033" s="327"/>
      <c r="AB1033" s="542" t="s">
        <v>303</v>
      </c>
      <c r="AC1033" s="326"/>
      <c r="AD1033" s="326"/>
      <c r="AE1033" s="327"/>
      <c r="AF1033" s="543"/>
      <c r="AG1033" s="327"/>
      <c r="AH1033" s="543"/>
      <c r="AI1033" s="327"/>
      <c r="AJ1033" s="536"/>
      <c r="AK1033" s="327"/>
      <c r="AL1033" s="537" t="s">
        <v>334</v>
      </c>
      <c r="AM1033" s="327"/>
      <c r="AN1033" s="546" t="s">
        <v>334</v>
      </c>
      <c r="AO1033" s="327"/>
      <c r="AP1033" s="547"/>
      <c r="AQ1033" s="327"/>
      <c r="AR1033" s="548"/>
      <c r="AS1033" s="327"/>
      <c r="AT1033" s="568"/>
      <c r="AU1033" s="327"/>
      <c r="AV1033" s="546" t="s">
        <v>334</v>
      </c>
      <c r="AW1033" s="327"/>
      <c r="AX1033" s="521"/>
      <c r="AY1033" s="326"/>
      <c r="AZ1033" s="327"/>
      <c r="BA1033" s="550"/>
      <c r="BB1033" s="327"/>
      <c r="BC1033" s="25"/>
      <c r="BD1033" s="544" t="s">
        <v>334</v>
      </c>
      <c r="BE1033" s="327"/>
      <c r="BF1033" s="545"/>
      <c r="BG1033" s="326"/>
      <c r="BH1033" s="326"/>
      <c r="BI1033" s="327"/>
      <c r="BJ1033" s="557" t="s">
        <v>303</v>
      </c>
      <c r="BK1033" s="326"/>
      <c r="BL1033" s="326"/>
      <c r="BM1033" s="327"/>
      <c r="BN1033" s="558" t="s">
        <v>303</v>
      </c>
      <c r="BO1033" s="326"/>
      <c r="BP1033" s="326"/>
      <c r="BQ1033" s="326"/>
      <c r="BR1033" s="326"/>
      <c r="BS1033" s="326"/>
      <c r="BT1033" s="326"/>
      <c r="BU1033" s="326"/>
      <c r="BV1033" s="327"/>
    </row>
    <row r="1034" spans="1:74" ht="45" customHeight="1" x14ac:dyDescent="0.25">
      <c r="A1034" s="10">
        <f t="shared" si="3"/>
        <v>1020</v>
      </c>
      <c r="B1034" s="564" t="s">
        <v>303</v>
      </c>
      <c r="C1034" s="327"/>
      <c r="D1034" s="565" t="s">
        <v>307</v>
      </c>
      <c r="E1034" s="327"/>
      <c r="F1034" s="537" t="s">
        <v>334</v>
      </c>
      <c r="G1034" s="327"/>
      <c r="H1034" s="561" t="s">
        <v>334</v>
      </c>
      <c r="I1034" s="327"/>
      <c r="J1034" s="562"/>
      <c r="K1034" s="327"/>
      <c r="L1034" s="562"/>
      <c r="M1034" s="327"/>
      <c r="N1034" s="20"/>
      <c r="O1034" s="21"/>
      <c r="P1034" s="524"/>
      <c r="Q1034" s="327"/>
      <c r="R1034" s="516"/>
      <c r="S1034" s="327"/>
      <c r="T1034" s="517"/>
      <c r="U1034" s="327"/>
      <c r="V1034" s="518"/>
      <c r="W1034" s="327"/>
      <c r="X1034" s="438" t="s">
        <v>303</v>
      </c>
      <c r="Y1034" s="326"/>
      <c r="Z1034" s="326"/>
      <c r="AA1034" s="327"/>
      <c r="AB1034" s="519" t="s">
        <v>303</v>
      </c>
      <c r="AC1034" s="326"/>
      <c r="AD1034" s="326"/>
      <c r="AE1034" s="327"/>
      <c r="AF1034" s="520"/>
      <c r="AG1034" s="327"/>
      <c r="AH1034" s="520"/>
      <c r="AI1034" s="327"/>
      <c r="AJ1034" s="536"/>
      <c r="AK1034" s="327"/>
      <c r="AL1034" s="556" t="s">
        <v>334</v>
      </c>
      <c r="AM1034" s="327"/>
      <c r="AN1034" s="553" t="s">
        <v>334</v>
      </c>
      <c r="AO1034" s="327"/>
      <c r="AP1034" s="554"/>
      <c r="AQ1034" s="327"/>
      <c r="AR1034" s="555"/>
      <c r="AS1034" s="327"/>
      <c r="AT1034" s="549"/>
      <c r="AU1034" s="327"/>
      <c r="AV1034" s="553" t="s">
        <v>334</v>
      </c>
      <c r="AW1034" s="327"/>
      <c r="AX1034" s="521"/>
      <c r="AY1034" s="326"/>
      <c r="AZ1034" s="327"/>
      <c r="BA1034" s="536"/>
      <c r="BB1034" s="327"/>
      <c r="BC1034" s="22"/>
      <c r="BD1034" s="551" t="s">
        <v>334</v>
      </c>
      <c r="BE1034" s="327"/>
      <c r="BF1034" s="552"/>
      <c r="BG1034" s="326"/>
      <c r="BH1034" s="326"/>
      <c r="BI1034" s="327"/>
      <c r="BJ1034" s="451" t="s">
        <v>303</v>
      </c>
      <c r="BK1034" s="326"/>
      <c r="BL1034" s="326"/>
      <c r="BM1034" s="327"/>
      <c r="BN1034" s="558" t="s">
        <v>303</v>
      </c>
      <c r="BO1034" s="326"/>
      <c r="BP1034" s="326"/>
      <c r="BQ1034" s="326"/>
      <c r="BR1034" s="326"/>
      <c r="BS1034" s="326"/>
      <c r="BT1034" s="326"/>
      <c r="BU1034" s="326"/>
      <c r="BV1034" s="327"/>
    </row>
    <row r="1035" spans="1:74" ht="45" customHeight="1" x14ac:dyDescent="0.25">
      <c r="A1035" s="10">
        <f t="shared" ref="A1035:A1289" si="4">ROW(A1021)</f>
        <v>1021</v>
      </c>
      <c r="B1035" s="559" t="s">
        <v>303</v>
      </c>
      <c r="C1035" s="327"/>
      <c r="D1035" s="560" t="s">
        <v>307</v>
      </c>
      <c r="E1035" s="327"/>
      <c r="F1035" s="537" t="s">
        <v>334</v>
      </c>
      <c r="G1035" s="327"/>
      <c r="H1035" s="566" t="s">
        <v>334</v>
      </c>
      <c r="I1035" s="327"/>
      <c r="J1035" s="567"/>
      <c r="K1035" s="327"/>
      <c r="L1035" s="567"/>
      <c r="M1035" s="327"/>
      <c r="N1035" s="23"/>
      <c r="O1035" s="24"/>
      <c r="P1035" s="563"/>
      <c r="Q1035" s="327"/>
      <c r="R1035" s="538"/>
      <c r="S1035" s="327"/>
      <c r="T1035" s="539"/>
      <c r="U1035" s="327"/>
      <c r="V1035" s="540"/>
      <c r="W1035" s="327"/>
      <c r="X1035" s="541" t="s">
        <v>303</v>
      </c>
      <c r="Y1035" s="326"/>
      <c r="Z1035" s="326"/>
      <c r="AA1035" s="327"/>
      <c r="AB1035" s="542" t="s">
        <v>303</v>
      </c>
      <c r="AC1035" s="326"/>
      <c r="AD1035" s="326"/>
      <c r="AE1035" s="327"/>
      <c r="AF1035" s="543"/>
      <c r="AG1035" s="327"/>
      <c r="AH1035" s="543"/>
      <c r="AI1035" s="327"/>
      <c r="AJ1035" s="536"/>
      <c r="AK1035" s="327"/>
      <c r="AL1035" s="537" t="s">
        <v>334</v>
      </c>
      <c r="AM1035" s="327"/>
      <c r="AN1035" s="546" t="s">
        <v>334</v>
      </c>
      <c r="AO1035" s="327"/>
      <c r="AP1035" s="547"/>
      <c r="AQ1035" s="327"/>
      <c r="AR1035" s="548"/>
      <c r="AS1035" s="327"/>
      <c r="AT1035" s="568"/>
      <c r="AU1035" s="327"/>
      <c r="AV1035" s="546" t="s">
        <v>334</v>
      </c>
      <c r="AW1035" s="327"/>
      <c r="AX1035" s="521"/>
      <c r="AY1035" s="326"/>
      <c r="AZ1035" s="327"/>
      <c r="BA1035" s="550"/>
      <c r="BB1035" s="327"/>
      <c r="BC1035" s="25"/>
      <c r="BD1035" s="544" t="s">
        <v>334</v>
      </c>
      <c r="BE1035" s="327"/>
      <c r="BF1035" s="545"/>
      <c r="BG1035" s="326"/>
      <c r="BH1035" s="326"/>
      <c r="BI1035" s="327"/>
      <c r="BJ1035" s="557" t="s">
        <v>303</v>
      </c>
      <c r="BK1035" s="326"/>
      <c r="BL1035" s="326"/>
      <c r="BM1035" s="327"/>
      <c r="BN1035" s="558" t="s">
        <v>303</v>
      </c>
      <c r="BO1035" s="326"/>
      <c r="BP1035" s="326"/>
      <c r="BQ1035" s="326"/>
      <c r="BR1035" s="326"/>
      <c r="BS1035" s="326"/>
      <c r="BT1035" s="326"/>
      <c r="BU1035" s="326"/>
      <c r="BV1035" s="327"/>
    </row>
    <row r="1036" spans="1:74" ht="45" customHeight="1" x14ac:dyDescent="0.25">
      <c r="A1036" s="10">
        <f t="shared" si="4"/>
        <v>1022</v>
      </c>
      <c r="B1036" s="564" t="s">
        <v>303</v>
      </c>
      <c r="C1036" s="327"/>
      <c r="D1036" s="565" t="s">
        <v>307</v>
      </c>
      <c r="E1036" s="327"/>
      <c r="F1036" s="537" t="s">
        <v>334</v>
      </c>
      <c r="G1036" s="327"/>
      <c r="H1036" s="561" t="s">
        <v>334</v>
      </c>
      <c r="I1036" s="327"/>
      <c r="J1036" s="562"/>
      <c r="K1036" s="327"/>
      <c r="L1036" s="562"/>
      <c r="M1036" s="327"/>
      <c r="N1036" s="20"/>
      <c r="O1036" s="21"/>
      <c r="P1036" s="524"/>
      <c r="Q1036" s="327"/>
      <c r="R1036" s="516"/>
      <c r="S1036" s="327"/>
      <c r="T1036" s="517"/>
      <c r="U1036" s="327"/>
      <c r="V1036" s="518"/>
      <c r="W1036" s="327"/>
      <c r="X1036" s="438" t="s">
        <v>303</v>
      </c>
      <c r="Y1036" s="326"/>
      <c r="Z1036" s="326"/>
      <c r="AA1036" s="327"/>
      <c r="AB1036" s="519" t="s">
        <v>303</v>
      </c>
      <c r="AC1036" s="326"/>
      <c r="AD1036" s="326"/>
      <c r="AE1036" s="327"/>
      <c r="AF1036" s="520"/>
      <c r="AG1036" s="327"/>
      <c r="AH1036" s="520"/>
      <c r="AI1036" s="327"/>
      <c r="AJ1036" s="536"/>
      <c r="AK1036" s="327"/>
      <c r="AL1036" s="556" t="s">
        <v>334</v>
      </c>
      <c r="AM1036" s="327"/>
      <c r="AN1036" s="553" t="s">
        <v>334</v>
      </c>
      <c r="AO1036" s="327"/>
      <c r="AP1036" s="554"/>
      <c r="AQ1036" s="327"/>
      <c r="AR1036" s="555"/>
      <c r="AS1036" s="327"/>
      <c r="AT1036" s="549"/>
      <c r="AU1036" s="327"/>
      <c r="AV1036" s="553" t="s">
        <v>334</v>
      </c>
      <c r="AW1036" s="327"/>
      <c r="AX1036" s="521"/>
      <c r="AY1036" s="326"/>
      <c r="AZ1036" s="327"/>
      <c r="BA1036" s="536"/>
      <c r="BB1036" s="327"/>
      <c r="BC1036" s="22"/>
      <c r="BD1036" s="551" t="s">
        <v>334</v>
      </c>
      <c r="BE1036" s="327"/>
      <c r="BF1036" s="508"/>
      <c r="BG1036" s="326"/>
      <c r="BH1036" s="326"/>
      <c r="BI1036" s="327"/>
      <c r="BJ1036" s="451" t="s">
        <v>303</v>
      </c>
      <c r="BK1036" s="326"/>
      <c r="BL1036" s="326"/>
      <c r="BM1036" s="327"/>
      <c r="BN1036" s="558" t="s">
        <v>303</v>
      </c>
      <c r="BO1036" s="326"/>
      <c r="BP1036" s="326"/>
      <c r="BQ1036" s="326"/>
      <c r="BR1036" s="326"/>
      <c r="BS1036" s="326"/>
      <c r="BT1036" s="326"/>
      <c r="BU1036" s="326"/>
      <c r="BV1036" s="327"/>
    </row>
    <row r="1037" spans="1:74" ht="45" customHeight="1" x14ac:dyDescent="0.25">
      <c r="A1037" s="10">
        <f t="shared" si="4"/>
        <v>1023</v>
      </c>
      <c r="B1037" s="559" t="s">
        <v>303</v>
      </c>
      <c r="C1037" s="327"/>
      <c r="D1037" s="560" t="s">
        <v>307</v>
      </c>
      <c r="E1037" s="327"/>
      <c r="F1037" s="537" t="s">
        <v>334</v>
      </c>
      <c r="G1037" s="327"/>
      <c r="H1037" s="566" t="s">
        <v>334</v>
      </c>
      <c r="I1037" s="327"/>
      <c r="J1037" s="567"/>
      <c r="K1037" s="327"/>
      <c r="L1037" s="567"/>
      <c r="M1037" s="327"/>
      <c r="N1037" s="23"/>
      <c r="O1037" s="24"/>
      <c r="P1037" s="563"/>
      <c r="Q1037" s="327"/>
      <c r="R1037" s="538"/>
      <c r="S1037" s="327"/>
      <c r="T1037" s="539"/>
      <c r="U1037" s="327"/>
      <c r="V1037" s="540"/>
      <c r="W1037" s="327"/>
      <c r="X1037" s="541" t="s">
        <v>303</v>
      </c>
      <c r="Y1037" s="326"/>
      <c r="Z1037" s="326"/>
      <c r="AA1037" s="327"/>
      <c r="AB1037" s="542" t="s">
        <v>303</v>
      </c>
      <c r="AC1037" s="326"/>
      <c r="AD1037" s="326"/>
      <c r="AE1037" s="327"/>
      <c r="AF1037" s="543"/>
      <c r="AG1037" s="327"/>
      <c r="AH1037" s="543"/>
      <c r="AI1037" s="327"/>
      <c r="AJ1037" s="536"/>
      <c r="AK1037" s="327"/>
      <c r="AL1037" s="537" t="s">
        <v>334</v>
      </c>
      <c r="AM1037" s="327"/>
      <c r="AN1037" s="546" t="s">
        <v>334</v>
      </c>
      <c r="AO1037" s="327"/>
      <c r="AP1037" s="547"/>
      <c r="AQ1037" s="327"/>
      <c r="AR1037" s="548"/>
      <c r="AS1037" s="327"/>
      <c r="AT1037" s="568"/>
      <c r="AU1037" s="327"/>
      <c r="AV1037" s="546" t="s">
        <v>334</v>
      </c>
      <c r="AW1037" s="327"/>
      <c r="AX1037" s="521"/>
      <c r="AY1037" s="326"/>
      <c r="AZ1037" s="327"/>
      <c r="BA1037" s="550"/>
      <c r="BB1037" s="327"/>
      <c r="BC1037" s="25"/>
      <c r="BD1037" s="544" t="s">
        <v>334</v>
      </c>
      <c r="BE1037" s="327"/>
      <c r="BF1037" s="545"/>
      <c r="BG1037" s="326"/>
      <c r="BH1037" s="326"/>
      <c r="BI1037" s="327"/>
      <c r="BJ1037" s="557" t="s">
        <v>303</v>
      </c>
      <c r="BK1037" s="326"/>
      <c r="BL1037" s="326"/>
      <c r="BM1037" s="327"/>
      <c r="BN1037" s="558" t="s">
        <v>303</v>
      </c>
      <c r="BO1037" s="326"/>
      <c r="BP1037" s="326"/>
      <c r="BQ1037" s="326"/>
      <c r="BR1037" s="326"/>
      <c r="BS1037" s="326"/>
      <c r="BT1037" s="326"/>
      <c r="BU1037" s="326"/>
      <c r="BV1037" s="327"/>
    </row>
    <row r="1038" spans="1:74" ht="45" customHeight="1" x14ac:dyDescent="0.25">
      <c r="A1038" s="10">
        <f t="shared" si="4"/>
        <v>1024</v>
      </c>
      <c r="B1038" s="564" t="s">
        <v>303</v>
      </c>
      <c r="C1038" s="327"/>
      <c r="D1038" s="565" t="s">
        <v>307</v>
      </c>
      <c r="E1038" s="327"/>
      <c r="F1038" s="537" t="s">
        <v>334</v>
      </c>
      <c r="G1038" s="327"/>
      <c r="H1038" s="561" t="s">
        <v>334</v>
      </c>
      <c r="I1038" s="327"/>
      <c r="J1038" s="562"/>
      <c r="K1038" s="327"/>
      <c r="L1038" s="562"/>
      <c r="M1038" s="327"/>
      <c r="N1038" s="20"/>
      <c r="O1038" s="21"/>
      <c r="P1038" s="524"/>
      <c r="Q1038" s="327"/>
      <c r="R1038" s="516"/>
      <c r="S1038" s="327"/>
      <c r="T1038" s="517"/>
      <c r="U1038" s="327"/>
      <c r="V1038" s="518"/>
      <c r="W1038" s="327"/>
      <c r="X1038" s="438" t="s">
        <v>303</v>
      </c>
      <c r="Y1038" s="326"/>
      <c r="Z1038" s="326"/>
      <c r="AA1038" s="327"/>
      <c r="AB1038" s="519" t="s">
        <v>303</v>
      </c>
      <c r="AC1038" s="326"/>
      <c r="AD1038" s="326"/>
      <c r="AE1038" s="327"/>
      <c r="AF1038" s="520"/>
      <c r="AG1038" s="327"/>
      <c r="AH1038" s="520"/>
      <c r="AI1038" s="327"/>
      <c r="AJ1038" s="536"/>
      <c r="AK1038" s="327"/>
      <c r="AL1038" s="556" t="s">
        <v>334</v>
      </c>
      <c r="AM1038" s="327"/>
      <c r="AN1038" s="553" t="s">
        <v>334</v>
      </c>
      <c r="AO1038" s="327"/>
      <c r="AP1038" s="554"/>
      <c r="AQ1038" s="327"/>
      <c r="AR1038" s="555"/>
      <c r="AS1038" s="327"/>
      <c r="AT1038" s="549"/>
      <c r="AU1038" s="327"/>
      <c r="AV1038" s="553" t="s">
        <v>334</v>
      </c>
      <c r="AW1038" s="327"/>
      <c r="AX1038" s="521"/>
      <c r="AY1038" s="326"/>
      <c r="AZ1038" s="327"/>
      <c r="BA1038" s="536"/>
      <c r="BB1038" s="327"/>
      <c r="BC1038" s="22"/>
      <c r="BD1038" s="551" t="s">
        <v>334</v>
      </c>
      <c r="BE1038" s="327"/>
      <c r="BF1038" s="552"/>
      <c r="BG1038" s="326"/>
      <c r="BH1038" s="326"/>
      <c r="BI1038" s="327"/>
      <c r="BJ1038" s="451" t="s">
        <v>303</v>
      </c>
      <c r="BK1038" s="326"/>
      <c r="BL1038" s="326"/>
      <c r="BM1038" s="327"/>
      <c r="BN1038" s="558" t="s">
        <v>303</v>
      </c>
      <c r="BO1038" s="326"/>
      <c r="BP1038" s="326"/>
      <c r="BQ1038" s="326"/>
      <c r="BR1038" s="326"/>
      <c r="BS1038" s="326"/>
      <c r="BT1038" s="326"/>
      <c r="BU1038" s="326"/>
      <c r="BV1038" s="327"/>
    </row>
    <row r="1039" spans="1:74" ht="45" customHeight="1" x14ac:dyDescent="0.25">
      <c r="A1039" s="10">
        <f t="shared" si="4"/>
        <v>1025</v>
      </c>
      <c r="B1039" s="559" t="s">
        <v>303</v>
      </c>
      <c r="C1039" s="327"/>
      <c r="D1039" s="560" t="s">
        <v>307</v>
      </c>
      <c r="E1039" s="327"/>
      <c r="F1039" s="537" t="s">
        <v>334</v>
      </c>
      <c r="G1039" s="327"/>
      <c r="H1039" s="566" t="s">
        <v>334</v>
      </c>
      <c r="I1039" s="327"/>
      <c r="J1039" s="567"/>
      <c r="K1039" s="327"/>
      <c r="L1039" s="567"/>
      <c r="M1039" s="327"/>
      <c r="N1039" s="23"/>
      <c r="O1039" s="24"/>
      <c r="P1039" s="563"/>
      <c r="Q1039" s="327"/>
      <c r="R1039" s="538"/>
      <c r="S1039" s="327"/>
      <c r="T1039" s="539"/>
      <c r="U1039" s="327"/>
      <c r="V1039" s="540"/>
      <c r="W1039" s="327"/>
      <c r="X1039" s="541" t="s">
        <v>303</v>
      </c>
      <c r="Y1039" s="326"/>
      <c r="Z1039" s="326"/>
      <c r="AA1039" s="327"/>
      <c r="AB1039" s="542" t="s">
        <v>303</v>
      </c>
      <c r="AC1039" s="326"/>
      <c r="AD1039" s="326"/>
      <c r="AE1039" s="327"/>
      <c r="AF1039" s="543"/>
      <c r="AG1039" s="327"/>
      <c r="AH1039" s="543"/>
      <c r="AI1039" s="327"/>
      <c r="AJ1039" s="536"/>
      <c r="AK1039" s="327"/>
      <c r="AL1039" s="537" t="s">
        <v>334</v>
      </c>
      <c r="AM1039" s="327"/>
      <c r="AN1039" s="546" t="s">
        <v>334</v>
      </c>
      <c r="AO1039" s="327"/>
      <c r="AP1039" s="547"/>
      <c r="AQ1039" s="327"/>
      <c r="AR1039" s="548"/>
      <c r="AS1039" s="327"/>
      <c r="AT1039" s="549"/>
      <c r="AU1039" s="327"/>
      <c r="AV1039" s="546" t="s">
        <v>334</v>
      </c>
      <c r="AW1039" s="327"/>
      <c r="AX1039" s="521"/>
      <c r="AY1039" s="326"/>
      <c r="AZ1039" s="327"/>
      <c r="BA1039" s="550"/>
      <c r="BB1039" s="327"/>
      <c r="BC1039" s="25"/>
      <c r="BD1039" s="544" t="s">
        <v>334</v>
      </c>
      <c r="BE1039" s="327"/>
      <c r="BF1039" s="545"/>
      <c r="BG1039" s="326"/>
      <c r="BH1039" s="326"/>
      <c r="BI1039" s="327"/>
      <c r="BJ1039" s="557" t="s">
        <v>303</v>
      </c>
      <c r="BK1039" s="326"/>
      <c r="BL1039" s="326"/>
      <c r="BM1039" s="327"/>
      <c r="BN1039" s="558" t="s">
        <v>303</v>
      </c>
      <c r="BO1039" s="326"/>
      <c r="BP1039" s="326"/>
      <c r="BQ1039" s="326"/>
      <c r="BR1039" s="326"/>
      <c r="BS1039" s="326"/>
      <c r="BT1039" s="326"/>
      <c r="BU1039" s="326"/>
      <c r="BV1039" s="327"/>
    </row>
    <row r="1040" spans="1:74" ht="45" customHeight="1" x14ac:dyDescent="0.25">
      <c r="A1040" s="10">
        <f t="shared" si="4"/>
        <v>1026</v>
      </c>
      <c r="B1040" s="564" t="s">
        <v>303</v>
      </c>
      <c r="C1040" s="327"/>
      <c r="D1040" s="565" t="s">
        <v>307</v>
      </c>
      <c r="E1040" s="327"/>
      <c r="F1040" s="537" t="s">
        <v>334</v>
      </c>
      <c r="G1040" s="327"/>
      <c r="H1040" s="561" t="s">
        <v>334</v>
      </c>
      <c r="I1040" s="327"/>
      <c r="J1040" s="562"/>
      <c r="K1040" s="327"/>
      <c r="L1040" s="562"/>
      <c r="M1040" s="327"/>
      <c r="N1040" s="20"/>
      <c r="O1040" s="21"/>
      <c r="P1040" s="524"/>
      <c r="Q1040" s="327"/>
      <c r="R1040" s="516"/>
      <c r="S1040" s="327"/>
      <c r="T1040" s="517"/>
      <c r="U1040" s="327"/>
      <c r="V1040" s="518"/>
      <c r="W1040" s="327"/>
      <c r="X1040" s="438" t="s">
        <v>303</v>
      </c>
      <c r="Y1040" s="326"/>
      <c r="Z1040" s="326"/>
      <c r="AA1040" s="327"/>
      <c r="AB1040" s="519" t="s">
        <v>303</v>
      </c>
      <c r="AC1040" s="326"/>
      <c r="AD1040" s="326"/>
      <c r="AE1040" s="327"/>
      <c r="AF1040" s="520"/>
      <c r="AG1040" s="327"/>
      <c r="AH1040" s="520"/>
      <c r="AI1040" s="327"/>
      <c r="AJ1040" s="536"/>
      <c r="AK1040" s="327"/>
      <c r="AL1040" s="556" t="s">
        <v>334</v>
      </c>
      <c r="AM1040" s="327"/>
      <c r="AN1040" s="553" t="s">
        <v>334</v>
      </c>
      <c r="AO1040" s="327"/>
      <c r="AP1040" s="554"/>
      <c r="AQ1040" s="327"/>
      <c r="AR1040" s="555"/>
      <c r="AS1040" s="327"/>
      <c r="AT1040" s="549"/>
      <c r="AU1040" s="327"/>
      <c r="AV1040" s="553" t="s">
        <v>334</v>
      </c>
      <c r="AW1040" s="327"/>
      <c r="AX1040" s="521"/>
      <c r="AY1040" s="326"/>
      <c r="AZ1040" s="327"/>
      <c r="BA1040" s="536"/>
      <c r="BB1040" s="327"/>
      <c r="BC1040" s="22"/>
      <c r="BD1040" s="551" t="s">
        <v>334</v>
      </c>
      <c r="BE1040" s="327"/>
      <c r="BF1040" s="552"/>
      <c r="BG1040" s="326"/>
      <c r="BH1040" s="326"/>
      <c r="BI1040" s="327"/>
      <c r="BJ1040" s="451" t="s">
        <v>303</v>
      </c>
      <c r="BK1040" s="326"/>
      <c r="BL1040" s="326"/>
      <c r="BM1040" s="327"/>
      <c r="BN1040" s="558" t="s">
        <v>303</v>
      </c>
      <c r="BO1040" s="326"/>
      <c r="BP1040" s="326"/>
      <c r="BQ1040" s="326"/>
      <c r="BR1040" s="326"/>
      <c r="BS1040" s="326"/>
      <c r="BT1040" s="326"/>
      <c r="BU1040" s="326"/>
      <c r="BV1040" s="327"/>
    </row>
    <row r="1041" spans="1:74" ht="45" customHeight="1" x14ac:dyDescent="0.25">
      <c r="A1041" s="10">
        <f t="shared" si="4"/>
        <v>1027</v>
      </c>
      <c r="B1041" s="559" t="s">
        <v>303</v>
      </c>
      <c r="C1041" s="327"/>
      <c r="D1041" s="560" t="s">
        <v>307</v>
      </c>
      <c r="E1041" s="327"/>
      <c r="F1041" s="537" t="s">
        <v>334</v>
      </c>
      <c r="G1041" s="327"/>
      <c r="H1041" s="566" t="s">
        <v>334</v>
      </c>
      <c r="I1041" s="327"/>
      <c r="J1041" s="567"/>
      <c r="K1041" s="327"/>
      <c r="L1041" s="567"/>
      <c r="M1041" s="327"/>
      <c r="N1041" s="23"/>
      <c r="O1041" s="24"/>
      <c r="P1041" s="563"/>
      <c r="Q1041" s="327"/>
      <c r="R1041" s="538"/>
      <c r="S1041" s="327"/>
      <c r="T1041" s="539"/>
      <c r="U1041" s="327"/>
      <c r="V1041" s="540"/>
      <c r="W1041" s="327"/>
      <c r="X1041" s="541" t="s">
        <v>303</v>
      </c>
      <c r="Y1041" s="326"/>
      <c r="Z1041" s="326"/>
      <c r="AA1041" s="327"/>
      <c r="AB1041" s="542" t="s">
        <v>303</v>
      </c>
      <c r="AC1041" s="326"/>
      <c r="AD1041" s="326"/>
      <c r="AE1041" s="327"/>
      <c r="AF1041" s="543"/>
      <c r="AG1041" s="327"/>
      <c r="AH1041" s="543"/>
      <c r="AI1041" s="327"/>
      <c r="AJ1041" s="536"/>
      <c r="AK1041" s="327"/>
      <c r="AL1041" s="537" t="s">
        <v>334</v>
      </c>
      <c r="AM1041" s="327"/>
      <c r="AN1041" s="546" t="s">
        <v>334</v>
      </c>
      <c r="AO1041" s="327"/>
      <c r="AP1041" s="547"/>
      <c r="AQ1041" s="327"/>
      <c r="AR1041" s="548"/>
      <c r="AS1041" s="327"/>
      <c r="AT1041" s="549"/>
      <c r="AU1041" s="327"/>
      <c r="AV1041" s="546" t="s">
        <v>334</v>
      </c>
      <c r="AW1041" s="327"/>
      <c r="AX1041" s="521"/>
      <c r="AY1041" s="326"/>
      <c r="AZ1041" s="327"/>
      <c r="BA1041" s="550"/>
      <c r="BB1041" s="327"/>
      <c r="BC1041" s="25"/>
      <c r="BD1041" s="544" t="s">
        <v>334</v>
      </c>
      <c r="BE1041" s="327"/>
      <c r="BF1041" s="545"/>
      <c r="BG1041" s="326"/>
      <c r="BH1041" s="326"/>
      <c r="BI1041" s="327"/>
      <c r="BJ1041" s="557" t="s">
        <v>303</v>
      </c>
      <c r="BK1041" s="326"/>
      <c r="BL1041" s="326"/>
      <c r="BM1041" s="327"/>
      <c r="BN1041" s="558" t="s">
        <v>303</v>
      </c>
      <c r="BO1041" s="326"/>
      <c r="BP1041" s="326"/>
      <c r="BQ1041" s="326"/>
      <c r="BR1041" s="326"/>
      <c r="BS1041" s="326"/>
      <c r="BT1041" s="326"/>
      <c r="BU1041" s="326"/>
      <c r="BV1041" s="327"/>
    </row>
    <row r="1042" spans="1:74" ht="45" customHeight="1" x14ac:dyDescent="0.25">
      <c r="A1042" s="10">
        <f t="shared" si="4"/>
        <v>1028</v>
      </c>
      <c r="B1042" s="564" t="s">
        <v>303</v>
      </c>
      <c r="C1042" s="327"/>
      <c r="D1042" s="565" t="s">
        <v>307</v>
      </c>
      <c r="E1042" s="327"/>
      <c r="F1042" s="537" t="s">
        <v>334</v>
      </c>
      <c r="G1042" s="327"/>
      <c r="H1042" s="561" t="s">
        <v>334</v>
      </c>
      <c r="I1042" s="327"/>
      <c r="J1042" s="562"/>
      <c r="K1042" s="327"/>
      <c r="L1042" s="562"/>
      <c r="M1042" s="327"/>
      <c r="N1042" s="20"/>
      <c r="O1042" s="21"/>
      <c r="P1042" s="524"/>
      <c r="Q1042" s="327"/>
      <c r="R1042" s="516"/>
      <c r="S1042" s="327"/>
      <c r="T1042" s="517"/>
      <c r="U1042" s="327"/>
      <c r="V1042" s="518"/>
      <c r="W1042" s="327"/>
      <c r="X1042" s="438" t="s">
        <v>303</v>
      </c>
      <c r="Y1042" s="326"/>
      <c r="Z1042" s="326"/>
      <c r="AA1042" s="327"/>
      <c r="AB1042" s="519" t="s">
        <v>303</v>
      </c>
      <c r="AC1042" s="326"/>
      <c r="AD1042" s="326"/>
      <c r="AE1042" s="327"/>
      <c r="AF1042" s="520"/>
      <c r="AG1042" s="327"/>
      <c r="AH1042" s="520"/>
      <c r="AI1042" s="327"/>
      <c r="AJ1042" s="536"/>
      <c r="AK1042" s="327"/>
      <c r="AL1042" s="556" t="s">
        <v>334</v>
      </c>
      <c r="AM1042" s="327"/>
      <c r="AN1042" s="553" t="s">
        <v>334</v>
      </c>
      <c r="AO1042" s="327"/>
      <c r="AP1042" s="554"/>
      <c r="AQ1042" s="327"/>
      <c r="AR1042" s="555"/>
      <c r="AS1042" s="327"/>
      <c r="AT1042" s="549"/>
      <c r="AU1042" s="327"/>
      <c r="AV1042" s="553" t="s">
        <v>334</v>
      </c>
      <c r="AW1042" s="327"/>
      <c r="AX1042" s="521"/>
      <c r="AY1042" s="326"/>
      <c r="AZ1042" s="327"/>
      <c r="BA1042" s="536"/>
      <c r="BB1042" s="327"/>
      <c r="BC1042" s="22"/>
      <c r="BD1042" s="551" t="s">
        <v>334</v>
      </c>
      <c r="BE1042" s="327"/>
      <c r="BF1042" s="552"/>
      <c r="BG1042" s="326"/>
      <c r="BH1042" s="326"/>
      <c r="BI1042" s="327"/>
      <c r="BJ1042" s="451" t="s">
        <v>303</v>
      </c>
      <c r="BK1042" s="326"/>
      <c r="BL1042" s="326"/>
      <c r="BM1042" s="327"/>
      <c r="BN1042" s="558" t="s">
        <v>303</v>
      </c>
      <c r="BO1042" s="326"/>
      <c r="BP1042" s="326"/>
      <c r="BQ1042" s="326"/>
      <c r="BR1042" s="326"/>
      <c r="BS1042" s="326"/>
      <c r="BT1042" s="326"/>
      <c r="BU1042" s="326"/>
      <c r="BV1042" s="327"/>
    </row>
    <row r="1043" spans="1:74" ht="45" customHeight="1" x14ac:dyDescent="0.25">
      <c r="A1043" s="10">
        <f t="shared" si="4"/>
        <v>1029</v>
      </c>
      <c r="B1043" s="559" t="s">
        <v>303</v>
      </c>
      <c r="C1043" s="327"/>
      <c r="D1043" s="560" t="s">
        <v>307</v>
      </c>
      <c r="E1043" s="327"/>
      <c r="F1043" s="537" t="s">
        <v>334</v>
      </c>
      <c r="G1043" s="327"/>
      <c r="H1043" s="566" t="s">
        <v>334</v>
      </c>
      <c r="I1043" s="327"/>
      <c r="J1043" s="567"/>
      <c r="K1043" s="327"/>
      <c r="L1043" s="567"/>
      <c r="M1043" s="327"/>
      <c r="N1043" s="23"/>
      <c r="O1043" s="24"/>
      <c r="P1043" s="563"/>
      <c r="Q1043" s="327"/>
      <c r="R1043" s="538"/>
      <c r="S1043" s="327"/>
      <c r="T1043" s="539"/>
      <c r="U1043" s="327"/>
      <c r="V1043" s="540"/>
      <c r="W1043" s="327"/>
      <c r="X1043" s="541" t="s">
        <v>303</v>
      </c>
      <c r="Y1043" s="326"/>
      <c r="Z1043" s="326"/>
      <c r="AA1043" s="327"/>
      <c r="AB1043" s="542" t="s">
        <v>303</v>
      </c>
      <c r="AC1043" s="326"/>
      <c r="AD1043" s="326"/>
      <c r="AE1043" s="327"/>
      <c r="AF1043" s="543"/>
      <c r="AG1043" s="327"/>
      <c r="AH1043" s="543"/>
      <c r="AI1043" s="327"/>
      <c r="AJ1043" s="536"/>
      <c r="AK1043" s="327"/>
      <c r="AL1043" s="537" t="s">
        <v>334</v>
      </c>
      <c r="AM1043" s="327"/>
      <c r="AN1043" s="546" t="s">
        <v>334</v>
      </c>
      <c r="AO1043" s="327"/>
      <c r="AP1043" s="547"/>
      <c r="AQ1043" s="327"/>
      <c r="AR1043" s="548"/>
      <c r="AS1043" s="327"/>
      <c r="AT1043" s="568"/>
      <c r="AU1043" s="327"/>
      <c r="AV1043" s="546" t="s">
        <v>334</v>
      </c>
      <c r="AW1043" s="327"/>
      <c r="AX1043" s="521"/>
      <c r="AY1043" s="326"/>
      <c r="AZ1043" s="327"/>
      <c r="BA1043" s="550"/>
      <c r="BB1043" s="327"/>
      <c r="BC1043" s="25"/>
      <c r="BD1043" s="544" t="s">
        <v>334</v>
      </c>
      <c r="BE1043" s="327"/>
      <c r="BF1043" s="545"/>
      <c r="BG1043" s="326"/>
      <c r="BH1043" s="326"/>
      <c r="BI1043" s="327"/>
      <c r="BJ1043" s="557" t="s">
        <v>303</v>
      </c>
      <c r="BK1043" s="326"/>
      <c r="BL1043" s="326"/>
      <c r="BM1043" s="327"/>
      <c r="BN1043" s="558" t="s">
        <v>303</v>
      </c>
      <c r="BO1043" s="326"/>
      <c r="BP1043" s="326"/>
      <c r="BQ1043" s="326"/>
      <c r="BR1043" s="326"/>
      <c r="BS1043" s="326"/>
      <c r="BT1043" s="326"/>
      <c r="BU1043" s="326"/>
      <c r="BV1043" s="327"/>
    </row>
    <row r="1044" spans="1:74" ht="45" customHeight="1" x14ac:dyDescent="0.25">
      <c r="A1044" s="10">
        <f t="shared" si="4"/>
        <v>1030</v>
      </c>
      <c r="B1044" s="564" t="s">
        <v>303</v>
      </c>
      <c r="C1044" s="327"/>
      <c r="D1044" s="565" t="s">
        <v>307</v>
      </c>
      <c r="E1044" s="327"/>
      <c r="F1044" s="537" t="s">
        <v>334</v>
      </c>
      <c r="G1044" s="327"/>
      <c r="H1044" s="561" t="s">
        <v>334</v>
      </c>
      <c r="I1044" s="327"/>
      <c r="J1044" s="562"/>
      <c r="K1044" s="327"/>
      <c r="L1044" s="562"/>
      <c r="M1044" s="327"/>
      <c r="N1044" s="20"/>
      <c r="O1044" s="21"/>
      <c r="P1044" s="524"/>
      <c r="Q1044" s="327"/>
      <c r="R1044" s="516"/>
      <c r="S1044" s="327"/>
      <c r="T1044" s="517"/>
      <c r="U1044" s="327"/>
      <c r="V1044" s="518"/>
      <c r="W1044" s="327"/>
      <c r="X1044" s="438" t="s">
        <v>303</v>
      </c>
      <c r="Y1044" s="326"/>
      <c r="Z1044" s="326"/>
      <c r="AA1044" s="327"/>
      <c r="AB1044" s="519" t="s">
        <v>303</v>
      </c>
      <c r="AC1044" s="326"/>
      <c r="AD1044" s="326"/>
      <c r="AE1044" s="327"/>
      <c r="AF1044" s="520"/>
      <c r="AG1044" s="327"/>
      <c r="AH1044" s="520"/>
      <c r="AI1044" s="327"/>
      <c r="AJ1044" s="536"/>
      <c r="AK1044" s="327"/>
      <c r="AL1044" s="556" t="s">
        <v>334</v>
      </c>
      <c r="AM1044" s="327"/>
      <c r="AN1044" s="553" t="s">
        <v>334</v>
      </c>
      <c r="AO1044" s="327"/>
      <c r="AP1044" s="554"/>
      <c r="AQ1044" s="327"/>
      <c r="AR1044" s="555"/>
      <c r="AS1044" s="327"/>
      <c r="AT1044" s="549"/>
      <c r="AU1044" s="327"/>
      <c r="AV1044" s="553" t="s">
        <v>334</v>
      </c>
      <c r="AW1044" s="327"/>
      <c r="AX1044" s="521"/>
      <c r="AY1044" s="326"/>
      <c r="AZ1044" s="327"/>
      <c r="BA1044" s="536"/>
      <c r="BB1044" s="327"/>
      <c r="BC1044" s="22"/>
      <c r="BD1044" s="551" t="s">
        <v>334</v>
      </c>
      <c r="BE1044" s="327"/>
      <c r="BF1044" s="508"/>
      <c r="BG1044" s="326"/>
      <c r="BH1044" s="326"/>
      <c r="BI1044" s="327"/>
      <c r="BJ1044" s="451" t="s">
        <v>303</v>
      </c>
      <c r="BK1044" s="326"/>
      <c r="BL1044" s="326"/>
      <c r="BM1044" s="327"/>
      <c r="BN1044" s="558" t="s">
        <v>303</v>
      </c>
      <c r="BO1044" s="326"/>
      <c r="BP1044" s="326"/>
      <c r="BQ1044" s="326"/>
      <c r="BR1044" s="326"/>
      <c r="BS1044" s="326"/>
      <c r="BT1044" s="326"/>
      <c r="BU1044" s="326"/>
      <c r="BV1044" s="327"/>
    </row>
    <row r="1045" spans="1:74" ht="45" customHeight="1" x14ac:dyDescent="0.25">
      <c r="A1045" s="10">
        <f t="shared" si="4"/>
        <v>1031</v>
      </c>
      <c r="B1045" s="559" t="s">
        <v>303</v>
      </c>
      <c r="C1045" s="327"/>
      <c r="D1045" s="560" t="s">
        <v>307</v>
      </c>
      <c r="E1045" s="327"/>
      <c r="F1045" s="537" t="s">
        <v>334</v>
      </c>
      <c r="G1045" s="327"/>
      <c r="H1045" s="566" t="s">
        <v>334</v>
      </c>
      <c r="I1045" s="327"/>
      <c r="J1045" s="567"/>
      <c r="K1045" s="327"/>
      <c r="L1045" s="567"/>
      <c r="M1045" s="327"/>
      <c r="N1045" s="23"/>
      <c r="O1045" s="24"/>
      <c r="P1045" s="563"/>
      <c r="Q1045" s="327"/>
      <c r="R1045" s="538"/>
      <c r="S1045" s="327"/>
      <c r="T1045" s="539"/>
      <c r="U1045" s="327"/>
      <c r="V1045" s="540"/>
      <c r="W1045" s="327"/>
      <c r="X1045" s="541" t="s">
        <v>303</v>
      </c>
      <c r="Y1045" s="326"/>
      <c r="Z1045" s="326"/>
      <c r="AA1045" s="327"/>
      <c r="AB1045" s="542" t="s">
        <v>303</v>
      </c>
      <c r="AC1045" s="326"/>
      <c r="AD1045" s="326"/>
      <c r="AE1045" s="327"/>
      <c r="AF1045" s="543"/>
      <c r="AG1045" s="327"/>
      <c r="AH1045" s="543"/>
      <c r="AI1045" s="327"/>
      <c r="AJ1045" s="536"/>
      <c r="AK1045" s="327"/>
      <c r="AL1045" s="537" t="s">
        <v>334</v>
      </c>
      <c r="AM1045" s="327"/>
      <c r="AN1045" s="546" t="s">
        <v>334</v>
      </c>
      <c r="AO1045" s="327"/>
      <c r="AP1045" s="547"/>
      <c r="AQ1045" s="327"/>
      <c r="AR1045" s="548"/>
      <c r="AS1045" s="327"/>
      <c r="AT1045" s="568"/>
      <c r="AU1045" s="327"/>
      <c r="AV1045" s="546" t="s">
        <v>334</v>
      </c>
      <c r="AW1045" s="327"/>
      <c r="AX1045" s="521"/>
      <c r="AY1045" s="326"/>
      <c r="AZ1045" s="327"/>
      <c r="BA1045" s="550"/>
      <c r="BB1045" s="327"/>
      <c r="BC1045" s="25"/>
      <c r="BD1045" s="544" t="s">
        <v>334</v>
      </c>
      <c r="BE1045" s="327"/>
      <c r="BF1045" s="545"/>
      <c r="BG1045" s="326"/>
      <c r="BH1045" s="326"/>
      <c r="BI1045" s="327"/>
      <c r="BJ1045" s="557" t="s">
        <v>303</v>
      </c>
      <c r="BK1045" s="326"/>
      <c r="BL1045" s="326"/>
      <c r="BM1045" s="327"/>
      <c r="BN1045" s="558" t="s">
        <v>303</v>
      </c>
      <c r="BO1045" s="326"/>
      <c r="BP1045" s="326"/>
      <c r="BQ1045" s="326"/>
      <c r="BR1045" s="326"/>
      <c r="BS1045" s="326"/>
      <c r="BT1045" s="326"/>
      <c r="BU1045" s="326"/>
      <c r="BV1045" s="327"/>
    </row>
    <row r="1046" spans="1:74" ht="45" customHeight="1" x14ac:dyDescent="0.25">
      <c r="A1046" s="10">
        <f t="shared" si="4"/>
        <v>1032</v>
      </c>
      <c r="B1046" s="564" t="s">
        <v>303</v>
      </c>
      <c r="C1046" s="327"/>
      <c r="D1046" s="565" t="s">
        <v>307</v>
      </c>
      <c r="E1046" s="327"/>
      <c r="F1046" s="537" t="s">
        <v>334</v>
      </c>
      <c r="G1046" s="327"/>
      <c r="H1046" s="561" t="s">
        <v>334</v>
      </c>
      <c r="I1046" s="327"/>
      <c r="J1046" s="562"/>
      <c r="K1046" s="327"/>
      <c r="L1046" s="562"/>
      <c r="M1046" s="327"/>
      <c r="N1046" s="20"/>
      <c r="O1046" s="21"/>
      <c r="P1046" s="524"/>
      <c r="Q1046" s="327"/>
      <c r="R1046" s="516"/>
      <c r="S1046" s="327"/>
      <c r="T1046" s="517"/>
      <c r="U1046" s="327"/>
      <c r="V1046" s="518"/>
      <c r="W1046" s="327"/>
      <c r="X1046" s="438" t="s">
        <v>303</v>
      </c>
      <c r="Y1046" s="326"/>
      <c r="Z1046" s="326"/>
      <c r="AA1046" s="327"/>
      <c r="AB1046" s="519" t="s">
        <v>303</v>
      </c>
      <c r="AC1046" s="326"/>
      <c r="AD1046" s="326"/>
      <c r="AE1046" s="327"/>
      <c r="AF1046" s="520"/>
      <c r="AG1046" s="327"/>
      <c r="AH1046" s="520"/>
      <c r="AI1046" s="327"/>
      <c r="AJ1046" s="536"/>
      <c r="AK1046" s="327"/>
      <c r="AL1046" s="556" t="s">
        <v>334</v>
      </c>
      <c r="AM1046" s="327"/>
      <c r="AN1046" s="553" t="s">
        <v>334</v>
      </c>
      <c r="AO1046" s="327"/>
      <c r="AP1046" s="554"/>
      <c r="AQ1046" s="327"/>
      <c r="AR1046" s="555"/>
      <c r="AS1046" s="327"/>
      <c r="AT1046" s="549"/>
      <c r="AU1046" s="327"/>
      <c r="AV1046" s="553" t="s">
        <v>334</v>
      </c>
      <c r="AW1046" s="327"/>
      <c r="AX1046" s="521"/>
      <c r="AY1046" s="326"/>
      <c r="AZ1046" s="327"/>
      <c r="BA1046" s="536"/>
      <c r="BB1046" s="327"/>
      <c r="BC1046" s="22"/>
      <c r="BD1046" s="551" t="s">
        <v>334</v>
      </c>
      <c r="BE1046" s="327"/>
      <c r="BF1046" s="552"/>
      <c r="BG1046" s="326"/>
      <c r="BH1046" s="326"/>
      <c r="BI1046" s="327"/>
      <c r="BJ1046" s="451" t="s">
        <v>303</v>
      </c>
      <c r="BK1046" s="326"/>
      <c r="BL1046" s="326"/>
      <c r="BM1046" s="327"/>
      <c r="BN1046" s="558" t="s">
        <v>303</v>
      </c>
      <c r="BO1046" s="326"/>
      <c r="BP1046" s="326"/>
      <c r="BQ1046" s="326"/>
      <c r="BR1046" s="326"/>
      <c r="BS1046" s="326"/>
      <c r="BT1046" s="326"/>
      <c r="BU1046" s="326"/>
      <c r="BV1046" s="327"/>
    </row>
    <row r="1047" spans="1:74" ht="45" customHeight="1" x14ac:dyDescent="0.25">
      <c r="A1047" s="10">
        <f t="shared" si="4"/>
        <v>1033</v>
      </c>
      <c r="B1047" s="559" t="s">
        <v>303</v>
      </c>
      <c r="C1047" s="327"/>
      <c r="D1047" s="560" t="s">
        <v>307</v>
      </c>
      <c r="E1047" s="327"/>
      <c r="F1047" s="537" t="s">
        <v>334</v>
      </c>
      <c r="G1047" s="327"/>
      <c r="H1047" s="566" t="s">
        <v>334</v>
      </c>
      <c r="I1047" s="327"/>
      <c r="J1047" s="567"/>
      <c r="K1047" s="327"/>
      <c r="L1047" s="567"/>
      <c r="M1047" s="327"/>
      <c r="N1047" s="23"/>
      <c r="O1047" s="24"/>
      <c r="P1047" s="563"/>
      <c r="Q1047" s="327"/>
      <c r="R1047" s="538"/>
      <c r="S1047" s="327"/>
      <c r="T1047" s="539"/>
      <c r="U1047" s="327"/>
      <c r="V1047" s="540"/>
      <c r="W1047" s="327"/>
      <c r="X1047" s="541" t="s">
        <v>303</v>
      </c>
      <c r="Y1047" s="326"/>
      <c r="Z1047" s="326"/>
      <c r="AA1047" s="327"/>
      <c r="AB1047" s="542" t="s">
        <v>303</v>
      </c>
      <c r="AC1047" s="326"/>
      <c r="AD1047" s="326"/>
      <c r="AE1047" s="327"/>
      <c r="AF1047" s="543"/>
      <c r="AG1047" s="327"/>
      <c r="AH1047" s="543"/>
      <c r="AI1047" s="327"/>
      <c r="AJ1047" s="536"/>
      <c r="AK1047" s="327"/>
      <c r="AL1047" s="537" t="s">
        <v>334</v>
      </c>
      <c r="AM1047" s="327"/>
      <c r="AN1047" s="546" t="s">
        <v>334</v>
      </c>
      <c r="AO1047" s="327"/>
      <c r="AP1047" s="547"/>
      <c r="AQ1047" s="327"/>
      <c r="AR1047" s="548"/>
      <c r="AS1047" s="327"/>
      <c r="AT1047" s="568"/>
      <c r="AU1047" s="327"/>
      <c r="AV1047" s="546" t="s">
        <v>334</v>
      </c>
      <c r="AW1047" s="327"/>
      <c r="AX1047" s="521"/>
      <c r="AY1047" s="326"/>
      <c r="AZ1047" s="327"/>
      <c r="BA1047" s="550"/>
      <c r="BB1047" s="327"/>
      <c r="BC1047" s="25"/>
      <c r="BD1047" s="544" t="s">
        <v>334</v>
      </c>
      <c r="BE1047" s="327"/>
      <c r="BF1047" s="545"/>
      <c r="BG1047" s="326"/>
      <c r="BH1047" s="326"/>
      <c r="BI1047" s="327"/>
      <c r="BJ1047" s="557" t="s">
        <v>303</v>
      </c>
      <c r="BK1047" s="326"/>
      <c r="BL1047" s="326"/>
      <c r="BM1047" s="327"/>
      <c r="BN1047" s="558" t="s">
        <v>303</v>
      </c>
      <c r="BO1047" s="326"/>
      <c r="BP1047" s="326"/>
      <c r="BQ1047" s="326"/>
      <c r="BR1047" s="326"/>
      <c r="BS1047" s="326"/>
      <c r="BT1047" s="326"/>
      <c r="BU1047" s="326"/>
      <c r="BV1047" s="327"/>
    </row>
    <row r="1048" spans="1:74" ht="45" customHeight="1" x14ac:dyDescent="0.25">
      <c r="A1048" s="10">
        <f t="shared" si="4"/>
        <v>1034</v>
      </c>
      <c r="B1048" s="564" t="s">
        <v>303</v>
      </c>
      <c r="C1048" s="327"/>
      <c r="D1048" s="565" t="s">
        <v>307</v>
      </c>
      <c r="E1048" s="327"/>
      <c r="F1048" s="537" t="s">
        <v>334</v>
      </c>
      <c r="G1048" s="327"/>
      <c r="H1048" s="561" t="s">
        <v>334</v>
      </c>
      <c r="I1048" s="327"/>
      <c r="J1048" s="562"/>
      <c r="K1048" s="327"/>
      <c r="L1048" s="562"/>
      <c r="M1048" s="327"/>
      <c r="N1048" s="20"/>
      <c r="O1048" s="21"/>
      <c r="P1048" s="524"/>
      <c r="Q1048" s="327"/>
      <c r="R1048" s="516"/>
      <c r="S1048" s="327"/>
      <c r="T1048" s="517"/>
      <c r="U1048" s="327"/>
      <c r="V1048" s="518"/>
      <c r="W1048" s="327"/>
      <c r="X1048" s="438" t="s">
        <v>303</v>
      </c>
      <c r="Y1048" s="326"/>
      <c r="Z1048" s="326"/>
      <c r="AA1048" s="327"/>
      <c r="AB1048" s="519" t="s">
        <v>303</v>
      </c>
      <c r="AC1048" s="326"/>
      <c r="AD1048" s="326"/>
      <c r="AE1048" s="327"/>
      <c r="AF1048" s="520"/>
      <c r="AG1048" s="327"/>
      <c r="AH1048" s="520"/>
      <c r="AI1048" s="327"/>
      <c r="AJ1048" s="536"/>
      <c r="AK1048" s="327"/>
      <c r="AL1048" s="556" t="s">
        <v>334</v>
      </c>
      <c r="AM1048" s="327"/>
      <c r="AN1048" s="553" t="s">
        <v>334</v>
      </c>
      <c r="AO1048" s="327"/>
      <c r="AP1048" s="554"/>
      <c r="AQ1048" s="327"/>
      <c r="AR1048" s="555"/>
      <c r="AS1048" s="327"/>
      <c r="AT1048" s="549"/>
      <c r="AU1048" s="327"/>
      <c r="AV1048" s="553" t="s">
        <v>334</v>
      </c>
      <c r="AW1048" s="327"/>
      <c r="AX1048" s="521"/>
      <c r="AY1048" s="326"/>
      <c r="AZ1048" s="327"/>
      <c r="BA1048" s="536"/>
      <c r="BB1048" s="327"/>
      <c r="BC1048" s="22"/>
      <c r="BD1048" s="551" t="s">
        <v>334</v>
      </c>
      <c r="BE1048" s="327"/>
      <c r="BF1048" s="552"/>
      <c r="BG1048" s="326"/>
      <c r="BH1048" s="326"/>
      <c r="BI1048" s="327"/>
      <c r="BJ1048" s="451" t="s">
        <v>303</v>
      </c>
      <c r="BK1048" s="326"/>
      <c r="BL1048" s="326"/>
      <c r="BM1048" s="327"/>
      <c r="BN1048" s="558" t="s">
        <v>303</v>
      </c>
      <c r="BO1048" s="326"/>
      <c r="BP1048" s="326"/>
      <c r="BQ1048" s="326"/>
      <c r="BR1048" s="326"/>
      <c r="BS1048" s="326"/>
      <c r="BT1048" s="326"/>
      <c r="BU1048" s="326"/>
      <c r="BV1048" s="327"/>
    </row>
    <row r="1049" spans="1:74" ht="45" customHeight="1" x14ac:dyDescent="0.25">
      <c r="A1049" s="10">
        <f t="shared" si="4"/>
        <v>1035</v>
      </c>
      <c r="B1049" s="559" t="s">
        <v>303</v>
      </c>
      <c r="C1049" s="327"/>
      <c r="D1049" s="560" t="s">
        <v>307</v>
      </c>
      <c r="E1049" s="327"/>
      <c r="F1049" s="537" t="s">
        <v>334</v>
      </c>
      <c r="G1049" s="327"/>
      <c r="H1049" s="566" t="s">
        <v>334</v>
      </c>
      <c r="I1049" s="327"/>
      <c r="J1049" s="567"/>
      <c r="K1049" s="327"/>
      <c r="L1049" s="567"/>
      <c r="M1049" s="327"/>
      <c r="N1049" s="23"/>
      <c r="O1049" s="24"/>
      <c r="P1049" s="563"/>
      <c r="Q1049" s="327"/>
      <c r="R1049" s="538"/>
      <c r="S1049" s="327"/>
      <c r="T1049" s="539"/>
      <c r="U1049" s="327"/>
      <c r="V1049" s="540"/>
      <c r="W1049" s="327"/>
      <c r="X1049" s="541" t="s">
        <v>303</v>
      </c>
      <c r="Y1049" s="326"/>
      <c r="Z1049" s="326"/>
      <c r="AA1049" s="327"/>
      <c r="AB1049" s="542" t="s">
        <v>303</v>
      </c>
      <c r="AC1049" s="326"/>
      <c r="AD1049" s="326"/>
      <c r="AE1049" s="327"/>
      <c r="AF1049" s="543"/>
      <c r="AG1049" s="327"/>
      <c r="AH1049" s="543"/>
      <c r="AI1049" s="327"/>
      <c r="AJ1049" s="536"/>
      <c r="AK1049" s="327"/>
      <c r="AL1049" s="537" t="s">
        <v>334</v>
      </c>
      <c r="AM1049" s="327"/>
      <c r="AN1049" s="546" t="s">
        <v>334</v>
      </c>
      <c r="AO1049" s="327"/>
      <c r="AP1049" s="547"/>
      <c r="AQ1049" s="327"/>
      <c r="AR1049" s="548"/>
      <c r="AS1049" s="327"/>
      <c r="AT1049" s="568"/>
      <c r="AU1049" s="327"/>
      <c r="AV1049" s="546" t="s">
        <v>334</v>
      </c>
      <c r="AW1049" s="327"/>
      <c r="AX1049" s="521"/>
      <c r="AY1049" s="326"/>
      <c r="AZ1049" s="327"/>
      <c r="BA1049" s="550"/>
      <c r="BB1049" s="327"/>
      <c r="BC1049" s="25"/>
      <c r="BD1049" s="544" t="s">
        <v>334</v>
      </c>
      <c r="BE1049" s="327"/>
      <c r="BF1049" s="545"/>
      <c r="BG1049" s="326"/>
      <c r="BH1049" s="326"/>
      <c r="BI1049" s="327"/>
      <c r="BJ1049" s="557" t="s">
        <v>303</v>
      </c>
      <c r="BK1049" s="326"/>
      <c r="BL1049" s="326"/>
      <c r="BM1049" s="327"/>
      <c r="BN1049" s="558" t="s">
        <v>303</v>
      </c>
      <c r="BO1049" s="326"/>
      <c r="BP1049" s="326"/>
      <c r="BQ1049" s="326"/>
      <c r="BR1049" s="326"/>
      <c r="BS1049" s="326"/>
      <c r="BT1049" s="326"/>
      <c r="BU1049" s="326"/>
      <c r="BV1049" s="327"/>
    </row>
    <row r="1050" spans="1:74" ht="45" customHeight="1" x14ac:dyDescent="0.25">
      <c r="A1050" s="10">
        <f t="shared" si="4"/>
        <v>1036</v>
      </c>
      <c r="B1050" s="564" t="s">
        <v>303</v>
      </c>
      <c r="C1050" s="327"/>
      <c r="D1050" s="565" t="s">
        <v>307</v>
      </c>
      <c r="E1050" s="327"/>
      <c r="F1050" s="537" t="s">
        <v>334</v>
      </c>
      <c r="G1050" s="327"/>
      <c r="H1050" s="561" t="s">
        <v>334</v>
      </c>
      <c r="I1050" s="327"/>
      <c r="J1050" s="562"/>
      <c r="K1050" s="327"/>
      <c r="L1050" s="562"/>
      <c r="M1050" s="327"/>
      <c r="N1050" s="20"/>
      <c r="O1050" s="21"/>
      <c r="P1050" s="524"/>
      <c r="Q1050" s="327"/>
      <c r="R1050" s="516"/>
      <c r="S1050" s="327"/>
      <c r="T1050" s="517"/>
      <c r="U1050" s="327"/>
      <c r="V1050" s="518"/>
      <c r="W1050" s="327"/>
      <c r="X1050" s="438" t="s">
        <v>303</v>
      </c>
      <c r="Y1050" s="326"/>
      <c r="Z1050" s="326"/>
      <c r="AA1050" s="327"/>
      <c r="AB1050" s="519" t="s">
        <v>303</v>
      </c>
      <c r="AC1050" s="326"/>
      <c r="AD1050" s="326"/>
      <c r="AE1050" s="327"/>
      <c r="AF1050" s="520"/>
      <c r="AG1050" s="327"/>
      <c r="AH1050" s="520"/>
      <c r="AI1050" s="327"/>
      <c r="AJ1050" s="536"/>
      <c r="AK1050" s="327"/>
      <c r="AL1050" s="556" t="s">
        <v>334</v>
      </c>
      <c r="AM1050" s="327"/>
      <c r="AN1050" s="553" t="s">
        <v>334</v>
      </c>
      <c r="AO1050" s="327"/>
      <c r="AP1050" s="554"/>
      <c r="AQ1050" s="327"/>
      <c r="AR1050" s="555"/>
      <c r="AS1050" s="327"/>
      <c r="AT1050" s="549"/>
      <c r="AU1050" s="327"/>
      <c r="AV1050" s="553" t="s">
        <v>334</v>
      </c>
      <c r="AW1050" s="327"/>
      <c r="AX1050" s="521"/>
      <c r="AY1050" s="326"/>
      <c r="AZ1050" s="327"/>
      <c r="BA1050" s="536"/>
      <c r="BB1050" s="327"/>
      <c r="BC1050" s="22"/>
      <c r="BD1050" s="551" t="s">
        <v>334</v>
      </c>
      <c r="BE1050" s="327"/>
      <c r="BF1050" s="508"/>
      <c r="BG1050" s="326"/>
      <c r="BH1050" s="326"/>
      <c r="BI1050" s="327"/>
      <c r="BJ1050" s="451" t="s">
        <v>303</v>
      </c>
      <c r="BK1050" s="326"/>
      <c r="BL1050" s="326"/>
      <c r="BM1050" s="327"/>
      <c r="BN1050" s="558" t="s">
        <v>303</v>
      </c>
      <c r="BO1050" s="326"/>
      <c r="BP1050" s="326"/>
      <c r="BQ1050" s="326"/>
      <c r="BR1050" s="326"/>
      <c r="BS1050" s="326"/>
      <c r="BT1050" s="326"/>
      <c r="BU1050" s="326"/>
      <c r="BV1050" s="327"/>
    </row>
    <row r="1051" spans="1:74" ht="45" customHeight="1" x14ac:dyDescent="0.25">
      <c r="A1051" s="10">
        <f t="shared" si="4"/>
        <v>1037</v>
      </c>
      <c r="B1051" s="559" t="s">
        <v>303</v>
      </c>
      <c r="C1051" s="327"/>
      <c r="D1051" s="560" t="s">
        <v>307</v>
      </c>
      <c r="E1051" s="327"/>
      <c r="F1051" s="537" t="s">
        <v>334</v>
      </c>
      <c r="G1051" s="327"/>
      <c r="H1051" s="566" t="s">
        <v>334</v>
      </c>
      <c r="I1051" s="327"/>
      <c r="J1051" s="567"/>
      <c r="K1051" s="327"/>
      <c r="L1051" s="567"/>
      <c r="M1051" s="327"/>
      <c r="N1051" s="23"/>
      <c r="O1051" s="24"/>
      <c r="P1051" s="563"/>
      <c r="Q1051" s="327"/>
      <c r="R1051" s="538"/>
      <c r="S1051" s="327"/>
      <c r="T1051" s="539"/>
      <c r="U1051" s="327"/>
      <c r="V1051" s="540"/>
      <c r="W1051" s="327"/>
      <c r="X1051" s="541" t="s">
        <v>303</v>
      </c>
      <c r="Y1051" s="326"/>
      <c r="Z1051" s="326"/>
      <c r="AA1051" s="327"/>
      <c r="AB1051" s="542" t="s">
        <v>303</v>
      </c>
      <c r="AC1051" s="326"/>
      <c r="AD1051" s="326"/>
      <c r="AE1051" s="327"/>
      <c r="AF1051" s="543"/>
      <c r="AG1051" s="327"/>
      <c r="AH1051" s="543"/>
      <c r="AI1051" s="327"/>
      <c r="AJ1051" s="536"/>
      <c r="AK1051" s="327"/>
      <c r="AL1051" s="537" t="s">
        <v>334</v>
      </c>
      <c r="AM1051" s="327"/>
      <c r="AN1051" s="546" t="s">
        <v>334</v>
      </c>
      <c r="AO1051" s="327"/>
      <c r="AP1051" s="547"/>
      <c r="AQ1051" s="327"/>
      <c r="AR1051" s="548"/>
      <c r="AS1051" s="327"/>
      <c r="AT1051" s="568"/>
      <c r="AU1051" s="327"/>
      <c r="AV1051" s="546" t="s">
        <v>334</v>
      </c>
      <c r="AW1051" s="327"/>
      <c r="AX1051" s="521"/>
      <c r="AY1051" s="326"/>
      <c r="AZ1051" s="327"/>
      <c r="BA1051" s="550"/>
      <c r="BB1051" s="327"/>
      <c r="BC1051" s="25"/>
      <c r="BD1051" s="544" t="s">
        <v>334</v>
      </c>
      <c r="BE1051" s="327"/>
      <c r="BF1051" s="545"/>
      <c r="BG1051" s="326"/>
      <c r="BH1051" s="326"/>
      <c r="BI1051" s="327"/>
      <c r="BJ1051" s="557" t="s">
        <v>303</v>
      </c>
      <c r="BK1051" s="326"/>
      <c r="BL1051" s="326"/>
      <c r="BM1051" s="327"/>
      <c r="BN1051" s="558" t="s">
        <v>303</v>
      </c>
      <c r="BO1051" s="326"/>
      <c r="BP1051" s="326"/>
      <c r="BQ1051" s="326"/>
      <c r="BR1051" s="326"/>
      <c r="BS1051" s="326"/>
      <c r="BT1051" s="326"/>
      <c r="BU1051" s="326"/>
      <c r="BV1051" s="327"/>
    </row>
    <row r="1052" spans="1:74" ht="45" customHeight="1" x14ac:dyDescent="0.25">
      <c r="A1052" s="10">
        <f t="shared" si="4"/>
        <v>1038</v>
      </c>
      <c r="B1052" s="564" t="s">
        <v>303</v>
      </c>
      <c r="C1052" s="327"/>
      <c r="D1052" s="565" t="s">
        <v>307</v>
      </c>
      <c r="E1052" s="327"/>
      <c r="F1052" s="537" t="s">
        <v>334</v>
      </c>
      <c r="G1052" s="327"/>
      <c r="H1052" s="561" t="s">
        <v>334</v>
      </c>
      <c r="I1052" s="327"/>
      <c r="J1052" s="562"/>
      <c r="K1052" s="327"/>
      <c r="L1052" s="562"/>
      <c r="M1052" s="327"/>
      <c r="N1052" s="20"/>
      <c r="O1052" s="21"/>
      <c r="P1052" s="524"/>
      <c r="Q1052" s="327"/>
      <c r="R1052" s="516"/>
      <c r="S1052" s="327"/>
      <c r="T1052" s="517"/>
      <c r="U1052" s="327"/>
      <c r="V1052" s="518"/>
      <c r="W1052" s="327"/>
      <c r="X1052" s="438" t="s">
        <v>303</v>
      </c>
      <c r="Y1052" s="326"/>
      <c r="Z1052" s="326"/>
      <c r="AA1052" s="327"/>
      <c r="AB1052" s="519" t="s">
        <v>303</v>
      </c>
      <c r="AC1052" s="326"/>
      <c r="AD1052" s="326"/>
      <c r="AE1052" s="327"/>
      <c r="AF1052" s="520"/>
      <c r="AG1052" s="327"/>
      <c r="AH1052" s="520"/>
      <c r="AI1052" s="327"/>
      <c r="AJ1052" s="536"/>
      <c r="AK1052" s="327"/>
      <c r="AL1052" s="556" t="s">
        <v>334</v>
      </c>
      <c r="AM1052" s="327"/>
      <c r="AN1052" s="553" t="s">
        <v>334</v>
      </c>
      <c r="AO1052" s="327"/>
      <c r="AP1052" s="554"/>
      <c r="AQ1052" s="327"/>
      <c r="AR1052" s="555"/>
      <c r="AS1052" s="327"/>
      <c r="AT1052" s="549"/>
      <c r="AU1052" s="327"/>
      <c r="AV1052" s="553" t="s">
        <v>334</v>
      </c>
      <c r="AW1052" s="327"/>
      <c r="AX1052" s="521"/>
      <c r="AY1052" s="326"/>
      <c r="AZ1052" s="327"/>
      <c r="BA1052" s="536"/>
      <c r="BB1052" s="327"/>
      <c r="BC1052" s="22"/>
      <c r="BD1052" s="551" t="s">
        <v>334</v>
      </c>
      <c r="BE1052" s="327"/>
      <c r="BF1052" s="552"/>
      <c r="BG1052" s="326"/>
      <c r="BH1052" s="326"/>
      <c r="BI1052" s="327"/>
      <c r="BJ1052" s="451" t="s">
        <v>303</v>
      </c>
      <c r="BK1052" s="326"/>
      <c r="BL1052" s="326"/>
      <c r="BM1052" s="327"/>
      <c r="BN1052" s="558" t="s">
        <v>303</v>
      </c>
      <c r="BO1052" s="326"/>
      <c r="BP1052" s="326"/>
      <c r="BQ1052" s="326"/>
      <c r="BR1052" s="326"/>
      <c r="BS1052" s="326"/>
      <c r="BT1052" s="326"/>
      <c r="BU1052" s="326"/>
      <c r="BV1052" s="327"/>
    </row>
    <row r="1053" spans="1:74" ht="45" customHeight="1" x14ac:dyDescent="0.25">
      <c r="A1053" s="10">
        <f t="shared" si="4"/>
        <v>1039</v>
      </c>
      <c r="B1053" s="559" t="s">
        <v>303</v>
      </c>
      <c r="C1053" s="327"/>
      <c r="D1053" s="560" t="s">
        <v>307</v>
      </c>
      <c r="E1053" s="327"/>
      <c r="F1053" s="537" t="s">
        <v>334</v>
      </c>
      <c r="G1053" s="327"/>
      <c r="H1053" s="566" t="s">
        <v>334</v>
      </c>
      <c r="I1053" s="327"/>
      <c r="J1053" s="567"/>
      <c r="K1053" s="327"/>
      <c r="L1053" s="567"/>
      <c r="M1053" s="327"/>
      <c r="N1053" s="23"/>
      <c r="O1053" s="24"/>
      <c r="P1053" s="563"/>
      <c r="Q1053" s="327"/>
      <c r="R1053" s="538"/>
      <c r="S1053" s="327"/>
      <c r="T1053" s="539"/>
      <c r="U1053" s="327"/>
      <c r="V1053" s="540"/>
      <c r="W1053" s="327"/>
      <c r="X1053" s="541" t="s">
        <v>303</v>
      </c>
      <c r="Y1053" s="326"/>
      <c r="Z1053" s="326"/>
      <c r="AA1053" s="327"/>
      <c r="AB1053" s="542" t="s">
        <v>303</v>
      </c>
      <c r="AC1053" s="326"/>
      <c r="AD1053" s="326"/>
      <c r="AE1053" s="327"/>
      <c r="AF1053" s="543"/>
      <c r="AG1053" s="327"/>
      <c r="AH1053" s="543"/>
      <c r="AI1053" s="327"/>
      <c r="AJ1053" s="536"/>
      <c r="AK1053" s="327"/>
      <c r="AL1053" s="537" t="s">
        <v>334</v>
      </c>
      <c r="AM1053" s="327"/>
      <c r="AN1053" s="546" t="s">
        <v>334</v>
      </c>
      <c r="AO1053" s="327"/>
      <c r="AP1053" s="547"/>
      <c r="AQ1053" s="327"/>
      <c r="AR1053" s="548"/>
      <c r="AS1053" s="327"/>
      <c r="AT1053" s="549"/>
      <c r="AU1053" s="327"/>
      <c r="AV1053" s="546" t="s">
        <v>334</v>
      </c>
      <c r="AW1053" s="327"/>
      <c r="AX1053" s="521"/>
      <c r="AY1053" s="326"/>
      <c r="AZ1053" s="327"/>
      <c r="BA1053" s="550"/>
      <c r="BB1053" s="327"/>
      <c r="BC1053" s="25"/>
      <c r="BD1053" s="544" t="s">
        <v>334</v>
      </c>
      <c r="BE1053" s="327"/>
      <c r="BF1053" s="545"/>
      <c r="BG1053" s="326"/>
      <c r="BH1053" s="326"/>
      <c r="BI1053" s="327"/>
      <c r="BJ1053" s="557" t="s">
        <v>303</v>
      </c>
      <c r="BK1053" s="326"/>
      <c r="BL1053" s="326"/>
      <c r="BM1053" s="327"/>
      <c r="BN1053" s="558" t="s">
        <v>303</v>
      </c>
      <c r="BO1053" s="326"/>
      <c r="BP1053" s="326"/>
      <c r="BQ1053" s="326"/>
      <c r="BR1053" s="326"/>
      <c r="BS1053" s="326"/>
      <c r="BT1053" s="326"/>
      <c r="BU1053" s="326"/>
      <c r="BV1053" s="327"/>
    </row>
    <row r="1054" spans="1:74" ht="45" customHeight="1" x14ac:dyDescent="0.25">
      <c r="A1054" s="10">
        <f t="shared" si="4"/>
        <v>1040</v>
      </c>
      <c r="B1054" s="564" t="s">
        <v>303</v>
      </c>
      <c r="C1054" s="327"/>
      <c r="D1054" s="565" t="s">
        <v>307</v>
      </c>
      <c r="E1054" s="327"/>
      <c r="F1054" s="537" t="s">
        <v>334</v>
      </c>
      <c r="G1054" s="327"/>
      <c r="H1054" s="561" t="s">
        <v>334</v>
      </c>
      <c r="I1054" s="327"/>
      <c r="J1054" s="562"/>
      <c r="K1054" s="327"/>
      <c r="L1054" s="562"/>
      <c r="M1054" s="327"/>
      <c r="N1054" s="20"/>
      <c r="O1054" s="21"/>
      <c r="P1054" s="524"/>
      <c r="Q1054" s="327"/>
      <c r="R1054" s="516"/>
      <c r="S1054" s="327"/>
      <c r="T1054" s="517"/>
      <c r="U1054" s="327"/>
      <c r="V1054" s="518"/>
      <c r="W1054" s="327"/>
      <c r="X1054" s="438" t="s">
        <v>303</v>
      </c>
      <c r="Y1054" s="326"/>
      <c r="Z1054" s="326"/>
      <c r="AA1054" s="327"/>
      <c r="AB1054" s="519" t="s">
        <v>303</v>
      </c>
      <c r="AC1054" s="326"/>
      <c r="AD1054" s="326"/>
      <c r="AE1054" s="327"/>
      <c r="AF1054" s="520"/>
      <c r="AG1054" s="327"/>
      <c r="AH1054" s="520"/>
      <c r="AI1054" s="327"/>
      <c r="AJ1054" s="536"/>
      <c r="AK1054" s="327"/>
      <c r="AL1054" s="556" t="s">
        <v>334</v>
      </c>
      <c r="AM1054" s="327"/>
      <c r="AN1054" s="553" t="s">
        <v>334</v>
      </c>
      <c r="AO1054" s="327"/>
      <c r="AP1054" s="554"/>
      <c r="AQ1054" s="327"/>
      <c r="AR1054" s="555"/>
      <c r="AS1054" s="327"/>
      <c r="AT1054" s="549"/>
      <c r="AU1054" s="327"/>
      <c r="AV1054" s="553" t="s">
        <v>334</v>
      </c>
      <c r="AW1054" s="327"/>
      <c r="AX1054" s="521"/>
      <c r="AY1054" s="326"/>
      <c r="AZ1054" s="327"/>
      <c r="BA1054" s="536"/>
      <c r="BB1054" s="327"/>
      <c r="BC1054" s="22"/>
      <c r="BD1054" s="551" t="s">
        <v>334</v>
      </c>
      <c r="BE1054" s="327"/>
      <c r="BF1054" s="552"/>
      <c r="BG1054" s="326"/>
      <c r="BH1054" s="326"/>
      <c r="BI1054" s="327"/>
      <c r="BJ1054" s="451" t="s">
        <v>303</v>
      </c>
      <c r="BK1054" s="326"/>
      <c r="BL1054" s="326"/>
      <c r="BM1054" s="327"/>
      <c r="BN1054" s="558" t="s">
        <v>303</v>
      </c>
      <c r="BO1054" s="326"/>
      <c r="BP1054" s="326"/>
      <c r="BQ1054" s="326"/>
      <c r="BR1054" s="326"/>
      <c r="BS1054" s="326"/>
      <c r="BT1054" s="326"/>
      <c r="BU1054" s="326"/>
      <c r="BV1054" s="327"/>
    </row>
    <row r="1055" spans="1:74" ht="45" customHeight="1" x14ac:dyDescent="0.25">
      <c r="A1055" s="10">
        <f t="shared" si="4"/>
        <v>1041</v>
      </c>
      <c r="B1055" s="559" t="s">
        <v>303</v>
      </c>
      <c r="C1055" s="327"/>
      <c r="D1055" s="560" t="s">
        <v>307</v>
      </c>
      <c r="E1055" s="327"/>
      <c r="F1055" s="537" t="s">
        <v>334</v>
      </c>
      <c r="G1055" s="327"/>
      <c r="H1055" s="566" t="s">
        <v>334</v>
      </c>
      <c r="I1055" s="327"/>
      <c r="J1055" s="567"/>
      <c r="K1055" s="327"/>
      <c r="L1055" s="567"/>
      <c r="M1055" s="327"/>
      <c r="N1055" s="23"/>
      <c r="O1055" s="24"/>
      <c r="P1055" s="563"/>
      <c r="Q1055" s="327"/>
      <c r="R1055" s="538"/>
      <c r="S1055" s="327"/>
      <c r="T1055" s="539"/>
      <c r="U1055" s="327"/>
      <c r="V1055" s="540"/>
      <c r="W1055" s="327"/>
      <c r="X1055" s="541" t="s">
        <v>303</v>
      </c>
      <c r="Y1055" s="326"/>
      <c r="Z1055" s="326"/>
      <c r="AA1055" s="327"/>
      <c r="AB1055" s="542" t="s">
        <v>303</v>
      </c>
      <c r="AC1055" s="326"/>
      <c r="AD1055" s="326"/>
      <c r="AE1055" s="327"/>
      <c r="AF1055" s="543"/>
      <c r="AG1055" s="327"/>
      <c r="AH1055" s="543"/>
      <c r="AI1055" s="327"/>
      <c r="AJ1055" s="536"/>
      <c r="AK1055" s="327"/>
      <c r="AL1055" s="537" t="s">
        <v>334</v>
      </c>
      <c r="AM1055" s="327"/>
      <c r="AN1055" s="546" t="s">
        <v>334</v>
      </c>
      <c r="AO1055" s="327"/>
      <c r="AP1055" s="547"/>
      <c r="AQ1055" s="327"/>
      <c r="AR1055" s="548"/>
      <c r="AS1055" s="327"/>
      <c r="AT1055" s="549"/>
      <c r="AU1055" s="327"/>
      <c r="AV1055" s="546" t="s">
        <v>334</v>
      </c>
      <c r="AW1055" s="327"/>
      <c r="AX1055" s="521"/>
      <c r="AY1055" s="326"/>
      <c r="AZ1055" s="327"/>
      <c r="BA1055" s="550"/>
      <c r="BB1055" s="327"/>
      <c r="BC1055" s="25"/>
      <c r="BD1055" s="544" t="s">
        <v>334</v>
      </c>
      <c r="BE1055" s="327"/>
      <c r="BF1055" s="545"/>
      <c r="BG1055" s="326"/>
      <c r="BH1055" s="326"/>
      <c r="BI1055" s="327"/>
      <c r="BJ1055" s="557" t="s">
        <v>303</v>
      </c>
      <c r="BK1055" s="326"/>
      <c r="BL1055" s="326"/>
      <c r="BM1055" s="327"/>
      <c r="BN1055" s="558" t="s">
        <v>303</v>
      </c>
      <c r="BO1055" s="326"/>
      <c r="BP1055" s="326"/>
      <c r="BQ1055" s="326"/>
      <c r="BR1055" s="326"/>
      <c r="BS1055" s="326"/>
      <c r="BT1055" s="326"/>
      <c r="BU1055" s="326"/>
      <c r="BV1055" s="327"/>
    </row>
    <row r="1056" spans="1:74" ht="45" customHeight="1" x14ac:dyDescent="0.25">
      <c r="A1056" s="10">
        <f t="shared" si="4"/>
        <v>1042</v>
      </c>
      <c r="B1056" s="564" t="s">
        <v>303</v>
      </c>
      <c r="C1056" s="327"/>
      <c r="D1056" s="565" t="s">
        <v>307</v>
      </c>
      <c r="E1056" s="327"/>
      <c r="F1056" s="537" t="s">
        <v>334</v>
      </c>
      <c r="G1056" s="327"/>
      <c r="H1056" s="561" t="s">
        <v>334</v>
      </c>
      <c r="I1056" s="327"/>
      <c r="J1056" s="562"/>
      <c r="K1056" s="327"/>
      <c r="L1056" s="562"/>
      <c r="M1056" s="327"/>
      <c r="N1056" s="20"/>
      <c r="O1056" s="21"/>
      <c r="P1056" s="524"/>
      <c r="Q1056" s="327"/>
      <c r="R1056" s="516"/>
      <c r="S1056" s="327"/>
      <c r="T1056" s="517"/>
      <c r="U1056" s="327"/>
      <c r="V1056" s="518"/>
      <c r="W1056" s="327"/>
      <c r="X1056" s="438" t="s">
        <v>303</v>
      </c>
      <c r="Y1056" s="326"/>
      <c r="Z1056" s="326"/>
      <c r="AA1056" s="327"/>
      <c r="AB1056" s="519" t="s">
        <v>303</v>
      </c>
      <c r="AC1056" s="326"/>
      <c r="AD1056" s="326"/>
      <c r="AE1056" s="327"/>
      <c r="AF1056" s="520"/>
      <c r="AG1056" s="327"/>
      <c r="AH1056" s="520"/>
      <c r="AI1056" s="327"/>
      <c r="AJ1056" s="536"/>
      <c r="AK1056" s="327"/>
      <c r="AL1056" s="556" t="s">
        <v>334</v>
      </c>
      <c r="AM1056" s="327"/>
      <c r="AN1056" s="553" t="s">
        <v>334</v>
      </c>
      <c r="AO1056" s="327"/>
      <c r="AP1056" s="554"/>
      <c r="AQ1056" s="327"/>
      <c r="AR1056" s="555"/>
      <c r="AS1056" s="327"/>
      <c r="AT1056" s="549"/>
      <c r="AU1056" s="327"/>
      <c r="AV1056" s="553" t="s">
        <v>334</v>
      </c>
      <c r="AW1056" s="327"/>
      <c r="AX1056" s="521"/>
      <c r="AY1056" s="326"/>
      <c r="AZ1056" s="327"/>
      <c r="BA1056" s="536"/>
      <c r="BB1056" s="327"/>
      <c r="BC1056" s="22"/>
      <c r="BD1056" s="551" t="s">
        <v>334</v>
      </c>
      <c r="BE1056" s="327"/>
      <c r="BF1056" s="552"/>
      <c r="BG1056" s="326"/>
      <c r="BH1056" s="326"/>
      <c r="BI1056" s="327"/>
      <c r="BJ1056" s="451" t="s">
        <v>303</v>
      </c>
      <c r="BK1056" s="326"/>
      <c r="BL1056" s="326"/>
      <c r="BM1056" s="327"/>
      <c r="BN1056" s="558" t="s">
        <v>303</v>
      </c>
      <c r="BO1056" s="326"/>
      <c r="BP1056" s="326"/>
      <c r="BQ1056" s="326"/>
      <c r="BR1056" s="326"/>
      <c r="BS1056" s="326"/>
      <c r="BT1056" s="326"/>
      <c r="BU1056" s="326"/>
      <c r="BV1056" s="327"/>
    </row>
    <row r="1057" spans="1:74" ht="45" customHeight="1" x14ac:dyDescent="0.25">
      <c r="A1057" s="10">
        <f t="shared" si="4"/>
        <v>1043</v>
      </c>
      <c r="B1057" s="559" t="s">
        <v>303</v>
      </c>
      <c r="C1057" s="327"/>
      <c r="D1057" s="560" t="s">
        <v>307</v>
      </c>
      <c r="E1057" s="327"/>
      <c r="F1057" s="537" t="s">
        <v>334</v>
      </c>
      <c r="G1057" s="327"/>
      <c r="H1057" s="566" t="s">
        <v>334</v>
      </c>
      <c r="I1057" s="327"/>
      <c r="J1057" s="567"/>
      <c r="K1057" s="327"/>
      <c r="L1057" s="567"/>
      <c r="M1057" s="327"/>
      <c r="N1057" s="23"/>
      <c r="O1057" s="24"/>
      <c r="P1057" s="563"/>
      <c r="Q1057" s="327"/>
      <c r="R1057" s="538"/>
      <c r="S1057" s="327"/>
      <c r="T1057" s="539"/>
      <c r="U1057" s="327"/>
      <c r="V1057" s="540"/>
      <c r="W1057" s="327"/>
      <c r="X1057" s="541" t="s">
        <v>303</v>
      </c>
      <c r="Y1057" s="326"/>
      <c r="Z1057" s="326"/>
      <c r="AA1057" s="327"/>
      <c r="AB1057" s="542" t="s">
        <v>303</v>
      </c>
      <c r="AC1057" s="326"/>
      <c r="AD1057" s="326"/>
      <c r="AE1057" s="327"/>
      <c r="AF1057" s="543"/>
      <c r="AG1057" s="327"/>
      <c r="AH1057" s="543"/>
      <c r="AI1057" s="327"/>
      <c r="AJ1057" s="536"/>
      <c r="AK1057" s="327"/>
      <c r="AL1057" s="537" t="s">
        <v>334</v>
      </c>
      <c r="AM1057" s="327"/>
      <c r="AN1057" s="546" t="s">
        <v>334</v>
      </c>
      <c r="AO1057" s="327"/>
      <c r="AP1057" s="547"/>
      <c r="AQ1057" s="327"/>
      <c r="AR1057" s="548"/>
      <c r="AS1057" s="327"/>
      <c r="AT1057" s="568"/>
      <c r="AU1057" s="327"/>
      <c r="AV1057" s="546" t="s">
        <v>334</v>
      </c>
      <c r="AW1057" s="327"/>
      <c r="AX1057" s="521"/>
      <c r="AY1057" s="326"/>
      <c r="AZ1057" s="327"/>
      <c r="BA1057" s="550"/>
      <c r="BB1057" s="327"/>
      <c r="BC1057" s="25"/>
      <c r="BD1057" s="544" t="s">
        <v>334</v>
      </c>
      <c r="BE1057" s="327"/>
      <c r="BF1057" s="545"/>
      <c r="BG1057" s="326"/>
      <c r="BH1057" s="326"/>
      <c r="BI1057" s="327"/>
      <c r="BJ1057" s="557" t="s">
        <v>303</v>
      </c>
      <c r="BK1057" s="326"/>
      <c r="BL1057" s="326"/>
      <c r="BM1057" s="327"/>
      <c r="BN1057" s="558" t="s">
        <v>303</v>
      </c>
      <c r="BO1057" s="326"/>
      <c r="BP1057" s="326"/>
      <c r="BQ1057" s="326"/>
      <c r="BR1057" s="326"/>
      <c r="BS1057" s="326"/>
      <c r="BT1057" s="326"/>
      <c r="BU1057" s="326"/>
      <c r="BV1057" s="327"/>
    </row>
    <row r="1058" spans="1:74" ht="45" customHeight="1" x14ac:dyDescent="0.25">
      <c r="A1058" s="10">
        <f t="shared" si="4"/>
        <v>1044</v>
      </c>
      <c r="B1058" s="564" t="s">
        <v>303</v>
      </c>
      <c r="C1058" s="327"/>
      <c r="D1058" s="565" t="s">
        <v>307</v>
      </c>
      <c r="E1058" s="327"/>
      <c r="F1058" s="537" t="s">
        <v>334</v>
      </c>
      <c r="G1058" s="327"/>
      <c r="H1058" s="561" t="s">
        <v>334</v>
      </c>
      <c r="I1058" s="327"/>
      <c r="J1058" s="562"/>
      <c r="K1058" s="327"/>
      <c r="L1058" s="562"/>
      <c r="M1058" s="327"/>
      <c r="N1058" s="20"/>
      <c r="O1058" s="21"/>
      <c r="P1058" s="524"/>
      <c r="Q1058" s="327"/>
      <c r="R1058" s="516"/>
      <c r="S1058" s="327"/>
      <c r="T1058" s="517"/>
      <c r="U1058" s="327"/>
      <c r="V1058" s="518"/>
      <c r="W1058" s="327"/>
      <c r="X1058" s="438" t="s">
        <v>303</v>
      </c>
      <c r="Y1058" s="326"/>
      <c r="Z1058" s="326"/>
      <c r="AA1058" s="327"/>
      <c r="AB1058" s="519" t="s">
        <v>303</v>
      </c>
      <c r="AC1058" s="326"/>
      <c r="AD1058" s="326"/>
      <c r="AE1058" s="327"/>
      <c r="AF1058" s="520"/>
      <c r="AG1058" s="327"/>
      <c r="AH1058" s="520"/>
      <c r="AI1058" s="327"/>
      <c r="AJ1058" s="536"/>
      <c r="AK1058" s="327"/>
      <c r="AL1058" s="556" t="s">
        <v>334</v>
      </c>
      <c r="AM1058" s="327"/>
      <c r="AN1058" s="553" t="s">
        <v>334</v>
      </c>
      <c r="AO1058" s="327"/>
      <c r="AP1058" s="554"/>
      <c r="AQ1058" s="327"/>
      <c r="AR1058" s="555"/>
      <c r="AS1058" s="327"/>
      <c r="AT1058" s="549"/>
      <c r="AU1058" s="327"/>
      <c r="AV1058" s="553" t="s">
        <v>334</v>
      </c>
      <c r="AW1058" s="327"/>
      <c r="AX1058" s="521"/>
      <c r="AY1058" s="326"/>
      <c r="AZ1058" s="327"/>
      <c r="BA1058" s="536"/>
      <c r="BB1058" s="327"/>
      <c r="BC1058" s="22"/>
      <c r="BD1058" s="551" t="s">
        <v>334</v>
      </c>
      <c r="BE1058" s="327"/>
      <c r="BF1058" s="508"/>
      <c r="BG1058" s="326"/>
      <c r="BH1058" s="326"/>
      <c r="BI1058" s="327"/>
      <c r="BJ1058" s="451" t="s">
        <v>303</v>
      </c>
      <c r="BK1058" s="326"/>
      <c r="BL1058" s="326"/>
      <c r="BM1058" s="327"/>
      <c r="BN1058" s="558" t="s">
        <v>303</v>
      </c>
      <c r="BO1058" s="326"/>
      <c r="BP1058" s="326"/>
      <c r="BQ1058" s="326"/>
      <c r="BR1058" s="326"/>
      <c r="BS1058" s="326"/>
      <c r="BT1058" s="326"/>
      <c r="BU1058" s="326"/>
      <c r="BV1058" s="327"/>
    </row>
    <row r="1059" spans="1:74" ht="45" customHeight="1" x14ac:dyDescent="0.25">
      <c r="A1059" s="10">
        <f t="shared" si="4"/>
        <v>1045</v>
      </c>
      <c r="B1059" s="559" t="s">
        <v>303</v>
      </c>
      <c r="C1059" s="327"/>
      <c r="D1059" s="560" t="s">
        <v>307</v>
      </c>
      <c r="E1059" s="327"/>
      <c r="F1059" s="537" t="s">
        <v>334</v>
      </c>
      <c r="G1059" s="327"/>
      <c r="H1059" s="566" t="s">
        <v>334</v>
      </c>
      <c r="I1059" s="327"/>
      <c r="J1059" s="567"/>
      <c r="K1059" s="327"/>
      <c r="L1059" s="567"/>
      <c r="M1059" s="327"/>
      <c r="N1059" s="23"/>
      <c r="O1059" s="24"/>
      <c r="P1059" s="563"/>
      <c r="Q1059" s="327"/>
      <c r="R1059" s="538"/>
      <c r="S1059" s="327"/>
      <c r="T1059" s="539"/>
      <c r="U1059" s="327"/>
      <c r="V1059" s="540"/>
      <c r="W1059" s="327"/>
      <c r="X1059" s="541" t="s">
        <v>303</v>
      </c>
      <c r="Y1059" s="326"/>
      <c r="Z1059" s="326"/>
      <c r="AA1059" s="327"/>
      <c r="AB1059" s="542" t="s">
        <v>303</v>
      </c>
      <c r="AC1059" s="326"/>
      <c r="AD1059" s="326"/>
      <c r="AE1059" s="327"/>
      <c r="AF1059" s="543"/>
      <c r="AG1059" s="327"/>
      <c r="AH1059" s="543"/>
      <c r="AI1059" s="327"/>
      <c r="AJ1059" s="536"/>
      <c r="AK1059" s="327"/>
      <c r="AL1059" s="537" t="s">
        <v>334</v>
      </c>
      <c r="AM1059" s="327"/>
      <c r="AN1059" s="546" t="s">
        <v>334</v>
      </c>
      <c r="AO1059" s="327"/>
      <c r="AP1059" s="547"/>
      <c r="AQ1059" s="327"/>
      <c r="AR1059" s="548"/>
      <c r="AS1059" s="327"/>
      <c r="AT1059" s="568"/>
      <c r="AU1059" s="327"/>
      <c r="AV1059" s="546" t="s">
        <v>334</v>
      </c>
      <c r="AW1059" s="327"/>
      <c r="AX1059" s="521"/>
      <c r="AY1059" s="326"/>
      <c r="AZ1059" s="327"/>
      <c r="BA1059" s="550"/>
      <c r="BB1059" s="327"/>
      <c r="BC1059" s="25"/>
      <c r="BD1059" s="544" t="s">
        <v>334</v>
      </c>
      <c r="BE1059" s="327"/>
      <c r="BF1059" s="545"/>
      <c r="BG1059" s="326"/>
      <c r="BH1059" s="326"/>
      <c r="BI1059" s="327"/>
      <c r="BJ1059" s="557" t="s">
        <v>303</v>
      </c>
      <c r="BK1059" s="326"/>
      <c r="BL1059" s="326"/>
      <c r="BM1059" s="327"/>
      <c r="BN1059" s="558" t="s">
        <v>303</v>
      </c>
      <c r="BO1059" s="326"/>
      <c r="BP1059" s="326"/>
      <c r="BQ1059" s="326"/>
      <c r="BR1059" s="326"/>
      <c r="BS1059" s="326"/>
      <c r="BT1059" s="326"/>
      <c r="BU1059" s="326"/>
      <c r="BV1059" s="327"/>
    </row>
    <row r="1060" spans="1:74" ht="45" customHeight="1" x14ac:dyDescent="0.25">
      <c r="A1060" s="10">
        <f t="shared" si="4"/>
        <v>1046</v>
      </c>
      <c r="B1060" s="564" t="s">
        <v>303</v>
      </c>
      <c r="C1060" s="327"/>
      <c r="D1060" s="565" t="s">
        <v>307</v>
      </c>
      <c r="E1060" s="327"/>
      <c r="F1060" s="537" t="s">
        <v>334</v>
      </c>
      <c r="G1060" s="327"/>
      <c r="H1060" s="561" t="s">
        <v>334</v>
      </c>
      <c r="I1060" s="327"/>
      <c r="J1060" s="562"/>
      <c r="K1060" s="327"/>
      <c r="L1060" s="562"/>
      <c r="M1060" s="327"/>
      <c r="N1060" s="20"/>
      <c r="O1060" s="21"/>
      <c r="P1060" s="524"/>
      <c r="Q1060" s="327"/>
      <c r="R1060" s="516"/>
      <c r="S1060" s="327"/>
      <c r="T1060" s="517"/>
      <c r="U1060" s="327"/>
      <c r="V1060" s="518"/>
      <c r="W1060" s="327"/>
      <c r="X1060" s="438" t="s">
        <v>303</v>
      </c>
      <c r="Y1060" s="326"/>
      <c r="Z1060" s="326"/>
      <c r="AA1060" s="327"/>
      <c r="AB1060" s="519" t="s">
        <v>303</v>
      </c>
      <c r="AC1060" s="326"/>
      <c r="AD1060" s="326"/>
      <c r="AE1060" s="327"/>
      <c r="AF1060" s="520"/>
      <c r="AG1060" s="327"/>
      <c r="AH1060" s="520"/>
      <c r="AI1060" s="327"/>
      <c r="AJ1060" s="536"/>
      <c r="AK1060" s="327"/>
      <c r="AL1060" s="556" t="s">
        <v>334</v>
      </c>
      <c r="AM1060" s="327"/>
      <c r="AN1060" s="553" t="s">
        <v>334</v>
      </c>
      <c r="AO1060" s="327"/>
      <c r="AP1060" s="554"/>
      <c r="AQ1060" s="327"/>
      <c r="AR1060" s="555"/>
      <c r="AS1060" s="327"/>
      <c r="AT1060" s="549"/>
      <c r="AU1060" s="327"/>
      <c r="AV1060" s="553" t="s">
        <v>334</v>
      </c>
      <c r="AW1060" s="327"/>
      <c r="AX1060" s="521"/>
      <c r="AY1060" s="326"/>
      <c r="AZ1060" s="327"/>
      <c r="BA1060" s="536"/>
      <c r="BB1060" s="327"/>
      <c r="BC1060" s="22"/>
      <c r="BD1060" s="551" t="s">
        <v>334</v>
      </c>
      <c r="BE1060" s="327"/>
      <c r="BF1060" s="552"/>
      <c r="BG1060" s="326"/>
      <c r="BH1060" s="326"/>
      <c r="BI1060" s="327"/>
      <c r="BJ1060" s="451" t="s">
        <v>303</v>
      </c>
      <c r="BK1060" s="326"/>
      <c r="BL1060" s="326"/>
      <c r="BM1060" s="327"/>
      <c r="BN1060" s="558" t="s">
        <v>303</v>
      </c>
      <c r="BO1060" s="326"/>
      <c r="BP1060" s="326"/>
      <c r="BQ1060" s="326"/>
      <c r="BR1060" s="326"/>
      <c r="BS1060" s="326"/>
      <c r="BT1060" s="326"/>
      <c r="BU1060" s="326"/>
      <c r="BV1060" s="327"/>
    </row>
    <row r="1061" spans="1:74" ht="45" customHeight="1" x14ac:dyDescent="0.25">
      <c r="A1061" s="10">
        <f t="shared" si="4"/>
        <v>1047</v>
      </c>
      <c r="B1061" s="559" t="s">
        <v>303</v>
      </c>
      <c r="C1061" s="327"/>
      <c r="D1061" s="560" t="s">
        <v>307</v>
      </c>
      <c r="E1061" s="327"/>
      <c r="F1061" s="537" t="s">
        <v>334</v>
      </c>
      <c r="G1061" s="327"/>
      <c r="H1061" s="566" t="s">
        <v>334</v>
      </c>
      <c r="I1061" s="327"/>
      <c r="J1061" s="567"/>
      <c r="K1061" s="327"/>
      <c r="L1061" s="567"/>
      <c r="M1061" s="327"/>
      <c r="N1061" s="23"/>
      <c r="O1061" s="24"/>
      <c r="P1061" s="563"/>
      <c r="Q1061" s="327"/>
      <c r="R1061" s="538"/>
      <c r="S1061" s="327"/>
      <c r="T1061" s="539"/>
      <c r="U1061" s="327"/>
      <c r="V1061" s="540"/>
      <c r="W1061" s="327"/>
      <c r="X1061" s="541" t="s">
        <v>303</v>
      </c>
      <c r="Y1061" s="326"/>
      <c r="Z1061" s="326"/>
      <c r="AA1061" s="327"/>
      <c r="AB1061" s="542" t="s">
        <v>303</v>
      </c>
      <c r="AC1061" s="326"/>
      <c r="AD1061" s="326"/>
      <c r="AE1061" s="327"/>
      <c r="AF1061" s="543"/>
      <c r="AG1061" s="327"/>
      <c r="AH1061" s="543"/>
      <c r="AI1061" s="327"/>
      <c r="AJ1061" s="536"/>
      <c r="AK1061" s="327"/>
      <c r="AL1061" s="537" t="s">
        <v>334</v>
      </c>
      <c r="AM1061" s="327"/>
      <c r="AN1061" s="546" t="s">
        <v>334</v>
      </c>
      <c r="AO1061" s="327"/>
      <c r="AP1061" s="547"/>
      <c r="AQ1061" s="327"/>
      <c r="AR1061" s="548"/>
      <c r="AS1061" s="327"/>
      <c r="AT1061" s="568"/>
      <c r="AU1061" s="327"/>
      <c r="AV1061" s="546" t="s">
        <v>334</v>
      </c>
      <c r="AW1061" s="327"/>
      <c r="AX1061" s="521"/>
      <c r="AY1061" s="326"/>
      <c r="AZ1061" s="327"/>
      <c r="BA1061" s="550"/>
      <c r="BB1061" s="327"/>
      <c r="BC1061" s="25"/>
      <c r="BD1061" s="544" t="s">
        <v>334</v>
      </c>
      <c r="BE1061" s="327"/>
      <c r="BF1061" s="545"/>
      <c r="BG1061" s="326"/>
      <c r="BH1061" s="326"/>
      <c r="BI1061" s="327"/>
      <c r="BJ1061" s="557" t="s">
        <v>303</v>
      </c>
      <c r="BK1061" s="326"/>
      <c r="BL1061" s="326"/>
      <c r="BM1061" s="327"/>
      <c r="BN1061" s="558" t="s">
        <v>303</v>
      </c>
      <c r="BO1061" s="326"/>
      <c r="BP1061" s="326"/>
      <c r="BQ1061" s="326"/>
      <c r="BR1061" s="326"/>
      <c r="BS1061" s="326"/>
      <c r="BT1061" s="326"/>
      <c r="BU1061" s="326"/>
      <c r="BV1061" s="327"/>
    </row>
    <row r="1062" spans="1:74" ht="45" customHeight="1" x14ac:dyDescent="0.25">
      <c r="A1062" s="10">
        <f t="shared" si="4"/>
        <v>1048</v>
      </c>
      <c r="B1062" s="564" t="s">
        <v>303</v>
      </c>
      <c r="C1062" s="327"/>
      <c r="D1062" s="565" t="s">
        <v>307</v>
      </c>
      <c r="E1062" s="327"/>
      <c r="F1062" s="537" t="s">
        <v>334</v>
      </c>
      <c r="G1062" s="327"/>
      <c r="H1062" s="561" t="s">
        <v>334</v>
      </c>
      <c r="I1062" s="327"/>
      <c r="J1062" s="562"/>
      <c r="K1062" s="327"/>
      <c r="L1062" s="562"/>
      <c r="M1062" s="327"/>
      <c r="N1062" s="23"/>
      <c r="O1062" s="24"/>
      <c r="P1062" s="563"/>
      <c r="Q1062" s="327"/>
      <c r="R1062" s="538"/>
      <c r="S1062" s="327"/>
      <c r="T1062" s="539"/>
      <c r="U1062" s="327"/>
      <c r="V1062" s="518"/>
      <c r="W1062" s="327"/>
      <c r="X1062" s="438" t="s">
        <v>303</v>
      </c>
      <c r="Y1062" s="326"/>
      <c r="Z1062" s="326"/>
      <c r="AA1062" s="327"/>
      <c r="AB1062" s="519" t="s">
        <v>303</v>
      </c>
      <c r="AC1062" s="326"/>
      <c r="AD1062" s="326"/>
      <c r="AE1062" s="327"/>
      <c r="AF1062" s="520"/>
      <c r="AG1062" s="327"/>
      <c r="AH1062" s="520"/>
      <c r="AI1062" s="327"/>
      <c r="AJ1062" s="536"/>
      <c r="AK1062" s="327"/>
      <c r="AL1062" s="556" t="s">
        <v>334</v>
      </c>
      <c r="AM1062" s="327"/>
      <c r="AN1062" s="553" t="s">
        <v>334</v>
      </c>
      <c r="AO1062" s="327"/>
      <c r="AP1062" s="554"/>
      <c r="AQ1062" s="327"/>
      <c r="AR1062" s="555"/>
      <c r="AS1062" s="327"/>
      <c r="AT1062" s="549"/>
      <c r="AU1062" s="327"/>
      <c r="AV1062" s="553" t="s">
        <v>334</v>
      </c>
      <c r="AW1062" s="327"/>
      <c r="AX1062" s="521"/>
      <c r="AY1062" s="326"/>
      <c r="AZ1062" s="327"/>
      <c r="BA1062" s="536"/>
      <c r="BB1062" s="327"/>
      <c r="BC1062" s="22"/>
      <c r="BD1062" s="551" t="s">
        <v>334</v>
      </c>
      <c r="BE1062" s="327"/>
      <c r="BF1062" s="552"/>
      <c r="BG1062" s="326"/>
      <c r="BH1062" s="326"/>
      <c r="BI1062" s="327"/>
      <c r="BJ1062" s="451" t="s">
        <v>303</v>
      </c>
      <c r="BK1062" s="326"/>
      <c r="BL1062" s="326"/>
      <c r="BM1062" s="327"/>
      <c r="BN1062" s="558" t="s">
        <v>303</v>
      </c>
      <c r="BO1062" s="326"/>
      <c r="BP1062" s="326"/>
      <c r="BQ1062" s="326"/>
      <c r="BR1062" s="326"/>
      <c r="BS1062" s="326"/>
      <c r="BT1062" s="326"/>
      <c r="BU1062" s="326"/>
      <c r="BV1062" s="327"/>
    </row>
    <row r="1063" spans="1:74" ht="45" customHeight="1" x14ac:dyDescent="0.25">
      <c r="A1063" s="10">
        <f t="shared" si="4"/>
        <v>1049</v>
      </c>
      <c r="B1063" s="559" t="s">
        <v>303</v>
      </c>
      <c r="C1063" s="327"/>
      <c r="D1063" s="560" t="s">
        <v>307</v>
      </c>
      <c r="E1063" s="327"/>
      <c r="F1063" s="537" t="s">
        <v>334</v>
      </c>
      <c r="G1063" s="327"/>
      <c r="H1063" s="566" t="s">
        <v>334</v>
      </c>
      <c r="I1063" s="327"/>
      <c r="J1063" s="567"/>
      <c r="K1063" s="327"/>
      <c r="L1063" s="567"/>
      <c r="M1063" s="327"/>
      <c r="N1063" s="20"/>
      <c r="O1063" s="21"/>
      <c r="P1063" s="524"/>
      <c r="Q1063" s="327"/>
      <c r="R1063" s="516"/>
      <c r="S1063" s="327"/>
      <c r="T1063" s="517"/>
      <c r="U1063" s="327"/>
      <c r="V1063" s="540"/>
      <c r="W1063" s="327"/>
      <c r="X1063" s="541" t="s">
        <v>303</v>
      </c>
      <c r="Y1063" s="326"/>
      <c r="Z1063" s="326"/>
      <c r="AA1063" s="327"/>
      <c r="AB1063" s="542" t="s">
        <v>303</v>
      </c>
      <c r="AC1063" s="326"/>
      <c r="AD1063" s="326"/>
      <c r="AE1063" s="327"/>
      <c r="AF1063" s="543"/>
      <c r="AG1063" s="327"/>
      <c r="AH1063" s="543"/>
      <c r="AI1063" s="327"/>
      <c r="AJ1063" s="536"/>
      <c r="AK1063" s="327"/>
      <c r="AL1063" s="537" t="s">
        <v>334</v>
      </c>
      <c r="AM1063" s="327"/>
      <c r="AN1063" s="546" t="s">
        <v>334</v>
      </c>
      <c r="AO1063" s="327"/>
      <c r="AP1063" s="547"/>
      <c r="AQ1063" s="327"/>
      <c r="AR1063" s="548"/>
      <c r="AS1063" s="327"/>
      <c r="AT1063" s="568"/>
      <c r="AU1063" s="327"/>
      <c r="AV1063" s="546" t="s">
        <v>334</v>
      </c>
      <c r="AW1063" s="327"/>
      <c r="AX1063" s="521"/>
      <c r="AY1063" s="326"/>
      <c r="AZ1063" s="327"/>
      <c r="BA1063" s="550"/>
      <c r="BB1063" s="327"/>
      <c r="BC1063" s="25"/>
      <c r="BD1063" s="544" t="s">
        <v>334</v>
      </c>
      <c r="BE1063" s="327"/>
      <c r="BF1063" s="545"/>
      <c r="BG1063" s="326"/>
      <c r="BH1063" s="326"/>
      <c r="BI1063" s="327"/>
      <c r="BJ1063" s="557" t="s">
        <v>303</v>
      </c>
      <c r="BK1063" s="326"/>
      <c r="BL1063" s="326"/>
      <c r="BM1063" s="327"/>
      <c r="BN1063" s="558" t="s">
        <v>303</v>
      </c>
      <c r="BO1063" s="326"/>
      <c r="BP1063" s="326"/>
      <c r="BQ1063" s="326"/>
      <c r="BR1063" s="326"/>
      <c r="BS1063" s="326"/>
      <c r="BT1063" s="326"/>
      <c r="BU1063" s="326"/>
      <c r="BV1063" s="327"/>
    </row>
    <row r="1064" spans="1:74" ht="45" customHeight="1" x14ac:dyDescent="0.25">
      <c r="A1064" s="10">
        <f t="shared" si="4"/>
        <v>1050</v>
      </c>
      <c r="B1064" s="564" t="s">
        <v>303</v>
      </c>
      <c r="C1064" s="327"/>
      <c r="D1064" s="565" t="s">
        <v>307</v>
      </c>
      <c r="E1064" s="327"/>
      <c r="F1064" s="537" t="s">
        <v>334</v>
      </c>
      <c r="G1064" s="327"/>
      <c r="H1064" s="561" t="s">
        <v>334</v>
      </c>
      <c r="I1064" s="327"/>
      <c r="J1064" s="562"/>
      <c r="K1064" s="327"/>
      <c r="L1064" s="562"/>
      <c r="M1064" s="327"/>
      <c r="N1064" s="23"/>
      <c r="O1064" s="24"/>
      <c r="P1064" s="563"/>
      <c r="Q1064" s="327"/>
      <c r="R1064" s="538"/>
      <c r="S1064" s="327"/>
      <c r="T1064" s="539"/>
      <c r="U1064" s="327"/>
      <c r="V1064" s="518"/>
      <c r="W1064" s="327"/>
      <c r="X1064" s="438" t="s">
        <v>303</v>
      </c>
      <c r="Y1064" s="326"/>
      <c r="Z1064" s="326"/>
      <c r="AA1064" s="327"/>
      <c r="AB1064" s="519" t="s">
        <v>303</v>
      </c>
      <c r="AC1064" s="326"/>
      <c r="AD1064" s="326"/>
      <c r="AE1064" s="327"/>
      <c r="AF1064" s="520"/>
      <c r="AG1064" s="327"/>
      <c r="AH1064" s="520"/>
      <c r="AI1064" s="327"/>
      <c r="AJ1064" s="536"/>
      <c r="AK1064" s="327"/>
      <c r="AL1064" s="556" t="s">
        <v>334</v>
      </c>
      <c r="AM1064" s="327"/>
      <c r="AN1064" s="553" t="s">
        <v>334</v>
      </c>
      <c r="AO1064" s="327"/>
      <c r="AP1064" s="554"/>
      <c r="AQ1064" s="327"/>
      <c r="AR1064" s="555"/>
      <c r="AS1064" s="327"/>
      <c r="AT1064" s="549"/>
      <c r="AU1064" s="327"/>
      <c r="AV1064" s="553" t="s">
        <v>334</v>
      </c>
      <c r="AW1064" s="327"/>
      <c r="AX1064" s="521"/>
      <c r="AY1064" s="326"/>
      <c r="AZ1064" s="327"/>
      <c r="BA1064" s="536"/>
      <c r="BB1064" s="327"/>
      <c r="BC1064" s="22"/>
      <c r="BD1064" s="551" t="s">
        <v>334</v>
      </c>
      <c r="BE1064" s="327"/>
      <c r="BF1064" s="508"/>
      <c r="BG1064" s="326"/>
      <c r="BH1064" s="326"/>
      <c r="BI1064" s="327"/>
      <c r="BJ1064" s="451" t="s">
        <v>303</v>
      </c>
      <c r="BK1064" s="326"/>
      <c r="BL1064" s="326"/>
      <c r="BM1064" s="327"/>
      <c r="BN1064" s="558" t="s">
        <v>303</v>
      </c>
      <c r="BO1064" s="326"/>
      <c r="BP1064" s="326"/>
      <c r="BQ1064" s="326"/>
      <c r="BR1064" s="326"/>
      <c r="BS1064" s="326"/>
      <c r="BT1064" s="326"/>
      <c r="BU1064" s="326"/>
      <c r="BV1064" s="327"/>
    </row>
    <row r="1065" spans="1:74" ht="45" customHeight="1" x14ac:dyDescent="0.25">
      <c r="A1065" s="10">
        <f t="shared" si="4"/>
        <v>1051</v>
      </c>
      <c r="B1065" s="559" t="s">
        <v>303</v>
      </c>
      <c r="C1065" s="327"/>
      <c r="D1065" s="560" t="s">
        <v>307</v>
      </c>
      <c r="E1065" s="327"/>
      <c r="F1065" s="537" t="s">
        <v>334</v>
      </c>
      <c r="G1065" s="327"/>
      <c r="H1065" s="566" t="s">
        <v>334</v>
      </c>
      <c r="I1065" s="327"/>
      <c r="J1065" s="567"/>
      <c r="K1065" s="327"/>
      <c r="L1065" s="567"/>
      <c r="M1065" s="327"/>
      <c r="N1065" s="20"/>
      <c r="O1065" s="21"/>
      <c r="P1065" s="524"/>
      <c r="Q1065" s="327"/>
      <c r="R1065" s="516"/>
      <c r="S1065" s="327"/>
      <c r="T1065" s="517"/>
      <c r="U1065" s="327"/>
      <c r="V1065" s="540"/>
      <c r="W1065" s="327"/>
      <c r="X1065" s="541" t="s">
        <v>303</v>
      </c>
      <c r="Y1065" s="326"/>
      <c r="Z1065" s="326"/>
      <c r="AA1065" s="327"/>
      <c r="AB1065" s="542" t="s">
        <v>303</v>
      </c>
      <c r="AC1065" s="326"/>
      <c r="AD1065" s="326"/>
      <c r="AE1065" s="327"/>
      <c r="AF1065" s="543"/>
      <c r="AG1065" s="327"/>
      <c r="AH1065" s="543"/>
      <c r="AI1065" s="327"/>
      <c r="AJ1065" s="536"/>
      <c r="AK1065" s="327"/>
      <c r="AL1065" s="537" t="s">
        <v>334</v>
      </c>
      <c r="AM1065" s="327"/>
      <c r="AN1065" s="546" t="s">
        <v>334</v>
      </c>
      <c r="AO1065" s="327"/>
      <c r="AP1065" s="547"/>
      <c r="AQ1065" s="327"/>
      <c r="AR1065" s="548"/>
      <c r="AS1065" s="327"/>
      <c r="AT1065" s="568"/>
      <c r="AU1065" s="327"/>
      <c r="AV1065" s="546" t="s">
        <v>334</v>
      </c>
      <c r="AW1065" s="327"/>
      <c r="AX1065" s="521"/>
      <c r="AY1065" s="326"/>
      <c r="AZ1065" s="327"/>
      <c r="BA1065" s="550"/>
      <c r="BB1065" s="327"/>
      <c r="BC1065" s="25"/>
      <c r="BD1065" s="544" t="s">
        <v>334</v>
      </c>
      <c r="BE1065" s="327"/>
      <c r="BF1065" s="545"/>
      <c r="BG1065" s="326"/>
      <c r="BH1065" s="326"/>
      <c r="BI1065" s="327"/>
      <c r="BJ1065" s="557" t="s">
        <v>303</v>
      </c>
      <c r="BK1065" s="326"/>
      <c r="BL1065" s="326"/>
      <c r="BM1065" s="327"/>
      <c r="BN1065" s="558" t="s">
        <v>303</v>
      </c>
      <c r="BO1065" s="326"/>
      <c r="BP1065" s="326"/>
      <c r="BQ1065" s="326"/>
      <c r="BR1065" s="326"/>
      <c r="BS1065" s="326"/>
      <c r="BT1065" s="326"/>
      <c r="BU1065" s="326"/>
      <c r="BV1065" s="327"/>
    </row>
    <row r="1066" spans="1:74" ht="45" customHeight="1" x14ac:dyDescent="0.25">
      <c r="A1066" s="10">
        <f t="shared" si="4"/>
        <v>1052</v>
      </c>
      <c r="B1066" s="564" t="s">
        <v>303</v>
      </c>
      <c r="C1066" s="327"/>
      <c r="D1066" s="565" t="s">
        <v>307</v>
      </c>
      <c r="E1066" s="327"/>
      <c r="F1066" s="537" t="s">
        <v>334</v>
      </c>
      <c r="G1066" s="327"/>
      <c r="H1066" s="561" t="s">
        <v>334</v>
      </c>
      <c r="I1066" s="327"/>
      <c r="J1066" s="562"/>
      <c r="K1066" s="327"/>
      <c r="L1066" s="562"/>
      <c r="M1066" s="327"/>
      <c r="N1066" s="23"/>
      <c r="O1066" s="24"/>
      <c r="P1066" s="563"/>
      <c r="Q1066" s="327"/>
      <c r="R1066" s="538"/>
      <c r="S1066" s="327"/>
      <c r="T1066" s="539"/>
      <c r="U1066" s="327"/>
      <c r="V1066" s="518"/>
      <c r="W1066" s="327"/>
      <c r="X1066" s="438" t="s">
        <v>303</v>
      </c>
      <c r="Y1066" s="326"/>
      <c r="Z1066" s="326"/>
      <c r="AA1066" s="327"/>
      <c r="AB1066" s="519" t="s">
        <v>303</v>
      </c>
      <c r="AC1066" s="326"/>
      <c r="AD1066" s="326"/>
      <c r="AE1066" s="327"/>
      <c r="AF1066" s="520"/>
      <c r="AG1066" s="327"/>
      <c r="AH1066" s="520"/>
      <c r="AI1066" s="327"/>
      <c r="AJ1066" s="536"/>
      <c r="AK1066" s="327"/>
      <c r="AL1066" s="556" t="s">
        <v>334</v>
      </c>
      <c r="AM1066" s="327"/>
      <c r="AN1066" s="553" t="s">
        <v>334</v>
      </c>
      <c r="AO1066" s="327"/>
      <c r="AP1066" s="554"/>
      <c r="AQ1066" s="327"/>
      <c r="AR1066" s="555"/>
      <c r="AS1066" s="327"/>
      <c r="AT1066" s="549"/>
      <c r="AU1066" s="327"/>
      <c r="AV1066" s="553" t="s">
        <v>334</v>
      </c>
      <c r="AW1066" s="327"/>
      <c r="AX1066" s="521"/>
      <c r="AY1066" s="326"/>
      <c r="AZ1066" s="327"/>
      <c r="BA1066" s="536"/>
      <c r="BB1066" s="327"/>
      <c r="BC1066" s="22"/>
      <c r="BD1066" s="551" t="s">
        <v>334</v>
      </c>
      <c r="BE1066" s="327"/>
      <c r="BF1066" s="552"/>
      <c r="BG1066" s="326"/>
      <c r="BH1066" s="326"/>
      <c r="BI1066" s="327"/>
      <c r="BJ1066" s="451" t="s">
        <v>303</v>
      </c>
      <c r="BK1066" s="326"/>
      <c r="BL1066" s="326"/>
      <c r="BM1066" s="327"/>
      <c r="BN1066" s="558" t="s">
        <v>303</v>
      </c>
      <c r="BO1066" s="326"/>
      <c r="BP1066" s="326"/>
      <c r="BQ1066" s="326"/>
      <c r="BR1066" s="326"/>
      <c r="BS1066" s="326"/>
      <c r="BT1066" s="326"/>
      <c r="BU1066" s="326"/>
      <c r="BV1066" s="327"/>
    </row>
    <row r="1067" spans="1:74" ht="45" customHeight="1" x14ac:dyDescent="0.25">
      <c r="A1067" s="10">
        <f t="shared" si="4"/>
        <v>1053</v>
      </c>
      <c r="B1067" s="559" t="s">
        <v>303</v>
      </c>
      <c r="C1067" s="327"/>
      <c r="D1067" s="560" t="s">
        <v>307</v>
      </c>
      <c r="E1067" s="327"/>
      <c r="F1067" s="537" t="s">
        <v>334</v>
      </c>
      <c r="G1067" s="327"/>
      <c r="H1067" s="566" t="s">
        <v>334</v>
      </c>
      <c r="I1067" s="327"/>
      <c r="J1067" s="567"/>
      <c r="K1067" s="327"/>
      <c r="L1067" s="567"/>
      <c r="M1067" s="327"/>
      <c r="N1067" s="20"/>
      <c r="O1067" s="21"/>
      <c r="P1067" s="524"/>
      <c r="Q1067" s="327"/>
      <c r="R1067" s="516"/>
      <c r="S1067" s="327"/>
      <c r="T1067" s="517"/>
      <c r="U1067" s="327"/>
      <c r="V1067" s="540"/>
      <c r="W1067" s="327"/>
      <c r="X1067" s="541" t="s">
        <v>303</v>
      </c>
      <c r="Y1067" s="326"/>
      <c r="Z1067" s="326"/>
      <c r="AA1067" s="327"/>
      <c r="AB1067" s="542" t="s">
        <v>303</v>
      </c>
      <c r="AC1067" s="326"/>
      <c r="AD1067" s="326"/>
      <c r="AE1067" s="327"/>
      <c r="AF1067" s="543"/>
      <c r="AG1067" s="327"/>
      <c r="AH1067" s="543"/>
      <c r="AI1067" s="327"/>
      <c r="AJ1067" s="536"/>
      <c r="AK1067" s="327"/>
      <c r="AL1067" s="537" t="s">
        <v>334</v>
      </c>
      <c r="AM1067" s="327"/>
      <c r="AN1067" s="546" t="s">
        <v>334</v>
      </c>
      <c r="AO1067" s="327"/>
      <c r="AP1067" s="547"/>
      <c r="AQ1067" s="327"/>
      <c r="AR1067" s="548"/>
      <c r="AS1067" s="327"/>
      <c r="AT1067" s="549"/>
      <c r="AU1067" s="327"/>
      <c r="AV1067" s="546" t="s">
        <v>334</v>
      </c>
      <c r="AW1067" s="327"/>
      <c r="AX1067" s="521"/>
      <c r="AY1067" s="326"/>
      <c r="AZ1067" s="327"/>
      <c r="BA1067" s="550"/>
      <c r="BB1067" s="327"/>
      <c r="BC1067" s="25"/>
      <c r="BD1067" s="544" t="s">
        <v>334</v>
      </c>
      <c r="BE1067" s="327"/>
      <c r="BF1067" s="545"/>
      <c r="BG1067" s="326"/>
      <c r="BH1067" s="326"/>
      <c r="BI1067" s="327"/>
      <c r="BJ1067" s="557" t="s">
        <v>303</v>
      </c>
      <c r="BK1067" s="326"/>
      <c r="BL1067" s="326"/>
      <c r="BM1067" s="327"/>
      <c r="BN1067" s="558" t="s">
        <v>303</v>
      </c>
      <c r="BO1067" s="326"/>
      <c r="BP1067" s="326"/>
      <c r="BQ1067" s="326"/>
      <c r="BR1067" s="326"/>
      <c r="BS1067" s="326"/>
      <c r="BT1067" s="326"/>
      <c r="BU1067" s="326"/>
      <c r="BV1067" s="327"/>
    </row>
    <row r="1068" spans="1:74" ht="45" customHeight="1" x14ac:dyDescent="0.25">
      <c r="A1068" s="10">
        <f t="shared" si="4"/>
        <v>1054</v>
      </c>
      <c r="B1068" s="564" t="s">
        <v>303</v>
      </c>
      <c r="C1068" s="327"/>
      <c r="D1068" s="565" t="s">
        <v>307</v>
      </c>
      <c r="E1068" s="327"/>
      <c r="F1068" s="537" t="s">
        <v>334</v>
      </c>
      <c r="G1068" s="327"/>
      <c r="H1068" s="561" t="s">
        <v>334</v>
      </c>
      <c r="I1068" s="327"/>
      <c r="J1068" s="562"/>
      <c r="K1068" s="327"/>
      <c r="L1068" s="562"/>
      <c r="M1068" s="327"/>
      <c r="N1068" s="23"/>
      <c r="O1068" s="24"/>
      <c r="P1068" s="563"/>
      <c r="Q1068" s="327"/>
      <c r="R1068" s="538"/>
      <c r="S1068" s="327"/>
      <c r="T1068" s="539"/>
      <c r="U1068" s="327"/>
      <c r="V1068" s="518"/>
      <c r="W1068" s="327"/>
      <c r="X1068" s="438" t="s">
        <v>303</v>
      </c>
      <c r="Y1068" s="326"/>
      <c r="Z1068" s="326"/>
      <c r="AA1068" s="327"/>
      <c r="AB1068" s="519" t="s">
        <v>303</v>
      </c>
      <c r="AC1068" s="326"/>
      <c r="AD1068" s="326"/>
      <c r="AE1068" s="327"/>
      <c r="AF1068" s="520"/>
      <c r="AG1068" s="327"/>
      <c r="AH1068" s="520"/>
      <c r="AI1068" s="327"/>
      <c r="AJ1068" s="536"/>
      <c r="AK1068" s="327"/>
      <c r="AL1068" s="556" t="s">
        <v>334</v>
      </c>
      <c r="AM1068" s="327"/>
      <c r="AN1068" s="553" t="s">
        <v>334</v>
      </c>
      <c r="AO1068" s="327"/>
      <c r="AP1068" s="554"/>
      <c r="AQ1068" s="327"/>
      <c r="AR1068" s="555"/>
      <c r="AS1068" s="327"/>
      <c r="AT1068" s="549"/>
      <c r="AU1068" s="327"/>
      <c r="AV1068" s="553" t="s">
        <v>334</v>
      </c>
      <c r="AW1068" s="327"/>
      <c r="AX1068" s="521"/>
      <c r="AY1068" s="326"/>
      <c r="AZ1068" s="327"/>
      <c r="BA1068" s="536"/>
      <c r="BB1068" s="327"/>
      <c r="BC1068" s="22"/>
      <c r="BD1068" s="551" t="s">
        <v>334</v>
      </c>
      <c r="BE1068" s="327"/>
      <c r="BF1068" s="552"/>
      <c r="BG1068" s="326"/>
      <c r="BH1068" s="326"/>
      <c r="BI1068" s="327"/>
      <c r="BJ1068" s="451" t="s">
        <v>303</v>
      </c>
      <c r="BK1068" s="326"/>
      <c r="BL1068" s="326"/>
      <c r="BM1068" s="327"/>
      <c r="BN1068" s="558" t="s">
        <v>303</v>
      </c>
      <c r="BO1068" s="326"/>
      <c r="BP1068" s="326"/>
      <c r="BQ1068" s="326"/>
      <c r="BR1068" s="326"/>
      <c r="BS1068" s="326"/>
      <c r="BT1068" s="326"/>
      <c r="BU1068" s="326"/>
      <c r="BV1068" s="327"/>
    </row>
    <row r="1069" spans="1:74" ht="45" customHeight="1" x14ac:dyDescent="0.25">
      <c r="A1069" s="10">
        <f t="shared" si="4"/>
        <v>1055</v>
      </c>
      <c r="B1069" s="559" t="s">
        <v>303</v>
      </c>
      <c r="C1069" s="327"/>
      <c r="D1069" s="560" t="s">
        <v>307</v>
      </c>
      <c r="E1069" s="327"/>
      <c r="F1069" s="537" t="s">
        <v>334</v>
      </c>
      <c r="G1069" s="327"/>
      <c r="H1069" s="566" t="s">
        <v>334</v>
      </c>
      <c r="I1069" s="327"/>
      <c r="J1069" s="567"/>
      <c r="K1069" s="327"/>
      <c r="L1069" s="567"/>
      <c r="M1069" s="327"/>
      <c r="N1069" s="20"/>
      <c r="O1069" s="21"/>
      <c r="P1069" s="524"/>
      <c r="Q1069" s="327"/>
      <c r="R1069" s="516"/>
      <c r="S1069" s="327"/>
      <c r="T1069" s="517"/>
      <c r="U1069" s="327"/>
      <c r="V1069" s="540"/>
      <c r="W1069" s="327"/>
      <c r="X1069" s="541" t="s">
        <v>303</v>
      </c>
      <c r="Y1069" s="326"/>
      <c r="Z1069" s="326"/>
      <c r="AA1069" s="327"/>
      <c r="AB1069" s="542" t="s">
        <v>303</v>
      </c>
      <c r="AC1069" s="326"/>
      <c r="AD1069" s="326"/>
      <c r="AE1069" s="327"/>
      <c r="AF1069" s="543"/>
      <c r="AG1069" s="327"/>
      <c r="AH1069" s="543"/>
      <c r="AI1069" s="327"/>
      <c r="AJ1069" s="536"/>
      <c r="AK1069" s="327"/>
      <c r="AL1069" s="537" t="s">
        <v>334</v>
      </c>
      <c r="AM1069" s="327"/>
      <c r="AN1069" s="546" t="s">
        <v>334</v>
      </c>
      <c r="AO1069" s="327"/>
      <c r="AP1069" s="547"/>
      <c r="AQ1069" s="327"/>
      <c r="AR1069" s="548"/>
      <c r="AS1069" s="327"/>
      <c r="AT1069" s="549"/>
      <c r="AU1069" s="327"/>
      <c r="AV1069" s="546" t="s">
        <v>334</v>
      </c>
      <c r="AW1069" s="327"/>
      <c r="AX1069" s="521"/>
      <c r="AY1069" s="326"/>
      <c r="AZ1069" s="327"/>
      <c r="BA1069" s="550"/>
      <c r="BB1069" s="327"/>
      <c r="BC1069" s="25"/>
      <c r="BD1069" s="544" t="s">
        <v>334</v>
      </c>
      <c r="BE1069" s="327"/>
      <c r="BF1069" s="545"/>
      <c r="BG1069" s="326"/>
      <c r="BH1069" s="326"/>
      <c r="BI1069" s="327"/>
      <c r="BJ1069" s="557" t="s">
        <v>303</v>
      </c>
      <c r="BK1069" s="326"/>
      <c r="BL1069" s="326"/>
      <c r="BM1069" s="327"/>
      <c r="BN1069" s="558" t="s">
        <v>303</v>
      </c>
      <c r="BO1069" s="326"/>
      <c r="BP1069" s="326"/>
      <c r="BQ1069" s="326"/>
      <c r="BR1069" s="326"/>
      <c r="BS1069" s="326"/>
      <c r="BT1069" s="326"/>
      <c r="BU1069" s="326"/>
      <c r="BV1069" s="327"/>
    </row>
    <row r="1070" spans="1:74" ht="45" customHeight="1" x14ac:dyDescent="0.25">
      <c r="A1070" s="10">
        <f t="shared" si="4"/>
        <v>1056</v>
      </c>
      <c r="B1070" s="564" t="s">
        <v>303</v>
      </c>
      <c r="C1070" s="327"/>
      <c r="D1070" s="565" t="s">
        <v>307</v>
      </c>
      <c r="E1070" s="327"/>
      <c r="F1070" s="537" t="s">
        <v>334</v>
      </c>
      <c r="G1070" s="327"/>
      <c r="H1070" s="561" t="s">
        <v>334</v>
      </c>
      <c r="I1070" s="327"/>
      <c r="J1070" s="562"/>
      <c r="K1070" s="327"/>
      <c r="L1070" s="562"/>
      <c r="M1070" s="327"/>
      <c r="N1070" s="23"/>
      <c r="O1070" s="24"/>
      <c r="P1070" s="563"/>
      <c r="Q1070" s="327"/>
      <c r="R1070" s="538"/>
      <c r="S1070" s="327"/>
      <c r="T1070" s="539"/>
      <c r="U1070" s="327"/>
      <c r="V1070" s="518"/>
      <c r="W1070" s="327"/>
      <c r="X1070" s="438" t="s">
        <v>303</v>
      </c>
      <c r="Y1070" s="326"/>
      <c r="Z1070" s="326"/>
      <c r="AA1070" s="327"/>
      <c r="AB1070" s="519" t="s">
        <v>303</v>
      </c>
      <c r="AC1070" s="326"/>
      <c r="AD1070" s="326"/>
      <c r="AE1070" s="327"/>
      <c r="AF1070" s="520"/>
      <c r="AG1070" s="327"/>
      <c r="AH1070" s="520"/>
      <c r="AI1070" s="327"/>
      <c r="AJ1070" s="536"/>
      <c r="AK1070" s="327"/>
      <c r="AL1070" s="556" t="s">
        <v>334</v>
      </c>
      <c r="AM1070" s="327"/>
      <c r="AN1070" s="553" t="s">
        <v>334</v>
      </c>
      <c r="AO1070" s="327"/>
      <c r="AP1070" s="554"/>
      <c r="AQ1070" s="327"/>
      <c r="AR1070" s="555"/>
      <c r="AS1070" s="327"/>
      <c r="AT1070" s="549"/>
      <c r="AU1070" s="327"/>
      <c r="AV1070" s="553" t="s">
        <v>334</v>
      </c>
      <c r="AW1070" s="327"/>
      <c r="AX1070" s="521"/>
      <c r="AY1070" s="326"/>
      <c r="AZ1070" s="327"/>
      <c r="BA1070" s="536"/>
      <c r="BB1070" s="327"/>
      <c r="BC1070" s="22"/>
      <c r="BD1070" s="551" t="s">
        <v>334</v>
      </c>
      <c r="BE1070" s="327"/>
      <c r="BF1070" s="552"/>
      <c r="BG1070" s="326"/>
      <c r="BH1070" s="326"/>
      <c r="BI1070" s="327"/>
      <c r="BJ1070" s="451" t="s">
        <v>303</v>
      </c>
      <c r="BK1070" s="326"/>
      <c r="BL1070" s="326"/>
      <c r="BM1070" s="327"/>
      <c r="BN1070" s="558" t="s">
        <v>303</v>
      </c>
      <c r="BO1070" s="326"/>
      <c r="BP1070" s="326"/>
      <c r="BQ1070" s="326"/>
      <c r="BR1070" s="326"/>
      <c r="BS1070" s="326"/>
      <c r="BT1070" s="326"/>
      <c r="BU1070" s="326"/>
      <c r="BV1070" s="327"/>
    </row>
    <row r="1071" spans="1:74" ht="45" customHeight="1" x14ac:dyDescent="0.25">
      <c r="A1071" s="10">
        <f t="shared" si="4"/>
        <v>1057</v>
      </c>
      <c r="B1071" s="559" t="s">
        <v>303</v>
      </c>
      <c r="C1071" s="327"/>
      <c r="D1071" s="560" t="s">
        <v>307</v>
      </c>
      <c r="E1071" s="327"/>
      <c r="F1071" s="537" t="s">
        <v>334</v>
      </c>
      <c r="G1071" s="327"/>
      <c r="H1071" s="566" t="s">
        <v>334</v>
      </c>
      <c r="I1071" s="327"/>
      <c r="J1071" s="567"/>
      <c r="K1071" s="327"/>
      <c r="L1071" s="567"/>
      <c r="M1071" s="327"/>
      <c r="N1071" s="20"/>
      <c r="O1071" s="21"/>
      <c r="P1071" s="524"/>
      <c r="Q1071" s="327"/>
      <c r="R1071" s="516"/>
      <c r="S1071" s="327"/>
      <c r="T1071" s="517"/>
      <c r="U1071" s="327"/>
      <c r="V1071" s="540"/>
      <c r="W1071" s="327"/>
      <c r="X1071" s="541" t="s">
        <v>303</v>
      </c>
      <c r="Y1071" s="326"/>
      <c r="Z1071" s="326"/>
      <c r="AA1071" s="327"/>
      <c r="AB1071" s="542" t="s">
        <v>303</v>
      </c>
      <c r="AC1071" s="326"/>
      <c r="AD1071" s="326"/>
      <c r="AE1071" s="327"/>
      <c r="AF1071" s="543"/>
      <c r="AG1071" s="327"/>
      <c r="AH1071" s="543"/>
      <c r="AI1071" s="327"/>
      <c r="AJ1071" s="536"/>
      <c r="AK1071" s="327"/>
      <c r="AL1071" s="537" t="s">
        <v>334</v>
      </c>
      <c r="AM1071" s="327"/>
      <c r="AN1071" s="546" t="s">
        <v>334</v>
      </c>
      <c r="AO1071" s="327"/>
      <c r="AP1071" s="547"/>
      <c r="AQ1071" s="327"/>
      <c r="AR1071" s="548"/>
      <c r="AS1071" s="327"/>
      <c r="AT1071" s="568"/>
      <c r="AU1071" s="327"/>
      <c r="AV1071" s="546" t="s">
        <v>334</v>
      </c>
      <c r="AW1071" s="327"/>
      <c r="AX1071" s="521"/>
      <c r="AY1071" s="326"/>
      <c r="AZ1071" s="327"/>
      <c r="BA1071" s="550"/>
      <c r="BB1071" s="327"/>
      <c r="BC1071" s="25"/>
      <c r="BD1071" s="544" t="s">
        <v>334</v>
      </c>
      <c r="BE1071" s="327"/>
      <c r="BF1071" s="545"/>
      <c r="BG1071" s="326"/>
      <c r="BH1071" s="326"/>
      <c r="BI1071" s="327"/>
      <c r="BJ1071" s="557" t="s">
        <v>303</v>
      </c>
      <c r="BK1071" s="326"/>
      <c r="BL1071" s="326"/>
      <c r="BM1071" s="327"/>
      <c r="BN1071" s="558" t="s">
        <v>303</v>
      </c>
      <c r="BO1071" s="326"/>
      <c r="BP1071" s="326"/>
      <c r="BQ1071" s="326"/>
      <c r="BR1071" s="326"/>
      <c r="BS1071" s="326"/>
      <c r="BT1071" s="326"/>
      <c r="BU1071" s="326"/>
      <c r="BV1071" s="327"/>
    </row>
    <row r="1072" spans="1:74" ht="45" customHeight="1" x14ac:dyDescent="0.25">
      <c r="A1072" s="10">
        <f t="shared" si="4"/>
        <v>1058</v>
      </c>
      <c r="B1072" s="564" t="s">
        <v>303</v>
      </c>
      <c r="C1072" s="327"/>
      <c r="D1072" s="565" t="s">
        <v>307</v>
      </c>
      <c r="E1072" s="327"/>
      <c r="F1072" s="537" t="s">
        <v>334</v>
      </c>
      <c r="G1072" s="327"/>
      <c r="H1072" s="561" t="s">
        <v>334</v>
      </c>
      <c r="I1072" s="327"/>
      <c r="J1072" s="562"/>
      <c r="K1072" s="327"/>
      <c r="L1072" s="562"/>
      <c r="M1072" s="327"/>
      <c r="N1072" s="23"/>
      <c r="O1072" s="24"/>
      <c r="P1072" s="563"/>
      <c r="Q1072" s="327"/>
      <c r="R1072" s="538"/>
      <c r="S1072" s="327"/>
      <c r="T1072" s="539"/>
      <c r="U1072" s="327"/>
      <c r="V1072" s="518"/>
      <c r="W1072" s="327"/>
      <c r="X1072" s="438" t="s">
        <v>303</v>
      </c>
      <c r="Y1072" s="326"/>
      <c r="Z1072" s="326"/>
      <c r="AA1072" s="327"/>
      <c r="AB1072" s="519" t="s">
        <v>303</v>
      </c>
      <c r="AC1072" s="326"/>
      <c r="AD1072" s="326"/>
      <c r="AE1072" s="327"/>
      <c r="AF1072" s="520"/>
      <c r="AG1072" s="327"/>
      <c r="AH1072" s="520"/>
      <c r="AI1072" s="327"/>
      <c r="AJ1072" s="536"/>
      <c r="AK1072" s="327"/>
      <c r="AL1072" s="556" t="s">
        <v>334</v>
      </c>
      <c r="AM1072" s="327"/>
      <c r="AN1072" s="553" t="s">
        <v>334</v>
      </c>
      <c r="AO1072" s="327"/>
      <c r="AP1072" s="554"/>
      <c r="AQ1072" s="327"/>
      <c r="AR1072" s="555"/>
      <c r="AS1072" s="327"/>
      <c r="AT1072" s="549"/>
      <c r="AU1072" s="327"/>
      <c r="AV1072" s="553" t="s">
        <v>334</v>
      </c>
      <c r="AW1072" s="327"/>
      <c r="AX1072" s="521"/>
      <c r="AY1072" s="326"/>
      <c r="AZ1072" s="327"/>
      <c r="BA1072" s="536"/>
      <c r="BB1072" s="327"/>
      <c r="BC1072" s="22"/>
      <c r="BD1072" s="551" t="s">
        <v>334</v>
      </c>
      <c r="BE1072" s="327"/>
      <c r="BF1072" s="508"/>
      <c r="BG1072" s="326"/>
      <c r="BH1072" s="326"/>
      <c r="BI1072" s="327"/>
      <c r="BJ1072" s="451" t="s">
        <v>303</v>
      </c>
      <c r="BK1072" s="326"/>
      <c r="BL1072" s="326"/>
      <c r="BM1072" s="327"/>
      <c r="BN1072" s="558" t="s">
        <v>303</v>
      </c>
      <c r="BO1072" s="326"/>
      <c r="BP1072" s="326"/>
      <c r="BQ1072" s="326"/>
      <c r="BR1072" s="326"/>
      <c r="BS1072" s="326"/>
      <c r="BT1072" s="326"/>
      <c r="BU1072" s="326"/>
      <c r="BV1072" s="327"/>
    </row>
    <row r="1073" spans="1:74" ht="45" customHeight="1" x14ac:dyDescent="0.25">
      <c r="A1073" s="10">
        <f t="shared" si="4"/>
        <v>1059</v>
      </c>
      <c r="B1073" s="559" t="s">
        <v>303</v>
      </c>
      <c r="C1073" s="327"/>
      <c r="D1073" s="560" t="s">
        <v>307</v>
      </c>
      <c r="E1073" s="327"/>
      <c r="F1073" s="537" t="s">
        <v>334</v>
      </c>
      <c r="G1073" s="327"/>
      <c r="H1073" s="566" t="s">
        <v>334</v>
      </c>
      <c r="I1073" s="327"/>
      <c r="J1073" s="567"/>
      <c r="K1073" s="327"/>
      <c r="L1073" s="567"/>
      <c r="M1073" s="327"/>
      <c r="N1073" s="20"/>
      <c r="O1073" s="21"/>
      <c r="P1073" s="524"/>
      <c r="Q1073" s="327"/>
      <c r="R1073" s="516"/>
      <c r="S1073" s="327"/>
      <c r="T1073" s="517"/>
      <c r="U1073" s="327"/>
      <c r="V1073" s="540"/>
      <c r="W1073" s="327"/>
      <c r="X1073" s="541" t="s">
        <v>303</v>
      </c>
      <c r="Y1073" s="326"/>
      <c r="Z1073" s="326"/>
      <c r="AA1073" s="327"/>
      <c r="AB1073" s="542" t="s">
        <v>303</v>
      </c>
      <c r="AC1073" s="326"/>
      <c r="AD1073" s="326"/>
      <c r="AE1073" s="327"/>
      <c r="AF1073" s="543"/>
      <c r="AG1073" s="327"/>
      <c r="AH1073" s="543"/>
      <c r="AI1073" s="327"/>
      <c r="AJ1073" s="536"/>
      <c r="AK1073" s="327"/>
      <c r="AL1073" s="537" t="s">
        <v>334</v>
      </c>
      <c r="AM1073" s="327"/>
      <c r="AN1073" s="546" t="s">
        <v>334</v>
      </c>
      <c r="AO1073" s="327"/>
      <c r="AP1073" s="547"/>
      <c r="AQ1073" s="327"/>
      <c r="AR1073" s="548"/>
      <c r="AS1073" s="327"/>
      <c r="AT1073" s="568"/>
      <c r="AU1073" s="327"/>
      <c r="AV1073" s="546" t="s">
        <v>334</v>
      </c>
      <c r="AW1073" s="327"/>
      <c r="AX1073" s="521"/>
      <c r="AY1073" s="326"/>
      <c r="AZ1073" s="327"/>
      <c r="BA1073" s="550"/>
      <c r="BB1073" s="327"/>
      <c r="BC1073" s="25"/>
      <c r="BD1073" s="544" t="s">
        <v>334</v>
      </c>
      <c r="BE1073" s="327"/>
      <c r="BF1073" s="545"/>
      <c r="BG1073" s="326"/>
      <c r="BH1073" s="326"/>
      <c r="BI1073" s="327"/>
      <c r="BJ1073" s="557" t="s">
        <v>303</v>
      </c>
      <c r="BK1073" s="326"/>
      <c r="BL1073" s="326"/>
      <c r="BM1073" s="327"/>
      <c r="BN1073" s="558" t="s">
        <v>303</v>
      </c>
      <c r="BO1073" s="326"/>
      <c r="BP1073" s="326"/>
      <c r="BQ1073" s="326"/>
      <c r="BR1073" s="326"/>
      <c r="BS1073" s="326"/>
      <c r="BT1073" s="326"/>
      <c r="BU1073" s="326"/>
      <c r="BV1073" s="327"/>
    </row>
    <row r="1074" spans="1:74" ht="45" customHeight="1" x14ac:dyDescent="0.25">
      <c r="A1074" s="10">
        <f t="shared" si="4"/>
        <v>1060</v>
      </c>
      <c r="B1074" s="564" t="s">
        <v>303</v>
      </c>
      <c r="C1074" s="327"/>
      <c r="D1074" s="565" t="s">
        <v>307</v>
      </c>
      <c r="E1074" s="327"/>
      <c r="F1074" s="537" t="s">
        <v>334</v>
      </c>
      <c r="G1074" s="327"/>
      <c r="H1074" s="561" t="s">
        <v>334</v>
      </c>
      <c r="I1074" s="327"/>
      <c r="J1074" s="562"/>
      <c r="K1074" s="327"/>
      <c r="L1074" s="562"/>
      <c r="M1074" s="327"/>
      <c r="N1074" s="23"/>
      <c r="O1074" s="24"/>
      <c r="P1074" s="563"/>
      <c r="Q1074" s="327"/>
      <c r="R1074" s="538"/>
      <c r="S1074" s="327"/>
      <c r="T1074" s="539"/>
      <c r="U1074" s="327"/>
      <c r="V1074" s="518"/>
      <c r="W1074" s="327"/>
      <c r="X1074" s="438" t="s">
        <v>303</v>
      </c>
      <c r="Y1074" s="326"/>
      <c r="Z1074" s="326"/>
      <c r="AA1074" s="327"/>
      <c r="AB1074" s="519" t="s">
        <v>303</v>
      </c>
      <c r="AC1074" s="326"/>
      <c r="AD1074" s="326"/>
      <c r="AE1074" s="327"/>
      <c r="AF1074" s="520"/>
      <c r="AG1074" s="327"/>
      <c r="AH1074" s="520"/>
      <c r="AI1074" s="327"/>
      <c r="AJ1074" s="536"/>
      <c r="AK1074" s="327"/>
      <c r="AL1074" s="556" t="s">
        <v>334</v>
      </c>
      <c r="AM1074" s="327"/>
      <c r="AN1074" s="553" t="s">
        <v>334</v>
      </c>
      <c r="AO1074" s="327"/>
      <c r="AP1074" s="554"/>
      <c r="AQ1074" s="327"/>
      <c r="AR1074" s="555"/>
      <c r="AS1074" s="327"/>
      <c r="AT1074" s="549"/>
      <c r="AU1074" s="327"/>
      <c r="AV1074" s="553" t="s">
        <v>334</v>
      </c>
      <c r="AW1074" s="327"/>
      <c r="AX1074" s="521"/>
      <c r="AY1074" s="326"/>
      <c r="AZ1074" s="327"/>
      <c r="BA1074" s="536"/>
      <c r="BB1074" s="327"/>
      <c r="BC1074" s="22"/>
      <c r="BD1074" s="551" t="s">
        <v>334</v>
      </c>
      <c r="BE1074" s="327"/>
      <c r="BF1074" s="552"/>
      <c r="BG1074" s="326"/>
      <c r="BH1074" s="326"/>
      <c r="BI1074" s="327"/>
      <c r="BJ1074" s="451" t="s">
        <v>303</v>
      </c>
      <c r="BK1074" s="326"/>
      <c r="BL1074" s="326"/>
      <c r="BM1074" s="327"/>
      <c r="BN1074" s="558" t="s">
        <v>303</v>
      </c>
      <c r="BO1074" s="326"/>
      <c r="BP1074" s="326"/>
      <c r="BQ1074" s="326"/>
      <c r="BR1074" s="326"/>
      <c r="BS1074" s="326"/>
      <c r="BT1074" s="326"/>
      <c r="BU1074" s="326"/>
      <c r="BV1074" s="327"/>
    </row>
    <row r="1075" spans="1:74" ht="45" customHeight="1" x14ac:dyDescent="0.25">
      <c r="A1075" s="10">
        <f t="shared" si="4"/>
        <v>1061</v>
      </c>
      <c r="B1075" s="559" t="s">
        <v>303</v>
      </c>
      <c r="C1075" s="327"/>
      <c r="D1075" s="560" t="s">
        <v>307</v>
      </c>
      <c r="E1075" s="327"/>
      <c r="F1075" s="537" t="s">
        <v>334</v>
      </c>
      <c r="G1075" s="327"/>
      <c r="H1075" s="566" t="s">
        <v>334</v>
      </c>
      <c r="I1075" s="327"/>
      <c r="J1075" s="567"/>
      <c r="K1075" s="327"/>
      <c r="L1075" s="567"/>
      <c r="M1075" s="327"/>
      <c r="N1075" s="20"/>
      <c r="O1075" s="21"/>
      <c r="P1075" s="524"/>
      <c r="Q1075" s="327"/>
      <c r="R1075" s="516"/>
      <c r="S1075" s="327"/>
      <c r="T1075" s="517"/>
      <c r="U1075" s="327"/>
      <c r="V1075" s="540"/>
      <c r="W1075" s="327"/>
      <c r="X1075" s="541" t="s">
        <v>303</v>
      </c>
      <c r="Y1075" s="326"/>
      <c r="Z1075" s="326"/>
      <c r="AA1075" s="327"/>
      <c r="AB1075" s="542" t="s">
        <v>303</v>
      </c>
      <c r="AC1075" s="326"/>
      <c r="AD1075" s="326"/>
      <c r="AE1075" s="327"/>
      <c r="AF1075" s="543"/>
      <c r="AG1075" s="327"/>
      <c r="AH1075" s="543"/>
      <c r="AI1075" s="327"/>
      <c r="AJ1075" s="536"/>
      <c r="AK1075" s="327"/>
      <c r="AL1075" s="537" t="s">
        <v>334</v>
      </c>
      <c r="AM1075" s="327"/>
      <c r="AN1075" s="546" t="s">
        <v>334</v>
      </c>
      <c r="AO1075" s="327"/>
      <c r="AP1075" s="547"/>
      <c r="AQ1075" s="327"/>
      <c r="AR1075" s="548"/>
      <c r="AS1075" s="327"/>
      <c r="AT1075" s="568"/>
      <c r="AU1075" s="327"/>
      <c r="AV1075" s="546" t="s">
        <v>334</v>
      </c>
      <c r="AW1075" s="327"/>
      <c r="AX1075" s="521"/>
      <c r="AY1075" s="326"/>
      <c r="AZ1075" s="327"/>
      <c r="BA1075" s="550"/>
      <c r="BB1075" s="327"/>
      <c r="BC1075" s="25"/>
      <c r="BD1075" s="544" t="s">
        <v>334</v>
      </c>
      <c r="BE1075" s="327"/>
      <c r="BF1075" s="545"/>
      <c r="BG1075" s="326"/>
      <c r="BH1075" s="326"/>
      <c r="BI1075" s="327"/>
      <c r="BJ1075" s="557" t="s">
        <v>303</v>
      </c>
      <c r="BK1075" s="326"/>
      <c r="BL1075" s="326"/>
      <c r="BM1075" s="327"/>
      <c r="BN1075" s="558" t="s">
        <v>303</v>
      </c>
      <c r="BO1075" s="326"/>
      <c r="BP1075" s="326"/>
      <c r="BQ1075" s="326"/>
      <c r="BR1075" s="326"/>
      <c r="BS1075" s="326"/>
      <c r="BT1075" s="326"/>
      <c r="BU1075" s="326"/>
      <c r="BV1075" s="327"/>
    </row>
    <row r="1076" spans="1:74" ht="45" customHeight="1" x14ac:dyDescent="0.25">
      <c r="A1076" s="10">
        <f t="shared" si="4"/>
        <v>1062</v>
      </c>
      <c r="B1076" s="564" t="s">
        <v>303</v>
      </c>
      <c r="C1076" s="327"/>
      <c r="D1076" s="565" t="s">
        <v>307</v>
      </c>
      <c r="E1076" s="327"/>
      <c r="F1076" s="537" t="s">
        <v>334</v>
      </c>
      <c r="G1076" s="327"/>
      <c r="H1076" s="561" t="s">
        <v>334</v>
      </c>
      <c r="I1076" s="327"/>
      <c r="J1076" s="562"/>
      <c r="K1076" s="327"/>
      <c r="L1076" s="562"/>
      <c r="M1076" s="327"/>
      <c r="N1076" s="20"/>
      <c r="O1076" s="21"/>
      <c r="P1076" s="524"/>
      <c r="Q1076" s="327"/>
      <c r="R1076" s="516"/>
      <c r="S1076" s="327"/>
      <c r="T1076" s="517"/>
      <c r="U1076" s="327"/>
      <c r="V1076" s="518"/>
      <c r="W1076" s="327"/>
      <c r="X1076" s="438" t="s">
        <v>303</v>
      </c>
      <c r="Y1076" s="326"/>
      <c r="Z1076" s="326"/>
      <c r="AA1076" s="327"/>
      <c r="AB1076" s="519" t="s">
        <v>303</v>
      </c>
      <c r="AC1076" s="326"/>
      <c r="AD1076" s="326"/>
      <c r="AE1076" s="327"/>
      <c r="AF1076" s="520"/>
      <c r="AG1076" s="327"/>
      <c r="AH1076" s="520"/>
      <c r="AI1076" s="327"/>
      <c r="AJ1076" s="536"/>
      <c r="AK1076" s="327"/>
      <c r="AL1076" s="556" t="s">
        <v>334</v>
      </c>
      <c r="AM1076" s="327"/>
      <c r="AN1076" s="553" t="s">
        <v>334</v>
      </c>
      <c r="AO1076" s="327"/>
      <c r="AP1076" s="554"/>
      <c r="AQ1076" s="327"/>
      <c r="AR1076" s="555"/>
      <c r="AS1076" s="327"/>
      <c r="AT1076" s="549"/>
      <c r="AU1076" s="327"/>
      <c r="AV1076" s="553" t="s">
        <v>334</v>
      </c>
      <c r="AW1076" s="327"/>
      <c r="AX1076" s="521"/>
      <c r="AY1076" s="326"/>
      <c r="AZ1076" s="327"/>
      <c r="BA1076" s="536"/>
      <c r="BB1076" s="327"/>
      <c r="BC1076" s="22"/>
      <c r="BD1076" s="551" t="s">
        <v>334</v>
      </c>
      <c r="BE1076" s="327"/>
      <c r="BF1076" s="552"/>
      <c r="BG1076" s="326"/>
      <c r="BH1076" s="326"/>
      <c r="BI1076" s="327"/>
      <c r="BJ1076" s="451" t="s">
        <v>303</v>
      </c>
      <c r="BK1076" s="326"/>
      <c r="BL1076" s="326"/>
      <c r="BM1076" s="327"/>
      <c r="BN1076" s="558" t="s">
        <v>303</v>
      </c>
      <c r="BO1076" s="326"/>
      <c r="BP1076" s="326"/>
      <c r="BQ1076" s="326"/>
      <c r="BR1076" s="326"/>
      <c r="BS1076" s="326"/>
      <c r="BT1076" s="326"/>
      <c r="BU1076" s="326"/>
      <c r="BV1076" s="327"/>
    </row>
    <row r="1077" spans="1:74" ht="45" customHeight="1" x14ac:dyDescent="0.25">
      <c r="A1077" s="10">
        <f t="shared" si="4"/>
        <v>1063</v>
      </c>
      <c r="B1077" s="559" t="s">
        <v>303</v>
      </c>
      <c r="C1077" s="327"/>
      <c r="D1077" s="560" t="s">
        <v>307</v>
      </c>
      <c r="E1077" s="327"/>
      <c r="F1077" s="537" t="s">
        <v>334</v>
      </c>
      <c r="G1077" s="327"/>
      <c r="H1077" s="566" t="s">
        <v>334</v>
      </c>
      <c r="I1077" s="327"/>
      <c r="J1077" s="567"/>
      <c r="K1077" s="327"/>
      <c r="L1077" s="567"/>
      <c r="M1077" s="327"/>
      <c r="N1077" s="23"/>
      <c r="O1077" s="24"/>
      <c r="P1077" s="563"/>
      <c r="Q1077" s="327"/>
      <c r="R1077" s="538"/>
      <c r="S1077" s="327"/>
      <c r="T1077" s="539"/>
      <c r="U1077" s="327"/>
      <c r="V1077" s="540"/>
      <c r="W1077" s="327"/>
      <c r="X1077" s="541" t="s">
        <v>303</v>
      </c>
      <c r="Y1077" s="326"/>
      <c r="Z1077" s="326"/>
      <c r="AA1077" s="327"/>
      <c r="AB1077" s="542" t="s">
        <v>303</v>
      </c>
      <c r="AC1077" s="326"/>
      <c r="AD1077" s="326"/>
      <c r="AE1077" s="327"/>
      <c r="AF1077" s="543"/>
      <c r="AG1077" s="327"/>
      <c r="AH1077" s="543"/>
      <c r="AI1077" s="327"/>
      <c r="AJ1077" s="536"/>
      <c r="AK1077" s="327"/>
      <c r="AL1077" s="537" t="s">
        <v>334</v>
      </c>
      <c r="AM1077" s="327"/>
      <c r="AN1077" s="546" t="s">
        <v>334</v>
      </c>
      <c r="AO1077" s="327"/>
      <c r="AP1077" s="547"/>
      <c r="AQ1077" s="327"/>
      <c r="AR1077" s="548"/>
      <c r="AS1077" s="327"/>
      <c r="AT1077" s="568"/>
      <c r="AU1077" s="327"/>
      <c r="AV1077" s="546" t="s">
        <v>334</v>
      </c>
      <c r="AW1077" s="327"/>
      <c r="AX1077" s="521"/>
      <c r="AY1077" s="326"/>
      <c r="AZ1077" s="327"/>
      <c r="BA1077" s="550"/>
      <c r="BB1077" s="327"/>
      <c r="BC1077" s="25"/>
      <c r="BD1077" s="544" t="s">
        <v>334</v>
      </c>
      <c r="BE1077" s="327"/>
      <c r="BF1077" s="545"/>
      <c r="BG1077" s="326"/>
      <c r="BH1077" s="326"/>
      <c r="BI1077" s="327"/>
      <c r="BJ1077" s="557" t="s">
        <v>303</v>
      </c>
      <c r="BK1077" s="326"/>
      <c r="BL1077" s="326"/>
      <c r="BM1077" s="327"/>
      <c r="BN1077" s="558" t="s">
        <v>303</v>
      </c>
      <c r="BO1077" s="326"/>
      <c r="BP1077" s="326"/>
      <c r="BQ1077" s="326"/>
      <c r="BR1077" s="326"/>
      <c r="BS1077" s="326"/>
      <c r="BT1077" s="326"/>
      <c r="BU1077" s="326"/>
      <c r="BV1077" s="327"/>
    </row>
    <row r="1078" spans="1:74" ht="45" customHeight="1" x14ac:dyDescent="0.25">
      <c r="A1078" s="10">
        <f t="shared" si="4"/>
        <v>1064</v>
      </c>
      <c r="B1078" s="564" t="s">
        <v>303</v>
      </c>
      <c r="C1078" s="327"/>
      <c r="D1078" s="565" t="s">
        <v>307</v>
      </c>
      <c r="E1078" s="327"/>
      <c r="F1078" s="537" t="s">
        <v>334</v>
      </c>
      <c r="G1078" s="327"/>
      <c r="H1078" s="561" t="s">
        <v>334</v>
      </c>
      <c r="I1078" s="327"/>
      <c r="J1078" s="562"/>
      <c r="K1078" s="327"/>
      <c r="L1078" s="562"/>
      <c r="M1078" s="327"/>
      <c r="N1078" s="20"/>
      <c r="O1078" s="21"/>
      <c r="P1078" s="524"/>
      <c r="Q1078" s="327"/>
      <c r="R1078" s="516"/>
      <c r="S1078" s="327"/>
      <c r="T1078" s="517"/>
      <c r="U1078" s="327"/>
      <c r="V1078" s="518"/>
      <c r="W1078" s="327"/>
      <c r="X1078" s="438" t="s">
        <v>303</v>
      </c>
      <c r="Y1078" s="326"/>
      <c r="Z1078" s="326"/>
      <c r="AA1078" s="327"/>
      <c r="AB1078" s="519" t="s">
        <v>303</v>
      </c>
      <c r="AC1078" s="326"/>
      <c r="AD1078" s="326"/>
      <c r="AE1078" s="327"/>
      <c r="AF1078" s="520"/>
      <c r="AG1078" s="327"/>
      <c r="AH1078" s="520"/>
      <c r="AI1078" s="327"/>
      <c r="AJ1078" s="536"/>
      <c r="AK1078" s="327"/>
      <c r="AL1078" s="556" t="s">
        <v>334</v>
      </c>
      <c r="AM1078" s="327"/>
      <c r="AN1078" s="553" t="s">
        <v>334</v>
      </c>
      <c r="AO1078" s="327"/>
      <c r="AP1078" s="554"/>
      <c r="AQ1078" s="327"/>
      <c r="AR1078" s="555"/>
      <c r="AS1078" s="327"/>
      <c r="AT1078" s="549"/>
      <c r="AU1078" s="327"/>
      <c r="AV1078" s="553" t="s">
        <v>334</v>
      </c>
      <c r="AW1078" s="327"/>
      <c r="AX1078" s="521"/>
      <c r="AY1078" s="326"/>
      <c r="AZ1078" s="327"/>
      <c r="BA1078" s="536"/>
      <c r="BB1078" s="327"/>
      <c r="BC1078" s="22"/>
      <c r="BD1078" s="551" t="s">
        <v>334</v>
      </c>
      <c r="BE1078" s="327"/>
      <c r="BF1078" s="508"/>
      <c r="BG1078" s="326"/>
      <c r="BH1078" s="326"/>
      <c r="BI1078" s="327"/>
      <c r="BJ1078" s="451" t="s">
        <v>303</v>
      </c>
      <c r="BK1078" s="326"/>
      <c r="BL1078" s="326"/>
      <c r="BM1078" s="327"/>
      <c r="BN1078" s="558" t="s">
        <v>303</v>
      </c>
      <c r="BO1078" s="326"/>
      <c r="BP1078" s="326"/>
      <c r="BQ1078" s="326"/>
      <c r="BR1078" s="326"/>
      <c r="BS1078" s="326"/>
      <c r="BT1078" s="326"/>
      <c r="BU1078" s="326"/>
      <c r="BV1078" s="327"/>
    </row>
    <row r="1079" spans="1:74" ht="45" customHeight="1" x14ac:dyDescent="0.25">
      <c r="A1079" s="10">
        <f t="shared" si="4"/>
        <v>1065</v>
      </c>
      <c r="B1079" s="559" t="s">
        <v>303</v>
      </c>
      <c r="C1079" s="327"/>
      <c r="D1079" s="560" t="s">
        <v>307</v>
      </c>
      <c r="E1079" s="327"/>
      <c r="F1079" s="537" t="s">
        <v>334</v>
      </c>
      <c r="G1079" s="327"/>
      <c r="H1079" s="566" t="s">
        <v>334</v>
      </c>
      <c r="I1079" s="327"/>
      <c r="J1079" s="567"/>
      <c r="K1079" s="327"/>
      <c r="L1079" s="567"/>
      <c r="M1079" s="327"/>
      <c r="N1079" s="23"/>
      <c r="O1079" s="24"/>
      <c r="P1079" s="563"/>
      <c r="Q1079" s="327"/>
      <c r="R1079" s="538"/>
      <c r="S1079" s="327"/>
      <c r="T1079" s="539"/>
      <c r="U1079" s="327"/>
      <c r="V1079" s="540"/>
      <c r="W1079" s="327"/>
      <c r="X1079" s="541" t="s">
        <v>303</v>
      </c>
      <c r="Y1079" s="326"/>
      <c r="Z1079" s="326"/>
      <c r="AA1079" s="327"/>
      <c r="AB1079" s="542" t="s">
        <v>303</v>
      </c>
      <c r="AC1079" s="326"/>
      <c r="AD1079" s="326"/>
      <c r="AE1079" s="327"/>
      <c r="AF1079" s="543"/>
      <c r="AG1079" s="327"/>
      <c r="AH1079" s="543"/>
      <c r="AI1079" s="327"/>
      <c r="AJ1079" s="536"/>
      <c r="AK1079" s="327"/>
      <c r="AL1079" s="537" t="s">
        <v>334</v>
      </c>
      <c r="AM1079" s="327"/>
      <c r="AN1079" s="546" t="s">
        <v>334</v>
      </c>
      <c r="AO1079" s="327"/>
      <c r="AP1079" s="547"/>
      <c r="AQ1079" s="327"/>
      <c r="AR1079" s="548"/>
      <c r="AS1079" s="327"/>
      <c r="AT1079" s="568"/>
      <c r="AU1079" s="327"/>
      <c r="AV1079" s="546" t="s">
        <v>334</v>
      </c>
      <c r="AW1079" s="327"/>
      <c r="AX1079" s="521"/>
      <c r="AY1079" s="326"/>
      <c r="AZ1079" s="327"/>
      <c r="BA1079" s="550"/>
      <c r="BB1079" s="327"/>
      <c r="BC1079" s="25"/>
      <c r="BD1079" s="544" t="s">
        <v>334</v>
      </c>
      <c r="BE1079" s="327"/>
      <c r="BF1079" s="545"/>
      <c r="BG1079" s="326"/>
      <c r="BH1079" s="326"/>
      <c r="BI1079" s="327"/>
      <c r="BJ1079" s="557" t="s">
        <v>303</v>
      </c>
      <c r="BK1079" s="326"/>
      <c r="BL1079" s="326"/>
      <c r="BM1079" s="327"/>
      <c r="BN1079" s="558" t="s">
        <v>303</v>
      </c>
      <c r="BO1079" s="326"/>
      <c r="BP1079" s="326"/>
      <c r="BQ1079" s="326"/>
      <c r="BR1079" s="326"/>
      <c r="BS1079" s="326"/>
      <c r="BT1079" s="326"/>
      <c r="BU1079" s="326"/>
      <c r="BV1079" s="327"/>
    </row>
    <row r="1080" spans="1:74" ht="45" customHeight="1" x14ac:dyDescent="0.25">
      <c r="A1080" s="10">
        <f t="shared" si="4"/>
        <v>1066</v>
      </c>
      <c r="B1080" s="564" t="s">
        <v>303</v>
      </c>
      <c r="C1080" s="327"/>
      <c r="D1080" s="565" t="s">
        <v>307</v>
      </c>
      <c r="E1080" s="327"/>
      <c r="F1080" s="537" t="s">
        <v>334</v>
      </c>
      <c r="G1080" s="327"/>
      <c r="H1080" s="561" t="s">
        <v>334</v>
      </c>
      <c r="I1080" s="327"/>
      <c r="J1080" s="562"/>
      <c r="K1080" s="327"/>
      <c r="L1080" s="562"/>
      <c r="M1080" s="327"/>
      <c r="N1080" s="20"/>
      <c r="O1080" s="21"/>
      <c r="P1080" s="524"/>
      <c r="Q1080" s="327"/>
      <c r="R1080" s="516"/>
      <c r="S1080" s="327"/>
      <c r="T1080" s="517"/>
      <c r="U1080" s="327"/>
      <c r="V1080" s="518"/>
      <c r="W1080" s="327"/>
      <c r="X1080" s="438" t="s">
        <v>303</v>
      </c>
      <c r="Y1080" s="326"/>
      <c r="Z1080" s="326"/>
      <c r="AA1080" s="327"/>
      <c r="AB1080" s="519" t="s">
        <v>303</v>
      </c>
      <c r="AC1080" s="326"/>
      <c r="AD1080" s="326"/>
      <c r="AE1080" s="327"/>
      <c r="AF1080" s="520"/>
      <c r="AG1080" s="327"/>
      <c r="AH1080" s="520"/>
      <c r="AI1080" s="327"/>
      <c r="AJ1080" s="536"/>
      <c r="AK1080" s="327"/>
      <c r="AL1080" s="556" t="s">
        <v>334</v>
      </c>
      <c r="AM1080" s="327"/>
      <c r="AN1080" s="553" t="s">
        <v>334</v>
      </c>
      <c r="AO1080" s="327"/>
      <c r="AP1080" s="554"/>
      <c r="AQ1080" s="327"/>
      <c r="AR1080" s="555"/>
      <c r="AS1080" s="327"/>
      <c r="AT1080" s="549"/>
      <c r="AU1080" s="327"/>
      <c r="AV1080" s="553" t="s">
        <v>334</v>
      </c>
      <c r="AW1080" s="327"/>
      <c r="AX1080" s="521"/>
      <c r="AY1080" s="326"/>
      <c r="AZ1080" s="327"/>
      <c r="BA1080" s="536"/>
      <c r="BB1080" s="327"/>
      <c r="BC1080" s="22"/>
      <c r="BD1080" s="551" t="s">
        <v>334</v>
      </c>
      <c r="BE1080" s="327"/>
      <c r="BF1080" s="552"/>
      <c r="BG1080" s="326"/>
      <c r="BH1080" s="326"/>
      <c r="BI1080" s="327"/>
      <c r="BJ1080" s="451" t="s">
        <v>303</v>
      </c>
      <c r="BK1080" s="326"/>
      <c r="BL1080" s="326"/>
      <c r="BM1080" s="327"/>
      <c r="BN1080" s="558" t="s">
        <v>303</v>
      </c>
      <c r="BO1080" s="326"/>
      <c r="BP1080" s="326"/>
      <c r="BQ1080" s="326"/>
      <c r="BR1080" s="326"/>
      <c r="BS1080" s="326"/>
      <c r="BT1080" s="326"/>
      <c r="BU1080" s="326"/>
      <c r="BV1080" s="327"/>
    </row>
    <row r="1081" spans="1:74" ht="45" customHeight="1" x14ac:dyDescent="0.25">
      <c r="A1081" s="10">
        <f t="shared" si="4"/>
        <v>1067</v>
      </c>
      <c r="B1081" s="559" t="s">
        <v>303</v>
      </c>
      <c r="C1081" s="327"/>
      <c r="D1081" s="560" t="s">
        <v>307</v>
      </c>
      <c r="E1081" s="327"/>
      <c r="F1081" s="537" t="s">
        <v>334</v>
      </c>
      <c r="G1081" s="327"/>
      <c r="H1081" s="566" t="s">
        <v>334</v>
      </c>
      <c r="I1081" s="327"/>
      <c r="J1081" s="567"/>
      <c r="K1081" s="327"/>
      <c r="L1081" s="567"/>
      <c r="M1081" s="327"/>
      <c r="N1081" s="23"/>
      <c r="O1081" s="24"/>
      <c r="P1081" s="563"/>
      <c r="Q1081" s="327"/>
      <c r="R1081" s="538"/>
      <c r="S1081" s="327"/>
      <c r="T1081" s="539"/>
      <c r="U1081" s="327"/>
      <c r="V1081" s="540"/>
      <c r="W1081" s="327"/>
      <c r="X1081" s="541" t="s">
        <v>303</v>
      </c>
      <c r="Y1081" s="326"/>
      <c r="Z1081" s="326"/>
      <c r="AA1081" s="327"/>
      <c r="AB1081" s="542" t="s">
        <v>303</v>
      </c>
      <c r="AC1081" s="326"/>
      <c r="AD1081" s="326"/>
      <c r="AE1081" s="327"/>
      <c r="AF1081" s="543"/>
      <c r="AG1081" s="327"/>
      <c r="AH1081" s="543"/>
      <c r="AI1081" s="327"/>
      <c r="AJ1081" s="536"/>
      <c r="AK1081" s="327"/>
      <c r="AL1081" s="537" t="s">
        <v>334</v>
      </c>
      <c r="AM1081" s="327"/>
      <c r="AN1081" s="546" t="s">
        <v>334</v>
      </c>
      <c r="AO1081" s="327"/>
      <c r="AP1081" s="547"/>
      <c r="AQ1081" s="327"/>
      <c r="AR1081" s="548"/>
      <c r="AS1081" s="327"/>
      <c r="AT1081" s="549"/>
      <c r="AU1081" s="327"/>
      <c r="AV1081" s="546" t="s">
        <v>334</v>
      </c>
      <c r="AW1081" s="327"/>
      <c r="AX1081" s="521"/>
      <c r="AY1081" s="326"/>
      <c r="AZ1081" s="327"/>
      <c r="BA1081" s="550"/>
      <c r="BB1081" s="327"/>
      <c r="BC1081" s="25"/>
      <c r="BD1081" s="544" t="s">
        <v>334</v>
      </c>
      <c r="BE1081" s="327"/>
      <c r="BF1081" s="545"/>
      <c r="BG1081" s="326"/>
      <c r="BH1081" s="326"/>
      <c r="BI1081" s="327"/>
      <c r="BJ1081" s="557" t="s">
        <v>303</v>
      </c>
      <c r="BK1081" s="326"/>
      <c r="BL1081" s="326"/>
      <c r="BM1081" s="327"/>
      <c r="BN1081" s="558" t="s">
        <v>303</v>
      </c>
      <c r="BO1081" s="326"/>
      <c r="BP1081" s="326"/>
      <c r="BQ1081" s="326"/>
      <c r="BR1081" s="326"/>
      <c r="BS1081" s="326"/>
      <c r="BT1081" s="326"/>
      <c r="BU1081" s="326"/>
      <c r="BV1081" s="327"/>
    </row>
    <row r="1082" spans="1:74" ht="45" customHeight="1" x14ac:dyDescent="0.25">
      <c r="A1082" s="10">
        <f t="shared" si="4"/>
        <v>1068</v>
      </c>
      <c r="B1082" s="564" t="s">
        <v>303</v>
      </c>
      <c r="C1082" s="327"/>
      <c r="D1082" s="565" t="s">
        <v>307</v>
      </c>
      <c r="E1082" s="327"/>
      <c r="F1082" s="537" t="s">
        <v>334</v>
      </c>
      <c r="G1082" s="327"/>
      <c r="H1082" s="561" t="s">
        <v>334</v>
      </c>
      <c r="I1082" s="327"/>
      <c r="J1082" s="562"/>
      <c r="K1082" s="327"/>
      <c r="L1082" s="562"/>
      <c r="M1082" s="327"/>
      <c r="N1082" s="20"/>
      <c r="O1082" s="21"/>
      <c r="P1082" s="524"/>
      <c r="Q1082" s="327"/>
      <c r="R1082" s="516"/>
      <c r="S1082" s="327"/>
      <c r="T1082" s="517"/>
      <c r="U1082" s="327"/>
      <c r="V1082" s="518"/>
      <c r="W1082" s="327"/>
      <c r="X1082" s="438" t="s">
        <v>303</v>
      </c>
      <c r="Y1082" s="326"/>
      <c r="Z1082" s="326"/>
      <c r="AA1082" s="327"/>
      <c r="AB1082" s="519" t="s">
        <v>303</v>
      </c>
      <c r="AC1082" s="326"/>
      <c r="AD1082" s="326"/>
      <c r="AE1082" s="327"/>
      <c r="AF1082" s="520"/>
      <c r="AG1082" s="327"/>
      <c r="AH1082" s="520"/>
      <c r="AI1082" s="327"/>
      <c r="AJ1082" s="536"/>
      <c r="AK1082" s="327"/>
      <c r="AL1082" s="556" t="s">
        <v>334</v>
      </c>
      <c r="AM1082" s="327"/>
      <c r="AN1082" s="553" t="s">
        <v>334</v>
      </c>
      <c r="AO1082" s="327"/>
      <c r="AP1082" s="554"/>
      <c r="AQ1082" s="327"/>
      <c r="AR1082" s="555"/>
      <c r="AS1082" s="327"/>
      <c r="AT1082" s="549"/>
      <c r="AU1082" s="327"/>
      <c r="AV1082" s="553" t="s">
        <v>334</v>
      </c>
      <c r="AW1082" s="327"/>
      <c r="AX1082" s="521"/>
      <c r="AY1082" s="326"/>
      <c r="AZ1082" s="327"/>
      <c r="BA1082" s="536"/>
      <c r="BB1082" s="327"/>
      <c r="BC1082" s="22"/>
      <c r="BD1082" s="551" t="s">
        <v>334</v>
      </c>
      <c r="BE1082" s="327"/>
      <c r="BF1082" s="552"/>
      <c r="BG1082" s="326"/>
      <c r="BH1082" s="326"/>
      <c r="BI1082" s="327"/>
      <c r="BJ1082" s="451" t="s">
        <v>303</v>
      </c>
      <c r="BK1082" s="326"/>
      <c r="BL1082" s="326"/>
      <c r="BM1082" s="327"/>
      <c r="BN1082" s="558" t="s">
        <v>303</v>
      </c>
      <c r="BO1082" s="326"/>
      <c r="BP1082" s="326"/>
      <c r="BQ1082" s="326"/>
      <c r="BR1082" s="326"/>
      <c r="BS1082" s="326"/>
      <c r="BT1082" s="326"/>
      <c r="BU1082" s="326"/>
      <c r="BV1082" s="327"/>
    </row>
    <row r="1083" spans="1:74" ht="45" customHeight="1" x14ac:dyDescent="0.25">
      <c r="A1083" s="10">
        <f t="shared" si="4"/>
        <v>1069</v>
      </c>
      <c r="B1083" s="559" t="s">
        <v>303</v>
      </c>
      <c r="C1083" s="327"/>
      <c r="D1083" s="560" t="s">
        <v>307</v>
      </c>
      <c r="E1083" s="327"/>
      <c r="F1083" s="537" t="s">
        <v>334</v>
      </c>
      <c r="G1083" s="327"/>
      <c r="H1083" s="566" t="s">
        <v>334</v>
      </c>
      <c r="I1083" s="327"/>
      <c r="J1083" s="567"/>
      <c r="K1083" s="327"/>
      <c r="L1083" s="567"/>
      <c r="M1083" s="327"/>
      <c r="N1083" s="20"/>
      <c r="O1083" s="21"/>
      <c r="P1083" s="524"/>
      <c r="Q1083" s="327"/>
      <c r="R1083" s="538"/>
      <c r="S1083" s="327"/>
      <c r="T1083" s="539"/>
      <c r="U1083" s="327"/>
      <c r="V1083" s="540"/>
      <c r="W1083" s="327"/>
      <c r="X1083" s="541" t="s">
        <v>303</v>
      </c>
      <c r="Y1083" s="326"/>
      <c r="Z1083" s="326"/>
      <c r="AA1083" s="327"/>
      <c r="AB1083" s="542" t="s">
        <v>303</v>
      </c>
      <c r="AC1083" s="326"/>
      <c r="AD1083" s="326"/>
      <c r="AE1083" s="327"/>
      <c r="AF1083" s="543"/>
      <c r="AG1083" s="327"/>
      <c r="AH1083" s="543"/>
      <c r="AI1083" s="327"/>
      <c r="AJ1083" s="536"/>
      <c r="AK1083" s="327"/>
      <c r="AL1083" s="537" t="s">
        <v>334</v>
      </c>
      <c r="AM1083" s="327"/>
      <c r="AN1083" s="546" t="s">
        <v>334</v>
      </c>
      <c r="AO1083" s="327"/>
      <c r="AP1083" s="547"/>
      <c r="AQ1083" s="327"/>
      <c r="AR1083" s="548"/>
      <c r="AS1083" s="327"/>
      <c r="AT1083" s="549"/>
      <c r="AU1083" s="327"/>
      <c r="AV1083" s="546" t="s">
        <v>334</v>
      </c>
      <c r="AW1083" s="327"/>
      <c r="AX1083" s="521"/>
      <c r="AY1083" s="326"/>
      <c r="AZ1083" s="327"/>
      <c r="BA1083" s="550"/>
      <c r="BB1083" s="327"/>
      <c r="BC1083" s="25"/>
      <c r="BD1083" s="544" t="s">
        <v>334</v>
      </c>
      <c r="BE1083" s="327"/>
      <c r="BF1083" s="545"/>
      <c r="BG1083" s="326"/>
      <c r="BH1083" s="326"/>
      <c r="BI1083" s="327"/>
      <c r="BJ1083" s="557" t="s">
        <v>303</v>
      </c>
      <c r="BK1083" s="326"/>
      <c r="BL1083" s="326"/>
      <c r="BM1083" s="327"/>
      <c r="BN1083" s="558" t="s">
        <v>303</v>
      </c>
      <c r="BO1083" s="326"/>
      <c r="BP1083" s="326"/>
      <c r="BQ1083" s="326"/>
      <c r="BR1083" s="326"/>
      <c r="BS1083" s="326"/>
      <c r="BT1083" s="326"/>
      <c r="BU1083" s="326"/>
      <c r="BV1083" s="327"/>
    </row>
    <row r="1084" spans="1:74" ht="45" customHeight="1" x14ac:dyDescent="0.25">
      <c r="A1084" s="10">
        <f t="shared" si="4"/>
        <v>1070</v>
      </c>
      <c r="B1084" s="564" t="s">
        <v>303</v>
      </c>
      <c r="C1084" s="327"/>
      <c r="D1084" s="565" t="s">
        <v>307</v>
      </c>
      <c r="E1084" s="327"/>
      <c r="F1084" s="537" t="s">
        <v>334</v>
      </c>
      <c r="G1084" s="327"/>
      <c r="H1084" s="561" t="s">
        <v>334</v>
      </c>
      <c r="I1084" s="327"/>
      <c r="J1084" s="562"/>
      <c r="K1084" s="327"/>
      <c r="L1084" s="562"/>
      <c r="M1084" s="327"/>
      <c r="N1084" s="23"/>
      <c r="O1084" s="24"/>
      <c r="P1084" s="563"/>
      <c r="Q1084" s="327"/>
      <c r="R1084" s="516"/>
      <c r="S1084" s="327"/>
      <c r="T1084" s="517"/>
      <c r="U1084" s="327"/>
      <c r="V1084" s="518"/>
      <c r="W1084" s="327"/>
      <c r="X1084" s="438" t="s">
        <v>303</v>
      </c>
      <c r="Y1084" s="326"/>
      <c r="Z1084" s="326"/>
      <c r="AA1084" s="327"/>
      <c r="AB1084" s="519" t="s">
        <v>303</v>
      </c>
      <c r="AC1084" s="326"/>
      <c r="AD1084" s="326"/>
      <c r="AE1084" s="327"/>
      <c r="AF1084" s="520"/>
      <c r="AG1084" s="327"/>
      <c r="AH1084" s="520"/>
      <c r="AI1084" s="327"/>
      <c r="AJ1084" s="536"/>
      <c r="AK1084" s="327"/>
      <c r="AL1084" s="556" t="s">
        <v>334</v>
      </c>
      <c r="AM1084" s="327"/>
      <c r="AN1084" s="553" t="s">
        <v>334</v>
      </c>
      <c r="AO1084" s="327"/>
      <c r="AP1084" s="554"/>
      <c r="AQ1084" s="327"/>
      <c r="AR1084" s="555"/>
      <c r="AS1084" s="327"/>
      <c r="AT1084" s="549"/>
      <c r="AU1084" s="327"/>
      <c r="AV1084" s="553" t="s">
        <v>334</v>
      </c>
      <c r="AW1084" s="327"/>
      <c r="AX1084" s="521"/>
      <c r="AY1084" s="326"/>
      <c r="AZ1084" s="327"/>
      <c r="BA1084" s="536"/>
      <c r="BB1084" s="327"/>
      <c r="BC1084" s="22"/>
      <c r="BD1084" s="551" t="s">
        <v>334</v>
      </c>
      <c r="BE1084" s="327"/>
      <c r="BF1084" s="552"/>
      <c r="BG1084" s="326"/>
      <c r="BH1084" s="326"/>
      <c r="BI1084" s="327"/>
      <c r="BJ1084" s="451" t="s">
        <v>303</v>
      </c>
      <c r="BK1084" s="326"/>
      <c r="BL1084" s="326"/>
      <c r="BM1084" s="327"/>
      <c r="BN1084" s="558" t="s">
        <v>303</v>
      </c>
      <c r="BO1084" s="326"/>
      <c r="BP1084" s="326"/>
      <c r="BQ1084" s="326"/>
      <c r="BR1084" s="326"/>
      <c r="BS1084" s="326"/>
      <c r="BT1084" s="326"/>
      <c r="BU1084" s="326"/>
      <c r="BV1084" s="327"/>
    </row>
    <row r="1085" spans="1:74" ht="45" customHeight="1" x14ac:dyDescent="0.25">
      <c r="A1085" s="10">
        <f t="shared" si="4"/>
        <v>1071</v>
      </c>
      <c r="B1085" s="559" t="s">
        <v>303</v>
      </c>
      <c r="C1085" s="327"/>
      <c r="D1085" s="560" t="s">
        <v>307</v>
      </c>
      <c r="E1085" s="327"/>
      <c r="F1085" s="537" t="s">
        <v>334</v>
      </c>
      <c r="G1085" s="327"/>
      <c r="H1085" s="566" t="s">
        <v>334</v>
      </c>
      <c r="I1085" s="327"/>
      <c r="J1085" s="567"/>
      <c r="K1085" s="327"/>
      <c r="L1085" s="567"/>
      <c r="M1085" s="327"/>
      <c r="N1085" s="20"/>
      <c r="O1085" s="24"/>
      <c r="P1085" s="524"/>
      <c r="Q1085" s="327"/>
      <c r="R1085" s="538"/>
      <c r="S1085" s="327"/>
      <c r="T1085" s="539"/>
      <c r="U1085" s="327"/>
      <c r="V1085" s="540"/>
      <c r="W1085" s="327"/>
      <c r="X1085" s="541" t="s">
        <v>303</v>
      </c>
      <c r="Y1085" s="326"/>
      <c r="Z1085" s="326"/>
      <c r="AA1085" s="327"/>
      <c r="AB1085" s="542" t="s">
        <v>303</v>
      </c>
      <c r="AC1085" s="326"/>
      <c r="AD1085" s="326"/>
      <c r="AE1085" s="327"/>
      <c r="AF1085" s="543"/>
      <c r="AG1085" s="327"/>
      <c r="AH1085" s="543"/>
      <c r="AI1085" s="327"/>
      <c r="AJ1085" s="536"/>
      <c r="AK1085" s="327"/>
      <c r="AL1085" s="537" t="s">
        <v>334</v>
      </c>
      <c r="AM1085" s="327"/>
      <c r="AN1085" s="546" t="s">
        <v>334</v>
      </c>
      <c r="AO1085" s="327"/>
      <c r="AP1085" s="547"/>
      <c r="AQ1085" s="327"/>
      <c r="AR1085" s="548"/>
      <c r="AS1085" s="327"/>
      <c r="AT1085" s="568"/>
      <c r="AU1085" s="327"/>
      <c r="AV1085" s="546" t="s">
        <v>334</v>
      </c>
      <c r="AW1085" s="327"/>
      <c r="AX1085" s="521"/>
      <c r="AY1085" s="326"/>
      <c r="AZ1085" s="327"/>
      <c r="BA1085" s="550"/>
      <c r="BB1085" s="327"/>
      <c r="BC1085" s="25"/>
      <c r="BD1085" s="544" t="s">
        <v>334</v>
      </c>
      <c r="BE1085" s="327"/>
      <c r="BF1085" s="545"/>
      <c r="BG1085" s="326"/>
      <c r="BH1085" s="326"/>
      <c r="BI1085" s="327"/>
      <c r="BJ1085" s="557" t="s">
        <v>303</v>
      </c>
      <c r="BK1085" s="326"/>
      <c r="BL1085" s="326"/>
      <c r="BM1085" s="327"/>
      <c r="BN1085" s="558" t="s">
        <v>303</v>
      </c>
      <c r="BO1085" s="326"/>
      <c r="BP1085" s="326"/>
      <c r="BQ1085" s="326"/>
      <c r="BR1085" s="326"/>
      <c r="BS1085" s="326"/>
      <c r="BT1085" s="326"/>
      <c r="BU1085" s="326"/>
      <c r="BV1085" s="327"/>
    </row>
    <row r="1086" spans="1:74" ht="45" customHeight="1" x14ac:dyDescent="0.25">
      <c r="A1086" s="10">
        <f t="shared" si="4"/>
        <v>1072</v>
      </c>
      <c r="B1086" s="564" t="s">
        <v>303</v>
      </c>
      <c r="C1086" s="327"/>
      <c r="D1086" s="565" t="s">
        <v>307</v>
      </c>
      <c r="E1086" s="327"/>
      <c r="F1086" s="537" t="s">
        <v>334</v>
      </c>
      <c r="G1086" s="327"/>
      <c r="H1086" s="561" t="s">
        <v>334</v>
      </c>
      <c r="I1086" s="327"/>
      <c r="J1086" s="562"/>
      <c r="K1086" s="327"/>
      <c r="L1086" s="562"/>
      <c r="M1086" s="327"/>
      <c r="N1086" s="23"/>
      <c r="O1086" s="21"/>
      <c r="P1086" s="563"/>
      <c r="Q1086" s="327"/>
      <c r="R1086" s="516"/>
      <c r="S1086" s="327"/>
      <c r="T1086" s="517"/>
      <c r="U1086" s="327"/>
      <c r="V1086" s="518"/>
      <c r="W1086" s="327"/>
      <c r="X1086" s="438" t="s">
        <v>303</v>
      </c>
      <c r="Y1086" s="326"/>
      <c r="Z1086" s="326"/>
      <c r="AA1086" s="327"/>
      <c r="AB1086" s="519" t="s">
        <v>303</v>
      </c>
      <c r="AC1086" s="326"/>
      <c r="AD1086" s="326"/>
      <c r="AE1086" s="327"/>
      <c r="AF1086" s="520"/>
      <c r="AG1086" s="327"/>
      <c r="AH1086" s="520"/>
      <c r="AI1086" s="327"/>
      <c r="AJ1086" s="536"/>
      <c r="AK1086" s="327"/>
      <c r="AL1086" s="556" t="s">
        <v>334</v>
      </c>
      <c r="AM1086" s="327"/>
      <c r="AN1086" s="553" t="s">
        <v>334</v>
      </c>
      <c r="AO1086" s="327"/>
      <c r="AP1086" s="554"/>
      <c r="AQ1086" s="327"/>
      <c r="AR1086" s="555"/>
      <c r="AS1086" s="327"/>
      <c r="AT1086" s="549"/>
      <c r="AU1086" s="327"/>
      <c r="AV1086" s="553" t="s">
        <v>334</v>
      </c>
      <c r="AW1086" s="327"/>
      <c r="AX1086" s="521"/>
      <c r="AY1086" s="326"/>
      <c r="AZ1086" s="327"/>
      <c r="BA1086" s="536"/>
      <c r="BB1086" s="327"/>
      <c r="BC1086" s="22"/>
      <c r="BD1086" s="551" t="s">
        <v>334</v>
      </c>
      <c r="BE1086" s="327"/>
      <c r="BF1086" s="508"/>
      <c r="BG1086" s="326"/>
      <c r="BH1086" s="326"/>
      <c r="BI1086" s="327"/>
      <c r="BJ1086" s="451" t="s">
        <v>303</v>
      </c>
      <c r="BK1086" s="326"/>
      <c r="BL1086" s="326"/>
      <c r="BM1086" s="327"/>
      <c r="BN1086" s="558" t="s">
        <v>303</v>
      </c>
      <c r="BO1086" s="326"/>
      <c r="BP1086" s="326"/>
      <c r="BQ1086" s="326"/>
      <c r="BR1086" s="326"/>
      <c r="BS1086" s="326"/>
      <c r="BT1086" s="326"/>
      <c r="BU1086" s="326"/>
      <c r="BV1086" s="327"/>
    </row>
    <row r="1087" spans="1:74" ht="45" customHeight="1" x14ac:dyDescent="0.25">
      <c r="A1087" s="10">
        <f t="shared" si="4"/>
        <v>1073</v>
      </c>
      <c r="B1087" s="559" t="s">
        <v>303</v>
      </c>
      <c r="C1087" s="327"/>
      <c r="D1087" s="560" t="s">
        <v>307</v>
      </c>
      <c r="E1087" s="327"/>
      <c r="F1087" s="537" t="s">
        <v>334</v>
      </c>
      <c r="G1087" s="327"/>
      <c r="H1087" s="566" t="s">
        <v>334</v>
      </c>
      <c r="I1087" s="327"/>
      <c r="J1087" s="567"/>
      <c r="K1087" s="327"/>
      <c r="L1087" s="567"/>
      <c r="M1087" s="327"/>
      <c r="N1087" s="20"/>
      <c r="O1087" s="24"/>
      <c r="P1087" s="524"/>
      <c r="Q1087" s="327"/>
      <c r="R1087" s="538"/>
      <c r="S1087" s="327"/>
      <c r="T1087" s="539"/>
      <c r="U1087" s="327"/>
      <c r="V1087" s="540"/>
      <c r="W1087" s="327"/>
      <c r="X1087" s="541" t="s">
        <v>303</v>
      </c>
      <c r="Y1087" s="326"/>
      <c r="Z1087" s="326"/>
      <c r="AA1087" s="327"/>
      <c r="AB1087" s="542" t="s">
        <v>303</v>
      </c>
      <c r="AC1087" s="326"/>
      <c r="AD1087" s="326"/>
      <c r="AE1087" s="327"/>
      <c r="AF1087" s="543"/>
      <c r="AG1087" s="327"/>
      <c r="AH1087" s="543"/>
      <c r="AI1087" s="327"/>
      <c r="AJ1087" s="536"/>
      <c r="AK1087" s="327"/>
      <c r="AL1087" s="537" t="s">
        <v>334</v>
      </c>
      <c r="AM1087" s="327"/>
      <c r="AN1087" s="546" t="s">
        <v>334</v>
      </c>
      <c r="AO1087" s="327"/>
      <c r="AP1087" s="547"/>
      <c r="AQ1087" s="327"/>
      <c r="AR1087" s="548"/>
      <c r="AS1087" s="327"/>
      <c r="AT1087" s="568"/>
      <c r="AU1087" s="327"/>
      <c r="AV1087" s="546" t="s">
        <v>334</v>
      </c>
      <c r="AW1087" s="327"/>
      <c r="AX1087" s="521"/>
      <c r="AY1087" s="326"/>
      <c r="AZ1087" s="327"/>
      <c r="BA1087" s="550"/>
      <c r="BB1087" s="327"/>
      <c r="BC1087" s="25"/>
      <c r="BD1087" s="544" t="s">
        <v>334</v>
      </c>
      <c r="BE1087" s="327"/>
      <c r="BF1087" s="545"/>
      <c r="BG1087" s="326"/>
      <c r="BH1087" s="326"/>
      <c r="BI1087" s="327"/>
      <c r="BJ1087" s="557" t="s">
        <v>303</v>
      </c>
      <c r="BK1087" s="326"/>
      <c r="BL1087" s="326"/>
      <c r="BM1087" s="327"/>
      <c r="BN1087" s="558" t="s">
        <v>303</v>
      </c>
      <c r="BO1087" s="326"/>
      <c r="BP1087" s="326"/>
      <c r="BQ1087" s="326"/>
      <c r="BR1087" s="326"/>
      <c r="BS1087" s="326"/>
      <c r="BT1087" s="326"/>
      <c r="BU1087" s="326"/>
      <c r="BV1087" s="327"/>
    </row>
    <row r="1088" spans="1:74" ht="45" customHeight="1" x14ac:dyDescent="0.25">
      <c r="A1088" s="10">
        <f t="shared" si="4"/>
        <v>1074</v>
      </c>
      <c r="B1088" s="564" t="s">
        <v>303</v>
      </c>
      <c r="C1088" s="327"/>
      <c r="D1088" s="565" t="s">
        <v>307</v>
      </c>
      <c r="E1088" s="327"/>
      <c r="F1088" s="537" t="s">
        <v>334</v>
      </c>
      <c r="G1088" s="327"/>
      <c r="H1088" s="561" t="s">
        <v>334</v>
      </c>
      <c r="I1088" s="327"/>
      <c r="J1088" s="562"/>
      <c r="K1088" s="327"/>
      <c r="L1088" s="562"/>
      <c r="M1088" s="327"/>
      <c r="N1088" s="23"/>
      <c r="O1088" s="21"/>
      <c r="P1088" s="563"/>
      <c r="Q1088" s="327"/>
      <c r="R1088" s="516"/>
      <c r="S1088" s="327"/>
      <c r="T1088" s="517"/>
      <c r="U1088" s="327"/>
      <c r="V1088" s="518"/>
      <c r="W1088" s="327"/>
      <c r="X1088" s="438" t="s">
        <v>303</v>
      </c>
      <c r="Y1088" s="326"/>
      <c r="Z1088" s="326"/>
      <c r="AA1088" s="327"/>
      <c r="AB1088" s="519" t="s">
        <v>303</v>
      </c>
      <c r="AC1088" s="326"/>
      <c r="AD1088" s="326"/>
      <c r="AE1088" s="327"/>
      <c r="AF1088" s="520"/>
      <c r="AG1088" s="327"/>
      <c r="AH1088" s="520"/>
      <c r="AI1088" s="327"/>
      <c r="AJ1088" s="536"/>
      <c r="AK1088" s="327"/>
      <c r="AL1088" s="556" t="s">
        <v>334</v>
      </c>
      <c r="AM1088" s="327"/>
      <c r="AN1088" s="553" t="s">
        <v>334</v>
      </c>
      <c r="AO1088" s="327"/>
      <c r="AP1088" s="554"/>
      <c r="AQ1088" s="327"/>
      <c r="AR1088" s="555"/>
      <c r="AS1088" s="327"/>
      <c r="AT1088" s="549"/>
      <c r="AU1088" s="327"/>
      <c r="AV1088" s="553" t="s">
        <v>334</v>
      </c>
      <c r="AW1088" s="327"/>
      <c r="AX1088" s="521"/>
      <c r="AY1088" s="326"/>
      <c r="AZ1088" s="327"/>
      <c r="BA1088" s="536"/>
      <c r="BB1088" s="327"/>
      <c r="BC1088" s="22"/>
      <c r="BD1088" s="551" t="s">
        <v>334</v>
      </c>
      <c r="BE1088" s="327"/>
      <c r="BF1088" s="552"/>
      <c r="BG1088" s="326"/>
      <c r="BH1088" s="326"/>
      <c r="BI1088" s="327"/>
      <c r="BJ1088" s="451" t="s">
        <v>303</v>
      </c>
      <c r="BK1088" s="326"/>
      <c r="BL1088" s="326"/>
      <c r="BM1088" s="327"/>
      <c r="BN1088" s="558" t="s">
        <v>303</v>
      </c>
      <c r="BO1088" s="326"/>
      <c r="BP1088" s="326"/>
      <c r="BQ1088" s="326"/>
      <c r="BR1088" s="326"/>
      <c r="BS1088" s="326"/>
      <c r="BT1088" s="326"/>
      <c r="BU1088" s="326"/>
      <c r="BV1088" s="327"/>
    </row>
    <row r="1089" spans="1:74" ht="45" customHeight="1" x14ac:dyDescent="0.25">
      <c r="A1089" s="10">
        <f t="shared" si="4"/>
        <v>1075</v>
      </c>
      <c r="B1089" s="559" t="s">
        <v>303</v>
      </c>
      <c r="C1089" s="327"/>
      <c r="D1089" s="560" t="s">
        <v>307</v>
      </c>
      <c r="E1089" s="327"/>
      <c r="F1089" s="537" t="s">
        <v>334</v>
      </c>
      <c r="G1089" s="327"/>
      <c r="H1089" s="566" t="s">
        <v>334</v>
      </c>
      <c r="I1089" s="327"/>
      <c r="J1089" s="567"/>
      <c r="K1089" s="327"/>
      <c r="L1089" s="567"/>
      <c r="M1089" s="327"/>
      <c r="N1089" s="20"/>
      <c r="O1089" s="24"/>
      <c r="P1089" s="524"/>
      <c r="Q1089" s="327"/>
      <c r="R1089" s="538"/>
      <c r="S1089" s="327"/>
      <c r="T1089" s="539"/>
      <c r="U1089" s="327"/>
      <c r="V1089" s="540"/>
      <c r="W1089" s="327"/>
      <c r="X1089" s="541" t="s">
        <v>303</v>
      </c>
      <c r="Y1089" s="326"/>
      <c r="Z1089" s="326"/>
      <c r="AA1089" s="327"/>
      <c r="AB1089" s="542" t="s">
        <v>303</v>
      </c>
      <c r="AC1089" s="326"/>
      <c r="AD1089" s="326"/>
      <c r="AE1089" s="327"/>
      <c r="AF1089" s="543"/>
      <c r="AG1089" s="327"/>
      <c r="AH1089" s="543"/>
      <c r="AI1089" s="327"/>
      <c r="AJ1089" s="536"/>
      <c r="AK1089" s="327"/>
      <c r="AL1089" s="537" t="s">
        <v>334</v>
      </c>
      <c r="AM1089" s="327"/>
      <c r="AN1089" s="546" t="s">
        <v>334</v>
      </c>
      <c r="AO1089" s="327"/>
      <c r="AP1089" s="547"/>
      <c r="AQ1089" s="327"/>
      <c r="AR1089" s="548"/>
      <c r="AS1089" s="327"/>
      <c r="AT1089" s="568"/>
      <c r="AU1089" s="327"/>
      <c r="AV1089" s="546" t="s">
        <v>334</v>
      </c>
      <c r="AW1089" s="327"/>
      <c r="AX1089" s="521"/>
      <c r="AY1089" s="326"/>
      <c r="AZ1089" s="327"/>
      <c r="BA1089" s="550"/>
      <c r="BB1089" s="327"/>
      <c r="BC1089" s="25"/>
      <c r="BD1089" s="544" t="s">
        <v>334</v>
      </c>
      <c r="BE1089" s="327"/>
      <c r="BF1089" s="545"/>
      <c r="BG1089" s="326"/>
      <c r="BH1089" s="326"/>
      <c r="BI1089" s="327"/>
      <c r="BJ1089" s="557" t="s">
        <v>303</v>
      </c>
      <c r="BK1089" s="326"/>
      <c r="BL1089" s="326"/>
      <c r="BM1089" s="327"/>
      <c r="BN1089" s="558" t="s">
        <v>303</v>
      </c>
      <c r="BO1089" s="326"/>
      <c r="BP1089" s="326"/>
      <c r="BQ1089" s="326"/>
      <c r="BR1089" s="326"/>
      <c r="BS1089" s="326"/>
      <c r="BT1089" s="326"/>
      <c r="BU1089" s="326"/>
      <c r="BV1089" s="327"/>
    </row>
    <row r="1090" spans="1:74" ht="45" customHeight="1" x14ac:dyDescent="0.25">
      <c r="A1090" s="10">
        <f t="shared" si="4"/>
        <v>1076</v>
      </c>
      <c r="B1090" s="564" t="s">
        <v>303</v>
      </c>
      <c r="C1090" s="327"/>
      <c r="D1090" s="565" t="s">
        <v>307</v>
      </c>
      <c r="E1090" s="327"/>
      <c r="F1090" s="537" t="s">
        <v>334</v>
      </c>
      <c r="G1090" s="327"/>
      <c r="H1090" s="561" t="s">
        <v>334</v>
      </c>
      <c r="I1090" s="327"/>
      <c r="J1090" s="562"/>
      <c r="K1090" s="327"/>
      <c r="L1090" s="562"/>
      <c r="M1090" s="327"/>
      <c r="N1090" s="23"/>
      <c r="O1090" s="21"/>
      <c r="P1090" s="563"/>
      <c r="Q1090" s="327"/>
      <c r="R1090" s="516"/>
      <c r="S1090" s="327"/>
      <c r="T1090" s="517"/>
      <c r="U1090" s="327"/>
      <c r="V1090" s="518"/>
      <c r="W1090" s="327"/>
      <c r="X1090" s="438" t="s">
        <v>303</v>
      </c>
      <c r="Y1090" s="326"/>
      <c r="Z1090" s="326"/>
      <c r="AA1090" s="327"/>
      <c r="AB1090" s="519" t="s">
        <v>303</v>
      </c>
      <c r="AC1090" s="326"/>
      <c r="AD1090" s="326"/>
      <c r="AE1090" s="327"/>
      <c r="AF1090" s="520"/>
      <c r="AG1090" s="327"/>
      <c r="AH1090" s="520"/>
      <c r="AI1090" s="327"/>
      <c r="AJ1090" s="536"/>
      <c r="AK1090" s="327"/>
      <c r="AL1090" s="556" t="s">
        <v>334</v>
      </c>
      <c r="AM1090" s="327"/>
      <c r="AN1090" s="553" t="s">
        <v>334</v>
      </c>
      <c r="AO1090" s="327"/>
      <c r="AP1090" s="554"/>
      <c r="AQ1090" s="327"/>
      <c r="AR1090" s="555"/>
      <c r="AS1090" s="327"/>
      <c r="AT1090" s="549"/>
      <c r="AU1090" s="327"/>
      <c r="AV1090" s="553" t="s">
        <v>334</v>
      </c>
      <c r="AW1090" s="327"/>
      <c r="AX1090" s="521"/>
      <c r="AY1090" s="326"/>
      <c r="AZ1090" s="327"/>
      <c r="BA1090" s="536"/>
      <c r="BB1090" s="327"/>
      <c r="BC1090" s="22"/>
      <c r="BD1090" s="551" t="s">
        <v>334</v>
      </c>
      <c r="BE1090" s="327"/>
      <c r="BF1090" s="552"/>
      <c r="BG1090" s="326"/>
      <c r="BH1090" s="326"/>
      <c r="BI1090" s="327"/>
      <c r="BJ1090" s="451" t="s">
        <v>303</v>
      </c>
      <c r="BK1090" s="326"/>
      <c r="BL1090" s="326"/>
      <c r="BM1090" s="327"/>
      <c r="BN1090" s="558" t="s">
        <v>303</v>
      </c>
      <c r="BO1090" s="326"/>
      <c r="BP1090" s="326"/>
      <c r="BQ1090" s="326"/>
      <c r="BR1090" s="326"/>
      <c r="BS1090" s="326"/>
      <c r="BT1090" s="326"/>
      <c r="BU1090" s="326"/>
      <c r="BV1090" s="327"/>
    </row>
    <row r="1091" spans="1:74" ht="45" customHeight="1" x14ac:dyDescent="0.25">
      <c r="A1091" s="10">
        <f t="shared" si="4"/>
        <v>1077</v>
      </c>
      <c r="B1091" s="559" t="s">
        <v>303</v>
      </c>
      <c r="C1091" s="327"/>
      <c r="D1091" s="560" t="s">
        <v>307</v>
      </c>
      <c r="E1091" s="327"/>
      <c r="F1091" s="537" t="s">
        <v>334</v>
      </c>
      <c r="G1091" s="327"/>
      <c r="H1091" s="566" t="s">
        <v>334</v>
      </c>
      <c r="I1091" s="327"/>
      <c r="J1091" s="567"/>
      <c r="K1091" s="327"/>
      <c r="L1091" s="567"/>
      <c r="M1091" s="327"/>
      <c r="N1091" s="20"/>
      <c r="O1091" s="24"/>
      <c r="P1091" s="524"/>
      <c r="Q1091" s="327"/>
      <c r="R1091" s="538"/>
      <c r="S1091" s="327"/>
      <c r="T1091" s="539"/>
      <c r="U1091" s="327"/>
      <c r="V1091" s="540"/>
      <c r="W1091" s="327"/>
      <c r="X1091" s="541" t="s">
        <v>303</v>
      </c>
      <c r="Y1091" s="326"/>
      <c r="Z1091" s="326"/>
      <c r="AA1091" s="327"/>
      <c r="AB1091" s="542" t="s">
        <v>303</v>
      </c>
      <c r="AC1091" s="326"/>
      <c r="AD1091" s="326"/>
      <c r="AE1091" s="327"/>
      <c r="AF1091" s="543"/>
      <c r="AG1091" s="327"/>
      <c r="AH1091" s="543"/>
      <c r="AI1091" s="327"/>
      <c r="AJ1091" s="536"/>
      <c r="AK1091" s="327"/>
      <c r="AL1091" s="537" t="s">
        <v>334</v>
      </c>
      <c r="AM1091" s="327"/>
      <c r="AN1091" s="546" t="s">
        <v>334</v>
      </c>
      <c r="AO1091" s="327"/>
      <c r="AP1091" s="547"/>
      <c r="AQ1091" s="327"/>
      <c r="AR1091" s="548"/>
      <c r="AS1091" s="327"/>
      <c r="AT1091" s="568"/>
      <c r="AU1091" s="327"/>
      <c r="AV1091" s="546" t="s">
        <v>334</v>
      </c>
      <c r="AW1091" s="327"/>
      <c r="AX1091" s="521"/>
      <c r="AY1091" s="326"/>
      <c r="AZ1091" s="327"/>
      <c r="BA1091" s="550"/>
      <c r="BB1091" s="327"/>
      <c r="BC1091" s="25"/>
      <c r="BD1091" s="544" t="s">
        <v>334</v>
      </c>
      <c r="BE1091" s="327"/>
      <c r="BF1091" s="545"/>
      <c r="BG1091" s="326"/>
      <c r="BH1091" s="326"/>
      <c r="BI1091" s="327"/>
      <c r="BJ1091" s="557" t="s">
        <v>303</v>
      </c>
      <c r="BK1091" s="326"/>
      <c r="BL1091" s="326"/>
      <c r="BM1091" s="327"/>
      <c r="BN1091" s="558" t="s">
        <v>303</v>
      </c>
      <c r="BO1091" s="326"/>
      <c r="BP1091" s="326"/>
      <c r="BQ1091" s="326"/>
      <c r="BR1091" s="326"/>
      <c r="BS1091" s="326"/>
      <c r="BT1091" s="326"/>
      <c r="BU1091" s="326"/>
      <c r="BV1091" s="327"/>
    </row>
    <row r="1092" spans="1:74" ht="45" customHeight="1" x14ac:dyDescent="0.25">
      <c r="A1092" s="10">
        <f t="shared" si="4"/>
        <v>1078</v>
      </c>
      <c r="B1092" s="564" t="s">
        <v>303</v>
      </c>
      <c r="C1092" s="327"/>
      <c r="D1092" s="565" t="s">
        <v>307</v>
      </c>
      <c r="E1092" s="327"/>
      <c r="F1092" s="537" t="s">
        <v>334</v>
      </c>
      <c r="G1092" s="327"/>
      <c r="H1092" s="561" t="s">
        <v>334</v>
      </c>
      <c r="I1092" s="327"/>
      <c r="J1092" s="562"/>
      <c r="K1092" s="327"/>
      <c r="L1092" s="562"/>
      <c r="M1092" s="327"/>
      <c r="N1092" s="23"/>
      <c r="O1092" s="21"/>
      <c r="P1092" s="563"/>
      <c r="Q1092" s="327"/>
      <c r="R1092" s="516"/>
      <c r="S1092" s="327"/>
      <c r="T1092" s="517"/>
      <c r="U1092" s="327"/>
      <c r="V1092" s="518"/>
      <c r="W1092" s="327"/>
      <c r="X1092" s="438" t="s">
        <v>303</v>
      </c>
      <c r="Y1092" s="326"/>
      <c r="Z1092" s="326"/>
      <c r="AA1092" s="327"/>
      <c r="AB1092" s="519" t="s">
        <v>303</v>
      </c>
      <c r="AC1092" s="326"/>
      <c r="AD1092" s="326"/>
      <c r="AE1092" s="327"/>
      <c r="AF1092" s="520"/>
      <c r="AG1092" s="327"/>
      <c r="AH1092" s="520"/>
      <c r="AI1092" s="327"/>
      <c r="AJ1092" s="536"/>
      <c r="AK1092" s="327"/>
      <c r="AL1092" s="556" t="s">
        <v>334</v>
      </c>
      <c r="AM1092" s="327"/>
      <c r="AN1092" s="553" t="s">
        <v>334</v>
      </c>
      <c r="AO1092" s="327"/>
      <c r="AP1092" s="554"/>
      <c r="AQ1092" s="327"/>
      <c r="AR1092" s="555"/>
      <c r="AS1092" s="327"/>
      <c r="AT1092" s="549"/>
      <c r="AU1092" s="327"/>
      <c r="AV1092" s="553" t="s">
        <v>334</v>
      </c>
      <c r="AW1092" s="327"/>
      <c r="AX1092" s="521"/>
      <c r="AY1092" s="326"/>
      <c r="AZ1092" s="327"/>
      <c r="BA1092" s="536"/>
      <c r="BB1092" s="327"/>
      <c r="BC1092" s="22"/>
      <c r="BD1092" s="551" t="s">
        <v>334</v>
      </c>
      <c r="BE1092" s="327"/>
      <c r="BF1092" s="508"/>
      <c r="BG1092" s="326"/>
      <c r="BH1092" s="326"/>
      <c r="BI1092" s="327"/>
      <c r="BJ1092" s="451" t="s">
        <v>303</v>
      </c>
      <c r="BK1092" s="326"/>
      <c r="BL1092" s="326"/>
      <c r="BM1092" s="327"/>
      <c r="BN1092" s="558" t="s">
        <v>303</v>
      </c>
      <c r="BO1092" s="326"/>
      <c r="BP1092" s="326"/>
      <c r="BQ1092" s="326"/>
      <c r="BR1092" s="326"/>
      <c r="BS1092" s="326"/>
      <c r="BT1092" s="326"/>
      <c r="BU1092" s="326"/>
      <c r="BV1092" s="327"/>
    </row>
    <row r="1093" spans="1:74" ht="45" customHeight="1" x14ac:dyDescent="0.25">
      <c r="A1093" s="10">
        <f t="shared" si="4"/>
        <v>1079</v>
      </c>
      <c r="B1093" s="559" t="s">
        <v>303</v>
      </c>
      <c r="C1093" s="327"/>
      <c r="D1093" s="560" t="s">
        <v>307</v>
      </c>
      <c r="E1093" s="327"/>
      <c r="F1093" s="537" t="s">
        <v>334</v>
      </c>
      <c r="G1093" s="327"/>
      <c r="H1093" s="566" t="s">
        <v>334</v>
      </c>
      <c r="I1093" s="327"/>
      <c r="J1093" s="567"/>
      <c r="K1093" s="327"/>
      <c r="L1093" s="567"/>
      <c r="M1093" s="327"/>
      <c r="N1093" s="20"/>
      <c r="O1093" s="24"/>
      <c r="P1093" s="524"/>
      <c r="Q1093" s="327"/>
      <c r="R1093" s="538"/>
      <c r="S1093" s="327"/>
      <c r="T1093" s="539"/>
      <c r="U1093" s="327"/>
      <c r="V1093" s="540"/>
      <c r="W1093" s="327"/>
      <c r="X1093" s="541" t="s">
        <v>303</v>
      </c>
      <c r="Y1093" s="326"/>
      <c r="Z1093" s="326"/>
      <c r="AA1093" s="327"/>
      <c r="AB1093" s="542" t="s">
        <v>303</v>
      </c>
      <c r="AC1093" s="326"/>
      <c r="AD1093" s="326"/>
      <c r="AE1093" s="327"/>
      <c r="AF1093" s="543"/>
      <c r="AG1093" s="327"/>
      <c r="AH1093" s="543"/>
      <c r="AI1093" s="327"/>
      <c r="AJ1093" s="536"/>
      <c r="AK1093" s="327"/>
      <c r="AL1093" s="537" t="s">
        <v>334</v>
      </c>
      <c r="AM1093" s="327"/>
      <c r="AN1093" s="546" t="s">
        <v>334</v>
      </c>
      <c r="AO1093" s="327"/>
      <c r="AP1093" s="547"/>
      <c r="AQ1093" s="327"/>
      <c r="AR1093" s="548"/>
      <c r="AS1093" s="327"/>
      <c r="AT1093" s="568"/>
      <c r="AU1093" s="327"/>
      <c r="AV1093" s="546" t="s">
        <v>334</v>
      </c>
      <c r="AW1093" s="327"/>
      <c r="AX1093" s="521"/>
      <c r="AY1093" s="326"/>
      <c r="AZ1093" s="327"/>
      <c r="BA1093" s="550"/>
      <c r="BB1093" s="327"/>
      <c r="BC1093" s="25"/>
      <c r="BD1093" s="544" t="s">
        <v>334</v>
      </c>
      <c r="BE1093" s="327"/>
      <c r="BF1093" s="545"/>
      <c r="BG1093" s="326"/>
      <c r="BH1093" s="326"/>
      <c r="BI1093" s="327"/>
      <c r="BJ1093" s="557" t="s">
        <v>303</v>
      </c>
      <c r="BK1093" s="326"/>
      <c r="BL1093" s="326"/>
      <c r="BM1093" s="327"/>
      <c r="BN1093" s="558" t="s">
        <v>303</v>
      </c>
      <c r="BO1093" s="326"/>
      <c r="BP1093" s="326"/>
      <c r="BQ1093" s="326"/>
      <c r="BR1093" s="326"/>
      <c r="BS1093" s="326"/>
      <c r="BT1093" s="326"/>
      <c r="BU1093" s="326"/>
      <c r="BV1093" s="327"/>
    </row>
    <row r="1094" spans="1:74" ht="45" customHeight="1" x14ac:dyDescent="0.25">
      <c r="A1094" s="10">
        <f t="shared" si="4"/>
        <v>1080</v>
      </c>
      <c r="B1094" s="564" t="s">
        <v>303</v>
      </c>
      <c r="C1094" s="327"/>
      <c r="D1094" s="565" t="s">
        <v>307</v>
      </c>
      <c r="E1094" s="327"/>
      <c r="F1094" s="537" t="s">
        <v>334</v>
      </c>
      <c r="G1094" s="327"/>
      <c r="H1094" s="561" t="s">
        <v>334</v>
      </c>
      <c r="I1094" s="327"/>
      <c r="J1094" s="562"/>
      <c r="K1094" s="327"/>
      <c r="L1094" s="562"/>
      <c r="M1094" s="327"/>
      <c r="N1094" s="23"/>
      <c r="O1094" s="21"/>
      <c r="P1094" s="563"/>
      <c r="Q1094" s="327"/>
      <c r="R1094" s="516"/>
      <c r="S1094" s="327"/>
      <c r="T1094" s="517"/>
      <c r="U1094" s="327"/>
      <c r="V1094" s="518"/>
      <c r="W1094" s="327"/>
      <c r="X1094" s="438" t="s">
        <v>303</v>
      </c>
      <c r="Y1094" s="326"/>
      <c r="Z1094" s="326"/>
      <c r="AA1094" s="327"/>
      <c r="AB1094" s="519" t="s">
        <v>303</v>
      </c>
      <c r="AC1094" s="326"/>
      <c r="AD1094" s="326"/>
      <c r="AE1094" s="327"/>
      <c r="AF1094" s="520"/>
      <c r="AG1094" s="327"/>
      <c r="AH1094" s="520"/>
      <c r="AI1094" s="327"/>
      <c r="AJ1094" s="536"/>
      <c r="AK1094" s="327"/>
      <c r="AL1094" s="556" t="s">
        <v>334</v>
      </c>
      <c r="AM1094" s="327"/>
      <c r="AN1094" s="553" t="s">
        <v>334</v>
      </c>
      <c r="AO1094" s="327"/>
      <c r="AP1094" s="554"/>
      <c r="AQ1094" s="327"/>
      <c r="AR1094" s="555"/>
      <c r="AS1094" s="327"/>
      <c r="AT1094" s="549"/>
      <c r="AU1094" s="327"/>
      <c r="AV1094" s="553" t="s">
        <v>334</v>
      </c>
      <c r="AW1094" s="327"/>
      <c r="AX1094" s="521"/>
      <c r="AY1094" s="326"/>
      <c r="AZ1094" s="327"/>
      <c r="BA1094" s="536"/>
      <c r="BB1094" s="327"/>
      <c r="BC1094" s="22"/>
      <c r="BD1094" s="551" t="s">
        <v>334</v>
      </c>
      <c r="BE1094" s="327"/>
      <c r="BF1094" s="552"/>
      <c r="BG1094" s="326"/>
      <c r="BH1094" s="326"/>
      <c r="BI1094" s="327"/>
      <c r="BJ1094" s="451" t="s">
        <v>303</v>
      </c>
      <c r="BK1094" s="326"/>
      <c r="BL1094" s="326"/>
      <c r="BM1094" s="327"/>
      <c r="BN1094" s="558" t="s">
        <v>303</v>
      </c>
      <c r="BO1094" s="326"/>
      <c r="BP1094" s="326"/>
      <c r="BQ1094" s="326"/>
      <c r="BR1094" s="326"/>
      <c r="BS1094" s="326"/>
      <c r="BT1094" s="326"/>
      <c r="BU1094" s="326"/>
      <c r="BV1094" s="327"/>
    </row>
    <row r="1095" spans="1:74" ht="45" customHeight="1" x14ac:dyDescent="0.25">
      <c r="A1095" s="10">
        <f t="shared" si="4"/>
        <v>1081</v>
      </c>
      <c r="B1095" s="559" t="s">
        <v>303</v>
      </c>
      <c r="C1095" s="327"/>
      <c r="D1095" s="560" t="s">
        <v>307</v>
      </c>
      <c r="E1095" s="327"/>
      <c r="F1095" s="537" t="s">
        <v>334</v>
      </c>
      <c r="G1095" s="327"/>
      <c r="H1095" s="566" t="s">
        <v>334</v>
      </c>
      <c r="I1095" s="327"/>
      <c r="J1095" s="567"/>
      <c r="K1095" s="327"/>
      <c r="L1095" s="567"/>
      <c r="M1095" s="327"/>
      <c r="N1095" s="23"/>
      <c r="O1095" s="24"/>
      <c r="P1095" s="563"/>
      <c r="Q1095" s="327"/>
      <c r="R1095" s="538"/>
      <c r="S1095" s="327"/>
      <c r="T1095" s="539"/>
      <c r="U1095" s="327"/>
      <c r="V1095" s="540"/>
      <c r="W1095" s="327"/>
      <c r="X1095" s="541" t="s">
        <v>303</v>
      </c>
      <c r="Y1095" s="326"/>
      <c r="Z1095" s="326"/>
      <c r="AA1095" s="327"/>
      <c r="AB1095" s="542" t="s">
        <v>303</v>
      </c>
      <c r="AC1095" s="326"/>
      <c r="AD1095" s="326"/>
      <c r="AE1095" s="327"/>
      <c r="AF1095" s="543"/>
      <c r="AG1095" s="327"/>
      <c r="AH1095" s="543"/>
      <c r="AI1095" s="327"/>
      <c r="AJ1095" s="536"/>
      <c r="AK1095" s="327"/>
      <c r="AL1095" s="537" t="s">
        <v>334</v>
      </c>
      <c r="AM1095" s="327"/>
      <c r="AN1095" s="546" t="s">
        <v>334</v>
      </c>
      <c r="AO1095" s="327"/>
      <c r="AP1095" s="547"/>
      <c r="AQ1095" s="327"/>
      <c r="AR1095" s="548"/>
      <c r="AS1095" s="327"/>
      <c r="AT1095" s="549"/>
      <c r="AU1095" s="327"/>
      <c r="AV1095" s="546" t="s">
        <v>334</v>
      </c>
      <c r="AW1095" s="327"/>
      <c r="AX1095" s="521"/>
      <c r="AY1095" s="326"/>
      <c r="AZ1095" s="327"/>
      <c r="BA1095" s="550"/>
      <c r="BB1095" s="327"/>
      <c r="BC1095" s="25"/>
      <c r="BD1095" s="544" t="s">
        <v>334</v>
      </c>
      <c r="BE1095" s="327"/>
      <c r="BF1095" s="545"/>
      <c r="BG1095" s="326"/>
      <c r="BH1095" s="326"/>
      <c r="BI1095" s="327"/>
      <c r="BJ1095" s="557" t="s">
        <v>303</v>
      </c>
      <c r="BK1095" s="326"/>
      <c r="BL1095" s="326"/>
      <c r="BM1095" s="327"/>
      <c r="BN1095" s="558" t="s">
        <v>303</v>
      </c>
      <c r="BO1095" s="326"/>
      <c r="BP1095" s="326"/>
      <c r="BQ1095" s="326"/>
      <c r="BR1095" s="326"/>
      <c r="BS1095" s="326"/>
      <c r="BT1095" s="326"/>
      <c r="BU1095" s="326"/>
      <c r="BV1095" s="327"/>
    </row>
    <row r="1096" spans="1:74" ht="45" customHeight="1" x14ac:dyDescent="0.25">
      <c r="A1096" s="10">
        <f t="shared" si="4"/>
        <v>1082</v>
      </c>
      <c r="B1096" s="564" t="s">
        <v>303</v>
      </c>
      <c r="C1096" s="327"/>
      <c r="D1096" s="565" t="s">
        <v>307</v>
      </c>
      <c r="E1096" s="327"/>
      <c r="F1096" s="537" t="s">
        <v>334</v>
      </c>
      <c r="G1096" s="327"/>
      <c r="H1096" s="561" t="s">
        <v>334</v>
      </c>
      <c r="I1096" s="327"/>
      <c r="J1096" s="562"/>
      <c r="K1096" s="327"/>
      <c r="L1096" s="562"/>
      <c r="M1096" s="327"/>
      <c r="N1096" s="20"/>
      <c r="O1096" s="21"/>
      <c r="P1096" s="524"/>
      <c r="Q1096" s="327"/>
      <c r="R1096" s="516"/>
      <c r="S1096" s="327"/>
      <c r="T1096" s="517"/>
      <c r="U1096" s="327"/>
      <c r="V1096" s="518"/>
      <c r="W1096" s="327"/>
      <c r="X1096" s="438" t="s">
        <v>303</v>
      </c>
      <c r="Y1096" s="326"/>
      <c r="Z1096" s="326"/>
      <c r="AA1096" s="327"/>
      <c r="AB1096" s="519" t="s">
        <v>303</v>
      </c>
      <c r="AC1096" s="326"/>
      <c r="AD1096" s="326"/>
      <c r="AE1096" s="327"/>
      <c r="AF1096" s="520"/>
      <c r="AG1096" s="327"/>
      <c r="AH1096" s="520"/>
      <c r="AI1096" s="327"/>
      <c r="AJ1096" s="536"/>
      <c r="AK1096" s="327"/>
      <c r="AL1096" s="556" t="s">
        <v>334</v>
      </c>
      <c r="AM1096" s="327"/>
      <c r="AN1096" s="553" t="s">
        <v>334</v>
      </c>
      <c r="AO1096" s="327"/>
      <c r="AP1096" s="554"/>
      <c r="AQ1096" s="327"/>
      <c r="AR1096" s="555"/>
      <c r="AS1096" s="327"/>
      <c r="AT1096" s="549"/>
      <c r="AU1096" s="327"/>
      <c r="AV1096" s="553" t="s">
        <v>334</v>
      </c>
      <c r="AW1096" s="327"/>
      <c r="AX1096" s="521"/>
      <c r="AY1096" s="326"/>
      <c r="AZ1096" s="327"/>
      <c r="BA1096" s="536"/>
      <c r="BB1096" s="327"/>
      <c r="BC1096" s="22"/>
      <c r="BD1096" s="551" t="s">
        <v>334</v>
      </c>
      <c r="BE1096" s="327"/>
      <c r="BF1096" s="552"/>
      <c r="BG1096" s="326"/>
      <c r="BH1096" s="326"/>
      <c r="BI1096" s="327"/>
      <c r="BJ1096" s="451" t="s">
        <v>303</v>
      </c>
      <c r="BK1096" s="326"/>
      <c r="BL1096" s="326"/>
      <c r="BM1096" s="327"/>
      <c r="BN1096" s="558" t="s">
        <v>303</v>
      </c>
      <c r="BO1096" s="326"/>
      <c r="BP1096" s="326"/>
      <c r="BQ1096" s="326"/>
      <c r="BR1096" s="326"/>
      <c r="BS1096" s="326"/>
      <c r="BT1096" s="326"/>
      <c r="BU1096" s="326"/>
      <c r="BV1096" s="327"/>
    </row>
    <row r="1097" spans="1:74" ht="45" customHeight="1" x14ac:dyDescent="0.25">
      <c r="A1097" s="10">
        <f t="shared" si="4"/>
        <v>1083</v>
      </c>
      <c r="B1097" s="559" t="s">
        <v>303</v>
      </c>
      <c r="C1097" s="327"/>
      <c r="D1097" s="560" t="s">
        <v>307</v>
      </c>
      <c r="E1097" s="327"/>
      <c r="F1097" s="537" t="s">
        <v>334</v>
      </c>
      <c r="G1097" s="327"/>
      <c r="H1097" s="566" t="s">
        <v>334</v>
      </c>
      <c r="I1097" s="327"/>
      <c r="J1097" s="567"/>
      <c r="K1097" s="327"/>
      <c r="L1097" s="567"/>
      <c r="M1097" s="327"/>
      <c r="N1097" s="23"/>
      <c r="O1097" s="24"/>
      <c r="P1097" s="563"/>
      <c r="Q1097" s="327"/>
      <c r="R1097" s="538"/>
      <c r="S1097" s="327"/>
      <c r="T1097" s="539"/>
      <c r="U1097" s="327"/>
      <c r="V1097" s="540"/>
      <c r="W1097" s="327"/>
      <c r="X1097" s="541" t="s">
        <v>303</v>
      </c>
      <c r="Y1097" s="326"/>
      <c r="Z1097" s="326"/>
      <c r="AA1097" s="327"/>
      <c r="AB1097" s="542" t="s">
        <v>303</v>
      </c>
      <c r="AC1097" s="326"/>
      <c r="AD1097" s="326"/>
      <c r="AE1097" s="327"/>
      <c r="AF1097" s="543"/>
      <c r="AG1097" s="327"/>
      <c r="AH1097" s="543"/>
      <c r="AI1097" s="327"/>
      <c r="AJ1097" s="536"/>
      <c r="AK1097" s="327"/>
      <c r="AL1097" s="537" t="s">
        <v>334</v>
      </c>
      <c r="AM1097" s="327"/>
      <c r="AN1097" s="546" t="s">
        <v>334</v>
      </c>
      <c r="AO1097" s="327"/>
      <c r="AP1097" s="547"/>
      <c r="AQ1097" s="327"/>
      <c r="AR1097" s="548"/>
      <c r="AS1097" s="327"/>
      <c r="AT1097" s="549"/>
      <c r="AU1097" s="327"/>
      <c r="AV1097" s="546" t="s">
        <v>334</v>
      </c>
      <c r="AW1097" s="327"/>
      <c r="AX1097" s="521"/>
      <c r="AY1097" s="326"/>
      <c r="AZ1097" s="327"/>
      <c r="BA1097" s="550"/>
      <c r="BB1097" s="327"/>
      <c r="BC1097" s="25"/>
      <c r="BD1097" s="544" t="s">
        <v>334</v>
      </c>
      <c r="BE1097" s="327"/>
      <c r="BF1097" s="545"/>
      <c r="BG1097" s="326"/>
      <c r="BH1097" s="326"/>
      <c r="BI1097" s="327"/>
      <c r="BJ1097" s="557" t="s">
        <v>303</v>
      </c>
      <c r="BK1097" s="326"/>
      <c r="BL1097" s="326"/>
      <c r="BM1097" s="327"/>
      <c r="BN1097" s="558" t="s">
        <v>303</v>
      </c>
      <c r="BO1097" s="326"/>
      <c r="BP1097" s="326"/>
      <c r="BQ1097" s="326"/>
      <c r="BR1097" s="326"/>
      <c r="BS1097" s="326"/>
      <c r="BT1097" s="326"/>
      <c r="BU1097" s="326"/>
      <c r="BV1097" s="327"/>
    </row>
    <row r="1098" spans="1:74" ht="45" customHeight="1" x14ac:dyDescent="0.25">
      <c r="A1098" s="10">
        <f t="shared" si="4"/>
        <v>1084</v>
      </c>
      <c r="B1098" s="564" t="s">
        <v>303</v>
      </c>
      <c r="C1098" s="327"/>
      <c r="D1098" s="565" t="s">
        <v>307</v>
      </c>
      <c r="E1098" s="327"/>
      <c r="F1098" s="537" t="s">
        <v>334</v>
      </c>
      <c r="G1098" s="327"/>
      <c r="H1098" s="561" t="s">
        <v>334</v>
      </c>
      <c r="I1098" s="327"/>
      <c r="J1098" s="562"/>
      <c r="K1098" s="327"/>
      <c r="L1098" s="562"/>
      <c r="M1098" s="327"/>
      <c r="N1098" s="20"/>
      <c r="O1098" s="21"/>
      <c r="P1098" s="524"/>
      <c r="Q1098" s="327"/>
      <c r="R1098" s="516"/>
      <c r="S1098" s="327"/>
      <c r="T1098" s="517"/>
      <c r="U1098" s="327"/>
      <c r="V1098" s="518"/>
      <c r="W1098" s="327"/>
      <c r="X1098" s="438" t="s">
        <v>303</v>
      </c>
      <c r="Y1098" s="326"/>
      <c r="Z1098" s="326"/>
      <c r="AA1098" s="327"/>
      <c r="AB1098" s="519" t="s">
        <v>303</v>
      </c>
      <c r="AC1098" s="326"/>
      <c r="AD1098" s="326"/>
      <c r="AE1098" s="327"/>
      <c r="AF1098" s="520"/>
      <c r="AG1098" s="327"/>
      <c r="AH1098" s="520"/>
      <c r="AI1098" s="327"/>
      <c r="AJ1098" s="536"/>
      <c r="AK1098" s="327"/>
      <c r="AL1098" s="556" t="s">
        <v>334</v>
      </c>
      <c r="AM1098" s="327"/>
      <c r="AN1098" s="553" t="s">
        <v>334</v>
      </c>
      <c r="AO1098" s="327"/>
      <c r="AP1098" s="554"/>
      <c r="AQ1098" s="327"/>
      <c r="AR1098" s="555"/>
      <c r="AS1098" s="327"/>
      <c r="AT1098" s="549"/>
      <c r="AU1098" s="327"/>
      <c r="AV1098" s="553" t="s">
        <v>334</v>
      </c>
      <c r="AW1098" s="327"/>
      <c r="AX1098" s="521"/>
      <c r="AY1098" s="326"/>
      <c r="AZ1098" s="327"/>
      <c r="BA1098" s="536"/>
      <c r="BB1098" s="327"/>
      <c r="BC1098" s="22"/>
      <c r="BD1098" s="551" t="s">
        <v>334</v>
      </c>
      <c r="BE1098" s="327"/>
      <c r="BF1098" s="552"/>
      <c r="BG1098" s="326"/>
      <c r="BH1098" s="326"/>
      <c r="BI1098" s="327"/>
      <c r="BJ1098" s="451" t="s">
        <v>303</v>
      </c>
      <c r="BK1098" s="326"/>
      <c r="BL1098" s="326"/>
      <c r="BM1098" s="327"/>
      <c r="BN1098" s="558" t="s">
        <v>303</v>
      </c>
      <c r="BO1098" s="326"/>
      <c r="BP1098" s="326"/>
      <c r="BQ1098" s="326"/>
      <c r="BR1098" s="326"/>
      <c r="BS1098" s="326"/>
      <c r="BT1098" s="326"/>
      <c r="BU1098" s="326"/>
      <c r="BV1098" s="327"/>
    </row>
    <row r="1099" spans="1:74" ht="45" customHeight="1" x14ac:dyDescent="0.25">
      <c r="A1099" s="10">
        <f t="shared" si="4"/>
        <v>1085</v>
      </c>
      <c r="B1099" s="559" t="s">
        <v>303</v>
      </c>
      <c r="C1099" s="327"/>
      <c r="D1099" s="560" t="s">
        <v>307</v>
      </c>
      <c r="E1099" s="327"/>
      <c r="F1099" s="537" t="s">
        <v>334</v>
      </c>
      <c r="G1099" s="327"/>
      <c r="H1099" s="566" t="s">
        <v>334</v>
      </c>
      <c r="I1099" s="327"/>
      <c r="J1099" s="567"/>
      <c r="K1099" s="327"/>
      <c r="L1099" s="567"/>
      <c r="M1099" s="327"/>
      <c r="N1099" s="23"/>
      <c r="O1099" s="24"/>
      <c r="P1099" s="563"/>
      <c r="Q1099" s="327"/>
      <c r="R1099" s="538"/>
      <c r="S1099" s="327"/>
      <c r="T1099" s="539"/>
      <c r="U1099" s="327"/>
      <c r="V1099" s="540"/>
      <c r="W1099" s="327"/>
      <c r="X1099" s="541" t="s">
        <v>303</v>
      </c>
      <c r="Y1099" s="326"/>
      <c r="Z1099" s="326"/>
      <c r="AA1099" s="327"/>
      <c r="AB1099" s="542" t="s">
        <v>303</v>
      </c>
      <c r="AC1099" s="326"/>
      <c r="AD1099" s="326"/>
      <c r="AE1099" s="327"/>
      <c r="AF1099" s="543"/>
      <c r="AG1099" s="327"/>
      <c r="AH1099" s="543"/>
      <c r="AI1099" s="327"/>
      <c r="AJ1099" s="536"/>
      <c r="AK1099" s="327"/>
      <c r="AL1099" s="537" t="s">
        <v>334</v>
      </c>
      <c r="AM1099" s="327"/>
      <c r="AN1099" s="546" t="s">
        <v>334</v>
      </c>
      <c r="AO1099" s="327"/>
      <c r="AP1099" s="547"/>
      <c r="AQ1099" s="327"/>
      <c r="AR1099" s="548"/>
      <c r="AS1099" s="327"/>
      <c r="AT1099" s="568"/>
      <c r="AU1099" s="327"/>
      <c r="AV1099" s="546" t="s">
        <v>334</v>
      </c>
      <c r="AW1099" s="327"/>
      <c r="AX1099" s="521"/>
      <c r="AY1099" s="326"/>
      <c r="AZ1099" s="327"/>
      <c r="BA1099" s="550"/>
      <c r="BB1099" s="327"/>
      <c r="BC1099" s="25"/>
      <c r="BD1099" s="544" t="s">
        <v>334</v>
      </c>
      <c r="BE1099" s="327"/>
      <c r="BF1099" s="545"/>
      <c r="BG1099" s="326"/>
      <c r="BH1099" s="326"/>
      <c r="BI1099" s="327"/>
      <c r="BJ1099" s="557" t="s">
        <v>303</v>
      </c>
      <c r="BK1099" s="326"/>
      <c r="BL1099" s="326"/>
      <c r="BM1099" s="327"/>
      <c r="BN1099" s="558" t="s">
        <v>303</v>
      </c>
      <c r="BO1099" s="326"/>
      <c r="BP1099" s="326"/>
      <c r="BQ1099" s="326"/>
      <c r="BR1099" s="326"/>
      <c r="BS1099" s="326"/>
      <c r="BT1099" s="326"/>
      <c r="BU1099" s="326"/>
      <c r="BV1099" s="327"/>
    </row>
    <row r="1100" spans="1:74" ht="45" customHeight="1" x14ac:dyDescent="0.25">
      <c r="A1100" s="10">
        <f t="shared" si="4"/>
        <v>1086</v>
      </c>
      <c r="B1100" s="564" t="s">
        <v>303</v>
      </c>
      <c r="C1100" s="327"/>
      <c r="D1100" s="565" t="s">
        <v>307</v>
      </c>
      <c r="E1100" s="327"/>
      <c r="F1100" s="537" t="s">
        <v>334</v>
      </c>
      <c r="G1100" s="327"/>
      <c r="H1100" s="561" t="s">
        <v>334</v>
      </c>
      <c r="I1100" s="327"/>
      <c r="J1100" s="562"/>
      <c r="K1100" s="327"/>
      <c r="L1100" s="562"/>
      <c r="M1100" s="327"/>
      <c r="N1100" s="20"/>
      <c r="O1100" s="21"/>
      <c r="P1100" s="524"/>
      <c r="Q1100" s="327"/>
      <c r="R1100" s="516"/>
      <c r="S1100" s="327"/>
      <c r="T1100" s="517"/>
      <c r="U1100" s="327"/>
      <c r="V1100" s="518"/>
      <c r="W1100" s="327"/>
      <c r="X1100" s="438" t="s">
        <v>303</v>
      </c>
      <c r="Y1100" s="326"/>
      <c r="Z1100" s="326"/>
      <c r="AA1100" s="327"/>
      <c r="AB1100" s="519" t="s">
        <v>303</v>
      </c>
      <c r="AC1100" s="326"/>
      <c r="AD1100" s="326"/>
      <c r="AE1100" s="327"/>
      <c r="AF1100" s="520"/>
      <c r="AG1100" s="327"/>
      <c r="AH1100" s="520"/>
      <c r="AI1100" s="327"/>
      <c r="AJ1100" s="536"/>
      <c r="AK1100" s="327"/>
      <c r="AL1100" s="556" t="s">
        <v>334</v>
      </c>
      <c r="AM1100" s="327"/>
      <c r="AN1100" s="553" t="s">
        <v>334</v>
      </c>
      <c r="AO1100" s="327"/>
      <c r="AP1100" s="554"/>
      <c r="AQ1100" s="327"/>
      <c r="AR1100" s="555"/>
      <c r="AS1100" s="327"/>
      <c r="AT1100" s="549"/>
      <c r="AU1100" s="327"/>
      <c r="AV1100" s="553" t="s">
        <v>334</v>
      </c>
      <c r="AW1100" s="327"/>
      <c r="AX1100" s="521"/>
      <c r="AY1100" s="326"/>
      <c r="AZ1100" s="327"/>
      <c r="BA1100" s="536"/>
      <c r="BB1100" s="327"/>
      <c r="BC1100" s="22"/>
      <c r="BD1100" s="551" t="s">
        <v>334</v>
      </c>
      <c r="BE1100" s="327"/>
      <c r="BF1100" s="508"/>
      <c r="BG1100" s="326"/>
      <c r="BH1100" s="326"/>
      <c r="BI1100" s="327"/>
      <c r="BJ1100" s="451" t="s">
        <v>303</v>
      </c>
      <c r="BK1100" s="326"/>
      <c r="BL1100" s="326"/>
      <c r="BM1100" s="327"/>
      <c r="BN1100" s="558" t="s">
        <v>303</v>
      </c>
      <c r="BO1100" s="326"/>
      <c r="BP1100" s="326"/>
      <c r="BQ1100" s="326"/>
      <c r="BR1100" s="326"/>
      <c r="BS1100" s="326"/>
      <c r="BT1100" s="326"/>
      <c r="BU1100" s="326"/>
      <c r="BV1100" s="327"/>
    </row>
    <row r="1101" spans="1:74" ht="45" customHeight="1" x14ac:dyDescent="0.25">
      <c r="A1101" s="10">
        <f t="shared" si="4"/>
        <v>1087</v>
      </c>
      <c r="B1101" s="559" t="s">
        <v>303</v>
      </c>
      <c r="C1101" s="327"/>
      <c r="D1101" s="560" t="s">
        <v>307</v>
      </c>
      <c r="E1101" s="327"/>
      <c r="F1101" s="537" t="s">
        <v>334</v>
      </c>
      <c r="G1101" s="327"/>
      <c r="H1101" s="566" t="s">
        <v>334</v>
      </c>
      <c r="I1101" s="327"/>
      <c r="J1101" s="567"/>
      <c r="K1101" s="327"/>
      <c r="L1101" s="567"/>
      <c r="M1101" s="327"/>
      <c r="N1101" s="23"/>
      <c r="O1101" s="24"/>
      <c r="P1101" s="563"/>
      <c r="Q1101" s="327"/>
      <c r="R1101" s="538"/>
      <c r="S1101" s="327"/>
      <c r="T1101" s="539"/>
      <c r="U1101" s="327"/>
      <c r="V1101" s="540"/>
      <c r="W1101" s="327"/>
      <c r="X1101" s="541" t="s">
        <v>303</v>
      </c>
      <c r="Y1101" s="326"/>
      <c r="Z1101" s="326"/>
      <c r="AA1101" s="327"/>
      <c r="AB1101" s="542" t="s">
        <v>303</v>
      </c>
      <c r="AC1101" s="326"/>
      <c r="AD1101" s="326"/>
      <c r="AE1101" s="327"/>
      <c r="AF1101" s="543"/>
      <c r="AG1101" s="327"/>
      <c r="AH1101" s="543"/>
      <c r="AI1101" s="327"/>
      <c r="AJ1101" s="536"/>
      <c r="AK1101" s="327"/>
      <c r="AL1101" s="537" t="s">
        <v>334</v>
      </c>
      <c r="AM1101" s="327"/>
      <c r="AN1101" s="546" t="s">
        <v>334</v>
      </c>
      <c r="AO1101" s="327"/>
      <c r="AP1101" s="547"/>
      <c r="AQ1101" s="327"/>
      <c r="AR1101" s="548"/>
      <c r="AS1101" s="327"/>
      <c r="AT1101" s="568"/>
      <c r="AU1101" s="327"/>
      <c r="AV1101" s="546" t="s">
        <v>334</v>
      </c>
      <c r="AW1101" s="327"/>
      <c r="AX1101" s="521"/>
      <c r="AY1101" s="326"/>
      <c r="AZ1101" s="327"/>
      <c r="BA1101" s="550"/>
      <c r="BB1101" s="327"/>
      <c r="BC1101" s="25"/>
      <c r="BD1101" s="544" t="s">
        <v>334</v>
      </c>
      <c r="BE1101" s="327"/>
      <c r="BF1101" s="545"/>
      <c r="BG1101" s="326"/>
      <c r="BH1101" s="326"/>
      <c r="BI1101" s="327"/>
      <c r="BJ1101" s="557" t="s">
        <v>303</v>
      </c>
      <c r="BK1101" s="326"/>
      <c r="BL1101" s="326"/>
      <c r="BM1101" s="327"/>
      <c r="BN1101" s="558" t="s">
        <v>303</v>
      </c>
      <c r="BO1101" s="326"/>
      <c r="BP1101" s="326"/>
      <c r="BQ1101" s="326"/>
      <c r="BR1101" s="326"/>
      <c r="BS1101" s="326"/>
      <c r="BT1101" s="326"/>
      <c r="BU1101" s="326"/>
      <c r="BV1101" s="327"/>
    </row>
    <row r="1102" spans="1:74" ht="45" customHeight="1" x14ac:dyDescent="0.25">
      <c r="A1102" s="10">
        <f t="shared" si="4"/>
        <v>1088</v>
      </c>
      <c r="B1102" s="564" t="s">
        <v>303</v>
      </c>
      <c r="C1102" s="327"/>
      <c r="D1102" s="565" t="s">
        <v>307</v>
      </c>
      <c r="E1102" s="327"/>
      <c r="F1102" s="537" t="s">
        <v>334</v>
      </c>
      <c r="G1102" s="327"/>
      <c r="H1102" s="561" t="s">
        <v>334</v>
      </c>
      <c r="I1102" s="327"/>
      <c r="J1102" s="562"/>
      <c r="K1102" s="327"/>
      <c r="L1102" s="562"/>
      <c r="M1102" s="327"/>
      <c r="N1102" s="20"/>
      <c r="O1102" s="21"/>
      <c r="P1102" s="524"/>
      <c r="Q1102" s="327"/>
      <c r="R1102" s="516"/>
      <c r="S1102" s="327"/>
      <c r="T1102" s="517"/>
      <c r="U1102" s="327"/>
      <c r="V1102" s="518"/>
      <c r="W1102" s="327"/>
      <c r="X1102" s="438" t="s">
        <v>303</v>
      </c>
      <c r="Y1102" s="326"/>
      <c r="Z1102" s="326"/>
      <c r="AA1102" s="327"/>
      <c r="AB1102" s="519" t="s">
        <v>303</v>
      </c>
      <c r="AC1102" s="326"/>
      <c r="AD1102" s="326"/>
      <c r="AE1102" s="327"/>
      <c r="AF1102" s="520"/>
      <c r="AG1102" s="327"/>
      <c r="AH1102" s="520"/>
      <c r="AI1102" s="327"/>
      <c r="AJ1102" s="536"/>
      <c r="AK1102" s="327"/>
      <c r="AL1102" s="556" t="s">
        <v>334</v>
      </c>
      <c r="AM1102" s="327"/>
      <c r="AN1102" s="553" t="s">
        <v>334</v>
      </c>
      <c r="AO1102" s="327"/>
      <c r="AP1102" s="554"/>
      <c r="AQ1102" s="327"/>
      <c r="AR1102" s="555"/>
      <c r="AS1102" s="327"/>
      <c r="AT1102" s="549"/>
      <c r="AU1102" s="327"/>
      <c r="AV1102" s="553" t="s">
        <v>334</v>
      </c>
      <c r="AW1102" s="327"/>
      <c r="AX1102" s="521"/>
      <c r="AY1102" s="326"/>
      <c r="AZ1102" s="327"/>
      <c r="BA1102" s="536"/>
      <c r="BB1102" s="327"/>
      <c r="BC1102" s="22"/>
      <c r="BD1102" s="551" t="s">
        <v>334</v>
      </c>
      <c r="BE1102" s="327"/>
      <c r="BF1102" s="552"/>
      <c r="BG1102" s="326"/>
      <c r="BH1102" s="326"/>
      <c r="BI1102" s="327"/>
      <c r="BJ1102" s="451" t="s">
        <v>303</v>
      </c>
      <c r="BK1102" s="326"/>
      <c r="BL1102" s="326"/>
      <c r="BM1102" s="327"/>
      <c r="BN1102" s="558" t="s">
        <v>303</v>
      </c>
      <c r="BO1102" s="326"/>
      <c r="BP1102" s="326"/>
      <c r="BQ1102" s="326"/>
      <c r="BR1102" s="326"/>
      <c r="BS1102" s="326"/>
      <c r="BT1102" s="326"/>
      <c r="BU1102" s="326"/>
      <c r="BV1102" s="327"/>
    </row>
    <row r="1103" spans="1:74" ht="45" customHeight="1" x14ac:dyDescent="0.25">
      <c r="A1103" s="10">
        <f t="shared" si="4"/>
        <v>1089</v>
      </c>
      <c r="B1103" s="559" t="s">
        <v>303</v>
      </c>
      <c r="C1103" s="327"/>
      <c r="D1103" s="560" t="s">
        <v>307</v>
      </c>
      <c r="E1103" s="327"/>
      <c r="F1103" s="537" t="s">
        <v>334</v>
      </c>
      <c r="G1103" s="327"/>
      <c r="H1103" s="566" t="s">
        <v>334</v>
      </c>
      <c r="I1103" s="327"/>
      <c r="J1103" s="567"/>
      <c r="K1103" s="327"/>
      <c r="L1103" s="567"/>
      <c r="M1103" s="327"/>
      <c r="N1103" s="23"/>
      <c r="O1103" s="24"/>
      <c r="P1103" s="563"/>
      <c r="Q1103" s="327"/>
      <c r="R1103" s="538"/>
      <c r="S1103" s="327"/>
      <c r="T1103" s="539"/>
      <c r="U1103" s="327"/>
      <c r="V1103" s="540"/>
      <c r="W1103" s="327"/>
      <c r="X1103" s="541" t="s">
        <v>303</v>
      </c>
      <c r="Y1103" s="326"/>
      <c r="Z1103" s="326"/>
      <c r="AA1103" s="327"/>
      <c r="AB1103" s="542" t="s">
        <v>303</v>
      </c>
      <c r="AC1103" s="326"/>
      <c r="AD1103" s="326"/>
      <c r="AE1103" s="327"/>
      <c r="AF1103" s="543"/>
      <c r="AG1103" s="327"/>
      <c r="AH1103" s="543"/>
      <c r="AI1103" s="327"/>
      <c r="AJ1103" s="536"/>
      <c r="AK1103" s="327"/>
      <c r="AL1103" s="537" t="s">
        <v>334</v>
      </c>
      <c r="AM1103" s="327"/>
      <c r="AN1103" s="546" t="s">
        <v>334</v>
      </c>
      <c r="AO1103" s="327"/>
      <c r="AP1103" s="547"/>
      <c r="AQ1103" s="327"/>
      <c r="AR1103" s="548"/>
      <c r="AS1103" s="327"/>
      <c r="AT1103" s="568"/>
      <c r="AU1103" s="327"/>
      <c r="AV1103" s="546" t="s">
        <v>334</v>
      </c>
      <c r="AW1103" s="327"/>
      <c r="AX1103" s="521"/>
      <c r="AY1103" s="326"/>
      <c r="AZ1103" s="327"/>
      <c r="BA1103" s="550"/>
      <c r="BB1103" s="327"/>
      <c r="BC1103" s="25"/>
      <c r="BD1103" s="544" t="s">
        <v>334</v>
      </c>
      <c r="BE1103" s="327"/>
      <c r="BF1103" s="545"/>
      <c r="BG1103" s="326"/>
      <c r="BH1103" s="326"/>
      <c r="BI1103" s="327"/>
      <c r="BJ1103" s="557" t="s">
        <v>303</v>
      </c>
      <c r="BK1103" s="326"/>
      <c r="BL1103" s="326"/>
      <c r="BM1103" s="327"/>
      <c r="BN1103" s="558" t="s">
        <v>303</v>
      </c>
      <c r="BO1103" s="326"/>
      <c r="BP1103" s="326"/>
      <c r="BQ1103" s="326"/>
      <c r="BR1103" s="326"/>
      <c r="BS1103" s="326"/>
      <c r="BT1103" s="326"/>
      <c r="BU1103" s="326"/>
      <c r="BV1103" s="327"/>
    </row>
    <row r="1104" spans="1:74" ht="45" customHeight="1" x14ac:dyDescent="0.25">
      <c r="A1104" s="10">
        <f t="shared" si="4"/>
        <v>1090</v>
      </c>
      <c r="B1104" s="564" t="s">
        <v>303</v>
      </c>
      <c r="C1104" s="327"/>
      <c r="D1104" s="565" t="s">
        <v>307</v>
      </c>
      <c r="E1104" s="327"/>
      <c r="F1104" s="537" t="s">
        <v>334</v>
      </c>
      <c r="G1104" s="327"/>
      <c r="H1104" s="561" t="s">
        <v>334</v>
      </c>
      <c r="I1104" s="327"/>
      <c r="J1104" s="26"/>
      <c r="K1104" s="27"/>
      <c r="L1104" s="26"/>
      <c r="M1104" s="27"/>
      <c r="N1104" s="20"/>
      <c r="O1104" s="21"/>
      <c r="P1104" s="524"/>
      <c r="Q1104" s="327"/>
      <c r="R1104" s="516"/>
      <c r="S1104" s="327"/>
      <c r="T1104" s="517"/>
      <c r="U1104" s="327"/>
      <c r="V1104" s="518"/>
      <c r="W1104" s="327"/>
      <c r="X1104" s="438" t="s">
        <v>303</v>
      </c>
      <c r="Y1104" s="326"/>
      <c r="Z1104" s="326"/>
      <c r="AA1104" s="327"/>
      <c r="AB1104" s="519" t="s">
        <v>303</v>
      </c>
      <c r="AC1104" s="326"/>
      <c r="AD1104" s="326"/>
      <c r="AE1104" s="327"/>
      <c r="AF1104" s="520"/>
      <c r="AG1104" s="327"/>
      <c r="AH1104" s="520"/>
      <c r="AI1104" s="327"/>
      <c r="AJ1104" s="536"/>
      <c r="AK1104" s="327"/>
      <c r="AL1104" s="556" t="s">
        <v>334</v>
      </c>
      <c r="AM1104" s="327"/>
      <c r="AN1104" s="553" t="s">
        <v>334</v>
      </c>
      <c r="AO1104" s="327"/>
      <c r="AP1104" s="554"/>
      <c r="AQ1104" s="327"/>
      <c r="AR1104" s="555"/>
      <c r="AS1104" s="327"/>
      <c r="AT1104" s="549"/>
      <c r="AU1104" s="327"/>
      <c r="AV1104" s="553" t="s">
        <v>334</v>
      </c>
      <c r="AW1104" s="327"/>
      <c r="AX1104" s="521"/>
      <c r="AY1104" s="326"/>
      <c r="AZ1104" s="327"/>
      <c r="BA1104" s="536"/>
      <c r="BB1104" s="327"/>
      <c r="BC1104" s="22"/>
      <c r="BD1104" s="551" t="s">
        <v>334</v>
      </c>
      <c r="BE1104" s="327"/>
      <c r="BF1104" s="552"/>
      <c r="BG1104" s="326"/>
      <c r="BH1104" s="326"/>
      <c r="BI1104" s="327"/>
      <c r="BJ1104" s="451" t="s">
        <v>303</v>
      </c>
      <c r="BK1104" s="326"/>
      <c r="BL1104" s="326"/>
      <c r="BM1104" s="327"/>
      <c r="BN1104" s="558" t="s">
        <v>303</v>
      </c>
      <c r="BO1104" s="326"/>
      <c r="BP1104" s="326"/>
      <c r="BQ1104" s="326"/>
      <c r="BR1104" s="326"/>
      <c r="BS1104" s="326"/>
      <c r="BT1104" s="326"/>
      <c r="BU1104" s="326"/>
      <c r="BV1104" s="327"/>
    </row>
    <row r="1105" spans="1:74" ht="45" customHeight="1" x14ac:dyDescent="0.25">
      <c r="A1105" s="10">
        <f t="shared" si="4"/>
        <v>1091</v>
      </c>
      <c r="B1105" s="559" t="s">
        <v>303</v>
      </c>
      <c r="C1105" s="327"/>
      <c r="D1105" s="560" t="s">
        <v>307</v>
      </c>
      <c r="E1105" s="327"/>
      <c r="F1105" s="537" t="s">
        <v>334</v>
      </c>
      <c r="G1105" s="327"/>
      <c r="H1105" s="566" t="s">
        <v>334</v>
      </c>
      <c r="I1105" s="327"/>
      <c r="J1105" s="567"/>
      <c r="K1105" s="327"/>
      <c r="L1105" s="567"/>
      <c r="M1105" s="327"/>
      <c r="N1105" s="23"/>
      <c r="O1105" s="24"/>
      <c r="P1105" s="563"/>
      <c r="Q1105" s="327"/>
      <c r="R1105" s="538"/>
      <c r="S1105" s="327"/>
      <c r="T1105" s="539"/>
      <c r="U1105" s="327"/>
      <c r="V1105" s="540"/>
      <c r="W1105" s="327"/>
      <c r="X1105" s="541" t="s">
        <v>303</v>
      </c>
      <c r="Y1105" s="326"/>
      <c r="Z1105" s="326"/>
      <c r="AA1105" s="327"/>
      <c r="AB1105" s="542" t="s">
        <v>303</v>
      </c>
      <c r="AC1105" s="326"/>
      <c r="AD1105" s="326"/>
      <c r="AE1105" s="327"/>
      <c r="AF1105" s="543"/>
      <c r="AG1105" s="327"/>
      <c r="AH1105" s="543"/>
      <c r="AI1105" s="327"/>
      <c r="AJ1105" s="536"/>
      <c r="AK1105" s="327"/>
      <c r="AL1105" s="537" t="s">
        <v>334</v>
      </c>
      <c r="AM1105" s="327"/>
      <c r="AN1105" s="546" t="s">
        <v>334</v>
      </c>
      <c r="AO1105" s="327"/>
      <c r="AP1105" s="547"/>
      <c r="AQ1105" s="327"/>
      <c r="AR1105" s="548"/>
      <c r="AS1105" s="327"/>
      <c r="AT1105" s="568"/>
      <c r="AU1105" s="327"/>
      <c r="AV1105" s="546" t="s">
        <v>334</v>
      </c>
      <c r="AW1105" s="327"/>
      <c r="AX1105" s="521"/>
      <c r="AY1105" s="326"/>
      <c r="AZ1105" s="327"/>
      <c r="BA1105" s="550"/>
      <c r="BB1105" s="327"/>
      <c r="BC1105" s="25"/>
      <c r="BD1105" s="544" t="s">
        <v>334</v>
      </c>
      <c r="BE1105" s="327"/>
      <c r="BF1105" s="545"/>
      <c r="BG1105" s="326"/>
      <c r="BH1105" s="326"/>
      <c r="BI1105" s="327"/>
      <c r="BJ1105" s="557" t="s">
        <v>303</v>
      </c>
      <c r="BK1105" s="326"/>
      <c r="BL1105" s="326"/>
      <c r="BM1105" s="327"/>
      <c r="BN1105" s="558" t="s">
        <v>303</v>
      </c>
      <c r="BO1105" s="326"/>
      <c r="BP1105" s="326"/>
      <c r="BQ1105" s="326"/>
      <c r="BR1105" s="326"/>
      <c r="BS1105" s="326"/>
      <c r="BT1105" s="326"/>
      <c r="BU1105" s="326"/>
      <c r="BV1105" s="327"/>
    </row>
    <row r="1106" spans="1:74" ht="45" customHeight="1" x14ac:dyDescent="0.25">
      <c r="A1106" s="10">
        <f t="shared" si="4"/>
        <v>1092</v>
      </c>
      <c r="B1106" s="564" t="s">
        <v>303</v>
      </c>
      <c r="C1106" s="327"/>
      <c r="D1106" s="565" t="s">
        <v>307</v>
      </c>
      <c r="E1106" s="327"/>
      <c r="F1106" s="537" t="s">
        <v>334</v>
      </c>
      <c r="G1106" s="327"/>
      <c r="H1106" s="561" t="s">
        <v>334</v>
      </c>
      <c r="I1106" s="327"/>
      <c r="J1106" s="26"/>
      <c r="K1106" s="27"/>
      <c r="L1106" s="26"/>
      <c r="M1106" s="27"/>
      <c r="N1106" s="20"/>
      <c r="O1106" s="21"/>
      <c r="P1106" s="524"/>
      <c r="Q1106" s="327"/>
      <c r="R1106" s="516"/>
      <c r="S1106" s="327"/>
      <c r="T1106" s="517"/>
      <c r="U1106" s="327"/>
      <c r="V1106" s="518"/>
      <c r="W1106" s="327"/>
      <c r="X1106" s="438" t="s">
        <v>303</v>
      </c>
      <c r="Y1106" s="326"/>
      <c r="Z1106" s="326"/>
      <c r="AA1106" s="327"/>
      <c r="AB1106" s="519" t="s">
        <v>303</v>
      </c>
      <c r="AC1106" s="326"/>
      <c r="AD1106" s="326"/>
      <c r="AE1106" s="327"/>
      <c r="AF1106" s="520"/>
      <c r="AG1106" s="327"/>
      <c r="AH1106" s="520"/>
      <c r="AI1106" s="327"/>
      <c r="AJ1106" s="536"/>
      <c r="AK1106" s="327"/>
      <c r="AL1106" s="556" t="s">
        <v>334</v>
      </c>
      <c r="AM1106" s="327"/>
      <c r="AN1106" s="553" t="s">
        <v>334</v>
      </c>
      <c r="AO1106" s="327"/>
      <c r="AP1106" s="554"/>
      <c r="AQ1106" s="327"/>
      <c r="AR1106" s="555"/>
      <c r="AS1106" s="327"/>
      <c r="AT1106" s="549"/>
      <c r="AU1106" s="327"/>
      <c r="AV1106" s="553" t="s">
        <v>334</v>
      </c>
      <c r="AW1106" s="327"/>
      <c r="AX1106" s="521"/>
      <c r="AY1106" s="326"/>
      <c r="AZ1106" s="327"/>
      <c r="BA1106" s="536"/>
      <c r="BB1106" s="327"/>
      <c r="BC1106" s="22"/>
      <c r="BD1106" s="551" t="s">
        <v>334</v>
      </c>
      <c r="BE1106" s="327"/>
      <c r="BF1106" s="508"/>
      <c r="BG1106" s="326"/>
      <c r="BH1106" s="326"/>
      <c r="BI1106" s="327"/>
      <c r="BJ1106" s="451" t="s">
        <v>303</v>
      </c>
      <c r="BK1106" s="326"/>
      <c r="BL1106" s="326"/>
      <c r="BM1106" s="327"/>
      <c r="BN1106" s="558" t="s">
        <v>303</v>
      </c>
      <c r="BO1106" s="326"/>
      <c r="BP1106" s="326"/>
      <c r="BQ1106" s="326"/>
      <c r="BR1106" s="326"/>
      <c r="BS1106" s="326"/>
      <c r="BT1106" s="326"/>
      <c r="BU1106" s="326"/>
      <c r="BV1106" s="327"/>
    </row>
    <row r="1107" spans="1:74" ht="45" customHeight="1" x14ac:dyDescent="0.25">
      <c r="A1107" s="10">
        <f t="shared" si="4"/>
        <v>1093</v>
      </c>
      <c r="B1107" s="559" t="s">
        <v>303</v>
      </c>
      <c r="C1107" s="327"/>
      <c r="D1107" s="560" t="s">
        <v>307</v>
      </c>
      <c r="E1107" s="327"/>
      <c r="F1107" s="537" t="s">
        <v>334</v>
      </c>
      <c r="G1107" s="327"/>
      <c r="H1107" s="566" t="s">
        <v>334</v>
      </c>
      <c r="I1107" s="327"/>
      <c r="J1107" s="567"/>
      <c r="K1107" s="327"/>
      <c r="L1107" s="567"/>
      <c r="M1107" s="327"/>
      <c r="N1107" s="23"/>
      <c r="O1107" s="24"/>
      <c r="P1107" s="563"/>
      <c r="Q1107" s="327"/>
      <c r="R1107" s="538"/>
      <c r="S1107" s="327"/>
      <c r="T1107" s="539"/>
      <c r="U1107" s="327"/>
      <c r="V1107" s="540"/>
      <c r="W1107" s="327"/>
      <c r="X1107" s="541" t="s">
        <v>303</v>
      </c>
      <c r="Y1107" s="326"/>
      <c r="Z1107" s="326"/>
      <c r="AA1107" s="327"/>
      <c r="AB1107" s="542" t="s">
        <v>303</v>
      </c>
      <c r="AC1107" s="326"/>
      <c r="AD1107" s="326"/>
      <c r="AE1107" s="327"/>
      <c r="AF1107" s="543"/>
      <c r="AG1107" s="327"/>
      <c r="AH1107" s="543"/>
      <c r="AI1107" s="327"/>
      <c r="AJ1107" s="536"/>
      <c r="AK1107" s="327"/>
      <c r="AL1107" s="537" t="s">
        <v>334</v>
      </c>
      <c r="AM1107" s="327"/>
      <c r="AN1107" s="546" t="s">
        <v>334</v>
      </c>
      <c r="AO1107" s="327"/>
      <c r="AP1107" s="547"/>
      <c r="AQ1107" s="327"/>
      <c r="AR1107" s="548"/>
      <c r="AS1107" s="327"/>
      <c r="AT1107" s="568"/>
      <c r="AU1107" s="327"/>
      <c r="AV1107" s="546" t="s">
        <v>334</v>
      </c>
      <c r="AW1107" s="327"/>
      <c r="AX1107" s="521"/>
      <c r="AY1107" s="326"/>
      <c r="AZ1107" s="327"/>
      <c r="BA1107" s="550"/>
      <c r="BB1107" s="327"/>
      <c r="BC1107" s="25"/>
      <c r="BD1107" s="544" t="s">
        <v>334</v>
      </c>
      <c r="BE1107" s="327"/>
      <c r="BF1107" s="545"/>
      <c r="BG1107" s="326"/>
      <c r="BH1107" s="326"/>
      <c r="BI1107" s="327"/>
      <c r="BJ1107" s="557" t="s">
        <v>303</v>
      </c>
      <c r="BK1107" s="326"/>
      <c r="BL1107" s="326"/>
      <c r="BM1107" s="327"/>
      <c r="BN1107" s="558" t="s">
        <v>303</v>
      </c>
      <c r="BO1107" s="326"/>
      <c r="BP1107" s="326"/>
      <c r="BQ1107" s="326"/>
      <c r="BR1107" s="326"/>
      <c r="BS1107" s="326"/>
      <c r="BT1107" s="326"/>
      <c r="BU1107" s="326"/>
      <c r="BV1107" s="327"/>
    </row>
    <row r="1108" spans="1:74" ht="45" customHeight="1" x14ac:dyDescent="0.25">
      <c r="A1108" s="10">
        <f t="shared" si="4"/>
        <v>1094</v>
      </c>
      <c r="B1108" s="564" t="s">
        <v>303</v>
      </c>
      <c r="C1108" s="327"/>
      <c r="D1108" s="565" t="s">
        <v>307</v>
      </c>
      <c r="E1108" s="327"/>
      <c r="F1108" s="537" t="s">
        <v>334</v>
      </c>
      <c r="G1108" s="327"/>
      <c r="H1108" s="561" t="s">
        <v>334</v>
      </c>
      <c r="I1108" s="327"/>
      <c r="J1108" s="26"/>
      <c r="K1108" s="27"/>
      <c r="L1108" s="26"/>
      <c r="M1108" s="27"/>
      <c r="N1108" s="20"/>
      <c r="O1108" s="21"/>
      <c r="P1108" s="524"/>
      <c r="Q1108" s="327"/>
      <c r="R1108" s="516"/>
      <c r="S1108" s="327"/>
      <c r="T1108" s="517"/>
      <c r="U1108" s="327"/>
      <c r="V1108" s="518"/>
      <c r="W1108" s="327"/>
      <c r="X1108" s="438" t="s">
        <v>303</v>
      </c>
      <c r="Y1108" s="326"/>
      <c r="Z1108" s="326"/>
      <c r="AA1108" s="327"/>
      <c r="AB1108" s="519" t="s">
        <v>303</v>
      </c>
      <c r="AC1108" s="326"/>
      <c r="AD1108" s="326"/>
      <c r="AE1108" s="327"/>
      <c r="AF1108" s="520"/>
      <c r="AG1108" s="327"/>
      <c r="AH1108" s="520"/>
      <c r="AI1108" s="327"/>
      <c r="AJ1108" s="536"/>
      <c r="AK1108" s="327"/>
      <c r="AL1108" s="556" t="s">
        <v>334</v>
      </c>
      <c r="AM1108" s="327"/>
      <c r="AN1108" s="553" t="s">
        <v>334</v>
      </c>
      <c r="AO1108" s="327"/>
      <c r="AP1108" s="554"/>
      <c r="AQ1108" s="327"/>
      <c r="AR1108" s="555"/>
      <c r="AS1108" s="327"/>
      <c r="AT1108" s="549"/>
      <c r="AU1108" s="327"/>
      <c r="AV1108" s="553" t="s">
        <v>334</v>
      </c>
      <c r="AW1108" s="327"/>
      <c r="AX1108" s="521"/>
      <c r="AY1108" s="326"/>
      <c r="AZ1108" s="327"/>
      <c r="BA1108" s="536"/>
      <c r="BB1108" s="327"/>
      <c r="BC1108" s="22"/>
      <c r="BD1108" s="551" t="s">
        <v>334</v>
      </c>
      <c r="BE1108" s="327"/>
      <c r="BF1108" s="552"/>
      <c r="BG1108" s="326"/>
      <c r="BH1108" s="326"/>
      <c r="BI1108" s="327"/>
      <c r="BJ1108" s="451" t="s">
        <v>303</v>
      </c>
      <c r="BK1108" s="326"/>
      <c r="BL1108" s="326"/>
      <c r="BM1108" s="327"/>
      <c r="BN1108" s="558" t="s">
        <v>303</v>
      </c>
      <c r="BO1108" s="326"/>
      <c r="BP1108" s="326"/>
      <c r="BQ1108" s="326"/>
      <c r="BR1108" s="326"/>
      <c r="BS1108" s="326"/>
      <c r="BT1108" s="326"/>
      <c r="BU1108" s="326"/>
      <c r="BV1108" s="327"/>
    </row>
    <row r="1109" spans="1:74" ht="45" customHeight="1" x14ac:dyDescent="0.25">
      <c r="A1109" s="10">
        <f t="shared" si="4"/>
        <v>1095</v>
      </c>
      <c r="B1109" s="559" t="s">
        <v>303</v>
      </c>
      <c r="C1109" s="327"/>
      <c r="D1109" s="560" t="s">
        <v>307</v>
      </c>
      <c r="E1109" s="327"/>
      <c r="F1109" s="537" t="s">
        <v>334</v>
      </c>
      <c r="G1109" s="327"/>
      <c r="H1109" s="566" t="s">
        <v>334</v>
      </c>
      <c r="I1109" s="327"/>
      <c r="J1109" s="567"/>
      <c r="K1109" s="327"/>
      <c r="L1109" s="567"/>
      <c r="M1109" s="327"/>
      <c r="N1109" s="20"/>
      <c r="O1109" s="21"/>
      <c r="P1109" s="524"/>
      <c r="Q1109" s="327"/>
      <c r="R1109" s="538"/>
      <c r="S1109" s="327"/>
      <c r="T1109" s="539"/>
      <c r="U1109" s="327"/>
      <c r="V1109" s="540"/>
      <c r="W1109" s="327"/>
      <c r="X1109" s="541" t="s">
        <v>303</v>
      </c>
      <c r="Y1109" s="326"/>
      <c r="Z1109" s="326"/>
      <c r="AA1109" s="327"/>
      <c r="AB1109" s="542" t="s">
        <v>303</v>
      </c>
      <c r="AC1109" s="326"/>
      <c r="AD1109" s="326"/>
      <c r="AE1109" s="327"/>
      <c r="AF1109" s="543"/>
      <c r="AG1109" s="327"/>
      <c r="AH1109" s="543"/>
      <c r="AI1109" s="327"/>
      <c r="AJ1109" s="536"/>
      <c r="AK1109" s="327"/>
      <c r="AL1109" s="537" t="s">
        <v>334</v>
      </c>
      <c r="AM1109" s="327"/>
      <c r="AN1109" s="546" t="s">
        <v>334</v>
      </c>
      <c r="AO1109" s="327"/>
      <c r="AP1109" s="547"/>
      <c r="AQ1109" s="327"/>
      <c r="AR1109" s="548"/>
      <c r="AS1109" s="327"/>
      <c r="AT1109" s="549"/>
      <c r="AU1109" s="327"/>
      <c r="AV1109" s="546" t="s">
        <v>334</v>
      </c>
      <c r="AW1109" s="327"/>
      <c r="AX1109" s="521"/>
      <c r="AY1109" s="326"/>
      <c r="AZ1109" s="327"/>
      <c r="BA1109" s="550"/>
      <c r="BB1109" s="327"/>
      <c r="BC1109" s="25"/>
      <c r="BD1109" s="544" t="s">
        <v>334</v>
      </c>
      <c r="BE1109" s="327"/>
      <c r="BF1109" s="545"/>
      <c r="BG1109" s="326"/>
      <c r="BH1109" s="326"/>
      <c r="BI1109" s="327"/>
      <c r="BJ1109" s="557" t="s">
        <v>303</v>
      </c>
      <c r="BK1109" s="326"/>
      <c r="BL1109" s="326"/>
      <c r="BM1109" s="327"/>
      <c r="BN1109" s="558" t="s">
        <v>303</v>
      </c>
      <c r="BO1109" s="326"/>
      <c r="BP1109" s="326"/>
      <c r="BQ1109" s="326"/>
      <c r="BR1109" s="326"/>
      <c r="BS1109" s="326"/>
      <c r="BT1109" s="326"/>
      <c r="BU1109" s="326"/>
      <c r="BV1109" s="327"/>
    </row>
    <row r="1110" spans="1:74" ht="45" customHeight="1" x14ac:dyDescent="0.25">
      <c r="A1110" s="10">
        <f t="shared" si="4"/>
        <v>1096</v>
      </c>
      <c r="B1110" s="564" t="s">
        <v>303</v>
      </c>
      <c r="C1110" s="327"/>
      <c r="D1110" s="565" t="s">
        <v>307</v>
      </c>
      <c r="E1110" s="327"/>
      <c r="F1110" s="537" t="s">
        <v>334</v>
      </c>
      <c r="G1110" s="327"/>
      <c r="H1110" s="561" t="s">
        <v>334</v>
      </c>
      <c r="I1110" s="327"/>
      <c r="J1110" s="26"/>
      <c r="K1110" s="27"/>
      <c r="L1110" s="26"/>
      <c r="M1110" s="27"/>
      <c r="N1110" s="23"/>
      <c r="O1110" s="24"/>
      <c r="P1110" s="563"/>
      <c r="Q1110" s="327"/>
      <c r="R1110" s="516"/>
      <c r="S1110" s="327"/>
      <c r="T1110" s="517"/>
      <c r="U1110" s="327"/>
      <c r="V1110" s="518"/>
      <c r="W1110" s="327"/>
      <c r="X1110" s="438" t="s">
        <v>303</v>
      </c>
      <c r="Y1110" s="326"/>
      <c r="Z1110" s="326"/>
      <c r="AA1110" s="327"/>
      <c r="AB1110" s="519" t="s">
        <v>303</v>
      </c>
      <c r="AC1110" s="326"/>
      <c r="AD1110" s="326"/>
      <c r="AE1110" s="327"/>
      <c r="AF1110" s="520"/>
      <c r="AG1110" s="327"/>
      <c r="AH1110" s="520"/>
      <c r="AI1110" s="327"/>
      <c r="AJ1110" s="536"/>
      <c r="AK1110" s="327"/>
      <c r="AL1110" s="556" t="s">
        <v>334</v>
      </c>
      <c r="AM1110" s="327"/>
      <c r="AN1110" s="553" t="s">
        <v>334</v>
      </c>
      <c r="AO1110" s="327"/>
      <c r="AP1110" s="554"/>
      <c r="AQ1110" s="327"/>
      <c r="AR1110" s="555"/>
      <c r="AS1110" s="327"/>
      <c r="AT1110" s="549"/>
      <c r="AU1110" s="327"/>
      <c r="AV1110" s="553" t="s">
        <v>334</v>
      </c>
      <c r="AW1110" s="327"/>
      <c r="AX1110" s="521"/>
      <c r="AY1110" s="326"/>
      <c r="AZ1110" s="327"/>
      <c r="BA1110" s="536"/>
      <c r="BB1110" s="327"/>
      <c r="BC1110" s="22"/>
      <c r="BD1110" s="551" t="s">
        <v>334</v>
      </c>
      <c r="BE1110" s="327"/>
      <c r="BF1110" s="552"/>
      <c r="BG1110" s="326"/>
      <c r="BH1110" s="326"/>
      <c r="BI1110" s="327"/>
      <c r="BJ1110" s="451" t="s">
        <v>303</v>
      </c>
      <c r="BK1110" s="326"/>
      <c r="BL1110" s="326"/>
      <c r="BM1110" s="327"/>
      <c r="BN1110" s="558" t="s">
        <v>303</v>
      </c>
      <c r="BO1110" s="326"/>
      <c r="BP1110" s="326"/>
      <c r="BQ1110" s="326"/>
      <c r="BR1110" s="326"/>
      <c r="BS1110" s="326"/>
      <c r="BT1110" s="326"/>
      <c r="BU1110" s="326"/>
      <c r="BV1110" s="327"/>
    </row>
    <row r="1111" spans="1:74" ht="45" customHeight="1" x14ac:dyDescent="0.25">
      <c r="A1111" s="10">
        <f t="shared" si="4"/>
        <v>1097</v>
      </c>
      <c r="B1111" s="559" t="s">
        <v>303</v>
      </c>
      <c r="C1111" s="327"/>
      <c r="D1111" s="560" t="s">
        <v>307</v>
      </c>
      <c r="E1111" s="327"/>
      <c r="F1111" s="537" t="s">
        <v>334</v>
      </c>
      <c r="G1111" s="327"/>
      <c r="H1111" s="566" t="s">
        <v>334</v>
      </c>
      <c r="I1111" s="327"/>
      <c r="J1111" s="567"/>
      <c r="K1111" s="327"/>
      <c r="L1111" s="567"/>
      <c r="M1111" s="327"/>
      <c r="N1111" s="20"/>
      <c r="O1111" s="21"/>
      <c r="P1111" s="524"/>
      <c r="Q1111" s="327"/>
      <c r="R1111" s="538"/>
      <c r="S1111" s="327"/>
      <c r="T1111" s="539"/>
      <c r="U1111" s="327"/>
      <c r="V1111" s="540"/>
      <c r="W1111" s="327"/>
      <c r="X1111" s="541" t="s">
        <v>303</v>
      </c>
      <c r="Y1111" s="326"/>
      <c r="Z1111" s="326"/>
      <c r="AA1111" s="327"/>
      <c r="AB1111" s="542" t="s">
        <v>303</v>
      </c>
      <c r="AC1111" s="326"/>
      <c r="AD1111" s="326"/>
      <c r="AE1111" s="327"/>
      <c r="AF1111" s="543"/>
      <c r="AG1111" s="327"/>
      <c r="AH1111" s="543"/>
      <c r="AI1111" s="327"/>
      <c r="AJ1111" s="536"/>
      <c r="AK1111" s="327"/>
      <c r="AL1111" s="537" t="s">
        <v>334</v>
      </c>
      <c r="AM1111" s="327"/>
      <c r="AN1111" s="546" t="s">
        <v>334</v>
      </c>
      <c r="AO1111" s="327"/>
      <c r="AP1111" s="547"/>
      <c r="AQ1111" s="327"/>
      <c r="AR1111" s="548"/>
      <c r="AS1111" s="327"/>
      <c r="AT1111" s="549"/>
      <c r="AU1111" s="327"/>
      <c r="AV1111" s="546" t="s">
        <v>334</v>
      </c>
      <c r="AW1111" s="327"/>
      <c r="AX1111" s="521"/>
      <c r="AY1111" s="326"/>
      <c r="AZ1111" s="327"/>
      <c r="BA1111" s="550"/>
      <c r="BB1111" s="327"/>
      <c r="BC1111" s="25"/>
      <c r="BD1111" s="544" t="s">
        <v>334</v>
      </c>
      <c r="BE1111" s="327"/>
      <c r="BF1111" s="545"/>
      <c r="BG1111" s="326"/>
      <c r="BH1111" s="326"/>
      <c r="BI1111" s="327"/>
      <c r="BJ1111" s="557" t="s">
        <v>303</v>
      </c>
      <c r="BK1111" s="326"/>
      <c r="BL1111" s="326"/>
      <c r="BM1111" s="327"/>
      <c r="BN1111" s="558" t="s">
        <v>303</v>
      </c>
      <c r="BO1111" s="326"/>
      <c r="BP1111" s="326"/>
      <c r="BQ1111" s="326"/>
      <c r="BR1111" s="326"/>
      <c r="BS1111" s="326"/>
      <c r="BT1111" s="326"/>
      <c r="BU1111" s="326"/>
      <c r="BV1111" s="327"/>
    </row>
    <row r="1112" spans="1:74" ht="45" customHeight="1" x14ac:dyDescent="0.25">
      <c r="A1112" s="10">
        <f t="shared" si="4"/>
        <v>1098</v>
      </c>
      <c r="B1112" s="564" t="s">
        <v>303</v>
      </c>
      <c r="C1112" s="327"/>
      <c r="D1112" s="565" t="s">
        <v>307</v>
      </c>
      <c r="E1112" s="327"/>
      <c r="F1112" s="537" t="s">
        <v>334</v>
      </c>
      <c r="G1112" s="327"/>
      <c r="H1112" s="561" t="s">
        <v>334</v>
      </c>
      <c r="I1112" s="327"/>
      <c r="J1112" s="26"/>
      <c r="K1112" s="27"/>
      <c r="L1112" s="26"/>
      <c r="M1112" s="27"/>
      <c r="N1112" s="23"/>
      <c r="O1112" s="24"/>
      <c r="P1112" s="563"/>
      <c r="Q1112" s="327"/>
      <c r="R1112" s="516"/>
      <c r="S1112" s="327"/>
      <c r="T1112" s="517"/>
      <c r="U1112" s="327"/>
      <c r="V1112" s="518"/>
      <c r="W1112" s="327"/>
      <c r="X1112" s="438" t="s">
        <v>303</v>
      </c>
      <c r="Y1112" s="326"/>
      <c r="Z1112" s="326"/>
      <c r="AA1112" s="327"/>
      <c r="AB1112" s="519" t="s">
        <v>303</v>
      </c>
      <c r="AC1112" s="326"/>
      <c r="AD1112" s="326"/>
      <c r="AE1112" s="327"/>
      <c r="AF1112" s="520"/>
      <c r="AG1112" s="327"/>
      <c r="AH1112" s="520"/>
      <c r="AI1112" s="327"/>
      <c r="AJ1112" s="536"/>
      <c r="AK1112" s="327"/>
      <c r="AL1112" s="556" t="s">
        <v>334</v>
      </c>
      <c r="AM1112" s="327"/>
      <c r="AN1112" s="553" t="s">
        <v>334</v>
      </c>
      <c r="AO1112" s="327"/>
      <c r="AP1112" s="554"/>
      <c r="AQ1112" s="327"/>
      <c r="AR1112" s="555"/>
      <c r="AS1112" s="327"/>
      <c r="AT1112" s="549"/>
      <c r="AU1112" s="327"/>
      <c r="AV1112" s="553" t="s">
        <v>334</v>
      </c>
      <c r="AW1112" s="327"/>
      <c r="AX1112" s="521"/>
      <c r="AY1112" s="326"/>
      <c r="AZ1112" s="327"/>
      <c r="BA1112" s="536"/>
      <c r="BB1112" s="327"/>
      <c r="BC1112" s="22"/>
      <c r="BD1112" s="551" t="s">
        <v>334</v>
      </c>
      <c r="BE1112" s="327"/>
      <c r="BF1112" s="552"/>
      <c r="BG1112" s="326"/>
      <c r="BH1112" s="326"/>
      <c r="BI1112" s="327"/>
      <c r="BJ1112" s="451" t="s">
        <v>303</v>
      </c>
      <c r="BK1112" s="326"/>
      <c r="BL1112" s="326"/>
      <c r="BM1112" s="327"/>
      <c r="BN1112" s="558" t="s">
        <v>303</v>
      </c>
      <c r="BO1112" s="326"/>
      <c r="BP1112" s="326"/>
      <c r="BQ1112" s="326"/>
      <c r="BR1112" s="326"/>
      <c r="BS1112" s="326"/>
      <c r="BT1112" s="326"/>
      <c r="BU1112" s="326"/>
      <c r="BV1112" s="327"/>
    </row>
    <row r="1113" spans="1:74" ht="45" customHeight="1" x14ac:dyDescent="0.25">
      <c r="A1113" s="10">
        <f t="shared" si="4"/>
        <v>1099</v>
      </c>
      <c r="B1113" s="559" t="s">
        <v>303</v>
      </c>
      <c r="C1113" s="327"/>
      <c r="D1113" s="560" t="s">
        <v>307</v>
      </c>
      <c r="E1113" s="327"/>
      <c r="F1113" s="537" t="s">
        <v>334</v>
      </c>
      <c r="G1113" s="327"/>
      <c r="H1113" s="566" t="s">
        <v>334</v>
      </c>
      <c r="I1113" s="327"/>
      <c r="J1113" s="567"/>
      <c r="K1113" s="327"/>
      <c r="L1113" s="567"/>
      <c r="M1113" s="327"/>
      <c r="N1113" s="20"/>
      <c r="O1113" s="24"/>
      <c r="P1113" s="524"/>
      <c r="Q1113" s="327"/>
      <c r="R1113" s="538"/>
      <c r="S1113" s="327"/>
      <c r="T1113" s="539"/>
      <c r="U1113" s="327"/>
      <c r="V1113" s="540"/>
      <c r="W1113" s="327"/>
      <c r="X1113" s="541" t="s">
        <v>303</v>
      </c>
      <c r="Y1113" s="326"/>
      <c r="Z1113" s="326"/>
      <c r="AA1113" s="327"/>
      <c r="AB1113" s="542" t="s">
        <v>303</v>
      </c>
      <c r="AC1113" s="326"/>
      <c r="AD1113" s="326"/>
      <c r="AE1113" s="327"/>
      <c r="AF1113" s="543"/>
      <c r="AG1113" s="327"/>
      <c r="AH1113" s="543"/>
      <c r="AI1113" s="327"/>
      <c r="AJ1113" s="536"/>
      <c r="AK1113" s="327"/>
      <c r="AL1113" s="537" t="s">
        <v>334</v>
      </c>
      <c r="AM1113" s="327"/>
      <c r="AN1113" s="546" t="s">
        <v>334</v>
      </c>
      <c r="AO1113" s="327"/>
      <c r="AP1113" s="547"/>
      <c r="AQ1113" s="327"/>
      <c r="AR1113" s="548"/>
      <c r="AS1113" s="327"/>
      <c r="AT1113" s="568"/>
      <c r="AU1113" s="327"/>
      <c r="AV1113" s="546" t="s">
        <v>334</v>
      </c>
      <c r="AW1113" s="327"/>
      <c r="AX1113" s="521"/>
      <c r="AY1113" s="326"/>
      <c r="AZ1113" s="327"/>
      <c r="BA1113" s="550"/>
      <c r="BB1113" s="327"/>
      <c r="BC1113" s="25"/>
      <c r="BD1113" s="544" t="s">
        <v>334</v>
      </c>
      <c r="BE1113" s="327"/>
      <c r="BF1113" s="545"/>
      <c r="BG1113" s="326"/>
      <c r="BH1113" s="326"/>
      <c r="BI1113" s="327"/>
      <c r="BJ1113" s="557" t="s">
        <v>303</v>
      </c>
      <c r="BK1113" s="326"/>
      <c r="BL1113" s="326"/>
      <c r="BM1113" s="327"/>
      <c r="BN1113" s="558" t="s">
        <v>303</v>
      </c>
      <c r="BO1113" s="326"/>
      <c r="BP1113" s="326"/>
      <c r="BQ1113" s="326"/>
      <c r="BR1113" s="326"/>
      <c r="BS1113" s="326"/>
      <c r="BT1113" s="326"/>
      <c r="BU1113" s="326"/>
      <c r="BV1113" s="327"/>
    </row>
    <row r="1114" spans="1:74" ht="45" customHeight="1" x14ac:dyDescent="0.25">
      <c r="A1114" s="10">
        <f t="shared" si="4"/>
        <v>1100</v>
      </c>
      <c r="B1114" s="564" t="s">
        <v>303</v>
      </c>
      <c r="C1114" s="327"/>
      <c r="D1114" s="565" t="s">
        <v>307</v>
      </c>
      <c r="E1114" s="327"/>
      <c r="F1114" s="537" t="s">
        <v>334</v>
      </c>
      <c r="G1114" s="327"/>
      <c r="H1114" s="561" t="s">
        <v>334</v>
      </c>
      <c r="I1114" s="327"/>
      <c r="J1114" s="26"/>
      <c r="K1114" s="27"/>
      <c r="L1114" s="26"/>
      <c r="M1114" s="27"/>
      <c r="N1114" s="23"/>
      <c r="O1114" s="21"/>
      <c r="P1114" s="563"/>
      <c r="Q1114" s="327"/>
      <c r="R1114" s="516"/>
      <c r="S1114" s="327"/>
      <c r="T1114" s="517"/>
      <c r="U1114" s="327"/>
      <c r="V1114" s="518"/>
      <c r="W1114" s="327"/>
      <c r="X1114" s="438" t="s">
        <v>303</v>
      </c>
      <c r="Y1114" s="326"/>
      <c r="Z1114" s="326"/>
      <c r="AA1114" s="327"/>
      <c r="AB1114" s="519" t="s">
        <v>303</v>
      </c>
      <c r="AC1114" s="326"/>
      <c r="AD1114" s="326"/>
      <c r="AE1114" s="327"/>
      <c r="AF1114" s="520"/>
      <c r="AG1114" s="327"/>
      <c r="AH1114" s="520"/>
      <c r="AI1114" s="327"/>
      <c r="AJ1114" s="536"/>
      <c r="AK1114" s="327"/>
      <c r="AL1114" s="556" t="s">
        <v>334</v>
      </c>
      <c r="AM1114" s="327"/>
      <c r="AN1114" s="553" t="s">
        <v>334</v>
      </c>
      <c r="AO1114" s="327"/>
      <c r="AP1114" s="554"/>
      <c r="AQ1114" s="327"/>
      <c r="AR1114" s="555"/>
      <c r="AS1114" s="327"/>
      <c r="AT1114" s="549"/>
      <c r="AU1114" s="327"/>
      <c r="AV1114" s="553" t="s">
        <v>334</v>
      </c>
      <c r="AW1114" s="327"/>
      <c r="AX1114" s="521"/>
      <c r="AY1114" s="326"/>
      <c r="AZ1114" s="327"/>
      <c r="BA1114" s="536"/>
      <c r="BB1114" s="327"/>
      <c r="BC1114" s="22"/>
      <c r="BD1114" s="551" t="s">
        <v>334</v>
      </c>
      <c r="BE1114" s="327"/>
      <c r="BF1114" s="508"/>
      <c r="BG1114" s="326"/>
      <c r="BH1114" s="326"/>
      <c r="BI1114" s="327"/>
      <c r="BJ1114" s="451" t="s">
        <v>303</v>
      </c>
      <c r="BK1114" s="326"/>
      <c r="BL1114" s="326"/>
      <c r="BM1114" s="327"/>
      <c r="BN1114" s="558" t="s">
        <v>303</v>
      </c>
      <c r="BO1114" s="326"/>
      <c r="BP1114" s="326"/>
      <c r="BQ1114" s="326"/>
      <c r="BR1114" s="326"/>
      <c r="BS1114" s="326"/>
      <c r="BT1114" s="326"/>
      <c r="BU1114" s="326"/>
      <c r="BV1114" s="327"/>
    </row>
    <row r="1115" spans="1:74" ht="45" customHeight="1" x14ac:dyDescent="0.25">
      <c r="A1115" s="10">
        <f t="shared" si="4"/>
        <v>1101</v>
      </c>
      <c r="B1115" s="559" t="s">
        <v>303</v>
      </c>
      <c r="C1115" s="327"/>
      <c r="D1115" s="560" t="s">
        <v>307</v>
      </c>
      <c r="E1115" s="327"/>
      <c r="F1115" s="537" t="s">
        <v>334</v>
      </c>
      <c r="G1115" s="327"/>
      <c r="H1115" s="566" t="s">
        <v>334</v>
      </c>
      <c r="I1115" s="327"/>
      <c r="J1115" s="567"/>
      <c r="K1115" s="327"/>
      <c r="L1115" s="567"/>
      <c r="M1115" s="327"/>
      <c r="N1115" s="20"/>
      <c r="O1115" s="24"/>
      <c r="P1115" s="524"/>
      <c r="Q1115" s="327"/>
      <c r="R1115" s="538"/>
      <c r="S1115" s="327"/>
      <c r="T1115" s="539"/>
      <c r="U1115" s="327"/>
      <c r="V1115" s="540"/>
      <c r="W1115" s="327"/>
      <c r="X1115" s="541" t="s">
        <v>303</v>
      </c>
      <c r="Y1115" s="326"/>
      <c r="Z1115" s="326"/>
      <c r="AA1115" s="327"/>
      <c r="AB1115" s="542" t="s">
        <v>303</v>
      </c>
      <c r="AC1115" s="326"/>
      <c r="AD1115" s="326"/>
      <c r="AE1115" s="327"/>
      <c r="AF1115" s="543"/>
      <c r="AG1115" s="327"/>
      <c r="AH1115" s="543"/>
      <c r="AI1115" s="327"/>
      <c r="AJ1115" s="536"/>
      <c r="AK1115" s="327"/>
      <c r="AL1115" s="537" t="s">
        <v>334</v>
      </c>
      <c r="AM1115" s="327"/>
      <c r="AN1115" s="546" t="s">
        <v>334</v>
      </c>
      <c r="AO1115" s="327"/>
      <c r="AP1115" s="547"/>
      <c r="AQ1115" s="327"/>
      <c r="AR1115" s="548"/>
      <c r="AS1115" s="327"/>
      <c r="AT1115" s="568"/>
      <c r="AU1115" s="327"/>
      <c r="AV1115" s="546" t="s">
        <v>334</v>
      </c>
      <c r="AW1115" s="327"/>
      <c r="AX1115" s="521"/>
      <c r="AY1115" s="326"/>
      <c r="AZ1115" s="327"/>
      <c r="BA1115" s="550"/>
      <c r="BB1115" s="327"/>
      <c r="BC1115" s="25"/>
      <c r="BD1115" s="544" t="s">
        <v>334</v>
      </c>
      <c r="BE1115" s="327"/>
      <c r="BF1115" s="545"/>
      <c r="BG1115" s="326"/>
      <c r="BH1115" s="326"/>
      <c r="BI1115" s="327"/>
      <c r="BJ1115" s="557" t="s">
        <v>303</v>
      </c>
      <c r="BK1115" s="326"/>
      <c r="BL1115" s="326"/>
      <c r="BM1115" s="327"/>
      <c r="BN1115" s="558" t="s">
        <v>303</v>
      </c>
      <c r="BO1115" s="326"/>
      <c r="BP1115" s="326"/>
      <c r="BQ1115" s="326"/>
      <c r="BR1115" s="326"/>
      <c r="BS1115" s="326"/>
      <c r="BT1115" s="326"/>
      <c r="BU1115" s="326"/>
      <c r="BV1115" s="327"/>
    </row>
    <row r="1116" spans="1:74" ht="45" customHeight="1" x14ac:dyDescent="0.25">
      <c r="A1116" s="10">
        <f t="shared" si="4"/>
        <v>1102</v>
      </c>
      <c r="B1116" s="564" t="s">
        <v>303</v>
      </c>
      <c r="C1116" s="327"/>
      <c r="D1116" s="565" t="s">
        <v>307</v>
      </c>
      <c r="E1116" s="327"/>
      <c r="F1116" s="537" t="s">
        <v>334</v>
      </c>
      <c r="G1116" s="327"/>
      <c r="H1116" s="561" t="s">
        <v>334</v>
      </c>
      <c r="I1116" s="327"/>
      <c r="J1116" s="26"/>
      <c r="K1116" s="27"/>
      <c r="L1116" s="26"/>
      <c r="M1116" s="27"/>
      <c r="N1116" s="23"/>
      <c r="O1116" s="21"/>
      <c r="P1116" s="563"/>
      <c r="Q1116" s="327"/>
      <c r="R1116" s="516"/>
      <c r="S1116" s="327"/>
      <c r="T1116" s="517"/>
      <c r="U1116" s="327"/>
      <c r="V1116" s="518"/>
      <c r="W1116" s="327"/>
      <c r="X1116" s="438" t="s">
        <v>303</v>
      </c>
      <c r="Y1116" s="326"/>
      <c r="Z1116" s="326"/>
      <c r="AA1116" s="327"/>
      <c r="AB1116" s="519" t="s">
        <v>303</v>
      </c>
      <c r="AC1116" s="326"/>
      <c r="AD1116" s="326"/>
      <c r="AE1116" s="327"/>
      <c r="AF1116" s="520"/>
      <c r="AG1116" s="327"/>
      <c r="AH1116" s="520"/>
      <c r="AI1116" s="327"/>
      <c r="AJ1116" s="536"/>
      <c r="AK1116" s="327"/>
      <c r="AL1116" s="556" t="s">
        <v>334</v>
      </c>
      <c r="AM1116" s="327"/>
      <c r="AN1116" s="553" t="s">
        <v>334</v>
      </c>
      <c r="AO1116" s="327"/>
      <c r="AP1116" s="554"/>
      <c r="AQ1116" s="327"/>
      <c r="AR1116" s="555"/>
      <c r="AS1116" s="327"/>
      <c r="AT1116" s="549"/>
      <c r="AU1116" s="327"/>
      <c r="AV1116" s="553" t="s">
        <v>334</v>
      </c>
      <c r="AW1116" s="327"/>
      <c r="AX1116" s="521"/>
      <c r="AY1116" s="326"/>
      <c r="AZ1116" s="327"/>
      <c r="BA1116" s="536"/>
      <c r="BB1116" s="327"/>
      <c r="BC1116" s="22"/>
      <c r="BD1116" s="551" t="s">
        <v>334</v>
      </c>
      <c r="BE1116" s="327"/>
      <c r="BF1116" s="552"/>
      <c r="BG1116" s="326"/>
      <c r="BH1116" s="326"/>
      <c r="BI1116" s="327"/>
      <c r="BJ1116" s="451" t="s">
        <v>303</v>
      </c>
      <c r="BK1116" s="326"/>
      <c r="BL1116" s="326"/>
      <c r="BM1116" s="327"/>
      <c r="BN1116" s="558" t="s">
        <v>303</v>
      </c>
      <c r="BO1116" s="326"/>
      <c r="BP1116" s="326"/>
      <c r="BQ1116" s="326"/>
      <c r="BR1116" s="326"/>
      <c r="BS1116" s="326"/>
      <c r="BT1116" s="326"/>
      <c r="BU1116" s="326"/>
      <c r="BV1116" s="327"/>
    </row>
    <row r="1117" spans="1:74" ht="45" customHeight="1" x14ac:dyDescent="0.25">
      <c r="A1117" s="10">
        <f t="shared" si="4"/>
        <v>1103</v>
      </c>
      <c r="B1117" s="559" t="s">
        <v>303</v>
      </c>
      <c r="C1117" s="327"/>
      <c r="D1117" s="560" t="s">
        <v>307</v>
      </c>
      <c r="E1117" s="327"/>
      <c r="F1117" s="537" t="s">
        <v>334</v>
      </c>
      <c r="G1117" s="327"/>
      <c r="H1117" s="566" t="s">
        <v>334</v>
      </c>
      <c r="I1117" s="327"/>
      <c r="J1117" s="567"/>
      <c r="K1117" s="327"/>
      <c r="L1117" s="567"/>
      <c r="M1117" s="327"/>
      <c r="N1117" s="20"/>
      <c r="O1117" s="24"/>
      <c r="P1117" s="524"/>
      <c r="Q1117" s="327"/>
      <c r="R1117" s="538"/>
      <c r="S1117" s="327"/>
      <c r="T1117" s="539"/>
      <c r="U1117" s="327"/>
      <c r="V1117" s="540"/>
      <c r="W1117" s="327"/>
      <c r="X1117" s="541" t="s">
        <v>303</v>
      </c>
      <c r="Y1117" s="326"/>
      <c r="Z1117" s="326"/>
      <c r="AA1117" s="327"/>
      <c r="AB1117" s="542" t="s">
        <v>303</v>
      </c>
      <c r="AC1117" s="326"/>
      <c r="AD1117" s="326"/>
      <c r="AE1117" s="327"/>
      <c r="AF1117" s="543"/>
      <c r="AG1117" s="327"/>
      <c r="AH1117" s="543"/>
      <c r="AI1117" s="327"/>
      <c r="AJ1117" s="536"/>
      <c r="AK1117" s="327"/>
      <c r="AL1117" s="537" t="s">
        <v>334</v>
      </c>
      <c r="AM1117" s="327"/>
      <c r="AN1117" s="546" t="s">
        <v>334</v>
      </c>
      <c r="AO1117" s="327"/>
      <c r="AP1117" s="547"/>
      <c r="AQ1117" s="327"/>
      <c r="AR1117" s="548"/>
      <c r="AS1117" s="327"/>
      <c r="AT1117" s="568"/>
      <c r="AU1117" s="327"/>
      <c r="AV1117" s="546" t="s">
        <v>334</v>
      </c>
      <c r="AW1117" s="327"/>
      <c r="AX1117" s="521"/>
      <c r="AY1117" s="326"/>
      <c r="AZ1117" s="327"/>
      <c r="BA1117" s="550"/>
      <c r="BB1117" s="327"/>
      <c r="BC1117" s="25"/>
      <c r="BD1117" s="544" t="s">
        <v>334</v>
      </c>
      <c r="BE1117" s="327"/>
      <c r="BF1117" s="545"/>
      <c r="BG1117" s="326"/>
      <c r="BH1117" s="326"/>
      <c r="BI1117" s="327"/>
      <c r="BJ1117" s="557" t="s">
        <v>303</v>
      </c>
      <c r="BK1117" s="326"/>
      <c r="BL1117" s="326"/>
      <c r="BM1117" s="327"/>
      <c r="BN1117" s="558" t="s">
        <v>303</v>
      </c>
      <c r="BO1117" s="326"/>
      <c r="BP1117" s="326"/>
      <c r="BQ1117" s="326"/>
      <c r="BR1117" s="326"/>
      <c r="BS1117" s="326"/>
      <c r="BT1117" s="326"/>
      <c r="BU1117" s="326"/>
      <c r="BV1117" s="327"/>
    </row>
    <row r="1118" spans="1:74" ht="45" customHeight="1" x14ac:dyDescent="0.25">
      <c r="A1118" s="10">
        <f t="shared" si="4"/>
        <v>1104</v>
      </c>
      <c r="B1118" s="564" t="s">
        <v>303</v>
      </c>
      <c r="C1118" s="327"/>
      <c r="D1118" s="565" t="s">
        <v>307</v>
      </c>
      <c r="E1118" s="327"/>
      <c r="F1118" s="537" t="s">
        <v>334</v>
      </c>
      <c r="G1118" s="327"/>
      <c r="H1118" s="561" t="s">
        <v>334</v>
      </c>
      <c r="I1118" s="327"/>
      <c r="J1118" s="26"/>
      <c r="K1118" s="27"/>
      <c r="L1118" s="26"/>
      <c r="M1118" s="27"/>
      <c r="N1118" s="23"/>
      <c r="O1118" s="21"/>
      <c r="P1118" s="563"/>
      <c r="Q1118" s="327"/>
      <c r="R1118" s="516"/>
      <c r="S1118" s="327"/>
      <c r="T1118" s="517"/>
      <c r="U1118" s="327"/>
      <c r="V1118" s="518"/>
      <c r="W1118" s="327"/>
      <c r="X1118" s="438" t="s">
        <v>303</v>
      </c>
      <c r="Y1118" s="326"/>
      <c r="Z1118" s="326"/>
      <c r="AA1118" s="327"/>
      <c r="AB1118" s="519" t="s">
        <v>303</v>
      </c>
      <c r="AC1118" s="326"/>
      <c r="AD1118" s="326"/>
      <c r="AE1118" s="327"/>
      <c r="AF1118" s="520"/>
      <c r="AG1118" s="327"/>
      <c r="AH1118" s="520"/>
      <c r="AI1118" s="327"/>
      <c r="AJ1118" s="536"/>
      <c r="AK1118" s="327"/>
      <c r="AL1118" s="556" t="s">
        <v>334</v>
      </c>
      <c r="AM1118" s="327"/>
      <c r="AN1118" s="553" t="s">
        <v>334</v>
      </c>
      <c r="AO1118" s="327"/>
      <c r="AP1118" s="554"/>
      <c r="AQ1118" s="327"/>
      <c r="AR1118" s="555"/>
      <c r="AS1118" s="327"/>
      <c r="AT1118" s="549"/>
      <c r="AU1118" s="327"/>
      <c r="AV1118" s="553" t="s">
        <v>334</v>
      </c>
      <c r="AW1118" s="327"/>
      <c r="AX1118" s="521"/>
      <c r="AY1118" s="326"/>
      <c r="AZ1118" s="327"/>
      <c r="BA1118" s="536"/>
      <c r="BB1118" s="327"/>
      <c r="BC1118" s="22"/>
      <c r="BD1118" s="551" t="s">
        <v>334</v>
      </c>
      <c r="BE1118" s="327"/>
      <c r="BF1118" s="552"/>
      <c r="BG1118" s="326"/>
      <c r="BH1118" s="326"/>
      <c r="BI1118" s="327"/>
      <c r="BJ1118" s="451" t="s">
        <v>303</v>
      </c>
      <c r="BK1118" s="326"/>
      <c r="BL1118" s="326"/>
      <c r="BM1118" s="327"/>
      <c r="BN1118" s="558" t="s">
        <v>303</v>
      </c>
      <c r="BO1118" s="326"/>
      <c r="BP1118" s="326"/>
      <c r="BQ1118" s="326"/>
      <c r="BR1118" s="326"/>
      <c r="BS1118" s="326"/>
      <c r="BT1118" s="326"/>
      <c r="BU1118" s="326"/>
      <c r="BV1118" s="327"/>
    </row>
    <row r="1119" spans="1:74" ht="45" customHeight="1" x14ac:dyDescent="0.25">
      <c r="A1119" s="10">
        <f t="shared" si="4"/>
        <v>1105</v>
      </c>
      <c r="B1119" s="559" t="s">
        <v>303</v>
      </c>
      <c r="C1119" s="327"/>
      <c r="D1119" s="560" t="s">
        <v>307</v>
      </c>
      <c r="E1119" s="327"/>
      <c r="F1119" s="537" t="s">
        <v>334</v>
      </c>
      <c r="G1119" s="327"/>
      <c r="H1119" s="566" t="s">
        <v>334</v>
      </c>
      <c r="I1119" s="327"/>
      <c r="J1119" s="567"/>
      <c r="K1119" s="327"/>
      <c r="L1119" s="567"/>
      <c r="M1119" s="327"/>
      <c r="N1119" s="20"/>
      <c r="O1119" s="24"/>
      <c r="P1119" s="524"/>
      <c r="Q1119" s="327"/>
      <c r="R1119" s="538"/>
      <c r="S1119" s="327"/>
      <c r="T1119" s="539"/>
      <c r="U1119" s="327"/>
      <c r="V1119" s="540"/>
      <c r="W1119" s="327"/>
      <c r="X1119" s="541" t="s">
        <v>303</v>
      </c>
      <c r="Y1119" s="326"/>
      <c r="Z1119" s="326"/>
      <c r="AA1119" s="327"/>
      <c r="AB1119" s="542" t="s">
        <v>303</v>
      </c>
      <c r="AC1119" s="326"/>
      <c r="AD1119" s="326"/>
      <c r="AE1119" s="327"/>
      <c r="AF1119" s="543"/>
      <c r="AG1119" s="327"/>
      <c r="AH1119" s="543"/>
      <c r="AI1119" s="327"/>
      <c r="AJ1119" s="536"/>
      <c r="AK1119" s="327"/>
      <c r="AL1119" s="537" t="s">
        <v>334</v>
      </c>
      <c r="AM1119" s="327"/>
      <c r="AN1119" s="546" t="s">
        <v>334</v>
      </c>
      <c r="AO1119" s="327"/>
      <c r="AP1119" s="547"/>
      <c r="AQ1119" s="327"/>
      <c r="AR1119" s="548"/>
      <c r="AS1119" s="327"/>
      <c r="AT1119" s="568"/>
      <c r="AU1119" s="327"/>
      <c r="AV1119" s="546" t="s">
        <v>334</v>
      </c>
      <c r="AW1119" s="327"/>
      <c r="AX1119" s="521"/>
      <c r="AY1119" s="326"/>
      <c r="AZ1119" s="327"/>
      <c r="BA1119" s="550"/>
      <c r="BB1119" s="327"/>
      <c r="BC1119" s="25"/>
      <c r="BD1119" s="544" t="s">
        <v>334</v>
      </c>
      <c r="BE1119" s="327"/>
      <c r="BF1119" s="545"/>
      <c r="BG1119" s="326"/>
      <c r="BH1119" s="326"/>
      <c r="BI1119" s="327"/>
      <c r="BJ1119" s="557" t="s">
        <v>303</v>
      </c>
      <c r="BK1119" s="326"/>
      <c r="BL1119" s="326"/>
      <c r="BM1119" s="327"/>
      <c r="BN1119" s="558" t="s">
        <v>303</v>
      </c>
      <c r="BO1119" s="326"/>
      <c r="BP1119" s="326"/>
      <c r="BQ1119" s="326"/>
      <c r="BR1119" s="326"/>
      <c r="BS1119" s="326"/>
      <c r="BT1119" s="326"/>
      <c r="BU1119" s="326"/>
      <c r="BV1119" s="327"/>
    </row>
    <row r="1120" spans="1:74" ht="45" customHeight="1" x14ac:dyDescent="0.25">
      <c r="A1120" s="10">
        <f t="shared" si="4"/>
        <v>1106</v>
      </c>
      <c r="B1120" s="564" t="s">
        <v>303</v>
      </c>
      <c r="C1120" s="327"/>
      <c r="D1120" s="565" t="s">
        <v>307</v>
      </c>
      <c r="E1120" s="327"/>
      <c r="F1120" s="537" t="s">
        <v>334</v>
      </c>
      <c r="G1120" s="327"/>
      <c r="H1120" s="561" t="s">
        <v>334</v>
      </c>
      <c r="I1120" s="327"/>
      <c r="J1120" s="26"/>
      <c r="K1120" s="27"/>
      <c r="L1120" s="26"/>
      <c r="M1120" s="27"/>
      <c r="N1120" s="23"/>
      <c r="O1120" s="21"/>
      <c r="P1120" s="563"/>
      <c r="Q1120" s="327"/>
      <c r="R1120" s="516"/>
      <c r="S1120" s="327"/>
      <c r="T1120" s="517"/>
      <c r="U1120" s="327"/>
      <c r="V1120" s="518"/>
      <c r="W1120" s="327"/>
      <c r="X1120" s="438" t="s">
        <v>303</v>
      </c>
      <c r="Y1120" s="326"/>
      <c r="Z1120" s="326"/>
      <c r="AA1120" s="327"/>
      <c r="AB1120" s="519" t="s">
        <v>303</v>
      </c>
      <c r="AC1120" s="326"/>
      <c r="AD1120" s="326"/>
      <c r="AE1120" s="327"/>
      <c r="AF1120" s="520"/>
      <c r="AG1120" s="327"/>
      <c r="AH1120" s="520"/>
      <c r="AI1120" s="327"/>
      <c r="AJ1120" s="536"/>
      <c r="AK1120" s="327"/>
      <c r="AL1120" s="556" t="s">
        <v>334</v>
      </c>
      <c r="AM1120" s="327"/>
      <c r="AN1120" s="553" t="s">
        <v>334</v>
      </c>
      <c r="AO1120" s="327"/>
      <c r="AP1120" s="554"/>
      <c r="AQ1120" s="327"/>
      <c r="AR1120" s="555"/>
      <c r="AS1120" s="327"/>
      <c r="AT1120" s="549"/>
      <c r="AU1120" s="327"/>
      <c r="AV1120" s="553" t="s">
        <v>334</v>
      </c>
      <c r="AW1120" s="327"/>
      <c r="AX1120" s="521"/>
      <c r="AY1120" s="326"/>
      <c r="AZ1120" s="327"/>
      <c r="BA1120" s="536"/>
      <c r="BB1120" s="327"/>
      <c r="BC1120" s="22"/>
      <c r="BD1120" s="551" t="s">
        <v>334</v>
      </c>
      <c r="BE1120" s="327"/>
      <c r="BF1120" s="508"/>
      <c r="BG1120" s="326"/>
      <c r="BH1120" s="326"/>
      <c r="BI1120" s="327"/>
      <c r="BJ1120" s="451" t="s">
        <v>303</v>
      </c>
      <c r="BK1120" s="326"/>
      <c r="BL1120" s="326"/>
      <c r="BM1120" s="327"/>
      <c r="BN1120" s="558" t="s">
        <v>303</v>
      </c>
      <c r="BO1120" s="326"/>
      <c r="BP1120" s="326"/>
      <c r="BQ1120" s="326"/>
      <c r="BR1120" s="326"/>
      <c r="BS1120" s="326"/>
      <c r="BT1120" s="326"/>
      <c r="BU1120" s="326"/>
      <c r="BV1120" s="327"/>
    </row>
    <row r="1121" spans="1:74" ht="45" customHeight="1" x14ac:dyDescent="0.25">
      <c r="A1121" s="10">
        <f t="shared" si="4"/>
        <v>1107</v>
      </c>
      <c r="B1121" s="559" t="s">
        <v>303</v>
      </c>
      <c r="C1121" s="327"/>
      <c r="D1121" s="560" t="s">
        <v>307</v>
      </c>
      <c r="E1121" s="327"/>
      <c r="F1121" s="537" t="s">
        <v>334</v>
      </c>
      <c r="G1121" s="327"/>
      <c r="H1121" s="566" t="s">
        <v>334</v>
      </c>
      <c r="I1121" s="327"/>
      <c r="J1121" s="567"/>
      <c r="K1121" s="327"/>
      <c r="L1121" s="567"/>
      <c r="M1121" s="327"/>
      <c r="N1121" s="20"/>
      <c r="O1121" s="24"/>
      <c r="P1121" s="524"/>
      <c r="Q1121" s="327"/>
      <c r="R1121" s="538"/>
      <c r="S1121" s="327"/>
      <c r="T1121" s="539"/>
      <c r="U1121" s="327"/>
      <c r="V1121" s="540"/>
      <c r="W1121" s="327"/>
      <c r="X1121" s="541" t="s">
        <v>303</v>
      </c>
      <c r="Y1121" s="326"/>
      <c r="Z1121" s="326"/>
      <c r="AA1121" s="327"/>
      <c r="AB1121" s="542" t="s">
        <v>303</v>
      </c>
      <c r="AC1121" s="326"/>
      <c r="AD1121" s="326"/>
      <c r="AE1121" s="327"/>
      <c r="AF1121" s="543"/>
      <c r="AG1121" s="327"/>
      <c r="AH1121" s="543"/>
      <c r="AI1121" s="327"/>
      <c r="AJ1121" s="536"/>
      <c r="AK1121" s="327"/>
      <c r="AL1121" s="537" t="s">
        <v>334</v>
      </c>
      <c r="AM1121" s="327"/>
      <c r="AN1121" s="546" t="s">
        <v>334</v>
      </c>
      <c r="AO1121" s="327"/>
      <c r="AP1121" s="547"/>
      <c r="AQ1121" s="327"/>
      <c r="AR1121" s="548"/>
      <c r="AS1121" s="327"/>
      <c r="AT1121" s="568"/>
      <c r="AU1121" s="327"/>
      <c r="AV1121" s="546" t="s">
        <v>334</v>
      </c>
      <c r="AW1121" s="327"/>
      <c r="AX1121" s="521"/>
      <c r="AY1121" s="326"/>
      <c r="AZ1121" s="327"/>
      <c r="BA1121" s="550"/>
      <c r="BB1121" s="327"/>
      <c r="BC1121" s="25"/>
      <c r="BD1121" s="544" t="s">
        <v>334</v>
      </c>
      <c r="BE1121" s="327"/>
      <c r="BF1121" s="545"/>
      <c r="BG1121" s="326"/>
      <c r="BH1121" s="326"/>
      <c r="BI1121" s="327"/>
      <c r="BJ1121" s="557" t="s">
        <v>303</v>
      </c>
      <c r="BK1121" s="326"/>
      <c r="BL1121" s="326"/>
      <c r="BM1121" s="327"/>
      <c r="BN1121" s="558" t="s">
        <v>303</v>
      </c>
      <c r="BO1121" s="326"/>
      <c r="BP1121" s="326"/>
      <c r="BQ1121" s="326"/>
      <c r="BR1121" s="326"/>
      <c r="BS1121" s="326"/>
      <c r="BT1121" s="326"/>
      <c r="BU1121" s="326"/>
      <c r="BV1121" s="327"/>
    </row>
    <row r="1122" spans="1:74" ht="45" customHeight="1" x14ac:dyDescent="0.25">
      <c r="A1122" s="10">
        <f t="shared" si="4"/>
        <v>1108</v>
      </c>
      <c r="B1122" s="564" t="s">
        <v>303</v>
      </c>
      <c r="C1122" s="327"/>
      <c r="D1122" s="565" t="s">
        <v>307</v>
      </c>
      <c r="E1122" s="327"/>
      <c r="F1122" s="537" t="s">
        <v>334</v>
      </c>
      <c r="G1122" s="327"/>
      <c r="H1122" s="561" t="s">
        <v>334</v>
      </c>
      <c r="I1122" s="327"/>
      <c r="J1122" s="26"/>
      <c r="K1122" s="27"/>
      <c r="L1122" s="26"/>
      <c r="M1122" s="27"/>
      <c r="N1122" s="20"/>
      <c r="O1122" s="21"/>
      <c r="P1122" s="524"/>
      <c r="Q1122" s="327"/>
      <c r="R1122" s="516"/>
      <c r="S1122" s="327"/>
      <c r="T1122" s="517"/>
      <c r="U1122" s="327"/>
      <c r="V1122" s="518"/>
      <c r="W1122" s="327"/>
      <c r="X1122" s="438" t="s">
        <v>303</v>
      </c>
      <c r="Y1122" s="326"/>
      <c r="Z1122" s="326"/>
      <c r="AA1122" s="327"/>
      <c r="AB1122" s="519" t="s">
        <v>303</v>
      </c>
      <c r="AC1122" s="326"/>
      <c r="AD1122" s="326"/>
      <c r="AE1122" s="327"/>
      <c r="AF1122" s="520"/>
      <c r="AG1122" s="327"/>
      <c r="AH1122" s="520"/>
      <c r="AI1122" s="327"/>
      <c r="AJ1122" s="536"/>
      <c r="AK1122" s="327"/>
      <c r="AL1122" s="556" t="s">
        <v>334</v>
      </c>
      <c r="AM1122" s="327"/>
      <c r="AN1122" s="553" t="s">
        <v>334</v>
      </c>
      <c r="AO1122" s="327"/>
      <c r="AP1122" s="554"/>
      <c r="AQ1122" s="327"/>
      <c r="AR1122" s="555"/>
      <c r="AS1122" s="327"/>
      <c r="AT1122" s="549"/>
      <c r="AU1122" s="327"/>
      <c r="AV1122" s="553" t="s">
        <v>334</v>
      </c>
      <c r="AW1122" s="327"/>
      <c r="AX1122" s="521"/>
      <c r="AY1122" s="326"/>
      <c r="AZ1122" s="327"/>
      <c r="BA1122" s="536"/>
      <c r="BB1122" s="327"/>
      <c r="BC1122" s="22"/>
      <c r="BD1122" s="551" t="s">
        <v>334</v>
      </c>
      <c r="BE1122" s="327"/>
      <c r="BF1122" s="508"/>
      <c r="BG1122" s="326"/>
      <c r="BH1122" s="326"/>
      <c r="BI1122" s="327"/>
      <c r="BJ1122" s="451" t="s">
        <v>303</v>
      </c>
      <c r="BK1122" s="326"/>
      <c r="BL1122" s="326"/>
      <c r="BM1122" s="327"/>
      <c r="BN1122" s="558" t="s">
        <v>303</v>
      </c>
      <c r="BO1122" s="326"/>
      <c r="BP1122" s="326"/>
      <c r="BQ1122" s="326"/>
      <c r="BR1122" s="326"/>
      <c r="BS1122" s="326"/>
      <c r="BT1122" s="326"/>
      <c r="BU1122" s="326"/>
      <c r="BV1122" s="327"/>
    </row>
    <row r="1123" spans="1:74" ht="45" customHeight="1" x14ac:dyDescent="0.25">
      <c r="A1123" s="10">
        <f t="shared" si="4"/>
        <v>1109</v>
      </c>
      <c r="B1123" s="559" t="s">
        <v>303</v>
      </c>
      <c r="C1123" s="327"/>
      <c r="D1123" s="560" t="s">
        <v>307</v>
      </c>
      <c r="E1123" s="327"/>
      <c r="F1123" s="537" t="s">
        <v>334</v>
      </c>
      <c r="G1123" s="327"/>
      <c r="H1123" s="566" t="s">
        <v>334</v>
      </c>
      <c r="I1123" s="327"/>
      <c r="J1123" s="567"/>
      <c r="K1123" s="327"/>
      <c r="L1123" s="567"/>
      <c r="M1123" s="327"/>
      <c r="N1123" s="23"/>
      <c r="O1123" s="24"/>
      <c r="P1123" s="563"/>
      <c r="Q1123" s="327"/>
      <c r="R1123" s="538"/>
      <c r="S1123" s="327"/>
      <c r="T1123" s="539"/>
      <c r="U1123" s="327"/>
      <c r="V1123" s="540"/>
      <c r="W1123" s="327"/>
      <c r="X1123" s="541" t="s">
        <v>303</v>
      </c>
      <c r="Y1123" s="326"/>
      <c r="Z1123" s="326"/>
      <c r="AA1123" s="327"/>
      <c r="AB1123" s="542" t="s">
        <v>303</v>
      </c>
      <c r="AC1123" s="326"/>
      <c r="AD1123" s="326"/>
      <c r="AE1123" s="327"/>
      <c r="AF1123" s="543"/>
      <c r="AG1123" s="327"/>
      <c r="AH1123" s="543"/>
      <c r="AI1123" s="327"/>
      <c r="AJ1123" s="536"/>
      <c r="AK1123" s="327"/>
      <c r="AL1123" s="537" t="s">
        <v>334</v>
      </c>
      <c r="AM1123" s="327"/>
      <c r="AN1123" s="546" t="s">
        <v>334</v>
      </c>
      <c r="AO1123" s="327"/>
      <c r="AP1123" s="547"/>
      <c r="AQ1123" s="327"/>
      <c r="AR1123" s="548"/>
      <c r="AS1123" s="327"/>
      <c r="AT1123" s="549"/>
      <c r="AU1123" s="327"/>
      <c r="AV1123" s="546" t="s">
        <v>334</v>
      </c>
      <c r="AW1123" s="327"/>
      <c r="AX1123" s="521"/>
      <c r="AY1123" s="326"/>
      <c r="AZ1123" s="327"/>
      <c r="BA1123" s="550"/>
      <c r="BB1123" s="327"/>
      <c r="BC1123" s="25"/>
      <c r="BD1123" s="544" t="s">
        <v>334</v>
      </c>
      <c r="BE1123" s="327"/>
      <c r="BF1123" s="545"/>
      <c r="BG1123" s="326"/>
      <c r="BH1123" s="326"/>
      <c r="BI1123" s="327"/>
      <c r="BJ1123" s="557" t="s">
        <v>303</v>
      </c>
      <c r="BK1123" s="326"/>
      <c r="BL1123" s="326"/>
      <c r="BM1123" s="327"/>
      <c r="BN1123" s="558" t="s">
        <v>303</v>
      </c>
      <c r="BO1123" s="326"/>
      <c r="BP1123" s="326"/>
      <c r="BQ1123" s="326"/>
      <c r="BR1123" s="326"/>
      <c r="BS1123" s="326"/>
      <c r="BT1123" s="326"/>
      <c r="BU1123" s="326"/>
      <c r="BV1123" s="327"/>
    </row>
    <row r="1124" spans="1:74" ht="45" customHeight="1" x14ac:dyDescent="0.25">
      <c r="A1124" s="10">
        <f t="shared" si="4"/>
        <v>1110</v>
      </c>
      <c r="B1124" s="564" t="s">
        <v>303</v>
      </c>
      <c r="C1124" s="327"/>
      <c r="D1124" s="565" t="s">
        <v>307</v>
      </c>
      <c r="E1124" s="327"/>
      <c r="F1124" s="537" t="s">
        <v>334</v>
      </c>
      <c r="G1124" s="327"/>
      <c r="H1124" s="561" t="s">
        <v>334</v>
      </c>
      <c r="I1124" s="327"/>
      <c r="J1124" s="26"/>
      <c r="K1124" s="27"/>
      <c r="L1124" s="26"/>
      <c r="M1124" s="27"/>
      <c r="N1124" s="20"/>
      <c r="O1124" s="21"/>
      <c r="P1124" s="524"/>
      <c r="Q1124" s="327"/>
      <c r="R1124" s="516"/>
      <c r="S1124" s="327"/>
      <c r="T1124" s="517"/>
      <c r="U1124" s="327"/>
      <c r="V1124" s="518"/>
      <c r="W1124" s="327"/>
      <c r="X1124" s="438" t="s">
        <v>303</v>
      </c>
      <c r="Y1124" s="326"/>
      <c r="Z1124" s="326"/>
      <c r="AA1124" s="327"/>
      <c r="AB1124" s="519" t="s">
        <v>303</v>
      </c>
      <c r="AC1124" s="326"/>
      <c r="AD1124" s="326"/>
      <c r="AE1124" s="327"/>
      <c r="AF1124" s="520"/>
      <c r="AG1124" s="327"/>
      <c r="AH1124" s="520"/>
      <c r="AI1124" s="327"/>
      <c r="AJ1124" s="536"/>
      <c r="AK1124" s="327"/>
      <c r="AL1124" s="556" t="s">
        <v>334</v>
      </c>
      <c r="AM1124" s="327"/>
      <c r="AN1124" s="553" t="s">
        <v>334</v>
      </c>
      <c r="AO1124" s="327"/>
      <c r="AP1124" s="554"/>
      <c r="AQ1124" s="327"/>
      <c r="AR1124" s="555"/>
      <c r="AS1124" s="327"/>
      <c r="AT1124" s="549"/>
      <c r="AU1124" s="327"/>
      <c r="AV1124" s="553" t="s">
        <v>334</v>
      </c>
      <c r="AW1124" s="327"/>
      <c r="AX1124" s="521"/>
      <c r="AY1124" s="326"/>
      <c r="AZ1124" s="327"/>
      <c r="BA1124" s="536"/>
      <c r="BB1124" s="327"/>
      <c r="BC1124" s="22"/>
      <c r="BD1124" s="551" t="s">
        <v>334</v>
      </c>
      <c r="BE1124" s="327"/>
      <c r="BF1124" s="552"/>
      <c r="BG1124" s="326"/>
      <c r="BH1124" s="326"/>
      <c r="BI1124" s="327"/>
      <c r="BJ1124" s="451" t="s">
        <v>303</v>
      </c>
      <c r="BK1124" s="326"/>
      <c r="BL1124" s="326"/>
      <c r="BM1124" s="327"/>
      <c r="BN1124" s="558" t="s">
        <v>303</v>
      </c>
      <c r="BO1124" s="326"/>
      <c r="BP1124" s="326"/>
      <c r="BQ1124" s="326"/>
      <c r="BR1124" s="326"/>
      <c r="BS1124" s="326"/>
      <c r="BT1124" s="326"/>
      <c r="BU1124" s="326"/>
      <c r="BV1124" s="327"/>
    </row>
    <row r="1125" spans="1:74" ht="45" customHeight="1" x14ac:dyDescent="0.25">
      <c r="A1125" s="10">
        <f t="shared" si="4"/>
        <v>1111</v>
      </c>
      <c r="B1125" s="559" t="s">
        <v>303</v>
      </c>
      <c r="C1125" s="327"/>
      <c r="D1125" s="560" t="s">
        <v>307</v>
      </c>
      <c r="E1125" s="327"/>
      <c r="F1125" s="537" t="s">
        <v>334</v>
      </c>
      <c r="G1125" s="327"/>
      <c r="H1125" s="566" t="s">
        <v>334</v>
      </c>
      <c r="I1125" s="327"/>
      <c r="J1125" s="567"/>
      <c r="K1125" s="327"/>
      <c r="L1125" s="567"/>
      <c r="M1125" s="327"/>
      <c r="N1125" s="23"/>
      <c r="O1125" s="24"/>
      <c r="P1125" s="563"/>
      <c r="Q1125" s="327"/>
      <c r="R1125" s="538"/>
      <c r="S1125" s="327"/>
      <c r="T1125" s="539"/>
      <c r="U1125" s="327"/>
      <c r="V1125" s="540"/>
      <c r="W1125" s="327"/>
      <c r="X1125" s="541" t="s">
        <v>303</v>
      </c>
      <c r="Y1125" s="326"/>
      <c r="Z1125" s="326"/>
      <c r="AA1125" s="327"/>
      <c r="AB1125" s="542" t="s">
        <v>303</v>
      </c>
      <c r="AC1125" s="326"/>
      <c r="AD1125" s="326"/>
      <c r="AE1125" s="327"/>
      <c r="AF1125" s="543"/>
      <c r="AG1125" s="327"/>
      <c r="AH1125" s="543"/>
      <c r="AI1125" s="327"/>
      <c r="AJ1125" s="536"/>
      <c r="AK1125" s="327"/>
      <c r="AL1125" s="537" t="s">
        <v>334</v>
      </c>
      <c r="AM1125" s="327"/>
      <c r="AN1125" s="546" t="s">
        <v>334</v>
      </c>
      <c r="AO1125" s="327"/>
      <c r="AP1125" s="547"/>
      <c r="AQ1125" s="327"/>
      <c r="AR1125" s="548"/>
      <c r="AS1125" s="327"/>
      <c r="AT1125" s="549"/>
      <c r="AU1125" s="327"/>
      <c r="AV1125" s="546" t="s">
        <v>334</v>
      </c>
      <c r="AW1125" s="327"/>
      <c r="AX1125" s="521"/>
      <c r="AY1125" s="326"/>
      <c r="AZ1125" s="327"/>
      <c r="BA1125" s="550"/>
      <c r="BB1125" s="327"/>
      <c r="BC1125" s="25"/>
      <c r="BD1125" s="544" t="s">
        <v>334</v>
      </c>
      <c r="BE1125" s="327"/>
      <c r="BF1125" s="545"/>
      <c r="BG1125" s="326"/>
      <c r="BH1125" s="326"/>
      <c r="BI1125" s="327"/>
      <c r="BJ1125" s="557" t="s">
        <v>303</v>
      </c>
      <c r="BK1125" s="326"/>
      <c r="BL1125" s="326"/>
      <c r="BM1125" s="327"/>
      <c r="BN1125" s="558" t="s">
        <v>303</v>
      </c>
      <c r="BO1125" s="326"/>
      <c r="BP1125" s="326"/>
      <c r="BQ1125" s="326"/>
      <c r="BR1125" s="326"/>
      <c r="BS1125" s="326"/>
      <c r="BT1125" s="326"/>
      <c r="BU1125" s="326"/>
      <c r="BV1125" s="327"/>
    </row>
    <row r="1126" spans="1:74" ht="45" customHeight="1" x14ac:dyDescent="0.25">
      <c r="A1126" s="10">
        <f t="shared" si="4"/>
        <v>1112</v>
      </c>
      <c r="B1126" s="564" t="s">
        <v>303</v>
      </c>
      <c r="C1126" s="327"/>
      <c r="D1126" s="565" t="s">
        <v>307</v>
      </c>
      <c r="E1126" s="327"/>
      <c r="F1126" s="537" t="s">
        <v>334</v>
      </c>
      <c r="G1126" s="327"/>
      <c r="H1126" s="561" t="s">
        <v>334</v>
      </c>
      <c r="I1126" s="327"/>
      <c r="J1126" s="26"/>
      <c r="K1126" s="27"/>
      <c r="L1126" s="26"/>
      <c r="M1126" s="27"/>
      <c r="N1126" s="20"/>
      <c r="O1126" s="21"/>
      <c r="P1126" s="524"/>
      <c r="Q1126" s="327"/>
      <c r="R1126" s="516"/>
      <c r="S1126" s="327"/>
      <c r="T1126" s="517"/>
      <c r="U1126" s="327"/>
      <c r="V1126" s="518"/>
      <c r="W1126" s="327"/>
      <c r="X1126" s="438" t="s">
        <v>303</v>
      </c>
      <c r="Y1126" s="326"/>
      <c r="Z1126" s="326"/>
      <c r="AA1126" s="327"/>
      <c r="AB1126" s="519" t="s">
        <v>303</v>
      </c>
      <c r="AC1126" s="326"/>
      <c r="AD1126" s="326"/>
      <c r="AE1126" s="327"/>
      <c r="AF1126" s="520"/>
      <c r="AG1126" s="327"/>
      <c r="AH1126" s="520"/>
      <c r="AI1126" s="327"/>
      <c r="AJ1126" s="536"/>
      <c r="AK1126" s="327"/>
      <c r="AL1126" s="556" t="s">
        <v>334</v>
      </c>
      <c r="AM1126" s="327"/>
      <c r="AN1126" s="553" t="s">
        <v>334</v>
      </c>
      <c r="AO1126" s="327"/>
      <c r="AP1126" s="554"/>
      <c r="AQ1126" s="327"/>
      <c r="AR1126" s="555"/>
      <c r="AS1126" s="327"/>
      <c r="AT1126" s="549"/>
      <c r="AU1126" s="327"/>
      <c r="AV1126" s="553" t="s">
        <v>334</v>
      </c>
      <c r="AW1126" s="327"/>
      <c r="AX1126" s="521"/>
      <c r="AY1126" s="326"/>
      <c r="AZ1126" s="327"/>
      <c r="BA1126" s="536"/>
      <c r="BB1126" s="327"/>
      <c r="BC1126" s="22"/>
      <c r="BD1126" s="551" t="s">
        <v>334</v>
      </c>
      <c r="BE1126" s="327"/>
      <c r="BF1126" s="552"/>
      <c r="BG1126" s="326"/>
      <c r="BH1126" s="326"/>
      <c r="BI1126" s="327"/>
      <c r="BJ1126" s="451" t="s">
        <v>303</v>
      </c>
      <c r="BK1126" s="326"/>
      <c r="BL1126" s="326"/>
      <c r="BM1126" s="327"/>
      <c r="BN1126" s="558" t="s">
        <v>303</v>
      </c>
      <c r="BO1126" s="326"/>
      <c r="BP1126" s="326"/>
      <c r="BQ1126" s="326"/>
      <c r="BR1126" s="326"/>
      <c r="BS1126" s="326"/>
      <c r="BT1126" s="326"/>
      <c r="BU1126" s="326"/>
      <c r="BV1126" s="327"/>
    </row>
    <row r="1127" spans="1:74" ht="45" customHeight="1" x14ac:dyDescent="0.25">
      <c r="A1127" s="10">
        <f t="shared" si="4"/>
        <v>1113</v>
      </c>
      <c r="B1127" s="559" t="s">
        <v>303</v>
      </c>
      <c r="C1127" s="327"/>
      <c r="D1127" s="560" t="s">
        <v>307</v>
      </c>
      <c r="E1127" s="327"/>
      <c r="F1127" s="537" t="s">
        <v>334</v>
      </c>
      <c r="G1127" s="327"/>
      <c r="H1127" s="566" t="s">
        <v>334</v>
      </c>
      <c r="I1127" s="327"/>
      <c r="J1127" s="567"/>
      <c r="K1127" s="327"/>
      <c r="L1127" s="567"/>
      <c r="M1127" s="327"/>
      <c r="N1127" s="23"/>
      <c r="O1127" s="24"/>
      <c r="P1127" s="563"/>
      <c r="Q1127" s="327"/>
      <c r="R1127" s="538"/>
      <c r="S1127" s="327"/>
      <c r="T1127" s="539"/>
      <c r="U1127" s="327"/>
      <c r="V1127" s="540"/>
      <c r="W1127" s="327"/>
      <c r="X1127" s="541" t="s">
        <v>303</v>
      </c>
      <c r="Y1127" s="326"/>
      <c r="Z1127" s="326"/>
      <c r="AA1127" s="327"/>
      <c r="AB1127" s="542" t="s">
        <v>303</v>
      </c>
      <c r="AC1127" s="326"/>
      <c r="AD1127" s="326"/>
      <c r="AE1127" s="327"/>
      <c r="AF1127" s="543"/>
      <c r="AG1127" s="327"/>
      <c r="AH1127" s="543"/>
      <c r="AI1127" s="327"/>
      <c r="AJ1127" s="536"/>
      <c r="AK1127" s="327"/>
      <c r="AL1127" s="537" t="s">
        <v>334</v>
      </c>
      <c r="AM1127" s="327"/>
      <c r="AN1127" s="546" t="s">
        <v>334</v>
      </c>
      <c r="AO1127" s="327"/>
      <c r="AP1127" s="547"/>
      <c r="AQ1127" s="327"/>
      <c r="AR1127" s="548"/>
      <c r="AS1127" s="327"/>
      <c r="AT1127" s="568"/>
      <c r="AU1127" s="327"/>
      <c r="AV1127" s="546" t="s">
        <v>334</v>
      </c>
      <c r="AW1127" s="327"/>
      <c r="AX1127" s="521"/>
      <c r="AY1127" s="326"/>
      <c r="AZ1127" s="327"/>
      <c r="BA1127" s="550"/>
      <c r="BB1127" s="327"/>
      <c r="BC1127" s="25"/>
      <c r="BD1127" s="544" t="s">
        <v>334</v>
      </c>
      <c r="BE1127" s="327"/>
      <c r="BF1127" s="545"/>
      <c r="BG1127" s="326"/>
      <c r="BH1127" s="326"/>
      <c r="BI1127" s="327"/>
      <c r="BJ1127" s="557" t="s">
        <v>303</v>
      </c>
      <c r="BK1127" s="326"/>
      <c r="BL1127" s="326"/>
      <c r="BM1127" s="327"/>
      <c r="BN1127" s="558" t="s">
        <v>303</v>
      </c>
      <c r="BO1127" s="326"/>
      <c r="BP1127" s="326"/>
      <c r="BQ1127" s="326"/>
      <c r="BR1127" s="326"/>
      <c r="BS1127" s="326"/>
      <c r="BT1127" s="326"/>
      <c r="BU1127" s="326"/>
      <c r="BV1127" s="327"/>
    </row>
    <row r="1128" spans="1:74" ht="45" customHeight="1" x14ac:dyDescent="0.25">
      <c r="A1128" s="10">
        <f t="shared" si="4"/>
        <v>1114</v>
      </c>
      <c r="B1128" s="564" t="s">
        <v>303</v>
      </c>
      <c r="C1128" s="327"/>
      <c r="D1128" s="565" t="s">
        <v>307</v>
      </c>
      <c r="E1128" s="327"/>
      <c r="F1128" s="537" t="s">
        <v>334</v>
      </c>
      <c r="G1128" s="327"/>
      <c r="H1128" s="561" t="s">
        <v>334</v>
      </c>
      <c r="I1128" s="327"/>
      <c r="J1128" s="26"/>
      <c r="K1128" s="27"/>
      <c r="L1128" s="26"/>
      <c r="M1128" s="27"/>
      <c r="N1128" s="20"/>
      <c r="O1128" s="21"/>
      <c r="P1128" s="524"/>
      <c r="Q1128" s="327"/>
      <c r="R1128" s="516"/>
      <c r="S1128" s="327"/>
      <c r="T1128" s="517"/>
      <c r="U1128" s="327"/>
      <c r="V1128" s="518"/>
      <c r="W1128" s="327"/>
      <c r="X1128" s="438" t="s">
        <v>303</v>
      </c>
      <c r="Y1128" s="326"/>
      <c r="Z1128" s="326"/>
      <c r="AA1128" s="327"/>
      <c r="AB1128" s="519" t="s">
        <v>303</v>
      </c>
      <c r="AC1128" s="326"/>
      <c r="AD1128" s="326"/>
      <c r="AE1128" s="327"/>
      <c r="AF1128" s="520"/>
      <c r="AG1128" s="327"/>
      <c r="AH1128" s="520"/>
      <c r="AI1128" s="327"/>
      <c r="AJ1128" s="536"/>
      <c r="AK1128" s="327"/>
      <c r="AL1128" s="556" t="s">
        <v>334</v>
      </c>
      <c r="AM1128" s="327"/>
      <c r="AN1128" s="553" t="s">
        <v>334</v>
      </c>
      <c r="AO1128" s="327"/>
      <c r="AP1128" s="554"/>
      <c r="AQ1128" s="327"/>
      <c r="AR1128" s="555"/>
      <c r="AS1128" s="327"/>
      <c r="AT1128" s="549"/>
      <c r="AU1128" s="327"/>
      <c r="AV1128" s="553" t="s">
        <v>334</v>
      </c>
      <c r="AW1128" s="327"/>
      <c r="AX1128" s="521"/>
      <c r="AY1128" s="326"/>
      <c r="AZ1128" s="327"/>
      <c r="BA1128" s="536"/>
      <c r="BB1128" s="327"/>
      <c r="BC1128" s="22"/>
      <c r="BD1128" s="551" t="s">
        <v>334</v>
      </c>
      <c r="BE1128" s="327"/>
      <c r="BF1128" s="508"/>
      <c r="BG1128" s="326"/>
      <c r="BH1128" s="326"/>
      <c r="BI1128" s="327"/>
      <c r="BJ1128" s="451" t="s">
        <v>303</v>
      </c>
      <c r="BK1128" s="326"/>
      <c r="BL1128" s="326"/>
      <c r="BM1128" s="327"/>
      <c r="BN1128" s="558" t="s">
        <v>303</v>
      </c>
      <c r="BO1128" s="326"/>
      <c r="BP1128" s="326"/>
      <c r="BQ1128" s="326"/>
      <c r="BR1128" s="326"/>
      <c r="BS1128" s="326"/>
      <c r="BT1128" s="326"/>
      <c r="BU1128" s="326"/>
      <c r="BV1128" s="327"/>
    </row>
    <row r="1129" spans="1:74" ht="45" customHeight="1" x14ac:dyDescent="0.25">
      <c r="A1129" s="10">
        <f t="shared" si="4"/>
        <v>1115</v>
      </c>
      <c r="B1129" s="559" t="s">
        <v>303</v>
      </c>
      <c r="C1129" s="327"/>
      <c r="D1129" s="560" t="s">
        <v>307</v>
      </c>
      <c r="E1129" s="327"/>
      <c r="F1129" s="537" t="s">
        <v>334</v>
      </c>
      <c r="G1129" s="327"/>
      <c r="H1129" s="566" t="s">
        <v>334</v>
      </c>
      <c r="I1129" s="327"/>
      <c r="J1129" s="567"/>
      <c r="K1129" s="327"/>
      <c r="L1129" s="567"/>
      <c r="M1129" s="327"/>
      <c r="N1129" s="23"/>
      <c r="O1129" s="24"/>
      <c r="P1129" s="563"/>
      <c r="Q1129" s="327"/>
      <c r="R1129" s="538"/>
      <c r="S1129" s="327"/>
      <c r="T1129" s="539"/>
      <c r="U1129" s="327"/>
      <c r="V1129" s="540"/>
      <c r="W1129" s="327"/>
      <c r="X1129" s="541" t="s">
        <v>303</v>
      </c>
      <c r="Y1129" s="326"/>
      <c r="Z1129" s="326"/>
      <c r="AA1129" s="327"/>
      <c r="AB1129" s="542" t="s">
        <v>303</v>
      </c>
      <c r="AC1129" s="326"/>
      <c r="AD1129" s="326"/>
      <c r="AE1129" s="327"/>
      <c r="AF1129" s="543"/>
      <c r="AG1129" s="327"/>
      <c r="AH1129" s="543"/>
      <c r="AI1129" s="327"/>
      <c r="AJ1129" s="536"/>
      <c r="AK1129" s="327"/>
      <c r="AL1129" s="537" t="s">
        <v>334</v>
      </c>
      <c r="AM1129" s="327"/>
      <c r="AN1129" s="546" t="s">
        <v>334</v>
      </c>
      <c r="AO1129" s="327"/>
      <c r="AP1129" s="547"/>
      <c r="AQ1129" s="327"/>
      <c r="AR1129" s="548"/>
      <c r="AS1129" s="327"/>
      <c r="AT1129" s="568"/>
      <c r="AU1129" s="327"/>
      <c r="AV1129" s="546" t="s">
        <v>334</v>
      </c>
      <c r="AW1129" s="327"/>
      <c r="AX1129" s="521"/>
      <c r="AY1129" s="326"/>
      <c r="AZ1129" s="327"/>
      <c r="BA1129" s="550"/>
      <c r="BB1129" s="327"/>
      <c r="BC1129" s="25"/>
      <c r="BD1129" s="544" t="s">
        <v>334</v>
      </c>
      <c r="BE1129" s="327"/>
      <c r="BF1129" s="545"/>
      <c r="BG1129" s="326"/>
      <c r="BH1129" s="326"/>
      <c r="BI1129" s="327"/>
      <c r="BJ1129" s="557" t="s">
        <v>303</v>
      </c>
      <c r="BK1129" s="326"/>
      <c r="BL1129" s="326"/>
      <c r="BM1129" s="327"/>
      <c r="BN1129" s="558" t="s">
        <v>303</v>
      </c>
      <c r="BO1129" s="326"/>
      <c r="BP1129" s="326"/>
      <c r="BQ1129" s="326"/>
      <c r="BR1129" s="326"/>
      <c r="BS1129" s="326"/>
      <c r="BT1129" s="326"/>
      <c r="BU1129" s="326"/>
      <c r="BV1129" s="327"/>
    </row>
    <row r="1130" spans="1:74" ht="45" customHeight="1" x14ac:dyDescent="0.25">
      <c r="A1130" s="10">
        <f t="shared" si="4"/>
        <v>1116</v>
      </c>
      <c r="B1130" s="564" t="s">
        <v>303</v>
      </c>
      <c r="C1130" s="327"/>
      <c r="D1130" s="565" t="s">
        <v>307</v>
      </c>
      <c r="E1130" s="327"/>
      <c r="F1130" s="537" t="s">
        <v>334</v>
      </c>
      <c r="G1130" s="327"/>
      <c r="H1130" s="561" t="s">
        <v>334</v>
      </c>
      <c r="I1130" s="327"/>
      <c r="J1130" s="26"/>
      <c r="K1130" s="27"/>
      <c r="L1130" s="26"/>
      <c r="M1130" s="27"/>
      <c r="N1130" s="20"/>
      <c r="O1130" s="21"/>
      <c r="P1130" s="524"/>
      <c r="Q1130" s="327"/>
      <c r="R1130" s="516"/>
      <c r="S1130" s="327"/>
      <c r="T1130" s="517"/>
      <c r="U1130" s="327"/>
      <c r="V1130" s="518"/>
      <c r="W1130" s="327"/>
      <c r="X1130" s="438" t="s">
        <v>303</v>
      </c>
      <c r="Y1130" s="326"/>
      <c r="Z1130" s="326"/>
      <c r="AA1130" s="327"/>
      <c r="AB1130" s="519" t="s">
        <v>303</v>
      </c>
      <c r="AC1130" s="326"/>
      <c r="AD1130" s="326"/>
      <c r="AE1130" s="327"/>
      <c r="AF1130" s="520"/>
      <c r="AG1130" s="327"/>
      <c r="AH1130" s="520"/>
      <c r="AI1130" s="327"/>
      <c r="AJ1130" s="536"/>
      <c r="AK1130" s="327"/>
      <c r="AL1130" s="556" t="s">
        <v>334</v>
      </c>
      <c r="AM1130" s="327"/>
      <c r="AN1130" s="553" t="s">
        <v>334</v>
      </c>
      <c r="AO1130" s="327"/>
      <c r="AP1130" s="554"/>
      <c r="AQ1130" s="327"/>
      <c r="AR1130" s="555"/>
      <c r="AS1130" s="327"/>
      <c r="AT1130" s="549"/>
      <c r="AU1130" s="327"/>
      <c r="AV1130" s="553" t="s">
        <v>334</v>
      </c>
      <c r="AW1130" s="327"/>
      <c r="AX1130" s="521"/>
      <c r="AY1130" s="326"/>
      <c r="AZ1130" s="327"/>
      <c r="BA1130" s="536"/>
      <c r="BB1130" s="327"/>
      <c r="BC1130" s="22"/>
      <c r="BD1130" s="551" t="s">
        <v>334</v>
      </c>
      <c r="BE1130" s="327"/>
      <c r="BF1130" s="552"/>
      <c r="BG1130" s="326"/>
      <c r="BH1130" s="326"/>
      <c r="BI1130" s="327"/>
      <c r="BJ1130" s="451" t="s">
        <v>303</v>
      </c>
      <c r="BK1130" s="326"/>
      <c r="BL1130" s="326"/>
      <c r="BM1130" s="327"/>
      <c r="BN1130" s="558" t="s">
        <v>303</v>
      </c>
      <c r="BO1130" s="326"/>
      <c r="BP1130" s="326"/>
      <c r="BQ1130" s="326"/>
      <c r="BR1130" s="326"/>
      <c r="BS1130" s="326"/>
      <c r="BT1130" s="326"/>
      <c r="BU1130" s="326"/>
      <c r="BV1130" s="327"/>
    </row>
    <row r="1131" spans="1:74" ht="45" customHeight="1" x14ac:dyDescent="0.25">
      <c r="A1131" s="10">
        <f t="shared" si="4"/>
        <v>1117</v>
      </c>
      <c r="B1131" s="559" t="s">
        <v>303</v>
      </c>
      <c r="C1131" s="327"/>
      <c r="D1131" s="560" t="s">
        <v>307</v>
      </c>
      <c r="E1131" s="327"/>
      <c r="F1131" s="537" t="s">
        <v>334</v>
      </c>
      <c r="G1131" s="327"/>
      <c r="H1131" s="566" t="s">
        <v>334</v>
      </c>
      <c r="I1131" s="327"/>
      <c r="J1131" s="567"/>
      <c r="K1131" s="327"/>
      <c r="L1131" s="567"/>
      <c r="M1131" s="327"/>
      <c r="N1131" s="23"/>
      <c r="O1131" s="24"/>
      <c r="P1131" s="563"/>
      <c r="Q1131" s="327"/>
      <c r="R1131" s="538"/>
      <c r="S1131" s="327"/>
      <c r="T1131" s="539"/>
      <c r="U1131" s="327"/>
      <c r="V1131" s="540"/>
      <c r="W1131" s="327"/>
      <c r="X1131" s="541" t="s">
        <v>303</v>
      </c>
      <c r="Y1131" s="326"/>
      <c r="Z1131" s="326"/>
      <c r="AA1131" s="327"/>
      <c r="AB1131" s="542" t="s">
        <v>303</v>
      </c>
      <c r="AC1131" s="326"/>
      <c r="AD1131" s="326"/>
      <c r="AE1131" s="327"/>
      <c r="AF1131" s="543"/>
      <c r="AG1131" s="327"/>
      <c r="AH1131" s="543"/>
      <c r="AI1131" s="327"/>
      <c r="AJ1131" s="536"/>
      <c r="AK1131" s="327"/>
      <c r="AL1131" s="537" t="s">
        <v>334</v>
      </c>
      <c r="AM1131" s="327"/>
      <c r="AN1131" s="546" t="s">
        <v>334</v>
      </c>
      <c r="AO1131" s="327"/>
      <c r="AP1131" s="547"/>
      <c r="AQ1131" s="327"/>
      <c r="AR1131" s="548"/>
      <c r="AS1131" s="327"/>
      <c r="AT1131" s="568"/>
      <c r="AU1131" s="327"/>
      <c r="AV1131" s="546" t="s">
        <v>334</v>
      </c>
      <c r="AW1131" s="327"/>
      <c r="AX1131" s="521"/>
      <c r="AY1131" s="326"/>
      <c r="AZ1131" s="327"/>
      <c r="BA1131" s="550"/>
      <c r="BB1131" s="327"/>
      <c r="BC1131" s="25"/>
      <c r="BD1131" s="544" t="s">
        <v>334</v>
      </c>
      <c r="BE1131" s="327"/>
      <c r="BF1131" s="545"/>
      <c r="BG1131" s="326"/>
      <c r="BH1131" s="326"/>
      <c r="BI1131" s="327"/>
      <c r="BJ1131" s="557" t="s">
        <v>303</v>
      </c>
      <c r="BK1131" s="326"/>
      <c r="BL1131" s="326"/>
      <c r="BM1131" s="327"/>
      <c r="BN1131" s="558" t="s">
        <v>303</v>
      </c>
      <c r="BO1131" s="326"/>
      <c r="BP1131" s="326"/>
      <c r="BQ1131" s="326"/>
      <c r="BR1131" s="326"/>
      <c r="BS1131" s="326"/>
      <c r="BT1131" s="326"/>
      <c r="BU1131" s="326"/>
      <c r="BV1131" s="327"/>
    </row>
    <row r="1132" spans="1:74" ht="45" customHeight="1" x14ac:dyDescent="0.25">
      <c r="A1132" s="10">
        <f t="shared" si="4"/>
        <v>1118</v>
      </c>
      <c r="B1132" s="564" t="s">
        <v>303</v>
      </c>
      <c r="C1132" s="327"/>
      <c r="D1132" s="565" t="s">
        <v>307</v>
      </c>
      <c r="E1132" s="327"/>
      <c r="F1132" s="537" t="s">
        <v>334</v>
      </c>
      <c r="G1132" s="327"/>
      <c r="H1132" s="561" t="s">
        <v>334</v>
      </c>
      <c r="I1132" s="327"/>
      <c r="J1132" s="26"/>
      <c r="K1132" s="27"/>
      <c r="L1132" s="26"/>
      <c r="M1132" s="27"/>
      <c r="N1132" s="20"/>
      <c r="O1132" s="21"/>
      <c r="P1132" s="524"/>
      <c r="Q1132" s="327"/>
      <c r="R1132" s="516"/>
      <c r="S1132" s="327"/>
      <c r="T1132" s="517"/>
      <c r="U1132" s="327"/>
      <c r="V1132" s="518"/>
      <c r="W1132" s="327"/>
      <c r="X1132" s="438" t="s">
        <v>303</v>
      </c>
      <c r="Y1132" s="326"/>
      <c r="Z1132" s="326"/>
      <c r="AA1132" s="327"/>
      <c r="AB1132" s="519" t="s">
        <v>303</v>
      </c>
      <c r="AC1132" s="326"/>
      <c r="AD1132" s="326"/>
      <c r="AE1132" s="327"/>
      <c r="AF1132" s="520"/>
      <c r="AG1132" s="327"/>
      <c r="AH1132" s="520"/>
      <c r="AI1132" s="327"/>
      <c r="AJ1132" s="536"/>
      <c r="AK1132" s="327"/>
      <c r="AL1132" s="556" t="s">
        <v>334</v>
      </c>
      <c r="AM1132" s="327"/>
      <c r="AN1132" s="553" t="s">
        <v>334</v>
      </c>
      <c r="AO1132" s="327"/>
      <c r="AP1132" s="554"/>
      <c r="AQ1132" s="327"/>
      <c r="AR1132" s="555"/>
      <c r="AS1132" s="327"/>
      <c r="AT1132" s="549"/>
      <c r="AU1132" s="327"/>
      <c r="AV1132" s="553" t="s">
        <v>334</v>
      </c>
      <c r="AW1132" s="327"/>
      <c r="AX1132" s="521"/>
      <c r="AY1132" s="326"/>
      <c r="AZ1132" s="327"/>
      <c r="BA1132" s="536"/>
      <c r="BB1132" s="327"/>
      <c r="BC1132" s="22"/>
      <c r="BD1132" s="551" t="s">
        <v>334</v>
      </c>
      <c r="BE1132" s="327"/>
      <c r="BF1132" s="552"/>
      <c r="BG1132" s="326"/>
      <c r="BH1132" s="326"/>
      <c r="BI1132" s="327"/>
      <c r="BJ1132" s="451" t="s">
        <v>303</v>
      </c>
      <c r="BK1132" s="326"/>
      <c r="BL1132" s="326"/>
      <c r="BM1132" s="327"/>
      <c r="BN1132" s="558" t="s">
        <v>303</v>
      </c>
      <c r="BO1132" s="326"/>
      <c r="BP1132" s="326"/>
      <c r="BQ1132" s="326"/>
      <c r="BR1132" s="326"/>
      <c r="BS1132" s="326"/>
      <c r="BT1132" s="326"/>
      <c r="BU1132" s="326"/>
      <c r="BV1132" s="327"/>
    </row>
    <row r="1133" spans="1:74" ht="45" customHeight="1" x14ac:dyDescent="0.25">
      <c r="A1133" s="10">
        <f t="shared" si="4"/>
        <v>1119</v>
      </c>
      <c r="B1133" s="559" t="s">
        <v>303</v>
      </c>
      <c r="C1133" s="327"/>
      <c r="D1133" s="560" t="s">
        <v>307</v>
      </c>
      <c r="E1133" s="327"/>
      <c r="F1133" s="537" t="s">
        <v>334</v>
      </c>
      <c r="G1133" s="327"/>
      <c r="H1133" s="566" t="s">
        <v>334</v>
      </c>
      <c r="I1133" s="327"/>
      <c r="J1133" s="567"/>
      <c r="K1133" s="327"/>
      <c r="L1133" s="567"/>
      <c r="M1133" s="327"/>
      <c r="N1133" s="23"/>
      <c r="O1133" s="24"/>
      <c r="P1133" s="563"/>
      <c r="Q1133" s="327"/>
      <c r="R1133" s="538"/>
      <c r="S1133" s="327"/>
      <c r="T1133" s="539"/>
      <c r="U1133" s="327"/>
      <c r="V1133" s="540"/>
      <c r="W1133" s="327"/>
      <c r="X1133" s="541" t="s">
        <v>303</v>
      </c>
      <c r="Y1133" s="326"/>
      <c r="Z1133" s="326"/>
      <c r="AA1133" s="327"/>
      <c r="AB1133" s="542" t="s">
        <v>303</v>
      </c>
      <c r="AC1133" s="326"/>
      <c r="AD1133" s="326"/>
      <c r="AE1133" s="327"/>
      <c r="AF1133" s="543"/>
      <c r="AG1133" s="327"/>
      <c r="AH1133" s="543"/>
      <c r="AI1133" s="327"/>
      <c r="AJ1133" s="536"/>
      <c r="AK1133" s="327"/>
      <c r="AL1133" s="537" t="s">
        <v>334</v>
      </c>
      <c r="AM1133" s="327"/>
      <c r="AN1133" s="546" t="s">
        <v>334</v>
      </c>
      <c r="AO1133" s="327"/>
      <c r="AP1133" s="547"/>
      <c r="AQ1133" s="327"/>
      <c r="AR1133" s="548"/>
      <c r="AS1133" s="327"/>
      <c r="AT1133" s="568"/>
      <c r="AU1133" s="327"/>
      <c r="AV1133" s="546" t="s">
        <v>334</v>
      </c>
      <c r="AW1133" s="327"/>
      <c r="AX1133" s="521"/>
      <c r="AY1133" s="326"/>
      <c r="AZ1133" s="327"/>
      <c r="BA1133" s="550"/>
      <c r="BB1133" s="327"/>
      <c r="BC1133" s="25"/>
      <c r="BD1133" s="544" t="s">
        <v>334</v>
      </c>
      <c r="BE1133" s="327"/>
      <c r="BF1133" s="545"/>
      <c r="BG1133" s="326"/>
      <c r="BH1133" s="326"/>
      <c r="BI1133" s="327"/>
      <c r="BJ1133" s="557" t="s">
        <v>303</v>
      </c>
      <c r="BK1133" s="326"/>
      <c r="BL1133" s="326"/>
      <c r="BM1133" s="327"/>
      <c r="BN1133" s="558" t="s">
        <v>303</v>
      </c>
      <c r="BO1133" s="326"/>
      <c r="BP1133" s="326"/>
      <c r="BQ1133" s="326"/>
      <c r="BR1133" s="326"/>
      <c r="BS1133" s="326"/>
      <c r="BT1133" s="326"/>
      <c r="BU1133" s="326"/>
      <c r="BV1133" s="327"/>
    </row>
    <row r="1134" spans="1:74" ht="45" customHeight="1" x14ac:dyDescent="0.25">
      <c r="A1134" s="10">
        <f t="shared" si="4"/>
        <v>1120</v>
      </c>
      <c r="B1134" s="564" t="s">
        <v>303</v>
      </c>
      <c r="C1134" s="327"/>
      <c r="D1134" s="565" t="s">
        <v>307</v>
      </c>
      <c r="E1134" s="327"/>
      <c r="F1134" s="537" t="s">
        <v>334</v>
      </c>
      <c r="G1134" s="327"/>
      <c r="H1134" s="561" t="s">
        <v>334</v>
      </c>
      <c r="I1134" s="327"/>
      <c r="J1134" s="26"/>
      <c r="K1134" s="27"/>
      <c r="L1134" s="26"/>
      <c r="M1134" s="27"/>
      <c r="N1134" s="20"/>
      <c r="O1134" s="21"/>
      <c r="P1134" s="524"/>
      <c r="Q1134" s="327"/>
      <c r="R1134" s="516"/>
      <c r="S1134" s="327"/>
      <c r="T1134" s="517"/>
      <c r="U1134" s="327"/>
      <c r="V1134" s="518"/>
      <c r="W1134" s="327"/>
      <c r="X1134" s="438" t="s">
        <v>303</v>
      </c>
      <c r="Y1134" s="326"/>
      <c r="Z1134" s="326"/>
      <c r="AA1134" s="327"/>
      <c r="AB1134" s="519" t="s">
        <v>303</v>
      </c>
      <c r="AC1134" s="326"/>
      <c r="AD1134" s="326"/>
      <c r="AE1134" s="327"/>
      <c r="AF1134" s="520"/>
      <c r="AG1134" s="327"/>
      <c r="AH1134" s="520"/>
      <c r="AI1134" s="327"/>
      <c r="AJ1134" s="536"/>
      <c r="AK1134" s="327"/>
      <c r="AL1134" s="556" t="s">
        <v>334</v>
      </c>
      <c r="AM1134" s="327"/>
      <c r="AN1134" s="553" t="s">
        <v>334</v>
      </c>
      <c r="AO1134" s="327"/>
      <c r="AP1134" s="554"/>
      <c r="AQ1134" s="327"/>
      <c r="AR1134" s="555"/>
      <c r="AS1134" s="327"/>
      <c r="AT1134" s="549"/>
      <c r="AU1134" s="327"/>
      <c r="AV1134" s="553" t="s">
        <v>334</v>
      </c>
      <c r="AW1134" s="327"/>
      <c r="AX1134" s="521"/>
      <c r="AY1134" s="326"/>
      <c r="AZ1134" s="327"/>
      <c r="BA1134" s="536"/>
      <c r="BB1134" s="327"/>
      <c r="BC1134" s="22"/>
      <c r="BD1134" s="551" t="s">
        <v>334</v>
      </c>
      <c r="BE1134" s="327"/>
      <c r="BF1134" s="508"/>
      <c r="BG1134" s="326"/>
      <c r="BH1134" s="326"/>
      <c r="BI1134" s="327"/>
      <c r="BJ1134" s="451" t="s">
        <v>303</v>
      </c>
      <c r="BK1134" s="326"/>
      <c r="BL1134" s="326"/>
      <c r="BM1134" s="327"/>
      <c r="BN1134" s="558" t="s">
        <v>303</v>
      </c>
      <c r="BO1134" s="326"/>
      <c r="BP1134" s="326"/>
      <c r="BQ1134" s="326"/>
      <c r="BR1134" s="326"/>
      <c r="BS1134" s="326"/>
      <c r="BT1134" s="326"/>
      <c r="BU1134" s="326"/>
      <c r="BV1134" s="327"/>
    </row>
    <row r="1135" spans="1:74" ht="45" customHeight="1" x14ac:dyDescent="0.25">
      <c r="A1135" s="10">
        <f t="shared" si="4"/>
        <v>1121</v>
      </c>
      <c r="B1135" s="559" t="s">
        <v>303</v>
      </c>
      <c r="C1135" s="327"/>
      <c r="D1135" s="560" t="s">
        <v>307</v>
      </c>
      <c r="E1135" s="327"/>
      <c r="F1135" s="537" t="s">
        <v>334</v>
      </c>
      <c r="G1135" s="327"/>
      <c r="H1135" s="566" t="s">
        <v>334</v>
      </c>
      <c r="I1135" s="327"/>
      <c r="J1135" s="567"/>
      <c r="K1135" s="327"/>
      <c r="L1135" s="567"/>
      <c r="M1135" s="327"/>
      <c r="N1135" s="23"/>
      <c r="O1135" s="24"/>
      <c r="P1135" s="563"/>
      <c r="Q1135" s="327"/>
      <c r="R1135" s="538"/>
      <c r="S1135" s="327"/>
      <c r="T1135" s="539"/>
      <c r="U1135" s="327"/>
      <c r="V1135" s="540"/>
      <c r="W1135" s="327"/>
      <c r="X1135" s="541" t="s">
        <v>303</v>
      </c>
      <c r="Y1135" s="326"/>
      <c r="Z1135" s="326"/>
      <c r="AA1135" s="327"/>
      <c r="AB1135" s="542" t="s">
        <v>303</v>
      </c>
      <c r="AC1135" s="326"/>
      <c r="AD1135" s="326"/>
      <c r="AE1135" s="327"/>
      <c r="AF1135" s="543"/>
      <c r="AG1135" s="327"/>
      <c r="AH1135" s="543"/>
      <c r="AI1135" s="327"/>
      <c r="AJ1135" s="536"/>
      <c r="AK1135" s="327"/>
      <c r="AL1135" s="537" t="s">
        <v>334</v>
      </c>
      <c r="AM1135" s="327"/>
      <c r="AN1135" s="546" t="s">
        <v>334</v>
      </c>
      <c r="AO1135" s="327"/>
      <c r="AP1135" s="547"/>
      <c r="AQ1135" s="327"/>
      <c r="AR1135" s="548"/>
      <c r="AS1135" s="327"/>
      <c r="AT1135" s="568"/>
      <c r="AU1135" s="327"/>
      <c r="AV1135" s="546" t="s">
        <v>334</v>
      </c>
      <c r="AW1135" s="327"/>
      <c r="AX1135" s="521"/>
      <c r="AY1135" s="326"/>
      <c r="AZ1135" s="327"/>
      <c r="BA1135" s="550"/>
      <c r="BB1135" s="327"/>
      <c r="BC1135" s="25"/>
      <c r="BD1135" s="544" t="s">
        <v>334</v>
      </c>
      <c r="BE1135" s="327"/>
      <c r="BF1135" s="545"/>
      <c r="BG1135" s="326"/>
      <c r="BH1135" s="326"/>
      <c r="BI1135" s="327"/>
      <c r="BJ1135" s="557" t="s">
        <v>303</v>
      </c>
      <c r="BK1135" s="326"/>
      <c r="BL1135" s="326"/>
      <c r="BM1135" s="327"/>
      <c r="BN1135" s="558" t="s">
        <v>303</v>
      </c>
      <c r="BO1135" s="326"/>
      <c r="BP1135" s="326"/>
      <c r="BQ1135" s="326"/>
      <c r="BR1135" s="326"/>
      <c r="BS1135" s="326"/>
      <c r="BT1135" s="326"/>
      <c r="BU1135" s="326"/>
      <c r="BV1135" s="327"/>
    </row>
    <row r="1136" spans="1:74" ht="45" customHeight="1" x14ac:dyDescent="0.25">
      <c r="A1136" s="10">
        <f t="shared" si="4"/>
        <v>1122</v>
      </c>
      <c r="B1136" s="564" t="s">
        <v>303</v>
      </c>
      <c r="C1136" s="327"/>
      <c r="D1136" s="565" t="s">
        <v>307</v>
      </c>
      <c r="E1136" s="327"/>
      <c r="F1136" s="537" t="s">
        <v>334</v>
      </c>
      <c r="G1136" s="327"/>
      <c r="H1136" s="561" t="s">
        <v>334</v>
      </c>
      <c r="I1136" s="327"/>
      <c r="J1136" s="26"/>
      <c r="K1136" s="27"/>
      <c r="L1136" s="26"/>
      <c r="M1136" s="27"/>
      <c r="N1136" s="20"/>
      <c r="O1136" s="21"/>
      <c r="P1136" s="524"/>
      <c r="Q1136" s="327"/>
      <c r="R1136" s="516"/>
      <c r="S1136" s="327"/>
      <c r="T1136" s="517"/>
      <c r="U1136" s="327"/>
      <c r="V1136" s="518"/>
      <c r="W1136" s="327"/>
      <c r="X1136" s="438" t="s">
        <v>303</v>
      </c>
      <c r="Y1136" s="326"/>
      <c r="Z1136" s="326"/>
      <c r="AA1136" s="327"/>
      <c r="AB1136" s="519" t="s">
        <v>303</v>
      </c>
      <c r="AC1136" s="326"/>
      <c r="AD1136" s="326"/>
      <c r="AE1136" s="327"/>
      <c r="AF1136" s="520"/>
      <c r="AG1136" s="327"/>
      <c r="AH1136" s="520"/>
      <c r="AI1136" s="327"/>
      <c r="AJ1136" s="536"/>
      <c r="AK1136" s="327"/>
      <c r="AL1136" s="556" t="s">
        <v>334</v>
      </c>
      <c r="AM1136" s="327"/>
      <c r="AN1136" s="553" t="s">
        <v>334</v>
      </c>
      <c r="AO1136" s="327"/>
      <c r="AP1136" s="554"/>
      <c r="AQ1136" s="327"/>
      <c r="AR1136" s="555"/>
      <c r="AS1136" s="327"/>
      <c r="AT1136" s="549"/>
      <c r="AU1136" s="327"/>
      <c r="AV1136" s="553" t="s">
        <v>334</v>
      </c>
      <c r="AW1136" s="327"/>
      <c r="AX1136" s="521"/>
      <c r="AY1136" s="326"/>
      <c r="AZ1136" s="327"/>
      <c r="BA1136" s="536"/>
      <c r="BB1136" s="327"/>
      <c r="BC1136" s="22"/>
      <c r="BD1136" s="551" t="s">
        <v>334</v>
      </c>
      <c r="BE1136" s="327"/>
      <c r="BF1136" s="552"/>
      <c r="BG1136" s="326"/>
      <c r="BH1136" s="326"/>
      <c r="BI1136" s="327"/>
      <c r="BJ1136" s="451" t="s">
        <v>303</v>
      </c>
      <c r="BK1136" s="326"/>
      <c r="BL1136" s="326"/>
      <c r="BM1136" s="327"/>
      <c r="BN1136" s="558" t="s">
        <v>303</v>
      </c>
      <c r="BO1136" s="326"/>
      <c r="BP1136" s="326"/>
      <c r="BQ1136" s="326"/>
      <c r="BR1136" s="326"/>
      <c r="BS1136" s="326"/>
      <c r="BT1136" s="326"/>
      <c r="BU1136" s="326"/>
      <c r="BV1136" s="327"/>
    </row>
    <row r="1137" spans="1:74" ht="45" customHeight="1" x14ac:dyDescent="0.25">
      <c r="A1137" s="10">
        <f t="shared" si="4"/>
        <v>1123</v>
      </c>
      <c r="B1137" s="559" t="s">
        <v>303</v>
      </c>
      <c r="C1137" s="327"/>
      <c r="D1137" s="560" t="s">
        <v>307</v>
      </c>
      <c r="E1137" s="327"/>
      <c r="F1137" s="537" t="s">
        <v>334</v>
      </c>
      <c r="G1137" s="327"/>
      <c r="H1137" s="566" t="s">
        <v>334</v>
      </c>
      <c r="I1137" s="327"/>
      <c r="J1137" s="567"/>
      <c r="K1137" s="327"/>
      <c r="L1137" s="567"/>
      <c r="M1137" s="327"/>
      <c r="N1137" s="20"/>
      <c r="O1137" s="21"/>
      <c r="P1137" s="524"/>
      <c r="Q1137" s="327"/>
      <c r="R1137" s="538"/>
      <c r="S1137" s="327"/>
      <c r="T1137" s="539"/>
      <c r="U1137" s="327"/>
      <c r="V1137" s="540"/>
      <c r="W1137" s="327"/>
      <c r="X1137" s="541" t="s">
        <v>303</v>
      </c>
      <c r="Y1137" s="326"/>
      <c r="Z1137" s="326"/>
      <c r="AA1137" s="327"/>
      <c r="AB1137" s="542" t="s">
        <v>303</v>
      </c>
      <c r="AC1137" s="326"/>
      <c r="AD1137" s="326"/>
      <c r="AE1137" s="327"/>
      <c r="AF1137" s="543"/>
      <c r="AG1137" s="327"/>
      <c r="AH1137" s="543"/>
      <c r="AI1137" s="327"/>
      <c r="AJ1137" s="536"/>
      <c r="AK1137" s="327"/>
      <c r="AL1137" s="537" t="s">
        <v>334</v>
      </c>
      <c r="AM1137" s="327"/>
      <c r="AN1137" s="546" t="s">
        <v>334</v>
      </c>
      <c r="AO1137" s="327"/>
      <c r="AP1137" s="547"/>
      <c r="AQ1137" s="327"/>
      <c r="AR1137" s="548"/>
      <c r="AS1137" s="327"/>
      <c r="AT1137" s="549"/>
      <c r="AU1137" s="327"/>
      <c r="AV1137" s="546" t="s">
        <v>334</v>
      </c>
      <c r="AW1137" s="327"/>
      <c r="AX1137" s="521"/>
      <c r="AY1137" s="326"/>
      <c r="AZ1137" s="327"/>
      <c r="BA1137" s="550"/>
      <c r="BB1137" s="327"/>
      <c r="BC1137" s="25"/>
      <c r="BD1137" s="544" t="s">
        <v>334</v>
      </c>
      <c r="BE1137" s="327"/>
      <c r="BF1137" s="545"/>
      <c r="BG1137" s="326"/>
      <c r="BH1137" s="326"/>
      <c r="BI1137" s="327"/>
      <c r="BJ1137" s="557" t="s">
        <v>303</v>
      </c>
      <c r="BK1137" s="326"/>
      <c r="BL1137" s="326"/>
      <c r="BM1137" s="327"/>
      <c r="BN1137" s="558" t="s">
        <v>303</v>
      </c>
      <c r="BO1137" s="326"/>
      <c r="BP1137" s="326"/>
      <c r="BQ1137" s="326"/>
      <c r="BR1137" s="326"/>
      <c r="BS1137" s="326"/>
      <c r="BT1137" s="326"/>
      <c r="BU1137" s="326"/>
      <c r="BV1137" s="327"/>
    </row>
    <row r="1138" spans="1:74" ht="45" customHeight="1" x14ac:dyDescent="0.25">
      <c r="A1138" s="10">
        <f t="shared" si="4"/>
        <v>1124</v>
      </c>
      <c r="B1138" s="564" t="s">
        <v>303</v>
      </c>
      <c r="C1138" s="327"/>
      <c r="D1138" s="565" t="s">
        <v>307</v>
      </c>
      <c r="E1138" s="327"/>
      <c r="F1138" s="537" t="s">
        <v>334</v>
      </c>
      <c r="G1138" s="327"/>
      <c r="H1138" s="561" t="s">
        <v>334</v>
      </c>
      <c r="I1138" s="327"/>
      <c r="J1138" s="26"/>
      <c r="K1138" s="27"/>
      <c r="L1138" s="26"/>
      <c r="M1138" s="27"/>
      <c r="N1138" s="23"/>
      <c r="O1138" s="24"/>
      <c r="P1138" s="563"/>
      <c r="Q1138" s="327"/>
      <c r="R1138" s="516"/>
      <c r="S1138" s="327"/>
      <c r="T1138" s="517"/>
      <c r="U1138" s="327"/>
      <c r="V1138" s="518"/>
      <c r="W1138" s="327"/>
      <c r="X1138" s="438" t="s">
        <v>303</v>
      </c>
      <c r="Y1138" s="326"/>
      <c r="Z1138" s="326"/>
      <c r="AA1138" s="327"/>
      <c r="AB1138" s="519" t="s">
        <v>303</v>
      </c>
      <c r="AC1138" s="326"/>
      <c r="AD1138" s="326"/>
      <c r="AE1138" s="327"/>
      <c r="AF1138" s="520"/>
      <c r="AG1138" s="327"/>
      <c r="AH1138" s="520"/>
      <c r="AI1138" s="327"/>
      <c r="AJ1138" s="536"/>
      <c r="AK1138" s="327"/>
      <c r="AL1138" s="556" t="s">
        <v>334</v>
      </c>
      <c r="AM1138" s="327"/>
      <c r="AN1138" s="553" t="s">
        <v>334</v>
      </c>
      <c r="AO1138" s="327"/>
      <c r="AP1138" s="554"/>
      <c r="AQ1138" s="327"/>
      <c r="AR1138" s="555"/>
      <c r="AS1138" s="327"/>
      <c r="AT1138" s="549"/>
      <c r="AU1138" s="327"/>
      <c r="AV1138" s="553" t="s">
        <v>334</v>
      </c>
      <c r="AW1138" s="327"/>
      <c r="AX1138" s="521"/>
      <c r="AY1138" s="326"/>
      <c r="AZ1138" s="327"/>
      <c r="BA1138" s="536"/>
      <c r="BB1138" s="327"/>
      <c r="BC1138" s="22"/>
      <c r="BD1138" s="551" t="s">
        <v>334</v>
      </c>
      <c r="BE1138" s="327"/>
      <c r="BF1138" s="552"/>
      <c r="BG1138" s="326"/>
      <c r="BH1138" s="326"/>
      <c r="BI1138" s="327"/>
      <c r="BJ1138" s="451" t="s">
        <v>303</v>
      </c>
      <c r="BK1138" s="326"/>
      <c r="BL1138" s="326"/>
      <c r="BM1138" s="327"/>
      <c r="BN1138" s="558" t="s">
        <v>303</v>
      </c>
      <c r="BO1138" s="326"/>
      <c r="BP1138" s="326"/>
      <c r="BQ1138" s="326"/>
      <c r="BR1138" s="326"/>
      <c r="BS1138" s="326"/>
      <c r="BT1138" s="326"/>
      <c r="BU1138" s="326"/>
      <c r="BV1138" s="327"/>
    </row>
    <row r="1139" spans="1:74" ht="45" customHeight="1" x14ac:dyDescent="0.25">
      <c r="A1139" s="10">
        <f t="shared" si="4"/>
        <v>1125</v>
      </c>
      <c r="B1139" s="559" t="s">
        <v>303</v>
      </c>
      <c r="C1139" s="327"/>
      <c r="D1139" s="560" t="s">
        <v>307</v>
      </c>
      <c r="E1139" s="327"/>
      <c r="F1139" s="537" t="s">
        <v>334</v>
      </c>
      <c r="G1139" s="327"/>
      <c r="H1139" s="566" t="s">
        <v>334</v>
      </c>
      <c r="I1139" s="327"/>
      <c r="J1139" s="567"/>
      <c r="K1139" s="327"/>
      <c r="L1139" s="567"/>
      <c r="M1139" s="327"/>
      <c r="N1139" s="20"/>
      <c r="O1139" s="21"/>
      <c r="P1139" s="524"/>
      <c r="Q1139" s="327"/>
      <c r="R1139" s="538"/>
      <c r="S1139" s="327"/>
      <c r="T1139" s="539"/>
      <c r="U1139" s="327"/>
      <c r="V1139" s="540"/>
      <c r="W1139" s="327"/>
      <c r="X1139" s="541" t="s">
        <v>303</v>
      </c>
      <c r="Y1139" s="326"/>
      <c r="Z1139" s="326"/>
      <c r="AA1139" s="327"/>
      <c r="AB1139" s="542" t="s">
        <v>303</v>
      </c>
      <c r="AC1139" s="326"/>
      <c r="AD1139" s="326"/>
      <c r="AE1139" s="327"/>
      <c r="AF1139" s="543"/>
      <c r="AG1139" s="327"/>
      <c r="AH1139" s="543"/>
      <c r="AI1139" s="327"/>
      <c r="AJ1139" s="536"/>
      <c r="AK1139" s="327"/>
      <c r="AL1139" s="537" t="s">
        <v>334</v>
      </c>
      <c r="AM1139" s="327"/>
      <c r="AN1139" s="546" t="s">
        <v>334</v>
      </c>
      <c r="AO1139" s="327"/>
      <c r="AP1139" s="547"/>
      <c r="AQ1139" s="327"/>
      <c r="AR1139" s="548"/>
      <c r="AS1139" s="327"/>
      <c r="AT1139" s="549"/>
      <c r="AU1139" s="327"/>
      <c r="AV1139" s="546" t="s">
        <v>334</v>
      </c>
      <c r="AW1139" s="327"/>
      <c r="AX1139" s="521"/>
      <c r="AY1139" s="326"/>
      <c r="AZ1139" s="327"/>
      <c r="BA1139" s="550"/>
      <c r="BB1139" s="327"/>
      <c r="BC1139" s="25"/>
      <c r="BD1139" s="544" t="s">
        <v>334</v>
      </c>
      <c r="BE1139" s="327"/>
      <c r="BF1139" s="545"/>
      <c r="BG1139" s="326"/>
      <c r="BH1139" s="326"/>
      <c r="BI1139" s="327"/>
      <c r="BJ1139" s="557" t="s">
        <v>303</v>
      </c>
      <c r="BK1139" s="326"/>
      <c r="BL1139" s="326"/>
      <c r="BM1139" s="327"/>
      <c r="BN1139" s="558" t="s">
        <v>303</v>
      </c>
      <c r="BO1139" s="326"/>
      <c r="BP1139" s="326"/>
      <c r="BQ1139" s="326"/>
      <c r="BR1139" s="326"/>
      <c r="BS1139" s="326"/>
      <c r="BT1139" s="326"/>
      <c r="BU1139" s="326"/>
      <c r="BV1139" s="327"/>
    </row>
    <row r="1140" spans="1:74" ht="45" customHeight="1" x14ac:dyDescent="0.25">
      <c r="A1140" s="10">
        <f t="shared" si="4"/>
        <v>1126</v>
      </c>
      <c r="B1140" s="564" t="s">
        <v>303</v>
      </c>
      <c r="C1140" s="327"/>
      <c r="D1140" s="565" t="s">
        <v>307</v>
      </c>
      <c r="E1140" s="327"/>
      <c r="F1140" s="537" t="s">
        <v>334</v>
      </c>
      <c r="G1140" s="327"/>
      <c r="H1140" s="561" t="s">
        <v>334</v>
      </c>
      <c r="I1140" s="327"/>
      <c r="J1140" s="26"/>
      <c r="K1140" s="27"/>
      <c r="L1140" s="26"/>
      <c r="M1140" s="27"/>
      <c r="N1140" s="23"/>
      <c r="O1140" s="24"/>
      <c r="P1140" s="563"/>
      <c r="Q1140" s="327"/>
      <c r="R1140" s="516"/>
      <c r="S1140" s="327"/>
      <c r="T1140" s="517"/>
      <c r="U1140" s="327"/>
      <c r="V1140" s="518"/>
      <c r="W1140" s="327"/>
      <c r="X1140" s="438" t="s">
        <v>303</v>
      </c>
      <c r="Y1140" s="326"/>
      <c r="Z1140" s="326"/>
      <c r="AA1140" s="327"/>
      <c r="AB1140" s="519" t="s">
        <v>303</v>
      </c>
      <c r="AC1140" s="326"/>
      <c r="AD1140" s="326"/>
      <c r="AE1140" s="327"/>
      <c r="AF1140" s="520"/>
      <c r="AG1140" s="327"/>
      <c r="AH1140" s="520"/>
      <c r="AI1140" s="327"/>
      <c r="AJ1140" s="536"/>
      <c r="AK1140" s="327"/>
      <c r="AL1140" s="556" t="s">
        <v>334</v>
      </c>
      <c r="AM1140" s="327"/>
      <c r="AN1140" s="553" t="s">
        <v>334</v>
      </c>
      <c r="AO1140" s="327"/>
      <c r="AP1140" s="554"/>
      <c r="AQ1140" s="327"/>
      <c r="AR1140" s="555"/>
      <c r="AS1140" s="327"/>
      <c r="AT1140" s="549"/>
      <c r="AU1140" s="327"/>
      <c r="AV1140" s="553" t="s">
        <v>334</v>
      </c>
      <c r="AW1140" s="327"/>
      <c r="AX1140" s="521"/>
      <c r="AY1140" s="326"/>
      <c r="AZ1140" s="327"/>
      <c r="BA1140" s="536"/>
      <c r="BB1140" s="327"/>
      <c r="BC1140" s="22"/>
      <c r="BD1140" s="551" t="s">
        <v>334</v>
      </c>
      <c r="BE1140" s="327"/>
      <c r="BF1140" s="552"/>
      <c r="BG1140" s="326"/>
      <c r="BH1140" s="326"/>
      <c r="BI1140" s="327"/>
      <c r="BJ1140" s="451" t="s">
        <v>303</v>
      </c>
      <c r="BK1140" s="326"/>
      <c r="BL1140" s="326"/>
      <c r="BM1140" s="327"/>
      <c r="BN1140" s="558" t="s">
        <v>303</v>
      </c>
      <c r="BO1140" s="326"/>
      <c r="BP1140" s="326"/>
      <c r="BQ1140" s="326"/>
      <c r="BR1140" s="326"/>
      <c r="BS1140" s="326"/>
      <c r="BT1140" s="326"/>
      <c r="BU1140" s="326"/>
      <c r="BV1140" s="327"/>
    </row>
    <row r="1141" spans="1:74" ht="45" customHeight="1" x14ac:dyDescent="0.25">
      <c r="A1141" s="10">
        <f t="shared" si="4"/>
        <v>1127</v>
      </c>
      <c r="B1141" s="559" t="s">
        <v>303</v>
      </c>
      <c r="C1141" s="327"/>
      <c r="D1141" s="560" t="s">
        <v>307</v>
      </c>
      <c r="E1141" s="327"/>
      <c r="F1141" s="537" t="s">
        <v>334</v>
      </c>
      <c r="G1141" s="327"/>
      <c r="H1141" s="566" t="s">
        <v>334</v>
      </c>
      <c r="I1141" s="327"/>
      <c r="J1141" s="567"/>
      <c r="K1141" s="327"/>
      <c r="L1141" s="567"/>
      <c r="M1141" s="327"/>
      <c r="N1141" s="20"/>
      <c r="O1141" s="24"/>
      <c r="P1141" s="524"/>
      <c r="Q1141" s="327"/>
      <c r="R1141" s="538"/>
      <c r="S1141" s="327"/>
      <c r="T1141" s="539"/>
      <c r="U1141" s="327"/>
      <c r="V1141" s="540"/>
      <c r="W1141" s="327"/>
      <c r="X1141" s="541" t="s">
        <v>303</v>
      </c>
      <c r="Y1141" s="326"/>
      <c r="Z1141" s="326"/>
      <c r="AA1141" s="327"/>
      <c r="AB1141" s="542" t="s">
        <v>303</v>
      </c>
      <c r="AC1141" s="326"/>
      <c r="AD1141" s="326"/>
      <c r="AE1141" s="327"/>
      <c r="AF1141" s="543"/>
      <c r="AG1141" s="327"/>
      <c r="AH1141" s="543"/>
      <c r="AI1141" s="327"/>
      <c r="AJ1141" s="536"/>
      <c r="AK1141" s="327"/>
      <c r="AL1141" s="537" t="s">
        <v>334</v>
      </c>
      <c r="AM1141" s="327"/>
      <c r="AN1141" s="546" t="s">
        <v>334</v>
      </c>
      <c r="AO1141" s="327"/>
      <c r="AP1141" s="547"/>
      <c r="AQ1141" s="327"/>
      <c r="AR1141" s="548"/>
      <c r="AS1141" s="327"/>
      <c r="AT1141" s="568"/>
      <c r="AU1141" s="327"/>
      <c r="AV1141" s="546" t="s">
        <v>334</v>
      </c>
      <c r="AW1141" s="327"/>
      <c r="AX1141" s="521"/>
      <c r="AY1141" s="326"/>
      <c r="AZ1141" s="327"/>
      <c r="BA1141" s="550"/>
      <c r="BB1141" s="327"/>
      <c r="BC1141" s="25"/>
      <c r="BD1141" s="544" t="s">
        <v>334</v>
      </c>
      <c r="BE1141" s="327"/>
      <c r="BF1141" s="545"/>
      <c r="BG1141" s="326"/>
      <c r="BH1141" s="326"/>
      <c r="BI1141" s="327"/>
      <c r="BJ1141" s="557" t="s">
        <v>303</v>
      </c>
      <c r="BK1141" s="326"/>
      <c r="BL1141" s="326"/>
      <c r="BM1141" s="327"/>
      <c r="BN1141" s="558" t="s">
        <v>303</v>
      </c>
      <c r="BO1141" s="326"/>
      <c r="BP1141" s="326"/>
      <c r="BQ1141" s="326"/>
      <c r="BR1141" s="326"/>
      <c r="BS1141" s="326"/>
      <c r="BT1141" s="326"/>
      <c r="BU1141" s="326"/>
      <c r="BV1141" s="327"/>
    </row>
    <row r="1142" spans="1:74" ht="45" customHeight="1" x14ac:dyDescent="0.25">
      <c r="A1142" s="10">
        <f t="shared" si="4"/>
        <v>1128</v>
      </c>
      <c r="B1142" s="564" t="s">
        <v>303</v>
      </c>
      <c r="C1142" s="327"/>
      <c r="D1142" s="565" t="s">
        <v>307</v>
      </c>
      <c r="E1142" s="327"/>
      <c r="F1142" s="537" t="s">
        <v>334</v>
      </c>
      <c r="G1142" s="327"/>
      <c r="H1142" s="561" t="s">
        <v>334</v>
      </c>
      <c r="I1142" s="327"/>
      <c r="J1142" s="26"/>
      <c r="K1142" s="27"/>
      <c r="L1142" s="26"/>
      <c r="M1142" s="27"/>
      <c r="N1142" s="23"/>
      <c r="O1142" s="21"/>
      <c r="P1142" s="563"/>
      <c r="Q1142" s="327"/>
      <c r="R1142" s="516"/>
      <c r="S1142" s="327"/>
      <c r="T1142" s="517"/>
      <c r="U1142" s="327"/>
      <c r="V1142" s="518"/>
      <c r="W1142" s="327"/>
      <c r="X1142" s="438" t="s">
        <v>303</v>
      </c>
      <c r="Y1142" s="326"/>
      <c r="Z1142" s="326"/>
      <c r="AA1142" s="327"/>
      <c r="AB1142" s="519" t="s">
        <v>303</v>
      </c>
      <c r="AC1142" s="326"/>
      <c r="AD1142" s="326"/>
      <c r="AE1142" s="327"/>
      <c r="AF1142" s="520"/>
      <c r="AG1142" s="327"/>
      <c r="AH1142" s="520"/>
      <c r="AI1142" s="327"/>
      <c r="AJ1142" s="536"/>
      <c r="AK1142" s="327"/>
      <c r="AL1142" s="556" t="s">
        <v>334</v>
      </c>
      <c r="AM1142" s="327"/>
      <c r="AN1142" s="553" t="s">
        <v>334</v>
      </c>
      <c r="AO1142" s="327"/>
      <c r="AP1142" s="554"/>
      <c r="AQ1142" s="327"/>
      <c r="AR1142" s="555"/>
      <c r="AS1142" s="327"/>
      <c r="AT1142" s="549"/>
      <c r="AU1142" s="327"/>
      <c r="AV1142" s="553" t="s">
        <v>334</v>
      </c>
      <c r="AW1142" s="327"/>
      <c r="AX1142" s="521"/>
      <c r="AY1142" s="326"/>
      <c r="AZ1142" s="327"/>
      <c r="BA1142" s="536"/>
      <c r="BB1142" s="327"/>
      <c r="BC1142" s="22"/>
      <c r="BD1142" s="551" t="s">
        <v>334</v>
      </c>
      <c r="BE1142" s="327"/>
      <c r="BF1142" s="508"/>
      <c r="BG1142" s="326"/>
      <c r="BH1142" s="326"/>
      <c r="BI1142" s="327"/>
      <c r="BJ1142" s="451" t="s">
        <v>303</v>
      </c>
      <c r="BK1142" s="326"/>
      <c r="BL1142" s="326"/>
      <c r="BM1142" s="327"/>
      <c r="BN1142" s="558" t="s">
        <v>303</v>
      </c>
      <c r="BO1142" s="326"/>
      <c r="BP1142" s="326"/>
      <c r="BQ1142" s="326"/>
      <c r="BR1142" s="326"/>
      <c r="BS1142" s="326"/>
      <c r="BT1142" s="326"/>
      <c r="BU1142" s="326"/>
      <c r="BV1142" s="327"/>
    </row>
    <row r="1143" spans="1:74" ht="45" customHeight="1" x14ac:dyDescent="0.25">
      <c r="A1143" s="10">
        <f t="shared" si="4"/>
        <v>1129</v>
      </c>
      <c r="B1143" s="559" t="s">
        <v>303</v>
      </c>
      <c r="C1143" s="327"/>
      <c r="D1143" s="560" t="s">
        <v>307</v>
      </c>
      <c r="E1143" s="327"/>
      <c r="F1143" s="537" t="s">
        <v>334</v>
      </c>
      <c r="G1143" s="327"/>
      <c r="H1143" s="566" t="s">
        <v>334</v>
      </c>
      <c r="I1143" s="327"/>
      <c r="J1143" s="567"/>
      <c r="K1143" s="327"/>
      <c r="L1143" s="567"/>
      <c r="M1143" s="327"/>
      <c r="N1143" s="20"/>
      <c r="O1143" s="24"/>
      <c r="P1143" s="524"/>
      <c r="Q1143" s="327"/>
      <c r="R1143" s="538"/>
      <c r="S1143" s="327"/>
      <c r="T1143" s="539"/>
      <c r="U1143" s="327"/>
      <c r="V1143" s="540"/>
      <c r="W1143" s="327"/>
      <c r="X1143" s="541" t="s">
        <v>303</v>
      </c>
      <c r="Y1143" s="326"/>
      <c r="Z1143" s="326"/>
      <c r="AA1143" s="327"/>
      <c r="AB1143" s="542" t="s">
        <v>303</v>
      </c>
      <c r="AC1143" s="326"/>
      <c r="AD1143" s="326"/>
      <c r="AE1143" s="327"/>
      <c r="AF1143" s="543"/>
      <c r="AG1143" s="327"/>
      <c r="AH1143" s="543"/>
      <c r="AI1143" s="327"/>
      <c r="AJ1143" s="536"/>
      <c r="AK1143" s="327"/>
      <c r="AL1143" s="537" t="s">
        <v>334</v>
      </c>
      <c r="AM1143" s="327"/>
      <c r="AN1143" s="546" t="s">
        <v>334</v>
      </c>
      <c r="AO1143" s="327"/>
      <c r="AP1143" s="547"/>
      <c r="AQ1143" s="327"/>
      <c r="AR1143" s="548"/>
      <c r="AS1143" s="327"/>
      <c r="AT1143" s="568"/>
      <c r="AU1143" s="327"/>
      <c r="AV1143" s="546" t="s">
        <v>334</v>
      </c>
      <c r="AW1143" s="327"/>
      <c r="AX1143" s="521"/>
      <c r="AY1143" s="326"/>
      <c r="AZ1143" s="327"/>
      <c r="BA1143" s="550"/>
      <c r="BB1143" s="327"/>
      <c r="BC1143" s="25"/>
      <c r="BD1143" s="544" t="s">
        <v>334</v>
      </c>
      <c r="BE1143" s="327"/>
      <c r="BF1143" s="545"/>
      <c r="BG1143" s="326"/>
      <c r="BH1143" s="326"/>
      <c r="BI1143" s="327"/>
      <c r="BJ1143" s="557" t="s">
        <v>303</v>
      </c>
      <c r="BK1143" s="326"/>
      <c r="BL1143" s="326"/>
      <c r="BM1143" s="327"/>
      <c r="BN1143" s="558" t="s">
        <v>303</v>
      </c>
      <c r="BO1143" s="326"/>
      <c r="BP1143" s="326"/>
      <c r="BQ1143" s="326"/>
      <c r="BR1143" s="326"/>
      <c r="BS1143" s="326"/>
      <c r="BT1143" s="326"/>
      <c r="BU1143" s="326"/>
      <c r="BV1143" s="327"/>
    </row>
    <row r="1144" spans="1:74" ht="45" customHeight="1" x14ac:dyDescent="0.25">
      <c r="A1144" s="10">
        <f t="shared" si="4"/>
        <v>1130</v>
      </c>
      <c r="B1144" s="564" t="s">
        <v>303</v>
      </c>
      <c r="C1144" s="327"/>
      <c r="D1144" s="565" t="s">
        <v>307</v>
      </c>
      <c r="E1144" s="327"/>
      <c r="F1144" s="537" t="s">
        <v>334</v>
      </c>
      <c r="G1144" s="327"/>
      <c r="H1144" s="561" t="s">
        <v>334</v>
      </c>
      <c r="I1144" s="327"/>
      <c r="J1144" s="26"/>
      <c r="K1144" s="27"/>
      <c r="L1144" s="26"/>
      <c r="M1144" s="27"/>
      <c r="N1144" s="23"/>
      <c r="O1144" s="21"/>
      <c r="P1144" s="563"/>
      <c r="Q1144" s="327"/>
      <c r="R1144" s="516"/>
      <c r="S1144" s="327"/>
      <c r="T1144" s="517"/>
      <c r="U1144" s="327"/>
      <c r="V1144" s="518"/>
      <c r="W1144" s="327"/>
      <c r="X1144" s="438" t="s">
        <v>303</v>
      </c>
      <c r="Y1144" s="326"/>
      <c r="Z1144" s="326"/>
      <c r="AA1144" s="327"/>
      <c r="AB1144" s="519" t="s">
        <v>303</v>
      </c>
      <c r="AC1144" s="326"/>
      <c r="AD1144" s="326"/>
      <c r="AE1144" s="327"/>
      <c r="AF1144" s="520"/>
      <c r="AG1144" s="327"/>
      <c r="AH1144" s="520"/>
      <c r="AI1144" s="327"/>
      <c r="AJ1144" s="536"/>
      <c r="AK1144" s="327"/>
      <c r="AL1144" s="556" t="s">
        <v>334</v>
      </c>
      <c r="AM1144" s="327"/>
      <c r="AN1144" s="553" t="s">
        <v>334</v>
      </c>
      <c r="AO1144" s="327"/>
      <c r="AP1144" s="554"/>
      <c r="AQ1144" s="327"/>
      <c r="AR1144" s="555"/>
      <c r="AS1144" s="327"/>
      <c r="AT1144" s="549"/>
      <c r="AU1144" s="327"/>
      <c r="AV1144" s="553" t="s">
        <v>334</v>
      </c>
      <c r="AW1144" s="327"/>
      <c r="AX1144" s="521"/>
      <c r="AY1144" s="326"/>
      <c r="AZ1144" s="327"/>
      <c r="BA1144" s="536"/>
      <c r="BB1144" s="327"/>
      <c r="BC1144" s="22"/>
      <c r="BD1144" s="551" t="s">
        <v>334</v>
      </c>
      <c r="BE1144" s="327"/>
      <c r="BF1144" s="552"/>
      <c r="BG1144" s="326"/>
      <c r="BH1144" s="326"/>
      <c r="BI1144" s="327"/>
      <c r="BJ1144" s="451" t="s">
        <v>303</v>
      </c>
      <c r="BK1144" s="326"/>
      <c r="BL1144" s="326"/>
      <c r="BM1144" s="327"/>
      <c r="BN1144" s="558" t="s">
        <v>303</v>
      </c>
      <c r="BO1144" s="326"/>
      <c r="BP1144" s="326"/>
      <c r="BQ1144" s="326"/>
      <c r="BR1144" s="326"/>
      <c r="BS1144" s="326"/>
      <c r="BT1144" s="326"/>
      <c r="BU1144" s="326"/>
      <c r="BV1144" s="327"/>
    </row>
    <row r="1145" spans="1:74" ht="45" customHeight="1" x14ac:dyDescent="0.25">
      <c r="A1145" s="10">
        <f t="shared" si="4"/>
        <v>1131</v>
      </c>
      <c r="B1145" s="559" t="s">
        <v>303</v>
      </c>
      <c r="C1145" s="327"/>
      <c r="D1145" s="560" t="s">
        <v>307</v>
      </c>
      <c r="E1145" s="327"/>
      <c r="F1145" s="537" t="s">
        <v>334</v>
      </c>
      <c r="G1145" s="327"/>
      <c r="H1145" s="566" t="s">
        <v>334</v>
      </c>
      <c r="I1145" s="327"/>
      <c r="J1145" s="567"/>
      <c r="K1145" s="327"/>
      <c r="L1145" s="567"/>
      <c r="M1145" s="327"/>
      <c r="N1145" s="20"/>
      <c r="O1145" s="24"/>
      <c r="P1145" s="524"/>
      <c r="Q1145" s="327"/>
      <c r="R1145" s="538"/>
      <c r="S1145" s="327"/>
      <c r="T1145" s="539"/>
      <c r="U1145" s="327"/>
      <c r="V1145" s="540"/>
      <c r="W1145" s="327"/>
      <c r="X1145" s="541" t="s">
        <v>303</v>
      </c>
      <c r="Y1145" s="326"/>
      <c r="Z1145" s="326"/>
      <c r="AA1145" s="327"/>
      <c r="AB1145" s="542" t="s">
        <v>303</v>
      </c>
      <c r="AC1145" s="326"/>
      <c r="AD1145" s="326"/>
      <c r="AE1145" s="327"/>
      <c r="AF1145" s="543"/>
      <c r="AG1145" s="327"/>
      <c r="AH1145" s="543"/>
      <c r="AI1145" s="327"/>
      <c r="AJ1145" s="536"/>
      <c r="AK1145" s="327"/>
      <c r="AL1145" s="537" t="s">
        <v>334</v>
      </c>
      <c r="AM1145" s="327"/>
      <c r="AN1145" s="546" t="s">
        <v>334</v>
      </c>
      <c r="AO1145" s="327"/>
      <c r="AP1145" s="547"/>
      <c r="AQ1145" s="327"/>
      <c r="AR1145" s="548"/>
      <c r="AS1145" s="327"/>
      <c r="AT1145" s="568"/>
      <c r="AU1145" s="327"/>
      <c r="AV1145" s="546" t="s">
        <v>334</v>
      </c>
      <c r="AW1145" s="327"/>
      <c r="AX1145" s="521"/>
      <c r="AY1145" s="326"/>
      <c r="AZ1145" s="327"/>
      <c r="BA1145" s="550"/>
      <c r="BB1145" s="327"/>
      <c r="BC1145" s="25"/>
      <c r="BD1145" s="544" t="s">
        <v>334</v>
      </c>
      <c r="BE1145" s="327"/>
      <c r="BF1145" s="545"/>
      <c r="BG1145" s="326"/>
      <c r="BH1145" s="326"/>
      <c r="BI1145" s="327"/>
      <c r="BJ1145" s="557" t="s">
        <v>303</v>
      </c>
      <c r="BK1145" s="326"/>
      <c r="BL1145" s="326"/>
      <c r="BM1145" s="327"/>
      <c r="BN1145" s="558" t="s">
        <v>303</v>
      </c>
      <c r="BO1145" s="326"/>
      <c r="BP1145" s="326"/>
      <c r="BQ1145" s="326"/>
      <c r="BR1145" s="326"/>
      <c r="BS1145" s="326"/>
      <c r="BT1145" s="326"/>
      <c r="BU1145" s="326"/>
      <c r="BV1145" s="327"/>
    </row>
    <row r="1146" spans="1:74" ht="45" customHeight="1" x14ac:dyDescent="0.25">
      <c r="A1146" s="10">
        <f t="shared" si="4"/>
        <v>1132</v>
      </c>
      <c r="B1146" s="564" t="s">
        <v>303</v>
      </c>
      <c r="C1146" s="327"/>
      <c r="D1146" s="565" t="s">
        <v>307</v>
      </c>
      <c r="E1146" s="327"/>
      <c r="F1146" s="537" t="s">
        <v>334</v>
      </c>
      <c r="G1146" s="327"/>
      <c r="H1146" s="561" t="s">
        <v>334</v>
      </c>
      <c r="I1146" s="327"/>
      <c r="J1146" s="26"/>
      <c r="K1146" s="27"/>
      <c r="L1146" s="26"/>
      <c r="M1146" s="27"/>
      <c r="N1146" s="23"/>
      <c r="O1146" s="21"/>
      <c r="P1146" s="563"/>
      <c r="Q1146" s="327"/>
      <c r="R1146" s="516"/>
      <c r="S1146" s="327"/>
      <c r="T1146" s="517"/>
      <c r="U1146" s="327"/>
      <c r="V1146" s="518"/>
      <c r="W1146" s="327"/>
      <c r="X1146" s="438" t="s">
        <v>303</v>
      </c>
      <c r="Y1146" s="326"/>
      <c r="Z1146" s="326"/>
      <c r="AA1146" s="327"/>
      <c r="AB1146" s="519" t="s">
        <v>303</v>
      </c>
      <c r="AC1146" s="326"/>
      <c r="AD1146" s="326"/>
      <c r="AE1146" s="327"/>
      <c r="AF1146" s="520"/>
      <c r="AG1146" s="327"/>
      <c r="AH1146" s="520"/>
      <c r="AI1146" s="327"/>
      <c r="AJ1146" s="536"/>
      <c r="AK1146" s="327"/>
      <c r="AL1146" s="556" t="s">
        <v>334</v>
      </c>
      <c r="AM1146" s="327"/>
      <c r="AN1146" s="553" t="s">
        <v>334</v>
      </c>
      <c r="AO1146" s="327"/>
      <c r="AP1146" s="554"/>
      <c r="AQ1146" s="327"/>
      <c r="AR1146" s="555"/>
      <c r="AS1146" s="327"/>
      <c r="AT1146" s="549"/>
      <c r="AU1146" s="327"/>
      <c r="AV1146" s="553" t="s">
        <v>334</v>
      </c>
      <c r="AW1146" s="327"/>
      <c r="AX1146" s="521"/>
      <c r="AY1146" s="326"/>
      <c r="AZ1146" s="327"/>
      <c r="BA1146" s="536"/>
      <c r="BB1146" s="327"/>
      <c r="BC1146" s="22"/>
      <c r="BD1146" s="551" t="s">
        <v>334</v>
      </c>
      <c r="BE1146" s="327"/>
      <c r="BF1146" s="552"/>
      <c r="BG1146" s="326"/>
      <c r="BH1146" s="326"/>
      <c r="BI1146" s="327"/>
      <c r="BJ1146" s="451" t="s">
        <v>303</v>
      </c>
      <c r="BK1146" s="326"/>
      <c r="BL1146" s="326"/>
      <c r="BM1146" s="327"/>
      <c r="BN1146" s="558" t="s">
        <v>303</v>
      </c>
      <c r="BO1146" s="326"/>
      <c r="BP1146" s="326"/>
      <c r="BQ1146" s="326"/>
      <c r="BR1146" s="326"/>
      <c r="BS1146" s="326"/>
      <c r="BT1146" s="326"/>
      <c r="BU1146" s="326"/>
      <c r="BV1146" s="327"/>
    </row>
    <row r="1147" spans="1:74" ht="45" customHeight="1" x14ac:dyDescent="0.25">
      <c r="A1147" s="10">
        <f t="shared" si="4"/>
        <v>1133</v>
      </c>
      <c r="B1147" s="559" t="s">
        <v>303</v>
      </c>
      <c r="C1147" s="327"/>
      <c r="D1147" s="560" t="s">
        <v>307</v>
      </c>
      <c r="E1147" s="327"/>
      <c r="F1147" s="537" t="s">
        <v>334</v>
      </c>
      <c r="G1147" s="327"/>
      <c r="H1147" s="566" t="s">
        <v>334</v>
      </c>
      <c r="I1147" s="327"/>
      <c r="J1147" s="567"/>
      <c r="K1147" s="327"/>
      <c r="L1147" s="567"/>
      <c r="M1147" s="327"/>
      <c r="N1147" s="20"/>
      <c r="O1147" s="24"/>
      <c r="P1147" s="524"/>
      <c r="Q1147" s="327"/>
      <c r="R1147" s="538"/>
      <c r="S1147" s="327"/>
      <c r="T1147" s="539"/>
      <c r="U1147" s="327"/>
      <c r="V1147" s="540"/>
      <c r="W1147" s="327"/>
      <c r="X1147" s="541" t="s">
        <v>303</v>
      </c>
      <c r="Y1147" s="326"/>
      <c r="Z1147" s="326"/>
      <c r="AA1147" s="327"/>
      <c r="AB1147" s="542" t="s">
        <v>303</v>
      </c>
      <c r="AC1147" s="326"/>
      <c r="AD1147" s="326"/>
      <c r="AE1147" s="327"/>
      <c r="AF1147" s="543"/>
      <c r="AG1147" s="327"/>
      <c r="AH1147" s="543"/>
      <c r="AI1147" s="327"/>
      <c r="AJ1147" s="536"/>
      <c r="AK1147" s="327"/>
      <c r="AL1147" s="537" t="s">
        <v>334</v>
      </c>
      <c r="AM1147" s="327"/>
      <c r="AN1147" s="546" t="s">
        <v>334</v>
      </c>
      <c r="AO1147" s="327"/>
      <c r="AP1147" s="547"/>
      <c r="AQ1147" s="327"/>
      <c r="AR1147" s="548"/>
      <c r="AS1147" s="327"/>
      <c r="AT1147" s="568"/>
      <c r="AU1147" s="327"/>
      <c r="AV1147" s="546" t="s">
        <v>334</v>
      </c>
      <c r="AW1147" s="327"/>
      <c r="AX1147" s="521"/>
      <c r="AY1147" s="326"/>
      <c r="AZ1147" s="327"/>
      <c r="BA1147" s="550"/>
      <c r="BB1147" s="327"/>
      <c r="BC1147" s="25"/>
      <c r="BD1147" s="544" t="s">
        <v>334</v>
      </c>
      <c r="BE1147" s="327"/>
      <c r="BF1147" s="545"/>
      <c r="BG1147" s="326"/>
      <c r="BH1147" s="326"/>
      <c r="BI1147" s="327"/>
      <c r="BJ1147" s="557" t="s">
        <v>303</v>
      </c>
      <c r="BK1147" s="326"/>
      <c r="BL1147" s="326"/>
      <c r="BM1147" s="327"/>
      <c r="BN1147" s="558" t="s">
        <v>303</v>
      </c>
      <c r="BO1147" s="326"/>
      <c r="BP1147" s="326"/>
      <c r="BQ1147" s="326"/>
      <c r="BR1147" s="326"/>
      <c r="BS1147" s="326"/>
      <c r="BT1147" s="326"/>
      <c r="BU1147" s="326"/>
      <c r="BV1147" s="327"/>
    </row>
    <row r="1148" spans="1:74" ht="45" customHeight="1" x14ac:dyDescent="0.25">
      <c r="A1148" s="10">
        <f t="shared" si="4"/>
        <v>1134</v>
      </c>
      <c r="B1148" s="564" t="s">
        <v>303</v>
      </c>
      <c r="C1148" s="327"/>
      <c r="D1148" s="565" t="s">
        <v>307</v>
      </c>
      <c r="E1148" s="327"/>
      <c r="F1148" s="537" t="s">
        <v>334</v>
      </c>
      <c r="G1148" s="327"/>
      <c r="H1148" s="561" t="s">
        <v>334</v>
      </c>
      <c r="I1148" s="327"/>
      <c r="J1148" s="26"/>
      <c r="K1148" s="27"/>
      <c r="L1148" s="26"/>
      <c r="M1148" s="27"/>
      <c r="N1148" s="23"/>
      <c r="O1148" s="21"/>
      <c r="P1148" s="563"/>
      <c r="Q1148" s="327"/>
      <c r="R1148" s="516"/>
      <c r="S1148" s="327"/>
      <c r="T1148" s="517"/>
      <c r="U1148" s="327"/>
      <c r="V1148" s="518"/>
      <c r="W1148" s="327"/>
      <c r="X1148" s="438" t="s">
        <v>303</v>
      </c>
      <c r="Y1148" s="326"/>
      <c r="Z1148" s="326"/>
      <c r="AA1148" s="327"/>
      <c r="AB1148" s="519" t="s">
        <v>303</v>
      </c>
      <c r="AC1148" s="326"/>
      <c r="AD1148" s="326"/>
      <c r="AE1148" s="327"/>
      <c r="AF1148" s="520"/>
      <c r="AG1148" s="327"/>
      <c r="AH1148" s="520"/>
      <c r="AI1148" s="327"/>
      <c r="AJ1148" s="536"/>
      <c r="AK1148" s="327"/>
      <c r="AL1148" s="556" t="s">
        <v>334</v>
      </c>
      <c r="AM1148" s="327"/>
      <c r="AN1148" s="553" t="s">
        <v>334</v>
      </c>
      <c r="AO1148" s="327"/>
      <c r="AP1148" s="554"/>
      <c r="AQ1148" s="327"/>
      <c r="AR1148" s="555"/>
      <c r="AS1148" s="327"/>
      <c r="AT1148" s="549"/>
      <c r="AU1148" s="327"/>
      <c r="AV1148" s="553" t="s">
        <v>334</v>
      </c>
      <c r="AW1148" s="327"/>
      <c r="AX1148" s="521"/>
      <c r="AY1148" s="326"/>
      <c r="AZ1148" s="327"/>
      <c r="BA1148" s="536"/>
      <c r="BB1148" s="327"/>
      <c r="BC1148" s="22"/>
      <c r="BD1148" s="551" t="s">
        <v>334</v>
      </c>
      <c r="BE1148" s="327"/>
      <c r="BF1148" s="508"/>
      <c r="BG1148" s="326"/>
      <c r="BH1148" s="326"/>
      <c r="BI1148" s="327"/>
      <c r="BJ1148" s="451" t="s">
        <v>303</v>
      </c>
      <c r="BK1148" s="326"/>
      <c r="BL1148" s="326"/>
      <c r="BM1148" s="327"/>
      <c r="BN1148" s="558" t="s">
        <v>303</v>
      </c>
      <c r="BO1148" s="326"/>
      <c r="BP1148" s="326"/>
      <c r="BQ1148" s="326"/>
      <c r="BR1148" s="326"/>
      <c r="BS1148" s="326"/>
      <c r="BT1148" s="326"/>
      <c r="BU1148" s="326"/>
      <c r="BV1148" s="327"/>
    </row>
    <row r="1149" spans="1:74" ht="45" customHeight="1" x14ac:dyDescent="0.25">
      <c r="A1149" s="10">
        <f t="shared" si="4"/>
        <v>1135</v>
      </c>
      <c r="B1149" s="559" t="s">
        <v>303</v>
      </c>
      <c r="C1149" s="327"/>
      <c r="D1149" s="560" t="s">
        <v>307</v>
      </c>
      <c r="E1149" s="327"/>
      <c r="F1149" s="537" t="s">
        <v>334</v>
      </c>
      <c r="G1149" s="327"/>
      <c r="H1149" s="566" t="s">
        <v>334</v>
      </c>
      <c r="I1149" s="327"/>
      <c r="J1149" s="567"/>
      <c r="K1149" s="327"/>
      <c r="L1149" s="567"/>
      <c r="M1149" s="327"/>
      <c r="N1149" s="20"/>
      <c r="O1149" s="24"/>
      <c r="P1149" s="524"/>
      <c r="Q1149" s="327"/>
      <c r="R1149" s="538"/>
      <c r="S1149" s="327"/>
      <c r="T1149" s="539"/>
      <c r="U1149" s="327"/>
      <c r="V1149" s="540"/>
      <c r="W1149" s="327"/>
      <c r="X1149" s="541" t="s">
        <v>303</v>
      </c>
      <c r="Y1149" s="326"/>
      <c r="Z1149" s="326"/>
      <c r="AA1149" s="327"/>
      <c r="AB1149" s="542" t="s">
        <v>303</v>
      </c>
      <c r="AC1149" s="326"/>
      <c r="AD1149" s="326"/>
      <c r="AE1149" s="327"/>
      <c r="AF1149" s="543"/>
      <c r="AG1149" s="327"/>
      <c r="AH1149" s="543"/>
      <c r="AI1149" s="327"/>
      <c r="AJ1149" s="536"/>
      <c r="AK1149" s="327"/>
      <c r="AL1149" s="537" t="s">
        <v>334</v>
      </c>
      <c r="AM1149" s="327"/>
      <c r="AN1149" s="546" t="s">
        <v>334</v>
      </c>
      <c r="AO1149" s="327"/>
      <c r="AP1149" s="547"/>
      <c r="AQ1149" s="327"/>
      <c r="AR1149" s="548"/>
      <c r="AS1149" s="327"/>
      <c r="AT1149" s="568"/>
      <c r="AU1149" s="327"/>
      <c r="AV1149" s="546" t="s">
        <v>334</v>
      </c>
      <c r="AW1149" s="327"/>
      <c r="AX1149" s="521"/>
      <c r="AY1149" s="326"/>
      <c r="AZ1149" s="327"/>
      <c r="BA1149" s="550"/>
      <c r="BB1149" s="327"/>
      <c r="BC1149" s="25"/>
      <c r="BD1149" s="544" t="s">
        <v>334</v>
      </c>
      <c r="BE1149" s="327"/>
      <c r="BF1149" s="545"/>
      <c r="BG1149" s="326"/>
      <c r="BH1149" s="326"/>
      <c r="BI1149" s="327"/>
      <c r="BJ1149" s="557" t="s">
        <v>303</v>
      </c>
      <c r="BK1149" s="326"/>
      <c r="BL1149" s="326"/>
      <c r="BM1149" s="327"/>
      <c r="BN1149" s="558" t="s">
        <v>303</v>
      </c>
      <c r="BO1149" s="326"/>
      <c r="BP1149" s="326"/>
      <c r="BQ1149" s="326"/>
      <c r="BR1149" s="326"/>
      <c r="BS1149" s="326"/>
      <c r="BT1149" s="326"/>
      <c r="BU1149" s="326"/>
      <c r="BV1149" s="327"/>
    </row>
    <row r="1150" spans="1:74" ht="45" customHeight="1" x14ac:dyDescent="0.25">
      <c r="A1150" s="10">
        <f t="shared" si="4"/>
        <v>1136</v>
      </c>
      <c r="B1150" s="564" t="s">
        <v>303</v>
      </c>
      <c r="C1150" s="327"/>
      <c r="D1150" s="565" t="s">
        <v>307</v>
      </c>
      <c r="E1150" s="327"/>
      <c r="F1150" s="537" t="s">
        <v>334</v>
      </c>
      <c r="G1150" s="327"/>
      <c r="H1150" s="561" t="s">
        <v>334</v>
      </c>
      <c r="I1150" s="327"/>
      <c r="J1150" s="26"/>
      <c r="K1150" s="27"/>
      <c r="L1150" s="26"/>
      <c r="M1150" s="27"/>
      <c r="N1150" s="23"/>
      <c r="O1150" s="21"/>
      <c r="P1150" s="563"/>
      <c r="Q1150" s="327"/>
      <c r="R1150" s="516"/>
      <c r="S1150" s="327"/>
      <c r="T1150" s="517"/>
      <c r="U1150" s="327"/>
      <c r="V1150" s="518"/>
      <c r="W1150" s="327"/>
      <c r="X1150" s="438" t="s">
        <v>303</v>
      </c>
      <c r="Y1150" s="326"/>
      <c r="Z1150" s="326"/>
      <c r="AA1150" s="327"/>
      <c r="AB1150" s="519" t="s">
        <v>303</v>
      </c>
      <c r="AC1150" s="326"/>
      <c r="AD1150" s="326"/>
      <c r="AE1150" s="327"/>
      <c r="AF1150" s="520"/>
      <c r="AG1150" s="327"/>
      <c r="AH1150" s="520"/>
      <c r="AI1150" s="327"/>
      <c r="AJ1150" s="536"/>
      <c r="AK1150" s="327"/>
      <c r="AL1150" s="556" t="s">
        <v>334</v>
      </c>
      <c r="AM1150" s="327"/>
      <c r="AN1150" s="553" t="s">
        <v>334</v>
      </c>
      <c r="AO1150" s="327"/>
      <c r="AP1150" s="554"/>
      <c r="AQ1150" s="327"/>
      <c r="AR1150" s="555"/>
      <c r="AS1150" s="327"/>
      <c r="AT1150" s="549"/>
      <c r="AU1150" s="327"/>
      <c r="AV1150" s="553" t="s">
        <v>334</v>
      </c>
      <c r="AW1150" s="327"/>
      <c r="AX1150" s="521"/>
      <c r="AY1150" s="326"/>
      <c r="AZ1150" s="327"/>
      <c r="BA1150" s="536"/>
      <c r="BB1150" s="327"/>
      <c r="BC1150" s="22"/>
      <c r="BD1150" s="551" t="s">
        <v>334</v>
      </c>
      <c r="BE1150" s="327"/>
      <c r="BF1150" s="552"/>
      <c r="BG1150" s="326"/>
      <c r="BH1150" s="326"/>
      <c r="BI1150" s="327"/>
      <c r="BJ1150" s="451" t="s">
        <v>303</v>
      </c>
      <c r="BK1150" s="326"/>
      <c r="BL1150" s="326"/>
      <c r="BM1150" s="327"/>
      <c r="BN1150" s="558" t="s">
        <v>303</v>
      </c>
      <c r="BO1150" s="326"/>
      <c r="BP1150" s="326"/>
      <c r="BQ1150" s="326"/>
      <c r="BR1150" s="326"/>
      <c r="BS1150" s="326"/>
      <c r="BT1150" s="326"/>
      <c r="BU1150" s="326"/>
      <c r="BV1150" s="327"/>
    </row>
    <row r="1151" spans="1:74" ht="45" customHeight="1" x14ac:dyDescent="0.25">
      <c r="A1151" s="10">
        <f t="shared" si="4"/>
        <v>1137</v>
      </c>
      <c r="B1151" s="559" t="s">
        <v>303</v>
      </c>
      <c r="C1151" s="327"/>
      <c r="D1151" s="560" t="s">
        <v>307</v>
      </c>
      <c r="E1151" s="327"/>
      <c r="F1151" s="537" t="s">
        <v>334</v>
      </c>
      <c r="G1151" s="327"/>
      <c r="H1151" s="566" t="s">
        <v>334</v>
      </c>
      <c r="I1151" s="327"/>
      <c r="J1151" s="567"/>
      <c r="K1151" s="327"/>
      <c r="L1151" s="567"/>
      <c r="M1151" s="327"/>
      <c r="N1151" s="23"/>
      <c r="O1151" s="24"/>
      <c r="P1151" s="563"/>
      <c r="Q1151" s="327"/>
      <c r="R1151" s="538"/>
      <c r="S1151" s="327"/>
      <c r="T1151" s="539"/>
      <c r="U1151" s="327"/>
      <c r="V1151" s="540"/>
      <c r="W1151" s="327"/>
      <c r="X1151" s="541" t="s">
        <v>303</v>
      </c>
      <c r="Y1151" s="326"/>
      <c r="Z1151" s="326"/>
      <c r="AA1151" s="327"/>
      <c r="AB1151" s="542" t="s">
        <v>303</v>
      </c>
      <c r="AC1151" s="326"/>
      <c r="AD1151" s="326"/>
      <c r="AE1151" s="327"/>
      <c r="AF1151" s="543"/>
      <c r="AG1151" s="327"/>
      <c r="AH1151" s="543"/>
      <c r="AI1151" s="327"/>
      <c r="AJ1151" s="536"/>
      <c r="AK1151" s="327"/>
      <c r="AL1151" s="537" t="s">
        <v>334</v>
      </c>
      <c r="AM1151" s="327"/>
      <c r="AN1151" s="546" t="s">
        <v>334</v>
      </c>
      <c r="AO1151" s="327"/>
      <c r="AP1151" s="547"/>
      <c r="AQ1151" s="327"/>
      <c r="AR1151" s="548"/>
      <c r="AS1151" s="327"/>
      <c r="AT1151" s="549"/>
      <c r="AU1151" s="327"/>
      <c r="AV1151" s="546" t="s">
        <v>334</v>
      </c>
      <c r="AW1151" s="327"/>
      <c r="AX1151" s="521"/>
      <c r="AY1151" s="326"/>
      <c r="AZ1151" s="327"/>
      <c r="BA1151" s="550"/>
      <c r="BB1151" s="327"/>
      <c r="BC1151" s="25"/>
      <c r="BD1151" s="551" t="s">
        <v>334</v>
      </c>
      <c r="BE1151" s="327"/>
      <c r="BF1151" s="545"/>
      <c r="BG1151" s="326"/>
      <c r="BH1151" s="326"/>
      <c r="BI1151" s="327"/>
      <c r="BJ1151" s="557" t="s">
        <v>303</v>
      </c>
      <c r="BK1151" s="326"/>
      <c r="BL1151" s="326"/>
      <c r="BM1151" s="327"/>
      <c r="BN1151" s="558" t="s">
        <v>303</v>
      </c>
      <c r="BO1151" s="326"/>
      <c r="BP1151" s="326"/>
      <c r="BQ1151" s="326"/>
      <c r="BR1151" s="326"/>
      <c r="BS1151" s="326"/>
      <c r="BT1151" s="326"/>
      <c r="BU1151" s="326"/>
      <c r="BV1151" s="327"/>
    </row>
    <row r="1152" spans="1:74" ht="45" customHeight="1" x14ac:dyDescent="0.25">
      <c r="A1152" s="10">
        <f t="shared" si="4"/>
        <v>1138</v>
      </c>
      <c r="B1152" s="564" t="s">
        <v>303</v>
      </c>
      <c r="C1152" s="327"/>
      <c r="D1152" s="565" t="s">
        <v>307</v>
      </c>
      <c r="E1152" s="327"/>
      <c r="F1152" s="537" t="s">
        <v>334</v>
      </c>
      <c r="G1152" s="327"/>
      <c r="H1152" s="561" t="s">
        <v>334</v>
      </c>
      <c r="I1152" s="327"/>
      <c r="J1152" s="26"/>
      <c r="K1152" s="27"/>
      <c r="L1152" s="26"/>
      <c r="M1152" s="27"/>
      <c r="N1152" s="20"/>
      <c r="O1152" s="21"/>
      <c r="P1152" s="524"/>
      <c r="Q1152" s="327"/>
      <c r="R1152" s="516"/>
      <c r="S1152" s="327"/>
      <c r="T1152" s="517"/>
      <c r="U1152" s="327"/>
      <c r="V1152" s="518"/>
      <c r="W1152" s="327"/>
      <c r="X1152" s="438" t="s">
        <v>303</v>
      </c>
      <c r="Y1152" s="326"/>
      <c r="Z1152" s="326"/>
      <c r="AA1152" s="327"/>
      <c r="AB1152" s="519" t="s">
        <v>303</v>
      </c>
      <c r="AC1152" s="326"/>
      <c r="AD1152" s="326"/>
      <c r="AE1152" s="327"/>
      <c r="AF1152" s="520"/>
      <c r="AG1152" s="327"/>
      <c r="AH1152" s="520"/>
      <c r="AI1152" s="327"/>
      <c r="AJ1152" s="536"/>
      <c r="AK1152" s="327"/>
      <c r="AL1152" s="556" t="s">
        <v>334</v>
      </c>
      <c r="AM1152" s="327"/>
      <c r="AN1152" s="553" t="s">
        <v>334</v>
      </c>
      <c r="AO1152" s="327"/>
      <c r="AP1152" s="554"/>
      <c r="AQ1152" s="327"/>
      <c r="AR1152" s="555"/>
      <c r="AS1152" s="327"/>
      <c r="AT1152" s="549"/>
      <c r="AU1152" s="327"/>
      <c r="AV1152" s="553" t="s">
        <v>334</v>
      </c>
      <c r="AW1152" s="327"/>
      <c r="AX1152" s="521"/>
      <c r="AY1152" s="326"/>
      <c r="AZ1152" s="327"/>
      <c r="BA1152" s="536"/>
      <c r="BB1152" s="327"/>
      <c r="BC1152" s="22"/>
      <c r="BD1152" s="544" t="s">
        <v>334</v>
      </c>
      <c r="BE1152" s="327"/>
      <c r="BF1152" s="552"/>
      <c r="BG1152" s="326"/>
      <c r="BH1152" s="326"/>
      <c r="BI1152" s="327"/>
      <c r="BJ1152" s="451" t="s">
        <v>303</v>
      </c>
      <c r="BK1152" s="326"/>
      <c r="BL1152" s="326"/>
      <c r="BM1152" s="327"/>
      <c r="BN1152" s="558" t="s">
        <v>303</v>
      </c>
      <c r="BO1152" s="326"/>
      <c r="BP1152" s="326"/>
      <c r="BQ1152" s="326"/>
      <c r="BR1152" s="326"/>
      <c r="BS1152" s="326"/>
      <c r="BT1152" s="326"/>
      <c r="BU1152" s="326"/>
      <c r="BV1152" s="327"/>
    </row>
    <row r="1153" spans="1:74" ht="45" customHeight="1" x14ac:dyDescent="0.25">
      <c r="A1153" s="10">
        <f t="shared" si="4"/>
        <v>1139</v>
      </c>
      <c r="B1153" s="559" t="s">
        <v>303</v>
      </c>
      <c r="C1153" s="327"/>
      <c r="D1153" s="560" t="s">
        <v>307</v>
      </c>
      <c r="E1153" s="327"/>
      <c r="F1153" s="537" t="s">
        <v>334</v>
      </c>
      <c r="G1153" s="327"/>
      <c r="H1153" s="566" t="s">
        <v>334</v>
      </c>
      <c r="I1153" s="327"/>
      <c r="J1153" s="567"/>
      <c r="K1153" s="327"/>
      <c r="L1153" s="567"/>
      <c r="M1153" s="327"/>
      <c r="N1153" s="23"/>
      <c r="O1153" s="24"/>
      <c r="P1153" s="563"/>
      <c r="Q1153" s="327"/>
      <c r="R1153" s="538"/>
      <c r="S1153" s="327"/>
      <c r="T1153" s="539"/>
      <c r="U1153" s="327"/>
      <c r="V1153" s="540"/>
      <c r="W1153" s="327"/>
      <c r="X1153" s="541" t="s">
        <v>303</v>
      </c>
      <c r="Y1153" s="326"/>
      <c r="Z1153" s="326"/>
      <c r="AA1153" s="327"/>
      <c r="AB1153" s="542" t="s">
        <v>303</v>
      </c>
      <c r="AC1153" s="326"/>
      <c r="AD1153" s="326"/>
      <c r="AE1153" s="327"/>
      <c r="AF1153" s="543"/>
      <c r="AG1153" s="327"/>
      <c r="AH1153" s="543"/>
      <c r="AI1153" s="327"/>
      <c r="AJ1153" s="536"/>
      <c r="AK1153" s="327"/>
      <c r="AL1153" s="537" t="s">
        <v>334</v>
      </c>
      <c r="AM1153" s="327"/>
      <c r="AN1153" s="546" t="s">
        <v>334</v>
      </c>
      <c r="AO1153" s="327"/>
      <c r="AP1153" s="547"/>
      <c r="AQ1153" s="327"/>
      <c r="AR1153" s="548"/>
      <c r="AS1153" s="327"/>
      <c r="AT1153" s="549"/>
      <c r="AU1153" s="327"/>
      <c r="AV1153" s="546" t="s">
        <v>334</v>
      </c>
      <c r="AW1153" s="327"/>
      <c r="AX1153" s="521"/>
      <c r="AY1153" s="326"/>
      <c r="AZ1153" s="327"/>
      <c r="BA1153" s="550"/>
      <c r="BB1153" s="327"/>
      <c r="BC1153" s="25"/>
      <c r="BD1153" s="551" t="s">
        <v>334</v>
      </c>
      <c r="BE1153" s="327"/>
      <c r="BF1153" s="545"/>
      <c r="BG1153" s="326"/>
      <c r="BH1153" s="326"/>
      <c r="BI1153" s="327"/>
      <c r="BJ1153" s="557" t="s">
        <v>303</v>
      </c>
      <c r="BK1153" s="326"/>
      <c r="BL1153" s="326"/>
      <c r="BM1153" s="327"/>
      <c r="BN1153" s="558" t="s">
        <v>303</v>
      </c>
      <c r="BO1153" s="326"/>
      <c r="BP1153" s="326"/>
      <c r="BQ1153" s="326"/>
      <c r="BR1153" s="326"/>
      <c r="BS1153" s="326"/>
      <c r="BT1153" s="326"/>
      <c r="BU1153" s="326"/>
      <c r="BV1153" s="327"/>
    </row>
    <row r="1154" spans="1:74" ht="45" customHeight="1" x14ac:dyDescent="0.25">
      <c r="A1154" s="10">
        <f t="shared" si="4"/>
        <v>1140</v>
      </c>
      <c r="B1154" s="564" t="s">
        <v>303</v>
      </c>
      <c r="C1154" s="327"/>
      <c r="D1154" s="565" t="s">
        <v>307</v>
      </c>
      <c r="E1154" s="327"/>
      <c r="F1154" s="537" t="s">
        <v>334</v>
      </c>
      <c r="G1154" s="327"/>
      <c r="H1154" s="561" t="s">
        <v>334</v>
      </c>
      <c r="I1154" s="327"/>
      <c r="J1154" s="26"/>
      <c r="K1154" s="27"/>
      <c r="L1154" s="26"/>
      <c r="M1154" s="27"/>
      <c r="N1154" s="20"/>
      <c r="O1154" s="21"/>
      <c r="P1154" s="524"/>
      <c r="Q1154" s="327"/>
      <c r="R1154" s="516"/>
      <c r="S1154" s="327"/>
      <c r="T1154" s="517"/>
      <c r="U1154" s="327"/>
      <c r="V1154" s="518"/>
      <c r="W1154" s="327"/>
      <c r="X1154" s="438" t="s">
        <v>303</v>
      </c>
      <c r="Y1154" s="326"/>
      <c r="Z1154" s="326"/>
      <c r="AA1154" s="327"/>
      <c r="AB1154" s="519" t="s">
        <v>303</v>
      </c>
      <c r="AC1154" s="326"/>
      <c r="AD1154" s="326"/>
      <c r="AE1154" s="327"/>
      <c r="AF1154" s="520"/>
      <c r="AG1154" s="327"/>
      <c r="AH1154" s="520"/>
      <c r="AI1154" s="327"/>
      <c r="AJ1154" s="536"/>
      <c r="AK1154" s="327"/>
      <c r="AL1154" s="556" t="s">
        <v>334</v>
      </c>
      <c r="AM1154" s="327"/>
      <c r="AN1154" s="553" t="s">
        <v>334</v>
      </c>
      <c r="AO1154" s="327"/>
      <c r="AP1154" s="554"/>
      <c r="AQ1154" s="327"/>
      <c r="AR1154" s="555"/>
      <c r="AS1154" s="327"/>
      <c r="AT1154" s="549"/>
      <c r="AU1154" s="327"/>
      <c r="AV1154" s="553" t="s">
        <v>334</v>
      </c>
      <c r="AW1154" s="327"/>
      <c r="AX1154" s="521"/>
      <c r="AY1154" s="326"/>
      <c r="AZ1154" s="327"/>
      <c r="BA1154" s="536"/>
      <c r="BB1154" s="327"/>
      <c r="BC1154" s="22"/>
      <c r="BD1154" s="551" t="s">
        <v>334</v>
      </c>
      <c r="BE1154" s="327"/>
      <c r="BF1154" s="552"/>
      <c r="BG1154" s="326"/>
      <c r="BH1154" s="326"/>
      <c r="BI1154" s="327"/>
      <c r="BJ1154" s="451" t="s">
        <v>303</v>
      </c>
      <c r="BK1154" s="326"/>
      <c r="BL1154" s="326"/>
      <c r="BM1154" s="327"/>
      <c r="BN1154" s="558" t="s">
        <v>303</v>
      </c>
      <c r="BO1154" s="326"/>
      <c r="BP1154" s="326"/>
      <c r="BQ1154" s="326"/>
      <c r="BR1154" s="326"/>
      <c r="BS1154" s="326"/>
      <c r="BT1154" s="326"/>
      <c r="BU1154" s="326"/>
      <c r="BV1154" s="327"/>
    </row>
    <row r="1155" spans="1:74" ht="45" customHeight="1" x14ac:dyDescent="0.25">
      <c r="A1155" s="10">
        <f t="shared" si="4"/>
        <v>1141</v>
      </c>
      <c r="B1155" s="559" t="s">
        <v>303</v>
      </c>
      <c r="C1155" s="327"/>
      <c r="D1155" s="560" t="s">
        <v>307</v>
      </c>
      <c r="E1155" s="327"/>
      <c r="F1155" s="537" t="s">
        <v>334</v>
      </c>
      <c r="G1155" s="327"/>
      <c r="H1155" s="566" t="s">
        <v>334</v>
      </c>
      <c r="I1155" s="327"/>
      <c r="J1155" s="567"/>
      <c r="K1155" s="327"/>
      <c r="L1155" s="567"/>
      <c r="M1155" s="327"/>
      <c r="N1155" s="23"/>
      <c r="O1155" s="24"/>
      <c r="P1155" s="563"/>
      <c r="Q1155" s="327"/>
      <c r="R1155" s="538"/>
      <c r="S1155" s="327"/>
      <c r="T1155" s="539"/>
      <c r="U1155" s="327"/>
      <c r="V1155" s="540"/>
      <c r="W1155" s="327"/>
      <c r="X1155" s="541" t="s">
        <v>303</v>
      </c>
      <c r="Y1155" s="326"/>
      <c r="Z1155" s="326"/>
      <c r="AA1155" s="327"/>
      <c r="AB1155" s="542" t="s">
        <v>303</v>
      </c>
      <c r="AC1155" s="326"/>
      <c r="AD1155" s="326"/>
      <c r="AE1155" s="327"/>
      <c r="AF1155" s="543"/>
      <c r="AG1155" s="327"/>
      <c r="AH1155" s="543"/>
      <c r="AI1155" s="327"/>
      <c r="AJ1155" s="536"/>
      <c r="AK1155" s="327"/>
      <c r="AL1155" s="537" t="s">
        <v>334</v>
      </c>
      <c r="AM1155" s="327"/>
      <c r="AN1155" s="546" t="s">
        <v>334</v>
      </c>
      <c r="AO1155" s="327"/>
      <c r="AP1155" s="547"/>
      <c r="AQ1155" s="327"/>
      <c r="AR1155" s="548"/>
      <c r="AS1155" s="327"/>
      <c r="AT1155" s="568"/>
      <c r="AU1155" s="327"/>
      <c r="AV1155" s="546" t="s">
        <v>334</v>
      </c>
      <c r="AW1155" s="327"/>
      <c r="AX1155" s="521"/>
      <c r="AY1155" s="326"/>
      <c r="AZ1155" s="327"/>
      <c r="BA1155" s="550"/>
      <c r="BB1155" s="327"/>
      <c r="BC1155" s="25"/>
      <c r="BD1155" s="544" t="s">
        <v>334</v>
      </c>
      <c r="BE1155" s="327"/>
      <c r="BF1155" s="545"/>
      <c r="BG1155" s="326"/>
      <c r="BH1155" s="326"/>
      <c r="BI1155" s="327"/>
      <c r="BJ1155" s="557" t="s">
        <v>303</v>
      </c>
      <c r="BK1155" s="326"/>
      <c r="BL1155" s="326"/>
      <c r="BM1155" s="327"/>
      <c r="BN1155" s="558" t="s">
        <v>303</v>
      </c>
      <c r="BO1155" s="326"/>
      <c r="BP1155" s="326"/>
      <c r="BQ1155" s="326"/>
      <c r="BR1155" s="326"/>
      <c r="BS1155" s="326"/>
      <c r="BT1155" s="326"/>
      <c r="BU1155" s="326"/>
      <c r="BV1155" s="327"/>
    </row>
    <row r="1156" spans="1:74" ht="45" customHeight="1" x14ac:dyDescent="0.25">
      <c r="A1156" s="10">
        <f t="shared" si="4"/>
        <v>1142</v>
      </c>
      <c r="B1156" s="564" t="s">
        <v>303</v>
      </c>
      <c r="C1156" s="327"/>
      <c r="D1156" s="565" t="s">
        <v>307</v>
      </c>
      <c r="E1156" s="327"/>
      <c r="F1156" s="537" t="s">
        <v>334</v>
      </c>
      <c r="G1156" s="327"/>
      <c r="H1156" s="561" t="s">
        <v>334</v>
      </c>
      <c r="I1156" s="327"/>
      <c r="J1156" s="26"/>
      <c r="K1156" s="27"/>
      <c r="L1156" s="26"/>
      <c r="M1156" s="27"/>
      <c r="N1156" s="20"/>
      <c r="O1156" s="21"/>
      <c r="P1156" s="524"/>
      <c r="Q1156" s="327"/>
      <c r="R1156" s="516"/>
      <c r="S1156" s="327"/>
      <c r="T1156" s="517"/>
      <c r="U1156" s="327"/>
      <c r="V1156" s="518"/>
      <c r="W1156" s="327"/>
      <c r="X1156" s="438" t="s">
        <v>303</v>
      </c>
      <c r="Y1156" s="326"/>
      <c r="Z1156" s="326"/>
      <c r="AA1156" s="327"/>
      <c r="AB1156" s="519" t="s">
        <v>303</v>
      </c>
      <c r="AC1156" s="326"/>
      <c r="AD1156" s="326"/>
      <c r="AE1156" s="327"/>
      <c r="AF1156" s="520"/>
      <c r="AG1156" s="327"/>
      <c r="AH1156" s="520"/>
      <c r="AI1156" s="327"/>
      <c r="AJ1156" s="536"/>
      <c r="AK1156" s="327"/>
      <c r="AL1156" s="556" t="s">
        <v>334</v>
      </c>
      <c r="AM1156" s="327"/>
      <c r="AN1156" s="553" t="s">
        <v>334</v>
      </c>
      <c r="AO1156" s="327"/>
      <c r="AP1156" s="554"/>
      <c r="AQ1156" s="327"/>
      <c r="AR1156" s="555"/>
      <c r="AS1156" s="327"/>
      <c r="AT1156" s="549"/>
      <c r="AU1156" s="327"/>
      <c r="AV1156" s="553" t="s">
        <v>334</v>
      </c>
      <c r="AW1156" s="327"/>
      <c r="AX1156" s="521"/>
      <c r="AY1156" s="326"/>
      <c r="AZ1156" s="327"/>
      <c r="BA1156" s="536"/>
      <c r="BB1156" s="327"/>
      <c r="BC1156" s="22"/>
      <c r="BD1156" s="551" t="s">
        <v>334</v>
      </c>
      <c r="BE1156" s="327"/>
      <c r="BF1156" s="508"/>
      <c r="BG1156" s="326"/>
      <c r="BH1156" s="326"/>
      <c r="BI1156" s="327"/>
      <c r="BJ1156" s="451" t="s">
        <v>303</v>
      </c>
      <c r="BK1156" s="326"/>
      <c r="BL1156" s="326"/>
      <c r="BM1156" s="327"/>
      <c r="BN1156" s="558" t="s">
        <v>303</v>
      </c>
      <c r="BO1156" s="326"/>
      <c r="BP1156" s="326"/>
      <c r="BQ1156" s="326"/>
      <c r="BR1156" s="326"/>
      <c r="BS1156" s="326"/>
      <c r="BT1156" s="326"/>
      <c r="BU1156" s="326"/>
      <c r="BV1156" s="327"/>
    </row>
    <row r="1157" spans="1:74" ht="45" customHeight="1" x14ac:dyDescent="0.25">
      <c r="A1157" s="10">
        <f t="shared" si="4"/>
        <v>1143</v>
      </c>
      <c r="B1157" s="559" t="s">
        <v>303</v>
      </c>
      <c r="C1157" s="327"/>
      <c r="D1157" s="560" t="s">
        <v>307</v>
      </c>
      <c r="E1157" s="327"/>
      <c r="F1157" s="537" t="s">
        <v>334</v>
      </c>
      <c r="G1157" s="327"/>
      <c r="H1157" s="566" t="s">
        <v>334</v>
      </c>
      <c r="I1157" s="327"/>
      <c r="J1157" s="567"/>
      <c r="K1157" s="327"/>
      <c r="L1157" s="567"/>
      <c r="M1157" s="327"/>
      <c r="N1157" s="23"/>
      <c r="O1157" s="24"/>
      <c r="P1157" s="563"/>
      <c r="Q1157" s="327"/>
      <c r="R1157" s="538"/>
      <c r="S1157" s="327"/>
      <c r="T1157" s="539"/>
      <c r="U1157" s="327"/>
      <c r="V1157" s="540"/>
      <c r="W1157" s="327"/>
      <c r="X1157" s="541" t="s">
        <v>303</v>
      </c>
      <c r="Y1157" s="326"/>
      <c r="Z1157" s="326"/>
      <c r="AA1157" s="327"/>
      <c r="AB1157" s="542" t="s">
        <v>303</v>
      </c>
      <c r="AC1157" s="326"/>
      <c r="AD1157" s="326"/>
      <c r="AE1157" s="327"/>
      <c r="AF1157" s="543"/>
      <c r="AG1157" s="327"/>
      <c r="AH1157" s="543"/>
      <c r="AI1157" s="327"/>
      <c r="AJ1157" s="536"/>
      <c r="AK1157" s="327"/>
      <c r="AL1157" s="537" t="s">
        <v>334</v>
      </c>
      <c r="AM1157" s="327"/>
      <c r="AN1157" s="546" t="s">
        <v>334</v>
      </c>
      <c r="AO1157" s="327"/>
      <c r="AP1157" s="547"/>
      <c r="AQ1157" s="327"/>
      <c r="AR1157" s="548"/>
      <c r="AS1157" s="327"/>
      <c r="AT1157" s="568"/>
      <c r="AU1157" s="327"/>
      <c r="AV1157" s="546" t="s">
        <v>334</v>
      </c>
      <c r="AW1157" s="327"/>
      <c r="AX1157" s="521"/>
      <c r="AY1157" s="326"/>
      <c r="AZ1157" s="327"/>
      <c r="BA1157" s="550"/>
      <c r="BB1157" s="327"/>
      <c r="BC1157" s="25"/>
      <c r="BD1157" s="544" t="s">
        <v>334</v>
      </c>
      <c r="BE1157" s="327"/>
      <c r="BF1157" s="545"/>
      <c r="BG1157" s="326"/>
      <c r="BH1157" s="326"/>
      <c r="BI1157" s="327"/>
      <c r="BJ1157" s="557" t="s">
        <v>303</v>
      </c>
      <c r="BK1157" s="326"/>
      <c r="BL1157" s="326"/>
      <c r="BM1157" s="327"/>
      <c r="BN1157" s="558" t="s">
        <v>303</v>
      </c>
      <c r="BO1157" s="326"/>
      <c r="BP1157" s="326"/>
      <c r="BQ1157" s="326"/>
      <c r="BR1157" s="326"/>
      <c r="BS1157" s="326"/>
      <c r="BT1157" s="326"/>
      <c r="BU1157" s="326"/>
      <c r="BV1157" s="327"/>
    </row>
    <row r="1158" spans="1:74" ht="45" customHeight="1" x14ac:dyDescent="0.25">
      <c r="A1158" s="10">
        <f t="shared" si="4"/>
        <v>1144</v>
      </c>
      <c r="B1158" s="564" t="s">
        <v>303</v>
      </c>
      <c r="C1158" s="327"/>
      <c r="D1158" s="565" t="s">
        <v>307</v>
      </c>
      <c r="E1158" s="327"/>
      <c r="F1158" s="537" t="s">
        <v>334</v>
      </c>
      <c r="G1158" s="327"/>
      <c r="H1158" s="561" t="s">
        <v>334</v>
      </c>
      <c r="I1158" s="327"/>
      <c r="J1158" s="26"/>
      <c r="K1158" s="27"/>
      <c r="L1158" s="26"/>
      <c r="M1158" s="27"/>
      <c r="N1158" s="20"/>
      <c r="O1158" s="21"/>
      <c r="P1158" s="524"/>
      <c r="Q1158" s="327"/>
      <c r="R1158" s="516"/>
      <c r="S1158" s="327"/>
      <c r="T1158" s="517"/>
      <c r="U1158" s="327"/>
      <c r="V1158" s="518"/>
      <c r="W1158" s="327"/>
      <c r="X1158" s="438" t="s">
        <v>303</v>
      </c>
      <c r="Y1158" s="326"/>
      <c r="Z1158" s="326"/>
      <c r="AA1158" s="327"/>
      <c r="AB1158" s="519" t="s">
        <v>303</v>
      </c>
      <c r="AC1158" s="326"/>
      <c r="AD1158" s="326"/>
      <c r="AE1158" s="327"/>
      <c r="AF1158" s="520"/>
      <c r="AG1158" s="327"/>
      <c r="AH1158" s="520"/>
      <c r="AI1158" s="327"/>
      <c r="AJ1158" s="536"/>
      <c r="AK1158" s="327"/>
      <c r="AL1158" s="556" t="s">
        <v>334</v>
      </c>
      <c r="AM1158" s="327"/>
      <c r="AN1158" s="553" t="s">
        <v>334</v>
      </c>
      <c r="AO1158" s="327"/>
      <c r="AP1158" s="554"/>
      <c r="AQ1158" s="327"/>
      <c r="AR1158" s="555"/>
      <c r="AS1158" s="327"/>
      <c r="AT1158" s="549"/>
      <c r="AU1158" s="327"/>
      <c r="AV1158" s="553" t="s">
        <v>334</v>
      </c>
      <c r="AW1158" s="327"/>
      <c r="AX1158" s="521"/>
      <c r="AY1158" s="326"/>
      <c r="AZ1158" s="327"/>
      <c r="BA1158" s="536"/>
      <c r="BB1158" s="327"/>
      <c r="BC1158" s="22"/>
      <c r="BD1158" s="551" t="s">
        <v>334</v>
      </c>
      <c r="BE1158" s="327"/>
      <c r="BF1158" s="552"/>
      <c r="BG1158" s="326"/>
      <c r="BH1158" s="326"/>
      <c r="BI1158" s="327"/>
      <c r="BJ1158" s="451" t="s">
        <v>303</v>
      </c>
      <c r="BK1158" s="326"/>
      <c r="BL1158" s="326"/>
      <c r="BM1158" s="327"/>
      <c r="BN1158" s="558" t="s">
        <v>303</v>
      </c>
      <c r="BO1158" s="326"/>
      <c r="BP1158" s="326"/>
      <c r="BQ1158" s="326"/>
      <c r="BR1158" s="326"/>
      <c r="BS1158" s="326"/>
      <c r="BT1158" s="326"/>
      <c r="BU1158" s="326"/>
      <c r="BV1158" s="327"/>
    </row>
    <row r="1159" spans="1:74" ht="45" customHeight="1" x14ac:dyDescent="0.25">
      <c r="A1159" s="10">
        <f t="shared" si="4"/>
        <v>1145</v>
      </c>
      <c r="B1159" s="559" t="s">
        <v>303</v>
      </c>
      <c r="C1159" s="327"/>
      <c r="D1159" s="560" t="s">
        <v>307</v>
      </c>
      <c r="E1159" s="327"/>
      <c r="F1159" s="537" t="s">
        <v>334</v>
      </c>
      <c r="G1159" s="327"/>
      <c r="H1159" s="566" t="s">
        <v>334</v>
      </c>
      <c r="I1159" s="327"/>
      <c r="J1159" s="567"/>
      <c r="K1159" s="327"/>
      <c r="L1159" s="567"/>
      <c r="M1159" s="327"/>
      <c r="N1159" s="23"/>
      <c r="O1159" s="24"/>
      <c r="P1159" s="563"/>
      <c r="Q1159" s="327"/>
      <c r="R1159" s="538"/>
      <c r="S1159" s="327"/>
      <c r="T1159" s="539"/>
      <c r="U1159" s="327"/>
      <c r="V1159" s="540"/>
      <c r="W1159" s="327"/>
      <c r="X1159" s="541" t="s">
        <v>303</v>
      </c>
      <c r="Y1159" s="326"/>
      <c r="Z1159" s="326"/>
      <c r="AA1159" s="327"/>
      <c r="AB1159" s="542" t="s">
        <v>303</v>
      </c>
      <c r="AC1159" s="326"/>
      <c r="AD1159" s="326"/>
      <c r="AE1159" s="327"/>
      <c r="AF1159" s="543"/>
      <c r="AG1159" s="327"/>
      <c r="AH1159" s="543"/>
      <c r="AI1159" s="327"/>
      <c r="AJ1159" s="536"/>
      <c r="AK1159" s="327"/>
      <c r="AL1159" s="537" t="s">
        <v>334</v>
      </c>
      <c r="AM1159" s="327"/>
      <c r="AN1159" s="546" t="s">
        <v>334</v>
      </c>
      <c r="AO1159" s="327"/>
      <c r="AP1159" s="547"/>
      <c r="AQ1159" s="327"/>
      <c r="AR1159" s="548"/>
      <c r="AS1159" s="327"/>
      <c r="AT1159" s="568"/>
      <c r="AU1159" s="327"/>
      <c r="AV1159" s="546" t="s">
        <v>334</v>
      </c>
      <c r="AW1159" s="327"/>
      <c r="AX1159" s="521"/>
      <c r="AY1159" s="326"/>
      <c r="AZ1159" s="327"/>
      <c r="BA1159" s="550"/>
      <c r="BB1159" s="327"/>
      <c r="BC1159" s="25"/>
      <c r="BD1159" s="544" t="s">
        <v>334</v>
      </c>
      <c r="BE1159" s="327"/>
      <c r="BF1159" s="545"/>
      <c r="BG1159" s="326"/>
      <c r="BH1159" s="326"/>
      <c r="BI1159" s="327"/>
      <c r="BJ1159" s="557" t="s">
        <v>303</v>
      </c>
      <c r="BK1159" s="326"/>
      <c r="BL1159" s="326"/>
      <c r="BM1159" s="327"/>
      <c r="BN1159" s="558" t="s">
        <v>303</v>
      </c>
      <c r="BO1159" s="326"/>
      <c r="BP1159" s="326"/>
      <c r="BQ1159" s="326"/>
      <c r="BR1159" s="326"/>
      <c r="BS1159" s="326"/>
      <c r="BT1159" s="326"/>
      <c r="BU1159" s="326"/>
      <c r="BV1159" s="327"/>
    </row>
    <row r="1160" spans="1:74" ht="45" customHeight="1" x14ac:dyDescent="0.25">
      <c r="A1160" s="10">
        <f t="shared" si="4"/>
        <v>1146</v>
      </c>
      <c r="B1160" s="564" t="s">
        <v>303</v>
      </c>
      <c r="C1160" s="327"/>
      <c r="D1160" s="565" t="s">
        <v>307</v>
      </c>
      <c r="E1160" s="327"/>
      <c r="F1160" s="537" t="s">
        <v>334</v>
      </c>
      <c r="G1160" s="327"/>
      <c r="H1160" s="561" t="s">
        <v>334</v>
      </c>
      <c r="I1160" s="327"/>
      <c r="J1160" s="26"/>
      <c r="K1160" s="27"/>
      <c r="L1160" s="26"/>
      <c r="M1160" s="27"/>
      <c r="N1160" s="20"/>
      <c r="O1160" s="21"/>
      <c r="P1160" s="524"/>
      <c r="Q1160" s="327"/>
      <c r="R1160" s="516"/>
      <c r="S1160" s="327"/>
      <c r="T1160" s="517"/>
      <c r="U1160" s="327"/>
      <c r="V1160" s="518"/>
      <c r="W1160" s="327"/>
      <c r="X1160" s="438" t="s">
        <v>303</v>
      </c>
      <c r="Y1160" s="326"/>
      <c r="Z1160" s="326"/>
      <c r="AA1160" s="327"/>
      <c r="AB1160" s="519" t="s">
        <v>303</v>
      </c>
      <c r="AC1160" s="326"/>
      <c r="AD1160" s="326"/>
      <c r="AE1160" s="327"/>
      <c r="AF1160" s="520"/>
      <c r="AG1160" s="327"/>
      <c r="AH1160" s="520"/>
      <c r="AI1160" s="327"/>
      <c r="AJ1160" s="536"/>
      <c r="AK1160" s="327"/>
      <c r="AL1160" s="556" t="s">
        <v>334</v>
      </c>
      <c r="AM1160" s="327"/>
      <c r="AN1160" s="553" t="s">
        <v>334</v>
      </c>
      <c r="AO1160" s="327"/>
      <c r="AP1160" s="554"/>
      <c r="AQ1160" s="327"/>
      <c r="AR1160" s="555"/>
      <c r="AS1160" s="327"/>
      <c r="AT1160" s="549"/>
      <c r="AU1160" s="327"/>
      <c r="AV1160" s="553" t="s">
        <v>334</v>
      </c>
      <c r="AW1160" s="327"/>
      <c r="AX1160" s="521"/>
      <c r="AY1160" s="326"/>
      <c r="AZ1160" s="327"/>
      <c r="BA1160" s="536"/>
      <c r="BB1160" s="327"/>
      <c r="BC1160" s="22"/>
      <c r="BD1160" s="551" t="s">
        <v>334</v>
      </c>
      <c r="BE1160" s="327"/>
      <c r="BF1160" s="552"/>
      <c r="BG1160" s="326"/>
      <c r="BH1160" s="326"/>
      <c r="BI1160" s="327"/>
      <c r="BJ1160" s="451" t="s">
        <v>303</v>
      </c>
      <c r="BK1160" s="326"/>
      <c r="BL1160" s="326"/>
      <c r="BM1160" s="327"/>
      <c r="BN1160" s="558" t="s">
        <v>303</v>
      </c>
      <c r="BO1160" s="326"/>
      <c r="BP1160" s="326"/>
      <c r="BQ1160" s="326"/>
      <c r="BR1160" s="326"/>
      <c r="BS1160" s="326"/>
      <c r="BT1160" s="326"/>
      <c r="BU1160" s="326"/>
      <c r="BV1160" s="327"/>
    </row>
    <row r="1161" spans="1:74" ht="45" customHeight="1" x14ac:dyDescent="0.25">
      <c r="A1161" s="10">
        <f t="shared" si="4"/>
        <v>1147</v>
      </c>
      <c r="B1161" s="559" t="s">
        <v>303</v>
      </c>
      <c r="C1161" s="327"/>
      <c r="D1161" s="560" t="s">
        <v>307</v>
      </c>
      <c r="E1161" s="327"/>
      <c r="F1161" s="537" t="s">
        <v>334</v>
      </c>
      <c r="G1161" s="327"/>
      <c r="H1161" s="566" t="s">
        <v>334</v>
      </c>
      <c r="I1161" s="327"/>
      <c r="J1161" s="567"/>
      <c r="K1161" s="327"/>
      <c r="L1161" s="567"/>
      <c r="M1161" s="327"/>
      <c r="N1161" s="23"/>
      <c r="O1161" s="24"/>
      <c r="P1161" s="563"/>
      <c r="Q1161" s="327"/>
      <c r="R1161" s="538"/>
      <c r="S1161" s="327"/>
      <c r="T1161" s="539"/>
      <c r="U1161" s="327"/>
      <c r="V1161" s="540"/>
      <c r="W1161" s="327"/>
      <c r="X1161" s="541" t="s">
        <v>303</v>
      </c>
      <c r="Y1161" s="326"/>
      <c r="Z1161" s="326"/>
      <c r="AA1161" s="327"/>
      <c r="AB1161" s="542" t="s">
        <v>303</v>
      </c>
      <c r="AC1161" s="326"/>
      <c r="AD1161" s="326"/>
      <c r="AE1161" s="327"/>
      <c r="AF1161" s="543"/>
      <c r="AG1161" s="327"/>
      <c r="AH1161" s="543"/>
      <c r="AI1161" s="327"/>
      <c r="AJ1161" s="536"/>
      <c r="AK1161" s="327"/>
      <c r="AL1161" s="537" t="s">
        <v>334</v>
      </c>
      <c r="AM1161" s="327"/>
      <c r="AN1161" s="546" t="s">
        <v>334</v>
      </c>
      <c r="AO1161" s="327"/>
      <c r="AP1161" s="547"/>
      <c r="AQ1161" s="327"/>
      <c r="AR1161" s="548"/>
      <c r="AS1161" s="327"/>
      <c r="AT1161" s="568"/>
      <c r="AU1161" s="327"/>
      <c r="AV1161" s="546" t="s">
        <v>334</v>
      </c>
      <c r="AW1161" s="327"/>
      <c r="AX1161" s="521"/>
      <c r="AY1161" s="326"/>
      <c r="AZ1161" s="327"/>
      <c r="BA1161" s="550"/>
      <c r="BB1161" s="327"/>
      <c r="BC1161" s="25"/>
      <c r="BD1161" s="544" t="s">
        <v>334</v>
      </c>
      <c r="BE1161" s="327"/>
      <c r="BF1161" s="545"/>
      <c r="BG1161" s="326"/>
      <c r="BH1161" s="326"/>
      <c r="BI1161" s="327"/>
      <c r="BJ1161" s="557" t="s">
        <v>303</v>
      </c>
      <c r="BK1161" s="326"/>
      <c r="BL1161" s="326"/>
      <c r="BM1161" s="327"/>
      <c r="BN1161" s="558" t="s">
        <v>303</v>
      </c>
      <c r="BO1161" s="326"/>
      <c r="BP1161" s="326"/>
      <c r="BQ1161" s="326"/>
      <c r="BR1161" s="326"/>
      <c r="BS1161" s="326"/>
      <c r="BT1161" s="326"/>
      <c r="BU1161" s="326"/>
      <c r="BV1161" s="327"/>
    </row>
    <row r="1162" spans="1:74" ht="45" customHeight="1" x14ac:dyDescent="0.25">
      <c r="A1162" s="10">
        <f t="shared" si="4"/>
        <v>1148</v>
      </c>
      <c r="B1162" s="564" t="s">
        <v>303</v>
      </c>
      <c r="C1162" s="327"/>
      <c r="D1162" s="565" t="s">
        <v>307</v>
      </c>
      <c r="E1162" s="327"/>
      <c r="F1162" s="537" t="s">
        <v>334</v>
      </c>
      <c r="G1162" s="327"/>
      <c r="H1162" s="561" t="s">
        <v>334</v>
      </c>
      <c r="I1162" s="327"/>
      <c r="J1162" s="26"/>
      <c r="K1162" s="27"/>
      <c r="L1162" s="26"/>
      <c r="M1162" s="27"/>
      <c r="N1162" s="20"/>
      <c r="O1162" s="21"/>
      <c r="P1162" s="524"/>
      <c r="Q1162" s="327"/>
      <c r="R1162" s="516"/>
      <c r="S1162" s="327"/>
      <c r="T1162" s="517"/>
      <c r="U1162" s="327"/>
      <c r="V1162" s="518"/>
      <c r="W1162" s="327"/>
      <c r="X1162" s="438" t="s">
        <v>303</v>
      </c>
      <c r="Y1162" s="326"/>
      <c r="Z1162" s="326"/>
      <c r="AA1162" s="327"/>
      <c r="AB1162" s="519" t="s">
        <v>303</v>
      </c>
      <c r="AC1162" s="326"/>
      <c r="AD1162" s="326"/>
      <c r="AE1162" s="327"/>
      <c r="AF1162" s="520"/>
      <c r="AG1162" s="327"/>
      <c r="AH1162" s="520"/>
      <c r="AI1162" s="327"/>
      <c r="AJ1162" s="536"/>
      <c r="AK1162" s="327"/>
      <c r="AL1162" s="556" t="s">
        <v>334</v>
      </c>
      <c r="AM1162" s="327"/>
      <c r="AN1162" s="553" t="s">
        <v>334</v>
      </c>
      <c r="AO1162" s="327"/>
      <c r="AP1162" s="554"/>
      <c r="AQ1162" s="327"/>
      <c r="AR1162" s="555"/>
      <c r="AS1162" s="327"/>
      <c r="AT1162" s="549"/>
      <c r="AU1162" s="327"/>
      <c r="AV1162" s="553" t="s">
        <v>334</v>
      </c>
      <c r="AW1162" s="327"/>
      <c r="AX1162" s="521"/>
      <c r="AY1162" s="326"/>
      <c r="AZ1162" s="327"/>
      <c r="BA1162" s="536"/>
      <c r="BB1162" s="327"/>
      <c r="BC1162" s="22"/>
      <c r="BD1162" s="551" t="s">
        <v>334</v>
      </c>
      <c r="BE1162" s="327"/>
      <c r="BF1162" s="508"/>
      <c r="BG1162" s="326"/>
      <c r="BH1162" s="326"/>
      <c r="BI1162" s="327"/>
      <c r="BJ1162" s="451" t="s">
        <v>303</v>
      </c>
      <c r="BK1162" s="326"/>
      <c r="BL1162" s="326"/>
      <c r="BM1162" s="327"/>
      <c r="BN1162" s="558" t="s">
        <v>303</v>
      </c>
      <c r="BO1162" s="326"/>
      <c r="BP1162" s="326"/>
      <c r="BQ1162" s="326"/>
      <c r="BR1162" s="326"/>
      <c r="BS1162" s="326"/>
      <c r="BT1162" s="326"/>
      <c r="BU1162" s="326"/>
      <c r="BV1162" s="327"/>
    </row>
    <row r="1163" spans="1:74" ht="45" customHeight="1" x14ac:dyDescent="0.25">
      <c r="A1163" s="10">
        <f t="shared" si="4"/>
        <v>1149</v>
      </c>
      <c r="B1163" s="559" t="s">
        <v>303</v>
      </c>
      <c r="C1163" s="327"/>
      <c r="D1163" s="560" t="s">
        <v>307</v>
      </c>
      <c r="E1163" s="327"/>
      <c r="F1163" s="537" t="s">
        <v>334</v>
      </c>
      <c r="G1163" s="327"/>
      <c r="H1163" s="566" t="s">
        <v>334</v>
      </c>
      <c r="I1163" s="327"/>
      <c r="J1163" s="567"/>
      <c r="K1163" s="327"/>
      <c r="L1163" s="567"/>
      <c r="M1163" s="327"/>
      <c r="N1163" s="23"/>
      <c r="O1163" s="24"/>
      <c r="P1163" s="563"/>
      <c r="Q1163" s="327"/>
      <c r="R1163" s="538"/>
      <c r="S1163" s="327"/>
      <c r="T1163" s="539"/>
      <c r="U1163" s="327"/>
      <c r="V1163" s="540"/>
      <c r="W1163" s="327"/>
      <c r="X1163" s="541" t="s">
        <v>303</v>
      </c>
      <c r="Y1163" s="326"/>
      <c r="Z1163" s="326"/>
      <c r="AA1163" s="327"/>
      <c r="AB1163" s="542" t="s">
        <v>303</v>
      </c>
      <c r="AC1163" s="326"/>
      <c r="AD1163" s="326"/>
      <c r="AE1163" s="327"/>
      <c r="AF1163" s="543"/>
      <c r="AG1163" s="327"/>
      <c r="AH1163" s="543"/>
      <c r="AI1163" s="327"/>
      <c r="AJ1163" s="536"/>
      <c r="AK1163" s="327"/>
      <c r="AL1163" s="537" t="s">
        <v>334</v>
      </c>
      <c r="AM1163" s="327"/>
      <c r="AN1163" s="546" t="s">
        <v>334</v>
      </c>
      <c r="AO1163" s="327"/>
      <c r="AP1163" s="547"/>
      <c r="AQ1163" s="327"/>
      <c r="AR1163" s="548"/>
      <c r="AS1163" s="327"/>
      <c r="AT1163" s="568"/>
      <c r="AU1163" s="327"/>
      <c r="AV1163" s="546" t="s">
        <v>334</v>
      </c>
      <c r="AW1163" s="327"/>
      <c r="AX1163" s="521"/>
      <c r="AY1163" s="326"/>
      <c r="AZ1163" s="327"/>
      <c r="BA1163" s="550"/>
      <c r="BB1163" s="327"/>
      <c r="BC1163" s="25"/>
      <c r="BD1163" s="544" t="s">
        <v>334</v>
      </c>
      <c r="BE1163" s="327"/>
      <c r="BF1163" s="545"/>
      <c r="BG1163" s="326"/>
      <c r="BH1163" s="326"/>
      <c r="BI1163" s="327"/>
      <c r="BJ1163" s="557" t="s">
        <v>303</v>
      </c>
      <c r="BK1163" s="326"/>
      <c r="BL1163" s="326"/>
      <c r="BM1163" s="327"/>
      <c r="BN1163" s="558" t="s">
        <v>303</v>
      </c>
      <c r="BO1163" s="326"/>
      <c r="BP1163" s="326"/>
      <c r="BQ1163" s="326"/>
      <c r="BR1163" s="326"/>
      <c r="BS1163" s="326"/>
      <c r="BT1163" s="326"/>
      <c r="BU1163" s="326"/>
      <c r="BV1163" s="327"/>
    </row>
    <row r="1164" spans="1:74" ht="45" customHeight="1" x14ac:dyDescent="0.25">
      <c r="A1164" s="10">
        <f t="shared" si="4"/>
        <v>1150</v>
      </c>
      <c r="B1164" s="564" t="s">
        <v>303</v>
      </c>
      <c r="C1164" s="327"/>
      <c r="D1164" s="565" t="s">
        <v>307</v>
      </c>
      <c r="E1164" s="327"/>
      <c r="F1164" s="537" t="s">
        <v>334</v>
      </c>
      <c r="G1164" s="327"/>
      <c r="H1164" s="561" t="s">
        <v>334</v>
      </c>
      <c r="I1164" s="327"/>
      <c r="J1164" s="26"/>
      <c r="K1164" s="27"/>
      <c r="L1164" s="26"/>
      <c r="M1164" s="27"/>
      <c r="N1164" s="20"/>
      <c r="O1164" s="21"/>
      <c r="P1164" s="524"/>
      <c r="Q1164" s="327"/>
      <c r="R1164" s="516"/>
      <c r="S1164" s="327"/>
      <c r="T1164" s="517"/>
      <c r="U1164" s="327"/>
      <c r="V1164" s="518"/>
      <c r="W1164" s="327"/>
      <c r="X1164" s="438" t="s">
        <v>303</v>
      </c>
      <c r="Y1164" s="326"/>
      <c r="Z1164" s="326"/>
      <c r="AA1164" s="327"/>
      <c r="AB1164" s="519" t="s">
        <v>303</v>
      </c>
      <c r="AC1164" s="326"/>
      <c r="AD1164" s="326"/>
      <c r="AE1164" s="327"/>
      <c r="AF1164" s="520"/>
      <c r="AG1164" s="327"/>
      <c r="AH1164" s="520"/>
      <c r="AI1164" s="327"/>
      <c r="AJ1164" s="536"/>
      <c r="AK1164" s="327"/>
      <c r="AL1164" s="556" t="s">
        <v>334</v>
      </c>
      <c r="AM1164" s="327"/>
      <c r="AN1164" s="553" t="s">
        <v>334</v>
      </c>
      <c r="AO1164" s="327"/>
      <c r="AP1164" s="554"/>
      <c r="AQ1164" s="327"/>
      <c r="AR1164" s="555"/>
      <c r="AS1164" s="327"/>
      <c r="AT1164" s="549"/>
      <c r="AU1164" s="327"/>
      <c r="AV1164" s="553" t="s">
        <v>334</v>
      </c>
      <c r="AW1164" s="327"/>
      <c r="AX1164" s="521"/>
      <c r="AY1164" s="326"/>
      <c r="AZ1164" s="327"/>
      <c r="BA1164" s="536"/>
      <c r="BB1164" s="327"/>
      <c r="BC1164" s="22"/>
      <c r="BD1164" s="551" t="s">
        <v>334</v>
      </c>
      <c r="BE1164" s="327"/>
      <c r="BF1164" s="552"/>
      <c r="BG1164" s="326"/>
      <c r="BH1164" s="326"/>
      <c r="BI1164" s="327"/>
      <c r="BJ1164" s="451" t="s">
        <v>303</v>
      </c>
      <c r="BK1164" s="326"/>
      <c r="BL1164" s="326"/>
      <c r="BM1164" s="327"/>
      <c r="BN1164" s="558" t="s">
        <v>303</v>
      </c>
      <c r="BO1164" s="326"/>
      <c r="BP1164" s="326"/>
      <c r="BQ1164" s="326"/>
      <c r="BR1164" s="326"/>
      <c r="BS1164" s="326"/>
      <c r="BT1164" s="326"/>
      <c r="BU1164" s="326"/>
      <c r="BV1164" s="327"/>
    </row>
    <row r="1165" spans="1:74" ht="45" customHeight="1" x14ac:dyDescent="0.25">
      <c r="A1165" s="10">
        <f t="shared" si="4"/>
        <v>1151</v>
      </c>
      <c r="B1165" s="559" t="s">
        <v>303</v>
      </c>
      <c r="C1165" s="327"/>
      <c r="D1165" s="560" t="s">
        <v>307</v>
      </c>
      <c r="E1165" s="327"/>
      <c r="F1165" s="537" t="s">
        <v>334</v>
      </c>
      <c r="G1165" s="327"/>
      <c r="H1165" s="566" t="s">
        <v>334</v>
      </c>
      <c r="I1165" s="327"/>
      <c r="J1165" s="567"/>
      <c r="K1165" s="327"/>
      <c r="L1165" s="567"/>
      <c r="M1165" s="327"/>
      <c r="N1165" s="20"/>
      <c r="O1165" s="21"/>
      <c r="P1165" s="524"/>
      <c r="Q1165" s="327"/>
      <c r="R1165" s="538"/>
      <c r="S1165" s="327"/>
      <c r="T1165" s="539"/>
      <c r="U1165" s="327"/>
      <c r="V1165" s="540"/>
      <c r="W1165" s="327"/>
      <c r="X1165" s="541" t="s">
        <v>303</v>
      </c>
      <c r="Y1165" s="326"/>
      <c r="Z1165" s="326"/>
      <c r="AA1165" s="327"/>
      <c r="AB1165" s="542" t="s">
        <v>303</v>
      </c>
      <c r="AC1165" s="326"/>
      <c r="AD1165" s="326"/>
      <c r="AE1165" s="327"/>
      <c r="AF1165" s="543"/>
      <c r="AG1165" s="327"/>
      <c r="AH1165" s="543"/>
      <c r="AI1165" s="327"/>
      <c r="AJ1165" s="536"/>
      <c r="AK1165" s="327"/>
      <c r="AL1165" s="537" t="s">
        <v>334</v>
      </c>
      <c r="AM1165" s="327"/>
      <c r="AN1165" s="546" t="s">
        <v>334</v>
      </c>
      <c r="AO1165" s="327"/>
      <c r="AP1165" s="547"/>
      <c r="AQ1165" s="327"/>
      <c r="AR1165" s="548"/>
      <c r="AS1165" s="327"/>
      <c r="AT1165" s="549"/>
      <c r="AU1165" s="327"/>
      <c r="AV1165" s="546" t="s">
        <v>334</v>
      </c>
      <c r="AW1165" s="327"/>
      <c r="AX1165" s="521"/>
      <c r="AY1165" s="326"/>
      <c r="AZ1165" s="327"/>
      <c r="BA1165" s="550"/>
      <c r="BB1165" s="327"/>
      <c r="BC1165" s="25"/>
      <c r="BD1165" s="544" t="s">
        <v>334</v>
      </c>
      <c r="BE1165" s="327"/>
      <c r="BF1165" s="545"/>
      <c r="BG1165" s="326"/>
      <c r="BH1165" s="326"/>
      <c r="BI1165" s="327"/>
      <c r="BJ1165" s="557" t="s">
        <v>303</v>
      </c>
      <c r="BK1165" s="326"/>
      <c r="BL1165" s="326"/>
      <c r="BM1165" s="327"/>
      <c r="BN1165" s="558" t="s">
        <v>303</v>
      </c>
      <c r="BO1165" s="326"/>
      <c r="BP1165" s="326"/>
      <c r="BQ1165" s="326"/>
      <c r="BR1165" s="326"/>
      <c r="BS1165" s="326"/>
      <c r="BT1165" s="326"/>
      <c r="BU1165" s="326"/>
      <c r="BV1165" s="327"/>
    </row>
    <row r="1166" spans="1:74" ht="45" customHeight="1" x14ac:dyDescent="0.25">
      <c r="A1166" s="10">
        <f t="shared" si="4"/>
        <v>1152</v>
      </c>
      <c r="B1166" s="564" t="s">
        <v>303</v>
      </c>
      <c r="C1166" s="327"/>
      <c r="D1166" s="565" t="s">
        <v>307</v>
      </c>
      <c r="E1166" s="327"/>
      <c r="F1166" s="537" t="s">
        <v>334</v>
      </c>
      <c r="G1166" s="327"/>
      <c r="H1166" s="561" t="s">
        <v>334</v>
      </c>
      <c r="I1166" s="327"/>
      <c r="J1166" s="26"/>
      <c r="K1166" s="27"/>
      <c r="L1166" s="26"/>
      <c r="M1166" s="27"/>
      <c r="N1166" s="23"/>
      <c r="O1166" s="24"/>
      <c r="P1166" s="563"/>
      <c r="Q1166" s="327"/>
      <c r="R1166" s="516"/>
      <c r="S1166" s="327"/>
      <c r="T1166" s="517"/>
      <c r="U1166" s="327"/>
      <c r="V1166" s="518"/>
      <c r="W1166" s="327"/>
      <c r="X1166" s="438" t="s">
        <v>303</v>
      </c>
      <c r="Y1166" s="326"/>
      <c r="Z1166" s="326"/>
      <c r="AA1166" s="327"/>
      <c r="AB1166" s="519" t="s">
        <v>303</v>
      </c>
      <c r="AC1166" s="326"/>
      <c r="AD1166" s="326"/>
      <c r="AE1166" s="327"/>
      <c r="AF1166" s="520"/>
      <c r="AG1166" s="327"/>
      <c r="AH1166" s="520"/>
      <c r="AI1166" s="327"/>
      <c r="AJ1166" s="536"/>
      <c r="AK1166" s="327"/>
      <c r="AL1166" s="556" t="s">
        <v>334</v>
      </c>
      <c r="AM1166" s="327"/>
      <c r="AN1166" s="553" t="s">
        <v>334</v>
      </c>
      <c r="AO1166" s="327"/>
      <c r="AP1166" s="554"/>
      <c r="AQ1166" s="327"/>
      <c r="AR1166" s="555"/>
      <c r="AS1166" s="327"/>
      <c r="AT1166" s="549"/>
      <c r="AU1166" s="327"/>
      <c r="AV1166" s="553" t="s">
        <v>334</v>
      </c>
      <c r="AW1166" s="327"/>
      <c r="AX1166" s="521"/>
      <c r="AY1166" s="326"/>
      <c r="AZ1166" s="327"/>
      <c r="BA1166" s="536"/>
      <c r="BB1166" s="327"/>
      <c r="BC1166" s="22"/>
      <c r="BD1166" s="551" t="s">
        <v>334</v>
      </c>
      <c r="BE1166" s="327"/>
      <c r="BF1166" s="552"/>
      <c r="BG1166" s="326"/>
      <c r="BH1166" s="326"/>
      <c r="BI1166" s="327"/>
      <c r="BJ1166" s="451" t="s">
        <v>303</v>
      </c>
      <c r="BK1166" s="326"/>
      <c r="BL1166" s="326"/>
      <c r="BM1166" s="327"/>
      <c r="BN1166" s="558" t="s">
        <v>303</v>
      </c>
      <c r="BO1166" s="326"/>
      <c r="BP1166" s="326"/>
      <c r="BQ1166" s="326"/>
      <c r="BR1166" s="326"/>
      <c r="BS1166" s="326"/>
      <c r="BT1166" s="326"/>
      <c r="BU1166" s="326"/>
      <c r="BV1166" s="327"/>
    </row>
    <row r="1167" spans="1:74" ht="45" customHeight="1" x14ac:dyDescent="0.25">
      <c r="A1167" s="10">
        <f t="shared" si="4"/>
        <v>1153</v>
      </c>
      <c r="B1167" s="559" t="s">
        <v>303</v>
      </c>
      <c r="C1167" s="327"/>
      <c r="D1167" s="560" t="s">
        <v>307</v>
      </c>
      <c r="E1167" s="327"/>
      <c r="F1167" s="537" t="s">
        <v>334</v>
      </c>
      <c r="G1167" s="327"/>
      <c r="H1167" s="566" t="s">
        <v>334</v>
      </c>
      <c r="I1167" s="327"/>
      <c r="J1167" s="567"/>
      <c r="K1167" s="327"/>
      <c r="L1167" s="567"/>
      <c r="M1167" s="327"/>
      <c r="N1167" s="20"/>
      <c r="O1167" s="21"/>
      <c r="P1167" s="524"/>
      <c r="Q1167" s="327"/>
      <c r="R1167" s="538"/>
      <c r="S1167" s="327"/>
      <c r="T1167" s="539"/>
      <c r="U1167" s="327"/>
      <c r="V1167" s="540"/>
      <c r="W1167" s="327"/>
      <c r="X1167" s="541" t="s">
        <v>303</v>
      </c>
      <c r="Y1167" s="326"/>
      <c r="Z1167" s="326"/>
      <c r="AA1167" s="327"/>
      <c r="AB1167" s="542" t="s">
        <v>303</v>
      </c>
      <c r="AC1167" s="326"/>
      <c r="AD1167" s="326"/>
      <c r="AE1167" s="327"/>
      <c r="AF1167" s="543"/>
      <c r="AG1167" s="327"/>
      <c r="AH1167" s="543"/>
      <c r="AI1167" s="327"/>
      <c r="AJ1167" s="536"/>
      <c r="AK1167" s="327"/>
      <c r="AL1167" s="537" t="s">
        <v>334</v>
      </c>
      <c r="AM1167" s="327"/>
      <c r="AN1167" s="546" t="s">
        <v>334</v>
      </c>
      <c r="AO1167" s="327"/>
      <c r="AP1167" s="547"/>
      <c r="AQ1167" s="327"/>
      <c r="AR1167" s="548"/>
      <c r="AS1167" s="327"/>
      <c r="AT1167" s="549"/>
      <c r="AU1167" s="327"/>
      <c r="AV1167" s="546" t="s">
        <v>334</v>
      </c>
      <c r="AW1167" s="327"/>
      <c r="AX1167" s="521"/>
      <c r="AY1167" s="326"/>
      <c r="AZ1167" s="327"/>
      <c r="BA1167" s="550"/>
      <c r="BB1167" s="327"/>
      <c r="BC1167" s="25"/>
      <c r="BD1167" s="544" t="s">
        <v>334</v>
      </c>
      <c r="BE1167" s="327"/>
      <c r="BF1167" s="545"/>
      <c r="BG1167" s="326"/>
      <c r="BH1167" s="326"/>
      <c r="BI1167" s="327"/>
      <c r="BJ1167" s="557" t="s">
        <v>303</v>
      </c>
      <c r="BK1167" s="326"/>
      <c r="BL1167" s="326"/>
      <c r="BM1167" s="327"/>
      <c r="BN1167" s="558" t="s">
        <v>303</v>
      </c>
      <c r="BO1167" s="326"/>
      <c r="BP1167" s="326"/>
      <c r="BQ1167" s="326"/>
      <c r="BR1167" s="326"/>
      <c r="BS1167" s="326"/>
      <c r="BT1167" s="326"/>
      <c r="BU1167" s="326"/>
      <c r="BV1167" s="327"/>
    </row>
    <row r="1168" spans="1:74" ht="45" customHeight="1" x14ac:dyDescent="0.25">
      <c r="A1168" s="10">
        <f t="shared" si="4"/>
        <v>1154</v>
      </c>
      <c r="B1168" s="564" t="s">
        <v>303</v>
      </c>
      <c r="C1168" s="327"/>
      <c r="D1168" s="565" t="s">
        <v>307</v>
      </c>
      <c r="E1168" s="327"/>
      <c r="F1168" s="537" t="s">
        <v>334</v>
      </c>
      <c r="G1168" s="327"/>
      <c r="H1168" s="561" t="s">
        <v>334</v>
      </c>
      <c r="I1168" s="327"/>
      <c r="J1168" s="26"/>
      <c r="K1168" s="27"/>
      <c r="L1168" s="26"/>
      <c r="M1168" s="27"/>
      <c r="N1168" s="23"/>
      <c r="O1168" s="24"/>
      <c r="P1168" s="563"/>
      <c r="Q1168" s="327"/>
      <c r="R1168" s="516"/>
      <c r="S1168" s="327"/>
      <c r="T1168" s="517"/>
      <c r="U1168" s="327"/>
      <c r="V1168" s="518"/>
      <c r="W1168" s="327"/>
      <c r="X1168" s="438" t="s">
        <v>303</v>
      </c>
      <c r="Y1168" s="326"/>
      <c r="Z1168" s="326"/>
      <c r="AA1168" s="327"/>
      <c r="AB1168" s="519" t="s">
        <v>303</v>
      </c>
      <c r="AC1168" s="326"/>
      <c r="AD1168" s="326"/>
      <c r="AE1168" s="327"/>
      <c r="AF1168" s="520"/>
      <c r="AG1168" s="327"/>
      <c r="AH1168" s="520"/>
      <c r="AI1168" s="327"/>
      <c r="AJ1168" s="536"/>
      <c r="AK1168" s="327"/>
      <c r="AL1168" s="556" t="s">
        <v>334</v>
      </c>
      <c r="AM1168" s="327"/>
      <c r="AN1168" s="553" t="s">
        <v>334</v>
      </c>
      <c r="AO1168" s="327"/>
      <c r="AP1168" s="554"/>
      <c r="AQ1168" s="327"/>
      <c r="AR1168" s="555"/>
      <c r="AS1168" s="327"/>
      <c r="AT1168" s="549"/>
      <c r="AU1168" s="327"/>
      <c r="AV1168" s="553" t="s">
        <v>334</v>
      </c>
      <c r="AW1168" s="327"/>
      <c r="AX1168" s="521"/>
      <c r="AY1168" s="326"/>
      <c r="AZ1168" s="327"/>
      <c r="BA1168" s="536"/>
      <c r="BB1168" s="327"/>
      <c r="BC1168" s="22"/>
      <c r="BD1168" s="551" t="s">
        <v>334</v>
      </c>
      <c r="BE1168" s="327"/>
      <c r="BF1168" s="552"/>
      <c r="BG1168" s="326"/>
      <c r="BH1168" s="326"/>
      <c r="BI1168" s="327"/>
      <c r="BJ1168" s="451" t="s">
        <v>303</v>
      </c>
      <c r="BK1168" s="326"/>
      <c r="BL1168" s="326"/>
      <c r="BM1168" s="327"/>
      <c r="BN1168" s="558" t="s">
        <v>303</v>
      </c>
      <c r="BO1168" s="326"/>
      <c r="BP1168" s="326"/>
      <c r="BQ1168" s="326"/>
      <c r="BR1168" s="326"/>
      <c r="BS1168" s="326"/>
      <c r="BT1168" s="326"/>
      <c r="BU1168" s="326"/>
      <c r="BV1168" s="327"/>
    </row>
    <row r="1169" spans="1:74" ht="45" customHeight="1" x14ac:dyDescent="0.25">
      <c r="A1169" s="10">
        <f t="shared" si="4"/>
        <v>1155</v>
      </c>
      <c r="B1169" s="559" t="s">
        <v>303</v>
      </c>
      <c r="C1169" s="327"/>
      <c r="D1169" s="560" t="s">
        <v>307</v>
      </c>
      <c r="E1169" s="327"/>
      <c r="F1169" s="537" t="s">
        <v>334</v>
      </c>
      <c r="G1169" s="327"/>
      <c r="H1169" s="566" t="s">
        <v>334</v>
      </c>
      <c r="I1169" s="327"/>
      <c r="J1169" s="567"/>
      <c r="K1169" s="327"/>
      <c r="L1169" s="567"/>
      <c r="M1169" s="327"/>
      <c r="N1169" s="20"/>
      <c r="O1169" s="24"/>
      <c r="P1169" s="524"/>
      <c r="Q1169" s="327"/>
      <c r="R1169" s="538"/>
      <c r="S1169" s="327"/>
      <c r="T1169" s="539"/>
      <c r="U1169" s="327"/>
      <c r="V1169" s="540"/>
      <c r="W1169" s="327"/>
      <c r="X1169" s="541" t="s">
        <v>303</v>
      </c>
      <c r="Y1169" s="326"/>
      <c r="Z1169" s="326"/>
      <c r="AA1169" s="327"/>
      <c r="AB1169" s="542" t="s">
        <v>303</v>
      </c>
      <c r="AC1169" s="326"/>
      <c r="AD1169" s="326"/>
      <c r="AE1169" s="327"/>
      <c r="AF1169" s="543"/>
      <c r="AG1169" s="327"/>
      <c r="AH1169" s="543"/>
      <c r="AI1169" s="327"/>
      <c r="AJ1169" s="536"/>
      <c r="AK1169" s="327"/>
      <c r="AL1169" s="537" t="s">
        <v>334</v>
      </c>
      <c r="AM1169" s="327"/>
      <c r="AN1169" s="546" t="s">
        <v>334</v>
      </c>
      <c r="AO1169" s="327"/>
      <c r="AP1169" s="547"/>
      <c r="AQ1169" s="327"/>
      <c r="AR1169" s="548"/>
      <c r="AS1169" s="327"/>
      <c r="AT1169" s="568"/>
      <c r="AU1169" s="327"/>
      <c r="AV1169" s="546" t="s">
        <v>334</v>
      </c>
      <c r="AW1169" s="327"/>
      <c r="AX1169" s="521"/>
      <c r="AY1169" s="326"/>
      <c r="AZ1169" s="327"/>
      <c r="BA1169" s="550"/>
      <c r="BB1169" s="327"/>
      <c r="BC1169" s="25"/>
      <c r="BD1169" s="544" t="s">
        <v>334</v>
      </c>
      <c r="BE1169" s="327"/>
      <c r="BF1169" s="545"/>
      <c r="BG1169" s="326"/>
      <c r="BH1169" s="326"/>
      <c r="BI1169" s="327"/>
      <c r="BJ1169" s="557" t="s">
        <v>303</v>
      </c>
      <c r="BK1169" s="326"/>
      <c r="BL1169" s="326"/>
      <c r="BM1169" s="327"/>
      <c r="BN1169" s="558" t="s">
        <v>303</v>
      </c>
      <c r="BO1169" s="326"/>
      <c r="BP1169" s="326"/>
      <c r="BQ1169" s="326"/>
      <c r="BR1169" s="326"/>
      <c r="BS1169" s="326"/>
      <c r="BT1169" s="326"/>
      <c r="BU1169" s="326"/>
      <c r="BV1169" s="327"/>
    </row>
    <row r="1170" spans="1:74" ht="45" customHeight="1" x14ac:dyDescent="0.25">
      <c r="A1170" s="10">
        <f t="shared" si="4"/>
        <v>1156</v>
      </c>
      <c r="B1170" s="564" t="s">
        <v>303</v>
      </c>
      <c r="C1170" s="327"/>
      <c r="D1170" s="565" t="s">
        <v>307</v>
      </c>
      <c r="E1170" s="327"/>
      <c r="F1170" s="537" t="s">
        <v>334</v>
      </c>
      <c r="G1170" s="327"/>
      <c r="H1170" s="561" t="s">
        <v>334</v>
      </c>
      <c r="I1170" s="327"/>
      <c r="J1170" s="26"/>
      <c r="K1170" s="27"/>
      <c r="L1170" s="26"/>
      <c r="M1170" s="27"/>
      <c r="N1170" s="23"/>
      <c r="O1170" s="21"/>
      <c r="P1170" s="563"/>
      <c r="Q1170" s="327"/>
      <c r="R1170" s="516"/>
      <c r="S1170" s="327"/>
      <c r="T1170" s="517"/>
      <c r="U1170" s="327"/>
      <c r="V1170" s="518"/>
      <c r="W1170" s="327"/>
      <c r="X1170" s="438" t="s">
        <v>303</v>
      </c>
      <c r="Y1170" s="326"/>
      <c r="Z1170" s="326"/>
      <c r="AA1170" s="327"/>
      <c r="AB1170" s="519" t="s">
        <v>303</v>
      </c>
      <c r="AC1170" s="326"/>
      <c r="AD1170" s="326"/>
      <c r="AE1170" s="327"/>
      <c r="AF1170" s="520"/>
      <c r="AG1170" s="327"/>
      <c r="AH1170" s="520"/>
      <c r="AI1170" s="327"/>
      <c r="AJ1170" s="536"/>
      <c r="AK1170" s="327"/>
      <c r="AL1170" s="556" t="s">
        <v>334</v>
      </c>
      <c r="AM1170" s="327"/>
      <c r="AN1170" s="553" t="s">
        <v>334</v>
      </c>
      <c r="AO1170" s="327"/>
      <c r="AP1170" s="554"/>
      <c r="AQ1170" s="327"/>
      <c r="AR1170" s="555"/>
      <c r="AS1170" s="327"/>
      <c r="AT1170" s="549"/>
      <c r="AU1170" s="327"/>
      <c r="AV1170" s="553" t="s">
        <v>334</v>
      </c>
      <c r="AW1170" s="327"/>
      <c r="AX1170" s="521"/>
      <c r="AY1170" s="326"/>
      <c r="AZ1170" s="327"/>
      <c r="BA1170" s="536"/>
      <c r="BB1170" s="327"/>
      <c r="BC1170" s="22"/>
      <c r="BD1170" s="551" t="s">
        <v>334</v>
      </c>
      <c r="BE1170" s="327"/>
      <c r="BF1170" s="508"/>
      <c r="BG1170" s="326"/>
      <c r="BH1170" s="326"/>
      <c r="BI1170" s="327"/>
      <c r="BJ1170" s="451" t="s">
        <v>303</v>
      </c>
      <c r="BK1170" s="326"/>
      <c r="BL1170" s="326"/>
      <c r="BM1170" s="327"/>
      <c r="BN1170" s="558" t="s">
        <v>303</v>
      </c>
      <c r="BO1170" s="326"/>
      <c r="BP1170" s="326"/>
      <c r="BQ1170" s="326"/>
      <c r="BR1170" s="326"/>
      <c r="BS1170" s="326"/>
      <c r="BT1170" s="326"/>
      <c r="BU1170" s="326"/>
      <c r="BV1170" s="327"/>
    </row>
    <row r="1171" spans="1:74" ht="45" customHeight="1" x14ac:dyDescent="0.25">
      <c r="A1171" s="10">
        <f t="shared" si="4"/>
        <v>1157</v>
      </c>
      <c r="B1171" s="559" t="s">
        <v>303</v>
      </c>
      <c r="C1171" s="327"/>
      <c r="D1171" s="560" t="s">
        <v>307</v>
      </c>
      <c r="E1171" s="327"/>
      <c r="F1171" s="537" t="s">
        <v>334</v>
      </c>
      <c r="G1171" s="327"/>
      <c r="H1171" s="566" t="s">
        <v>334</v>
      </c>
      <c r="I1171" s="327"/>
      <c r="J1171" s="567"/>
      <c r="K1171" s="327"/>
      <c r="L1171" s="567"/>
      <c r="M1171" s="327"/>
      <c r="N1171" s="20"/>
      <c r="O1171" s="24"/>
      <c r="P1171" s="524"/>
      <c r="Q1171" s="327"/>
      <c r="R1171" s="538"/>
      <c r="S1171" s="327"/>
      <c r="T1171" s="539"/>
      <c r="U1171" s="327"/>
      <c r="V1171" s="540"/>
      <c r="W1171" s="327"/>
      <c r="X1171" s="541" t="s">
        <v>303</v>
      </c>
      <c r="Y1171" s="326"/>
      <c r="Z1171" s="326"/>
      <c r="AA1171" s="327"/>
      <c r="AB1171" s="542" t="s">
        <v>303</v>
      </c>
      <c r="AC1171" s="326"/>
      <c r="AD1171" s="326"/>
      <c r="AE1171" s="327"/>
      <c r="AF1171" s="543"/>
      <c r="AG1171" s="327"/>
      <c r="AH1171" s="543"/>
      <c r="AI1171" s="327"/>
      <c r="AJ1171" s="536"/>
      <c r="AK1171" s="327"/>
      <c r="AL1171" s="537" t="s">
        <v>334</v>
      </c>
      <c r="AM1171" s="327"/>
      <c r="AN1171" s="546" t="s">
        <v>334</v>
      </c>
      <c r="AO1171" s="327"/>
      <c r="AP1171" s="547"/>
      <c r="AQ1171" s="327"/>
      <c r="AR1171" s="548"/>
      <c r="AS1171" s="327"/>
      <c r="AT1171" s="568"/>
      <c r="AU1171" s="327"/>
      <c r="AV1171" s="546" t="s">
        <v>334</v>
      </c>
      <c r="AW1171" s="327"/>
      <c r="AX1171" s="521"/>
      <c r="AY1171" s="326"/>
      <c r="AZ1171" s="327"/>
      <c r="BA1171" s="550"/>
      <c r="BB1171" s="327"/>
      <c r="BC1171" s="25"/>
      <c r="BD1171" s="544" t="s">
        <v>334</v>
      </c>
      <c r="BE1171" s="327"/>
      <c r="BF1171" s="545"/>
      <c r="BG1171" s="326"/>
      <c r="BH1171" s="326"/>
      <c r="BI1171" s="327"/>
      <c r="BJ1171" s="557" t="s">
        <v>303</v>
      </c>
      <c r="BK1171" s="326"/>
      <c r="BL1171" s="326"/>
      <c r="BM1171" s="327"/>
      <c r="BN1171" s="558" t="s">
        <v>303</v>
      </c>
      <c r="BO1171" s="326"/>
      <c r="BP1171" s="326"/>
      <c r="BQ1171" s="326"/>
      <c r="BR1171" s="326"/>
      <c r="BS1171" s="326"/>
      <c r="BT1171" s="326"/>
      <c r="BU1171" s="326"/>
      <c r="BV1171" s="327"/>
    </row>
    <row r="1172" spans="1:74" ht="45" customHeight="1" x14ac:dyDescent="0.25">
      <c r="A1172" s="10">
        <f t="shared" si="4"/>
        <v>1158</v>
      </c>
      <c r="B1172" s="564" t="s">
        <v>303</v>
      </c>
      <c r="C1172" s="327"/>
      <c r="D1172" s="565" t="s">
        <v>307</v>
      </c>
      <c r="E1172" s="327"/>
      <c r="F1172" s="537" t="s">
        <v>334</v>
      </c>
      <c r="G1172" s="327"/>
      <c r="H1172" s="561" t="s">
        <v>334</v>
      </c>
      <c r="I1172" s="327"/>
      <c r="J1172" s="26"/>
      <c r="K1172" s="27"/>
      <c r="L1172" s="26"/>
      <c r="M1172" s="27"/>
      <c r="N1172" s="23"/>
      <c r="O1172" s="21"/>
      <c r="P1172" s="563"/>
      <c r="Q1172" s="327"/>
      <c r="R1172" s="516"/>
      <c r="S1172" s="327"/>
      <c r="T1172" s="517"/>
      <c r="U1172" s="327"/>
      <c r="V1172" s="518"/>
      <c r="W1172" s="327"/>
      <c r="X1172" s="438" t="s">
        <v>303</v>
      </c>
      <c r="Y1172" s="326"/>
      <c r="Z1172" s="326"/>
      <c r="AA1172" s="327"/>
      <c r="AB1172" s="519" t="s">
        <v>303</v>
      </c>
      <c r="AC1172" s="326"/>
      <c r="AD1172" s="326"/>
      <c r="AE1172" s="327"/>
      <c r="AF1172" s="520"/>
      <c r="AG1172" s="327"/>
      <c r="AH1172" s="520"/>
      <c r="AI1172" s="327"/>
      <c r="AJ1172" s="536"/>
      <c r="AK1172" s="327"/>
      <c r="AL1172" s="556" t="s">
        <v>334</v>
      </c>
      <c r="AM1172" s="327"/>
      <c r="AN1172" s="553" t="s">
        <v>334</v>
      </c>
      <c r="AO1172" s="327"/>
      <c r="AP1172" s="554"/>
      <c r="AQ1172" s="327"/>
      <c r="AR1172" s="555"/>
      <c r="AS1172" s="327"/>
      <c r="AT1172" s="549"/>
      <c r="AU1172" s="327"/>
      <c r="AV1172" s="553" t="s">
        <v>334</v>
      </c>
      <c r="AW1172" s="327"/>
      <c r="AX1172" s="521"/>
      <c r="AY1172" s="326"/>
      <c r="AZ1172" s="327"/>
      <c r="BA1172" s="536"/>
      <c r="BB1172" s="327"/>
      <c r="BC1172" s="22"/>
      <c r="BD1172" s="551" t="s">
        <v>334</v>
      </c>
      <c r="BE1172" s="327"/>
      <c r="BF1172" s="552"/>
      <c r="BG1172" s="326"/>
      <c r="BH1172" s="326"/>
      <c r="BI1172" s="327"/>
      <c r="BJ1172" s="451" t="s">
        <v>303</v>
      </c>
      <c r="BK1172" s="326"/>
      <c r="BL1172" s="326"/>
      <c r="BM1172" s="327"/>
      <c r="BN1172" s="558" t="s">
        <v>303</v>
      </c>
      <c r="BO1172" s="326"/>
      <c r="BP1172" s="326"/>
      <c r="BQ1172" s="326"/>
      <c r="BR1172" s="326"/>
      <c r="BS1172" s="326"/>
      <c r="BT1172" s="326"/>
      <c r="BU1172" s="326"/>
      <c r="BV1172" s="327"/>
    </row>
    <row r="1173" spans="1:74" ht="45" customHeight="1" x14ac:dyDescent="0.25">
      <c r="A1173" s="10">
        <f t="shared" si="4"/>
        <v>1159</v>
      </c>
      <c r="B1173" s="559" t="s">
        <v>303</v>
      </c>
      <c r="C1173" s="327"/>
      <c r="D1173" s="560" t="s">
        <v>307</v>
      </c>
      <c r="E1173" s="327"/>
      <c r="F1173" s="537" t="s">
        <v>334</v>
      </c>
      <c r="G1173" s="327"/>
      <c r="H1173" s="566" t="s">
        <v>334</v>
      </c>
      <c r="I1173" s="327"/>
      <c r="J1173" s="567"/>
      <c r="K1173" s="327"/>
      <c r="L1173" s="567"/>
      <c r="M1173" s="327"/>
      <c r="N1173" s="20"/>
      <c r="O1173" s="24"/>
      <c r="P1173" s="524"/>
      <c r="Q1173" s="327"/>
      <c r="R1173" s="538"/>
      <c r="S1173" s="327"/>
      <c r="T1173" s="539"/>
      <c r="U1173" s="327"/>
      <c r="V1173" s="540"/>
      <c r="W1173" s="327"/>
      <c r="X1173" s="541" t="s">
        <v>303</v>
      </c>
      <c r="Y1173" s="326"/>
      <c r="Z1173" s="326"/>
      <c r="AA1173" s="327"/>
      <c r="AB1173" s="542" t="s">
        <v>303</v>
      </c>
      <c r="AC1173" s="326"/>
      <c r="AD1173" s="326"/>
      <c r="AE1173" s="327"/>
      <c r="AF1173" s="543"/>
      <c r="AG1173" s="327"/>
      <c r="AH1173" s="543"/>
      <c r="AI1173" s="327"/>
      <c r="AJ1173" s="536"/>
      <c r="AK1173" s="327"/>
      <c r="AL1173" s="537" t="s">
        <v>334</v>
      </c>
      <c r="AM1173" s="327"/>
      <c r="AN1173" s="546" t="s">
        <v>334</v>
      </c>
      <c r="AO1173" s="327"/>
      <c r="AP1173" s="547"/>
      <c r="AQ1173" s="327"/>
      <c r="AR1173" s="548"/>
      <c r="AS1173" s="327"/>
      <c r="AT1173" s="568"/>
      <c r="AU1173" s="327"/>
      <c r="AV1173" s="546" t="s">
        <v>334</v>
      </c>
      <c r="AW1173" s="327"/>
      <c r="AX1173" s="521"/>
      <c r="AY1173" s="326"/>
      <c r="AZ1173" s="327"/>
      <c r="BA1173" s="550"/>
      <c r="BB1173" s="327"/>
      <c r="BC1173" s="25"/>
      <c r="BD1173" s="544" t="s">
        <v>334</v>
      </c>
      <c r="BE1173" s="327"/>
      <c r="BF1173" s="545"/>
      <c r="BG1173" s="326"/>
      <c r="BH1173" s="326"/>
      <c r="BI1173" s="327"/>
      <c r="BJ1173" s="557" t="s">
        <v>303</v>
      </c>
      <c r="BK1173" s="326"/>
      <c r="BL1173" s="326"/>
      <c r="BM1173" s="327"/>
      <c r="BN1173" s="558" t="s">
        <v>303</v>
      </c>
      <c r="BO1173" s="326"/>
      <c r="BP1173" s="326"/>
      <c r="BQ1173" s="326"/>
      <c r="BR1173" s="326"/>
      <c r="BS1173" s="326"/>
      <c r="BT1173" s="326"/>
      <c r="BU1173" s="326"/>
      <c r="BV1173" s="327"/>
    </row>
    <row r="1174" spans="1:74" ht="45" customHeight="1" x14ac:dyDescent="0.25">
      <c r="A1174" s="10">
        <f t="shared" si="4"/>
        <v>1160</v>
      </c>
      <c r="B1174" s="564" t="s">
        <v>303</v>
      </c>
      <c r="C1174" s="327"/>
      <c r="D1174" s="565" t="s">
        <v>307</v>
      </c>
      <c r="E1174" s="327"/>
      <c r="F1174" s="537" t="s">
        <v>334</v>
      </c>
      <c r="G1174" s="327"/>
      <c r="H1174" s="561" t="s">
        <v>334</v>
      </c>
      <c r="I1174" s="327"/>
      <c r="J1174" s="26"/>
      <c r="K1174" s="27"/>
      <c r="L1174" s="26"/>
      <c r="M1174" s="27"/>
      <c r="N1174" s="23"/>
      <c r="O1174" s="21"/>
      <c r="P1174" s="563"/>
      <c r="Q1174" s="327"/>
      <c r="R1174" s="516"/>
      <c r="S1174" s="327"/>
      <c r="T1174" s="517"/>
      <c r="U1174" s="327"/>
      <c r="V1174" s="518"/>
      <c r="W1174" s="327"/>
      <c r="X1174" s="438" t="s">
        <v>303</v>
      </c>
      <c r="Y1174" s="326"/>
      <c r="Z1174" s="326"/>
      <c r="AA1174" s="327"/>
      <c r="AB1174" s="519" t="s">
        <v>303</v>
      </c>
      <c r="AC1174" s="326"/>
      <c r="AD1174" s="326"/>
      <c r="AE1174" s="327"/>
      <c r="AF1174" s="520"/>
      <c r="AG1174" s="327"/>
      <c r="AH1174" s="520"/>
      <c r="AI1174" s="327"/>
      <c r="AJ1174" s="536"/>
      <c r="AK1174" s="327"/>
      <c r="AL1174" s="556" t="s">
        <v>334</v>
      </c>
      <c r="AM1174" s="327"/>
      <c r="AN1174" s="553" t="s">
        <v>334</v>
      </c>
      <c r="AO1174" s="327"/>
      <c r="AP1174" s="554"/>
      <c r="AQ1174" s="327"/>
      <c r="AR1174" s="555"/>
      <c r="AS1174" s="327"/>
      <c r="AT1174" s="549"/>
      <c r="AU1174" s="327"/>
      <c r="AV1174" s="553" t="s">
        <v>334</v>
      </c>
      <c r="AW1174" s="327"/>
      <c r="AX1174" s="521"/>
      <c r="AY1174" s="326"/>
      <c r="AZ1174" s="327"/>
      <c r="BA1174" s="536"/>
      <c r="BB1174" s="327"/>
      <c r="BC1174" s="22"/>
      <c r="BD1174" s="551" t="s">
        <v>334</v>
      </c>
      <c r="BE1174" s="327"/>
      <c r="BF1174" s="552"/>
      <c r="BG1174" s="326"/>
      <c r="BH1174" s="326"/>
      <c r="BI1174" s="327"/>
      <c r="BJ1174" s="451" t="s">
        <v>303</v>
      </c>
      <c r="BK1174" s="326"/>
      <c r="BL1174" s="326"/>
      <c r="BM1174" s="327"/>
      <c r="BN1174" s="558" t="s">
        <v>303</v>
      </c>
      <c r="BO1174" s="326"/>
      <c r="BP1174" s="326"/>
      <c r="BQ1174" s="326"/>
      <c r="BR1174" s="326"/>
      <c r="BS1174" s="326"/>
      <c r="BT1174" s="326"/>
      <c r="BU1174" s="326"/>
      <c r="BV1174" s="327"/>
    </row>
    <row r="1175" spans="1:74" ht="45" customHeight="1" x14ac:dyDescent="0.25">
      <c r="A1175" s="10">
        <f t="shared" si="4"/>
        <v>1161</v>
      </c>
      <c r="B1175" s="559" t="s">
        <v>303</v>
      </c>
      <c r="C1175" s="327"/>
      <c r="D1175" s="560" t="s">
        <v>307</v>
      </c>
      <c r="E1175" s="327"/>
      <c r="F1175" s="537" t="s">
        <v>334</v>
      </c>
      <c r="G1175" s="327"/>
      <c r="H1175" s="566" t="s">
        <v>334</v>
      </c>
      <c r="I1175" s="327"/>
      <c r="J1175" s="567"/>
      <c r="K1175" s="327"/>
      <c r="L1175" s="567"/>
      <c r="M1175" s="327"/>
      <c r="N1175" s="20"/>
      <c r="O1175" s="24"/>
      <c r="P1175" s="524"/>
      <c r="Q1175" s="327"/>
      <c r="R1175" s="538"/>
      <c r="S1175" s="327"/>
      <c r="T1175" s="539"/>
      <c r="U1175" s="327"/>
      <c r="V1175" s="540"/>
      <c r="W1175" s="327"/>
      <c r="X1175" s="541" t="s">
        <v>303</v>
      </c>
      <c r="Y1175" s="326"/>
      <c r="Z1175" s="326"/>
      <c r="AA1175" s="327"/>
      <c r="AB1175" s="542" t="s">
        <v>303</v>
      </c>
      <c r="AC1175" s="326"/>
      <c r="AD1175" s="326"/>
      <c r="AE1175" s="327"/>
      <c r="AF1175" s="543"/>
      <c r="AG1175" s="327"/>
      <c r="AH1175" s="543"/>
      <c r="AI1175" s="327"/>
      <c r="AJ1175" s="536"/>
      <c r="AK1175" s="327"/>
      <c r="AL1175" s="537" t="s">
        <v>334</v>
      </c>
      <c r="AM1175" s="327"/>
      <c r="AN1175" s="546" t="s">
        <v>334</v>
      </c>
      <c r="AO1175" s="327"/>
      <c r="AP1175" s="547"/>
      <c r="AQ1175" s="327"/>
      <c r="AR1175" s="548"/>
      <c r="AS1175" s="327"/>
      <c r="AT1175" s="568"/>
      <c r="AU1175" s="327"/>
      <c r="AV1175" s="546" t="s">
        <v>334</v>
      </c>
      <c r="AW1175" s="327"/>
      <c r="AX1175" s="521"/>
      <c r="AY1175" s="326"/>
      <c r="AZ1175" s="327"/>
      <c r="BA1175" s="550"/>
      <c r="BB1175" s="327"/>
      <c r="BC1175" s="25"/>
      <c r="BD1175" s="544" t="s">
        <v>334</v>
      </c>
      <c r="BE1175" s="327"/>
      <c r="BF1175" s="545"/>
      <c r="BG1175" s="326"/>
      <c r="BH1175" s="326"/>
      <c r="BI1175" s="327"/>
      <c r="BJ1175" s="557" t="s">
        <v>303</v>
      </c>
      <c r="BK1175" s="326"/>
      <c r="BL1175" s="326"/>
      <c r="BM1175" s="327"/>
      <c r="BN1175" s="558" t="s">
        <v>303</v>
      </c>
      <c r="BO1175" s="326"/>
      <c r="BP1175" s="326"/>
      <c r="BQ1175" s="326"/>
      <c r="BR1175" s="326"/>
      <c r="BS1175" s="326"/>
      <c r="BT1175" s="326"/>
      <c r="BU1175" s="326"/>
      <c r="BV1175" s="327"/>
    </row>
    <row r="1176" spans="1:74" ht="45" customHeight="1" x14ac:dyDescent="0.25">
      <c r="A1176" s="10">
        <f t="shared" si="4"/>
        <v>1162</v>
      </c>
      <c r="B1176" s="564" t="s">
        <v>303</v>
      </c>
      <c r="C1176" s="327"/>
      <c r="D1176" s="565" t="s">
        <v>307</v>
      </c>
      <c r="E1176" s="327"/>
      <c r="F1176" s="537" t="s">
        <v>334</v>
      </c>
      <c r="G1176" s="327"/>
      <c r="H1176" s="561" t="s">
        <v>334</v>
      </c>
      <c r="I1176" s="327"/>
      <c r="J1176" s="26"/>
      <c r="K1176" s="27"/>
      <c r="L1176" s="26"/>
      <c r="M1176" s="27"/>
      <c r="N1176" s="23"/>
      <c r="O1176" s="21"/>
      <c r="P1176" s="563"/>
      <c r="Q1176" s="327"/>
      <c r="R1176" s="516"/>
      <c r="S1176" s="327"/>
      <c r="T1176" s="517"/>
      <c r="U1176" s="327"/>
      <c r="V1176" s="518"/>
      <c r="W1176" s="327"/>
      <c r="X1176" s="438" t="s">
        <v>303</v>
      </c>
      <c r="Y1176" s="326"/>
      <c r="Z1176" s="326"/>
      <c r="AA1176" s="327"/>
      <c r="AB1176" s="519" t="s">
        <v>303</v>
      </c>
      <c r="AC1176" s="326"/>
      <c r="AD1176" s="326"/>
      <c r="AE1176" s="327"/>
      <c r="AF1176" s="520"/>
      <c r="AG1176" s="327"/>
      <c r="AH1176" s="520"/>
      <c r="AI1176" s="327"/>
      <c r="AJ1176" s="536"/>
      <c r="AK1176" s="327"/>
      <c r="AL1176" s="556" t="s">
        <v>334</v>
      </c>
      <c r="AM1176" s="327"/>
      <c r="AN1176" s="553" t="s">
        <v>334</v>
      </c>
      <c r="AO1176" s="327"/>
      <c r="AP1176" s="554"/>
      <c r="AQ1176" s="327"/>
      <c r="AR1176" s="555"/>
      <c r="AS1176" s="327"/>
      <c r="AT1176" s="549"/>
      <c r="AU1176" s="327"/>
      <c r="AV1176" s="553" t="s">
        <v>334</v>
      </c>
      <c r="AW1176" s="327"/>
      <c r="AX1176" s="521"/>
      <c r="AY1176" s="326"/>
      <c r="AZ1176" s="327"/>
      <c r="BA1176" s="536"/>
      <c r="BB1176" s="327"/>
      <c r="BC1176" s="22"/>
      <c r="BD1176" s="551" t="s">
        <v>334</v>
      </c>
      <c r="BE1176" s="327"/>
      <c r="BF1176" s="508"/>
      <c r="BG1176" s="326"/>
      <c r="BH1176" s="326"/>
      <c r="BI1176" s="327"/>
      <c r="BJ1176" s="451" t="s">
        <v>303</v>
      </c>
      <c r="BK1176" s="326"/>
      <c r="BL1176" s="326"/>
      <c r="BM1176" s="327"/>
      <c r="BN1176" s="558" t="s">
        <v>303</v>
      </c>
      <c r="BO1176" s="326"/>
      <c r="BP1176" s="326"/>
      <c r="BQ1176" s="326"/>
      <c r="BR1176" s="326"/>
      <c r="BS1176" s="326"/>
      <c r="BT1176" s="326"/>
      <c r="BU1176" s="326"/>
      <c r="BV1176" s="327"/>
    </row>
    <row r="1177" spans="1:74" ht="45" customHeight="1" x14ac:dyDescent="0.25">
      <c r="A1177" s="10">
        <f t="shared" si="4"/>
        <v>1163</v>
      </c>
      <c r="B1177" s="559" t="s">
        <v>303</v>
      </c>
      <c r="C1177" s="327"/>
      <c r="D1177" s="560" t="s">
        <v>307</v>
      </c>
      <c r="E1177" s="327"/>
      <c r="F1177" s="537" t="s">
        <v>334</v>
      </c>
      <c r="G1177" s="327"/>
      <c r="H1177" s="566" t="s">
        <v>334</v>
      </c>
      <c r="I1177" s="327"/>
      <c r="J1177" s="567"/>
      <c r="K1177" s="327"/>
      <c r="L1177" s="567"/>
      <c r="M1177" s="327"/>
      <c r="N1177" s="20"/>
      <c r="O1177" s="24"/>
      <c r="P1177" s="524"/>
      <c r="Q1177" s="327"/>
      <c r="R1177" s="538"/>
      <c r="S1177" s="327"/>
      <c r="T1177" s="539"/>
      <c r="U1177" s="327"/>
      <c r="V1177" s="540"/>
      <c r="W1177" s="327"/>
      <c r="X1177" s="541" t="s">
        <v>303</v>
      </c>
      <c r="Y1177" s="326"/>
      <c r="Z1177" s="326"/>
      <c r="AA1177" s="327"/>
      <c r="AB1177" s="542" t="s">
        <v>303</v>
      </c>
      <c r="AC1177" s="326"/>
      <c r="AD1177" s="326"/>
      <c r="AE1177" s="327"/>
      <c r="AF1177" s="543"/>
      <c r="AG1177" s="327"/>
      <c r="AH1177" s="543"/>
      <c r="AI1177" s="327"/>
      <c r="AJ1177" s="536"/>
      <c r="AK1177" s="327"/>
      <c r="AL1177" s="537" t="s">
        <v>334</v>
      </c>
      <c r="AM1177" s="327"/>
      <c r="AN1177" s="546" t="s">
        <v>334</v>
      </c>
      <c r="AO1177" s="327"/>
      <c r="AP1177" s="547"/>
      <c r="AQ1177" s="327"/>
      <c r="AR1177" s="548"/>
      <c r="AS1177" s="327"/>
      <c r="AT1177" s="568"/>
      <c r="AU1177" s="327"/>
      <c r="AV1177" s="546" t="s">
        <v>334</v>
      </c>
      <c r="AW1177" s="327"/>
      <c r="AX1177" s="521"/>
      <c r="AY1177" s="326"/>
      <c r="AZ1177" s="327"/>
      <c r="BA1177" s="550"/>
      <c r="BB1177" s="327"/>
      <c r="BC1177" s="25"/>
      <c r="BD1177" s="544" t="s">
        <v>334</v>
      </c>
      <c r="BE1177" s="327"/>
      <c r="BF1177" s="545"/>
      <c r="BG1177" s="326"/>
      <c r="BH1177" s="326"/>
      <c r="BI1177" s="327"/>
      <c r="BJ1177" s="557" t="s">
        <v>303</v>
      </c>
      <c r="BK1177" s="326"/>
      <c r="BL1177" s="326"/>
      <c r="BM1177" s="327"/>
      <c r="BN1177" s="558" t="s">
        <v>303</v>
      </c>
      <c r="BO1177" s="326"/>
      <c r="BP1177" s="326"/>
      <c r="BQ1177" s="326"/>
      <c r="BR1177" s="326"/>
      <c r="BS1177" s="326"/>
      <c r="BT1177" s="326"/>
      <c r="BU1177" s="326"/>
      <c r="BV1177" s="327"/>
    </row>
    <row r="1178" spans="1:74" ht="45" customHeight="1" x14ac:dyDescent="0.25">
      <c r="A1178" s="10">
        <f t="shared" si="4"/>
        <v>1164</v>
      </c>
      <c r="B1178" s="564" t="s">
        <v>303</v>
      </c>
      <c r="C1178" s="327"/>
      <c r="D1178" s="565" t="s">
        <v>307</v>
      </c>
      <c r="E1178" s="327"/>
      <c r="F1178" s="537" t="s">
        <v>334</v>
      </c>
      <c r="G1178" s="327"/>
      <c r="H1178" s="561" t="s">
        <v>334</v>
      </c>
      <c r="I1178" s="327"/>
      <c r="J1178" s="26"/>
      <c r="K1178" s="27"/>
      <c r="L1178" s="26"/>
      <c r="M1178" s="27"/>
      <c r="N1178" s="23"/>
      <c r="O1178" s="21"/>
      <c r="P1178" s="563"/>
      <c r="Q1178" s="327"/>
      <c r="R1178" s="516"/>
      <c r="S1178" s="327"/>
      <c r="T1178" s="517"/>
      <c r="U1178" s="327"/>
      <c r="V1178" s="518"/>
      <c r="W1178" s="327"/>
      <c r="X1178" s="438" t="s">
        <v>303</v>
      </c>
      <c r="Y1178" s="326"/>
      <c r="Z1178" s="326"/>
      <c r="AA1178" s="327"/>
      <c r="AB1178" s="519" t="s">
        <v>303</v>
      </c>
      <c r="AC1178" s="326"/>
      <c r="AD1178" s="326"/>
      <c r="AE1178" s="327"/>
      <c r="AF1178" s="520"/>
      <c r="AG1178" s="327"/>
      <c r="AH1178" s="520"/>
      <c r="AI1178" s="327"/>
      <c r="AJ1178" s="536"/>
      <c r="AK1178" s="327"/>
      <c r="AL1178" s="556" t="s">
        <v>334</v>
      </c>
      <c r="AM1178" s="327"/>
      <c r="AN1178" s="553" t="s">
        <v>334</v>
      </c>
      <c r="AO1178" s="327"/>
      <c r="AP1178" s="554"/>
      <c r="AQ1178" s="327"/>
      <c r="AR1178" s="555"/>
      <c r="AS1178" s="327"/>
      <c r="AT1178" s="549"/>
      <c r="AU1178" s="327"/>
      <c r="AV1178" s="553" t="s">
        <v>334</v>
      </c>
      <c r="AW1178" s="327"/>
      <c r="AX1178" s="521"/>
      <c r="AY1178" s="326"/>
      <c r="AZ1178" s="327"/>
      <c r="BA1178" s="536"/>
      <c r="BB1178" s="327"/>
      <c r="BC1178" s="22"/>
      <c r="BD1178" s="551" t="s">
        <v>334</v>
      </c>
      <c r="BE1178" s="327"/>
      <c r="BF1178" s="552"/>
      <c r="BG1178" s="326"/>
      <c r="BH1178" s="326"/>
      <c r="BI1178" s="327"/>
      <c r="BJ1178" s="451" t="s">
        <v>303</v>
      </c>
      <c r="BK1178" s="326"/>
      <c r="BL1178" s="326"/>
      <c r="BM1178" s="327"/>
      <c r="BN1178" s="558" t="s">
        <v>303</v>
      </c>
      <c r="BO1178" s="326"/>
      <c r="BP1178" s="326"/>
      <c r="BQ1178" s="326"/>
      <c r="BR1178" s="326"/>
      <c r="BS1178" s="326"/>
      <c r="BT1178" s="326"/>
      <c r="BU1178" s="326"/>
      <c r="BV1178" s="327"/>
    </row>
    <row r="1179" spans="1:74" ht="45" customHeight="1" x14ac:dyDescent="0.25">
      <c r="A1179" s="10">
        <f t="shared" si="4"/>
        <v>1165</v>
      </c>
      <c r="B1179" s="559" t="s">
        <v>303</v>
      </c>
      <c r="C1179" s="327"/>
      <c r="D1179" s="560" t="s">
        <v>307</v>
      </c>
      <c r="E1179" s="327"/>
      <c r="F1179" s="537" t="s">
        <v>334</v>
      </c>
      <c r="G1179" s="327"/>
      <c r="H1179" s="566" t="s">
        <v>334</v>
      </c>
      <c r="I1179" s="327"/>
      <c r="J1179" s="567"/>
      <c r="K1179" s="327"/>
      <c r="L1179" s="567"/>
      <c r="M1179" s="327"/>
      <c r="N1179" s="23"/>
      <c r="O1179" s="24"/>
      <c r="P1179" s="563"/>
      <c r="Q1179" s="327"/>
      <c r="R1179" s="538"/>
      <c r="S1179" s="327"/>
      <c r="T1179" s="539"/>
      <c r="U1179" s="327"/>
      <c r="V1179" s="540"/>
      <c r="W1179" s="327"/>
      <c r="X1179" s="541" t="s">
        <v>303</v>
      </c>
      <c r="Y1179" s="326"/>
      <c r="Z1179" s="326"/>
      <c r="AA1179" s="327"/>
      <c r="AB1179" s="542" t="s">
        <v>303</v>
      </c>
      <c r="AC1179" s="326"/>
      <c r="AD1179" s="326"/>
      <c r="AE1179" s="327"/>
      <c r="AF1179" s="543"/>
      <c r="AG1179" s="327"/>
      <c r="AH1179" s="543"/>
      <c r="AI1179" s="327"/>
      <c r="AJ1179" s="536"/>
      <c r="AK1179" s="327"/>
      <c r="AL1179" s="537" t="s">
        <v>334</v>
      </c>
      <c r="AM1179" s="327"/>
      <c r="AN1179" s="546" t="s">
        <v>334</v>
      </c>
      <c r="AO1179" s="327"/>
      <c r="AP1179" s="547"/>
      <c r="AQ1179" s="327"/>
      <c r="AR1179" s="548"/>
      <c r="AS1179" s="327"/>
      <c r="AT1179" s="549"/>
      <c r="AU1179" s="327"/>
      <c r="AV1179" s="546" t="s">
        <v>334</v>
      </c>
      <c r="AW1179" s="327"/>
      <c r="AX1179" s="521"/>
      <c r="AY1179" s="326"/>
      <c r="AZ1179" s="327"/>
      <c r="BA1179" s="550"/>
      <c r="BB1179" s="327"/>
      <c r="BC1179" s="25"/>
      <c r="BD1179" s="544" t="s">
        <v>334</v>
      </c>
      <c r="BE1179" s="327"/>
      <c r="BF1179" s="545"/>
      <c r="BG1179" s="326"/>
      <c r="BH1179" s="326"/>
      <c r="BI1179" s="327"/>
      <c r="BJ1179" s="557" t="s">
        <v>303</v>
      </c>
      <c r="BK1179" s="326"/>
      <c r="BL1179" s="326"/>
      <c r="BM1179" s="327"/>
      <c r="BN1179" s="558" t="s">
        <v>303</v>
      </c>
      <c r="BO1179" s="326"/>
      <c r="BP1179" s="326"/>
      <c r="BQ1179" s="326"/>
      <c r="BR1179" s="326"/>
      <c r="BS1179" s="326"/>
      <c r="BT1179" s="326"/>
      <c r="BU1179" s="326"/>
      <c r="BV1179" s="327"/>
    </row>
    <row r="1180" spans="1:74" ht="45" customHeight="1" x14ac:dyDescent="0.25">
      <c r="A1180" s="10">
        <f t="shared" si="4"/>
        <v>1166</v>
      </c>
      <c r="B1180" s="564" t="s">
        <v>303</v>
      </c>
      <c r="C1180" s="327"/>
      <c r="D1180" s="565" t="s">
        <v>307</v>
      </c>
      <c r="E1180" s="327"/>
      <c r="F1180" s="537" t="s">
        <v>334</v>
      </c>
      <c r="G1180" s="327"/>
      <c r="H1180" s="561" t="s">
        <v>334</v>
      </c>
      <c r="I1180" s="327"/>
      <c r="J1180" s="26"/>
      <c r="K1180" s="27"/>
      <c r="L1180" s="26"/>
      <c r="M1180" s="27"/>
      <c r="N1180" s="20"/>
      <c r="O1180" s="21"/>
      <c r="P1180" s="524"/>
      <c r="Q1180" s="327"/>
      <c r="R1180" s="516"/>
      <c r="S1180" s="327"/>
      <c r="T1180" s="517"/>
      <c r="U1180" s="327"/>
      <c r="V1180" s="518"/>
      <c r="W1180" s="327"/>
      <c r="X1180" s="438" t="s">
        <v>303</v>
      </c>
      <c r="Y1180" s="326"/>
      <c r="Z1180" s="326"/>
      <c r="AA1180" s="327"/>
      <c r="AB1180" s="519" t="s">
        <v>303</v>
      </c>
      <c r="AC1180" s="326"/>
      <c r="AD1180" s="326"/>
      <c r="AE1180" s="327"/>
      <c r="AF1180" s="520"/>
      <c r="AG1180" s="327"/>
      <c r="AH1180" s="520"/>
      <c r="AI1180" s="327"/>
      <c r="AJ1180" s="536"/>
      <c r="AK1180" s="327"/>
      <c r="AL1180" s="556" t="s">
        <v>334</v>
      </c>
      <c r="AM1180" s="327"/>
      <c r="AN1180" s="553" t="s">
        <v>334</v>
      </c>
      <c r="AO1180" s="327"/>
      <c r="AP1180" s="554"/>
      <c r="AQ1180" s="327"/>
      <c r="AR1180" s="555"/>
      <c r="AS1180" s="327"/>
      <c r="AT1180" s="549"/>
      <c r="AU1180" s="327"/>
      <c r="AV1180" s="553" t="s">
        <v>334</v>
      </c>
      <c r="AW1180" s="327"/>
      <c r="AX1180" s="521"/>
      <c r="AY1180" s="326"/>
      <c r="AZ1180" s="327"/>
      <c r="BA1180" s="536"/>
      <c r="BB1180" s="327"/>
      <c r="BC1180" s="22"/>
      <c r="BD1180" s="551" t="s">
        <v>334</v>
      </c>
      <c r="BE1180" s="327"/>
      <c r="BF1180" s="552"/>
      <c r="BG1180" s="326"/>
      <c r="BH1180" s="326"/>
      <c r="BI1180" s="327"/>
      <c r="BJ1180" s="451" t="s">
        <v>303</v>
      </c>
      <c r="BK1180" s="326"/>
      <c r="BL1180" s="326"/>
      <c r="BM1180" s="327"/>
      <c r="BN1180" s="558" t="s">
        <v>303</v>
      </c>
      <c r="BO1180" s="326"/>
      <c r="BP1180" s="326"/>
      <c r="BQ1180" s="326"/>
      <c r="BR1180" s="326"/>
      <c r="BS1180" s="326"/>
      <c r="BT1180" s="326"/>
      <c r="BU1180" s="326"/>
      <c r="BV1180" s="327"/>
    </row>
    <row r="1181" spans="1:74" ht="45" customHeight="1" x14ac:dyDescent="0.25">
      <c r="A1181" s="10">
        <f t="shared" si="4"/>
        <v>1167</v>
      </c>
      <c r="B1181" s="559" t="s">
        <v>303</v>
      </c>
      <c r="C1181" s="327"/>
      <c r="D1181" s="560" t="s">
        <v>307</v>
      </c>
      <c r="E1181" s="327"/>
      <c r="F1181" s="537" t="s">
        <v>334</v>
      </c>
      <c r="G1181" s="327"/>
      <c r="H1181" s="566" t="s">
        <v>334</v>
      </c>
      <c r="I1181" s="327"/>
      <c r="J1181" s="567"/>
      <c r="K1181" s="327"/>
      <c r="L1181" s="567"/>
      <c r="M1181" s="327"/>
      <c r="N1181" s="23"/>
      <c r="O1181" s="24"/>
      <c r="P1181" s="563"/>
      <c r="Q1181" s="327"/>
      <c r="R1181" s="538"/>
      <c r="S1181" s="327"/>
      <c r="T1181" s="539"/>
      <c r="U1181" s="327"/>
      <c r="V1181" s="540"/>
      <c r="W1181" s="327"/>
      <c r="X1181" s="541" t="s">
        <v>303</v>
      </c>
      <c r="Y1181" s="326"/>
      <c r="Z1181" s="326"/>
      <c r="AA1181" s="327"/>
      <c r="AB1181" s="542" t="s">
        <v>303</v>
      </c>
      <c r="AC1181" s="326"/>
      <c r="AD1181" s="326"/>
      <c r="AE1181" s="327"/>
      <c r="AF1181" s="543"/>
      <c r="AG1181" s="327"/>
      <c r="AH1181" s="543"/>
      <c r="AI1181" s="327"/>
      <c r="AJ1181" s="536"/>
      <c r="AK1181" s="327"/>
      <c r="AL1181" s="537" t="s">
        <v>334</v>
      </c>
      <c r="AM1181" s="327"/>
      <c r="AN1181" s="546" t="s">
        <v>334</v>
      </c>
      <c r="AO1181" s="327"/>
      <c r="AP1181" s="547"/>
      <c r="AQ1181" s="327"/>
      <c r="AR1181" s="548"/>
      <c r="AS1181" s="327"/>
      <c r="AT1181" s="549"/>
      <c r="AU1181" s="327"/>
      <c r="AV1181" s="546" t="s">
        <v>334</v>
      </c>
      <c r="AW1181" s="327"/>
      <c r="AX1181" s="521"/>
      <c r="AY1181" s="326"/>
      <c r="AZ1181" s="327"/>
      <c r="BA1181" s="550"/>
      <c r="BB1181" s="327"/>
      <c r="BC1181" s="25"/>
      <c r="BD1181" s="544" t="s">
        <v>334</v>
      </c>
      <c r="BE1181" s="327"/>
      <c r="BF1181" s="545"/>
      <c r="BG1181" s="326"/>
      <c r="BH1181" s="326"/>
      <c r="BI1181" s="327"/>
      <c r="BJ1181" s="557" t="s">
        <v>303</v>
      </c>
      <c r="BK1181" s="326"/>
      <c r="BL1181" s="326"/>
      <c r="BM1181" s="327"/>
      <c r="BN1181" s="558" t="s">
        <v>303</v>
      </c>
      <c r="BO1181" s="326"/>
      <c r="BP1181" s="326"/>
      <c r="BQ1181" s="326"/>
      <c r="BR1181" s="326"/>
      <c r="BS1181" s="326"/>
      <c r="BT1181" s="326"/>
      <c r="BU1181" s="326"/>
      <c r="BV1181" s="327"/>
    </row>
    <row r="1182" spans="1:74" ht="45" customHeight="1" x14ac:dyDescent="0.25">
      <c r="A1182" s="10">
        <f t="shared" si="4"/>
        <v>1168</v>
      </c>
      <c r="B1182" s="564" t="s">
        <v>303</v>
      </c>
      <c r="C1182" s="327"/>
      <c r="D1182" s="565" t="s">
        <v>307</v>
      </c>
      <c r="E1182" s="327"/>
      <c r="F1182" s="537" t="s">
        <v>334</v>
      </c>
      <c r="G1182" s="327"/>
      <c r="H1182" s="561" t="s">
        <v>334</v>
      </c>
      <c r="I1182" s="327"/>
      <c r="J1182" s="26"/>
      <c r="K1182" s="27"/>
      <c r="L1182" s="26"/>
      <c r="M1182" s="27"/>
      <c r="N1182" s="20"/>
      <c r="O1182" s="21"/>
      <c r="P1182" s="524"/>
      <c r="Q1182" s="327"/>
      <c r="R1182" s="516"/>
      <c r="S1182" s="327"/>
      <c r="T1182" s="517"/>
      <c r="U1182" s="327"/>
      <c r="V1182" s="518"/>
      <c r="W1182" s="327"/>
      <c r="X1182" s="438" t="s">
        <v>303</v>
      </c>
      <c r="Y1182" s="326"/>
      <c r="Z1182" s="326"/>
      <c r="AA1182" s="327"/>
      <c r="AB1182" s="519" t="s">
        <v>303</v>
      </c>
      <c r="AC1182" s="326"/>
      <c r="AD1182" s="326"/>
      <c r="AE1182" s="327"/>
      <c r="AF1182" s="520"/>
      <c r="AG1182" s="327"/>
      <c r="AH1182" s="520"/>
      <c r="AI1182" s="327"/>
      <c r="AJ1182" s="536"/>
      <c r="AK1182" s="327"/>
      <c r="AL1182" s="556" t="s">
        <v>334</v>
      </c>
      <c r="AM1182" s="327"/>
      <c r="AN1182" s="553" t="s">
        <v>334</v>
      </c>
      <c r="AO1182" s="327"/>
      <c r="AP1182" s="554"/>
      <c r="AQ1182" s="327"/>
      <c r="AR1182" s="555"/>
      <c r="AS1182" s="327"/>
      <c r="AT1182" s="549"/>
      <c r="AU1182" s="327"/>
      <c r="AV1182" s="553" t="s">
        <v>334</v>
      </c>
      <c r="AW1182" s="327"/>
      <c r="AX1182" s="521"/>
      <c r="AY1182" s="326"/>
      <c r="AZ1182" s="327"/>
      <c r="BA1182" s="536"/>
      <c r="BB1182" s="327"/>
      <c r="BC1182" s="22"/>
      <c r="BD1182" s="551" t="s">
        <v>334</v>
      </c>
      <c r="BE1182" s="327"/>
      <c r="BF1182" s="552"/>
      <c r="BG1182" s="326"/>
      <c r="BH1182" s="326"/>
      <c r="BI1182" s="327"/>
      <c r="BJ1182" s="451" t="s">
        <v>303</v>
      </c>
      <c r="BK1182" s="326"/>
      <c r="BL1182" s="326"/>
      <c r="BM1182" s="327"/>
      <c r="BN1182" s="558" t="s">
        <v>303</v>
      </c>
      <c r="BO1182" s="326"/>
      <c r="BP1182" s="326"/>
      <c r="BQ1182" s="326"/>
      <c r="BR1182" s="326"/>
      <c r="BS1182" s="326"/>
      <c r="BT1182" s="326"/>
      <c r="BU1182" s="326"/>
      <c r="BV1182" s="327"/>
    </row>
    <row r="1183" spans="1:74" ht="45" customHeight="1" x14ac:dyDescent="0.25">
      <c r="A1183" s="10">
        <f t="shared" si="4"/>
        <v>1169</v>
      </c>
      <c r="B1183" s="559" t="s">
        <v>303</v>
      </c>
      <c r="C1183" s="327"/>
      <c r="D1183" s="560" t="s">
        <v>307</v>
      </c>
      <c r="E1183" s="327"/>
      <c r="F1183" s="537" t="s">
        <v>334</v>
      </c>
      <c r="G1183" s="327"/>
      <c r="H1183" s="566" t="s">
        <v>334</v>
      </c>
      <c r="I1183" s="327"/>
      <c r="J1183" s="567"/>
      <c r="K1183" s="327"/>
      <c r="L1183" s="567"/>
      <c r="M1183" s="327"/>
      <c r="N1183" s="23"/>
      <c r="O1183" s="24"/>
      <c r="P1183" s="563"/>
      <c r="Q1183" s="327"/>
      <c r="R1183" s="538"/>
      <c r="S1183" s="327"/>
      <c r="T1183" s="539"/>
      <c r="U1183" s="327"/>
      <c r="V1183" s="540"/>
      <c r="W1183" s="327"/>
      <c r="X1183" s="541" t="s">
        <v>303</v>
      </c>
      <c r="Y1183" s="326"/>
      <c r="Z1183" s="326"/>
      <c r="AA1183" s="327"/>
      <c r="AB1183" s="542" t="s">
        <v>303</v>
      </c>
      <c r="AC1183" s="326"/>
      <c r="AD1183" s="326"/>
      <c r="AE1183" s="327"/>
      <c r="AF1183" s="543"/>
      <c r="AG1183" s="327"/>
      <c r="AH1183" s="543"/>
      <c r="AI1183" s="327"/>
      <c r="AJ1183" s="536"/>
      <c r="AK1183" s="327"/>
      <c r="AL1183" s="537" t="s">
        <v>334</v>
      </c>
      <c r="AM1183" s="327"/>
      <c r="AN1183" s="546" t="s">
        <v>334</v>
      </c>
      <c r="AO1183" s="327"/>
      <c r="AP1183" s="547"/>
      <c r="AQ1183" s="327"/>
      <c r="AR1183" s="548"/>
      <c r="AS1183" s="327"/>
      <c r="AT1183" s="568"/>
      <c r="AU1183" s="327"/>
      <c r="AV1183" s="546" t="s">
        <v>334</v>
      </c>
      <c r="AW1183" s="327"/>
      <c r="AX1183" s="521"/>
      <c r="AY1183" s="326"/>
      <c r="AZ1183" s="327"/>
      <c r="BA1183" s="550"/>
      <c r="BB1183" s="327"/>
      <c r="BC1183" s="25"/>
      <c r="BD1183" s="544" t="s">
        <v>334</v>
      </c>
      <c r="BE1183" s="327"/>
      <c r="BF1183" s="545"/>
      <c r="BG1183" s="326"/>
      <c r="BH1183" s="326"/>
      <c r="BI1183" s="327"/>
      <c r="BJ1183" s="557" t="s">
        <v>303</v>
      </c>
      <c r="BK1183" s="326"/>
      <c r="BL1183" s="326"/>
      <c r="BM1183" s="327"/>
      <c r="BN1183" s="558" t="s">
        <v>303</v>
      </c>
      <c r="BO1183" s="326"/>
      <c r="BP1183" s="326"/>
      <c r="BQ1183" s="326"/>
      <c r="BR1183" s="326"/>
      <c r="BS1183" s="326"/>
      <c r="BT1183" s="326"/>
      <c r="BU1183" s="326"/>
      <c r="BV1183" s="327"/>
    </row>
    <row r="1184" spans="1:74" ht="45" customHeight="1" x14ac:dyDescent="0.25">
      <c r="A1184" s="10">
        <f t="shared" si="4"/>
        <v>1170</v>
      </c>
      <c r="B1184" s="564" t="s">
        <v>303</v>
      </c>
      <c r="C1184" s="327"/>
      <c r="D1184" s="565" t="s">
        <v>307</v>
      </c>
      <c r="E1184" s="327"/>
      <c r="F1184" s="537" t="s">
        <v>334</v>
      </c>
      <c r="G1184" s="327"/>
      <c r="H1184" s="561" t="s">
        <v>334</v>
      </c>
      <c r="I1184" s="327"/>
      <c r="J1184" s="26"/>
      <c r="K1184" s="27"/>
      <c r="L1184" s="26"/>
      <c r="M1184" s="27"/>
      <c r="N1184" s="20"/>
      <c r="O1184" s="21"/>
      <c r="P1184" s="524"/>
      <c r="Q1184" s="327"/>
      <c r="R1184" s="516"/>
      <c r="S1184" s="327"/>
      <c r="T1184" s="517"/>
      <c r="U1184" s="327"/>
      <c r="V1184" s="518"/>
      <c r="W1184" s="327"/>
      <c r="X1184" s="438" t="s">
        <v>303</v>
      </c>
      <c r="Y1184" s="326"/>
      <c r="Z1184" s="326"/>
      <c r="AA1184" s="327"/>
      <c r="AB1184" s="519" t="s">
        <v>303</v>
      </c>
      <c r="AC1184" s="326"/>
      <c r="AD1184" s="326"/>
      <c r="AE1184" s="327"/>
      <c r="AF1184" s="520"/>
      <c r="AG1184" s="327"/>
      <c r="AH1184" s="520"/>
      <c r="AI1184" s="327"/>
      <c r="AJ1184" s="536"/>
      <c r="AK1184" s="327"/>
      <c r="AL1184" s="556" t="s">
        <v>334</v>
      </c>
      <c r="AM1184" s="327"/>
      <c r="AN1184" s="553" t="s">
        <v>334</v>
      </c>
      <c r="AO1184" s="327"/>
      <c r="AP1184" s="554"/>
      <c r="AQ1184" s="327"/>
      <c r="AR1184" s="555"/>
      <c r="AS1184" s="327"/>
      <c r="AT1184" s="549"/>
      <c r="AU1184" s="327"/>
      <c r="AV1184" s="553" t="s">
        <v>334</v>
      </c>
      <c r="AW1184" s="327"/>
      <c r="AX1184" s="521"/>
      <c r="AY1184" s="326"/>
      <c r="AZ1184" s="327"/>
      <c r="BA1184" s="536"/>
      <c r="BB1184" s="327"/>
      <c r="BC1184" s="22"/>
      <c r="BD1184" s="551" t="s">
        <v>334</v>
      </c>
      <c r="BE1184" s="327"/>
      <c r="BF1184" s="508"/>
      <c r="BG1184" s="326"/>
      <c r="BH1184" s="326"/>
      <c r="BI1184" s="327"/>
      <c r="BJ1184" s="451" t="s">
        <v>303</v>
      </c>
      <c r="BK1184" s="326"/>
      <c r="BL1184" s="326"/>
      <c r="BM1184" s="327"/>
      <c r="BN1184" s="558" t="s">
        <v>303</v>
      </c>
      <c r="BO1184" s="326"/>
      <c r="BP1184" s="326"/>
      <c r="BQ1184" s="326"/>
      <c r="BR1184" s="326"/>
      <c r="BS1184" s="326"/>
      <c r="BT1184" s="326"/>
      <c r="BU1184" s="326"/>
      <c r="BV1184" s="327"/>
    </row>
    <row r="1185" spans="1:74" ht="45" customHeight="1" x14ac:dyDescent="0.25">
      <c r="A1185" s="10">
        <f t="shared" si="4"/>
        <v>1171</v>
      </c>
      <c r="B1185" s="559" t="s">
        <v>303</v>
      </c>
      <c r="C1185" s="327"/>
      <c r="D1185" s="560" t="s">
        <v>307</v>
      </c>
      <c r="E1185" s="327"/>
      <c r="F1185" s="537" t="s">
        <v>334</v>
      </c>
      <c r="G1185" s="327"/>
      <c r="H1185" s="566" t="s">
        <v>334</v>
      </c>
      <c r="I1185" s="327"/>
      <c r="J1185" s="567"/>
      <c r="K1185" s="327"/>
      <c r="L1185" s="567"/>
      <c r="M1185" s="327"/>
      <c r="N1185" s="23"/>
      <c r="O1185" s="24"/>
      <c r="P1185" s="563"/>
      <c r="Q1185" s="327"/>
      <c r="R1185" s="538"/>
      <c r="S1185" s="327"/>
      <c r="T1185" s="539"/>
      <c r="U1185" s="327"/>
      <c r="V1185" s="540"/>
      <c r="W1185" s="327"/>
      <c r="X1185" s="541" t="s">
        <v>303</v>
      </c>
      <c r="Y1185" s="326"/>
      <c r="Z1185" s="326"/>
      <c r="AA1185" s="327"/>
      <c r="AB1185" s="542" t="s">
        <v>303</v>
      </c>
      <c r="AC1185" s="326"/>
      <c r="AD1185" s="326"/>
      <c r="AE1185" s="327"/>
      <c r="AF1185" s="543"/>
      <c r="AG1185" s="327"/>
      <c r="AH1185" s="543"/>
      <c r="AI1185" s="327"/>
      <c r="AJ1185" s="536"/>
      <c r="AK1185" s="327"/>
      <c r="AL1185" s="537" t="s">
        <v>334</v>
      </c>
      <c r="AM1185" s="327"/>
      <c r="AN1185" s="546" t="s">
        <v>334</v>
      </c>
      <c r="AO1185" s="327"/>
      <c r="AP1185" s="547"/>
      <c r="AQ1185" s="327"/>
      <c r="AR1185" s="548"/>
      <c r="AS1185" s="327"/>
      <c r="AT1185" s="568"/>
      <c r="AU1185" s="327"/>
      <c r="AV1185" s="546" t="s">
        <v>334</v>
      </c>
      <c r="AW1185" s="327"/>
      <c r="AX1185" s="521"/>
      <c r="AY1185" s="326"/>
      <c r="AZ1185" s="327"/>
      <c r="BA1185" s="550"/>
      <c r="BB1185" s="327"/>
      <c r="BC1185" s="25"/>
      <c r="BD1185" s="544" t="s">
        <v>334</v>
      </c>
      <c r="BE1185" s="327"/>
      <c r="BF1185" s="545"/>
      <c r="BG1185" s="326"/>
      <c r="BH1185" s="326"/>
      <c r="BI1185" s="327"/>
      <c r="BJ1185" s="557" t="s">
        <v>303</v>
      </c>
      <c r="BK1185" s="326"/>
      <c r="BL1185" s="326"/>
      <c r="BM1185" s="327"/>
      <c r="BN1185" s="558" t="s">
        <v>303</v>
      </c>
      <c r="BO1185" s="326"/>
      <c r="BP1185" s="326"/>
      <c r="BQ1185" s="326"/>
      <c r="BR1185" s="326"/>
      <c r="BS1185" s="326"/>
      <c r="BT1185" s="326"/>
      <c r="BU1185" s="326"/>
      <c r="BV1185" s="327"/>
    </row>
    <row r="1186" spans="1:74" ht="45" customHeight="1" x14ac:dyDescent="0.25">
      <c r="A1186" s="10">
        <f t="shared" si="4"/>
        <v>1172</v>
      </c>
      <c r="B1186" s="564" t="s">
        <v>303</v>
      </c>
      <c r="C1186" s="327"/>
      <c r="D1186" s="565" t="s">
        <v>307</v>
      </c>
      <c r="E1186" s="327"/>
      <c r="F1186" s="537" t="s">
        <v>334</v>
      </c>
      <c r="G1186" s="327"/>
      <c r="H1186" s="561" t="s">
        <v>334</v>
      </c>
      <c r="I1186" s="327"/>
      <c r="J1186" s="26"/>
      <c r="K1186" s="27"/>
      <c r="L1186" s="26"/>
      <c r="M1186" s="27"/>
      <c r="N1186" s="20"/>
      <c r="O1186" s="21"/>
      <c r="P1186" s="524"/>
      <c r="Q1186" s="327"/>
      <c r="R1186" s="516"/>
      <c r="S1186" s="327"/>
      <c r="T1186" s="517"/>
      <c r="U1186" s="327"/>
      <c r="V1186" s="518"/>
      <c r="W1186" s="327"/>
      <c r="X1186" s="438" t="s">
        <v>303</v>
      </c>
      <c r="Y1186" s="326"/>
      <c r="Z1186" s="326"/>
      <c r="AA1186" s="327"/>
      <c r="AB1186" s="519" t="s">
        <v>303</v>
      </c>
      <c r="AC1186" s="326"/>
      <c r="AD1186" s="326"/>
      <c r="AE1186" s="327"/>
      <c r="AF1186" s="520"/>
      <c r="AG1186" s="327"/>
      <c r="AH1186" s="520"/>
      <c r="AI1186" s="327"/>
      <c r="AJ1186" s="536"/>
      <c r="AK1186" s="327"/>
      <c r="AL1186" s="556" t="s">
        <v>334</v>
      </c>
      <c r="AM1186" s="327"/>
      <c r="AN1186" s="553" t="s">
        <v>334</v>
      </c>
      <c r="AO1186" s="327"/>
      <c r="AP1186" s="554"/>
      <c r="AQ1186" s="327"/>
      <c r="AR1186" s="555"/>
      <c r="AS1186" s="327"/>
      <c r="AT1186" s="549"/>
      <c r="AU1186" s="327"/>
      <c r="AV1186" s="553" t="s">
        <v>334</v>
      </c>
      <c r="AW1186" s="327"/>
      <c r="AX1186" s="521"/>
      <c r="AY1186" s="326"/>
      <c r="AZ1186" s="327"/>
      <c r="BA1186" s="536"/>
      <c r="BB1186" s="327"/>
      <c r="BC1186" s="22"/>
      <c r="BD1186" s="551" t="s">
        <v>334</v>
      </c>
      <c r="BE1186" s="327"/>
      <c r="BF1186" s="552"/>
      <c r="BG1186" s="326"/>
      <c r="BH1186" s="326"/>
      <c r="BI1186" s="327"/>
      <c r="BJ1186" s="451" t="s">
        <v>303</v>
      </c>
      <c r="BK1186" s="326"/>
      <c r="BL1186" s="326"/>
      <c r="BM1186" s="327"/>
      <c r="BN1186" s="558" t="s">
        <v>303</v>
      </c>
      <c r="BO1186" s="326"/>
      <c r="BP1186" s="326"/>
      <c r="BQ1186" s="326"/>
      <c r="BR1186" s="326"/>
      <c r="BS1186" s="326"/>
      <c r="BT1186" s="326"/>
      <c r="BU1186" s="326"/>
      <c r="BV1186" s="327"/>
    </row>
    <row r="1187" spans="1:74" ht="45" customHeight="1" x14ac:dyDescent="0.25">
      <c r="A1187" s="10">
        <f t="shared" si="4"/>
        <v>1173</v>
      </c>
      <c r="B1187" s="559" t="s">
        <v>303</v>
      </c>
      <c r="C1187" s="327"/>
      <c r="D1187" s="560" t="s">
        <v>307</v>
      </c>
      <c r="E1187" s="327"/>
      <c r="F1187" s="537" t="s">
        <v>334</v>
      </c>
      <c r="G1187" s="327"/>
      <c r="H1187" s="566" t="s">
        <v>334</v>
      </c>
      <c r="I1187" s="327"/>
      <c r="J1187" s="567"/>
      <c r="K1187" s="327"/>
      <c r="L1187" s="567"/>
      <c r="M1187" s="327"/>
      <c r="N1187" s="23"/>
      <c r="O1187" s="24"/>
      <c r="P1187" s="563"/>
      <c r="Q1187" s="327"/>
      <c r="R1187" s="538"/>
      <c r="S1187" s="327"/>
      <c r="T1187" s="539"/>
      <c r="U1187" s="327"/>
      <c r="V1187" s="540"/>
      <c r="W1187" s="327"/>
      <c r="X1187" s="541" t="s">
        <v>303</v>
      </c>
      <c r="Y1187" s="326"/>
      <c r="Z1187" s="326"/>
      <c r="AA1187" s="327"/>
      <c r="AB1187" s="542" t="s">
        <v>303</v>
      </c>
      <c r="AC1187" s="326"/>
      <c r="AD1187" s="326"/>
      <c r="AE1187" s="327"/>
      <c r="AF1187" s="543"/>
      <c r="AG1187" s="327"/>
      <c r="AH1187" s="543"/>
      <c r="AI1187" s="327"/>
      <c r="AJ1187" s="536"/>
      <c r="AK1187" s="327"/>
      <c r="AL1187" s="537" t="s">
        <v>334</v>
      </c>
      <c r="AM1187" s="327"/>
      <c r="AN1187" s="546" t="s">
        <v>334</v>
      </c>
      <c r="AO1187" s="327"/>
      <c r="AP1187" s="547"/>
      <c r="AQ1187" s="327"/>
      <c r="AR1187" s="548"/>
      <c r="AS1187" s="327"/>
      <c r="AT1187" s="568"/>
      <c r="AU1187" s="327"/>
      <c r="AV1187" s="546" t="s">
        <v>334</v>
      </c>
      <c r="AW1187" s="327"/>
      <c r="AX1187" s="521"/>
      <c r="AY1187" s="326"/>
      <c r="AZ1187" s="327"/>
      <c r="BA1187" s="550"/>
      <c r="BB1187" s="327"/>
      <c r="BC1187" s="25"/>
      <c r="BD1187" s="544" t="s">
        <v>334</v>
      </c>
      <c r="BE1187" s="327"/>
      <c r="BF1187" s="545"/>
      <c r="BG1187" s="326"/>
      <c r="BH1187" s="326"/>
      <c r="BI1187" s="327"/>
      <c r="BJ1187" s="557" t="s">
        <v>303</v>
      </c>
      <c r="BK1187" s="326"/>
      <c r="BL1187" s="326"/>
      <c r="BM1187" s="327"/>
      <c r="BN1187" s="558" t="s">
        <v>303</v>
      </c>
      <c r="BO1187" s="326"/>
      <c r="BP1187" s="326"/>
      <c r="BQ1187" s="326"/>
      <c r="BR1187" s="326"/>
      <c r="BS1187" s="326"/>
      <c r="BT1187" s="326"/>
      <c r="BU1187" s="326"/>
      <c r="BV1187" s="327"/>
    </row>
    <row r="1188" spans="1:74" ht="45" customHeight="1" x14ac:dyDescent="0.25">
      <c r="A1188" s="10">
        <f t="shared" si="4"/>
        <v>1174</v>
      </c>
      <c r="B1188" s="564" t="s">
        <v>303</v>
      </c>
      <c r="C1188" s="327"/>
      <c r="D1188" s="565" t="s">
        <v>307</v>
      </c>
      <c r="E1188" s="327"/>
      <c r="F1188" s="537" t="s">
        <v>334</v>
      </c>
      <c r="G1188" s="327"/>
      <c r="H1188" s="561" t="s">
        <v>334</v>
      </c>
      <c r="I1188" s="327"/>
      <c r="J1188" s="26"/>
      <c r="K1188" s="27"/>
      <c r="L1188" s="26"/>
      <c r="M1188" s="27"/>
      <c r="N1188" s="20"/>
      <c r="O1188" s="21"/>
      <c r="P1188" s="524"/>
      <c r="Q1188" s="327"/>
      <c r="R1188" s="516"/>
      <c r="S1188" s="327"/>
      <c r="T1188" s="517"/>
      <c r="U1188" s="327"/>
      <c r="V1188" s="518"/>
      <c r="W1188" s="327"/>
      <c r="X1188" s="438" t="s">
        <v>303</v>
      </c>
      <c r="Y1188" s="326"/>
      <c r="Z1188" s="326"/>
      <c r="AA1188" s="327"/>
      <c r="AB1188" s="519" t="s">
        <v>303</v>
      </c>
      <c r="AC1188" s="326"/>
      <c r="AD1188" s="326"/>
      <c r="AE1188" s="327"/>
      <c r="AF1188" s="520"/>
      <c r="AG1188" s="327"/>
      <c r="AH1188" s="520"/>
      <c r="AI1188" s="327"/>
      <c r="AJ1188" s="536"/>
      <c r="AK1188" s="327"/>
      <c r="AL1188" s="556" t="s">
        <v>334</v>
      </c>
      <c r="AM1188" s="327"/>
      <c r="AN1188" s="553" t="s">
        <v>334</v>
      </c>
      <c r="AO1188" s="327"/>
      <c r="AP1188" s="554"/>
      <c r="AQ1188" s="327"/>
      <c r="AR1188" s="555"/>
      <c r="AS1188" s="327"/>
      <c r="AT1188" s="549"/>
      <c r="AU1188" s="327"/>
      <c r="AV1188" s="553" t="s">
        <v>334</v>
      </c>
      <c r="AW1188" s="327"/>
      <c r="AX1188" s="521"/>
      <c r="AY1188" s="326"/>
      <c r="AZ1188" s="327"/>
      <c r="BA1188" s="536"/>
      <c r="BB1188" s="327"/>
      <c r="BC1188" s="22"/>
      <c r="BD1188" s="551" t="s">
        <v>334</v>
      </c>
      <c r="BE1188" s="327"/>
      <c r="BF1188" s="552"/>
      <c r="BG1188" s="326"/>
      <c r="BH1188" s="326"/>
      <c r="BI1188" s="327"/>
      <c r="BJ1188" s="451" t="s">
        <v>303</v>
      </c>
      <c r="BK1188" s="326"/>
      <c r="BL1188" s="326"/>
      <c r="BM1188" s="327"/>
      <c r="BN1188" s="558" t="s">
        <v>303</v>
      </c>
      <c r="BO1188" s="326"/>
      <c r="BP1188" s="326"/>
      <c r="BQ1188" s="326"/>
      <c r="BR1188" s="326"/>
      <c r="BS1188" s="326"/>
      <c r="BT1188" s="326"/>
      <c r="BU1188" s="326"/>
      <c r="BV1188" s="327"/>
    </row>
    <row r="1189" spans="1:74" ht="45" customHeight="1" x14ac:dyDescent="0.25">
      <c r="A1189" s="10">
        <f t="shared" si="4"/>
        <v>1175</v>
      </c>
      <c r="B1189" s="559" t="s">
        <v>303</v>
      </c>
      <c r="C1189" s="327"/>
      <c r="D1189" s="560" t="s">
        <v>307</v>
      </c>
      <c r="E1189" s="327"/>
      <c r="F1189" s="537" t="s">
        <v>334</v>
      </c>
      <c r="G1189" s="327"/>
      <c r="H1189" s="566" t="s">
        <v>334</v>
      </c>
      <c r="I1189" s="327"/>
      <c r="J1189" s="567"/>
      <c r="K1189" s="327"/>
      <c r="L1189" s="567"/>
      <c r="M1189" s="327"/>
      <c r="N1189" s="23"/>
      <c r="O1189" s="24"/>
      <c r="P1189" s="563"/>
      <c r="Q1189" s="327"/>
      <c r="R1189" s="538"/>
      <c r="S1189" s="327"/>
      <c r="T1189" s="539"/>
      <c r="U1189" s="327"/>
      <c r="V1189" s="540"/>
      <c r="W1189" s="327"/>
      <c r="X1189" s="541" t="s">
        <v>303</v>
      </c>
      <c r="Y1189" s="326"/>
      <c r="Z1189" s="326"/>
      <c r="AA1189" s="327"/>
      <c r="AB1189" s="542" t="s">
        <v>303</v>
      </c>
      <c r="AC1189" s="326"/>
      <c r="AD1189" s="326"/>
      <c r="AE1189" s="327"/>
      <c r="AF1189" s="543"/>
      <c r="AG1189" s="327"/>
      <c r="AH1189" s="543"/>
      <c r="AI1189" s="327"/>
      <c r="AJ1189" s="536"/>
      <c r="AK1189" s="327"/>
      <c r="AL1189" s="537" t="s">
        <v>334</v>
      </c>
      <c r="AM1189" s="327"/>
      <c r="AN1189" s="546" t="s">
        <v>334</v>
      </c>
      <c r="AO1189" s="327"/>
      <c r="AP1189" s="547"/>
      <c r="AQ1189" s="327"/>
      <c r="AR1189" s="548"/>
      <c r="AS1189" s="327"/>
      <c r="AT1189" s="568"/>
      <c r="AU1189" s="327"/>
      <c r="AV1189" s="546" t="s">
        <v>334</v>
      </c>
      <c r="AW1189" s="327"/>
      <c r="AX1189" s="521"/>
      <c r="AY1189" s="326"/>
      <c r="AZ1189" s="327"/>
      <c r="BA1189" s="550"/>
      <c r="BB1189" s="327"/>
      <c r="BC1189" s="25"/>
      <c r="BD1189" s="544" t="s">
        <v>334</v>
      </c>
      <c r="BE1189" s="327"/>
      <c r="BF1189" s="545"/>
      <c r="BG1189" s="326"/>
      <c r="BH1189" s="326"/>
      <c r="BI1189" s="327"/>
      <c r="BJ1189" s="557" t="s">
        <v>303</v>
      </c>
      <c r="BK1189" s="326"/>
      <c r="BL1189" s="326"/>
      <c r="BM1189" s="327"/>
      <c r="BN1189" s="558" t="s">
        <v>303</v>
      </c>
      <c r="BO1189" s="326"/>
      <c r="BP1189" s="326"/>
      <c r="BQ1189" s="326"/>
      <c r="BR1189" s="326"/>
      <c r="BS1189" s="326"/>
      <c r="BT1189" s="326"/>
      <c r="BU1189" s="326"/>
      <c r="BV1189" s="327"/>
    </row>
    <row r="1190" spans="1:74" ht="45" customHeight="1" x14ac:dyDescent="0.25">
      <c r="A1190" s="10">
        <f t="shared" si="4"/>
        <v>1176</v>
      </c>
      <c r="B1190" s="564" t="s">
        <v>303</v>
      </c>
      <c r="C1190" s="327"/>
      <c r="D1190" s="565" t="s">
        <v>307</v>
      </c>
      <c r="E1190" s="327"/>
      <c r="F1190" s="537" t="s">
        <v>334</v>
      </c>
      <c r="G1190" s="327"/>
      <c r="H1190" s="561" t="s">
        <v>334</v>
      </c>
      <c r="I1190" s="327"/>
      <c r="J1190" s="26"/>
      <c r="K1190" s="27"/>
      <c r="L1190" s="26"/>
      <c r="M1190" s="27"/>
      <c r="N1190" s="20"/>
      <c r="O1190" s="21"/>
      <c r="P1190" s="524"/>
      <c r="Q1190" s="327"/>
      <c r="R1190" s="516"/>
      <c r="S1190" s="327"/>
      <c r="T1190" s="517"/>
      <c r="U1190" s="327"/>
      <c r="V1190" s="518"/>
      <c r="W1190" s="327"/>
      <c r="X1190" s="438" t="s">
        <v>303</v>
      </c>
      <c r="Y1190" s="326"/>
      <c r="Z1190" s="326"/>
      <c r="AA1190" s="327"/>
      <c r="AB1190" s="519" t="s">
        <v>303</v>
      </c>
      <c r="AC1190" s="326"/>
      <c r="AD1190" s="326"/>
      <c r="AE1190" s="327"/>
      <c r="AF1190" s="520"/>
      <c r="AG1190" s="327"/>
      <c r="AH1190" s="520"/>
      <c r="AI1190" s="327"/>
      <c r="AJ1190" s="536"/>
      <c r="AK1190" s="327"/>
      <c r="AL1190" s="556" t="s">
        <v>334</v>
      </c>
      <c r="AM1190" s="327"/>
      <c r="AN1190" s="553" t="s">
        <v>334</v>
      </c>
      <c r="AO1190" s="327"/>
      <c r="AP1190" s="554"/>
      <c r="AQ1190" s="327"/>
      <c r="AR1190" s="555"/>
      <c r="AS1190" s="327"/>
      <c r="AT1190" s="549"/>
      <c r="AU1190" s="327"/>
      <c r="AV1190" s="553" t="s">
        <v>334</v>
      </c>
      <c r="AW1190" s="327"/>
      <c r="AX1190" s="521"/>
      <c r="AY1190" s="326"/>
      <c r="AZ1190" s="327"/>
      <c r="BA1190" s="536"/>
      <c r="BB1190" s="327"/>
      <c r="BC1190" s="22"/>
      <c r="BD1190" s="551" t="s">
        <v>334</v>
      </c>
      <c r="BE1190" s="327"/>
      <c r="BF1190" s="508"/>
      <c r="BG1190" s="326"/>
      <c r="BH1190" s="326"/>
      <c r="BI1190" s="327"/>
      <c r="BJ1190" s="451" t="s">
        <v>303</v>
      </c>
      <c r="BK1190" s="326"/>
      <c r="BL1190" s="326"/>
      <c r="BM1190" s="327"/>
      <c r="BN1190" s="558" t="s">
        <v>303</v>
      </c>
      <c r="BO1190" s="326"/>
      <c r="BP1190" s="326"/>
      <c r="BQ1190" s="326"/>
      <c r="BR1190" s="326"/>
      <c r="BS1190" s="326"/>
      <c r="BT1190" s="326"/>
      <c r="BU1190" s="326"/>
      <c r="BV1190" s="327"/>
    </row>
    <row r="1191" spans="1:74" ht="45" customHeight="1" x14ac:dyDescent="0.25">
      <c r="A1191" s="10">
        <f t="shared" si="4"/>
        <v>1177</v>
      </c>
      <c r="B1191" s="559" t="s">
        <v>303</v>
      </c>
      <c r="C1191" s="327"/>
      <c r="D1191" s="560" t="s">
        <v>307</v>
      </c>
      <c r="E1191" s="327"/>
      <c r="F1191" s="537" t="s">
        <v>334</v>
      </c>
      <c r="G1191" s="327"/>
      <c r="H1191" s="566" t="s">
        <v>334</v>
      </c>
      <c r="I1191" s="327"/>
      <c r="J1191" s="567"/>
      <c r="K1191" s="327"/>
      <c r="L1191" s="567"/>
      <c r="M1191" s="327"/>
      <c r="N1191" s="23"/>
      <c r="O1191" s="24"/>
      <c r="P1191" s="563"/>
      <c r="Q1191" s="327"/>
      <c r="R1191" s="538"/>
      <c r="S1191" s="327"/>
      <c r="T1191" s="539"/>
      <c r="U1191" s="327"/>
      <c r="V1191" s="540"/>
      <c r="W1191" s="327"/>
      <c r="X1191" s="541" t="s">
        <v>303</v>
      </c>
      <c r="Y1191" s="326"/>
      <c r="Z1191" s="326"/>
      <c r="AA1191" s="327"/>
      <c r="AB1191" s="542" t="s">
        <v>303</v>
      </c>
      <c r="AC1191" s="326"/>
      <c r="AD1191" s="326"/>
      <c r="AE1191" s="327"/>
      <c r="AF1191" s="543"/>
      <c r="AG1191" s="327"/>
      <c r="AH1191" s="543"/>
      <c r="AI1191" s="327"/>
      <c r="AJ1191" s="536"/>
      <c r="AK1191" s="327"/>
      <c r="AL1191" s="537" t="s">
        <v>334</v>
      </c>
      <c r="AM1191" s="327"/>
      <c r="AN1191" s="546" t="s">
        <v>334</v>
      </c>
      <c r="AO1191" s="327"/>
      <c r="AP1191" s="547"/>
      <c r="AQ1191" s="327"/>
      <c r="AR1191" s="548"/>
      <c r="AS1191" s="327"/>
      <c r="AT1191" s="568"/>
      <c r="AU1191" s="327"/>
      <c r="AV1191" s="546" t="s">
        <v>334</v>
      </c>
      <c r="AW1191" s="327"/>
      <c r="AX1191" s="521"/>
      <c r="AY1191" s="326"/>
      <c r="AZ1191" s="327"/>
      <c r="BA1191" s="550"/>
      <c r="BB1191" s="327"/>
      <c r="BC1191" s="25"/>
      <c r="BD1191" s="544" t="s">
        <v>334</v>
      </c>
      <c r="BE1191" s="327"/>
      <c r="BF1191" s="545"/>
      <c r="BG1191" s="326"/>
      <c r="BH1191" s="326"/>
      <c r="BI1191" s="327"/>
      <c r="BJ1191" s="557" t="s">
        <v>303</v>
      </c>
      <c r="BK1191" s="326"/>
      <c r="BL1191" s="326"/>
      <c r="BM1191" s="327"/>
      <c r="BN1191" s="558" t="s">
        <v>303</v>
      </c>
      <c r="BO1191" s="326"/>
      <c r="BP1191" s="326"/>
      <c r="BQ1191" s="326"/>
      <c r="BR1191" s="326"/>
      <c r="BS1191" s="326"/>
      <c r="BT1191" s="326"/>
      <c r="BU1191" s="326"/>
      <c r="BV1191" s="327"/>
    </row>
    <row r="1192" spans="1:74" ht="45" customHeight="1" x14ac:dyDescent="0.25">
      <c r="A1192" s="10">
        <f t="shared" si="4"/>
        <v>1178</v>
      </c>
      <c r="B1192" s="564" t="s">
        <v>303</v>
      </c>
      <c r="C1192" s="327"/>
      <c r="D1192" s="565" t="s">
        <v>307</v>
      </c>
      <c r="E1192" s="327"/>
      <c r="F1192" s="537" t="s">
        <v>334</v>
      </c>
      <c r="G1192" s="327"/>
      <c r="H1192" s="561" t="s">
        <v>334</v>
      </c>
      <c r="I1192" s="327"/>
      <c r="J1192" s="26"/>
      <c r="K1192" s="27"/>
      <c r="L1192" s="26"/>
      <c r="M1192" s="27"/>
      <c r="N1192" s="20"/>
      <c r="O1192" s="21"/>
      <c r="P1192" s="524"/>
      <c r="Q1192" s="327"/>
      <c r="R1192" s="516"/>
      <c r="S1192" s="327"/>
      <c r="T1192" s="517"/>
      <c r="U1192" s="327"/>
      <c r="V1192" s="518"/>
      <c r="W1192" s="327"/>
      <c r="X1192" s="438" t="s">
        <v>303</v>
      </c>
      <c r="Y1192" s="326"/>
      <c r="Z1192" s="326"/>
      <c r="AA1192" s="327"/>
      <c r="AB1192" s="519" t="s">
        <v>303</v>
      </c>
      <c r="AC1192" s="326"/>
      <c r="AD1192" s="326"/>
      <c r="AE1192" s="327"/>
      <c r="AF1192" s="520"/>
      <c r="AG1192" s="327"/>
      <c r="AH1192" s="520"/>
      <c r="AI1192" s="327"/>
      <c r="AJ1192" s="536"/>
      <c r="AK1192" s="327"/>
      <c r="AL1192" s="556" t="s">
        <v>334</v>
      </c>
      <c r="AM1192" s="327"/>
      <c r="AN1192" s="553" t="s">
        <v>334</v>
      </c>
      <c r="AO1192" s="327"/>
      <c r="AP1192" s="554"/>
      <c r="AQ1192" s="327"/>
      <c r="AR1192" s="555"/>
      <c r="AS1192" s="327"/>
      <c r="AT1192" s="549"/>
      <c r="AU1192" s="327"/>
      <c r="AV1192" s="553" t="s">
        <v>334</v>
      </c>
      <c r="AW1192" s="327"/>
      <c r="AX1192" s="521"/>
      <c r="AY1192" s="326"/>
      <c r="AZ1192" s="327"/>
      <c r="BA1192" s="536"/>
      <c r="BB1192" s="327"/>
      <c r="BC1192" s="22"/>
      <c r="BD1192" s="551" t="s">
        <v>334</v>
      </c>
      <c r="BE1192" s="327"/>
      <c r="BF1192" s="552"/>
      <c r="BG1192" s="326"/>
      <c r="BH1192" s="326"/>
      <c r="BI1192" s="327"/>
      <c r="BJ1192" s="451" t="s">
        <v>303</v>
      </c>
      <c r="BK1192" s="326"/>
      <c r="BL1192" s="326"/>
      <c r="BM1192" s="327"/>
      <c r="BN1192" s="558" t="s">
        <v>303</v>
      </c>
      <c r="BO1192" s="326"/>
      <c r="BP1192" s="326"/>
      <c r="BQ1192" s="326"/>
      <c r="BR1192" s="326"/>
      <c r="BS1192" s="326"/>
      <c r="BT1192" s="326"/>
      <c r="BU1192" s="326"/>
      <c r="BV1192" s="327"/>
    </row>
    <row r="1193" spans="1:74" ht="45" customHeight="1" x14ac:dyDescent="0.25">
      <c r="A1193" s="10">
        <f t="shared" si="4"/>
        <v>1179</v>
      </c>
      <c r="B1193" s="559" t="s">
        <v>303</v>
      </c>
      <c r="C1193" s="327"/>
      <c r="D1193" s="560" t="s">
        <v>307</v>
      </c>
      <c r="E1193" s="327"/>
      <c r="F1193" s="537" t="s">
        <v>334</v>
      </c>
      <c r="G1193" s="327"/>
      <c r="H1193" s="566" t="s">
        <v>334</v>
      </c>
      <c r="I1193" s="327"/>
      <c r="J1193" s="567"/>
      <c r="K1193" s="327"/>
      <c r="L1193" s="567"/>
      <c r="M1193" s="327"/>
      <c r="N1193" s="20"/>
      <c r="O1193" s="21"/>
      <c r="P1193" s="524"/>
      <c r="Q1193" s="327"/>
      <c r="R1193" s="538"/>
      <c r="S1193" s="327"/>
      <c r="T1193" s="539"/>
      <c r="U1193" s="327"/>
      <c r="V1193" s="540"/>
      <c r="W1193" s="327"/>
      <c r="X1193" s="541" t="s">
        <v>303</v>
      </c>
      <c r="Y1193" s="326"/>
      <c r="Z1193" s="326"/>
      <c r="AA1193" s="327"/>
      <c r="AB1193" s="542" t="s">
        <v>303</v>
      </c>
      <c r="AC1193" s="326"/>
      <c r="AD1193" s="326"/>
      <c r="AE1193" s="327"/>
      <c r="AF1193" s="543"/>
      <c r="AG1193" s="327"/>
      <c r="AH1193" s="543"/>
      <c r="AI1193" s="327"/>
      <c r="AJ1193" s="536"/>
      <c r="AK1193" s="327"/>
      <c r="AL1193" s="537" t="s">
        <v>334</v>
      </c>
      <c r="AM1193" s="327"/>
      <c r="AN1193" s="546" t="s">
        <v>334</v>
      </c>
      <c r="AO1193" s="327"/>
      <c r="AP1193" s="547"/>
      <c r="AQ1193" s="327"/>
      <c r="AR1193" s="548"/>
      <c r="AS1193" s="327"/>
      <c r="AT1193" s="549"/>
      <c r="AU1193" s="327"/>
      <c r="AV1193" s="546" t="s">
        <v>334</v>
      </c>
      <c r="AW1193" s="327"/>
      <c r="AX1193" s="521"/>
      <c r="AY1193" s="326"/>
      <c r="AZ1193" s="327"/>
      <c r="BA1193" s="550"/>
      <c r="BB1193" s="327"/>
      <c r="BC1193" s="25"/>
      <c r="BD1193" s="544" t="s">
        <v>334</v>
      </c>
      <c r="BE1193" s="327"/>
      <c r="BF1193" s="545"/>
      <c r="BG1193" s="326"/>
      <c r="BH1193" s="326"/>
      <c r="BI1193" s="327"/>
      <c r="BJ1193" s="557" t="s">
        <v>303</v>
      </c>
      <c r="BK1193" s="326"/>
      <c r="BL1193" s="326"/>
      <c r="BM1193" s="327"/>
      <c r="BN1193" s="558" t="s">
        <v>303</v>
      </c>
      <c r="BO1193" s="326"/>
      <c r="BP1193" s="326"/>
      <c r="BQ1193" s="326"/>
      <c r="BR1193" s="326"/>
      <c r="BS1193" s="326"/>
      <c r="BT1193" s="326"/>
      <c r="BU1193" s="326"/>
      <c r="BV1193" s="327"/>
    </row>
    <row r="1194" spans="1:74" ht="45" customHeight="1" x14ac:dyDescent="0.25">
      <c r="A1194" s="10">
        <f t="shared" si="4"/>
        <v>1180</v>
      </c>
      <c r="B1194" s="564" t="s">
        <v>303</v>
      </c>
      <c r="C1194" s="327"/>
      <c r="D1194" s="565" t="s">
        <v>307</v>
      </c>
      <c r="E1194" s="327"/>
      <c r="F1194" s="537" t="s">
        <v>334</v>
      </c>
      <c r="G1194" s="327"/>
      <c r="H1194" s="561" t="s">
        <v>334</v>
      </c>
      <c r="I1194" s="327"/>
      <c r="J1194" s="26"/>
      <c r="K1194" s="27"/>
      <c r="L1194" s="26"/>
      <c r="M1194" s="27"/>
      <c r="N1194" s="23"/>
      <c r="O1194" s="24"/>
      <c r="P1194" s="563"/>
      <c r="Q1194" s="327"/>
      <c r="R1194" s="516"/>
      <c r="S1194" s="327"/>
      <c r="T1194" s="517"/>
      <c r="U1194" s="327"/>
      <c r="V1194" s="518"/>
      <c r="W1194" s="327"/>
      <c r="X1194" s="438" t="s">
        <v>303</v>
      </c>
      <c r="Y1194" s="326"/>
      <c r="Z1194" s="326"/>
      <c r="AA1194" s="327"/>
      <c r="AB1194" s="519" t="s">
        <v>303</v>
      </c>
      <c r="AC1194" s="326"/>
      <c r="AD1194" s="326"/>
      <c r="AE1194" s="327"/>
      <c r="AF1194" s="520"/>
      <c r="AG1194" s="327"/>
      <c r="AH1194" s="520"/>
      <c r="AI1194" s="327"/>
      <c r="AJ1194" s="536"/>
      <c r="AK1194" s="327"/>
      <c r="AL1194" s="556" t="s">
        <v>334</v>
      </c>
      <c r="AM1194" s="327"/>
      <c r="AN1194" s="553" t="s">
        <v>334</v>
      </c>
      <c r="AO1194" s="327"/>
      <c r="AP1194" s="554"/>
      <c r="AQ1194" s="327"/>
      <c r="AR1194" s="555"/>
      <c r="AS1194" s="327"/>
      <c r="AT1194" s="549"/>
      <c r="AU1194" s="327"/>
      <c r="AV1194" s="553" t="s">
        <v>334</v>
      </c>
      <c r="AW1194" s="327"/>
      <c r="AX1194" s="521"/>
      <c r="AY1194" s="326"/>
      <c r="AZ1194" s="327"/>
      <c r="BA1194" s="536"/>
      <c r="BB1194" s="327"/>
      <c r="BC1194" s="22"/>
      <c r="BD1194" s="551" t="s">
        <v>334</v>
      </c>
      <c r="BE1194" s="327"/>
      <c r="BF1194" s="552"/>
      <c r="BG1194" s="326"/>
      <c r="BH1194" s="326"/>
      <c r="BI1194" s="327"/>
      <c r="BJ1194" s="451" t="s">
        <v>303</v>
      </c>
      <c r="BK1194" s="326"/>
      <c r="BL1194" s="326"/>
      <c r="BM1194" s="327"/>
      <c r="BN1194" s="558" t="s">
        <v>303</v>
      </c>
      <c r="BO1194" s="326"/>
      <c r="BP1194" s="326"/>
      <c r="BQ1194" s="326"/>
      <c r="BR1194" s="326"/>
      <c r="BS1194" s="326"/>
      <c r="BT1194" s="326"/>
      <c r="BU1194" s="326"/>
      <c r="BV1194" s="327"/>
    </row>
    <row r="1195" spans="1:74" ht="45" customHeight="1" x14ac:dyDescent="0.25">
      <c r="A1195" s="10">
        <f t="shared" si="4"/>
        <v>1181</v>
      </c>
      <c r="B1195" s="559" t="s">
        <v>303</v>
      </c>
      <c r="C1195" s="327"/>
      <c r="D1195" s="560" t="s">
        <v>307</v>
      </c>
      <c r="E1195" s="327"/>
      <c r="F1195" s="537" t="s">
        <v>334</v>
      </c>
      <c r="G1195" s="327"/>
      <c r="H1195" s="566" t="s">
        <v>334</v>
      </c>
      <c r="I1195" s="327"/>
      <c r="J1195" s="567"/>
      <c r="K1195" s="327"/>
      <c r="L1195" s="567"/>
      <c r="M1195" s="327"/>
      <c r="N1195" s="20"/>
      <c r="O1195" s="21"/>
      <c r="P1195" s="524"/>
      <c r="Q1195" s="327"/>
      <c r="R1195" s="538"/>
      <c r="S1195" s="327"/>
      <c r="T1195" s="539"/>
      <c r="U1195" s="327"/>
      <c r="V1195" s="540"/>
      <c r="W1195" s="327"/>
      <c r="X1195" s="541" t="s">
        <v>303</v>
      </c>
      <c r="Y1195" s="326"/>
      <c r="Z1195" s="326"/>
      <c r="AA1195" s="327"/>
      <c r="AB1195" s="542" t="s">
        <v>303</v>
      </c>
      <c r="AC1195" s="326"/>
      <c r="AD1195" s="326"/>
      <c r="AE1195" s="327"/>
      <c r="AF1195" s="543"/>
      <c r="AG1195" s="327"/>
      <c r="AH1195" s="543"/>
      <c r="AI1195" s="327"/>
      <c r="AJ1195" s="536"/>
      <c r="AK1195" s="327"/>
      <c r="AL1195" s="537" t="s">
        <v>334</v>
      </c>
      <c r="AM1195" s="327"/>
      <c r="AN1195" s="546" t="s">
        <v>334</v>
      </c>
      <c r="AO1195" s="327"/>
      <c r="AP1195" s="547"/>
      <c r="AQ1195" s="327"/>
      <c r="AR1195" s="548"/>
      <c r="AS1195" s="327"/>
      <c r="AT1195" s="549"/>
      <c r="AU1195" s="327"/>
      <c r="AV1195" s="546" t="s">
        <v>334</v>
      </c>
      <c r="AW1195" s="327"/>
      <c r="AX1195" s="521"/>
      <c r="AY1195" s="326"/>
      <c r="AZ1195" s="327"/>
      <c r="BA1195" s="550"/>
      <c r="BB1195" s="327"/>
      <c r="BC1195" s="25"/>
      <c r="BD1195" s="544" t="s">
        <v>334</v>
      </c>
      <c r="BE1195" s="327"/>
      <c r="BF1195" s="545"/>
      <c r="BG1195" s="326"/>
      <c r="BH1195" s="326"/>
      <c r="BI1195" s="327"/>
      <c r="BJ1195" s="557" t="s">
        <v>303</v>
      </c>
      <c r="BK1195" s="326"/>
      <c r="BL1195" s="326"/>
      <c r="BM1195" s="327"/>
      <c r="BN1195" s="558" t="s">
        <v>303</v>
      </c>
      <c r="BO1195" s="326"/>
      <c r="BP1195" s="326"/>
      <c r="BQ1195" s="326"/>
      <c r="BR1195" s="326"/>
      <c r="BS1195" s="326"/>
      <c r="BT1195" s="326"/>
      <c r="BU1195" s="326"/>
      <c r="BV1195" s="327"/>
    </row>
    <row r="1196" spans="1:74" ht="45" customHeight="1" x14ac:dyDescent="0.25">
      <c r="A1196" s="10">
        <f t="shared" si="4"/>
        <v>1182</v>
      </c>
      <c r="B1196" s="564" t="s">
        <v>303</v>
      </c>
      <c r="C1196" s="327"/>
      <c r="D1196" s="565" t="s">
        <v>307</v>
      </c>
      <c r="E1196" s="327"/>
      <c r="F1196" s="537" t="s">
        <v>334</v>
      </c>
      <c r="G1196" s="327"/>
      <c r="H1196" s="561" t="s">
        <v>334</v>
      </c>
      <c r="I1196" s="327"/>
      <c r="J1196" s="26"/>
      <c r="K1196" s="27"/>
      <c r="L1196" s="26"/>
      <c r="M1196" s="27"/>
      <c r="N1196" s="23"/>
      <c r="O1196" s="24"/>
      <c r="P1196" s="563"/>
      <c r="Q1196" s="327"/>
      <c r="R1196" s="516"/>
      <c r="S1196" s="327"/>
      <c r="T1196" s="517"/>
      <c r="U1196" s="327"/>
      <c r="V1196" s="518"/>
      <c r="W1196" s="327"/>
      <c r="X1196" s="438" t="s">
        <v>303</v>
      </c>
      <c r="Y1196" s="326"/>
      <c r="Z1196" s="326"/>
      <c r="AA1196" s="327"/>
      <c r="AB1196" s="519" t="s">
        <v>303</v>
      </c>
      <c r="AC1196" s="326"/>
      <c r="AD1196" s="326"/>
      <c r="AE1196" s="327"/>
      <c r="AF1196" s="520"/>
      <c r="AG1196" s="327"/>
      <c r="AH1196" s="520"/>
      <c r="AI1196" s="327"/>
      <c r="AJ1196" s="536"/>
      <c r="AK1196" s="327"/>
      <c r="AL1196" s="556" t="s">
        <v>334</v>
      </c>
      <c r="AM1196" s="327"/>
      <c r="AN1196" s="553" t="s">
        <v>334</v>
      </c>
      <c r="AO1196" s="327"/>
      <c r="AP1196" s="554"/>
      <c r="AQ1196" s="327"/>
      <c r="AR1196" s="555"/>
      <c r="AS1196" s="327"/>
      <c r="AT1196" s="549"/>
      <c r="AU1196" s="327"/>
      <c r="AV1196" s="553" t="s">
        <v>334</v>
      </c>
      <c r="AW1196" s="327"/>
      <c r="AX1196" s="521"/>
      <c r="AY1196" s="326"/>
      <c r="AZ1196" s="327"/>
      <c r="BA1196" s="536"/>
      <c r="BB1196" s="327"/>
      <c r="BC1196" s="22"/>
      <c r="BD1196" s="551" t="s">
        <v>334</v>
      </c>
      <c r="BE1196" s="327"/>
      <c r="BF1196" s="552"/>
      <c r="BG1196" s="326"/>
      <c r="BH1196" s="326"/>
      <c r="BI1196" s="327"/>
      <c r="BJ1196" s="451" t="s">
        <v>303</v>
      </c>
      <c r="BK1196" s="326"/>
      <c r="BL1196" s="326"/>
      <c r="BM1196" s="327"/>
      <c r="BN1196" s="558" t="s">
        <v>303</v>
      </c>
      <c r="BO1196" s="326"/>
      <c r="BP1196" s="326"/>
      <c r="BQ1196" s="326"/>
      <c r="BR1196" s="326"/>
      <c r="BS1196" s="326"/>
      <c r="BT1196" s="326"/>
      <c r="BU1196" s="326"/>
      <c r="BV1196" s="327"/>
    </row>
    <row r="1197" spans="1:74" ht="45" customHeight="1" x14ac:dyDescent="0.25">
      <c r="A1197" s="10">
        <f t="shared" si="4"/>
        <v>1183</v>
      </c>
      <c r="B1197" s="559" t="s">
        <v>303</v>
      </c>
      <c r="C1197" s="327"/>
      <c r="D1197" s="560" t="s">
        <v>307</v>
      </c>
      <c r="E1197" s="327"/>
      <c r="F1197" s="537" t="s">
        <v>334</v>
      </c>
      <c r="G1197" s="327"/>
      <c r="H1197" s="566" t="s">
        <v>334</v>
      </c>
      <c r="I1197" s="327"/>
      <c r="J1197" s="567"/>
      <c r="K1197" s="327"/>
      <c r="L1197" s="567"/>
      <c r="M1197" s="327"/>
      <c r="N1197" s="20"/>
      <c r="O1197" s="24"/>
      <c r="P1197" s="524"/>
      <c r="Q1197" s="327"/>
      <c r="R1197" s="538"/>
      <c r="S1197" s="327"/>
      <c r="T1197" s="539"/>
      <c r="U1197" s="327"/>
      <c r="V1197" s="540"/>
      <c r="W1197" s="327"/>
      <c r="X1197" s="541" t="s">
        <v>303</v>
      </c>
      <c r="Y1197" s="326"/>
      <c r="Z1197" s="326"/>
      <c r="AA1197" s="327"/>
      <c r="AB1197" s="542" t="s">
        <v>303</v>
      </c>
      <c r="AC1197" s="326"/>
      <c r="AD1197" s="326"/>
      <c r="AE1197" s="327"/>
      <c r="AF1197" s="543"/>
      <c r="AG1197" s="327"/>
      <c r="AH1197" s="543"/>
      <c r="AI1197" s="327"/>
      <c r="AJ1197" s="536"/>
      <c r="AK1197" s="327"/>
      <c r="AL1197" s="537" t="s">
        <v>334</v>
      </c>
      <c r="AM1197" s="327"/>
      <c r="AN1197" s="546" t="s">
        <v>334</v>
      </c>
      <c r="AO1197" s="327"/>
      <c r="AP1197" s="547"/>
      <c r="AQ1197" s="327"/>
      <c r="AR1197" s="548"/>
      <c r="AS1197" s="327"/>
      <c r="AT1197" s="568"/>
      <c r="AU1197" s="327"/>
      <c r="AV1197" s="546" t="s">
        <v>334</v>
      </c>
      <c r="AW1197" s="327"/>
      <c r="AX1197" s="521"/>
      <c r="AY1197" s="326"/>
      <c r="AZ1197" s="327"/>
      <c r="BA1197" s="550"/>
      <c r="BB1197" s="327"/>
      <c r="BC1197" s="25"/>
      <c r="BD1197" s="544" t="s">
        <v>334</v>
      </c>
      <c r="BE1197" s="327"/>
      <c r="BF1197" s="545"/>
      <c r="BG1197" s="326"/>
      <c r="BH1197" s="326"/>
      <c r="BI1197" s="327"/>
      <c r="BJ1197" s="557" t="s">
        <v>303</v>
      </c>
      <c r="BK1197" s="326"/>
      <c r="BL1197" s="326"/>
      <c r="BM1197" s="327"/>
      <c r="BN1197" s="558" t="s">
        <v>303</v>
      </c>
      <c r="BO1197" s="326"/>
      <c r="BP1197" s="326"/>
      <c r="BQ1197" s="326"/>
      <c r="BR1197" s="326"/>
      <c r="BS1197" s="326"/>
      <c r="BT1197" s="326"/>
      <c r="BU1197" s="326"/>
      <c r="BV1197" s="327"/>
    </row>
    <row r="1198" spans="1:74" ht="45" customHeight="1" x14ac:dyDescent="0.25">
      <c r="A1198" s="10">
        <f t="shared" si="4"/>
        <v>1184</v>
      </c>
      <c r="B1198" s="564" t="s">
        <v>303</v>
      </c>
      <c r="C1198" s="327"/>
      <c r="D1198" s="565" t="s">
        <v>307</v>
      </c>
      <c r="E1198" s="327"/>
      <c r="F1198" s="537" t="s">
        <v>334</v>
      </c>
      <c r="G1198" s="327"/>
      <c r="H1198" s="561" t="s">
        <v>334</v>
      </c>
      <c r="I1198" s="327"/>
      <c r="J1198" s="26"/>
      <c r="K1198" s="27"/>
      <c r="L1198" s="26"/>
      <c r="M1198" s="27"/>
      <c r="N1198" s="23"/>
      <c r="O1198" s="21"/>
      <c r="P1198" s="563"/>
      <c r="Q1198" s="327"/>
      <c r="R1198" s="516"/>
      <c r="S1198" s="327"/>
      <c r="T1198" s="517"/>
      <c r="U1198" s="327"/>
      <c r="V1198" s="518"/>
      <c r="W1198" s="327"/>
      <c r="X1198" s="438" t="s">
        <v>303</v>
      </c>
      <c r="Y1198" s="326"/>
      <c r="Z1198" s="326"/>
      <c r="AA1198" s="327"/>
      <c r="AB1198" s="519" t="s">
        <v>303</v>
      </c>
      <c r="AC1198" s="326"/>
      <c r="AD1198" s="326"/>
      <c r="AE1198" s="327"/>
      <c r="AF1198" s="520"/>
      <c r="AG1198" s="327"/>
      <c r="AH1198" s="520"/>
      <c r="AI1198" s="327"/>
      <c r="AJ1198" s="536"/>
      <c r="AK1198" s="327"/>
      <c r="AL1198" s="556" t="s">
        <v>334</v>
      </c>
      <c r="AM1198" s="327"/>
      <c r="AN1198" s="553" t="s">
        <v>334</v>
      </c>
      <c r="AO1198" s="327"/>
      <c r="AP1198" s="554"/>
      <c r="AQ1198" s="327"/>
      <c r="AR1198" s="555"/>
      <c r="AS1198" s="327"/>
      <c r="AT1198" s="549"/>
      <c r="AU1198" s="327"/>
      <c r="AV1198" s="553" t="s">
        <v>334</v>
      </c>
      <c r="AW1198" s="327"/>
      <c r="AX1198" s="521"/>
      <c r="AY1198" s="326"/>
      <c r="AZ1198" s="327"/>
      <c r="BA1198" s="536"/>
      <c r="BB1198" s="327"/>
      <c r="BC1198" s="22"/>
      <c r="BD1198" s="551" t="s">
        <v>334</v>
      </c>
      <c r="BE1198" s="327"/>
      <c r="BF1198" s="508"/>
      <c r="BG1198" s="326"/>
      <c r="BH1198" s="326"/>
      <c r="BI1198" s="327"/>
      <c r="BJ1198" s="451" t="s">
        <v>303</v>
      </c>
      <c r="BK1198" s="326"/>
      <c r="BL1198" s="326"/>
      <c r="BM1198" s="327"/>
      <c r="BN1198" s="558" t="s">
        <v>303</v>
      </c>
      <c r="BO1198" s="326"/>
      <c r="BP1198" s="326"/>
      <c r="BQ1198" s="326"/>
      <c r="BR1198" s="326"/>
      <c r="BS1198" s="326"/>
      <c r="BT1198" s="326"/>
      <c r="BU1198" s="326"/>
      <c r="BV1198" s="327"/>
    </row>
    <row r="1199" spans="1:74" ht="45" customHeight="1" x14ac:dyDescent="0.25">
      <c r="A1199" s="10">
        <f t="shared" si="4"/>
        <v>1185</v>
      </c>
      <c r="B1199" s="559" t="s">
        <v>303</v>
      </c>
      <c r="C1199" s="327"/>
      <c r="D1199" s="560" t="s">
        <v>307</v>
      </c>
      <c r="E1199" s="327"/>
      <c r="F1199" s="537" t="s">
        <v>334</v>
      </c>
      <c r="G1199" s="327"/>
      <c r="H1199" s="566" t="s">
        <v>334</v>
      </c>
      <c r="I1199" s="327"/>
      <c r="J1199" s="567"/>
      <c r="K1199" s="327"/>
      <c r="L1199" s="567"/>
      <c r="M1199" s="327"/>
      <c r="N1199" s="20"/>
      <c r="O1199" s="24"/>
      <c r="P1199" s="524"/>
      <c r="Q1199" s="327"/>
      <c r="R1199" s="538"/>
      <c r="S1199" s="327"/>
      <c r="T1199" s="539"/>
      <c r="U1199" s="327"/>
      <c r="V1199" s="540"/>
      <c r="W1199" s="327"/>
      <c r="X1199" s="541" t="s">
        <v>303</v>
      </c>
      <c r="Y1199" s="326"/>
      <c r="Z1199" s="326"/>
      <c r="AA1199" s="327"/>
      <c r="AB1199" s="542" t="s">
        <v>303</v>
      </c>
      <c r="AC1199" s="326"/>
      <c r="AD1199" s="326"/>
      <c r="AE1199" s="327"/>
      <c r="AF1199" s="543"/>
      <c r="AG1199" s="327"/>
      <c r="AH1199" s="543"/>
      <c r="AI1199" s="327"/>
      <c r="AJ1199" s="536"/>
      <c r="AK1199" s="327"/>
      <c r="AL1199" s="537" t="s">
        <v>334</v>
      </c>
      <c r="AM1199" s="327"/>
      <c r="AN1199" s="546" t="s">
        <v>334</v>
      </c>
      <c r="AO1199" s="327"/>
      <c r="AP1199" s="547"/>
      <c r="AQ1199" s="327"/>
      <c r="AR1199" s="548"/>
      <c r="AS1199" s="327"/>
      <c r="AT1199" s="568"/>
      <c r="AU1199" s="327"/>
      <c r="AV1199" s="546" t="s">
        <v>334</v>
      </c>
      <c r="AW1199" s="327"/>
      <c r="AX1199" s="521"/>
      <c r="AY1199" s="326"/>
      <c r="AZ1199" s="327"/>
      <c r="BA1199" s="550"/>
      <c r="BB1199" s="327"/>
      <c r="BC1199" s="25"/>
      <c r="BD1199" s="544" t="s">
        <v>334</v>
      </c>
      <c r="BE1199" s="327"/>
      <c r="BF1199" s="545"/>
      <c r="BG1199" s="326"/>
      <c r="BH1199" s="326"/>
      <c r="BI1199" s="327"/>
      <c r="BJ1199" s="557" t="s">
        <v>303</v>
      </c>
      <c r="BK1199" s="326"/>
      <c r="BL1199" s="326"/>
      <c r="BM1199" s="327"/>
      <c r="BN1199" s="558" t="s">
        <v>303</v>
      </c>
      <c r="BO1199" s="326"/>
      <c r="BP1199" s="326"/>
      <c r="BQ1199" s="326"/>
      <c r="BR1199" s="326"/>
      <c r="BS1199" s="326"/>
      <c r="BT1199" s="326"/>
      <c r="BU1199" s="326"/>
      <c r="BV1199" s="327"/>
    </row>
    <row r="1200" spans="1:74" ht="45" customHeight="1" x14ac:dyDescent="0.25">
      <c r="A1200" s="10">
        <f t="shared" si="4"/>
        <v>1186</v>
      </c>
      <c r="B1200" s="564" t="s">
        <v>303</v>
      </c>
      <c r="C1200" s="327"/>
      <c r="D1200" s="565" t="s">
        <v>307</v>
      </c>
      <c r="E1200" s="327"/>
      <c r="F1200" s="537" t="s">
        <v>334</v>
      </c>
      <c r="G1200" s="327"/>
      <c r="H1200" s="561" t="s">
        <v>334</v>
      </c>
      <c r="I1200" s="327"/>
      <c r="J1200" s="26"/>
      <c r="K1200" s="27"/>
      <c r="L1200" s="26"/>
      <c r="M1200" s="27"/>
      <c r="N1200" s="23"/>
      <c r="O1200" s="21"/>
      <c r="P1200" s="563"/>
      <c r="Q1200" s="327"/>
      <c r="R1200" s="516"/>
      <c r="S1200" s="327"/>
      <c r="T1200" s="517"/>
      <c r="U1200" s="327"/>
      <c r="V1200" s="518"/>
      <c r="W1200" s="327"/>
      <c r="X1200" s="438" t="s">
        <v>303</v>
      </c>
      <c r="Y1200" s="326"/>
      <c r="Z1200" s="326"/>
      <c r="AA1200" s="327"/>
      <c r="AB1200" s="519" t="s">
        <v>303</v>
      </c>
      <c r="AC1200" s="326"/>
      <c r="AD1200" s="326"/>
      <c r="AE1200" s="327"/>
      <c r="AF1200" s="520"/>
      <c r="AG1200" s="327"/>
      <c r="AH1200" s="520"/>
      <c r="AI1200" s="327"/>
      <c r="AJ1200" s="536"/>
      <c r="AK1200" s="327"/>
      <c r="AL1200" s="556" t="s">
        <v>334</v>
      </c>
      <c r="AM1200" s="327"/>
      <c r="AN1200" s="553" t="s">
        <v>334</v>
      </c>
      <c r="AO1200" s="327"/>
      <c r="AP1200" s="554"/>
      <c r="AQ1200" s="327"/>
      <c r="AR1200" s="555"/>
      <c r="AS1200" s="327"/>
      <c r="AT1200" s="549"/>
      <c r="AU1200" s="327"/>
      <c r="AV1200" s="553" t="s">
        <v>334</v>
      </c>
      <c r="AW1200" s="327"/>
      <c r="AX1200" s="521"/>
      <c r="AY1200" s="326"/>
      <c r="AZ1200" s="327"/>
      <c r="BA1200" s="536"/>
      <c r="BB1200" s="327"/>
      <c r="BC1200" s="22"/>
      <c r="BD1200" s="551" t="s">
        <v>334</v>
      </c>
      <c r="BE1200" s="327"/>
      <c r="BF1200" s="552"/>
      <c r="BG1200" s="326"/>
      <c r="BH1200" s="326"/>
      <c r="BI1200" s="327"/>
      <c r="BJ1200" s="451" t="s">
        <v>303</v>
      </c>
      <c r="BK1200" s="326"/>
      <c r="BL1200" s="326"/>
      <c r="BM1200" s="327"/>
      <c r="BN1200" s="558" t="s">
        <v>303</v>
      </c>
      <c r="BO1200" s="326"/>
      <c r="BP1200" s="326"/>
      <c r="BQ1200" s="326"/>
      <c r="BR1200" s="326"/>
      <c r="BS1200" s="326"/>
      <c r="BT1200" s="326"/>
      <c r="BU1200" s="326"/>
      <c r="BV1200" s="327"/>
    </row>
    <row r="1201" spans="1:74" ht="45" customHeight="1" x14ac:dyDescent="0.25">
      <c r="A1201" s="10">
        <f t="shared" si="4"/>
        <v>1187</v>
      </c>
      <c r="B1201" s="559" t="s">
        <v>303</v>
      </c>
      <c r="C1201" s="327"/>
      <c r="D1201" s="560" t="s">
        <v>307</v>
      </c>
      <c r="E1201" s="327"/>
      <c r="F1201" s="537" t="s">
        <v>334</v>
      </c>
      <c r="G1201" s="327"/>
      <c r="H1201" s="566" t="s">
        <v>334</v>
      </c>
      <c r="I1201" s="327"/>
      <c r="J1201" s="567"/>
      <c r="K1201" s="327"/>
      <c r="L1201" s="567"/>
      <c r="M1201" s="327"/>
      <c r="N1201" s="20"/>
      <c r="O1201" s="24"/>
      <c r="P1201" s="524"/>
      <c r="Q1201" s="327"/>
      <c r="R1201" s="538"/>
      <c r="S1201" s="327"/>
      <c r="T1201" s="539"/>
      <c r="U1201" s="327"/>
      <c r="V1201" s="540"/>
      <c r="W1201" s="327"/>
      <c r="X1201" s="541" t="s">
        <v>303</v>
      </c>
      <c r="Y1201" s="326"/>
      <c r="Z1201" s="326"/>
      <c r="AA1201" s="327"/>
      <c r="AB1201" s="542" t="s">
        <v>303</v>
      </c>
      <c r="AC1201" s="326"/>
      <c r="AD1201" s="326"/>
      <c r="AE1201" s="327"/>
      <c r="AF1201" s="543"/>
      <c r="AG1201" s="327"/>
      <c r="AH1201" s="543"/>
      <c r="AI1201" s="327"/>
      <c r="AJ1201" s="536"/>
      <c r="AK1201" s="327"/>
      <c r="AL1201" s="537" t="s">
        <v>334</v>
      </c>
      <c r="AM1201" s="327"/>
      <c r="AN1201" s="546" t="s">
        <v>334</v>
      </c>
      <c r="AO1201" s="327"/>
      <c r="AP1201" s="547"/>
      <c r="AQ1201" s="327"/>
      <c r="AR1201" s="548"/>
      <c r="AS1201" s="327"/>
      <c r="AT1201" s="568"/>
      <c r="AU1201" s="327"/>
      <c r="AV1201" s="546" t="s">
        <v>334</v>
      </c>
      <c r="AW1201" s="327"/>
      <c r="AX1201" s="521"/>
      <c r="AY1201" s="326"/>
      <c r="AZ1201" s="327"/>
      <c r="BA1201" s="550"/>
      <c r="BB1201" s="327"/>
      <c r="BC1201" s="25"/>
      <c r="BD1201" s="544" t="s">
        <v>334</v>
      </c>
      <c r="BE1201" s="327"/>
      <c r="BF1201" s="545"/>
      <c r="BG1201" s="326"/>
      <c r="BH1201" s="326"/>
      <c r="BI1201" s="327"/>
      <c r="BJ1201" s="557" t="s">
        <v>303</v>
      </c>
      <c r="BK1201" s="326"/>
      <c r="BL1201" s="326"/>
      <c r="BM1201" s="327"/>
      <c r="BN1201" s="558" t="s">
        <v>303</v>
      </c>
      <c r="BO1201" s="326"/>
      <c r="BP1201" s="326"/>
      <c r="BQ1201" s="326"/>
      <c r="BR1201" s="326"/>
      <c r="BS1201" s="326"/>
      <c r="BT1201" s="326"/>
      <c r="BU1201" s="326"/>
      <c r="BV1201" s="327"/>
    </row>
    <row r="1202" spans="1:74" ht="45" customHeight="1" x14ac:dyDescent="0.25">
      <c r="A1202" s="10">
        <f t="shared" si="4"/>
        <v>1188</v>
      </c>
      <c r="B1202" s="564" t="s">
        <v>303</v>
      </c>
      <c r="C1202" s="327"/>
      <c r="D1202" s="565" t="s">
        <v>307</v>
      </c>
      <c r="E1202" s="327"/>
      <c r="F1202" s="537" t="s">
        <v>334</v>
      </c>
      <c r="G1202" s="327"/>
      <c r="H1202" s="561" t="s">
        <v>334</v>
      </c>
      <c r="I1202" s="327"/>
      <c r="J1202" s="26"/>
      <c r="K1202" s="27"/>
      <c r="L1202" s="26"/>
      <c r="M1202" s="27"/>
      <c r="N1202" s="23"/>
      <c r="O1202" s="21"/>
      <c r="P1202" s="563"/>
      <c r="Q1202" s="327"/>
      <c r="R1202" s="516"/>
      <c r="S1202" s="327"/>
      <c r="T1202" s="517"/>
      <c r="U1202" s="327"/>
      <c r="V1202" s="518"/>
      <c r="W1202" s="327"/>
      <c r="X1202" s="438" t="s">
        <v>303</v>
      </c>
      <c r="Y1202" s="326"/>
      <c r="Z1202" s="326"/>
      <c r="AA1202" s="327"/>
      <c r="AB1202" s="519" t="s">
        <v>303</v>
      </c>
      <c r="AC1202" s="326"/>
      <c r="AD1202" s="326"/>
      <c r="AE1202" s="327"/>
      <c r="AF1202" s="520"/>
      <c r="AG1202" s="327"/>
      <c r="AH1202" s="520"/>
      <c r="AI1202" s="327"/>
      <c r="AJ1202" s="536"/>
      <c r="AK1202" s="327"/>
      <c r="AL1202" s="556" t="s">
        <v>334</v>
      </c>
      <c r="AM1202" s="327"/>
      <c r="AN1202" s="553" t="s">
        <v>334</v>
      </c>
      <c r="AO1202" s="327"/>
      <c r="AP1202" s="554"/>
      <c r="AQ1202" s="327"/>
      <c r="AR1202" s="555"/>
      <c r="AS1202" s="327"/>
      <c r="AT1202" s="549"/>
      <c r="AU1202" s="327"/>
      <c r="AV1202" s="553" t="s">
        <v>334</v>
      </c>
      <c r="AW1202" s="327"/>
      <c r="AX1202" s="521"/>
      <c r="AY1202" s="326"/>
      <c r="AZ1202" s="327"/>
      <c r="BA1202" s="536"/>
      <c r="BB1202" s="327"/>
      <c r="BC1202" s="22"/>
      <c r="BD1202" s="551" t="s">
        <v>334</v>
      </c>
      <c r="BE1202" s="327"/>
      <c r="BF1202" s="552"/>
      <c r="BG1202" s="326"/>
      <c r="BH1202" s="326"/>
      <c r="BI1202" s="327"/>
      <c r="BJ1202" s="451" t="s">
        <v>303</v>
      </c>
      <c r="BK1202" s="326"/>
      <c r="BL1202" s="326"/>
      <c r="BM1202" s="327"/>
      <c r="BN1202" s="558" t="s">
        <v>303</v>
      </c>
      <c r="BO1202" s="326"/>
      <c r="BP1202" s="326"/>
      <c r="BQ1202" s="326"/>
      <c r="BR1202" s="326"/>
      <c r="BS1202" s="326"/>
      <c r="BT1202" s="326"/>
      <c r="BU1202" s="326"/>
      <c r="BV1202" s="327"/>
    </row>
    <row r="1203" spans="1:74" ht="45" customHeight="1" x14ac:dyDescent="0.25">
      <c r="A1203" s="10">
        <f t="shared" si="4"/>
        <v>1189</v>
      </c>
      <c r="B1203" s="559" t="s">
        <v>303</v>
      </c>
      <c r="C1203" s="327"/>
      <c r="D1203" s="560" t="s">
        <v>307</v>
      </c>
      <c r="E1203" s="327"/>
      <c r="F1203" s="537" t="s">
        <v>334</v>
      </c>
      <c r="G1203" s="327"/>
      <c r="H1203" s="566" t="s">
        <v>334</v>
      </c>
      <c r="I1203" s="327"/>
      <c r="J1203" s="567"/>
      <c r="K1203" s="327"/>
      <c r="L1203" s="567"/>
      <c r="M1203" s="327"/>
      <c r="N1203" s="20"/>
      <c r="O1203" s="24"/>
      <c r="P1203" s="524"/>
      <c r="Q1203" s="327"/>
      <c r="R1203" s="538"/>
      <c r="S1203" s="327"/>
      <c r="T1203" s="539"/>
      <c r="U1203" s="327"/>
      <c r="V1203" s="540"/>
      <c r="W1203" s="327"/>
      <c r="X1203" s="541" t="s">
        <v>303</v>
      </c>
      <c r="Y1203" s="326"/>
      <c r="Z1203" s="326"/>
      <c r="AA1203" s="327"/>
      <c r="AB1203" s="542" t="s">
        <v>303</v>
      </c>
      <c r="AC1203" s="326"/>
      <c r="AD1203" s="326"/>
      <c r="AE1203" s="327"/>
      <c r="AF1203" s="543"/>
      <c r="AG1203" s="327"/>
      <c r="AH1203" s="543"/>
      <c r="AI1203" s="327"/>
      <c r="AJ1203" s="536"/>
      <c r="AK1203" s="327"/>
      <c r="AL1203" s="537" t="s">
        <v>334</v>
      </c>
      <c r="AM1203" s="327"/>
      <c r="AN1203" s="546" t="s">
        <v>334</v>
      </c>
      <c r="AO1203" s="327"/>
      <c r="AP1203" s="547"/>
      <c r="AQ1203" s="327"/>
      <c r="AR1203" s="548"/>
      <c r="AS1203" s="327"/>
      <c r="AT1203" s="568"/>
      <c r="AU1203" s="327"/>
      <c r="AV1203" s="546" t="s">
        <v>334</v>
      </c>
      <c r="AW1203" s="327"/>
      <c r="AX1203" s="521"/>
      <c r="AY1203" s="326"/>
      <c r="AZ1203" s="327"/>
      <c r="BA1203" s="550"/>
      <c r="BB1203" s="327"/>
      <c r="BC1203" s="25"/>
      <c r="BD1203" s="544" t="s">
        <v>334</v>
      </c>
      <c r="BE1203" s="327"/>
      <c r="BF1203" s="545"/>
      <c r="BG1203" s="326"/>
      <c r="BH1203" s="326"/>
      <c r="BI1203" s="327"/>
      <c r="BJ1203" s="557" t="s">
        <v>303</v>
      </c>
      <c r="BK1203" s="326"/>
      <c r="BL1203" s="326"/>
      <c r="BM1203" s="327"/>
      <c r="BN1203" s="558" t="s">
        <v>303</v>
      </c>
      <c r="BO1203" s="326"/>
      <c r="BP1203" s="326"/>
      <c r="BQ1203" s="326"/>
      <c r="BR1203" s="326"/>
      <c r="BS1203" s="326"/>
      <c r="BT1203" s="326"/>
      <c r="BU1203" s="326"/>
      <c r="BV1203" s="327"/>
    </row>
    <row r="1204" spans="1:74" ht="45" customHeight="1" x14ac:dyDescent="0.25">
      <c r="A1204" s="10">
        <f t="shared" si="4"/>
        <v>1190</v>
      </c>
      <c r="B1204" s="564" t="s">
        <v>303</v>
      </c>
      <c r="C1204" s="327"/>
      <c r="D1204" s="565" t="s">
        <v>307</v>
      </c>
      <c r="E1204" s="327"/>
      <c r="F1204" s="537" t="s">
        <v>334</v>
      </c>
      <c r="G1204" s="327"/>
      <c r="H1204" s="561" t="s">
        <v>334</v>
      </c>
      <c r="I1204" s="327"/>
      <c r="J1204" s="26"/>
      <c r="K1204" s="27"/>
      <c r="L1204" s="26"/>
      <c r="M1204" s="27"/>
      <c r="N1204" s="23"/>
      <c r="O1204" s="21"/>
      <c r="P1204" s="563"/>
      <c r="Q1204" s="327"/>
      <c r="R1204" s="516"/>
      <c r="S1204" s="327"/>
      <c r="T1204" s="517"/>
      <c r="U1204" s="327"/>
      <c r="V1204" s="518"/>
      <c r="W1204" s="327"/>
      <c r="X1204" s="438" t="s">
        <v>303</v>
      </c>
      <c r="Y1204" s="326"/>
      <c r="Z1204" s="326"/>
      <c r="AA1204" s="327"/>
      <c r="AB1204" s="519" t="s">
        <v>303</v>
      </c>
      <c r="AC1204" s="326"/>
      <c r="AD1204" s="326"/>
      <c r="AE1204" s="327"/>
      <c r="AF1204" s="520"/>
      <c r="AG1204" s="327"/>
      <c r="AH1204" s="520"/>
      <c r="AI1204" s="327"/>
      <c r="AJ1204" s="536"/>
      <c r="AK1204" s="327"/>
      <c r="AL1204" s="556" t="s">
        <v>334</v>
      </c>
      <c r="AM1204" s="327"/>
      <c r="AN1204" s="553" t="s">
        <v>334</v>
      </c>
      <c r="AO1204" s="327"/>
      <c r="AP1204" s="554"/>
      <c r="AQ1204" s="327"/>
      <c r="AR1204" s="555"/>
      <c r="AS1204" s="327"/>
      <c r="AT1204" s="549"/>
      <c r="AU1204" s="327"/>
      <c r="AV1204" s="553" t="s">
        <v>334</v>
      </c>
      <c r="AW1204" s="327"/>
      <c r="AX1204" s="521"/>
      <c r="AY1204" s="326"/>
      <c r="AZ1204" s="327"/>
      <c r="BA1204" s="536"/>
      <c r="BB1204" s="327"/>
      <c r="BC1204" s="22"/>
      <c r="BD1204" s="551" t="s">
        <v>334</v>
      </c>
      <c r="BE1204" s="327"/>
      <c r="BF1204" s="508"/>
      <c r="BG1204" s="326"/>
      <c r="BH1204" s="326"/>
      <c r="BI1204" s="327"/>
      <c r="BJ1204" s="451" t="s">
        <v>303</v>
      </c>
      <c r="BK1204" s="326"/>
      <c r="BL1204" s="326"/>
      <c r="BM1204" s="327"/>
      <c r="BN1204" s="558" t="s">
        <v>303</v>
      </c>
      <c r="BO1204" s="326"/>
      <c r="BP1204" s="326"/>
      <c r="BQ1204" s="326"/>
      <c r="BR1204" s="326"/>
      <c r="BS1204" s="326"/>
      <c r="BT1204" s="326"/>
      <c r="BU1204" s="326"/>
      <c r="BV1204" s="327"/>
    </row>
    <row r="1205" spans="1:74" ht="45" customHeight="1" x14ac:dyDescent="0.25">
      <c r="A1205" s="10">
        <f t="shared" si="4"/>
        <v>1191</v>
      </c>
      <c r="B1205" s="559" t="s">
        <v>303</v>
      </c>
      <c r="C1205" s="327"/>
      <c r="D1205" s="560" t="s">
        <v>307</v>
      </c>
      <c r="E1205" s="327"/>
      <c r="F1205" s="537" t="s">
        <v>334</v>
      </c>
      <c r="G1205" s="327"/>
      <c r="H1205" s="566" t="s">
        <v>334</v>
      </c>
      <c r="I1205" s="327"/>
      <c r="J1205" s="567"/>
      <c r="K1205" s="327"/>
      <c r="L1205" s="567"/>
      <c r="M1205" s="327"/>
      <c r="N1205" s="20"/>
      <c r="O1205" s="24"/>
      <c r="P1205" s="524"/>
      <c r="Q1205" s="327"/>
      <c r="R1205" s="538"/>
      <c r="S1205" s="327"/>
      <c r="T1205" s="539"/>
      <c r="U1205" s="327"/>
      <c r="V1205" s="540"/>
      <c r="W1205" s="327"/>
      <c r="X1205" s="541" t="s">
        <v>303</v>
      </c>
      <c r="Y1205" s="326"/>
      <c r="Z1205" s="326"/>
      <c r="AA1205" s="327"/>
      <c r="AB1205" s="542" t="s">
        <v>303</v>
      </c>
      <c r="AC1205" s="326"/>
      <c r="AD1205" s="326"/>
      <c r="AE1205" s="327"/>
      <c r="AF1205" s="543"/>
      <c r="AG1205" s="327"/>
      <c r="AH1205" s="543"/>
      <c r="AI1205" s="327"/>
      <c r="AJ1205" s="536"/>
      <c r="AK1205" s="327"/>
      <c r="AL1205" s="537" t="s">
        <v>334</v>
      </c>
      <c r="AM1205" s="327"/>
      <c r="AN1205" s="546" t="s">
        <v>334</v>
      </c>
      <c r="AO1205" s="327"/>
      <c r="AP1205" s="547"/>
      <c r="AQ1205" s="327"/>
      <c r="AR1205" s="548"/>
      <c r="AS1205" s="327"/>
      <c r="AT1205" s="568"/>
      <c r="AU1205" s="327"/>
      <c r="AV1205" s="546" t="s">
        <v>334</v>
      </c>
      <c r="AW1205" s="327"/>
      <c r="AX1205" s="521"/>
      <c r="AY1205" s="326"/>
      <c r="AZ1205" s="327"/>
      <c r="BA1205" s="550"/>
      <c r="BB1205" s="327"/>
      <c r="BC1205" s="25"/>
      <c r="BD1205" s="544" t="s">
        <v>334</v>
      </c>
      <c r="BE1205" s="327"/>
      <c r="BF1205" s="545"/>
      <c r="BG1205" s="326"/>
      <c r="BH1205" s="326"/>
      <c r="BI1205" s="327"/>
      <c r="BJ1205" s="557" t="s">
        <v>303</v>
      </c>
      <c r="BK1205" s="326"/>
      <c r="BL1205" s="326"/>
      <c r="BM1205" s="327"/>
      <c r="BN1205" s="558" t="s">
        <v>303</v>
      </c>
      <c r="BO1205" s="326"/>
      <c r="BP1205" s="326"/>
      <c r="BQ1205" s="326"/>
      <c r="BR1205" s="326"/>
      <c r="BS1205" s="326"/>
      <c r="BT1205" s="326"/>
      <c r="BU1205" s="326"/>
      <c r="BV1205" s="327"/>
    </row>
    <row r="1206" spans="1:74" ht="45" customHeight="1" x14ac:dyDescent="0.25">
      <c r="A1206" s="10">
        <f t="shared" si="4"/>
        <v>1192</v>
      </c>
      <c r="B1206" s="564" t="s">
        <v>303</v>
      </c>
      <c r="C1206" s="327"/>
      <c r="D1206" s="565" t="s">
        <v>307</v>
      </c>
      <c r="E1206" s="327"/>
      <c r="F1206" s="537" t="s">
        <v>334</v>
      </c>
      <c r="G1206" s="327"/>
      <c r="H1206" s="561" t="s">
        <v>334</v>
      </c>
      <c r="I1206" s="327"/>
      <c r="J1206" s="26"/>
      <c r="K1206" s="27"/>
      <c r="L1206" s="26"/>
      <c r="M1206" s="27"/>
      <c r="N1206" s="23"/>
      <c r="O1206" s="21"/>
      <c r="P1206" s="563"/>
      <c r="Q1206" s="327"/>
      <c r="R1206" s="516"/>
      <c r="S1206" s="327"/>
      <c r="T1206" s="517"/>
      <c r="U1206" s="327"/>
      <c r="V1206" s="518"/>
      <c r="W1206" s="327"/>
      <c r="X1206" s="438" t="s">
        <v>303</v>
      </c>
      <c r="Y1206" s="326"/>
      <c r="Z1206" s="326"/>
      <c r="AA1206" s="327"/>
      <c r="AB1206" s="519" t="s">
        <v>303</v>
      </c>
      <c r="AC1206" s="326"/>
      <c r="AD1206" s="326"/>
      <c r="AE1206" s="327"/>
      <c r="AF1206" s="520"/>
      <c r="AG1206" s="327"/>
      <c r="AH1206" s="520"/>
      <c r="AI1206" s="327"/>
      <c r="AJ1206" s="536"/>
      <c r="AK1206" s="327"/>
      <c r="AL1206" s="556" t="s">
        <v>334</v>
      </c>
      <c r="AM1206" s="327"/>
      <c r="AN1206" s="553" t="s">
        <v>334</v>
      </c>
      <c r="AO1206" s="327"/>
      <c r="AP1206" s="554"/>
      <c r="AQ1206" s="327"/>
      <c r="AR1206" s="555"/>
      <c r="AS1206" s="327"/>
      <c r="AT1206" s="549"/>
      <c r="AU1206" s="327"/>
      <c r="AV1206" s="553" t="s">
        <v>334</v>
      </c>
      <c r="AW1206" s="327"/>
      <c r="AX1206" s="521"/>
      <c r="AY1206" s="326"/>
      <c r="AZ1206" s="327"/>
      <c r="BA1206" s="536"/>
      <c r="BB1206" s="327"/>
      <c r="BC1206" s="22"/>
      <c r="BD1206" s="551" t="s">
        <v>334</v>
      </c>
      <c r="BE1206" s="327"/>
      <c r="BF1206" s="552"/>
      <c r="BG1206" s="326"/>
      <c r="BH1206" s="326"/>
      <c r="BI1206" s="327"/>
      <c r="BJ1206" s="451" t="s">
        <v>303</v>
      </c>
      <c r="BK1206" s="326"/>
      <c r="BL1206" s="326"/>
      <c r="BM1206" s="327"/>
      <c r="BN1206" s="558" t="s">
        <v>303</v>
      </c>
      <c r="BO1206" s="326"/>
      <c r="BP1206" s="326"/>
      <c r="BQ1206" s="326"/>
      <c r="BR1206" s="326"/>
      <c r="BS1206" s="326"/>
      <c r="BT1206" s="326"/>
      <c r="BU1206" s="326"/>
      <c r="BV1206" s="327"/>
    </row>
    <row r="1207" spans="1:74" ht="45" customHeight="1" x14ac:dyDescent="0.25">
      <c r="A1207" s="10">
        <f t="shared" si="4"/>
        <v>1193</v>
      </c>
      <c r="B1207" s="564" t="s">
        <v>303</v>
      </c>
      <c r="C1207" s="327"/>
      <c r="D1207" s="565" t="s">
        <v>307</v>
      </c>
      <c r="E1207" s="327"/>
      <c r="F1207" s="537" t="s">
        <v>334</v>
      </c>
      <c r="G1207" s="327"/>
      <c r="H1207" s="566" t="s">
        <v>334</v>
      </c>
      <c r="I1207" s="327"/>
      <c r="J1207" s="567"/>
      <c r="K1207" s="327"/>
      <c r="L1207" s="567"/>
      <c r="M1207" s="327"/>
      <c r="N1207" s="23"/>
      <c r="O1207" s="21"/>
      <c r="P1207" s="563"/>
      <c r="Q1207" s="327"/>
      <c r="R1207" s="516"/>
      <c r="S1207" s="327"/>
      <c r="T1207" s="517"/>
      <c r="U1207" s="327"/>
      <c r="V1207" s="518"/>
      <c r="W1207" s="327"/>
      <c r="X1207" s="438" t="s">
        <v>303</v>
      </c>
      <c r="Y1207" s="326"/>
      <c r="Z1207" s="326"/>
      <c r="AA1207" s="327"/>
      <c r="AB1207" s="519" t="s">
        <v>303</v>
      </c>
      <c r="AC1207" s="326"/>
      <c r="AD1207" s="326"/>
      <c r="AE1207" s="327"/>
      <c r="AF1207" s="520"/>
      <c r="AG1207" s="327"/>
      <c r="AH1207" s="520"/>
      <c r="AI1207" s="327"/>
      <c r="AJ1207" s="536"/>
      <c r="AK1207" s="327"/>
      <c r="AL1207" s="556" t="s">
        <v>334</v>
      </c>
      <c r="AM1207" s="327"/>
      <c r="AN1207" s="553" t="s">
        <v>334</v>
      </c>
      <c r="AO1207" s="327"/>
      <c r="AP1207" s="554"/>
      <c r="AQ1207" s="327"/>
      <c r="AR1207" s="555"/>
      <c r="AS1207" s="327"/>
      <c r="AT1207" s="549"/>
      <c r="AU1207" s="327"/>
      <c r="AV1207" s="553" t="s">
        <v>334</v>
      </c>
      <c r="AW1207" s="327"/>
      <c r="AX1207" s="521"/>
      <c r="AY1207" s="326"/>
      <c r="AZ1207" s="327"/>
      <c r="BA1207" s="536"/>
      <c r="BB1207" s="327"/>
      <c r="BC1207" s="22"/>
      <c r="BD1207" s="551" t="s">
        <v>334</v>
      </c>
      <c r="BE1207" s="327"/>
      <c r="BF1207" s="508"/>
      <c r="BG1207" s="326"/>
      <c r="BH1207" s="326"/>
      <c r="BI1207" s="327"/>
      <c r="BJ1207" s="451" t="s">
        <v>303</v>
      </c>
      <c r="BK1207" s="326"/>
      <c r="BL1207" s="326"/>
      <c r="BM1207" s="327"/>
      <c r="BN1207" s="558" t="s">
        <v>303</v>
      </c>
      <c r="BO1207" s="326"/>
      <c r="BP1207" s="326"/>
      <c r="BQ1207" s="326"/>
      <c r="BR1207" s="326"/>
      <c r="BS1207" s="326"/>
      <c r="BT1207" s="326"/>
      <c r="BU1207" s="326"/>
      <c r="BV1207" s="327"/>
    </row>
    <row r="1208" spans="1:74" ht="45" customHeight="1" x14ac:dyDescent="0.25">
      <c r="A1208" s="10">
        <f t="shared" si="4"/>
        <v>1194</v>
      </c>
      <c r="B1208" s="559" t="s">
        <v>303</v>
      </c>
      <c r="C1208" s="327"/>
      <c r="D1208" s="560" t="s">
        <v>307</v>
      </c>
      <c r="E1208" s="327"/>
      <c r="F1208" s="537" t="s">
        <v>334</v>
      </c>
      <c r="G1208" s="327"/>
      <c r="H1208" s="561" t="s">
        <v>334</v>
      </c>
      <c r="I1208" s="327"/>
      <c r="J1208" s="562"/>
      <c r="K1208" s="327"/>
      <c r="L1208" s="562"/>
      <c r="M1208" s="327"/>
      <c r="N1208" s="20"/>
      <c r="O1208" s="24"/>
      <c r="P1208" s="524"/>
      <c r="Q1208" s="327"/>
      <c r="R1208" s="538"/>
      <c r="S1208" s="327"/>
      <c r="T1208" s="539"/>
      <c r="U1208" s="327"/>
      <c r="V1208" s="540"/>
      <c r="W1208" s="327"/>
      <c r="X1208" s="541" t="s">
        <v>303</v>
      </c>
      <c r="Y1208" s="326"/>
      <c r="Z1208" s="326"/>
      <c r="AA1208" s="327"/>
      <c r="AB1208" s="542" t="s">
        <v>303</v>
      </c>
      <c r="AC1208" s="326"/>
      <c r="AD1208" s="326"/>
      <c r="AE1208" s="327"/>
      <c r="AF1208" s="543"/>
      <c r="AG1208" s="327"/>
      <c r="AH1208" s="543"/>
      <c r="AI1208" s="327"/>
      <c r="AJ1208" s="536"/>
      <c r="AK1208" s="327"/>
      <c r="AL1208" s="537" t="s">
        <v>334</v>
      </c>
      <c r="AM1208" s="327"/>
      <c r="AN1208" s="546" t="s">
        <v>334</v>
      </c>
      <c r="AO1208" s="327"/>
      <c r="AP1208" s="547"/>
      <c r="AQ1208" s="327"/>
      <c r="AR1208" s="548"/>
      <c r="AS1208" s="327"/>
      <c r="AT1208" s="568"/>
      <c r="AU1208" s="327"/>
      <c r="AV1208" s="546" t="s">
        <v>334</v>
      </c>
      <c r="AW1208" s="327"/>
      <c r="AX1208" s="521"/>
      <c r="AY1208" s="326"/>
      <c r="AZ1208" s="327"/>
      <c r="BA1208" s="550"/>
      <c r="BB1208" s="327"/>
      <c r="BC1208" s="25"/>
      <c r="BD1208" s="544" t="s">
        <v>334</v>
      </c>
      <c r="BE1208" s="327"/>
      <c r="BF1208" s="545"/>
      <c r="BG1208" s="326"/>
      <c r="BH1208" s="326"/>
      <c r="BI1208" s="327"/>
      <c r="BJ1208" s="557" t="s">
        <v>303</v>
      </c>
      <c r="BK1208" s="326"/>
      <c r="BL1208" s="326"/>
      <c r="BM1208" s="327"/>
      <c r="BN1208" s="558" t="s">
        <v>303</v>
      </c>
      <c r="BO1208" s="326"/>
      <c r="BP1208" s="326"/>
      <c r="BQ1208" s="326"/>
      <c r="BR1208" s="326"/>
      <c r="BS1208" s="326"/>
      <c r="BT1208" s="326"/>
      <c r="BU1208" s="326"/>
      <c r="BV1208" s="327"/>
    </row>
    <row r="1209" spans="1:74" ht="45" customHeight="1" x14ac:dyDescent="0.25">
      <c r="A1209" s="10">
        <f t="shared" si="4"/>
        <v>1195</v>
      </c>
      <c r="B1209" s="564" t="s">
        <v>303</v>
      </c>
      <c r="C1209" s="327"/>
      <c r="D1209" s="565" t="s">
        <v>307</v>
      </c>
      <c r="E1209" s="327"/>
      <c r="F1209" s="537" t="s">
        <v>334</v>
      </c>
      <c r="G1209" s="327"/>
      <c r="H1209" s="566" t="s">
        <v>334</v>
      </c>
      <c r="I1209" s="327"/>
      <c r="J1209" s="567"/>
      <c r="K1209" s="327"/>
      <c r="L1209" s="567"/>
      <c r="M1209" s="327"/>
      <c r="N1209" s="23"/>
      <c r="O1209" s="21"/>
      <c r="P1209" s="563"/>
      <c r="Q1209" s="327"/>
      <c r="R1209" s="516"/>
      <c r="S1209" s="327"/>
      <c r="T1209" s="517"/>
      <c r="U1209" s="327"/>
      <c r="V1209" s="518"/>
      <c r="W1209" s="327"/>
      <c r="X1209" s="438" t="s">
        <v>303</v>
      </c>
      <c r="Y1209" s="326"/>
      <c r="Z1209" s="326"/>
      <c r="AA1209" s="327"/>
      <c r="AB1209" s="519" t="s">
        <v>303</v>
      </c>
      <c r="AC1209" s="326"/>
      <c r="AD1209" s="326"/>
      <c r="AE1209" s="327"/>
      <c r="AF1209" s="520"/>
      <c r="AG1209" s="327"/>
      <c r="AH1209" s="520"/>
      <c r="AI1209" s="327"/>
      <c r="AJ1209" s="536"/>
      <c r="AK1209" s="327"/>
      <c r="AL1209" s="556" t="s">
        <v>334</v>
      </c>
      <c r="AM1209" s="327"/>
      <c r="AN1209" s="553" t="s">
        <v>334</v>
      </c>
      <c r="AO1209" s="327"/>
      <c r="AP1209" s="554"/>
      <c r="AQ1209" s="327"/>
      <c r="AR1209" s="555"/>
      <c r="AS1209" s="327"/>
      <c r="AT1209" s="549"/>
      <c r="AU1209" s="327"/>
      <c r="AV1209" s="553" t="s">
        <v>334</v>
      </c>
      <c r="AW1209" s="327"/>
      <c r="AX1209" s="521"/>
      <c r="AY1209" s="326"/>
      <c r="AZ1209" s="327"/>
      <c r="BA1209" s="536"/>
      <c r="BB1209" s="327"/>
      <c r="BC1209" s="22"/>
      <c r="BD1209" s="551" t="s">
        <v>334</v>
      </c>
      <c r="BE1209" s="327"/>
      <c r="BF1209" s="552"/>
      <c r="BG1209" s="326"/>
      <c r="BH1209" s="326"/>
      <c r="BI1209" s="327"/>
      <c r="BJ1209" s="451" t="s">
        <v>303</v>
      </c>
      <c r="BK1209" s="326"/>
      <c r="BL1209" s="326"/>
      <c r="BM1209" s="327"/>
      <c r="BN1209" s="558" t="s">
        <v>303</v>
      </c>
      <c r="BO1209" s="326"/>
      <c r="BP1209" s="326"/>
      <c r="BQ1209" s="326"/>
      <c r="BR1209" s="326"/>
      <c r="BS1209" s="326"/>
      <c r="BT1209" s="326"/>
      <c r="BU1209" s="326"/>
      <c r="BV1209" s="327"/>
    </row>
    <row r="1210" spans="1:74" ht="45" customHeight="1" x14ac:dyDescent="0.25">
      <c r="A1210" s="10">
        <f t="shared" si="4"/>
        <v>1196</v>
      </c>
      <c r="B1210" s="564" t="s">
        <v>303</v>
      </c>
      <c r="C1210" s="327"/>
      <c r="D1210" s="565" t="s">
        <v>307</v>
      </c>
      <c r="E1210" s="327"/>
      <c r="F1210" s="537" t="s">
        <v>334</v>
      </c>
      <c r="G1210" s="327"/>
      <c r="H1210" s="561" t="s">
        <v>334</v>
      </c>
      <c r="I1210" s="327"/>
      <c r="J1210" s="562"/>
      <c r="K1210" s="327"/>
      <c r="L1210" s="562"/>
      <c r="M1210" s="327"/>
      <c r="N1210" s="20"/>
      <c r="O1210" s="21"/>
      <c r="P1210" s="524"/>
      <c r="Q1210" s="327"/>
      <c r="R1210" s="516"/>
      <c r="S1210" s="327"/>
      <c r="T1210" s="517"/>
      <c r="U1210" s="327"/>
      <c r="V1210" s="518"/>
      <c r="W1210" s="327"/>
      <c r="X1210" s="438" t="s">
        <v>303</v>
      </c>
      <c r="Y1210" s="326"/>
      <c r="Z1210" s="326"/>
      <c r="AA1210" s="327"/>
      <c r="AB1210" s="519" t="s">
        <v>303</v>
      </c>
      <c r="AC1210" s="326"/>
      <c r="AD1210" s="326"/>
      <c r="AE1210" s="327"/>
      <c r="AF1210" s="520"/>
      <c r="AG1210" s="327"/>
      <c r="AH1210" s="520"/>
      <c r="AI1210" s="327"/>
      <c r="AJ1210" s="536"/>
      <c r="AK1210" s="327"/>
      <c r="AL1210" s="556" t="s">
        <v>334</v>
      </c>
      <c r="AM1210" s="327"/>
      <c r="AN1210" s="553" t="s">
        <v>334</v>
      </c>
      <c r="AO1210" s="327"/>
      <c r="AP1210" s="554"/>
      <c r="AQ1210" s="327"/>
      <c r="AR1210" s="555"/>
      <c r="AS1210" s="327"/>
      <c r="AT1210" s="549"/>
      <c r="AU1210" s="327"/>
      <c r="AV1210" s="553" t="s">
        <v>334</v>
      </c>
      <c r="AW1210" s="327"/>
      <c r="AX1210" s="521"/>
      <c r="AY1210" s="326"/>
      <c r="AZ1210" s="327"/>
      <c r="BA1210" s="536"/>
      <c r="BB1210" s="327"/>
      <c r="BC1210" s="22"/>
      <c r="BD1210" s="551" t="s">
        <v>334</v>
      </c>
      <c r="BE1210" s="327"/>
      <c r="BF1210" s="508"/>
      <c r="BG1210" s="326"/>
      <c r="BH1210" s="326"/>
      <c r="BI1210" s="327"/>
      <c r="BJ1210" s="451" t="s">
        <v>303</v>
      </c>
      <c r="BK1210" s="326"/>
      <c r="BL1210" s="326"/>
      <c r="BM1210" s="327"/>
      <c r="BN1210" s="558" t="s">
        <v>303</v>
      </c>
      <c r="BO1210" s="326"/>
      <c r="BP1210" s="326"/>
      <c r="BQ1210" s="326"/>
      <c r="BR1210" s="326"/>
      <c r="BS1210" s="326"/>
      <c r="BT1210" s="326"/>
      <c r="BU1210" s="326"/>
      <c r="BV1210" s="327"/>
    </row>
    <row r="1211" spans="1:74" ht="45" customHeight="1" x14ac:dyDescent="0.25">
      <c r="A1211" s="10">
        <f t="shared" si="4"/>
        <v>1197</v>
      </c>
      <c r="B1211" s="559" t="s">
        <v>303</v>
      </c>
      <c r="C1211" s="327"/>
      <c r="D1211" s="560" t="s">
        <v>307</v>
      </c>
      <c r="E1211" s="327"/>
      <c r="F1211" s="537" t="s">
        <v>334</v>
      </c>
      <c r="G1211" s="327"/>
      <c r="H1211" s="566" t="s">
        <v>334</v>
      </c>
      <c r="I1211" s="327"/>
      <c r="J1211" s="567"/>
      <c r="K1211" s="327"/>
      <c r="L1211" s="567"/>
      <c r="M1211" s="327"/>
      <c r="N1211" s="23"/>
      <c r="O1211" s="24"/>
      <c r="P1211" s="563"/>
      <c r="Q1211" s="327"/>
      <c r="R1211" s="538"/>
      <c r="S1211" s="327"/>
      <c r="T1211" s="539"/>
      <c r="U1211" s="327"/>
      <c r="V1211" s="540"/>
      <c r="W1211" s="327"/>
      <c r="X1211" s="541" t="s">
        <v>303</v>
      </c>
      <c r="Y1211" s="326"/>
      <c r="Z1211" s="326"/>
      <c r="AA1211" s="327"/>
      <c r="AB1211" s="542" t="s">
        <v>303</v>
      </c>
      <c r="AC1211" s="326"/>
      <c r="AD1211" s="326"/>
      <c r="AE1211" s="327"/>
      <c r="AF1211" s="543"/>
      <c r="AG1211" s="327"/>
      <c r="AH1211" s="543"/>
      <c r="AI1211" s="327"/>
      <c r="AJ1211" s="536"/>
      <c r="AK1211" s="327"/>
      <c r="AL1211" s="537" t="s">
        <v>334</v>
      </c>
      <c r="AM1211" s="327"/>
      <c r="AN1211" s="546" t="s">
        <v>334</v>
      </c>
      <c r="AO1211" s="327"/>
      <c r="AP1211" s="547"/>
      <c r="AQ1211" s="327"/>
      <c r="AR1211" s="548"/>
      <c r="AS1211" s="327"/>
      <c r="AT1211" s="549"/>
      <c r="AU1211" s="327"/>
      <c r="AV1211" s="546" t="s">
        <v>334</v>
      </c>
      <c r="AW1211" s="327"/>
      <c r="AX1211" s="521"/>
      <c r="AY1211" s="326"/>
      <c r="AZ1211" s="327"/>
      <c r="BA1211" s="550"/>
      <c r="BB1211" s="327"/>
      <c r="BC1211" s="25"/>
      <c r="BD1211" s="544" t="s">
        <v>334</v>
      </c>
      <c r="BE1211" s="327"/>
      <c r="BF1211" s="545"/>
      <c r="BG1211" s="326"/>
      <c r="BH1211" s="326"/>
      <c r="BI1211" s="327"/>
      <c r="BJ1211" s="557" t="s">
        <v>303</v>
      </c>
      <c r="BK1211" s="326"/>
      <c r="BL1211" s="326"/>
      <c r="BM1211" s="327"/>
      <c r="BN1211" s="558" t="s">
        <v>303</v>
      </c>
      <c r="BO1211" s="326"/>
      <c r="BP1211" s="326"/>
      <c r="BQ1211" s="326"/>
      <c r="BR1211" s="326"/>
      <c r="BS1211" s="326"/>
      <c r="BT1211" s="326"/>
      <c r="BU1211" s="326"/>
      <c r="BV1211" s="327"/>
    </row>
    <row r="1212" spans="1:74" ht="45" customHeight="1" x14ac:dyDescent="0.25">
      <c r="A1212" s="10">
        <f t="shared" si="4"/>
        <v>1198</v>
      </c>
      <c r="B1212" s="564" t="s">
        <v>303</v>
      </c>
      <c r="C1212" s="327"/>
      <c r="D1212" s="565" t="s">
        <v>307</v>
      </c>
      <c r="E1212" s="327"/>
      <c r="F1212" s="537" t="s">
        <v>334</v>
      </c>
      <c r="G1212" s="327"/>
      <c r="H1212" s="561" t="s">
        <v>334</v>
      </c>
      <c r="I1212" s="327"/>
      <c r="J1212" s="562"/>
      <c r="K1212" s="327"/>
      <c r="L1212" s="562"/>
      <c r="M1212" s="327"/>
      <c r="N1212" s="20"/>
      <c r="O1212" s="21"/>
      <c r="P1212" s="524"/>
      <c r="Q1212" s="327"/>
      <c r="R1212" s="516"/>
      <c r="S1212" s="327"/>
      <c r="T1212" s="517"/>
      <c r="U1212" s="327"/>
      <c r="V1212" s="518"/>
      <c r="W1212" s="327"/>
      <c r="X1212" s="438" t="s">
        <v>303</v>
      </c>
      <c r="Y1212" s="326"/>
      <c r="Z1212" s="326"/>
      <c r="AA1212" s="327"/>
      <c r="AB1212" s="519" t="s">
        <v>303</v>
      </c>
      <c r="AC1212" s="326"/>
      <c r="AD1212" s="326"/>
      <c r="AE1212" s="327"/>
      <c r="AF1212" s="520"/>
      <c r="AG1212" s="327"/>
      <c r="AH1212" s="520"/>
      <c r="AI1212" s="327"/>
      <c r="AJ1212" s="536"/>
      <c r="AK1212" s="327"/>
      <c r="AL1212" s="556" t="s">
        <v>334</v>
      </c>
      <c r="AM1212" s="327"/>
      <c r="AN1212" s="553" t="s">
        <v>334</v>
      </c>
      <c r="AO1212" s="327"/>
      <c r="AP1212" s="554"/>
      <c r="AQ1212" s="327"/>
      <c r="AR1212" s="555"/>
      <c r="AS1212" s="327"/>
      <c r="AT1212" s="549"/>
      <c r="AU1212" s="327"/>
      <c r="AV1212" s="553" t="s">
        <v>334</v>
      </c>
      <c r="AW1212" s="327"/>
      <c r="AX1212" s="521"/>
      <c r="AY1212" s="326"/>
      <c r="AZ1212" s="327"/>
      <c r="BA1212" s="536"/>
      <c r="BB1212" s="327"/>
      <c r="BC1212" s="22"/>
      <c r="BD1212" s="551" t="s">
        <v>334</v>
      </c>
      <c r="BE1212" s="327"/>
      <c r="BF1212" s="552"/>
      <c r="BG1212" s="326"/>
      <c r="BH1212" s="326"/>
      <c r="BI1212" s="327"/>
      <c r="BJ1212" s="451" t="s">
        <v>303</v>
      </c>
      <c r="BK1212" s="326"/>
      <c r="BL1212" s="326"/>
      <c r="BM1212" s="327"/>
      <c r="BN1212" s="558" t="s">
        <v>303</v>
      </c>
      <c r="BO1212" s="326"/>
      <c r="BP1212" s="326"/>
      <c r="BQ1212" s="326"/>
      <c r="BR1212" s="326"/>
      <c r="BS1212" s="326"/>
      <c r="BT1212" s="326"/>
      <c r="BU1212" s="326"/>
      <c r="BV1212" s="327"/>
    </row>
    <row r="1213" spans="1:74" ht="45" customHeight="1" x14ac:dyDescent="0.25">
      <c r="A1213" s="10">
        <f t="shared" si="4"/>
        <v>1199</v>
      </c>
      <c r="B1213" s="559" t="s">
        <v>303</v>
      </c>
      <c r="C1213" s="327"/>
      <c r="D1213" s="560" t="s">
        <v>307</v>
      </c>
      <c r="E1213" s="327"/>
      <c r="F1213" s="537" t="s">
        <v>334</v>
      </c>
      <c r="G1213" s="327"/>
      <c r="H1213" s="566" t="s">
        <v>334</v>
      </c>
      <c r="I1213" s="327"/>
      <c r="J1213" s="567"/>
      <c r="K1213" s="327"/>
      <c r="L1213" s="567"/>
      <c r="M1213" s="327"/>
      <c r="N1213" s="23"/>
      <c r="O1213" s="24"/>
      <c r="P1213" s="563"/>
      <c r="Q1213" s="327"/>
      <c r="R1213" s="538"/>
      <c r="S1213" s="327"/>
      <c r="T1213" s="539"/>
      <c r="U1213" s="327"/>
      <c r="V1213" s="540"/>
      <c r="W1213" s="327"/>
      <c r="X1213" s="541" t="s">
        <v>303</v>
      </c>
      <c r="Y1213" s="326"/>
      <c r="Z1213" s="326"/>
      <c r="AA1213" s="327"/>
      <c r="AB1213" s="542" t="s">
        <v>303</v>
      </c>
      <c r="AC1213" s="326"/>
      <c r="AD1213" s="326"/>
      <c r="AE1213" s="327"/>
      <c r="AF1213" s="543"/>
      <c r="AG1213" s="327"/>
      <c r="AH1213" s="543"/>
      <c r="AI1213" s="327"/>
      <c r="AJ1213" s="536"/>
      <c r="AK1213" s="327"/>
      <c r="AL1213" s="537" t="s">
        <v>334</v>
      </c>
      <c r="AM1213" s="327"/>
      <c r="AN1213" s="546" t="s">
        <v>334</v>
      </c>
      <c r="AO1213" s="327"/>
      <c r="AP1213" s="547"/>
      <c r="AQ1213" s="327"/>
      <c r="AR1213" s="548"/>
      <c r="AS1213" s="327"/>
      <c r="AT1213" s="549"/>
      <c r="AU1213" s="327"/>
      <c r="AV1213" s="546" t="s">
        <v>334</v>
      </c>
      <c r="AW1213" s="327"/>
      <c r="AX1213" s="521"/>
      <c r="AY1213" s="326"/>
      <c r="AZ1213" s="327"/>
      <c r="BA1213" s="550"/>
      <c r="BB1213" s="327"/>
      <c r="BC1213" s="25"/>
      <c r="BD1213" s="544" t="s">
        <v>334</v>
      </c>
      <c r="BE1213" s="327"/>
      <c r="BF1213" s="545"/>
      <c r="BG1213" s="326"/>
      <c r="BH1213" s="326"/>
      <c r="BI1213" s="327"/>
      <c r="BJ1213" s="557" t="s">
        <v>303</v>
      </c>
      <c r="BK1213" s="326"/>
      <c r="BL1213" s="326"/>
      <c r="BM1213" s="327"/>
      <c r="BN1213" s="558" t="s">
        <v>303</v>
      </c>
      <c r="BO1213" s="326"/>
      <c r="BP1213" s="326"/>
      <c r="BQ1213" s="326"/>
      <c r="BR1213" s="326"/>
      <c r="BS1213" s="326"/>
      <c r="BT1213" s="326"/>
      <c r="BU1213" s="326"/>
      <c r="BV1213" s="327"/>
    </row>
    <row r="1214" spans="1:74" ht="45" customHeight="1" x14ac:dyDescent="0.25">
      <c r="A1214" s="10">
        <f t="shared" si="4"/>
        <v>1200</v>
      </c>
      <c r="B1214" s="564" t="s">
        <v>303</v>
      </c>
      <c r="C1214" s="327"/>
      <c r="D1214" s="565" t="s">
        <v>307</v>
      </c>
      <c r="E1214" s="327"/>
      <c r="F1214" s="537" t="s">
        <v>334</v>
      </c>
      <c r="G1214" s="327"/>
      <c r="H1214" s="561" t="s">
        <v>334</v>
      </c>
      <c r="I1214" s="327"/>
      <c r="J1214" s="562"/>
      <c r="K1214" s="327"/>
      <c r="L1214" s="562"/>
      <c r="M1214" s="327"/>
      <c r="N1214" s="20"/>
      <c r="O1214" s="21"/>
      <c r="P1214" s="524"/>
      <c r="Q1214" s="327"/>
      <c r="R1214" s="516"/>
      <c r="S1214" s="327"/>
      <c r="T1214" s="517"/>
      <c r="U1214" s="327"/>
      <c r="V1214" s="518"/>
      <c r="W1214" s="327"/>
      <c r="X1214" s="438" t="s">
        <v>303</v>
      </c>
      <c r="Y1214" s="326"/>
      <c r="Z1214" s="326"/>
      <c r="AA1214" s="327"/>
      <c r="AB1214" s="519" t="s">
        <v>303</v>
      </c>
      <c r="AC1214" s="326"/>
      <c r="AD1214" s="326"/>
      <c r="AE1214" s="327"/>
      <c r="AF1214" s="520"/>
      <c r="AG1214" s="327"/>
      <c r="AH1214" s="520"/>
      <c r="AI1214" s="327"/>
      <c r="AJ1214" s="536"/>
      <c r="AK1214" s="327"/>
      <c r="AL1214" s="556" t="s">
        <v>334</v>
      </c>
      <c r="AM1214" s="327"/>
      <c r="AN1214" s="553" t="s">
        <v>334</v>
      </c>
      <c r="AO1214" s="327"/>
      <c r="AP1214" s="554"/>
      <c r="AQ1214" s="327"/>
      <c r="AR1214" s="555"/>
      <c r="AS1214" s="327"/>
      <c r="AT1214" s="549"/>
      <c r="AU1214" s="327"/>
      <c r="AV1214" s="553" t="s">
        <v>334</v>
      </c>
      <c r="AW1214" s="327"/>
      <c r="AX1214" s="521"/>
      <c r="AY1214" s="326"/>
      <c r="AZ1214" s="327"/>
      <c r="BA1214" s="536"/>
      <c r="BB1214" s="327"/>
      <c r="BC1214" s="22"/>
      <c r="BD1214" s="551" t="s">
        <v>334</v>
      </c>
      <c r="BE1214" s="327"/>
      <c r="BF1214" s="552"/>
      <c r="BG1214" s="326"/>
      <c r="BH1214" s="326"/>
      <c r="BI1214" s="327"/>
      <c r="BJ1214" s="451" t="s">
        <v>303</v>
      </c>
      <c r="BK1214" s="326"/>
      <c r="BL1214" s="326"/>
      <c r="BM1214" s="327"/>
      <c r="BN1214" s="558" t="s">
        <v>303</v>
      </c>
      <c r="BO1214" s="326"/>
      <c r="BP1214" s="326"/>
      <c r="BQ1214" s="326"/>
      <c r="BR1214" s="326"/>
      <c r="BS1214" s="326"/>
      <c r="BT1214" s="326"/>
      <c r="BU1214" s="326"/>
      <c r="BV1214" s="327"/>
    </row>
    <row r="1215" spans="1:74" ht="45" customHeight="1" x14ac:dyDescent="0.25">
      <c r="A1215" s="10">
        <f t="shared" si="4"/>
        <v>1201</v>
      </c>
      <c r="B1215" s="559" t="s">
        <v>303</v>
      </c>
      <c r="C1215" s="327"/>
      <c r="D1215" s="560" t="s">
        <v>307</v>
      </c>
      <c r="E1215" s="327"/>
      <c r="F1215" s="537" t="s">
        <v>334</v>
      </c>
      <c r="G1215" s="327"/>
      <c r="H1215" s="566" t="s">
        <v>334</v>
      </c>
      <c r="I1215" s="327"/>
      <c r="J1215" s="567"/>
      <c r="K1215" s="327"/>
      <c r="L1215" s="567"/>
      <c r="M1215" s="327"/>
      <c r="N1215" s="23"/>
      <c r="O1215" s="24"/>
      <c r="P1215" s="563"/>
      <c r="Q1215" s="327"/>
      <c r="R1215" s="538"/>
      <c r="S1215" s="327"/>
      <c r="T1215" s="539"/>
      <c r="U1215" s="327"/>
      <c r="V1215" s="540"/>
      <c r="W1215" s="327"/>
      <c r="X1215" s="541" t="s">
        <v>303</v>
      </c>
      <c r="Y1215" s="326"/>
      <c r="Z1215" s="326"/>
      <c r="AA1215" s="327"/>
      <c r="AB1215" s="542" t="s">
        <v>303</v>
      </c>
      <c r="AC1215" s="326"/>
      <c r="AD1215" s="326"/>
      <c r="AE1215" s="327"/>
      <c r="AF1215" s="543"/>
      <c r="AG1215" s="327"/>
      <c r="AH1215" s="543"/>
      <c r="AI1215" s="327"/>
      <c r="AJ1215" s="536"/>
      <c r="AK1215" s="327"/>
      <c r="AL1215" s="537" t="s">
        <v>334</v>
      </c>
      <c r="AM1215" s="327"/>
      <c r="AN1215" s="546" t="s">
        <v>334</v>
      </c>
      <c r="AO1215" s="327"/>
      <c r="AP1215" s="547"/>
      <c r="AQ1215" s="327"/>
      <c r="AR1215" s="548"/>
      <c r="AS1215" s="327"/>
      <c r="AT1215" s="568"/>
      <c r="AU1215" s="327"/>
      <c r="AV1215" s="546" t="s">
        <v>334</v>
      </c>
      <c r="AW1215" s="327"/>
      <c r="AX1215" s="521"/>
      <c r="AY1215" s="326"/>
      <c r="AZ1215" s="327"/>
      <c r="BA1215" s="550"/>
      <c r="BB1215" s="327"/>
      <c r="BC1215" s="25"/>
      <c r="BD1215" s="544" t="s">
        <v>334</v>
      </c>
      <c r="BE1215" s="327"/>
      <c r="BF1215" s="545"/>
      <c r="BG1215" s="326"/>
      <c r="BH1215" s="326"/>
      <c r="BI1215" s="327"/>
      <c r="BJ1215" s="557" t="s">
        <v>303</v>
      </c>
      <c r="BK1215" s="326"/>
      <c r="BL1215" s="326"/>
      <c r="BM1215" s="327"/>
      <c r="BN1215" s="558" t="s">
        <v>303</v>
      </c>
      <c r="BO1215" s="326"/>
      <c r="BP1215" s="326"/>
      <c r="BQ1215" s="326"/>
      <c r="BR1215" s="326"/>
      <c r="BS1215" s="326"/>
      <c r="BT1215" s="326"/>
      <c r="BU1215" s="326"/>
      <c r="BV1215" s="327"/>
    </row>
    <row r="1216" spans="1:74" ht="45" customHeight="1" x14ac:dyDescent="0.25">
      <c r="A1216" s="10">
        <f t="shared" si="4"/>
        <v>1202</v>
      </c>
      <c r="B1216" s="564" t="s">
        <v>303</v>
      </c>
      <c r="C1216" s="327"/>
      <c r="D1216" s="565" t="s">
        <v>307</v>
      </c>
      <c r="E1216" s="327"/>
      <c r="F1216" s="537" t="s">
        <v>334</v>
      </c>
      <c r="G1216" s="327"/>
      <c r="H1216" s="561" t="s">
        <v>334</v>
      </c>
      <c r="I1216" s="327"/>
      <c r="J1216" s="562"/>
      <c r="K1216" s="327"/>
      <c r="L1216" s="562"/>
      <c r="M1216" s="327"/>
      <c r="N1216" s="20"/>
      <c r="O1216" s="21"/>
      <c r="P1216" s="524"/>
      <c r="Q1216" s="327"/>
      <c r="R1216" s="516"/>
      <c r="S1216" s="327"/>
      <c r="T1216" s="517"/>
      <c r="U1216" s="327"/>
      <c r="V1216" s="518"/>
      <c r="W1216" s="327"/>
      <c r="X1216" s="438" t="s">
        <v>303</v>
      </c>
      <c r="Y1216" s="326"/>
      <c r="Z1216" s="326"/>
      <c r="AA1216" s="327"/>
      <c r="AB1216" s="519" t="s">
        <v>303</v>
      </c>
      <c r="AC1216" s="326"/>
      <c r="AD1216" s="326"/>
      <c r="AE1216" s="327"/>
      <c r="AF1216" s="520"/>
      <c r="AG1216" s="327"/>
      <c r="AH1216" s="520"/>
      <c r="AI1216" s="327"/>
      <c r="AJ1216" s="536"/>
      <c r="AK1216" s="327"/>
      <c r="AL1216" s="556" t="s">
        <v>334</v>
      </c>
      <c r="AM1216" s="327"/>
      <c r="AN1216" s="553" t="s">
        <v>334</v>
      </c>
      <c r="AO1216" s="327"/>
      <c r="AP1216" s="554"/>
      <c r="AQ1216" s="327"/>
      <c r="AR1216" s="555"/>
      <c r="AS1216" s="327"/>
      <c r="AT1216" s="549"/>
      <c r="AU1216" s="327"/>
      <c r="AV1216" s="553" t="s">
        <v>334</v>
      </c>
      <c r="AW1216" s="327"/>
      <c r="AX1216" s="521"/>
      <c r="AY1216" s="326"/>
      <c r="AZ1216" s="327"/>
      <c r="BA1216" s="536"/>
      <c r="BB1216" s="327"/>
      <c r="BC1216" s="22"/>
      <c r="BD1216" s="551" t="s">
        <v>334</v>
      </c>
      <c r="BE1216" s="327"/>
      <c r="BF1216" s="508"/>
      <c r="BG1216" s="326"/>
      <c r="BH1216" s="326"/>
      <c r="BI1216" s="327"/>
      <c r="BJ1216" s="451" t="s">
        <v>303</v>
      </c>
      <c r="BK1216" s="326"/>
      <c r="BL1216" s="326"/>
      <c r="BM1216" s="327"/>
      <c r="BN1216" s="558" t="s">
        <v>303</v>
      </c>
      <c r="BO1216" s="326"/>
      <c r="BP1216" s="326"/>
      <c r="BQ1216" s="326"/>
      <c r="BR1216" s="326"/>
      <c r="BS1216" s="326"/>
      <c r="BT1216" s="326"/>
      <c r="BU1216" s="326"/>
      <c r="BV1216" s="327"/>
    </row>
    <row r="1217" spans="1:74" ht="45" customHeight="1" x14ac:dyDescent="0.25">
      <c r="A1217" s="10">
        <f t="shared" si="4"/>
        <v>1203</v>
      </c>
      <c r="B1217" s="559" t="s">
        <v>303</v>
      </c>
      <c r="C1217" s="327"/>
      <c r="D1217" s="560" t="s">
        <v>307</v>
      </c>
      <c r="E1217" s="327"/>
      <c r="F1217" s="537" t="s">
        <v>334</v>
      </c>
      <c r="G1217" s="327"/>
      <c r="H1217" s="566" t="s">
        <v>334</v>
      </c>
      <c r="I1217" s="327"/>
      <c r="J1217" s="567"/>
      <c r="K1217" s="327"/>
      <c r="L1217" s="567"/>
      <c r="M1217" s="327"/>
      <c r="N1217" s="23"/>
      <c r="O1217" s="24"/>
      <c r="P1217" s="563"/>
      <c r="Q1217" s="327"/>
      <c r="R1217" s="538"/>
      <c r="S1217" s="327"/>
      <c r="T1217" s="539"/>
      <c r="U1217" s="327"/>
      <c r="V1217" s="540"/>
      <c r="W1217" s="327"/>
      <c r="X1217" s="541" t="s">
        <v>303</v>
      </c>
      <c r="Y1217" s="326"/>
      <c r="Z1217" s="326"/>
      <c r="AA1217" s="327"/>
      <c r="AB1217" s="542" t="s">
        <v>303</v>
      </c>
      <c r="AC1217" s="326"/>
      <c r="AD1217" s="326"/>
      <c r="AE1217" s="327"/>
      <c r="AF1217" s="543"/>
      <c r="AG1217" s="327"/>
      <c r="AH1217" s="543"/>
      <c r="AI1217" s="327"/>
      <c r="AJ1217" s="536"/>
      <c r="AK1217" s="327"/>
      <c r="AL1217" s="537" t="s">
        <v>334</v>
      </c>
      <c r="AM1217" s="327"/>
      <c r="AN1217" s="546" t="s">
        <v>334</v>
      </c>
      <c r="AO1217" s="327"/>
      <c r="AP1217" s="547"/>
      <c r="AQ1217" s="327"/>
      <c r="AR1217" s="548"/>
      <c r="AS1217" s="327"/>
      <c r="AT1217" s="568"/>
      <c r="AU1217" s="327"/>
      <c r="AV1217" s="546" t="s">
        <v>334</v>
      </c>
      <c r="AW1217" s="327"/>
      <c r="AX1217" s="521"/>
      <c r="AY1217" s="326"/>
      <c r="AZ1217" s="327"/>
      <c r="BA1217" s="550"/>
      <c r="BB1217" s="327"/>
      <c r="BC1217" s="25"/>
      <c r="BD1217" s="544" t="s">
        <v>334</v>
      </c>
      <c r="BE1217" s="327"/>
      <c r="BF1217" s="545"/>
      <c r="BG1217" s="326"/>
      <c r="BH1217" s="326"/>
      <c r="BI1217" s="327"/>
      <c r="BJ1217" s="557" t="s">
        <v>303</v>
      </c>
      <c r="BK1217" s="326"/>
      <c r="BL1217" s="326"/>
      <c r="BM1217" s="327"/>
      <c r="BN1217" s="558" t="s">
        <v>303</v>
      </c>
      <c r="BO1217" s="326"/>
      <c r="BP1217" s="326"/>
      <c r="BQ1217" s="326"/>
      <c r="BR1217" s="326"/>
      <c r="BS1217" s="326"/>
      <c r="BT1217" s="326"/>
      <c r="BU1217" s="326"/>
      <c r="BV1217" s="327"/>
    </row>
    <row r="1218" spans="1:74" ht="45" customHeight="1" x14ac:dyDescent="0.25">
      <c r="A1218" s="10">
        <f t="shared" si="4"/>
        <v>1204</v>
      </c>
      <c r="B1218" s="564" t="s">
        <v>303</v>
      </c>
      <c r="C1218" s="327"/>
      <c r="D1218" s="565" t="s">
        <v>307</v>
      </c>
      <c r="E1218" s="327"/>
      <c r="F1218" s="537" t="s">
        <v>334</v>
      </c>
      <c r="G1218" s="327"/>
      <c r="H1218" s="561" t="s">
        <v>334</v>
      </c>
      <c r="I1218" s="327"/>
      <c r="J1218" s="562"/>
      <c r="K1218" s="327"/>
      <c r="L1218" s="562"/>
      <c r="M1218" s="327"/>
      <c r="N1218" s="20"/>
      <c r="O1218" s="21"/>
      <c r="P1218" s="524"/>
      <c r="Q1218" s="327"/>
      <c r="R1218" s="516"/>
      <c r="S1218" s="327"/>
      <c r="T1218" s="517"/>
      <c r="U1218" s="327"/>
      <c r="V1218" s="518"/>
      <c r="W1218" s="327"/>
      <c r="X1218" s="438" t="s">
        <v>303</v>
      </c>
      <c r="Y1218" s="326"/>
      <c r="Z1218" s="326"/>
      <c r="AA1218" s="327"/>
      <c r="AB1218" s="519" t="s">
        <v>303</v>
      </c>
      <c r="AC1218" s="326"/>
      <c r="AD1218" s="326"/>
      <c r="AE1218" s="327"/>
      <c r="AF1218" s="520"/>
      <c r="AG1218" s="327"/>
      <c r="AH1218" s="520"/>
      <c r="AI1218" s="327"/>
      <c r="AJ1218" s="536"/>
      <c r="AK1218" s="327"/>
      <c r="AL1218" s="556" t="s">
        <v>334</v>
      </c>
      <c r="AM1218" s="327"/>
      <c r="AN1218" s="553" t="s">
        <v>334</v>
      </c>
      <c r="AO1218" s="327"/>
      <c r="AP1218" s="554"/>
      <c r="AQ1218" s="327"/>
      <c r="AR1218" s="555"/>
      <c r="AS1218" s="327"/>
      <c r="AT1218" s="549"/>
      <c r="AU1218" s="327"/>
      <c r="AV1218" s="553" t="s">
        <v>334</v>
      </c>
      <c r="AW1218" s="327"/>
      <c r="AX1218" s="521"/>
      <c r="AY1218" s="326"/>
      <c r="AZ1218" s="327"/>
      <c r="BA1218" s="536"/>
      <c r="BB1218" s="327"/>
      <c r="BC1218" s="22"/>
      <c r="BD1218" s="551" t="s">
        <v>334</v>
      </c>
      <c r="BE1218" s="327"/>
      <c r="BF1218" s="552"/>
      <c r="BG1218" s="326"/>
      <c r="BH1218" s="326"/>
      <c r="BI1218" s="327"/>
      <c r="BJ1218" s="451" t="s">
        <v>303</v>
      </c>
      <c r="BK1218" s="326"/>
      <c r="BL1218" s="326"/>
      <c r="BM1218" s="327"/>
      <c r="BN1218" s="558" t="s">
        <v>303</v>
      </c>
      <c r="BO1218" s="326"/>
      <c r="BP1218" s="326"/>
      <c r="BQ1218" s="326"/>
      <c r="BR1218" s="326"/>
      <c r="BS1218" s="326"/>
      <c r="BT1218" s="326"/>
      <c r="BU1218" s="326"/>
      <c r="BV1218" s="327"/>
    </row>
    <row r="1219" spans="1:74" ht="45" customHeight="1" x14ac:dyDescent="0.25">
      <c r="A1219" s="10">
        <f t="shared" si="4"/>
        <v>1205</v>
      </c>
      <c r="B1219" s="559" t="s">
        <v>303</v>
      </c>
      <c r="C1219" s="327"/>
      <c r="D1219" s="560" t="s">
        <v>307</v>
      </c>
      <c r="E1219" s="327"/>
      <c r="F1219" s="537" t="s">
        <v>334</v>
      </c>
      <c r="G1219" s="327"/>
      <c r="H1219" s="566" t="s">
        <v>334</v>
      </c>
      <c r="I1219" s="327"/>
      <c r="J1219" s="567"/>
      <c r="K1219" s="327"/>
      <c r="L1219" s="567"/>
      <c r="M1219" s="327"/>
      <c r="N1219" s="23"/>
      <c r="O1219" s="24"/>
      <c r="P1219" s="563"/>
      <c r="Q1219" s="327"/>
      <c r="R1219" s="538"/>
      <c r="S1219" s="327"/>
      <c r="T1219" s="539"/>
      <c r="U1219" s="327"/>
      <c r="V1219" s="540"/>
      <c r="W1219" s="327"/>
      <c r="X1219" s="541" t="s">
        <v>303</v>
      </c>
      <c r="Y1219" s="326"/>
      <c r="Z1219" s="326"/>
      <c r="AA1219" s="327"/>
      <c r="AB1219" s="542" t="s">
        <v>303</v>
      </c>
      <c r="AC1219" s="326"/>
      <c r="AD1219" s="326"/>
      <c r="AE1219" s="327"/>
      <c r="AF1219" s="543"/>
      <c r="AG1219" s="327"/>
      <c r="AH1219" s="543"/>
      <c r="AI1219" s="327"/>
      <c r="AJ1219" s="536"/>
      <c r="AK1219" s="327"/>
      <c r="AL1219" s="537" t="s">
        <v>334</v>
      </c>
      <c r="AM1219" s="327"/>
      <c r="AN1219" s="546" t="s">
        <v>334</v>
      </c>
      <c r="AO1219" s="327"/>
      <c r="AP1219" s="547"/>
      <c r="AQ1219" s="327"/>
      <c r="AR1219" s="548"/>
      <c r="AS1219" s="327"/>
      <c r="AT1219" s="568"/>
      <c r="AU1219" s="327"/>
      <c r="AV1219" s="546" t="s">
        <v>334</v>
      </c>
      <c r="AW1219" s="327"/>
      <c r="AX1219" s="521"/>
      <c r="AY1219" s="326"/>
      <c r="AZ1219" s="327"/>
      <c r="BA1219" s="550"/>
      <c r="BB1219" s="327"/>
      <c r="BC1219" s="25"/>
      <c r="BD1219" s="544" t="s">
        <v>334</v>
      </c>
      <c r="BE1219" s="327"/>
      <c r="BF1219" s="545"/>
      <c r="BG1219" s="326"/>
      <c r="BH1219" s="326"/>
      <c r="BI1219" s="327"/>
      <c r="BJ1219" s="557" t="s">
        <v>303</v>
      </c>
      <c r="BK1219" s="326"/>
      <c r="BL1219" s="326"/>
      <c r="BM1219" s="327"/>
      <c r="BN1219" s="558" t="s">
        <v>303</v>
      </c>
      <c r="BO1219" s="326"/>
      <c r="BP1219" s="326"/>
      <c r="BQ1219" s="326"/>
      <c r="BR1219" s="326"/>
      <c r="BS1219" s="326"/>
      <c r="BT1219" s="326"/>
      <c r="BU1219" s="326"/>
      <c r="BV1219" s="327"/>
    </row>
    <row r="1220" spans="1:74" ht="45" customHeight="1" x14ac:dyDescent="0.25">
      <c r="A1220" s="10">
        <f t="shared" si="4"/>
        <v>1206</v>
      </c>
      <c r="B1220" s="564" t="s">
        <v>303</v>
      </c>
      <c r="C1220" s="327"/>
      <c r="D1220" s="565" t="s">
        <v>307</v>
      </c>
      <c r="E1220" s="327"/>
      <c r="F1220" s="537" t="s">
        <v>334</v>
      </c>
      <c r="G1220" s="327"/>
      <c r="H1220" s="561" t="s">
        <v>334</v>
      </c>
      <c r="I1220" s="327"/>
      <c r="J1220" s="562"/>
      <c r="K1220" s="327"/>
      <c r="L1220" s="562"/>
      <c r="M1220" s="327"/>
      <c r="N1220" s="20"/>
      <c r="O1220" s="21"/>
      <c r="P1220" s="524"/>
      <c r="Q1220" s="327"/>
      <c r="R1220" s="516"/>
      <c r="S1220" s="327"/>
      <c r="T1220" s="517"/>
      <c r="U1220" s="327"/>
      <c r="V1220" s="518"/>
      <c r="W1220" s="327"/>
      <c r="X1220" s="438" t="s">
        <v>303</v>
      </c>
      <c r="Y1220" s="326"/>
      <c r="Z1220" s="326"/>
      <c r="AA1220" s="327"/>
      <c r="AB1220" s="519" t="s">
        <v>303</v>
      </c>
      <c r="AC1220" s="326"/>
      <c r="AD1220" s="326"/>
      <c r="AE1220" s="327"/>
      <c r="AF1220" s="520"/>
      <c r="AG1220" s="327"/>
      <c r="AH1220" s="520"/>
      <c r="AI1220" s="327"/>
      <c r="AJ1220" s="536"/>
      <c r="AK1220" s="327"/>
      <c r="AL1220" s="556" t="s">
        <v>334</v>
      </c>
      <c r="AM1220" s="327"/>
      <c r="AN1220" s="553" t="s">
        <v>334</v>
      </c>
      <c r="AO1220" s="327"/>
      <c r="AP1220" s="554"/>
      <c r="AQ1220" s="327"/>
      <c r="AR1220" s="555"/>
      <c r="AS1220" s="327"/>
      <c r="AT1220" s="549"/>
      <c r="AU1220" s="327"/>
      <c r="AV1220" s="553" t="s">
        <v>334</v>
      </c>
      <c r="AW1220" s="327"/>
      <c r="AX1220" s="521"/>
      <c r="AY1220" s="326"/>
      <c r="AZ1220" s="327"/>
      <c r="BA1220" s="536"/>
      <c r="BB1220" s="327"/>
      <c r="BC1220" s="22"/>
      <c r="BD1220" s="551" t="s">
        <v>334</v>
      </c>
      <c r="BE1220" s="327"/>
      <c r="BF1220" s="552"/>
      <c r="BG1220" s="326"/>
      <c r="BH1220" s="326"/>
      <c r="BI1220" s="327"/>
      <c r="BJ1220" s="451" t="s">
        <v>303</v>
      </c>
      <c r="BK1220" s="326"/>
      <c r="BL1220" s="326"/>
      <c r="BM1220" s="327"/>
      <c r="BN1220" s="558" t="s">
        <v>303</v>
      </c>
      <c r="BO1220" s="326"/>
      <c r="BP1220" s="326"/>
      <c r="BQ1220" s="326"/>
      <c r="BR1220" s="326"/>
      <c r="BS1220" s="326"/>
      <c r="BT1220" s="326"/>
      <c r="BU1220" s="326"/>
      <c r="BV1220" s="327"/>
    </row>
    <row r="1221" spans="1:74" ht="45" customHeight="1" x14ac:dyDescent="0.25">
      <c r="A1221" s="10">
        <f t="shared" si="4"/>
        <v>1207</v>
      </c>
      <c r="B1221" s="559" t="s">
        <v>303</v>
      </c>
      <c r="C1221" s="327"/>
      <c r="D1221" s="560" t="s">
        <v>307</v>
      </c>
      <c r="E1221" s="327"/>
      <c r="F1221" s="537" t="s">
        <v>334</v>
      </c>
      <c r="G1221" s="327"/>
      <c r="H1221" s="566" t="s">
        <v>334</v>
      </c>
      <c r="I1221" s="327"/>
      <c r="J1221" s="567"/>
      <c r="K1221" s="327"/>
      <c r="L1221" s="567"/>
      <c r="M1221" s="327"/>
      <c r="N1221" s="23"/>
      <c r="O1221" s="24"/>
      <c r="P1221" s="563"/>
      <c r="Q1221" s="327"/>
      <c r="R1221" s="538"/>
      <c r="S1221" s="327"/>
      <c r="T1221" s="539"/>
      <c r="U1221" s="327"/>
      <c r="V1221" s="540"/>
      <c r="W1221" s="327"/>
      <c r="X1221" s="541" t="s">
        <v>303</v>
      </c>
      <c r="Y1221" s="326"/>
      <c r="Z1221" s="326"/>
      <c r="AA1221" s="327"/>
      <c r="AB1221" s="542" t="s">
        <v>303</v>
      </c>
      <c r="AC1221" s="326"/>
      <c r="AD1221" s="326"/>
      <c r="AE1221" s="327"/>
      <c r="AF1221" s="543"/>
      <c r="AG1221" s="327"/>
      <c r="AH1221" s="543"/>
      <c r="AI1221" s="327"/>
      <c r="AJ1221" s="536"/>
      <c r="AK1221" s="327"/>
      <c r="AL1221" s="537" t="s">
        <v>334</v>
      </c>
      <c r="AM1221" s="327"/>
      <c r="AN1221" s="546" t="s">
        <v>334</v>
      </c>
      <c r="AO1221" s="327"/>
      <c r="AP1221" s="547"/>
      <c r="AQ1221" s="327"/>
      <c r="AR1221" s="548"/>
      <c r="AS1221" s="327"/>
      <c r="AT1221" s="568"/>
      <c r="AU1221" s="327"/>
      <c r="AV1221" s="546" t="s">
        <v>334</v>
      </c>
      <c r="AW1221" s="327"/>
      <c r="AX1221" s="521"/>
      <c r="AY1221" s="326"/>
      <c r="AZ1221" s="327"/>
      <c r="BA1221" s="550"/>
      <c r="BB1221" s="327"/>
      <c r="BC1221" s="25"/>
      <c r="BD1221" s="544" t="s">
        <v>334</v>
      </c>
      <c r="BE1221" s="327"/>
      <c r="BF1221" s="545"/>
      <c r="BG1221" s="326"/>
      <c r="BH1221" s="326"/>
      <c r="BI1221" s="327"/>
      <c r="BJ1221" s="557" t="s">
        <v>303</v>
      </c>
      <c r="BK1221" s="326"/>
      <c r="BL1221" s="326"/>
      <c r="BM1221" s="327"/>
      <c r="BN1221" s="558" t="s">
        <v>303</v>
      </c>
      <c r="BO1221" s="326"/>
      <c r="BP1221" s="326"/>
      <c r="BQ1221" s="326"/>
      <c r="BR1221" s="326"/>
      <c r="BS1221" s="326"/>
      <c r="BT1221" s="326"/>
      <c r="BU1221" s="326"/>
      <c r="BV1221" s="327"/>
    </row>
    <row r="1222" spans="1:74" ht="45" customHeight="1" x14ac:dyDescent="0.25">
      <c r="A1222" s="10">
        <f t="shared" si="4"/>
        <v>1208</v>
      </c>
      <c r="B1222" s="564" t="s">
        <v>303</v>
      </c>
      <c r="C1222" s="327"/>
      <c r="D1222" s="565" t="s">
        <v>307</v>
      </c>
      <c r="E1222" s="327"/>
      <c r="F1222" s="537" t="s">
        <v>334</v>
      </c>
      <c r="G1222" s="327"/>
      <c r="H1222" s="561" t="s">
        <v>334</v>
      </c>
      <c r="I1222" s="327"/>
      <c r="J1222" s="562"/>
      <c r="K1222" s="327"/>
      <c r="L1222" s="562"/>
      <c r="M1222" s="327"/>
      <c r="N1222" s="20"/>
      <c r="O1222" s="21"/>
      <c r="P1222" s="524"/>
      <c r="Q1222" s="327"/>
      <c r="R1222" s="516"/>
      <c r="S1222" s="327"/>
      <c r="T1222" s="517"/>
      <c r="U1222" s="327"/>
      <c r="V1222" s="518"/>
      <c r="W1222" s="327"/>
      <c r="X1222" s="438" t="s">
        <v>303</v>
      </c>
      <c r="Y1222" s="326"/>
      <c r="Z1222" s="326"/>
      <c r="AA1222" s="327"/>
      <c r="AB1222" s="519" t="s">
        <v>303</v>
      </c>
      <c r="AC1222" s="326"/>
      <c r="AD1222" s="326"/>
      <c r="AE1222" s="327"/>
      <c r="AF1222" s="520"/>
      <c r="AG1222" s="327"/>
      <c r="AH1222" s="520"/>
      <c r="AI1222" s="327"/>
      <c r="AJ1222" s="536"/>
      <c r="AK1222" s="327"/>
      <c r="AL1222" s="556" t="s">
        <v>334</v>
      </c>
      <c r="AM1222" s="327"/>
      <c r="AN1222" s="553" t="s">
        <v>334</v>
      </c>
      <c r="AO1222" s="327"/>
      <c r="AP1222" s="554"/>
      <c r="AQ1222" s="327"/>
      <c r="AR1222" s="555"/>
      <c r="AS1222" s="327"/>
      <c r="AT1222" s="549"/>
      <c r="AU1222" s="327"/>
      <c r="AV1222" s="553" t="s">
        <v>334</v>
      </c>
      <c r="AW1222" s="327"/>
      <c r="AX1222" s="521"/>
      <c r="AY1222" s="326"/>
      <c r="AZ1222" s="327"/>
      <c r="BA1222" s="536"/>
      <c r="BB1222" s="327"/>
      <c r="BC1222" s="22"/>
      <c r="BD1222" s="551" t="s">
        <v>334</v>
      </c>
      <c r="BE1222" s="327"/>
      <c r="BF1222" s="508"/>
      <c r="BG1222" s="326"/>
      <c r="BH1222" s="326"/>
      <c r="BI1222" s="327"/>
      <c r="BJ1222" s="451" t="s">
        <v>303</v>
      </c>
      <c r="BK1222" s="326"/>
      <c r="BL1222" s="326"/>
      <c r="BM1222" s="327"/>
      <c r="BN1222" s="558" t="s">
        <v>303</v>
      </c>
      <c r="BO1222" s="326"/>
      <c r="BP1222" s="326"/>
      <c r="BQ1222" s="326"/>
      <c r="BR1222" s="326"/>
      <c r="BS1222" s="326"/>
      <c r="BT1222" s="326"/>
      <c r="BU1222" s="326"/>
      <c r="BV1222" s="327"/>
    </row>
    <row r="1223" spans="1:74" ht="45" customHeight="1" x14ac:dyDescent="0.25">
      <c r="A1223" s="10">
        <f t="shared" si="4"/>
        <v>1209</v>
      </c>
      <c r="B1223" s="559" t="s">
        <v>303</v>
      </c>
      <c r="C1223" s="327"/>
      <c r="D1223" s="560" t="s">
        <v>307</v>
      </c>
      <c r="E1223" s="327"/>
      <c r="F1223" s="537" t="s">
        <v>334</v>
      </c>
      <c r="G1223" s="327"/>
      <c r="H1223" s="566" t="s">
        <v>334</v>
      </c>
      <c r="I1223" s="327"/>
      <c r="J1223" s="567"/>
      <c r="K1223" s="327"/>
      <c r="L1223" s="567"/>
      <c r="M1223" s="327"/>
      <c r="N1223" s="23"/>
      <c r="O1223" s="24"/>
      <c r="P1223" s="563"/>
      <c r="Q1223" s="327"/>
      <c r="R1223" s="538"/>
      <c r="S1223" s="327"/>
      <c r="T1223" s="539"/>
      <c r="U1223" s="327"/>
      <c r="V1223" s="540"/>
      <c r="W1223" s="327"/>
      <c r="X1223" s="541" t="s">
        <v>303</v>
      </c>
      <c r="Y1223" s="326"/>
      <c r="Z1223" s="326"/>
      <c r="AA1223" s="327"/>
      <c r="AB1223" s="542" t="s">
        <v>303</v>
      </c>
      <c r="AC1223" s="326"/>
      <c r="AD1223" s="326"/>
      <c r="AE1223" s="327"/>
      <c r="AF1223" s="543"/>
      <c r="AG1223" s="327"/>
      <c r="AH1223" s="543"/>
      <c r="AI1223" s="327"/>
      <c r="AJ1223" s="536"/>
      <c r="AK1223" s="327"/>
      <c r="AL1223" s="537" t="s">
        <v>334</v>
      </c>
      <c r="AM1223" s="327"/>
      <c r="AN1223" s="546" t="s">
        <v>334</v>
      </c>
      <c r="AO1223" s="327"/>
      <c r="AP1223" s="547"/>
      <c r="AQ1223" s="327"/>
      <c r="AR1223" s="548"/>
      <c r="AS1223" s="327"/>
      <c r="AT1223" s="568"/>
      <c r="AU1223" s="327"/>
      <c r="AV1223" s="546" t="s">
        <v>334</v>
      </c>
      <c r="AW1223" s="327"/>
      <c r="AX1223" s="521"/>
      <c r="AY1223" s="326"/>
      <c r="AZ1223" s="327"/>
      <c r="BA1223" s="550"/>
      <c r="BB1223" s="327"/>
      <c r="BC1223" s="25"/>
      <c r="BD1223" s="544" t="s">
        <v>334</v>
      </c>
      <c r="BE1223" s="327"/>
      <c r="BF1223" s="545"/>
      <c r="BG1223" s="326"/>
      <c r="BH1223" s="326"/>
      <c r="BI1223" s="327"/>
      <c r="BJ1223" s="557" t="s">
        <v>303</v>
      </c>
      <c r="BK1223" s="326"/>
      <c r="BL1223" s="326"/>
      <c r="BM1223" s="327"/>
      <c r="BN1223" s="558" t="s">
        <v>303</v>
      </c>
      <c r="BO1223" s="326"/>
      <c r="BP1223" s="326"/>
      <c r="BQ1223" s="326"/>
      <c r="BR1223" s="326"/>
      <c r="BS1223" s="326"/>
      <c r="BT1223" s="326"/>
      <c r="BU1223" s="326"/>
      <c r="BV1223" s="327"/>
    </row>
    <row r="1224" spans="1:74" ht="45" customHeight="1" x14ac:dyDescent="0.25">
      <c r="A1224" s="10">
        <f t="shared" si="4"/>
        <v>1210</v>
      </c>
      <c r="B1224" s="564" t="s">
        <v>303</v>
      </c>
      <c r="C1224" s="327"/>
      <c r="D1224" s="565" t="s">
        <v>307</v>
      </c>
      <c r="E1224" s="327"/>
      <c r="F1224" s="537" t="s">
        <v>334</v>
      </c>
      <c r="G1224" s="327"/>
      <c r="H1224" s="561" t="s">
        <v>334</v>
      </c>
      <c r="I1224" s="327"/>
      <c r="J1224" s="562"/>
      <c r="K1224" s="327"/>
      <c r="L1224" s="562"/>
      <c r="M1224" s="327"/>
      <c r="N1224" s="20"/>
      <c r="O1224" s="21"/>
      <c r="P1224" s="524"/>
      <c r="Q1224" s="327"/>
      <c r="R1224" s="516"/>
      <c r="S1224" s="327"/>
      <c r="T1224" s="517"/>
      <c r="U1224" s="327"/>
      <c r="V1224" s="518"/>
      <c r="W1224" s="327"/>
      <c r="X1224" s="438" t="s">
        <v>303</v>
      </c>
      <c r="Y1224" s="326"/>
      <c r="Z1224" s="326"/>
      <c r="AA1224" s="327"/>
      <c r="AB1224" s="519" t="s">
        <v>303</v>
      </c>
      <c r="AC1224" s="326"/>
      <c r="AD1224" s="326"/>
      <c r="AE1224" s="327"/>
      <c r="AF1224" s="520"/>
      <c r="AG1224" s="327"/>
      <c r="AH1224" s="520"/>
      <c r="AI1224" s="327"/>
      <c r="AJ1224" s="536"/>
      <c r="AK1224" s="327"/>
      <c r="AL1224" s="556" t="s">
        <v>334</v>
      </c>
      <c r="AM1224" s="327"/>
      <c r="AN1224" s="553" t="s">
        <v>334</v>
      </c>
      <c r="AO1224" s="327"/>
      <c r="AP1224" s="554"/>
      <c r="AQ1224" s="327"/>
      <c r="AR1224" s="555"/>
      <c r="AS1224" s="327"/>
      <c r="AT1224" s="549"/>
      <c r="AU1224" s="327"/>
      <c r="AV1224" s="553" t="s">
        <v>334</v>
      </c>
      <c r="AW1224" s="327"/>
      <c r="AX1224" s="521"/>
      <c r="AY1224" s="326"/>
      <c r="AZ1224" s="327"/>
      <c r="BA1224" s="536"/>
      <c r="BB1224" s="327"/>
      <c r="BC1224" s="22"/>
      <c r="BD1224" s="551" t="s">
        <v>334</v>
      </c>
      <c r="BE1224" s="327"/>
      <c r="BF1224" s="552"/>
      <c r="BG1224" s="326"/>
      <c r="BH1224" s="326"/>
      <c r="BI1224" s="327"/>
      <c r="BJ1224" s="451" t="s">
        <v>303</v>
      </c>
      <c r="BK1224" s="326"/>
      <c r="BL1224" s="326"/>
      <c r="BM1224" s="327"/>
      <c r="BN1224" s="558" t="s">
        <v>303</v>
      </c>
      <c r="BO1224" s="326"/>
      <c r="BP1224" s="326"/>
      <c r="BQ1224" s="326"/>
      <c r="BR1224" s="326"/>
      <c r="BS1224" s="326"/>
      <c r="BT1224" s="326"/>
      <c r="BU1224" s="326"/>
      <c r="BV1224" s="327"/>
    </row>
    <row r="1225" spans="1:74" ht="45" customHeight="1" x14ac:dyDescent="0.25">
      <c r="A1225" s="10">
        <f t="shared" si="4"/>
        <v>1211</v>
      </c>
      <c r="B1225" s="559" t="s">
        <v>303</v>
      </c>
      <c r="C1225" s="327"/>
      <c r="D1225" s="560" t="s">
        <v>307</v>
      </c>
      <c r="E1225" s="327"/>
      <c r="F1225" s="537" t="s">
        <v>334</v>
      </c>
      <c r="G1225" s="327"/>
      <c r="H1225" s="566" t="s">
        <v>334</v>
      </c>
      <c r="I1225" s="327"/>
      <c r="J1225" s="567"/>
      <c r="K1225" s="327"/>
      <c r="L1225" s="567"/>
      <c r="M1225" s="327"/>
      <c r="N1225" s="23"/>
      <c r="O1225" s="24"/>
      <c r="P1225" s="563"/>
      <c r="Q1225" s="327"/>
      <c r="R1225" s="538"/>
      <c r="S1225" s="327"/>
      <c r="T1225" s="539"/>
      <c r="U1225" s="327"/>
      <c r="V1225" s="540"/>
      <c r="W1225" s="327"/>
      <c r="X1225" s="541" t="s">
        <v>303</v>
      </c>
      <c r="Y1225" s="326"/>
      <c r="Z1225" s="326"/>
      <c r="AA1225" s="327"/>
      <c r="AB1225" s="542" t="s">
        <v>303</v>
      </c>
      <c r="AC1225" s="326"/>
      <c r="AD1225" s="326"/>
      <c r="AE1225" s="327"/>
      <c r="AF1225" s="543"/>
      <c r="AG1225" s="327"/>
      <c r="AH1225" s="543"/>
      <c r="AI1225" s="327"/>
      <c r="AJ1225" s="536"/>
      <c r="AK1225" s="327"/>
      <c r="AL1225" s="537" t="s">
        <v>334</v>
      </c>
      <c r="AM1225" s="327"/>
      <c r="AN1225" s="546" t="s">
        <v>334</v>
      </c>
      <c r="AO1225" s="327"/>
      <c r="AP1225" s="547"/>
      <c r="AQ1225" s="327"/>
      <c r="AR1225" s="548"/>
      <c r="AS1225" s="327"/>
      <c r="AT1225" s="549"/>
      <c r="AU1225" s="327"/>
      <c r="AV1225" s="546" t="s">
        <v>334</v>
      </c>
      <c r="AW1225" s="327"/>
      <c r="AX1225" s="521"/>
      <c r="AY1225" s="326"/>
      <c r="AZ1225" s="327"/>
      <c r="BA1225" s="550"/>
      <c r="BB1225" s="327"/>
      <c r="BC1225" s="25"/>
      <c r="BD1225" s="544" t="s">
        <v>334</v>
      </c>
      <c r="BE1225" s="327"/>
      <c r="BF1225" s="545"/>
      <c r="BG1225" s="326"/>
      <c r="BH1225" s="326"/>
      <c r="BI1225" s="327"/>
      <c r="BJ1225" s="557" t="s">
        <v>303</v>
      </c>
      <c r="BK1225" s="326"/>
      <c r="BL1225" s="326"/>
      <c r="BM1225" s="327"/>
      <c r="BN1225" s="558" t="s">
        <v>303</v>
      </c>
      <c r="BO1225" s="326"/>
      <c r="BP1225" s="326"/>
      <c r="BQ1225" s="326"/>
      <c r="BR1225" s="326"/>
      <c r="BS1225" s="326"/>
      <c r="BT1225" s="326"/>
      <c r="BU1225" s="326"/>
      <c r="BV1225" s="327"/>
    </row>
    <row r="1226" spans="1:74" ht="45" customHeight="1" x14ac:dyDescent="0.25">
      <c r="A1226" s="10">
        <f t="shared" si="4"/>
        <v>1212</v>
      </c>
      <c r="B1226" s="564" t="s">
        <v>303</v>
      </c>
      <c r="C1226" s="327"/>
      <c r="D1226" s="565" t="s">
        <v>307</v>
      </c>
      <c r="E1226" s="327"/>
      <c r="F1226" s="537" t="s">
        <v>334</v>
      </c>
      <c r="G1226" s="327"/>
      <c r="H1226" s="561" t="s">
        <v>334</v>
      </c>
      <c r="I1226" s="327"/>
      <c r="J1226" s="562"/>
      <c r="K1226" s="327"/>
      <c r="L1226" s="562"/>
      <c r="M1226" s="327"/>
      <c r="N1226" s="20"/>
      <c r="O1226" s="21"/>
      <c r="P1226" s="524"/>
      <c r="Q1226" s="327"/>
      <c r="R1226" s="516"/>
      <c r="S1226" s="327"/>
      <c r="T1226" s="517"/>
      <c r="U1226" s="327"/>
      <c r="V1226" s="518"/>
      <c r="W1226" s="327"/>
      <c r="X1226" s="438" t="s">
        <v>303</v>
      </c>
      <c r="Y1226" s="326"/>
      <c r="Z1226" s="326"/>
      <c r="AA1226" s="327"/>
      <c r="AB1226" s="519" t="s">
        <v>303</v>
      </c>
      <c r="AC1226" s="326"/>
      <c r="AD1226" s="326"/>
      <c r="AE1226" s="327"/>
      <c r="AF1226" s="520"/>
      <c r="AG1226" s="327"/>
      <c r="AH1226" s="520"/>
      <c r="AI1226" s="327"/>
      <c r="AJ1226" s="536"/>
      <c r="AK1226" s="327"/>
      <c r="AL1226" s="556" t="s">
        <v>334</v>
      </c>
      <c r="AM1226" s="327"/>
      <c r="AN1226" s="553" t="s">
        <v>334</v>
      </c>
      <c r="AO1226" s="327"/>
      <c r="AP1226" s="554"/>
      <c r="AQ1226" s="327"/>
      <c r="AR1226" s="555"/>
      <c r="AS1226" s="327"/>
      <c r="AT1226" s="549"/>
      <c r="AU1226" s="327"/>
      <c r="AV1226" s="553" t="s">
        <v>334</v>
      </c>
      <c r="AW1226" s="327"/>
      <c r="AX1226" s="521"/>
      <c r="AY1226" s="326"/>
      <c r="AZ1226" s="327"/>
      <c r="BA1226" s="536"/>
      <c r="BB1226" s="327"/>
      <c r="BC1226" s="22"/>
      <c r="BD1226" s="551" t="s">
        <v>334</v>
      </c>
      <c r="BE1226" s="327"/>
      <c r="BF1226" s="552"/>
      <c r="BG1226" s="326"/>
      <c r="BH1226" s="326"/>
      <c r="BI1226" s="327"/>
      <c r="BJ1226" s="451" t="s">
        <v>303</v>
      </c>
      <c r="BK1226" s="326"/>
      <c r="BL1226" s="326"/>
      <c r="BM1226" s="327"/>
      <c r="BN1226" s="558" t="s">
        <v>303</v>
      </c>
      <c r="BO1226" s="326"/>
      <c r="BP1226" s="326"/>
      <c r="BQ1226" s="326"/>
      <c r="BR1226" s="326"/>
      <c r="BS1226" s="326"/>
      <c r="BT1226" s="326"/>
      <c r="BU1226" s="326"/>
      <c r="BV1226" s="327"/>
    </row>
    <row r="1227" spans="1:74" ht="45" customHeight="1" x14ac:dyDescent="0.25">
      <c r="A1227" s="10">
        <f t="shared" si="4"/>
        <v>1213</v>
      </c>
      <c r="B1227" s="559" t="s">
        <v>303</v>
      </c>
      <c r="C1227" s="327"/>
      <c r="D1227" s="560" t="s">
        <v>307</v>
      </c>
      <c r="E1227" s="327"/>
      <c r="F1227" s="537" t="s">
        <v>334</v>
      </c>
      <c r="G1227" s="327"/>
      <c r="H1227" s="566" t="s">
        <v>334</v>
      </c>
      <c r="I1227" s="327"/>
      <c r="J1227" s="567"/>
      <c r="K1227" s="327"/>
      <c r="L1227" s="567"/>
      <c r="M1227" s="327"/>
      <c r="N1227" s="23"/>
      <c r="O1227" s="24"/>
      <c r="P1227" s="563"/>
      <c r="Q1227" s="327"/>
      <c r="R1227" s="538"/>
      <c r="S1227" s="327"/>
      <c r="T1227" s="539"/>
      <c r="U1227" s="327"/>
      <c r="V1227" s="540"/>
      <c r="W1227" s="327"/>
      <c r="X1227" s="541" t="s">
        <v>303</v>
      </c>
      <c r="Y1227" s="326"/>
      <c r="Z1227" s="326"/>
      <c r="AA1227" s="327"/>
      <c r="AB1227" s="542" t="s">
        <v>303</v>
      </c>
      <c r="AC1227" s="326"/>
      <c r="AD1227" s="326"/>
      <c r="AE1227" s="327"/>
      <c r="AF1227" s="543"/>
      <c r="AG1227" s="327"/>
      <c r="AH1227" s="543"/>
      <c r="AI1227" s="327"/>
      <c r="AJ1227" s="536"/>
      <c r="AK1227" s="327"/>
      <c r="AL1227" s="537" t="s">
        <v>334</v>
      </c>
      <c r="AM1227" s="327"/>
      <c r="AN1227" s="546" t="s">
        <v>334</v>
      </c>
      <c r="AO1227" s="327"/>
      <c r="AP1227" s="547"/>
      <c r="AQ1227" s="327"/>
      <c r="AR1227" s="548"/>
      <c r="AS1227" s="327"/>
      <c r="AT1227" s="549"/>
      <c r="AU1227" s="327"/>
      <c r="AV1227" s="546" t="s">
        <v>334</v>
      </c>
      <c r="AW1227" s="327"/>
      <c r="AX1227" s="521"/>
      <c r="AY1227" s="326"/>
      <c r="AZ1227" s="327"/>
      <c r="BA1227" s="550"/>
      <c r="BB1227" s="327"/>
      <c r="BC1227" s="25"/>
      <c r="BD1227" s="544" t="s">
        <v>334</v>
      </c>
      <c r="BE1227" s="327"/>
      <c r="BF1227" s="545"/>
      <c r="BG1227" s="326"/>
      <c r="BH1227" s="326"/>
      <c r="BI1227" s="327"/>
      <c r="BJ1227" s="557" t="s">
        <v>303</v>
      </c>
      <c r="BK1227" s="326"/>
      <c r="BL1227" s="326"/>
      <c r="BM1227" s="327"/>
      <c r="BN1227" s="558" t="s">
        <v>303</v>
      </c>
      <c r="BO1227" s="326"/>
      <c r="BP1227" s="326"/>
      <c r="BQ1227" s="326"/>
      <c r="BR1227" s="326"/>
      <c r="BS1227" s="326"/>
      <c r="BT1227" s="326"/>
      <c r="BU1227" s="326"/>
      <c r="BV1227" s="327"/>
    </row>
    <row r="1228" spans="1:74" ht="45" customHeight="1" x14ac:dyDescent="0.25">
      <c r="A1228" s="10">
        <f t="shared" si="4"/>
        <v>1214</v>
      </c>
      <c r="B1228" s="564" t="s">
        <v>303</v>
      </c>
      <c r="C1228" s="327"/>
      <c r="D1228" s="565" t="s">
        <v>307</v>
      </c>
      <c r="E1228" s="327"/>
      <c r="F1228" s="537" t="s">
        <v>334</v>
      </c>
      <c r="G1228" s="327"/>
      <c r="H1228" s="561" t="s">
        <v>334</v>
      </c>
      <c r="I1228" s="327"/>
      <c r="J1228" s="562"/>
      <c r="K1228" s="327"/>
      <c r="L1228" s="562"/>
      <c r="M1228" s="327"/>
      <c r="N1228" s="20"/>
      <c r="O1228" s="21"/>
      <c r="P1228" s="524"/>
      <c r="Q1228" s="327"/>
      <c r="R1228" s="516"/>
      <c r="S1228" s="327"/>
      <c r="T1228" s="517"/>
      <c r="U1228" s="327"/>
      <c r="V1228" s="518"/>
      <c r="W1228" s="327"/>
      <c r="X1228" s="438" t="s">
        <v>303</v>
      </c>
      <c r="Y1228" s="326"/>
      <c r="Z1228" s="326"/>
      <c r="AA1228" s="327"/>
      <c r="AB1228" s="519" t="s">
        <v>303</v>
      </c>
      <c r="AC1228" s="326"/>
      <c r="AD1228" s="326"/>
      <c r="AE1228" s="327"/>
      <c r="AF1228" s="520"/>
      <c r="AG1228" s="327"/>
      <c r="AH1228" s="520"/>
      <c r="AI1228" s="327"/>
      <c r="AJ1228" s="536"/>
      <c r="AK1228" s="327"/>
      <c r="AL1228" s="556" t="s">
        <v>334</v>
      </c>
      <c r="AM1228" s="327"/>
      <c r="AN1228" s="553" t="s">
        <v>334</v>
      </c>
      <c r="AO1228" s="327"/>
      <c r="AP1228" s="554"/>
      <c r="AQ1228" s="327"/>
      <c r="AR1228" s="555"/>
      <c r="AS1228" s="327"/>
      <c r="AT1228" s="549"/>
      <c r="AU1228" s="327"/>
      <c r="AV1228" s="553" t="s">
        <v>334</v>
      </c>
      <c r="AW1228" s="327"/>
      <c r="AX1228" s="521"/>
      <c r="AY1228" s="326"/>
      <c r="AZ1228" s="327"/>
      <c r="BA1228" s="536"/>
      <c r="BB1228" s="327"/>
      <c r="BC1228" s="22"/>
      <c r="BD1228" s="551" t="s">
        <v>334</v>
      </c>
      <c r="BE1228" s="327"/>
      <c r="BF1228" s="552"/>
      <c r="BG1228" s="326"/>
      <c r="BH1228" s="326"/>
      <c r="BI1228" s="327"/>
      <c r="BJ1228" s="451" t="s">
        <v>303</v>
      </c>
      <c r="BK1228" s="326"/>
      <c r="BL1228" s="326"/>
      <c r="BM1228" s="327"/>
      <c r="BN1228" s="558" t="s">
        <v>303</v>
      </c>
      <c r="BO1228" s="326"/>
      <c r="BP1228" s="326"/>
      <c r="BQ1228" s="326"/>
      <c r="BR1228" s="326"/>
      <c r="BS1228" s="326"/>
      <c r="BT1228" s="326"/>
      <c r="BU1228" s="326"/>
      <c r="BV1228" s="327"/>
    </row>
    <row r="1229" spans="1:74" ht="45" customHeight="1" x14ac:dyDescent="0.25">
      <c r="A1229" s="10">
        <f t="shared" si="4"/>
        <v>1215</v>
      </c>
      <c r="B1229" s="559" t="s">
        <v>303</v>
      </c>
      <c r="C1229" s="327"/>
      <c r="D1229" s="560" t="s">
        <v>307</v>
      </c>
      <c r="E1229" s="327"/>
      <c r="F1229" s="537" t="s">
        <v>334</v>
      </c>
      <c r="G1229" s="327"/>
      <c r="H1229" s="566" t="s">
        <v>334</v>
      </c>
      <c r="I1229" s="327"/>
      <c r="J1229" s="567"/>
      <c r="K1229" s="327"/>
      <c r="L1229" s="567"/>
      <c r="M1229" s="327"/>
      <c r="N1229" s="23"/>
      <c r="O1229" s="24"/>
      <c r="P1229" s="563"/>
      <c r="Q1229" s="327"/>
      <c r="R1229" s="538"/>
      <c r="S1229" s="327"/>
      <c r="T1229" s="539"/>
      <c r="U1229" s="327"/>
      <c r="V1229" s="540"/>
      <c r="W1229" s="327"/>
      <c r="X1229" s="541" t="s">
        <v>303</v>
      </c>
      <c r="Y1229" s="326"/>
      <c r="Z1229" s="326"/>
      <c r="AA1229" s="327"/>
      <c r="AB1229" s="542" t="s">
        <v>303</v>
      </c>
      <c r="AC1229" s="326"/>
      <c r="AD1229" s="326"/>
      <c r="AE1229" s="327"/>
      <c r="AF1229" s="543"/>
      <c r="AG1229" s="327"/>
      <c r="AH1229" s="543"/>
      <c r="AI1229" s="327"/>
      <c r="AJ1229" s="536"/>
      <c r="AK1229" s="327"/>
      <c r="AL1229" s="537" t="s">
        <v>334</v>
      </c>
      <c r="AM1229" s="327"/>
      <c r="AN1229" s="546" t="s">
        <v>334</v>
      </c>
      <c r="AO1229" s="327"/>
      <c r="AP1229" s="547"/>
      <c r="AQ1229" s="327"/>
      <c r="AR1229" s="548"/>
      <c r="AS1229" s="327"/>
      <c r="AT1229" s="568"/>
      <c r="AU1229" s="327"/>
      <c r="AV1229" s="546" t="s">
        <v>334</v>
      </c>
      <c r="AW1229" s="327"/>
      <c r="AX1229" s="521"/>
      <c r="AY1229" s="326"/>
      <c r="AZ1229" s="327"/>
      <c r="BA1229" s="550"/>
      <c r="BB1229" s="327"/>
      <c r="BC1229" s="25"/>
      <c r="BD1229" s="544" t="s">
        <v>334</v>
      </c>
      <c r="BE1229" s="327"/>
      <c r="BF1229" s="545"/>
      <c r="BG1229" s="326"/>
      <c r="BH1229" s="326"/>
      <c r="BI1229" s="327"/>
      <c r="BJ1229" s="557" t="s">
        <v>303</v>
      </c>
      <c r="BK1229" s="326"/>
      <c r="BL1229" s="326"/>
      <c r="BM1229" s="327"/>
      <c r="BN1229" s="558" t="s">
        <v>303</v>
      </c>
      <c r="BO1229" s="326"/>
      <c r="BP1229" s="326"/>
      <c r="BQ1229" s="326"/>
      <c r="BR1229" s="326"/>
      <c r="BS1229" s="326"/>
      <c r="BT1229" s="326"/>
      <c r="BU1229" s="326"/>
      <c r="BV1229" s="327"/>
    </row>
    <row r="1230" spans="1:74" ht="45" customHeight="1" x14ac:dyDescent="0.25">
      <c r="A1230" s="10">
        <f t="shared" si="4"/>
        <v>1216</v>
      </c>
      <c r="B1230" s="564" t="s">
        <v>303</v>
      </c>
      <c r="C1230" s="327"/>
      <c r="D1230" s="565" t="s">
        <v>307</v>
      </c>
      <c r="E1230" s="327"/>
      <c r="F1230" s="537" t="s">
        <v>334</v>
      </c>
      <c r="G1230" s="327"/>
      <c r="H1230" s="561" t="s">
        <v>334</v>
      </c>
      <c r="I1230" s="327"/>
      <c r="J1230" s="562"/>
      <c r="K1230" s="327"/>
      <c r="L1230" s="562"/>
      <c r="M1230" s="327"/>
      <c r="N1230" s="20"/>
      <c r="O1230" s="21"/>
      <c r="P1230" s="524"/>
      <c r="Q1230" s="327"/>
      <c r="R1230" s="516"/>
      <c r="S1230" s="327"/>
      <c r="T1230" s="517"/>
      <c r="U1230" s="327"/>
      <c r="V1230" s="518"/>
      <c r="W1230" s="327"/>
      <c r="X1230" s="438" t="s">
        <v>303</v>
      </c>
      <c r="Y1230" s="326"/>
      <c r="Z1230" s="326"/>
      <c r="AA1230" s="327"/>
      <c r="AB1230" s="519" t="s">
        <v>303</v>
      </c>
      <c r="AC1230" s="326"/>
      <c r="AD1230" s="326"/>
      <c r="AE1230" s="327"/>
      <c r="AF1230" s="520"/>
      <c r="AG1230" s="327"/>
      <c r="AH1230" s="520"/>
      <c r="AI1230" s="327"/>
      <c r="AJ1230" s="536"/>
      <c r="AK1230" s="327"/>
      <c r="AL1230" s="556" t="s">
        <v>334</v>
      </c>
      <c r="AM1230" s="327"/>
      <c r="AN1230" s="553" t="s">
        <v>334</v>
      </c>
      <c r="AO1230" s="327"/>
      <c r="AP1230" s="554"/>
      <c r="AQ1230" s="327"/>
      <c r="AR1230" s="555"/>
      <c r="AS1230" s="327"/>
      <c r="AT1230" s="549"/>
      <c r="AU1230" s="327"/>
      <c r="AV1230" s="553" t="s">
        <v>334</v>
      </c>
      <c r="AW1230" s="327"/>
      <c r="AX1230" s="521"/>
      <c r="AY1230" s="326"/>
      <c r="AZ1230" s="327"/>
      <c r="BA1230" s="536"/>
      <c r="BB1230" s="327"/>
      <c r="BC1230" s="22"/>
      <c r="BD1230" s="551" t="s">
        <v>334</v>
      </c>
      <c r="BE1230" s="327"/>
      <c r="BF1230" s="508"/>
      <c r="BG1230" s="326"/>
      <c r="BH1230" s="326"/>
      <c r="BI1230" s="327"/>
      <c r="BJ1230" s="451" t="s">
        <v>303</v>
      </c>
      <c r="BK1230" s="326"/>
      <c r="BL1230" s="326"/>
      <c r="BM1230" s="327"/>
      <c r="BN1230" s="558" t="s">
        <v>303</v>
      </c>
      <c r="BO1230" s="326"/>
      <c r="BP1230" s="326"/>
      <c r="BQ1230" s="326"/>
      <c r="BR1230" s="326"/>
      <c r="BS1230" s="326"/>
      <c r="BT1230" s="326"/>
      <c r="BU1230" s="326"/>
      <c r="BV1230" s="327"/>
    </row>
    <row r="1231" spans="1:74" ht="45" customHeight="1" x14ac:dyDescent="0.25">
      <c r="A1231" s="10">
        <f t="shared" si="4"/>
        <v>1217</v>
      </c>
      <c r="B1231" s="559" t="s">
        <v>303</v>
      </c>
      <c r="C1231" s="327"/>
      <c r="D1231" s="560" t="s">
        <v>307</v>
      </c>
      <c r="E1231" s="327"/>
      <c r="F1231" s="537" t="s">
        <v>334</v>
      </c>
      <c r="G1231" s="327"/>
      <c r="H1231" s="566" t="s">
        <v>334</v>
      </c>
      <c r="I1231" s="327"/>
      <c r="J1231" s="567"/>
      <c r="K1231" s="327"/>
      <c r="L1231" s="567"/>
      <c r="M1231" s="327"/>
      <c r="N1231" s="23"/>
      <c r="O1231" s="24"/>
      <c r="P1231" s="563"/>
      <c r="Q1231" s="327"/>
      <c r="R1231" s="538"/>
      <c r="S1231" s="327"/>
      <c r="T1231" s="539"/>
      <c r="U1231" s="327"/>
      <c r="V1231" s="540"/>
      <c r="W1231" s="327"/>
      <c r="X1231" s="541" t="s">
        <v>303</v>
      </c>
      <c r="Y1231" s="326"/>
      <c r="Z1231" s="326"/>
      <c r="AA1231" s="327"/>
      <c r="AB1231" s="542" t="s">
        <v>303</v>
      </c>
      <c r="AC1231" s="326"/>
      <c r="AD1231" s="326"/>
      <c r="AE1231" s="327"/>
      <c r="AF1231" s="543"/>
      <c r="AG1231" s="327"/>
      <c r="AH1231" s="543"/>
      <c r="AI1231" s="327"/>
      <c r="AJ1231" s="536"/>
      <c r="AK1231" s="327"/>
      <c r="AL1231" s="537" t="s">
        <v>334</v>
      </c>
      <c r="AM1231" s="327"/>
      <c r="AN1231" s="546" t="s">
        <v>334</v>
      </c>
      <c r="AO1231" s="327"/>
      <c r="AP1231" s="547"/>
      <c r="AQ1231" s="327"/>
      <c r="AR1231" s="548"/>
      <c r="AS1231" s="327"/>
      <c r="AT1231" s="568"/>
      <c r="AU1231" s="327"/>
      <c r="AV1231" s="546" t="s">
        <v>334</v>
      </c>
      <c r="AW1231" s="327"/>
      <c r="AX1231" s="521"/>
      <c r="AY1231" s="326"/>
      <c r="AZ1231" s="327"/>
      <c r="BA1231" s="550"/>
      <c r="BB1231" s="327"/>
      <c r="BC1231" s="25"/>
      <c r="BD1231" s="544" t="s">
        <v>334</v>
      </c>
      <c r="BE1231" s="327"/>
      <c r="BF1231" s="545"/>
      <c r="BG1231" s="326"/>
      <c r="BH1231" s="326"/>
      <c r="BI1231" s="327"/>
      <c r="BJ1231" s="557" t="s">
        <v>303</v>
      </c>
      <c r="BK1231" s="326"/>
      <c r="BL1231" s="326"/>
      <c r="BM1231" s="327"/>
      <c r="BN1231" s="558" t="s">
        <v>303</v>
      </c>
      <c r="BO1231" s="326"/>
      <c r="BP1231" s="326"/>
      <c r="BQ1231" s="326"/>
      <c r="BR1231" s="326"/>
      <c r="BS1231" s="326"/>
      <c r="BT1231" s="326"/>
      <c r="BU1231" s="326"/>
      <c r="BV1231" s="327"/>
    </row>
    <row r="1232" spans="1:74" ht="45" customHeight="1" x14ac:dyDescent="0.25">
      <c r="A1232" s="10">
        <f t="shared" si="4"/>
        <v>1218</v>
      </c>
      <c r="B1232" s="564" t="s">
        <v>303</v>
      </c>
      <c r="C1232" s="327"/>
      <c r="D1232" s="565" t="s">
        <v>307</v>
      </c>
      <c r="E1232" s="327"/>
      <c r="F1232" s="537" t="s">
        <v>334</v>
      </c>
      <c r="G1232" s="327"/>
      <c r="H1232" s="561" t="s">
        <v>334</v>
      </c>
      <c r="I1232" s="327"/>
      <c r="J1232" s="562"/>
      <c r="K1232" s="327"/>
      <c r="L1232" s="562"/>
      <c r="M1232" s="327"/>
      <c r="N1232" s="20"/>
      <c r="O1232" s="21"/>
      <c r="P1232" s="524"/>
      <c r="Q1232" s="327"/>
      <c r="R1232" s="516"/>
      <c r="S1232" s="327"/>
      <c r="T1232" s="517"/>
      <c r="U1232" s="327"/>
      <c r="V1232" s="518"/>
      <c r="W1232" s="327"/>
      <c r="X1232" s="438" t="s">
        <v>303</v>
      </c>
      <c r="Y1232" s="326"/>
      <c r="Z1232" s="326"/>
      <c r="AA1232" s="327"/>
      <c r="AB1232" s="519" t="s">
        <v>303</v>
      </c>
      <c r="AC1232" s="326"/>
      <c r="AD1232" s="326"/>
      <c r="AE1232" s="327"/>
      <c r="AF1232" s="520"/>
      <c r="AG1232" s="327"/>
      <c r="AH1232" s="520"/>
      <c r="AI1232" s="327"/>
      <c r="AJ1232" s="536"/>
      <c r="AK1232" s="327"/>
      <c r="AL1232" s="556" t="s">
        <v>334</v>
      </c>
      <c r="AM1232" s="327"/>
      <c r="AN1232" s="553" t="s">
        <v>334</v>
      </c>
      <c r="AO1232" s="327"/>
      <c r="AP1232" s="554"/>
      <c r="AQ1232" s="327"/>
      <c r="AR1232" s="555"/>
      <c r="AS1232" s="327"/>
      <c r="AT1232" s="549"/>
      <c r="AU1232" s="327"/>
      <c r="AV1232" s="553" t="s">
        <v>334</v>
      </c>
      <c r="AW1232" s="327"/>
      <c r="AX1232" s="521"/>
      <c r="AY1232" s="326"/>
      <c r="AZ1232" s="327"/>
      <c r="BA1232" s="536"/>
      <c r="BB1232" s="327"/>
      <c r="BC1232" s="22"/>
      <c r="BD1232" s="551" t="s">
        <v>334</v>
      </c>
      <c r="BE1232" s="327"/>
      <c r="BF1232" s="552"/>
      <c r="BG1232" s="326"/>
      <c r="BH1232" s="326"/>
      <c r="BI1232" s="327"/>
      <c r="BJ1232" s="451" t="s">
        <v>303</v>
      </c>
      <c r="BK1232" s="326"/>
      <c r="BL1232" s="326"/>
      <c r="BM1232" s="327"/>
      <c r="BN1232" s="558" t="s">
        <v>303</v>
      </c>
      <c r="BO1232" s="326"/>
      <c r="BP1232" s="326"/>
      <c r="BQ1232" s="326"/>
      <c r="BR1232" s="326"/>
      <c r="BS1232" s="326"/>
      <c r="BT1232" s="326"/>
      <c r="BU1232" s="326"/>
      <c r="BV1232" s="327"/>
    </row>
    <row r="1233" spans="1:74" ht="45" customHeight="1" x14ac:dyDescent="0.25">
      <c r="A1233" s="10">
        <f t="shared" si="4"/>
        <v>1219</v>
      </c>
      <c r="B1233" s="559" t="s">
        <v>303</v>
      </c>
      <c r="C1233" s="327"/>
      <c r="D1233" s="560" t="s">
        <v>307</v>
      </c>
      <c r="E1233" s="327"/>
      <c r="F1233" s="537" t="s">
        <v>334</v>
      </c>
      <c r="G1233" s="327"/>
      <c r="H1233" s="566" t="s">
        <v>334</v>
      </c>
      <c r="I1233" s="327"/>
      <c r="J1233" s="567"/>
      <c r="K1233" s="327"/>
      <c r="L1233" s="567"/>
      <c r="M1233" s="327"/>
      <c r="N1233" s="23"/>
      <c r="O1233" s="24"/>
      <c r="P1233" s="563"/>
      <c r="Q1233" s="327"/>
      <c r="R1233" s="538"/>
      <c r="S1233" s="327"/>
      <c r="T1233" s="539"/>
      <c r="U1233" s="327"/>
      <c r="V1233" s="540"/>
      <c r="W1233" s="327"/>
      <c r="X1233" s="541" t="s">
        <v>303</v>
      </c>
      <c r="Y1233" s="326"/>
      <c r="Z1233" s="326"/>
      <c r="AA1233" s="327"/>
      <c r="AB1233" s="542" t="s">
        <v>303</v>
      </c>
      <c r="AC1233" s="326"/>
      <c r="AD1233" s="326"/>
      <c r="AE1233" s="327"/>
      <c r="AF1233" s="543"/>
      <c r="AG1233" s="327"/>
      <c r="AH1233" s="543"/>
      <c r="AI1233" s="327"/>
      <c r="AJ1233" s="536"/>
      <c r="AK1233" s="327"/>
      <c r="AL1233" s="537" t="s">
        <v>334</v>
      </c>
      <c r="AM1233" s="327"/>
      <c r="AN1233" s="546" t="s">
        <v>334</v>
      </c>
      <c r="AO1233" s="327"/>
      <c r="AP1233" s="547"/>
      <c r="AQ1233" s="327"/>
      <c r="AR1233" s="548"/>
      <c r="AS1233" s="327"/>
      <c r="AT1233" s="568"/>
      <c r="AU1233" s="327"/>
      <c r="AV1233" s="546" t="s">
        <v>334</v>
      </c>
      <c r="AW1233" s="327"/>
      <c r="AX1233" s="521"/>
      <c r="AY1233" s="326"/>
      <c r="AZ1233" s="327"/>
      <c r="BA1233" s="550"/>
      <c r="BB1233" s="327"/>
      <c r="BC1233" s="25"/>
      <c r="BD1233" s="544" t="s">
        <v>334</v>
      </c>
      <c r="BE1233" s="327"/>
      <c r="BF1233" s="545"/>
      <c r="BG1233" s="326"/>
      <c r="BH1233" s="326"/>
      <c r="BI1233" s="327"/>
      <c r="BJ1233" s="557" t="s">
        <v>303</v>
      </c>
      <c r="BK1233" s="326"/>
      <c r="BL1233" s="326"/>
      <c r="BM1233" s="327"/>
      <c r="BN1233" s="558" t="s">
        <v>303</v>
      </c>
      <c r="BO1233" s="326"/>
      <c r="BP1233" s="326"/>
      <c r="BQ1233" s="326"/>
      <c r="BR1233" s="326"/>
      <c r="BS1233" s="326"/>
      <c r="BT1233" s="326"/>
      <c r="BU1233" s="326"/>
      <c r="BV1233" s="327"/>
    </row>
    <row r="1234" spans="1:74" ht="45" customHeight="1" x14ac:dyDescent="0.25">
      <c r="A1234" s="10">
        <f t="shared" si="4"/>
        <v>1220</v>
      </c>
      <c r="B1234" s="564" t="s">
        <v>303</v>
      </c>
      <c r="C1234" s="327"/>
      <c r="D1234" s="565" t="s">
        <v>307</v>
      </c>
      <c r="E1234" s="327"/>
      <c r="F1234" s="537" t="s">
        <v>334</v>
      </c>
      <c r="G1234" s="327"/>
      <c r="H1234" s="561" t="s">
        <v>334</v>
      </c>
      <c r="I1234" s="327"/>
      <c r="J1234" s="562"/>
      <c r="K1234" s="327"/>
      <c r="L1234" s="562"/>
      <c r="M1234" s="327"/>
      <c r="N1234" s="20"/>
      <c r="O1234" s="21"/>
      <c r="P1234" s="524"/>
      <c r="Q1234" s="327"/>
      <c r="R1234" s="516"/>
      <c r="S1234" s="327"/>
      <c r="T1234" s="517"/>
      <c r="U1234" s="327"/>
      <c r="V1234" s="518"/>
      <c r="W1234" s="327"/>
      <c r="X1234" s="438" t="s">
        <v>303</v>
      </c>
      <c r="Y1234" s="326"/>
      <c r="Z1234" s="326"/>
      <c r="AA1234" s="327"/>
      <c r="AB1234" s="519" t="s">
        <v>303</v>
      </c>
      <c r="AC1234" s="326"/>
      <c r="AD1234" s="326"/>
      <c r="AE1234" s="327"/>
      <c r="AF1234" s="520"/>
      <c r="AG1234" s="327"/>
      <c r="AH1234" s="520"/>
      <c r="AI1234" s="327"/>
      <c r="AJ1234" s="536"/>
      <c r="AK1234" s="327"/>
      <c r="AL1234" s="556" t="s">
        <v>334</v>
      </c>
      <c r="AM1234" s="327"/>
      <c r="AN1234" s="553" t="s">
        <v>334</v>
      </c>
      <c r="AO1234" s="327"/>
      <c r="AP1234" s="554"/>
      <c r="AQ1234" s="327"/>
      <c r="AR1234" s="555"/>
      <c r="AS1234" s="327"/>
      <c r="AT1234" s="549"/>
      <c r="AU1234" s="327"/>
      <c r="AV1234" s="553" t="s">
        <v>334</v>
      </c>
      <c r="AW1234" s="327"/>
      <c r="AX1234" s="521"/>
      <c r="AY1234" s="326"/>
      <c r="AZ1234" s="327"/>
      <c r="BA1234" s="536"/>
      <c r="BB1234" s="327"/>
      <c r="BC1234" s="22"/>
      <c r="BD1234" s="551" t="s">
        <v>334</v>
      </c>
      <c r="BE1234" s="327"/>
      <c r="BF1234" s="552"/>
      <c r="BG1234" s="326"/>
      <c r="BH1234" s="326"/>
      <c r="BI1234" s="327"/>
      <c r="BJ1234" s="451" t="s">
        <v>303</v>
      </c>
      <c r="BK1234" s="326"/>
      <c r="BL1234" s="326"/>
      <c r="BM1234" s="327"/>
      <c r="BN1234" s="558" t="s">
        <v>303</v>
      </c>
      <c r="BO1234" s="326"/>
      <c r="BP1234" s="326"/>
      <c r="BQ1234" s="326"/>
      <c r="BR1234" s="326"/>
      <c r="BS1234" s="326"/>
      <c r="BT1234" s="326"/>
      <c r="BU1234" s="326"/>
      <c r="BV1234" s="327"/>
    </row>
    <row r="1235" spans="1:74" ht="45" customHeight="1" x14ac:dyDescent="0.25">
      <c r="A1235" s="10">
        <f t="shared" si="4"/>
        <v>1221</v>
      </c>
      <c r="B1235" s="559" t="s">
        <v>303</v>
      </c>
      <c r="C1235" s="327"/>
      <c r="D1235" s="560" t="s">
        <v>307</v>
      </c>
      <c r="E1235" s="327"/>
      <c r="F1235" s="537" t="s">
        <v>334</v>
      </c>
      <c r="G1235" s="327"/>
      <c r="H1235" s="566" t="s">
        <v>334</v>
      </c>
      <c r="I1235" s="327"/>
      <c r="J1235" s="567"/>
      <c r="K1235" s="327"/>
      <c r="L1235" s="567"/>
      <c r="M1235" s="327"/>
      <c r="N1235" s="23"/>
      <c r="O1235" s="24"/>
      <c r="P1235" s="563"/>
      <c r="Q1235" s="327"/>
      <c r="R1235" s="538"/>
      <c r="S1235" s="327"/>
      <c r="T1235" s="539"/>
      <c r="U1235" s="327"/>
      <c r="V1235" s="540"/>
      <c r="W1235" s="327"/>
      <c r="X1235" s="541" t="s">
        <v>303</v>
      </c>
      <c r="Y1235" s="326"/>
      <c r="Z1235" s="326"/>
      <c r="AA1235" s="327"/>
      <c r="AB1235" s="542" t="s">
        <v>303</v>
      </c>
      <c r="AC1235" s="326"/>
      <c r="AD1235" s="326"/>
      <c r="AE1235" s="327"/>
      <c r="AF1235" s="543"/>
      <c r="AG1235" s="327"/>
      <c r="AH1235" s="543"/>
      <c r="AI1235" s="327"/>
      <c r="AJ1235" s="536"/>
      <c r="AK1235" s="327"/>
      <c r="AL1235" s="537" t="s">
        <v>334</v>
      </c>
      <c r="AM1235" s="327"/>
      <c r="AN1235" s="546" t="s">
        <v>334</v>
      </c>
      <c r="AO1235" s="327"/>
      <c r="AP1235" s="547"/>
      <c r="AQ1235" s="327"/>
      <c r="AR1235" s="548"/>
      <c r="AS1235" s="327"/>
      <c r="AT1235" s="568"/>
      <c r="AU1235" s="327"/>
      <c r="AV1235" s="546" t="s">
        <v>334</v>
      </c>
      <c r="AW1235" s="327"/>
      <c r="AX1235" s="521"/>
      <c r="AY1235" s="326"/>
      <c r="AZ1235" s="327"/>
      <c r="BA1235" s="550"/>
      <c r="BB1235" s="327"/>
      <c r="BC1235" s="25"/>
      <c r="BD1235" s="544" t="s">
        <v>334</v>
      </c>
      <c r="BE1235" s="327"/>
      <c r="BF1235" s="545"/>
      <c r="BG1235" s="326"/>
      <c r="BH1235" s="326"/>
      <c r="BI1235" s="327"/>
      <c r="BJ1235" s="557" t="s">
        <v>303</v>
      </c>
      <c r="BK1235" s="326"/>
      <c r="BL1235" s="326"/>
      <c r="BM1235" s="327"/>
      <c r="BN1235" s="558" t="s">
        <v>303</v>
      </c>
      <c r="BO1235" s="326"/>
      <c r="BP1235" s="326"/>
      <c r="BQ1235" s="326"/>
      <c r="BR1235" s="326"/>
      <c r="BS1235" s="326"/>
      <c r="BT1235" s="326"/>
      <c r="BU1235" s="326"/>
      <c r="BV1235" s="327"/>
    </row>
    <row r="1236" spans="1:74" ht="45" customHeight="1" x14ac:dyDescent="0.25">
      <c r="A1236" s="10">
        <f t="shared" si="4"/>
        <v>1222</v>
      </c>
      <c r="B1236" s="564" t="s">
        <v>303</v>
      </c>
      <c r="C1236" s="327"/>
      <c r="D1236" s="565" t="s">
        <v>307</v>
      </c>
      <c r="E1236" s="327"/>
      <c r="F1236" s="537" t="s">
        <v>334</v>
      </c>
      <c r="G1236" s="327"/>
      <c r="H1236" s="561" t="s">
        <v>334</v>
      </c>
      <c r="I1236" s="327"/>
      <c r="J1236" s="562"/>
      <c r="K1236" s="327"/>
      <c r="L1236" s="562"/>
      <c r="M1236" s="327"/>
      <c r="N1236" s="20"/>
      <c r="O1236" s="21"/>
      <c r="P1236" s="524"/>
      <c r="Q1236" s="327"/>
      <c r="R1236" s="516"/>
      <c r="S1236" s="327"/>
      <c r="T1236" s="517"/>
      <c r="U1236" s="327"/>
      <c r="V1236" s="518"/>
      <c r="W1236" s="327"/>
      <c r="X1236" s="438" t="s">
        <v>303</v>
      </c>
      <c r="Y1236" s="326"/>
      <c r="Z1236" s="326"/>
      <c r="AA1236" s="327"/>
      <c r="AB1236" s="519" t="s">
        <v>303</v>
      </c>
      <c r="AC1236" s="326"/>
      <c r="AD1236" s="326"/>
      <c r="AE1236" s="327"/>
      <c r="AF1236" s="520"/>
      <c r="AG1236" s="327"/>
      <c r="AH1236" s="520"/>
      <c r="AI1236" s="327"/>
      <c r="AJ1236" s="536"/>
      <c r="AK1236" s="327"/>
      <c r="AL1236" s="556" t="s">
        <v>334</v>
      </c>
      <c r="AM1236" s="327"/>
      <c r="AN1236" s="553" t="s">
        <v>334</v>
      </c>
      <c r="AO1236" s="327"/>
      <c r="AP1236" s="554"/>
      <c r="AQ1236" s="327"/>
      <c r="AR1236" s="555"/>
      <c r="AS1236" s="327"/>
      <c r="AT1236" s="549"/>
      <c r="AU1236" s="327"/>
      <c r="AV1236" s="553" t="s">
        <v>334</v>
      </c>
      <c r="AW1236" s="327"/>
      <c r="AX1236" s="521"/>
      <c r="AY1236" s="326"/>
      <c r="AZ1236" s="327"/>
      <c r="BA1236" s="536"/>
      <c r="BB1236" s="327"/>
      <c r="BC1236" s="22"/>
      <c r="BD1236" s="551" t="s">
        <v>334</v>
      </c>
      <c r="BE1236" s="327"/>
      <c r="BF1236" s="508"/>
      <c r="BG1236" s="326"/>
      <c r="BH1236" s="326"/>
      <c r="BI1236" s="327"/>
      <c r="BJ1236" s="451" t="s">
        <v>303</v>
      </c>
      <c r="BK1236" s="326"/>
      <c r="BL1236" s="326"/>
      <c r="BM1236" s="327"/>
      <c r="BN1236" s="558" t="s">
        <v>303</v>
      </c>
      <c r="BO1236" s="326"/>
      <c r="BP1236" s="326"/>
      <c r="BQ1236" s="326"/>
      <c r="BR1236" s="326"/>
      <c r="BS1236" s="326"/>
      <c r="BT1236" s="326"/>
      <c r="BU1236" s="326"/>
      <c r="BV1236" s="327"/>
    </row>
    <row r="1237" spans="1:74" ht="45" customHeight="1" x14ac:dyDescent="0.25">
      <c r="A1237" s="10">
        <f t="shared" si="4"/>
        <v>1223</v>
      </c>
      <c r="B1237" s="559" t="s">
        <v>303</v>
      </c>
      <c r="C1237" s="327"/>
      <c r="D1237" s="560" t="s">
        <v>307</v>
      </c>
      <c r="E1237" s="327"/>
      <c r="F1237" s="537" t="s">
        <v>334</v>
      </c>
      <c r="G1237" s="327"/>
      <c r="H1237" s="566" t="s">
        <v>334</v>
      </c>
      <c r="I1237" s="327"/>
      <c r="J1237" s="567"/>
      <c r="K1237" s="327"/>
      <c r="L1237" s="567"/>
      <c r="M1237" s="327"/>
      <c r="N1237" s="23"/>
      <c r="O1237" s="24"/>
      <c r="P1237" s="563"/>
      <c r="Q1237" s="327"/>
      <c r="R1237" s="538"/>
      <c r="S1237" s="327"/>
      <c r="T1237" s="539"/>
      <c r="U1237" s="327"/>
      <c r="V1237" s="540"/>
      <c r="W1237" s="327"/>
      <c r="X1237" s="541" t="s">
        <v>303</v>
      </c>
      <c r="Y1237" s="326"/>
      <c r="Z1237" s="326"/>
      <c r="AA1237" s="327"/>
      <c r="AB1237" s="542" t="s">
        <v>303</v>
      </c>
      <c r="AC1237" s="326"/>
      <c r="AD1237" s="326"/>
      <c r="AE1237" s="327"/>
      <c r="AF1237" s="543"/>
      <c r="AG1237" s="327"/>
      <c r="AH1237" s="543"/>
      <c r="AI1237" s="327"/>
      <c r="AJ1237" s="536"/>
      <c r="AK1237" s="327"/>
      <c r="AL1237" s="537" t="s">
        <v>334</v>
      </c>
      <c r="AM1237" s="327"/>
      <c r="AN1237" s="546" t="s">
        <v>334</v>
      </c>
      <c r="AO1237" s="327"/>
      <c r="AP1237" s="547"/>
      <c r="AQ1237" s="327"/>
      <c r="AR1237" s="548"/>
      <c r="AS1237" s="327"/>
      <c r="AT1237" s="568"/>
      <c r="AU1237" s="327"/>
      <c r="AV1237" s="546" t="s">
        <v>334</v>
      </c>
      <c r="AW1237" s="327"/>
      <c r="AX1237" s="521"/>
      <c r="AY1237" s="326"/>
      <c r="AZ1237" s="327"/>
      <c r="BA1237" s="550"/>
      <c r="BB1237" s="327"/>
      <c r="BC1237" s="25"/>
      <c r="BD1237" s="544" t="s">
        <v>334</v>
      </c>
      <c r="BE1237" s="327"/>
      <c r="BF1237" s="545"/>
      <c r="BG1237" s="326"/>
      <c r="BH1237" s="326"/>
      <c r="BI1237" s="327"/>
      <c r="BJ1237" s="557" t="s">
        <v>303</v>
      </c>
      <c r="BK1237" s="326"/>
      <c r="BL1237" s="326"/>
      <c r="BM1237" s="327"/>
      <c r="BN1237" s="558" t="s">
        <v>303</v>
      </c>
      <c r="BO1237" s="326"/>
      <c r="BP1237" s="326"/>
      <c r="BQ1237" s="326"/>
      <c r="BR1237" s="326"/>
      <c r="BS1237" s="326"/>
      <c r="BT1237" s="326"/>
      <c r="BU1237" s="326"/>
      <c r="BV1237" s="327"/>
    </row>
    <row r="1238" spans="1:74" ht="45" customHeight="1" x14ac:dyDescent="0.25">
      <c r="A1238" s="10">
        <f t="shared" si="4"/>
        <v>1224</v>
      </c>
      <c r="B1238" s="564" t="s">
        <v>303</v>
      </c>
      <c r="C1238" s="327"/>
      <c r="D1238" s="565" t="s">
        <v>307</v>
      </c>
      <c r="E1238" s="327"/>
      <c r="F1238" s="537" t="s">
        <v>334</v>
      </c>
      <c r="G1238" s="327"/>
      <c r="H1238" s="561" t="s">
        <v>334</v>
      </c>
      <c r="I1238" s="327"/>
      <c r="J1238" s="562"/>
      <c r="K1238" s="327"/>
      <c r="L1238" s="562"/>
      <c r="M1238" s="327"/>
      <c r="N1238" s="20"/>
      <c r="O1238" s="21"/>
      <c r="P1238" s="524"/>
      <c r="Q1238" s="327"/>
      <c r="R1238" s="516"/>
      <c r="S1238" s="327"/>
      <c r="T1238" s="517"/>
      <c r="U1238" s="327"/>
      <c r="V1238" s="518"/>
      <c r="W1238" s="327"/>
      <c r="X1238" s="438" t="s">
        <v>303</v>
      </c>
      <c r="Y1238" s="326"/>
      <c r="Z1238" s="326"/>
      <c r="AA1238" s="327"/>
      <c r="AB1238" s="519" t="s">
        <v>303</v>
      </c>
      <c r="AC1238" s="326"/>
      <c r="AD1238" s="326"/>
      <c r="AE1238" s="327"/>
      <c r="AF1238" s="520"/>
      <c r="AG1238" s="327"/>
      <c r="AH1238" s="520"/>
      <c r="AI1238" s="327"/>
      <c r="AJ1238" s="536"/>
      <c r="AK1238" s="327"/>
      <c r="AL1238" s="556" t="s">
        <v>334</v>
      </c>
      <c r="AM1238" s="327"/>
      <c r="AN1238" s="553" t="s">
        <v>334</v>
      </c>
      <c r="AO1238" s="327"/>
      <c r="AP1238" s="554"/>
      <c r="AQ1238" s="327"/>
      <c r="AR1238" s="555"/>
      <c r="AS1238" s="327"/>
      <c r="AT1238" s="549"/>
      <c r="AU1238" s="327"/>
      <c r="AV1238" s="553" t="s">
        <v>334</v>
      </c>
      <c r="AW1238" s="327"/>
      <c r="AX1238" s="521"/>
      <c r="AY1238" s="326"/>
      <c r="AZ1238" s="327"/>
      <c r="BA1238" s="536"/>
      <c r="BB1238" s="327"/>
      <c r="BC1238" s="22"/>
      <c r="BD1238" s="551" t="s">
        <v>334</v>
      </c>
      <c r="BE1238" s="327"/>
      <c r="BF1238" s="552"/>
      <c r="BG1238" s="326"/>
      <c r="BH1238" s="326"/>
      <c r="BI1238" s="327"/>
      <c r="BJ1238" s="451" t="s">
        <v>303</v>
      </c>
      <c r="BK1238" s="326"/>
      <c r="BL1238" s="326"/>
      <c r="BM1238" s="327"/>
      <c r="BN1238" s="558" t="s">
        <v>303</v>
      </c>
      <c r="BO1238" s="326"/>
      <c r="BP1238" s="326"/>
      <c r="BQ1238" s="326"/>
      <c r="BR1238" s="326"/>
      <c r="BS1238" s="326"/>
      <c r="BT1238" s="326"/>
      <c r="BU1238" s="326"/>
      <c r="BV1238" s="327"/>
    </row>
    <row r="1239" spans="1:74" ht="45" customHeight="1" x14ac:dyDescent="0.25">
      <c r="A1239" s="10">
        <f t="shared" si="4"/>
        <v>1225</v>
      </c>
      <c r="B1239" s="559" t="s">
        <v>303</v>
      </c>
      <c r="C1239" s="327"/>
      <c r="D1239" s="560" t="s">
        <v>307</v>
      </c>
      <c r="E1239" s="327"/>
      <c r="F1239" s="537" t="s">
        <v>334</v>
      </c>
      <c r="G1239" s="327"/>
      <c r="H1239" s="566" t="s">
        <v>334</v>
      </c>
      <c r="I1239" s="327"/>
      <c r="J1239" s="567"/>
      <c r="K1239" s="327"/>
      <c r="L1239" s="567"/>
      <c r="M1239" s="327"/>
      <c r="N1239" s="23"/>
      <c r="O1239" s="24"/>
      <c r="P1239" s="563"/>
      <c r="Q1239" s="327"/>
      <c r="R1239" s="538"/>
      <c r="S1239" s="327"/>
      <c r="T1239" s="539"/>
      <c r="U1239" s="327"/>
      <c r="V1239" s="540"/>
      <c r="W1239" s="327"/>
      <c r="X1239" s="541" t="s">
        <v>303</v>
      </c>
      <c r="Y1239" s="326"/>
      <c r="Z1239" s="326"/>
      <c r="AA1239" s="327"/>
      <c r="AB1239" s="542" t="s">
        <v>303</v>
      </c>
      <c r="AC1239" s="326"/>
      <c r="AD1239" s="326"/>
      <c r="AE1239" s="327"/>
      <c r="AF1239" s="543"/>
      <c r="AG1239" s="327"/>
      <c r="AH1239" s="543"/>
      <c r="AI1239" s="327"/>
      <c r="AJ1239" s="536"/>
      <c r="AK1239" s="327"/>
      <c r="AL1239" s="537" t="s">
        <v>334</v>
      </c>
      <c r="AM1239" s="327"/>
      <c r="AN1239" s="546" t="s">
        <v>334</v>
      </c>
      <c r="AO1239" s="327"/>
      <c r="AP1239" s="547"/>
      <c r="AQ1239" s="327"/>
      <c r="AR1239" s="548"/>
      <c r="AS1239" s="327"/>
      <c r="AT1239" s="549"/>
      <c r="AU1239" s="327"/>
      <c r="AV1239" s="546" t="s">
        <v>334</v>
      </c>
      <c r="AW1239" s="327"/>
      <c r="AX1239" s="521"/>
      <c r="AY1239" s="326"/>
      <c r="AZ1239" s="327"/>
      <c r="BA1239" s="550"/>
      <c r="BB1239" s="327"/>
      <c r="BC1239" s="25"/>
      <c r="BD1239" s="544" t="s">
        <v>334</v>
      </c>
      <c r="BE1239" s="327"/>
      <c r="BF1239" s="545"/>
      <c r="BG1239" s="326"/>
      <c r="BH1239" s="326"/>
      <c r="BI1239" s="327"/>
      <c r="BJ1239" s="557" t="s">
        <v>303</v>
      </c>
      <c r="BK1239" s="326"/>
      <c r="BL1239" s="326"/>
      <c r="BM1239" s="327"/>
      <c r="BN1239" s="558" t="s">
        <v>303</v>
      </c>
      <c r="BO1239" s="326"/>
      <c r="BP1239" s="326"/>
      <c r="BQ1239" s="326"/>
      <c r="BR1239" s="326"/>
      <c r="BS1239" s="326"/>
      <c r="BT1239" s="326"/>
      <c r="BU1239" s="326"/>
      <c r="BV1239" s="327"/>
    </row>
    <row r="1240" spans="1:74" ht="45" customHeight="1" x14ac:dyDescent="0.25">
      <c r="A1240" s="10">
        <f t="shared" si="4"/>
        <v>1226</v>
      </c>
      <c r="B1240" s="564" t="s">
        <v>303</v>
      </c>
      <c r="C1240" s="327"/>
      <c r="D1240" s="565" t="s">
        <v>307</v>
      </c>
      <c r="E1240" s="327"/>
      <c r="F1240" s="537" t="s">
        <v>334</v>
      </c>
      <c r="G1240" s="327"/>
      <c r="H1240" s="561" t="s">
        <v>334</v>
      </c>
      <c r="I1240" s="327"/>
      <c r="J1240" s="562"/>
      <c r="K1240" s="327"/>
      <c r="L1240" s="562"/>
      <c r="M1240" s="327"/>
      <c r="N1240" s="20"/>
      <c r="O1240" s="21"/>
      <c r="P1240" s="524"/>
      <c r="Q1240" s="327"/>
      <c r="R1240" s="516"/>
      <c r="S1240" s="327"/>
      <c r="T1240" s="517"/>
      <c r="U1240" s="327"/>
      <c r="V1240" s="518"/>
      <c r="W1240" s="327"/>
      <c r="X1240" s="438" t="s">
        <v>303</v>
      </c>
      <c r="Y1240" s="326"/>
      <c r="Z1240" s="326"/>
      <c r="AA1240" s="327"/>
      <c r="AB1240" s="519" t="s">
        <v>303</v>
      </c>
      <c r="AC1240" s="326"/>
      <c r="AD1240" s="326"/>
      <c r="AE1240" s="327"/>
      <c r="AF1240" s="520"/>
      <c r="AG1240" s="327"/>
      <c r="AH1240" s="520"/>
      <c r="AI1240" s="327"/>
      <c r="AJ1240" s="536"/>
      <c r="AK1240" s="327"/>
      <c r="AL1240" s="556" t="s">
        <v>334</v>
      </c>
      <c r="AM1240" s="327"/>
      <c r="AN1240" s="553" t="s">
        <v>334</v>
      </c>
      <c r="AO1240" s="327"/>
      <c r="AP1240" s="554"/>
      <c r="AQ1240" s="327"/>
      <c r="AR1240" s="555"/>
      <c r="AS1240" s="327"/>
      <c r="AT1240" s="549"/>
      <c r="AU1240" s="327"/>
      <c r="AV1240" s="553" t="s">
        <v>334</v>
      </c>
      <c r="AW1240" s="327"/>
      <c r="AX1240" s="521"/>
      <c r="AY1240" s="326"/>
      <c r="AZ1240" s="327"/>
      <c r="BA1240" s="536"/>
      <c r="BB1240" s="327"/>
      <c r="BC1240" s="22"/>
      <c r="BD1240" s="551" t="s">
        <v>334</v>
      </c>
      <c r="BE1240" s="327"/>
      <c r="BF1240" s="552"/>
      <c r="BG1240" s="326"/>
      <c r="BH1240" s="326"/>
      <c r="BI1240" s="327"/>
      <c r="BJ1240" s="451" t="s">
        <v>303</v>
      </c>
      <c r="BK1240" s="326"/>
      <c r="BL1240" s="326"/>
      <c r="BM1240" s="327"/>
      <c r="BN1240" s="558" t="s">
        <v>303</v>
      </c>
      <c r="BO1240" s="326"/>
      <c r="BP1240" s="326"/>
      <c r="BQ1240" s="326"/>
      <c r="BR1240" s="326"/>
      <c r="BS1240" s="326"/>
      <c r="BT1240" s="326"/>
      <c r="BU1240" s="326"/>
      <c r="BV1240" s="327"/>
    </row>
    <row r="1241" spans="1:74" ht="45" customHeight="1" x14ac:dyDescent="0.25">
      <c r="A1241" s="10">
        <f t="shared" si="4"/>
        <v>1227</v>
      </c>
      <c r="B1241" s="559" t="s">
        <v>303</v>
      </c>
      <c r="C1241" s="327"/>
      <c r="D1241" s="560" t="s">
        <v>307</v>
      </c>
      <c r="E1241" s="327"/>
      <c r="F1241" s="537" t="s">
        <v>334</v>
      </c>
      <c r="G1241" s="327"/>
      <c r="H1241" s="566" t="s">
        <v>334</v>
      </c>
      <c r="I1241" s="327"/>
      <c r="J1241" s="567"/>
      <c r="K1241" s="327"/>
      <c r="L1241" s="567"/>
      <c r="M1241" s="327"/>
      <c r="N1241" s="23"/>
      <c r="O1241" s="24"/>
      <c r="P1241" s="563"/>
      <c r="Q1241" s="327"/>
      <c r="R1241" s="538"/>
      <c r="S1241" s="327"/>
      <c r="T1241" s="539"/>
      <c r="U1241" s="327"/>
      <c r="V1241" s="540"/>
      <c r="W1241" s="327"/>
      <c r="X1241" s="541" t="s">
        <v>303</v>
      </c>
      <c r="Y1241" s="326"/>
      <c r="Z1241" s="326"/>
      <c r="AA1241" s="327"/>
      <c r="AB1241" s="542" t="s">
        <v>303</v>
      </c>
      <c r="AC1241" s="326"/>
      <c r="AD1241" s="326"/>
      <c r="AE1241" s="327"/>
      <c r="AF1241" s="543"/>
      <c r="AG1241" s="327"/>
      <c r="AH1241" s="543"/>
      <c r="AI1241" s="327"/>
      <c r="AJ1241" s="536"/>
      <c r="AK1241" s="327"/>
      <c r="AL1241" s="537" t="s">
        <v>334</v>
      </c>
      <c r="AM1241" s="327"/>
      <c r="AN1241" s="546" t="s">
        <v>334</v>
      </c>
      <c r="AO1241" s="327"/>
      <c r="AP1241" s="547"/>
      <c r="AQ1241" s="327"/>
      <c r="AR1241" s="548"/>
      <c r="AS1241" s="327"/>
      <c r="AT1241" s="549"/>
      <c r="AU1241" s="327"/>
      <c r="AV1241" s="546" t="s">
        <v>334</v>
      </c>
      <c r="AW1241" s="327"/>
      <c r="AX1241" s="521"/>
      <c r="AY1241" s="326"/>
      <c r="AZ1241" s="327"/>
      <c r="BA1241" s="550"/>
      <c r="BB1241" s="327"/>
      <c r="BC1241" s="25"/>
      <c r="BD1241" s="544" t="s">
        <v>334</v>
      </c>
      <c r="BE1241" s="327"/>
      <c r="BF1241" s="545"/>
      <c r="BG1241" s="326"/>
      <c r="BH1241" s="326"/>
      <c r="BI1241" s="327"/>
      <c r="BJ1241" s="557" t="s">
        <v>303</v>
      </c>
      <c r="BK1241" s="326"/>
      <c r="BL1241" s="326"/>
      <c r="BM1241" s="327"/>
      <c r="BN1241" s="558" t="s">
        <v>303</v>
      </c>
      <c r="BO1241" s="326"/>
      <c r="BP1241" s="326"/>
      <c r="BQ1241" s="326"/>
      <c r="BR1241" s="326"/>
      <c r="BS1241" s="326"/>
      <c r="BT1241" s="326"/>
      <c r="BU1241" s="326"/>
      <c r="BV1241" s="327"/>
    </row>
    <row r="1242" spans="1:74" ht="45" customHeight="1" x14ac:dyDescent="0.25">
      <c r="A1242" s="10">
        <f t="shared" si="4"/>
        <v>1228</v>
      </c>
      <c r="B1242" s="564" t="s">
        <v>303</v>
      </c>
      <c r="C1242" s="327"/>
      <c r="D1242" s="565" t="s">
        <v>307</v>
      </c>
      <c r="E1242" s="327"/>
      <c r="F1242" s="537" t="s">
        <v>334</v>
      </c>
      <c r="G1242" s="327"/>
      <c r="H1242" s="561" t="s">
        <v>334</v>
      </c>
      <c r="I1242" s="327"/>
      <c r="J1242" s="562"/>
      <c r="K1242" s="327"/>
      <c r="L1242" s="562"/>
      <c r="M1242" s="327"/>
      <c r="N1242" s="20"/>
      <c r="O1242" s="21"/>
      <c r="P1242" s="524"/>
      <c r="Q1242" s="327"/>
      <c r="R1242" s="516"/>
      <c r="S1242" s="327"/>
      <c r="T1242" s="517"/>
      <c r="U1242" s="327"/>
      <c r="V1242" s="518"/>
      <c r="W1242" s="327"/>
      <c r="X1242" s="438" t="s">
        <v>303</v>
      </c>
      <c r="Y1242" s="326"/>
      <c r="Z1242" s="326"/>
      <c r="AA1242" s="327"/>
      <c r="AB1242" s="519" t="s">
        <v>303</v>
      </c>
      <c r="AC1242" s="326"/>
      <c r="AD1242" s="326"/>
      <c r="AE1242" s="327"/>
      <c r="AF1242" s="520"/>
      <c r="AG1242" s="327"/>
      <c r="AH1242" s="520"/>
      <c r="AI1242" s="327"/>
      <c r="AJ1242" s="536"/>
      <c r="AK1242" s="327"/>
      <c r="AL1242" s="556" t="s">
        <v>334</v>
      </c>
      <c r="AM1242" s="327"/>
      <c r="AN1242" s="553" t="s">
        <v>334</v>
      </c>
      <c r="AO1242" s="327"/>
      <c r="AP1242" s="554"/>
      <c r="AQ1242" s="327"/>
      <c r="AR1242" s="555"/>
      <c r="AS1242" s="327"/>
      <c r="AT1242" s="549"/>
      <c r="AU1242" s="327"/>
      <c r="AV1242" s="553" t="s">
        <v>334</v>
      </c>
      <c r="AW1242" s="327"/>
      <c r="AX1242" s="521"/>
      <c r="AY1242" s="326"/>
      <c r="AZ1242" s="327"/>
      <c r="BA1242" s="536"/>
      <c r="BB1242" s="327"/>
      <c r="BC1242" s="22"/>
      <c r="BD1242" s="551" t="s">
        <v>334</v>
      </c>
      <c r="BE1242" s="327"/>
      <c r="BF1242" s="552"/>
      <c r="BG1242" s="326"/>
      <c r="BH1242" s="326"/>
      <c r="BI1242" s="327"/>
      <c r="BJ1242" s="451" t="s">
        <v>303</v>
      </c>
      <c r="BK1242" s="326"/>
      <c r="BL1242" s="326"/>
      <c r="BM1242" s="327"/>
      <c r="BN1242" s="558" t="s">
        <v>303</v>
      </c>
      <c r="BO1242" s="326"/>
      <c r="BP1242" s="326"/>
      <c r="BQ1242" s="326"/>
      <c r="BR1242" s="326"/>
      <c r="BS1242" s="326"/>
      <c r="BT1242" s="326"/>
      <c r="BU1242" s="326"/>
      <c r="BV1242" s="327"/>
    </row>
    <row r="1243" spans="1:74" ht="45" customHeight="1" x14ac:dyDescent="0.25">
      <c r="A1243" s="10">
        <f t="shared" si="4"/>
        <v>1229</v>
      </c>
      <c r="B1243" s="559" t="s">
        <v>303</v>
      </c>
      <c r="C1243" s="327"/>
      <c r="D1243" s="560" t="s">
        <v>307</v>
      </c>
      <c r="E1243" s="327"/>
      <c r="F1243" s="537" t="s">
        <v>334</v>
      </c>
      <c r="G1243" s="327"/>
      <c r="H1243" s="566" t="s">
        <v>334</v>
      </c>
      <c r="I1243" s="327"/>
      <c r="J1243" s="567"/>
      <c r="K1243" s="327"/>
      <c r="L1243" s="567"/>
      <c r="M1243" s="327"/>
      <c r="N1243" s="23"/>
      <c r="O1243" s="24"/>
      <c r="P1243" s="563"/>
      <c r="Q1243" s="327"/>
      <c r="R1243" s="538"/>
      <c r="S1243" s="327"/>
      <c r="T1243" s="539"/>
      <c r="U1243" s="327"/>
      <c r="V1243" s="540"/>
      <c r="W1243" s="327"/>
      <c r="X1243" s="541" t="s">
        <v>303</v>
      </c>
      <c r="Y1243" s="326"/>
      <c r="Z1243" s="326"/>
      <c r="AA1243" s="327"/>
      <c r="AB1243" s="542" t="s">
        <v>303</v>
      </c>
      <c r="AC1243" s="326"/>
      <c r="AD1243" s="326"/>
      <c r="AE1243" s="327"/>
      <c r="AF1243" s="543"/>
      <c r="AG1243" s="327"/>
      <c r="AH1243" s="543"/>
      <c r="AI1243" s="327"/>
      <c r="AJ1243" s="536"/>
      <c r="AK1243" s="327"/>
      <c r="AL1243" s="537" t="s">
        <v>334</v>
      </c>
      <c r="AM1243" s="327"/>
      <c r="AN1243" s="546" t="s">
        <v>334</v>
      </c>
      <c r="AO1243" s="327"/>
      <c r="AP1243" s="547"/>
      <c r="AQ1243" s="327"/>
      <c r="AR1243" s="548"/>
      <c r="AS1243" s="327"/>
      <c r="AT1243" s="568"/>
      <c r="AU1243" s="327"/>
      <c r="AV1243" s="546" t="s">
        <v>334</v>
      </c>
      <c r="AW1243" s="327"/>
      <c r="AX1243" s="521"/>
      <c r="AY1243" s="326"/>
      <c r="AZ1243" s="327"/>
      <c r="BA1243" s="550"/>
      <c r="BB1243" s="327"/>
      <c r="BC1243" s="25"/>
      <c r="BD1243" s="544" t="s">
        <v>334</v>
      </c>
      <c r="BE1243" s="327"/>
      <c r="BF1243" s="545"/>
      <c r="BG1243" s="326"/>
      <c r="BH1243" s="326"/>
      <c r="BI1243" s="327"/>
      <c r="BJ1243" s="557" t="s">
        <v>303</v>
      </c>
      <c r="BK1243" s="326"/>
      <c r="BL1243" s="326"/>
      <c r="BM1243" s="327"/>
      <c r="BN1243" s="558" t="s">
        <v>303</v>
      </c>
      <c r="BO1243" s="326"/>
      <c r="BP1243" s="326"/>
      <c r="BQ1243" s="326"/>
      <c r="BR1243" s="326"/>
      <c r="BS1243" s="326"/>
      <c r="BT1243" s="326"/>
      <c r="BU1243" s="326"/>
      <c r="BV1243" s="327"/>
    </row>
    <row r="1244" spans="1:74" ht="45" customHeight="1" x14ac:dyDescent="0.25">
      <c r="A1244" s="10">
        <f t="shared" si="4"/>
        <v>1230</v>
      </c>
      <c r="B1244" s="564" t="s">
        <v>303</v>
      </c>
      <c r="C1244" s="327"/>
      <c r="D1244" s="565" t="s">
        <v>307</v>
      </c>
      <c r="E1244" s="327"/>
      <c r="F1244" s="537" t="s">
        <v>334</v>
      </c>
      <c r="G1244" s="327"/>
      <c r="H1244" s="561" t="s">
        <v>334</v>
      </c>
      <c r="I1244" s="327"/>
      <c r="J1244" s="562"/>
      <c r="K1244" s="327"/>
      <c r="L1244" s="562"/>
      <c r="M1244" s="327"/>
      <c r="N1244" s="20"/>
      <c r="O1244" s="21"/>
      <c r="P1244" s="524"/>
      <c r="Q1244" s="327"/>
      <c r="R1244" s="516"/>
      <c r="S1244" s="327"/>
      <c r="T1244" s="517"/>
      <c r="U1244" s="327"/>
      <c r="V1244" s="518"/>
      <c r="W1244" s="327"/>
      <c r="X1244" s="438" t="s">
        <v>303</v>
      </c>
      <c r="Y1244" s="326"/>
      <c r="Z1244" s="326"/>
      <c r="AA1244" s="327"/>
      <c r="AB1244" s="519" t="s">
        <v>303</v>
      </c>
      <c r="AC1244" s="326"/>
      <c r="AD1244" s="326"/>
      <c r="AE1244" s="327"/>
      <c r="AF1244" s="520"/>
      <c r="AG1244" s="327"/>
      <c r="AH1244" s="520"/>
      <c r="AI1244" s="327"/>
      <c r="AJ1244" s="536"/>
      <c r="AK1244" s="327"/>
      <c r="AL1244" s="556" t="s">
        <v>334</v>
      </c>
      <c r="AM1244" s="327"/>
      <c r="AN1244" s="553" t="s">
        <v>334</v>
      </c>
      <c r="AO1244" s="327"/>
      <c r="AP1244" s="554"/>
      <c r="AQ1244" s="327"/>
      <c r="AR1244" s="555"/>
      <c r="AS1244" s="327"/>
      <c r="AT1244" s="549"/>
      <c r="AU1244" s="327"/>
      <c r="AV1244" s="553" t="s">
        <v>334</v>
      </c>
      <c r="AW1244" s="327"/>
      <c r="AX1244" s="521"/>
      <c r="AY1244" s="326"/>
      <c r="AZ1244" s="327"/>
      <c r="BA1244" s="536"/>
      <c r="BB1244" s="327"/>
      <c r="BC1244" s="22"/>
      <c r="BD1244" s="551" t="s">
        <v>334</v>
      </c>
      <c r="BE1244" s="327"/>
      <c r="BF1244" s="508"/>
      <c r="BG1244" s="326"/>
      <c r="BH1244" s="326"/>
      <c r="BI1244" s="327"/>
      <c r="BJ1244" s="451" t="s">
        <v>303</v>
      </c>
      <c r="BK1244" s="326"/>
      <c r="BL1244" s="326"/>
      <c r="BM1244" s="327"/>
      <c r="BN1244" s="558" t="s">
        <v>303</v>
      </c>
      <c r="BO1244" s="326"/>
      <c r="BP1244" s="326"/>
      <c r="BQ1244" s="326"/>
      <c r="BR1244" s="326"/>
      <c r="BS1244" s="326"/>
      <c r="BT1244" s="326"/>
      <c r="BU1244" s="326"/>
      <c r="BV1244" s="327"/>
    </row>
    <row r="1245" spans="1:74" ht="45" customHeight="1" x14ac:dyDescent="0.25">
      <c r="A1245" s="10">
        <f t="shared" si="4"/>
        <v>1231</v>
      </c>
      <c r="B1245" s="559" t="s">
        <v>303</v>
      </c>
      <c r="C1245" s="327"/>
      <c r="D1245" s="560" t="s">
        <v>307</v>
      </c>
      <c r="E1245" s="327"/>
      <c r="F1245" s="537" t="s">
        <v>334</v>
      </c>
      <c r="G1245" s="327"/>
      <c r="H1245" s="566" t="s">
        <v>334</v>
      </c>
      <c r="I1245" s="327"/>
      <c r="J1245" s="567"/>
      <c r="K1245" s="327"/>
      <c r="L1245" s="567"/>
      <c r="M1245" s="327"/>
      <c r="N1245" s="23"/>
      <c r="O1245" s="24"/>
      <c r="P1245" s="563"/>
      <c r="Q1245" s="327"/>
      <c r="R1245" s="538"/>
      <c r="S1245" s="327"/>
      <c r="T1245" s="539"/>
      <c r="U1245" s="327"/>
      <c r="V1245" s="540"/>
      <c r="W1245" s="327"/>
      <c r="X1245" s="541" t="s">
        <v>303</v>
      </c>
      <c r="Y1245" s="326"/>
      <c r="Z1245" s="326"/>
      <c r="AA1245" s="327"/>
      <c r="AB1245" s="542" t="s">
        <v>303</v>
      </c>
      <c r="AC1245" s="326"/>
      <c r="AD1245" s="326"/>
      <c r="AE1245" s="327"/>
      <c r="AF1245" s="543"/>
      <c r="AG1245" s="327"/>
      <c r="AH1245" s="543"/>
      <c r="AI1245" s="327"/>
      <c r="AJ1245" s="536"/>
      <c r="AK1245" s="327"/>
      <c r="AL1245" s="537" t="s">
        <v>334</v>
      </c>
      <c r="AM1245" s="327"/>
      <c r="AN1245" s="546" t="s">
        <v>334</v>
      </c>
      <c r="AO1245" s="327"/>
      <c r="AP1245" s="547"/>
      <c r="AQ1245" s="327"/>
      <c r="AR1245" s="548"/>
      <c r="AS1245" s="327"/>
      <c r="AT1245" s="568"/>
      <c r="AU1245" s="327"/>
      <c r="AV1245" s="546" t="s">
        <v>334</v>
      </c>
      <c r="AW1245" s="327"/>
      <c r="AX1245" s="521"/>
      <c r="AY1245" s="326"/>
      <c r="AZ1245" s="327"/>
      <c r="BA1245" s="550"/>
      <c r="BB1245" s="327"/>
      <c r="BC1245" s="25"/>
      <c r="BD1245" s="544" t="s">
        <v>334</v>
      </c>
      <c r="BE1245" s="327"/>
      <c r="BF1245" s="545"/>
      <c r="BG1245" s="326"/>
      <c r="BH1245" s="326"/>
      <c r="BI1245" s="327"/>
      <c r="BJ1245" s="557" t="s">
        <v>303</v>
      </c>
      <c r="BK1245" s="326"/>
      <c r="BL1245" s="326"/>
      <c r="BM1245" s="327"/>
      <c r="BN1245" s="558" t="s">
        <v>303</v>
      </c>
      <c r="BO1245" s="326"/>
      <c r="BP1245" s="326"/>
      <c r="BQ1245" s="326"/>
      <c r="BR1245" s="326"/>
      <c r="BS1245" s="326"/>
      <c r="BT1245" s="326"/>
      <c r="BU1245" s="326"/>
      <c r="BV1245" s="327"/>
    </row>
    <row r="1246" spans="1:74" ht="45" customHeight="1" x14ac:dyDescent="0.25">
      <c r="A1246" s="10">
        <f t="shared" si="4"/>
        <v>1232</v>
      </c>
      <c r="B1246" s="564" t="s">
        <v>303</v>
      </c>
      <c r="C1246" s="327"/>
      <c r="D1246" s="565" t="s">
        <v>307</v>
      </c>
      <c r="E1246" s="327"/>
      <c r="F1246" s="537" t="s">
        <v>334</v>
      </c>
      <c r="G1246" s="327"/>
      <c r="H1246" s="561" t="s">
        <v>334</v>
      </c>
      <c r="I1246" s="327"/>
      <c r="J1246" s="562"/>
      <c r="K1246" s="327"/>
      <c r="L1246" s="562"/>
      <c r="M1246" s="327"/>
      <c r="N1246" s="20"/>
      <c r="O1246" s="21"/>
      <c r="P1246" s="524"/>
      <c r="Q1246" s="327"/>
      <c r="R1246" s="516"/>
      <c r="S1246" s="327"/>
      <c r="T1246" s="517"/>
      <c r="U1246" s="327"/>
      <c r="V1246" s="518"/>
      <c r="W1246" s="327"/>
      <c r="X1246" s="438" t="s">
        <v>303</v>
      </c>
      <c r="Y1246" s="326"/>
      <c r="Z1246" s="326"/>
      <c r="AA1246" s="327"/>
      <c r="AB1246" s="519" t="s">
        <v>303</v>
      </c>
      <c r="AC1246" s="326"/>
      <c r="AD1246" s="326"/>
      <c r="AE1246" s="327"/>
      <c r="AF1246" s="520"/>
      <c r="AG1246" s="327"/>
      <c r="AH1246" s="520"/>
      <c r="AI1246" s="327"/>
      <c r="AJ1246" s="536"/>
      <c r="AK1246" s="327"/>
      <c r="AL1246" s="556" t="s">
        <v>334</v>
      </c>
      <c r="AM1246" s="327"/>
      <c r="AN1246" s="553" t="s">
        <v>334</v>
      </c>
      <c r="AO1246" s="327"/>
      <c r="AP1246" s="554"/>
      <c r="AQ1246" s="327"/>
      <c r="AR1246" s="555"/>
      <c r="AS1246" s="327"/>
      <c r="AT1246" s="549"/>
      <c r="AU1246" s="327"/>
      <c r="AV1246" s="553" t="s">
        <v>334</v>
      </c>
      <c r="AW1246" s="327"/>
      <c r="AX1246" s="521"/>
      <c r="AY1246" s="326"/>
      <c r="AZ1246" s="327"/>
      <c r="BA1246" s="536"/>
      <c r="BB1246" s="327"/>
      <c r="BC1246" s="22"/>
      <c r="BD1246" s="551" t="s">
        <v>334</v>
      </c>
      <c r="BE1246" s="327"/>
      <c r="BF1246" s="552"/>
      <c r="BG1246" s="326"/>
      <c r="BH1246" s="326"/>
      <c r="BI1246" s="327"/>
      <c r="BJ1246" s="451" t="s">
        <v>303</v>
      </c>
      <c r="BK1246" s="326"/>
      <c r="BL1246" s="326"/>
      <c r="BM1246" s="327"/>
      <c r="BN1246" s="558" t="s">
        <v>303</v>
      </c>
      <c r="BO1246" s="326"/>
      <c r="BP1246" s="326"/>
      <c r="BQ1246" s="326"/>
      <c r="BR1246" s="326"/>
      <c r="BS1246" s="326"/>
      <c r="BT1246" s="326"/>
      <c r="BU1246" s="326"/>
      <c r="BV1246" s="327"/>
    </row>
    <row r="1247" spans="1:74" ht="45" customHeight="1" x14ac:dyDescent="0.25">
      <c r="A1247" s="10">
        <f t="shared" si="4"/>
        <v>1233</v>
      </c>
      <c r="B1247" s="559" t="s">
        <v>303</v>
      </c>
      <c r="C1247" s="327"/>
      <c r="D1247" s="560" t="s">
        <v>307</v>
      </c>
      <c r="E1247" s="327"/>
      <c r="F1247" s="537" t="s">
        <v>334</v>
      </c>
      <c r="G1247" s="327"/>
      <c r="H1247" s="566" t="s">
        <v>334</v>
      </c>
      <c r="I1247" s="327"/>
      <c r="J1247" s="567"/>
      <c r="K1247" s="327"/>
      <c r="L1247" s="567"/>
      <c r="M1247" s="327"/>
      <c r="N1247" s="23"/>
      <c r="O1247" s="24"/>
      <c r="P1247" s="563"/>
      <c r="Q1247" s="327"/>
      <c r="R1247" s="538"/>
      <c r="S1247" s="327"/>
      <c r="T1247" s="539"/>
      <c r="U1247" s="327"/>
      <c r="V1247" s="540"/>
      <c r="W1247" s="327"/>
      <c r="X1247" s="541" t="s">
        <v>303</v>
      </c>
      <c r="Y1247" s="326"/>
      <c r="Z1247" s="326"/>
      <c r="AA1247" s="327"/>
      <c r="AB1247" s="542" t="s">
        <v>303</v>
      </c>
      <c r="AC1247" s="326"/>
      <c r="AD1247" s="326"/>
      <c r="AE1247" s="327"/>
      <c r="AF1247" s="543"/>
      <c r="AG1247" s="327"/>
      <c r="AH1247" s="543"/>
      <c r="AI1247" s="327"/>
      <c r="AJ1247" s="536"/>
      <c r="AK1247" s="327"/>
      <c r="AL1247" s="537" t="s">
        <v>334</v>
      </c>
      <c r="AM1247" s="327"/>
      <c r="AN1247" s="546" t="s">
        <v>334</v>
      </c>
      <c r="AO1247" s="327"/>
      <c r="AP1247" s="547"/>
      <c r="AQ1247" s="327"/>
      <c r="AR1247" s="548"/>
      <c r="AS1247" s="327"/>
      <c r="AT1247" s="568"/>
      <c r="AU1247" s="327"/>
      <c r="AV1247" s="546" t="s">
        <v>334</v>
      </c>
      <c r="AW1247" s="327"/>
      <c r="AX1247" s="521"/>
      <c r="AY1247" s="326"/>
      <c r="AZ1247" s="327"/>
      <c r="BA1247" s="550"/>
      <c r="BB1247" s="327"/>
      <c r="BC1247" s="25"/>
      <c r="BD1247" s="544" t="s">
        <v>334</v>
      </c>
      <c r="BE1247" s="327"/>
      <c r="BF1247" s="545"/>
      <c r="BG1247" s="326"/>
      <c r="BH1247" s="326"/>
      <c r="BI1247" s="327"/>
      <c r="BJ1247" s="557" t="s">
        <v>303</v>
      </c>
      <c r="BK1247" s="326"/>
      <c r="BL1247" s="326"/>
      <c r="BM1247" s="327"/>
      <c r="BN1247" s="558" t="s">
        <v>303</v>
      </c>
      <c r="BO1247" s="326"/>
      <c r="BP1247" s="326"/>
      <c r="BQ1247" s="326"/>
      <c r="BR1247" s="326"/>
      <c r="BS1247" s="326"/>
      <c r="BT1247" s="326"/>
      <c r="BU1247" s="326"/>
      <c r="BV1247" s="327"/>
    </row>
    <row r="1248" spans="1:74" ht="45" customHeight="1" x14ac:dyDescent="0.25">
      <c r="A1248" s="10">
        <f t="shared" si="4"/>
        <v>1234</v>
      </c>
      <c r="B1248" s="564" t="s">
        <v>303</v>
      </c>
      <c r="C1248" s="327"/>
      <c r="D1248" s="565" t="s">
        <v>307</v>
      </c>
      <c r="E1248" s="327"/>
      <c r="F1248" s="537" t="s">
        <v>334</v>
      </c>
      <c r="G1248" s="327"/>
      <c r="H1248" s="561" t="s">
        <v>334</v>
      </c>
      <c r="I1248" s="327"/>
      <c r="J1248" s="562"/>
      <c r="K1248" s="327"/>
      <c r="L1248" s="562"/>
      <c r="M1248" s="327"/>
      <c r="N1248" s="20"/>
      <c r="O1248" s="21"/>
      <c r="P1248" s="524"/>
      <c r="Q1248" s="327"/>
      <c r="R1248" s="516"/>
      <c r="S1248" s="327"/>
      <c r="T1248" s="517"/>
      <c r="U1248" s="327"/>
      <c r="V1248" s="518"/>
      <c r="W1248" s="327"/>
      <c r="X1248" s="438" t="s">
        <v>303</v>
      </c>
      <c r="Y1248" s="326"/>
      <c r="Z1248" s="326"/>
      <c r="AA1248" s="327"/>
      <c r="AB1248" s="519" t="s">
        <v>303</v>
      </c>
      <c r="AC1248" s="326"/>
      <c r="AD1248" s="326"/>
      <c r="AE1248" s="327"/>
      <c r="AF1248" s="520"/>
      <c r="AG1248" s="327"/>
      <c r="AH1248" s="520"/>
      <c r="AI1248" s="327"/>
      <c r="AJ1248" s="536"/>
      <c r="AK1248" s="327"/>
      <c r="AL1248" s="556" t="s">
        <v>334</v>
      </c>
      <c r="AM1248" s="327"/>
      <c r="AN1248" s="553" t="s">
        <v>334</v>
      </c>
      <c r="AO1248" s="327"/>
      <c r="AP1248" s="554"/>
      <c r="AQ1248" s="327"/>
      <c r="AR1248" s="555"/>
      <c r="AS1248" s="327"/>
      <c r="AT1248" s="549"/>
      <c r="AU1248" s="327"/>
      <c r="AV1248" s="553" t="s">
        <v>334</v>
      </c>
      <c r="AW1248" s="327"/>
      <c r="AX1248" s="521"/>
      <c r="AY1248" s="326"/>
      <c r="AZ1248" s="327"/>
      <c r="BA1248" s="536"/>
      <c r="BB1248" s="327"/>
      <c r="BC1248" s="22"/>
      <c r="BD1248" s="551" t="s">
        <v>334</v>
      </c>
      <c r="BE1248" s="327"/>
      <c r="BF1248" s="552"/>
      <c r="BG1248" s="326"/>
      <c r="BH1248" s="326"/>
      <c r="BI1248" s="327"/>
      <c r="BJ1248" s="451" t="s">
        <v>303</v>
      </c>
      <c r="BK1248" s="326"/>
      <c r="BL1248" s="326"/>
      <c r="BM1248" s="327"/>
      <c r="BN1248" s="558" t="s">
        <v>303</v>
      </c>
      <c r="BO1248" s="326"/>
      <c r="BP1248" s="326"/>
      <c r="BQ1248" s="326"/>
      <c r="BR1248" s="326"/>
      <c r="BS1248" s="326"/>
      <c r="BT1248" s="326"/>
      <c r="BU1248" s="326"/>
      <c r="BV1248" s="327"/>
    </row>
    <row r="1249" spans="1:74" ht="45" customHeight="1" x14ac:dyDescent="0.25">
      <c r="A1249" s="10">
        <f t="shared" si="4"/>
        <v>1235</v>
      </c>
      <c r="B1249" s="559" t="s">
        <v>303</v>
      </c>
      <c r="C1249" s="327"/>
      <c r="D1249" s="560" t="s">
        <v>307</v>
      </c>
      <c r="E1249" s="327"/>
      <c r="F1249" s="537" t="s">
        <v>334</v>
      </c>
      <c r="G1249" s="327"/>
      <c r="H1249" s="566" t="s">
        <v>334</v>
      </c>
      <c r="I1249" s="327"/>
      <c r="J1249" s="567"/>
      <c r="K1249" s="327"/>
      <c r="L1249" s="567"/>
      <c r="M1249" s="327"/>
      <c r="N1249" s="23"/>
      <c r="O1249" s="24"/>
      <c r="P1249" s="563"/>
      <c r="Q1249" s="327"/>
      <c r="R1249" s="538"/>
      <c r="S1249" s="327"/>
      <c r="T1249" s="539"/>
      <c r="U1249" s="327"/>
      <c r="V1249" s="540"/>
      <c r="W1249" s="327"/>
      <c r="X1249" s="541" t="s">
        <v>303</v>
      </c>
      <c r="Y1249" s="326"/>
      <c r="Z1249" s="326"/>
      <c r="AA1249" s="327"/>
      <c r="AB1249" s="542" t="s">
        <v>303</v>
      </c>
      <c r="AC1249" s="326"/>
      <c r="AD1249" s="326"/>
      <c r="AE1249" s="327"/>
      <c r="AF1249" s="543"/>
      <c r="AG1249" s="327"/>
      <c r="AH1249" s="543"/>
      <c r="AI1249" s="327"/>
      <c r="AJ1249" s="536"/>
      <c r="AK1249" s="327"/>
      <c r="AL1249" s="537" t="s">
        <v>334</v>
      </c>
      <c r="AM1249" s="327"/>
      <c r="AN1249" s="546" t="s">
        <v>334</v>
      </c>
      <c r="AO1249" s="327"/>
      <c r="AP1249" s="547"/>
      <c r="AQ1249" s="327"/>
      <c r="AR1249" s="548"/>
      <c r="AS1249" s="327"/>
      <c r="AT1249" s="568"/>
      <c r="AU1249" s="327"/>
      <c r="AV1249" s="546" t="s">
        <v>334</v>
      </c>
      <c r="AW1249" s="327"/>
      <c r="AX1249" s="521"/>
      <c r="AY1249" s="326"/>
      <c r="AZ1249" s="327"/>
      <c r="BA1249" s="550"/>
      <c r="BB1249" s="327"/>
      <c r="BC1249" s="25"/>
      <c r="BD1249" s="544" t="s">
        <v>334</v>
      </c>
      <c r="BE1249" s="327"/>
      <c r="BF1249" s="545"/>
      <c r="BG1249" s="326"/>
      <c r="BH1249" s="326"/>
      <c r="BI1249" s="327"/>
      <c r="BJ1249" s="557" t="s">
        <v>303</v>
      </c>
      <c r="BK1249" s="326"/>
      <c r="BL1249" s="326"/>
      <c r="BM1249" s="327"/>
      <c r="BN1249" s="558" t="s">
        <v>303</v>
      </c>
      <c r="BO1249" s="326"/>
      <c r="BP1249" s="326"/>
      <c r="BQ1249" s="326"/>
      <c r="BR1249" s="326"/>
      <c r="BS1249" s="326"/>
      <c r="BT1249" s="326"/>
      <c r="BU1249" s="326"/>
      <c r="BV1249" s="327"/>
    </row>
    <row r="1250" spans="1:74" ht="45" customHeight="1" x14ac:dyDescent="0.25">
      <c r="A1250" s="10">
        <f t="shared" si="4"/>
        <v>1236</v>
      </c>
      <c r="B1250" s="564" t="s">
        <v>303</v>
      </c>
      <c r="C1250" s="327"/>
      <c r="D1250" s="565" t="s">
        <v>307</v>
      </c>
      <c r="E1250" s="327"/>
      <c r="F1250" s="537" t="s">
        <v>334</v>
      </c>
      <c r="G1250" s="327"/>
      <c r="H1250" s="561" t="s">
        <v>334</v>
      </c>
      <c r="I1250" s="327"/>
      <c r="J1250" s="562"/>
      <c r="K1250" s="327"/>
      <c r="L1250" s="562"/>
      <c r="M1250" s="327"/>
      <c r="N1250" s="20"/>
      <c r="O1250" s="21"/>
      <c r="P1250" s="524"/>
      <c r="Q1250" s="327"/>
      <c r="R1250" s="516"/>
      <c r="S1250" s="327"/>
      <c r="T1250" s="517"/>
      <c r="U1250" s="327"/>
      <c r="V1250" s="518"/>
      <c r="W1250" s="327"/>
      <c r="X1250" s="438" t="s">
        <v>303</v>
      </c>
      <c r="Y1250" s="326"/>
      <c r="Z1250" s="326"/>
      <c r="AA1250" s="327"/>
      <c r="AB1250" s="519" t="s">
        <v>303</v>
      </c>
      <c r="AC1250" s="326"/>
      <c r="AD1250" s="326"/>
      <c r="AE1250" s="327"/>
      <c r="AF1250" s="520"/>
      <c r="AG1250" s="327"/>
      <c r="AH1250" s="520"/>
      <c r="AI1250" s="327"/>
      <c r="AJ1250" s="536"/>
      <c r="AK1250" s="327"/>
      <c r="AL1250" s="556" t="s">
        <v>334</v>
      </c>
      <c r="AM1250" s="327"/>
      <c r="AN1250" s="553" t="s">
        <v>334</v>
      </c>
      <c r="AO1250" s="327"/>
      <c r="AP1250" s="554"/>
      <c r="AQ1250" s="327"/>
      <c r="AR1250" s="555"/>
      <c r="AS1250" s="327"/>
      <c r="AT1250" s="549"/>
      <c r="AU1250" s="327"/>
      <c r="AV1250" s="553" t="s">
        <v>334</v>
      </c>
      <c r="AW1250" s="327"/>
      <c r="AX1250" s="521"/>
      <c r="AY1250" s="326"/>
      <c r="AZ1250" s="327"/>
      <c r="BA1250" s="536"/>
      <c r="BB1250" s="327"/>
      <c r="BC1250" s="22"/>
      <c r="BD1250" s="551" t="s">
        <v>334</v>
      </c>
      <c r="BE1250" s="327"/>
      <c r="BF1250" s="508"/>
      <c r="BG1250" s="326"/>
      <c r="BH1250" s="326"/>
      <c r="BI1250" s="327"/>
      <c r="BJ1250" s="451" t="s">
        <v>303</v>
      </c>
      <c r="BK1250" s="326"/>
      <c r="BL1250" s="326"/>
      <c r="BM1250" s="327"/>
      <c r="BN1250" s="558" t="s">
        <v>303</v>
      </c>
      <c r="BO1250" s="326"/>
      <c r="BP1250" s="326"/>
      <c r="BQ1250" s="326"/>
      <c r="BR1250" s="326"/>
      <c r="BS1250" s="326"/>
      <c r="BT1250" s="326"/>
      <c r="BU1250" s="326"/>
      <c r="BV1250" s="327"/>
    </row>
    <row r="1251" spans="1:74" ht="45" customHeight="1" x14ac:dyDescent="0.25">
      <c r="A1251" s="10">
        <f t="shared" si="4"/>
        <v>1237</v>
      </c>
      <c r="B1251" s="559" t="s">
        <v>303</v>
      </c>
      <c r="C1251" s="327"/>
      <c r="D1251" s="560" t="s">
        <v>307</v>
      </c>
      <c r="E1251" s="327"/>
      <c r="F1251" s="537" t="s">
        <v>334</v>
      </c>
      <c r="G1251" s="327"/>
      <c r="H1251" s="566" t="s">
        <v>334</v>
      </c>
      <c r="I1251" s="327"/>
      <c r="J1251" s="567"/>
      <c r="K1251" s="327"/>
      <c r="L1251" s="567"/>
      <c r="M1251" s="327"/>
      <c r="N1251" s="23"/>
      <c r="O1251" s="24"/>
      <c r="P1251" s="563"/>
      <c r="Q1251" s="327"/>
      <c r="R1251" s="538"/>
      <c r="S1251" s="327"/>
      <c r="T1251" s="539"/>
      <c r="U1251" s="327"/>
      <c r="V1251" s="540"/>
      <c r="W1251" s="327"/>
      <c r="X1251" s="541" t="s">
        <v>303</v>
      </c>
      <c r="Y1251" s="326"/>
      <c r="Z1251" s="326"/>
      <c r="AA1251" s="327"/>
      <c r="AB1251" s="542" t="s">
        <v>303</v>
      </c>
      <c r="AC1251" s="326"/>
      <c r="AD1251" s="326"/>
      <c r="AE1251" s="327"/>
      <c r="AF1251" s="543"/>
      <c r="AG1251" s="327"/>
      <c r="AH1251" s="543"/>
      <c r="AI1251" s="327"/>
      <c r="AJ1251" s="536"/>
      <c r="AK1251" s="327"/>
      <c r="AL1251" s="537" t="s">
        <v>334</v>
      </c>
      <c r="AM1251" s="327"/>
      <c r="AN1251" s="546" t="s">
        <v>334</v>
      </c>
      <c r="AO1251" s="327"/>
      <c r="AP1251" s="547"/>
      <c r="AQ1251" s="327"/>
      <c r="AR1251" s="548"/>
      <c r="AS1251" s="327"/>
      <c r="AT1251" s="568"/>
      <c r="AU1251" s="327"/>
      <c r="AV1251" s="546" t="s">
        <v>334</v>
      </c>
      <c r="AW1251" s="327"/>
      <c r="AX1251" s="521"/>
      <c r="AY1251" s="326"/>
      <c r="AZ1251" s="327"/>
      <c r="BA1251" s="550"/>
      <c r="BB1251" s="327"/>
      <c r="BC1251" s="25"/>
      <c r="BD1251" s="544" t="s">
        <v>334</v>
      </c>
      <c r="BE1251" s="327"/>
      <c r="BF1251" s="545"/>
      <c r="BG1251" s="326"/>
      <c r="BH1251" s="326"/>
      <c r="BI1251" s="327"/>
      <c r="BJ1251" s="557" t="s">
        <v>303</v>
      </c>
      <c r="BK1251" s="326"/>
      <c r="BL1251" s="326"/>
      <c r="BM1251" s="327"/>
      <c r="BN1251" s="558" t="s">
        <v>303</v>
      </c>
      <c r="BO1251" s="326"/>
      <c r="BP1251" s="326"/>
      <c r="BQ1251" s="326"/>
      <c r="BR1251" s="326"/>
      <c r="BS1251" s="326"/>
      <c r="BT1251" s="326"/>
      <c r="BU1251" s="326"/>
      <c r="BV1251" s="327"/>
    </row>
    <row r="1252" spans="1:74" ht="45" customHeight="1" x14ac:dyDescent="0.25">
      <c r="A1252" s="10">
        <f t="shared" si="4"/>
        <v>1238</v>
      </c>
      <c r="B1252" s="564" t="s">
        <v>303</v>
      </c>
      <c r="C1252" s="327"/>
      <c r="D1252" s="565" t="s">
        <v>307</v>
      </c>
      <c r="E1252" s="327"/>
      <c r="F1252" s="537" t="s">
        <v>334</v>
      </c>
      <c r="G1252" s="327"/>
      <c r="H1252" s="561" t="s">
        <v>334</v>
      </c>
      <c r="I1252" s="327"/>
      <c r="J1252" s="562"/>
      <c r="K1252" s="327"/>
      <c r="L1252" s="562"/>
      <c r="M1252" s="327"/>
      <c r="N1252" s="20"/>
      <c r="O1252" s="21"/>
      <c r="P1252" s="524"/>
      <c r="Q1252" s="327"/>
      <c r="R1252" s="516"/>
      <c r="S1252" s="327"/>
      <c r="T1252" s="517"/>
      <c r="U1252" s="327"/>
      <c r="V1252" s="518"/>
      <c r="W1252" s="327"/>
      <c r="X1252" s="438" t="s">
        <v>303</v>
      </c>
      <c r="Y1252" s="326"/>
      <c r="Z1252" s="326"/>
      <c r="AA1252" s="327"/>
      <c r="AB1252" s="519" t="s">
        <v>303</v>
      </c>
      <c r="AC1252" s="326"/>
      <c r="AD1252" s="326"/>
      <c r="AE1252" s="327"/>
      <c r="AF1252" s="520"/>
      <c r="AG1252" s="327"/>
      <c r="AH1252" s="520"/>
      <c r="AI1252" s="327"/>
      <c r="AJ1252" s="536"/>
      <c r="AK1252" s="327"/>
      <c r="AL1252" s="556" t="s">
        <v>334</v>
      </c>
      <c r="AM1252" s="327"/>
      <c r="AN1252" s="553" t="s">
        <v>334</v>
      </c>
      <c r="AO1252" s="327"/>
      <c r="AP1252" s="554"/>
      <c r="AQ1252" s="327"/>
      <c r="AR1252" s="555"/>
      <c r="AS1252" s="327"/>
      <c r="AT1252" s="549"/>
      <c r="AU1252" s="327"/>
      <c r="AV1252" s="553" t="s">
        <v>334</v>
      </c>
      <c r="AW1252" s="327"/>
      <c r="AX1252" s="521"/>
      <c r="AY1252" s="326"/>
      <c r="AZ1252" s="327"/>
      <c r="BA1252" s="536"/>
      <c r="BB1252" s="327"/>
      <c r="BC1252" s="22"/>
      <c r="BD1252" s="551" t="s">
        <v>334</v>
      </c>
      <c r="BE1252" s="327"/>
      <c r="BF1252" s="552"/>
      <c r="BG1252" s="326"/>
      <c r="BH1252" s="326"/>
      <c r="BI1252" s="327"/>
      <c r="BJ1252" s="451" t="s">
        <v>303</v>
      </c>
      <c r="BK1252" s="326"/>
      <c r="BL1252" s="326"/>
      <c r="BM1252" s="327"/>
      <c r="BN1252" s="558" t="s">
        <v>303</v>
      </c>
      <c r="BO1252" s="326"/>
      <c r="BP1252" s="326"/>
      <c r="BQ1252" s="326"/>
      <c r="BR1252" s="326"/>
      <c r="BS1252" s="326"/>
      <c r="BT1252" s="326"/>
      <c r="BU1252" s="326"/>
      <c r="BV1252" s="327"/>
    </row>
    <row r="1253" spans="1:74" ht="45" customHeight="1" x14ac:dyDescent="0.25">
      <c r="A1253" s="10">
        <f t="shared" si="4"/>
        <v>1239</v>
      </c>
      <c r="B1253" s="559" t="s">
        <v>303</v>
      </c>
      <c r="C1253" s="327"/>
      <c r="D1253" s="560" t="s">
        <v>307</v>
      </c>
      <c r="E1253" s="327"/>
      <c r="F1253" s="537" t="s">
        <v>334</v>
      </c>
      <c r="G1253" s="327"/>
      <c r="H1253" s="566" t="s">
        <v>334</v>
      </c>
      <c r="I1253" s="327"/>
      <c r="J1253" s="567"/>
      <c r="K1253" s="327"/>
      <c r="L1253" s="567"/>
      <c r="M1253" s="327"/>
      <c r="N1253" s="23"/>
      <c r="O1253" s="24"/>
      <c r="P1253" s="563"/>
      <c r="Q1253" s="327"/>
      <c r="R1253" s="538"/>
      <c r="S1253" s="327"/>
      <c r="T1253" s="539"/>
      <c r="U1253" s="327"/>
      <c r="V1253" s="540"/>
      <c r="W1253" s="327"/>
      <c r="X1253" s="541" t="s">
        <v>303</v>
      </c>
      <c r="Y1253" s="326"/>
      <c r="Z1253" s="326"/>
      <c r="AA1253" s="327"/>
      <c r="AB1253" s="542" t="s">
        <v>303</v>
      </c>
      <c r="AC1253" s="326"/>
      <c r="AD1253" s="326"/>
      <c r="AE1253" s="327"/>
      <c r="AF1253" s="543"/>
      <c r="AG1253" s="327"/>
      <c r="AH1253" s="543"/>
      <c r="AI1253" s="327"/>
      <c r="AJ1253" s="536"/>
      <c r="AK1253" s="327"/>
      <c r="AL1253" s="537" t="s">
        <v>334</v>
      </c>
      <c r="AM1253" s="327"/>
      <c r="AN1253" s="546" t="s">
        <v>334</v>
      </c>
      <c r="AO1253" s="327"/>
      <c r="AP1253" s="547"/>
      <c r="AQ1253" s="327"/>
      <c r="AR1253" s="548"/>
      <c r="AS1253" s="327"/>
      <c r="AT1253" s="549"/>
      <c r="AU1253" s="327"/>
      <c r="AV1253" s="546" t="s">
        <v>334</v>
      </c>
      <c r="AW1253" s="327"/>
      <c r="AX1253" s="521"/>
      <c r="AY1253" s="326"/>
      <c r="AZ1253" s="327"/>
      <c r="BA1253" s="550"/>
      <c r="BB1253" s="327"/>
      <c r="BC1253" s="25"/>
      <c r="BD1253" s="544" t="s">
        <v>334</v>
      </c>
      <c r="BE1253" s="327"/>
      <c r="BF1253" s="545"/>
      <c r="BG1253" s="326"/>
      <c r="BH1253" s="326"/>
      <c r="BI1253" s="327"/>
      <c r="BJ1253" s="557" t="s">
        <v>303</v>
      </c>
      <c r="BK1253" s="326"/>
      <c r="BL1253" s="326"/>
      <c r="BM1253" s="327"/>
      <c r="BN1253" s="558" t="s">
        <v>303</v>
      </c>
      <c r="BO1253" s="326"/>
      <c r="BP1253" s="326"/>
      <c r="BQ1253" s="326"/>
      <c r="BR1253" s="326"/>
      <c r="BS1253" s="326"/>
      <c r="BT1253" s="326"/>
      <c r="BU1253" s="326"/>
      <c r="BV1253" s="327"/>
    </row>
    <row r="1254" spans="1:74" ht="45" customHeight="1" x14ac:dyDescent="0.25">
      <c r="A1254" s="10">
        <f t="shared" si="4"/>
        <v>1240</v>
      </c>
      <c r="B1254" s="564" t="s">
        <v>303</v>
      </c>
      <c r="C1254" s="327"/>
      <c r="D1254" s="565" t="s">
        <v>307</v>
      </c>
      <c r="E1254" s="327"/>
      <c r="F1254" s="537" t="s">
        <v>334</v>
      </c>
      <c r="G1254" s="327"/>
      <c r="H1254" s="561" t="s">
        <v>334</v>
      </c>
      <c r="I1254" s="327"/>
      <c r="J1254" s="562"/>
      <c r="K1254" s="327"/>
      <c r="L1254" s="562"/>
      <c r="M1254" s="327"/>
      <c r="N1254" s="20"/>
      <c r="O1254" s="21"/>
      <c r="P1254" s="524"/>
      <c r="Q1254" s="327"/>
      <c r="R1254" s="516"/>
      <c r="S1254" s="327"/>
      <c r="T1254" s="517"/>
      <c r="U1254" s="327"/>
      <c r="V1254" s="518"/>
      <c r="W1254" s="327"/>
      <c r="X1254" s="438" t="s">
        <v>303</v>
      </c>
      <c r="Y1254" s="326"/>
      <c r="Z1254" s="326"/>
      <c r="AA1254" s="327"/>
      <c r="AB1254" s="519" t="s">
        <v>303</v>
      </c>
      <c r="AC1254" s="326"/>
      <c r="AD1254" s="326"/>
      <c r="AE1254" s="327"/>
      <c r="AF1254" s="520"/>
      <c r="AG1254" s="327"/>
      <c r="AH1254" s="520"/>
      <c r="AI1254" s="327"/>
      <c r="AJ1254" s="536"/>
      <c r="AK1254" s="327"/>
      <c r="AL1254" s="556" t="s">
        <v>334</v>
      </c>
      <c r="AM1254" s="327"/>
      <c r="AN1254" s="553" t="s">
        <v>334</v>
      </c>
      <c r="AO1254" s="327"/>
      <c r="AP1254" s="554"/>
      <c r="AQ1254" s="327"/>
      <c r="AR1254" s="555"/>
      <c r="AS1254" s="327"/>
      <c r="AT1254" s="549"/>
      <c r="AU1254" s="327"/>
      <c r="AV1254" s="553" t="s">
        <v>334</v>
      </c>
      <c r="AW1254" s="327"/>
      <c r="AX1254" s="521"/>
      <c r="AY1254" s="326"/>
      <c r="AZ1254" s="327"/>
      <c r="BA1254" s="536"/>
      <c r="BB1254" s="327"/>
      <c r="BC1254" s="22"/>
      <c r="BD1254" s="551" t="s">
        <v>334</v>
      </c>
      <c r="BE1254" s="327"/>
      <c r="BF1254" s="552"/>
      <c r="BG1254" s="326"/>
      <c r="BH1254" s="326"/>
      <c r="BI1254" s="327"/>
      <c r="BJ1254" s="451" t="s">
        <v>303</v>
      </c>
      <c r="BK1254" s="326"/>
      <c r="BL1254" s="326"/>
      <c r="BM1254" s="327"/>
      <c r="BN1254" s="558" t="s">
        <v>303</v>
      </c>
      <c r="BO1254" s="326"/>
      <c r="BP1254" s="326"/>
      <c r="BQ1254" s="326"/>
      <c r="BR1254" s="326"/>
      <c r="BS1254" s="326"/>
      <c r="BT1254" s="326"/>
      <c r="BU1254" s="326"/>
      <c r="BV1254" s="327"/>
    </row>
    <row r="1255" spans="1:74" ht="45" customHeight="1" x14ac:dyDescent="0.25">
      <c r="A1255" s="10">
        <f t="shared" si="4"/>
        <v>1241</v>
      </c>
      <c r="B1255" s="559" t="s">
        <v>303</v>
      </c>
      <c r="C1255" s="327"/>
      <c r="D1255" s="560" t="s">
        <v>307</v>
      </c>
      <c r="E1255" s="327"/>
      <c r="F1255" s="537" t="s">
        <v>334</v>
      </c>
      <c r="G1255" s="327"/>
      <c r="H1255" s="566" t="s">
        <v>334</v>
      </c>
      <c r="I1255" s="327"/>
      <c r="J1255" s="567"/>
      <c r="K1255" s="327"/>
      <c r="L1255" s="567"/>
      <c r="M1255" s="327"/>
      <c r="N1255" s="23"/>
      <c r="O1255" s="24"/>
      <c r="P1255" s="563"/>
      <c r="Q1255" s="327"/>
      <c r="R1255" s="538"/>
      <c r="S1255" s="327"/>
      <c r="T1255" s="539"/>
      <c r="U1255" s="327"/>
      <c r="V1255" s="540"/>
      <c r="W1255" s="327"/>
      <c r="X1255" s="541" t="s">
        <v>303</v>
      </c>
      <c r="Y1255" s="326"/>
      <c r="Z1255" s="326"/>
      <c r="AA1255" s="327"/>
      <c r="AB1255" s="542" t="s">
        <v>303</v>
      </c>
      <c r="AC1255" s="326"/>
      <c r="AD1255" s="326"/>
      <c r="AE1255" s="327"/>
      <c r="AF1255" s="543"/>
      <c r="AG1255" s="327"/>
      <c r="AH1255" s="543"/>
      <c r="AI1255" s="327"/>
      <c r="AJ1255" s="536"/>
      <c r="AK1255" s="327"/>
      <c r="AL1255" s="537" t="s">
        <v>334</v>
      </c>
      <c r="AM1255" s="327"/>
      <c r="AN1255" s="546" t="s">
        <v>334</v>
      </c>
      <c r="AO1255" s="327"/>
      <c r="AP1255" s="547"/>
      <c r="AQ1255" s="327"/>
      <c r="AR1255" s="548"/>
      <c r="AS1255" s="327"/>
      <c r="AT1255" s="549"/>
      <c r="AU1255" s="327"/>
      <c r="AV1255" s="546" t="s">
        <v>334</v>
      </c>
      <c r="AW1255" s="327"/>
      <c r="AX1255" s="521"/>
      <c r="AY1255" s="326"/>
      <c r="AZ1255" s="327"/>
      <c r="BA1255" s="550"/>
      <c r="BB1255" s="327"/>
      <c r="BC1255" s="25"/>
      <c r="BD1255" s="544" t="s">
        <v>334</v>
      </c>
      <c r="BE1255" s="327"/>
      <c r="BF1255" s="545"/>
      <c r="BG1255" s="326"/>
      <c r="BH1255" s="326"/>
      <c r="BI1255" s="327"/>
      <c r="BJ1255" s="557" t="s">
        <v>303</v>
      </c>
      <c r="BK1255" s="326"/>
      <c r="BL1255" s="326"/>
      <c r="BM1255" s="327"/>
      <c r="BN1255" s="558" t="s">
        <v>303</v>
      </c>
      <c r="BO1255" s="326"/>
      <c r="BP1255" s="326"/>
      <c r="BQ1255" s="326"/>
      <c r="BR1255" s="326"/>
      <c r="BS1255" s="326"/>
      <c r="BT1255" s="326"/>
      <c r="BU1255" s="326"/>
      <c r="BV1255" s="327"/>
    </row>
    <row r="1256" spans="1:74" ht="45" customHeight="1" x14ac:dyDescent="0.25">
      <c r="A1256" s="10">
        <f t="shared" si="4"/>
        <v>1242</v>
      </c>
      <c r="B1256" s="564" t="s">
        <v>303</v>
      </c>
      <c r="C1256" s="327"/>
      <c r="D1256" s="565" t="s">
        <v>307</v>
      </c>
      <c r="E1256" s="327"/>
      <c r="F1256" s="537" t="s">
        <v>334</v>
      </c>
      <c r="G1256" s="327"/>
      <c r="H1256" s="561" t="s">
        <v>334</v>
      </c>
      <c r="I1256" s="327"/>
      <c r="J1256" s="562"/>
      <c r="K1256" s="327"/>
      <c r="L1256" s="562"/>
      <c r="M1256" s="327"/>
      <c r="N1256" s="20"/>
      <c r="O1256" s="21"/>
      <c r="P1256" s="524"/>
      <c r="Q1256" s="327"/>
      <c r="R1256" s="516"/>
      <c r="S1256" s="327"/>
      <c r="T1256" s="517"/>
      <c r="U1256" s="327"/>
      <c r="V1256" s="518"/>
      <c r="W1256" s="327"/>
      <c r="X1256" s="438" t="s">
        <v>303</v>
      </c>
      <c r="Y1256" s="326"/>
      <c r="Z1256" s="326"/>
      <c r="AA1256" s="327"/>
      <c r="AB1256" s="519" t="s">
        <v>303</v>
      </c>
      <c r="AC1256" s="326"/>
      <c r="AD1256" s="326"/>
      <c r="AE1256" s="327"/>
      <c r="AF1256" s="520"/>
      <c r="AG1256" s="327"/>
      <c r="AH1256" s="520"/>
      <c r="AI1256" s="327"/>
      <c r="AJ1256" s="536"/>
      <c r="AK1256" s="327"/>
      <c r="AL1256" s="556" t="s">
        <v>334</v>
      </c>
      <c r="AM1256" s="327"/>
      <c r="AN1256" s="553" t="s">
        <v>334</v>
      </c>
      <c r="AO1256" s="327"/>
      <c r="AP1256" s="554"/>
      <c r="AQ1256" s="327"/>
      <c r="AR1256" s="555"/>
      <c r="AS1256" s="327"/>
      <c r="AT1256" s="549"/>
      <c r="AU1256" s="327"/>
      <c r="AV1256" s="553" t="s">
        <v>334</v>
      </c>
      <c r="AW1256" s="327"/>
      <c r="AX1256" s="521"/>
      <c r="AY1256" s="326"/>
      <c r="AZ1256" s="327"/>
      <c r="BA1256" s="536"/>
      <c r="BB1256" s="327"/>
      <c r="BC1256" s="22"/>
      <c r="BD1256" s="551" t="s">
        <v>334</v>
      </c>
      <c r="BE1256" s="327"/>
      <c r="BF1256" s="552"/>
      <c r="BG1256" s="326"/>
      <c r="BH1256" s="326"/>
      <c r="BI1256" s="327"/>
      <c r="BJ1256" s="451" t="s">
        <v>303</v>
      </c>
      <c r="BK1256" s="326"/>
      <c r="BL1256" s="326"/>
      <c r="BM1256" s="327"/>
      <c r="BN1256" s="558" t="s">
        <v>303</v>
      </c>
      <c r="BO1256" s="326"/>
      <c r="BP1256" s="326"/>
      <c r="BQ1256" s="326"/>
      <c r="BR1256" s="326"/>
      <c r="BS1256" s="326"/>
      <c r="BT1256" s="326"/>
      <c r="BU1256" s="326"/>
      <c r="BV1256" s="327"/>
    </row>
    <row r="1257" spans="1:74" ht="45" customHeight="1" x14ac:dyDescent="0.25">
      <c r="A1257" s="10">
        <f t="shared" si="4"/>
        <v>1243</v>
      </c>
      <c r="B1257" s="559" t="s">
        <v>303</v>
      </c>
      <c r="C1257" s="327"/>
      <c r="D1257" s="560" t="s">
        <v>307</v>
      </c>
      <c r="E1257" s="327"/>
      <c r="F1257" s="537" t="s">
        <v>334</v>
      </c>
      <c r="G1257" s="327"/>
      <c r="H1257" s="566" t="s">
        <v>334</v>
      </c>
      <c r="I1257" s="327"/>
      <c r="J1257" s="567"/>
      <c r="K1257" s="327"/>
      <c r="L1257" s="567"/>
      <c r="M1257" s="327"/>
      <c r="N1257" s="23"/>
      <c r="O1257" s="24"/>
      <c r="P1257" s="563"/>
      <c r="Q1257" s="327"/>
      <c r="R1257" s="538"/>
      <c r="S1257" s="327"/>
      <c r="T1257" s="539"/>
      <c r="U1257" s="327"/>
      <c r="V1257" s="540"/>
      <c r="W1257" s="327"/>
      <c r="X1257" s="541" t="s">
        <v>303</v>
      </c>
      <c r="Y1257" s="326"/>
      <c r="Z1257" s="326"/>
      <c r="AA1257" s="327"/>
      <c r="AB1257" s="542" t="s">
        <v>303</v>
      </c>
      <c r="AC1257" s="326"/>
      <c r="AD1257" s="326"/>
      <c r="AE1257" s="327"/>
      <c r="AF1257" s="543"/>
      <c r="AG1257" s="327"/>
      <c r="AH1257" s="543"/>
      <c r="AI1257" s="327"/>
      <c r="AJ1257" s="536"/>
      <c r="AK1257" s="327"/>
      <c r="AL1257" s="537" t="s">
        <v>334</v>
      </c>
      <c r="AM1257" s="327"/>
      <c r="AN1257" s="546" t="s">
        <v>334</v>
      </c>
      <c r="AO1257" s="327"/>
      <c r="AP1257" s="547"/>
      <c r="AQ1257" s="327"/>
      <c r="AR1257" s="548"/>
      <c r="AS1257" s="327"/>
      <c r="AT1257" s="568"/>
      <c r="AU1257" s="327"/>
      <c r="AV1257" s="546" t="s">
        <v>334</v>
      </c>
      <c r="AW1257" s="327"/>
      <c r="AX1257" s="521"/>
      <c r="AY1257" s="326"/>
      <c r="AZ1257" s="327"/>
      <c r="BA1257" s="550"/>
      <c r="BB1257" s="327"/>
      <c r="BC1257" s="25"/>
      <c r="BD1257" s="544" t="s">
        <v>334</v>
      </c>
      <c r="BE1257" s="327"/>
      <c r="BF1257" s="545"/>
      <c r="BG1257" s="326"/>
      <c r="BH1257" s="326"/>
      <c r="BI1257" s="327"/>
      <c r="BJ1257" s="557" t="s">
        <v>303</v>
      </c>
      <c r="BK1257" s="326"/>
      <c r="BL1257" s="326"/>
      <c r="BM1257" s="327"/>
      <c r="BN1257" s="558" t="s">
        <v>303</v>
      </c>
      <c r="BO1257" s="326"/>
      <c r="BP1257" s="326"/>
      <c r="BQ1257" s="326"/>
      <c r="BR1257" s="326"/>
      <c r="BS1257" s="326"/>
      <c r="BT1257" s="326"/>
      <c r="BU1257" s="326"/>
      <c r="BV1257" s="327"/>
    </row>
    <row r="1258" spans="1:74" ht="45" customHeight="1" x14ac:dyDescent="0.25">
      <c r="A1258" s="10">
        <f t="shared" si="4"/>
        <v>1244</v>
      </c>
      <c r="B1258" s="564" t="s">
        <v>303</v>
      </c>
      <c r="C1258" s="327"/>
      <c r="D1258" s="565" t="s">
        <v>307</v>
      </c>
      <c r="E1258" s="327"/>
      <c r="F1258" s="537" t="s">
        <v>334</v>
      </c>
      <c r="G1258" s="327"/>
      <c r="H1258" s="561" t="s">
        <v>334</v>
      </c>
      <c r="I1258" s="327"/>
      <c r="J1258" s="562"/>
      <c r="K1258" s="327"/>
      <c r="L1258" s="562"/>
      <c r="M1258" s="327"/>
      <c r="N1258" s="20"/>
      <c r="O1258" s="21"/>
      <c r="P1258" s="524"/>
      <c r="Q1258" s="327"/>
      <c r="R1258" s="516"/>
      <c r="S1258" s="327"/>
      <c r="T1258" s="517"/>
      <c r="U1258" s="327"/>
      <c r="V1258" s="518"/>
      <c r="W1258" s="327"/>
      <c r="X1258" s="438" t="s">
        <v>303</v>
      </c>
      <c r="Y1258" s="326"/>
      <c r="Z1258" s="326"/>
      <c r="AA1258" s="327"/>
      <c r="AB1258" s="519" t="s">
        <v>303</v>
      </c>
      <c r="AC1258" s="326"/>
      <c r="AD1258" s="326"/>
      <c r="AE1258" s="327"/>
      <c r="AF1258" s="520"/>
      <c r="AG1258" s="327"/>
      <c r="AH1258" s="520"/>
      <c r="AI1258" s="327"/>
      <c r="AJ1258" s="536"/>
      <c r="AK1258" s="327"/>
      <c r="AL1258" s="556" t="s">
        <v>334</v>
      </c>
      <c r="AM1258" s="327"/>
      <c r="AN1258" s="553" t="s">
        <v>334</v>
      </c>
      <c r="AO1258" s="327"/>
      <c r="AP1258" s="554"/>
      <c r="AQ1258" s="327"/>
      <c r="AR1258" s="555"/>
      <c r="AS1258" s="327"/>
      <c r="AT1258" s="549"/>
      <c r="AU1258" s="327"/>
      <c r="AV1258" s="553" t="s">
        <v>334</v>
      </c>
      <c r="AW1258" s="327"/>
      <c r="AX1258" s="521"/>
      <c r="AY1258" s="326"/>
      <c r="AZ1258" s="327"/>
      <c r="BA1258" s="536"/>
      <c r="BB1258" s="327"/>
      <c r="BC1258" s="22"/>
      <c r="BD1258" s="551" t="s">
        <v>334</v>
      </c>
      <c r="BE1258" s="327"/>
      <c r="BF1258" s="508"/>
      <c r="BG1258" s="326"/>
      <c r="BH1258" s="326"/>
      <c r="BI1258" s="327"/>
      <c r="BJ1258" s="451" t="s">
        <v>303</v>
      </c>
      <c r="BK1258" s="326"/>
      <c r="BL1258" s="326"/>
      <c r="BM1258" s="327"/>
      <c r="BN1258" s="558" t="s">
        <v>303</v>
      </c>
      <c r="BO1258" s="326"/>
      <c r="BP1258" s="326"/>
      <c r="BQ1258" s="326"/>
      <c r="BR1258" s="326"/>
      <c r="BS1258" s="326"/>
      <c r="BT1258" s="326"/>
      <c r="BU1258" s="326"/>
      <c r="BV1258" s="327"/>
    </row>
    <row r="1259" spans="1:74" ht="45" customHeight="1" x14ac:dyDescent="0.25">
      <c r="A1259" s="10">
        <f t="shared" si="4"/>
        <v>1245</v>
      </c>
      <c r="B1259" s="559" t="s">
        <v>303</v>
      </c>
      <c r="C1259" s="327"/>
      <c r="D1259" s="560" t="s">
        <v>307</v>
      </c>
      <c r="E1259" s="327"/>
      <c r="F1259" s="537" t="s">
        <v>334</v>
      </c>
      <c r="G1259" s="327"/>
      <c r="H1259" s="566" t="s">
        <v>334</v>
      </c>
      <c r="I1259" s="327"/>
      <c r="J1259" s="567"/>
      <c r="K1259" s="327"/>
      <c r="L1259" s="567"/>
      <c r="M1259" s="327"/>
      <c r="N1259" s="23"/>
      <c r="O1259" s="24"/>
      <c r="P1259" s="563"/>
      <c r="Q1259" s="327"/>
      <c r="R1259" s="538"/>
      <c r="S1259" s="327"/>
      <c r="T1259" s="539"/>
      <c r="U1259" s="327"/>
      <c r="V1259" s="540"/>
      <c r="W1259" s="327"/>
      <c r="X1259" s="541" t="s">
        <v>303</v>
      </c>
      <c r="Y1259" s="326"/>
      <c r="Z1259" s="326"/>
      <c r="AA1259" s="327"/>
      <c r="AB1259" s="542" t="s">
        <v>303</v>
      </c>
      <c r="AC1259" s="326"/>
      <c r="AD1259" s="326"/>
      <c r="AE1259" s="327"/>
      <c r="AF1259" s="543"/>
      <c r="AG1259" s="327"/>
      <c r="AH1259" s="543"/>
      <c r="AI1259" s="327"/>
      <c r="AJ1259" s="536"/>
      <c r="AK1259" s="327"/>
      <c r="AL1259" s="537" t="s">
        <v>334</v>
      </c>
      <c r="AM1259" s="327"/>
      <c r="AN1259" s="546" t="s">
        <v>334</v>
      </c>
      <c r="AO1259" s="327"/>
      <c r="AP1259" s="547"/>
      <c r="AQ1259" s="327"/>
      <c r="AR1259" s="548"/>
      <c r="AS1259" s="327"/>
      <c r="AT1259" s="568"/>
      <c r="AU1259" s="327"/>
      <c r="AV1259" s="546" t="s">
        <v>334</v>
      </c>
      <c r="AW1259" s="327"/>
      <c r="AX1259" s="521"/>
      <c r="AY1259" s="326"/>
      <c r="AZ1259" s="327"/>
      <c r="BA1259" s="550"/>
      <c r="BB1259" s="327"/>
      <c r="BC1259" s="25"/>
      <c r="BD1259" s="544" t="s">
        <v>334</v>
      </c>
      <c r="BE1259" s="327"/>
      <c r="BF1259" s="545"/>
      <c r="BG1259" s="326"/>
      <c r="BH1259" s="326"/>
      <c r="BI1259" s="327"/>
      <c r="BJ1259" s="557" t="s">
        <v>303</v>
      </c>
      <c r="BK1259" s="326"/>
      <c r="BL1259" s="326"/>
      <c r="BM1259" s="327"/>
      <c r="BN1259" s="558" t="s">
        <v>303</v>
      </c>
      <c r="BO1259" s="326"/>
      <c r="BP1259" s="326"/>
      <c r="BQ1259" s="326"/>
      <c r="BR1259" s="326"/>
      <c r="BS1259" s="326"/>
      <c r="BT1259" s="326"/>
      <c r="BU1259" s="326"/>
      <c r="BV1259" s="327"/>
    </row>
    <row r="1260" spans="1:74" ht="45" customHeight="1" x14ac:dyDescent="0.25">
      <c r="A1260" s="10">
        <f t="shared" si="4"/>
        <v>1246</v>
      </c>
      <c r="B1260" s="564" t="s">
        <v>303</v>
      </c>
      <c r="C1260" s="327"/>
      <c r="D1260" s="565" t="s">
        <v>307</v>
      </c>
      <c r="E1260" s="327"/>
      <c r="F1260" s="537" t="s">
        <v>334</v>
      </c>
      <c r="G1260" s="327"/>
      <c r="H1260" s="561" t="s">
        <v>334</v>
      </c>
      <c r="I1260" s="327"/>
      <c r="J1260" s="562"/>
      <c r="K1260" s="327"/>
      <c r="L1260" s="562"/>
      <c r="M1260" s="327"/>
      <c r="N1260" s="20"/>
      <c r="O1260" s="21"/>
      <c r="P1260" s="524"/>
      <c r="Q1260" s="327"/>
      <c r="R1260" s="516"/>
      <c r="S1260" s="327"/>
      <c r="T1260" s="517"/>
      <c r="U1260" s="327"/>
      <c r="V1260" s="518"/>
      <c r="W1260" s="327"/>
      <c r="X1260" s="438" t="s">
        <v>303</v>
      </c>
      <c r="Y1260" s="326"/>
      <c r="Z1260" s="326"/>
      <c r="AA1260" s="327"/>
      <c r="AB1260" s="519" t="s">
        <v>303</v>
      </c>
      <c r="AC1260" s="326"/>
      <c r="AD1260" s="326"/>
      <c r="AE1260" s="327"/>
      <c r="AF1260" s="520"/>
      <c r="AG1260" s="327"/>
      <c r="AH1260" s="520"/>
      <c r="AI1260" s="327"/>
      <c r="AJ1260" s="536"/>
      <c r="AK1260" s="327"/>
      <c r="AL1260" s="556" t="s">
        <v>334</v>
      </c>
      <c r="AM1260" s="327"/>
      <c r="AN1260" s="553" t="s">
        <v>334</v>
      </c>
      <c r="AO1260" s="327"/>
      <c r="AP1260" s="554"/>
      <c r="AQ1260" s="327"/>
      <c r="AR1260" s="555"/>
      <c r="AS1260" s="327"/>
      <c r="AT1260" s="549"/>
      <c r="AU1260" s="327"/>
      <c r="AV1260" s="553" t="s">
        <v>334</v>
      </c>
      <c r="AW1260" s="327"/>
      <c r="AX1260" s="521"/>
      <c r="AY1260" s="326"/>
      <c r="AZ1260" s="327"/>
      <c r="BA1260" s="536"/>
      <c r="BB1260" s="327"/>
      <c r="BC1260" s="22"/>
      <c r="BD1260" s="551" t="s">
        <v>334</v>
      </c>
      <c r="BE1260" s="327"/>
      <c r="BF1260" s="552"/>
      <c r="BG1260" s="326"/>
      <c r="BH1260" s="326"/>
      <c r="BI1260" s="327"/>
      <c r="BJ1260" s="451" t="s">
        <v>303</v>
      </c>
      <c r="BK1260" s="326"/>
      <c r="BL1260" s="326"/>
      <c r="BM1260" s="327"/>
      <c r="BN1260" s="558" t="s">
        <v>303</v>
      </c>
      <c r="BO1260" s="326"/>
      <c r="BP1260" s="326"/>
      <c r="BQ1260" s="326"/>
      <c r="BR1260" s="326"/>
      <c r="BS1260" s="326"/>
      <c r="BT1260" s="326"/>
      <c r="BU1260" s="326"/>
      <c r="BV1260" s="327"/>
    </row>
    <row r="1261" spans="1:74" ht="45" customHeight="1" x14ac:dyDescent="0.25">
      <c r="A1261" s="10">
        <f t="shared" si="4"/>
        <v>1247</v>
      </c>
      <c r="B1261" s="559" t="s">
        <v>303</v>
      </c>
      <c r="C1261" s="327"/>
      <c r="D1261" s="560" t="s">
        <v>307</v>
      </c>
      <c r="E1261" s="327"/>
      <c r="F1261" s="537" t="s">
        <v>334</v>
      </c>
      <c r="G1261" s="327"/>
      <c r="H1261" s="566" t="s">
        <v>334</v>
      </c>
      <c r="I1261" s="327"/>
      <c r="J1261" s="567"/>
      <c r="K1261" s="327"/>
      <c r="L1261" s="567"/>
      <c r="M1261" s="327"/>
      <c r="N1261" s="23"/>
      <c r="O1261" s="24"/>
      <c r="P1261" s="563"/>
      <c r="Q1261" s="327"/>
      <c r="R1261" s="538"/>
      <c r="S1261" s="327"/>
      <c r="T1261" s="539"/>
      <c r="U1261" s="327"/>
      <c r="V1261" s="540"/>
      <c r="W1261" s="327"/>
      <c r="X1261" s="541" t="s">
        <v>303</v>
      </c>
      <c r="Y1261" s="326"/>
      <c r="Z1261" s="326"/>
      <c r="AA1261" s="327"/>
      <c r="AB1261" s="542" t="s">
        <v>303</v>
      </c>
      <c r="AC1261" s="326"/>
      <c r="AD1261" s="326"/>
      <c r="AE1261" s="327"/>
      <c r="AF1261" s="543"/>
      <c r="AG1261" s="327"/>
      <c r="AH1261" s="543"/>
      <c r="AI1261" s="327"/>
      <c r="AJ1261" s="536"/>
      <c r="AK1261" s="327"/>
      <c r="AL1261" s="537" t="s">
        <v>334</v>
      </c>
      <c r="AM1261" s="327"/>
      <c r="AN1261" s="546" t="s">
        <v>334</v>
      </c>
      <c r="AO1261" s="327"/>
      <c r="AP1261" s="547"/>
      <c r="AQ1261" s="327"/>
      <c r="AR1261" s="548"/>
      <c r="AS1261" s="327"/>
      <c r="AT1261" s="568"/>
      <c r="AU1261" s="327"/>
      <c r="AV1261" s="546" t="s">
        <v>334</v>
      </c>
      <c r="AW1261" s="327"/>
      <c r="AX1261" s="521"/>
      <c r="AY1261" s="326"/>
      <c r="AZ1261" s="327"/>
      <c r="BA1261" s="550"/>
      <c r="BB1261" s="327"/>
      <c r="BC1261" s="25"/>
      <c r="BD1261" s="544" t="s">
        <v>334</v>
      </c>
      <c r="BE1261" s="327"/>
      <c r="BF1261" s="545"/>
      <c r="BG1261" s="326"/>
      <c r="BH1261" s="326"/>
      <c r="BI1261" s="327"/>
      <c r="BJ1261" s="557" t="s">
        <v>303</v>
      </c>
      <c r="BK1261" s="326"/>
      <c r="BL1261" s="326"/>
      <c r="BM1261" s="327"/>
      <c r="BN1261" s="558" t="s">
        <v>303</v>
      </c>
      <c r="BO1261" s="326"/>
      <c r="BP1261" s="326"/>
      <c r="BQ1261" s="326"/>
      <c r="BR1261" s="326"/>
      <c r="BS1261" s="326"/>
      <c r="BT1261" s="326"/>
      <c r="BU1261" s="326"/>
      <c r="BV1261" s="327"/>
    </row>
    <row r="1262" spans="1:74" ht="45" customHeight="1" x14ac:dyDescent="0.25">
      <c r="A1262" s="10">
        <f t="shared" si="4"/>
        <v>1248</v>
      </c>
      <c r="B1262" s="564" t="s">
        <v>303</v>
      </c>
      <c r="C1262" s="327"/>
      <c r="D1262" s="565" t="s">
        <v>307</v>
      </c>
      <c r="E1262" s="327"/>
      <c r="F1262" s="537" t="s">
        <v>334</v>
      </c>
      <c r="G1262" s="327"/>
      <c r="H1262" s="561" t="s">
        <v>334</v>
      </c>
      <c r="I1262" s="327"/>
      <c r="J1262" s="562"/>
      <c r="K1262" s="327"/>
      <c r="L1262" s="562"/>
      <c r="M1262" s="327"/>
      <c r="N1262" s="23"/>
      <c r="O1262" s="24"/>
      <c r="P1262" s="563"/>
      <c r="Q1262" s="327"/>
      <c r="R1262" s="538"/>
      <c r="S1262" s="327"/>
      <c r="T1262" s="539"/>
      <c r="U1262" s="327"/>
      <c r="V1262" s="518"/>
      <c r="W1262" s="327"/>
      <c r="X1262" s="438" t="s">
        <v>303</v>
      </c>
      <c r="Y1262" s="326"/>
      <c r="Z1262" s="326"/>
      <c r="AA1262" s="327"/>
      <c r="AB1262" s="519" t="s">
        <v>303</v>
      </c>
      <c r="AC1262" s="326"/>
      <c r="AD1262" s="326"/>
      <c r="AE1262" s="327"/>
      <c r="AF1262" s="520"/>
      <c r="AG1262" s="327"/>
      <c r="AH1262" s="520"/>
      <c r="AI1262" s="327"/>
      <c r="AJ1262" s="536"/>
      <c r="AK1262" s="327"/>
      <c r="AL1262" s="556" t="s">
        <v>334</v>
      </c>
      <c r="AM1262" s="327"/>
      <c r="AN1262" s="553" t="s">
        <v>334</v>
      </c>
      <c r="AO1262" s="327"/>
      <c r="AP1262" s="554"/>
      <c r="AQ1262" s="327"/>
      <c r="AR1262" s="555"/>
      <c r="AS1262" s="327"/>
      <c r="AT1262" s="549"/>
      <c r="AU1262" s="327"/>
      <c r="AV1262" s="553" t="s">
        <v>334</v>
      </c>
      <c r="AW1262" s="327"/>
      <c r="AX1262" s="521"/>
      <c r="AY1262" s="326"/>
      <c r="AZ1262" s="327"/>
      <c r="BA1262" s="536"/>
      <c r="BB1262" s="327"/>
      <c r="BC1262" s="22"/>
      <c r="BD1262" s="551" t="s">
        <v>334</v>
      </c>
      <c r="BE1262" s="327"/>
      <c r="BF1262" s="552"/>
      <c r="BG1262" s="326"/>
      <c r="BH1262" s="326"/>
      <c r="BI1262" s="327"/>
      <c r="BJ1262" s="451" t="s">
        <v>303</v>
      </c>
      <c r="BK1262" s="326"/>
      <c r="BL1262" s="326"/>
      <c r="BM1262" s="327"/>
      <c r="BN1262" s="558" t="s">
        <v>303</v>
      </c>
      <c r="BO1262" s="326"/>
      <c r="BP1262" s="326"/>
      <c r="BQ1262" s="326"/>
      <c r="BR1262" s="326"/>
      <c r="BS1262" s="326"/>
      <c r="BT1262" s="326"/>
      <c r="BU1262" s="326"/>
      <c r="BV1262" s="327"/>
    </row>
    <row r="1263" spans="1:74" ht="45" customHeight="1" x14ac:dyDescent="0.25">
      <c r="A1263" s="10">
        <f t="shared" si="4"/>
        <v>1249</v>
      </c>
      <c r="B1263" s="559" t="s">
        <v>303</v>
      </c>
      <c r="C1263" s="327"/>
      <c r="D1263" s="560" t="s">
        <v>307</v>
      </c>
      <c r="E1263" s="327"/>
      <c r="F1263" s="537" t="s">
        <v>334</v>
      </c>
      <c r="G1263" s="327"/>
      <c r="H1263" s="566" t="s">
        <v>334</v>
      </c>
      <c r="I1263" s="327"/>
      <c r="J1263" s="567"/>
      <c r="K1263" s="327"/>
      <c r="L1263" s="567"/>
      <c r="M1263" s="327"/>
      <c r="N1263" s="20"/>
      <c r="O1263" s="21"/>
      <c r="P1263" s="524"/>
      <c r="Q1263" s="327"/>
      <c r="R1263" s="516"/>
      <c r="S1263" s="327"/>
      <c r="T1263" s="517"/>
      <c r="U1263" s="327"/>
      <c r="V1263" s="540"/>
      <c r="W1263" s="327"/>
      <c r="X1263" s="541" t="s">
        <v>303</v>
      </c>
      <c r="Y1263" s="326"/>
      <c r="Z1263" s="326"/>
      <c r="AA1263" s="327"/>
      <c r="AB1263" s="542" t="s">
        <v>303</v>
      </c>
      <c r="AC1263" s="326"/>
      <c r="AD1263" s="326"/>
      <c r="AE1263" s="327"/>
      <c r="AF1263" s="543"/>
      <c r="AG1263" s="327"/>
      <c r="AH1263" s="543"/>
      <c r="AI1263" s="327"/>
      <c r="AJ1263" s="536"/>
      <c r="AK1263" s="327"/>
      <c r="AL1263" s="537" t="s">
        <v>334</v>
      </c>
      <c r="AM1263" s="327"/>
      <c r="AN1263" s="546" t="s">
        <v>334</v>
      </c>
      <c r="AO1263" s="327"/>
      <c r="AP1263" s="547"/>
      <c r="AQ1263" s="327"/>
      <c r="AR1263" s="548"/>
      <c r="AS1263" s="327"/>
      <c r="AT1263" s="568"/>
      <c r="AU1263" s="327"/>
      <c r="AV1263" s="546" t="s">
        <v>334</v>
      </c>
      <c r="AW1263" s="327"/>
      <c r="AX1263" s="521"/>
      <c r="AY1263" s="326"/>
      <c r="AZ1263" s="327"/>
      <c r="BA1263" s="550"/>
      <c r="BB1263" s="327"/>
      <c r="BC1263" s="25"/>
      <c r="BD1263" s="544" t="s">
        <v>334</v>
      </c>
      <c r="BE1263" s="327"/>
      <c r="BF1263" s="545"/>
      <c r="BG1263" s="326"/>
      <c r="BH1263" s="326"/>
      <c r="BI1263" s="327"/>
      <c r="BJ1263" s="557" t="s">
        <v>303</v>
      </c>
      <c r="BK1263" s="326"/>
      <c r="BL1263" s="326"/>
      <c r="BM1263" s="327"/>
      <c r="BN1263" s="558" t="s">
        <v>303</v>
      </c>
      <c r="BO1263" s="326"/>
      <c r="BP1263" s="326"/>
      <c r="BQ1263" s="326"/>
      <c r="BR1263" s="326"/>
      <c r="BS1263" s="326"/>
      <c r="BT1263" s="326"/>
      <c r="BU1263" s="326"/>
      <c r="BV1263" s="327"/>
    </row>
    <row r="1264" spans="1:74" ht="45" customHeight="1" x14ac:dyDescent="0.25">
      <c r="A1264" s="10">
        <f t="shared" si="4"/>
        <v>1250</v>
      </c>
      <c r="B1264" s="564" t="s">
        <v>303</v>
      </c>
      <c r="C1264" s="327"/>
      <c r="D1264" s="565" t="s">
        <v>307</v>
      </c>
      <c r="E1264" s="327"/>
      <c r="F1264" s="537" t="s">
        <v>334</v>
      </c>
      <c r="G1264" s="327"/>
      <c r="H1264" s="561" t="s">
        <v>334</v>
      </c>
      <c r="I1264" s="327"/>
      <c r="J1264" s="562"/>
      <c r="K1264" s="327"/>
      <c r="L1264" s="562"/>
      <c r="M1264" s="327"/>
      <c r="N1264" s="23"/>
      <c r="O1264" s="24"/>
      <c r="P1264" s="563"/>
      <c r="Q1264" s="327"/>
      <c r="R1264" s="538"/>
      <c r="S1264" s="327"/>
      <c r="T1264" s="539"/>
      <c r="U1264" s="327"/>
      <c r="V1264" s="518"/>
      <c r="W1264" s="327"/>
      <c r="X1264" s="438" t="s">
        <v>303</v>
      </c>
      <c r="Y1264" s="326"/>
      <c r="Z1264" s="326"/>
      <c r="AA1264" s="327"/>
      <c r="AB1264" s="519" t="s">
        <v>303</v>
      </c>
      <c r="AC1264" s="326"/>
      <c r="AD1264" s="326"/>
      <c r="AE1264" s="327"/>
      <c r="AF1264" s="520"/>
      <c r="AG1264" s="327"/>
      <c r="AH1264" s="520"/>
      <c r="AI1264" s="327"/>
      <c r="AJ1264" s="536"/>
      <c r="AK1264" s="327"/>
      <c r="AL1264" s="556" t="s">
        <v>334</v>
      </c>
      <c r="AM1264" s="327"/>
      <c r="AN1264" s="553" t="s">
        <v>334</v>
      </c>
      <c r="AO1264" s="327"/>
      <c r="AP1264" s="554"/>
      <c r="AQ1264" s="327"/>
      <c r="AR1264" s="555"/>
      <c r="AS1264" s="327"/>
      <c r="AT1264" s="549"/>
      <c r="AU1264" s="327"/>
      <c r="AV1264" s="553" t="s">
        <v>334</v>
      </c>
      <c r="AW1264" s="327"/>
      <c r="AX1264" s="521"/>
      <c r="AY1264" s="326"/>
      <c r="AZ1264" s="327"/>
      <c r="BA1264" s="536"/>
      <c r="BB1264" s="327"/>
      <c r="BC1264" s="22"/>
      <c r="BD1264" s="551" t="s">
        <v>334</v>
      </c>
      <c r="BE1264" s="327"/>
      <c r="BF1264" s="508"/>
      <c r="BG1264" s="326"/>
      <c r="BH1264" s="326"/>
      <c r="BI1264" s="327"/>
      <c r="BJ1264" s="451" t="s">
        <v>303</v>
      </c>
      <c r="BK1264" s="326"/>
      <c r="BL1264" s="326"/>
      <c r="BM1264" s="327"/>
      <c r="BN1264" s="558" t="s">
        <v>303</v>
      </c>
      <c r="BO1264" s="326"/>
      <c r="BP1264" s="326"/>
      <c r="BQ1264" s="326"/>
      <c r="BR1264" s="326"/>
      <c r="BS1264" s="326"/>
      <c r="BT1264" s="326"/>
      <c r="BU1264" s="326"/>
      <c r="BV1264" s="327"/>
    </row>
    <row r="1265" spans="1:74" ht="45" customHeight="1" x14ac:dyDescent="0.25">
      <c r="A1265" s="10">
        <f t="shared" si="4"/>
        <v>1251</v>
      </c>
      <c r="B1265" s="559" t="s">
        <v>303</v>
      </c>
      <c r="C1265" s="327"/>
      <c r="D1265" s="560" t="s">
        <v>307</v>
      </c>
      <c r="E1265" s="327"/>
      <c r="F1265" s="537" t="s">
        <v>334</v>
      </c>
      <c r="G1265" s="327"/>
      <c r="H1265" s="566" t="s">
        <v>334</v>
      </c>
      <c r="I1265" s="327"/>
      <c r="J1265" s="567"/>
      <c r="K1265" s="327"/>
      <c r="L1265" s="567"/>
      <c r="M1265" s="327"/>
      <c r="N1265" s="20"/>
      <c r="O1265" s="21"/>
      <c r="P1265" s="524"/>
      <c r="Q1265" s="327"/>
      <c r="R1265" s="516"/>
      <c r="S1265" s="327"/>
      <c r="T1265" s="517"/>
      <c r="U1265" s="327"/>
      <c r="V1265" s="540"/>
      <c r="W1265" s="327"/>
      <c r="X1265" s="541" t="s">
        <v>303</v>
      </c>
      <c r="Y1265" s="326"/>
      <c r="Z1265" s="326"/>
      <c r="AA1265" s="327"/>
      <c r="AB1265" s="542" t="s">
        <v>303</v>
      </c>
      <c r="AC1265" s="326"/>
      <c r="AD1265" s="326"/>
      <c r="AE1265" s="327"/>
      <c r="AF1265" s="543"/>
      <c r="AG1265" s="327"/>
      <c r="AH1265" s="543"/>
      <c r="AI1265" s="327"/>
      <c r="AJ1265" s="536"/>
      <c r="AK1265" s="327"/>
      <c r="AL1265" s="537" t="s">
        <v>334</v>
      </c>
      <c r="AM1265" s="327"/>
      <c r="AN1265" s="546" t="s">
        <v>334</v>
      </c>
      <c r="AO1265" s="327"/>
      <c r="AP1265" s="547"/>
      <c r="AQ1265" s="327"/>
      <c r="AR1265" s="548"/>
      <c r="AS1265" s="327"/>
      <c r="AT1265" s="568"/>
      <c r="AU1265" s="327"/>
      <c r="AV1265" s="546" t="s">
        <v>334</v>
      </c>
      <c r="AW1265" s="327"/>
      <c r="AX1265" s="521"/>
      <c r="AY1265" s="326"/>
      <c r="AZ1265" s="327"/>
      <c r="BA1265" s="550"/>
      <c r="BB1265" s="327"/>
      <c r="BC1265" s="25"/>
      <c r="BD1265" s="544" t="s">
        <v>334</v>
      </c>
      <c r="BE1265" s="327"/>
      <c r="BF1265" s="545"/>
      <c r="BG1265" s="326"/>
      <c r="BH1265" s="326"/>
      <c r="BI1265" s="327"/>
      <c r="BJ1265" s="557" t="s">
        <v>303</v>
      </c>
      <c r="BK1265" s="326"/>
      <c r="BL1265" s="326"/>
      <c r="BM1265" s="327"/>
      <c r="BN1265" s="558" t="s">
        <v>303</v>
      </c>
      <c r="BO1265" s="326"/>
      <c r="BP1265" s="326"/>
      <c r="BQ1265" s="326"/>
      <c r="BR1265" s="326"/>
      <c r="BS1265" s="326"/>
      <c r="BT1265" s="326"/>
      <c r="BU1265" s="326"/>
      <c r="BV1265" s="327"/>
    </row>
    <row r="1266" spans="1:74" ht="45" customHeight="1" x14ac:dyDescent="0.25">
      <c r="A1266" s="10">
        <f t="shared" si="4"/>
        <v>1252</v>
      </c>
      <c r="B1266" s="564" t="s">
        <v>303</v>
      </c>
      <c r="C1266" s="327"/>
      <c r="D1266" s="565" t="s">
        <v>307</v>
      </c>
      <c r="E1266" s="327"/>
      <c r="F1266" s="537" t="s">
        <v>334</v>
      </c>
      <c r="G1266" s="327"/>
      <c r="H1266" s="561" t="s">
        <v>334</v>
      </c>
      <c r="I1266" s="327"/>
      <c r="J1266" s="562"/>
      <c r="K1266" s="327"/>
      <c r="L1266" s="562"/>
      <c r="M1266" s="327"/>
      <c r="N1266" s="23"/>
      <c r="O1266" s="24"/>
      <c r="P1266" s="563"/>
      <c r="Q1266" s="327"/>
      <c r="R1266" s="538"/>
      <c r="S1266" s="327"/>
      <c r="T1266" s="539"/>
      <c r="U1266" s="327"/>
      <c r="V1266" s="518"/>
      <c r="W1266" s="327"/>
      <c r="X1266" s="438" t="s">
        <v>303</v>
      </c>
      <c r="Y1266" s="326"/>
      <c r="Z1266" s="326"/>
      <c r="AA1266" s="327"/>
      <c r="AB1266" s="519" t="s">
        <v>303</v>
      </c>
      <c r="AC1266" s="326"/>
      <c r="AD1266" s="326"/>
      <c r="AE1266" s="327"/>
      <c r="AF1266" s="520"/>
      <c r="AG1266" s="327"/>
      <c r="AH1266" s="520"/>
      <c r="AI1266" s="327"/>
      <c r="AJ1266" s="536"/>
      <c r="AK1266" s="327"/>
      <c r="AL1266" s="556" t="s">
        <v>334</v>
      </c>
      <c r="AM1266" s="327"/>
      <c r="AN1266" s="553" t="s">
        <v>334</v>
      </c>
      <c r="AO1266" s="327"/>
      <c r="AP1266" s="554"/>
      <c r="AQ1266" s="327"/>
      <c r="AR1266" s="555"/>
      <c r="AS1266" s="327"/>
      <c r="AT1266" s="549"/>
      <c r="AU1266" s="327"/>
      <c r="AV1266" s="553" t="s">
        <v>334</v>
      </c>
      <c r="AW1266" s="327"/>
      <c r="AX1266" s="521"/>
      <c r="AY1266" s="326"/>
      <c r="AZ1266" s="327"/>
      <c r="BA1266" s="536"/>
      <c r="BB1266" s="327"/>
      <c r="BC1266" s="22"/>
      <c r="BD1266" s="551" t="s">
        <v>334</v>
      </c>
      <c r="BE1266" s="327"/>
      <c r="BF1266" s="552"/>
      <c r="BG1266" s="326"/>
      <c r="BH1266" s="326"/>
      <c r="BI1266" s="327"/>
      <c r="BJ1266" s="451" t="s">
        <v>303</v>
      </c>
      <c r="BK1266" s="326"/>
      <c r="BL1266" s="326"/>
      <c r="BM1266" s="327"/>
      <c r="BN1266" s="558" t="s">
        <v>303</v>
      </c>
      <c r="BO1266" s="326"/>
      <c r="BP1266" s="326"/>
      <c r="BQ1266" s="326"/>
      <c r="BR1266" s="326"/>
      <c r="BS1266" s="326"/>
      <c r="BT1266" s="326"/>
      <c r="BU1266" s="326"/>
      <c r="BV1266" s="327"/>
    </row>
    <row r="1267" spans="1:74" ht="45" customHeight="1" x14ac:dyDescent="0.25">
      <c r="A1267" s="10">
        <f t="shared" si="4"/>
        <v>1253</v>
      </c>
      <c r="B1267" s="559" t="s">
        <v>303</v>
      </c>
      <c r="C1267" s="327"/>
      <c r="D1267" s="560" t="s">
        <v>307</v>
      </c>
      <c r="E1267" s="327"/>
      <c r="F1267" s="537" t="s">
        <v>334</v>
      </c>
      <c r="G1267" s="327"/>
      <c r="H1267" s="566" t="s">
        <v>334</v>
      </c>
      <c r="I1267" s="327"/>
      <c r="J1267" s="567"/>
      <c r="K1267" s="327"/>
      <c r="L1267" s="567"/>
      <c r="M1267" s="327"/>
      <c r="N1267" s="20"/>
      <c r="O1267" s="21"/>
      <c r="P1267" s="524"/>
      <c r="Q1267" s="327"/>
      <c r="R1267" s="516"/>
      <c r="S1267" s="327"/>
      <c r="T1267" s="517"/>
      <c r="U1267" s="327"/>
      <c r="V1267" s="540"/>
      <c r="W1267" s="327"/>
      <c r="X1267" s="541" t="s">
        <v>303</v>
      </c>
      <c r="Y1267" s="326"/>
      <c r="Z1267" s="326"/>
      <c r="AA1267" s="327"/>
      <c r="AB1267" s="542" t="s">
        <v>303</v>
      </c>
      <c r="AC1267" s="326"/>
      <c r="AD1267" s="326"/>
      <c r="AE1267" s="327"/>
      <c r="AF1267" s="543"/>
      <c r="AG1267" s="327"/>
      <c r="AH1267" s="543"/>
      <c r="AI1267" s="327"/>
      <c r="AJ1267" s="536"/>
      <c r="AK1267" s="327"/>
      <c r="AL1267" s="537" t="s">
        <v>334</v>
      </c>
      <c r="AM1267" s="327"/>
      <c r="AN1267" s="546" t="s">
        <v>334</v>
      </c>
      <c r="AO1267" s="327"/>
      <c r="AP1267" s="547"/>
      <c r="AQ1267" s="327"/>
      <c r="AR1267" s="548"/>
      <c r="AS1267" s="327"/>
      <c r="AT1267" s="549"/>
      <c r="AU1267" s="327"/>
      <c r="AV1267" s="546" t="s">
        <v>334</v>
      </c>
      <c r="AW1267" s="327"/>
      <c r="AX1267" s="521"/>
      <c r="AY1267" s="326"/>
      <c r="AZ1267" s="327"/>
      <c r="BA1267" s="550"/>
      <c r="BB1267" s="327"/>
      <c r="BC1267" s="25"/>
      <c r="BD1267" s="544" t="s">
        <v>334</v>
      </c>
      <c r="BE1267" s="327"/>
      <c r="BF1267" s="545"/>
      <c r="BG1267" s="326"/>
      <c r="BH1267" s="326"/>
      <c r="BI1267" s="327"/>
      <c r="BJ1267" s="557" t="s">
        <v>303</v>
      </c>
      <c r="BK1267" s="326"/>
      <c r="BL1267" s="326"/>
      <c r="BM1267" s="327"/>
      <c r="BN1267" s="558" t="s">
        <v>303</v>
      </c>
      <c r="BO1267" s="326"/>
      <c r="BP1267" s="326"/>
      <c r="BQ1267" s="326"/>
      <c r="BR1267" s="326"/>
      <c r="BS1267" s="326"/>
      <c r="BT1267" s="326"/>
      <c r="BU1267" s="326"/>
      <c r="BV1267" s="327"/>
    </row>
    <row r="1268" spans="1:74" ht="45" customHeight="1" x14ac:dyDescent="0.25">
      <c r="A1268" s="10">
        <f t="shared" si="4"/>
        <v>1254</v>
      </c>
      <c r="B1268" s="564" t="s">
        <v>303</v>
      </c>
      <c r="C1268" s="327"/>
      <c r="D1268" s="565" t="s">
        <v>307</v>
      </c>
      <c r="E1268" s="327"/>
      <c r="F1268" s="537" t="s">
        <v>334</v>
      </c>
      <c r="G1268" s="327"/>
      <c r="H1268" s="561" t="s">
        <v>334</v>
      </c>
      <c r="I1268" s="327"/>
      <c r="J1268" s="562"/>
      <c r="K1268" s="327"/>
      <c r="L1268" s="562"/>
      <c r="M1268" s="327"/>
      <c r="N1268" s="23"/>
      <c r="O1268" s="24"/>
      <c r="P1268" s="563"/>
      <c r="Q1268" s="327"/>
      <c r="R1268" s="538"/>
      <c r="S1268" s="327"/>
      <c r="T1268" s="539"/>
      <c r="U1268" s="327"/>
      <c r="V1268" s="518"/>
      <c r="W1268" s="327"/>
      <c r="X1268" s="438" t="s">
        <v>303</v>
      </c>
      <c r="Y1268" s="326"/>
      <c r="Z1268" s="326"/>
      <c r="AA1268" s="327"/>
      <c r="AB1268" s="519" t="s">
        <v>303</v>
      </c>
      <c r="AC1268" s="326"/>
      <c r="AD1268" s="326"/>
      <c r="AE1268" s="327"/>
      <c r="AF1268" s="520"/>
      <c r="AG1268" s="327"/>
      <c r="AH1268" s="520"/>
      <c r="AI1268" s="327"/>
      <c r="AJ1268" s="536"/>
      <c r="AK1268" s="327"/>
      <c r="AL1268" s="556" t="s">
        <v>334</v>
      </c>
      <c r="AM1268" s="327"/>
      <c r="AN1268" s="553" t="s">
        <v>334</v>
      </c>
      <c r="AO1268" s="327"/>
      <c r="AP1268" s="554"/>
      <c r="AQ1268" s="327"/>
      <c r="AR1268" s="555"/>
      <c r="AS1268" s="327"/>
      <c r="AT1268" s="549"/>
      <c r="AU1268" s="327"/>
      <c r="AV1268" s="553" t="s">
        <v>334</v>
      </c>
      <c r="AW1268" s="327"/>
      <c r="AX1268" s="521"/>
      <c r="AY1268" s="326"/>
      <c r="AZ1268" s="327"/>
      <c r="BA1268" s="536"/>
      <c r="BB1268" s="327"/>
      <c r="BC1268" s="22"/>
      <c r="BD1268" s="551" t="s">
        <v>334</v>
      </c>
      <c r="BE1268" s="327"/>
      <c r="BF1268" s="552"/>
      <c r="BG1268" s="326"/>
      <c r="BH1268" s="326"/>
      <c r="BI1268" s="327"/>
      <c r="BJ1268" s="451" t="s">
        <v>303</v>
      </c>
      <c r="BK1268" s="326"/>
      <c r="BL1268" s="326"/>
      <c r="BM1268" s="327"/>
      <c r="BN1268" s="558" t="s">
        <v>303</v>
      </c>
      <c r="BO1268" s="326"/>
      <c r="BP1268" s="326"/>
      <c r="BQ1268" s="326"/>
      <c r="BR1268" s="326"/>
      <c r="BS1268" s="326"/>
      <c r="BT1268" s="326"/>
      <c r="BU1268" s="326"/>
      <c r="BV1268" s="327"/>
    </row>
    <row r="1269" spans="1:74" ht="45" customHeight="1" x14ac:dyDescent="0.25">
      <c r="A1269" s="10">
        <f t="shared" si="4"/>
        <v>1255</v>
      </c>
      <c r="B1269" s="559" t="s">
        <v>303</v>
      </c>
      <c r="C1269" s="327"/>
      <c r="D1269" s="560" t="s">
        <v>307</v>
      </c>
      <c r="E1269" s="327"/>
      <c r="F1269" s="537" t="s">
        <v>334</v>
      </c>
      <c r="G1269" s="327"/>
      <c r="H1269" s="566" t="s">
        <v>334</v>
      </c>
      <c r="I1269" s="327"/>
      <c r="J1269" s="567"/>
      <c r="K1269" s="327"/>
      <c r="L1269" s="567"/>
      <c r="M1269" s="327"/>
      <c r="N1269" s="20"/>
      <c r="O1269" s="21"/>
      <c r="P1269" s="524"/>
      <c r="Q1269" s="327"/>
      <c r="R1269" s="516"/>
      <c r="S1269" s="327"/>
      <c r="T1269" s="517"/>
      <c r="U1269" s="327"/>
      <c r="V1269" s="540"/>
      <c r="W1269" s="327"/>
      <c r="X1269" s="541" t="s">
        <v>303</v>
      </c>
      <c r="Y1269" s="326"/>
      <c r="Z1269" s="326"/>
      <c r="AA1269" s="327"/>
      <c r="AB1269" s="542" t="s">
        <v>303</v>
      </c>
      <c r="AC1269" s="326"/>
      <c r="AD1269" s="326"/>
      <c r="AE1269" s="327"/>
      <c r="AF1269" s="543"/>
      <c r="AG1269" s="327"/>
      <c r="AH1269" s="543"/>
      <c r="AI1269" s="327"/>
      <c r="AJ1269" s="536"/>
      <c r="AK1269" s="327"/>
      <c r="AL1269" s="537" t="s">
        <v>334</v>
      </c>
      <c r="AM1269" s="327"/>
      <c r="AN1269" s="546" t="s">
        <v>334</v>
      </c>
      <c r="AO1269" s="327"/>
      <c r="AP1269" s="547"/>
      <c r="AQ1269" s="327"/>
      <c r="AR1269" s="548"/>
      <c r="AS1269" s="327"/>
      <c r="AT1269" s="549"/>
      <c r="AU1269" s="327"/>
      <c r="AV1269" s="546" t="s">
        <v>334</v>
      </c>
      <c r="AW1269" s="327"/>
      <c r="AX1269" s="521"/>
      <c r="AY1269" s="326"/>
      <c r="AZ1269" s="327"/>
      <c r="BA1269" s="550"/>
      <c r="BB1269" s="327"/>
      <c r="BC1269" s="25"/>
      <c r="BD1269" s="544" t="s">
        <v>334</v>
      </c>
      <c r="BE1269" s="327"/>
      <c r="BF1269" s="545"/>
      <c r="BG1269" s="326"/>
      <c r="BH1269" s="326"/>
      <c r="BI1269" s="327"/>
      <c r="BJ1269" s="557" t="s">
        <v>303</v>
      </c>
      <c r="BK1269" s="326"/>
      <c r="BL1269" s="326"/>
      <c r="BM1269" s="327"/>
      <c r="BN1269" s="558" t="s">
        <v>303</v>
      </c>
      <c r="BO1269" s="326"/>
      <c r="BP1269" s="326"/>
      <c r="BQ1269" s="326"/>
      <c r="BR1269" s="326"/>
      <c r="BS1269" s="326"/>
      <c r="BT1269" s="326"/>
      <c r="BU1269" s="326"/>
      <c r="BV1269" s="327"/>
    </row>
    <row r="1270" spans="1:74" ht="45" customHeight="1" x14ac:dyDescent="0.25">
      <c r="A1270" s="10">
        <f t="shared" si="4"/>
        <v>1256</v>
      </c>
      <c r="B1270" s="564" t="s">
        <v>303</v>
      </c>
      <c r="C1270" s="327"/>
      <c r="D1270" s="565" t="s">
        <v>307</v>
      </c>
      <c r="E1270" s="327"/>
      <c r="F1270" s="537" t="s">
        <v>334</v>
      </c>
      <c r="G1270" s="327"/>
      <c r="H1270" s="561" t="s">
        <v>334</v>
      </c>
      <c r="I1270" s="327"/>
      <c r="J1270" s="562"/>
      <c r="K1270" s="327"/>
      <c r="L1270" s="562"/>
      <c r="M1270" s="327"/>
      <c r="N1270" s="23"/>
      <c r="O1270" s="24"/>
      <c r="P1270" s="563"/>
      <c r="Q1270" s="327"/>
      <c r="R1270" s="538"/>
      <c r="S1270" s="327"/>
      <c r="T1270" s="539"/>
      <c r="U1270" s="327"/>
      <c r="V1270" s="518"/>
      <c r="W1270" s="327"/>
      <c r="X1270" s="438" t="s">
        <v>303</v>
      </c>
      <c r="Y1270" s="326"/>
      <c r="Z1270" s="326"/>
      <c r="AA1270" s="327"/>
      <c r="AB1270" s="519" t="s">
        <v>303</v>
      </c>
      <c r="AC1270" s="326"/>
      <c r="AD1270" s="326"/>
      <c r="AE1270" s="327"/>
      <c r="AF1270" s="520"/>
      <c r="AG1270" s="327"/>
      <c r="AH1270" s="520"/>
      <c r="AI1270" s="327"/>
      <c r="AJ1270" s="536"/>
      <c r="AK1270" s="327"/>
      <c r="AL1270" s="556" t="s">
        <v>334</v>
      </c>
      <c r="AM1270" s="327"/>
      <c r="AN1270" s="553" t="s">
        <v>334</v>
      </c>
      <c r="AO1270" s="327"/>
      <c r="AP1270" s="554"/>
      <c r="AQ1270" s="327"/>
      <c r="AR1270" s="555"/>
      <c r="AS1270" s="327"/>
      <c r="AT1270" s="549"/>
      <c r="AU1270" s="327"/>
      <c r="AV1270" s="553" t="s">
        <v>334</v>
      </c>
      <c r="AW1270" s="327"/>
      <c r="AX1270" s="521"/>
      <c r="AY1270" s="326"/>
      <c r="AZ1270" s="327"/>
      <c r="BA1270" s="536"/>
      <c r="BB1270" s="327"/>
      <c r="BC1270" s="22"/>
      <c r="BD1270" s="551" t="s">
        <v>334</v>
      </c>
      <c r="BE1270" s="327"/>
      <c r="BF1270" s="552"/>
      <c r="BG1270" s="326"/>
      <c r="BH1270" s="326"/>
      <c r="BI1270" s="327"/>
      <c r="BJ1270" s="451" t="s">
        <v>303</v>
      </c>
      <c r="BK1270" s="326"/>
      <c r="BL1270" s="326"/>
      <c r="BM1270" s="327"/>
      <c r="BN1270" s="558" t="s">
        <v>303</v>
      </c>
      <c r="BO1270" s="326"/>
      <c r="BP1270" s="326"/>
      <c r="BQ1270" s="326"/>
      <c r="BR1270" s="326"/>
      <c r="BS1270" s="326"/>
      <c r="BT1270" s="326"/>
      <c r="BU1270" s="326"/>
      <c r="BV1270" s="327"/>
    </row>
    <row r="1271" spans="1:74" ht="45" customHeight="1" x14ac:dyDescent="0.25">
      <c r="A1271" s="10">
        <f t="shared" si="4"/>
        <v>1257</v>
      </c>
      <c r="B1271" s="559" t="s">
        <v>303</v>
      </c>
      <c r="C1271" s="327"/>
      <c r="D1271" s="560" t="s">
        <v>307</v>
      </c>
      <c r="E1271" s="327"/>
      <c r="F1271" s="537" t="s">
        <v>334</v>
      </c>
      <c r="G1271" s="327"/>
      <c r="H1271" s="566" t="s">
        <v>334</v>
      </c>
      <c r="I1271" s="327"/>
      <c r="J1271" s="567"/>
      <c r="K1271" s="327"/>
      <c r="L1271" s="567"/>
      <c r="M1271" s="327"/>
      <c r="N1271" s="20"/>
      <c r="O1271" s="21"/>
      <c r="P1271" s="524"/>
      <c r="Q1271" s="327"/>
      <c r="R1271" s="516"/>
      <c r="S1271" s="327"/>
      <c r="T1271" s="517"/>
      <c r="U1271" s="327"/>
      <c r="V1271" s="540"/>
      <c r="W1271" s="327"/>
      <c r="X1271" s="541" t="s">
        <v>303</v>
      </c>
      <c r="Y1271" s="326"/>
      <c r="Z1271" s="326"/>
      <c r="AA1271" s="327"/>
      <c r="AB1271" s="542" t="s">
        <v>303</v>
      </c>
      <c r="AC1271" s="326"/>
      <c r="AD1271" s="326"/>
      <c r="AE1271" s="327"/>
      <c r="AF1271" s="543"/>
      <c r="AG1271" s="327"/>
      <c r="AH1271" s="543"/>
      <c r="AI1271" s="327"/>
      <c r="AJ1271" s="536"/>
      <c r="AK1271" s="327"/>
      <c r="AL1271" s="537" t="s">
        <v>334</v>
      </c>
      <c r="AM1271" s="327"/>
      <c r="AN1271" s="546" t="s">
        <v>334</v>
      </c>
      <c r="AO1271" s="327"/>
      <c r="AP1271" s="547"/>
      <c r="AQ1271" s="327"/>
      <c r="AR1271" s="548"/>
      <c r="AS1271" s="327"/>
      <c r="AT1271" s="568"/>
      <c r="AU1271" s="327"/>
      <c r="AV1271" s="546" t="s">
        <v>334</v>
      </c>
      <c r="AW1271" s="327"/>
      <c r="AX1271" s="521"/>
      <c r="AY1271" s="326"/>
      <c r="AZ1271" s="327"/>
      <c r="BA1271" s="550"/>
      <c r="BB1271" s="327"/>
      <c r="BC1271" s="25"/>
      <c r="BD1271" s="544" t="s">
        <v>334</v>
      </c>
      <c r="BE1271" s="327"/>
      <c r="BF1271" s="545"/>
      <c r="BG1271" s="326"/>
      <c r="BH1271" s="326"/>
      <c r="BI1271" s="327"/>
      <c r="BJ1271" s="557" t="s">
        <v>303</v>
      </c>
      <c r="BK1271" s="326"/>
      <c r="BL1271" s="326"/>
      <c r="BM1271" s="327"/>
      <c r="BN1271" s="558" t="s">
        <v>303</v>
      </c>
      <c r="BO1271" s="326"/>
      <c r="BP1271" s="326"/>
      <c r="BQ1271" s="326"/>
      <c r="BR1271" s="326"/>
      <c r="BS1271" s="326"/>
      <c r="BT1271" s="326"/>
      <c r="BU1271" s="326"/>
      <c r="BV1271" s="327"/>
    </row>
    <row r="1272" spans="1:74" ht="45" customHeight="1" x14ac:dyDescent="0.25">
      <c r="A1272" s="10">
        <f t="shared" si="4"/>
        <v>1258</v>
      </c>
      <c r="B1272" s="564" t="s">
        <v>303</v>
      </c>
      <c r="C1272" s="327"/>
      <c r="D1272" s="565" t="s">
        <v>307</v>
      </c>
      <c r="E1272" s="327"/>
      <c r="F1272" s="537" t="s">
        <v>334</v>
      </c>
      <c r="G1272" s="327"/>
      <c r="H1272" s="561" t="s">
        <v>334</v>
      </c>
      <c r="I1272" s="327"/>
      <c r="J1272" s="562"/>
      <c r="K1272" s="327"/>
      <c r="L1272" s="562"/>
      <c r="M1272" s="327"/>
      <c r="N1272" s="23"/>
      <c r="O1272" s="24"/>
      <c r="P1272" s="563"/>
      <c r="Q1272" s="327"/>
      <c r="R1272" s="538"/>
      <c r="S1272" s="327"/>
      <c r="T1272" s="539"/>
      <c r="U1272" s="327"/>
      <c r="V1272" s="518"/>
      <c r="W1272" s="327"/>
      <c r="X1272" s="438" t="s">
        <v>303</v>
      </c>
      <c r="Y1272" s="326"/>
      <c r="Z1272" s="326"/>
      <c r="AA1272" s="327"/>
      <c r="AB1272" s="519" t="s">
        <v>303</v>
      </c>
      <c r="AC1272" s="326"/>
      <c r="AD1272" s="326"/>
      <c r="AE1272" s="327"/>
      <c r="AF1272" s="520"/>
      <c r="AG1272" s="327"/>
      <c r="AH1272" s="520"/>
      <c r="AI1272" s="327"/>
      <c r="AJ1272" s="536"/>
      <c r="AK1272" s="327"/>
      <c r="AL1272" s="556" t="s">
        <v>334</v>
      </c>
      <c r="AM1272" s="327"/>
      <c r="AN1272" s="553" t="s">
        <v>334</v>
      </c>
      <c r="AO1272" s="327"/>
      <c r="AP1272" s="554"/>
      <c r="AQ1272" s="327"/>
      <c r="AR1272" s="555"/>
      <c r="AS1272" s="327"/>
      <c r="AT1272" s="549"/>
      <c r="AU1272" s="327"/>
      <c r="AV1272" s="553" t="s">
        <v>334</v>
      </c>
      <c r="AW1272" s="327"/>
      <c r="AX1272" s="521"/>
      <c r="AY1272" s="326"/>
      <c r="AZ1272" s="327"/>
      <c r="BA1272" s="536"/>
      <c r="BB1272" s="327"/>
      <c r="BC1272" s="22"/>
      <c r="BD1272" s="551" t="s">
        <v>334</v>
      </c>
      <c r="BE1272" s="327"/>
      <c r="BF1272" s="508"/>
      <c r="BG1272" s="326"/>
      <c r="BH1272" s="326"/>
      <c r="BI1272" s="327"/>
      <c r="BJ1272" s="451" t="s">
        <v>303</v>
      </c>
      <c r="BK1272" s="326"/>
      <c r="BL1272" s="326"/>
      <c r="BM1272" s="327"/>
      <c r="BN1272" s="558" t="s">
        <v>303</v>
      </c>
      <c r="BO1272" s="326"/>
      <c r="BP1272" s="326"/>
      <c r="BQ1272" s="326"/>
      <c r="BR1272" s="326"/>
      <c r="BS1272" s="326"/>
      <c r="BT1272" s="326"/>
      <c r="BU1272" s="326"/>
      <c r="BV1272" s="327"/>
    </row>
    <row r="1273" spans="1:74" ht="45" customHeight="1" x14ac:dyDescent="0.25">
      <c r="A1273" s="10">
        <f t="shared" si="4"/>
        <v>1259</v>
      </c>
      <c r="B1273" s="559" t="s">
        <v>303</v>
      </c>
      <c r="C1273" s="327"/>
      <c r="D1273" s="560" t="s">
        <v>307</v>
      </c>
      <c r="E1273" s="327"/>
      <c r="F1273" s="537" t="s">
        <v>334</v>
      </c>
      <c r="G1273" s="327"/>
      <c r="H1273" s="566" t="s">
        <v>334</v>
      </c>
      <c r="I1273" s="327"/>
      <c r="J1273" s="567"/>
      <c r="K1273" s="327"/>
      <c r="L1273" s="567"/>
      <c r="M1273" s="327"/>
      <c r="N1273" s="20"/>
      <c r="O1273" s="21"/>
      <c r="P1273" s="524"/>
      <c r="Q1273" s="327"/>
      <c r="R1273" s="516"/>
      <c r="S1273" s="327"/>
      <c r="T1273" s="517"/>
      <c r="U1273" s="327"/>
      <c r="V1273" s="540"/>
      <c r="W1273" s="327"/>
      <c r="X1273" s="541" t="s">
        <v>303</v>
      </c>
      <c r="Y1273" s="326"/>
      <c r="Z1273" s="326"/>
      <c r="AA1273" s="327"/>
      <c r="AB1273" s="542" t="s">
        <v>303</v>
      </c>
      <c r="AC1273" s="326"/>
      <c r="AD1273" s="326"/>
      <c r="AE1273" s="327"/>
      <c r="AF1273" s="543"/>
      <c r="AG1273" s="327"/>
      <c r="AH1273" s="543"/>
      <c r="AI1273" s="327"/>
      <c r="AJ1273" s="536"/>
      <c r="AK1273" s="327"/>
      <c r="AL1273" s="537" t="s">
        <v>334</v>
      </c>
      <c r="AM1273" s="327"/>
      <c r="AN1273" s="546" t="s">
        <v>334</v>
      </c>
      <c r="AO1273" s="327"/>
      <c r="AP1273" s="547"/>
      <c r="AQ1273" s="327"/>
      <c r="AR1273" s="548"/>
      <c r="AS1273" s="327"/>
      <c r="AT1273" s="568"/>
      <c r="AU1273" s="327"/>
      <c r="AV1273" s="546" t="s">
        <v>334</v>
      </c>
      <c r="AW1273" s="327"/>
      <c r="AX1273" s="521"/>
      <c r="AY1273" s="326"/>
      <c r="AZ1273" s="327"/>
      <c r="BA1273" s="550"/>
      <c r="BB1273" s="327"/>
      <c r="BC1273" s="25"/>
      <c r="BD1273" s="544" t="s">
        <v>334</v>
      </c>
      <c r="BE1273" s="327"/>
      <c r="BF1273" s="545"/>
      <c r="BG1273" s="326"/>
      <c r="BH1273" s="326"/>
      <c r="BI1273" s="327"/>
      <c r="BJ1273" s="557" t="s">
        <v>303</v>
      </c>
      <c r="BK1273" s="326"/>
      <c r="BL1273" s="326"/>
      <c r="BM1273" s="327"/>
      <c r="BN1273" s="558" t="s">
        <v>303</v>
      </c>
      <c r="BO1273" s="326"/>
      <c r="BP1273" s="326"/>
      <c r="BQ1273" s="326"/>
      <c r="BR1273" s="326"/>
      <c r="BS1273" s="326"/>
      <c r="BT1273" s="326"/>
      <c r="BU1273" s="326"/>
      <c r="BV1273" s="327"/>
    </row>
    <row r="1274" spans="1:74" ht="45" customHeight="1" x14ac:dyDescent="0.25">
      <c r="A1274" s="10">
        <f t="shared" si="4"/>
        <v>1260</v>
      </c>
      <c r="B1274" s="564" t="s">
        <v>303</v>
      </c>
      <c r="C1274" s="327"/>
      <c r="D1274" s="565" t="s">
        <v>307</v>
      </c>
      <c r="E1274" s="327"/>
      <c r="F1274" s="537" t="s">
        <v>334</v>
      </c>
      <c r="G1274" s="327"/>
      <c r="H1274" s="561" t="s">
        <v>334</v>
      </c>
      <c r="I1274" s="327"/>
      <c r="J1274" s="562"/>
      <c r="K1274" s="327"/>
      <c r="L1274" s="562"/>
      <c r="M1274" s="327"/>
      <c r="N1274" s="23"/>
      <c r="O1274" s="24"/>
      <c r="P1274" s="563"/>
      <c r="Q1274" s="327"/>
      <c r="R1274" s="538"/>
      <c r="S1274" s="327"/>
      <c r="T1274" s="539"/>
      <c r="U1274" s="327"/>
      <c r="V1274" s="518"/>
      <c r="W1274" s="327"/>
      <c r="X1274" s="438" t="s">
        <v>303</v>
      </c>
      <c r="Y1274" s="326"/>
      <c r="Z1274" s="326"/>
      <c r="AA1274" s="327"/>
      <c r="AB1274" s="519" t="s">
        <v>303</v>
      </c>
      <c r="AC1274" s="326"/>
      <c r="AD1274" s="326"/>
      <c r="AE1274" s="327"/>
      <c r="AF1274" s="520"/>
      <c r="AG1274" s="327"/>
      <c r="AH1274" s="520"/>
      <c r="AI1274" s="327"/>
      <c r="AJ1274" s="536"/>
      <c r="AK1274" s="327"/>
      <c r="AL1274" s="556" t="s">
        <v>334</v>
      </c>
      <c r="AM1274" s="327"/>
      <c r="AN1274" s="553" t="s">
        <v>334</v>
      </c>
      <c r="AO1274" s="327"/>
      <c r="AP1274" s="554"/>
      <c r="AQ1274" s="327"/>
      <c r="AR1274" s="555"/>
      <c r="AS1274" s="327"/>
      <c r="AT1274" s="549"/>
      <c r="AU1274" s="327"/>
      <c r="AV1274" s="553" t="s">
        <v>334</v>
      </c>
      <c r="AW1274" s="327"/>
      <c r="AX1274" s="521"/>
      <c r="AY1274" s="326"/>
      <c r="AZ1274" s="327"/>
      <c r="BA1274" s="536"/>
      <c r="BB1274" s="327"/>
      <c r="BC1274" s="22"/>
      <c r="BD1274" s="551" t="s">
        <v>334</v>
      </c>
      <c r="BE1274" s="327"/>
      <c r="BF1274" s="552"/>
      <c r="BG1274" s="326"/>
      <c r="BH1274" s="326"/>
      <c r="BI1274" s="327"/>
      <c r="BJ1274" s="451" t="s">
        <v>303</v>
      </c>
      <c r="BK1274" s="326"/>
      <c r="BL1274" s="326"/>
      <c r="BM1274" s="327"/>
      <c r="BN1274" s="558" t="s">
        <v>303</v>
      </c>
      <c r="BO1274" s="326"/>
      <c r="BP1274" s="326"/>
      <c r="BQ1274" s="326"/>
      <c r="BR1274" s="326"/>
      <c r="BS1274" s="326"/>
      <c r="BT1274" s="326"/>
      <c r="BU1274" s="326"/>
      <c r="BV1274" s="327"/>
    </row>
    <row r="1275" spans="1:74" ht="45" customHeight="1" x14ac:dyDescent="0.25">
      <c r="A1275" s="10">
        <f t="shared" si="4"/>
        <v>1261</v>
      </c>
      <c r="B1275" s="559" t="s">
        <v>303</v>
      </c>
      <c r="C1275" s="327"/>
      <c r="D1275" s="560" t="s">
        <v>307</v>
      </c>
      <c r="E1275" s="327"/>
      <c r="F1275" s="537" t="s">
        <v>334</v>
      </c>
      <c r="G1275" s="327"/>
      <c r="H1275" s="566" t="s">
        <v>334</v>
      </c>
      <c r="I1275" s="327"/>
      <c r="J1275" s="567"/>
      <c r="K1275" s="327"/>
      <c r="L1275" s="567"/>
      <c r="M1275" s="327"/>
      <c r="N1275" s="20"/>
      <c r="O1275" s="21"/>
      <c r="P1275" s="524"/>
      <c r="Q1275" s="327"/>
      <c r="R1275" s="516"/>
      <c r="S1275" s="327"/>
      <c r="T1275" s="517"/>
      <c r="U1275" s="327"/>
      <c r="V1275" s="540"/>
      <c r="W1275" s="327"/>
      <c r="X1275" s="541" t="s">
        <v>303</v>
      </c>
      <c r="Y1275" s="326"/>
      <c r="Z1275" s="326"/>
      <c r="AA1275" s="327"/>
      <c r="AB1275" s="542" t="s">
        <v>303</v>
      </c>
      <c r="AC1275" s="326"/>
      <c r="AD1275" s="326"/>
      <c r="AE1275" s="327"/>
      <c r="AF1275" s="543"/>
      <c r="AG1275" s="327"/>
      <c r="AH1275" s="543"/>
      <c r="AI1275" s="327"/>
      <c r="AJ1275" s="536"/>
      <c r="AK1275" s="327"/>
      <c r="AL1275" s="537" t="s">
        <v>334</v>
      </c>
      <c r="AM1275" s="327"/>
      <c r="AN1275" s="546" t="s">
        <v>334</v>
      </c>
      <c r="AO1275" s="327"/>
      <c r="AP1275" s="547"/>
      <c r="AQ1275" s="327"/>
      <c r="AR1275" s="548"/>
      <c r="AS1275" s="327"/>
      <c r="AT1275" s="568"/>
      <c r="AU1275" s="327"/>
      <c r="AV1275" s="546" t="s">
        <v>334</v>
      </c>
      <c r="AW1275" s="327"/>
      <c r="AX1275" s="521"/>
      <c r="AY1275" s="326"/>
      <c r="AZ1275" s="327"/>
      <c r="BA1275" s="550"/>
      <c r="BB1275" s="327"/>
      <c r="BC1275" s="25"/>
      <c r="BD1275" s="544" t="s">
        <v>334</v>
      </c>
      <c r="BE1275" s="327"/>
      <c r="BF1275" s="545"/>
      <c r="BG1275" s="326"/>
      <c r="BH1275" s="326"/>
      <c r="BI1275" s="327"/>
      <c r="BJ1275" s="557" t="s">
        <v>303</v>
      </c>
      <c r="BK1275" s="326"/>
      <c r="BL1275" s="326"/>
      <c r="BM1275" s="327"/>
      <c r="BN1275" s="558" t="s">
        <v>303</v>
      </c>
      <c r="BO1275" s="326"/>
      <c r="BP1275" s="326"/>
      <c r="BQ1275" s="326"/>
      <c r="BR1275" s="326"/>
      <c r="BS1275" s="326"/>
      <c r="BT1275" s="326"/>
      <c r="BU1275" s="326"/>
      <c r="BV1275" s="327"/>
    </row>
    <row r="1276" spans="1:74" ht="45" customHeight="1" x14ac:dyDescent="0.25">
      <c r="A1276" s="10">
        <f t="shared" si="4"/>
        <v>1262</v>
      </c>
      <c r="B1276" s="564" t="s">
        <v>303</v>
      </c>
      <c r="C1276" s="327"/>
      <c r="D1276" s="565" t="s">
        <v>307</v>
      </c>
      <c r="E1276" s="327"/>
      <c r="F1276" s="537" t="s">
        <v>334</v>
      </c>
      <c r="G1276" s="327"/>
      <c r="H1276" s="561" t="s">
        <v>334</v>
      </c>
      <c r="I1276" s="327"/>
      <c r="J1276" s="562"/>
      <c r="K1276" s="327"/>
      <c r="L1276" s="562"/>
      <c r="M1276" s="327"/>
      <c r="N1276" s="20"/>
      <c r="O1276" s="21"/>
      <c r="P1276" s="524"/>
      <c r="Q1276" s="327"/>
      <c r="R1276" s="516"/>
      <c r="S1276" s="327"/>
      <c r="T1276" s="517"/>
      <c r="U1276" s="327"/>
      <c r="V1276" s="518"/>
      <c r="W1276" s="327"/>
      <c r="X1276" s="438" t="s">
        <v>303</v>
      </c>
      <c r="Y1276" s="326"/>
      <c r="Z1276" s="326"/>
      <c r="AA1276" s="327"/>
      <c r="AB1276" s="519" t="s">
        <v>303</v>
      </c>
      <c r="AC1276" s="326"/>
      <c r="AD1276" s="326"/>
      <c r="AE1276" s="327"/>
      <c r="AF1276" s="520"/>
      <c r="AG1276" s="327"/>
      <c r="AH1276" s="520"/>
      <c r="AI1276" s="327"/>
      <c r="AJ1276" s="536"/>
      <c r="AK1276" s="327"/>
      <c r="AL1276" s="556" t="s">
        <v>334</v>
      </c>
      <c r="AM1276" s="327"/>
      <c r="AN1276" s="553" t="s">
        <v>334</v>
      </c>
      <c r="AO1276" s="327"/>
      <c r="AP1276" s="554"/>
      <c r="AQ1276" s="327"/>
      <c r="AR1276" s="555"/>
      <c r="AS1276" s="327"/>
      <c r="AT1276" s="549"/>
      <c r="AU1276" s="327"/>
      <c r="AV1276" s="553" t="s">
        <v>334</v>
      </c>
      <c r="AW1276" s="327"/>
      <c r="AX1276" s="521"/>
      <c r="AY1276" s="326"/>
      <c r="AZ1276" s="327"/>
      <c r="BA1276" s="536"/>
      <c r="BB1276" s="327"/>
      <c r="BC1276" s="22"/>
      <c r="BD1276" s="551" t="s">
        <v>334</v>
      </c>
      <c r="BE1276" s="327"/>
      <c r="BF1276" s="552"/>
      <c r="BG1276" s="326"/>
      <c r="BH1276" s="326"/>
      <c r="BI1276" s="327"/>
      <c r="BJ1276" s="451" t="s">
        <v>303</v>
      </c>
      <c r="BK1276" s="326"/>
      <c r="BL1276" s="326"/>
      <c r="BM1276" s="327"/>
      <c r="BN1276" s="558" t="s">
        <v>303</v>
      </c>
      <c r="BO1276" s="326"/>
      <c r="BP1276" s="326"/>
      <c r="BQ1276" s="326"/>
      <c r="BR1276" s="326"/>
      <c r="BS1276" s="326"/>
      <c r="BT1276" s="326"/>
      <c r="BU1276" s="326"/>
      <c r="BV1276" s="327"/>
    </row>
    <row r="1277" spans="1:74" ht="45" customHeight="1" x14ac:dyDescent="0.25">
      <c r="A1277" s="10">
        <f t="shared" si="4"/>
        <v>1263</v>
      </c>
      <c r="B1277" s="559" t="s">
        <v>303</v>
      </c>
      <c r="C1277" s="327"/>
      <c r="D1277" s="560" t="s">
        <v>307</v>
      </c>
      <c r="E1277" s="327"/>
      <c r="F1277" s="537" t="s">
        <v>334</v>
      </c>
      <c r="G1277" s="327"/>
      <c r="H1277" s="566" t="s">
        <v>334</v>
      </c>
      <c r="I1277" s="327"/>
      <c r="J1277" s="567"/>
      <c r="K1277" s="327"/>
      <c r="L1277" s="567"/>
      <c r="M1277" s="327"/>
      <c r="N1277" s="23"/>
      <c r="O1277" s="24"/>
      <c r="P1277" s="563"/>
      <c r="Q1277" s="327"/>
      <c r="R1277" s="538"/>
      <c r="S1277" s="327"/>
      <c r="T1277" s="539"/>
      <c r="U1277" s="327"/>
      <c r="V1277" s="540"/>
      <c r="W1277" s="327"/>
      <c r="X1277" s="541" t="s">
        <v>303</v>
      </c>
      <c r="Y1277" s="326"/>
      <c r="Z1277" s="326"/>
      <c r="AA1277" s="327"/>
      <c r="AB1277" s="542" t="s">
        <v>303</v>
      </c>
      <c r="AC1277" s="326"/>
      <c r="AD1277" s="326"/>
      <c r="AE1277" s="327"/>
      <c r="AF1277" s="543"/>
      <c r="AG1277" s="327"/>
      <c r="AH1277" s="543"/>
      <c r="AI1277" s="327"/>
      <c r="AJ1277" s="536"/>
      <c r="AK1277" s="327"/>
      <c r="AL1277" s="537" t="s">
        <v>334</v>
      </c>
      <c r="AM1277" s="327"/>
      <c r="AN1277" s="546" t="s">
        <v>334</v>
      </c>
      <c r="AO1277" s="327"/>
      <c r="AP1277" s="547"/>
      <c r="AQ1277" s="327"/>
      <c r="AR1277" s="548"/>
      <c r="AS1277" s="327"/>
      <c r="AT1277" s="568"/>
      <c r="AU1277" s="327"/>
      <c r="AV1277" s="546" t="s">
        <v>334</v>
      </c>
      <c r="AW1277" s="327"/>
      <c r="AX1277" s="521"/>
      <c r="AY1277" s="326"/>
      <c r="AZ1277" s="327"/>
      <c r="BA1277" s="550"/>
      <c r="BB1277" s="327"/>
      <c r="BC1277" s="25"/>
      <c r="BD1277" s="544" t="s">
        <v>334</v>
      </c>
      <c r="BE1277" s="327"/>
      <c r="BF1277" s="545"/>
      <c r="BG1277" s="326"/>
      <c r="BH1277" s="326"/>
      <c r="BI1277" s="327"/>
      <c r="BJ1277" s="557" t="s">
        <v>303</v>
      </c>
      <c r="BK1277" s="326"/>
      <c r="BL1277" s="326"/>
      <c r="BM1277" s="327"/>
      <c r="BN1277" s="558" t="s">
        <v>303</v>
      </c>
      <c r="BO1277" s="326"/>
      <c r="BP1277" s="326"/>
      <c r="BQ1277" s="326"/>
      <c r="BR1277" s="326"/>
      <c r="BS1277" s="326"/>
      <c r="BT1277" s="326"/>
      <c r="BU1277" s="326"/>
      <c r="BV1277" s="327"/>
    </row>
    <row r="1278" spans="1:74" ht="45" customHeight="1" x14ac:dyDescent="0.25">
      <c r="A1278" s="10">
        <f t="shared" si="4"/>
        <v>1264</v>
      </c>
      <c r="B1278" s="564" t="s">
        <v>303</v>
      </c>
      <c r="C1278" s="327"/>
      <c r="D1278" s="565" t="s">
        <v>307</v>
      </c>
      <c r="E1278" s="327"/>
      <c r="F1278" s="537" t="s">
        <v>334</v>
      </c>
      <c r="G1278" s="327"/>
      <c r="H1278" s="561" t="s">
        <v>334</v>
      </c>
      <c r="I1278" s="327"/>
      <c r="J1278" s="562"/>
      <c r="K1278" s="327"/>
      <c r="L1278" s="562"/>
      <c r="M1278" s="327"/>
      <c r="N1278" s="20"/>
      <c r="O1278" s="21"/>
      <c r="P1278" s="524"/>
      <c r="Q1278" s="327"/>
      <c r="R1278" s="516"/>
      <c r="S1278" s="327"/>
      <c r="T1278" s="517"/>
      <c r="U1278" s="327"/>
      <c r="V1278" s="518"/>
      <c r="W1278" s="327"/>
      <c r="X1278" s="438" t="s">
        <v>303</v>
      </c>
      <c r="Y1278" s="326"/>
      <c r="Z1278" s="326"/>
      <c r="AA1278" s="327"/>
      <c r="AB1278" s="519" t="s">
        <v>303</v>
      </c>
      <c r="AC1278" s="326"/>
      <c r="AD1278" s="326"/>
      <c r="AE1278" s="327"/>
      <c r="AF1278" s="520"/>
      <c r="AG1278" s="327"/>
      <c r="AH1278" s="520"/>
      <c r="AI1278" s="327"/>
      <c r="AJ1278" s="536"/>
      <c r="AK1278" s="327"/>
      <c r="AL1278" s="556" t="s">
        <v>334</v>
      </c>
      <c r="AM1278" s="327"/>
      <c r="AN1278" s="553" t="s">
        <v>334</v>
      </c>
      <c r="AO1278" s="327"/>
      <c r="AP1278" s="554"/>
      <c r="AQ1278" s="327"/>
      <c r="AR1278" s="555"/>
      <c r="AS1278" s="327"/>
      <c r="AT1278" s="549"/>
      <c r="AU1278" s="327"/>
      <c r="AV1278" s="553" t="s">
        <v>334</v>
      </c>
      <c r="AW1278" s="327"/>
      <c r="AX1278" s="521"/>
      <c r="AY1278" s="326"/>
      <c r="AZ1278" s="327"/>
      <c r="BA1278" s="536"/>
      <c r="BB1278" s="327"/>
      <c r="BC1278" s="22"/>
      <c r="BD1278" s="551" t="s">
        <v>334</v>
      </c>
      <c r="BE1278" s="327"/>
      <c r="BF1278" s="508"/>
      <c r="BG1278" s="326"/>
      <c r="BH1278" s="326"/>
      <c r="BI1278" s="327"/>
      <c r="BJ1278" s="451" t="s">
        <v>303</v>
      </c>
      <c r="BK1278" s="326"/>
      <c r="BL1278" s="326"/>
      <c r="BM1278" s="327"/>
      <c r="BN1278" s="558" t="s">
        <v>303</v>
      </c>
      <c r="BO1278" s="326"/>
      <c r="BP1278" s="326"/>
      <c r="BQ1278" s="326"/>
      <c r="BR1278" s="326"/>
      <c r="BS1278" s="326"/>
      <c r="BT1278" s="326"/>
      <c r="BU1278" s="326"/>
      <c r="BV1278" s="327"/>
    </row>
    <row r="1279" spans="1:74" ht="45" customHeight="1" x14ac:dyDescent="0.25">
      <c r="A1279" s="10">
        <f t="shared" si="4"/>
        <v>1265</v>
      </c>
      <c r="B1279" s="559" t="s">
        <v>303</v>
      </c>
      <c r="C1279" s="327"/>
      <c r="D1279" s="560" t="s">
        <v>307</v>
      </c>
      <c r="E1279" s="327"/>
      <c r="F1279" s="537" t="s">
        <v>334</v>
      </c>
      <c r="G1279" s="327"/>
      <c r="H1279" s="566" t="s">
        <v>334</v>
      </c>
      <c r="I1279" s="327"/>
      <c r="J1279" s="567"/>
      <c r="K1279" s="327"/>
      <c r="L1279" s="567"/>
      <c r="M1279" s="327"/>
      <c r="N1279" s="23"/>
      <c r="O1279" s="24"/>
      <c r="P1279" s="563"/>
      <c r="Q1279" s="327"/>
      <c r="R1279" s="538"/>
      <c r="S1279" s="327"/>
      <c r="T1279" s="539"/>
      <c r="U1279" s="327"/>
      <c r="V1279" s="540"/>
      <c r="W1279" s="327"/>
      <c r="X1279" s="541" t="s">
        <v>303</v>
      </c>
      <c r="Y1279" s="326"/>
      <c r="Z1279" s="326"/>
      <c r="AA1279" s="327"/>
      <c r="AB1279" s="542" t="s">
        <v>303</v>
      </c>
      <c r="AC1279" s="326"/>
      <c r="AD1279" s="326"/>
      <c r="AE1279" s="327"/>
      <c r="AF1279" s="543"/>
      <c r="AG1279" s="327"/>
      <c r="AH1279" s="543"/>
      <c r="AI1279" s="327"/>
      <c r="AJ1279" s="536"/>
      <c r="AK1279" s="327"/>
      <c r="AL1279" s="537" t="s">
        <v>334</v>
      </c>
      <c r="AM1279" s="327"/>
      <c r="AN1279" s="546" t="s">
        <v>334</v>
      </c>
      <c r="AO1279" s="327"/>
      <c r="AP1279" s="547"/>
      <c r="AQ1279" s="327"/>
      <c r="AR1279" s="548"/>
      <c r="AS1279" s="327"/>
      <c r="AT1279" s="568"/>
      <c r="AU1279" s="327"/>
      <c r="AV1279" s="546" t="s">
        <v>334</v>
      </c>
      <c r="AW1279" s="327"/>
      <c r="AX1279" s="521"/>
      <c r="AY1279" s="326"/>
      <c r="AZ1279" s="327"/>
      <c r="BA1279" s="550"/>
      <c r="BB1279" s="327"/>
      <c r="BC1279" s="25"/>
      <c r="BD1279" s="544" t="s">
        <v>334</v>
      </c>
      <c r="BE1279" s="327"/>
      <c r="BF1279" s="545"/>
      <c r="BG1279" s="326"/>
      <c r="BH1279" s="326"/>
      <c r="BI1279" s="327"/>
      <c r="BJ1279" s="557" t="s">
        <v>303</v>
      </c>
      <c r="BK1279" s="326"/>
      <c r="BL1279" s="326"/>
      <c r="BM1279" s="327"/>
      <c r="BN1279" s="558" t="s">
        <v>303</v>
      </c>
      <c r="BO1279" s="326"/>
      <c r="BP1279" s="326"/>
      <c r="BQ1279" s="326"/>
      <c r="BR1279" s="326"/>
      <c r="BS1279" s="326"/>
      <c r="BT1279" s="326"/>
      <c r="BU1279" s="326"/>
      <c r="BV1279" s="327"/>
    </row>
    <row r="1280" spans="1:74" ht="45" customHeight="1" x14ac:dyDescent="0.25">
      <c r="A1280" s="10">
        <f t="shared" si="4"/>
        <v>1266</v>
      </c>
      <c r="B1280" s="564" t="s">
        <v>303</v>
      </c>
      <c r="C1280" s="327"/>
      <c r="D1280" s="565" t="s">
        <v>307</v>
      </c>
      <c r="E1280" s="327"/>
      <c r="F1280" s="537" t="s">
        <v>334</v>
      </c>
      <c r="G1280" s="327"/>
      <c r="H1280" s="561" t="s">
        <v>334</v>
      </c>
      <c r="I1280" s="327"/>
      <c r="J1280" s="562"/>
      <c r="K1280" s="327"/>
      <c r="L1280" s="562"/>
      <c r="M1280" s="327"/>
      <c r="N1280" s="20"/>
      <c r="O1280" s="21"/>
      <c r="P1280" s="524"/>
      <c r="Q1280" s="327"/>
      <c r="R1280" s="516"/>
      <c r="S1280" s="327"/>
      <c r="T1280" s="517"/>
      <c r="U1280" s="327"/>
      <c r="V1280" s="518"/>
      <c r="W1280" s="327"/>
      <c r="X1280" s="438" t="s">
        <v>303</v>
      </c>
      <c r="Y1280" s="326"/>
      <c r="Z1280" s="326"/>
      <c r="AA1280" s="327"/>
      <c r="AB1280" s="519" t="s">
        <v>303</v>
      </c>
      <c r="AC1280" s="326"/>
      <c r="AD1280" s="326"/>
      <c r="AE1280" s="327"/>
      <c r="AF1280" s="520"/>
      <c r="AG1280" s="327"/>
      <c r="AH1280" s="520"/>
      <c r="AI1280" s="327"/>
      <c r="AJ1280" s="536"/>
      <c r="AK1280" s="327"/>
      <c r="AL1280" s="556" t="s">
        <v>334</v>
      </c>
      <c r="AM1280" s="327"/>
      <c r="AN1280" s="553" t="s">
        <v>334</v>
      </c>
      <c r="AO1280" s="327"/>
      <c r="AP1280" s="554"/>
      <c r="AQ1280" s="327"/>
      <c r="AR1280" s="555"/>
      <c r="AS1280" s="327"/>
      <c r="AT1280" s="549"/>
      <c r="AU1280" s="327"/>
      <c r="AV1280" s="553" t="s">
        <v>334</v>
      </c>
      <c r="AW1280" s="327"/>
      <c r="AX1280" s="521"/>
      <c r="AY1280" s="326"/>
      <c r="AZ1280" s="327"/>
      <c r="BA1280" s="536"/>
      <c r="BB1280" s="327"/>
      <c r="BC1280" s="22"/>
      <c r="BD1280" s="551" t="s">
        <v>334</v>
      </c>
      <c r="BE1280" s="327"/>
      <c r="BF1280" s="552"/>
      <c r="BG1280" s="326"/>
      <c r="BH1280" s="326"/>
      <c r="BI1280" s="327"/>
      <c r="BJ1280" s="451" t="s">
        <v>303</v>
      </c>
      <c r="BK1280" s="326"/>
      <c r="BL1280" s="326"/>
      <c r="BM1280" s="327"/>
      <c r="BN1280" s="558" t="s">
        <v>303</v>
      </c>
      <c r="BO1280" s="326"/>
      <c r="BP1280" s="326"/>
      <c r="BQ1280" s="326"/>
      <c r="BR1280" s="326"/>
      <c r="BS1280" s="326"/>
      <c r="BT1280" s="326"/>
      <c r="BU1280" s="326"/>
      <c r="BV1280" s="327"/>
    </row>
    <row r="1281" spans="1:74" ht="45" customHeight="1" x14ac:dyDescent="0.25">
      <c r="A1281" s="10">
        <f t="shared" si="4"/>
        <v>1267</v>
      </c>
      <c r="B1281" s="559" t="s">
        <v>303</v>
      </c>
      <c r="C1281" s="327"/>
      <c r="D1281" s="560" t="s">
        <v>307</v>
      </c>
      <c r="E1281" s="327"/>
      <c r="F1281" s="537" t="s">
        <v>334</v>
      </c>
      <c r="G1281" s="327"/>
      <c r="H1281" s="566" t="s">
        <v>334</v>
      </c>
      <c r="I1281" s="327"/>
      <c r="J1281" s="567"/>
      <c r="K1281" s="327"/>
      <c r="L1281" s="567"/>
      <c r="M1281" s="327"/>
      <c r="N1281" s="23"/>
      <c r="O1281" s="24"/>
      <c r="P1281" s="563"/>
      <c r="Q1281" s="327"/>
      <c r="R1281" s="538"/>
      <c r="S1281" s="327"/>
      <c r="T1281" s="539"/>
      <c r="U1281" s="327"/>
      <c r="V1281" s="540"/>
      <c r="W1281" s="327"/>
      <c r="X1281" s="541" t="s">
        <v>303</v>
      </c>
      <c r="Y1281" s="326"/>
      <c r="Z1281" s="326"/>
      <c r="AA1281" s="327"/>
      <c r="AB1281" s="542" t="s">
        <v>303</v>
      </c>
      <c r="AC1281" s="326"/>
      <c r="AD1281" s="326"/>
      <c r="AE1281" s="327"/>
      <c r="AF1281" s="543"/>
      <c r="AG1281" s="327"/>
      <c r="AH1281" s="543"/>
      <c r="AI1281" s="327"/>
      <c r="AJ1281" s="536"/>
      <c r="AK1281" s="327"/>
      <c r="AL1281" s="537" t="s">
        <v>334</v>
      </c>
      <c r="AM1281" s="327"/>
      <c r="AN1281" s="546" t="s">
        <v>334</v>
      </c>
      <c r="AO1281" s="327"/>
      <c r="AP1281" s="547"/>
      <c r="AQ1281" s="327"/>
      <c r="AR1281" s="548"/>
      <c r="AS1281" s="327"/>
      <c r="AT1281" s="549"/>
      <c r="AU1281" s="327"/>
      <c r="AV1281" s="546" t="s">
        <v>334</v>
      </c>
      <c r="AW1281" s="327"/>
      <c r="AX1281" s="521"/>
      <c r="AY1281" s="326"/>
      <c r="AZ1281" s="327"/>
      <c r="BA1281" s="550"/>
      <c r="BB1281" s="327"/>
      <c r="BC1281" s="25"/>
      <c r="BD1281" s="544" t="s">
        <v>334</v>
      </c>
      <c r="BE1281" s="327"/>
      <c r="BF1281" s="545"/>
      <c r="BG1281" s="326"/>
      <c r="BH1281" s="326"/>
      <c r="BI1281" s="327"/>
      <c r="BJ1281" s="557" t="s">
        <v>303</v>
      </c>
      <c r="BK1281" s="326"/>
      <c r="BL1281" s="326"/>
      <c r="BM1281" s="327"/>
      <c r="BN1281" s="558" t="s">
        <v>303</v>
      </c>
      <c r="BO1281" s="326"/>
      <c r="BP1281" s="326"/>
      <c r="BQ1281" s="326"/>
      <c r="BR1281" s="326"/>
      <c r="BS1281" s="326"/>
      <c r="BT1281" s="326"/>
      <c r="BU1281" s="326"/>
      <c r="BV1281" s="327"/>
    </row>
    <row r="1282" spans="1:74" ht="45" customHeight="1" x14ac:dyDescent="0.25">
      <c r="A1282" s="10">
        <f t="shared" si="4"/>
        <v>1268</v>
      </c>
      <c r="B1282" s="564" t="s">
        <v>303</v>
      </c>
      <c r="C1282" s="327"/>
      <c r="D1282" s="565" t="s">
        <v>307</v>
      </c>
      <c r="E1282" s="327"/>
      <c r="F1282" s="537" t="s">
        <v>334</v>
      </c>
      <c r="G1282" s="327"/>
      <c r="H1282" s="561" t="s">
        <v>334</v>
      </c>
      <c r="I1282" s="327"/>
      <c r="J1282" s="562"/>
      <c r="K1282" s="327"/>
      <c r="L1282" s="562"/>
      <c r="M1282" s="327"/>
      <c r="N1282" s="20"/>
      <c r="O1282" s="21"/>
      <c r="P1282" s="524"/>
      <c r="Q1282" s="327"/>
      <c r="R1282" s="516"/>
      <c r="S1282" s="327"/>
      <c r="T1282" s="517"/>
      <c r="U1282" s="327"/>
      <c r="V1282" s="518"/>
      <c r="W1282" s="327"/>
      <c r="X1282" s="438" t="s">
        <v>303</v>
      </c>
      <c r="Y1282" s="326"/>
      <c r="Z1282" s="326"/>
      <c r="AA1282" s="327"/>
      <c r="AB1282" s="519" t="s">
        <v>303</v>
      </c>
      <c r="AC1282" s="326"/>
      <c r="AD1282" s="326"/>
      <c r="AE1282" s="327"/>
      <c r="AF1282" s="520"/>
      <c r="AG1282" s="327"/>
      <c r="AH1282" s="520"/>
      <c r="AI1282" s="327"/>
      <c r="AJ1282" s="536"/>
      <c r="AK1282" s="327"/>
      <c r="AL1282" s="556" t="s">
        <v>334</v>
      </c>
      <c r="AM1282" s="327"/>
      <c r="AN1282" s="553" t="s">
        <v>334</v>
      </c>
      <c r="AO1282" s="327"/>
      <c r="AP1282" s="554"/>
      <c r="AQ1282" s="327"/>
      <c r="AR1282" s="555"/>
      <c r="AS1282" s="327"/>
      <c r="AT1282" s="549"/>
      <c r="AU1282" s="327"/>
      <c r="AV1282" s="553" t="s">
        <v>334</v>
      </c>
      <c r="AW1282" s="327"/>
      <c r="AX1282" s="521"/>
      <c r="AY1282" s="326"/>
      <c r="AZ1282" s="327"/>
      <c r="BA1282" s="536"/>
      <c r="BB1282" s="327"/>
      <c r="BC1282" s="22"/>
      <c r="BD1282" s="551" t="s">
        <v>334</v>
      </c>
      <c r="BE1282" s="327"/>
      <c r="BF1282" s="552"/>
      <c r="BG1282" s="326"/>
      <c r="BH1282" s="326"/>
      <c r="BI1282" s="327"/>
      <c r="BJ1282" s="451" t="s">
        <v>303</v>
      </c>
      <c r="BK1282" s="326"/>
      <c r="BL1282" s="326"/>
      <c r="BM1282" s="327"/>
      <c r="BN1282" s="558" t="s">
        <v>303</v>
      </c>
      <c r="BO1282" s="326"/>
      <c r="BP1282" s="326"/>
      <c r="BQ1282" s="326"/>
      <c r="BR1282" s="326"/>
      <c r="BS1282" s="326"/>
      <c r="BT1282" s="326"/>
      <c r="BU1282" s="326"/>
      <c r="BV1282" s="327"/>
    </row>
    <row r="1283" spans="1:74" ht="45" customHeight="1" x14ac:dyDescent="0.25">
      <c r="A1283" s="10">
        <f t="shared" si="4"/>
        <v>1269</v>
      </c>
      <c r="B1283" s="559" t="s">
        <v>303</v>
      </c>
      <c r="C1283" s="327"/>
      <c r="D1283" s="560" t="s">
        <v>307</v>
      </c>
      <c r="E1283" s="327"/>
      <c r="F1283" s="537" t="s">
        <v>334</v>
      </c>
      <c r="G1283" s="327"/>
      <c r="H1283" s="566" t="s">
        <v>334</v>
      </c>
      <c r="I1283" s="327"/>
      <c r="J1283" s="567"/>
      <c r="K1283" s="327"/>
      <c r="L1283" s="567"/>
      <c r="M1283" s="327"/>
      <c r="N1283" s="20"/>
      <c r="O1283" s="21"/>
      <c r="P1283" s="524"/>
      <c r="Q1283" s="327"/>
      <c r="R1283" s="538"/>
      <c r="S1283" s="327"/>
      <c r="T1283" s="539"/>
      <c r="U1283" s="327"/>
      <c r="V1283" s="540"/>
      <c r="W1283" s="327"/>
      <c r="X1283" s="541" t="s">
        <v>303</v>
      </c>
      <c r="Y1283" s="326"/>
      <c r="Z1283" s="326"/>
      <c r="AA1283" s="327"/>
      <c r="AB1283" s="542" t="s">
        <v>303</v>
      </c>
      <c r="AC1283" s="326"/>
      <c r="AD1283" s="326"/>
      <c r="AE1283" s="327"/>
      <c r="AF1283" s="543"/>
      <c r="AG1283" s="327"/>
      <c r="AH1283" s="543"/>
      <c r="AI1283" s="327"/>
      <c r="AJ1283" s="536"/>
      <c r="AK1283" s="327"/>
      <c r="AL1283" s="537" t="s">
        <v>334</v>
      </c>
      <c r="AM1283" s="327"/>
      <c r="AN1283" s="546" t="s">
        <v>334</v>
      </c>
      <c r="AO1283" s="327"/>
      <c r="AP1283" s="547"/>
      <c r="AQ1283" s="327"/>
      <c r="AR1283" s="548"/>
      <c r="AS1283" s="327"/>
      <c r="AT1283" s="549"/>
      <c r="AU1283" s="327"/>
      <c r="AV1283" s="546" t="s">
        <v>334</v>
      </c>
      <c r="AW1283" s="327"/>
      <c r="AX1283" s="521"/>
      <c r="AY1283" s="326"/>
      <c r="AZ1283" s="327"/>
      <c r="BA1283" s="550"/>
      <c r="BB1283" s="327"/>
      <c r="BC1283" s="25"/>
      <c r="BD1283" s="544" t="s">
        <v>334</v>
      </c>
      <c r="BE1283" s="327"/>
      <c r="BF1283" s="545"/>
      <c r="BG1283" s="326"/>
      <c r="BH1283" s="326"/>
      <c r="BI1283" s="327"/>
      <c r="BJ1283" s="557" t="s">
        <v>303</v>
      </c>
      <c r="BK1283" s="326"/>
      <c r="BL1283" s="326"/>
      <c r="BM1283" s="327"/>
      <c r="BN1283" s="558" t="s">
        <v>303</v>
      </c>
      <c r="BO1283" s="326"/>
      <c r="BP1283" s="326"/>
      <c r="BQ1283" s="326"/>
      <c r="BR1283" s="326"/>
      <c r="BS1283" s="326"/>
      <c r="BT1283" s="326"/>
      <c r="BU1283" s="326"/>
      <c r="BV1283" s="327"/>
    </row>
    <row r="1284" spans="1:74" ht="45" customHeight="1" x14ac:dyDescent="0.25">
      <c r="A1284" s="10">
        <f t="shared" si="4"/>
        <v>1270</v>
      </c>
      <c r="B1284" s="564" t="s">
        <v>303</v>
      </c>
      <c r="C1284" s="327"/>
      <c r="D1284" s="565" t="s">
        <v>307</v>
      </c>
      <c r="E1284" s="327"/>
      <c r="F1284" s="537" t="s">
        <v>334</v>
      </c>
      <c r="G1284" s="327"/>
      <c r="H1284" s="561" t="s">
        <v>334</v>
      </c>
      <c r="I1284" s="327"/>
      <c r="J1284" s="562"/>
      <c r="K1284" s="327"/>
      <c r="L1284" s="562"/>
      <c r="M1284" s="327"/>
      <c r="N1284" s="23"/>
      <c r="O1284" s="24"/>
      <c r="P1284" s="563"/>
      <c r="Q1284" s="327"/>
      <c r="R1284" s="516"/>
      <c r="S1284" s="327"/>
      <c r="T1284" s="517"/>
      <c r="U1284" s="327"/>
      <c r="V1284" s="518"/>
      <c r="W1284" s="327"/>
      <c r="X1284" s="438" t="s">
        <v>303</v>
      </c>
      <c r="Y1284" s="326"/>
      <c r="Z1284" s="326"/>
      <c r="AA1284" s="327"/>
      <c r="AB1284" s="519" t="s">
        <v>303</v>
      </c>
      <c r="AC1284" s="326"/>
      <c r="AD1284" s="326"/>
      <c r="AE1284" s="327"/>
      <c r="AF1284" s="520"/>
      <c r="AG1284" s="327"/>
      <c r="AH1284" s="520"/>
      <c r="AI1284" s="327"/>
      <c r="AJ1284" s="536"/>
      <c r="AK1284" s="327"/>
      <c r="AL1284" s="556" t="s">
        <v>334</v>
      </c>
      <c r="AM1284" s="327"/>
      <c r="AN1284" s="553" t="s">
        <v>334</v>
      </c>
      <c r="AO1284" s="327"/>
      <c r="AP1284" s="554"/>
      <c r="AQ1284" s="327"/>
      <c r="AR1284" s="555"/>
      <c r="AS1284" s="327"/>
      <c r="AT1284" s="549"/>
      <c r="AU1284" s="327"/>
      <c r="AV1284" s="553" t="s">
        <v>334</v>
      </c>
      <c r="AW1284" s="327"/>
      <c r="AX1284" s="521"/>
      <c r="AY1284" s="326"/>
      <c r="AZ1284" s="327"/>
      <c r="BA1284" s="536"/>
      <c r="BB1284" s="327"/>
      <c r="BC1284" s="22"/>
      <c r="BD1284" s="551" t="s">
        <v>334</v>
      </c>
      <c r="BE1284" s="327"/>
      <c r="BF1284" s="552"/>
      <c r="BG1284" s="326"/>
      <c r="BH1284" s="326"/>
      <c r="BI1284" s="327"/>
      <c r="BJ1284" s="451" t="s">
        <v>303</v>
      </c>
      <c r="BK1284" s="326"/>
      <c r="BL1284" s="326"/>
      <c r="BM1284" s="327"/>
      <c r="BN1284" s="558" t="s">
        <v>303</v>
      </c>
      <c r="BO1284" s="326"/>
      <c r="BP1284" s="326"/>
      <c r="BQ1284" s="326"/>
      <c r="BR1284" s="326"/>
      <c r="BS1284" s="326"/>
      <c r="BT1284" s="326"/>
      <c r="BU1284" s="326"/>
      <c r="BV1284" s="327"/>
    </row>
    <row r="1285" spans="1:74" ht="45" customHeight="1" x14ac:dyDescent="0.25">
      <c r="A1285" s="10">
        <f t="shared" si="4"/>
        <v>1271</v>
      </c>
      <c r="B1285" s="559" t="s">
        <v>303</v>
      </c>
      <c r="C1285" s="327"/>
      <c r="D1285" s="560" t="s">
        <v>307</v>
      </c>
      <c r="E1285" s="327"/>
      <c r="F1285" s="537" t="s">
        <v>334</v>
      </c>
      <c r="G1285" s="327"/>
      <c r="H1285" s="566" t="s">
        <v>334</v>
      </c>
      <c r="I1285" s="327"/>
      <c r="J1285" s="567"/>
      <c r="K1285" s="327"/>
      <c r="L1285" s="567"/>
      <c r="M1285" s="327"/>
      <c r="N1285" s="20"/>
      <c r="O1285" s="24"/>
      <c r="P1285" s="524"/>
      <c r="Q1285" s="327"/>
      <c r="R1285" s="538"/>
      <c r="S1285" s="327"/>
      <c r="T1285" s="539"/>
      <c r="U1285" s="327"/>
      <c r="V1285" s="540"/>
      <c r="W1285" s="327"/>
      <c r="X1285" s="541" t="s">
        <v>303</v>
      </c>
      <c r="Y1285" s="326"/>
      <c r="Z1285" s="326"/>
      <c r="AA1285" s="327"/>
      <c r="AB1285" s="542" t="s">
        <v>303</v>
      </c>
      <c r="AC1285" s="326"/>
      <c r="AD1285" s="326"/>
      <c r="AE1285" s="327"/>
      <c r="AF1285" s="543"/>
      <c r="AG1285" s="327"/>
      <c r="AH1285" s="543"/>
      <c r="AI1285" s="327"/>
      <c r="AJ1285" s="536"/>
      <c r="AK1285" s="327"/>
      <c r="AL1285" s="537" t="s">
        <v>334</v>
      </c>
      <c r="AM1285" s="327"/>
      <c r="AN1285" s="546" t="s">
        <v>334</v>
      </c>
      <c r="AO1285" s="327"/>
      <c r="AP1285" s="547"/>
      <c r="AQ1285" s="327"/>
      <c r="AR1285" s="548"/>
      <c r="AS1285" s="327"/>
      <c r="AT1285" s="568"/>
      <c r="AU1285" s="327"/>
      <c r="AV1285" s="546" t="s">
        <v>334</v>
      </c>
      <c r="AW1285" s="327"/>
      <c r="AX1285" s="521"/>
      <c r="AY1285" s="326"/>
      <c r="AZ1285" s="327"/>
      <c r="BA1285" s="550"/>
      <c r="BB1285" s="327"/>
      <c r="BC1285" s="25"/>
      <c r="BD1285" s="544" t="s">
        <v>334</v>
      </c>
      <c r="BE1285" s="327"/>
      <c r="BF1285" s="545"/>
      <c r="BG1285" s="326"/>
      <c r="BH1285" s="326"/>
      <c r="BI1285" s="327"/>
      <c r="BJ1285" s="557" t="s">
        <v>303</v>
      </c>
      <c r="BK1285" s="326"/>
      <c r="BL1285" s="326"/>
      <c r="BM1285" s="327"/>
      <c r="BN1285" s="558" t="s">
        <v>303</v>
      </c>
      <c r="BO1285" s="326"/>
      <c r="BP1285" s="326"/>
      <c r="BQ1285" s="326"/>
      <c r="BR1285" s="326"/>
      <c r="BS1285" s="326"/>
      <c r="BT1285" s="326"/>
      <c r="BU1285" s="326"/>
      <c r="BV1285" s="327"/>
    </row>
    <row r="1286" spans="1:74" ht="45" customHeight="1" x14ac:dyDescent="0.25">
      <c r="A1286" s="10">
        <f t="shared" si="4"/>
        <v>1272</v>
      </c>
      <c r="B1286" s="564" t="s">
        <v>303</v>
      </c>
      <c r="C1286" s="327"/>
      <c r="D1286" s="565" t="s">
        <v>307</v>
      </c>
      <c r="E1286" s="327"/>
      <c r="F1286" s="537" t="s">
        <v>334</v>
      </c>
      <c r="G1286" s="327"/>
      <c r="H1286" s="561" t="s">
        <v>334</v>
      </c>
      <c r="I1286" s="327"/>
      <c r="J1286" s="562"/>
      <c r="K1286" s="327"/>
      <c r="L1286" s="562"/>
      <c r="M1286" s="327"/>
      <c r="N1286" s="23"/>
      <c r="O1286" s="21"/>
      <c r="P1286" s="563"/>
      <c r="Q1286" s="327"/>
      <c r="R1286" s="516"/>
      <c r="S1286" s="327"/>
      <c r="T1286" s="517"/>
      <c r="U1286" s="327"/>
      <c r="V1286" s="518"/>
      <c r="W1286" s="327"/>
      <c r="X1286" s="438" t="s">
        <v>303</v>
      </c>
      <c r="Y1286" s="326"/>
      <c r="Z1286" s="326"/>
      <c r="AA1286" s="327"/>
      <c r="AB1286" s="519" t="s">
        <v>303</v>
      </c>
      <c r="AC1286" s="326"/>
      <c r="AD1286" s="326"/>
      <c r="AE1286" s="327"/>
      <c r="AF1286" s="520"/>
      <c r="AG1286" s="327"/>
      <c r="AH1286" s="520"/>
      <c r="AI1286" s="327"/>
      <c r="AJ1286" s="536"/>
      <c r="AK1286" s="327"/>
      <c r="AL1286" s="556" t="s">
        <v>334</v>
      </c>
      <c r="AM1286" s="327"/>
      <c r="AN1286" s="553" t="s">
        <v>334</v>
      </c>
      <c r="AO1286" s="327"/>
      <c r="AP1286" s="554"/>
      <c r="AQ1286" s="327"/>
      <c r="AR1286" s="555"/>
      <c r="AS1286" s="327"/>
      <c r="AT1286" s="549"/>
      <c r="AU1286" s="327"/>
      <c r="AV1286" s="553" t="s">
        <v>334</v>
      </c>
      <c r="AW1286" s="327"/>
      <c r="AX1286" s="521"/>
      <c r="AY1286" s="326"/>
      <c r="AZ1286" s="327"/>
      <c r="BA1286" s="536"/>
      <c r="BB1286" s="327"/>
      <c r="BC1286" s="22"/>
      <c r="BD1286" s="551" t="s">
        <v>334</v>
      </c>
      <c r="BE1286" s="327"/>
      <c r="BF1286" s="508"/>
      <c r="BG1286" s="326"/>
      <c r="BH1286" s="326"/>
      <c r="BI1286" s="327"/>
      <c r="BJ1286" s="451" t="s">
        <v>303</v>
      </c>
      <c r="BK1286" s="326"/>
      <c r="BL1286" s="326"/>
      <c r="BM1286" s="327"/>
      <c r="BN1286" s="558" t="s">
        <v>303</v>
      </c>
      <c r="BO1286" s="326"/>
      <c r="BP1286" s="326"/>
      <c r="BQ1286" s="326"/>
      <c r="BR1286" s="326"/>
      <c r="BS1286" s="326"/>
      <c r="BT1286" s="326"/>
      <c r="BU1286" s="326"/>
      <c r="BV1286" s="327"/>
    </row>
    <row r="1287" spans="1:74" ht="45" customHeight="1" x14ac:dyDescent="0.25">
      <c r="A1287" s="10">
        <f t="shared" si="4"/>
        <v>1273</v>
      </c>
      <c r="B1287" s="559" t="s">
        <v>303</v>
      </c>
      <c r="C1287" s="327"/>
      <c r="D1287" s="560" t="s">
        <v>307</v>
      </c>
      <c r="E1287" s="327"/>
      <c r="F1287" s="537" t="s">
        <v>334</v>
      </c>
      <c r="G1287" s="327"/>
      <c r="H1287" s="566" t="s">
        <v>334</v>
      </c>
      <c r="I1287" s="327"/>
      <c r="J1287" s="567"/>
      <c r="K1287" s="327"/>
      <c r="L1287" s="567"/>
      <c r="M1287" s="327"/>
      <c r="N1287" s="20"/>
      <c r="O1287" s="24"/>
      <c r="P1287" s="524"/>
      <c r="Q1287" s="327"/>
      <c r="R1287" s="538"/>
      <c r="S1287" s="327"/>
      <c r="T1287" s="539"/>
      <c r="U1287" s="327"/>
      <c r="V1287" s="540"/>
      <c r="W1287" s="327"/>
      <c r="X1287" s="541" t="s">
        <v>303</v>
      </c>
      <c r="Y1287" s="326"/>
      <c r="Z1287" s="326"/>
      <c r="AA1287" s="327"/>
      <c r="AB1287" s="542" t="s">
        <v>303</v>
      </c>
      <c r="AC1287" s="326"/>
      <c r="AD1287" s="326"/>
      <c r="AE1287" s="327"/>
      <c r="AF1287" s="543"/>
      <c r="AG1287" s="327"/>
      <c r="AH1287" s="543"/>
      <c r="AI1287" s="327"/>
      <c r="AJ1287" s="536"/>
      <c r="AK1287" s="327"/>
      <c r="AL1287" s="537" t="s">
        <v>334</v>
      </c>
      <c r="AM1287" s="327"/>
      <c r="AN1287" s="546" t="s">
        <v>334</v>
      </c>
      <c r="AO1287" s="327"/>
      <c r="AP1287" s="547"/>
      <c r="AQ1287" s="327"/>
      <c r="AR1287" s="548"/>
      <c r="AS1287" s="327"/>
      <c r="AT1287" s="568"/>
      <c r="AU1287" s="327"/>
      <c r="AV1287" s="546" t="s">
        <v>334</v>
      </c>
      <c r="AW1287" s="327"/>
      <c r="AX1287" s="521"/>
      <c r="AY1287" s="326"/>
      <c r="AZ1287" s="327"/>
      <c r="BA1287" s="550"/>
      <c r="BB1287" s="327"/>
      <c r="BC1287" s="25"/>
      <c r="BD1287" s="544" t="s">
        <v>334</v>
      </c>
      <c r="BE1287" s="327"/>
      <c r="BF1287" s="545"/>
      <c r="BG1287" s="326"/>
      <c r="BH1287" s="326"/>
      <c r="BI1287" s="327"/>
      <c r="BJ1287" s="557" t="s">
        <v>303</v>
      </c>
      <c r="BK1287" s="326"/>
      <c r="BL1287" s="326"/>
      <c r="BM1287" s="327"/>
      <c r="BN1287" s="558" t="s">
        <v>303</v>
      </c>
      <c r="BO1287" s="326"/>
      <c r="BP1287" s="326"/>
      <c r="BQ1287" s="326"/>
      <c r="BR1287" s="326"/>
      <c r="BS1287" s="326"/>
      <c r="BT1287" s="326"/>
      <c r="BU1287" s="326"/>
      <c r="BV1287" s="327"/>
    </row>
    <row r="1288" spans="1:74" ht="45" customHeight="1" x14ac:dyDescent="0.25">
      <c r="A1288" s="10">
        <f t="shared" si="4"/>
        <v>1274</v>
      </c>
      <c r="B1288" s="564" t="s">
        <v>303</v>
      </c>
      <c r="C1288" s="327"/>
      <c r="D1288" s="565" t="s">
        <v>307</v>
      </c>
      <c r="E1288" s="327"/>
      <c r="F1288" s="537" t="s">
        <v>334</v>
      </c>
      <c r="G1288" s="327"/>
      <c r="H1288" s="561" t="s">
        <v>334</v>
      </c>
      <c r="I1288" s="327"/>
      <c r="J1288" s="562"/>
      <c r="K1288" s="327"/>
      <c r="L1288" s="562"/>
      <c r="M1288" s="327"/>
      <c r="N1288" s="23"/>
      <c r="O1288" s="21"/>
      <c r="P1288" s="563"/>
      <c r="Q1288" s="327"/>
      <c r="R1288" s="516"/>
      <c r="S1288" s="327"/>
      <c r="T1288" s="517"/>
      <c r="U1288" s="327"/>
      <c r="V1288" s="518"/>
      <c r="W1288" s="327"/>
      <c r="X1288" s="438" t="s">
        <v>303</v>
      </c>
      <c r="Y1288" s="326"/>
      <c r="Z1288" s="326"/>
      <c r="AA1288" s="327"/>
      <c r="AB1288" s="519" t="s">
        <v>303</v>
      </c>
      <c r="AC1288" s="326"/>
      <c r="AD1288" s="326"/>
      <c r="AE1288" s="327"/>
      <c r="AF1288" s="520"/>
      <c r="AG1288" s="327"/>
      <c r="AH1288" s="520"/>
      <c r="AI1288" s="327"/>
      <c r="AJ1288" s="536"/>
      <c r="AK1288" s="327"/>
      <c r="AL1288" s="556" t="s">
        <v>334</v>
      </c>
      <c r="AM1288" s="327"/>
      <c r="AN1288" s="553" t="s">
        <v>334</v>
      </c>
      <c r="AO1288" s="327"/>
      <c r="AP1288" s="554"/>
      <c r="AQ1288" s="327"/>
      <c r="AR1288" s="555"/>
      <c r="AS1288" s="327"/>
      <c r="AT1288" s="549"/>
      <c r="AU1288" s="327"/>
      <c r="AV1288" s="553" t="s">
        <v>334</v>
      </c>
      <c r="AW1288" s="327"/>
      <c r="AX1288" s="521"/>
      <c r="AY1288" s="326"/>
      <c r="AZ1288" s="327"/>
      <c r="BA1288" s="536"/>
      <c r="BB1288" s="327"/>
      <c r="BC1288" s="22"/>
      <c r="BD1288" s="551" t="s">
        <v>334</v>
      </c>
      <c r="BE1288" s="327"/>
      <c r="BF1288" s="552"/>
      <c r="BG1288" s="326"/>
      <c r="BH1288" s="326"/>
      <c r="BI1288" s="327"/>
      <c r="BJ1288" s="451" t="s">
        <v>303</v>
      </c>
      <c r="BK1288" s="326"/>
      <c r="BL1288" s="326"/>
      <c r="BM1288" s="327"/>
      <c r="BN1288" s="558" t="s">
        <v>303</v>
      </c>
      <c r="BO1288" s="326"/>
      <c r="BP1288" s="326"/>
      <c r="BQ1288" s="326"/>
      <c r="BR1288" s="326"/>
      <c r="BS1288" s="326"/>
      <c r="BT1288" s="326"/>
      <c r="BU1288" s="326"/>
      <c r="BV1288" s="327"/>
    </row>
    <row r="1289" spans="1:74" ht="45" customHeight="1" x14ac:dyDescent="0.25">
      <c r="A1289" s="10">
        <f t="shared" si="4"/>
        <v>1275</v>
      </c>
      <c r="B1289" s="559" t="s">
        <v>303</v>
      </c>
      <c r="C1289" s="327"/>
      <c r="D1289" s="560" t="s">
        <v>307</v>
      </c>
      <c r="E1289" s="327"/>
      <c r="F1289" s="537" t="s">
        <v>334</v>
      </c>
      <c r="G1289" s="327"/>
      <c r="H1289" s="566" t="s">
        <v>334</v>
      </c>
      <c r="I1289" s="327"/>
      <c r="J1289" s="567"/>
      <c r="K1289" s="327"/>
      <c r="L1289" s="567"/>
      <c r="M1289" s="327"/>
      <c r="N1289" s="20"/>
      <c r="O1289" s="24"/>
      <c r="P1289" s="524"/>
      <c r="Q1289" s="327"/>
      <c r="R1289" s="538"/>
      <c r="S1289" s="327"/>
      <c r="T1289" s="539"/>
      <c r="U1289" s="327"/>
      <c r="V1289" s="540"/>
      <c r="W1289" s="327"/>
      <c r="X1289" s="541" t="s">
        <v>303</v>
      </c>
      <c r="Y1289" s="326"/>
      <c r="Z1289" s="326"/>
      <c r="AA1289" s="327"/>
      <c r="AB1289" s="542" t="s">
        <v>303</v>
      </c>
      <c r="AC1289" s="326"/>
      <c r="AD1289" s="326"/>
      <c r="AE1289" s="327"/>
      <c r="AF1289" s="543"/>
      <c r="AG1289" s="327"/>
      <c r="AH1289" s="543"/>
      <c r="AI1289" s="327"/>
      <c r="AJ1289" s="536"/>
      <c r="AK1289" s="327"/>
      <c r="AL1289" s="537" t="s">
        <v>334</v>
      </c>
      <c r="AM1289" s="327"/>
      <c r="AN1289" s="546" t="s">
        <v>334</v>
      </c>
      <c r="AO1289" s="327"/>
      <c r="AP1289" s="547"/>
      <c r="AQ1289" s="327"/>
      <c r="AR1289" s="548"/>
      <c r="AS1289" s="327"/>
      <c r="AT1289" s="568"/>
      <c r="AU1289" s="327"/>
      <c r="AV1289" s="546" t="s">
        <v>334</v>
      </c>
      <c r="AW1289" s="327"/>
      <c r="AX1289" s="521"/>
      <c r="AY1289" s="326"/>
      <c r="AZ1289" s="327"/>
      <c r="BA1289" s="550"/>
      <c r="BB1289" s="327"/>
      <c r="BC1289" s="25"/>
      <c r="BD1289" s="544" t="s">
        <v>334</v>
      </c>
      <c r="BE1289" s="327"/>
      <c r="BF1289" s="545"/>
      <c r="BG1289" s="326"/>
      <c r="BH1289" s="326"/>
      <c r="BI1289" s="327"/>
      <c r="BJ1289" s="557" t="s">
        <v>303</v>
      </c>
      <c r="BK1289" s="326"/>
      <c r="BL1289" s="326"/>
      <c r="BM1289" s="327"/>
      <c r="BN1289" s="558" t="s">
        <v>303</v>
      </c>
      <c r="BO1289" s="326"/>
      <c r="BP1289" s="326"/>
      <c r="BQ1289" s="326"/>
      <c r="BR1289" s="326"/>
      <c r="BS1289" s="326"/>
      <c r="BT1289" s="326"/>
      <c r="BU1289" s="326"/>
      <c r="BV1289" s="327"/>
    </row>
    <row r="1290" spans="1:74" ht="45" customHeight="1" x14ac:dyDescent="0.25">
      <c r="A1290" s="10">
        <f t="shared" ref="A1290:A1544" si="5">ROW(A1276)</f>
        <v>1276</v>
      </c>
      <c r="B1290" s="564" t="s">
        <v>303</v>
      </c>
      <c r="C1290" s="327"/>
      <c r="D1290" s="565" t="s">
        <v>307</v>
      </c>
      <c r="E1290" s="327"/>
      <c r="F1290" s="537" t="s">
        <v>334</v>
      </c>
      <c r="G1290" s="327"/>
      <c r="H1290" s="561" t="s">
        <v>334</v>
      </c>
      <c r="I1290" s="327"/>
      <c r="J1290" s="562"/>
      <c r="K1290" s="327"/>
      <c r="L1290" s="562"/>
      <c r="M1290" s="327"/>
      <c r="N1290" s="23"/>
      <c r="O1290" s="21"/>
      <c r="P1290" s="563"/>
      <c r="Q1290" s="327"/>
      <c r="R1290" s="516"/>
      <c r="S1290" s="327"/>
      <c r="T1290" s="517"/>
      <c r="U1290" s="327"/>
      <c r="V1290" s="518"/>
      <c r="W1290" s="327"/>
      <c r="X1290" s="438" t="s">
        <v>303</v>
      </c>
      <c r="Y1290" s="326"/>
      <c r="Z1290" s="326"/>
      <c r="AA1290" s="327"/>
      <c r="AB1290" s="519" t="s">
        <v>303</v>
      </c>
      <c r="AC1290" s="326"/>
      <c r="AD1290" s="326"/>
      <c r="AE1290" s="327"/>
      <c r="AF1290" s="520"/>
      <c r="AG1290" s="327"/>
      <c r="AH1290" s="520"/>
      <c r="AI1290" s="327"/>
      <c r="AJ1290" s="536"/>
      <c r="AK1290" s="327"/>
      <c r="AL1290" s="556" t="s">
        <v>334</v>
      </c>
      <c r="AM1290" s="327"/>
      <c r="AN1290" s="553" t="s">
        <v>334</v>
      </c>
      <c r="AO1290" s="327"/>
      <c r="AP1290" s="554"/>
      <c r="AQ1290" s="327"/>
      <c r="AR1290" s="555"/>
      <c r="AS1290" s="327"/>
      <c r="AT1290" s="549"/>
      <c r="AU1290" s="327"/>
      <c r="AV1290" s="553" t="s">
        <v>334</v>
      </c>
      <c r="AW1290" s="327"/>
      <c r="AX1290" s="521"/>
      <c r="AY1290" s="326"/>
      <c r="AZ1290" s="327"/>
      <c r="BA1290" s="536"/>
      <c r="BB1290" s="327"/>
      <c r="BC1290" s="22"/>
      <c r="BD1290" s="551" t="s">
        <v>334</v>
      </c>
      <c r="BE1290" s="327"/>
      <c r="BF1290" s="552"/>
      <c r="BG1290" s="326"/>
      <c r="BH1290" s="326"/>
      <c r="BI1290" s="327"/>
      <c r="BJ1290" s="451" t="s">
        <v>303</v>
      </c>
      <c r="BK1290" s="326"/>
      <c r="BL1290" s="326"/>
      <c r="BM1290" s="327"/>
      <c r="BN1290" s="558" t="s">
        <v>303</v>
      </c>
      <c r="BO1290" s="326"/>
      <c r="BP1290" s="326"/>
      <c r="BQ1290" s="326"/>
      <c r="BR1290" s="326"/>
      <c r="BS1290" s="326"/>
      <c r="BT1290" s="326"/>
      <c r="BU1290" s="326"/>
      <c r="BV1290" s="327"/>
    </row>
    <row r="1291" spans="1:74" ht="45" customHeight="1" x14ac:dyDescent="0.25">
      <c r="A1291" s="10">
        <f t="shared" si="5"/>
        <v>1277</v>
      </c>
      <c r="B1291" s="559" t="s">
        <v>303</v>
      </c>
      <c r="C1291" s="327"/>
      <c r="D1291" s="560" t="s">
        <v>307</v>
      </c>
      <c r="E1291" s="327"/>
      <c r="F1291" s="537" t="s">
        <v>334</v>
      </c>
      <c r="G1291" s="327"/>
      <c r="H1291" s="566" t="s">
        <v>334</v>
      </c>
      <c r="I1291" s="327"/>
      <c r="J1291" s="567"/>
      <c r="K1291" s="327"/>
      <c r="L1291" s="567"/>
      <c r="M1291" s="327"/>
      <c r="N1291" s="20"/>
      <c r="O1291" s="24"/>
      <c r="P1291" s="524"/>
      <c r="Q1291" s="327"/>
      <c r="R1291" s="538"/>
      <c r="S1291" s="327"/>
      <c r="T1291" s="539"/>
      <c r="U1291" s="327"/>
      <c r="V1291" s="540"/>
      <c r="W1291" s="327"/>
      <c r="X1291" s="541" t="s">
        <v>303</v>
      </c>
      <c r="Y1291" s="326"/>
      <c r="Z1291" s="326"/>
      <c r="AA1291" s="327"/>
      <c r="AB1291" s="542" t="s">
        <v>303</v>
      </c>
      <c r="AC1291" s="326"/>
      <c r="AD1291" s="326"/>
      <c r="AE1291" s="327"/>
      <c r="AF1291" s="543"/>
      <c r="AG1291" s="327"/>
      <c r="AH1291" s="543"/>
      <c r="AI1291" s="327"/>
      <c r="AJ1291" s="536"/>
      <c r="AK1291" s="327"/>
      <c r="AL1291" s="537" t="s">
        <v>334</v>
      </c>
      <c r="AM1291" s="327"/>
      <c r="AN1291" s="546" t="s">
        <v>334</v>
      </c>
      <c r="AO1291" s="327"/>
      <c r="AP1291" s="547"/>
      <c r="AQ1291" s="327"/>
      <c r="AR1291" s="548"/>
      <c r="AS1291" s="327"/>
      <c r="AT1291" s="568"/>
      <c r="AU1291" s="327"/>
      <c r="AV1291" s="546" t="s">
        <v>334</v>
      </c>
      <c r="AW1291" s="327"/>
      <c r="AX1291" s="521"/>
      <c r="AY1291" s="326"/>
      <c r="AZ1291" s="327"/>
      <c r="BA1291" s="550"/>
      <c r="BB1291" s="327"/>
      <c r="BC1291" s="25"/>
      <c r="BD1291" s="544" t="s">
        <v>334</v>
      </c>
      <c r="BE1291" s="327"/>
      <c r="BF1291" s="545"/>
      <c r="BG1291" s="326"/>
      <c r="BH1291" s="326"/>
      <c r="BI1291" s="327"/>
      <c r="BJ1291" s="557" t="s">
        <v>303</v>
      </c>
      <c r="BK1291" s="326"/>
      <c r="BL1291" s="326"/>
      <c r="BM1291" s="327"/>
      <c r="BN1291" s="558" t="s">
        <v>303</v>
      </c>
      <c r="BO1291" s="326"/>
      <c r="BP1291" s="326"/>
      <c r="BQ1291" s="326"/>
      <c r="BR1291" s="326"/>
      <c r="BS1291" s="326"/>
      <c r="BT1291" s="326"/>
      <c r="BU1291" s="326"/>
      <c r="BV1291" s="327"/>
    </row>
    <row r="1292" spans="1:74" ht="45" customHeight="1" x14ac:dyDescent="0.25">
      <c r="A1292" s="10">
        <f t="shared" si="5"/>
        <v>1278</v>
      </c>
      <c r="B1292" s="564" t="s">
        <v>303</v>
      </c>
      <c r="C1292" s="327"/>
      <c r="D1292" s="565" t="s">
        <v>307</v>
      </c>
      <c r="E1292" s="327"/>
      <c r="F1292" s="537" t="s">
        <v>334</v>
      </c>
      <c r="G1292" s="327"/>
      <c r="H1292" s="561" t="s">
        <v>334</v>
      </c>
      <c r="I1292" s="327"/>
      <c r="J1292" s="562"/>
      <c r="K1292" s="327"/>
      <c r="L1292" s="562"/>
      <c r="M1292" s="327"/>
      <c r="N1292" s="23"/>
      <c r="O1292" s="21"/>
      <c r="P1292" s="563"/>
      <c r="Q1292" s="327"/>
      <c r="R1292" s="516"/>
      <c r="S1292" s="327"/>
      <c r="T1292" s="517"/>
      <c r="U1292" s="327"/>
      <c r="V1292" s="518"/>
      <c r="W1292" s="327"/>
      <c r="X1292" s="438" t="s">
        <v>303</v>
      </c>
      <c r="Y1292" s="326"/>
      <c r="Z1292" s="326"/>
      <c r="AA1292" s="327"/>
      <c r="AB1292" s="519" t="s">
        <v>303</v>
      </c>
      <c r="AC1292" s="326"/>
      <c r="AD1292" s="326"/>
      <c r="AE1292" s="327"/>
      <c r="AF1292" s="520"/>
      <c r="AG1292" s="327"/>
      <c r="AH1292" s="520"/>
      <c r="AI1292" s="327"/>
      <c r="AJ1292" s="536"/>
      <c r="AK1292" s="327"/>
      <c r="AL1292" s="556" t="s">
        <v>334</v>
      </c>
      <c r="AM1292" s="327"/>
      <c r="AN1292" s="553" t="s">
        <v>334</v>
      </c>
      <c r="AO1292" s="327"/>
      <c r="AP1292" s="554"/>
      <c r="AQ1292" s="327"/>
      <c r="AR1292" s="555"/>
      <c r="AS1292" s="327"/>
      <c r="AT1292" s="549"/>
      <c r="AU1292" s="327"/>
      <c r="AV1292" s="553" t="s">
        <v>334</v>
      </c>
      <c r="AW1292" s="327"/>
      <c r="AX1292" s="521"/>
      <c r="AY1292" s="326"/>
      <c r="AZ1292" s="327"/>
      <c r="BA1292" s="536"/>
      <c r="BB1292" s="327"/>
      <c r="BC1292" s="22"/>
      <c r="BD1292" s="551" t="s">
        <v>334</v>
      </c>
      <c r="BE1292" s="327"/>
      <c r="BF1292" s="508"/>
      <c r="BG1292" s="326"/>
      <c r="BH1292" s="326"/>
      <c r="BI1292" s="327"/>
      <c r="BJ1292" s="451" t="s">
        <v>303</v>
      </c>
      <c r="BK1292" s="326"/>
      <c r="BL1292" s="326"/>
      <c r="BM1292" s="327"/>
      <c r="BN1292" s="558" t="s">
        <v>303</v>
      </c>
      <c r="BO1292" s="326"/>
      <c r="BP1292" s="326"/>
      <c r="BQ1292" s="326"/>
      <c r="BR1292" s="326"/>
      <c r="BS1292" s="326"/>
      <c r="BT1292" s="326"/>
      <c r="BU1292" s="326"/>
      <c r="BV1292" s="327"/>
    </row>
    <row r="1293" spans="1:74" ht="45" customHeight="1" x14ac:dyDescent="0.25">
      <c r="A1293" s="10">
        <f t="shared" si="5"/>
        <v>1279</v>
      </c>
      <c r="B1293" s="559" t="s">
        <v>303</v>
      </c>
      <c r="C1293" s="327"/>
      <c r="D1293" s="560" t="s">
        <v>307</v>
      </c>
      <c r="E1293" s="327"/>
      <c r="F1293" s="537" t="s">
        <v>334</v>
      </c>
      <c r="G1293" s="327"/>
      <c r="H1293" s="566" t="s">
        <v>334</v>
      </c>
      <c r="I1293" s="327"/>
      <c r="J1293" s="567"/>
      <c r="K1293" s="327"/>
      <c r="L1293" s="567"/>
      <c r="M1293" s="327"/>
      <c r="N1293" s="20"/>
      <c r="O1293" s="24"/>
      <c r="P1293" s="524"/>
      <c r="Q1293" s="327"/>
      <c r="R1293" s="538"/>
      <c r="S1293" s="327"/>
      <c r="T1293" s="539"/>
      <c r="U1293" s="327"/>
      <c r="V1293" s="540"/>
      <c r="W1293" s="327"/>
      <c r="X1293" s="541" t="s">
        <v>303</v>
      </c>
      <c r="Y1293" s="326"/>
      <c r="Z1293" s="326"/>
      <c r="AA1293" s="327"/>
      <c r="AB1293" s="542" t="s">
        <v>303</v>
      </c>
      <c r="AC1293" s="326"/>
      <c r="AD1293" s="326"/>
      <c r="AE1293" s="327"/>
      <c r="AF1293" s="543"/>
      <c r="AG1293" s="327"/>
      <c r="AH1293" s="543"/>
      <c r="AI1293" s="327"/>
      <c r="AJ1293" s="536"/>
      <c r="AK1293" s="327"/>
      <c r="AL1293" s="537" t="s">
        <v>334</v>
      </c>
      <c r="AM1293" s="327"/>
      <c r="AN1293" s="546" t="s">
        <v>334</v>
      </c>
      <c r="AO1293" s="327"/>
      <c r="AP1293" s="547"/>
      <c r="AQ1293" s="327"/>
      <c r="AR1293" s="548"/>
      <c r="AS1293" s="327"/>
      <c r="AT1293" s="568"/>
      <c r="AU1293" s="327"/>
      <c r="AV1293" s="546" t="s">
        <v>334</v>
      </c>
      <c r="AW1293" s="327"/>
      <c r="AX1293" s="521"/>
      <c r="AY1293" s="326"/>
      <c r="AZ1293" s="327"/>
      <c r="BA1293" s="550"/>
      <c r="BB1293" s="327"/>
      <c r="BC1293" s="25"/>
      <c r="BD1293" s="544" t="s">
        <v>334</v>
      </c>
      <c r="BE1293" s="327"/>
      <c r="BF1293" s="545"/>
      <c r="BG1293" s="326"/>
      <c r="BH1293" s="326"/>
      <c r="BI1293" s="327"/>
      <c r="BJ1293" s="557" t="s">
        <v>303</v>
      </c>
      <c r="BK1293" s="326"/>
      <c r="BL1293" s="326"/>
      <c r="BM1293" s="327"/>
      <c r="BN1293" s="558" t="s">
        <v>303</v>
      </c>
      <c r="BO1293" s="326"/>
      <c r="BP1293" s="326"/>
      <c r="BQ1293" s="326"/>
      <c r="BR1293" s="326"/>
      <c r="BS1293" s="326"/>
      <c r="BT1293" s="326"/>
      <c r="BU1293" s="326"/>
      <c r="BV1293" s="327"/>
    </row>
    <row r="1294" spans="1:74" ht="45" customHeight="1" x14ac:dyDescent="0.25">
      <c r="A1294" s="10">
        <f t="shared" si="5"/>
        <v>1280</v>
      </c>
      <c r="B1294" s="564" t="s">
        <v>303</v>
      </c>
      <c r="C1294" s="327"/>
      <c r="D1294" s="565" t="s">
        <v>307</v>
      </c>
      <c r="E1294" s="327"/>
      <c r="F1294" s="537" t="s">
        <v>334</v>
      </c>
      <c r="G1294" s="327"/>
      <c r="H1294" s="561" t="s">
        <v>334</v>
      </c>
      <c r="I1294" s="327"/>
      <c r="J1294" s="562"/>
      <c r="K1294" s="327"/>
      <c r="L1294" s="562"/>
      <c r="M1294" s="327"/>
      <c r="N1294" s="23"/>
      <c r="O1294" s="21"/>
      <c r="P1294" s="563"/>
      <c r="Q1294" s="327"/>
      <c r="R1294" s="516"/>
      <c r="S1294" s="327"/>
      <c r="T1294" s="517"/>
      <c r="U1294" s="327"/>
      <c r="V1294" s="518"/>
      <c r="W1294" s="327"/>
      <c r="X1294" s="438" t="s">
        <v>303</v>
      </c>
      <c r="Y1294" s="326"/>
      <c r="Z1294" s="326"/>
      <c r="AA1294" s="327"/>
      <c r="AB1294" s="519" t="s">
        <v>303</v>
      </c>
      <c r="AC1294" s="326"/>
      <c r="AD1294" s="326"/>
      <c r="AE1294" s="327"/>
      <c r="AF1294" s="520"/>
      <c r="AG1294" s="327"/>
      <c r="AH1294" s="520"/>
      <c r="AI1294" s="327"/>
      <c r="AJ1294" s="536"/>
      <c r="AK1294" s="327"/>
      <c r="AL1294" s="556" t="s">
        <v>334</v>
      </c>
      <c r="AM1294" s="327"/>
      <c r="AN1294" s="553" t="s">
        <v>334</v>
      </c>
      <c r="AO1294" s="327"/>
      <c r="AP1294" s="554"/>
      <c r="AQ1294" s="327"/>
      <c r="AR1294" s="555"/>
      <c r="AS1294" s="327"/>
      <c r="AT1294" s="549"/>
      <c r="AU1294" s="327"/>
      <c r="AV1294" s="553" t="s">
        <v>334</v>
      </c>
      <c r="AW1294" s="327"/>
      <c r="AX1294" s="521"/>
      <c r="AY1294" s="326"/>
      <c r="AZ1294" s="327"/>
      <c r="BA1294" s="536"/>
      <c r="BB1294" s="327"/>
      <c r="BC1294" s="22"/>
      <c r="BD1294" s="551" t="s">
        <v>334</v>
      </c>
      <c r="BE1294" s="327"/>
      <c r="BF1294" s="552"/>
      <c r="BG1294" s="326"/>
      <c r="BH1294" s="326"/>
      <c r="BI1294" s="327"/>
      <c r="BJ1294" s="451" t="s">
        <v>303</v>
      </c>
      <c r="BK1294" s="326"/>
      <c r="BL1294" s="326"/>
      <c r="BM1294" s="327"/>
      <c r="BN1294" s="558" t="s">
        <v>303</v>
      </c>
      <c r="BO1294" s="326"/>
      <c r="BP1294" s="326"/>
      <c r="BQ1294" s="326"/>
      <c r="BR1294" s="326"/>
      <c r="BS1294" s="326"/>
      <c r="BT1294" s="326"/>
      <c r="BU1294" s="326"/>
      <c r="BV1294" s="327"/>
    </row>
    <row r="1295" spans="1:74" ht="45" customHeight="1" x14ac:dyDescent="0.25">
      <c r="A1295" s="10">
        <f t="shared" si="5"/>
        <v>1281</v>
      </c>
      <c r="B1295" s="559" t="s">
        <v>303</v>
      </c>
      <c r="C1295" s="327"/>
      <c r="D1295" s="560" t="s">
        <v>307</v>
      </c>
      <c r="E1295" s="327"/>
      <c r="F1295" s="537" t="s">
        <v>334</v>
      </c>
      <c r="G1295" s="327"/>
      <c r="H1295" s="566" t="s">
        <v>334</v>
      </c>
      <c r="I1295" s="327"/>
      <c r="J1295" s="567"/>
      <c r="K1295" s="327"/>
      <c r="L1295" s="567"/>
      <c r="M1295" s="327"/>
      <c r="N1295" s="23"/>
      <c r="O1295" s="24"/>
      <c r="P1295" s="563"/>
      <c r="Q1295" s="327"/>
      <c r="R1295" s="538"/>
      <c r="S1295" s="327"/>
      <c r="T1295" s="539"/>
      <c r="U1295" s="327"/>
      <c r="V1295" s="540"/>
      <c r="W1295" s="327"/>
      <c r="X1295" s="541" t="s">
        <v>303</v>
      </c>
      <c r="Y1295" s="326"/>
      <c r="Z1295" s="326"/>
      <c r="AA1295" s="327"/>
      <c r="AB1295" s="542" t="s">
        <v>303</v>
      </c>
      <c r="AC1295" s="326"/>
      <c r="AD1295" s="326"/>
      <c r="AE1295" s="327"/>
      <c r="AF1295" s="543"/>
      <c r="AG1295" s="327"/>
      <c r="AH1295" s="543"/>
      <c r="AI1295" s="327"/>
      <c r="AJ1295" s="536"/>
      <c r="AK1295" s="327"/>
      <c r="AL1295" s="537" t="s">
        <v>334</v>
      </c>
      <c r="AM1295" s="327"/>
      <c r="AN1295" s="546" t="s">
        <v>334</v>
      </c>
      <c r="AO1295" s="327"/>
      <c r="AP1295" s="547"/>
      <c r="AQ1295" s="327"/>
      <c r="AR1295" s="548"/>
      <c r="AS1295" s="327"/>
      <c r="AT1295" s="549"/>
      <c r="AU1295" s="327"/>
      <c r="AV1295" s="546" t="s">
        <v>334</v>
      </c>
      <c r="AW1295" s="327"/>
      <c r="AX1295" s="521"/>
      <c r="AY1295" s="326"/>
      <c r="AZ1295" s="327"/>
      <c r="BA1295" s="550"/>
      <c r="BB1295" s="327"/>
      <c r="BC1295" s="25"/>
      <c r="BD1295" s="544" t="s">
        <v>334</v>
      </c>
      <c r="BE1295" s="327"/>
      <c r="BF1295" s="545"/>
      <c r="BG1295" s="326"/>
      <c r="BH1295" s="326"/>
      <c r="BI1295" s="327"/>
      <c r="BJ1295" s="557" t="s">
        <v>303</v>
      </c>
      <c r="BK1295" s="326"/>
      <c r="BL1295" s="326"/>
      <c r="BM1295" s="327"/>
      <c r="BN1295" s="558" t="s">
        <v>303</v>
      </c>
      <c r="BO1295" s="326"/>
      <c r="BP1295" s="326"/>
      <c r="BQ1295" s="326"/>
      <c r="BR1295" s="326"/>
      <c r="BS1295" s="326"/>
      <c r="BT1295" s="326"/>
      <c r="BU1295" s="326"/>
      <c r="BV1295" s="327"/>
    </row>
    <row r="1296" spans="1:74" ht="45" customHeight="1" x14ac:dyDescent="0.25">
      <c r="A1296" s="10">
        <f t="shared" si="5"/>
        <v>1282</v>
      </c>
      <c r="B1296" s="564" t="s">
        <v>303</v>
      </c>
      <c r="C1296" s="327"/>
      <c r="D1296" s="565" t="s">
        <v>307</v>
      </c>
      <c r="E1296" s="327"/>
      <c r="F1296" s="537" t="s">
        <v>334</v>
      </c>
      <c r="G1296" s="327"/>
      <c r="H1296" s="561" t="s">
        <v>334</v>
      </c>
      <c r="I1296" s="327"/>
      <c r="J1296" s="562"/>
      <c r="K1296" s="327"/>
      <c r="L1296" s="562"/>
      <c r="M1296" s="327"/>
      <c r="N1296" s="20"/>
      <c r="O1296" s="21"/>
      <c r="P1296" s="524"/>
      <c r="Q1296" s="327"/>
      <c r="R1296" s="516"/>
      <c r="S1296" s="327"/>
      <c r="T1296" s="517"/>
      <c r="U1296" s="327"/>
      <c r="V1296" s="518"/>
      <c r="W1296" s="327"/>
      <c r="X1296" s="438" t="s">
        <v>303</v>
      </c>
      <c r="Y1296" s="326"/>
      <c r="Z1296" s="326"/>
      <c r="AA1296" s="327"/>
      <c r="AB1296" s="519" t="s">
        <v>303</v>
      </c>
      <c r="AC1296" s="326"/>
      <c r="AD1296" s="326"/>
      <c r="AE1296" s="327"/>
      <c r="AF1296" s="520"/>
      <c r="AG1296" s="327"/>
      <c r="AH1296" s="520"/>
      <c r="AI1296" s="327"/>
      <c r="AJ1296" s="536"/>
      <c r="AK1296" s="327"/>
      <c r="AL1296" s="556" t="s">
        <v>334</v>
      </c>
      <c r="AM1296" s="327"/>
      <c r="AN1296" s="553" t="s">
        <v>334</v>
      </c>
      <c r="AO1296" s="327"/>
      <c r="AP1296" s="554"/>
      <c r="AQ1296" s="327"/>
      <c r="AR1296" s="555"/>
      <c r="AS1296" s="327"/>
      <c r="AT1296" s="549"/>
      <c r="AU1296" s="327"/>
      <c r="AV1296" s="553" t="s">
        <v>334</v>
      </c>
      <c r="AW1296" s="327"/>
      <c r="AX1296" s="521"/>
      <c r="AY1296" s="326"/>
      <c r="AZ1296" s="327"/>
      <c r="BA1296" s="536"/>
      <c r="BB1296" s="327"/>
      <c r="BC1296" s="22"/>
      <c r="BD1296" s="551" t="s">
        <v>334</v>
      </c>
      <c r="BE1296" s="327"/>
      <c r="BF1296" s="552"/>
      <c r="BG1296" s="326"/>
      <c r="BH1296" s="326"/>
      <c r="BI1296" s="327"/>
      <c r="BJ1296" s="451" t="s">
        <v>303</v>
      </c>
      <c r="BK1296" s="326"/>
      <c r="BL1296" s="326"/>
      <c r="BM1296" s="327"/>
      <c r="BN1296" s="558" t="s">
        <v>303</v>
      </c>
      <c r="BO1296" s="326"/>
      <c r="BP1296" s="326"/>
      <c r="BQ1296" s="326"/>
      <c r="BR1296" s="326"/>
      <c r="BS1296" s="326"/>
      <c r="BT1296" s="326"/>
      <c r="BU1296" s="326"/>
      <c r="BV1296" s="327"/>
    </row>
    <row r="1297" spans="1:74" ht="45" customHeight="1" x14ac:dyDescent="0.25">
      <c r="A1297" s="10">
        <f t="shared" si="5"/>
        <v>1283</v>
      </c>
      <c r="B1297" s="559" t="s">
        <v>303</v>
      </c>
      <c r="C1297" s="327"/>
      <c r="D1297" s="560" t="s">
        <v>307</v>
      </c>
      <c r="E1297" s="327"/>
      <c r="F1297" s="537" t="s">
        <v>334</v>
      </c>
      <c r="G1297" s="327"/>
      <c r="H1297" s="566" t="s">
        <v>334</v>
      </c>
      <c r="I1297" s="327"/>
      <c r="J1297" s="567"/>
      <c r="K1297" s="327"/>
      <c r="L1297" s="567"/>
      <c r="M1297" s="327"/>
      <c r="N1297" s="23"/>
      <c r="O1297" s="24"/>
      <c r="P1297" s="563"/>
      <c r="Q1297" s="327"/>
      <c r="R1297" s="538"/>
      <c r="S1297" s="327"/>
      <c r="T1297" s="539"/>
      <c r="U1297" s="327"/>
      <c r="V1297" s="540"/>
      <c r="W1297" s="327"/>
      <c r="X1297" s="541" t="s">
        <v>303</v>
      </c>
      <c r="Y1297" s="326"/>
      <c r="Z1297" s="326"/>
      <c r="AA1297" s="327"/>
      <c r="AB1297" s="542" t="s">
        <v>303</v>
      </c>
      <c r="AC1297" s="326"/>
      <c r="AD1297" s="326"/>
      <c r="AE1297" s="327"/>
      <c r="AF1297" s="543"/>
      <c r="AG1297" s="327"/>
      <c r="AH1297" s="543"/>
      <c r="AI1297" s="327"/>
      <c r="AJ1297" s="536"/>
      <c r="AK1297" s="327"/>
      <c r="AL1297" s="537" t="s">
        <v>334</v>
      </c>
      <c r="AM1297" s="327"/>
      <c r="AN1297" s="546" t="s">
        <v>334</v>
      </c>
      <c r="AO1297" s="327"/>
      <c r="AP1297" s="547"/>
      <c r="AQ1297" s="327"/>
      <c r="AR1297" s="548"/>
      <c r="AS1297" s="327"/>
      <c r="AT1297" s="549"/>
      <c r="AU1297" s="327"/>
      <c r="AV1297" s="546" t="s">
        <v>334</v>
      </c>
      <c r="AW1297" s="327"/>
      <c r="AX1297" s="521"/>
      <c r="AY1297" s="326"/>
      <c r="AZ1297" s="327"/>
      <c r="BA1297" s="550"/>
      <c r="BB1297" s="327"/>
      <c r="BC1297" s="25"/>
      <c r="BD1297" s="544" t="s">
        <v>334</v>
      </c>
      <c r="BE1297" s="327"/>
      <c r="BF1297" s="545"/>
      <c r="BG1297" s="326"/>
      <c r="BH1297" s="326"/>
      <c r="BI1297" s="327"/>
      <c r="BJ1297" s="557" t="s">
        <v>303</v>
      </c>
      <c r="BK1297" s="326"/>
      <c r="BL1297" s="326"/>
      <c r="BM1297" s="327"/>
      <c r="BN1297" s="558" t="s">
        <v>303</v>
      </c>
      <c r="BO1297" s="326"/>
      <c r="BP1297" s="326"/>
      <c r="BQ1297" s="326"/>
      <c r="BR1297" s="326"/>
      <c r="BS1297" s="326"/>
      <c r="BT1297" s="326"/>
      <c r="BU1297" s="326"/>
      <c r="BV1297" s="327"/>
    </row>
    <row r="1298" spans="1:74" ht="45" customHeight="1" x14ac:dyDescent="0.25">
      <c r="A1298" s="10">
        <f t="shared" si="5"/>
        <v>1284</v>
      </c>
      <c r="B1298" s="564" t="s">
        <v>303</v>
      </c>
      <c r="C1298" s="327"/>
      <c r="D1298" s="565" t="s">
        <v>307</v>
      </c>
      <c r="E1298" s="327"/>
      <c r="F1298" s="537" t="s">
        <v>334</v>
      </c>
      <c r="G1298" s="327"/>
      <c r="H1298" s="561" t="s">
        <v>334</v>
      </c>
      <c r="I1298" s="327"/>
      <c r="J1298" s="562"/>
      <c r="K1298" s="327"/>
      <c r="L1298" s="562"/>
      <c r="M1298" s="327"/>
      <c r="N1298" s="20"/>
      <c r="O1298" s="21"/>
      <c r="P1298" s="524"/>
      <c r="Q1298" s="327"/>
      <c r="R1298" s="516"/>
      <c r="S1298" s="327"/>
      <c r="T1298" s="517"/>
      <c r="U1298" s="327"/>
      <c r="V1298" s="518"/>
      <c r="W1298" s="327"/>
      <c r="X1298" s="438" t="s">
        <v>303</v>
      </c>
      <c r="Y1298" s="326"/>
      <c r="Z1298" s="326"/>
      <c r="AA1298" s="327"/>
      <c r="AB1298" s="519" t="s">
        <v>303</v>
      </c>
      <c r="AC1298" s="326"/>
      <c r="AD1298" s="326"/>
      <c r="AE1298" s="327"/>
      <c r="AF1298" s="520"/>
      <c r="AG1298" s="327"/>
      <c r="AH1298" s="520"/>
      <c r="AI1298" s="327"/>
      <c r="AJ1298" s="536"/>
      <c r="AK1298" s="327"/>
      <c r="AL1298" s="556" t="s">
        <v>334</v>
      </c>
      <c r="AM1298" s="327"/>
      <c r="AN1298" s="553" t="s">
        <v>334</v>
      </c>
      <c r="AO1298" s="327"/>
      <c r="AP1298" s="554"/>
      <c r="AQ1298" s="327"/>
      <c r="AR1298" s="555"/>
      <c r="AS1298" s="327"/>
      <c r="AT1298" s="549"/>
      <c r="AU1298" s="327"/>
      <c r="AV1298" s="553" t="s">
        <v>334</v>
      </c>
      <c r="AW1298" s="327"/>
      <c r="AX1298" s="521"/>
      <c r="AY1298" s="326"/>
      <c r="AZ1298" s="327"/>
      <c r="BA1298" s="536"/>
      <c r="BB1298" s="327"/>
      <c r="BC1298" s="22"/>
      <c r="BD1298" s="551" t="s">
        <v>334</v>
      </c>
      <c r="BE1298" s="327"/>
      <c r="BF1298" s="552"/>
      <c r="BG1298" s="326"/>
      <c r="BH1298" s="326"/>
      <c r="BI1298" s="327"/>
      <c r="BJ1298" s="451" t="s">
        <v>303</v>
      </c>
      <c r="BK1298" s="326"/>
      <c r="BL1298" s="326"/>
      <c r="BM1298" s="327"/>
      <c r="BN1298" s="558" t="s">
        <v>303</v>
      </c>
      <c r="BO1298" s="326"/>
      <c r="BP1298" s="326"/>
      <c r="BQ1298" s="326"/>
      <c r="BR1298" s="326"/>
      <c r="BS1298" s="326"/>
      <c r="BT1298" s="326"/>
      <c r="BU1298" s="326"/>
      <c r="BV1298" s="327"/>
    </row>
    <row r="1299" spans="1:74" ht="45" customHeight="1" x14ac:dyDescent="0.25">
      <c r="A1299" s="10">
        <f t="shared" si="5"/>
        <v>1285</v>
      </c>
      <c r="B1299" s="559" t="s">
        <v>303</v>
      </c>
      <c r="C1299" s="327"/>
      <c r="D1299" s="560" t="s">
        <v>307</v>
      </c>
      <c r="E1299" s="327"/>
      <c r="F1299" s="537" t="s">
        <v>334</v>
      </c>
      <c r="G1299" s="327"/>
      <c r="H1299" s="566" t="s">
        <v>334</v>
      </c>
      <c r="I1299" s="327"/>
      <c r="J1299" s="567"/>
      <c r="K1299" s="327"/>
      <c r="L1299" s="567"/>
      <c r="M1299" s="327"/>
      <c r="N1299" s="23"/>
      <c r="O1299" s="24"/>
      <c r="P1299" s="563"/>
      <c r="Q1299" s="327"/>
      <c r="R1299" s="538"/>
      <c r="S1299" s="327"/>
      <c r="T1299" s="539"/>
      <c r="U1299" s="327"/>
      <c r="V1299" s="540"/>
      <c r="W1299" s="327"/>
      <c r="X1299" s="541" t="s">
        <v>303</v>
      </c>
      <c r="Y1299" s="326"/>
      <c r="Z1299" s="326"/>
      <c r="AA1299" s="327"/>
      <c r="AB1299" s="542" t="s">
        <v>303</v>
      </c>
      <c r="AC1299" s="326"/>
      <c r="AD1299" s="326"/>
      <c r="AE1299" s="327"/>
      <c r="AF1299" s="543"/>
      <c r="AG1299" s="327"/>
      <c r="AH1299" s="543"/>
      <c r="AI1299" s="327"/>
      <c r="AJ1299" s="536"/>
      <c r="AK1299" s="327"/>
      <c r="AL1299" s="537" t="s">
        <v>334</v>
      </c>
      <c r="AM1299" s="327"/>
      <c r="AN1299" s="546" t="s">
        <v>334</v>
      </c>
      <c r="AO1299" s="327"/>
      <c r="AP1299" s="547"/>
      <c r="AQ1299" s="327"/>
      <c r="AR1299" s="548"/>
      <c r="AS1299" s="327"/>
      <c r="AT1299" s="568"/>
      <c r="AU1299" s="327"/>
      <c r="AV1299" s="546" t="s">
        <v>334</v>
      </c>
      <c r="AW1299" s="327"/>
      <c r="AX1299" s="521"/>
      <c r="AY1299" s="326"/>
      <c r="AZ1299" s="327"/>
      <c r="BA1299" s="550"/>
      <c r="BB1299" s="327"/>
      <c r="BC1299" s="25"/>
      <c r="BD1299" s="544" t="s">
        <v>334</v>
      </c>
      <c r="BE1299" s="327"/>
      <c r="BF1299" s="545"/>
      <c r="BG1299" s="326"/>
      <c r="BH1299" s="326"/>
      <c r="BI1299" s="327"/>
      <c r="BJ1299" s="557" t="s">
        <v>303</v>
      </c>
      <c r="BK1299" s="326"/>
      <c r="BL1299" s="326"/>
      <c r="BM1299" s="327"/>
      <c r="BN1299" s="558" t="s">
        <v>303</v>
      </c>
      <c r="BO1299" s="326"/>
      <c r="BP1299" s="326"/>
      <c r="BQ1299" s="326"/>
      <c r="BR1299" s="326"/>
      <c r="BS1299" s="326"/>
      <c r="BT1299" s="326"/>
      <c r="BU1299" s="326"/>
      <c r="BV1299" s="327"/>
    </row>
    <row r="1300" spans="1:74" ht="45" customHeight="1" x14ac:dyDescent="0.25">
      <c r="A1300" s="10">
        <f t="shared" si="5"/>
        <v>1286</v>
      </c>
      <c r="B1300" s="564" t="s">
        <v>303</v>
      </c>
      <c r="C1300" s="327"/>
      <c r="D1300" s="565" t="s">
        <v>307</v>
      </c>
      <c r="E1300" s="327"/>
      <c r="F1300" s="537" t="s">
        <v>334</v>
      </c>
      <c r="G1300" s="327"/>
      <c r="H1300" s="561" t="s">
        <v>334</v>
      </c>
      <c r="I1300" s="327"/>
      <c r="J1300" s="562"/>
      <c r="K1300" s="327"/>
      <c r="L1300" s="562"/>
      <c r="M1300" s="327"/>
      <c r="N1300" s="20"/>
      <c r="O1300" s="21"/>
      <c r="P1300" s="524"/>
      <c r="Q1300" s="327"/>
      <c r="R1300" s="516"/>
      <c r="S1300" s="327"/>
      <c r="T1300" s="517"/>
      <c r="U1300" s="327"/>
      <c r="V1300" s="518"/>
      <c r="W1300" s="327"/>
      <c r="X1300" s="438" t="s">
        <v>303</v>
      </c>
      <c r="Y1300" s="326"/>
      <c r="Z1300" s="326"/>
      <c r="AA1300" s="327"/>
      <c r="AB1300" s="519" t="s">
        <v>303</v>
      </c>
      <c r="AC1300" s="326"/>
      <c r="AD1300" s="326"/>
      <c r="AE1300" s="327"/>
      <c r="AF1300" s="520"/>
      <c r="AG1300" s="327"/>
      <c r="AH1300" s="520"/>
      <c r="AI1300" s="327"/>
      <c r="AJ1300" s="536"/>
      <c r="AK1300" s="327"/>
      <c r="AL1300" s="556" t="s">
        <v>334</v>
      </c>
      <c r="AM1300" s="327"/>
      <c r="AN1300" s="553" t="s">
        <v>334</v>
      </c>
      <c r="AO1300" s="327"/>
      <c r="AP1300" s="554"/>
      <c r="AQ1300" s="327"/>
      <c r="AR1300" s="555"/>
      <c r="AS1300" s="327"/>
      <c r="AT1300" s="549"/>
      <c r="AU1300" s="327"/>
      <c r="AV1300" s="553" t="s">
        <v>334</v>
      </c>
      <c r="AW1300" s="327"/>
      <c r="AX1300" s="521"/>
      <c r="AY1300" s="326"/>
      <c r="AZ1300" s="327"/>
      <c r="BA1300" s="536"/>
      <c r="BB1300" s="327"/>
      <c r="BC1300" s="22"/>
      <c r="BD1300" s="551" t="s">
        <v>334</v>
      </c>
      <c r="BE1300" s="327"/>
      <c r="BF1300" s="508"/>
      <c r="BG1300" s="326"/>
      <c r="BH1300" s="326"/>
      <c r="BI1300" s="327"/>
      <c r="BJ1300" s="451" t="s">
        <v>303</v>
      </c>
      <c r="BK1300" s="326"/>
      <c r="BL1300" s="326"/>
      <c r="BM1300" s="327"/>
      <c r="BN1300" s="558" t="s">
        <v>303</v>
      </c>
      <c r="BO1300" s="326"/>
      <c r="BP1300" s="326"/>
      <c r="BQ1300" s="326"/>
      <c r="BR1300" s="326"/>
      <c r="BS1300" s="326"/>
      <c r="BT1300" s="326"/>
      <c r="BU1300" s="326"/>
      <c r="BV1300" s="327"/>
    </row>
    <row r="1301" spans="1:74" ht="45" customHeight="1" x14ac:dyDescent="0.25">
      <c r="A1301" s="10">
        <f t="shared" si="5"/>
        <v>1287</v>
      </c>
      <c r="B1301" s="559" t="s">
        <v>303</v>
      </c>
      <c r="C1301" s="327"/>
      <c r="D1301" s="560" t="s">
        <v>307</v>
      </c>
      <c r="E1301" s="327"/>
      <c r="F1301" s="537" t="s">
        <v>334</v>
      </c>
      <c r="G1301" s="327"/>
      <c r="H1301" s="566" t="s">
        <v>334</v>
      </c>
      <c r="I1301" s="327"/>
      <c r="J1301" s="567"/>
      <c r="K1301" s="327"/>
      <c r="L1301" s="567"/>
      <c r="M1301" s="327"/>
      <c r="N1301" s="23"/>
      <c r="O1301" s="24"/>
      <c r="P1301" s="563"/>
      <c r="Q1301" s="327"/>
      <c r="R1301" s="538"/>
      <c r="S1301" s="327"/>
      <c r="T1301" s="539"/>
      <c r="U1301" s="327"/>
      <c r="V1301" s="540"/>
      <c r="W1301" s="327"/>
      <c r="X1301" s="541" t="s">
        <v>303</v>
      </c>
      <c r="Y1301" s="326"/>
      <c r="Z1301" s="326"/>
      <c r="AA1301" s="327"/>
      <c r="AB1301" s="542" t="s">
        <v>303</v>
      </c>
      <c r="AC1301" s="326"/>
      <c r="AD1301" s="326"/>
      <c r="AE1301" s="327"/>
      <c r="AF1301" s="543"/>
      <c r="AG1301" s="327"/>
      <c r="AH1301" s="543"/>
      <c r="AI1301" s="327"/>
      <c r="AJ1301" s="536"/>
      <c r="AK1301" s="327"/>
      <c r="AL1301" s="537" t="s">
        <v>334</v>
      </c>
      <c r="AM1301" s="327"/>
      <c r="AN1301" s="546" t="s">
        <v>334</v>
      </c>
      <c r="AO1301" s="327"/>
      <c r="AP1301" s="547"/>
      <c r="AQ1301" s="327"/>
      <c r="AR1301" s="548"/>
      <c r="AS1301" s="327"/>
      <c r="AT1301" s="568"/>
      <c r="AU1301" s="327"/>
      <c r="AV1301" s="546" t="s">
        <v>334</v>
      </c>
      <c r="AW1301" s="327"/>
      <c r="AX1301" s="521"/>
      <c r="AY1301" s="326"/>
      <c r="AZ1301" s="327"/>
      <c r="BA1301" s="550"/>
      <c r="BB1301" s="327"/>
      <c r="BC1301" s="25"/>
      <c r="BD1301" s="544" t="s">
        <v>334</v>
      </c>
      <c r="BE1301" s="327"/>
      <c r="BF1301" s="545"/>
      <c r="BG1301" s="326"/>
      <c r="BH1301" s="326"/>
      <c r="BI1301" s="327"/>
      <c r="BJ1301" s="557" t="s">
        <v>303</v>
      </c>
      <c r="BK1301" s="326"/>
      <c r="BL1301" s="326"/>
      <c r="BM1301" s="327"/>
      <c r="BN1301" s="558" t="s">
        <v>303</v>
      </c>
      <c r="BO1301" s="326"/>
      <c r="BP1301" s="326"/>
      <c r="BQ1301" s="326"/>
      <c r="BR1301" s="326"/>
      <c r="BS1301" s="326"/>
      <c r="BT1301" s="326"/>
      <c r="BU1301" s="326"/>
      <c r="BV1301" s="327"/>
    </row>
    <row r="1302" spans="1:74" ht="45" customHeight="1" x14ac:dyDescent="0.25">
      <c r="A1302" s="10">
        <f t="shared" si="5"/>
        <v>1288</v>
      </c>
      <c r="B1302" s="564" t="s">
        <v>303</v>
      </c>
      <c r="C1302" s="327"/>
      <c r="D1302" s="565" t="s">
        <v>307</v>
      </c>
      <c r="E1302" s="327"/>
      <c r="F1302" s="537" t="s">
        <v>334</v>
      </c>
      <c r="G1302" s="327"/>
      <c r="H1302" s="561" t="s">
        <v>334</v>
      </c>
      <c r="I1302" s="327"/>
      <c r="J1302" s="562"/>
      <c r="K1302" s="327"/>
      <c r="L1302" s="562"/>
      <c r="M1302" s="327"/>
      <c r="N1302" s="20"/>
      <c r="O1302" s="21"/>
      <c r="P1302" s="524"/>
      <c r="Q1302" s="327"/>
      <c r="R1302" s="516"/>
      <c r="S1302" s="327"/>
      <c r="T1302" s="517"/>
      <c r="U1302" s="327"/>
      <c r="V1302" s="518"/>
      <c r="W1302" s="327"/>
      <c r="X1302" s="438" t="s">
        <v>303</v>
      </c>
      <c r="Y1302" s="326"/>
      <c r="Z1302" s="326"/>
      <c r="AA1302" s="327"/>
      <c r="AB1302" s="519" t="s">
        <v>303</v>
      </c>
      <c r="AC1302" s="326"/>
      <c r="AD1302" s="326"/>
      <c r="AE1302" s="327"/>
      <c r="AF1302" s="520"/>
      <c r="AG1302" s="327"/>
      <c r="AH1302" s="520"/>
      <c r="AI1302" s="327"/>
      <c r="AJ1302" s="536"/>
      <c r="AK1302" s="327"/>
      <c r="AL1302" s="556" t="s">
        <v>334</v>
      </c>
      <c r="AM1302" s="327"/>
      <c r="AN1302" s="553" t="s">
        <v>334</v>
      </c>
      <c r="AO1302" s="327"/>
      <c r="AP1302" s="554"/>
      <c r="AQ1302" s="327"/>
      <c r="AR1302" s="555"/>
      <c r="AS1302" s="327"/>
      <c r="AT1302" s="549"/>
      <c r="AU1302" s="327"/>
      <c r="AV1302" s="553" t="s">
        <v>334</v>
      </c>
      <c r="AW1302" s="327"/>
      <c r="AX1302" s="521"/>
      <c r="AY1302" s="326"/>
      <c r="AZ1302" s="327"/>
      <c r="BA1302" s="536"/>
      <c r="BB1302" s="327"/>
      <c r="BC1302" s="22"/>
      <c r="BD1302" s="551" t="s">
        <v>334</v>
      </c>
      <c r="BE1302" s="327"/>
      <c r="BF1302" s="552"/>
      <c r="BG1302" s="326"/>
      <c r="BH1302" s="326"/>
      <c r="BI1302" s="327"/>
      <c r="BJ1302" s="451" t="s">
        <v>303</v>
      </c>
      <c r="BK1302" s="326"/>
      <c r="BL1302" s="326"/>
      <c r="BM1302" s="327"/>
      <c r="BN1302" s="558" t="s">
        <v>303</v>
      </c>
      <c r="BO1302" s="326"/>
      <c r="BP1302" s="326"/>
      <c r="BQ1302" s="326"/>
      <c r="BR1302" s="326"/>
      <c r="BS1302" s="326"/>
      <c r="BT1302" s="326"/>
      <c r="BU1302" s="326"/>
      <c r="BV1302" s="327"/>
    </row>
    <row r="1303" spans="1:74" ht="45" customHeight="1" x14ac:dyDescent="0.25">
      <c r="A1303" s="10">
        <f t="shared" si="5"/>
        <v>1289</v>
      </c>
      <c r="B1303" s="559" t="s">
        <v>303</v>
      </c>
      <c r="C1303" s="327"/>
      <c r="D1303" s="560" t="s">
        <v>307</v>
      </c>
      <c r="E1303" s="327"/>
      <c r="F1303" s="537" t="s">
        <v>334</v>
      </c>
      <c r="G1303" s="327"/>
      <c r="H1303" s="566" t="s">
        <v>334</v>
      </c>
      <c r="I1303" s="327"/>
      <c r="J1303" s="567"/>
      <c r="K1303" s="327"/>
      <c r="L1303" s="567"/>
      <c r="M1303" s="327"/>
      <c r="N1303" s="23"/>
      <c r="O1303" s="24"/>
      <c r="P1303" s="563"/>
      <c r="Q1303" s="327"/>
      <c r="R1303" s="538"/>
      <c r="S1303" s="327"/>
      <c r="T1303" s="539"/>
      <c r="U1303" s="327"/>
      <c r="V1303" s="540"/>
      <c r="W1303" s="327"/>
      <c r="X1303" s="541" t="s">
        <v>303</v>
      </c>
      <c r="Y1303" s="326"/>
      <c r="Z1303" s="326"/>
      <c r="AA1303" s="327"/>
      <c r="AB1303" s="542" t="s">
        <v>303</v>
      </c>
      <c r="AC1303" s="326"/>
      <c r="AD1303" s="326"/>
      <c r="AE1303" s="327"/>
      <c r="AF1303" s="543"/>
      <c r="AG1303" s="327"/>
      <c r="AH1303" s="543"/>
      <c r="AI1303" s="327"/>
      <c r="AJ1303" s="536"/>
      <c r="AK1303" s="327"/>
      <c r="AL1303" s="537" t="s">
        <v>334</v>
      </c>
      <c r="AM1303" s="327"/>
      <c r="AN1303" s="546" t="s">
        <v>334</v>
      </c>
      <c r="AO1303" s="327"/>
      <c r="AP1303" s="547"/>
      <c r="AQ1303" s="327"/>
      <c r="AR1303" s="548"/>
      <c r="AS1303" s="327"/>
      <c r="AT1303" s="568"/>
      <c r="AU1303" s="327"/>
      <c r="AV1303" s="546" t="s">
        <v>334</v>
      </c>
      <c r="AW1303" s="327"/>
      <c r="AX1303" s="521"/>
      <c r="AY1303" s="326"/>
      <c r="AZ1303" s="327"/>
      <c r="BA1303" s="550"/>
      <c r="BB1303" s="327"/>
      <c r="BC1303" s="25"/>
      <c r="BD1303" s="544" t="s">
        <v>334</v>
      </c>
      <c r="BE1303" s="327"/>
      <c r="BF1303" s="545"/>
      <c r="BG1303" s="326"/>
      <c r="BH1303" s="326"/>
      <c r="BI1303" s="327"/>
      <c r="BJ1303" s="557" t="s">
        <v>303</v>
      </c>
      <c r="BK1303" s="326"/>
      <c r="BL1303" s="326"/>
      <c r="BM1303" s="327"/>
      <c r="BN1303" s="558" t="s">
        <v>303</v>
      </c>
      <c r="BO1303" s="326"/>
      <c r="BP1303" s="326"/>
      <c r="BQ1303" s="326"/>
      <c r="BR1303" s="326"/>
      <c r="BS1303" s="326"/>
      <c r="BT1303" s="326"/>
      <c r="BU1303" s="326"/>
      <c r="BV1303" s="327"/>
    </row>
    <row r="1304" spans="1:74" ht="45" customHeight="1" x14ac:dyDescent="0.25">
      <c r="A1304" s="10">
        <f t="shared" si="5"/>
        <v>1290</v>
      </c>
      <c r="B1304" s="564" t="s">
        <v>303</v>
      </c>
      <c r="C1304" s="327"/>
      <c r="D1304" s="565" t="s">
        <v>307</v>
      </c>
      <c r="E1304" s="327"/>
      <c r="F1304" s="537" t="s">
        <v>334</v>
      </c>
      <c r="G1304" s="327"/>
      <c r="H1304" s="561" t="s">
        <v>334</v>
      </c>
      <c r="I1304" s="327"/>
      <c r="J1304" s="562"/>
      <c r="K1304" s="327"/>
      <c r="L1304" s="562"/>
      <c r="M1304" s="327"/>
      <c r="N1304" s="20"/>
      <c r="O1304" s="21"/>
      <c r="P1304" s="524"/>
      <c r="Q1304" s="327"/>
      <c r="R1304" s="516"/>
      <c r="S1304" s="327"/>
      <c r="T1304" s="517"/>
      <c r="U1304" s="327"/>
      <c r="V1304" s="518"/>
      <c r="W1304" s="327"/>
      <c r="X1304" s="438" t="s">
        <v>303</v>
      </c>
      <c r="Y1304" s="326"/>
      <c r="Z1304" s="326"/>
      <c r="AA1304" s="327"/>
      <c r="AB1304" s="519" t="s">
        <v>303</v>
      </c>
      <c r="AC1304" s="326"/>
      <c r="AD1304" s="326"/>
      <c r="AE1304" s="327"/>
      <c r="AF1304" s="520"/>
      <c r="AG1304" s="327"/>
      <c r="AH1304" s="520"/>
      <c r="AI1304" s="327"/>
      <c r="AJ1304" s="536"/>
      <c r="AK1304" s="327"/>
      <c r="AL1304" s="556" t="s">
        <v>334</v>
      </c>
      <c r="AM1304" s="327"/>
      <c r="AN1304" s="553" t="s">
        <v>334</v>
      </c>
      <c r="AO1304" s="327"/>
      <c r="AP1304" s="554"/>
      <c r="AQ1304" s="327"/>
      <c r="AR1304" s="555"/>
      <c r="AS1304" s="327"/>
      <c r="AT1304" s="549"/>
      <c r="AU1304" s="327"/>
      <c r="AV1304" s="553" t="s">
        <v>334</v>
      </c>
      <c r="AW1304" s="327"/>
      <c r="AX1304" s="521"/>
      <c r="AY1304" s="326"/>
      <c r="AZ1304" s="327"/>
      <c r="BA1304" s="536"/>
      <c r="BB1304" s="327"/>
      <c r="BC1304" s="22"/>
      <c r="BD1304" s="551" t="s">
        <v>334</v>
      </c>
      <c r="BE1304" s="327"/>
      <c r="BF1304" s="552"/>
      <c r="BG1304" s="326"/>
      <c r="BH1304" s="326"/>
      <c r="BI1304" s="327"/>
      <c r="BJ1304" s="451" t="s">
        <v>303</v>
      </c>
      <c r="BK1304" s="326"/>
      <c r="BL1304" s="326"/>
      <c r="BM1304" s="327"/>
      <c r="BN1304" s="558" t="s">
        <v>303</v>
      </c>
      <c r="BO1304" s="326"/>
      <c r="BP1304" s="326"/>
      <c r="BQ1304" s="326"/>
      <c r="BR1304" s="326"/>
      <c r="BS1304" s="326"/>
      <c r="BT1304" s="326"/>
      <c r="BU1304" s="326"/>
      <c r="BV1304" s="327"/>
    </row>
    <row r="1305" spans="1:74" ht="45" customHeight="1" x14ac:dyDescent="0.25">
      <c r="A1305" s="10">
        <f t="shared" si="5"/>
        <v>1291</v>
      </c>
      <c r="B1305" s="559" t="s">
        <v>303</v>
      </c>
      <c r="C1305" s="327"/>
      <c r="D1305" s="560" t="s">
        <v>307</v>
      </c>
      <c r="E1305" s="327"/>
      <c r="F1305" s="537" t="s">
        <v>334</v>
      </c>
      <c r="G1305" s="327"/>
      <c r="H1305" s="566" t="s">
        <v>334</v>
      </c>
      <c r="I1305" s="327"/>
      <c r="J1305" s="567"/>
      <c r="K1305" s="327"/>
      <c r="L1305" s="567"/>
      <c r="M1305" s="327"/>
      <c r="N1305" s="23"/>
      <c r="O1305" s="24"/>
      <c r="P1305" s="563"/>
      <c r="Q1305" s="327"/>
      <c r="R1305" s="538"/>
      <c r="S1305" s="327"/>
      <c r="T1305" s="539"/>
      <c r="U1305" s="327"/>
      <c r="V1305" s="540"/>
      <c r="W1305" s="327"/>
      <c r="X1305" s="541" t="s">
        <v>303</v>
      </c>
      <c r="Y1305" s="326"/>
      <c r="Z1305" s="326"/>
      <c r="AA1305" s="327"/>
      <c r="AB1305" s="542" t="s">
        <v>303</v>
      </c>
      <c r="AC1305" s="326"/>
      <c r="AD1305" s="326"/>
      <c r="AE1305" s="327"/>
      <c r="AF1305" s="543"/>
      <c r="AG1305" s="327"/>
      <c r="AH1305" s="543"/>
      <c r="AI1305" s="327"/>
      <c r="AJ1305" s="536"/>
      <c r="AK1305" s="327"/>
      <c r="AL1305" s="537" t="s">
        <v>334</v>
      </c>
      <c r="AM1305" s="327"/>
      <c r="AN1305" s="546" t="s">
        <v>334</v>
      </c>
      <c r="AO1305" s="327"/>
      <c r="AP1305" s="547"/>
      <c r="AQ1305" s="327"/>
      <c r="AR1305" s="548"/>
      <c r="AS1305" s="327"/>
      <c r="AT1305" s="568"/>
      <c r="AU1305" s="327"/>
      <c r="AV1305" s="546" t="s">
        <v>334</v>
      </c>
      <c r="AW1305" s="327"/>
      <c r="AX1305" s="521"/>
      <c r="AY1305" s="326"/>
      <c r="AZ1305" s="327"/>
      <c r="BA1305" s="550"/>
      <c r="BB1305" s="327"/>
      <c r="BC1305" s="25"/>
      <c r="BD1305" s="544" t="s">
        <v>334</v>
      </c>
      <c r="BE1305" s="327"/>
      <c r="BF1305" s="545"/>
      <c r="BG1305" s="326"/>
      <c r="BH1305" s="326"/>
      <c r="BI1305" s="327"/>
      <c r="BJ1305" s="557" t="s">
        <v>303</v>
      </c>
      <c r="BK1305" s="326"/>
      <c r="BL1305" s="326"/>
      <c r="BM1305" s="327"/>
      <c r="BN1305" s="558" t="s">
        <v>303</v>
      </c>
      <c r="BO1305" s="326"/>
      <c r="BP1305" s="326"/>
      <c r="BQ1305" s="326"/>
      <c r="BR1305" s="326"/>
      <c r="BS1305" s="326"/>
      <c r="BT1305" s="326"/>
      <c r="BU1305" s="326"/>
      <c r="BV1305" s="327"/>
    </row>
    <row r="1306" spans="1:74" ht="45" customHeight="1" x14ac:dyDescent="0.25">
      <c r="A1306" s="10">
        <f t="shared" si="5"/>
        <v>1292</v>
      </c>
      <c r="B1306" s="564" t="s">
        <v>303</v>
      </c>
      <c r="C1306" s="327"/>
      <c r="D1306" s="565" t="s">
        <v>307</v>
      </c>
      <c r="E1306" s="327"/>
      <c r="F1306" s="537" t="s">
        <v>334</v>
      </c>
      <c r="G1306" s="327"/>
      <c r="H1306" s="561" t="s">
        <v>334</v>
      </c>
      <c r="I1306" s="327"/>
      <c r="J1306" s="562"/>
      <c r="K1306" s="327"/>
      <c r="L1306" s="562"/>
      <c r="M1306" s="327"/>
      <c r="N1306" s="20"/>
      <c r="O1306" s="21"/>
      <c r="P1306" s="524"/>
      <c r="Q1306" s="327"/>
      <c r="R1306" s="516"/>
      <c r="S1306" s="327"/>
      <c r="T1306" s="517"/>
      <c r="U1306" s="327"/>
      <c r="V1306" s="518"/>
      <c r="W1306" s="327"/>
      <c r="X1306" s="438" t="s">
        <v>303</v>
      </c>
      <c r="Y1306" s="326"/>
      <c r="Z1306" s="326"/>
      <c r="AA1306" s="327"/>
      <c r="AB1306" s="519" t="s">
        <v>303</v>
      </c>
      <c r="AC1306" s="326"/>
      <c r="AD1306" s="326"/>
      <c r="AE1306" s="327"/>
      <c r="AF1306" s="520"/>
      <c r="AG1306" s="327"/>
      <c r="AH1306" s="520"/>
      <c r="AI1306" s="327"/>
      <c r="AJ1306" s="536"/>
      <c r="AK1306" s="327"/>
      <c r="AL1306" s="556" t="s">
        <v>334</v>
      </c>
      <c r="AM1306" s="327"/>
      <c r="AN1306" s="553" t="s">
        <v>334</v>
      </c>
      <c r="AO1306" s="327"/>
      <c r="AP1306" s="554"/>
      <c r="AQ1306" s="327"/>
      <c r="AR1306" s="555"/>
      <c r="AS1306" s="327"/>
      <c r="AT1306" s="549"/>
      <c r="AU1306" s="327"/>
      <c r="AV1306" s="553" t="s">
        <v>334</v>
      </c>
      <c r="AW1306" s="327"/>
      <c r="AX1306" s="521"/>
      <c r="AY1306" s="326"/>
      <c r="AZ1306" s="327"/>
      <c r="BA1306" s="536"/>
      <c r="BB1306" s="327"/>
      <c r="BC1306" s="22"/>
      <c r="BD1306" s="551" t="s">
        <v>334</v>
      </c>
      <c r="BE1306" s="327"/>
      <c r="BF1306" s="508"/>
      <c r="BG1306" s="326"/>
      <c r="BH1306" s="326"/>
      <c r="BI1306" s="327"/>
      <c r="BJ1306" s="451" t="s">
        <v>303</v>
      </c>
      <c r="BK1306" s="326"/>
      <c r="BL1306" s="326"/>
      <c r="BM1306" s="327"/>
      <c r="BN1306" s="558" t="s">
        <v>303</v>
      </c>
      <c r="BO1306" s="326"/>
      <c r="BP1306" s="326"/>
      <c r="BQ1306" s="326"/>
      <c r="BR1306" s="326"/>
      <c r="BS1306" s="326"/>
      <c r="BT1306" s="326"/>
      <c r="BU1306" s="326"/>
      <c r="BV1306" s="327"/>
    </row>
    <row r="1307" spans="1:74" ht="45" customHeight="1" x14ac:dyDescent="0.25">
      <c r="A1307" s="10">
        <f t="shared" si="5"/>
        <v>1293</v>
      </c>
      <c r="B1307" s="559" t="s">
        <v>303</v>
      </c>
      <c r="C1307" s="327"/>
      <c r="D1307" s="560" t="s">
        <v>307</v>
      </c>
      <c r="E1307" s="327"/>
      <c r="F1307" s="537" t="s">
        <v>334</v>
      </c>
      <c r="G1307" s="327"/>
      <c r="H1307" s="566" t="s">
        <v>334</v>
      </c>
      <c r="I1307" s="327"/>
      <c r="J1307" s="567"/>
      <c r="K1307" s="327"/>
      <c r="L1307" s="567"/>
      <c r="M1307" s="327"/>
      <c r="N1307" s="23"/>
      <c r="O1307" s="24"/>
      <c r="P1307" s="563"/>
      <c r="Q1307" s="327"/>
      <c r="R1307" s="538"/>
      <c r="S1307" s="327"/>
      <c r="T1307" s="539"/>
      <c r="U1307" s="327"/>
      <c r="V1307" s="540"/>
      <c r="W1307" s="327"/>
      <c r="X1307" s="541" t="s">
        <v>303</v>
      </c>
      <c r="Y1307" s="326"/>
      <c r="Z1307" s="326"/>
      <c r="AA1307" s="327"/>
      <c r="AB1307" s="542" t="s">
        <v>303</v>
      </c>
      <c r="AC1307" s="326"/>
      <c r="AD1307" s="326"/>
      <c r="AE1307" s="327"/>
      <c r="AF1307" s="543"/>
      <c r="AG1307" s="327"/>
      <c r="AH1307" s="543"/>
      <c r="AI1307" s="327"/>
      <c r="AJ1307" s="536"/>
      <c r="AK1307" s="327"/>
      <c r="AL1307" s="537" t="s">
        <v>334</v>
      </c>
      <c r="AM1307" s="327"/>
      <c r="AN1307" s="546" t="s">
        <v>334</v>
      </c>
      <c r="AO1307" s="327"/>
      <c r="AP1307" s="547"/>
      <c r="AQ1307" s="327"/>
      <c r="AR1307" s="548"/>
      <c r="AS1307" s="327"/>
      <c r="AT1307" s="568"/>
      <c r="AU1307" s="327"/>
      <c r="AV1307" s="546" t="s">
        <v>334</v>
      </c>
      <c r="AW1307" s="327"/>
      <c r="AX1307" s="521"/>
      <c r="AY1307" s="326"/>
      <c r="AZ1307" s="327"/>
      <c r="BA1307" s="550"/>
      <c r="BB1307" s="327"/>
      <c r="BC1307" s="25"/>
      <c r="BD1307" s="544" t="s">
        <v>334</v>
      </c>
      <c r="BE1307" s="327"/>
      <c r="BF1307" s="545"/>
      <c r="BG1307" s="326"/>
      <c r="BH1307" s="326"/>
      <c r="BI1307" s="327"/>
      <c r="BJ1307" s="557" t="s">
        <v>303</v>
      </c>
      <c r="BK1307" s="326"/>
      <c r="BL1307" s="326"/>
      <c r="BM1307" s="327"/>
      <c r="BN1307" s="558" t="s">
        <v>303</v>
      </c>
      <c r="BO1307" s="326"/>
      <c r="BP1307" s="326"/>
      <c r="BQ1307" s="326"/>
      <c r="BR1307" s="326"/>
      <c r="BS1307" s="326"/>
      <c r="BT1307" s="326"/>
      <c r="BU1307" s="326"/>
      <c r="BV1307" s="327"/>
    </row>
    <row r="1308" spans="1:74" ht="45" customHeight="1" x14ac:dyDescent="0.25">
      <c r="A1308" s="10">
        <f t="shared" si="5"/>
        <v>1294</v>
      </c>
      <c r="B1308" s="564" t="s">
        <v>303</v>
      </c>
      <c r="C1308" s="327"/>
      <c r="D1308" s="565" t="s">
        <v>307</v>
      </c>
      <c r="E1308" s="327"/>
      <c r="F1308" s="537" t="s">
        <v>334</v>
      </c>
      <c r="G1308" s="327"/>
      <c r="H1308" s="561" t="s">
        <v>334</v>
      </c>
      <c r="I1308" s="327"/>
      <c r="J1308" s="562"/>
      <c r="K1308" s="327"/>
      <c r="L1308" s="562"/>
      <c r="M1308" s="327"/>
      <c r="N1308" s="20"/>
      <c r="O1308" s="21"/>
      <c r="P1308" s="524"/>
      <c r="Q1308" s="327"/>
      <c r="R1308" s="516"/>
      <c r="S1308" s="327"/>
      <c r="T1308" s="517"/>
      <c r="U1308" s="327"/>
      <c r="V1308" s="518"/>
      <c r="W1308" s="327"/>
      <c r="X1308" s="438" t="s">
        <v>303</v>
      </c>
      <c r="Y1308" s="326"/>
      <c r="Z1308" s="326"/>
      <c r="AA1308" s="327"/>
      <c r="AB1308" s="519" t="s">
        <v>303</v>
      </c>
      <c r="AC1308" s="326"/>
      <c r="AD1308" s="326"/>
      <c r="AE1308" s="327"/>
      <c r="AF1308" s="520"/>
      <c r="AG1308" s="327"/>
      <c r="AH1308" s="520"/>
      <c r="AI1308" s="327"/>
      <c r="AJ1308" s="536"/>
      <c r="AK1308" s="327"/>
      <c r="AL1308" s="556" t="s">
        <v>334</v>
      </c>
      <c r="AM1308" s="327"/>
      <c r="AN1308" s="553" t="s">
        <v>334</v>
      </c>
      <c r="AO1308" s="327"/>
      <c r="AP1308" s="554"/>
      <c r="AQ1308" s="327"/>
      <c r="AR1308" s="555"/>
      <c r="AS1308" s="327"/>
      <c r="AT1308" s="549"/>
      <c r="AU1308" s="327"/>
      <c r="AV1308" s="553" t="s">
        <v>334</v>
      </c>
      <c r="AW1308" s="327"/>
      <c r="AX1308" s="521"/>
      <c r="AY1308" s="326"/>
      <c r="AZ1308" s="327"/>
      <c r="BA1308" s="536"/>
      <c r="BB1308" s="327"/>
      <c r="BC1308" s="22"/>
      <c r="BD1308" s="551" t="s">
        <v>334</v>
      </c>
      <c r="BE1308" s="327"/>
      <c r="BF1308" s="552"/>
      <c r="BG1308" s="326"/>
      <c r="BH1308" s="326"/>
      <c r="BI1308" s="327"/>
      <c r="BJ1308" s="451" t="s">
        <v>303</v>
      </c>
      <c r="BK1308" s="326"/>
      <c r="BL1308" s="326"/>
      <c r="BM1308" s="327"/>
      <c r="BN1308" s="558" t="s">
        <v>303</v>
      </c>
      <c r="BO1308" s="326"/>
      <c r="BP1308" s="326"/>
      <c r="BQ1308" s="326"/>
      <c r="BR1308" s="326"/>
      <c r="BS1308" s="326"/>
      <c r="BT1308" s="326"/>
      <c r="BU1308" s="326"/>
      <c r="BV1308" s="327"/>
    </row>
    <row r="1309" spans="1:74" ht="45" customHeight="1" x14ac:dyDescent="0.25">
      <c r="A1309" s="10">
        <f t="shared" si="5"/>
        <v>1295</v>
      </c>
      <c r="B1309" s="559" t="s">
        <v>303</v>
      </c>
      <c r="C1309" s="327"/>
      <c r="D1309" s="560" t="s">
        <v>307</v>
      </c>
      <c r="E1309" s="327"/>
      <c r="F1309" s="537" t="s">
        <v>334</v>
      </c>
      <c r="G1309" s="327"/>
      <c r="H1309" s="566" t="s">
        <v>334</v>
      </c>
      <c r="I1309" s="327"/>
      <c r="J1309" s="567"/>
      <c r="K1309" s="327"/>
      <c r="L1309" s="567"/>
      <c r="M1309" s="327"/>
      <c r="N1309" s="20"/>
      <c r="O1309" s="21"/>
      <c r="P1309" s="524"/>
      <c r="Q1309" s="327"/>
      <c r="R1309" s="538"/>
      <c r="S1309" s="327"/>
      <c r="T1309" s="539"/>
      <c r="U1309" s="327"/>
      <c r="V1309" s="540"/>
      <c r="W1309" s="327"/>
      <c r="X1309" s="541" t="s">
        <v>303</v>
      </c>
      <c r="Y1309" s="326"/>
      <c r="Z1309" s="326"/>
      <c r="AA1309" s="327"/>
      <c r="AB1309" s="542" t="s">
        <v>303</v>
      </c>
      <c r="AC1309" s="326"/>
      <c r="AD1309" s="326"/>
      <c r="AE1309" s="327"/>
      <c r="AF1309" s="543"/>
      <c r="AG1309" s="327"/>
      <c r="AH1309" s="543"/>
      <c r="AI1309" s="327"/>
      <c r="AJ1309" s="536"/>
      <c r="AK1309" s="327"/>
      <c r="AL1309" s="537" t="s">
        <v>334</v>
      </c>
      <c r="AM1309" s="327"/>
      <c r="AN1309" s="546" t="s">
        <v>334</v>
      </c>
      <c r="AO1309" s="327"/>
      <c r="AP1309" s="547"/>
      <c r="AQ1309" s="327"/>
      <c r="AR1309" s="548"/>
      <c r="AS1309" s="327"/>
      <c r="AT1309" s="549"/>
      <c r="AU1309" s="327"/>
      <c r="AV1309" s="546" t="s">
        <v>334</v>
      </c>
      <c r="AW1309" s="327"/>
      <c r="AX1309" s="521"/>
      <c r="AY1309" s="326"/>
      <c r="AZ1309" s="327"/>
      <c r="BA1309" s="550"/>
      <c r="BB1309" s="327"/>
      <c r="BC1309" s="25"/>
      <c r="BD1309" s="544" t="s">
        <v>334</v>
      </c>
      <c r="BE1309" s="327"/>
      <c r="BF1309" s="545"/>
      <c r="BG1309" s="326"/>
      <c r="BH1309" s="326"/>
      <c r="BI1309" s="327"/>
      <c r="BJ1309" s="557" t="s">
        <v>303</v>
      </c>
      <c r="BK1309" s="326"/>
      <c r="BL1309" s="326"/>
      <c r="BM1309" s="327"/>
      <c r="BN1309" s="558" t="s">
        <v>303</v>
      </c>
      <c r="BO1309" s="326"/>
      <c r="BP1309" s="326"/>
      <c r="BQ1309" s="326"/>
      <c r="BR1309" s="326"/>
      <c r="BS1309" s="326"/>
      <c r="BT1309" s="326"/>
      <c r="BU1309" s="326"/>
      <c r="BV1309" s="327"/>
    </row>
    <row r="1310" spans="1:74" ht="45" customHeight="1" x14ac:dyDescent="0.25">
      <c r="A1310" s="10">
        <f t="shared" si="5"/>
        <v>1296</v>
      </c>
      <c r="B1310" s="564" t="s">
        <v>303</v>
      </c>
      <c r="C1310" s="327"/>
      <c r="D1310" s="565" t="s">
        <v>307</v>
      </c>
      <c r="E1310" s="327"/>
      <c r="F1310" s="537" t="s">
        <v>334</v>
      </c>
      <c r="G1310" s="327"/>
      <c r="H1310" s="561" t="s">
        <v>334</v>
      </c>
      <c r="I1310" s="327"/>
      <c r="J1310" s="562"/>
      <c r="K1310" s="327"/>
      <c r="L1310" s="562"/>
      <c r="M1310" s="327"/>
      <c r="N1310" s="23"/>
      <c r="O1310" s="24"/>
      <c r="P1310" s="563"/>
      <c r="Q1310" s="327"/>
      <c r="R1310" s="516"/>
      <c r="S1310" s="327"/>
      <c r="T1310" s="517"/>
      <c r="U1310" s="327"/>
      <c r="V1310" s="518"/>
      <c r="W1310" s="327"/>
      <c r="X1310" s="438" t="s">
        <v>303</v>
      </c>
      <c r="Y1310" s="326"/>
      <c r="Z1310" s="326"/>
      <c r="AA1310" s="327"/>
      <c r="AB1310" s="519" t="s">
        <v>303</v>
      </c>
      <c r="AC1310" s="326"/>
      <c r="AD1310" s="326"/>
      <c r="AE1310" s="327"/>
      <c r="AF1310" s="520"/>
      <c r="AG1310" s="327"/>
      <c r="AH1310" s="520"/>
      <c r="AI1310" s="327"/>
      <c r="AJ1310" s="536"/>
      <c r="AK1310" s="327"/>
      <c r="AL1310" s="556" t="s">
        <v>334</v>
      </c>
      <c r="AM1310" s="327"/>
      <c r="AN1310" s="553" t="s">
        <v>334</v>
      </c>
      <c r="AO1310" s="327"/>
      <c r="AP1310" s="554"/>
      <c r="AQ1310" s="327"/>
      <c r="AR1310" s="555"/>
      <c r="AS1310" s="327"/>
      <c r="AT1310" s="549"/>
      <c r="AU1310" s="327"/>
      <c r="AV1310" s="553" t="s">
        <v>334</v>
      </c>
      <c r="AW1310" s="327"/>
      <c r="AX1310" s="521"/>
      <c r="AY1310" s="326"/>
      <c r="AZ1310" s="327"/>
      <c r="BA1310" s="536"/>
      <c r="BB1310" s="327"/>
      <c r="BC1310" s="22"/>
      <c r="BD1310" s="551" t="s">
        <v>334</v>
      </c>
      <c r="BE1310" s="327"/>
      <c r="BF1310" s="552"/>
      <c r="BG1310" s="326"/>
      <c r="BH1310" s="326"/>
      <c r="BI1310" s="327"/>
      <c r="BJ1310" s="451" t="s">
        <v>303</v>
      </c>
      <c r="BK1310" s="326"/>
      <c r="BL1310" s="326"/>
      <c r="BM1310" s="327"/>
      <c r="BN1310" s="558" t="s">
        <v>303</v>
      </c>
      <c r="BO1310" s="326"/>
      <c r="BP1310" s="326"/>
      <c r="BQ1310" s="326"/>
      <c r="BR1310" s="326"/>
      <c r="BS1310" s="326"/>
      <c r="BT1310" s="326"/>
      <c r="BU1310" s="326"/>
      <c r="BV1310" s="327"/>
    </row>
    <row r="1311" spans="1:74" ht="45" customHeight="1" x14ac:dyDescent="0.25">
      <c r="A1311" s="10">
        <f t="shared" si="5"/>
        <v>1297</v>
      </c>
      <c r="B1311" s="559" t="s">
        <v>303</v>
      </c>
      <c r="C1311" s="327"/>
      <c r="D1311" s="560" t="s">
        <v>307</v>
      </c>
      <c r="E1311" s="327"/>
      <c r="F1311" s="537" t="s">
        <v>334</v>
      </c>
      <c r="G1311" s="327"/>
      <c r="H1311" s="566" t="s">
        <v>334</v>
      </c>
      <c r="I1311" s="327"/>
      <c r="J1311" s="567"/>
      <c r="K1311" s="327"/>
      <c r="L1311" s="567"/>
      <c r="M1311" s="327"/>
      <c r="N1311" s="20"/>
      <c r="O1311" s="21"/>
      <c r="P1311" s="524"/>
      <c r="Q1311" s="327"/>
      <c r="R1311" s="538"/>
      <c r="S1311" s="327"/>
      <c r="T1311" s="539"/>
      <c r="U1311" s="327"/>
      <c r="V1311" s="540"/>
      <c r="W1311" s="327"/>
      <c r="X1311" s="541" t="s">
        <v>303</v>
      </c>
      <c r="Y1311" s="326"/>
      <c r="Z1311" s="326"/>
      <c r="AA1311" s="327"/>
      <c r="AB1311" s="542" t="s">
        <v>303</v>
      </c>
      <c r="AC1311" s="326"/>
      <c r="AD1311" s="326"/>
      <c r="AE1311" s="327"/>
      <c r="AF1311" s="543"/>
      <c r="AG1311" s="327"/>
      <c r="AH1311" s="543"/>
      <c r="AI1311" s="327"/>
      <c r="AJ1311" s="536"/>
      <c r="AK1311" s="327"/>
      <c r="AL1311" s="537" t="s">
        <v>334</v>
      </c>
      <c r="AM1311" s="327"/>
      <c r="AN1311" s="546" t="s">
        <v>334</v>
      </c>
      <c r="AO1311" s="327"/>
      <c r="AP1311" s="547"/>
      <c r="AQ1311" s="327"/>
      <c r="AR1311" s="548"/>
      <c r="AS1311" s="327"/>
      <c r="AT1311" s="549"/>
      <c r="AU1311" s="327"/>
      <c r="AV1311" s="546" t="s">
        <v>334</v>
      </c>
      <c r="AW1311" s="327"/>
      <c r="AX1311" s="521"/>
      <c r="AY1311" s="326"/>
      <c r="AZ1311" s="327"/>
      <c r="BA1311" s="550"/>
      <c r="BB1311" s="327"/>
      <c r="BC1311" s="25"/>
      <c r="BD1311" s="544" t="s">
        <v>334</v>
      </c>
      <c r="BE1311" s="327"/>
      <c r="BF1311" s="545"/>
      <c r="BG1311" s="326"/>
      <c r="BH1311" s="326"/>
      <c r="BI1311" s="327"/>
      <c r="BJ1311" s="557" t="s">
        <v>303</v>
      </c>
      <c r="BK1311" s="326"/>
      <c r="BL1311" s="326"/>
      <c r="BM1311" s="327"/>
      <c r="BN1311" s="558" t="s">
        <v>303</v>
      </c>
      <c r="BO1311" s="326"/>
      <c r="BP1311" s="326"/>
      <c r="BQ1311" s="326"/>
      <c r="BR1311" s="326"/>
      <c r="BS1311" s="326"/>
      <c r="BT1311" s="326"/>
      <c r="BU1311" s="326"/>
      <c r="BV1311" s="327"/>
    </row>
    <row r="1312" spans="1:74" ht="45" customHeight="1" x14ac:dyDescent="0.25">
      <c r="A1312" s="10">
        <f t="shared" si="5"/>
        <v>1298</v>
      </c>
      <c r="B1312" s="564" t="s">
        <v>303</v>
      </c>
      <c r="C1312" s="327"/>
      <c r="D1312" s="565" t="s">
        <v>307</v>
      </c>
      <c r="E1312" s="327"/>
      <c r="F1312" s="537" t="s">
        <v>334</v>
      </c>
      <c r="G1312" s="327"/>
      <c r="H1312" s="561" t="s">
        <v>334</v>
      </c>
      <c r="I1312" s="327"/>
      <c r="J1312" s="562"/>
      <c r="K1312" s="327"/>
      <c r="L1312" s="562"/>
      <c r="M1312" s="327"/>
      <c r="N1312" s="23"/>
      <c r="O1312" s="24"/>
      <c r="P1312" s="563"/>
      <c r="Q1312" s="327"/>
      <c r="R1312" s="516"/>
      <c r="S1312" s="327"/>
      <c r="T1312" s="517"/>
      <c r="U1312" s="327"/>
      <c r="V1312" s="518"/>
      <c r="W1312" s="327"/>
      <c r="X1312" s="438" t="s">
        <v>303</v>
      </c>
      <c r="Y1312" s="326"/>
      <c r="Z1312" s="326"/>
      <c r="AA1312" s="327"/>
      <c r="AB1312" s="519" t="s">
        <v>303</v>
      </c>
      <c r="AC1312" s="326"/>
      <c r="AD1312" s="326"/>
      <c r="AE1312" s="327"/>
      <c r="AF1312" s="520"/>
      <c r="AG1312" s="327"/>
      <c r="AH1312" s="520"/>
      <c r="AI1312" s="327"/>
      <c r="AJ1312" s="536"/>
      <c r="AK1312" s="327"/>
      <c r="AL1312" s="556" t="s">
        <v>334</v>
      </c>
      <c r="AM1312" s="327"/>
      <c r="AN1312" s="553" t="s">
        <v>334</v>
      </c>
      <c r="AO1312" s="327"/>
      <c r="AP1312" s="554"/>
      <c r="AQ1312" s="327"/>
      <c r="AR1312" s="555"/>
      <c r="AS1312" s="327"/>
      <c r="AT1312" s="549"/>
      <c r="AU1312" s="327"/>
      <c r="AV1312" s="553" t="s">
        <v>334</v>
      </c>
      <c r="AW1312" s="327"/>
      <c r="AX1312" s="521"/>
      <c r="AY1312" s="326"/>
      <c r="AZ1312" s="327"/>
      <c r="BA1312" s="536"/>
      <c r="BB1312" s="327"/>
      <c r="BC1312" s="22"/>
      <c r="BD1312" s="551" t="s">
        <v>334</v>
      </c>
      <c r="BE1312" s="327"/>
      <c r="BF1312" s="552"/>
      <c r="BG1312" s="326"/>
      <c r="BH1312" s="326"/>
      <c r="BI1312" s="327"/>
      <c r="BJ1312" s="451" t="s">
        <v>303</v>
      </c>
      <c r="BK1312" s="326"/>
      <c r="BL1312" s="326"/>
      <c r="BM1312" s="327"/>
      <c r="BN1312" s="558" t="s">
        <v>303</v>
      </c>
      <c r="BO1312" s="326"/>
      <c r="BP1312" s="326"/>
      <c r="BQ1312" s="326"/>
      <c r="BR1312" s="326"/>
      <c r="BS1312" s="326"/>
      <c r="BT1312" s="326"/>
      <c r="BU1312" s="326"/>
      <c r="BV1312" s="327"/>
    </row>
    <row r="1313" spans="1:74" ht="45" customHeight="1" x14ac:dyDescent="0.25">
      <c r="A1313" s="10">
        <f t="shared" si="5"/>
        <v>1299</v>
      </c>
      <c r="B1313" s="559" t="s">
        <v>303</v>
      </c>
      <c r="C1313" s="327"/>
      <c r="D1313" s="560" t="s">
        <v>307</v>
      </c>
      <c r="E1313" s="327"/>
      <c r="F1313" s="537" t="s">
        <v>334</v>
      </c>
      <c r="G1313" s="327"/>
      <c r="H1313" s="566" t="s">
        <v>334</v>
      </c>
      <c r="I1313" s="327"/>
      <c r="J1313" s="567"/>
      <c r="K1313" s="327"/>
      <c r="L1313" s="567"/>
      <c r="M1313" s="327"/>
      <c r="N1313" s="20"/>
      <c r="O1313" s="24"/>
      <c r="P1313" s="524"/>
      <c r="Q1313" s="327"/>
      <c r="R1313" s="538"/>
      <c r="S1313" s="327"/>
      <c r="T1313" s="539"/>
      <c r="U1313" s="327"/>
      <c r="V1313" s="540"/>
      <c r="W1313" s="327"/>
      <c r="X1313" s="541" t="s">
        <v>303</v>
      </c>
      <c r="Y1313" s="326"/>
      <c r="Z1313" s="326"/>
      <c r="AA1313" s="327"/>
      <c r="AB1313" s="542" t="s">
        <v>303</v>
      </c>
      <c r="AC1313" s="326"/>
      <c r="AD1313" s="326"/>
      <c r="AE1313" s="327"/>
      <c r="AF1313" s="543"/>
      <c r="AG1313" s="327"/>
      <c r="AH1313" s="543"/>
      <c r="AI1313" s="327"/>
      <c r="AJ1313" s="536"/>
      <c r="AK1313" s="327"/>
      <c r="AL1313" s="537" t="s">
        <v>334</v>
      </c>
      <c r="AM1313" s="327"/>
      <c r="AN1313" s="546" t="s">
        <v>334</v>
      </c>
      <c r="AO1313" s="327"/>
      <c r="AP1313" s="547"/>
      <c r="AQ1313" s="327"/>
      <c r="AR1313" s="548"/>
      <c r="AS1313" s="327"/>
      <c r="AT1313" s="568"/>
      <c r="AU1313" s="327"/>
      <c r="AV1313" s="546" t="s">
        <v>334</v>
      </c>
      <c r="AW1313" s="327"/>
      <c r="AX1313" s="521"/>
      <c r="AY1313" s="326"/>
      <c r="AZ1313" s="327"/>
      <c r="BA1313" s="550"/>
      <c r="BB1313" s="327"/>
      <c r="BC1313" s="25"/>
      <c r="BD1313" s="544" t="s">
        <v>334</v>
      </c>
      <c r="BE1313" s="327"/>
      <c r="BF1313" s="545"/>
      <c r="BG1313" s="326"/>
      <c r="BH1313" s="326"/>
      <c r="BI1313" s="327"/>
      <c r="BJ1313" s="557" t="s">
        <v>303</v>
      </c>
      <c r="BK1313" s="326"/>
      <c r="BL1313" s="326"/>
      <c r="BM1313" s="327"/>
      <c r="BN1313" s="558" t="s">
        <v>303</v>
      </c>
      <c r="BO1313" s="326"/>
      <c r="BP1313" s="326"/>
      <c r="BQ1313" s="326"/>
      <c r="BR1313" s="326"/>
      <c r="BS1313" s="326"/>
      <c r="BT1313" s="326"/>
      <c r="BU1313" s="326"/>
      <c r="BV1313" s="327"/>
    </row>
    <row r="1314" spans="1:74" ht="45" customHeight="1" x14ac:dyDescent="0.25">
      <c r="A1314" s="10">
        <f t="shared" si="5"/>
        <v>1300</v>
      </c>
      <c r="B1314" s="564" t="s">
        <v>303</v>
      </c>
      <c r="C1314" s="327"/>
      <c r="D1314" s="565" t="s">
        <v>307</v>
      </c>
      <c r="E1314" s="327"/>
      <c r="F1314" s="537" t="s">
        <v>334</v>
      </c>
      <c r="G1314" s="327"/>
      <c r="H1314" s="561" t="s">
        <v>334</v>
      </c>
      <c r="I1314" s="327"/>
      <c r="J1314" s="562"/>
      <c r="K1314" s="327"/>
      <c r="L1314" s="562"/>
      <c r="M1314" s="327"/>
      <c r="N1314" s="23"/>
      <c r="O1314" s="21"/>
      <c r="P1314" s="563"/>
      <c r="Q1314" s="327"/>
      <c r="R1314" s="516"/>
      <c r="S1314" s="327"/>
      <c r="T1314" s="517"/>
      <c r="U1314" s="327"/>
      <c r="V1314" s="518"/>
      <c r="W1314" s="327"/>
      <c r="X1314" s="438" t="s">
        <v>303</v>
      </c>
      <c r="Y1314" s="326"/>
      <c r="Z1314" s="326"/>
      <c r="AA1314" s="327"/>
      <c r="AB1314" s="519" t="s">
        <v>303</v>
      </c>
      <c r="AC1314" s="326"/>
      <c r="AD1314" s="326"/>
      <c r="AE1314" s="327"/>
      <c r="AF1314" s="520"/>
      <c r="AG1314" s="327"/>
      <c r="AH1314" s="520"/>
      <c r="AI1314" s="327"/>
      <c r="AJ1314" s="536"/>
      <c r="AK1314" s="327"/>
      <c r="AL1314" s="556" t="s">
        <v>334</v>
      </c>
      <c r="AM1314" s="327"/>
      <c r="AN1314" s="553" t="s">
        <v>334</v>
      </c>
      <c r="AO1314" s="327"/>
      <c r="AP1314" s="554"/>
      <c r="AQ1314" s="327"/>
      <c r="AR1314" s="555"/>
      <c r="AS1314" s="327"/>
      <c r="AT1314" s="549"/>
      <c r="AU1314" s="327"/>
      <c r="AV1314" s="553" t="s">
        <v>334</v>
      </c>
      <c r="AW1314" s="327"/>
      <c r="AX1314" s="521"/>
      <c r="AY1314" s="326"/>
      <c r="AZ1314" s="327"/>
      <c r="BA1314" s="536"/>
      <c r="BB1314" s="327"/>
      <c r="BC1314" s="22"/>
      <c r="BD1314" s="551" t="s">
        <v>334</v>
      </c>
      <c r="BE1314" s="327"/>
      <c r="BF1314" s="508"/>
      <c r="BG1314" s="326"/>
      <c r="BH1314" s="326"/>
      <c r="BI1314" s="327"/>
      <c r="BJ1314" s="451" t="s">
        <v>303</v>
      </c>
      <c r="BK1314" s="326"/>
      <c r="BL1314" s="326"/>
      <c r="BM1314" s="327"/>
      <c r="BN1314" s="558" t="s">
        <v>303</v>
      </c>
      <c r="BO1314" s="326"/>
      <c r="BP1314" s="326"/>
      <c r="BQ1314" s="326"/>
      <c r="BR1314" s="326"/>
      <c r="BS1314" s="326"/>
      <c r="BT1314" s="326"/>
      <c r="BU1314" s="326"/>
      <c r="BV1314" s="327"/>
    </row>
    <row r="1315" spans="1:74" ht="45" customHeight="1" x14ac:dyDescent="0.25">
      <c r="A1315" s="10">
        <f t="shared" si="5"/>
        <v>1301</v>
      </c>
      <c r="B1315" s="559" t="s">
        <v>303</v>
      </c>
      <c r="C1315" s="327"/>
      <c r="D1315" s="560" t="s">
        <v>307</v>
      </c>
      <c r="E1315" s="327"/>
      <c r="F1315" s="537" t="s">
        <v>334</v>
      </c>
      <c r="G1315" s="327"/>
      <c r="H1315" s="566" t="s">
        <v>334</v>
      </c>
      <c r="I1315" s="327"/>
      <c r="J1315" s="567"/>
      <c r="K1315" s="327"/>
      <c r="L1315" s="567"/>
      <c r="M1315" s="327"/>
      <c r="N1315" s="20"/>
      <c r="O1315" s="24"/>
      <c r="P1315" s="524"/>
      <c r="Q1315" s="327"/>
      <c r="R1315" s="538"/>
      <c r="S1315" s="327"/>
      <c r="T1315" s="539"/>
      <c r="U1315" s="327"/>
      <c r="V1315" s="540"/>
      <c r="W1315" s="327"/>
      <c r="X1315" s="541" t="s">
        <v>303</v>
      </c>
      <c r="Y1315" s="326"/>
      <c r="Z1315" s="326"/>
      <c r="AA1315" s="327"/>
      <c r="AB1315" s="542" t="s">
        <v>303</v>
      </c>
      <c r="AC1315" s="326"/>
      <c r="AD1315" s="326"/>
      <c r="AE1315" s="327"/>
      <c r="AF1315" s="543"/>
      <c r="AG1315" s="327"/>
      <c r="AH1315" s="543"/>
      <c r="AI1315" s="327"/>
      <c r="AJ1315" s="536"/>
      <c r="AK1315" s="327"/>
      <c r="AL1315" s="537" t="s">
        <v>334</v>
      </c>
      <c r="AM1315" s="327"/>
      <c r="AN1315" s="546" t="s">
        <v>334</v>
      </c>
      <c r="AO1315" s="327"/>
      <c r="AP1315" s="547"/>
      <c r="AQ1315" s="327"/>
      <c r="AR1315" s="548"/>
      <c r="AS1315" s="327"/>
      <c r="AT1315" s="568"/>
      <c r="AU1315" s="327"/>
      <c r="AV1315" s="546" t="s">
        <v>334</v>
      </c>
      <c r="AW1315" s="327"/>
      <c r="AX1315" s="521"/>
      <c r="AY1315" s="326"/>
      <c r="AZ1315" s="327"/>
      <c r="BA1315" s="550"/>
      <c r="BB1315" s="327"/>
      <c r="BC1315" s="25"/>
      <c r="BD1315" s="544" t="s">
        <v>334</v>
      </c>
      <c r="BE1315" s="327"/>
      <c r="BF1315" s="545"/>
      <c r="BG1315" s="326"/>
      <c r="BH1315" s="326"/>
      <c r="BI1315" s="327"/>
      <c r="BJ1315" s="557" t="s">
        <v>303</v>
      </c>
      <c r="BK1315" s="326"/>
      <c r="BL1315" s="326"/>
      <c r="BM1315" s="327"/>
      <c r="BN1315" s="558" t="s">
        <v>303</v>
      </c>
      <c r="BO1315" s="326"/>
      <c r="BP1315" s="326"/>
      <c r="BQ1315" s="326"/>
      <c r="BR1315" s="326"/>
      <c r="BS1315" s="326"/>
      <c r="BT1315" s="326"/>
      <c r="BU1315" s="326"/>
      <c r="BV1315" s="327"/>
    </row>
    <row r="1316" spans="1:74" ht="45" customHeight="1" x14ac:dyDescent="0.25">
      <c r="A1316" s="10">
        <f t="shared" si="5"/>
        <v>1302</v>
      </c>
      <c r="B1316" s="564" t="s">
        <v>303</v>
      </c>
      <c r="C1316" s="327"/>
      <c r="D1316" s="565" t="s">
        <v>307</v>
      </c>
      <c r="E1316" s="327"/>
      <c r="F1316" s="537" t="s">
        <v>334</v>
      </c>
      <c r="G1316" s="327"/>
      <c r="H1316" s="561" t="s">
        <v>334</v>
      </c>
      <c r="I1316" s="327"/>
      <c r="J1316" s="562"/>
      <c r="K1316" s="327"/>
      <c r="L1316" s="562"/>
      <c r="M1316" s="327"/>
      <c r="N1316" s="23"/>
      <c r="O1316" s="21"/>
      <c r="P1316" s="563"/>
      <c r="Q1316" s="327"/>
      <c r="R1316" s="516"/>
      <c r="S1316" s="327"/>
      <c r="T1316" s="517"/>
      <c r="U1316" s="327"/>
      <c r="V1316" s="518"/>
      <c r="W1316" s="327"/>
      <c r="X1316" s="438" t="s">
        <v>303</v>
      </c>
      <c r="Y1316" s="326"/>
      <c r="Z1316" s="326"/>
      <c r="AA1316" s="327"/>
      <c r="AB1316" s="519" t="s">
        <v>303</v>
      </c>
      <c r="AC1316" s="326"/>
      <c r="AD1316" s="326"/>
      <c r="AE1316" s="327"/>
      <c r="AF1316" s="520"/>
      <c r="AG1316" s="327"/>
      <c r="AH1316" s="520"/>
      <c r="AI1316" s="327"/>
      <c r="AJ1316" s="536"/>
      <c r="AK1316" s="327"/>
      <c r="AL1316" s="556" t="s">
        <v>334</v>
      </c>
      <c r="AM1316" s="327"/>
      <c r="AN1316" s="553" t="s">
        <v>334</v>
      </c>
      <c r="AO1316" s="327"/>
      <c r="AP1316" s="554"/>
      <c r="AQ1316" s="327"/>
      <c r="AR1316" s="555"/>
      <c r="AS1316" s="327"/>
      <c r="AT1316" s="549"/>
      <c r="AU1316" s="327"/>
      <c r="AV1316" s="553" t="s">
        <v>334</v>
      </c>
      <c r="AW1316" s="327"/>
      <c r="AX1316" s="521"/>
      <c r="AY1316" s="326"/>
      <c r="AZ1316" s="327"/>
      <c r="BA1316" s="536"/>
      <c r="BB1316" s="327"/>
      <c r="BC1316" s="22"/>
      <c r="BD1316" s="551" t="s">
        <v>334</v>
      </c>
      <c r="BE1316" s="327"/>
      <c r="BF1316" s="552"/>
      <c r="BG1316" s="326"/>
      <c r="BH1316" s="326"/>
      <c r="BI1316" s="327"/>
      <c r="BJ1316" s="451" t="s">
        <v>303</v>
      </c>
      <c r="BK1316" s="326"/>
      <c r="BL1316" s="326"/>
      <c r="BM1316" s="327"/>
      <c r="BN1316" s="558" t="s">
        <v>303</v>
      </c>
      <c r="BO1316" s="326"/>
      <c r="BP1316" s="326"/>
      <c r="BQ1316" s="326"/>
      <c r="BR1316" s="326"/>
      <c r="BS1316" s="326"/>
      <c r="BT1316" s="326"/>
      <c r="BU1316" s="326"/>
      <c r="BV1316" s="327"/>
    </row>
    <row r="1317" spans="1:74" ht="45" customHeight="1" x14ac:dyDescent="0.25">
      <c r="A1317" s="10">
        <f t="shared" si="5"/>
        <v>1303</v>
      </c>
      <c r="B1317" s="559" t="s">
        <v>303</v>
      </c>
      <c r="C1317" s="327"/>
      <c r="D1317" s="560" t="s">
        <v>307</v>
      </c>
      <c r="E1317" s="327"/>
      <c r="F1317" s="537" t="s">
        <v>334</v>
      </c>
      <c r="G1317" s="327"/>
      <c r="H1317" s="566" t="s">
        <v>334</v>
      </c>
      <c r="I1317" s="327"/>
      <c r="J1317" s="567"/>
      <c r="K1317" s="327"/>
      <c r="L1317" s="567"/>
      <c r="M1317" s="327"/>
      <c r="N1317" s="20"/>
      <c r="O1317" s="24"/>
      <c r="P1317" s="524"/>
      <c r="Q1317" s="327"/>
      <c r="R1317" s="538"/>
      <c r="S1317" s="327"/>
      <c r="T1317" s="539"/>
      <c r="U1317" s="327"/>
      <c r="V1317" s="540"/>
      <c r="W1317" s="327"/>
      <c r="X1317" s="541" t="s">
        <v>303</v>
      </c>
      <c r="Y1317" s="326"/>
      <c r="Z1317" s="326"/>
      <c r="AA1317" s="327"/>
      <c r="AB1317" s="542" t="s">
        <v>303</v>
      </c>
      <c r="AC1317" s="326"/>
      <c r="AD1317" s="326"/>
      <c r="AE1317" s="327"/>
      <c r="AF1317" s="543"/>
      <c r="AG1317" s="327"/>
      <c r="AH1317" s="543"/>
      <c r="AI1317" s="327"/>
      <c r="AJ1317" s="536"/>
      <c r="AK1317" s="327"/>
      <c r="AL1317" s="537" t="s">
        <v>334</v>
      </c>
      <c r="AM1317" s="327"/>
      <c r="AN1317" s="546" t="s">
        <v>334</v>
      </c>
      <c r="AO1317" s="327"/>
      <c r="AP1317" s="547"/>
      <c r="AQ1317" s="327"/>
      <c r="AR1317" s="548"/>
      <c r="AS1317" s="327"/>
      <c r="AT1317" s="568"/>
      <c r="AU1317" s="327"/>
      <c r="AV1317" s="546" t="s">
        <v>334</v>
      </c>
      <c r="AW1317" s="327"/>
      <c r="AX1317" s="521"/>
      <c r="AY1317" s="326"/>
      <c r="AZ1317" s="327"/>
      <c r="BA1317" s="550"/>
      <c r="BB1317" s="327"/>
      <c r="BC1317" s="25"/>
      <c r="BD1317" s="544" t="s">
        <v>334</v>
      </c>
      <c r="BE1317" s="327"/>
      <c r="BF1317" s="545"/>
      <c r="BG1317" s="326"/>
      <c r="BH1317" s="326"/>
      <c r="BI1317" s="327"/>
      <c r="BJ1317" s="557" t="s">
        <v>303</v>
      </c>
      <c r="BK1317" s="326"/>
      <c r="BL1317" s="326"/>
      <c r="BM1317" s="327"/>
      <c r="BN1317" s="558" t="s">
        <v>303</v>
      </c>
      <c r="BO1317" s="326"/>
      <c r="BP1317" s="326"/>
      <c r="BQ1317" s="326"/>
      <c r="BR1317" s="326"/>
      <c r="BS1317" s="326"/>
      <c r="BT1317" s="326"/>
      <c r="BU1317" s="326"/>
      <c r="BV1317" s="327"/>
    </row>
    <row r="1318" spans="1:74" ht="45" customHeight="1" x14ac:dyDescent="0.25">
      <c r="A1318" s="10">
        <f t="shared" si="5"/>
        <v>1304</v>
      </c>
      <c r="B1318" s="564" t="s">
        <v>303</v>
      </c>
      <c r="C1318" s="327"/>
      <c r="D1318" s="565" t="s">
        <v>307</v>
      </c>
      <c r="E1318" s="327"/>
      <c r="F1318" s="537" t="s">
        <v>334</v>
      </c>
      <c r="G1318" s="327"/>
      <c r="H1318" s="561" t="s">
        <v>334</v>
      </c>
      <c r="I1318" s="327"/>
      <c r="J1318" s="562"/>
      <c r="K1318" s="327"/>
      <c r="L1318" s="562"/>
      <c r="M1318" s="327"/>
      <c r="N1318" s="23"/>
      <c r="O1318" s="21"/>
      <c r="P1318" s="563"/>
      <c r="Q1318" s="327"/>
      <c r="R1318" s="516"/>
      <c r="S1318" s="327"/>
      <c r="T1318" s="517"/>
      <c r="U1318" s="327"/>
      <c r="V1318" s="518"/>
      <c r="W1318" s="327"/>
      <c r="X1318" s="438" t="s">
        <v>303</v>
      </c>
      <c r="Y1318" s="326"/>
      <c r="Z1318" s="326"/>
      <c r="AA1318" s="327"/>
      <c r="AB1318" s="519" t="s">
        <v>303</v>
      </c>
      <c r="AC1318" s="326"/>
      <c r="AD1318" s="326"/>
      <c r="AE1318" s="327"/>
      <c r="AF1318" s="520"/>
      <c r="AG1318" s="327"/>
      <c r="AH1318" s="520"/>
      <c r="AI1318" s="327"/>
      <c r="AJ1318" s="536"/>
      <c r="AK1318" s="327"/>
      <c r="AL1318" s="556" t="s">
        <v>334</v>
      </c>
      <c r="AM1318" s="327"/>
      <c r="AN1318" s="553" t="s">
        <v>334</v>
      </c>
      <c r="AO1318" s="327"/>
      <c r="AP1318" s="554"/>
      <c r="AQ1318" s="327"/>
      <c r="AR1318" s="555"/>
      <c r="AS1318" s="327"/>
      <c r="AT1318" s="549"/>
      <c r="AU1318" s="327"/>
      <c r="AV1318" s="553" t="s">
        <v>334</v>
      </c>
      <c r="AW1318" s="327"/>
      <c r="AX1318" s="521"/>
      <c r="AY1318" s="326"/>
      <c r="AZ1318" s="327"/>
      <c r="BA1318" s="536"/>
      <c r="BB1318" s="327"/>
      <c r="BC1318" s="22"/>
      <c r="BD1318" s="551" t="s">
        <v>334</v>
      </c>
      <c r="BE1318" s="327"/>
      <c r="BF1318" s="552"/>
      <c r="BG1318" s="326"/>
      <c r="BH1318" s="326"/>
      <c r="BI1318" s="327"/>
      <c r="BJ1318" s="451" t="s">
        <v>303</v>
      </c>
      <c r="BK1318" s="326"/>
      <c r="BL1318" s="326"/>
      <c r="BM1318" s="327"/>
      <c r="BN1318" s="558" t="s">
        <v>303</v>
      </c>
      <c r="BO1318" s="326"/>
      <c r="BP1318" s="326"/>
      <c r="BQ1318" s="326"/>
      <c r="BR1318" s="326"/>
      <c r="BS1318" s="326"/>
      <c r="BT1318" s="326"/>
      <c r="BU1318" s="326"/>
      <c r="BV1318" s="327"/>
    </row>
    <row r="1319" spans="1:74" ht="45" customHeight="1" x14ac:dyDescent="0.25">
      <c r="A1319" s="10">
        <f t="shared" si="5"/>
        <v>1305</v>
      </c>
      <c r="B1319" s="559" t="s">
        <v>303</v>
      </c>
      <c r="C1319" s="327"/>
      <c r="D1319" s="560" t="s">
        <v>307</v>
      </c>
      <c r="E1319" s="327"/>
      <c r="F1319" s="537" t="s">
        <v>334</v>
      </c>
      <c r="G1319" s="327"/>
      <c r="H1319" s="566" t="s">
        <v>334</v>
      </c>
      <c r="I1319" s="327"/>
      <c r="J1319" s="567"/>
      <c r="K1319" s="327"/>
      <c r="L1319" s="567"/>
      <c r="M1319" s="327"/>
      <c r="N1319" s="20"/>
      <c r="O1319" s="24"/>
      <c r="P1319" s="524"/>
      <c r="Q1319" s="327"/>
      <c r="R1319" s="538"/>
      <c r="S1319" s="327"/>
      <c r="T1319" s="539"/>
      <c r="U1319" s="327"/>
      <c r="V1319" s="540"/>
      <c r="W1319" s="327"/>
      <c r="X1319" s="541" t="s">
        <v>303</v>
      </c>
      <c r="Y1319" s="326"/>
      <c r="Z1319" s="326"/>
      <c r="AA1319" s="327"/>
      <c r="AB1319" s="542" t="s">
        <v>303</v>
      </c>
      <c r="AC1319" s="326"/>
      <c r="AD1319" s="326"/>
      <c r="AE1319" s="327"/>
      <c r="AF1319" s="543"/>
      <c r="AG1319" s="327"/>
      <c r="AH1319" s="543"/>
      <c r="AI1319" s="327"/>
      <c r="AJ1319" s="536"/>
      <c r="AK1319" s="327"/>
      <c r="AL1319" s="537" t="s">
        <v>334</v>
      </c>
      <c r="AM1319" s="327"/>
      <c r="AN1319" s="546" t="s">
        <v>334</v>
      </c>
      <c r="AO1319" s="327"/>
      <c r="AP1319" s="547"/>
      <c r="AQ1319" s="327"/>
      <c r="AR1319" s="548"/>
      <c r="AS1319" s="327"/>
      <c r="AT1319" s="568"/>
      <c r="AU1319" s="327"/>
      <c r="AV1319" s="546" t="s">
        <v>334</v>
      </c>
      <c r="AW1319" s="327"/>
      <c r="AX1319" s="521"/>
      <c r="AY1319" s="326"/>
      <c r="AZ1319" s="327"/>
      <c r="BA1319" s="550"/>
      <c r="BB1319" s="327"/>
      <c r="BC1319" s="25"/>
      <c r="BD1319" s="544" t="s">
        <v>334</v>
      </c>
      <c r="BE1319" s="327"/>
      <c r="BF1319" s="545"/>
      <c r="BG1319" s="326"/>
      <c r="BH1319" s="326"/>
      <c r="BI1319" s="327"/>
      <c r="BJ1319" s="557" t="s">
        <v>303</v>
      </c>
      <c r="BK1319" s="326"/>
      <c r="BL1319" s="326"/>
      <c r="BM1319" s="327"/>
      <c r="BN1319" s="558" t="s">
        <v>303</v>
      </c>
      <c r="BO1319" s="326"/>
      <c r="BP1319" s="326"/>
      <c r="BQ1319" s="326"/>
      <c r="BR1319" s="326"/>
      <c r="BS1319" s="326"/>
      <c r="BT1319" s="326"/>
      <c r="BU1319" s="326"/>
      <c r="BV1319" s="327"/>
    </row>
    <row r="1320" spans="1:74" ht="45" customHeight="1" x14ac:dyDescent="0.25">
      <c r="A1320" s="10">
        <f t="shared" si="5"/>
        <v>1306</v>
      </c>
      <c r="B1320" s="564" t="s">
        <v>303</v>
      </c>
      <c r="C1320" s="327"/>
      <c r="D1320" s="565" t="s">
        <v>307</v>
      </c>
      <c r="E1320" s="327"/>
      <c r="F1320" s="537" t="s">
        <v>334</v>
      </c>
      <c r="G1320" s="327"/>
      <c r="H1320" s="561" t="s">
        <v>334</v>
      </c>
      <c r="I1320" s="327"/>
      <c r="J1320" s="562"/>
      <c r="K1320" s="327"/>
      <c r="L1320" s="562"/>
      <c r="M1320" s="327"/>
      <c r="N1320" s="23"/>
      <c r="O1320" s="21"/>
      <c r="P1320" s="563"/>
      <c r="Q1320" s="327"/>
      <c r="R1320" s="516"/>
      <c r="S1320" s="327"/>
      <c r="T1320" s="517"/>
      <c r="U1320" s="327"/>
      <c r="V1320" s="518"/>
      <c r="W1320" s="327"/>
      <c r="X1320" s="438" t="s">
        <v>303</v>
      </c>
      <c r="Y1320" s="326"/>
      <c r="Z1320" s="326"/>
      <c r="AA1320" s="327"/>
      <c r="AB1320" s="519" t="s">
        <v>303</v>
      </c>
      <c r="AC1320" s="326"/>
      <c r="AD1320" s="326"/>
      <c r="AE1320" s="327"/>
      <c r="AF1320" s="520"/>
      <c r="AG1320" s="327"/>
      <c r="AH1320" s="520"/>
      <c r="AI1320" s="327"/>
      <c r="AJ1320" s="536"/>
      <c r="AK1320" s="327"/>
      <c r="AL1320" s="556" t="s">
        <v>334</v>
      </c>
      <c r="AM1320" s="327"/>
      <c r="AN1320" s="553" t="s">
        <v>334</v>
      </c>
      <c r="AO1320" s="327"/>
      <c r="AP1320" s="554"/>
      <c r="AQ1320" s="327"/>
      <c r="AR1320" s="555"/>
      <c r="AS1320" s="327"/>
      <c r="AT1320" s="549"/>
      <c r="AU1320" s="327"/>
      <c r="AV1320" s="553" t="s">
        <v>334</v>
      </c>
      <c r="AW1320" s="327"/>
      <c r="AX1320" s="521"/>
      <c r="AY1320" s="326"/>
      <c r="AZ1320" s="327"/>
      <c r="BA1320" s="536"/>
      <c r="BB1320" s="327"/>
      <c r="BC1320" s="22"/>
      <c r="BD1320" s="551" t="s">
        <v>334</v>
      </c>
      <c r="BE1320" s="327"/>
      <c r="BF1320" s="508"/>
      <c r="BG1320" s="326"/>
      <c r="BH1320" s="326"/>
      <c r="BI1320" s="327"/>
      <c r="BJ1320" s="451" t="s">
        <v>303</v>
      </c>
      <c r="BK1320" s="326"/>
      <c r="BL1320" s="326"/>
      <c r="BM1320" s="327"/>
      <c r="BN1320" s="558" t="s">
        <v>303</v>
      </c>
      <c r="BO1320" s="326"/>
      <c r="BP1320" s="326"/>
      <c r="BQ1320" s="326"/>
      <c r="BR1320" s="326"/>
      <c r="BS1320" s="326"/>
      <c r="BT1320" s="326"/>
      <c r="BU1320" s="326"/>
      <c r="BV1320" s="327"/>
    </row>
    <row r="1321" spans="1:74" ht="45" customHeight="1" x14ac:dyDescent="0.25">
      <c r="A1321" s="10">
        <f t="shared" si="5"/>
        <v>1307</v>
      </c>
      <c r="B1321" s="559" t="s">
        <v>303</v>
      </c>
      <c r="C1321" s="327"/>
      <c r="D1321" s="560" t="s">
        <v>307</v>
      </c>
      <c r="E1321" s="327"/>
      <c r="F1321" s="537" t="s">
        <v>334</v>
      </c>
      <c r="G1321" s="327"/>
      <c r="H1321" s="566" t="s">
        <v>334</v>
      </c>
      <c r="I1321" s="327"/>
      <c r="J1321" s="567"/>
      <c r="K1321" s="327"/>
      <c r="L1321" s="567"/>
      <c r="M1321" s="327"/>
      <c r="N1321" s="20"/>
      <c r="O1321" s="24"/>
      <c r="P1321" s="524"/>
      <c r="Q1321" s="327"/>
      <c r="R1321" s="538"/>
      <c r="S1321" s="327"/>
      <c r="T1321" s="539"/>
      <c r="U1321" s="327"/>
      <c r="V1321" s="540"/>
      <c r="W1321" s="327"/>
      <c r="X1321" s="541" t="s">
        <v>303</v>
      </c>
      <c r="Y1321" s="326"/>
      <c r="Z1321" s="326"/>
      <c r="AA1321" s="327"/>
      <c r="AB1321" s="542" t="s">
        <v>303</v>
      </c>
      <c r="AC1321" s="326"/>
      <c r="AD1321" s="326"/>
      <c r="AE1321" s="327"/>
      <c r="AF1321" s="543"/>
      <c r="AG1321" s="327"/>
      <c r="AH1321" s="543"/>
      <c r="AI1321" s="327"/>
      <c r="AJ1321" s="536"/>
      <c r="AK1321" s="327"/>
      <c r="AL1321" s="537" t="s">
        <v>334</v>
      </c>
      <c r="AM1321" s="327"/>
      <c r="AN1321" s="546" t="s">
        <v>334</v>
      </c>
      <c r="AO1321" s="327"/>
      <c r="AP1321" s="547"/>
      <c r="AQ1321" s="327"/>
      <c r="AR1321" s="548"/>
      <c r="AS1321" s="327"/>
      <c r="AT1321" s="568"/>
      <c r="AU1321" s="327"/>
      <c r="AV1321" s="546" t="s">
        <v>334</v>
      </c>
      <c r="AW1321" s="327"/>
      <c r="AX1321" s="521"/>
      <c r="AY1321" s="326"/>
      <c r="AZ1321" s="327"/>
      <c r="BA1321" s="550"/>
      <c r="BB1321" s="327"/>
      <c r="BC1321" s="25"/>
      <c r="BD1321" s="544" t="s">
        <v>334</v>
      </c>
      <c r="BE1321" s="327"/>
      <c r="BF1321" s="545"/>
      <c r="BG1321" s="326"/>
      <c r="BH1321" s="326"/>
      <c r="BI1321" s="327"/>
      <c r="BJ1321" s="557" t="s">
        <v>303</v>
      </c>
      <c r="BK1321" s="326"/>
      <c r="BL1321" s="326"/>
      <c r="BM1321" s="327"/>
      <c r="BN1321" s="558" t="s">
        <v>303</v>
      </c>
      <c r="BO1321" s="326"/>
      <c r="BP1321" s="326"/>
      <c r="BQ1321" s="326"/>
      <c r="BR1321" s="326"/>
      <c r="BS1321" s="326"/>
      <c r="BT1321" s="326"/>
      <c r="BU1321" s="326"/>
      <c r="BV1321" s="327"/>
    </row>
    <row r="1322" spans="1:74" ht="45" customHeight="1" x14ac:dyDescent="0.25">
      <c r="A1322" s="10">
        <f t="shared" si="5"/>
        <v>1308</v>
      </c>
      <c r="B1322" s="564" t="s">
        <v>303</v>
      </c>
      <c r="C1322" s="327"/>
      <c r="D1322" s="565" t="s">
        <v>307</v>
      </c>
      <c r="E1322" s="327"/>
      <c r="F1322" s="537" t="s">
        <v>334</v>
      </c>
      <c r="G1322" s="327"/>
      <c r="H1322" s="561" t="s">
        <v>334</v>
      </c>
      <c r="I1322" s="327"/>
      <c r="J1322" s="562"/>
      <c r="K1322" s="327"/>
      <c r="L1322" s="562"/>
      <c r="M1322" s="327"/>
      <c r="N1322" s="20"/>
      <c r="O1322" s="21"/>
      <c r="P1322" s="524"/>
      <c r="Q1322" s="327"/>
      <c r="R1322" s="516"/>
      <c r="S1322" s="327"/>
      <c r="T1322" s="517"/>
      <c r="U1322" s="327"/>
      <c r="V1322" s="518"/>
      <c r="W1322" s="327"/>
      <c r="X1322" s="438" t="s">
        <v>303</v>
      </c>
      <c r="Y1322" s="326"/>
      <c r="Z1322" s="326"/>
      <c r="AA1322" s="327"/>
      <c r="AB1322" s="519" t="s">
        <v>303</v>
      </c>
      <c r="AC1322" s="326"/>
      <c r="AD1322" s="326"/>
      <c r="AE1322" s="327"/>
      <c r="AF1322" s="520"/>
      <c r="AG1322" s="327"/>
      <c r="AH1322" s="520"/>
      <c r="AI1322" s="327"/>
      <c r="AJ1322" s="536"/>
      <c r="AK1322" s="327"/>
      <c r="AL1322" s="556" t="s">
        <v>334</v>
      </c>
      <c r="AM1322" s="327"/>
      <c r="AN1322" s="553" t="s">
        <v>334</v>
      </c>
      <c r="AO1322" s="327"/>
      <c r="AP1322" s="554"/>
      <c r="AQ1322" s="327"/>
      <c r="AR1322" s="555"/>
      <c r="AS1322" s="327"/>
      <c r="AT1322" s="549"/>
      <c r="AU1322" s="327"/>
      <c r="AV1322" s="553" t="s">
        <v>334</v>
      </c>
      <c r="AW1322" s="327"/>
      <c r="AX1322" s="521"/>
      <c r="AY1322" s="326"/>
      <c r="AZ1322" s="327"/>
      <c r="BA1322" s="536"/>
      <c r="BB1322" s="327"/>
      <c r="BC1322" s="22"/>
      <c r="BD1322" s="551" t="s">
        <v>334</v>
      </c>
      <c r="BE1322" s="327"/>
      <c r="BF1322" s="508"/>
      <c r="BG1322" s="326"/>
      <c r="BH1322" s="326"/>
      <c r="BI1322" s="327"/>
      <c r="BJ1322" s="451" t="s">
        <v>303</v>
      </c>
      <c r="BK1322" s="326"/>
      <c r="BL1322" s="326"/>
      <c r="BM1322" s="327"/>
      <c r="BN1322" s="558" t="s">
        <v>303</v>
      </c>
      <c r="BO1322" s="326"/>
      <c r="BP1322" s="326"/>
      <c r="BQ1322" s="326"/>
      <c r="BR1322" s="326"/>
      <c r="BS1322" s="326"/>
      <c r="BT1322" s="326"/>
      <c r="BU1322" s="326"/>
      <c r="BV1322" s="327"/>
    </row>
    <row r="1323" spans="1:74" ht="45" customHeight="1" x14ac:dyDescent="0.25">
      <c r="A1323" s="10">
        <f t="shared" si="5"/>
        <v>1309</v>
      </c>
      <c r="B1323" s="559" t="s">
        <v>303</v>
      </c>
      <c r="C1323" s="327"/>
      <c r="D1323" s="560" t="s">
        <v>307</v>
      </c>
      <c r="E1323" s="327"/>
      <c r="F1323" s="537" t="s">
        <v>334</v>
      </c>
      <c r="G1323" s="327"/>
      <c r="H1323" s="566" t="s">
        <v>334</v>
      </c>
      <c r="I1323" s="327"/>
      <c r="J1323" s="567"/>
      <c r="K1323" s="327"/>
      <c r="L1323" s="567"/>
      <c r="M1323" s="327"/>
      <c r="N1323" s="23"/>
      <c r="O1323" s="24"/>
      <c r="P1323" s="563"/>
      <c r="Q1323" s="327"/>
      <c r="R1323" s="538"/>
      <c r="S1323" s="327"/>
      <c r="T1323" s="539"/>
      <c r="U1323" s="327"/>
      <c r="V1323" s="540"/>
      <c r="W1323" s="327"/>
      <c r="X1323" s="541" t="s">
        <v>303</v>
      </c>
      <c r="Y1323" s="326"/>
      <c r="Z1323" s="326"/>
      <c r="AA1323" s="327"/>
      <c r="AB1323" s="542" t="s">
        <v>303</v>
      </c>
      <c r="AC1323" s="326"/>
      <c r="AD1323" s="326"/>
      <c r="AE1323" s="327"/>
      <c r="AF1323" s="543"/>
      <c r="AG1323" s="327"/>
      <c r="AH1323" s="543"/>
      <c r="AI1323" s="327"/>
      <c r="AJ1323" s="536"/>
      <c r="AK1323" s="327"/>
      <c r="AL1323" s="537" t="s">
        <v>334</v>
      </c>
      <c r="AM1323" s="327"/>
      <c r="AN1323" s="546" t="s">
        <v>334</v>
      </c>
      <c r="AO1323" s="327"/>
      <c r="AP1323" s="547"/>
      <c r="AQ1323" s="327"/>
      <c r="AR1323" s="548"/>
      <c r="AS1323" s="327"/>
      <c r="AT1323" s="549"/>
      <c r="AU1323" s="327"/>
      <c r="AV1323" s="546" t="s">
        <v>334</v>
      </c>
      <c r="AW1323" s="327"/>
      <c r="AX1323" s="521"/>
      <c r="AY1323" s="326"/>
      <c r="AZ1323" s="327"/>
      <c r="BA1323" s="550"/>
      <c r="BB1323" s="327"/>
      <c r="BC1323" s="25"/>
      <c r="BD1323" s="544" t="s">
        <v>334</v>
      </c>
      <c r="BE1323" s="327"/>
      <c r="BF1323" s="545"/>
      <c r="BG1323" s="326"/>
      <c r="BH1323" s="326"/>
      <c r="BI1323" s="327"/>
      <c r="BJ1323" s="557" t="s">
        <v>303</v>
      </c>
      <c r="BK1323" s="326"/>
      <c r="BL1323" s="326"/>
      <c r="BM1323" s="327"/>
      <c r="BN1323" s="558" t="s">
        <v>303</v>
      </c>
      <c r="BO1323" s="326"/>
      <c r="BP1323" s="326"/>
      <c r="BQ1323" s="326"/>
      <c r="BR1323" s="326"/>
      <c r="BS1323" s="326"/>
      <c r="BT1323" s="326"/>
      <c r="BU1323" s="326"/>
      <c r="BV1323" s="327"/>
    </row>
    <row r="1324" spans="1:74" ht="45" customHeight="1" x14ac:dyDescent="0.25">
      <c r="A1324" s="10">
        <f t="shared" si="5"/>
        <v>1310</v>
      </c>
      <c r="B1324" s="564" t="s">
        <v>303</v>
      </c>
      <c r="C1324" s="327"/>
      <c r="D1324" s="565" t="s">
        <v>307</v>
      </c>
      <c r="E1324" s="327"/>
      <c r="F1324" s="537" t="s">
        <v>334</v>
      </c>
      <c r="G1324" s="327"/>
      <c r="H1324" s="561" t="s">
        <v>334</v>
      </c>
      <c r="I1324" s="327"/>
      <c r="J1324" s="562"/>
      <c r="K1324" s="327"/>
      <c r="L1324" s="562"/>
      <c r="M1324" s="327"/>
      <c r="N1324" s="20"/>
      <c r="O1324" s="21"/>
      <c r="P1324" s="524"/>
      <c r="Q1324" s="327"/>
      <c r="R1324" s="516"/>
      <c r="S1324" s="327"/>
      <c r="T1324" s="517"/>
      <c r="U1324" s="327"/>
      <c r="V1324" s="518"/>
      <c r="W1324" s="327"/>
      <c r="X1324" s="438" t="s">
        <v>303</v>
      </c>
      <c r="Y1324" s="326"/>
      <c r="Z1324" s="326"/>
      <c r="AA1324" s="327"/>
      <c r="AB1324" s="519" t="s">
        <v>303</v>
      </c>
      <c r="AC1324" s="326"/>
      <c r="AD1324" s="326"/>
      <c r="AE1324" s="327"/>
      <c r="AF1324" s="520"/>
      <c r="AG1324" s="327"/>
      <c r="AH1324" s="520"/>
      <c r="AI1324" s="327"/>
      <c r="AJ1324" s="536"/>
      <c r="AK1324" s="327"/>
      <c r="AL1324" s="556" t="s">
        <v>334</v>
      </c>
      <c r="AM1324" s="327"/>
      <c r="AN1324" s="553" t="s">
        <v>334</v>
      </c>
      <c r="AO1324" s="327"/>
      <c r="AP1324" s="554"/>
      <c r="AQ1324" s="327"/>
      <c r="AR1324" s="555"/>
      <c r="AS1324" s="327"/>
      <c r="AT1324" s="549"/>
      <c r="AU1324" s="327"/>
      <c r="AV1324" s="553" t="s">
        <v>334</v>
      </c>
      <c r="AW1324" s="327"/>
      <c r="AX1324" s="521"/>
      <c r="AY1324" s="326"/>
      <c r="AZ1324" s="327"/>
      <c r="BA1324" s="536"/>
      <c r="BB1324" s="327"/>
      <c r="BC1324" s="22"/>
      <c r="BD1324" s="551" t="s">
        <v>334</v>
      </c>
      <c r="BE1324" s="327"/>
      <c r="BF1324" s="552"/>
      <c r="BG1324" s="326"/>
      <c r="BH1324" s="326"/>
      <c r="BI1324" s="327"/>
      <c r="BJ1324" s="451" t="s">
        <v>303</v>
      </c>
      <c r="BK1324" s="326"/>
      <c r="BL1324" s="326"/>
      <c r="BM1324" s="327"/>
      <c r="BN1324" s="558" t="s">
        <v>303</v>
      </c>
      <c r="BO1324" s="326"/>
      <c r="BP1324" s="326"/>
      <c r="BQ1324" s="326"/>
      <c r="BR1324" s="326"/>
      <c r="BS1324" s="326"/>
      <c r="BT1324" s="326"/>
      <c r="BU1324" s="326"/>
      <c r="BV1324" s="327"/>
    </row>
    <row r="1325" spans="1:74" ht="45" customHeight="1" x14ac:dyDescent="0.25">
      <c r="A1325" s="10">
        <f t="shared" si="5"/>
        <v>1311</v>
      </c>
      <c r="B1325" s="559" t="s">
        <v>303</v>
      </c>
      <c r="C1325" s="327"/>
      <c r="D1325" s="560" t="s">
        <v>307</v>
      </c>
      <c r="E1325" s="327"/>
      <c r="F1325" s="537" t="s">
        <v>334</v>
      </c>
      <c r="G1325" s="327"/>
      <c r="H1325" s="566" t="s">
        <v>334</v>
      </c>
      <c r="I1325" s="327"/>
      <c r="J1325" s="567"/>
      <c r="K1325" s="327"/>
      <c r="L1325" s="567"/>
      <c r="M1325" s="327"/>
      <c r="N1325" s="23"/>
      <c r="O1325" s="24"/>
      <c r="P1325" s="563"/>
      <c r="Q1325" s="327"/>
      <c r="R1325" s="538"/>
      <c r="S1325" s="327"/>
      <c r="T1325" s="539"/>
      <c r="U1325" s="327"/>
      <c r="V1325" s="540"/>
      <c r="W1325" s="327"/>
      <c r="X1325" s="541" t="s">
        <v>303</v>
      </c>
      <c r="Y1325" s="326"/>
      <c r="Z1325" s="326"/>
      <c r="AA1325" s="327"/>
      <c r="AB1325" s="542" t="s">
        <v>303</v>
      </c>
      <c r="AC1325" s="326"/>
      <c r="AD1325" s="326"/>
      <c r="AE1325" s="327"/>
      <c r="AF1325" s="543"/>
      <c r="AG1325" s="327"/>
      <c r="AH1325" s="543"/>
      <c r="AI1325" s="327"/>
      <c r="AJ1325" s="536"/>
      <c r="AK1325" s="327"/>
      <c r="AL1325" s="537" t="s">
        <v>334</v>
      </c>
      <c r="AM1325" s="327"/>
      <c r="AN1325" s="546" t="s">
        <v>334</v>
      </c>
      <c r="AO1325" s="327"/>
      <c r="AP1325" s="547"/>
      <c r="AQ1325" s="327"/>
      <c r="AR1325" s="548"/>
      <c r="AS1325" s="327"/>
      <c r="AT1325" s="549"/>
      <c r="AU1325" s="327"/>
      <c r="AV1325" s="546" t="s">
        <v>334</v>
      </c>
      <c r="AW1325" s="327"/>
      <c r="AX1325" s="521"/>
      <c r="AY1325" s="326"/>
      <c r="AZ1325" s="327"/>
      <c r="BA1325" s="550"/>
      <c r="BB1325" s="327"/>
      <c r="BC1325" s="25"/>
      <c r="BD1325" s="544" t="s">
        <v>334</v>
      </c>
      <c r="BE1325" s="327"/>
      <c r="BF1325" s="545"/>
      <c r="BG1325" s="326"/>
      <c r="BH1325" s="326"/>
      <c r="BI1325" s="327"/>
      <c r="BJ1325" s="557" t="s">
        <v>303</v>
      </c>
      <c r="BK1325" s="326"/>
      <c r="BL1325" s="326"/>
      <c r="BM1325" s="327"/>
      <c r="BN1325" s="558" t="s">
        <v>303</v>
      </c>
      <c r="BO1325" s="326"/>
      <c r="BP1325" s="326"/>
      <c r="BQ1325" s="326"/>
      <c r="BR1325" s="326"/>
      <c r="BS1325" s="326"/>
      <c r="BT1325" s="326"/>
      <c r="BU1325" s="326"/>
      <c r="BV1325" s="327"/>
    </row>
    <row r="1326" spans="1:74" ht="45" customHeight="1" x14ac:dyDescent="0.25">
      <c r="A1326" s="10">
        <f t="shared" si="5"/>
        <v>1312</v>
      </c>
      <c r="B1326" s="564" t="s">
        <v>303</v>
      </c>
      <c r="C1326" s="327"/>
      <c r="D1326" s="565" t="s">
        <v>307</v>
      </c>
      <c r="E1326" s="327"/>
      <c r="F1326" s="537" t="s">
        <v>334</v>
      </c>
      <c r="G1326" s="327"/>
      <c r="H1326" s="561" t="s">
        <v>334</v>
      </c>
      <c r="I1326" s="327"/>
      <c r="J1326" s="562"/>
      <c r="K1326" s="327"/>
      <c r="L1326" s="562"/>
      <c r="M1326" s="327"/>
      <c r="N1326" s="20"/>
      <c r="O1326" s="21"/>
      <c r="P1326" s="524"/>
      <c r="Q1326" s="327"/>
      <c r="R1326" s="516"/>
      <c r="S1326" s="327"/>
      <c r="T1326" s="517"/>
      <c r="U1326" s="327"/>
      <c r="V1326" s="518"/>
      <c r="W1326" s="327"/>
      <c r="X1326" s="438" t="s">
        <v>303</v>
      </c>
      <c r="Y1326" s="326"/>
      <c r="Z1326" s="326"/>
      <c r="AA1326" s="327"/>
      <c r="AB1326" s="519" t="s">
        <v>303</v>
      </c>
      <c r="AC1326" s="326"/>
      <c r="AD1326" s="326"/>
      <c r="AE1326" s="327"/>
      <c r="AF1326" s="520"/>
      <c r="AG1326" s="327"/>
      <c r="AH1326" s="520"/>
      <c r="AI1326" s="327"/>
      <c r="AJ1326" s="536"/>
      <c r="AK1326" s="327"/>
      <c r="AL1326" s="556" t="s">
        <v>334</v>
      </c>
      <c r="AM1326" s="327"/>
      <c r="AN1326" s="553" t="s">
        <v>334</v>
      </c>
      <c r="AO1326" s="327"/>
      <c r="AP1326" s="554"/>
      <c r="AQ1326" s="327"/>
      <c r="AR1326" s="555"/>
      <c r="AS1326" s="327"/>
      <c r="AT1326" s="549"/>
      <c r="AU1326" s="327"/>
      <c r="AV1326" s="553" t="s">
        <v>334</v>
      </c>
      <c r="AW1326" s="327"/>
      <c r="AX1326" s="521"/>
      <c r="AY1326" s="326"/>
      <c r="AZ1326" s="327"/>
      <c r="BA1326" s="536"/>
      <c r="BB1326" s="327"/>
      <c r="BC1326" s="22"/>
      <c r="BD1326" s="551" t="s">
        <v>334</v>
      </c>
      <c r="BE1326" s="327"/>
      <c r="BF1326" s="552"/>
      <c r="BG1326" s="326"/>
      <c r="BH1326" s="326"/>
      <c r="BI1326" s="327"/>
      <c r="BJ1326" s="451" t="s">
        <v>303</v>
      </c>
      <c r="BK1326" s="326"/>
      <c r="BL1326" s="326"/>
      <c r="BM1326" s="327"/>
      <c r="BN1326" s="558" t="s">
        <v>303</v>
      </c>
      <c r="BO1326" s="326"/>
      <c r="BP1326" s="326"/>
      <c r="BQ1326" s="326"/>
      <c r="BR1326" s="326"/>
      <c r="BS1326" s="326"/>
      <c r="BT1326" s="326"/>
      <c r="BU1326" s="326"/>
      <c r="BV1326" s="327"/>
    </row>
    <row r="1327" spans="1:74" ht="45" customHeight="1" x14ac:dyDescent="0.25">
      <c r="A1327" s="10">
        <f t="shared" si="5"/>
        <v>1313</v>
      </c>
      <c r="B1327" s="559" t="s">
        <v>303</v>
      </c>
      <c r="C1327" s="327"/>
      <c r="D1327" s="560" t="s">
        <v>307</v>
      </c>
      <c r="E1327" s="327"/>
      <c r="F1327" s="537" t="s">
        <v>334</v>
      </c>
      <c r="G1327" s="327"/>
      <c r="H1327" s="566" t="s">
        <v>334</v>
      </c>
      <c r="I1327" s="327"/>
      <c r="J1327" s="567"/>
      <c r="K1327" s="327"/>
      <c r="L1327" s="567"/>
      <c r="M1327" s="327"/>
      <c r="N1327" s="23"/>
      <c r="O1327" s="24"/>
      <c r="P1327" s="563"/>
      <c r="Q1327" s="327"/>
      <c r="R1327" s="538"/>
      <c r="S1327" s="327"/>
      <c r="T1327" s="539"/>
      <c r="U1327" s="327"/>
      <c r="V1327" s="540"/>
      <c r="W1327" s="327"/>
      <c r="X1327" s="541" t="s">
        <v>303</v>
      </c>
      <c r="Y1327" s="326"/>
      <c r="Z1327" s="326"/>
      <c r="AA1327" s="327"/>
      <c r="AB1327" s="542" t="s">
        <v>303</v>
      </c>
      <c r="AC1327" s="326"/>
      <c r="AD1327" s="326"/>
      <c r="AE1327" s="327"/>
      <c r="AF1327" s="543"/>
      <c r="AG1327" s="327"/>
      <c r="AH1327" s="543"/>
      <c r="AI1327" s="327"/>
      <c r="AJ1327" s="536"/>
      <c r="AK1327" s="327"/>
      <c r="AL1327" s="537" t="s">
        <v>334</v>
      </c>
      <c r="AM1327" s="327"/>
      <c r="AN1327" s="546" t="s">
        <v>334</v>
      </c>
      <c r="AO1327" s="327"/>
      <c r="AP1327" s="547"/>
      <c r="AQ1327" s="327"/>
      <c r="AR1327" s="548"/>
      <c r="AS1327" s="327"/>
      <c r="AT1327" s="568"/>
      <c r="AU1327" s="327"/>
      <c r="AV1327" s="546" t="s">
        <v>334</v>
      </c>
      <c r="AW1327" s="327"/>
      <c r="AX1327" s="521"/>
      <c r="AY1327" s="326"/>
      <c r="AZ1327" s="327"/>
      <c r="BA1327" s="550"/>
      <c r="BB1327" s="327"/>
      <c r="BC1327" s="25"/>
      <c r="BD1327" s="544" t="s">
        <v>334</v>
      </c>
      <c r="BE1327" s="327"/>
      <c r="BF1327" s="545"/>
      <c r="BG1327" s="326"/>
      <c r="BH1327" s="326"/>
      <c r="BI1327" s="327"/>
      <c r="BJ1327" s="557" t="s">
        <v>303</v>
      </c>
      <c r="BK1327" s="326"/>
      <c r="BL1327" s="326"/>
      <c r="BM1327" s="327"/>
      <c r="BN1327" s="558" t="s">
        <v>303</v>
      </c>
      <c r="BO1327" s="326"/>
      <c r="BP1327" s="326"/>
      <c r="BQ1327" s="326"/>
      <c r="BR1327" s="326"/>
      <c r="BS1327" s="326"/>
      <c r="BT1327" s="326"/>
      <c r="BU1327" s="326"/>
      <c r="BV1327" s="327"/>
    </row>
    <row r="1328" spans="1:74" ht="45" customHeight="1" x14ac:dyDescent="0.25">
      <c r="A1328" s="10">
        <f t="shared" si="5"/>
        <v>1314</v>
      </c>
      <c r="B1328" s="564" t="s">
        <v>303</v>
      </c>
      <c r="C1328" s="327"/>
      <c r="D1328" s="565" t="s">
        <v>307</v>
      </c>
      <c r="E1328" s="327"/>
      <c r="F1328" s="537" t="s">
        <v>334</v>
      </c>
      <c r="G1328" s="327"/>
      <c r="H1328" s="561" t="s">
        <v>334</v>
      </c>
      <c r="I1328" s="327"/>
      <c r="J1328" s="562"/>
      <c r="K1328" s="327"/>
      <c r="L1328" s="562"/>
      <c r="M1328" s="327"/>
      <c r="N1328" s="20"/>
      <c r="O1328" s="21"/>
      <c r="P1328" s="524"/>
      <c r="Q1328" s="327"/>
      <c r="R1328" s="516"/>
      <c r="S1328" s="327"/>
      <c r="T1328" s="517"/>
      <c r="U1328" s="327"/>
      <c r="V1328" s="518"/>
      <c r="W1328" s="327"/>
      <c r="X1328" s="438" t="s">
        <v>303</v>
      </c>
      <c r="Y1328" s="326"/>
      <c r="Z1328" s="326"/>
      <c r="AA1328" s="327"/>
      <c r="AB1328" s="519" t="s">
        <v>303</v>
      </c>
      <c r="AC1328" s="326"/>
      <c r="AD1328" s="326"/>
      <c r="AE1328" s="327"/>
      <c r="AF1328" s="520"/>
      <c r="AG1328" s="327"/>
      <c r="AH1328" s="520"/>
      <c r="AI1328" s="327"/>
      <c r="AJ1328" s="536"/>
      <c r="AK1328" s="327"/>
      <c r="AL1328" s="556" t="s">
        <v>334</v>
      </c>
      <c r="AM1328" s="327"/>
      <c r="AN1328" s="553" t="s">
        <v>334</v>
      </c>
      <c r="AO1328" s="327"/>
      <c r="AP1328" s="554"/>
      <c r="AQ1328" s="327"/>
      <c r="AR1328" s="555"/>
      <c r="AS1328" s="327"/>
      <c r="AT1328" s="549"/>
      <c r="AU1328" s="327"/>
      <c r="AV1328" s="553" t="s">
        <v>334</v>
      </c>
      <c r="AW1328" s="327"/>
      <c r="AX1328" s="521"/>
      <c r="AY1328" s="326"/>
      <c r="AZ1328" s="327"/>
      <c r="BA1328" s="536"/>
      <c r="BB1328" s="327"/>
      <c r="BC1328" s="22"/>
      <c r="BD1328" s="551" t="s">
        <v>334</v>
      </c>
      <c r="BE1328" s="327"/>
      <c r="BF1328" s="508"/>
      <c r="BG1328" s="326"/>
      <c r="BH1328" s="326"/>
      <c r="BI1328" s="327"/>
      <c r="BJ1328" s="451" t="s">
        <v>303</v>
      </c>
      <c r="BK1328" s="326"/>
      <c r="BL1328" s="326"/>
      <c r="BM1328" s="327"/>
      <c r="BN1328" s="558" t="s">
        <v>303</v>
      </c>
      <c r="BO1328" s="326"/>
      <c r="BP1328" s="326"/>
      <c r="BQ1328" s="326"/>
      <c r="BR1328" s="326"/>
      <c r="BS1328" s="326"/>
      <c r="BT1328" s="326"/>
      <c r="BU1328" s="326"/>
      <c r="BV1328" s="327"/>
    </row>
    <row r="1329" spans="1:74" ht="45" customHeight="1" x14ac:dyDescent="0.25">
      <c r="A1329" s="10">
        <f t="shared" si="5"/>
        <v>1315</v>
      </c>
      <c r="B1329" s="559" t="s">
        <v>303</v>
      </c>
      <c r="C1329" s="327"/>
      <c r="D1329" s="560" t="s">
        <v>307</v>
      </c>
      <c r="E1329" s="327"/>
      <c r="F1329" s="537" t="s">
        <v>334</v>
      </c>
      <c r="G1329" s="327"/>
      <c r="H1329" s="566" t="s">
        <v>334</v>
      </c>
      <c r="I1329" s="327"/>
      <c r="J1329" s="567"/>
      <c r="K1329" s="327"/>
      <c r="L1329" s="567"/>
      <c r="M1329" s="327"/>
      <c r="N1329" s="23"/>
      <c r="O1329" s="24"/>
      <c r="P1329" s="563"/>
      <c r="Q1329" s="327"/>
      <c r="R1329" s="538"/>
      <c r="S1329" s="327"/>
      <c r="T1329" s="539"/>
      <c r="U1329" s="327"/>
      <c r="V1329" s="540"/>
      <c r="W1329" s="327"/>
      <c r="X1329" s="541" t="s">
        <v>303</v>
      </c>
      <c r="Y1329" s="326"/>
      <c r="Z1329" s="326"/>
      <c r="AA1329" s="327"/>
      <c r="AB1329" s="542" t="s">
        <v>303</v>
      </c>
      <c r="AC1329" s="326"/>
      <c r="AD1329" s="326"/>
      <c r="AE1329" s="327"/>
      <c r="AF1329" s="543"/>
      <c r="AG1329" s="327"/>
      <c r="AH1329" s="543"/>
      <c r="AI1329" s="327"/>
      <c r="AJ1329" s="536"/>
      <c r="AK1329" s="327"/>
      <c r="AL1329" s="537" t="s">
        <v>334</v>
      </c>
      <c r="AM1329" s="327"/>
      <c r="AN1329" s="546" t="s">
        <v>334</v>
      </c>
      <c r="AO1329" s="327"/>
      <c r="AP1329" s="547"/>
      <c r="AQ1329" s="327"/>
      <c r="AR1329" s="548"/>
      <c r="AS1329" s="327"/>
      <c r="AT1329" s="568"/>
      <c r="AU1329" s="327"/>
      <c r="AV1329" s="546" t="s">
        <v>334</v>
      </c>
      <c r="AW1329" s="327"/>
      <c r="AX1329" s="521"/>
      <c r="AY1329" s="326"/>
      <c r="AZ1329" s="327"/>
      <c r="BA1329" s="550"/>
      <c r="BB1329" s="327"/>
      <c r="BC1329" s="25"/>
      <c r="BD1329" s="544" t="s">
        <v>334</v>
      </c>
      <c r="BE1329" s="327"/>
      <c r="BF1329" s="545"/>
      <c r="BG1329" s="326"/>
      <c r="BH1329" s="326"/>
      <c r="BI1329" s="327"/>
      <c r="BJ1329" s="557" t="s">
        <v>303</v>
      </c>
      <c r="BK1329" s="326"/>
      <c r="BL1329" s="326"/>
      <c r="BM1329" s="327"/>
      <c r="BN1329" s="558" t="s">
        <v>303</v>
      </c>
      <c r="BO1329" s="326"/>
      <c r="BP1329" s="326"/>
      <c r="BQ1329" s="326"/>
      <c r="BR1329" s="326"/>
      <c r="BS1329" s="326"/>
      <c r="BT1329" s="326"/>
      <c r="BU1329" s="326"/>
      <c r="BV1329" s="327"/>
    </row>
    <row r="1330" spans="1:74" ht="45" customHeight="1" x14ac:dyDescent="0.25">
      <c r="A1330" s="10">
        <f t="shared" si="5"/>
        <v>1316</v>
      </c>
      <c r="B1330" s="564" t="s">
        <v>303</v>
      </c>
      <c r="C1330" s="327"/>
      <c r="D1330" s="565" t="s">
        <v>307</v>
      </c>
      <c r="E1330" s="327"/>
      <c r="F1330" s="537" t="s">
        <v>334</v>
      </c>
      <c r="G1330" s="327"/>
      <c r="H1330" s="561" t="s">
        <v>334</v>
      </c>
      <c r="I1330" s="327"/>
      <c r="J1330" s="562"/>
      <c r="K1330" s="327"/>
      <c r="L1330" s="562"/>
      <c r="M1330" s="327"/>
      <c r="N1330" s="20"/>
      <c r="O1330" s="21"/>
      <c r="P1330" s="524"/>
      <c r="Q1330" s="327"/>
      <c r="R1330" s="516"/>
      <c r="S1330" s="327"/>
      <c r="T1330" s="517"/>
      <c r="U1330" s="327"/>
      <c r="V1330" s="518"/>
      <c r="W1330" s="327"/>
      <c r="X1330" s="438" t="s">
        <v>303</v>
      </c>
      <c r="Y1330" s="326"/>
      <c r="Z1330" s="326"/>
      <c r="AA1330" s="327"/>
      <c r="AB1330" s="519" t="s">
        <v>303</v>
      </c>
      <c r="AC1330" s="326"/>
      <c r="AD1330" s="326"/>
      <c r="AE1330" s="327"/>
      <c r="AF1330" s="520"/>
      <c r="AG1330" s="327"/>
      <c r="AH1330" s="520"/>
      <c r="AI1330" s="327"/>
      <c r="AJ1330" s="536"/>
      <c r="AK1330" s="327"/>
      <c r="AL1330" s="556" t="s">
        <v>334</v>
      </c>
      <c r="AM1330" s="327"/>
      <c r="AN1330" s="553" t="s">
        <v>334</v>
      </c>
      <c r="AO1330" s="327"/>
      <c r="AP1330" s="554"/>
      <c r="AQ1330" s="327"/>
      <c r="AR1330" s="555"/>
      <c r="AS1330" s="327"/>
      <c r="AT1330" s="549"/>
      <c r="AU1330" s="327"/>
      <c r="AV1330" s="553" t="s">
        <v>334</v>
      </c>
      <c r="AW1330" s="327"/>
      <c r="AX1330" s="521"/>
      <c r="AY1330" s="326"/>
      <c r="AZ1330" s="327"/>
      <c r="BA1330" s="536"/>
      <c r="BB1330" s="327"/>
      <c r="BC1330" s="22"/>
      <c r="BD1330" s="551" t="s">
        <v>334</v>
      </c>
      <c r="BE1330" s="327"/>
      <c r="BF1330" s="552"/>
      <c r="BG1330" s="326"/>
      <c r="BH1330" s="326"/>
      <c r="BI1330" s="327"/>
      <c r="BJ1330" s="451" t="s">
        <v>303</v>
      </c>
      <c r="BK1330" s="326"/>
      <c r="BL1330" s="326"/>
      <c r="BM1330" s="327"/>
      <c r="BN1330" s="558" t="s">
        <v>303</v>
      </c>
      <c r="BO1330" s="326"/>
      <c r="BP1330" s="326"/>
      <c r="BQ1330" s="326"/>
      <c r="BR1330" s="326"/>
      <c r="BS1330" s="326"/>
      <c r="BT1330" s="326"/>
      <c r="BU1330" s="326"/>
      <c r="BV1330" s="327"/>
    </row>
    <row r="1331" spans="1:74" ht="45" customHeight="1" x14ac:dyDescent="0.25">
      <c r="A1331" s="10">
        <f t="shared" si="5"/>
        <v>1317</v>
      </c>
      <c r="B1331" s="559" t="s">
        <v>303</v>
      </c>
      <c r="C1331" s="327"/>
      <c r="D1331" s="560" t="s">
        <v>307</v>
      </c>
      <c r="E1331" s="327"/>
      <c r="F1331" s="537" t="s">
        <v>334</v>
      </c>
      <c r="G1331" s="327"/>
      <c r="H1331" s="566" t="s">
        <v>334</v>
      </c>
      <c r="I1331" s="327"/>
      <c r="J1331" s="567"/>
      <c r="K1331" s="327"/>
      <c r="L1331" s="567"/>
      <c r="M1331" s="327"/>
      <c r="N1331" s="23"/>
      <c r="O1331" s="24"/>
      <c r="P1331" s="563"/>
      <c r="Q1331" s="327"/>
      <c r="R1331" s="538"/>
      <c r="S1331" s="327"/>
      <c r="T1331" s="539"/>
      <c r="U1331" s="327"/>
      <c r="V1331" s="540"/>
      <c r="W1331" s="327"/>
      <c r="X1331" s="541" t="s">
        <v>303</v>
      </c>
      <c r="Y1331" s="326"/>
      <c r="Z1331" s="326"/>
      <c r="AA1331" s="327"/>
      <c r="AB1331" s="542" t="s">
        <v>303</v>
      </c>
      <c r="AC1331" s="326"/>
      <c r="AD1331" s="326"/>
      <c r="AE1331" s="327"/>
      <c r="AF1331" s="543"/>
      <c r="AG1331" s="327"/>
      <c r="AH1331" s="543"/>
      <c r="AI1331" s="327"/>
      <c r="AJ1331" s="536"/>
      <c r="AK1331" s="327"/>
      <c r="AL1331" s="537" t="s">
        <v>334</v>
      </c>
      <c r="AM1331" s="327"/>
      <c r="AN1331" s="546" t="s">
        <v>334</v>
      </c>
      <c r="AO1331" s="327"/>
      <c r="AP1331" s="547"/>
      <c r="AQ1331" s="327"/>
      <c r="AR1331" s="548"/>
      <c r="AS1331" s="327"/>
      <c r="AT1331" s="568"/>
      <c r="AU1331" s="327"/>
      <c r="AV1331" s="546" t="s">
        <v>334</v>
      </c>
      <c r="AW1331" s="327"/>
      <c r="AX1331" s="521"/>
      <c r="AY1331" s="326"/>
      <c r="AZ1331" s="327"/>
      <c r="BA1331" s="550"/>
      <c r="BB1331" s="327"/>
      <c r="BC1331" s="25"/>
      <c r="BD1331" s="544" t="s">
        <v>334</v>
      </c>
      <c r="BE1331" s="327"/>
      <c r="BF1331" s="545"/>
      <c r="BG1331" s="326"/>
      <c r="BH1331" s="326"/>
      <c r="BI1331" s="327"/>
      <c r="BJ1331" s="557" t="s">
        <v>303</v>
      </c>
      <c r="BK1331" s="326"/>
      <c r="BL1331" s="326"/>
      <c r="BM1331" s="327"/>
      <c r="BN1331" s="558" t="s">
        <v>303</v>
      </c>
      <c r="BO1331" s="326"/>
      <c r="BP1331" s="326"/>
      <c r="BQ1331" s="326"/>
      <c r="BR1331" s="326"/>
      <c r="BS1331" s="326"/>
      <c r="BT1331" s="326"/>
      <c r="BU1331" s="326"/>
      <c r="BV1331" s="327"/>
    </row>
    <row r="1332" spans="1:74" ht="45" customHeight="1" x14ac:dyDescent="0.25">
      <c r="A1332" s="10">
        <f t="shared" si="5"/>
        <v>1318</v>
      </c>
      <c r="B1332" s="564" t="s">
        <v>303</v>
      </c>
      <c r="C1332" s="327"/>
      <c r="D1332" s="565" t="s">
        <v>307</v>
      </c>
      <c r="E1332" s="327"/>
      <c r="F1332" s="537" t="s">
        <v>334</v>
      </c>
      <c r="G1332" s="327"/>
      <c r="H1332" s="561" t="s">
        <v>334</v>
      </c>
      <c r="I1332" s="327"/>
      <c r="J1332" s="562"/>
      <c r="K1332" s="327"/>
      <c r="L1332" s="562"/>
      <c r="M1332" s="327"/>
      <c r="N1332" s="20"/>
      <c r="O1332" s="21"/>
      <c r="P1332" s="524"/>
      <c r="Q1332" s="327"/>
      <c r="R1332" s="516"/>
      <c r="S1332" s="327"/>
      <c r="T1332" s="517"/>
      <c r="U1332" s="327"/>
      <c r="V1332" s="518"/>
      <c r="W1332" s="327"/>
      <c r="X1332" s="438" t="s">
        <v>303</v>
      </c>
      <c r="Y1332" s="326"/>
      <c r="Z1332" s="326"/>
      <c r="AA1332" s="327"/>
      <c r="AB1332" s="519" t="s">
        <v>303</v>
      </c>
      <c r="AC1332" s="326"/>
      <c r="AD1332" s="326"/>
      <c r="AE1332" s="327"/>
      <c r="AF1332" s="520"/>
      <c r="AG1332" s="327"/>
      <c r="AH1332" s="520"/>
      <c r="AI1332" s="327"/>
      <c r="AJ1332" s="536"/>
      <c r="AK1332" s="327"/>
      <c r="AL1332" s="556" t="s">
        <v>334</v>
      </c>
      <c r="AM1332" s="327"/>
      <c r="AN1332" s="553" t="s">
        <v>334</v>
      </c>
      <c r="AO1332" s="327"/>
      <c r="AP1332" s="554"/>
      <c r="AQ1332" s="327"/>
      <c r="AR1332" s="555"/>
      <c r="AS1332" s="327"/>
      <c r="AT1332" s="549"/>
      <c r="AU1332" s="327"/>
      <c r="AV1332" s="553" t="s">
        <v>334</v>
      </c>
      <c r="AW1332" s="327"/>
      <c r="AX1332" s="521"/>
      <c r="AY1332" s="326"/>
      <c r="AZ1332" s="327"/>
      <c r="BA1332" s="536"/>
      <c r="BB1332" s="327"/>
      <c r="BC1332" s="22"/>
      <c r="BD1332" s="551" t="s">
        <v>334</v>
      </c>
      <c r="BE1332" s="327"/>
      <c r="BF1332" s="552"/>
      <c r="BG1332" s="326"/>
      <c r="BH1332" s="326"/>
      <c r="BI1332" s="327"/>
      <c r="BJ1332" s="451" t="s">
        <v>303</v>
      </c>
      <c r="BK1332" s="326"/>
      <c r="BL1332" s="326"/>
      <c r="BM1332" s="327"/>
      <c r="BN1332" s="558" t="s">
        <v>303</v>
      </c>
      <c r="BO1332" s="326"/>
      <c r="BP1332" s="326"/>
      <c r="BQ1332" s="326"/>
      <c r="BR1332" s="326"/>
      <c r="BS1332" s="326"/>
      <c r="BT1332" s="326"/>
      <c r="BU1332" s="326"/>
      <c r="BV1332" s="327"/>
    </row>
    <row r="1333" spans="1:74" ht="45" customHeight="1" x14ac:dyDescent="0.25">
      <c r="A1333" s="10">
        <f t="shared" si="5"/>
        <v>1319</v>
      </c>
      <c r="B1333" s="559" t="s">
        <v>303</v>
      </c>
      <c r="C1333" s="327"/>
      <c r="D1333" s="560" t="s">
        <v>307</v>
      </c>
      <c r="E1333" s="327"/>
      <c r="F1333" s="537" t="s">
        <v>334</v>
      </c>
      <c r="G1333" s="327"/>
      <c r="H1333" s="566" t="s">
        <v>334</v>
      </c>
      <c r="I1333" s="327"/>
      <c r="J1333" s="567"/>
      <c r="K1333" s="327"/>
      <c r="L1333" s="567"/>
      <c r="M1333" s="327"/>
      <c r="N1333" s="23"/>
      <c r="O1333" s="24"/>
      <c r="P1333" s="563"/>
      <c r="Q1333" s="327"/>
      <c r="R1333" s="538"/>
      <c r="S1333" s="327"/>
      <c r="T1333" s="539"/>
      <c r="U1333" s="327"/>
      <c r="V1333" s="540"/>
      <c r="W1333" s="327"/>
      <c r="X1333" s="541" t="s">
        <v>303</v>
      </c>
      <c r="Y1333" s="326"/>
      <c r="Z1333" s="326"/>
      <c r="AA1333" s="327"/>
      <c r="AB1333" s="542" t="s">
        <v>303</v>
      </c>
      <c r="AC1333" s="326"/>
      <c r="AD1333" s="326"/>
      <c r="AE1333" s="327"/>
      <c r="AF1333" s="543"/>
      <c r="AG1333" s="327"/>
      <c r="AH1333" s="543"/>
      <c r="AI1333" s="327"/>
      <c r="AJ1333" s="536"/>
      <c r="AK1333" s="327"/>
      <c r="AL1333" s="537" t="s">
        <v>334</v>
      </c>
      <c r="AM1333" s="327"/>
      <c r="AN1333" s="546" t="s">
        <v>334</v>
      </c>
      <c r="AO1333" s="327"/>
      <c r="AP1333" s="547"/>
      <c r="AQ1333" s="327"/>
      <c r="AR1333" s="548"/>
      <c r="AS1333" s="327"/>
      <c r="AT1333" s="568"/>
      <c r="AU1333" s="327"/>
      <c r="AV1333" s="546" t="s">
        <v>334</v>
      </c>
      <c r="AW1333" s="327"/>
      <c r="AX1333" s="521"/>
      <c r="AY1333" s="326"/>
      <c r="AZ1333" s="327"/>
      <c r="BA1333" s="550"/>
      <c r="BB1333" s="327"/>
      <c r="BC1333" s="25"/>
      <c r="BD1333" s="544" t="s">
        <v>334</v>
      </c>
      <c r="BE1333" s="327"/>
      <c r="BF1333" s="545"/>
      <c r="BG1333" s="326"/>
      <c r="BH1333" s="326"/>
      <c r="BI1333" s="327"/>
      <c r="BJ1333" s="557" t="s">
        <v>303</v>
      </c>
      <c r="BK1333" s="326"/>
      <c r="BL1333" s="326"/>
      <c r="BM1333" s="327"/>
      <c r="BN1333" s="558" t="s">
        <v>303</v>
      </c>
      <c r="BO1333" s="326"/>
      <c r="BP1333" s="326"/>
      <c r="BQ1333" s="326"/>
      <c r="BR1333" s="326"/>
      <c r="BS1333" s="326"/>
      <c r="BT1333" s="326"/>
      <c r="BU1333" s="326"/>
      <c r="BV1333" s="327"/>
    </row>
    <row r="1334" spans="1:74" ht="45" customHeight="1" x14ac:dyDescent="0.25">
      <c r="A1334" s="10">
        <f t="shared" si="5"/>
        <v>1320</v>
      </c>
      <c r="B1334" s="564" t="s">
        <v>303</v>
      </c>
      <c r="C1334" s="327"/>
      <c r="D1334" s="565" t="s">
        <v>307</v>
      </c>
      <c r="E1334" s="327"/>
      <c r="F1334" s="537" t="s">
        <v>334</v>
      </c>
      <c r="G1334" s="327"/>
      <c r="H1334" s="561" t="s">
        <v>334</v>
      </c>
      <c r="I1334" s="327"/>
      <c r="J1334" s="562"/>
      <c r="K1334" s="327"/>
      <c r="L1334" s="562"/>
      <c r="M1334" s="327"/>
      <c r="N1334" s="20"/>
      <c r="O1334" s="21"/>
      <c r="P1334" s="524"/>
      <c r="Q1334" s="327"/>
      <c r="R1334" s="516"/>
      <c r="S1334" s="327"/>
      <c r="T1334" s="517"/>
      <c r="U1334" s="327"/>
      <c r="V1334" s="518"/>
      <c r="W1334" s="327"/>
      <c r="X1334" s="438" t="s">
        <v>303</v>
      </c>
      <c r="Y1334" s="326"/>
      <c r="Z1334" s="326"/>
      <c r="AA1334" s="327"/>
      <c r="AB1334" s="519" t="s">
        <v>303</v>
      </c>
      <c r="AC1334" s="326"/>
      <c r="AD1334" s="326"/>
      <c r="AE1334" s="327"/>
      <c r="AF1334" s="520"/>
      <c r="AG1334" s="327"/>
      <c r="AH1334" s="520"/>
      <c r="AI1334" s="327"/>
      <c r="AJ1334" s="536"/>
      <c r="AK1334" s="327"/>
      <c r="AL1334" s="556" t="s">
        <v>334</v>
      </c>
      <c r="AM1334" s="327"/>
      <c r="AN1334" s="553" t="s">
        <v>334</v>
      </c>
      <c r="AO1334" s="327"/>
      <c r="AP1334" s="554"/>
      <c r="AQ1334" s="327"/>
      <c r="AR1334" s="555"/>
      <c r="AS1334" s="327"/>
      <c r="AT1334" s="549"/>
      <c r="AU1334" s="327"/>
      <c r="AV1334" s="553" t="s">
        <v>334</v>
      </c>
      <c r="AW1334" s="327"/>
      <c r="AX1334" s="521"/>
      <c r="AY1334" s="326"/>
      <c r="AZ1334" s="327"/>
      <c r="BA1334" s="536"/>
      <c r="BB1334" s="327"/>
      <c r="BC1334" s="22"/>
      <c r="BD1334" s="551" t="s">
        <v>334</v>
      </c>
      <c r="BE1334" s="327"/>
      <c r="BF1334" s="508"/>
      <c r="BG1334" s="326"/>
      <c r="BH1334" s="326"/>
      <c r="BI1334" s="327"/>
      <c r="BJ1334" s="451" t="s">
        <v>303</v>
      </c>
      <c r="BK1334" s="326"/>
      <c r="BL1334" s="326"/>
      <c r="BM1334" s="327"/>
      <c r="BN1334" s="558" t="s">
        <v>303</v>
      </c>
      <c r="BO1334" s="326"/>
      <c r="BP1334" s="326"/>
      <c r="BQ1334" s="326"/>
      <c r="BR1334" s="326"/>
      <c r="BS1334" s="326"/>
      <c r="BT1334" s="326"/>
      <c r="BU1334" s="326"/>
      <c r="BV1334" s="327"/>
    </row>
    <row r="1335" spans="1:74" ht="45" customHeight="1" x14ac:dyDescent="0.25">
      <c r="A1335" s="10">
        <f t="shared" si="5"/>
        <v>1321</v>
      </c>
      <c r="B1335" s="559" t="s">
        <v>303</v>
      </c>
      <c r="C1335" s="327"/>
      <c r="D1335" s="560" t="s">
        <v>307</v>
      </c>
      <c r="E1335" s="327"/>
      <c r="F1335" s="537" t="s">
        <v>334</v>
      </c>
      <c r="G1335" s="327"/>
      <c r="H1335" s="566" t="s">
        <v>334</v>
      </c>
      <c r="I1335" s="327"/>
      <c r="J1335" s="567"/>
      <c r="K1335" s="327"/>
      <c r="L1335" s="567"/>
      <c r="M1335" s="327"/>
      <c r="N1335" s="23"/>
      <c r="O1335" s="24"/>
      <c r="P1335" s="563"/>
      <c r="Q1335" s="327"/>
      <c r="R1335" s="538"/>
      <c r="S1335" s="327"/>
      <c r="T1335" s="539"/>
      <c r="U1335" s="327"/>
      <c r="V1335" s="540"/>
      <c r="W1335" s="327"/>
      <c r="X1335" s="541" t="s">
        <v>303</v>
      </c>
      <c r="Y1335" s="326"/>
      <c r="Z1335" s="326"/>
      <c r="AA1335" s="327"/>
      <c r="AB1335" s="542" t="s">
        <v>303</v>
      </c>
      <c r="AC1335" s="326"/>
      <c r="AD1335" s="326"/>
      <c r="AE1335" s="327"/>
      <c r="AF1335" s="543"/>
      <c r="AG1335" s="327"/>
      <c r="AH1335" s="543"/>
      <c r="AI1335" s="327"/>
      <c r="AJ1335" s="536"/>
      <c r="AK1335" s="327"/>
      <c r="AL1335" s="537" t="s">
        <v>334</v>
      </c>
      <c r="AM1335" s="327"/>
      <c r="AN1335" s="546" t="s">
        <v>334</v>
      </c>
      <c r="AO1335" s="327"/>
      <c r="AP1335" s="547"/>
      <c r="AQ1335" s="327"/>
      <c r="AR1335" s="548"/>
      <c r="AS1335" s="327"/>
      <c r="AT1335" s="568"/>
      <c r="AU1335" s="327"/>
      <c r="AV1335" s="546" t="s">
        <v>334</v>
      </c>
      <c r="AW1335" s="327"/>
      <c r="AX1335" s="521"/>
      <c r="AY1335" s="326"/>
      <c r="AZ1335" s="327"/>
      <c r="BA1335" s="550"/>
      <c r="BB1335" s="327"/>
      <c r="BC1335" s="25"/>
      <c r="BD1335" s="544" t="s">
        <v>334</v>
      </c>
      <c r="BE1335" s="327"/>
      <c r="BF1335" s="545"/>
      <c r="BG1335" s="326"/>
      <c r="BH1335" s="326"/>
      <c r="BI1335" s="327"/>
      <c r="BJ1335" s="557" t="s">
        <v>303</v>
      </c>
      <c r="BK1335" s="326"/>
      <c r="BL1335" s="326"/>
      <c r="BM1335" s="327"/>
      <c r="BN1335" s="558" t="s">
        <v>303</v>
      </c>
      <c r="BO1335" s="326"/>
      <c r="BP1335" s="326"/>
      <c r="BQ1335" s="326"/>
      <c r="BR1335" s="326"/>
      <c r="BS1335" s="326"/>
      <c r="BT1335" s="326"/>
      <c r="BU1335" s="326"/>
      <c r="BV1335" s="327"/>
    </row>
    <row r="1336" spans="1:74" ht="45" customHeight="1" x14ac:dyDescent="0.25">
      <c r="A1336" s="10">
        <f t="shared" si="5"/>
        <v>1322</v>
      </c>
      <c r="B1336" s="564" t="s">
        <v>303</v>
      </c>
      <c r="C1336" s="327"/>
      <c r="D1336" s="565" t="s">
        <v>307</v>
      </c>
      <c r="E1336" s="327"/>
      <c r="F1336" s="537" t="s">
        <v>334</v>
      </c>
      <c r="G1336" s="327"/>
      <c r="H1336" s="561" t="s">
        <v>334</v>
      </c>
      <c r="I1336" s="327"/>
      <c r="J1336" s="562"/>
      <c r="K1336" s="327"/>
      <c r="L1336" s="562"/>
      <c r="M1336" s="327"/>
      <c r="N1336" s="20"/>
      <c r="O1336" s="21"/>
      <c r="P1336" s="524"/>
      <c r="Q1336" s="327"/>
      <c r="R1336" s="516"/>
      <c r="S1336" s="327"/>
      <c r="T1336" s="517"/>
      <c r="U1336" s="327"/>
      <c r="V1336" s="518"/>
      <c r="W1336" s="327"/>
      <c r="X1336" s="438" t="s">
        <v>303</v>
      </c>
      <c r="Y1336" s="326"/>
      <c r="Z1336" s="326"/>
      <c r="AA1336" s="327"/>
      <c r="AB1336" s="519" t="s">
        <v>303</v>
      </c>
      <c r="AC1336" s="326"/>
      <c r="AD1336" s="326"/>
      <c r="AE1336" s="327"/>
      <c r="AF1336" s="520"/>
      <c r="AG1336" s="327"/>
      <c r="AH1336" s="520"/>
      <c r="AI1336" s="327"/>
      <c r="AJ1336" s="536"/>
      <c r="AK1336" s="327"/>
      <c r="AL1336" s="556" t="s">
        <v>334</v>
      </c>
      <c r="AM1336" s="327"/>
      <c r="AN1336" s="553" t="s">
        <v>334</v>
      </c>
      <c r="AO1336" s="327"/>
      <c r="AP1336" s="554"/>
      <c r="AQ1336" s="327"/>
      <c r="AR1336" s="555"/>
      <c r="AS1336" s="327"/>
      <c r="AT1336" s="549"/>
      <c r="AU1336" s="327"/>
      <c r="AV1336" s="553" t="s">
        <v>334</v>
      </c>
      <c r="AW1336" s="327"/>
      <c r="AX1336" s="521"/>
      <c r="AY1336" s="326"/>
      <c r="AZ1336" s="327"/>
      <c r="BA1336" s="536"/>
      <c r="BB1336" s="327"/>
      <c r="BC1336" s="22"/>
      <c r="BD1336" s="551" t="s">
        <v>334</v>
      </c>
      <c r="BE1336" s="327"/>
      <c r="BF1336" s="552"/>
      <c r="BG1336" s="326"/>
      <c r="BH1336" s="326"/>
      <c r="BI1336" s="327"/>
      <c r="BJ1336" s="451" t="s">
        <v>303</v>
      </c>
      <c r="BK1336" s="326"/>
      <c r="BL1336" s="326"/>
      <c r="BM1336" s="327"/>
      <c r="BN1336" s="558" t="s">
        <v>303</v>
      </c>
      <c r="BO1336" s="326"/>
      <c r="BP1336" s="326"/>
      <c r="BQ1336" s="326"/>
      <c r="BR1336" s="326"/>
      <c r="BS1336" s="326"/>
      <c r="BT1336" s="326"/>
      <c r="BU1336" s="326"/>
      <c r="BV1336" s="327"/>
    </row>
    <row r="1337" spans="1:74" ht="45" customHeight="1" x14ac:dyDescent="0.25">
      <c r="A1337" s="10">
        <f t="shared" si="5"/>
        <v>1323</v>
      </c>
      <c r="B1337" s="559" t="s">
        <v>303</v>
      </c>
      <c r="C1337" s="327"/>
      <c r="D1337" s="560" t="s">
        <v>307</v>
      </c>
      <c r="E1337" s="327"/>
      <c r="F1337" s="537" t="s">
        <v>334</v>
      </c>
      <c r="G1337" s="327"/>
      <c r="H1337" s="566" t="s">
        <v>334</v>
      </c>
      <c r="I1337" s="327"/>
      <c r="J1337" s="567"/>
      <c r="K1337" s="327"/>
      <c r="L1337" s="567"/>
      <c r="M1337" s="327"/>
      <c r="N1337" s="20"/>
      <c r="O1337" s="21"/>
      <c r="P1337" s="524"/>
      <c r="Q1337" s="327"/>
      <c r="R1337" s="538"/>
      <c r="S1337" s="327"/>
      <c r="T1337" s="539"/>
      <c r="U1337" s="327"/>
      <c r="V1337" s="540"/>
      <c r="W1337" s="327"/>
      <c r="X1337" s="541" t="s">
        <v>303</v>
      </c>
      <c r="Y1337" s="326"/>
      <c r="Z1337" s="326"/>
      <c r="AA1337" s="327"/>
      <c r="AB1337" s="542" t="s">
        <v>303</v>
      </c>
      <c r="AC1337" s="326"/>
      <c r="AD1337" s="326"/>
      <c r="AE1337" s="327"/>
      <c r="AF1337" s="543"/>
      <c r="AG1337" s="327"/>
      <c r="AH1337" s="543"/>
      <c r="AI1337" s="327"/>
      <c r="AJ1337" s="536"/>
      <c r="AK1337" s="327"/>
      <c r="AL1337" s="537" t="s">
        <v>334</v>
      </c>
      <c r="AM1337" s="327"/>
      <c r="AN1337" s="546" t="s">
        <v>334</v>
      </c>
      <c r="AO1337" s="327"/>
      <c r="AP1337" s="547"/>
      <c r="AQ1337" s="327"/>
      <c r="AR1337" s="548"/>
      <c r="AS1337" s="327"/>
      <c r="AT1337" s="549"/>
      <c r="AU1337" s="327"/>
      <c r="AV1337" s="546" t="s">
        <v>334</v>
      </c>
      <c r="AW1337" s="327"/>
      <c r="AX1337" s="521"/>
      <c r="AY1337" s="326"/>
      <c r="AZ1337" s="327"/>
      <c r="BA1337" s="550"/>
      <c r="BB1337" s="327"/>
      <c r="BC1337" s="25"/>
      <c r="BD1337" s="544" t="s">
        <v>334</v>
      </c>
      <c r="BE1337" s="327"/>
      <c r="BF1337" s="545"/>
      <c r="BG1337" s="326"/>
      <c r="BH1337" s="326"/>
      <c r="BI1337" s="327"/>
      <c r="BJ1337" s="557" t="s">
        <v>303</v>
      </c>
      <c r="BK1337" s="326"/>
      <c r="BL1337" s="326"/>
      <c r="BM1337" s="327"/>
      <c r="BN1337" s="558" t="s">
        <v>303</v>
      </c>
      <c r="BO1337" s="326"/>
      <c r="BP1337" s="326"/>
      <c r="BQ1337" s="326"/>
      <c r="BR1337" s="326"/>
      <c r="BS1337" s="326"/>
      <c r="BT1337" s="326"/>
      <c r="BU1337" s="326"/>
      <c r="BV1337" s="327"/>
    </row>
    <row r="1338" spans="1:74" ht="45" customHeight="1" x14ac:dyDescent="0.25">
      <c r="A1338" s="10">
        <f t="shared" si="5"/>
        <v>1324</v>
      </c>
      <c r="B1338" s="564" t="s">
        <v>303</v>
      </c>
      <c r="C1338" s="327"/>
      <c r="D1338" s="565" t="s">
        <v>307</v>
      </c>
      <c r="E1338" s="327"/>
      <c r="F1338" s="537" t="s">
        <v>334</v>
      </c>
      <c r="G1338" s="327"/>
      <c r="H1338" s="561" t="s">
        <v>334</v>
      </c>
      <c r="I1338" s="327"/>
      <c r="J1338" s="562"/>
      <c r="K1338" s="327"/>
      <c r="L1338" s="562"/>
      <c r="M1338" s="327"/>
      <c r="N1338" s="23"/>
      <c r="O1338" s="24"/>
      <c r="P1338" s="563"/>
      <c r="Q1338" s="327"/>
      <c r="R1338" s="516"/>
      <c r="S1338" s="327"/>
      <c r="T1338" s="517"/>
      <c r="U1338" s="327"/>
      <c r="V1338" s="518"/>
      <c r="W1338" s="327"/>
      <c r="X1338" s="438" t="s">
        <v>303</v>
      </c>
      <c r="Y1338" s="326"/>
      <c r="Z1338" s="326"/>
      <c r="AA1338" s="327"/>
      <c r="AB1338" s="519" t="s">
        <v>303</v>
      </c>
      <c r="AC1338" s="326"/>
      <c r="AD1338" s="326"/>
      <c r="AE1338" s="327"/>
      <c r="AF1338" s="520"/>
      <c r="AG1338" s="327"/>
      <c r="AH1338" s="520"/>
      <c r="AI1338" s="327"/>
      <c r="AJ1338" s="536"/>
      <c r="AK1338" s="327"/>
      <c r="AL1338" s="556" t="s">
        <v>334</v>
      </c>
      <c r="AM1338" s="327"/>
      <c r="AN1338" s="553" t="s">
        <v>334</v>
      </c>
      <c r="AO1338" s="327"/>
      <c r="AP1338" s="554"/>
      <c r="AQ1338" s="327"/>
      <c r="AR1338" s="555"/>
      <c r="AS1338" s="327"/>
      <c r="AT1338" s="549"/>
      <c r="AU1338" s="327"/>
      <c r="AV1338" s="553" t="s">
        <v>334</v>
      </c>
      <c r="AW1338" s="327"/>
      <c r="AX1338" s="521"/>
      <c r="AY1338" s="326"/>
      <c r="AZ1338" s="327"/>
      <c r="BA1338" s="536"/>
      <c r="BB1338" s="327"/>
      <c r="BC1338" s="22"/>
      <c r="BD1338" s="551" t="s">
        <v>334</v>
      </c>
      <c r="BE1338" s="327"/>
      <c r="BF1338" s="552"/>
      <c r="BG1338" s="326"/>
      <c r="BH1338" s="326"/>
      <c r="BI1338" s="327"/>
      <c r="BJ1338" s="451" t="s">
        <v>303</v>
      </c>
      <c r="BK1338" s="326"/>
      <c r="BL1338" s="326"/>
      <c r="BM1338" s="327"/>
      <c r="BN1338" s="558" t="s">
        <v>303</v>
      </c>
      <c r="BO1338" s="326"/>
      <c r="BP1338" s="326"/>
      <c r="BQ1338" s="326"/>
      <c r="BR1338" s="326"/>
      <c r="BS1338" s="326"/>
      <c r="BT1338" s="326"/>
      <c r="BU1338" s="326"/>
      <c r="BV1338" s="327"/>
    </row>
    <row r="1339" spans="1:74" ht="45" customHeight="1" x14ac:dyDescent="0.25">
      <c r="A1339" s="10">
        <f t="shared" si="5"/>
        <v>1325</v>
      </c>
      <c r="B1339" s="559" t="s">
        <v>303</v>
      </c>
      <c r="C1339" s="327"/>
      <c r="D1339" s="560" t="s">
        <v>307</v>
      </c>
      <c r="E1339" s="327"/>
      <c r="F1339" s="537" t="s">
        <v>334</v>
      </c>
      <c r="G1339" s="327"/>
      <c r="H1339" s="566" t="s">
        <v>334</v>
      </c>
      <c r="I1339" s="327"/>
      <c r="J1339" s="567"/>
      <c r="K1339" s="327"/>
      <c r="L1339" s="567"/>
      <c r="M1339" s="327"/>
      <c r="N1339" s="20"/>
      <c r="O1339" s="21"/>
      <c r="P1339" s="524"/>
      <c r="Q1339" s="327"/>
      <c r="R1339" s="538"/>
      <c r="S1339" s="327"/>
      <c r="T1339" s="539"/>
      <c r="U1339" s="327"/>
      <c r="V1339" s="540"/>
      <c r="W1339" s="327"/>
      <c r="X1339" s="541" t="s">
        <v>303</v>
      </c>
      <c r="Y1339" s="326"/>
      <c r="Z1339" s="326"/>
      <c r="AA1339" s="327"/>
      <c r="AB1339" s="542" t="s">
        <v>303</v>
      </c>
      <c r="AC1339" s="326"/>
      <c r="AD1339" s="326"/>
      <c r="AE1339" s="327"/>
      <c r="AF1339" s="543"/>
      <c r="AG1339" s="327"/>
      <c r="AH1339" s="543"/>
      <c r="AI1339" s="327"/>
      <c r="AJ1339" s="536"/>
      <c r="AK1339" s="327"/>
      <c r="AL1339" s="537" t="s">
        <v>334</v>
      </c>
      <c r="AM1339" s="327"/>
      <c r="AN1339" s="546" t="s">
        <v>334</v>
      </c>
      <c r="AO1339" s="327"/>
      <c r="AP1339" s="547"/>
      <c r="AQ1339" s="327"/>
      <c r="AR1339" s="548"/>
      <c r="AS1339" s="327"/>
      <c r="AT1339" s="549"/>
      <c r="AU1339" s="327"/>
      <c r="AV1339" s="546" t="s">
        <v>334</v>
      </c>
      <c r="AW1339" s="327"/>
      <c r="AX1339" s="521"/>
      <c r="AY1339" s="326"/>
      <c r="AZ1339" s="327"/>
      <c r="BA1339" s="550"/>
      <c r="BB1339" s="327"/>
      <c r="BC1339" s="25"/>
      <c r="BD1339" s="544" t="s">
        <v>334</v>
      </c>
      <c r="BE1339" s="327"/>
      <c r="BF1339" s="545"/>
      <c r="BG1339" s="326"/>
      <c r="BH1339" s="326"/>
      <c r="BI1339" s="327"/>
      <c r="BJ1339" s="557" t="s">
        <v>303</v>
      </c>
      <c r="BK1339" s="326"/>
      <c r="BL1339" s="326"/>
      <c r="BM1339" s="327"/>
      <c r="BN1339" s="558" t="s">
        <v>303</v>
      </c>
      <c r="BO1339" s="326"/>
      <c r="BP1339" s="326"/>
      <c r="BQ1339" s="326"/>
      <c r="BR1339" s="326"/>
      <c r="BS1339" s="326"/>
      <c r="BT1339" s="326"/>
      <c r="BU1339" s="326"/>
      <c r="BV1339" s="327"/>
    </row>
    <row r="1340" spans="1:74" ht="45" customHeight="1" x14ac:dyDescent="0.25">
      <c r="A1340" s="10">
        <f t="shared" si="5"/>
        <v>1326</v>
      </c>
      <c r="B1340" s="564" t="s">
        <v>303</v>
      </c>
      <c r="C1340" s="327"/>
      <c r="D1340" s="565" t="s">
        <v>307</v>
      </c>
      <c r="E1340" s="327"/>
      <c r="F1340" s="537" t="s">
        <v>334</v>
      </c>
      <c r="G1340" s="327"/>
      <c r="H1340" s="561" t="s">
        <v>334</v>
      </c>
      <c r="I1340" s="327"/>
      <c r="J1340" s="562"/>
      <c r="K1340" s="327"/>
      <c r="L1340" s="562"/>
      <c r="M1340" s="327"/>
      <c r="N1340" s="23"/>
      <c r="O1340" s="24"/>
      <c r="P1340" s="563"/>
      <c r="Q1340" s="327"/>
      <c r="R1340" s="516"/>
      <c r="S1340" s="327"/>
      <c r="T1340" s="517"/>
      <c r="U1340" s="327"/>
      <c r="V1340" s="518"/>
      <c r="W1340" s="327"/>
      <c r="X1340" s="438" t="s">
        <v>303</v>
      </c>
      <c r="Y1340" s="326"/>
      <c r="Z1340" s="326"/>
      <c r="AA1340" s="327"/>
      <c r="AB1340" s="519" t="s">
        <v>303</v>
      </c>
      <c r="AC1340" s="326"/>
      <c r="AD1340" s="326"/>
      <c r="AE1340" s="327"/>
      <c r="AF1340" s="520"/>
      <c r="AG1340" s="327"/>
      <c r="AH1340" s="520"/>
      <c r="AI1340" s="327"/>
      <c r="AJ1340" s="536"/>
      <c r="AK1340" s="327"/>
      <c r="AL1340" s="556" t="s">
        <v>334</v>
      </c>
      <c r="AM1340" s="327"/>
      <c r="AN1340" s="553" t="s">
        <v>334</v>
      </c>
      <c r="AO1340" s="327"/>
      <c r="AP1340" s="554"/>
      <c r="AQ1340" s="327"/>
      <c r="AR1340" s="555"/>
      <c r="AS1340" s="327"/>
      <c r="AT1340" s="549"/>
      <c r="AU1340" s="327"/>
      <c r="AV1340" s="553" t="s">
        <v>334</v>
      </c>
      <c r="AW1340" s="327"/>
      <c r="AX1340" s="521"/>
      <c r="AY1340" s="326"/>
      <c r="AZ1340" s="327"/>
      <c r="BA1340" s="536"/>
      <c r="BB1340" s="327"/>
      <c r="BC1340" s="22"/>
      <c r="BD1340" s="551" t="s">
        <v>334</v>
      </c>
      <c r="BE1340" s="327"/>
      <c r="BF1340" s="552"/>
      <c r="BG1340" s="326"/>
      <c r="BH1340" s="326"/>
      <c r="BI1340" s="327"/>
      <c r="BJ1340" s="451" t="s">
        <v>303</v>
      </c>
      <c r="BK1340" s="326"/>
      <c r="BL1340" s="326"/>
      <c r="BM1340" s="327"/>
      <c r="BN1340" s="558" t="s">
        <v>303</v>
      </c>
      <c r="BO1340" s="326"/>
      <c r="BP1340" s="326"/>
      <c r="BQ1340" s="326"/>
      <c r="BR1340" s="326"/>
      <c r="BS1340" s="326"/>
      <c r="BT1340" s="326"/>
      <c r="BU1340" s="326"/>
      <c r="BV1340" s="327"/>
    </row>
    <row r="1341" spans="1:74" ht="45" customHeight="1" x14ac:dyDescent="0.25">
      <c r="A1341" s="10">
        <f t="shared" si="5"/>
        <v>1327</v>
      </c>
      <c r="B1341" s="559" t="s">
        <v>303</v>
      </c>
      <c r="C1341" s="327"/>
      <c r="D1341" s="560" t="s">
        <v>307</v>
      </c>
      <c r="E1341" s="327"/>
      <c r="F1341" s="537" t="s">
        <v>334</v>
      </c>
      <c r="G1341" s="327"/>
      <c r="H1341" s="566" t="s">
        <v>334</v>
      </c>
      <c r="I1341" s="327"/>
      <c r="J1341" s="567"/>
      <c r="K1341" s="327"/>
      <c r="L1341" s="567"/>
      <c r="M1341" s="327"/>
      <c r="N1341" s="20"/>
      <c r="O1341" s="24"/>
      <c r="P1341" s="524"/>
      <c r="Q1341" s="327"/>
      <c r="R1341" s="538"/>
      <c r="S1341" s="327"/>
      <c r="T1341" s="539"/>
      <c r="U1341" s="327"/>
      <c r="V1341" s="540"/>
      <c r="W1341" s="327"/>
      <c r="X1341" s="541" t="s">
        <v>303</v>
      </c>
      <c r="Y1341" s="326"/>
      <c r="Z1341" s="326"/>
      <c r="AA1341" s="327"/>
      <c r="AB1341" s="542" t="s">
        <v>303</v>
      </c>
      <c r="AC1341" s="326"/>
      <c r="AD1341" s="326"/>
      <c r="AE1341" s="327"/>
      <c r="AF1341" s="543"/>
      <c r="AG1341" s="327"/>
      <c r="AH1341" s="543"/>
      <c r="AI1341" s="327"/>
      <c r="AJ1341" s="536"/>
      <c r="AK1341" s="327"/>
      <c r="AL1341" s="537" t="s">
        <v>334</v>
      </c>
      <c r="AM1341" s="327"/>
      <c r="AN1341" s="546" t="s">
        <v>334</v>
      </c>
      <c r="AO1341" s="327"/>
      <c r="AP1341" s="547"/>
      <c r="AQ1341" s="327"/>
      <c r="AR1341" s="548"/>
      <c r="AS1341" s="327"/>
      <c r="AT1341" s="568"/>
      <c r="AU1341" s="327"/>
      <c r="AV1341" s="546" t="s">
        <v>334</v>
      </c>
      <c r="AW1341" s="327"/>
      <c r="AX1341" s="521"/>
      <c r="AY1341" s="326"/>
      <c r="AZ1341" s="327"/>
      <c r="BA1341" s="550"/>
      <c r="BB1341" s="327"/>
      <c r="BC1341" s="25"/>
      <c r="BD1341" s="544" t="s">
        <v>334</v>
      </c>
      <c r="BE1341" s="327"/>
      <c r="BF1341" s="545"/>
      <c r="BG1341" s="326"/>
      <c r="BH1341" s="326"/>
      <c r="BI1341" s="327"/>
      <c r="BJ1341" s="557" t="s">
        <v>303</v>
      </c>
      <c r="BK1341" s="326"/>
      <c r="BL1341" s="326"/>
      <c r="BM1341" s="327"/>
      <c r="BN1341" s="558" t="s">
        <v>303</v>
      </c>
      <c r="BO1341" s="326"/>
      <c r="BP1341" s="326"/>
      <c r="BQ1341" s="326"/>
      <c r="BR1341" s="326"/>
      <c r="BS1341" s="326"/>
      <c r="BT1341" s="326"/>
      <c r="BU1341" s="326"/>
      <c r="BV1341" s="327"/>
    </row>
    <row r="1342" spans="1:74" ht="45" customHeight="1" x14ac:dyDescent="0.25">
      <c r="A1342" s="10">
        <f t="shared" si="5"/>
        <v>1328</v>
      </c>
      <c r="B1342" s="564" t="s">
        <v>303</v>
      </c>
      <c r="C1342" s="327"/>
      <c r="D1342" s="565" t="s">
        <v>307</v>
      </c>
      <c r="E1342" s="327"/>
      <c r="F1342" s="537" t="s">
        <v>334</v>
      </c>
      <c r="G1342" s="327"/>
      <c r="H1342" s="561" t="s">
        <v>334</v>
      </c>
      <c r="I1342" s="327"/>
      <c r="J1342" s="562"/>
      <c r="K1342" s="327"/>
      <c r="L1342" s="562"/>
      <c r="M1342" s="327"/>
      <c r="N1342" s="23"/>
      <c r="O1342" s="21"/>
      <c r="P1342" s="563"/>
      <c r="Q1342" s="327"/>
      <c r="R1342" s="516"/>
      <c r="S1342" s="327"/>
      <c r="T1342" s="517"/>
      <c r="U1342" s="327"/>
      <c r="V1342" s="518"/>
      <c r="W1342" s="327"/>
      <c r="X1342" s="438" t="s">
        <v>303</v>
      </c>
      <c r="Y1342" s="326"/>
      <c r="Z1342" s="326"/>
      <c r="AA1342" s="327"/>
      <c r="AB1342" s="519" t="s">
        <v>303</v>
      </c>
      <c r="AC1342" s="326"/>
      <c r="AD1342" s="326"/>
      <c r="AE1342" s="327"/>
      <c r="AF1342" s="520"/>
      <c r="AG1342" s="327"/>
      <c r="AH1342" s="520"/>
      <c r="AI1342" s="327"/>
      <c r="AJ1342" s="536"/>
      <c r="AK1342" s="327"/>
      <c r="AL1342" s="556" t="s">
        <v>334</v>
      </c>
      <c r="AM1342" s="327"/>
      <c r="AN1342" s="553" t="s">
        <v>334</v>
      </c>
      <c r="AO1342" s="327"/>
      <c r="AP1342" s="554"/>
      <c r="AQ1342" s="327"/>
      <c r="AR1342" s="555"/>
      <c r="AS1342" s="327"/>
      <c r="AT1342" s="549"/>
      <c r="AU1342" s="327"/>
      <c r="AV1342" s="553" t="s">
        <v>334</v>
      </c>
      <c r="AW1342" s="327"/>
      <c r="AX1342" s="521"/>
      <c r="AY1342" s="326"/>
      <c r="AZ1342" s="327"/>
      <c r="BA1342" s="536"/>
      <c r="BB1342" s="327"/>
      <c r="BC1342" s="22"/>
      <c r="BD1342" s="551" t="s">
        <v>334</v>
      </c>
      <c r="BE1342" s="327"/>
      <c r="BF1342" s="508"/>
      <c r="BG1342" s="326"/>
      <c r="BH1342" s="326"/>
      <c r="BI1342" s="327"/>
      <c r="BJ1342" s="451" t="s">
        <v>303</v>
      </c>
      <c r="BK1342" s="326"/>
      <c r="BL1342" s="326"/>
      <c r="BM1342" s="327"/>
      <c r="BN1342" s="558" t="s">
        <v>303</v>
      </c>
      <c r="BO1342" s="326"/>
      <c r="BP1342" s="326"/>
      <c r="BQ1342" s="326"/>
      <c r="BR1342" s="326"/>
      <c r="BS1342" s="326"/>
      <c r="BT1342" s="326"/>
      <c r="BU1342" s="326"/>
      <c r="BV1342" s="327"/>
    </row>
    <row r="1343" spans="1:74" ht="45" customHeight="1" x14ac:dyDescent="0.25">
      <c r="A1343" s="10">
        <f t="shared" si="5"/>
        <v>1329</v>
      </c>
      <c r="B1343" s="559" t="s">
        <v>303</v>
      </c>
      <c r="C1343" s="327"/>
      <c r="D1343" s="560" t="s">
        <v>307</v>
      </c>
      <c r="E1343" s="327"/>
      <c r="F1343" s="537" t="s">
        <v>334</v>
      </c>
      <c r="G1343" s="327"/>
      <c r="H1343" s="566" t="s">
        <v>334</v>
      </c>
      <c r="I1343" s="327"/>
      <c r="J1343" s="567"/>
      <c r="K1343" s="327"/>
      <c r="L1343" s="567"/>
      <c r="M1343" s="327"/>
      <c r="N1343" s="20"/>
      <c r="O1343" s="24"/>
      <c r="P1343" s="524"/>
      <c r="Q1343" s="327"/>
      <c r="R1343" s="538"/>
      <c r="S1343" s="327"/>
      <c r="T1343" s="539"/>
      <c r="U1343" s="327"/>
      <c r="V1343" s="540"/>
      <c r="W1343" s="327"/>
      <c r="X1343" s="541" t="s">
        <v>303</v>
      </c>
      <c r="Y1343" s="326"/>
      <c r="Z1343" s="326"/>
      <c r="AA1343" s="327"/>
      <c r="AB1343" s="542" t="s">
        <v>303</v>
      </c>
      <c r="AC1343" s="326"/>
      <c r="AD1343" s="326"/>
      <c r="AE1343" s="327"/>
      <c r="AF1343" s="543"/>
      <c r="AG1343" s="327"/>
      <c r="AH1343" s="543"/>
      <c r="AI1343" s="327"/>
      <c r="AJ1343" s="536"/>
      <c r="AK1343" s="327"/>
      <c r="AL1343" s="537" t="s">
        <v>334</v>
      </c>
      <c r="AM1343" s="327"/>
      <c r="AN1343" s="546" t="s">
        <v>334</v>
      </c>
      <c r="AO1343" s="327"/>
      <c r="AP1343" s="547"/>
      <c r="AQ1343" s="327"/>
      <c r="AR1343" s="548"/>
      <c r="AS1343" s="327"/>
      <c r="AT1343" s="568"/>
      <c r="AU1343" s="327"/>
      <c r="AV1343" s="546" t="s">
        <v>334</v>
      </c>
      <c r="AW1343" s="327"/>
      <c r="AX1343" s="521"/>
      <c r="AY1343" s="326"/>
      <c r="AZ1343" s="327"/>
      <c r="BA1343" s="550"/>
      <c r="BB1343" s="327"/>
      <c r="BC1343" s="25"/>
      <c r="BD1343" s="544" t="s">
        <v>334</v>
      </c>
      <c r="BE1343" s="327"/>
      <c r="BF1343" s="545"/>
      <c r="BG1343" s="326"/>
      <c r="BH1343" s="326"/>
      <c r="BI1343" s="327"/>
      <c r="BJ1343" s="557" t="s">
        <v>303</v>
      </c>
      <c r="BK1343" s="326"/>
      <c r="BL1343" s="326"/>
      <c r="BM1343" s="327"/>
      <c r="BN1343" s="558" t="s">
        <v>303</v>
      </c>
      <c r="BO1343" s="326"/>
      <c r="BP1343" s="326"/>
      <c r="BQ1343" s="326"/>
      <c r="BR1343" s="326"/>
      <c r="BS1343" s="326"/>
      <c r="BT1343" s="326"/>
      <c r="BU1343" s="326"/>
      <c r="BV1343" s="327"/>
    </row>
    <row r="1344" spans="1:74" ht="45" customHeight="1" x14ac:dyDescent="0.25">
      <c r="A1344" s="10">
        <f t="shared" si="5"/>
        <v>1330</v>
      </c>
      <c r="B1344" s="564" t="s">
        <v>303</v>
      </c>
      <c r="C1344" s="327"/>
      <c r="D1344" s="565" t="s">
        <v>307</v>
      </c>
      <c r="E1344" s="327"/>
      <c r="F1344" s="537" t="s">
        <v>334</v>
      </c>
      <c r="G1344" s="327"/>
      <c r="H1344" s="561" t="s">
        <v>334</v>
      </c>
      <c r="I1344" s="327"/>
      <c r="J1344" s="562"/>
      <c r="K1344" s="327"/>
      <c r="L1344" s="562"/>
      <c r="M1344" s="327"/>
      <c r="N1344" s="23"/>
      <c r="O1344" s="21"/>
      <c r="P1344" s="563"/>
      <c r="Q1344" s="327"/>
      <c r="R1344" s="516"/>
      <c r="S1344" s="327"/>
      <c r="T1344" s="517"/>
      <c r="U1344" s="327"/>
      <c r="V1344" s="518"/>
      <c r="W1344" s="327"/>
      <c r="X1344" s="438" t="s">
        <v>303</v>
      </c>
      <c r="Y1344" s="326"/>
      <c r="Z1344" s="326"/>
      <c r="AA1344" s="327"/>
      <c r="AB1344" s="519" t="s">
        <v>303</v>
      </c>
      <c r="AC1344" s="326"/>
      <c r="AD1344" s="326"/>
      <c r="AE1344" s="327"/>
      <c r="AF1344" s="520"/>
      <c r="AG1344" s="327"/>
      <c r="AH1344" s="520"/>
      <c r="AI1344" s="327"/>
      <c r="AJ1344" s="536"/>
      <c r="AK1344" s="327"/>
      <c r="AL1344" s="556" t="s">
        <v>334</v>
      </c>
      <c r="AM1344" s="327"/>
      <c r="AN1344" s="553" t="s">
        <v>334</v>
      </c>
      <c r="AO1344" s="327"/>
      <c r="AP1344" s="554"/>
      <c r="AQ1344" s="327"/>
      <c r="AR1344" s="555"/>
      <c r="AS1344" s="327"/>
      <c r="AT1344" s="549"/>
      <c r="AU1344" s="327"/>
      <c r="AV1344" s="553" t="s">
        <v>334</v>
      </c>
      <c r="AW1344" s="327"/>
      <c r="AX1344" s="521"/>
      <c r="AY1344" s="326"/>
      <c r="AZ1344" s="327"/>
      <c r="BA1344" s="536"/>
      <c r="BB1344" s="327"/>
      <c r="BC1344" s="22"/>
      <c r="BD1344" s="551" t="s">
        <v>334</v>
      </c>
      <c r="BE1344" s="327"/>
      <c r="BF1344" s="552"/>
      <c r="BG1344" s="326"/>
      <c r="BH1344" s="326"/>
      <c r="BI1344" s="327"/>
      <c r="BJ1344" s="451" t="s">
        <v>303</v>
      </c>
      <c r="BK1344" s="326"/>
      <c r="BL1344" s="326"/>
      <c r="BM1344" s="327"/>
      <c r="BN1344" s="558" t="s">
        <v>303</v>
      </c>
      <c r="BO1344" s="326"/>
      <c r="BP1344" s="326"/>
      <c r="BQ1344" s="326"/>
      <c r="BR1344" s="326"/>
      <c r="BS1344" s="326"/>
      <c r="BT1344" s="326"/>
      <c r="BU1344" s="326"/>
      <c r="BV1344" s="327"/>
    </row>
    <row r="1345" spans="1:74" ht="45" customHeight="1" x14ac:dyDescent="0.25">
      <c r="A1345" s="10">
        <f t="shared" si="5"/>
        <v>1331</v>
      </c>
      <c r="B1345" s="559" t="s">
        <v>303</v>
      </c>
      <c r="C1345" s="327"/>
      <c r="D1345" s="560" t="s">
        <v>307</v>
      </c>
      <c r="E1345" s="327"/>
      <c r="F1345" s="537" t="s">
        <v>334</v>
      </c>
      <c r="G1345" s="327"/>
      <c r="H1345" s="566" t="s">
        <v>334</v>
      </c>
      <c r="I1345" s="327"/>
      <c r="J1345" s="567"/>
      <c r="K1345" s="327"/>
      <c r="L1345" s="567"/>
      <c r="M1345" s="327"/>
      <c r="N1345" s="20"/>
      <c r="O1345" s="24"/>
      <c r="P1345" s="524"/>
      <c r="Q1345" s="327"/>
      <c r="R1345" s="538"/>
      <c r="S1345" s="327"/>
      <c r="T1345" s="539"/>
      <c r="U1345" s="327"/>
      <c r="V1345" s="540"/>
      <c r="W1345" s="327"/>
      <c r="X1345" s="541" t="s">
        <v>303</v>
      </c>
      <c r="Y1345" s="326"/>
      <c r="Z1345" s="326"/>
      <c r="AA1345" s="327"/>
      <c r="AB1345" s="542" t="s">
        <v>303</v>
      </c>
      <c r="AC1345" s="326"/>
      <c r="AD1345" s="326"/>
      <c r="AE1345" s="327"/>
      <c r="AF1345" s="543"/>
      <c r="AG1345" s="327"/>
      <c r="AH1345" s="543"/>
      <c r="AI1345" s="327"/>
      <c r="AJ1345" s="536"/>
      <c r="AK1345" s="327"/>
      <c r="AL1345" s="537" t="s">
        <v>334</v>
      </c>
      <c r="AM1345" s="327"/>
      <c r="AN1345" s="546" t="s">
        <v>334</v>
      </c>
      <c r="AO1345" s="327"/>
      <c r="AP1345" s="547"/>
      <c r="AQ1345" s="327"/>
      <c r="AR1345" s="548"/>
      <c r="AS1345" s="327"/>
      <c r="AT1345" s="568"/>
      <c r="AU1345" s="327"/>
      <c r="AV1345" s="546" t="s">
        <v>334</v>
      </c>
      <c r="AW1345" s="327"/>
      <c r="AX1345" s="521"/>
      <c r="AY1345" s="326"/>
      <c r="AZ1345" s="327"/>
      <c r="BA1345" s="550"/>
      <c r="BB1345" s="327"/>
      <c r="BC1345" s="25"/>
      <c r="BD1345" s="544" t="s">
        <v>334</v>
      </c>
      <c r="BE1345" s="327"/>
      <c r="BF1345" s="545"/>
      <c r="BG1345" s="326"/>
      <c r="BH1345" s="326"/>
      <c r="BI1345" s="327"/>
      <c r="BJ1345" s="557" t="s">
        <v>303</v>
      </c>
      <c r="BK1345" s="326"/>
      <c r="BL1345" s="326"/>
      <c r="BM1345" s="327"/>
      <c r="BN1345" s="558" t="s">
        <v>303</v>
      </c>
      <c r="BO1345" s="326"/>
      <c r="BP1345" s="326"/>
      <c r="BQ1345" s="326"/>
      <c r="BR1345" s="326"/>
      <c r="BS1345" s="326"/>
      <c r="BT1345" s="326"/>
      <c r="BU1345" s="326"/>
      <c r="BV1345" s="327"/>
    </row>
    <row r="1346" spans="1:74" ht="45" customHeight="1" x14ac:dyDescent="0.25">
      <c r="A1346" s="10">
        <f t="shared" si="5"/>
        <v>1332</v>
      </c>
      <c r="B1346" s="564" t="s">
        <v>303</v>
      </c>
      <c r="C1346" s="327"/>
      <c r="D1346" s="565" t="s">
        <v>307</v>
      </c>
      <c r="E1346" s="327"/>
      <c r="F1346" s="537" t="s">
        <v>334</v>
      </c>
      <c r="G1346" s="327"/>
      <c r="H1346" s="561" t="s">
        <v>334</v>
      </c>
      <c r="I1346" s="327"/>
      <c r="J1346" s="562"/>
      <c r="K1346" s="327"/>
      <c r="L1346" s="562"/>
      <c r="M1346" s="327"/>
      <c r="N1346" s="23"/>
      <c r="O1346" s="21"/>
      <c r="P1346" s="563"/>
      <c r="Q1346" s="327"/>
      <c r="R1346" s="516"/>
      <c r="S1346" s="327"/>
      <c r="T1346" s="517"/>
      <c r="U1346" s="327"/>
      <c r="V1346" s="518"/>
      <c r="W1346" s="327"/>
      <c r="X1346" s="438" t="s">
        <v>303</v>
      </c>
      <c r="Y1346" s="326"/>
      <c r="Z1346" s="326"/>
      <c r="AA1346" s="327"/>
      <c r="AB1346" s="519" t="s">
        <v>303</v>
      </c>
      <c r="AC1346" s="326"/>
      <c r="AD1346" s="326"/>
      <c r="AE1346" s="327"/>
      <c r="AF1346" s="520"/>
      <c r="AG1346" s="327"/>
      <c r="AH1346" s="520"/>
      <c r="AI1346" s="327"/>
      <c r="AJ1346" s="536"/>
      <c r="AK1346" s="327"/>
      <c r="AL1346" s="556" t="s">
        <v>334</v>
      </c>
      <c r="AM1346" s="327"/>
      <c r="AN1346" s="553" t="s">
        <v>334</v>
      </c>
      <c r="AO1346" s="327"/>
      <c r="AP1346" s="554"/>
      <c r="AQ1346" s="327"/>
      <c r="AR1346" s="555"/>
      <c r="AS1346" s="327"/>
      <c r="AT1346" s="549"/>
      <c r="AU1346" s="327"/>
      <c r="AV1346" s="553" t="s">
        <v>334</v>
      </c>
      <c r="AW1346" s="327"/>
      <c r="AX1346" s="521"/>
      <c r="AY1346" s="326"/>
      <c r="AZ1346" s="327"/>
      <c r="BA1346" s="536"/>
      <c r="BB1346" s="327"/>
      <c r="BC1346" s="22"/>
      <c r="BD1346" s="551" t="s">
        <v>334</v>
      </c>
      <c r="BE1346" s="327"/>
      <c r="BF1346" s="552"/>
      <c r="BG1346" s="326"/>
      <c r="BH1346" s="326"/>
      <c r="BI1346" s="327"/>
      <c r="BJ1346" s="451" t="s">
        <v>303</v>
      </c>
      <c r="BK1346" s="326"/>
      <c r="BL1346" s="326"/>
      <c r="BM1346" s="327"/>
      <c r="BN1346" s="558" t="s">
        <v>303</v>
      </c>
      <c r="BO1346" s="326"/>
      <c r="BP1346" s="326"/>
      <c r="BQ1346" s="326"/>
      <c r="BR1346" s="326"/>
      <c r="BS1346" s="326"/>
      <c r="BT1346" s="326"/>
      <c r="BU1346" s="326"/>
      <c r="BV1346" s="327"/>
    </row>
    <row r="1347" spans="1:74" ht="45" customHeight="1" x14ac:dyDescent="0.25">
      <c r="A1347" s="10">
        <f t="shared" si="5"/>
        <v>1333</v>
      </c>
      <c r="B1347" s="559" t="s">
        <v>303</v>
      </c>
      <c r="C1347" s="327"/>
      <c r="D1347" s="560" t="s">
        <v>307</v>
      </c>
      <c r="E1347" s="327"/>
      <c r="F1347" s="537" t="s">
        <v>334</v>
      </c>
      <c r="G1347" s="327"/>
      <c r="H1347" s="566" t="s">
        <v>334</v>
      </c>
      <c r="I1347" s="327"/>
      <c r="J1347" s="567"/>
      <c r="K1347" s="327"/>
      <c r="L1347" s="567"/>
      <c r="M1347" s="327"/>
      <c r="N1347" s="20"/>
      <c r="O1347" s="24"/>
      <c r="P1347" s="524"/>
      <c r="Q1347" s="327"/>
      <c r="R1347" s="538"/>
      <c r="S1347" s="327"/>
      <c r="T1347" s="539"/>
      <c r="U1347" s="327"/>
      <c r="V1347" s="540"/>
      <c r="W1347" s="327"/>
      <c r="X1347" s="541" t="s">
        <v>303</v>
      </c>
      <c r="Y1347" s="326"/>
      <c r="Z1347" s="326"/>
      <c r="AA1347" s="327"/>
      <c r="AB1347" s="542" t="s">
        <v>303</v>
      </c>
      <c r="AC1347" s="326"/>
      <c r="AD1347" s="326"/>
      <c r="AE1347" s="327"/>
      <c r="AF1347" s="543"/>
      <c r="AG1347" s="327"/>
      <c r="AH1347" s="543"/>
      <c r="AI1347" s="327"/>
      <c r="AJ1347" s="536"/>
      <c r="AK1347" s="327"/>
      <c r="AL1347" s="537" t="s">
        <v>334</v>
      </c>
      <c r="AM1347" s="327"/>
      <c r="AN1347" s="546" t="s">
        <v>334</v>
      </c>
      <c r="AO1347" s="327"/>
      <c r="AP1347" s="547"/>
      <c r="AQ1347" s="327"/>
      <c r="AR1347" s="548"/>
      <c r="AS1347" s="327"/>
      <c r="AT1347" s="568"/>
      <c r="AU1347" s="327"/>
      <c r="AV1347" s="546" t="s">
        <v>334</v>
      </c>
      <c r="AW1347" s="327"/>
      <c r="AX1347" s="521"/>
      <c r="AY1347" s="326"/>
      <c r="AZ1347" s="327"/>
      <c r="BA1347" s="550"/>
      <c r="BB1347" s="327"/>
      <c r="BC1347" s="25"/>
      <c r="BD1347" s="544" t="s">
        <v>334</v>
      </c>
      <c r="BE1347" s="327"/>
      <c r="BF1347" s="545"/>
      <c r="BG1347" s="326"/>
      <c r="BH1347" s="326"/>
      <c r="BI1347" s="327"/>
      <c r="BJ1347" s="557" t="s">
        <v>303</v>
      </c>
      <c r="BK1347" s="326"/>
      <c r="BL1347" s="326"/>
      <c r="BM1347" s="327"/>
      <c r="BN1347" s="558" t="s">
        <v>303</v>
      </c>
      <c r="BO1347" s="326"/>
      <c r="BP1347" s="326"/>
      <c r="BQ1347" s="326"/>
      <c r="BR1347" s="326"/>
      <c r="BS1347" s="326"/>
      <c r="BT1347" s="326"/>
      <c r="BU1347" s="326"/>
      <c r="BV1347" s="327"/>
    </row>
    <row r="1348" spans="1:74" ht="45" customHeight="1" x14ac:dyDescent="0.25">
      <c r="A1348" s="10">
        <f t="shared" si="5"/>
        <v>1334</v>
      </c>
      <c r="B1348" s="564" t="s">
        <v>303</v>
      </c>
      <c r="C1348" s="327"/>
      <c r="D1348" s="565" t="s">
        <v>307</v>
      </c>
      <c r="E1348" s="327"/>
      <c r="F1348" s="537" t="s">
        <v>334</v>
      </c>
      <c r="G1348" s="327"/>
      <c r="H1348" s="561" t="s">
        <v>334</v>
      </c>
      <c r="I1348" s="327"/>
      <c r="J1348" s="562"/>
      <c r="K1348" s="327"/>
      <c r="L1348" s="562"/>
      <c r="M1348" s="327"/>
      <c r="N1348" s="23"/>
      <c r="O1348" s="21"/>
      <c r="P1348" s="563"/>
      <c r="Q1348" s="327"/>
      <c r="R1348" s="516"/>
      <c r="S1348" s="327"/>
      <c r="T1348" s="517"/>
      <c r="U1348" s="327"/>
      <c r="V1348" s="518"/>
      <c r="W1348" s="327"/>
      <c r="X1348" s="438" t="s">
        <v>303</v>
      </c>
      <c r="Y1348" s="326"/>
      <c r="Z1348" s="326"/>
      <c r="AA1348" s="327"/>
      <c r="AB1348" s="519" t="s">
        <v>303</v>
      </c>
      <c r="AC1348" s="326"/>
      <c r="AD1348" s="326"/>
      <c r="AE1348" s="327"/>
      <c r="AF1348" s="520"/>
      <c r="AG1348" s="327"/>
      <c r="AH1348" s="520"/>
      <c r="AI1348" s="327"/>
      <c r="AJ1348" s="536"/>
      <c r="AK1348" s="327"/>
      <c r="AL1348" s="556" t="s">
        <v>334</v>
      </c>
      <c r="AM1348" s="327"/>
      <c r="AN1348" s="553" t="s">
        <v>334</v>
      </c>
      <c r="AO1348" s="327"/>
      <c r="AP1348" s="554"/>
      <c r="AQ1348" s="327"/>
      <c r="AR1348" s="555"/>
      <c r="AS1348" s="327"/>
      <c r="AT1348" s="549"/>
      <c r="AU1348" s="327"/>
      <c r="AV1348" s="553" t="s">
        <v>334</v>
      </c>
      <c r="AW1348" s="327"/>
      <c r="AX1348" s="521"/>
      <c r="AY1348" s="326"/>
      <c r="AZ1348" s="327"/>
      <c r="BA1348" s="536"/>
      <c r="BB1348" s="327"/>
      <c r="BC1348" s="22"/>
      <c r="BD1348" s="551" t="s">
        <v>334</v>
      </c>
      <c r="BE1348" s="327"/>
      <c r="BF1348" s="508"/>
      <c r="BG1348" s="326"/>
      <c r="BH1348" s="326"/>
      <c r="BI1348" s="327"/>
      <c r="BJ1348" s="451" t="s">
        <v>303</v>
      </c>
      <c r="BK1348" s="326"/>
      <c r="BL1348" s="326"/>
      <c r="BM1348" s="327"/>
      <c r="BN1348" s="558" t="s">
        <v>303</v>
      </c>
      <c r="BO1348" s="326"/>
      <c r="BP1348" s="326"/>
      <c r="BQ1348" s="326"/>
      <c r="BR1348" s="326"/>
      <c r="BS1348" s="326"/>
      <c r="BT1348" s="326"/>
      <c r="BU1348" s="326"/>
      <c r="BV1348" s="327"/>
    </row>
    <row r="1349" spans="1:74" ht="45" customHeight="1" x14ac:dyDescent="0.25">
      <c r="A1349" s="10">
        <f t="shared" si="5"/>
        <v>1335</v>
      </c>
      <c r="B1349" s="559" t="s">
        <v>303</v>
      </c>
      <c r="C1349" s="327"/>
      <c r="D1349" s="560" t="s">
        <v>307</v>
      </c>
      <c r="E1349" s="327"/>
      <c r="F1349" s="537" t="s">
        <v>334</v>
      </c>
      <c r="G1349" s="327"/>
      <c r="H1349" s="566" t="s">
        <v>334</v>
      </c>
      <c r="I1349" s="327"/>
      <c r="J1349" s="567"/>
      <c r="K1349" s="327"/>
      <c r="L1349" s="567"/>
      <c r="M1349" s="327"/>
      <c r="N1349" s="20"/>
      <c r="O1349" s="24"/>
      <c r="P1349" s="524"/>
      <c r="Q1349" s="327"/>
      <c r="R1349" s="538"/>
      <c r="S1349" s="327"/>
      <c r="T1349" s="539"/>
      <c r="U1349" s="327"/>
      <c r="V1349" s="540"/>
      <c r="W1349" s="327"/>
      <c r="X1349" s="541" t="s">
        <v>303</v>
      </c>
      <c r="Y1349" s="326"/>
      <c r="Z1349" s="326"/>
      <c r="AA1349" s="327"/>
      <c r="AB1349" s="542" t="s">
        <v>303</v>
      </c>
      <c r="AC1349" s="326"/>
      <c r="AD1349" s="326"/>
      <c r="AE1349" s="327"/>
      <c r="AF1349" s="543"/>
      <c r="AG1349" s="327"/>
      <c r="AH1349" s="543"/>
      <c r="AI1349" s="327"/>
      <c r="AJ1349" s="536"/>
      <c r="AK1349" s="327"/>
      <c r="AL1349" s="537" t="s">
        <v>334</v>
      </c>
      <c r="AM1349" s="327"/>
      <c r="AN1349" s="546" t="s">
        <v>334</v>
      </c>
      <c r="AO1349" s="327"/>
      <c r="AP1349" s="547"/>
      <c r="AQ1349" s="327"/>
      <c r="AR1349" s="548"/>
      <c r="AS1349" s="327"/>
      <c r="AT1349" s="568"/>
      <c r="AU1349" s="327"/>
      <c r="AV1349" s="546" t="s">
        <v>334</v>
      </c>
      <c r="AW1349" s="327"/>
      <c r="AX1349" s="521"/>
      <c r="AY1349" s="326"/>
      <c r="AZ1349" s="327"/>
      <c r="BA1349" s="550"/>
      <c r="BB1349" s="327"/>
      <c r="BC1349" s="25"/>
      <c r="BD1349" s="544" t="s">
        <v>334</v>
      </c>
      <c r="BE1349" s="327"/>
      <c r="BF1349" s="545"/>
      <c r="BG1349" s="326"/>
      <c r="BH1349" s="326"/>
      <c r="BI1349" s="327"/>
      <c r="BJ1349" s="557" t="s">
        <v>303</v>
      </c>
      <c r="BK1349" s="326"/>
      <c r="BL1349" s="326"/>
      <c r="BM1349" s="327"/>
      <c r="BN1349" s="558" t="s">
        <v>303</v>
      </c>
      <c r="BO1349" s="326"/>
      <c r="BP1349" s="326"/>
      <c r="BQ1349" s="326"/>
      <c r="BR1349" s="326"/>
      <c r="BS1349" s="326"/>
      <c r="BT1349" s="326"/>
      <c r="BU1349" s="326"/>
      <c r="BV1349" s="327"/>
    </row>
    <row r="1350" spans="1:74" ht="45" customHeight="1" x14ac:dyDescent="0.25">
      <c r="A1350" s="10">
        <f t="shared" si="5"/>
        <v>1336</v>
      </c>
      <c r="B1350" s="564" t="s">
        <v>303</v>
      </c>
      <c r="C1350" s="327"/>
      <c r="D1350" s="565" t="s">
        <v>307</v>
      </c>
      <c r="E1350" s="327"/>
      <c r="F1350" s="537" t="s">
        <v>334</v>
      </c>
      <c r="G1350" s="327"/>
      <c r="H1350" s="561" t="s">
        <v>334</v>
      </c>
      <c r="I1350" s="327"/>
      <c r="J1350" s="562"/>
      <c r="K1350" s="327"/>
      <c r="L1350" s="562"/>
      <c r="M1350" s="327"/>
      <c r="N1350" s="23"/>
      <c r="O1350" s="21"/>
      <c r="P1350" s="563"/>
      <c r="Q1350" s="327"/>
      <c r="R1350" s="516"/>
      <c r="S1350" s="327"/>
      <c r="T1350" s="517"/>
      <c r="U1350" s="327"/>
      <c r="V1350" s="518"/>
      <c r="W1350" s="327"/>
      <c r="X1350" s="438" t="s">
        <v>303</v>
      </c>
      <c r="Y1350" s="326"/>
      <c r="Z1350" s="326"/>
      <c r="AA1350" s="327"/>
      <c r="AB1350" s="519" t="s">
        <v>303</v>
      </c>
      <c r="AC1350" s="326"/>
      <c r="AD1350" s="326"/>
      <c r="AE1350" s="327"/>
      <c r="AF1350" s="520"/>
      <c r="AG1350" s="327"/>
      <c r="AH1350" s="520"/>
      <c r="AI1350" s="327"/>
      <c r="AJ1350" s="536"/>
      <c r="AK1350" s="327"/>
      <c r="AL1350" s="556" t="s">
        <v>334</v>
      </c>
      <c r="AM1350" s="327"/>
      <c r="AN1350" s="553" t="s">
        <v>334</v>
      </c>
      <c r="AO1350" s="327"/>
      <c r="AP1350" s="554"/>
      <c r="AQ1350" s="327"/>
      <c r="AR1350" s="555"/>
      <c r="AS1350" s="327"/>
      <c r="AT1350" s="549"/>
      <c r="AU1350" s="327"/>
      <c r="AV1350" s="553" t="s">
        <v>334</v>
      </c>
      <c r="AW1350" s="327"/>
      <c r="AX1350" s="521"/>
      <c r="AY1350" s="326"/>
      <c r="AZ1350" s="327"/>
      <c r="BA1350" s="536"/>
      <c r="BB1350" s="327"/>
      <c r="BC1350" s="22"/>
      <c r="BD1350" s="551" t="s">
        <v>334</v>
      </c>
      <c r="BE1350" s="327"/>
      <c r="BF1350" s="552"/>
      <c r="BG1350" s="326"/>
      <c r="BH1350" s="326"/>
      <c r="BI1350" s="327"/>
      <c r="BJ1350" s="451" t="s">
        <v>303</v>
      </c>
      <c r="BK1350" s="326"/>
      <c r="BL1350" s="326"/>
      <c r="BM1350" s="327"/>
      <c r="BN1350" s="558" t="s">
        <v>303</v>
      </c>
      <c r="BO1350" s="326"/>
      <c r="BP1350" s="326"/>
      <c r="BQ1350" s="326"/>
      <c r="BR1350" s="326"/>
      <c r="BS1350" s="326"/>
      <c r="BT1350" s="326"/>
      <c r="BU1350" s="326"/>
      <c r="BV1350" s="327"/>
    </row>
    <row r="1351" spans="1:74" ht="45" customHeight="1" x14ac:dyDescent="0.25">
      <c r="A1351" s="10">
        <f t="shared" si="5"/>
        <v>1337</v>
      </c>
      <c r="B1351" s="559" t="s">
        <v>303</v>
      </c>
      <c r="C1351" s="327"/>
      <c r="D1351" s="560" t="s">
        <v>307</v>
      </c>
      <c r="E1351" s="327"/>
      <c r="F1351" s="537" t="s">
        <v>334</v>
      </c>
      <c r="G1351" s="327"/>
      <c r="H1351" s="566" t="s">
        <v>334</v>
      </c>
      <c r="I1351" s="327"/>
      <c r="J1351" s="567"/>
      <c r="K1351" s="327"/>
      <c r="L1351" s="567"/>
      <c r="M1351" s="327"/>
      <c r="N1351" s="23"/>
      <c r="O1351" s="24"/>
      <c r="P1351" s="563"/>
      <c r="Q1351" s="327"/>
      <c r="R1351" s="538"/>
      <c r="S1351" s="327"/>
      <c r="T1351" s="539"/>
      <c r="U1351" s="327"/>
      <c r="V1351" s="540"/>
      <c r="W1351" s="327"/>
      <c r="X1351" s="541" t="s">
        <v>303</v>
      </c>
      <c r="Y1351" s="326"/>
      <c r="Z1351" s="326"/>
      <c r="AA1351" s="327"/>
      <c r="AB1351" s="542" t="s">
        <v>303</v>
      </c>
      <c r="AC1351" s="326"/>
      <c r="AD1351" s="326"/>
      <c r="AE1351" s="327"/>
      <c r="AF1351" s="543"/>
      <c r="AG1351" s="327"/>
      <c r="AH1351" s="543"/>
      <c r="AI1351" s="327"/>
      <c r="AJ1351" s="536"/>
      <c r="AK1351" s="327"/>
      <c r="AL1351" s="537" t="s">
        <v>334</v>
      </c>
      <c r="AM1351" s="327"/>
      <c r="AN1351" s="546" t="s">
        <v>334</v>
      </c>
      <c r="AO1351" s="327"/>
      <c r="AP1351" s="547"/>
      <c r="AQ1351" s="327"/>
      <c r="AR1351" s="548"/>
      <c r="AS1351" s="327"/>
      <c r="AT1351" s="549"/>
      <c r="AU1351" s="327"/>
      <c r="AV1351" s="546" t="s">
        <v>334</v>
      </c>
      <c r="AW1351" s="327"/>
      <c r="AX1351" s="521"/>
      <c r="AY1351" s="326"/>
      <c r="AZ1351" s="327"/>
      <c r="BA1351" s="550"/>
      <c r="BB1351" s="327"/>
      <c r="BC1351" s="25"/>
      <c r="BD1351" s="551" t="s">
        <v>334</v>
      </c>
      <c r="BE1351" s="327"/>
      <c r="BF1351" s="545"/>
      <c r="BG1351" s="326"/>
      <c r="BH1351" s="326"/>
      <c r="BI1351" s="327"/>
      <c r="BJ1351" s="557" t="s">
        <v>303</v>
      </c>
      <c r="BK1351" s="326"/>
      <c r="BL1351" s="326"/>
      <c r="BM1351" s="327"/>
      <c r="BN1351" s="558" t="s">
        <v>303</v>
      </c>
      <c r="BO1351" s="326"/>
      <c r="BP1351" s="326"/>
      <c r="BQ1351" s="326"/>
      <c r="BR1351" s="326"/>
      <c r="BS1351" s="326"/>
      <c r="BT1351" s="326"/>
      <c r="BU1351" s="326"/>
      <c r="BV1351" s="327"/>
    </row>
    <row r="1352" spans="1:74" ht="45" customHeight="1" x14ac:dyDescent="0.25">
      <c r="A1352" s="10">
        <f t="shared" si="5"/>
        <v>1338</v>
      </c>
      <c r="B1352" s="564" t="s">
        <v>303</v>
      </c>
      <c r="C1352" s="327"/>
      <c r="D1352" s="565" t="s">
        <v>307</v>
      </c>
      <c r="E1352" s="327"/>
      <c r="F1352" s="537" t="s">
        <v>334</v>
      </c>
      <c r="G1352" s="327"/>
      <c r="H1352" s="561" t="s">
        <v>334</v>
      </c>
      <c r="I1352" s="327"/>
      <c r="J1352" s="562"/>
      <c r="K1352" s="327"/>
      <c r="L1352" s="562"/>
      <c r="M1352" s="327"/>
      <c r="N1352" s="20"/>
      <c r="O1352" s="21"/>
      <c r="P1352" s="524"/>
      <c r="Q1352" s="327"/>
      <c r="R1352" s="516"/>
      <c r="S1352" s="327"/>
      <c r="T1352" s="517"/>
      <c r="U1352" s="327"/>
      <c r="V1352" s="518"/>
      <c r="W1352" s="327"/>
      <c r="X1352" s="438" t="s">
        <v>303</v>
      </c>
      <c r="Y1352" s="326"/>
      <c r="Z1352" s="326"/>
      <c r="AA1352" s="327"/>
      <c r="AB1352" s="519" t="s">
        <v>303</v>
      </c>
      <c r="AC1352" s="326"/>
      <c r="AD1352" s="326"/>
      <c r="AE1352" s="327"/>
      <c r="AF1352" s="520"/>
      <c r="AG1352" s="327"/>
      <c r="AH1352" s="520"/>
      <c r="AI1352" s="327"/>
      <c r="AJ1352" s="536"/>
      <c r="AK1352" s="327"/>
      <c r="AL1352" s="556" t="s">
        <v>334</v>
      </c>
      <c r="AM1352" s="327"/>
      <c r="AN1352" s="553" t="s">
        <v>334</v>
      </c>
      <c r="AO1352" s="327"/>
      <c r="AP1352" s="554"/>
      <c r="AQ1352" s="327"/>
      <c r="AR1352" s="555"/>
      <c r="AS1352" s="327"/>
      <c r="AT1352" s="549"/>
      <c r="AU1352" s="327"/>
      <c r="AV1352" s="553" t="s">
        <v>334</v>
      </c>
      <c r="AW1352" s="327"/>
      <c r="AX1352" s="521"/>
      <c r="AY1352" s="326"/>
      <c r="AZ1352" s="327"/>
      <c r="BA1352" s="536"/>
      <c r="BB1352" s="327"/>
      <c r="BC1352" s="22"/>
      <c r="BD1352" s="544" t="s">
        <v>334</v>
      </c>
      <c r="BE1352" s="327"/>
      <c r="BF1352" s="552"/>
      <c r="BG1352" s="326"/>
      <c r="BH1352" s="326"/>
      <c r="BI1352" s="327"/>
      <c r="BJ1352" s="451" t="s">
        <v>303</v>
      </c>
      <c r="BK1352" s="326"/>
      <c r="BL1352" s="326"/>
      <c r="BM1352" s="327"/>
      <c r="BN1352" s="558" t="s">
        <v>303</v>
      </c>
      <c r="BO1352" s="326"/>
      <c r="BP1352" s="326"/>
      <c r="BQ1352" s="326"/>
      <c r="BR1352" s="326"/>
      <c r="BS1352" s="326"/>
      <c r="BT1352" s="326"/>
      <c r="BU1352" s="326"/>
      <c r="BV1352" s="327"/>
    </row>
    <row r="1353" spans="1:74" ht="45" customHeight="1" x14ac:dyDescent="0.25">
      <c r="A1353" s="10">
        <f t="shared" si="5"/>
        <v>1339</v>
      </c>
      <c r="B1353" s="559" t="s">
        <v>303</v>
      </c>
      <c r="C1353" s="327"/>
      <c r="D1353" s="560" t="s">
        <v>307</v>
      </c>
      <c r="E1353" s="327"/>
      <c r="F1353" s="537" t="s">
        <v>334</v>
      </c>
      <c r="G1353" s="327"/>
      <c r="H1353" s="566" t="s">
        <v>334</v>
      </c>
      <c r="I1353" s="327"/>
      <c r="J1353" s="567"/>
      <c r="K1353" s="327"/>
      <c r="L1353" s="567"/>
      <c r="M1353" s="327"/>
      <c r="N1353" s="23"/>
      <c r="O1353" s="24"/>
      <c r="P1353" s="563"/>
      <c r="Q1353" s="327"/>
      <c r="R1353" s="538"/>
      <c r="S1353" s="327"/>
      <c r="T1353" s="539"/>
      <c r="U1353" s="327"/>
      <c r="V1353" s="540"/>
      <c r="W1353" s="327"/>
      <c r="X1353" s="541" t="s">
        <v>303</v>
      </c>
      <c r="Y1353" s="326"/>
      <c r="Z1353" s="326"/>
      <c r="AA1353" s="327"/>
      <c r="AB1353" s="542" t="s">
        <v>303</v>
      </c>
      <c r="AC1353" s="326"/>
      <c r="AD1353" s="326"/>
      <c r="AE1353" s="327"/>
      <c r="AF1353" s="543"/>
      <c r="AG1353" s="327"/>
      <c r="AH1353" s="543"/>
      <c r="AI1353" s="327"/>
      <c r="AJ1353" s="536"/>
      <c r="AK1353" s="327"/>
      <c r="AL1353" s="537" t="s">
        <v>334</v>
      </c>
      <c r="AM1353" s="327"/>
      <c r="AN1353" s="546" t="s">
        <v>334</v>
      </c>
      <c r="AO1353" s="327"/>
      <c r="AP1353" s="547"/>
      <c r="AQ1353" s="327"/>
      <c r="AR1353" s="548"/>
      <c r="AS1353" s="327"/>
      <c r="AT1353" s="549"/>
      <c r="AU1353" s="327"/>
      <c r="AV1353" s="546" t="s">
        <v>334</v>
      </c>
      <c r="AW1353" s="327"/>
      <c r="AX1353" s="521"/>
      <c r="AY1353" s="326"/>
      <c r="AZ1353" s="327"/>
      <c r="BA1353" s="550"/>
      <c r="BB1353" s="327"/>
      <c r="BC1353" s="25"/>
      <c r="BD1353" s="551" t="s">
        <v>334</v>
      </c>
      <c r="BE1353" s="327"/>
      <c r="BF1353" s="545"/>
      <c r="BG1353" s="326"/>
      <c r="BH1353" s="326"/>
      <c r="BI1353" s="327"/>
      <c r="BJ1353" s="557" t="s">
        <v>303</v>
      </c>
      <c r="BK1353" s="326"/>
      <c r="BL1353" s="326"/>
      <c r="BM1353" s="327"/>
      <c r="BN1353" s="558" t="s">
        <v>303</v>
      </c>
      <c r="BO1353" s="326"/>
      <c r="BP1353" s="326"/>
      <c r="BQ1353" s="326"/>
      <c r="BR1353" s="326"/>
      <c r="BS1353" s="326"/>
      <c r="BT1353" s="326"/>
      <c r="BU1353" s="326"/>
      <c r="BV1353" s="327"/>
    </row>
    <row r="1354" spans="1:74" ht="45" customHeight="1" x14ac:dyDescent="0.25">
      <c r="A1354" s="10">
        <f t="shared" si="5"/>
        <v>1340</v>
      </c>
      <c r="B1354" s="564" t="s">
        <v>303</v>
      </c>
      <c r="C1354" s="327"/>
      <c r="D1354" s="565" t="s">
        <v>307</v>
      </c>
      <c r="E1354" s="327"/>
      <c r="F1354" s="537" t="s">
        <v>334</v>
      </c>
      <c r="G1354" s="327"/>
      <c r="H1354" s="561" t="s">
        <v>334</v>
      </c>
      <c r="I1354" s="327"/>
      <c r="J1354" s="562"/>
      <c r="K1354" s="327"/>
      <c r="L1354" s="562"/>
      <c r="M1354" s="327"/>
      <c r="N1354" s="20"/>
      <c r="O1354" s="21"/>
      <c r="P1354" s="524"/>
      <c r="Q1354" s="327"/>
      <c r="R1354" s="516"/>
      <c r="S1354" s="327"/>
      <c r="T1354" s="517"/>
      <c r="U1354" s="327"/>
      <c r="V1354" s="518"/>
      <c r="W1354" s="327"/>
      <c r="X1354" s="438" t="s">
        <v>303</v>
      </c>
      <c r="Y1354" s="326"/>
      <c r="Z1354" s="326"/>
      <c r="AA1354" s="327"/>
      <c r="AB1354" s="519" t="s">
        <v>303</v>
      </c>
      <c r="AC1354" s="326"/>
      <c r="AD1354" s="326"/>
      <c r="AE1354" s="327"/>
      <c r="AF1354" s="520"/>
      <c r="AG1354" s="327"/>
      <c r="AH1354" s="520"/>
      <c r="AI1354" s="327"/>
      <c r="AJ1354" s="536"/>
      <c r="AK1354" s="327"/>
      <c r="AL1354" s="556" t="s">
        <v>334</v>
      </c>
      <c r="AM1354" s="327"/>
      <c r="AN1354" s="553" t="s">
        <v>334</v>
      </c>
      <c r="AO1354" s="327"/>
      <c r="AP1354" s="554"/>
      <c r="AQ1354" s="327"/>
      <c r="AR1354" s="555"/>
      <c r="AS1354" s="327"/>
      <c r="AT1354" s="549"/>
      <c r="AU1354" s="327"/>
      <c r="AV1354" s="553" t="s">
        <v>334</v>
      </c>
      <c r="AW1354" s="327"/>
      <c r="AX1354" s="521"/>
      <c r="AY1354" s="326"/>
      <c r="AZ1354" s="327"/>
      <c r="BA1354" s="536"/>
      <c r="BB1354" s="327"/>
      <c r="BC1354" s="22"/>
      <c r="BD1354" s="551" t="s">
        <v>334</v>
      </c>
      <c r="BE1354" s="327"/>
      <c r="BF1354" s="552"/>
      <c r="BG1354" s="326"/>
      <c r="BH1354" s="326"/>
      <c r="BI1354" s="327"/>
      <c r="BJ1354" s="451" t="s">
        <v>303</v>
      </c>
      <c r="BK1354" s="326"/>
      <c r="BL1354" s="326"/>
      <c r="BM1354" s="327"/>
      <c r="BN1354" s="558" t="s">
        <v>303</v>
      </c>
      <c r="BO1354" s="326"/>
      <c r="BP1354" s="326"/>
      <c r="BQ1354" s="326"/>
      <c r="BR1354" s="326"/>
      <c r="BS1354" s="326"/>
      <c r="BT1354" s="326"/>
      <c r="BU1354" s="326"/>
      <c r="BV1354" s="327"/>
    </row>
    <row r="1355" spans="1:74" ht="45" customHeight="1" x14ac:dyDescent="0.25">
      <c r="A1355" s="10">
        <f t="shared" si="5"/>
        <v>1341</v>
      </c>
      <c r="B1355" s="559" t="s">
        <v>303</v>
      </c>
      <c r="C1355" s="327"/>
      <c r="D1355" s="560" t="s">
        <v>307</v>
      </c>
      <c r="E1355" s="327"/>
      <c r="F1355" s="537" t="s">
        <v>334</v>
      </c>
      <c r="G1355" s="327"/>
      <c r="H1355" s="566" t="s">
        <v>334</v>
      </c>
      <c r="I1355" s="327"/>
      <c r="J1355" s="567"/>
      <c r="K1355" s="327"/>
      <c r="L1355" s="567"/>
      <c r="M1355" s="327"/>
      <c r="N1355" s="23"/>
      <c r="O1355" s="24"/>
      <c r="P1355" s="563"/>
      <c r="Q1355" s="327"/>
      <c r="R1355" s="538"/>
      <c r="S1355" s="327"/>
      <c r="T1355" s="539"/>
      <c r="U1355" s="327"/>
      <c r="V1355" s="540"/>
      <c r="W1355" s="327"/>
      <c r="X1355" s="541" t="s">
        <v>303</v>
      </c>
      <c r="Y1355" s="326"/>
      <c r="Z1355" s="326"/>
      <c r="AA1355" s="327"/>
      <c r="AB1355" s="542" t="s">
        <v>303</v>
      </c>
      <c r="AC1355" s="326"/>
      <c r="AD1355" s="326"/>
      <c r="AE1355" s="327"/>
      <c r="AF1355" s="543"/>
      <c r="AG1355" s="327"/>
      <c r="AH1355" s="543"/>
      <c r="AI1355" s="327"/>
      <c r="AJ1355" s="536"/>
      <c r="AK1355" s="327"/>
      <c r="AL1355" s="537" t="s">
        <v>334</v>
      </c>
      <c r="AM1355" s="327"/>
      <c r="AN1355" s="546" t="s">
        <v>334</v>
      </c>
      <c r="AO1355" s="327"/>
      <c r="AP1355" s="547"/>
      <c r="AQ1355" s="327"/>
      <c r="AR1355" s="548"/>
      <c r="AS1355" s="327"/>
      <c r="AT1355" s="568"/>
      <c r="AU1355" s="327"/>
      <c r="AV1355" s="546" t="s">
        <v>334</v>
      </c>
      <c r="AW1355" s="327"/>
      <c r="AX1355" s="521"/>
      <c r="AY1355" s="326"/>
      <c r="AZ1355" s="327"/>
      <c r="BA1355" s="550"/>
      <c r="BB1355" s="327"/>
      <c r="BC1355" s="25"/>
      <c r="BD1355" s="544" t="s">
        <v>334</v>
      </c>
      <c r="BE1355" s="327"/>
      <c r="BF1355" s="545"/>
      <c r="BG1355" s="326"/>
      <c r="BH1355" s="326"/>
      <c r="BI1355" s="327"/>
      <c r="BJ1355" s="557" t="s">
        <v>303</v>
      </c>
      <c r="BK1355" s="326"/>
      <c r="BL1355" s="326"/>
      <c r="BM1355" s="327"/>
      <c r="BN1355" s="558" t="s">
        <v>303</v>
      </c>
      <c r="BO1355" s="326"/>
      <c r="BP1355" s="326"/>
      <c r="BQ1355" s="326"/>
      <c r="BR1355" s="326"/>
      <c r="BS1355" s="326"/>
      <c r="BT1355" s="326"/>
      <c r="BU1355" s="326"/>
      <c r="BV1355" s="327"/>
    </row>
    <row r="1356" spans="1:74" ht="45" customHeight="1" x14ac:dyDescent="0.25">
      <c r="A1356" s="10">
        <f t="shared" si="5"/>
        <v>1342</v>
      </c>
      <c r="B1356" s="564" t="s">
        <v>303</v>
      </c>
      <c r="C1356" s="327"/>
      <c r="D1356" s="565" t="s">
        <v>307</v>
      </c>
      <c r="E1356" s="327"/>
      <c r="F1356" s="537" t="s">
        <v>334</v>
      </c>
      <c r="G1356" s="327"/>
      <c r="H1356" s="561" t="s">
        <v>334</v>
      </c>
      <c r="I1356" s="327"/>
      <c r="J1356" s="562"/>
      <c r="K1356" s="327"/>
      <c r="L1356" s="562"/>
      <c r="M1356" s="327"/>
      <c r="N1356" s="20"/>
      <c r="O1356" s="21"/>
      <c r="P1356" s="524"/>
      <c r="Q1356" s="327"/>
      <c r="R1356" s="516"/>
      <c r="S1356" s="327"/>
      <c r="T1356" s="517"/>
      <c r="U1356" s="327"/>
      <c r="V1356" s="518"/>
      <c r="W1356" s="327"/>
      <c r="X1356" s="438" t="s">
        <v>303</v>
      </c>
      <c r="Y1356" s="326"/>
      <c r="Z1356" s="326"/>
      <c r="AA1356" s="327"/>
      <c r="AB1356" s="519" t="s">
        <v>303</v>
      </c>
      <c r="AC1356" s="326"/>
      <c r="AD1356" s="326"/>
      <c r="AE1356" s="327"/>
      <c r="AF1356" s="520"/>
      <c r="AG1356" s="327"/>
      <c r="AH1356" s="520"/>
      <c r="AI1356" s="327"/>
      <c r="AJ1356" s="536"/>
      <c r="AK1356" s="327"/>
      <c r="AL1356" s="556" t="s">
        <v>334</v>
      </c>
      <c r="AM1356" s="327"/>
      <c r="AN1356" s="553" t="s">
        <v>334</v>
      </c>
      <c r="AO1356" s="327"/>
      <c r="AP1356" s="554"/>
      <c r="AQ1356" s="327"/>
      <c r="AR1356" s="555"/>
      <c r="AS1356" s="327"/>
      <c r="AT1356" s="549"/>
      <c r="AU1356" s="327"/>
      <c r="AV1356" s="553" t="s">
        <v>334</v>
      </c>
      <c r="AW1356" s="327"/>
      <c r="AX1356" s="521"/>
      <c r="AY1356" s="326"/>
      <c r="AZ1356" s="327"/>
      <c r="BA1356" s="536"/>
      <c r="BB1356" s="327"/>
      <c r="BC1356" s="22"/>
      <c r="BD1356" s="551" t="s">
        <v>334</v>
      </c>
      <c r="BE1356" s="327"/>
      <c r="BF1356" s="508"/>
      <c r="BG1356" s="326"/>
      <c r="BH1356" s="326"/>
      <c r="BI1356" s="327"/>
      <c r="BJ1356" s="451" t="s">
        <v>303</v>
      </c>
      <c r="BK1356" s="326"/>
      <c r="BL1356" s="326"/>
      <c r="BM1356" s="327"/>
      <c r="BN1356" s="558" t="s">
        <v>303</v>
      </c>
      <c r="BO1356" s="326"/>
      <c r="BP1356" s="326"/>
      <c r="BQ1356" s="326"/>
      <c r="BR1356" s="326"/>
      <c r="BS1356" s="326"/>
      <c r="BT1356" s="326"/>
      <c r="BU1356" s="326"/>
      <c r="BV1356" s="327"/>
    </row>
    <row r="1357" spans="1:74" ht="45" customHeight="1" x14ac:dyDescent="0.25">
      <c r="A1357" s="10">
        <f t="shared" si="5"/>
        <v>1343</v>
      </c>
      <c r="B1357" s="559" t="s">
        <v>303</v>
      </c>
      <c r="C1357" s="327"/>
      <c r="D1357" s="560" t="s">
        <v>307</v>
      </c>
      <c r="E1357" s="327"/>
      <c r="F1357" s="537" t="s">
        <v>334</v>
      </c>
      <c r="G1357" s="327"/>
      <c r="H1357" s="566" t="s">
        <v>334</v>
      </c>
      <c r="I1357" s="327"/>
      <c r="J1357" s="567"/>
      <c r="K1357" s="327"/>
      <c r="L1357" s="567"/>
      <c r="M1357" s="327"/>
      <c r="N1357" s="23"/>
      <c r="O1357" s="24"/>
      <c r="P1357" s="563"/>
      <c r="Q1357" s="327"/>
      <c r="R1357" s="538"/>
      <c r="S1357" s="327"/>
      <c r="T1357" s="539"/>
      <c r="U1357" s="327"/>
      <c r="V1357" s="540"/>
      <c r="W1357" s="327"/>
      <c r="X1357" s="541" t="s">
        <v>303</v>
      </c>
      <c r="Y1357" s="326"/>
      <c r="Z1357" s="326"/>
      <c r="AA1357" s="327"/>
      <c r="AB1357" s="542" t="s">
        <v>303</v>
      </c>
      <c r="AC1357" s="326"/>
      <c r="AD1357" s="326"/>
      <c r="AE1357" s="327"/>
      <c r="AF1357" s="543"/>
      <c r="AG1357" s="327"/>
      <c r="AH1357" s="543"/>
      <c r="AI1357" s="327"/>
      <c r="AJ1357" s="536"/>
      <c r="AK1357" s="327"/>
      <c r="AL1357" s="537" t="s">
        <v>334</v>
      </c>
      <c r="AM1357" s="327"/>
      <c r="AN1357" s="546" t="s">
        <v>334</v>
      </c>
      <c r="AO1357" s="327"/>
      <c r="AP1357" s="547"/>
      <c r="AQ1357" s="327"/>
      <c r="AR1357" s="548"/>
      <c r="AS1357" s="327"/>
      <c r="AT1357" s="568"/>
      <c r="AU1357" s="327"/>
      <c r="AV1357" s="546" t="s">
        <v>334</v>
      </c>
      <c r="AW1357" s="327"/>
      <c r="AX1357" s="521"/>
      <c r="AY1357" s="326"/>
      <c r="AZ1357" s="327"/>
      <c r="BA1357" s="550"/>
      <c r="BB1357" s="327"/>
      <c r="BC1357" s="25"/>
      <c r="BD1357" s="544" t="s">
        <v>334</v>
      </c>
      <c r="BE1357" s="327"/>
      <c r="BF1357" s="545"/>
      <c r="BG1357" s="326"/>
      <c r="BH1357" s="326"/>
      <c r="BI1357" s="327"/>
      <c r="BJ1357" s="557" t="s">
        <v>303</v>
      </c>
      <c r="BK1357" s="326"/>
      <c r="BL1357" s="326"/>
      <c r="BM1357" s="327"/>
      <c r="BN1357" s="558" t="s">
        <v>303</v>
      </c>
      <c r="BO1357" s="326"/>
      <c r="BP1357" s="326"/>
      <c r="BQ1357" s="326"/>
      <c r="BR1357" s="326"/>
      <c r="BS1357" s="326"/>
      <c r="BT1357" s="326"/>
      <c r="BU1357" s="326"/>
      <c r="BV1357" s="327"/>
    </row>
    <row r="1358" spans="1:74" ht="45" customHeight="1" x14ac:dyDescent="0.25">
      <c r="A1358" s="10">
        <f t="shared" si="5"/>
        <v>1344</v>
      </c>
      <c r="B1358" s="564" t="s">
        <v>303</v>
      </c>
      <c r="C1358" s="327"/>
      <c r="D1358" s="565" t="s">
        <v>307</v>
      </c>
      <c r="E1358" s="327"/>
      <c r="F1358" s="537" t="s">
        <v>334</v>
      </c>
      <c r="G1358" s="327"/>
      <c r="H1358" s="561" t="s">
        <v>334</v>
      </c>
      <c r="I1358" s="327"/>
      <c r="J1358" s="562"/>
      <c r="K1358" s="327"/>
      <c r="L1358" s="562"/>
      <c r="M1358" s="327"/>
      <c r="N1358" s="20"/>
      <c r="O1358" s="21"/>
      <c r="P1358" s="524"/>
      <c r="Q1358" s="327"/>
      <c r="R1358" s="516"/>
      <c r="S1358" s="327"/>
      <c r="T1358" s="517"/>
      <c r="U1358" s="327"/>
      <c r="V1358" s="518"/>
      <c r="W1358" s="327"/>
      <c r="X1358" s="438" t="s">
        <v>303</v>
      </c>
      <c r="Y1358" s="326"/>
      <c r="Z1358" s="326"/>
      <c r="AA1358" s="327"/>
      <c r="AB1358" s="519" t="s">
        <v>303</v>
      </c>
      <c r="AC1358" s="326"/>
      <c r="AD1358" s="326"/>
      <c r="AE1358" s="327"/>
      <c r="AF1358" s="520"/>
      <c r="AG1358" s="327"/>
      <c r="AH1358" s="520"/>
      <c r="AI1358" s="327"/>
      <c r="AJ1358" s="536"/>
      <c r="AK1358" s="327"/>
      <c r="AL1358" s="556" t="s">
        <v>334</v>
      </c>
      <c r="AM1358" s="327"/>
      <c r="AN1358" s="553" t="s">
        <v>334</v>
      </c>
      <c r="AO1358" s="327"/>
      <c r="AP1358" s="554"/>
      <c r="AQ1358" s="327"/>
      <c r="AR1358" s="555"/>
      <c r="AS1358" s="327"/>
      <c r="AT1358" s="549"/>
      <c r="AU1358" s="327"/>
      <c r="AV1358" s="553" t="s">
        <v>334</v>
      </c>
      <c r="AW1358" s="327"/>
      <c r="AX1358" s="521"/>
      <c r="AY1358" s="326"/>
      <c r="AZ1358" s="327"/>
      <c r="BA1358" s="536"/>
      <c r="BB1358" s="327"/>
      <c r="BC1358" s="22"/>
      <c r="BD1358" s="551" t="s">
        <v>334</v>
      </c>
      <c r="BE1358" s="327"/>
      <c r="BF1358" s="552"/>
      <c r="BG1358" s="326"/>
      <c r="BH1358" s="326"/>
      <c r="BI1358" s="327"/>
      <c r="BJ1358" s="451" t="s">
        <v>303</v>
      </c>
      <c r="BK1358" s="326"/>
      <c r="BL1358" s="326"/>
      <c r="BM1358" s="327"/>
      <c r="BN1358" s="558" t="s">
        <v>303</v>
      </c>
      <c r="BO1358" s="326"/>
      <c r="BP1358" s="326"/>
      <c r="BQ1358" s="326"/>
      <c r="BR1358" s="326"/>
      <c r="BS1358" s="326"/>
      <c r="BT1358" s="326"/>
      <c r="BU1358" s="326"/>
      <c r="BV1358" s="327"/>
    </row>
    <row r="1359" spans="1:74" ht="45" customHeight="1" x14ac:dyDescent="0.25">
      <c r="A1359" s="10">
        <f t="shared" si="5"/>
        <v>1345</v>
      </c>
      <c r="B1359" s="559" t="s">
        <v>303</v>
      </c>
      <c r="C1359" s="327"/>
      <c r="D1359" s="560" t="s">
        <v>307</v>
      </c>
      <c r="E1359" s="327"/>
      <c r="F1359" s="537" t="s">
        <v>334</v>
      </c>
      <c r="G1359" s="327"/>
      <c r="H1359" s="566" t="s">
        <v>334</v>
      </c>
      <c r="I1359" s="327"/>
      <c r="J1359" s="567"/>
      <c r="K1359" s="327"/>
      <c r="L1359" s="567"/>
      <c r="M1359" s="327"/>
      <c r="N1359" s="23"/>
      <c r="O1359" s="24"/>
      <c r="P1359" s="563"/>
      <c r="Q1359" s="327"/>
      <c r="R1359" s="538"/>
      <c r="S1359" s="327"/>
      <c r="T1359" s="539"/>
      <c r="U1359" s="327"/>
      <c r="V1359" s="540"/>
      <c r="W1359" s="327"/>
      <c r="X1359" s="541" t="s">
        <v>303</v>
      </c>
      <c r="Y1359" s="326"/>
      <c r="Z1359" s="326"/>
      <c r="AA1359" s="327"/>
      <c r="AB1359" s="542" t="s">
        <v>303</v>
      </c>
      <c r="AC1359" s="326"/>
      <c r="AD1359" s="326"/>
      <c r="AE1359" s="327"/>
      <c r="AF1359" s="543"/>
      <c r="AG1359" s="327"/>
      <c r="AH1359" s="543"/>
      <c r="AI1359" s="327"/>
      <c r="AJ1359" s="536"/>
      <c r="AK1359" s="327"/>
      <c r="AL1359" s="537" t="s">
        <v>334</v>
      </c>
      <c r="AM1359" s="327"/>
      <c r="AN1359" s="546" t="s">
        <v>334</v>
      </c>
      <c r="AO1359" s="327"/>
      <c r="AP1359" s="547"/>
      <c r="AQ1359" s="327"/>
      <c r="AR1359" s="548"/>
      <c r="AS1359" s="327"/>
      <c r="AT1359" s="568"/>
      <c r="AU1359" s="327"/>
      <c r="AV1359" s="546" t="s">
        <v>334</v>
      </c>
      <c r="AW1359" s="327"/>
      <c r="AX1359" s="521"/>
      <c r="AY1359" s="326"/>
      <c r="AZ1359" s="327"/>
      <c r="BA1359" s="550"/>
      <c r="BB1359" s="327"/>
      <c r="BC1359" s="25"/>
      <c r="BD1359" s="544" t="s">
        <v>334</v>
      </c>
      <c r="BE1359" s="327"/>
      <c r="BF1359" s="545"/>
      <c r="BG1359" s="326"/>
      <c r="BH1359" s="326"/>
      <c r="BI1359" s="327"/>
      <c r="BJ1359" s="557" t="s">
        <v>303</v>
      </c>
      <c r="BK1359" s="326"/>
      <c r="BL1359" s="326"/>
      <c r="BM1359" s="327"/>
      <c r="BN1359" s="558" t="s">
        <v>303</v>
      </c>
      <c r="BO1359" s="326"/>
      <c r="BP1359" s="326"/>
      <c r="BQ1359" s="326"/>
      <c r="BR1359" s="326"/>
      <c r="BS1359" s="326"/>
      <c r="BT1359" s="326"/>
      <c r="BU1359" s="326"/>
      <c r="BV1359" s="327"/>
    </row>
    <row r="1360" spans="1:74" ht="45" customHeight="1" x14ac:dyDescent="0.25">
      <c r="A1360" s="10">
        <f t="shared" si="5"/>
        <v>1346</v>
      </c>
      <c r="B1360" s="564" t="s">
        <v>303</v>
      </c>
      <c r="C1360" s="327"/>
      <c r="D1360" s="565" t="s">
        <v>307</v>
      </c>
      <c r="E1360" s="327"/>
      <c r="F1360" s="537" t="s">
        <v>334</v>
      </c>
      <c r="G1360" s="327"/>
      <c r="H1360" s="561" t="s">
        <v>334</v>
      </c>
      <c r="I1360" s="327"/>
      <c r="J1360" s="562"/>
      <c r="K1360" s="327"/>
      <c r="L1360" s="562"/>
      <c r="M1360" s="327"/>
      <c r="N1360" s="20"/>
      <c r="O1360" s="21"/>
      <c r="P1360" s="524"/>
      <c r="Q1360" s="327"/>
      <c r="R1360" s="516"/>
      <c r="S1360" s="327"/>
      <c r="T1360" s="517"/>
      <c r="U1360" s="327"/>
      <c r="V1360" s="518"/>
      <c r="W1360" s="327"/>
      <c r="X1360" s="438" t="s">
        <v>303</v>
      </c>
      <c r="Y1360" s="326"/>
      <c r="Z1360" s="326"/>
      <c r="AA1360" s="327"/>
      <c r="AB1360" s="519" t="s">
        <v>303</v>
      </c>
      <c r="AC1360" s="326"/>
      <c r="AD1360" s="326"/>
      <c r="AE1360" s="327"/>
      <c r="AF1360" s="520"/>
      <c r="AG1360" s="327"/>
      <c r="AH1360" s="520"/>
      <c r="AI1360" s="327"/>
      <c r="AJ1360" s="536"/>
      <c r="AK1360" s="327"/>
      <c r="AL1360" s="556" t="s">
        <v>334</v>
      </c>
      <c r="AM1360" s="327"/>
      <c r="AN1360" s="553" t="s">
        <v>334</v>
      </c>
      <c r="AO1360" s="327"/>
      <c r="AP1360" s="554"/>
      <c r="AQ1360" s="327"/>
      <c r="AR1360" s="555"/>
      <c r="AS1360" s="327"/>
      <c r="AT1360" s="549"/>
      <c r="AU1360" s="327"/>
      <c r="AV1360" s="553" t="s">
        <v>334</v>
      </c>
      <c r="AW1360" s="327"/>
      <c r="AX1360" s="521"/>
      <c r="AY1360" s="326"/>
      <c r="AZ1360" s="327"/>
      <c r="BA1360" s="536"/>
      <c r="BB1360" s="327"/>
      <c r="BC1360" s="22"/>
      <c r="BD1360" s="551" t="s">
        <v>334</v>
      </c>
      <c r="BE1360" s="327"/>
      <c r="BF1360" s="552"/>
      <c r="BG1360" s="326"/>
      <c r="BH1360" s="326"/>
      <c r="BI1360" s="327"/>
      <c r="BJ1360" s="451" t="s">
        <v>303</v>
      </c>
      <c r="BK1360" s="326"/>
      <c r="BL1360" s="326"/>
      <c r="BM1360" s="327"/>
      <c r="BN1360" s="558" t="s">
        <v>303</v>
      </c>
      <c r="BO1360" s="326"/>
      <c r="BP1360" s="326"/>
      <c r="BQ1360" s="326"/>
      <c r="BR1360" s="326"/>
      <c r="BS1360" s="326"/>
      <c r="BT1360" s="326"/>
      <c r="BU1360" s="326"/>
      <c r="BV1360" s="327"/>
    </row>
    <row r="1361" spans="1:74" ht="45" customHeight="1" x14ac:dyDescent="0.25">
      <c r="A1361" s="10">
        <f t="shared" si="5"/>
        <v>1347</v>
      </c>
      <c r="B1361" s="559" t="s">
        <v>303</v>
      </c>
      <c r="C1361" s="327"/>
      <c r="D1361" s="560" t="s">
        <v>307</v>
      </c>
      <c r="E1361" s="327"/>
      <c r="F1361" s="537" t="s">
        <v>334</v>
      </c>
      <c r="G1361" s="327"/>
      <c r="H1361" s="566" t="s">
        <v>334</v>
      </c>
      <c r="I1361" s="327"/>
      <c r="J1361" s="567"/>
      <c r="K1361" s="327"/>
      <c r="L1361" s="567"/>
      <c r="M1361" s="327"/>
      <c r="N1361" s="23"/>
      <c r="O1361" s="24"/>
      <c r="P1361" s="563"/>
      <c r="Q1361" s="327"/>
      <c r="R1361" s="538"/>
      <c r="S1361" s="327"/>
      <c r="T1361" s="539"/>
      <c r="U1361" s="327"/>
      <c r="V1361" s="540"/>
      <c r="W1361" s="327"/>
      <c r="X1361" s="541" t="s">
        <v>303</v>
      </c>
      <c r="Y1361" s="326"/>
      <c r="Z1361" s="326"/>
      <c r="AA1361" s="327"/>
      <c r="AB1361" s="542" t="s">
        <v>303</v>
      </c>
      <c r="AC1361" s="326"/>
      <c r="AD1361" s="326"/>
      <c r="AE1361" s="327"/>
      <c r="AF1361" s="543"/>
      <c r="AG1361" s="327"/>
      <c r="AH1361" s="543"/>
      <c r="AI1361" s="327"/>
      <c r="AJ1361" s="536"/>
      <c r="AK1361" s="327"/>
      <c r="AL1361" s="537" t="s">
        <v>334</v>
      </c>
      <c r="AM1361" s="327"/>
      <c r="AN1361" s="546" t="s">
        <v>334</v>
      </c>
      <c r="AO1361" s="327"/>
      <c r="AP1361" s="547"/>
      <c r="AQ1361" s="327"/>
      <c r="AR1361" s="548"/>
      <c r="AS1361" s="327"/>
      <c r="AT1361" s="568"/>
      <c r="AU1361" s="327"/>
      <c r="AV1361" s="546" t="s">
        <v>334</v>
      </c>
      <c r="AW1361" s="327"/>
      <c r="AX1361" s="521"/>
      <c r="AY1361" s="326"/>
      <c r="AZ1361" s="327"/>
      <c r="BA1361" s="550"/>
      <c r="BB1361" s="327"/>
      <c r="BC1361" s="25"/>
      <c r="BD1361" s="544" t="s">
        <v>334</v>
      </c>
      <c r="BE1361" s="327"/>
      <c r="BF1361" s="545"/>
      <c r="BG1361" s="326"/>
      <c r="BH1361" s="326"/>
      <c r="BI1361" s="327"/>
      <c r="BJ1361" s="557" t="s">
        <v>303</v>
      </c>
      <c r="BK1361" s="326"/>
      <c r="BL1361" s="326"/>
      <c r="BM1361" s="327"/>
      <c r="BN1361" s="558" t="s">
        <v>303</v>
      </c>
      <c r="BO1361" s="326"/>
      <c r="BP1361" s="326"/>
      <c r="BQ1361" s="326"/>
      <c r="BR1361" s="326"/>
      <c r="BS1361" s="326"/>
      <c r="BT1361" s="326"/>
      <c r="BU1361" s="326"/>
      <c r="BV1361" s="327"/>
    </row>
    <row r="1362" spans="1:74" ht="45" customHeight="1" x14ac:dyDescent="0.25">
      <c r="A1362" s="10">
        <f t="shared" si="5"/>
        <v>1348</v>
      </c>
      <c r="B1362" s="564" t="s">
        <v>303</v>
      </c>
      <c r="C1362" s="327"/>
      <c r="D1362" s="565" t="s">
        <v>307</v>
      </c>
      <c r="E1362" s="327"/>
      <c r="F1362" s="537" t="s">
        <v>334</v>
      </c>
      <c r="G1362" s="327"/>
      <c r="H1362" s="561" t="s">
        <v>334</v>
      </c>
      <c r="I1362" s="327"/>
      <c r="J1362" s="562"/>
      <c r="K1362" s="327"/>
      <c r="L1362" s="562"/>
      <c r="M1362" s="327"/>
      <c r="N1362" s="20"/>
      <c r="O1362" s="21"/>
      <c r="P1362" s="524"/>
      <c r="Q1362" s="327"/>
      <c r="R1362" s="516"/>
      <c r="S1362" s="327"/>
      <c r="T1362" s="517"/>
      <c r="U1362" s="327"/>
      <c r="V1362" s="518"/>
      <c r="W1362" s="327"/>
      <c r="X1362" s="438" t="s">
        <v>303</v>
      </c>
      <c r="Y1362" s="326"/>
      <c r="Z1362" s="326"/>
      <c r="AA1362" s="327"/>
      <c r="AB1362" s="519" t="s">
        <v>303</v>
      </c>
      <c r="AC1362" s="326"/>
      <c r="AD1362" s="326"/>
      <c r="AE1362" s="327"/>
      <c r="AF1362" s="520"/>
      <c r="AG1362" s="327"/>
      <c r="AH1362" s="520"/>
      <c r="AI1362" s="327"/>
      <c r="AJ1362" s="536"/>
      <c r="AK1362" s="327"/>
      <c r="AL1362" s="556" t="s">
        <v>334</v>
      </c>
      <c r="AM1362" s="327"/>
      <c r="AN1362" s="553" t="s">
        <v>334</v>
      </c>
      <c r="AO1362" s="327"/>
      <c r="AP1362" s="554"/>
      <c r="AQ1362" s="327"/>
      <c r="AR1362" s="555"/>
      <c r="AS1362" s="327"/>
      <c r="AT1362" s="549"/>
      <c r="AU1362" s="327"/>
      <c r="AV1362" s="553" t="s">
        <v>334</v>
      </c>
      <c r="AW1362" s="327"/>
      <c r="AX1362" s="521"/>
      <c r="AY1362" s="326"/>
      <c r="AZ1362" s="327"/>
      <c r="BA1362" s="536"/>
      <c r="BB1362" s="327"/>
      <c r="BC1362" s="22"/>
      <c r="BD1362" s="551" t="s">
        <v>334</v>
      </c>
      <c r="BE1362" s="327"/>
      <c r="BF1362" s="508"/>
      <c r="BG1362" s="326"/>
      <c r="BH1362" s="326"/>
      <c r="BI1362" s="327"/>
      <c r="BJ1362" s="451" t="s">
        <v>303</v>
      </c>
      <c r="BK1362" s="326"/>
      <c r="BL1362" s="326"/>
      <c r="BM1362" s="327"/>
      <c r="BN1362" s="558" t="s">
        <v>303</v>
      </c>
      <c r="BO1362" s="326"/>
      <c r="BP1362" s="326"/>
      <c r="BQ1362" s="326"/>
      <c r="BR1362" s="326"/>
      <c r="BS1362" s="326"/>
      <c r="BT1362" s="326"/>
      <c r="BU1362" s="326"/>
      <c r="BV1362" s="327"/>
    </row>
    <row r="1363" spans="1:74" ht="45" customHeight="1" x14ac:dyDescent="0.25">
      <c r="A1363" s="10">
        <f t="shared" si="5"/>
        <v>1349</v>
      </c>
      <c r="B1363" s="559" t="s">
        <v>303</v>
      </c>
      <c r="C1363" s="327"/>
      <c r="D1363" s="560" t="s">
        <v>307</v>
      </c>
      <c r="E1363" s="327"/>
      <c r="F1363" s="537" t="s">
        <v>334</v>
      </c>
      <c r="G1363" s="327"/>
      <c r="H1363" s="566" t="s">
        <v>334</v>
      </c>
      <c r="I1363" s="327"/>
      <c r="J1363" s="567"/>
      <c r="K1363" s="327"/>
      <c r="L1363" s="567"/>
      <c r="M1363" s="327"/>
      <c r="N1363" s="23"/>
      <c r="O1363" s="24"/>
      <c r="P1363" s="563"/>
      <c r="Q1363" s="327"/>
      <c r="R1363" s="538"/>
      <c r="S1363" s="327"/>
      <c r="T1363" s="539"/>
      <c r="U1363" s="327"/>
      <c r="V1363" s="540"/>
      <c r="W1363" s="327"/>
      <c r="X1363" s="541" t="s">
        <v>303</v>
      </c>
      <c r="Y1363" s="326"/>
      <c r="Z1363" s="326"/>
      <c r="AA1363" s="327"/>
      <c r="AB1363" s="542" t="s">
        <v>303</v>
      </c>
      <c r="AC1363" s="326"/>
      <c r="AD1363" s="326"/>
      <c r="AE1363" s="327"/>
      <c r="AF1363" s="543"/>
      <c r="AG1363" s="327"/>
      <c r="AH1363" s="543"/>
      <c r="AI1363" s="327"/>
      <c r="AJ1363" s="536"/>
      <c r="AK1363" s="327"/>
      <c r="AL1363" s="537" t="s">
        <v>334</v>
      </c>
      <c r="AM1363" s="327"/>
      <c r="AN1363" s="546" t="s">
        <v>334</v>
      </c>
      <c r="AO1363" s="327"/>
      <c r="AP1363" s="547"/>
      <c r="AQ1363" s="327"/>
      <c r="AR1363" s="548"/>
      <c r="AS1363" s="327"/>
      <c r="AT1363" s="568"/>
      <c r="AU1363" s="327"/>
      <c r="AV1363" s="546" t="s">
        <v>334</v>
      </c>
      <c r="AW1363" s="327"/>
      <c r="AX1363" s="521"/>
      <c r="AY1363" s="326"/>
      <c r="AZ1363" s="327"/>
      <c r="BA1363" s="550"/>
      <c r="BB1363" s="327"/>
      <c r="BC1363" s="25"/>
      <c r="BD1363" s="544" t="s">
        <v>334</v>
      </c>
      <c r="BE1363" s="327"/>
      <c r="BF1363" s="545"/>
      <c r="BG1363" s="326"/>
      <c r="BH1363" s="326"/>
      <c r="BI1363" s="327"/>
      <c r="BJ1363" s="557" t="s">
        <v>303</v>
      </c>
      <c r="BK1363" s="326"/>
      <c r="BL1363" s="326"/>
      <c r="BM1363" s="327"/>
      <c r="BN1363" s="558" t="s">
        <v>303</v>
      </c>
      <c r="BO1363" s="326"/>
      <c r="BP1363" s="326"/>
      <c r="BQ1363" s="326"/>
      <c r="BR1363" s="326"/>
      <c r="BS1363" s="326"/>
      <c r="BT1363" s="326"/>
      <c r="BU1363" s="326"/>
      <c r="BV1363" s="327"/>
    </row>
    <row r="1364" spans="1:74" ht="45" customHeight="1" x14ac:dyDescent="0.25">
      <c r="A1364" s="10">
        <f t="shared" si="5"/>
        <v>1350</v>
      </c>
      <c r="B1364" s="564" t="s">
        <v>303</v>
      </c>
      <c r="C1364" s="327"/>
      <c r="D1364" s="565" t="s">
        <v>307</v>
      </c>
      <c r="E1364" s="327"/>
      <c r="F1364" s="537" t="s">
        <v>334</v>
      </c>
      <c r="G1364" s="327"/>
      <c r="H1364" s="561" t="s">
        <v>334</v>
      </c>
      <c r="I1364" s="327"/>
      <c r="J1364" s="562"/>
      <c r="K1364" s="327"/>
      <c r="L1364" s="562"/>
      <c r="M1364" s="327"/>
      <c r="N1364" s="20"/>
      <c r="O1364" s="21"/>
      <c r="P1364" s="524"/>
      <c r="Q1364" s="327"/>
      <c r="R1364" s="516"/>
      <c r="S1364" s="327"/>
      <c r="T1364" s="517"/>
      <c r="U1364" s="327"/>
      <c r="V1364" s="518"/>
      <c r="W1364" s="327"/>
      <c r="X1364" s="438" t="s">
        <v>303</v>
      </c>
      <c r="Y1364" s="326"/>
      <c r="Z1364" s="326"/>
      <c r="AA1364" s="327"/>
      <c r="AB1364" s="519" t="s">
        <v>303</v>
      </c>
      <c r="AC1364" s="326"/>
      <c r="AD1364" s="326"/>
      <c r="AE1364" s="327"/>
      <c r="AF1364" s="520"/>
      <c r="AG1364" s="327"/>
      <c r="AH1364" s="520"/>
      <c r="AI1364" s="327"/>
      <c r="AJ1364" s="536"/>
      <c r="AK1364" s="327"/>
      <c r="AL1364" s="556" t="s">
        <v>334</v>
      </c>
      <c r="AM1364" s="327"/>
      <c r="AN1364" s="553" t="s">
        <v>334</v>
      </c>
      <c r="AO1364" s="327"/>
      <c r="AP1364" s="554"/>
      <c r="AQ1364" s="327"/>
      <c r="AR1364" s="555"/>
      <c r="AS1364" s="327"/>
      <c r="AT1364" s="549"/>
      <c r="AU1364" s="327"/>
      <c r="AV1364" s="553" t="s">
        <v>334</v>
      </c>
      <c r="AW1364" s="327"/>
      <c r="AX1364" s="521"/>
      <c r="AY1364" s="326"/>
      <c r="AZ1364" s="327"/>
      <c r="BA1364" s="536"/>
      <c r="BB1364" s="327"/>
      <c r="BC1364" s="22"/>
      <c r="BD1364" s="551" t="s">
        <v>334</v>
      </c>
      <c r="BE1364" s="327"/>
      <c r="BF1364" s="552"/>
      <c r="BG1364" s="326"/>
      <c r="BH1364" s="326"/>
      <c r="BI1364" s="327"/>
      <c r="BJ1364" s="451" t="s">
        <v>303</v>
      </c>
      <c r="BK1364" s="326"/>
      <c r="BL1364" s="326"/>
      <c r="BM1364" s="327"/>
      <c r="BN1364" s="558" t="s">
        <v>303</v>
      </c>
      <c r="BO1364" s="326"/>
      <c r="BP1364" s="326"/>
      <c r="BQ1364" s="326"/>
      <c r="BR1364" s="326"/>
      <c r="BS1364" s="326"/>
      <c r="BT1364" s="326"/>
      <c r="BU1364" s="326"/>
      <c r="BV1364" s="327"/>
    </row>
    <row r="1365" spans="1:74" ht="45" customHeight="1" x14ac:dyDescent="0.25">
      <c r="A1365" s="10">
        <f t="shared" si="5"/>
        <v>1351</v>
      </c>
      <c r="B1365" s="559" t="s">
        <v>303</v>
      </c>
      <c r="C1365" s="327"/>
      <c r="D1365" s="560" t="s">
        <v>307</v>
      </c>
      <c r="E1365" s="327"/>
      <c r="F1365" s="537" t="s">
        <v>334</v>
      </c>
      <c r="G1365" s="327"/>
      <c r="H1365" s="566" t="s">
        <v>334</v>
      </c>
      <c r="I1365" s="327"/>
      <c r="J1365" s="567"/>
      <c r="K1365" s="327"/>
      <c r="L1365" s="567"/>
      <c r="M1365" s="327"/>
      <c r="N1365" s="20"/>
      <c r="O1365" s="21"/>
      <c r="P1365" s="524"/>
      <c r="Q1365" s="327"/>
      <c r="R1365" s="538"/>
      <c r="S1365" s="327"/>
      <c r="T1365" s="539"/>
      <c r="U1365" s="327"/>
      <c r="V1365" s="540"/>
      <c r="W1365" s="327"/>
      <c r="X1365" s="541" t="s">
        <v>303</v>
      </c>
      <c r="Y1365" s="326"/>
      <c r="Z1365" s="326"/>
      <c r="AA1365" s="327"/>
      <c r="AB1365" s="542" t="s">
        <v>303</v>
      </c>
      <c r="AC1365" s="326"/>
      <c r="AD1365" s="326"/>
      <c r="AE1365" s="327"/>
      <c r="AF1365" s="543"/>
      <c r="AG1365" s="327"/>
      <c r="AH1365" s="543"/>
      <c r="AI1365" s="327"/>
      <c r="AJ1365" s="536"/>
      <c r="AK1365" s="327"/>
      <c r="AL1365" s="537" t="s">
        <v>334</v>
      </c>
      <c r="AM1365" s="327"/>
      <c r="AN1365" s="546" t="s">
        <v>334</v>
      </c>
      <c r="AO1365" s="327"/>
      <c r="AP1365" s="547"/>
      <c r="AQ1365" s="327"/>
      <c r="AR1365" s="548"/>
      <c r="AS1365" s="327"/>
      <c r="AT1365" s="549"/>
      <c r="AU1365" s="327"/>
      <c r="AV1365" s="546" t="s">
        <v>334</v>
      </c>
      <c r="AW1365" s="327"/>
      <c r="AX1365" s="521"/>
      <c r="AY1365" s="326"/>
      <c r="AZ1365" s="327"/>
      <c r="BA1365" s="550"/>
      <c r="BB1365" s="327"/>
      <c r="BC1365" s="25"/>
      <c r="BD1365" s="544" t="s">
        <v>334</v>
      </c>
      <c r="BE1365" s="327"/>
      <c r="BF1365" s="545"/>
      <c r="BG1365" s="326"/>
      <c r="BH1365" s="326"/>
      <c r="BI1365" s="327"/>
      <c r="BJ1365" s="557" t="s">
        <v>303</v>
      </c>
      <c r="BK1365" s="326"/>
      <c r="BL1365" s="326"/>
      <c r="BM1365" s="327"/>
      <c r="BN1365" s="558" t="s">
        <v>303</v>
      </c>
      <c r="BO1365" s="326"/>
      <c r="BP1365" s="326"/>
      <c r="BQ1365" s="326"/>
      <c r="BR1365" s="326"/>
      <c r="BS1365" s="326"/>
      <c r="BT1365" s="326"/>
      <c r="BU1365" s="326"/>
      <c r="BV1365" s="327"/>
    </row>
    <row r="1366" spans="1:74" ht="45" customHeight="1" x14ac:dyDescent="0.25">
      <c r="A1366" s="10">
        <f t="shared" si="5"/>
        <v>1352</v>
      </c>
      <c r="B1366" s="564" t="s">
        <v>303</v>
      </c>
      <c r="C1366" s="327"/>
      <c r="D1366" s="565" t="s">
        <v>307</v>
      </c>
      <c r="E1366" s="327"/>
      <c r="F1366" s="537" t="s">
        <v>334</v>
      </c>
      <c r="G1366" s="327"/>
      <c r="H1366" s="561" t="s">
        <v>334</v>
      </c>
      <c r="I1366" s="327"/>
      <c r="J1366" s="562"/>
      <c r="K1366" s="327"/>
      <c r="L1366" s="562"/>
      <c r="M1366" s="327"/>
      <c r="N1366" s="23"/>
      <c r="O1366" s="24"/>
      <c r="P1366" s="563"/>
      <c r="Q1366" s="327"/>
      <c r="R1366" s="516"/>
      <c r="S1366" s="327"/>
      <c r="T1366" s="517"/>
      <c r="U1366" s="327"/>
      <c r="V1366" s="518"/>
      <c r="W1366" s="327"/>
      <c r="X1366" s="438" t="s">
        <v>303</v>
      </c>
      <c r="Y1366" s="326"/>
      <c r="Z1366" s="326"/>
      <c r="AA1366" s="327"/>
      <c r="AB1366" s="519" t="s">
        <v>303</v>
      </c>
      <c r="AC1366" s="326"/>
      <c r="AD1366" s="326"/>
      <c r="AE1366" s="327"/>
      <c r="AF1366" s="520"/>
      <c r="AG1366" s="327"/>
      <c r="AH1366" s="520"/>
      <c r="AI1366" s="327"/>
      <c r="AJ1366" s="536"/>
      <c r="AK1366" s="327"/>
      <c r="AL1366" s="556" t="s">
        <v>334</v>
      </c>
      <c r="AM1366" s="327"/>
      <c r="AN1366" s="553" t="s">
        <v>334</v>
      </c>
      <c r="AO1366" s="327"/>
      <c r="AP1366" s="554"/>
      <c r="AQ1366" s="327"/>
      <c r="AR1366" s="555"/>
      <c r="AS1366" s="327"/>
      <c r="AT1366" s="549"/>
      <c r="AU1366" s="327"/>
      <c r="AV1366" s="553" t="s">
        <v>334</v>
      </c>
      <c r="AW1366" s="327"/>
      <c r="AX1366" s="521"/>
      <c r="AY1366" s="326"/>
      <c r="AZ1366" s="327"/>
      <c r="BA1366" s="536"/>
      <c r="BB1366" s="327"/>
      <c r="BC1366" s="22"/>
      <c r="BD1366" s="551" t="s">
        <v>334</v>
      </c>
      <c r="BE1366" s="327"/>
      <c r="BF1366" s="552"/>
      <c r="BG1366" s="326"/>
      <c r="BH1366" s="326"/>
      <c r="BI1366" s="327"/>
      <c r="BJ1366" s="451" t="s">
        <v>303</v>
      </c>
      <c r="BK1366" s="326"/>
      <c r="BL1366" s="326"/>
      <c r="BM1366" s="327"/>
      <c r="BN1366" s="558" t="s">
        <v>303</v>
      </c>
      <c r="BO1366" s="326"/>
      <c r="BP1366" s="326"/>
      <c r="BQ1366" s="326"/>
      <c r="BR1366" s="326"/>
      <c r="BS1366" s="326"/>
      <c r="BT1366" s="326"/>
      <c r="BU1366" s="326"/>
      <c r="BV1366" s="327"/>
    </row>
    <row r="1367" spans="1:74" ht="45" customHeight="1" x14ac:dyDescent="0.25">
      <c r="A1367" s="10">
        <f t="shared" si="5"/>
        <v>1353</v>
      </c>
      <c r="B1367" s="559" t="s">
        <v>303</v>
      </c>
      <c r="C1367" s="327"/>
      <c r="D1367" s="560" t="s">
        <v>307</v>
      </c>
      <c r="E1367" s="327"/>
      <c r="F1367" s="537" t="s">
        <v>334</v>
      </c>
      <c r="G1367" s="327"/>
      <c r="H1367" s="566" t="s">
        <v>334</v>
      </c>
      <c r="I1367" s="327"/>
      <c r="J1367" s="567"/>
      <c r="K1367" s="327"/>
      <c r="L1367" s="567"/>
      <c r="M1367" s="327"/>
      <c r="N1367" s="20"/>
      <c r="O1367" s="21"/>
      <c r="P1367" s="524"/>
      <c r="Q1367" s="327"/>
      <c r="R1367" s="538"/>
      <c r="S1367" s="327"/>
      <c r="T1367" s="539"/>
      <c r="U1367" s="327"/>
      <c r="V1367" s="540"/>
      <c r="W1367" s="327"/>
      <c r="X1367" s="541" t="s">
        <v>303</v>
      </c>
      <c r="Y1367" s="326"/>
      <c r="Z1367" s="326"/>
      <c r="AA1367" s="327"/>
      <c r="AB1367" s="542" t="s">
        <v>303</v>
      </c>
      <c r="AC1367" s="326"/>
      <c r="AD1367" s="326"/>
      <c r="AE1367" s="327"/>
      <c r="AF1367" s="543"/>
      <c r="AG1367" s="327"/>
      <c r="AH1367" s="543"/>
      <c r="AI1367" s="327"/>
      <c r="AJ1367" s="536"/>
      <c r="AK1367" s="327"/>
      <c r="AL1367" s="537" t="s">
        <v>334</v>
      </c>
      <c r="AM1367" s="327"/>
      <c r="AN1367" s="546" t="s">
        <v>334</v>
      </c>
      <c r="AO1367" s="327"/>
      <c r="AP1367" s="547"/>
      <c r="AQ1367" s="327"/>
      <c r="AR1367" s="548"/>
      <c r="AS1367" s="327"/>
      <c r="AT1367" s="549"/>
      <c r="AU1367" s="327"/>
      <c r="AV1367" s="546" t="s">
        <v>334</v>
      </c>
      <c r="AW1367" s="327"/>
      <c r="AX1367" s="521"/>
      <c r="AY1367" s="326"/>
      <c r="AZ1367" s="327"/>
      <c r="BA1367" s="550"/>
      <c r="BB1367" s="327"/>
      <c r="BC1367" s="25"/>
      <c r="BD1367" s="544" t="s">
        <v>334</v>
      </c>
      <c r="BE1367" s="327"/>
      <c r="BF1367" s="545"/>
      <c r="BG1367" s="326"/>
      <c r="BH1367" s="326"/>
      <c r="BI1367" s="327"/>
      <c r="BJ1367" s="557" t="s">
        <v>303</v>
      </c>
      <c r="BK1367" s="326"/>
      <c r="BL1367" s="326"/>
      <c r="BM1367" s="327"/>
      <c r="BN1367" s="558" t="s">
        <v>303</v>
      </c>
      <c r="BO1367" s="326"/>
      <c r="BP1367" s="326"/>
      <c r="BQ1367" s="326"/>
      <c r="BR1367" s="326"/>
      <c r="BS1367" s="326"/>
      <c r="BT1367" s="326"/>
      <c r="BU1367" s="326"/>
      <c r="BV1367" s="327"/>
    </row>
    <row r="1368" spans="1:74" ht="45" customHeight="1" x14ac:dyDescent="0.25">
      <c r="A1368" s="10">
        <f t="shared" si="5"/>
        <v>1354</v>
      </c>
      <c r="B1368" s="564" t="s">
        <v>303</v>
      </c>
      <c r="C1368" s="327"/>
      <c r="D1368" s="565" t="s">
        <v>307</v>
      </c>
      <c r="E1368" s="327"/>
      <c r="F1368" s="537" t="s">
        <v>334</v>
      </c>
      <c r="G1368" s="327"/>
      <c r="H1368" s="561" t="s">
        <v>334</v>
      </c>
      <c r="I1368" s="327"/>
      <c r="J1368" s="562"/>
      <c r="K1368" s="327"/>
      <c r="L1368" s="562"/>
      <c r="M1368" s="327"/>
      <c r="N1368" s="23"/>
      <c r="O1368" s="24"/>
      <c r="P1368" s="563"/>
      <c r="Q1368" s="327"/>
      <c r="R1368" s="516"/>
      <c r="S1368" s="327"/>
      <c r="T1368" s="517"/>
      <c r="U1368" s="327"/>
      <c r="V1368" s="518"/>
      <c r="W1368" s="327"/>
      <c r="X1368" s="438" t="s">
        <v>303</v>
      </c>
      <c r="Y1368" s="326"/>
      <c r="Z1368" s="326"/>
      <c r="AA1368" s="327"/>
      <c r="AB1368" s="519" t="s">
        <v>303</v>
      </c>
      <c r="AC1368" s="326"/>
      <c r="AD1368" s="326"/>
      <c r="AE1368" s="327"/>
      <c r="AF1368" s="520"/>
      <c r="AG1368" s="327"/>
      <c r="AH1368" s="520"/>
      <c r="AI1368" s="327"/>
      <c r="AJ1368" s="536"/>
      <c r="AK1368" s="327"/>
      <c r="AL1368" s="556" t="s">
        <v>334</v>
      </c>
      <c r="AM1368" s="327"/>
      <c r="AN1368" s="553" t="s">
        <v>334</v>
      </c>
      <c r="AO1368" s="327"/>
      <c r="AP1368" s="554"/>
      <c r="AQ1368" s="327"/>
      <c r="AR1368" s="555"/>
      <c r="AS1368" s="327"/>
      <c r="AT1368" s="549"/>
      <c r="AU1368" s="327"/>
      <c r="AV1368" s="553" t="s">
        <v>334</v>
      </c>
      <c r="AW1368" s="327"/>
      <c r="AX1368" s="521"/>
      <c r="AY1368" s="326"/>
      <c r="AZ1368" s="327"/>
      <c r="BA1368" s="536"/>
      <c r="BB1368" s="327"/>
      <c r="BC1368" s="22"/>
      <c r="BD1368" s="551" t="s">
        <v>334</v>
      </c>
      <c r="BE1368" s="327"/>
      <c r="BF1368" s="552"/>
      <c r="BG1368" s="326"/>
      <c r="BH1368" s="326"/>
      <c r="BI1368" s="327"/>
      <c r="BJ1368" s="451" t="s">
        <v>303</v>
      </c>
      <c r="BK1368" s="326"/>
      <c r="BL1368" s="326"/>
      <c r="BM1368" s="327"/>
      <c r="BN1368" s="558" t="s">
        <v>303</v>
      </c>
      <c r="BO1368" s="326"/>
      <c r="BP1368" s="326"/>
      <c r="BQ1368" s="326"/>
      <c r="BR1368" s="326"/>
      <c r="BS1368" s="326"/>
      <c r="BT1368" s="326"/>
      <c r="BU1368" s="326"/>
      <c r="BV1368" s="327"/>
    </row>
    <row r="1369" spans="1:74" ht="45" customHeight="1" x14ac:dyDescent="0.25">
      <c r="A1369" s="10">
        <f t="shared" si="5"/>
        <v>1355</v>
      </c>
      <c r="B1369" s="559" t="s">
        <v>303</v>
      </c>
      <c r="C1369" s="327"/>
      <c r="D1369" s="560" t="s">
        <v>307</v>
      </c>
      <c r="E1369" s="327"/>
      <c r="F1369" s="537" t="s">
        <v>334</v>
      </c>
      <c r="G1369" s="327"/>
      <c r="H1369" s="566" t="s">
        <v>334</v>
      </c>
      <c r="I1369" s="327"/>
      <c r="J1369" s="567"/>
      <c r="K1369" s="327"/>
      <c r="L1369" s="567"/>
      <c r="M1369" s="327"/>
      <c r="N1369" s="20"/>
      <c r="O1369" s="24"/>
      <c r="P1369" s="524"/>
      <c r="Q1369" s="327"/>
      <c r="R1369" s="538"/>
      <c r="S1369" s="327"/>
      <c r="T1369" s="539"/>
      <c r="U1369" s="327"/>
      <c r="V1369" s="540"/>
      <c r="W1369" s="327"/>
      <c r="X1369" s="541" t="s">
        <v>303</v>
      </c>
      <c r="Y1369" s="326"/>
      <c r="Z1369" s="326"/>
      <c r="AA1369" s="327"/>
      <c r="AB1369" s="542" t="s">
        <v>303</v>
      </c>
      <c r="AC1369" s="326"/>
      <c r="AD1369" s="326"/>
      <c r="AE1369" s="327"/>
      <c r="AF1369" s="543"/>
      <c r="AG1369" s="327"/>
      <c r="AH1369" s="543"/>
      <c r="AI1369" s="327"/>
      <c r="AJ1369" s="536"/>
      <c r="AK1369" s="327"/>
      <c r="AL1369" s="537" t="s">
        <v>334</v>
      </c>
      <c r="AM1369" s="327"/>
      <c r="AN1369" s="546" t="s">
        <v>334</v>
      </c>
      <c r="AO1369" s="327"/>
      <c r="AP1369" s="547"/>
      <c r="AQ1369" s="327"/>
      <c r="AR1369" s="548"/>
      <c r="AS1369" s="327"/>
      <c r="AT1369" s="568"/>
      <c r="AU1369" s="327"/>
      <c r="AV1369" s="546" t="s">
        <v>334</v>
      </c>
      <c r="AW1369" s="327"/>
      <c r="AX1369" s="521"/>
      <c r="AY1369" s="326"/>
      <c r="AZ1369" s="327"/>
      <c r="BA1369" s="550"/>
      <c r="BB1369" s="327"/>
      <c r="BC1369" s="25"/>
      <c r="BD1369" s="544" t="s">
        <v>334</v>
      </c>
      <c r="BE1369" s="327"/>
      <c r="BF1369" s="545"/>
      <c r="BG1369" s="326"/>
      <c r="BH1369" s="326"/>
      <c r="BI1369" s="327"/>
      <c r="BJ1369" s="557" t="s">
        <v>303</v>
      </c>
      <c r="BK1369" s="326"/>
      <c r="BL1369" s="326"/>
      <c r="BM1369" s="327"/>
      <c r="BN1369" s="558" t="s">
        <v>303</v>
      </c>
      <c r="BO1369" s="326"/>
      <c r="BP1369" s="326"/>
      <c r="BQ1369" s="326"/>
      <c r="BR1369" s="326"/>
      <c r="BS1369" s="326"/>
      <c r="BT1369" s="326"/>
      <c r="BU1369" s="326"/>
      <c r="BV1369" s="327"/>
    </row>
    <row r="1370" spans="1:74" ht="45" customHeight="1" x14ac:dyDescent="0.25">
      <c r="A1370" s="10">
        <f t="shared" si="5"/>
        <v>1356</v>
      </c>
      <c r="B1370" s="564" t="s">
        <v>303</v>
      </c>
      <c r="C1370" s="327"/>
      <c r="D1370" s="565" t="s">
        <v>307</v>
      </c>
      <c r="E1370" s="327"/>
      <c r="F1370" s="537" t="s">
        <v>334</v>
      </c>
      <c r="G1370" s="327"/>
      <c r="H1370" s="561" t="s">
        <v>334</v>
      </c>
      <c r="I1370" s="327"/>
      <c r="J1370" s="562"/>
      <c r="K1370" s="327"/>
      <c r="L1370" s="562"/>
      <c r="M1370" s="327"/>
      <c r="N1370" s="23"/>
      <c r="O1370" s="21"/>
      <c r="P1370" s="563"/>
      <c r="Q1370" s="327"/>
      <c r="R1370" s="516"/>
      <c r="S1370" s="327"/>
      <c r="T1370" s="517"/>
      <c r="U1370" s="327"/>
      <c r="V1370" s="518"/>
      <c r="W1370" s="327"/>
      <c r="X1370" s="438" t="s">
        <v>303</v>
      </c>
      <c r="Y1370" s="326"/>
      <c r="Z1370" s="326"/>
      <c r="AA1370" s="327"/>
      <c r="AB1370" s="519" t="s">
        <v>303</v>
      </c>
      <c r="AC1370" s="326"/>
      <c r="AD1370" s="326"/>
      <c r="AE1370" s="327"/>
      <c r="AF1370" s="520"/>
      <c r="AG1370" s="327"/>
      <c r="AH1370" s="520"/>
      <c r="AI1370" s="327"/>
      <c r="AJ1370" s="536"/>
      <c r="AK1370" s="327"/>
      <c r="AL1370" s="556" t="s">
        <v>334</v>
      </c>
      <c r="AM1370" s="327"/>
      <c r="AN1370" s="553" t="s">
        <v>334</v>
      </c>
      <c r="AO1370" s="327"/>
      <c r="AP1370" s="554"/>
      <c r="AQ1370" s="327"/>
      <c r="AR1370" s="555"/>
      <c r="AS1370" s="327"/>
      <c r="AT1370" s="549"/>
      <c r="AU1370" s="327"/>
      <c r="AV1370" s="553" t="s">
        <v>334</v>
      </c>
      <c r="AW1370" s="327"/>
      <c r="AX1370" s="521"/>
      <c r="AY1370" s="326"/>
      <c r="AZ1370" s="327"/>
      <c r="BA1370" s="536"/>
      <c r="BB1370" s="327"/>
      <c r="BC1370" s="22"/>
      <c r="BD1370" s="551" t="s">
        <v>334</v>
      </c>
      <c r="BE1370" s="327"/>
      <c r="BF1370" s="508"/>
      <c r="BG1370" s="326"/>
      <c r="BH1370" s="326"/>
      <c r="BI1370" s="327"/>
      <c r="BJ1370" s="451" t="s">
        <v>303</v>
      </c>
      <c r="BK1370" s="326"/>
      <c r="BL1370" s="326"/>
      <c r="BM1370" s="327"/>
      <c r="BN1370" s="558" t="s">
        <v>303</v>
      </c>
      <c r="BO1370" s="326"/>
      <c r="BP1370" s="326"/>
      <c r="BQ1370" s="326"/>
      <c r="BR1370" s="326"/>
      <c r="BS1370" s="326"/>
      <c r="BT1370" s="326"/>
      <c r="BU1370" s="326"/>
      <c r="BV1370" s="327"/>
    </row>
    <row r="1371" spans="1:74" ht="45" customHeight="1" x14ac:dyDescent="0.25">
      <c r="A1371" s="10">
        <f t="shared" si="5"/>
        <v>1357</v>
      </c>
      <c r="B1371" s="559" t="s">
        <v>303</v>
      </c>
      <c r="C1371" s="327"/>
      <c r="D1371" s="560" t="s">
        <v>307</v>
      </c>
      <c r="E1371" s="327"/>
      <c r="F1371" s="537" t="s">
        <v>334</v>
      </c>
      <c r="G1371" s="327"/>
      <c r="H1371" s="566" t="s">
        <v>334</v>
      </c>
      <c r="I1371" s="327"/>
      <c r="J1371" s="567"/>
      <c r="K1371" s="327"/>
      <c r="L1371" s="567"/>
      <c r="M1371" s="327"/>
      <c r="N1371" s="20"/>
      <c r="O1371" s="24"/>
      <c r="P1371" s="524"/>
      <c r="Q1371" s="327"/>
      <c r="R1371" s="538"/>
      <c r="S1371" s="327"/>
      <c r="T1371" s="539"/>
      <c r="U1371" s="327"/>
      <c r="V1371" s="540"/>
      <c r="W1371" s="327"/>
      <c r="X1371" s="541" t="s">
        <v>303</v>
      </c>
      <c r="Y1371" s="326"/>
      <c r="Z1371" s="326"/>
      <c r="AA1371" s="327"/>
      <c r="AB1371" s="542" t="s">
        <v>303</v>
      </c>
      <c r="AC1371" s="326"/>
      <c r="AD1371" s="326"/>
      <c r="AE1371" s="327"/>
      <c r="AF1371" s="543"/>
      <c r="AG1371" s="327"/>
      <c r="AH1371" s="543"/>
      <c r="AI1371" s="327"/>
      <c r="AJ1371" s="536"/>
      <c r="AK1371" s="327"/>
      <c r="AL1371" s="537" t="s">
        <v>334</v>
      </c>
      <c r="AM1371" s="327"/>
      <c r="AN1371" s="546" t="s">
        <v>334</v>
      </c>
      <c r="AO1371" s="327"/>
      <c r="AP1371" s="547"/>
      <c r="AQ1371" s="327"/>
      <c r="AR1371" s="548"/>
      <c r="AS1371" s="327"/>
      <c r="AT1371" s="568"/>
      <c r="AU1371" s="327"/>
      <c r="AV1371" s="546" t="s">
        <v>334</v>
      </c>
      <c r="AW1371" s="327"/>
      <c r="AX1371" s="521"/>
      <c r="AY1371" s="326"/>
      <c r="AZ1371" s="327"/>
      <c r="BA1371" s="550"/>
      <c r="BB1371" s="327"/>
      <c r="BC1371" s="25"/>
      <c r="BD1371" s="544" t="s">
        <v>334</v>
      </c>
      <c r="BE1371" s="327"/>
      <c r="BF1371" s="545"/>
      <c r="BG1371" s="326"/>
      <c r="BH1371" s="326"/>
      <c r="BI1371" s="327"/>
      <c r="BJ1371" s="557" t="s">
        <v>303</v>
      </c>
      <c r="BK1371" s="326"/>
      <c r="BL1371" s="326"/>
      <c r="BM1371" s="327"/>
      <c r="BN1371" s="558" t="s">
        <v>303</v>
      </c>
      <c r="BO1371" s="326"/>
      <c r="BP1371" s="326"/>
      <c r="BQ1371" s="326"/>
      <c r="BR1371" s="326"/>
      <c r="BS1371" s="326"/>
      <c r="BT1371" s="326"/>
      <c r="BU1371" s="326"/>
      <c r="BV1371" s="327"/>
    </row>
    <row r="1372" spans="1:74" ht="45" customHeight="1" x14ac:dyDescent="0.25">
      <c r="A1372" s="10">
        <f t="shared" si="5"/>
        <v>1358</v>
      </c>
      <c r="B1372" s="564" t="s">
        <v>303</v>
      </c>
      <c r="C1372" s="327"/>
      <c r="D1372" s="565" t="s">
        <v>307</v>
      </c>
      <c r="E1372" s="327"/>
      <c r="F1372" s="537" t="s">
        <v>334</v>
      </c>
      <c r="G1372" s="327"/>
      <c r="H1372" s="561" t="s">
        <v>334</v>
      </c>
      <c r="I1372" s="327"/>
      <c r="J1372" s="562"/>
      <c r="K1372" s="327"/>
      <c r="L1372" s="562"/>
      <c r="M1372" s="327"/>
      <c r="N1372" s="23"/>
      <c r="O1372" s="21"/>
      <c r="P1372" s="563"/>
      <c r="Q1372" s="327"/>
      <c r="R1372" s="516"/>
      <c r="S1372" s="327"/>
      <c r="T1372" s="517"/>
      <c r="U1372" s="327"/>
      <c r="V1372" s="518"/>
      <c r="W1372" s="327"/>
      <c r="X1372" s="438" t="s">
        <v>303</v>
      </c>
      <c r="Y1372" s="326"/>
      <c r="Z1372" s="326"/>
      <c r="AA1372" s="327"/>
      <c r="AB1372" s="519" t="s">
        <v>303</v>
      </c>
      <c r="AC1372" s="326"/>
      <c r="AD1372" s="326"/>
      <c r="AE1372" s="327"/>
      <c r="AF1372" s="520"/>
      <c r="AG1372" s="327"/>
      <c r="AH1372" s="520"/>
      <c r="AI1372" s="327"/>
      <c r="AJ1372" s="536"/>
      <c r="AK1372" s="327"/>
      <c r="AL1372" s="556" t="s">
        <v>334</v>
      </c>
      <c r="AM1372" s="327"/>
      <c r="AN1372" s="553" t="s">
        <v>334</v>
      </c>
      <c r="AO1372" s="327"/>
      <c r="AP1372" s="554"/>
      <c r="AQ1372" s="327"/>
      <c r="AR1372" s="555"/>
      <c r="AS1372" s="327"/>
      <c r="AT1372" s="549"/>
      <c r="AU1372" s="327"/>
      <c r="AV1372" s="553" t="s">
        <v>334</v>
      </c>
      <c r="AW1372" s="327"/>
      <c r="AX1372" s="521"/>
      <c r="AY1372" s="326"/>
      <c r="AZ1372" s="327"/>
      <c r="BA1372" s="536"/>
      <c r="BB1372" s="327"/>
      <c r="BC1372" s="22"/>
      <c r="BD1372" s="551" t="s">
        <v>334</v>
      </c>
      <c r="BE1372" s="327"/>
      <c r="BF1372" s="552"/>
      <c r="BG1372" s="326"/>
      <c r="BH1372" s="326"/>
      <c r="BI1372" s="327"/>
      <c r="BJ1372" s="451" t="s">
        <v>303</v>
      </c>
      <c r="BK1372" s="326"/>
      <c r="BL1372" s="326"/>
      <c r="BM1372" s="327"/>
      <c r="BN1372" s="558" t="s">
        <v>303</v>
      </c>
      <c r="BO1372" s="326"/>
      <c r="BP1372" s="326"/>
      <c r="BQ1372" s="326"/>
      <c r="BR1372" s="326"/>
      <c r="BS1372" s="326"/>
      <c r="BT1372" s="326"/>
      <c r="BU1372" s="326"/>
      <c r="BV1372" s="327"/>
    </row>
    <row r="1373" spans="1:74" ht="45" customHeight="1" x14ac:dyDescent="0.25">
      <c r="A1373" s="10">
        <f t="shared" si="5"/>
        <v>1359</v>
      </c>
      <c r="B1373" s="559" t="s">
        <v>303</v>
      </c>
      <c r="C1373" s="327"/>
      <c r="D1373" s="560" t="s">
        <v>307</v>
      </c>
      <c r="E1373" s="327"/>
      <c r="F1373" s="537" t="s">
        <v>334</v>
      </c>
      <c r="G1373" s="327"/>
      <c r="H1373" s="566" t="s">
        <v>334</v>
      </c>
      <c r="I1373" s="327"/>
      <c r="J1373" s="567"/>
      <c r="K1373" s="327"/>
      <c r="L1373" s="567"/>
      <c r="M1373" s="327"/>
      <c r="N1373" s="20"/>
      <c r="O1373" s="24"/>
      <c r="P1373" s="524"/>
      <c r="Q1373" s="327"/>
      <c r="R1373" s="538"/>
      <c r="S1373" s="327"/>
      <c r="T1373" s="539"/>
      <c r="U1373" s="327"/>
      <c r="V1373" s="540"/>
      <c r="W1373" s="327"/>
      <c r="X1373" s="541" t="s">
        <v>303</v>
      </c>
      <c r="Y1373" s="326"/>
      <c r="Z1373" s="326"/>
      <c r="AA1373" s="327"/>
      <c r="AB1373" s="542" t="s">
        <v>303</v>
      </c>
      <c r="AC1373" s="326"/>
      <c r="AD1373" s="326"/>
      <c r="AE1373" s="327"/>
      <c r="AF1373" s="543"/>
      <c r="AG1373" s="327"/>
      <c r="AH1373" s="543"/>
      <c r="AI1373" s="327"/>
      <c r="AJ1373" s="536"/>
      <c r="AK1373" s="327"/>
      <c r="AL1373" s="537" t="s">
        <v>334</v>
      </c>
      <c r="AM1373" s="327"/>
      <c r="AN1373" s="546" t="s">
        <v>334</v>
      </c>
      <c r="AO1373" s="327"/>
      <c r="AP1373" s="547"/>
      <c r="AQ1373" s="327"/>
      <c r="AR1373" s="548"/>
      <c r="AS1373" s="327"/>
      <c r="AT1373" s="568"/>
      <c r="AU1373" s="327"/>
      <c r="AV1373" s="546" t="s">
        <v>334</v>
      </c>
      <c r="AW1373" s="327"/>
      <c r="AX1373" s="521"/>
      <c r="AY1373" s="326"/>
      <c r="AZ1373" s="327"/>
      <c r="BA1373" s="550"/>
      <c r="BB1373" s="327"/>
      <c r="BC1373" s="25"/>
      <c r="BD1373" s="544" t="s">
        <v>334</v>
      </c>
      <c r="BE1373" s="327"/>
      <c r="BF1373" s="545"/>
      <c r="BG1373" s="326"/>
      <c r="BH1373" s="326"/>
      <c r="BI1373" s="327"/>
      <c r="BJ1373" s="557" t="s">
        <v>303</v>
      </c>
      <c r="BK1373" s="326"/>
      <c r="BL1373" s="326"/>
      <c r="BM1373" s="327"/>
      <c r="BN1373" s="558" t="s">
        <v>303</v>
      </c>
      <c r="BO1373" s="326"/>
      <c r="BP1373" s="326"/>
      <c r="BQ1373" s="326"/>
      <c r="BR1373" s="326"/>
      <c r="BS1373" s="326"/>
      <c r="BT1373" s="326"/>
      <c r="BU1373" s="326"/>
      <c r="BV1373" s="327"/>
    </row>
    <row r="1374" spans="1:74" ht="45" customHeight="1" x14ac:dyDescent="0.25">
      <c r="A1374" s="10">
        <f t="shared" si="5"/>
        <v>1360</v>
      </c>
      <c r="B1374" s="564" t="s">
        <v>303</v>
      </c>
      <c r="C1374" s="327"/>
      <c r="D1374" s="565" t="s">
        <v>307</v>
      </c>
      <c r="E1374" s="327"/>
      <c r="F1374" s="537" t="s">
        <v>334</v>
      </c>
      <c r="G1374" s="327"/>
      <c r="H1374" s="561" t="s">
        <v>334</v>
      </c>
      <c r="I1374" s="327"/>
      <c r="J1374" s="562"/>
      <c r="K1374" s="327"/>
      <c r="L1374" s="562"/>
      <c r="M1374" s="327"/>
      <c r="N1374" s="23"/>
      <c r="O1374" s="21"/>
      <c r="P1374" s="563"/>
      <c r="Q1374" s="327"/>
      <c r="R1374" s="516"/>
      <c r="S1374" s="327"/>
      <c r="T1374" s="517"/>
      <c r="U1374" s="327"/>
      <c r="V1374" s="518"/>
      <c r="W1374" s="327"/>
      <c r="X1374" s="438" t="s">
        <v>303</v>
      </c>
      <c r="Y1374" s="326"/>
      <c r="Z1374" s="326"/>
      <c r="AA1374" s="327"/>
      <c r="AB1374" s="519" t="s">
        <v>303</v>
      </c>
      <c r="AC1374" s="326"/>
      <c r="AD1374" s="326"/>
      <c r="AE1374" s="327"/>
      <c r="AF1374" s="520"/>
      <c r="AG1374" s="327"/>
      <c r="AH1374" s="520"/>
      <c r="AI1374" s="327"/>
      <c r="AJ1374" s="536"/>
      <c r="AK1374" s="327"/>
      <c r="AL1374" s="556" t="s">
        <v>334</v>
      </c>
      <c r="AM1374" s="327"/>
      <c r="AN1374" s="553" t="s">
        <v>334</v>
      </c>
      <c r="AO1374" s="327"/>
      <c r="AP1374" s="554"/>
      <c r="AQ1374" s="327"/>
      <c r="AR1374" s="555"/>
      <c r="AS1374" s="327"/>
      <c r="AT1374" s="549"/>
      <c r="AU1374" s="327"/>
      <c r="AV1374" s="553" t="s">
        <v>334</v>
      </c>
      <c r="AW1374" s="327"/>
      <c r="AX1374" s="521"/>
      <c r="AY1374" s="326"/>
      <c r="AZ1374" s="327"/>
      <c r="BA1374" s="536"/>
      <c r="BB1374" s="327"/>
      <c r="BC1374" s="22"/>
      <c r="BD1374" s="551" t="s">
        <v>334</v>
      </c>
      <c r="BE1374" s="327"/>
      <c r="BF1374" s="552"/>
      <c r="BG1374" s="326"/>
      <c r="BH1374" s="326"/>
      <c r="BI1374" s="327"/>
      <c r="BJ1374" s="451" t="s">
        <v>303</v>
      </c>
      <c r="BK1374" s="326"/>
      <c r="BL1374" s="326"/>
      <c r="BM1374" s="327"/>
      <c r="BN1374" s="558" t="s">
        <v>303</v>
      </c>
      <c r="BO1374" s="326"/>
      <c r="BP1374" s="326"/>
      <c r="BQ1374" s="326"/>
      <c r="BR1374" s="326"/>
      <c r="BS1374" s="326"/>
      <c r="BT1374" s="326"/>
      <c r="BU1374" s="326"/>
      <c r="BV1374" s="327"/>
    </row>
    <row r="1375" spans="1:74" ht="45" customHeight="1" x14ac:dyDescent="0.25">
      <c r="A1375" s="10">
        <f t="shared" si="5"/>
        <v>1361</v>
      </c>
      <c r="B1375" s="559" t="s">
        <v>303</v>
      </c>
      <c r="C1375" s="327"/>
      <c r="D1375" s="560" t="s">
        <v>307</v>
      </c>
      <c r="E1375" s="327"/>
      <c r="F1375" s="537" t="s">
        <v>334</v>
      </c>
      <c r="G1375" s="327"/>
      <c r="H1375" s="566" t="s">
        <v>334</v>
      </c>
      <c r="I1375" s="327"/>
      <c r="J1375" s="567"/>
      <c r="K1375" s="327"/>
      <c r="L1375" s="567"/>
      <c r="M1375" s="327"/>
      <c r="N1375" s="20"/>
      <c r="O1375" s="24"/>
      <c r="P1375" s="524"/>
      <c r="Q1375" s="327"/>
      <c r="R1375" s="538"/>
      <c r="S1375" s="327"/>
      <c r="T1375" s="539"/>
      <c r="U1375" s="327"/>
      <c r="V1375" s="540"/>
      <c r="W1375" s="327"/>
      <c r="X1375" s="541" t="s">
        <v>303</v>
      </c>
      <c r="Y1375" s="326"/>
      <c r="Z1375" s="326"/>
      <c r="AA1375" s="327"/>
      <c r="AB1375" s="542" t="s">
        <v>303</v>
      </c>
      <c r="AC1375" s="326"/>
      <c r="AD1375" s="326"/>
      <c r="AE1375" s="327"/>
      <c r="AF1375" s="543"/>
      <c r="AG1375" s="327"/>
      <c r="AH1375" s="543"/>
      <c r="AI1375" s="327"/>
      <c r="AJ1375" s="536"/>
      <c r="AK1375" s="327"/>
      <c r="AL1375" s="537" t="s">
        <v>334</v>
      </c>
      <c r="AM1375" s="327"/>
      <c r="AN1375" s="546" t="s">
        <v>334</v>
      </c>
      <c r="AO1375" s="327"/>
      <c r="AP1375" s="547"/>
      <c r="AQ1375" s="327"/>
      <c r="AR1375" s="548"/>
      <c r="AS1375" s="327"/>
      <c r="AT1375" s="568"/>
      <c r="AU1375" s="327"/>
      <c r="AV1375" s="546" t="s">
        <v>334</v>
      </c>
      <c r="AW1375" s="327"/>
      <c r="AX1375" s="521"/>
      <c r="AY1375" s="326"/>
      <c r="AZ1375" s="327"/>
      <c r="BA1375" s="550"/>
      <c r="BB1375" s="327"/>
      <c r="BC1375" s="25"/>
      <c r="BD1375" s="544" t="s">
        <v>334</v>
      </c>
      <c r="BE1375" s="327"/>
      <c r="BF1375" s="545"/>
      <c r="BG1375" s="326"/>
      <c r="BH1375" s="326"/>
      <c r="BI1375" s="327"/>
      <c r="BJ1375" s="557" t="s">
        <v>303</v>
      </c>
      <c r="BK1375" s="326"/>
      <c r="BL1375" s="326"/>
      <c r="BM1375" s="327"/>
      <c r="BN1375" s="558" t="s">
        <v>303</v>
      </c>
      <c r="BO1375" s="326"/>
      <c r="BP1375" s="326"/>
      <c r="BQ1375" s="326"/>
      <c r="BR1375" s="326"/>
      <c r="BS1375" s="326"/>
      <c r="BT1375" s="326"/>
      <c r="BU1375" s="326"/>
      <c r="BV1375" s="327"/>
    </row>
    <row r="1376" spans="1:74" ht="45" customHeight="1" x14ac:dyDescent="0.25">
      <c r="A1376" s="10">
        <f t="shared" si="5"/>
        <v>1362</v>
      </c>
      <c r="B1376" s="564" t="s">
        <v>303</v>
      </c>
      <c r="C1376" s="327"/>
      <c r="D1376" s="565" t="s">
        <v>307</v>
      </c>
      <c r="E1376" s="327"/>
      <c r="F1376" s="537" t="s">
        <v>334</v>
      </c>
      <c r="G1376" s="327"/>
      <c r="H1376" s="561" t="s">
        <v>334</v>
      </c>
      <c r="I1376" s="327"/>
      <c r="J1376" s="562"/>
      <c r="K1376" s="327"/>
      <c r="L1376" s="562"/>
      <c r="M1376" s="327"/>
      <c r="N1376" s="23"/>
      <c r="O1376" s="21"/>
      <c r="P1376" s="563"/>
      <c r="Q1376" s="327"/>
      <c r="R1376" s="516"/>
      <c r="S1376" s="327"/>
      <c r="T1376" s="517"/>
      <c r="U1376" s="327"/>
      <c r="V1376" s="518"/>
      <c r="W1376" s="327"/>
      <c r="X1376" s="438" t="s">
        <v>303</v>
      </c>
      <c r="Y1376" s="326"/>
      <c r="Z1376" s="326"/>
      <c r="AA1376" s="327"/>
      <c r="AB1376" s="519" t="s">
        <v>303</v>
      </c>
      <c r="AC1376" s="326"/>
      <c r="AD1376" s="326"/>
      <c r="AE1376" s="327"/>
      <c r="AF1376" s="520"/>
      <c r="AG1376" s="327"/>
      <c r="AH1376" s="520"/>
      <c r="AI1376" s="327"/>
      <c r="AJ1376" s="536"/>
      <c r="AK1376" s="327"/>
      <c r="AL1376" s="556" t="s">
        <v>334</v>
      </c>
      <c r="AM1376" s="327"/>
      <c r="AN1376" s="553" t="s">
        <v>334</v>
      </c>
      <c r="AO1376" s="327"/>
      <c r="AP1376" s="554"/>
      <c r="AQ1376" s="327"/>
      <c r="AR1376" s="555"/>
      <c r="AS1376" s="327"/>
      <c r="AT1376" s="549"/>
      <c r="AU1376" s="327"/>
      <c r="AV1376" s="553" t="s">
        <v>334</v>
      </c>
      <c r="AW1376" s="327"/>
      <c r="AX1376" s="521"/>
      <c r="AY1376" s="326"/>
      <c r="AZ1376" s="327"/>
      <c r="BA1376" s="536"/>
      <c r="BB1376" s="327"/>
      <c r="BC1376" s="22"/>
      <c r="BD1376" s="551" t="s">
        <v>334</v>
      </c>
      <c r="BE1376" s="327"/>
      <c r="BF1376" s="508"/>
      <c r="BG1376" s="326"/>
      <c r="BH1376" s="326"/>
      <c r="BI1376" s="327"/>
      <c r="BJ1376" s="451" t="s">
        <v>303</v>
      </c>
      <c r="BK1376" s="326"/>
      <c r="BL1376" s="326"/>
      <c r="BM1376" s="327"/>
      <c r="BN1376" s="558" t="s">
        <v>303</v>
      </c>
      <c r="BO1376" s="326"/>
      <c r="BP1376" s="326"/>
      <c r="BQ1376" s="326"/>
      <c r="BR1376" s="326"/>
      <c r="BS1376" s="326"/>
      <c r="BT1376" s="326"/>
      <c r="BU1376" s="326"/>
      <c r="BV1376" s="327"/>
    </row>
    <row r="1377" spans="1:74" ht="45" customHeight="1" x14ac:dyDescent="0.25">
      <c r="A1377" s="10">
        <f t="shared" si="5"/>
        <v>1363</v>
      </c>
      <c r="B1377" s="559" t="s">
        <v>303</v>
      </c>
      <c r="C1377" s="327"/>
      <c r="D1377" s="560" t="s">
        <v>307</v>
      </c>
      <c r="E1377" s="327"/>
      <c r="F1377" s="537" t="s">
        <v>334</v>
      </c>
      <c r="G1377" s="327"/>
      <c r="H1377" s="566" t="s">
        <v>334</v>
      </c>
      <c r="I1377" s="327"/>
      <c r="J1377" s="567"/>
      <c r="K1377" s="327"/>
      <c r="L1377" s="567"/>
      <c r="M1377" s="327"/>
      <c r="N1377" s="20"/>
      <c r="O1377" s="24"/>
      <c r="P1377" s="524"/>
      <c r="Q1377" s="327"/>
      <c r="R1377" s="538"/>
      <c r="S1377" s="327"/>
      <c r="T1377" s="539"/>
      <c r="U1377" s="327"/>
      <c r="V1377" s="540"/>
      <c r="W1377" s="327"/>
      <c r="X1377" s="541" t="s">
        <v>303</v>
      </c>
      <c r="Y1377" s="326"/>
      <c r="Z1377" s="326"/>
      <c r="AA1377" s="327"/>
      <c r="AB1377" s="542" t="s">
        <v>303</v>
      </c>
      <c r="AC1377" s="326"/>
      <c r="AD1377" s="326"/>
      <c r="AE1377" s="327"/>
      <c r="AF1377" s="543"/>
      <c r="AG1377" s="327"/>
      <c r="AH1377" s="543"/>
      <c r="AI1377" s="327"/>
      <c r="AJ1377" s="536"/>
      <c r="AK1377" s="327"/>
      <c r="AL1377" s="537" t="s">
        <v>334</v>
      </c>
      <c r="AM1377" s="327"/>
      <c r="AN1377" s="546" t="s">
        <v>334</v>
      </c>
      <c r="AO1377" s="327"/>
      <c r="AP1377" s="547"/>
      <c r="AQ1377" s="327"/>
      <c r="AR1377" s="548"/>
      <c r="AS1377" s="327"/>
      <c r="AT1377" s="568"/>
      <c r="AU1377" s="327"/>
      <c r="AV1377" s="546" t="s">
        <v>334</v>
      </c>
      <c r="AW1377" s="327"/>
      <c r="AX1377" s="521"/>
      <c r="AY1377" s="326"/>
      <c r="AZ1377" s="327"/>
      <c r="BA1377" s="550"/>
      <c r="BB1377" s="327"/>
      <c r="BC1377" s="25"/>
      <c r="BD1377" s="544" t="s">
        <v>334</v>
      </c>
      <c r="BE1377" s="327"/>
      <c r="BF1377" s="545"/>
      <c r="BG1377" s="326"/>
      <c r="BH1377" s="326"/>
      <c r="BI1377" s="327"/>
      <c r="BJ1377" s="557" t="s">
        <v>303</v>
      </c>
      <c r="BK1377" s="326"/>
      <c r="BL1377" s="326"/>
      <c r="BM1377" s="327"/>
      <c r="BN1377" s="558" t="s">
        <v>303</v>
      </c>
      <c r="BO1377" s="326"/>
      <c r="BP1377" s="326"/>
      <c r="BQ1377" s="326"/>
      <c r="BR1377" s="326"/>
      <c r="BS1377" s="326"/>
      <c r="BT1377" s="326"/>
      <c r="BU1377" s="326"/>
      <c r="BV1377" s="327"/>
    </row>
    <row r="1378" spans="1:74" ht="45" customHeight="1" x14ac:dyDescent="0.25">
      <c r="A1378" s="10">
        <f t="shared" si="5"/>
        <v>1364</v>
      </c>
      <c r="B1378" s="564" t="s">
        <v>303</v>
      </c>
      <c r="C1378" s="327"/>
      <c r="D1378" s="565" t="s">
        <v>307</v>
      </c>
      <c r="E1378" s="327"/>
      <c r="F1378" s="537" t="s">
        <v>334</v>
      </c>
      <c r="G1378" s="327"/>
      <c r="H1378" s="561" t="s">
        <v>334</v>
      </c>
      <c r="I1378" s="327"/>
      <c r="J1378" s="562"/>
      <c r="K1378" s="327"/>
      <c r="L1378" s="562"/>
      <c r="M1378" s="327"/>
      <c r="N1378" s="23"/>
      <c r="O1378" s="21"/>
      <c r="P1378" s="563"/>
      <c r="Q1378" s="327"/>
      <c r="R1378" s="516"/>
      <c r="S1378" s="327"/>
      <c r="T1378" s="517"/>
      <c r="U1378" s="327"/>
      <c r="V1378" s="518"/>
      <c r="W1378" s="327"/>
      <c r="X1378" s="438" t="s">
        <v>303</v>
      </c>
      <c r="Y1378" s="326"/>
      <c r="Z1378" s="326"/>
      <c r="AA1378" s="327"/>
      <c r="AB1378" s="519" t="s">
        <v>303</v>
      </c>
      <c r="AC1378" s="326"/>
      <c r="AD1378" s="326"/>
      <c r="AE1378" s="327"/>
      <c r="AF1378" s="520"/>
      <c r="AG1378" s="327"/>
      <c r="AH1378" s="520"/>
      <c r="AI1378" s="327"/>
      <c r="AJ1378" s="536"/>
      <c r="AK1378" s="327"/>
      <c r="AL1378" s="556" t="s">
        <v>334</v>
      </c>
      <c r="AM1378" s="327"/>
      <c r="AN1378" s="553" t="s">
        <v>334</v>
      </c>
      <c r="AO1378" s="327"/>
      <c r="AP1378" s="554"/>
      <c r="AQ1378" s="327"/>
      <c r="AR1378" s="555"/>
      <c r="AS1378" s="327"/>
      <c r="AT1378" s="549"/>
      <c r="AU1378" s="327"/>
      <c r="AV1378" s="553" t="s">
        <v>334</v>
      </c>
      <c r="AW1378" s="327"/>
      <c r="AX1378" s="521"/>
      <c r="AY1378" s="326"/>
      <c r="AZ1378" s="327"/>
      <c r="BA1378" s="536"/>
      <c r="BB1378" s="327"/>
      <c r="BC1378" s="22"/>
      <c r="BD1378" s="551" t="s">
        <v>334</v>
      </c>
      <c r="BE1378" s="327"/>
      <c r="BF1378" s="552"/>
      <c r="BG1378" s="326"/>
      <c r="BH1378" s="326"/>
      <c r="BI1378" s="327"/>
      <c r="BJ1378" s="451" t="s">
        <v>303</v>
      </c>
      <c r="BK1378" s="326"/>
      <c r="BL1378" s="326"/>
      <c r="BM1378" s="327"/>
      <c r="BN1378" s="558" t="s">
        <v>303</v>
      </c>
      <c r="BO1378" s="326"/>
      <c r="BP1378" s="326"/>
      <c r="BQ1378" s="326"/>
      <c r="BR1378" s="326"/>
      <c r="BS1378" s="326"/>
      <c r="BT1378" s="326"/>
      <c r="BU1378" s="326"/>
      <c r="BV1378" s="327"/>
    </row>
    <row r="1379" spans="1:74" ht="45" customHeight="1" x14ac:dyDescent="0.25">
      <c r="A1379" s="10">
        <f t="shared" si="5"/>
        <v>1365</v>
      </c>
      <c r="B1379" s="559" t="s">
        <v>303</v>
      </c>
      <c r="C1379" s="327"/>
      <c r="D1379" s="560" t="s">
        <v>307</v>
      </c>
      <c r="E1379" s="327"/>
      <c r="F1379" s="537" t="s">
        <v>334</v>
      </c>
      <c r="G1379" s="327"/>
      <c r="H1379" s="566" t="s">
        <v>334</v>
      </c>
      <c r="I1379" s="327"/>
      <c r="J1379" s="567"/>
      <c r="K1379" s="327"/>
      <c r="L1379" s="567"/>
      <c r="M1379" s="327"/>
      <c r="N1379" s="23"/>
      <c r="O1379" s="24"/>
      <c r="P1379" s="563"/>
      <c r="Q1379" s="327"/>
      <c r="R1379" s="538"/>
      <c r="S1379" s="327"/>
      <c r="T1379" s="539"/>
      <c r="U1379" s="327"/>
      <c r="V1379" s="540"/>
      <c r="W1379" s="327"/>
      <c r="X1379" s="541" t="s">
        <v>303</v>
      </c>
      <c r="Y1379" s="326"/>
      <c r="Z1379" s="326"/>
      <c r="AA1379" s="327"/>
      <c r="AB1379" s="542" t="s">
        <v>303</v>
      </c>
      <c r="AC1379" s="326"/>
      <c r="AD1379" s="326"/>
      <c r="AE1379" s="327"/>
      <c r="AF1379" s="543"/>
      <c r="AG1379" s="327"/>
      <c r="AH1379" s="543"/>
      <c r="AI1379" s="327"/>
      <c r="AJ1379" s="536"/>
      <c r="AK1379" s="327"/>
      <c r="AL1379" s="537" t="s">
        <v>334</v>
      </c>
      <c r="AM1379" s="327"/>
      <c r="AN1379" s="546" t="s">
        <v>334</v>
      </c>
      <c r="AO1379" s="327"/>
      <c r="AP1379" s="547"/>
      <c r="AQ1379" s="327"/>
      <c r="AR1379" s="548"/>
      <c r="AS1379" s="327"/>
      <c r="AT1379" s="549"/>
      <c r="AU1379" s="327"/>
      <c r="AV1379" s="546" t="s">
        <v>334</v>
      </c>
      <c r="AW1379" s="327"/>
      <c r="AX1379" s="521"/>
      <c r="AY1379" s="326"/>
      <c r="AZ1379" s="327"/>
      <c r="BA1379" s="550"/>
      <c r="BB1379" s="327"/>
      <c r="BC1379" s="25"/>
      <c r="BD1379" s="544" t="s">
        <v>334</v>
      </c>
      <c r="BE1379" s="327"/>
      <c r="BF1379" s="545"/>
      <c r="BG1379" s="326"/>
      <c r="BH1379" s="326"/>
      <c r="BI1379" s="327"/>
      <c r="BJ1379" s="557" t="s">
        <v>303</v>
      </c>
      <c r="BK1379" s="326"/>
      <c r="BL1379" s="326"/>
      <c r="BM1379" s="327"/>
      <c r="BN1379" s="558" t="s">
        <v>303</v>
      </c>
      <c r="BO1379" s="326"/>
      <c r="BP1379" s="326"/>
      <c r="BQ1379" s="326"/>
      <c r="BR1379" s="326"/>
      <c r="BS1379" s="326"/>
      <c r="BT1379" s="326"/>
      <c r="BU1379" s="326"/>
      <c r="BV1379" s="327"/>
    </row>
    <row r="1380" spans="1:74" ht="45" customHeight="1" x14ac:dyDescent="0.25">
      <c r="A1380" s="10">
        <f t="shared" si="5"/>
        <v>1366</v>
      </c>
      <c r="B1380" s="564" t="s">
        <v>303</v>
      </c>
      <c r="C1380" s="327"/>
      <c r="D1380" s="565" t="s">
        <v>307</v>
      </c>
      <c r="E1380" s="327"/>
      <c r="F1380" s="537" t="s">
        <v>334</v>
      </c>
      <c r="G1380" s="327"/>
      <c r="H1380" s="561" t="s">
        <v>334</v>
      </c>
      <c r="I1380" s="327"/>
      <c r="J1380" s="562"/>
      <c r="K1380" s="327"/>
      <c r="L1380" s="562"/>
      <c r="M1380" s="327"/>
      <c r="N1380" s="20"/>
      <c r="O1380" s="21"/>
      <c r="P1380" s="524"/>
      <c r="Q1380" s="327"/>
      <c r="R1380" s="516"/>
      <c r="S1380" s="327"/>
      <c r="T1380" s="517"/>
      <c r="U1380" s="327"/>
      <c r="V1380" s="518"/>
      <c r="W1380" s="327"/>
      <c r="X1380" s="438" t="s">
        <v>303</v>
      </c>
      <c r="Y1380" s="326"/>
      <c r="Z1380" s="326"/>
      <c r="AA1380" s="327"/>
      <c r="AB1380" s="519" t="s">
        <v>303</v>
      </c>
      <c r="AC1380" s="326"/>
      <c r="AD1380" s="326"/>
      <c r="AE1380" s="327"/>
      <c r="AF1380" s="520"/>
      <c r="AG1380" s="327"/>
      <c r="AH1380" s="520"/>
      <c r="AI1380" s="327"/>
      <c r="AJ1380" s="536"/>
      <c r="AK1380" s="327"/>
      <c r="AL1380" s="556" t="s">
        <v>334</v>
      </c>
      <c r="AM1380" s="327"/>
      <c r="AN1380" s="553" t="s">
        <v>334</v>
      </c>
      <c r="AO1380" s="327"/>
      <c r="AP1380" s="554"/>
      <c r="AQ1380" s="327"/>
      <c r="AR1380" s="555"/>
      <c r="AS1380" s="327"/>
      <c r="AT1380" s="549"/>
      <c r="AU1380" s="327"/>
      <c r="AV1380" s="553" t="s">
        <v>334</v>
      </c>
      <c r="AW1380" s="327"/>
      <c r="AX1380" s="521"/>
      <c r="AY1380" s="326"/>
      <c r="AZ1380" s="327"/>
      <c r="BA1380" s="536"/>
      <c r="BB1380" s="327"/>
      <c r="BC1380" s="22"/>
      <c r="BD1380" s="551" t="s">
        <v>334</v>
      </c>
      <c r="BE1380" s="327"/>
      <c r="BF1380" s="552"/>
      <c r="BG1380" s="326"/>
      <c r="BH1380" s="326"/>
      <c r="BI1380" s="327"/>
      <c r="BJ1380" s="451" t="s">
        <v>303</v>
      </c>
      <c r="BK1380" s="326"/>
      <c r="BL1380" s="326"/>
      <c r="BM1380" s="327"/>
      <c r="BN1380" s="558" t="s">
        <v>303</v>
      </c>
      <c r="BO1380" s="326"/>
      <c r="BP1380" s="326"/>
      <c r="BQ1380" s="326"/>
      <c r="BR1380" s="326"/>
      <c r="BS1380" s="326"/>
      <c r="BT1380" s="326"/>
      <c r="BU1380" s="326"/>
      <c r="BV1380" s="327"/>
    </row>
    <row r="1381" spans="1:74" ht="45" customHeight="1" x14ac:dyDescent="0.25">
      <c r="A1381" s="10">
        <f t="shared" si="5"/>
        <v>1367</v>
      </c>
      <c r="B1381" s="559" t="s">
        <v>303</v>
      </c>
      <c r="C1381" s="327"/>
      <c r="D1381" s="560" t="s">
        <v>307</v>
      </c>
      <c r="E1381" s="327"/>
      <c r="F1381" s="537" t="s">
        <v>334</v>
      </c>
      <c r="G1381" s="327"/>
      <c r="H1381" s="566" t="s">
        <v>334</v>
      </c>
      <c r="I1381" s="327"/>
      <c r="J1381" s="567"/>
      <c r="K1381" s="327"/>
      <c r="L1381" s="567"/>
      <c r="M1381" s="327"/>
      <c r="N1381" s="23"/>
      <c r="O1381" s="24"/>
      <c r="P1381" s="563"/>
      <c r="Q1381" s="327"/>
      <c r="R1381" s="538"/>
      <c r="S1381" s="327"/>
      <c r="T1381" s="539"/>
      <c r="U1381" s="327"/>
      <c r="V1381" s="540"/>
      <c r="W1381" s="327"/>
      <c r="X1381" s="541" t="s">
        <v>303</v>
      </c>
      <c r="Y1381" s="326"/>
      <c r="Z1381" s="326"/>
      <c r="AA1381" s="327"/>
      <c r="AB1381" s="542" t="s">
        <v>303</v>
      </c>
      <c r="AC1381" s="326"/>
      <c r="AD1381" s="326"/>
      <c r="AE1381" s="327"/>
      <c r="AF1381" s="543"/>
      <c r="AG1381" s="327"/>
      <c r="AH1381" s="543"/>
      <c r="AI1381" s="327"/>
      <c r="AJ1381" s="536"/>
      <c r="AK1381" s="327"/>
      <c r="AL1381" s="537" t="s">
        <v>334</v>
      </c>
      <c r="AM1381" s="327"/>
      <c r="AN1381" s="546" t="s">
        <v>334</v>
      </c>
      <c r="AO1381" s="327"/>
      <c r="AP1381" s="547"/>
      <c r="AQ1381" s="327"/>
      <c r="AR1381" s="548"/>
      <c r="AS1381" s="327"/>
      <c r="AT1381" s="549"/>
      <c r="AU1381" s="327"/>
      <c r="AV1381" s="546" t="s">
        <v>334</v>
      </c>
      <c r="AW1381" s="327"/>
      <c r="AX1381" s="521"/>
      <c r="AY1381" s="326"/>
      <c r="AZ1381" s="327"/>
      <c r="BA1381" s="550"/>
      <c r="BB1381" s="327"/>
      <c r="BC1381" s="25"/>
      <c r="BD1381" s="544" t="s">
        <v>334</v>
      </c>
      <c r="BE1381" s="327"/>
      <c r="BF1381" s="545"/>
      <c r="BG1381" s="326"/>
      <c r="BH1381" s="326"/>
      <c r="BI1381" s="327"/>
      <c r="BJ1381" s="557" t="s">
        <v>303</v>
      </c>
      <c r="BK1381" s="326"/>
      <c r="BL1381" s="326"/>
      <c r="BM1381" s="327"/>
      <c r="BN1381" s="558" t="s">
        <v>303</v>
      </c>
      <c r="BO1381" s="326"/>
      <c r="BP1381" s="326"/>
      <c r="BQ1381" s="326"/>
      <c r="BR1381" s="326"/>
      <c r="BS1381" s="326"/>
      <c r="BT1381" s="326"/>
      <c r="BU1381" s="326"/>
      <c r="BV1381" s="327"/>
    </row>
    <row r="1382" spans="1:74" ht="45" customHeight="1" x14ac:dyDescent="0.25">
      <c r="A1382" s="10">
        <f t="shared" si="5"/>
        <v>1368</v>
      </c>
      <c r="B1382" s="564" t="s">
        <v>303</v>
      </c>
      <c r="C1382" s="327"/>
      <c r="D1382" s="565" t="s">
        <v>307</v>
      </c>
      <c r="E1382" s="327"/>
      <c r="F1382" s="537" t="s">
        <v>334</v>
      </c>
      <c r="G1382" s="327"/>
      <c r="H1382" s="561" t="s">
        <v>334</v>
      </c>
      <c r="I1382" s="327"/>
      <c r="J1382" s="562"/>
      <c r="K1382" s="327"/>
      <c r="L1382" s="562"/>
      <c r="M1382" s="327"/>
      <c r="N1382" s="20"/>
      <c r="O1382" s="21"/>
      <c r="P1382" s="524"/>
      <c r="Q1382" s="327"/>
      <c r="R1382" s="516"/>
      <c r="S1382" s="327"/>
      <c r="T1382" s="517"/>
      <c r="U1382" s="327"/>
      <c r="V1382" s="518"/>
      <c r="W1382" s="327"/>
      <c r="X1382" s="438" t="s">
        <v>303</v>
      </c>
      <c r="Y1382" s="326"/>
      <c r="Z1382" s="326"/>
      <c r="AA1382" s="327"/>
      <c r="AB1382" s="519" t="s">
        <v>303</v>
      </c>
      <c r="AC1382" s="326"/>
      <c r="AD1382" s="326"/>
      <c r="AE1382" s="327"/>
      <c r="AF1382" s="520"/>
      <c r="AG1382" s="327"/>
      <c r="AH1382" s="520"/>
      <c r="AI1382" s="327"/>
      <c r="AJ1382" s="536"/>
      <c r="AK1382" s="327"/>
      <c r="AL1382" s="556" t="s">
        <v>334</v>
      </c>
      <c r="AM1382" s="327"/>
      <c r="AN1382" s="553" t="s">
        <v>334</v>
      </c>
      <c r="AO1382" s="327"/>
      <c r="AP1382" s="554"/>
      <c r="AQ1382" s="327"/>
      <c r="AR1382" s="555"/>
      <c r="AS1382" s="327"/>
      <c r="AT1382" s="549"/>
      <c r="AU1382" s="327"/>
      <c r="AV1382" s="553" t="s">
        <v>334</v>
      </c>
      <c r="AW1382" s="327"/>
      <c r="AX1382" s="521"/>
      <c r="AY1382" s="326"/>
      <c r="AZ1382" s="327"/>
      <c r="BA1382" s="536"/>
      <c r="BB1382" s="327"/>
      <c r="BC1382" s="22"/>
      <c r="BD1382" s="551" t="s">
        <v>334</v>
      </c>
      <c r="BE1382" s="327"/>
      <c r="BF1382" s="552"/>
      <c r="BG1382" s="326"/>
      <c r="BH1382" s="326"/>
      <c r="BI1382" s="327"/>
      <c r="BJ1382" s="451" t="s">
        <v>303</v>
      </c>
      <c r="BK1382" s="326"/>
      <c r="BL1382" s="326"/>
      <c r="BM1382" s="327"/>
      <c r="BN1382" s="558" t="s">
        <v>303</v>
      </c>
      <c r="BO1382" s="326"/>
      <c r="BP1382" s="326"/>
      <c r="BQ1382" s="326"/>
      <c r="BR1382" s="326"/>
      <c r="BS1382" s="326"/>
      <c r="BT1382" s="326"/>
      <c r="BU1382" s="326"/>
      <c r="BV1382" s="327"/>
    </row>
    <row r="1383" spans="1:74" ht="45" customHeight="1" x14ac:dyDescent="0.25">
      <c r="A1383" s="10">
        <f t="shared" si="5"/>
        <v>1369</v>
      </c>
      <c r="B1383" s="559" t="s">
        <v>303</v>
      </c>
      <c r="C1383" s="327"/>
      <c r="D1383" s="560" t="s">
        <v>307</v>
      </c>
      <c r="E1383" s="327"/>
      <c r="F1383" s="537" t="s">
        <v>334</v>
      </c>
      <c r="G1383" s="327"/>
      <c r="H1383" s="566" t="s">
        <v>334</v>
      </c>
      <c r="I1383" s="327"/>
      <c r="J1383" s="567"/>
      <c r="K1383" s="327"/>
      <c r="L1383" s="567"/>
      <c r="M1383" s="327"/>
      <c r="N1383" s="23"/>
      <c r="O1383" s="24"/>
      <c r="P1383" s="563"/>
      <c r="Q1383" s="327"/>
      <c r="R1383" s="538"/>
      <c r="S1383" s="327"/>
      <c r="T1383" s="539"/>
      <c r="U1383" s="327"/>
      <c r="V1383" s="540"/>
      <c r="W1383" s="327"/>
      <c r="X1383" s="541" t="s">
        <v>303</v>
      </c>
      <c r="Y1383" s="326"/>
      <c r="Z1383" s="326"/>
      <c r="AA1383" s="327"/>
      <c r="AB1383" s="542" t="s">
        <v>303</v>
      </c>
      <c r="AC1383" s="326"/>
      <c r="AD1383" s="326"/>
      <c r="AE1383" s="327"/>
      <c r="AF1383" s="543"/>
      <c r="AG1383" s="327"/>
      <c r="AH1383" s="543"/>
      <c r="AI1383" s="327"/>
      <c r="AJ1383" s="536"/>
      <c r="AK1383" s="327"/>
      <c r="AL1383" s="537" t="s">
        <v>334</v>
      </c>
      <c r="AM1383" s="327"/>
      <c r="AN1383" s="546" t="s">
        <v>334</v>
      </c>
      <c r="AO1383" s="327"/>
      <c r="AP1383" s="547"/>
      <c r="AQ1383" s="327"/>
      <c r="AR1383" s="548"/>
      <c r="AS1383" s="327"/>
      <c r="AT1383" s="568"/>
      <c r="AU1383" s="327"/>
      <c r="AV1383" s="546" t="s">
        <v>334</v>
      </c>
      <c r="AW1383" s="327"/>
      <c r="AX1383" s="521"/>
      <c r="AY1383" s="326"/>
      <c r="AZ1383" s="327"/>
      <c r="BA1383" s="550"/>
      <c r="BB1383" s="327"/>
      <c r="BC1383" s="25"/>
      <c r="BD1383" s="544" t="s">
        <v>334</v>
      </c>
      <c r="BE1383" s="327"/>
      <c r="BF1383" s="545"/>
      <c r="BG1383" s="326"/>
      <c r="BH1383" s="326"/>
      <c r="BI1383" s="327"/>
      <c r="BJ1383" s="557" t="s">
        <v>303</v>
      </c>
      <c r="BK1383" s="326"/>
      <c r="BL1383" s="326"/>
      <c r="BM1383" s="327"/>
      <c r="BN1383" s="558" t="s">
        <v>303</v>
      </c>
      <c r="BO1383" s="326"/>
      <c r="BP1383" s="326"/>
      <c r="BQ1383" s="326"/>
      <c r="BR1383" s="326"/>
      <c r="BS1383" s="326"/>
      <c r="BT1383" s="326"/>
      <c r="BU1383" s="326"/>
      <c r="BV1383" s="327"/>
    </row>
    <row r="1384" spans="1:74" ht="45" customHeight="1" x14ac:dyDescent="0.25">
      <c r="A1384" s="10">
        <f t="shared" si="5"/>
        <v>1370</v>
      </c>
      <c r="B1384" s="564" t="s">
        <v>303</v>
      </c>
      <c r="C1384" s="327"/>
      <c r="D1384" s="565" t="s">
        <v>307</v>
      </c>
      <c r="E1384" s="327"/>
      <c r="F1384" s="537" t="s">
        <v>334</v>
      </c>
      <c r="G1384" s="327"/>
      <c r="H1384" s="561" t="s">
        <v>334</v>
      </c>
      <c r="I1384" s="327"/>
      <c r="J1384" s="562"/>
      <c r="K1384" s="327"/>
      <c r="L1384" s="562"/>
      <c r="M1384" s="327"/>
      <c r="N1384" s="20"/>
      <c r="O1384" s="21"/>
      <c r="P1384" s="524"/>
      <c r="Q1384" s="327"/>
      <c r="R1384" s="516"/>
      <c r="S1384" s="327"/>
      <c r="T1384" s="517"/>
      <c r="U1384" s="327"/>
      <c r="V1384" s="518"/>
      <c r="W1384" s="327"/>
      <c r="X1384" s="438" t="s">
        <v>303</v>
      </c>
      <c r="Y1384" s="326"/>
      <c r="Z1384" s="326"/>
      <c r="AA1384" s="327"/>
      <c r="AB1384" s="519" t="s">
        <v>303</v>
      </c>
      <c r="AC1384" s="326"/>
      <c r="AD1384" s="326"/>
      <c r="AE1384" s="327"/>
      <c r="AF1384" s="520"/>
      <c r="AG1384" s="327"/>
      <c r="AH1384" s="520"/>
      <c r="AI1384" s="327"/>
      <c r="AJ1384" s="536"/>
      <c r="AK1384" s="327"/>
      <c r="AL1384" s="556" t="s">
        <v>334</v>
      </c>
      <c r="AM1384" s="327"/>
      <c r="AN1384" s="553" t="s">
        <v>334</v>
      </c>
      <c r="AO1384" s="327"/>
      <c r="AP1384" s="554"/>
      <c r="AQ1384" s="327"/>
      <c r="AR1384" s="555"/>
      <c r="AS1384" s="327"/>
      <c r="AT1384" s="549"/>
      <c r="AU1384" s="327"/>
      <c r="AV1384" s="553" t="s">
        <v>334</v>
      </c>
      <c r="AW1384" s="327"/>
      <c r="AX1384" s="521"/>
      <c r="AY1384" s="326"/>
      <c r="AZ1384" s="327"/>
      <c r="BA1384" s="536"/>
      <c r="BB1384" s="327"/>
      <c r="BC1384" s="22"/>
      <c r="BD1384" s="551" t="s">
        <v>334</v>
      </c>
      <c r="BE1384" s="327"/>
      <c r="BF1384" s="508"/>
      <c r="BG1384" s="326"/>
      <c r="BH1384" s="326"/>
      <c r="BI1384" s="327"/>
      <c r="BJ1384" s="451" t="s">
        <v>303</v>
      </c>
      <c r="BK1384" s="326"/>
      <c r="BL1384" s="326"/>
      <c r="BM1384" s="327"/>
      <c r="BN1384" s="558" t="s">
        <v>303</v>
      </c>
      <c r="BO1384" s="326"/>
      <c r="BP1384" s="326"/>
      <c r="BQ1384" s="326"/>
      <c r="BR1384" s="326"/>
      <c r="BS1384" s="326"/>
      <c r="BT1384" s="326"/>
      <c r="BU1384" s="326"/>
      <c r="BV1384" s="327"/>
    </row>
    <row r="1385" spans="1:74" ht="45" customHeight="1" x14ac:dyDescent="0.25">
      <c r="A1385" s="10">
        <f t="shared" si="5"/>
        <v>1371</v>
      </c>
      <c r="B1385" s="559" t="s">
        <v>303</v>
      </c>
      <c r="C1385" s="327"/>
      <c r="D1385" s="560" t="s">
        <v>307</v>
      </c>
      <c r="E1385" s="327"/>
      <c r="F1385" s="537" t="s">
        <v>334</v>
      </c>
      <c r="G1385" s="327"/>
      <c r="H1385" s="566" t="s">
        <v>334</v>
      </c>
      <c r="I1385" s="327"/>
      <c r="J1385" s="567"/>
      <c r="K1385" s="327"/>
      <c r="L1385" s="567"/>
      <c r="M1385" s="327"/>
      <c r="N1385" s="23"/>
      <c r="O1385" s="24"/>
      <c r="P1385" s="563"/>
      <c r="Q1385" s="327"/>
      <c r="R1385" s="538"/>
      <c r="S1385" s="327"/>
      <c r="T1385" s="539"/>
      <c r="U1385" s="327"/>
      <c r="V1385" s="540"/>
      <c r="W1385" s="327"/>
      <c r="X1385" s="541" t="s">
        <v>303</v>
      </c>
      <c r="Y1385" s="326"/>
      <c r="Z1385" s="326"/>
      <c r="AA1385" s="327"/>
      <c r="AB1385" s="542" t="s">
        <v>303</v>
      </c>
      <c r="AC1385" s="326"/>
      <c r="AD1385" s="326"/>
      <c r="AE1385" s="327"/>
      <c r="AF1385" s="543"/>
      <c r="AG1385" s="327"/>
      <c r="AH1385" s="543"/>
      <c r="AI1385" s="327"/>
      <c r="AJ1385" s="536"/>
      <c r="AK1385" s="327"/>
      <c r="AL1385" s="537" t="s">
        <v>334</v>
      </c>
      <c r="AM1385" s="327"/>
      <c r="AN1385" s="546" t="s">
        <v>334</v>
      </c>
      <c r="AO1385" s="327"/>
      <c r="AP1385" s="547"/>
      <c r="AQ1385" s="327"/>
      <c r="AR1385" s="548"/>
      <c r="AS1385" s="327"/>
      <c r="AT1385" s="568"/>
      <c r="AU1385" s="327"/>
      <c r="AV1385" s="546" t="s">
        <v>334</v>
      </c>
      <c r="AW1385" s="327"/>
      <c r="AX1385" s="521"/>
      <c r="AY1385" s="326"/>
      <c r="AZ1385" s="327"/>
      <c r="BA1385" s="550"/>
      <c r="BB1385" s="327"/>
      <c r="BC1385" s="25"/>
      <c r="BD1385" s="544" t="s">
        <v>334</v>
      </c>
      <c r="BE1385" s="327"/>
      <c r="BF1385" s="545"/>
      <c r="BG1385" s="326"/>
      <c r="BH1385" s="326"/>
      <c r="BI1385" s="327"/>
      <c r="BJ1385" s="557" t="s">
        <v>303</v>
      </c>
      <c r="BK1385" s="326"/>
      <c r="BL1385" s="326"/>
      <c r="BM1385" s="327"/>
      <c r="BN1385" s="558" t="s">
        <v>303</v>
      </c>
      <c r="BO1385" s="326"/>
      <c r="BP1385" s="326"/>
      <c r="BQ1385" s="326"/>
      <c r="BR1385" s="326"/>
      <c r="BS1385" s="326"/>
      <c r="BT1385" s="326"/>
      <c r="BU1385" s="326"/>
      <c r="BV1385" s="327"/>
    </row>
    <row r="1386" spans="1:74" ht="45" customHeight="1" x14ac:dyDescent="0.25">
      <c r="A1386" s="10">
        <f t="shared" si="5"/>
        <v>1372</v>
      </c>
      <c r="B1386" s="564" t="s">
        <v>303</v>
      </c>
      <c r="C1386" s="327"/>
      <c r="D1386" s="565" t="s">
        <v>307</v>
      </c>
      <c r="E1386" s="327"/>
      <c r="F1386" s="537" t="s">
        <v>334</v>
      </c>
      <c r="G1386" s="327"/>
      <c r="H1386" s="561" t="s">
        <v>334</v>
      </c>
      <c r="I1386" s="327"/>
      <c r="J1386" s="562"/>
      <c r="K1386" s="327"/>
      <c r="L1386" s="562"/>
      <c r="M1386" s="327"/>
      <c r="N1386" s="20"/>
      <c r="O1386" s="21"/>
      <c r="P1386" s="524"/>
      <c r="Q1386" s="327"/>
      <c r="R1386" s="516"/>
      <c r="S1386" s="327"/>
      <c r="T1386" s="517"/>
      <c r="U1386" s="327"/>
      <c r="V1386" s="518"/>
      <c r="W1386" s="327"/>
      <c r="X1386" s="438" t="s">
        <v>303</v>
      </c>
      <c r="Y1386" s="326"/>
      <c r="Z1386" s="326"/>
      <c r="AA1386" s="327"/>
      <c r="AB1386" s="519" t="s">
        <v>303</v>
      </c>
      <c r="AC1386" s="326"/>
      <c r="AD1386" s="326"/>
      <c r="AE1386" s="327"/>
      <c r="AF1386" s="520"/>
      <c r="AG1386" s="327"/>
      <c r="AH1386" s="520"/>
      <c r="AI1386" s="327"/>
      <c r="AJ1386" s="536"/>
      <c r="AK1386" s="327"/>
      <c r="AL1386" s="556" t="s">
        <v>334</v>
      </c>
      <c r="AM1386" s="327"/>
      <c r="AN1386" s="553" t="s">
        <v>334</v>
      </c>
      <c r="AO1386" s="327"/>
      <c r="AP1386" s="554"/>
      <c r="AQ1386" s="327"/>
      <c r="AR1386" s="555"/>
      <c r="AS1386" s="327"/>
      <c r="AT1386" s="549"/>
      <c r="AU1386" s="327"/>
      <c r="AV1386" s="553" t="s">
        <v>334</v>
      </c>
      <c r="AW1386" s="327"/>
      <c r="AX1386" s="521"/>
      <c r="AY1386" s="326"/>
      <c r="AZ1386" s="327"/>
      <c r="BA1386" s="536"/>
      <c r="BB1386" s="327"/>
      <c r="BC1386" s="22"/>
      <c r="BD1386" s="551" t="s">
        <v>334</v>
      </c>
      <c r="BE1386" s="327"/>
      <c r="BF1386" s="552"/>
      <c r="BG1386" s="326"/>
      <c r="BH1386" s="326"/>
      <c r="BI1386" s="327"/>
      <c r="BJ1386" s="451" t="s">
        <v>303</v>
      </c>
      <c r="BK1386" s="326"/>
      <c r="BL1386" s="326"/>
      <c r="BM1386" s="327"/>
      <c r="BN1386" s="558" t="s">
        <v>303</v>
      </c>
      <c r="BO1386" s="326"/>
      <c r="BP1386" s="326"/>
      <c r="BQ1386" s="326"/>
      <c r="BR1386" s="326"/>
      <c r="BS1386" s="326"/>
      <c r="BT1386" s="326"/>
      <c r="BU1386" s="326"/>
      <c r="BV1386" s="327"/>
    </row>
    <row r="1387" spans="1:74" ht="45" customHeight="1" x14ac:dyDescent="0.25">
      <c r="A1387" s="10">
        <f t="shared" si="5"/>
        <v>1373</v>
      </c>
      <c r="B1387" s="559" t="s">
        <v>303</v>
      </c>
      <c r="C1387" s="327"/>
      <c r="D1387" s="560" t="s">
        <v>307</v>
      </c>
      <c r="E1387" s="327"/>
      <c r="F1387" s="537" t="s">
        <v>334</v>
      </c>
      <c r="G1387" s="327"/>
      <c r="H1387" s="566" t="s">
        <v>334</v>
      </c>
      <c r="I1387" s="327"/>
      <c r="J1387" s="567"/>
      <c r="K1387" s="327"/>
      <c r="L1387" s="567"/>
      <c r="M1387" s="327"/>
      <c r="N1387" s="23"/>
      <c r="O1387" s="24"/>
      <c r="P1387" s="563"/>
      <c r="Q1387" s="327"/>
      <c r="R1387" s="538"/>
      <c r="S1387" s="327"/>
      <c r="T1387" s="539"/>
      <c r="U1387" s="327"/>
      <c r="V1387" s="540"/>
      <c r="W1387" s="327"/>
      <c r="X1387" s="541" t="s">
        <v>303</v>
      </c>
      <c r="Y1387" s="326"/>
      <c r="Z1387" s="326"/>
      <c r="AA1387" s="327"/>
      <c r="AB1387" s="542" t="s">
        <v>303</v>
      </c>
      <c r="AC1387" s="326"/>
      <c r="AD1387" s="326"/>
      <c r="AE1387" s="327"/>
      <c r="AF1387" s="543"/>
      <c r="AG1387" s="327"/>
      <c r="AH1387" s="543"/>
      <c r="AI1387" s="327"/>
      <c r="AJ1387" s="536"/>
      <c r="AK1387" s="327"/>
      <c r="AL1387" s="537" t="s">
        <v>334</v>
      </c>
      <c r="AM1387" s="327"/>
      <c r="AN1387" s="546" t="s">
        <v>334</v>
      </c>
      <c r="AO1387" s="327"/>
      <c r="AP1387" s="547"/>
      <c r="AQ1387" s="327"/>
      <c r="AR1387" s="548"/>
      <c r="AS1387" s="327"/>
      <c r="AT1387" s="568"/>
      <c r="AU1387" s="327"/>
      <c r="AV1387" s="546" t="s">
        <v>334</v>
      </c>
      <c r="AW1387" s="327"/>
      <c r="AX1387" s="521"/>
      <c r="AY1387" s="326"/>
      <c r="AZ1387" s="327"/>
      <c r="BA1387" s="550"/>
      <c r="BB1387" s="327"/>
      <c r="BC1387" s="25"/>
      <c r="BD1387" s="544" t="s">
        <v>334</v>
      </c>
      <c r="BE1387" s="327"/>
      <c r="BF1387" s="545"/>
      <c r="BG1387" s="326"/>
      <c r="BH1387" s="326"/>
      <c r="BI1387" s="327"/>
      <c r="BJ1387" s="557" t="s">
        <v>303</v>
      </c>
      <c r="BK1387" s="326"/>
      <c r="BL1387" s="326"/>
      <c r="BM1387" s="327"/>
      <c r="BN1387" s="558" t="s">
        <v>303</v>
      </c>
      <c r="BO1387" s="326"/>
      <c r="BP1387" s="326"/>
      <c r="BQ1387" s="326"/>
      <c r="BR1387" s="326"/>
      <c r="BS1387" s="326"/>
      <c r="BT1387" s="326"/>
      <c r="BU1387" s="326"/>
      <c r="BV1387" s="327"/>
    </row>
    <row r="1388" spans="1:74" ht="45" customHeight="1" x14ac:dyDescent="0.25">
      <c r="A1388" s="10">
        <f t="shared" si="5"/>
        <v>1374</v>
      </c>
      <c r="B1388" s="564" t="s">
        <v>303</v>
      </c>
      <c r="C1388" s="327"/>
      <c r="D1388" s="565" t="s">
        <v>307</v>
      </c>
      <c r="E1388" s="327"/>
      <c r="F1388" s="537" t="s">
        <v>334</v>
      </c>
      <c r="G1388" s="327"/>
      <c r="H1388" s="561" t="s">
        <v>334</v>
      </c>
      <c r="I1388" s="327"/>
      <c r="J1388" s="562"/>
      <c r="K1388" s="327"/>
      <c r="L1388" s="562"/>
      <c r="M1388" s="327"/>
      <c r="N1388" s="20"/>
      <c r="O1388" s="21"/>
      <c r="P1388" s="524"/>
      <c r="Q1388" s="327"/>
      <c r="R1388" s="516"/>
      <c r="S1388" s="327"/>
      <c r="T1388" s="517"/>
      <c r="U1388" s="327"/>
      <c r="V1388" s="518"/>
      <c r="W1388" s="327"/>
      <c r="X1388" s="438" t="s">
        <v>303</v>
      </c>
      <c r="Y1388" s="326"/>
      <c r="Z1388" s="326"/>
      <c r="AA1388" s="327"/>
      <c r="AB1388" s="519" t="s">
        <v>303</v>
      </c>
      <c r="AC1388" s="326"/>
      <c r="AD1388" s="326"/>
      <c r="AE1388" s="327"/>
      <c r="AF1388" s="520"/>
      <c r="AG1388" s="327"/>
      <c r="AH1388" s="520"/>
      <c r="AI1388" s="327"/>
      <c r="AJ1388" s="536"/>
      <c r="AK1388" s="327"/>
      <c r="AL1388" s="556" t="s">
        <v>334</v>
      </c>
      <c r="AM1388" s="327"/>
      <c r="AN1388" s="553" t="s">
        <v>334</v>
      </c>
      <c r="AO1388" s="327"/>
      <c r="AP1388" s="554"/>
      <c r="AQ1388" s="327"/>
      <c r="AR1388" s="555"/>
      <c r="AS1388" s="327"/>
      <c r="AT1388" s="549"/>
      <c r="AU1388" s="327"/>
      <c r="AV1388" s="553" t="s">
        <v>334</v>
      </c>
      <c r="AW1388" s="327"/>
      <c r="AX1388" s="521"/>
      <c r="AY1388" s="326"/>
      <c r="AZ1388" s="327"/>
      <c r="BA1388" s="536"/>
      <c r="BB1388" s="327"/>
      <c r="BC1388" s="22"/>
      <c r="BD1388" s="551" t="s">
        <v>334</v>
      </c>
      <c r="BE1388" s="327"/>
      <c r="BF1388" s="552"/>
      <c r="BG1388" s="326"/>
      <c r="BH1388" s="326"/>
      <c r="BI1388" s="327"/>
      <c r="BJ1388" s="451" t="s">
        <v>303</v>
      </c>
      <c r="BK1388" s="326"/>
      <c r="BL1388" s="326"/>
      <c r="BM1388" s="327"/>
      <c r="BN1388" s="558" t="s">
        <v>303</v>
      </c>
      <c r="BO1388" s="326"/>
      <c r="BP1388" s="326"/>
      <c r="BQ1388" s="326"/>
      <c r="BR1388" s="326"/>
      <c r="BS1388" s="326"/>
      <c r="BT1388" s="326"/>
      <c r="BU1388" s="326"/>
      <c r="BV1388" s="327"/>
    </row>
    <row r="1389" spans="1:74" ht="45" customHeight="1" x14ac:dyDescent="0.25">
      <c r="A1389" s="10">
        <f t="shared" si="5"/>
        <v>1375</v>
      </c>
      <c r="B1389" s="559" t="s">
        <v>303</v>
      </c>
      <c r="C1389" s="327"/>
      <c r="D1389" s="560" t="s">
        <v>307</v>
      </c>
      <c r="E1389" s="327"/>
      <c r="F1389" s="537" t="s">
        <v>334</v>
      </c>
      <c r="G1389" s="327"/>
      <c r="H1389" s="566" t="s">
        <v>334</v>
      </c>
      <c r="I1389" s="327"/>
      <c r="J1389" s="567"/>
      <c r="K1389" s="327"/>
      <c r="L1389" s="567"/>
      <c r="M1389" s="327"/>
      <c r="N1389" s="23"/>
      <c r="O1389" s="24"/>
      <c r="P1389" s="563"/>
      <c r="Q1389" s="327"/>
      <c r="R1389" s="538"/>
      <c r="S1389" s="327"/>
      <c r="T1389" s="539"/>
      <c r="U1389" s="327"/>
      <c r="V1389" s="540"/>
      <c r="W1389" s="327"/>
      <c r="X1389" s="541" t="s">
        <v>303</v>
      </c>
      <c r="Y1389" s="326"/>
      <c r="Z1389" s="326"/>
      <c r="AA1389" s="327"/>
      <c r="AB1389" s="542" t="s">
        <v>303</v>
      </c>
      <c r="AC1389" s="326"/>
      <c r="AD1389" s="326"/>
      <c r="AE1389" s="327"/>
      <c r="AF1389" s="543"/>
      <c r="AG1389" s="327"/>
      <c r="AH1389" s="543"/>
      <c r="AI1389" s="327"/>
      <c r="AJ1389" s="536"/>
      <c r="AK1389" s="327"/>
      <c r="AL1389" s="537" t="s">
        <v>334</v>
      </c>
      <c r="AM1389" s="327"/>
      <c r="AN1389" s="546" t="s">
        <v>334</v>
      </c>
      <c r="AO1389" s="327"/>
      <c r="AP1389" s="547"/>
      <c r="AQ1389" s="327"/>
      <c r="AR1389" s="548"/>
      <c r="AS1389" s="327"/>
      <c r="AT1389" s="568"/>
      <c r="AU1389" s="327"/>
      <c r="AV1389" s="546" t="s">
        <v>334</v>
      </c>
      <c r="AW1389" s="327"/>
      <c r="AX1389" s="521"/>
      <c r="AY1389" s="326"/>
      <c r="AZ1389" s="327"/>
      <c r="BA1389" s="550"/>
      <c r="BB1389" s="327"/>
      <c r="BC1389" s="25"/>
      <c r="BD1389" s="544" t="s">
        <v>334</v>
      </c>
      <c r="BE1389" s="327"/>
      <c r="BF1389" s="545"/>
      <c r="BG1389" s="326"/>
      <c r="BH1389" s="326"/>
      <c r="BI1389" s="327"/>
      <c r="BJ1389" s="557" t="s">
        <v>303</v>
      </c>
      <c r="BK1389" s="326"/>
      <c r="BL1389" s="326"/>
      <c r="BM1389" s="327"/>
      <c r="BN1389" s="558" t="s">
        <v>303</v>
      </c>
      <c r="BO1389" s="326"/>
      <c r="BP1389" s="326"/>
      <c r="BQ1389" s="326"/>
      <c r="BR1389" s="326"/>
      <c r="BS1389" s="326"/>
      <c r="BT1389" s="326"/>
      <c r="BU1389" s="326"/>
      <c r="BV1389" s="327"/>
    </row>
    <row r="1390" spans="1:74" ht="45" customHeight="1" x14ac:dyDescent="0.25">
      <c r="A1390" s="10">
        <f t="shared" si="5"/>
        <v>1376</v>
      </c>
      <c r="B1390" s="564" t="s">
        <v>303</v>
      </c>
      <c r="C1390" s="327"/>
      <c r="D1390" s="565" t="s">
        <v>307</v>
      </c>
      <c r="E1390" s="327"/>
      <c r="F1390" s="537" t="s">
        <v>334</v>
      </c>
      <c r="G1390" s="327"/>
      <c r="H1390" s="561" t="s">
        <v>334</v>
      </c>
      <c r="I1390" s="327"/>
      <c r="J1390" s="562"/>
      <c r="K1390" s="327"/>
      <c r="L1390" s="562"/>
      <c r="M1390" s="327"/>
      <c r="N1390" s="20"/>
      <c r="O1390" s="21"/>
      <c r="P1390" s="524"/>
      <c r="Q1390" s="327"/>
      <c r="R1390" s="516"/>
      <c r="S1390" s="327"/>
      <c r="T1390" s="517"/>
      <c r="U1390" s="327"/>
      <c r="V1390" s="518"/>
      <c r="W1390" s="327"/>
      <c r="X1390" s="438" t="s">
        <v>303</v>
      </c>
      <c r="Y1390" s="326"/>
      <c r="Z1390" s="326"/>
      <c r="AA1390" s="327"/>
      <c r="AB1390" s="519" t="s">
        <v>303</v>
      </c>
      <c r="AC1390" s="326"/>
      <c r="AD1390" s="326"/>
      <c r="AE1390" s="327"/>
      <c r="AF1390" s="520"/>
      <c r="AG1390" s="327"/>
      <c r="AH1390" s="520"/>
      <c r="AI1390" s="327"/>
      <c r="AJ1390" s="536"/>
      <c r="AK1390" s="327"/>
      <c r="AL1390" s="556" t="s">
        <v>334</v>
      </c>
      <c r="AM1390" s="327"/>
      <c r="AN1390" s="553" t="s">
        <v>334</v>
      </c>
      <c r="AO1390" s="327"/>
      <c r="AP1390" s="554"/>
      <c r="AQ1390" s="327"/>
      <c r="AR1390" s="555"/>
      <c r="AS1390" s="327"/>
      <c r="AT1390" s="549"/>
      <c r="AU1390" s="327"/>
      <c r="AV1390" s="553" t="s">
        <v>334</v>
      </c>
      <c r="AW1390" s="327"/>
      <c r="AX1390" s="521"/>
      <c r="AY1390" s="326"/>
      <c r="AZ1390" s="327"/>
      <c r="BA1390" s="536"/>
      <c r="BB1390" s="327"/>
      <c r="BC1390" s="22"/>
      <c r="BD1390" s="551" t="s">
        <v>334</v>
      </c>
      <c r="BE1390" s="327"/>
      <c r="BF1390" s="508"/>
      <c r="BG1390" s="326"/>
      <c r="BH1390" s="326"/>
      <c r="BI1390" s="327"/>
      <c r="BJ1390" s="451" t="s">
        <v>303</v>
      </c>
      <c r="BK1390" s="326"/>
      <c r="BL1390" s="326"/>
      <c r="BM1390" s="327"/>
      <c r="BN1390" s="558" t="s">
        <v>303</v>
      </c>
      <c r="BO1390" s="326"/>
      <c r="BP1390" s="326"/>
      <c r="BQ1390" s="326"/>
      <c r="BR1390" s="326"/>
      <c r="BS1390" s="326"/>
      <c r="BT1390" s="326"/>
      <c r="BU1390" s="326"/>
      <c r="BV1390" s="327"/>
    </row>
    <row r="1391" spans="1:74" ht="45" customHeight="1" x14ac:dyDescent="0.25">
      <c r="A1391" s="10">
        <f t="shared" si="5"/>
        <v>1377</v>
      </c>
      <c r="B1391" s="559" t="s">
        <v>303</v>
      </c>
      <c r="C1391" s="327"/>
      <c r="D1391" s="560" t="s">
        <v>307</v>
      </c>
      <c r="E1391" s="327"/>
      <c r="F1391" s="537" t="s">
        <v>334</v>
      </c>
      <c r="G1391" s="327"/>
      <c r="H1391" s="566" t="s">
        <v>334</v>
      </c>
      <c r="I1391" s="327"/>
      <c r="J1391" s="567"/>
      <c r="K1391" s="327"/>
      <c r="L1391" s="567"/>
      <c r="M1391" s="327"/>
      <c r="N1391" s="23"/>
      <c r="O1391" s="24"/>
      <c r="P1391" s="563"/>
      <c r="Q1391" s="327"/>
      <c r="R1391" s="538"/>
      <c r="S1391" s="327"/>
      <c r="T1391" s="539"/>
      <c r="U1391" s="327"/>
      <c r="V1391" s="540"/>
      <c r="W1391" s="327"/>
      <c r="X1391" s="541" t="s">
        <v>303</v>
      </c>
      <c r="Y1391" s="326"/>
      <c r="Z1391" s="326"/>
      <c r="AA1391" s="327"/>
      <c r="AB1391" s="542" t="s">
        <v>303</v>
      </c>
      <c r="AC1391" s="326"/>
      <c r="AD1391" s="326"/>
      <c r="AE1391" s="327"/>
      <c r="AF1391" s="543"/>
      <c r="AG1391" s="327"/>
      <c r="AH1391" s="543"/>
      <c r="AI1391" s="327"/>
      <c r="AJ1391" s="536"/>
      <c r="AK1391" s="327"/>
      <c r="AL1391" s="537" t="s">
        <v>334</v>
      </c>
      <c r="AM1391" s="327"/>
      <c r="AN1391" s="546" t="s">
        <v>334</v>
      </c>
      <c r="AO1391" s="327"/>
      <c r="AP1391" s="547"/>
      <c r="AQ1391" s="327"/>
      <c r="AR1391" s="548"/>
      <c r="AS1391" s="327"/>
      <c r="AT1391" s="568"/>
      <c r="AU1391" s="327"/>
      <c r="AV1391" s="546" t="s">
        <v>334</v>
      </c>
      <c r="AW1391" s="327"/>
      <c r="AX1391" s="521"/>
      <c r="AY1391" s="326"/>
      <c r="AZ1391" s="327"/>
      <c r="BA1391" s="550"/>
      <c r="BB1391" s="327"/>
      <c r="BC1391" s="25"/>
      <c r="BD1391" s="544" t="s">
        <v>334</v>
      </c>
      <c r="BE1391" s="327"/>
      <c r="BF1391" s="545"/>
      <c r="BG1391" s="326"/>
      <c r="BH1391" s="326"/>
      <c r="BI1391" s="327"/>
      <c r="BJ1391" s="557" t="s">
        <v>303</v>
      </c>
      <c r="BK1391" s="326"/>
      <c r="BL1391" s="326"/>
      <c r="BM1391" s="327"/>
      <c r="BN1391" s="558" t="s">
        <v>303</v>
      </c>
      <c r="BO1391" s="326"/>
      <c r="BP1391" s="326"/>
      <c r="BQ1391" s="326"/>
      <c r="BR1391" s="326"/>
      <c r="BS1391" s="326"/>
      <c r="BT1391" s="326"/>
      <c r="BU1391" s="326"/>
      <c r="BV1391" s="327"/>
    </row>
    <row r="1392" spans="1:74" ht="45" customHeight="1" x14ac:dyDescent="0.25">
      <c r="A1392" s="10">
        <f t="shared" si="5"/>
        <v>1378</v>
      </c>
      <c r="B1392" s="564" t="s">
        <v>303</v>
      </c>
      <c r="C1392" s="327"/>
      <c r="D1392" s="565" t="s">
        <v>307</v>
      </c>
      <c r="E1392" s="327"/>
      <c r="F1392" s="537" t="s">
        <v>334</v>
      </c>
      <c r="G1392" s="327"/>
      <c r="H1392" s="561" t="s">
        <v>334</v>
      </c>
      <c r="I1392" s="327"/>
      <c r="J1392" s="562"/>
      <c r="K1392" s="327"/>
      <c r="L1392" s="562"/>
      <c r="M1392" s="327"/>
      <c r="N1392" s="20"/>
      <c r="O1392" s="21"/>
      <c r="P1392" s="524"/>
      <c r="Q1392" s="327"/>
      <c r="R1392" s="516"/>
      <c r="S1392" s="327"/>
      <c r="T1392" s="517"/>
      <c r="U1392" s="327"/>
      <c r="V1392" s="518"/>
      <c r="W1392" s="327"/>
      <c r="X1392" s="438" t="s">
        <v>303</v>
      </c>
      <c r="Y1392" s="326"/>
      <c r="Z1392" s="326"/>
      <c r="AA1392" s="327"/>
      <c r="AB1392" s="519" t="s">
        <v>303</v>
      </c>
      <c r="AC1392" s="326"/>
      <c r="AD1392" s="326"/>
      <c r="AE1392" s="327"/>
      <c r="AF1392" s="520"/>
      <c r="AG1392" s="327"/>
      <c r="AH1392" s="520"/>
      <c r="AI1392" s="327"/>
      <c r="AJ1392" s="536"/>
      <c r="AK1392" s="327"/>
      <c r="AL1392" s="556" t="s">
        <v>334</v>
      </c>
      <c r="AM1392" s="327"/>
      <c r="AN1392" s="553" t="s">
        <v>334</v>
      </c>
      <c r="AO1392" s="327"/>
      <c r="AP1392" s="554"/>
      <c r="AQ1392" s="327"/>
      <c r="AR1392" s="555"/>
      <c r="AS1392" s="327"/>
      <c r="AT1392" s="549"/>
      <c r="AU1392" s="327"/>
      <c r="AV1392" s="553" t="s">
        <v>334</v>
      </c>
      <c r="AW1392" s="327"/>
      <c r="AX1392" s="521"/>
      <c r="AY1392" s="326"/>
      <c r="AZ1392" s="327"/>
      <c r="BA1392" s="536"/>
      <c r="BB1392" s="327"/>
      <c r="BC1392" s="22"/>
      <c r="BD1392" s="551" t="s">
        <v>334</v>
      </c>
      <c r="BE1392" s="327"/>
      <c r="BF1392" s="552"/>
      <c r="BG1392" s="326"/>
      <c r="BH1392" s="326"/>
      <c r="BI1392" s="327"/>
      <c r="BJ1392" s="451" t="s">
        <v>303</v>
      </c>
      <c r="BK1392" s="326"/>
      <c r="BL1392" s="326"/>
      <c r="BM1392" s="327"/>
      <c r="BN1392" s="558" t="s">
        <v>303</v>
      </c>
      <c r="BO1392" s="326"/>
      <c r="BP1392" s="326"/>
      <c r="BQ1392" s="326"/>
      <c r="BR1392" s="326"/>
      <c r="BS1392" s="326"/>
      <c r="BT1392" s="326"/>
      <c r="BU1392" s="326"/>
      <c r="BV1392" s="327"/>
    </row>
    <row r="1393" spans="1:74" ht="45" customHeight="1" x14ac:dyDescent="0.25">
      <c r="A1393" s="10">
        <f t="shared" si="5"/>
        <v>1379</v>
      </c>
      <c r="B1393" s="559" t="s">
        <v>303</v>
      </c>
      <c r="C1393" s="327"/>
      <c r="D1393" s="560" t="s">
        <v>307</v>
      </c>
      <c r="E1393" s="327"/>
      <c r="F1393" s="537" t="s">
        <v>334</v>
      </c>
      <c r="G1393" s="327"/>
      <c r="H1393" s="566" t="s">
        <v>334</v>
      </c>
      <c r="I1393" s="327"/>
      <c r="J1393" s="567"/>
      <c r="K1393" s="327"/>
      <c r="L1393" s="567"/>
      <c r="M1393" s="327"/>
      <c r="N1393" s="20"/>
      <c r="O1393" s="21"/>
      <c r="P1393" s="524"/>
      <c r="Q1393" s="327"/>
      <c r="R1393" s="538"/>
      <c r="S1393" s="327"/>
      <c r="T1393" s="539"/>
      <c r="U1393" s="327"/>
      <c r="V1393" s="540"/>
      <c r="W1393" s="327"/>
      <c r="X1393" s="541" t="s">
        <v>303</v>
      </c>
      <c r="Y1393" s="326"/>
      <c r="Z1393" s="326"/>
      <c r="AA1393" s="327"/>
      <c r="AB1393" s="542" t="s">
        <v>303</v>
      </c>
      <c r="AC1393" s="326"/>
      <c r="AD1393" s="326"/>
      <c r="AE1393" s="327"/>
      <c r="AF1393" s="543"/>
      <c r="AG1393" s="327"/>
      <c r="AH1393" s="543"/>
      <c r="AI1393" s="327"/>
      <c r="AJ1393" s="536"/>
      <c r="AK1393" s="327"/>
      <c r="AL1393" s="537" t="s">
        <v>334</v>
      </c>
      <c r="AM1393" s="327"/>
      <c r="AN1393" s="546" t="s">
        <v>334</v>
      </c>
      <c r="AO1393" s="327"/>
      <c r="AP1393" s="547"/>
      <c r="AQ1393" s="327"/>
      <c r="AR1393" s="548"/>
      <c r="AS1393" s="327"/>
      <c r="AT1393" s="549"/>
      <c r="AU1393" s="327"/>
      <c r="AV1393" s="546" t="s">
        <v>334</v>
      </c>
      <c r="AW1393" s="327"/>
      <c r="AX1393" s="521"/>
      <c r="AY1393" s="326"/>
      <c r="AZ1393" s="327"/>
      <c r="BA1393" s="550"/>
      <c r="BB1393" s="327"/>
      <c r="BC1393" s="25"/>
      <c r="BD1393" s="544" t="s">
        <v>334</v>
      </c>
      <c r="BE1393" s="327"/>
      <c r="BF1393" s="545"/>
      <c r="BG1393" s="326"/>
      <c r="BH1393" s="326"/>
      <c r="BI1393" s="327"/>
      <c r="BJ1393" s="557" t="s">
        <v>303</v>
      </c>
      <c r="BK1393" s="326"/>
      <c r="BL1393" s="326"/>
      <c r="BM1393" s="327"/>
      <c r="BN1393" s="558" t="s">
        <v>303</v>
      </c>
      <c r="BO1393" s="326"/>
      <c r="BP1393" s="326"/>
      <c r="BQ1393" s="326"/>
      <c r="BR1393" s="326"/>
      <c r="BS1393" s="326"/>
      <c r="BT1393" s="326"/>
      <c r="BU1393" s="326"/>
      <c r="BV1393" s="327"/>
    </row>
    <row r="1394" spans="1:74" ht="45" customHeight="1" x14ac:dyDescent="0.25">
      <c r="A1394" s="10">
        <f t="shared" si="5"/>
        <v>1380</v>
      </c>
      <c r="B1394" s="564" t="s">
        <v>303</v>
      </c>
      <c r="C1394" s="327"/>
      <c r="D1394" s="565" t="s">
        <v>307</v>
      </c>
      <c r="E1394" s="327"/>
      <c r="F1394" s="537" t="s">
        <v>334</v>
      </c>
      <c r="G1394" s="327"/>
      <c r="H1394" s="561" t="s">
        <v>334</v>
      </c>
      <c r="I1394" s="327"/>
      <c r="J1394" s="562"/>
      <c r="K1394" s="327"/>
      <c r="L1394" s="562"/>
      <c r="M1394" s="327"/>
      <c r="N1394" s="23"/>
      <c r="O1394" s="24"/>
      <c r="P1394" s="563"/>
      <c r="Q1394" s="327"/>
      <c r="R1394" s="516"/>
      <c r="S1394" s="327"/>
      <c r="T1394" s="517"/>
      <c r="U1394" s="327"/>
      <c r="V1394" s="518"/>
      <c r="W1394" s="327"/>
      <c r="X1394" s="438" t="s">
        <v>303</v>
      </c>
      <c r="Y1394" s="326"/>
      <c r="Z1394" s="326"/>
      <c r="AA1394" s="327"/>
      <c r="AB1394" s="519" t="s">
        <v>303</v>
      </c>
      <c r="AC1394" s="326"/>
      <c r="AD1394" s="326"/>
      <c r="AE1394" s="327"/>
      <c r="AF1394" s="520"/>
      <c r="AG1394" s="327"/>
      <c r="AH1394" s="520"/>
      <c r="AI1394" s="327"/>
      <c r="AJ1394" s="536"/>
      <c r="AK1394" s="327"/>
      <c r="AL1394" s="556" t="s">
        <v>334</v>
      </c>
      <c r="AM1394" s="327"/>
      <c r="AN1394" s="553" t="s">
        <v>334</v>
      </c>
      <c r="AO1394" s="327"/>
      <c r="AP1394" s="554"/>
      <c r="AQ1394" s="327"/>
      <c r="AR1394" s="555"/>
      <c r="AS1394" s="327"/>
      <c r="AT1394" s="549"/>
      <c r="AU1394" s="327"/>
      <c r="AV1394" s="553" t="s">
        <v>334</v>
      </c>
      <c r="AW1394" s="327"/>
      <c r="AX1394" s="521"/>
      <c r="AY1394" s="326"/>
      <c r="AZ1394" s="327"/>
      <c r="BA1394" s="536"/>
      <c r="BB1394" s="327"/>
      <c r="BC1394" s="22"/>
      <c r="BD1394" s="551" t="s">
        <v>334</v>
      </c>
      <c r="BE1394" s="327"/>
      <c r="BF1394" s="552"/>
      <c r="BG1394" s="326"/>
      <c r="BH1394" s="326"/>
      <c r="BI1394" s="327"/>
      <c r="BJ1394" s="451" t="s">
        <v>303</v>
      </c>
      <c r="BK1394" s="326"/>
      <c r="BL1394" s="326"/>
      <c r="BM1394" s="327"/>
      <c r="BN1394" s="558" t="s">
        <v>303</v>
      </c>
      <c r="BO1394" s="326"/>
      <c r="BP1394" s="326"/>
      <c r="BQ1394" s="326"/>
      <c r="BR1394" s="326"/>
      <c r="BS1394" s="326"/>
      <c r="BT1394" s="326"/>
      <c r="BU1394" s="326"/>
      <c r="BV1394" s="327"/>
    </row>
    <row r="1395" spans="1:74" ht="45" customHeight="1" x14ac:dyDescent="0.25">
      <c r="A1395" s="10">
        <f t="shared" si="5"/>
        <v>1381</v>
      </c>
      <c r="B1395" s="559" t="s">
        <v>303</v>
      </c>
      <c r="C1395" s="327"/>
      <c r="D1395" s="560" t="s">
        <v>307</v>
      </c>
      <c r="E1395" s="327"/>
      <c r="F1395" s="537" t="s">
        <v>334</v>
      </c>
      <c r="G1395" s="327"/>
      <c r="H1395" s="566" t="s">
        <v>334</v>
      </c>
      <c r="I1395" s="327"/>
      <c r="J1395" s="567"/>
      <c r="K1395" s="327"/>
      <c r="L1395" s="567"/>
      <c r="M1395" s="327"/>
      <c r="N1395" s="20"/>
      <c r="O1395" s="21"/>
      <c r="P1395" s="524"/>
      <c r="Q1395" s="327"/>
      <c r="R1395" s="538"/>
      <c r="S1395" s="327"/>
      <c r="T1395" s="539"/>
      <c r="U1395" s="327"/>
      <c r="V1395" s="540"/>
      <c r="W1395" s="327"/>
      <c r="X1395" s="541" t="s">
        <v>303</v>
      </c>
      <c r="Y1395" s="326"/>
      <c r="Z1395" s="326"/>
      <c r="AA1395" s="327"/>
      <c r="AB1395" s="542" t="s">
        <v>303</v>
      </c>
      <c r="AC1395" s="326"/>
      <c r="AD1395" s="326"/>
      <c r="AE1395" s="327"/>
      <c r="AF1395" s="543"/>
      <c r="AG1395" s="327"/>
      <c r="AH1395" s="543"/>
      <c r="AI1395" s="327"/>
      <c r="AJ1395" s="536"/>
      <c r="AK1395" s="327"/>
      <c r="AL1395" s="537" t="s">
        <v>334</v>
      </c>
      <c r="AM1395" s="327"/>
      <c r="AN1395" s="546" t="s">
        <v>334</v>
      </c>
      <c r="AO1395" s="327"/>
      <c r="AP1395" s="547"/>
      <c r="AQ1395" s="327"/>
      <c r="AR1395" s="548"/>
      <c r="AS1395" s="327"/>
      <c r="AT1395" s="549"/>
      <c r="AU1395" s="327"/>
      <c r="AV1395" s="546" t="s">
        <v>334</v>
      </c>
      <c r="AW1395" s="327"/>
      <c r="AX1395" s="521"/>
      <c r="AY1395" s="326"/>
      <c r="AZ1395" s="327"/>
      <c r="BA1395" s="550"/>
      <c r="BB1395" s="327"/>
      <c r="BC1395" s="25"/>
      <c r="BD1395" s="544" t="s">
        <v>334</v>
      </c>
      <c r="BE1395" s="327"/>
      <c r="BF1395" s="545"/>
      <c r="BG1395" s="326"/>
      <c r="BH1395" s="326"/>
      <c r="BI1395" s="327"/>
      <c r="BJ1395" s="557" t="s">
        <v>303</v>
      </c>
      <c r="BK1395" s="326"/>
      <c r="BL1395" s="326"/>
      <c r="BM1395" s="327"/>
      <c r="BN1395" s="558" t="s">
        <v>303</v>
      </c>
      <c r="BO1395" s="326"/>
      <c r="BP1395" s="326"/>
      <c r="BQ1395" s="326"/>
      <c r="BR1395" s="326"/>
      <c r="BS1395" s="326"/>
      <c r="BT1395" s="326"/>
      <c r="BU1395" s="326"/>
      <c r="BV1395" s="327"/>
    </row>
    <row r="1396" spans="1:74" ht="45" customHeight="1" x14ac:dyDescent="0.25">
      <c r="A1396" s="10">
        <f t="shared" si="5"/>
        <v>1382</v>
      </c>
      <c r="B1396" s="564" t="s">
        <v>303</v>
      </c>
      <c r="C1396" s="327"/>
      <c r="D1396" s="565" t="s">
        <v>307</v>
      </c>
      <c r="E1396" s="327"/>
      <c r="F1396" s="537" t="s">
        <v>334</v>
      </c>
      <c r="G1396" s="327"/>
      <c r="H1396" s="561" t="s">
        <v>334</v>
      </c>
      <c r="I1396" s="327"/>
      <c r="J1396" s="562"/>
      <c r="K1396" s="327"/>
      <c r="L1396" s="562"/>
      <c r="M1396" s="327"/>
      <c r="N1396" s="23"/>
      <c r="O1396" s="24"/>
      <c r="P1396" s="563"/>
      <c r="Q1396" s="327"/>
      <c r="R1396" s="516"/>
      <c r="S1396" s="327"/>
      <c r="T1396" s="517"/>
      <c r="U1396" s="327"/>
      <c r="V1396" s="518"/>
      <c r="W1396" s="327"/>
      <c r="X1396" s="438" t="s">
        <v>303</v>
      </c>
      <c r="Y1396" s="326"/>
      <c r="Z1396" s="326"/>
      <c r="AA1396" s="327"/>
      <c r="AB1396" s="519" t="s">
        <v>303</v>
      </c>
      <c r="AC1396" s="326"/>
      <c r="AD1396" s="326"/>
      <c r="AE1396" s="327"/>
      <c r="AF1396" s="520"/>
      <c r="AG1396" s="327"/>
      <c r="AH1396" s="520"/>
      <c r="AI1396" s="327"/>
      <c r="AJ1396" s="536"/>
      <c r="AK1396" s="327"/>
      <c r="AL1396" s="556" t="s">
        <v>334</v>
      </c>
      <c r="AM1396" s="327"/>
      <c r="AN1396" s="553" t="s">
        <v>334</v>
      </c>
      <c r="AO1396" s="327"/>
      <c r="AP1396" s="554"/>
      <c r="AQ1396" s="327"/>
      <c r="AR1396" s="555"/>
      <c r="AS1396" s="327"/>
      <c r="AT1396" s="549"/>
      <c r="AU1396" s="327"/>
      <c r="AV1396" s="553" t="s">
        <v>334</v>
      </c>
      <c r="AW1396" s="327"/>
      <c r="AX1396" s="521"/>
      <c r="AY1396" s="326"/>
      <c r="AZ1396" s="327"/>
      <c r="BA1396" s="536"/>
      <c r="BB1396" s="327"/>
      <c r="BC1396" s="22"/>
      <c r="BD1396" s="551" t="s">
        <v>334</v>
      </c>
      <c r="BE1396" s="327"/>
      <c r="BF1396" s="552"/>
      <c r="BG1396" s="326"/>
      <c r="BH1396" s="326"/>
      <c r="BI1396" s="327"/>
      <c r="BJ1396" s="451" t="s">
        <v>303</v>
      </c>
      <c r="BK1396" s="326"/>
      <c r="BL1396" s="326"/>
      <c r="BM1396" s="327"/>
      <c r="BN1396" s="558" t="s">
        <v>303</v>
      </c>
      <c r="BO1396" s="326"/>
      <c r="BP1396" s="326"/>
      <c r="BQ1396" s="326"/>
      <c r="BR1396" s="326"/>
      <c r="BS1396" s="326"/>
      <c r="BT1396" s="326"/>
      <c r="BU1396" s="326"/>
      <c r="BV1396" s="327"/>
    </row>
    <row r="1397" spans="1:74" ht="45" customHeight="1" x14ac:dyDescent="0.25">
      <c r="A1397" s="10">
        <f t="shared" si="5"/>
        <v>1383</v>
      </c>
      <c r="B1397" s="559" t="s">
        <v>303</v>
      </c>
      <c r="C1397" s="327"/>
      <c r="D1397" s="560" t="s">
        <v>307</v>
      </c>
      <c r="E1397" s="327"/>
      <c r="F1397" s="537" t="s">
        <v>334</v>
      </c>
      <c r="G1397" s="327"/>
      <c r="H1397" s="566" t="s">
        <v>334</v>
      </c>
      <c r="I1397" s="327"/>
      <c r="J1397" s="567"/>
      <c r="K1397" s="327"/>
      <c r="L1397" s="567"/>
      <c r="M1397" s="327"/>
      <c r="N1397" s="20"/>
      <c r="O1397" s="24"/>
      <c r="P1397" s="524"/>
      <c r="Q1397" s="327"/>
      <c r="R1397" s="538"/>
      <c r="S1397" s="327"/>
      <c r="T1397" s="539"/>
      <c r="U1397" s="327"/>
      <c r="V1397" s="540"/>
      <c r="W1397" s="327"/>
      <c r="X1397" s="541" t="s">
        <v>303</v>
      </c>
      <c r="Y1397" s="326"/>
      <c r="Z1397" s="326"/>
      <c r="AA1397" s="327"/>
      <c r="AB1397" s="542" t="s">
        <v>303</v>
      </c>
      <c r="AC1397" s="326"/>
      <c r="AD1397" s="326"/>
      <c r="AE1397" s="327"/>
      <c r="AF1397" s="543"/>
      <c r="AG1397" s="327"/>
      <c r="AH1397" s="543"/>
      <c r="AI1397" s="327"/>
      <c r="AJ1397" s="536"/>
      <c r="AK1397" s="327"/>
      <c r="AL1397" s="537" t="s">
        <v>334</v>
      </c>
      <c r="AM1397" s="327"/>
      <c r="AN1397" s="546" t="s">
        <v>334</v>
      </c>
      <c r="AO1397" s="327"/>
      <c r="AP1397" s="547"/>
      <c r="AQ1397" s="327"/>
      <c r="AR1397" s="548"/>
      <c r="AS1397" s="327"/>
      <c r="AT1397" s="568"/>
      <c r="AU1397" s="327"/>
      <c r="AV1397" s="546" t="s">
        <v>334</v>
      </c>
      <c r="AW1397" s="327"/>
      <c r="AX1397" s="521"/>
      <c r="AY1397" s="326"/>
      <c r="AZ1397" s="327"/>
      <c r="BA1397" s="550"/>
      <c r="BB1397" s="327"/>
      <c r="BC1397" s="25"/>
      <c r="BD1397" s="544" t="s">
        <v>334</v>
      </c>
      <c r="BE1397" s="327"/>
      <c r="BF1397" s="545"/>
      <c r="BG1397" s="326"/>
      <c r="BH1397" s="326"/>
      <c r="BI1397" s="327"/>
      <c r="BJ1397" s="557" t="s">
        <v>303</v>
      </c>
      <c r="BK1397" s="326"/>
      <c r="BL1397" s="326"/>
      <c r="BM1397" s="327"/>
      <c r="BN1397" s="558" t="s">
        <v>303</v>
      </c>
      <c r="BO1397" s="326"/>
      <c r="BP1397" s="326"/>
      <c r="BQ1397" s="326"/>
      <c r="BR1397" s="326"/>
      <c r="BS1397" s="326"/>
      <c r="BT1397" s="326"/>
      <c r="BU1397" s="326"/>
      <c r="BV1397" s="327"/>
    </row>
    <row r="1398" spans="1:74" ht="45" customHeight="1" x14ac:dyDescent="0.25">
      <c r="A1398" s="10">
        <f t="shared" si="5"/>
        <v>1384</v>
      </c>
      <c r="B1398" s="564" t="s">
        <v>303</v>
      </c>
      <c r="C1398" s="327"/>
      <c r="D1398" s="565" t="s">
        <v>307</v>
      </c>
      <c r="E1398" s="327"/>
      <c r="F1398" s="537" t="s">
        <v>334</v>
      </c>
      <c r="G1398" s="327"/>
      <c r="H1398" s="561" t="s">
        <v>334</v>
      </c>
      <c r="I1398" s="327"/>
      <c r="J1398" s="562"/>
      <c r="K1398" s="327"/>
      <c r="L1398" s="562"/>
      <c r="M1398" s="327"/>
      <c r="N1398" s="23"/>
      <c r="O1398" s="21"/>
      <c r="P1398" s="563"/>
      <c r="Q1398" s="327"/>
      <c r="R1398" s="516"/>
      <c r="S1398" s="327"/>
      <c r="T1398" s="517"/>
      <c r="U1398" s="327"/>
      <c r="V1398" s="518"/>
      <c r="W1398" s="327"/>
      <c r="X1398" s="438" t="s">
        <v>303</v>
      </c>
      <c r="Y1398" s="326"/>
      <c r="Z1398" s="326"/>
      <c r="AA1398" s="327"/>
      <c r="AB1398" s="519" t="s">
        <v>303</v>
      </c>
      <c r="AC1398" s="326"/>
      <c r="AD1398" s="326"/>
      <c r="AE1398" s="327"/>
      <c r="AF1398" s="520"/>
      <c r="AG1398" s="327"/>
      <c r="AH1398" s="520"/>
      <c r="AI1398" s="327"/>
      <c r="AJ1398" s="536"/>
      <c r="AK1398" s="327"/>
      <c r="AL1398" s="556" t="s">
        <v>334</v>
      </c>
      <c r="AM1398" s="327"/>
      <c r="AN1398" s="553" t="s">
        <v>334</v>
      </c>
      <c r="AO1398" s="327"/>
      <c r="AP1398" s="554"/>
      <c r="AQ1398" s="327"/>
      <c r="AR1398" s="555"/>
      <c r="AS1398" s="327"/>
      <c r="AT1398" s="549"/>
      <c r="AU1398" s="327"/>
      <c r="AV1398" s="553" t="s">
        <v>334</v>
      </c>
      <c r="AW1398" s="327"/>
      <c r="AX1398" s="521"/>
      <c r="AY1398" s="326"/>
      <c r="AZ1398" s="327"/>
      <c r="BA1398" s="536"/>
      <c r="BB1398" s="327"/>
      <c r="BC1398" s="22"/>
      <c r="BD1398" s="551" t="s">
        <v>334</v>
      </c>
      <c r="BE1398" s="327"/>
      <c r="BF1398" s="508"/>
      <c r="BG1398" s="326"/>
      <c r="BH1398" s="326"/>
      <c r="BI1398" s="327"/>
      <c r="BJ1398" s="451" t="s">
        <v>303</v>
      </c>
      <c r="BK1398" s="326"/>
      <c r="BL1398" s="326"/>
      <c r="BM1398" s="327"/>
      <c r="BN1398" s="558" t="s">
        <v>303</v>
      </c>
      <c r="BO1398" s="326"/>
      <c r="BP1398" s="326"/>
      <c r="BQ1398" s="326"/>
      <c r="BR1398" s="326"/>
      <c r="BS1398" s="326"/>
      <c r="BT1398" s="326"/>
      <c r="BU1398" s="326"/>
      <c r="BV1398" s="327"/>
    </row>
    <row r="1399" spans="1:74" ht="45" customHeight="1" x14ac:dyDescent="0.25">
      <c r="A1399" s="10">
        <f t="shared" si="5"/>
        <v>1385</v>
      </c>
      <c r="B1399" s="559" t="s">
        <v>303</v>
      </c>
      <c r="C1399" s="327"/>
      <c r="D1399" s="560" t="s">
        <v>307</v>
      </c>
      <c r="E1399" s="327"/>
      <c r="F1399" s="537" t="s">
        <v>334</v>
      </c>
      <c r="G1399" s="327"/>
      <c r="H1399" s="566" t="s">
        <v>334</v>
      </c>
      <c r="I1399" s="327"/>
      <c r="J1399" s="567"/>
      <c r="K1399" s="327"/>
      <c r="L1399" s="567"/>
      <c r="M1399" s="327"/>
      <c r="N1399" s="20"/>
      <c r="O1399" s="24"/>
      <c r="P1399" s="524"/>
      <c r="Q1399" s="327"/>
      <c r="R1399" s="538"/>
      <c r="S1399" s="327"/>
      <c r="T1399" s="539"/>
      <c r="U1399" s="327"/>
      <c r="V1399" s="540"/>
      <c r="W1399" s="327"/>
      <c r="X1399" s="541" t="s">
        <v>303</v>
      </c>
      <c r="Y1399" s="326"/>
      <c r="Z1399" s="326"/>
      <c r="AA1399" s="327"/>
      <c r="AB1399" s="542" t="s">
        <v>303</v>
      </c>
      <c r="AC1399" s="326"/>
      <c r="AD1399" s="326"/>
      <c r="AE1399" s="327"/>
      <c r="AF1399" s="543"/>
      <c r="AG1399" s="327"/>
      <c r="AH1399" s="543"/>
      <c r="AI1399" s="327"/>
      <c r="AJ1399" s="536"/>
      <c r="AK1399" s="327"/>
      <c r="AL1399" s="537" t="s">
        <v>334</v>
      </c>
      <c r="AM1399" s="327"/>
      <c r="AN1399" s="546" t="s">
        <v>334</v>
      </c>
      <c r="AO1399" s="327"/>
      <c r="AP1399" s="547"/>
      <c r="AQ1399" s="327"/>
      <c r="AR1399" s="548"/>
      <c r="AS1399" s="327"/>
      <c r="AT1399" s="568"/>
      <c r="AU1399" s="327"/>
      <c r="AV1399" s="546" t="s">
        <v>334</v>
      </c>
      <c r="AW1399" s="327"/>
      <c r="AX1399" s="521"/>
      <c r="AY1399" s="326"/>
      <c r="AZ1399" s="327"/>
      <c r="BA1399" s="550"/>
      <c r="BB1399" s="327"/>
      <c r="BC1399" s="25"/>
      <c r="BD1399" s="544" t="s">
        <v>334</v>
      </c>
      <c r="BE1399" s="327"/>
      <c r="BF1399" s="545"/>
      <c r="BG1399" s="326"/>
      <c r="BH1399" s="326"/>
      <c r="BI1399" s="327"/>
      <c r="BJ1399" s="557" t="s">
        <v>303</v>
      </c>
      <c r="BK1399" s="326"/>
      <c r="BL1399" s="326"/>
      <c r="BM1399" s="327"/>
      <c r="BN1399" s="558" t="s">
        <v>303</v>
      </c>
      <c r="BO1399" s="326"/>
      <c r="BP1399" s="326"/>
      <c r="BQ1399" s="326"/>
      <c r="BR1399" s="326"/>
      <c r="BS1399" s="326"/>
      <c r="BT1399" s="326"/>
      <c r="BU1399" s="326"/>
      <c r="BV1399" s="327"/>
    </row>
    <row r="1400" spans="1:74" ht="45" customHeight="1" x14ac:dyDescent="0.25">
      <c r="A1400" s="10">
        <f t="shared" si="5"/>
        <v>1386</v>
      </c>
      <c r="B1400" s="564" t="s">
        <v>303</v>
      </c>
      <c r="C1400" s="327"/>
      <c r="D1400" s="565" t="s">
        <v>307</v>
      </c>
      <c r="E1400" s="327"/>
      <c r="F1400" s="537" t="s">
        <v>334</v>
      </c>
      <c r="G1400" s="327"/>
      <c r="H1400" s="561" t="s">
        <v>334</v>
      </c>
      <c r="I1400" s="327"/>
      <c r="J1400" s="562"/>
      <c r="K1400" s="327"/>
      <c r="L1400" s="562"/>
      <c r="M1400" s="327"/>
      <c r="N1400" s="23"/>
      <c r="O1400" s="21"/>
      <c r="P1400" s="563"/>
      <c r="Q1400" s="327"/>
      <c r="R1400" s="516"/>
      <c r="S1400" s="327"/>
      <c r="T1400" s="517"/>
      <c r="U1400" s="327"/>
      <c r="V1400" s="518"/>
      <c r="W1400" s="327"/>
      <c r="X1400" s="438" t="s">
        <v>303</v>
      </c>
      <c r="Y1400" s="326"/>
      <c r="Z1400" s="326"/>
      <c r="AA1400" s="327"/>
      <c r="AB1400" s="519" t="s">
        <v>303</v>
      </c>
      <c r="AC1400" s="326"/>
      <c r="AD1400" s="326"/>
      <c r="AE1400" s="327"/>
      <c r="AF1400" s="520"/>
      <c r="AG1400" s="327"/>
      <c r="AH1400" s="520"/>
      <c r="AI1400" s="327"/>
      <c r="AJ1400" s="536"/>
      <c r="AK1400" s="327"/>
      <c r="AL1400" s="556" t="s">
        <v>334</v>
      </c>
      <c r="AM1400" s="327"/>
      <c r="AN1400" s="553" t="s">
        <v>334</v>
      </c>
      <c r="AO1400" s="327"/>
      <c r="AP1400" s="554"/>
      <c r="AQ1400" s="327"/>
      <c r="AR1400" s="555"/>
      <c r="AS1400" s="327"/>
      <c r="AT1400" s="549"/>
      <c r="AU1400" s="327"/>
      <c r="AV1400" s="553" t="s">
        <v>334</v>
      </c>
      <c r="AW1400" s="327"/>
      <c r="AX1400" s="521"/>
      <c r="AY1400" s="326"/>
      <c r="AZ1400" s="327"/>
      <c r="BA1400" s="536"/>
      <c r="BB1400" s="327"/>
      <c r="BC1400" s="22"/>
      <c r="BD1400" s="551" t="s">
        <v>334</v>
      </c>
      <c r="BE1400" s="327"/>
      <c r="BF1400" s="552"/>
      <c r="BG1400" s="326"/>
      <c r="BH1400" s="326"/>
      <c r="BI1400" s="327"/>
      <c r="BJ1400" s="451" t="s">
        <v>303</v>
      </c>
      <c r="BK1400" s="326"/>
      <c r="BL1400" s="326"/>
      <c r="BM1400" s="327"/>
      <c r="BN1400" s="558" t="s">
        <v>303</v>
      </c>
      <c r="BO1400" s="326"/>
      <c r="BP1400" s="326"/>
      <c r="BQ1400" s="326"/>
      <c r="BR1400" s="326"/>
      <c r="BS1400" s="326"/>
      <c r="BT1400" s="326"/>
      <c r="BU1400" s="326"/>
      <c r="BV1400" s="327"/>
    </row>
    <row r="1401" spans="1:74" ht="45" customHeight="1" x14ac:dyDescent="0.25">
      <c r="A1401" s="10">
        <f t="shared" si="5"/>
        <v>1387</v>
      </c>
      <c r="B1401" s="559" t="s">
        <v>303</v>
      </c>
      <c r="C1401" s="327"/>
      <c r="D1401" s="560" t="s">
        <v>307</v>
      </c>
      <c r="E1401" s="327"/>
      <c r="F1401" s="537" t="s">
        <v>334</v>
      </c>
      <c r="G1401" s="327"/>
      <c r="H1401" s="566" t="s">
        <v>334</v>
      </c>
      <c r="I1401" s="327"/>
      <c r="J1401" s="567"/>
      <c r="K1401" s="327"/>
      <c r="L1401" s="567"/>
      <c r="M1401" s="327"/>
      <c r="N1401" s="20"/>
      <c r="O1401" s="24"/>
      <c r="P1401" s="524"/>
      <c r="Q1401" s="327"/>
      <c r="R1401" s="538"/>
      <c r="S1401" s="327"/>
      <c r="T1401" s="539"/>
      <c r="U1401" s="327"/>
      <c r="V1401" s="540"/>
      <c r="W1401" s="327"/>
      <c r="X1401" s="541" t="s">
        <v>303</v>
      </c>
      <c r="Y1401" s="326"/>
      <c r="Z1401" s="326"/>
      <c r="AA1401" s="327"/>
      <c r="AB1401" s="542" t="s">
        <v>303</v>
      </c>
      <c r="AC1401" s="326"/>
      <c r="AD1401" s="326"/>
      <c r="AE1401" s="327"/>
      <c r="AF1401" s="543"/>
      <c r="AG1401" s="327"/>
      <c r="AH1401" s="543"/>
      <c r="AI1401" s="327"/>
      <c r="AJ1401" s="536"/>
      <c r="AK1401" s="327"/>
      <c r="AL1401" s="537" t="s">
        <v>334</v>
      </c>
      <c r="AM1401" s="327"/>
      <c r="AN1401" s="546" t="s">
        <v>334</v>
      </c>
      <c r="AO1401" s="327"/>
      <c r="AP1401" s="547"/>
      <c r="AQ1401" s="327"/>
      <c r="AR1401" s="548"/>
      <c r="AS1401" s="327"/>
      <c r="AT1401" s="568"/>
      <c r="AU1401" s="327"/>
      <c r="AV1401" s="546" t="s">
        <v>334</v>
      </c>
      <c r="AW1401" s="327"/>
      <c r="AX1401" s="521"/>
      <c r="AY1401" s="326"/>
      <c r="AZ1401" s="327"/>
      <c r="BA1401" s="550"/>
      <c r="BB1401" s="327"/>
      <c r="BC1401" s="25"/>
      <c r="BD1401" s="544" t="s">
        <v>334</v>
      </c>
      <c r="BE1401" s="327"/>
      <c r="BF1401" s="545"/>
      <c r="BG1401" s="326"/>
      <c r="BH1401" s="326"/>
      <c r="BI1401" s="327"/>
      <c r="BJ1401" s="557" t="s">
        <v>303</v>
      </c>
      <c r="BK1401" s="326"/>
      <c r="BL1401" s="326"/>
      <c r="BM1401" s="327"/>
      <c r="BN1401" s="558" t="s">
        <v>303</v>
      </c>
      <c r="BO1401" s="326"/>
      <c r="BP1401" s="326"/>
      <c r="BQ1401" s="326"/>
      <c r="BR1401" s="326"/>
      <c r="BS1401" s="326"/>
      <c r="BT1401" s="326"/>
      <c r="BU1401" s="326"/>
      <c r="BV1401" s="327"/>
    </row>
    <row r="1402" spans="1:74" ht="45" customHeight="1" x14ac:dyDescent="0.25">
      <c r="A1402" s="10">
        <f t="shared" si="5"/>
        <v>1388</v>
      </c>
      <c r="B1402" s="564" t="s">
        <v>303</v>
      </c>
      <c r="C1402" s="327"/>
      <c r="D1402" s="565" t="s">
        <v>307</v>
      </c>
      <c r="E1402" s="327"/>
      <c r="F1402" s="537" t="s">
        <v>334</v>
      </c>
      <c r="G1402" s="327"/>
      <c r="H1402" s="561" t="s">
        <v>334</v>
      </c>
      <c r="I1402" s="327"/>
      <c r="J1402" s="26"/>
      <c r="K1402" s="27"/>
      <c r="L1402" s="26"/>
      <c r="M1402" s="27"/>
      <c r="N1402" s="23"/>
      <c r="O1402" s="21"/>
      <c r="P1402" s="563"/>
      <c r="Q1402" s="327"/>
      <c r="R1402" s="516"/>
      <c r="S1402" s="327"/>
      <c r="T1402" s="517"/>
      <c r="U1402" s="327"/>
      <c r="V1402" s="518"/>
      <c r="W1402" s="327"/>
      <c r="X1402" s="438" t="s">
        <v>303</v>
      </c>
      <c r="Y1402" s="326"/>
      <c r="Z1402" s="326"/>
      <c r="AA1402" s="327"/>
      <c r="AB1402" s="519" t="s">
        <v>303</v>
      </c>
      <c r="AC1402" s="326"/>
      <c r="AD1402" s="326"/>
      <c r="AE1402" s="327"/>
      <c r="AF1402" s="520"/>
      <c r="AG1402" s="327"/>
      <c r="AH1402" s="520"/>
      <c r="AI1402" s="327"/>
      <c r="AJ1402" s="536"/>
      <c r="AK1402" s="327"/>
      <c r="AL1402" s="556" t="s">
        <v>334</v>
      </c>
      <c r="AM1402" s="327"/>
      <c r="AN1402" s="553" t="s">
        <v>334</v>
      </c>
      <c r="AO1402" s="327"/>
      <c r="AP1402" s="554"/>
      <c r="AQ1402" s="327"/>
      <c r="AR1402" s="555"/>
      <c r="AS1402" s="327"/>
      <c r="AT1402" s="549"/>
      <c r="AU1402" s="327"/>
      <c r="AV1402" s="553" t="s">
        <v>334</v>
      </c>
      <c r="AW1402" s="327"/>
      <c r="AX1402" s="521"/>
      <c r="AY1402" s="326"/>
      <c r="AZ1402" s="327"/>
      <c r="BA1402" s="536"/>
      <c r="BB1402" s="327"/>
      <c r="BC1402" s="22"/>
      <c r="BD1402" s="551" t="s">
        <v>334</v>
      </c>
      <c r="BE1402" s="327"/>
      <c r="BF1402" s="552"/>
      <c r="BG1402" s="326"/>
      <c r="BH1402" s="326"/>
      <c r="BI1402" s="327"/>
      <c r="BJ1402" s="451" t="s">
        <v>303</v>
      </c>
      <c r="BK1402" s="326"/>
      <c r="BL1402" s="326"/>
      <c r="BM1402" s="327"/>
      <c r="BN1402" s="558" t="s">
        <v>303</v>
      </c>
      <c r="BO1402" s="326"/>
      <c r="BP1402" s="326"/>
      <c r="BQ1402" s="326"/>
      <c r="BR1402" s="326"/>
      <c r="BS1402" s="326"/>
      <c r="BT1402" s="326"/>
      <c r="BU1402" s="326"/>
      <c r="BV1402" s="327"/>
    </row>
    <row r="1403" spans="1:74" ht="45" customHeight="1" x14ac:dyDescent="0.25">
      <c r="A1403" s="10">
        <f t="shared" si="5"/>
        <v>1389</v>
      </c>
      <c r="B1403" s="559" t="s">
        <v>303</v>
      </c>
      <c r="C1403" s="327"/>
      <c r="D1403" s="560" t="s">
        <v>307</v>
      </c>
      <c r="E1403" s="327"/>
      <c r="F1403" s="537" t="s">
        <v>334</v>
      </c>
      <c r="G1403" s="327"/>
      <c r="H1403" s="566" t="s">
        <v>334</v>
      </c>
      <c r="I1403" s="327"/>
      <c r="J1403" s="567"/>
      <c r="K1403" s="327"/>
      <c r="L1403" s="567"/>
      <c r="M1403" s="327"/>
      <c r="N1403" s="20"/>
      <c r="O1403" s="24"/>
      <c r="P1403" s="524"/>
      <c r="Q1403" s="327"/>
      <c r="R1403" s="538"/>
      <c r="S1403" s="327"/>
      <c r="T1403" s="539"/>
      <c r="U1403" s="327"/>
      <c r="V1403" s="540"/>
      <c r="W1403" s="327"/>
      <c r="X1403" s="541" t="s">
        <v>303</v>
      </c>
      <c r="Y1403" s="326"/>
      <c r="Z1403" s="326"/>
      <c r="AA1403" s="327"/>
      <c r="AB1403" s="542" t="s">
        <v>303</v>
      </c>
      <c r="AC1403" s="326"/>
      <c r="AD1403" s="326"/>
      <c r="AE1403" s="327"/>
      <c r="AF1403" s="543"/>
      <c r="AG1403" s="327"/>
      <c r="AH1403" s="543"/>
      <c r="AI1403" s="327"/>
      <c r="AJ1403" s="536"/>
      <c r="AK1403" s="327"/>
      <c r="AL1403" s="537" t="s">
        <v>334</v>
      </c>
      <c r="AM1403" s="327"/>
      <c r="AN1403" s="546" t="s">
        <v>334</v>
      </c>
      <c r="AO1403" s="327"/>
      <c r="AP1403" s="547"/>
      <c r="AQ1403" s="327"/>
      <c r="AR1403" s="548"/>
      <c r="AS1403" s="327"/>
      <c r="AT1403" s="568"/>
      <c r="AU1403" s="327"/>
      <c r="AV1403" s="546" t="s">
        <v>334</v>
      </c>
      <c r="AW1403" s="327"/>
      <c r="AX1403" s="521"/>
      <c r="AY1403" s="326"/>
      <c r="AZ1403" s="327"/>
      <c r="BA1403" s="550"/>
      <c r="BB1403" s="327"/>
      <c r="BC1403" s="25"/>
      <c r="BD1403" s="544" t="s">
        <v>334</v>
      </c>
      <c r="BE1403" s="327"/>
      <c r="BF1403" s="545"/>
      <c r="BG1403" s="326"/>
      <c r="BH1403" s="326"/>
      <c r="BI1403" s="327"/>
      <c r="BJ1403" s="557" t="s">
        <v>303</v>
      </c>
      <c r="BK1403" s="326"/>
      <c r="BL1403" s="326"/>
      <c r="BM1403" s="327"/>
      <c r="BN1403" s="558" t="s">
        <v>303</v>
      </c>
      <c r="BO1403" s="326"/>
      <c r="BP1403" s="326"/>
      <c r="BQ1403" s="326"/>
      <c r="BR1403" s="326"/>
      <c r="BS1403" s="326"/>
      <c r="BT1403" s="326"/>
      <c r="BU1403" s="326"/>
      <c r="BV1403" s="327"/>
    </row>
    <row r="1404" spans="1:74" ht="45" customHeight="1" x14ac:dyDescent="0.25">
      <c r="A1404" s="10">
        <f t="shared" si="5"/>
        <v>1390</v>
      </c>
      <c r="B1404" s="564" t="s">
        <v>303</v>
      </c>
      <c r="C1404" s="327"/>
      <c r="D1404" s="565" t="s">
        <v>307</v>
      </c>
      <c r="E1404" s="327"/>
      <c r="F1404" s="537" t="s">
        <v>334</v>
      </c>
      <c r="G1404" s="327"/>
      <c r="H1404" s="561" t="s">
        <v>334</v>
      </c>
      <c r="I1404" s="327"/>
      <c r="J1404" s="26"/>
      <c r="K1404" s="27"/>
      <c r="L1404" s="26"/>
      <c r="M1404" s="27"/>
      <c r="N1404" s="23"/>
      <c r="O1404" s="21"/>
      <c r="P1404" s="563"/>
      <c r="Q1404" s="327"/>
      <c r="R1404" s="516"/>
      <c r="S1404" s="327"/>
      <c r="T1404" s="517"/>
      <c r="U1404" s="327"/>
      <c r="V1404" s="518"/>
      <c r="W1404" s="327"/>
      <c r="X1404" s="438" t="s">
        <v>303</v>
      </c>
      <c r="Y1404" s="326"/>
      <c r="Z1404" s="326"/>
      <c r="AA1404" s="327"/>
      <c r="AB1404" s="519" t="s">
        <v>303</v>
      </c>
      <c r="AC1404" s="326"/>
      <c r="AD1404" s="326"/>
      <c r="AE1404" s="327"/>
      <c r="AF1404" s="520"/>
      <c r="AG1404" s="327"/>
      <c r="AH1404" s="520"/>
      <c r="AI1404" s="327"/>
      <c r="AJ1404" s="536"/>
      <c r="AK1404" s="327"/>
      <c r="AL1404" s="556" t="s">
        <v>334</v>
      </c>
      <c r="AM1404" s="327"/>
      <c r="AN1404" s="553" t="s">
        <v>334</v>
      </c>
      <c r="AO1404" s="327"/>
      <c r="AP1404" s="554"/>
      <c r="AQ1404" s="327"/>
      <c r="AR1404" s="555"/>
      <c r="AS1404" s="327"/>
      <c r="AT1404" s="549"/>
      <c r="AU1404" s="327"/>
      <c r="AV1404" s="553" t="s">
        <v>334</v>
      </c>
      <c r="AW1404" s="327"/>
      <c r="AX1404" s="521"/>
      <c r="AY1404" s="326"/>
      <c r="AZ1404" s="327"/>
      <c r="BA1404" s="536"/>
      <c r="BB1404" s="327"/>
      <c r="BC1404" s="22"/>
      <c r="BD1404" s="551" t="s">
        <v>334</v>
      </c>
      <c r="BE1404" s="327"/>
      <c r="BF1404" s="508"/>
      <c r="BG1404" s="326"/>
      <c r="BH1404" s="326"/>
      <c r="BI1404" s="327"/>
      <c r="BJ1404" s="451" t="s">
        <v>303</v>
      </c>
      <c r="BK1404" s="326"/>
      <c r="BL1404" s="326"/>
      <c r="BM1404" s="327"/>
      <c r="BN1404" s="558" t="s">
        <v>303</v>
      </c>
      <c r="BO1404" s="326"/>
      <c r="BP1404" s="326"/>
      <c r="BQ1404" s="326"/>
      <c r="BR1404" s="326"/>
      <c r="BS1404" s="326"/>
      <c r="BT1404" s="326"/>
      <c r="BU1404" s="326"/>
      <c r="BV1404" s="327"/>
    </row>
    <row r="1405" spans="1:74" ht="45" customHeight="1" x14ac:dyDescent="0.25">
      <c r="A1405" s="10">
        <f t="shared" si="5"/>
        <v>1391</v>
      </c>
      <c r="B1405" s="559" t="s">
        <v>303</v>
      </c>
      <c r="C1405" s="327"/>
      <c r="D1405" s="560" t="s">
        <v>307</v>
      </c>
      <c r="E1405" s="327"/>
      <c r="F1405" s="537" t="s">
        <v>334</v>
      </c>
      <c r="G1405" s="327"/>
      <c r="H1405" s="566" t="s">
        <v>334</v>
      </c>
      <c r="I1405" s="327"/>
      <c r="J1405" s="567"/>
      <c r="K1405" s="327"/>
      <c r="L1405" s="567"/>
      <c r="M1405" s="327"/>
      <c r="N1405" s="20"/>
      <c r="O1405" s="24"/>
      <c r="P1405" s="524"/>
      <c r="Q1405" s="327"/>
      <c r="R1405" s="538"/>
      <c r="S1405" s="327"/>
      <c r="T1405" s="539"/>
      <c r="U1405" s="327"/>
      <c r="V1405" s="540"/>
      <c r="W1405" s="327"/>
      <c r="X1405" s="541" t="s">
        <v>303</v>
      </c>
      <c r="Y1405" s="326"/>
      <c r="Z1405" s="326"/>
      <c r="AA1405" s="327"/>
      <c r="AB1405" s="542" t="s">
        <v>303</v>
      </c>
      <c r="AC1405" s="326"/>
      <c r="AD1405" s="326"/>
      <c r="AE1405" s="327"/>
      <c r="AF1405" s="543"/>
      <c r="AG1405" s="327"/>
      <c r="AH1405" s="543"/>
      <c r="AI1405" s="327"/>
      <c r="AJ1405" s="536"/>
      <c r="AK1405" s="327"/>
      <c r="AL1405" s="537" t="s">
        <v>334</v>
      </c>
      <c r="AM1405" s="327"/>
      <c r="AN1405" s="546" t="s">
        <v>334</v>
      </c>
      <c r="AO1405" s="327"/>
      <c r="AP1405" s="547"/>
      <c r="AQ1405" s="327"/>
      <c r="AR1405" s="548"/>
      <c r="AS1405" s="327"/>
      <c r="AT1405" s="568"/>
      <c r="AU1405" s="327"/>
      <c r="AV1405" s="546" t="s">
        <v>334</v>
      </c>
      <c r="AW1405" s="327"/>
      <c r="AX1405" s="521"/>
      <c r="AY1405" s="326"/>
      <c r="AZ1405" s="327"/>
      <c r="BA1405" s="550"/>
      <c r="BB1405" s="327"/>
      <c r="BC1405" s="25"/>
      <c r="BD1405" s="544" t="s">
        <v>334</v>
      </c>
      <c r="BE1405" s="327"/>
      <c r="BF1405" s="545"/>
      <c r="BG1405" s="326"/>
      <c r="BH1405" s="326"/>
      <c r="BI1405" s="327"/>
      <c r="BJ1405" s="557" t="s">
        <v>303</v>
      </c>
      <c r="BK1405" s="326"/>
      <c r="BL1405" s="326"/>
      <c r="BM1405" s="327"/>
      <c r="BN1405" s="558" t="s">
        <v>303</v>
      </c>
      <c r="BO1405" s="326"/>
      <c r="BP1405" s="326"/>
      <c r="BQ1405" s="326"/>
      <c r="BR1405" s="326"/>
      <c r="BS1405" s="326"/>
      <c r="BT1405" s="326"/>
      <c r="BU1405" s="326"/>
      <c r="BV1405" s="327"/>
    </row>
    <row r="1406" spans="1:74" ht="45" customHeight="1" x14ac:dyDescent="0.25">
      <c r="A1406" s="10">
        <f t="shared" si="5"/>
        <v>1392</v>
      </c>
      <c r="B1406" s="564" t="s">
        <v>303</v>
      </c>
      <c r="C1406" s="327"/>
      <c r="D1406" s="565" t="s">
        <v>307</v>
      </c>
      <c r="E1406" s="327"/>
      <c r="F1406" s="537" t="s">
        <v>334</v>
      </c>
      <c r="G1406" s="327"/>
      <c r="H1406" s="561" t="s">
        <v>334</v>
      </c>
      <c r="I1406" s="327"/>
      <c r="J1406" s="26"/>
      <c r="K1406" s="27"/>
      <c r="L1406" s="26"/>
      <c r="M1406" s="27"/>
      <c r="N1406" s="23"/>
      <c r="O1406" s="21"/>
      <c r="P1406" s="563"/>
      <c r="Q1406" s="327"/>
      <c r="R1406" s="516"/>
      <c r="S1406" s="327"/>
      <c r="T1406" s="517"/>
      <c r="U1406" s="327"/>
      <c r="V1406" s="518"/>
      <c r="W1406" s="327"/>
      <c r="X1406" s="438" t="s">
        <v>303</v>
      </c>
      <c r="Y1406" s="326"/>
      <c r="Z1406" s="326"/>
      <c r="AA1406" s="327"/>
      <c r="AB1406" s="519" t="s">
        <v>303</v>
      </c>
      <c r="AC1406" s="326"/>
      <c r="AD1406" s="326"/>
      <c r="AE1406" s="327"/>
      <c r="AF1406" s="520"/>
      <c r="AG1406" s="327"/>
      <c r="AH1406" s="520"/>
      <c r="AI1406" s="327"/>
      <c r="AJ1406" s="536"/>
      <c r="AK1406" s="327"/>
      <c r="AL1406" s="556" t="s">
        <v>334</v>
      </c>
      <c r="AM1406" s="327"/>
      <c r="AN1406" s="553" t="s">
        <v>334</v>
      </c>
      <c r="AO1406" s="327"/>
      <c r="AP1406" s="554"/>
      <c r="AQ1406" s="327"/>
      <c r="AR1406" s="555"/>
      <c r="AS1406" s="327"/>
      <c r="AT1406" s="549"/>
      <c r="AU1406" s="327"/>
      <c r="AV1406" s="553" t="s">
        <v>334</v>
      </c>
      <c r="AW1406" s="327"/>
      <c r="AX1406" s="521"/>
      <c r="AY1406" s="326"/>
      <c r="AZ1406" s="327"/>
      <c r="BA1406" s="536"/>
      <c r="BB1406" s="327"/>
      <c r="BC1406" s="22"/>
      <c r="BD1406" s="551" t="s">
        <v>334</v>
      </c>
      <c r="BE1406" s="327"/>
      <c r="BF1406" s="552"/>
      <c r="BG1406" s="326"/>
      <c r="BH1406" s="326"/>
      <c r="BI1406" s="327"/>
      <c r="BJ1406" s="451" t="s">
        <v>303</v>
      </c>
      <c r="BK1406" s="326"/>
      <c r="BL1406" s="326"/>
      <c r="BM1406" s="327"/>
      <c r="BN1406" s="558" t="s">
        <v>303</v>
      </c>
      <c r="BO1406" s="326"/>
      <c r="BP1406" s="326"/>
      <c r="BQ1406" s="326"/>
      <c r="BR1406" s="326"/>
      <c r="BS1406" s="326"/>
      <c r="BT1406" s="326"/>
      <c r="BU1406" s="326"/>
      <c r="BV1406" s="327"/>
    </row>
    <row r="1407" spans="1:74" ht="45" customHeight="1" x14ac:dyDescent="0.25">
      <c r="A1407" s="10">
        <f t="shared" si="5"/>
        <v>1393</v>
      </c>
      <c r="B1407" s="564" t="s">
        <v>303</v>
      </c>
      <c r="C1407" s="327"/>
      <c r="D1407" s="565" t="s">
        <v>307</v>
      </c>
      <c r="E1407" s="327"/>
      <c r="F1407" s="537" t="s">
        <v>334</v>
      </c>
      <c r="G1407" s="327"/>
      <c r="H1407" s="566" t="s">
        <v>334</v>
      </c>
      <c r="I1407" s="327"/>
      <c r="J1407" s="567"/>
      <c r="K1407" s="327"/>
      <c r="L1407" s="567"/>
      <c r="M1407" s="327"/>
      <c r="N1407" s="23"/>
      <c r="O1407" s="21"/>
      <c r="P1407" s="563"/>
      <c r="Q1407" s="327"/>
      <c r="R1407" s="516"/>
      <c r="S1407" s="327"/>
      <c r="T1407" s="517"/>
      <c r="U1407" s="327"/>
      <c r="V1407" s="518"/>
      <c r="W1407" s="327"/>
      <c r="X1407" s="438" t="s">
        <v>303</v>
      </c>
      <c r="Y1407" s="326"/>
      <c r="Z1407" s="326"/>
      <c r="AA1407" s="327"/>
      <c r="AB1407" s="519" t="s">
        <v>303</v>
      </c>
      <c r="AC1407" s="326"/>
      <c r="AD1407" s="326"/>
      <c r="AE1407" s="327"/>
      <c r="AF1407" s="520"/>
      <c r="AG1407" s="327"/>
      <c r="AH1407" s="520"/>
      <c r="AI1407" s="327"/>
      <c r="AJ1407" s="536"/>
      <c r="AK1407" s="327"/>
      <c r="AL1407" s="556" t="s">
        <v>334</v>
      </c>
      <c r="AM1407" s="327"/>
      <c r="AN1407" s="553" t="s">
        <v>334</v>
      </c>
      <c r="AO1407" s="327"/>
      <c r="AP1407" s="554"/>
      <c r="AQ1407" s="327"/>
      <c r="AR1407" s="555"/>
      <c r="AS1407" s="327"/>
      <c r="AT1407" s="549"/>
      <c r="AU1407" s="327"/>
      <c r="AV1407" s="553" t="s">
        <v>334</v>
      </c>
      <c r="AW1407" s="327"/>
      <c r="AX1407" s="521"/>
      <c r="AY1407" s="326"/>
      <c r="AZ1407" s="327"/>
      <c r="BA1407" s="536"/>
      <c r="BB1407" s="327"/>
      <c r="BC1407" s="22"/>
      <c r="BD1407" s="551" t="s">
        <v>334</v>
      </c>
      <c r="BE1407" s="327"/>
      <c r="BF1407" s="508"/>
      <c r="BG1407" s="326"/>
      <c r="BH1407" s="326"/>
      <c r="BI1407" s="327"/>
      <c r="BJ1407" s="451" t="s">
        <v>303</v>
      </c>
      <c r="BK1407" s="326"/>
      <c r="BL1407" s="326"/>
      <c r="BM1407" s="327"/>
      <c r="BN1407" s="558" t="s">
        <v>303</v>
      </c>
      <c r="BO1407" s="326"/>
      <c r="BP1407" s="326"/>
      <c r="BQ1407" s="326"/>
      <c r="BR1407" s="326"/>
      <c r="BS1407" s="326"/>
      <c r="BT1407" s="326"/>
      <c r="BU1407" s="326"/>
      <c r="BV1407" s="327"/>
    </row>
    <row r="1408" spans="1:74" ht="45" customHeight="1" x14ac:dyDescent="0.25">
      <c r="A1408" s="10">
        <f t="shared" si="5"/>
        <v>1394</v>
      </c>
      <c r="B1408" s="559" t="s">
        <v>303</v>
      </c>
      <c r="C1408" s="327"/>
      <c r="D1408" s="560" t="s">
        <v>307</v>
      </c>
      <c r="E1408" s="327"/>
      <c r="F1408" s="537" t="s">
        <v>334</v>
      </c>
      <c r="G1408" s="327"/>
      <c r="H1408" s="561" t="s">
        <v>334</v>
      </c>
      <c r="I1408" s="327"/>
      <c r="J1408" s="26"/>
      <c r="K1408" s="27"/>
      <c r="L1408" s="26"/>
      <c r="M1408" s="27"/>
      <c r="N1408" s="20"/>
      <c r="O1408" s="24"/>
      <c r="P1408" s="524"/>
      <c r="Q1408" s="327"/>
      <c r="R1408" s="538"/>
      <c r="S1408" s="327"/>
      <c r="T1408" s="539"/>
      <c r="U1408" s="327"/>
      <c r="V1408" s="540"/>
      <c r="W1408" s="327"/>
      <c r="X1408" s="541" t="s">
        <v>303</v>
      </c>
      <c r="Y1408" s="326"/>
      <c r="Z1408" s="326"/>
      <c r="AA1408" s="327"/>
      <c r="AB1408" s="542" t="s">
        <v>303</v>
      </c>
      <c r="AC1408" s="326"/>
      <c r="AD1408" s="326"/>
      <c r="AE1408" s="327"/>
      <c r="AF1408" s="543"/>
      <c r="AG1408" s="327"/>
      <c r="AH1408" s="543"/>
      <c r="AI1408" s="327"/>
      <c r="AJ1408" s="536"/>
      <c r="AK1408" s="327"/>
      <c r="AL1408" s="537" t="s">
        <v>334</v>
      </c>
      <c r="AM1408" s="327"/>
      <c r="AN1408" s="546" t="s">
        <v>334</v>
      </c>
      <c r="AO1408" s="327"/>
      <c r="AP1408" s="547"/>
      <c r="AQ1408" s="327"/>
      <c r="AR1408" s="548"/>
      <c r="AS1408" s="327"/>
      <c r="AT1408" s="568"/>
      <c r="AU1408" s="327"/>
      <c r="AV1408" s="546" t="s">
        <v>334</v>
      </c>
      <c r="AW1408" s="327"/>
      <c r="AX1408" s="521"/>
      <c r="AY1408" s="326"/>
      <c r="AZ1408" s="327"/>
      <c r="BA1408" s="550"/>
      <c r="BB1408" s="327"/>
      <c r="BC1408" s="25"/>
      <c r="BD1408" s="544" t="s">
        <v>334</v>
      </c>
      <c r="BE1408" s="327"/>
      <c r="BF1408" s="545"/>
      <c r="BG1408" s="326"/>
      <c r="BH1408" s="326"/>
      <c r="BI1408" s="327"/>
      <c r="BJ1408" s="557" t="s">
        <v>303</v>
      </c>
      <c r="BK1408" s="326"/>
      <c r="BL1408" s="326"/>
      <c r="BM1408" s="327"/>
      <c r="BN1408" s="558" t="s">
        <v>303</v>
      </c>
      <c r="BO1408" s="326"/>
      <c r="BP1408" s="326"/>
      <c r="BQ1408" s="326"/>
      <c r="BR1408" s="326"/>
      <c r="BS1408" s="326"/>
      <c r="BT1408" s="326"/>
      <c r="BU1408" s="326"/>
      <c r="BV1408" s="327"/>
    </row>
    <row r="1409" spans="1:74" ht="45" customHeight="1" x14ac:dyDescent="0.25">
      <c r="A1409" s="10">
        <f t="shared" si="5"/>
        <v>1395</v>
      </c>
      <c r="B1409" s="564" t="s">
        <v>303</v>
      </c>
      <c r="C1409" s="327"/>
      <c r="D1409" s="565" t="s">
        <v>307</v>
      </c>
      <c r="E1409" s="327"/>
      <c r="F1409" s="537" t="s">
        <v>334</v>
      </c>
      <c r="G1409" s="327"/>
      <c r="H1409" s="566" t="s">
        <v>334</v>
      </c>
      <c r="I1409" s="327"/>
      <c r="J1409" s="567"/>
      <c r="K1409" s="327"/>
      <c r="L1409" s="567"/>
      <c r="M1409" s="327"/>
      <c r="N1409" s="23"/>
      <c r="O1409" s="21"/>
      <c r="P1409" s="563"/>
      <c r="Q1409" s="327"/>
      <c r="R1409" s="516"/>
      <c r="S1409" s="327"/>
      <c r="T1409" s="517"/>
      <c r="U1409" s="327"/>
      <c r="V1409" s="518"/>
      <c r="W1409" s="327"/>
      <c r="X1409" s="438" t="s">
        <v>303</v>
      </c>
      <c r="Y1409" s="326"/>
      <c r="Z1409" s="326"/>
      <c r="AA1409" s="327"/>
      <c r="AB1409" s="519" t="s">
        <v>303</v>
      </c>
      <c r="AC1409" s="326"/>
      <c r="AD1409" s="326"/>
      <c r="AE1409" s="327"/>
      <c r="AF1409" s="520"/>
      <c r="AG1409" s="327"/>
      <c r="AH1409" s="520"/>
      <c r="AI1409" s="327"/>
      <c r="AJ1409" s="536"/>
      <c r="AK1409" s="327"/>
      <c r="AL1409" s="556" t="s">
        <v>334</v>
      </c>
      <c r="AM1409" s="327"/>
      <c r="AN1409" s="553" t="s">
        <v>334</v>
      </c>
      <c r="AO1409" s="327"/>
      <c r="AP1409" s="554"/>
      <c r="AQ1409" s="327"/>
      <c r="AR1409" s="555"/>
      <c r="AS1409" s="327"/>
      <c r="AT1409" s="549"/>
      <c r="AU1409" s="327"/>
      <c r="AV1409" s="553" t="s">
        <v>334</v>
      </c>
      <c r="AW1409" s="327"/>
      <c r="AX1409" s="521"/>
      <c r="AY1409" s="326"/>
      <c r="AZ1409" s="327"/>
      <c r="BA1409" s="536"/>
      <c r="BB1409" s="327"/>
      <c r="BC1409" s="22"/>
      <c r="BD1409" s="551" t="s">
        <v>334</v>
      </c>
      <c r="BE1409" s="327"/>
      <c r="BF1409" s="552"/>
      <c r="BG1409" s="326"/>
      <c r="BH1409" s="326"/>
      <c r="BI1409" s="327"/>
      <c r="BJ1409" s="451" t="s">
        <v>303</v>
      </c>
      <c r="BK1409" s="326"/>
      <c r="BL1409" s="326"/>
      <c r="BM1409" s="327"/>
      <c r="BN1409" s="558" t="s">
        <v>303</v>
      </c>
      <c r="BO1409" s="326"/>
      <c r="BP1409" s="326"/>
      <c r="BQ1409" s="326"/>
      <c r="BR1409" s="326"/>
      <c r="BS1409" s="326"/>
      <c r="BT1409" s="326"/>
      <c r="BU1409" s="326"/>
      <c r="BV1409" s="327"/>
    </row>
    <row r="1410" spans="1:74" ht="45" customHeight="1" x14ac:dyDescent="0.25">
      <c r="A1410" s="10">
        <f t="shared" si="5"/>
        <v>1396</v>
      </c>
      <c r="B1410" s="564" t="s">
        <v>303</v>
      </c>
      <c r="C1410" s="327"/>
      <c r="D1410" s="565" t="s">
        <v>307</v>
      </c>
      <c r="E1410" s="327"/>
      <c r="F1410" s="537" t="s">
        <v>334</v>
      </c>
      <c r="G1410" s="327"/>
      <c r="H1410" s="561" t="s">
        <v>334</v>
      </c>
      <c r="I1410" s="327"/>
      <c r="J1410" s="26"/>
      <c r="K1410" s="27"/>
      <c r="L1410" s="26"/>
      <c r="M1410" s="27"/>
      <c r="N1410" s="20"/>
      <c r="O1410" s="21"/>
      <c r="P1410" s="524"/>
      <c r="Q1410" s="327"/>
      <c r="R1410" s="516"/>
      <c r="S1410" s="327"/>
      <c r="T1410" s="517"/>
      <c r="U1410" s="327"/>
      <c r="V1410" s="518"/>
      <c r="W1410" s="327"/>
      <c r="X1410" s="438" t="s">
        <v>303</v>
      </c>
      <c r="Y1410" s="326"/>
      <c r="Z1410" s="326"/>
      <c r="AA1410" s="327"/>
      <c r="AB1410" s="519" t="s">
        <v>303</v>
      </c>
      <c r="AC1410" s="326"/>
      <c r="AD1410" s="326"/>
      <c r="AE1410" s="327"/>
      <c r="AF1410" s="520"/>
      <c r="AG1410" s="327"/>
      <c r="AH1410" s="520"/>
      <c r="AI1410" s="327"/>
      <c r="AJ1410" s="536"/>
      <c r="AK1410" s="327"/>
      <c r="AL1410" s="556" t="s">
        <v>334</v>
      </c>
      <c r="AM1410" s="327"/>
      <c r="AN1410" s="553" t="s">
        <v>334</v>
      </c>
      <c r="AO1410" s="327"/>
      <c r="AP1410" s="554"/>
      <c r="AQ1410" s="327"/>
      <c r="AR1410" s="555"/>
      <c r="AS1410" s="327"/>
      <c r="AT1410" s="549"/>
      <c r="AU1410" s="327"/>
      <c r="AV1410" s="553" t="s">
        <v>334</v>
      </c>
      <c r="AW1410" s="327"/>
      <c r="AX1410" s="521"/>
      <c r="AY1410" s="326"/>
      <c r="AZ1410" s="327"/>
      <c r="BA1410" s="536"/>
      <c r="BB1410" s="327"/>
      <c r="BC1410" s="22"/>
      <c r="BD1410" s="551" t="s">
        <v>334</v>
      </c>
      <c r="BE1410" s="327"/>
      <c r="BF1410" s="508"/>
      <c r="BG1410" s="326"/>
      <c r="BH1410" s="326"/>
      <c r="BI1410" s="327"/>
      <c r="BJ1410" s="451" t="s">
        <v>303</v>
      </c>
      <c r="BK1410" s="326"/>
      <c r="BL1410" s="326"/>
      <c r="BM1410" s="327"/>
      <c r="BN1410" s="558" t="s">
        <v>303</v>
      </c>
      <c r="BO1410" s="326"/>
      <c r="BP1410" s="326"/>
      <c r="BQ1410" s="326"/>
      <c r="BR1410" s="326"/>
      <c r="BS1410" s="326"/>
      <c r="BT1410" s="326"/>
      <c r="BU1410" s="326"/>
      <c r="BV1410" s="327"/>
    </row>
    <row r="1411" spans="1:74" ht="45" customHeight="1" x14ac:dyDescent="0.25">
      <c r="A1411" s="10">
        <f t="shared" si="5"/>
        <v>1397</v>
      </c>
      <c r="B1411" s="559" t="s">
        <v>303</v>
      </c>
      <c r="C1411" s="327"/>
      <c r="D1411" s="560" t="s">
        <v>307</v>
      </c>
      <c r="E1411" s="327"/>
      <c r="F1411" s="537" t="s">
        <v>334</v>
      </c>
      <c r="G1411" s="327"/>
      <c r="H1411" s="566" t="s">
        <v>334</v>
      </c>
      <c r="I1411" s="327"/>
      <c r="J1411" s="567"/>
      <c r="K1411" s="327"/>
      <c r="L1411" s="567"/>
      <c r="M1411" s="327"/>
      <c r="N1411" s="23"/>
      <c r="O1411" s="24"/>
      <c r="P1411" s="563"/>
      <c r="Q1411" s="327"/>
      <c r="R1411" s="538"/>
      <c r="S1411" s="327"/>
      <c r="T1411" s="539"/>
      <c r="U1411" s="327"/>
      <c r="V1411" s="540"/>
      <c r="W1411" s="327"/>
      <c r="X1411" s="541" t="s">
        <v>303</v>
      </c>
      <c r="Y1411" s="326"/>
      <c r="Z1411" s="326"/>
      <c r="AA1411" s="327"/>
      <c r="AB1411" s="542" t="s">
        <v>303</v>
      </c>
      <c r="AC1411" s="326"/>
      <c r="AD1411" s="326"/>
      <c r="AE1411" s="327"/>
      <c r="AF1411" s="543"/>
      <c r="AG1411" s="327"/>
      <c r="AH1411" s="543"/>
      <c r="AI1411" s="327"/>
      <c r="AJ1411" s="536"/>
      <c r="AK1411" s="327"/>
      <c r="AL1411" s="537" t="s">
        <v>334</v>
      </c>
      <c r="AM1411" s="327"/>
      <c r="AN1411" s="546" t="s">
        <v>334</v>
      </c>
      <c r="AO1411" s="327"/>
      <c r="AP1411" s="547"/>
      <c r="AQ1411" s="327"/>
      <c r="AR1411" s="548"/>
      <c r="AS1411" s="327"/>
      <c r="AT1411" s="549"/>
      <c r="AU1411" s="327"/>
      <c r="AV1411" s="546" t="s">
        <v>334</v>
      </c>
      <c r="AW1411" s="327"/>
      <c r="AX1411" s="521"/>
      <c r="AY1411" s="326"/>
      <c r="AZ1411" s="327"/>
      <c r="BA1411" s="550"/>
      <c r="BB1411" s="327"/>
      <c r="BC1411" s="25"/>
      <c r="BD1411" s="544" t="s">
        <v>334</v>
      </c>
      <c r="BE1411" s="327"/>
      <c r="BF1411" s="545"/>
      <c r="BG1411" s="326"/>
      <c r="BH1411" s="326"/>
      <c r="BI1411" s="327"/>
      <c r="BJ1411" s="557" t="s">
        <v>303</v>
      </c>
      <c r="BK1411" s="326"/>
      <c r="BL1411" s="326"/>
      <c r="BM1411" s="327"/>
      <c r="BN1411" s="558" t="s">
        <v>303</v>
      </c>
      <c r="BO1411" s="326"/>
      <c r="BP1411" s="326"/>
      <c r="BQ1411" s="326"/>
      <c r="BR1411" s="326"/>
      <c r="BS1411" s="326"/>
      <c r="BT1411" s="326"/>
      <c r="BU1411" s="326"/>
      <c r="BV1411" s="327"/>
    </row>
    <row r="1412" spans="1:74" ht="45" customHeight="1" x14ac:dyDescent="0.25">
      <c r="A1412" s="10">
        <f t="shared" si="5"/>
        <v>1398</v>
      </c>
      <c r="B1412" s="564" t="s">
        <v>303</v>
      </c>
      <c r="C1412" s="327"/>
      <c r="D1412" s="565" t="s">
        <v>307</v>
      </c>
      <c r="E1412" s="327"/>
      <c r="F1412" s="537" t="s">
        <v>334</v>
      </c>
      <c r="G1412" s="327"/>
      <c r="H1412" s="561" t="s">
        <v>334</v>
      </c>
      <c r="I1412" s="327"/>
      <c r="J1412" s="26"/>
      <c r="K1412" s="27"/>
      <c r="L1412" s="26"/>
      <c r="M1412" s="27"/>
      <c r="N1412" s="20"/>
      <c r="O1412" s="21"/>
      <c r="P1412" s="524"/>
      <c r="Q1412" s="327"/>
      <c r="R1412" s="516"/>
      <c r="S1412" s="327"/>
      <c r="T1412" s="517"/>
      <c r="U1412" s="327"/>
      <c r="V1412" s="518"/>
      <c r="W1412" s="327"/>
      <c r="X1412" s="438" t="s">
        <v>303</v>
      </c>
      <c r="Y1412" s="326"/>
      <c r="Z1412" s="326"/>
      <c r="AA1412" s="327"/>
      <c r="AB1412" s="519" t="s">
        <v>303</v>
      </c>
      <c r="AC1412" s="326"/>
      <c r="AD1412" s="326"/>
      <c r="AE1412" s="327"/>
      <c r="AF1412" s="520"/>
      <c r="AG1412" s="327"/>
      <c r="AH1412" s="520"/>
      <c r="AI1412" s="327"/>
      <c r="AJ1412" s="536"/>
      <c r="AK1412" s="327"/>
      <c r="AL1412" s="556" t="s">
        <v>334</v>
      </c>
      <c r="AM1412" s="327"/>
      <c r="AN1412" s="553" t="s">
        <v>334</v>
      </c>
      <c r="AO1412" s="327"/>
      <c r="AP1412" s="554"/>
      <c r="AQ1412" s="327"/>
      <c r="AR1412" s="555"/>
      <c r="AS1412" s="327"/>
      <c r="AT1412" s="549"/>
      <c r="AU1412" s="327"/>
      <c r="AV1412" s="553" t="s">
        <v>334</v>
      </c>
      <c r="AW1412" s="327"/>
      <c r="AX1412" s="521"/>
      <c r="AY1412" s="326"/>
      <c r="AZ1412" s="327"/>
      <c r="BA1412" s="536"/>
      <c r="BB1412" s="327"/>
      <c r="BC1412" s="22"/>
      <c r="BD1412" s="551" t="s">
        <v>334</v>
      </c>
      <c r="BE1412" s="327"/>
      <c r="BF1412" s="552"/>
      <c r="BG1412" s="326"/>
      <c r="BH1412" s="326"/>
      <c r="BI1412" s="327"/>
      <c r="BJ1412" s="451" t="s">
        <v>303</v>
      </c>
      <c r="BK1412" s="326"/>
      <c r="BL1412" s="326"/>
      <c r="BM1412" s="327"/>
      <c r="BN1412" s="558" t="s">
        <v>303</v>
      </c>
      <c r="BO1412" s="326"/>
      <c r="BP1412" s="326"/>
      <c r="BQ1412" s="326"/>
      <c r="BR1412" s="326"/>
      <c r="BS1412" s="326"/>
      <c r="BT1412" s="326"/>
      <c r="BU1412" s="326"/>
      <c r="BV1412" s="327"/>
    </row>
    <row r="1413" spans="1:74" ht="45" customHeight="1" x14ac:dyDescent="0.25">
      <c r="A1413" s="10">
        <f t="shared" si="5"/>
        <v>1399</v>
      </c>
      <c r="B1413" s="559" t="s">
        <v>303</v>
      </c>
      <c r="C1413" s="327"/>
      <c r="D1413" s="560" t="s">
        <v>307</v>
      </c>
      <c r="E1413" s="327"/>
      <c r="F1413" s="537" t="s">
        <v>334</v>
      </c>
      <c r="G1413" s="327"/>
      <c r="H1413" s="566" t="s">
        <v>334</v>
      </c>
      <c r="I1413" s="327"/>
      <c r="J1413" s="567"/>
      <c r="K1413" s="327"/>
      <c r="L1413" s="567"/>
      <c r="M1413" s="327"/>
      <c r="N1413" s="23"/>
      <c r="O1413" s="24"/>
      <c r="P1413" s="563"/>
      <c r="Q1413" s="327"/>
      <c r="R1413" s="538"/>
      <c r="S1413" s="327"/>
      <c r="T1413" s="539"/>
      <c r="U1413" s="327"/>
      <c r="V1413" s="540"/>
      <c r="W1413" s="327"/>
      <c r="X1413" s="541" t="s">
        <v>303</v>
      </c>
      <c r="Y1413" s="326"/>
      <c r="Z1413" s="326"/>
      <c r="AA1413" s="327"/>
      <c r="AB1413" s="542" t="s">
        <v>303</v>
      </c>
      <c r="AC1413" s="326"/>
      <c r="AD1413" s="326"/>
      <c r="AE1413" s="327"/>
      <c r="AF1413" s="543"/>
      <c r="AG1413" s="327"/>
      <c r="AH1413" s="543"/>
      <c r="AI1413" s="327"/>
      <c r="AJ1413" s="536"/>
      <c r="AK1413" s="327"/>
      <c r="AL1413" s="537" t="s">
        <v>334</v>
      </c>
      <c r="AM1413" s="327"/>
      <c r="AN1413" s="546" t="s">
        <v>334</v>
      </c>
      <c r="AO1413" s="327"/>
      <c r="AP1413" s="547"/>
      <c r="AQ1413" s="327"/>
      <c r="AR1413" s="548"/>
      <c r="AS1413" s="327"/>
      <c r="AT1413" s="549"/>
      <c r="AU1413" s="327"/>
      <c r="AV1413" s="546" t="s">
        <v>334</v>
      </c>
      <c r="AW1413" s="327"/>
      <c r="AX1413" s="521"/>
      <c r="AY1413" s="326"/>
      <c r="AZ1413" s="327"/>
      <c r="BA1413" s="550"/>
      <c r="BB1413" s="327"/>
      <c r="BC1413" s="25"/>
      <c r="BD1413" s="544" t="s">
        <v>334</v>
      </c>
      <c r="BE1413" s="327"/>
      <c r="BF1413" s="545"/>
      <c r="BG1413" s="326"/>
      <c r="BH1413" s="326"/>
      <c r="BI1413" s="327"/>
      <c r="BJ1413" s="557" t="s">
        <v>303</v>
      </c>
      <c r="BK1413" s="326"/>
      <c r="BL1413" s="326"/>
      <c r="BM1413" s="327"/>
      <c r="BN1413" s="558" t="s">
        <v>303</v>
      </c>
      <c r="BO1413" s="326"/>
      <c r="BP1413" s="326"/>
      <c r="BQ1413" s="326"/>
      <c r="BR1413" s="326"/>
      <c r="BS1413" s="326"/>
      <c r="BT1413" s="326"/>
      <c r="BU1413" s="326"/>
      <c r="BV1413" s="327"/>
    </row>
    <row r="1414" spans="1:74" ht="45" customHeight="1" x14ac:dyDescent="0.25">
      <c r="A1414" s="10">
        <f t="shared" si="5"/>
        <v>1400</v>
      </c>
      <c r="B1414" s="564" t="s">
        <v>303</v>
      </c>
      <c r="C1414" s="327"/>
      <c r="D1414" s="565" t="s">
        <v>307</v>
      </c>
      <c r="E1414" s="327"/>
      <c r="F1414" s="537" t="s">
        <v>334</v>
      </c>
      <c r="G1414" s="327"/>
      <c r="H1414" s="561" t="s">
        <v>334</v>
      </c>
      <c r="I1414" s="327"/>
      <c r="J1414" s="26"/>
      <c r="K1414" s="27"/>
      <c r="L1414" s="26"/>
      <c r="M1414" s="27"/>
      <c r="N1414" s="20"/>
      <c r="O1414" s="21"/>
      <c r="P1414" s="524"/>
      <c r="Q1414" s="327"/>
      <c r="R1414" s="516"/>
      <c r="S1414" s="327"/>
      <c r="T1414" s="517"/>
      <c r="U1414" s="327"/>
      <c r="V1414" s="518"/>
      <c r="W1414" s="327"/>
      <c r="X1414" s="438" t="s">
        <v>303</v>
      </c>
      <c r="Y1414" s="326"/>
      <c r="Z1414" s="326"/>
      <c r="AA1414" s="327"/>
      <c r="AB1414" s="519" t="s">
        <v>303</v>
      </c>
      <c r="AC1414" s="326"/>
      <c r="AD1414" s="326"/>
      <c r="AE1414" s="327"/>
      <c r="AF1414" s="520"/>
      <c r="AG1414" s="327"/>
      <c r="AH1414" s="520"/>
      <c r="AI1414" s="327"/>
      <c r="AJ1414" s="536"/>
      <c r="AK1414" s="327"/>
      <c r="AL1414" s="556" t="s">
        <v>334</v>
      </c>
      <c r="AM1414" s="327"/>
      <c r="AN1414" s="553" t="s">
        <v>334</v>
      </c>
      <c r="AO1414" s="327"/>
      <c r="AP1414" s="554"/>
      <c r="AQ1414" s="327"/>
      <c r="AR1414" s="555"/>
      <c r="AS1414" s="327"/>
      <c r="AT1414" s="549"/>
      <c r="AU1414" s="327"/>
      <c r="AV1414" s="553" t="s">
        <v>334</v>
      </c>
      <c r="AW1414" s="327"/>
      <c r="AX1414" s="521"/>
      <c r="AY1414" s="326"/>
      <c r="AZ1414" s="327"/>
      <c r="BA1414" s="536"/>
      <c r="BB1414" s="327"/>
      <c r="BC1414" s="22"/>
      <c r="BD1414" s="551" t="s">
        <v>334</v>
      </c>
      <c r="BE1414" s="327"/>
      <c r="BF1414" s="552"/>
      <c r="BG1414" s="326"/>
      <c r="BH1414" s="326"/>
      <c r="BI1414" s="327"/>
      <c r="BJ1414" s="451" t="s">
        <v>303</v>
      </c>
      <c r="BK1414" s="326"/>
      <c r="BL1414" s="326"/>
      <c r="BM1414" s="327"/>
      <c r="BN1414" s="558" t="s">
        <v>303</v>
      </c>
      <c r="BO1414" s="326"/>
      <c r="BP1414" s="326"/>
      <c r="BQ1414" s="326"/>
      <c r="BR1414" s="326"/>
      <c r="BS1414" s="326"/>
      <c r="BT1414" s="326"/>
      <c r="BU1414" s="326"/>
      <c r="BV1414" s="327"/>
    </row>
    <row r="1415" spans="1:74" ht="45" customHeight="1" x14ac:dyDescent="0.25">
      <c r="A1415" s="10">
        <f t="shared" si="5"/>
        <v>1401</v>
      </c>
      <c r="B1415" s="559" t="s">
        <v>303</v>
      </c>
      <c r="C1415" s="327"/>
      <c r="D1415" s="560" t="s">
        <v>307</v>
      </c>
      <c r="E1415" s="327"/>
      <c r="F1415" s="537" t="s">
        <v>334</v>
      </c>
      <c r="G1415" s="327"/>
      <c r="H1415" s="566" t="s">
        <v>334</v>
      </c>
      <c r="I1415" s="327"/>
      <c r="J1415" s="567"/>
      <c r="K1415" s="327"/>
      <c r="L1415" s="567"/>
      <c r="M1415" s="327"/>
      <c r="N1415" s="23"/>
      <c r="O1415" s="24"/>
      <c r="P1415" s="563"/>
      <c r="Q1415" s="327"/>
      <c r="R1415" s="538"/>
      <c r="S1415" s="327"/>
      <c r="T1415" s="539"/>
      <c r="U1415" s="327"/>
      <c r="V1415" s="540"/>
      <c r="W1415" s="327"/>
      <c r="X1415" s="541" t="s">
        <v>303</v>
      </c>
      <c r="Y1415" s="326"/>
      <c r="Z1415" s="326"/>
      <c r="AA1415" s="327"/>
      <c r="AB1415" s="542" t="s">
        <v>303</v>
      </c>
      <c r="AC1415" s="326"/>
      <c r="AD1415" s="326"/>
      <c r="AE1415" s="327"/>
      <c r="AF1415" s="543"/>
      <c r="AG1415" s="327"/>
      <c r="AH1415" s="543"/>
      <c r="AI1415" s="327"/>
      <c r="AJ1415" s="536"/>
      <c r="AK1415" s="327"/>
      <c r="AL1415" s="537" t="s">
        <v>334</v>
      </c>
      <c r="AM1415" s="327"/>
      <c r="AN1415" s="546" t="s">
        <v>334</v>
      </c>
      <c r="AO1415" s="327"/>
      <c r="AP1415" s="547"/>
      <c r="AQ1415" s="327"/>
      <c r="AR1415" s="548"/>
      <c r="AS1415" s="327"/>
      <c r="AT1415" s="568"/>
      <c r="AU1415" s="327"/>
      <c r="AV1415" s="546" t="s">
        <v>334</v>
      </c>
      <c r="AW1415" s="327"/>
      <c r="AX1415" s="521"/>
      <c r="AY1415" s="326"/>
      <c r="AZ1415" s="327"/>
      <c r="BA1415" s="550"/>
      <c r="BB1415" s="327"/>
      <c r="BC1415" s="25"/>
      <c r="BD1415" s="544" t="s">
        <v>334</v>
      </c>
      <c r="BE1415" s="327"/>
      <c r="BF1415" s="545"/>
      <c r="BG1415" s="326"/>
      <c r="BH1415" s="326"/>
      <c r="BI1415" s="327"/>
      <c r="BJ1415" s="557" t="s">
        <v>303</v>
      </c>
      <c r="BK1415" s="326"/>
      <c r="BL1415" s="326"/>
      <c r="BM1415" s="327"/>
      <c r="BN1415" s="558" t="s">
        <v>303</v>
      </c>
      <c r="BO1415" s="326"/>
      <c r="BP1415" s="326"/>
      <c r="BQ1415" s="326"/>
      <c r="BR1415" s="326"/>
      <c r="BS1415" s="326"/>
      <c r="BT1415" s="326"/>
      <c r="BU1415" s="326"/>
      <c r="BV1415" s="327"/>
    </row>
    <row r="1416" spans="1:74" ht="45" customHeight="1" x14ac:dyDescent="0.25">
      <c r="A1416" s="10">
        <f t="shared" si="5"/>
        <v>1402</v>
      </c>
      <c r="B1416" s="564" t="s">
        <v>303</v>
      </c>
      <c r="C1416" s="327"/>
      <c r="D1416" s="565" t="s">
        <v>307</v>
      </c>
      <c r="E1416" s="327"/>
      <c r="F1416" s="537" t="s">
        <v>334</v>
      </c>
      <c r="G1416" s="327"/>
      <c r="H1416" s="561" t="s">
        <v>334</v>
      </c>
      <c r="I1416" s="327"/>
      <c r="J1416" s="26"/>
      <c r="K1416" s="27"/>
      <c r="L1416" s="26"/>
      <c r="M1416" s="27"/>
      <c r="N1416" s="20"/>
      <c r="O1416" s="21"/>
      <c r="P1416" s="524"/>
      <c r="Q1416" s="327"/>
      <c r="R1416" s="516"/>
      <c r="S1416" s="327"/>
      <c r="T1416" s="517"/>
      <c r="U1416" s="327"/>
      <c r="V1416" s="518"/>
      <c r="W1416" s="327"/>
      <c r="X1416" s="438" t="s">
        <v>303</v>
      </c>
      <c r="Y1416" s="326"/>
      <c r="Z1416" s="326"/>
      <c r="AA1416" s="327"/>
      <c r="AB1416" s="519" t="s">
        <v>303</v>
      </c>
      <c r="AC1416" s="326"/>
      <c r="AD1416" s="326"/>
      <c r="AE1416" s="327"/>
      <c r="AF1416" s="520"/>
      <c r="AG1416" s="327"/>
      <c r="AH1416" s="520"/>
      <c r="AI1416" s="327"/>
      <c r="AJ1416" s="536"/>
      <c r="AK1416" s="327"/>
      <c r="AL1416" s="556" t="s">
        <v>334</v>
      </c>
      <c r="AM1416" s="327"/>
      <c r="AN1416" s="553" t="s">
        <v>334</v>
      </c>
      <c r="AO1416" s="327"/>
      <c r="AP1416" s="554"/>
      <c r="AQ1416" s="327"/>
      <c r="AR1416" s="555"/>
      <c r="AS1416" s="327"/>
      <c r="AT1416" s="549"/>
      <c r="AU1416" s="327"/>
      <c r="AV1416" s="553" t="s">
        <v>334</v>
      </c>
      <c r="AW1416" s="327"/>
      <c r="AX1416" s="521"/>
      <c r="AY1416" s="326"/>
      <c r="AZ1416" s="327"/>
      <c r="BA1416" s="536"/>
      <c r="BB1416" s="327"/>
      <c r="BC1416" s="22"/>
      <c r="BD1416" s="551" t="s">
        <v>334</v>
      </c>
      <c r="BE1416" s="327"/>
      <c r="BF1416" s="508"/>
      <c r="BG1416" s="326"/>
      <c r="BH1416" s="326"/>
      <c r="BI1416" s="327"/>
      <c r="BJ1416" s="451" t="s">
        <v>303</v>
      </c>
      <c r="BK1416" s="326"/>
      <c r="BL1416" s="326"/>
      <c r="BM1416" s="327"/>
      <c r="BN1416" s="558" t="s">
        <v>303</v>
      </c>
      <c r="BO1416" s="326"/>
      <c r="BP1416" s="326"/>
      <c r="BQ1416" s="326"/>
      <c r="BR1416" s="326"/>
      <c r="BS1416" s="326"/>
      <c r="BT1416" s="326"/>
      <c r="BU1416" s="326"/>
      <c r="BV1416" s="327"/>
    </row>
    <row r="1417" spans="1:74" ht="45" customHeight="1" x14ac:dyDescent="0.25">
      <c r="A1417" s="10">
        <f t="shared" si="5"/>
        <v>1403</v>
      </c>
      <c r="B1417" s="559" t="s">
        <v>303</v>
      </c>
      <c r="C1417" s="327"/>
      <c r="D1417" s="560" t="s">
        <v>307</v>
      </c>
      <c r="E1417" s="327"/>
      <c r="F1417" s="537" t="s">
        <v>334</v>
      </c>
      <c r="G1417" s="327"/>
      <c r="H1417" s="566" t="s">
        <v>334</v>
      </c>
      <c r="I1417" s="327"/>
      <c r="J1417" s="567"/>
      <c r="K1417" s="327"/>
      <c r="L1417" s="567"/>
      <c r="M1417" s="327"/>
      <c r="N1417" s="23"/>
      <c r="O1417" s="24"/>
      <c r="P1417" s="563"/>
      <c r="Q1417" s="327"/>
      <c r="R1417" s="538"/>
      <c r="S1417" s="327"/>
      <c r="T1417" s="539"/>
      <c r="U1417" s="327"/>
      <c r="V1417" s="540"/>
      <c r="W1417" s="327"/>
      <c r="X1417" s="541" t="s">
        <v>303</v>
      </c>
      <c r="Y1417" s="326"/>
      <c r="Z1417" s="326"/>
      <c r="AA1417" s="327"/>
      <c r="AB1417" s="542" t="s">
        <v>303</v>
      </c>
      <c r="AC1417" s="326"/>
      <c r="AD1417" s="326"/>
      <c r="AE1417" s="327"/>
      <c r="AF1417" s="543"/>
      <c r="AG1417" s="327"/>
      <c r="AH1417" s="543"/>
      <c r="AI1417" s="327"/>
      <c r="AJ1417" s="536"/>
      <c r="AK1417" s="327"/>
      <c r="AL1417" s="537" t="s">
        <v>334</v>
      </c>
      <c r="AM1417" s="327"/>
      <c r="AN1417" s="546" t="s">
        <v>334</v>
      </c>
      <c r="AO1417" s="327"/>
      <c r="AP1417" s="547"/>
      <c r="AQ1417" s="327"/>
      <c r="AR1417" s="548"/>
      <c r="AS1417" s="327"/>
      <c r="AT1417" s="568"/>
      <c r="AU1417" s="327"/>
      <c r="AV1417" s="546" t="s">
        <v>334</v>
      </c>
      <c r="AW1417" s="327"/>
      <c r="AX1417" s="521"/>
      <c r="AY1417" s="326"/>
      <c r="AZ1417" s="327"/>
      <c r="BA1417" s="550"/>
      <c r="BB1417" s="327"/>
      <c r="BC1417" s="25"/>
      <c r="BD1417" s="544" t="s">
        <v>334</v>
      </c>
      <c r="BE1417" s="327"/>
      <c r="BF1417" s="545"/>
      <c r="BG1417" s="326"/>
      <c r="BH1417" s="326"/>
      <c r="BI1417" s="327"/>
      <c r="BJ1417" s="557" t="s">
        <v>303</v>
      </c>
      <c r="BK1417" s="326"/>
      <c r="BL1417" s="326"/>
      <c r="BM1417" s="327"/>
      <c r="BN1417" s="558" t="s">
        <v>303</v>
      </c>
      <c r="BO1417" s="326"/>
      <c r="BP1417" s="326"/>
      <c r="BQ1417" s="326"/>
      <c r="BR1417" s="326"/>
      <c r="BS1417" s="326"/>
      <c r="BT1417" s="326"/>
      <c r="BU1417" s="326"/>
      <c r="BV1417" s="327"/>
    </row>
    <row r="1418" spans="1:74" ht="45" customHeight="1" x14ac:dyDescent="0.25">
      <c r="A1418" s="10">
        <f t="shared" si="5"/>
        <v>1404</v>
      </c>
      <c r="B1418" s="564" t="s">
        <v>303</v>
      </c>
      <c r="C1418" s="327"/>
      <c r="D1418" s="565" t="s">
        <v>307</v>
      </c>
      <c r="E1418" s="327"/>
      <c r="F1418" s="537" t="s">
        <v>334</v>
      </c>
      <c r="G1418" s="327"/>
      <c r="H1418" s="561" t="s">
        <v>334</v>
      </c>
      <c r="I1418" s="327"/>
      <c r="J1418" s="26"/>
      <c r="K1418" s="27"/>
      <c r="L1418" s="26"/>
      <c r="M1418" s="27"/>
      <c r="N1418" s="20"/>
      <c r="O1418" s="21"/>
      <c r="P1418" s="524"/>
      <c r="Q1418" s="327"/>
      <c r="R1418" s="516"/>
      <c r="S1418" s="327"/>
      <c r="T1418" s="517"/>
      <c r="U1418" s="327"/>
      <c r="V1418" s="518"/>
      <c r="W1418" s="327"/>
      <c r="X1418" s="438" t="s">
        <v>303</v>
      </c>
      <c r="Y1418" s="326"/>
      <c r="Z1418" s="326"/>
      <c r="AA1418" s="327"/>
      <c r="AB1418" s="519" t="s">
        <v>303</v>
      </c>
      <c r="AC1418" s="326"/>
      <c r="AD1418" s="326"/>
      <c r="AE1418" s="327"/>
      <c r="AF1418" s="520"/>
      <c r="AG1418" s="327"/>
      <c r="AH1418" s="520"/>
      <c r="AI1418" s="327"/>
      <c r="AJ1418" s="536"/>
      <c r="AK1418" s="327"/>
      <c r="AL1418" s="556" t="s">
        <v>334</v>
      </c>
      <c r="AM1418" s="327"/>
      <c r="AN1418" s="553" t="s">
        <v>334</v>
      </c>
      <c r="AO1418" s="327"/>
      <c r="AP1418" s="554"/>
      <c r="AQ1418" s="327"/>
      <c r="AR1418" s="555"/>
      <c r="AS1418" s="327"/>
      <c r="AT1418" s="549"/>
      <c r="AU1418" s="327"/>
      <c r="AV1418" s="553" t="s">
        <v>334</v>
      </c>
      <c r="AW1418" s="327"/>
      <c r="AX1418" s="521"/>
      <c r="AY1418" s="326"/>
      <c r="AZ1418" s="327"/>
      <c r="BA1418" s="536"/>
      <c r="BB1418" s="327"/>
      <c r="BC1418" s="22"/>
      <c r="BD1418" s="551" t="s">
        <v>334</v>
      </c>
      <c r="BE1418" s="327"/>
      <c r="BF1418" s="552"/>
      <c r="BG1418" s="326"/>
      <c r="BH1418" s="326"/>
      <c r="BI1418" s="327"/>
      <c r="BJ1418" s="451" t="s">
        <v>303</v>
      </c>
      <c r="BK1418" s="326"/>
      <c r="BL1418" s="326"/>
      <c r="BM1418" s="327"/>
      <c r="BN1418" s="558" t="s">
        <v>303</v>
      </c>
      <c r="BO1418" s="326"/>
      <c r="BP1418" s="326"/>
      <c r="BQ1418" s="326"/>
      <c r="BR1418" s="326"/>
      <c r="BS1418" s="326"/>
      <c r="BT1418" s="326"/>
      <c r="BU1418" s="326"/>
      <c r="BV1418" s="327"/>
    </row>
    <row r="1419" spans="1:74" ht="45" customHeight="1" x14ac:dyDescent="0.25">
      <c r="A1419" s="10">
        <f t="shared" si="5"/>
        <v>1405</v>
      </c>
      <c r="B1419" s="559" t="s">
        <v>303</v>
      </c>
      <c r="C1419" s="327"/>
      <c r="D1419" s="560" t="s">
        <v>307</v>
      </c>
      <c r="E1419" s="327"/>
      <c r="F1419" s="537" t="s">
        <v>334</v>
      </c>
      <c r="G1419" s="327"/>
      <c r="H1419" s="566" t="s">
        <v>334</v>
      </c>
      <c r="I1419" s="327"/>
      <c r="J1419" s="567"/>
      <c r="K1419" s="327"/>
      <c r="L1419" s="567"/>
      <c r="M1419" s="327"/>
      <c r="N1419" s="23"/>
      <c r="O1419" s="24"/>
      <c r="P1419" s="563"/>
      <c r="Q1419" s="327"/>
      <c r="R1419" s="538"/>
      <c r="S1419" s="327"/>
      <c r="T1419" s="539"/>
      <c r="U1419" s="327"/>
      <c r="V1419" s="540"/>
      <c r="W1419" s="327"/>
      <c r="X1419" s="541" t="s">
        <v>303</v>
      </c>
      <c r="Y1419" s="326"/>
      <c r="Z1419" s="326"/>
      <c r="AA1419" s="327"/>
      <c r="AB1419" s="542" t="s">
        <v>303</v>
      </c>
      <c r="AC1419" s="326"/>
      <c r="AD1419" s="326"/>
      <c r="AE1419" s="327"/>
      <c r="AF1419" s="543"/>
      <c r="AG1419" s="327"/>
      <c r="AH1419" s="543"/>
      <c r="AI1419" s="327"/>
      <c r="AJ1419" s="536"/>
      <c r="AK1419" s="327"/>
      <c r="AL1419" s="537" t="s">
        <v>334</v>
      </c>
      <c r="AM1419" s="327"/>
      <c r="AN1419" s="546" t="s">
        <v>334</v>
      </c>
      <c r="AO1419" s="327"/>
      <c r="AP1419" s="547"/>
      <c r="AQ1419" s="327"/>
      <c r="AR1419" s="548"/>
      <c r="AS1419" s="327"/>
      <c r="AT1419" s="568"/>
      <c r="AU1419" s="327"/>
      <c r="AV1419" s="546" t="s">
        <v>334</v>
      </c>
      <c r="AW1419" s="327"/>
      <c r="AX1419" s="521"/>
      <c r="AY1419" s="326"/>
      <c r="AZ1419" s="327"/>
      <c r="BA1419" s="550"/>
      <c r="BB1419" s="327"/>
      <c r="BC1419" s="25"/>
      <c r="BD1419" s="544" t="s">
        <v>334</v>
      </c>
      <c r="BE1419" s="327"/>
      <c r="BF1419" s="545"/>
      <c r="BG1419" s="326"/>
      <c r="BH1419" s="326"/>
      <c r="BI1419" s="327"/>
      <c r="BJ1419" s="557" t="s">
        <v>303</v>
      </c>
      <c r="BK1419" s="326"/>
      <c r="BL1419" s="326"/>
      <c r="BM1419" s="327"/>
      <c r="BN1419" s="558" t="s">
        <v>303</v>
      </c>
      <c r="BO1419" s="326"/>
      <c r="BP1419" s="326"/>
      <c r="BQ1419" s="326"/>
      <c r="BR1419" s="326"/>
      <c r="BS1419" s="326"/>
      <c r="BT1419" s="326"/>
      <c r="BU1419" s="326"/>
      <c r="BV1419" s="327"/>
    </row>
    <row r="1420" spans="1:74" ht="45" customHeight="1" x14ac:dyDescent="0.25">
      <c r="A1420" s="10">
        <f t="shared" si="5"/>
        <v>1406</v>
      </c>
      <c r="B1420" s="564" t="s">
        <v>303</v>
      </c>
      <c r="C1420" s="327"/>
      <c r="D1420" s="565" t="s">
        <v>307</v>
      </c>
      <c r="E1420" s="327"/>
      <c r="F1420" s="537" t="s">
        <v>334</v>
      </c>
      <c r="G1420" s="327"/>
      <c r="H1420" s="561" t="s">
        <v>334</v>
      </c>
      <c r="I1420" s="327"/>
      <c r="J1420" s="26"/>
      <c r="K1420" s="27"/>
      <c r="L1420" s="26"/>
      <c r="M1420" s="27"/>
      <c r="N1420" s="20"/>
      <c r="O1420" s="21"/>
      <c r="P1420" s="524"/>
      <c r="Q1420" s="327"/>
      <c r="R1420" s="516"/>
      <c r="S1420" s="327"/>
      <c r="T1420" s="517"/>
      <c r="U1420" s="327"/>
      <c r="V1420" s="518"/>
      <c r="W1420" s="327"/>
      <c r="X1420" s="438" t="s">
        <v>303</v>
      </c>
      <c r="Y1420" s="326"/>
      <c r="Z1420" s="326"/>
      <c r="AA1420" s="327"/>
      <c r="AB1420" s="519" t="s">
        <v>303</v>
      </c>
      <c r="AC1420" s="326"/>
      <c r="AD1420" s="326"/>
      <c r="AE1420" s="327"/>
      <c r="AF1420" s="520"/>
      <c r="AG1420" s="327"/>
      <c r="AH1420" s="520"/>
      <c r="AI1420" s="327"/>
      <c r="AJ1420" s="536"/>
      <c r="AK1420" s="327"/>
      <c r="AL1420" s="556" t="s">
        <v>334</v>
      </c>
      <c r="AM1420" s="327"/>
      <c r="AN1420" s="553" t="s">
        <v>334</v>
      </c>
      <c r="AO1420" s="327"/>
      <c r="AP1420" s="554"/>
      <c r="AQ1420" s="327"/>
      <c r="AR1420" s="555"/>
      <c r="AS1420" s="327"/>
      <c r="AT1420" s="549"/>
      <c r="AU1420" s="327"/>
      <c r="AV1420" s="553" t="s">
        <v>334</v>
      </c>
      <c r="AW1420" s="327"/>
      <c r="AX1420" s="521"/>
      <c r="AY1420" s="326"/>
      <c r="AZ1420" s="327"/>
      <c r="BA1420" s="536"/>
      <c r="BB1420" s="327"/>
      <c r="BC1420" s="22"/>
      <c r="BD1420" s="551" t="s">
        <v>334</v>
      </c>
      <c r="BE1420" s="327"/>
      <c r="BF1420" s="552"/>
      <c r="BG1420" s="326"/>
      <c r="BH1420" s="326"/>
      <c r="BI1420" s="327"/>
      <c r="BJ1420" s="451" t="s">
        <v>303</v>
      </c>
      <c r="BK1420" s="326"/>
      <c r="BL1420" s="326"/>
      <c r="BM1420" s="327"/>
      <c r="BN1420" s="558" t="s">
        <v>303</v>
      </c>
      <c r="BO1420" s="326"/>
      <c r="BP1420" s="326"/>
      <c r="BQ1420" s="326"/>
      <c r="BR1420" s="326"/>
      <c r="BS1420" s="326"/>
      <c r="BT1420" s="326"/>
      <c r="BU1420" s="326"/>
      <c r="BV1420" s="327"/>
    </row>
    <row r="1421" spans="1:74" ht="45" customHeight="1" x14ac:dyDescent="0.25">
      <c r="A1421" s="10">
        <f t="shared" si="5"/>
        <v>1407</v>
      </c>
      <c r="B1421" s="559" t="s">
        <v>303</v>
      </c>
      <c r="C1421" s="327"/>
      <c r="D1421" s="560" t="s">
        <v>307</v>
      </c>
      <c r="E1421" s="327"/>
      <c r="F1421" s="537" t="s">
        <v>334</v>
      </c>
      <c r="G1421" s="327"/>
      <c r="H1421" s="566" t="s">
        <v>334</v>
      </c>
      <c r="I1421" s="327"/>
      <c r="J1421" s="567"/>
      <c r="K1421" s="327"/>
      <c r="L1421" s="567"/>
      <c r="M1421" s="327"/>
      <c r="N1421" s="23"/>
      <c r="O1421" s="24"/>
      <c r="P1421" s="563"/>
      <c r="Q1421" s="327"/>
      <c r="R1421" s="538"/>
      <c r="S1421" s="327"/>
      <c r="T1421" s="539"/>
      <c r="U1421" s="327"/>
      <c r="V1421" s="540"/>
      <c r="W1421" s="327"/>
      <c r="X1421" s="541" t="s">
        <v>303</v>
      </c>
      <c r="Y1421" s="326"/>
      <c r="Z1421" s="326"/>
      <c r="AA1421" s="327"/>
      <c r="AB1421" s="542" t="s">
        <v>303</v>
      </c>
      <c r="AC1421" s="326"/>
      <c r="AD1421" s="326"/>
      <c r="AE1421" s="327"/>
      <c r="AF1421" s="543"/>
      <c r="AG1421" s="327"/>
      <c r="AH1421" s="543"/>
      <c r="AI1421" s="327"/>
      <c r="AJ1421" s="536"/>
      <c r="AK1421" s="327"/>
      <c r="AL1421" s="537" t="s">
        <v>334</v>
      </c>
      <c r="AM1421" s="327"/>
      <c r="AN1421" s="546" t="s">
        <v>334</v>
      </c>
      <c r="AO1421" s="327"/>
      <c r="AP1421" s="547"/>
      <c r="AQ1421" s="327"/>
      <c r="AR1421" s="548"/>
      <c r="AS1421" s="327"/>
      <c r="AT1421" s="568"/>
      <c r="AU1421" s="327"/>
      <c r="AV1421" s="546" t="s">
        <v>334</v>
      </c>
      <c r="AW1421" s="327"/>
      <c r="AX1421" s="521"/>
      <c r="AY1421" s="326"/>
      <c r="AZ1421" s="327"/>
      <c r="BA1421" s="550"/>
      <c r="BB1421" s="327"/>
      <c r="BC1421" s="25"/>
      <c r="BD1421" s="544" t="s">
        <v>334</v>
      </c>
      <c r="BE1421" s="327"/>
      <c r="BF1421" s="545"/>
      <c r="BG1421" s="326"/>
      <c r="BH1421" s="326"/>
      <c r="BI1421" s="327"/>
      <c r="BJ1421" s="557" t="s">
        <v>303</v>
      </c>
      <c r="BK1421" s="326"/>
      <c r="BL1421" s="326"/>
      <c r="BM1421" s="327"/>
      <c r="BN1421" s="558" t="s">
        <v>303</v>
      </c>
      <c r="BO1421" s="326"/>
      <c r="BP1421" s="326"/>
      <c r="BQ1421" s="326"/>
      <c r="BR1421" s="326"/>
      <c r="BS1421" s="326"/>
      <c r="BT1421" s="326"/>
      <c r="BU1421" s="326"/>
      <c r="BV1421" s="327"/>
    </row>
    <row r="1422" spans="1:74" ht="45" customHeight="1" x14ac:dyDescent="0.25">
      <c r="A1422" s="10">
        <f t="shared" si="5"/>
        <v>1408</v>
      </c>
      <c r="B1422" s="564" t="s">
        <v>303</v>
      </c>
      <c r="C1422" s="327"/>
      <c r="D1422" s="565" t="s">
        <v>307</v>
      </c>
      <c r="E1422" s="327"/>
      <c r="F1422" s="537" t="s">
        <v>334</v>
      </c>
      <c r="G1422" s="327"/>
      <c r="H1422" s="561" t="s">
        <v>334</v>
      </c>
      <c r="I1422" s="327"/>
      <c r="J1422" s="26"/>
      <c r="K1422" s="27"/>
      <c r="L1422" s="26"/>
      <c r="M1422" s="27"/>
      <c r="N1422" s="20"/>
      <c r="O1422" s="21"/>
      <c r="P1422" s="524"/>
      <c r="Q1422" s="327"/>
      <c r="R1422" s="516"/>
      <c r="S1422" s="327"/>
      <c r="T1422" s="517"/>
      <c r="U1422" s="327"/>
      <c r="V1422" s="518"/>
      <c r="W1422" s="327"/>
      <c r="X1422" s="438" t="s">
        <v>303</v>
      </c>
      <c r="Y1422" s="326"/>
      <c r="Z1422" s="326"/>
      <c r="AA1422" s="327"/>
      <c r="AB1422" s="519" t="s">
        <v>303</v>
      </c>
      <c r="AC1422" s="326"/>
      <c r="AD1422" s="326"/>
      <c r="AE1422" s="327"/>
      <c r="AF1422" s="520"/>
      <c r="AG1422" s="327"/>
      <c r="AH1422" s="520"/>
      <c r="AI1422" s="327"/>
      <c r="AJ1422" s="536"/>
      <c r="AK1422" s="327"/>
      <c r="AL1422" s="556" t="s">
        <v>334</v>
      </c>
      <c r="AM1422" s="327"/>
      <c r="AN1422" s="553" t="s">
        <v>334</v>
      </c>
      <c r="AO1422" s="327"/>
      <c r="AP1422" s="554"/>
      <c r="AQ1422" s="327"/>
      <c r="AR1422" s="555"/>
      <c r="AS1422" s="327"/>
      <c r="AT1422" s="549"/>
      <c r="AU1422" s="327"/>
      <c r="AV1422" s="553" t="s">
        <v>334</v>
      </c>
      <c r="AW1422" s="327"/>
      <c r="AX1422" s="521"/>
      <c r="AY1422" s="326"/>
      <c r="AZ1422" s="327"/>
      <c r="BA1422" s="536"/>
      <c r="BB1422" s="327"/>
      <c r="BC1422" s="22"/>
      <c r="BD1422" s="551" t="s">
        <v>334</v>
      </c>
      <c r="BE1422" s="327"/>
      <c r="BF1422" s="508"/>
      <c r="BG1422" s="326"/>
      <c r="BH1422" s="326"/>
      <c r="BI1422" s="327"/>
      <c r="BJ1422" s="451" t="s">
        <v>303</v>
      </c>
      <c r="BK1422" s="326"/>
      <c r="BL1422" s="326"/>
      <c r="BM1422" s="327"/>
      <c r="BN1422" s="558" t="s">
        <v>303</v>
      </c>
      <c r="BO1422" s="326"/>
      <c r="BP1422" s="326"/>
      <c r="BQ1422" s="326"/>
      <c r="BR1422" s="326"/>
      <c r="BS1422" s="326"/>
      <c r="BT1422" s="326"/>
      <c r="BU1422" s="326"/>
      <c r="BV1422" s="327"/>
    </row>
    <row r="1423" spans="1:74" ht="45" customHeight="1" x14ac:dyDescent="0.25">
      <c r="A1423" s="10">
        <f t="shared" si="5"/>
        <v>1409</v>
      </c>
      <c r="B1423" s="559" t="s">
        <v>303</v>
      </c>
      <c r="C1423" s="327"/>
      <c r="D1423" s="560" t="s">
        <v>307</v>
      </c>
      <c r="E1423" s="327"/>
      <c r="F1423" s="537" t="s">
        <v>334</v>
      </c>
      <c r="G1423" s="327"/>
      <c r="H1423" s="566" t="s">
        <v>334</v>
      </c>
      <c r="I1423" s="327"/>
      <c r="J1423" s="567"/>
      <c r="K1423" s="327"/>
      <c r="L1423" s="567"/>
      <c r="M1423" s="327"/>
      <c r="N1423" s="23"/>
      <c r="O1423" s="24"/>
      <c r="P1423" s="563"/>
      <c r="Q1423" s="327"/>
      <c r="R1423" s="538"/>
      <c r="S1423" s="327"/>
      <c r="T1423" s="539"/>
      <c r="U1423" s="327"/>
      <c r="V1423" s="540"/>
      <c r="W1423" s="327"/>
      <c r="X1423" s="541" t="s">
        <v>303</v>
      </c>
      <c r="Y1423" s="326"/>
      <c r="Z1423" s="326"/>
      <c r="AA1423" s="327"/>
      <c r="AB1423" s="542" t="s">
        <v>303</v>
      </c>
      <c r="AC1423" s="326"/>
      <c r="AD1423" s="326"/>
      <c r="AE1423" s="327"/>
      <c r="AF1423" s="543"/>
      <c r="AG1423" s="327"/>
      <c r="AH1423" s="543"/>
      <c r="AI1423" s="327"/>
      <c r="AJ1423" s="536"/>
      <c r="AK1423" s="327"/>
      <c r="AL1423" s="537" t="s">
        <v>334</v>
      </c>
      <c r="AM1423" s="327"/>
      <c r="AN1423" s="546" t="s">
        <v>334</v>
      </c>
      <c r="AO1423" s="327"/>
      <c r="AP1423" s="547"/>
      <c r="AQ1423" s="327"/>
      <c r="AR1423" s="548"/>
      <c r="AS1423" s="327"/>
      <c r="AT1423" s="568"/>
      <c r="AU1423" s="327"/>
      <c r="AV1423" s="546" t="s">
        <v>334</v>
      </c>
      <c r="AW1423" s="327"/>
      <c r="AX1423" s="521"/>
      <c r="AY1423" s="326"/>
      <c r="AZ1423" s="327"/>
      <c r="BA1423" s="550"/>
      <c r="BB1423" s="327"/>
      <c r="BC1423" s="25"/>
      <c r="BD1423" s="544" t="s">
        <v>334</v>
      </c>
      <c r="BE1423" s="327"/>
      <c r="BF1423" s="545"/>
      <c r="BG1423" s="326"/>
      <c r="BH1423" s="326"/>
      <c r="BI1423" s="327"/>
      <c r="BJ1423" s="557" t="s">
        <v>303</v>
      </c>
      <c r="BK1423" s="326"/>
      <c r="BL1423" s="326"/>
      <c r="BM1423" s="327"/>
      <c r="BN1423" s="558" t="s">
        <v>303</v>
      </c>
      <c r="BO1423" s="326"/>
      <c r="BP1423" s="326"/>
      <c r="BQ1423" s="326"/>
      <c r="BR1423" s="326"/>
      <c r="BS1423" s="326"/>
      <c r="BT1423" s="326"/>
      <c r="BU1423" s="326"/>
      <c r="BV1423" s="327"/>
    </row>
    <row r="1424" spans="1:74" ht="45" customHeight="1" x14ac:dyDescent="0.25">
      <c r="A1424" s="10">
        <f t="shared" si="5"/>
        <v>1410</v>
      </c>
      <c r="B1424" s="564" t="s">
        <v>303</v>
      </c>
      <c r="C1424" s="327"/>
      <c r="D1424" s="565" t="s">
        <v>307</v>
      </c>
      <c r="E1424" s="327"/>
      <c r="F1424" s="537" t="s">
        <v>334</v>
      </c>
      <c r="G1424" s="327"/>
      <c r="H1424" s="561" t="s">
        <v>334</v>
      </c>
      <c r="I1424" s="327"/>
      <c r="J1424" s="26"/>
      <c r="K1424" s="27"/>
      <c r="L1424" s="26"/>
      <c r="M1424" s="27"/>
      <c r="N1424" s="20"/>
      <c r="O1424" s="21"/>
      <c r="P1424" s="524"/>
      <c r="Q1424" s="327"/>
      <c r="R1424" s="516"/>
      <c r="S1424" s="327"/>
      <c r="T1424" s="517"/>
      <c r="U1424" s="327"/>
      <c r="V1424" s="518"/>
      <c r="W1424" s="327"/>
      <c r="X1424" s="438" t="s">
        <v>303</v>
      </c>
      <c r="Y1424" s="326"/>
      <c r="Z1424" s="326"/>
      <c r="AA1424" s="327"/>
      <c r="AB1424" s="519" t="s">
        <v>303</v>
      </c>
      <c r="AC1424" s="326"/>
      <c r="AD1424" s="326"/>
      <c r="AE1424" s="327"/>
      <c r="AF1424" s="520"/>
      <c r="AG1424" s="327"/>
      <c r="AH1424" s="520"/>
      <c r="AI1424" s="327"/>
      <c r="AJ1424" s="536"/>
      <c r="AK1424" s="327"/>
      <c r="AL1424" s="556" t="s">
        <v>334</v>
      </c>
      <c r="AM1424" s="327"/>
      <c r="AN1424" s="553" t="s">
        <v>334</v>
      </c>
      <c r="AO1424" s="327"/>
      <c r="AP1424" s="554"/>
      <c r="AQ1424" s="327"/>
      <c r="AR1424" s="555"/>
      <c r="AS1424" s="327"/>
      <c r="AT1424" s="549"/>
      <c r="AU1424" s="327"/>
      <c r="AV1424" s="553" t="s">
        <v>334</v>
      </c>
      <c r="AW1424" s="327"/>
      <c r="AX1424" s="521"/>
      <c r="AY1424" s="326"/>
      <c r="AZ1424" s="327"/>
      <c r="BA1424" s="536"/>
      <c r="BB1424" s="327"/>
      <c r="BC1424" s="22"/>
      <c r="BD1424" s="551" t="s">
        <v>334</v>
      </c>
      <c r="BE1424" s="327"/>
      <c r="BF1424" s="552"/>
      <c r="BG1424" s="326"/>
      <c r="BH1424" s="326"/>
      <c r="BI1424" s="327"/>
      <c r="BJ1424" s="451" t="s">
        <v>303</v>
      </c>
      <c r="BK1424" s="326"/>
      <c r="BL1424" s="326"/>
      <c r="BM1424" s="327"/>
      <c r="BN1424" s="558" t="s">
        <v>303</v>
      </c>
      <c r="BO1424" s="326"/>
      <c r="BP1424" s="326"/>
      <c r="BQ1424" s="326"/>
      <c r="BR1424" s="326"/>
      <c r="BS1424" s="326"/>
      <c r="BT1424" s="326"/>
      <c r="BU1424" s="326"/>
      <c r="BV1424" s="327"/>
    </row>
    <row r="1425" spans="1:74" ht="45" customHeight="1" x14ac:dyDescent="0.25">
      <c r="A1425" s="10">
        <f t="shared" si="5"/>
        <v>1411</v>
      </c>
      <c r="B1425" s="559" t="s">
        <v>303</v>
      </c>
      <c r="C1425" s="327"/>
      <c r="D1425" s="560" t="s">
        <v>307</v>
      </c>
      <c r="E1425" s="327"/>
      <c r="F1425" s="537" t="s">
        <v>334</v>
      </c>
      <c r="G1425" s="327"/>
      <c r="H1425" s="566" t="s">
        <v>334</v>
      </c>
      <c r="I1425" s="327"/>
      <c r="J1425" s="567"/>
      <c r="K1425" s="327"/>
      <c r="L1425" s="567"/>
      <c r="M1425" s="327"/>
      <c r="N1425" s="23"/>
      <c r="O1425" s="24"/>
      <c r="P1425" s="563"/>
      <c r="Q1425" s="327"/>
      <c r="R1425" s="538"/>
      <c r="S1425" s="327"/>
      <c r="T1425" s="539"/>
      <c r="U1425" s="327"/>
      <c r="V1425" s="540"/>
      <c r="W1425" s="327"/>
      <c r="X1425" s="541" t="s">
        <v>303</v>
      </c>
      <c r="Y1425" s="326"/>
      <c r="Z1425" s="326"/>
      <c r="AA1425" s="327"/>
      <c r="AB1425" s="542" t="s">
        <v>303</v>
      </c>
      <c r="AC1425" s="326"/>
      <c r="AD1425" s="326"/>
      <c r="AE1425" s="327"/>
      <c r="AF1425" s="543"/>
      <c r="AG1425" s="327"/>
      <c r="AH1425" s="543"/>
      <c r="AI1425" s="327"/>
      <c r="AJ1425" s="536"/>
      <c r="AK1425" s="327"/>
      <c r="AL1425" s="537" t="s">
        <v>334</v>
      </c>
      <c r="AM1425" s="327"/>
      <c r="AN1425" s="546" t="s">
        <v>334</v>
      </c>
      <c r="AO1425" s="327"/>
      <c r="AP1425" s="547"/>
      <c r="AQ1425" s="327"/>
      <c r="AR1425" s="548"/>
      <c r="AS1425" s="327"/>
      <c r="AT1425" s="549"/>
      <c r="AU1425" s="327"/>
      <c r="AV1425" s="546" t="s">
        <v>334</v>
      </c>
      <c r="AW1425" s="327"/>
      <c r="AX1425" s="521"/>
      <c r="AY1425" s="326"/>
      <c r="AZ1425" s="327"/>
      <c r="BA1425" s="550"/>
      <c r="BB1425" s="327"/>
      <c r="BC1425" s="25"/>
      <c r="BD1425" s="544" t="s">
        <v>334</v>
      </c>
      <c r="BE1425" s="327"/>
      <c r="BF1425" s="545"/>
      <c r="BG1425" s="326"/>
      <c r="BH1425" s="326"/>
      <c r="BI1425" s="327"/>
      <c r="BJ1425" s="557" t="s">
        <v>303</v>
      </c>
      <c r="BK1425" s="326"/>
      <c r="BL1425" s="326"/>
      <c r="BM1425" s="327"/>
      <c r="BN1425" s="558" t="s">
        <v>303</v>
      </c>
      <c r="BO1425" s="326"/>
      <c r="BP1425" s="326"/>
      <c r="BQ1425" s="326"/>
      <c r="BR1425" s="326"/>
      <c r="BS1425" s="326"/>
      <c r="BT1425" s="326"/>
      <c r="BU1425" s="326"/>
      <c r="BV1425" s="327"/>
    </row>
    <row r="1426" spans="1:74" ht="45" customHeight="1" x14ac:dyDescent="0.25">
      <c r="A1426" s="10">
        <f t="shared" si="5"/>
        <v>1412</v>
      </c>
      <c r="B1426" s="564" t="s">
        <v>303</v>
      </c>
      <c r="C1426" s="327"/>
      <c r="D1426" s="565" t="s">
        <v>307</v>
      </c>
      <c r="E1426" s="327"/>
      <c r="F1426" s="537" t="s">
        <v>334</v>
      </c>
      <c r="G1426" s="327"/>
      <c r="H1426" s="561" t="s">
        <v>334</v>
      </c>
      <c r="I1426" s="327"/>
      <c r="J1426" s="26"/>
      <c r="K1426" s="27"/>
      <c r="L1426" s="26"/>
      <c r="M1426" s="27"/>
      <c r="N1426" s="20"/>
      <c r="O1426" s="21"/>
      <c r="P1426" s="524"/>
      <c r="Q1426" s="327"/>
      <c r="R1426" s="516"/>
      <c r="S1426" s="327"/>
      <c r="T1426" s="517"/>
      <c r="U1426" s="327"/>
      <c r="V1426" s="518"/>
      <c r="W1426" s="327"/>
      <c r="X1426" s="438" t="s">
        <v>303</v>
      </c>
      <c r="Y1426" s="326"/>
      <c r="Z1426" s="326"/>
      <c r="AA1426" s="327"/>
      <c r="AB1426" s="519" t="s">
        <v>303</v>
      </c>
      <c r="AC1426" s="326"/>
      <c r="AD1426" s="326"/>
      <c r="AE1426" s="327"/>
      <c r="AF1426" s="520"/>
      <c r="AG1426" s="327"/>
      <c r="AH1426" s="520"/>
      <c r="AI1426" s="327"/>
      <c r="AJ1426" s="536"/>
      <c r="AK1426" s="327"/>
      <c r="AL1426" s="556" t="s">
        <v>334</v>
      </c>
      <c r="AM1426" s="327"/>
      <c r="AN1426" s="553" t="s">
        <v>334</v>
      </c>
      <c r="AO1426" s="327"/>
      <c r="AP1426" s="554"/>
      <c r="AQ1426" s="327"/>
      <c r="AR1426" s="555"/>
      <c r="AS1426" s="327"/>
      <c r="AT1426" s="549"/>
      <c r="AU1426" s="327"/>
      <c r="AV1426" s="553" t="s">
        <v>334</v>
      </c>
      <c r="AW1426" s="327"/>
      <c r="AX1426" s="521"/>
      <c r="AY1426" s="326"/>
      <c r="AZ1426" s="327"/>
      <c r="BA1426" s="536"/>
      <c r="BB1426" s="327"/>
      <c r="BC1426" s="22"/>
      <c r="BD1426" s="551" t="s">
        <v>334</v>
      </c>
      <c r="BE1426" s="327"/>
      <c r="BF1426" s="552"/>
      <c r="BG1426" s="326"/>
      <c r="BH1426" s="326"/>
      <c r="BI1426" s="327"/>
      <c r="BJ1426" s="451" t="s">
        <v>303</v>
      </c>
      <c r="BK1426" s="326"/>
      <c r="BL1426" s="326"/>
      <c r="BM1426" s="327"/>
      <c r="BN1426" s="558" t="s">
        <v>303</v>
      </c>
      <c r="BO1426" s="326"/>
      <c r="BP1426" s="326"/>
      <c r="BQ1426" s="326"/>
      <c r="BR1426" s="326"/>
      <c r="BS1426" s="326"/>
      <c r="BT1426" s="326"/>
      <c r="BU1426" s="326"/>
      <c r="BV1426" s="327"/>
    </row>
    <row r="1427" spans="1:74" ht="45" customHeight="1" x14ac:dyDescent="0.25">
      <c r="A1427" s="10">
        <f t="shared" si="5"/>
        <v>1413</v>
      </c>
      <c r="B1427" s="559" t="s">
        <v>303</v>
      </c>
      <c r="C1427" s="327"/>
      <c r="D1427" s="560" t="s">
        <v>307</v>
      </c>
      <c r="E1427" s="327"/>
      <c r="F1427" s="537" t="s">
        <v>334</v>
      </c>
      <c r="G1427" s="327"/>
      <c r="H1427" s="566" t="s">
        <v>334</v>
      </c>
      <c r="I1427" s="327"/>
      <c r="J1427" s="567"/>
      <c r="K1427" s="327"/>
      <c r="L1427" s="567"/>
      <c r="M1427" s="327"/>
      <c r="N1427" s="23"/>
      <c r="O1427" s="24"/>
      <c r="P1427" s="563"/>
      <c r="Q1427" s="327"/>
      <c r="R1427" s="538"/>
      <c r="S1427" s="327"/>
      <c r="T1427" s="539"/>
      <c r="U1427" s="327"/>
      <c r="V1427" s="540"/>
      <c r="W1427" s="327"/>
      <c r="X1427" s="541" t="s">
        <v>303</v>
      </c>
      <c r="Y1427" s="326"/>
      <c r="Z1427" s="326"/>
      <c r="AA1427" s="327"/>
      <c r="AB1427" s="542" t="s">
        <v>303</v>
      </c>
      <c r="AC1427" s="326"/>
      <c r="AD1427" s="326"/>
      <c r="AE1427" s="327"/>
      <c r="AF1427" s="543"/>
      <c r="AG1427" s="327"/>
      <c r="AH1427" s="543"/>
      <c r="AI1427" s="327"/>
      <c r="AJ1427" s="536"/>
      <c r="AK1427" s="327"/>
      <c r="AL1427" s="537" t="s">
        <v>334</v>
      </c>
      <c r="AM1427" s="327"/>
      <c r="AN1427" s="546" t="s">
        <v>334</v>
      </c>
      <c r="AO1427" s="327"/>
      <c r="AP1427" s="547"/>
      <c r="AQ1427" s="327"/>
      <c r="AR1427" s="548"/>
      <c r="AS1427" s="327"/>
      <c r="AT1427" s="549"/>
      <c r="AU1427" s="327"/>
      <c r="AV1427" s="546" t="s">
        <v>334</v>
      </c>
      <c r="AW1427" s="327"/>
      <c r="AX1427" s="521"/>
      <c r="AY1427" s="326"/>
      <c r="AZ1427" s="327"/>
      <c r="BA1427" s="550"/>
      <c r="BB1427" s="327"/>
      <c r="BC1427" s="25"/>
      <c r="BD1427" s="544" t="s">
        <v>334</v>
      </c>
      <c r="BE1427" s="327"/>
      <c r="BF1427" s="545"/>
      <c r="BG1427" s="326"/>
      <c r="BH1427" s="326"/>
      <c r="BI1427" s="327"/>
      <c r="BJ1427" s="557" t="s">
        <v>303</v>
      </c>
      <c r="BK1427" s="326"/>
      <c r="BL1427" s="326"/>
      <c r="BM1427" s="327"/>
      <c r="BN1427" s="558" t="s">
        <v>303</v>
      </c>
      <c r="BO1427" s="326"/>
      <c r="BP1427" s="326"/>
      <c r="BQ1427" s="326"/>
      <c r="BR1427" s="326"/>
      <c r="BS1427" s="326"/>
      <c r="BT1427" s="326"/>
      <c r="BU1427" s="326"/>
      <c r="BV1427" s="327"/>
    </row>
    <row r="1428" spans="1:74" ht="45" customHeight="1" x14ac:dyDescent="0.25">
      <c r="A1428" s="10">
        <f t="shared" si="5"/>
        <v>1414</v>
      </c>
      <c r="B1428" s="564" t="s">
        <v>303</v>
      </c>
      <c r="C1428" s="327"/>
      <c r="D1428" s="565" t="s">
        <v>307</v>
      </c>
      <c r="E1428" s="327"/>
      <c r="F1428" s="537" t="s">
        <v>334</v>
      </c>
      <c r="G1428" s="327"/>
      <c r="H1428" s="561" t="s">
        <v>334</v>
      </c>
      <c r="I1428" s="327"/>
      <c r="J1428" s="26"/>
      <c r="K1428" s="27"/>
      <c r="L1428" s="26"/>
      <c r="M1428" s="27"/>
      <c r="N1428" s="20"/>
      <c r="O1428" s="21"/>
      <c r="P1428" s="524"/>
      <c r="Q1428" s="327"/>
      <c r="R1428" s="516"/>
      <c r="S1428" s="327"/>
      <c r="T1428" s="517"/>
      <c r="U1428" s="327"/>
      <c r="V1428" s="518"/>
      <c r="W1428" s="327"/>
      <c r="X1428" s="438" t="s">
        <v>303</v>
      </c>
      <c r="Y1428" s="326"/>
      <c r="Z1428" s="326"/>
      <c r="AA1428" s="327"/>
      <c r="AB1428" s="519" t="s">
        <v>303</v>
      </c>
      <c r="AC1428" s="326"/>
      <c r="AD1428" s="326"/>
      <c r="AE1428" s="327"/>
      <c r="AF1428" s="520"/>
      <c r="AG1428" s="327"/>
      <c r="AH1428" s="520"/>
      <c r="AI1428" s="327"/>
      <c r="AJ1428" s="536"/>
      <c r="AK1428" s="327"/>
      <c r="AL1428" s="556" t="s">
        <v>334</v>
      </c>
      <c r="AM1428" s="327"/>
      <c r="AN1428" s="553" t="s">
        <v>334</v>
      </c>
      <c r="AO1428" s="327"/>
      <c r="AP1428" s="554"/>
      <c r="AQ1428" s="327"/>
      <c r="AR1428" s="555"/>
      <c r="AS1428" s="327"/>
      <c r="AT1428" s="549"/>
      <c r="AU1428" s="327"/>
      <c r="AV1428" s="553" t="s">
        <v>334</v>
      </c>
      <c r="AW1428" s="327"/>
      <c r="AX1428" s="521"/>
      <c r="AY1428" s="326"/>
      <c r="AZ1428" s="327"/>
      <c r="BA1428" s="536"/>
      <c r="BB1428" s="327"/>
      <c r="BC1428" s="22"/>
      <c r="BD1428" s="551" t="s">
        <v>334</v>
      </c>
      <c r="BE1428" s="327"/>
      <c r="BF1428" s="552"/>
      <c r="BG1428" s="326"/>
      <c r="BH1428" s="326"/>
      <c r="BI1428" s="327"/>
      <c r="BJ1428" s="451" t="s">
        <v>303</v>
      </c>
      <c r="BK1428" s="326"/>
      <c r="BL1428" s="326"/>
      <c r="BM1428" s="327"/>
      <c r="BN1428" s="558" t="s">
        <v>303</v>
      </c>
      <c r="BO1428" s="326"/>
      <c r="BP1428" s="326"/>
      <c r="BQ1428" s="326"/>
      <c r="BR1428" s="326"/>
      <c r="BS1428" s="326"/>
      <c r="BT1428" s="326"/>
      <c r="BU1428" s="326"/>
      <c r="BV1428" s="327"/>
    </row>
    <row r="1429" spans="1:74" ht="45" customHeight="1" x14ac:dyDescent="0.25">
      <c r="A1429" s="10">
        <f t="shared" si="5"/>
        <v>1415</v>
      </c>
      <c r="B1429" s="559" t="s">
        <v>303</v>
      </c>
      <c r="C1429" s="327"/>
      <c r="D1429" s="560" t="s">
        <v>307</v>
      </c>
      <c r="E1429" s="327"/>
      <c r="F1429" s="537" t="s">
        <v>334</v>
      </c>
      <c r="G1429" s="327"/>
      <c r="H1429" s="566" t="s">
        <v>334</v>
      </c>
      <c r="I1429" s="327"/>
      <c r="J1429" s="567"/>
      <c r="K1429" s="327"/>
      <c r="L1429" s="567"/>
      <c r="M1429" s="327"/>
      <c r="N1429" s="23"/>
      <c r="O1429" s="24"/>
      <c r="P1429" s="563"/>
      <c r="Q1429" s="327"/>
      <c r="R1429" s="538"/>
      <c r="S1429" s="327"/>
      <c r="T1429" s="539"/>
      <c r="U1429" s="327"/>
      <c r="V1429" s="540"/>
      <c r="W1429" s="327"/>
      <c r="X1429" s="541" t="s">
        <v>303</v>
      </c>
      <c r="Y1429" s="326"/>
      <c r="Z1429" s="326"/>
      <c r="AA1429" s="327"/>
      <c r="AB1429" s="542" t="s">
        <v>303</v>
      </c>
      <c r="AC1429" s="326"/>
      <c r="AD1429" s="326"/>
      <c r="AE1429" s="327"/>
      <c r="AF1429" s="543"/>
      <c r="AG1429" s="327"/>
      <c r="AH1429" s="543"/>
      <c r="AI1429" s="327"/>
      <c r="AJ1429" s="536"/>
      <c r="AK1429" s="327"/>
      <c r="AL1429" s="537" t="s">
        <v>334</v>
      </c>
      <c r="AM1429" s="327"/>
      <c r="AN1429" s="546" t="s">
        <v>334</v>
      </c>
      <c r="AO1429" s="327"/>
      <c r="AP1429" s="547"/>
      <c r="AQ1429" s="327"/>
      <c r="AR1429" s="548"/>
      <c r="AS1429" s="327"/>
      <c r="AT1429" s="568"/>
      <c r="AU1429" s="327"/>
      <c r="AV1429" s="546" t="s">
        <v>334</v>
      </c>
      <c r="AW1429" s="327"/>
      <c r="AX1429" s="521"/>
      <c r="AY1429" s="326"/>
      <c r="AZ1429" s="327"/>
      <c r="BA1429" s="550"/>
      <c r="BB1429" s="327"/>
      <c r="BC1429" s="25"/>
      <c r="BD1429" s="544" t="s">
        <v>334</v>
      </c>
      <c r="BE1429" s="327"/>
      <c r="BF1429" s="545"/>
      <c r="BG1429" s="326"/>
      <c r="BH1429" s="326"/>
      <c r="BI1429" s="327"/>
      <c r="BJ1429" s="557" t="s">
        <v>303</v>
      </c>
      <c r="BK1429" s="326"/>
      <c r="BL1429" s="326"/>
      <c r="BM1429" s="327"/>
      <c r="BN1429" s="558" t="s">
        <v>303</v>
      </c>
      <c r="BO1429" s="326"/>
      <c r="BP1429" s="326"/>
      <c r="BQ1429" s="326"/>
      <c r="BR1429" s="326"/>
      <c r="BS1429" s="326"/>
      <c r="BT1429" s="326"/>
      <c r="BU1429" s="326"/>
      <c r="BV1429" s="327"/>
    </row>
    <row r="1430" spans="1:74" ht="45" customHeight="1" x14ac:dyDescent="0.25">
      <c r="A1430" s="10">
        <f t="shared" si="5"/>
        <v>1416</v>
      </c>
      <c r="B1430" s="564" t="s">
        <v>303</v>
      </c>
      <c r="C1430" s="327"/>
      <c r="D1430" s="565" t="s">
        <v>307</v>
      </c>
      <c r="E1430" s="327"/>
      <c r="F1430" s="537" t="s">
        <v>334</v>
      </c>
      <c r="G1430" s="327"/>
      <c r="H1430" s="561" t="s">
        <v>334</v>
      </c>
      <c r="I1430" s="327"/>
      <c r="J1430" s="26"/>
      <c r="K1430" s="27"/>
      <c r="L1430" s="26"/>
      <c r="M1430" s="27"/>
      <c r="N1430" s="20"/>
      <c r="O1430" s="21"/>
      <c r="P1430" s="524"/>
      <c r="Q1430" s="327"/>
      <c r="R1430" s="516"/>
      <c r="S1430" s="327"/>
      <c r="T1430" s="517"/>
      <c r="U1430" s="327"/>
      <c r="V1430" s="518"/>
      <c r="W1430" s="327"/>
      <c r="X1430" s="438" t="s">
        <v>303</v>
      </c>
      <c r="Y1430" s="326"/>
      <c r="Z1430" s="326"/>
      <c r="AA1430" s="327"/>
      <c r="AB1430" s="519" t="s">
        <v>303</v>
      </c>
      <c r="AC1430" s="326"/>
      <c r="AD1430" s="326"/>
      <c r="AE1430" s="327"/>
      <c r="AF1430" s="520"/>
      <c r="AG1430" s="327"/>
      <c r="AH1430" s="520"/>
      <c r="AI1430" s="327"/>
      <c r="AJ1430" s="536"/>
      <c r="AK1430" s="327"/>
      <c r="AL1430" s="556" t="s">
        <v>334</v>
      </c>
      <c r="AM1430" s="327"/>
      <c r="AN1430" s="553" t="s">
        <v>334</v>
      </c>
      <c r="AO1430" s="327"/>
      <c r="AP1430" s="554"/>
      <c r="AQ1430" s="327"/>
      <c r="AR1430" s="555"/>
      <c r="AS1430" s="327"/>
      <c r="AT1430" s="549"/>
      <c r="AU1430" s="327"/>
      <c r="AV1430" s="553" t="s">
        <v>334</v>
      </c>
      <c r="AW1430" s="327"/>
      <c r="AX1430" s="521"/>
      <c r="AY1430" s="326"/>
      <c r="AZ1430" s="327"/>
      <c r="BA1430" s="536"/>
      <c r="BB1430" s="327"/>
      <c r="BC1430" s="22"/>
      <c r="BD1430" s="551" t="s">
        <v>334</v>
      </c>
      <c r="BE1430" s="327"/>
      <c r="BF1430" s="508"/>
      <c r="BG1430" s="326"/>
      <c r="BH1430" s="326"/>
      <c r="BI1430" s="327"/>
      <c r="BJ1430" s="451" t="s">
        <v>303</v>
      </c>
      <c r="BK1430" s="326"/>
      <c r="BL1430" s="326"/>
      <c r="BM1430" s="327"/>
      <c r="BN1430" s="558" t="s">
        <v>303</v>
      </c>
      <c r="BO1430" s="326"/>
      <c r="BP1430" s="326"/>
      <c r="BQ1430" s="326"/>
      <c r="BR1430" s="326"/>
      <c r="BS1430" s="326"/>
      <c r="BT1430" s="326"/>
      <c r="BU1430" s="326"/>
      <c r="BV1430" s="327"/>
    </row>
    <row r="1431" spans="1:74" ht="45" customHeight="1" x14ac:dyDescent="0.25">
      <c r="A1431" s="10">
        <f t="shared" si="5"/>
        <v>1417</v>
      </c>
      <c r="B1431" s="559" t="s">
        <v>303</v>
      </c>
      <c r="C1431" s="327"/>
      <c r="D1431" s="560" t="s">
        <v>307</v>
      </c>
      <c r="E1431" s="327"/>
      <c r="F1431" s="537" t="s">
        <v>334</v>
      </c>
      <c r="G1431" s="327"/>
      <c r="H1431" s="566" t="s">
        <v>334</v>
      </c>
      <c r="I1431" s="327"/>
      <c r="J1431" s="567"/>
      <c r="K1431" s="327"/>
      <c r="L1431" s="567"/>
      <c r="M1431" s="327"/>
      <c r="N1431" s="23"/>
      <c r="O1431" s="24"/>
      <c r="P1431" s="563"/>
      <c r="Q1431" s="327"/>
      <c r="R1431" s="538"/>
      <c r="S1431" s="327"/>
      <c r="T1431" s="539"/>
      <c r="U1431" s="327"/>
      <c r="V1431" s="540"/>
      <c r="W1431" s="327"/>
      <c r="X1431" s="541" t="s">
        <v>303</v>
      </c>
      <c r="Y1431" s="326"/>
      <c r="Z1431" s="326"/>
      <c r="AA1431" s="327"/>
      <c r="AB1431" s="542" t="s">
        <v>303</v>
      </c>
      <c r="AC1431" s="326"/>
      <c r="AD1431" s="326"/>
      <c r="AE1431" s="327"/>
      <c r="AF1431" s="543"/>
      <c r="AG1431" s="327"/>
      <c r="AH1431" s="543"/>
      <c r="AI1431" s="327"/>
      <c r="AJ1431" s="536"/>
      <c r="AK1431" s="327"/>
      <c r="AL1431" s="537" t="s">
        <v>334</v>
      </c>
      <c r="AM1431" s="327"/>
      <c r="AN1431" s="546" t="s">
        <v>334</v>
      </c>
      <c r="AO1431" s="327"/>
      <c r="AP1431" s="547"/>
      <c r="AQ1431" s="327"/>
      <c r="AR1431" s="548"/>
      <c r="AS1431" s="327"/>
      <c r="AT1431" s="568"/>
      <c r="AU1431" s="327"/>
      <c r="AV1431" s="546" t="s">
        <v>334</v>
      </c>
      <c r="AW1431" s="327"/>
      <c r="AX1431" s="521"/>
      <c r="AY1431" s="326"/>
      <c r="AZ1431" s="327"/>
      <c r="BA1431" s="550"/>
      <c r="BB1431" s="327"/>
      <c r="BC1431" s="25"/>
      <c r="BD1431" s="544" t="s">
        <v>334</v>
      </c>
      <c r="BE1431" s="327"/>
      <c r="BF1431" s="545"/>
      <c r="BG1431" s="326"/>
      <c r="BH1431" s="326"/>
      <c r="BI1431" s="327"/>
      <c r="BJ1431" s="557" t="s">
        <v>303</v>
      </c>
      <c r="BK1431" s="326"/>
      <c r="BL1431" s="326"/>
      <c r="BM1431" s="327"/>
      <c r="BN1431" s="558" t="s">
        <v>303</v>
      </c>
      <c r="BO1431" s="326"/>
      <c r="BP1431" s="326"/>
      <c r="BQ1431" s="326"/>
      <c r="BR1431" s="326"/>
      <c r="BS1431" s="326"/>
      <c r="BT1431" s="326"/>
      <c r="BU1431" s="326"/>
      <c r="BV1431" s="327"/>
    </row>
    <row r="1432" spans="1:74" ht="45" customHeight="1" x14ac:dyDescent="0.25">
      <c r="A1432" s="10">
        <f t="shared" si="5"/>
        <v>1418</v>
      </c>
      <c r="B1432" s="564" t="s">
        <v>303</v>
      </c>
      <c r="C1432" s="327"/>
      <c r="D1432" s="565" t="s">
        <v>307</v>
      </c>
      <c r="E1432" s="327"/>
      <c r="F1432" s="537" t="s">
        <v>334</v>
      </c>
      <c r="G1432" s="327"/>
      <c r="H1432" s="561" t="s">
        <v>334</v>
      </c>
      <c r="I1432" s="327"/>
      <c r="J1432" s="26"/>
      <c r="K1432" s="27"/>
      <c r="L1432" s="26"/>
      <c r="M1432" s="27"/>
      <c r="N1432" s="20"/>
      <c r="O1432" s="21"/>
      <c r="P1432" s="524"/>
      <c r="Q1432" s="327"/>
      <c r="R1432" s="516"/>
      <c r="S1432" s="327"/>
      <c r="T1432" s="517"/>
      <c r="U1432" s="327"/>
      <c r="V1432" s="518"/>
      <c r="W1432" s="327"/>
      <c r="X1432" s="438" t="s">
        <v>303</v>
      </c>
      <c r="Y1432" s="326"/>
      <c r="Z1432" s="326"/>
      <c r="AA1432" s="327"/>
      <c r="AB1432" s="519" t="s">
        <v>303</v>
      </c>
      <c r="AC1432" s="326"/>
      <c r="AD1432" s="326"/>
      <c r="AE1432" s="327"/>
      <c r="AF1432" s="520"/>
      <c r="AG1432" s="327"/>
      <c r="AH1432" s="520"/>
      <c r="AI1432" s="327"/>
      <c r="AJ1432" s="536"/>
      <c r="AK1432" s="327"/>
      <c r="AL1432" s="556" t="s">
        <v>334</v>
      </c>
      <c r="AM1432" s="327"/>
      <c r="AN1432" s="553" t="s">
        <v>334</v>
      </c>
      <c r="AO1432" s="327"/>
      <c r="AP1432" s="554"/>
      <c r="AQ1432" s="327"/>
      <c r="AR1432" s="555"/>
      <c r="AS1432" s="327"/>
      <c r="AT1432" s="549"/>
      <c r="AU1432" s="327"/>
      <c r="AV1432" s="553" t="s">
        <v>334</v>
      </c>
      <c r="AW1432" s="327"/>
      <c r="AX1432" s="521"/>
      <c r="AY1432" s="326"/>
      <c r="AZ1432" s="327"/>
      <c r="BA1432" s="536"/>
      <c r="BB1432" s="327"/>
      <c r="BC1432" s="22"/>
      <c r="BD1432" s="551" t="s">
        <v>334</v>
      </c>
      <c r="BE1432" s="327"/>
      <c r="BF1432" s="552"/>
      <c r="BG1432" s="326"/>
      <c r="BH1432" s="326"/>
      <c r="BI1432" s="327"/>
      <c r="BJ1432" s="451" t="s">
        <v>303</v>
      </c>
      <c r="BK1432" s="326"/>
      <c r="BL1432" s="326"/>
      <c r="BM1432" s="327"/>
      <c r="BN1432" s="558" t="s">
        <v>303</v>
      </c>
      <c r="BO1432" s="326"/>
      <c r="BP1432" s="326"/>
      <c r="BQ1432" s="326"/>
      <c r="BR1432" s="326"/>
      <c r="BS1432" s="326"/>
      <c r="BT1432" s="326"/>
      <c r="BU1432" s="326"/>
      <c r="BV1432" s="327"/>
    </row>
    <row r="1433" spans="1:74" ht="45" customHeight="1" x14ac:dyDescent="0.25">
      <c r="A1433" s="10">
        <f t="shared" si="5"/>
        <v>1419</v>
      </c>
      <c r="B1433" s="559" t="s">
        <v>303</v>
      </c>
      <c r="C1433" s="327"/>
      <c r="D1433" s="560" t="s">
        <v>307</v>
      </c>
      <c r="E1433" s="327"/>
      <c r="F1433" s="537" t="s">
        <v>334</v>
      </c>
      <c r="G1433" s="327"/>
      <c r="H1433" s="566" t="s">
        <v>334</v>
      </c>
      <c r="I1433" s="327"/>
      <c r="J1433" s="567"/>
      <c r="K1433" s="327"/>
      <c r="L1433" s="567"/>
      <c r="M1433" s="327"/>
      <c r="N1433" s="23"/>
      <c r="O1433" s="24"/>
      <c r="P1433" s="563"/>
      <c r="Q1433" s="327"/>
      <c r="R1433" s="538"/>
      <c r="S1433" s="327"/>
      <c r="T1433" s="539"/>
      <c r="U1433" s="327"/>
      <c r="V1433" s="540"/>
      <c r="W1433" s="327"/>
      <c r="X1433" s="541" t="s">
        <v>303</v>
      </c>
      <c r="Y1433" s="326"/>
      <c r="Z1433" s="326"/>
      <c r="AA1433" s="327"/>
      <c r="AB1433" s="542" t="s">
        <v>303</v>
      </c>
      <c r="AC1433" s="326"/>
      <c r="AD1433" s="326"/>
      <c r="AE1433" s="327"/>
      <c r="AF1433" s="543"/>
      <c r="AG1433" s="327"/>
      <c r="AH1433" s="543"/>
      <c r="AI1433" s="327"/>
      <c r="AJ1433" s="536"/>
      <c r="AK1433" s="327"/>
      <c r="AL1433" s="537" t="s">
        <v>334</v>
      </c>
      <c r="AM1433" s="327"/>
      <c r="AN1433" s="546" t="s">
        <v>334</v>
      </c>
      <c r="AO1433" s="327"/>
      <c r="AP1433" s="547"/>
      <c r="AQ1433" s="327"/>
      <c r="AR1433" s="548"/>
      <c r="AS1433" s="327"/>
      <c r="AT1433" s="568"/>
      <c r="AU1433" s="327"/>
      <c r="AV1433" s="546" t="s">
        <v>334</v>
      </c>
      <c r="AW1433" s="327"/>
      <c r="AX1433" s="521"/>
      <c r="AY1433" s="326"/>
      <c r="AZ1433" s="327"/>
      <c r="BA1433" s="550"/>
      <c r="BB1433" s="327"/>
      <c r="BC1433" s="25"/>
      <c r="BD1433" s="544" t="s">
        <v>334</v>
      </c>
      <c r="BE1433" s="327"/>
      <c r="BF1433" s="545"/>
      <c r="BG1433" s="326"/>
      <c r="BH1433" s="326"/>
      <c r="BI1433" s="327"/>
      <c r="BJ1433" s="557" t="s">
        <v>303</v>
      </c>
      <c r="BK1433" s="326"/>
      <c r="BL1433" s="326"/>
      <c r="BM1433" s="327"/>
      <c r="BN1433" s="558" t="s">
        <v>303</v>
      </c>
      <c r="BO1433" s="326"/>
      <c r="BP1433" s="326"/>
      <c r="BQ1433" s="326"/>
      <c r="BR1433" s="326"/>
      <c r="BS1433" s="326"/>
      <c r="BT1433" s="326"/>
      <c r="BU1433" s="326"/>
      <c r="BV1433" s="327"/>
    </row>
    <row r="1434" spans="1:74" ht="45" customHeight="1" x14ac:dyDescent="0.25">
      <c r="A1434" s="10">
        <f t="shared" si="5"/>
        <v>1420</v>
      </c>
      <c r="B1434" s="564" t="s">
        <v>303</v>
      </c>
      <c r="C1434" s="327"/>
      <c r="D1434" s="565" t="s">
        <v>307</v>
      </c>
      <c r="E1434" s="327"/>
      <c r="F1434" s="537" t="s">
        <v>334</v>
      </c>
      <c r="G1434" s="327"/>
      <c r="H1434" s="561" t="s">
        <v>334</v>
      </c>
      <c r="I1434" s="327"/>
      <c r="J1434" s="26"/>
      <c r="K1434" s="27"/>
      <c r="L1434" s="26"/>
      <c r="M1434" s="27"/>
      <c r="N1434" s="20"/>
      <c r="O1434" s="21"/>
      <c r="P1434" s="524"/>
      <c r="Q1434" s="327"/>
      <c r="R1434" s="516"/>
      <c r="S1434" s="327"/>
      <c r="T1434" s="517"/>
      <c r="U1434" s="327"/>
      <c r="V1434" s="518"/>
      <c r="W1434" s="327"/>
      <c r="X1434" s="438" t="s">
        <v>303</v>
      </c>
      <c r="Y1434" s="326"/>
      <c r="Z1434" s="326"/>
      <c r="AA1434" s="327"/>
      <c r="AB1434" s="519" t="s">
        <v>303</v>
      </c>
      <c r="AC1434" s="326"/>
      <c r="AD1434" s="326"/>
      <c r="AE1434" s="327"/>
      <c r="AF1434" s="520"/>
      <c r="AG1434" s="327"/>
      <c r="AH1434" s="520"/>
      <c r="AI1434" s="327"/>
      <c r="AJ1434" s="536"/>
      <c r="AK1434" s="327"/>
      <c r="AL1434" s="556" t="s">
        <v>334</v>
      </c>
      <c r="AM1434" s="327"/>
      <c r="AN1434" s="553" t="s">
        <v>334</v>
      </c>
      <c r="AO1434" s="327"/>
      <c r="AP1434" s="554"/>
      <c r="AQ1434" s="327"/>
      <c r="AR1434" s="555"/>
      <c r="AS1434" s="327"/>
      <c r="AT1434" s="549"/>
      <c r="AU1434" s="327"/>
      <c r="AV1434" s="553" t="s">
        <v>334</v>
      </c>
      <c r="AW1434" s="327"/>
      <c r="AX1434" s="521"/>
      <c r="AY1434" s="326"/>
      <c r="AZ1434" s="327"/>
      <c r="BA1434" s="536"/>
      <c r="BB1434" s="327"/>
      <c r="BC1434" s="22"/>
      <c r="BD1434" s="551" t="s">
        <v>334</v>
      </c>
      <c r="BE1434" s="327"/>
      <c r="BF1434" s="552"/>
      <c r="BG1434" s="326"/>
      <c r="BH1434" s="326"/>
      <c r="BI1434" s="327"/>
      <c r="BJ1434" s="451" t="s">
        <v>303</v>
      </c>
      <c r="BK1434" s="326"/>
      <c r="BL1434" s="326"/>
      <c r="BM1434" s="327"/>
      <c r="BN1434" s="558" t="s">
        <v>303</v>
      </c>
      <c r="BO1434" s="326"/>
      <c r="BP1434" s="326"/>
      <c r="BQ1434" s="326"/>
      <c r="BR1434" s="326"/>
      <c r="BS1434" s="326"/>
      <c r="BT1434" s="326"/>
      <c r="BU1434" s="326"/>
      <c r="BV1434" s="327"/>
    </row>
    <row r="1435" spans="1:74" ht="45" customHeight="1" x14ac:dyDescent="0.25">
      <c r="A1435" s="10">
        <f t="shared" si="5"/>
        <v>1421</v>
      </c>
      <c r="B1435" s="559" t="s">
        <v>303</v>
      </c>
      <c r="C1435" s="327"/>
      <c r="D1435" s="560" t="s">
        <v>307</v>
      </c>
      <c r="E1435" s="327"/>
      <c r="F1435" s="537" t="s">
        <v>334</v>
      </c>
      <c r="G1435" s="327"/>
      <c r="H1435" s="566" t="s">
        <v>334</v>
      </c>
      <c r="I1435" s="327"/>
      <c r="J1435" s="567"/>
      <c r="K1435" s="327"/>
      <c r="L1435" s="567"/>
      <c r="M1435" s="327"/>
      <c r="N1435" s="23"/>
      <c r="O1435" s="24"/>
      <c r="P1435" s="563"/>
      <c r="Q1435" s="327"/>
      <c r="R1435" s="538"/>
      <c r="S1435" s="327"/>
      <c r="T1435" s="539"/>
      <c r="U1435" s="327"/>
      <c r="V1435" s="540"/>
      <c r="W1435" s="327"/>
      <c r="X1435" s="541" t="s">
        <v>303</v>
      </c>
      <c r="Y1435" s="326"/>
      <c r="Z1435" s="326"/>
      <c r="AA1435" s="327"/>
      <c r="AB1435" s="542" t="s">
        <v>303</v>
      </c>
      <c r="AC1435" s="326"/>
      <c r="AD1435" s="326"/>
      <c r="AE1435" s="327"/>
      <c r="AF1435" s="543"/>
      <c r="AG1435" s="327"/>
      <c r="AH1435" s="543"/>
      <c r="AI1435" s="327"/>
      <c r="AJ1435" s="536"/>
      <c r="AK1435" s="327"/>
      <c r="AL1435" s="537" t="s">
        <v>334</v>
      </c>
      <c r="AM1435" s="327"/>
      <c r="AN1435" s="546" t="s">
        <v>334</v>
      </c>
      <c r="AO1435" s="327"/>
      <c r="AP1435" s="547"/>
      <c r="AQ1435" s="327"/>
      <c r="AR1435" s="548"/>
      <c r="AS1435" s="327"/>
      <c r="AT1435" s="568"/>
      <c r="AU1435" s="327"/>
      <c r="AV1435" s="546" t="s">
        <v>334</v>
      </c>
      <c r="AW1435" s="327"/>
      <c r="AX1435" s="521"/>
      <c r="AY1435" s="326"/>
      <c r="AZ1435" s="327"/>
      <c r="BA1435" s="550"/>
      <c r="BB1435" s="327"/>
      <c r="BC1435" s="25"/>
      <c r="BD1435" s="544" t="s">
        <v>334</v>
      </c>
      <c r="BE1435" s="327"/>
      <c r="BF1435" s="545"/>
      <c r="BG1435" s="326"/>
      <c r="BH1435" s="326"/>
      <c r="BI1435" s="327"/>
      <c r="BJ1435" s="557" t="s">
        <v>303</v>
      </c>
      <c r="BK1435" s="326"/>
      <c r="BL1435" s="326"/>
      <c r="BM1435" s="327"/>
      <c r="BN1435" s="558" t="s">
        <v>303</v>
      </c>
      <c r="BO1435" s="326"/>
      <c r="BP1435" s="326"/>
      <c r="BQ1435" s="326"/>
      <c r="BR1435" s="326"/>
      <c r="BS1435" s="326"/>
      <c r="BT1435" s="326"/>
      <c r="BU1435" s="326"/>
      <c r="BV1435" s="327"/>
    </row>
    <row r="1436" spans="1:74" ht="45" customHeight="1" x14ac:dyDescent="0.25">
      <c r="A1436" s="10">
        <f t="shared" si="5"/>
        <v>1422</v>
      </c>
      <c r="B1436" s="564" t="s">
        <v>303</v>
      </c>
      <c r="C1436" s="327"/>
      <c r="D1436" s="565" t="s">
        <v>307</v>
      </c>
      <c r="E1436" s="327"/>
      <c r="F1436" s="537" t="s">
        <v>334</v>
      </c>
      <c r="G1436" s="327"/>
      <c r="H1436" s="561" t="s">
        <v>334</v>
      </c>
      <c r="I1436" s="327"/>
      <c r="J1436" s="26"/>
      <c r="K1436" s="27"/>
      <c r="L1436" s="26"/>
      <c r="M1436" s="27"/>
      <c r="N1436" s="20"/>
      <c r="O1436" s="21"/>
      <c r="P1436" s="524"/>
      <c r="Q1436" s="327"/>
      <c r="R1436" s="516"/>
      <c r="S1436" s="327"/>
      <c r="T1436" s="517"/>
      <c r="U1436" s="327"/>
      <c r="V1436" s="518"/>
      <c r="W1436" s="327"/>
      <c r="X1436" s="438" t="s">
        <v>303</v>
      </c>
      <c r="Y1436" s="326"/>
      <c r="Z1436" s="326"/>
      <c r="AA1436" s="327"/>
      <c r="AB1436" s="519" t="s">
        <v>303</v>
      </c>
      <c r="AC1436" s="326"/>
      <c r="AD1436" s="326"/>
      <c r="AE1436" s="327"/>
      <c r="AF1436" s="520"/>
      <c r="AG1436" s="327"/>
      <c r="AH1436" s="520"/>
      <c r="AI1436" s="327"/>
      <c r="AJ1436" s="536"/>
      <c r="AK1436" s="327"/>
      <c r="AL1436" s="556" t="s">
        <v>334</v>
      </c>
      <c r="AM1436" s="327"/>
      <c r="AN1436" s="553" t="s">
        <v>334</v>
      </c>
      <c r="AO1436" s="327"/>
      <c r="AP1436" s="554"/>
      <c r="AQ1436" s="327"/>
      <c r="AR1436" s="555"/>
      <c r="AS1436" s="327"/>
      <c r="AT1436" s="549"/>
      <c r="AU1436" s="327"/>
      <c r="AV1436" s="553" t="s">
        <v>334</v>
      </c>
      <c r="AW1436" s="327"/>
      <c r="AX1436" s="521"/>
      <c r="AY1436" s="326"/>
      <c r="AZ1436" s="327"/>
      <c r="BA1436" s="536"/>
      <c r="BB1436" s="327"/>
      <c r="BC1436" s="22"/>
      <c r="BD1436" s="551" t="s">
        <v>334</v>
      </c>
      <c r="BE1436" s="327"/>
      <c r="BF1436" s="508"/>
      <c r="BG1436" s="326"/>
      <c r="BH1436" s="326"/>
      <c r="BI1436" s="327"/>
      <c r="BJ1436" s="451" t="s">
        <v>303</v>
      </c>
      <c r="BK1436" s="326"/>
      <c r="BL1436" s="326"/>
      <c r="BM1436" s="327"/>
      <c r="BN1436" s="558" t="s">
        <v>303</v>
      </c>
      <c r="BO1436" s="326"/>
      <c r="BP1436" s="326"/>
      <c r="BQ1436" s="326"/>
      <c r="BR1436" s="326"/>
      <c r="BS1436" s="326"/>
      <c r="BT1436" s="326"/>
      <c r="BU1436" s="326"/>
      <c r="BV1436" s="327"/>
    </row>
    <row r="1437" spans="1:74" ht="45" customHeight="1" x14ac:dyDescent="0.25">
      <c r="A1437" s="10">
        <f t="shared" si="5"/>
        <v>1423</v>
      </c>
      <c r="B1437" s="559" t="s">
        <v>303</v>
      </c>
      <c r="C1437" s="327"/>
      <c r="D1437" s="560" t="s">
        <v>307</v>
      </c>
      <c r="E1437" s="327"/>
      <c r="F1437" s="537" t="s">
        <v>334</v>
      </c>
      <c r="G1437" s="327"/>
      <c r="H1437" s="566" t="s">
        <v>334</v>
      </c>
      <c r="I1437" s="327"/>
      <c r="J1437" s="567"/>
      <c r="K1437" s="327"/>
      <c r="L1437" s="567"/>
      <c r="M1437" s="327"/>
      <c r="N1437" s="23"/>
      <c r="O1437" s="24"/>
      <c r="P1437" s="563"/>
      <c r="Q1437" s="327"/>
      <c r="R1437" s="538"/>
      <c r="S1437" s="327"/>
      <c r="T1437" s="539"/>
      <c r="U1437" s="327"/>
      <c r="V1437" s="540"/>
      <c r="W1437" s="327"/>
      <c r="X1437" s="541" t="s">
        <v>303</v>
      </c>
      <c r="Y1437" s="326"/>
      <c r="Z1437" s="326"/>
      <c r="AA1437" s="327"/>
      <c r="AB1437" s="542" t="s">
        <v>303</v>
      </c>
      <c r="AC1437" s="326"/>
      <c r="AD1437" s="326"/>
      <c r="AE1437" s="327"/>
      <c r="AF1437" s="543"/>
      <c r="AG1437" s="327"/>
      <c r="AH1437" s="543"/>
      <c r="AI1437" s="327"/>
      <c r="AJ1437" s="536"/>
      <c r="AK1437" s="327"/>
      <c r="AL1437" s="537" t="s">
        <v>334</v>
      </c>
      <c r="AM1437" s="327"/>
      <c r="AN1437" s="546" t="s">
        <v>334</v>
      </c>
      <c r="AO1437" s="327"/>
      <c r="AP1437" s="547"/>
      <c r="AQ1437" s="327"/>
      <c r="AR1437" s="548"/>
      <c r="AS1437" s="327"/>
      <c r="AT1437" s="568"/>
      <c r="AU1437" s="327"/>
      <c r="AV1437" s="546" t="s">
        <v>334</v>
      </c>
      <c r="AW1437" s="327"/>
      <c r="AX1437" s="521"/>
      <c r="AY1437" s="326"/>
      <c r="AZ1437" s="327"/>
      <c r="BA1437" s="550"/>
      <c r="BB1437" s="327"/>
      <c r="BC1437" s="25"/>
      <c r="BD1437" s="544" t="s">
        <v>334</v>
      </c>
      <c r="BE1437" s="327"/>
      <c r="BF1437" s="545"/>
      <c r="BG1437" s="326"/>
      <c r="BH1437" s="326"/>
      <c r="BI1437" s="327"/>
      <c r="BJ1437" s="557" t="s">
        <v>303</v>
      </c>
      <c r="BK1437" s="326"/>
      <c r="BL1437" s="326"/>
      <c r="BM1437" s="327"/>
      <c r="BN1437" s="558" t="s">
        <v>303</v>
      </c>
      <c r="BO1437" s="326"/>
      <c r="BP1437" s="326"/>
      <c r="BQ1437" s="326"/>
      <c r="BR1437" s="326"/>
      <c r="BS1437" s="326"/>
      <c r="BT1437" s="326"/>
      <c r="BU1437" s="326"/>
      <c r="BV1437" s="327"/>
    </row>
    <row r="1438" spans="1:74" ht="45" customHeight="1" x14ac:dyDescent="0.25">
      <c r="A1438" s="10">
        <f t="shared" si="5"/>
        <v>1424</v>
      </c>
      <c r="B1438" s="564" t="s">
        <v>303</v>
      </c>
      <c r="C1438" s="327"/>
      <c r="D1438" s="565" t="s">
        <v>307</v>
      </c>
      <c r="E1438" s="327"/>
      <c r="F1438" s="537" t="s">
        <v>334</v>
      </c>
      <c r="G1438" s="327"/>
      <c r="H1438" s="561" t="s">
        <v>334</v>
      </c>
      <c r="I1438" s="327"/>
      <c r="J1438" s="26"/>
      <c r="K1438" s="27"/>
      <c r="L1438" s="26"/>
      <c r="M1438" s="27"/>
      <c r="N1438" s="20"/>
      <c r="O1438" s="21"/>
      <c r="P1438" s="524"/>
      <c r="Q1438" s="327"/>
      <c r="R1438" s="516"/>
      <c r="S1438" s="327"/>
      <c r="T1438" s="517"/>
      <c r="U1438" s="327"/>
      <c r="V1438" s="518"/>
      <c r="W1438" s="327"/>
      <c r="X1438" s="438" t="s">
        <v>303</v>
      </c>
      <c r="Y1438" s="326"/>
      <c r="Z1438" s="326"/>
      <c r="AA1438" s="327"/>
      <c r="AB1438" s="519" t="s">
        <v>303</v>
      </c>
      <c r="AC1438" s="326"/>
      <c r="AD1438" s="326"/>
      <c r="AE1438" s="327"/>
      <c r="AF1438" s="520"/>
      <c r="AG1438" s="327"/>
      <c r="AH1438" s="520"/>
      <c r="AI1438" s="327"/>
      <c r="AJ1438" s="536"/>
      <c r="AK1438" s="327"/>
      <c r="AL1438" s="556" t="s">
        <v>334</v>
      </c>
      <c r="AM1438" s="327"/>
      <c r="AN1438" s="553" t="s">
        <v>334</v>
      </c>
      <c r="AO1438" s="327"/>
      <c r="AP1438" s="554"/>
      <c r="AQ1438" s="327"/>
      <c r="AR1438" s="555"/>
      <c r="AS1438" s="327"/>
      <c r="AT1438" s="549"/>
      <c r="AU1438" s="327"/>
      <c r="AV1438" s="553" t="s">
        <v>334</v>
      </c>
      <c r="AW1438" s="327"/>
      <c r="AX1438" s="521"/>
      <c r="AY1438" s="326"/>
      <c r="AZ1438" s="327"/>
      <c r="BA1438" s="536"/>
      <c r="BB1438" s="327"/>
      <c r="BC1438" s="22"/>
      <c r="BD1438" s="551" t="s">
        <v>334</v>
      </c>
      <c r="BE1438" s="327"/>
      <c r="BF1438" s="552"/>
      <c r="BG1438" s="326"/>
      <c r="BH1438" s="326"/>
      <c r="BI1438" s="327"/>
      <c r="BJ1438" s="451" t="s">
        <v>303</v>
      </c>
      <c r="BK1438" s="326"/>
      <c r="BL1438" s="326"/>
      <c r="BM1438" s="327"/>
      <c r="BN1438" s="558" t="s">
        <v>303</v>
      </c>
      <c r="BO1438" s="326"/>
      <c r="BP1438" s="326"/>
      <c r="BQ1438" s="326"/>
      <c r="BR1438" s="326"/>
      <c r="BS1438" s="326"/>
      <c r="BT1438" s="326"/>
      <c r="BU1438" s="326"/>
      <c r="BV1438" s="327"/>
    </row>
    <row r="1439" spans="1:74" ht="45" customHeight="1" x14ac:dyDescent="0.25">
      <c r="A1439" s="10">
        <f t="shared" si="5"/>
        <v>1425</v>
      </c>
      <c r="B1439" s="559" t="s">
        <v>303</v>
      </c>
      <c r="C1439" s="327"/>
      <c r="D1439" s="560" t="s">
        <v>307</v>
      </c>
      <c r="E1439" s="327"/>
      <c r="F1439" s="537" t="s">
        <v>334</v>
      </c>
      <c r="G1439" s="327"/>
      <c r="H1439" s="566" t="s">
        <v>334</v>
      </c>
      <c r="I1439" s="327"/>
      <c r="J1439" s="567"/>
      <c r="K1439" s="327"/>
      <c r="L1439" s="567"/>
      <c r="M1439" s="327"/>
      <c r="N1439" s="23"/>
      <c r="O1439" s="24"/>
      <c r="P1439" s="563"/>
      <c r="Q1439" s="327"/>
      <c r="R1439" s="538"/>
      <c r="S1439" s="327"/>
      <c r="T1439" s="539"/>
      <c r="U1439" s="327"/>
      <c r="V1439" s="540"/>
      <c r="W1439" s="327"/>
      <c r="X1439" s="541" t="s">
        <v>303</v>
      </c>
      <c r="Y1439" s="326"/>
      <c r="Z1439" s="326"/>
      <c r="AA1439" s="327"/>
      <c r="AB1439" s="542" t="s">
        <v>303</v>
      </c>
      <c r="AC1439" s="326"/>
      <c r="AD1439" s="326"/>
      <c r="AE1439" s="327"/>
      <c r="AF1439" s="543"/>
      <c r="AG1439" s="327"/>
      <c r="AH1439" s="543"/>
      <c r="AI1439" s="327"/>
      <c r="AJ1439" s="536"/>
      <c r="AK1439" s="327"/>
      <c r="AL1439" s="537" t="s">
        <v>334</v>
      </c>
      <c r="AM1439" s="327"/>
      <c r="AN1439" s="546" t="s">
        <v>334</v>
      </c>
      <c r="AO1439" s="327"/>
      <c r="AP1439" s="547"/>
      <c r="AQ1439" s="327"/>
      <c r="AR1439" s="548"/>
      <c r="AS1439" s="327"/>
      <c r="AT1439" s="549"/>
      <c r="AU1439" s="327"/>
      <c r="AV1439" s="546" t="s">
        <v>334</v>
      </c>
      <c r="AW1439" s="327"/>
      <c r="AX1439" s="521"/>
      <c r="AY1439" s="326"/>
      <c r="AZ1439" s="327"/>
      <c r="BA1439" s="550"/>
      <c r="BB1439" s="327"/>
      <c r="BC1439" s="25"/>
      <c r="BD1439" s="544" t="s">
        <v>334</v>
      </c>
      <c r="BE1439" s="327"/>
      <c r="BF1439" s="545"/>
      <c r="BG1439" s="326"/>
      <c r="BH1439" s="326"/>
      <c r="BI1439" s="327"/>
      <c r="BJ1439" s="557" t="s">
        <v>303</v>
      </c>
      <c r="BK1439" s="326"/>
      <c r="BL1439" s="326"/>
      <c r="BM1439" s="327"/>
      <c r="BN1439" s="558" t="s">
        <v>303</v>
      </c>
      <c r="BO1439" s="326"/>
      <c r="BP1439" s="326"/>
      <c r="BQ1439" s="326"/>
      <c r="BR1439" s="326"/>
      <c r="BS1439" s="326"/>
      <c r="BT1439" s="326"/>
      <c r="BU1439" s="326"/>
      <c r="BV1439" s="327"/>
    </row>
    <row r="1440" spans="1:74" ht="45" customHeight="1" x14ac:dyDescent="0.25">
      <c r="A1440" s="10">
        <f t="shared" si="5"/>
        <v>1426</v>
      </c>
      <c r="B1440" s="564" t="s">
        <v>303</v>
      </c>
      <c r="C1440" s="327"/>
      <c r="D1440" s="565" t="s">
        <v>307</v>
      </c>
      <c r="E1440" s="327"/>
      <c r="F1440" s="537" t="s">
        <v>334</v>
      </c>
      <c r="G1440" s="327"/>
      <c r="H1440" s="561" t="s">
        <v>334</v>
      </c>
      <c r="I1440" s="327"/>
      <c r="J1440" s="26"/>
      <c r="K1440" s="27"/>
      <c r="L1440" s="26"/>
      <c r="M1440" s="27"/>
      <c r="N1440" s="20"/>
      <c r="O1440" s="21"/>
      <c r="P1440" s="524"/>
      <c r="Q1440" s="327"/>
      <c r="R1440" s="516"/>
      <c r="S1440" s="327"/>
      <c r="T1440" s="517"/>
      <c r="U1440" s="327"/>
      <c r="V1440" s="518"/>
      <c r="W1440" s="327"/>
      <c r="X1440" s="438" t="s">
        <v>303</v>
      </c>
      <c r="Y1440" s="326"/>
      <c r="Z1440" s="326"/>
      <c r="AA1440" s="327"/>
      <c r="AB1440" s="519" t="s">
        <v>303</v>
      </c>
      <c r="AC1440" s="326"/>
      <c r="AD1440" s="326"/>
      <c r="AE1440" s="327"/>
      <c r="AF1440" s="520"/>
      <c r="AG1440" s="327"/>
      <c r="AH1440" s="520"/>
      <c r="AI1440" s="327"/>
      <c r="AJ1440" s="536"/>
      <c r="AK1440" s="327"/>
      <c r="AL1440" s="556" t="s">
        <v>334</v>
      </c>
      <c r="AM1440" s="327"/>
      <c r="AN1440" s="553" t="s">
        <v>334</v>
      </c>
      <c r="AO1440" s="327"/>
      <c r="AP1440" s="554"/>
      <c r="AQ1440" s="327"/>
      <c r="AR1440" s="555"/>
      <c r="AS1440" s="327"/>
      <c r="AT1440" s="549"/>
      <c r="AU1440" s="327"/>
      <c r="AV1440" s="553" t="s">
        <v>334</v>
      </c>
      <c r="AW1440" s="327"/>
      <c r="AX1440" s="521"/>
      <c r="AY1440" s="326"/>
      <c r="AZ1440" s="327"/>
      <c r="BA1440" s="536"/>
      <c r="BB1440" s="327"/>
      <c r="BC1440" s="22"/>
      <c r="BD1440" s="551" t="s">
        <v>334</v>
      </c>
      <c r="BE1440" s="327"/>
      <c r="BF1440" s="552"/>
      <c r="BG1440" s="326"/>
      <c r="BH1440" s="326"/>
      <c r="BI1440" s="327"/>
      <c r="BJ1440" s="451" t="s">
        <v>303</v>
      </c>
      <c r="BK1440" s="326"/>
      <c r="BL1440" s="326"/>
      <c r="BM1440" s="327"/>
      <c r="BN1440" s="558" t="s">
        <v>303</v>
      </c>
      <c r="BO1440" s="326"/>
      <c r="BP1440" s="326"/>
      <c r="BQ1440" s="326"/>
      <c r="BR1440" s="326"/>
      <c r="BS1440" s="326"/>
      <c r="BT1440" s="326"/>
      <c r="BU1440" s="326"/>
      <c r="BV1440" s="327"/>
    </row>
    <row r="1441" spans="1:74" ht="45" customHeight="1" x14ac:dyDescent="0.25">
      <c r="A1441" s="10">
        <f t="shared" si="5"/>
        <v>1427</v>
      </c>
      <c r="B1441" s="559" t="s">
        <v>303</v>
      </c>
      <c r="C1441" s="327"/>
      <c r="D1441" s="560" t="s">
        <v>307</v>
      </c>
      <c r="E1441" s="327"/>
      <c r="F1441" s="537" t="s">
        <v>334</v>
      </c>
      <c r="G1441" s="327"/>
      <c r="H1441" s="566" t="s">
        <v>334</v>
      </c>
      <c r="I1441" s="327"/>
      <c r="J1441" s="567"/>
      <c r="K1441" s="327"/>
      <c r="L1441" s="567"/>
      <c r="M1441" s="327"/>
      <c r="N1441" s="23"/>
      <c r="O1441" s="24"/>
      <c r="P1441" s="563"/>
      <c r="Q1441" s="327"/>
      <c r="R1441" s="538"/>
      <c r="S1441" s="327"/>
      <c r="T1441" s="539"/>
      <c r="U1441" s="327"/>
      <c r="V1441" s="540"/>
      <c r="W1441" s="327"/>
      <c r="X1441" s="541" t="s">
        <v>303</v>
      </c>
      <c r="Y1441" s="326"/>
      <c r="Z1441" s="326"/>
      <c r="AA1441" s="327"/>
      <c r="AB1441" s="542" t="s">
        <v>303</v>
      </c>
      <c r="AC1441" s="326"/>
      <c r="AD1441" s="326"/>
      <c r="AE1441" s="327"/>
      <c r="AF1441" s="543"/>
      <c r="AG1441" s="327"/>
      <c r="AH1441" s="543"/>
      <c r="AI1441" s="327"/>
      <c r="AJ1441" s="536"/>
      <c r="AK1441" s="327"/>
      <c r="AL1441" s="537" t="s">
        <v>334</v>
      </c>
      <c r="AM1441" s="327"/>
      <c r="AN1441" s="546" t="s">
        <v>334</v>
      </c>
      <c r="AO1441" s="327"/>
      <c r="AP1441" s="547"/>
      <c r="AQ1441" s="327"/>
      <c r="AR1441" s="548"/>
      <c r="AS1441" s="327"/>
      <c r="AT1441" s="549"/>
      <c r="AU1441" s="327"/>
      <c r="AV1441" s="546" t="s">
        <v>334</v>
      </c>
      <c r="AW1441" s="327"/>
      <c r="AX1441" s="521"/>
      <c r="AY1441" s="326"/>
      <c r="AZ1441" s="327"/>
      <c r="BA1441" s="550"/>
      <c r="BB1441" s="327"/>
      <c r="BC1441" s="25"/>
      <c r="BD1441" s="544" t="s">
        <v>334</v>
      </c>
      <c r="BE1441" s="327"/>
      <c r="BF1441" s="545"/>
      <c r="BG1441" s="326"/>
      <c r="BH1441" s="326"/>
      <c r="BI1441" s="327"/>
      <c r="BJ1441" s="557" t="s">
        <v>303</v>
      </c>
      <c r="BK1441" s="326"/>
      <c r="BL1441" s="326"/>
      <c r="BM1441" s="327"/>
      <c r="BN1441" s="558" t="s">
        <v>303</v>
      </c>
      <c r="BO1441" s="326"/>
      <c r="BP1441" s="326"/>
      <c r="BQ1441" s="326"/>
      <c r="BR1441" s="326"/>
      <c r="BS1441" s="326"/>
      <c r="BT1441" s="326"/>
      <c r="BU1441" s="326"/>
      <c r="BV1441" s="327"/>
    </row>
    <row r="1442" spans="1:74" ht="45" customHeight="1" x14ac:dyDescent="0.25">
      <c r="A1442" s="10">
        <f t="shared" si="5"/>
        <v>1428</v>
      </c>
      <c r="B1442" s="564" t="s">
        <v>303</v>
      </c>
      <c r="C1442" s="327"/>
      <c r="D1442" s="565" t="s">
        <v>307</v>
      </c>
      <c r="E1442" s="327"/>
      <c r="F1442" s="537" t="s">
        <v>334</v>
      </c>
      <c r="G1442" s="327"/>
      <c r="H1442" s="561" t="s">
        <v>334</v>
      </c>
      <c r="I1442" s="327"/>
      <c r="J1442" s="26"/>
      <c r="K1442" s="27"/>
      <c r="L1442" s="26"/>
      <c r="M1442" s="27"/>
      <c r="N1442" s="20"/>
      <c r="O1442" s="21"/>
      <c r="P1442" s="524"/>
      <c r="Q1442" s="327"/>
      <c r="R1442" s="516"/>
      <c r="S1442" s="327"/>
      <c r="T1442" s="517"/>
      <c r="U1442" s="327"/>
      <c r="V1442" s="518"/>
      <c r="W1442" s="327"/>
      <c r="X1442" s="438" t="s">
        <v>303</v>
      </c>
      <c r="Y1442" s="326"/>
      <c r="Z1442" s="326"/>
      <c r="AA1442" s="327"/>
      <c r="AB1442" s="519" t="s">
        <v>303</v>
      </c>
      <c r="AC1442" s="326"/>
      <c r="AD1442" s="326"/>
      <c r="AE1442" s="327"/>
      <c r="AF1442" s="520"/>
      <c r="AG1442" s="327"/>
      <c r="AH1442" s="520"/>
      <c r="AI1442" s="327"/>
      <c r="AJ1442" s="536"/>
      <c r="AK1442" s="327"/>
      <c r="AL1442" s="556" t="s">
        <v>334</v>
      </c>
      <c r="AM1442" s="327"/>
      <c r="AN1442" s="553" t="s">
        <v>334</v>
      </c>
      <c r="AO1442" s="327"/>
      <c r="AP1442" s="554"/>
      <c r="AQ1442" s="327"/>
      <c r="AR1442" s="555"/>
      <c r="AS1442" s="327"/>
      <c r="AT1442" s="549"/>
      <c r="AU1442" s="327"/>
      <c r="AV1442" s="553" t="s">
        <v>334</v>
      </c>
      <c r="AW1442" s="327"/>
      <c r="AX1442" s="521"/>
      <c r="AY1442" s="326"/>
      <c r="AZ1442" s="327"/>
      <c r="BA1442" s="536"/>
      <c r="BB1442" s="327"/>
      <c r="BC1442" s="22"/>
      <c r="BD1442" s="551" t="s">
        <v>334</v>
      </c>
      <c r="BE1442" s="327"/>
      <c r="BF1442" s="552"/>
      <c r="BG1442" s="326"/>
      <c r="BH1442" s="326"/>
      <c r="BI1442" s="327"/>
      <c r="BJ1442" s="451" t="s">
        <v>303</v>
      </c>
      <c r="BK1442" s="326"/>
      <c r="BL1442" s="326"/>
      <c r="BM1442" s="327"/>
      <c r="BN1442" s="558" t="s">
        <v>303</v>
      </c>
      <c r="BO1442" s="326"/>
      <c r="BP1442" s="326"/>
      <c r="BQ1442" s="326"/>
      <c r="BR1442" s="326"/>
      <c r="BS1442" s="326"/>
      <c r="BT1442" s="326"/>
      <c r="BU1442" s="326"/>
      <c r="BV1442" s="327"/>
    </row>
    <row r="1443" spans="1:74" ht="45" customHeight="1" x14ac:dyDescent="0.25">
      <c r="A1443" s="10">
        <f t="shared" si="5"/>
        <v>1429</v>
      </c>
      <c r="B1443" s="559" t="s">
        <v>303</v>
      </c>
      <c r="C1443" s="327"/>
      <c r="D1443" s="560" t="s">
        <v>307</v>
      </c>
      <c r="E1443" s="327"/>
      <c r="F1443" s="537" t="s">
        <v>334</v>
      </c>
      <c r="G1443" s="327"/>
      <c r="H1443" s="566" t="s">
        <v>334</v>
      </c>
      <c r="I1443" s="327"/>
      <c r="J1443" s="567"/>
      <c r="K1443" s="327"/>
      <c r="L1443" s="567"/>
      <c r="M1443" s="327"/>
      <c r="N1443" s="23"/>
      <c r="O1443" s="24"/>
      <c r="P1443" s="563"/>
      <c r="Q1443" s="327"/>
      <c r="R1443" s="538"/>
      <c r="S1443" s="327"/>
      <c r="T1443" s="539"/>
      <c r="U1443" s="327"/>
      <c r="V1443" s="540"/>
      <c r="W1443" s="327"/>
      <c r="X1443" s="541" t="s">
        <v>303</v>
      </c>
      <c r="Y1443" s="326"/>
      <c r="Z1443" s="326"/>
      <c r="AA1443" s="327"/>
      <c r="AB1443" s="542" t="s">
        <v>303</v>
      </c>
      <c r="AC1443" s="326"/>
      <c r="AD1443" s="326"/>
      <c r="AE1443" s="327"/>
      <c r="AF1443" s="543"/>
      <c r="AG1443" s="327"/>
      <c r="AH1443" s="543"/>
      <c r="AI1443" s="327"/>
      <c r="AJ1443" s="536"/>
      <c r="AK1443" s="327"/>
      <c r="AL1443" s="537" t="s">
        <v>334</v>
      </c>
      <c r="AM1443" s="327"/>
      <c r="AN1443" s="546" t="s">
        <v>334</v>
      </c>
      <c r="AO1443" s="327"/>
      <c r="AP1443" s="547"/>
      <c r="AQ1443" s="327"/>
      <c r="AR1443" s="548"/>
      <c r="AS1443" s="327"/>
      <c r="AT1443" s="568"/>
      <c r="AU1443" s="327"/>
      <c r="AV1443" s="546" t="s">
        <v>334</v>
      </c>
      <c r="AW1443" s="327"/>
      <c r="AX1443" s="521"/>
      <c r="AY1443" s="326"/>
      <c r="AZ1443" s="327"/>
      <c r="BA1443" s="550"/>
      <c r="BB1443" s="327"/>
      <c r="BC1443" s="25"/>
      <c r="BD1443" s="544" t="s">
        <v>334</v>
      </c>
      <c r="BE1443" s="327"/>
      <c r="BF1443" s="545"/>
      <c r="BG1443" s="326"/>
      <c r="BH1443" s="326"/>
      <c r="BI1443" s="327"/>
      <c r="BJ1443" s="557" t="s">
        <v>303</v>
      </c>
      <c r="BK1443" s="326"/>
      <c r="BL1443" s="326"/>
      <c r="BM1443" s="327"/>
      <c r="BN1443" s="558" t="s">
        <v>303</v>
      </c>
      <c r="BO1443" s="326"/>
      <c r="BP1443" s="326"/>
      <c r="BQ1443" s="326"/>
      <c r="BR1443" s="326"/>
      <c r="BS1443" s="326"/>
      <c r="BT1443" s="326"/>
      <c r="BU1443" s="326"/>
      <c r="BV1443" s="327"/>
    </row>
    <row r="1444" spans="1:74" ht="45" customHeight="1" x14ac:dyDescent="0.25">
      <c r="A1444" s="10">
        <f t="shared" si="5"/>
        <v>1430</v>
      </c>
      <c r="B1444" s="564" t="s">
        <v>303</v>
      </c>
      <c r="C1444" s="327"/>
      <c r="D1444" s="565" t="s">
        <v>307</v>
      </c>
      <c r="E1444" s="327"/>
      <c r="F1444" s="537" t="s">
        <v>334</v>
      </c>
      <c r="G1444" s="327"/>
      <c r="H1444" s="561" t="s">
        <v>334</v>
      </c>
      <c r="I1444" s="327"/>
      <c r="J1444" s="26"/>
      <c r="K1444" s="27"/>
      <c r="L1444" s="26"/>
      <c r="M1444" s="27"/>
      <c r="N1444" s="20"/>
      <c r="O1444" s="21"/>
      <c r="P1444" s="524"/>
      <c r="Q1444" s="327"/>
      <c r="R1444" s="516"/>
      <c r="S1444" s="327"/>
      <c r="T1444" s="517"/>
      <c r="U1444" s="327"/>
      <c r="V1444" s="518"/>
      <c r="W1444" s="327"/>
      <c r="X1444" s="438" t="s">
        <v>303</v>
      </c>
      <c r="Y1444" s="326"/>
      <c r="Z1444" s="326"/>
      <c r="AA1444" s="327"/>
      <c r="AB1444" s="519" t="s">
        <v>303</v>
      </c>
      <c r="AC1444" s="326"/>
      <c r="AD1444" s="326"/>
      <c r="AE1444" s="327"/>
      <c r="AF1444" s="520"/>
      <c r="AG1444" s="327"/>
      <c r="AH1444" s="520"/>
      <c r="AI1444" s="327"/>
      <c r="AJ1444" s="536"/>
      <c r="AK1444" s="327"/>
      <c r="AL1444" s="556" t="s">
        <v>334</v>
      </c>
      <c r="AM1444" s="327"/>
      <c r="AN1444" s="553" t="s">
        <v>334</v>
      </c>
      <c r="AO1444" s="327"/>
      <c r="AP1444" s="554"/>
      <c r="AQ1444" s="327"/>
      <c r="AR1444" s="555"/>
      <c r="AS1444" s="327"/>
      <c r="AT1444" s="549"/>
      <c r="AU1444" s="327"/>
      <c r="AV1444" s="553" t="s">
        <v>334</v>
      </c>
      <c r="AW1444" s="327"/>
      <c r="AX1444" s="521"/>
      <c r="AY1444" s="326"/>
      <c r="AZ1444" s="327"/>
      <c r="BA1444" s="536"/>
      <c r="BB1444" s="327"/>
      <c r="BC1444" s="22"/>
      <c r="BD1444" s="551" t="s">
        <v>334</v>
      </c>
      <c r="BE1444" s="327"/>
      <c r="BF1444" s="508"/>
      <c r="BG1444" s="326"/>
      <c r="BH1444" s="326"/>
      <c r="BI1444" s="327"/>
      <c r="BJ1444" s="451" t="s">
        <v>303</v>
      </c>
      <c r="BK1444" s="326"/>
      <c r="BL1444" s="326"/>
      <c r="BM1444" s="327"/>
      <c r="BN1444" s="558" t="s">
        <v>303</v>
      </c>
      <c r="BO1444" s="326"/>
      <c r="BP1444" s="326"/>
      <c r="BQ1444" s="326"/>
      <c r="BR1444" s="326"/>
      <c r="BS1444" s="326"/>
      <c r="BT1444" s="326"/>
      <c r="BU1444" s="326"/>
      <c r="BV1444" s="327"/>
    </row>
    <row r="1445" spans="1:74" ht="45" customHeight="1" x14ac:dyDescent="0.25">
      <c r="A1445" s="10">
        <f t="shared" si="5"/>
        <v>1431</v>
      </c>
      <c r="B1445" s="559" t="s">
        <v>303</v>
      </c>
      <c r="C1445" s="327"/>
      <c r="D1445" s="560" t="s">
        <v>307</v>
      </c>
      <c r="E1445" s="327"/>
      <c r="F1445" s="537" t="s">
        <v>334</v>
      </c>
      <c r="G1445" s="327"/>
      <c r="H1445" s="566" t="s">
        <v>334</v>
      </c>
      <c r="I1445" s="327"/>
      <c r="J1445" s="567"/>
      <c r="K1445" s="327"/>
      <c r="L1445" s="567"/>
      <c r="M1445" s="327"/>
      <c r="N1445" s="23"/>
      <c r="O1445" s="24"/>
      <c r="P1445" s="563"/>
      <c r="Q1445" s="327"/>
      <c r="R1445" s="538"/>
      <c r="S1445" s="327"/>
      <c r="T1445" s="539"/>
      <c r="U1445" s="327"/>
      <c r="V1445" s="540"/>
      <c r="W1445" s="327"/>
      <c r="X1445" s="541" t="s">
        <v>303</v>
      </c>
      <c r="Y1445" s="326"/>
      <c r="Z1445" s="326"/>
      <c r="AA1445" s="327"/>
      <c r="AB1445" s="542" t="s">
        <v>303</v>
      </c>
      <c r="AC1445" s="326"/>
      <c r="AD1445" s="326"/>
      <c r="AE1445" s="327"/>
      <c r="AF1445" s="543"/>
      <c r="AG1445" s="327"/>
      <c r="AH1445" s="543"/>
      <c r="AI1445" s="327"/>
      <c r="AJ1445" s="536"/>
      <c r="AK1445" s="327"/>
      <c r="AL1445" s="537" t="s">
        <v>334</v>
      </c>
      <c r="AM1445" s="327"/>
      <c r="AN1445" s="546" t="s">
        <v>334</v>
      </c>
      <c r="AO1445" s="327"/>
      <c r="AP1445" s="547"/>
      <c r="AQ1445" s="327"/>
      <c r="AR1445" s="548"/>
      <c r="AS1445" s="327"/>
      <c r="AT1445" s="568"/>
      <c r="AU1445" s="327"/>
      <c r="AV1445" s="546" t="s">
        <v>334</v>
      </c>
      <c r="AW1445" s="327"/>
      <c r="AX1445" s="521"/>
      <c r="AY1445" s="326"/>
      <c r="AZ1445" s="327"/>
      <c r="BA1445" s="550"/>
      <c r="BB1445" s="327"/>
      <c r="BC1445" s="25"/>
      <c r="BD1445" s="544" t="s">
        <v>334</v>
      </c>
      <c r="BE1445" s="327"/>
      <c r="BF1445" s="545"/>
      <c r="BG1445" s="326"/>
      <c r="BH1445" s="326"/>
      <c r="BI1445" s="327"/>
      <c r="BJ1445" s="557" t="s">
        <v>303</v>
      </c>
      <c r="BK1445" s="326"/>
      <c r="BL1445" s="326"/>
      <c r="BM1445" s="327"/>
      <c r="BN1445" s="558" t="s">
        <v>303</v>
      </c>
      <c r="BO1445" s="326"/>
      <c r="BP1445" s="326"/>
      <c r="BQ1445" s="326"/>
      <c r="BR1445" s="326"/>
      <c r="BS1445" s="326"/>
      <c r="BT1445" s="326"/>
      <c r="BU1445" s="326"/>
      <c r="BV1445" s="327"/>
    </row>
    <row r="1446" spans="1:74" ht="45" customHeight="1" x14ac:dyDescent="0.25">
      <c r="A1446" s="10">
        <f t="shared" si="5"/>
        <v>1432</v>
      </c>
      <c r="B1446" s="564" t="s">
        <v>303</v>
      </c>
      <c r="C1446" s="327"/>
      <c r="D1446" s="565" t="s">
        <v>307</v>
      </c>
      <c r="E1446" s="327"/>
      <c r="F1446" s="537" t="s">
        <v>334</v>
      </c>
      <c r="G1446" s="327"/>
      <c r="H1446" s="561" t="s">
        <v>334</v>
      </c>
      <c r="I1446" s="327"/>
      <c r="J1446" s="26"/>
      <c r="K1446" s="27"/>
      <c r="L1446" s="26"/>
      <c r="M1446" s="27"/>
      <c r="N1446" s="20"/>
      <c r="O1446" s="21"/>
      <c r="P1446" s="524"/>
      <c r="Q1446" s="327"/>
      <c r="R1446" s="516"/>
      <c r="S1446" s="327"/>
      <c r="T1446" s="517"/>
      <c r="U1446" s="327"/>
      <c r="V1446" s="518"/>
      <c r="W1446" s="327"/>
      <c r="X1446" s="438" t="s">
        <v>303</v>
      </c>
      <c r="Y1446" s="326"/>
      <c r="Z1446" s="326"/>
      <c r="AA1446" s="327"/>
      <c r="AB1446" s="519" t="s">
        <v>303</v>
      </c>
      <c r="AC1446" s="326"/>
      <c r="AD1446" s="326"/>
      <c r="AE1446" s="327"/>
      <c r="AF1446" s="520"/>
      <c r="AG1446" s="327"/>
      <c r="AH1446" s="520"/>
      <c r="AI1446" s="327"/>
      <c r="AJ1446" s="536"/>
      <c r="AK1446" s="327"/>
      <c r="AL1446" s="556" t="s">
        <v>334</v>
      </c>
      <c r="AM1446" s="327"/>
      <c r="AN1446" s="553" t="s">
        <v>334</v>
      </c>
      <c r="AO1446" s="327"/>
      <c r="AP1446" s="554"/>
      <c r="AQ1446" s="327"/>
      <c r="AR1446" s="555"/>
      <c r="AS1446" s="327"/>
      <c r="AT1446" s="549"/>
      <c r="AU1446" s="327"/>
      <c r="AV1446" s="553" t="s">
        <v>334</v>
      </c>
      <c r="AW1446" s="327"/>
      <c r="AX1446" s="521"/>
      <c r="AY1446" s="326"/>
      <c r="AZ1446" s="327"/>
      <c r="BA1446" s="536"/>
      <c r="BB1446" s="327"/>
      <c r="BC1446" s="22"/>
      <c r="BD1446" s="551" t="s">
        <v>334</v>
      </c>
      <c r="BE1446" s="327"/>
      <c r="BF1446" s="552"/>
      <c r="BG1446" s="326"/>
      <c r="BH1446" s="326"/>
      <c r="BI1446" s="327"/>
      <c r="BJ1446" s="451" t="s">
        <v>303</v>
      </c>
      <c r="BK1446" s="326"/>
      <c r="BL1446" s="326"/>
      <c r="BM1446" s="327"/>
      <c r="BN1446" s="558" t="s">
        <v>303</v>
      </c>
      <c r="BO1446" s="326"/>
      <c r="BP1446" s="326"/>
      <c r="BQ1446" s="326"/>
      <c r="BR1446" s="326"/>
      <c r="BS1446" s="326"/>
      <c r="BT1446" s="326"/>
      <c r="BU1446" s="326"/>
      <c r="BV1446" s="327"/>
    </row>
    <row r="1447" spans="1:74" ht="45" customHeight="1" x14ac:dyDescent="0.25">
      <c r="A1447" s="10">
        <f t="shared" si="5"/>
        <v>1433</v>
      </c>
      <c r="B1447" s="559" t="s">
        <v>303</v>
      </c>
      <c r="C1447" s="327"/>
      <c r="D1447" s="560" t="s">
        <v>307</v>
      </c>
      <c r="E1447" s="327"/>
      <c r="F1447" s="537" t="s">
        <v>334</v>
      </c>
      <c r="G1447" s="327"/>
      <c r="H1447" s="566" t="s">
        <v>334</v>
      </c>
      <c r="I1447" s="327"/>
      <c r="J1447" s="567"/>
      <c r="K1447" s="327"/>
      <c r="L1447" s="567"/>
      <c r="M1447" s="327"/>
      <c r="N1447" s="23"/>
      <c r="O1447" s="24"/>
      <c r="P1447" s="563"/>
      <c r="Q1447" s="327"/>
      <c r="R1447" s="538"/>
      <c r="S1447" s="327"/>
      <c r="T1447" s="539"/>
      <c r="U1447" s="327"/>
      <c r="V1447" s="540"/>
      <c r="W1447" s="327"/>
      <c r="X1447" s="541" t="s">
        <v>303</v>
      </c>
      <c r="Y1447" s="326"/>
      <c r="Z1447" s="326"/>
      <c r="AA1447" s="327"/>
      <c r="AB1447" s="542" t="s">
        <v>303</v>
      </c>
      <c r="AC1447" s="326"/>
      <c r="AD1447" s="326"/>
      <c r="AE1447" s="327"/>
      <c r="AF1447" s="543"/>
      <c r="AG1447" s="327"/>
      <c r="AH1447" s="543"/>
      <c r="AI1447" s="327"/>
      <c r="AJ1447" s="536"/>
      <c r="AK1447" s="327"/>
      <c r="AL1447" s="537" t="s">
        <v>334</v>
      </c>
      <c r="AM1447" s="327"/>
      <c r="AN1447" s="546" t="s">
        <v>334</v>
      </c>
      <c r="AO1447" s="327"/>
      <c r="AP1447" s="547"/>
      <c r="AQ1447" s="327"/>
      <c r="AR1447" s="548"/>
      <c r="AS1447" s="327"/>
      <c r="AT1447" s="568"/>
      <c r="AU1447" s="327"/>
      <c r="AV1447" s="546" t="s">
        <v>334</v>
      </c>
      <c r="AW1447" s="327"/>
      <c r="AX1447" s="521"/>
      <c r="AY1447" s="326"/>
      <c r="AZ1447" s="327"/>
      <c r="BA1447" s="550"/>
      <c r="BB1447" s="327"/>
      <c r="BC1447" s="25"/>
      <c r="BD1447" s="544" t="s">
        <v>334</v>
      </c>
      <c r="BE1447" s="327"/>
      <c r="BF1447" s="545"/>
      <c r="BG1447" s="326"/>
      <c r="BH1447" s="326"/>
      <c r="BI1447" s="327"/>
      <c r="BJ1447" s="557" t="s">
        <v>303</v>
      </c>
      <c r="BK1447" s="326"/>
      <c r="BL1447" s="326"/>
      <c r="BM1447" s="327"/>
      <c r="BN1447" s="558" t="s">
        <v>303</v>
      </c>
      <c r="BO1447" s="326"/>
      <c r="BP1447" s="326"/>
      <c r="BQ1447" s="326"/>
      <c r="BR1447" s="326"/>
      <c r="BS1447" s="326"/>
      <c r="BT1447" s="326"/>
      <c r="BU1447" s="326"/>
      <c r="BV1447" s="327"/>
    </row>
    <row r="1448" spans="1:74" ht="45" customHeight="1" x14ac:dyDescent="0.25">
      <c r="A1448" s="10">
        <f t="shared" si="5"/>
        <v>1434</v>
      </c>
      <c r="B1448" s="564" t="s">
        <v>303</v>
      </c>
      <c r="C1448" s="327"/>
      <c r="D1448" s="565" t="s">
        <v>307</v>
      </c>
      <c r="E1448" s="327"/>
      <c r="F1448" s="537" t="s">
        <v>334</v>
      </c>
      <c r="G1448" s="327"/>
      <c r="H1448" s="561" t="s">
        <v>334</v>
      </c>
      <c r="I1448" s="327"/>
      <c r="J1448" s="26"/>
      <c r="K1448" s="27"/>
      <c r="L1448" s="26"/>
      <c r="M1448" s="27"/>
      <c r="N1448" s="20"/>
      <c r="O1448" s="21"/>
      <c r="P1448" s="524"/>
      <c r="Q1448" s="327"/>
      <c r="R1448" s="516"/>
      <c r="S1448" s="327"/>
      <c r="T1448" s="517"/>
      <c r="U1448" s="327"/>
      <c r="V1448" s="518"/>
      <c r="W1448" s="327"/>
      <c r="X1448" s="438" t="s">
        <v>303</v>
      </c>
      <c r="Y1448" s="326"/>
      <c r="Z1448" s="326"/>
      <c r="AA1448" s="327"/>
      <c r="AB1448" s="519" t="s">
        <v>303</v>
      </c>
      <c r="AC1448" s="326"/>
      <c r="AD1448" s="326"/>
      <c r="AE1448" s="327"/>
      <c r="AF1448" s="520"/>
      <c r="AG1448" s="327"/>
      <c r="AH1448" s="520"/>
      <c r="AI1448" s="327"/>
      <c r="AJ1448" s="536"/>
      <c r="AK1448" s="327"/>
      <c r="AL1448" s="556" t="s">
        <v>334</v>
      </c>
      <c r="AM1448" s="327"/>
      <c r="AN1448" s="553" t="s">
        <v>334</v>
      </c>
      <c r="AO1448" s="327"/>
      <c r="AP1448" s="554"/>
      <c r="AQ1448" s="327"/>
      <c r="AR1448" s="555"/>
      <c r="AS1448" s="327"/>
      <c r="AT1448" s="549"/>
      <c r="AU1448" s="327"/>
      <c r="AV1448" s="553" t="s">
        <v>334</v>
      </c>
      <c r="AW1448" s="327"/>
      <c r="AX1448" s="521"/>
      <c r="AY1448" s="326"/>
      <c r="AZ1448" s="327"/>
      <c r="BA1448" s="536"/>
      <c r="BB1448" s="327"/>
      <c r="BC1448" s="22"/>
      <c r="BD1448" s="551" t="s">
        <v>334</v>
      </c>
      <c r="BE1448" s="327"/>
      <c r="BF1448" s="552"/>
      <c r="BG1448" s="326"/>
      <c r="BH1448" s="326"/>
      <c r="BI1448" s="327"/>
      <c r="BJ1448" s="451" t="s">
        <v>303</v>
      </c>
      <c r="BK1448" s="326"/>
      <c r="BL1448" s="326"/>
      <c r="BM1448" s="327"/>
      <c r="BN1448" s="558" t="s">
        <v>303</v>
      </c>
      <c r="BO1448" s="326"/>
      <c r="BP1448" s="326"/>
      <c r="BQ1448" s="326"/>
      <c r="BR1448" s="326"/>
      <c r="BS1448" s="326"/>
      <c r="BT1448" s="326"/>
      <c r="BU1448" s="326"/>
      <c r="BV1448" s="327"/>
    </row>
    <row r="1449" spans="1:74" ht="45" customHeight="1" x14ac:dyDescent="0.25">
      <c r="A1449" s="10">
        <f t="shared" si="5"/>
        <v>1435</v>
      </c>
      <c r="B1449" s="559" t="s">
        <v>303</v>
      </c>
      <c r="C1449" s="327"/>
      <c r="D1449" s="560" t="s">
        <v>307</v>
      </c>
      <c r="E1449" s="327"/>
      <c r="F1449" s="537" t="s">
        <v>334</v>
      </c>
      <c r="G1449" s="327"/>
      <c r="H1449" s="566" t="s">
        <v>334</v>
      </c>
      <c r="I1449" s="327"/>
      <c r="J1449" s="567"/>
      <c r="K1449" s="327"/>
      <c r="L1449" s="567"/>
      <c r="M1449" s="327"/>
      <c r="N1449" s="23"/>
      <c r="O1449" s="24"/>
      <c r="P1449" s="563"/>
      <c r="Q1449" s="327"/>
      <c r="R1449" s="538"/>
      <c r="S1449" s="327"/>
      <c r="T1449" s="539"/>
      <c r="U1449" s="327"/>
      <c r="V1449" s="540"/>
      <c r="W1449" s="327"/>
      <c r="X1449" s="541" t="s">
        <v>303</v>
      </c>
      <c r="Y1449" s="326"/>
      <c r="Z1449" s="326"/>
      <c r="AA1449" s="327"/>
      <c r="AB1449" s="542" t="s">
        <v>303</v>
      </c>
      <c r="AC1449" s="326"/>
      <c r="AD1449" s="326"/>
      <c r="AE1449" s="327"/>
      <c r="AF1449" s="543"/>
      <c r="AG1449" s="327"/>
      <c r="AH1449" s="543"/>
      <c r="AI1449" s="327"/>
      <c r="AJ1449" s="536"/>
      <c r="AK1449" s="327"/>
      <c r="AL1449" s="537" t="s">
        <v>334</v>
      </c>
      <c r="AM1449" s="327"/>
      <c r="AN1449" s="546" t="s">
        <v>334</v>
      </c>
      <c r="AO1449" s="327"/>
      <c r="AP1449" s="547"/>
      <c r="AQ1449" s="327"/>
      <c r="AR1449" s="548"/>
      <c r="AS1449" s="327"/>
      <c r="AT1449" s="568"/>
      <c r="AU1449" s="327"/>
      <c r="AV1449" s="546" t="s">
        <v>334</v>
      </c>
      <c r="AW1449" s="327"/>
      <c r="AX1449" s="521"/>
      <c r="AY1449" s="326"/>
      <c r="AZ1449" s="327"/>
      <c r="BA1449" s="550"/>
      <c r="BB1449" s="327"/>
      <c r="BC1449" s="25"/>
      <c r="BD1449" s="544" t="s">
        <v>334</v>
      </c>
      <c r="BE1449" s="327"/>
      <c r="BF1449" s="545"/>
      <c r="BG1449" s="326"/>
      <c r="BH1449" s="326"/>
      <c r="BI1449" s="327"/>
      <c r="BJ1449" s="557" t="s">
        <v>303</v>
      </c>
      <c r="BK1449" s="326"/>
      <c r="BL1449" s="326"/>
      <c r="BM1449" s="327"/>
      <c r="BN1449" s="558" t="s">
        <v>303</v>
      </c>
      <c r="BO1449" s="326"/>
      <c r="BP1449" s="326"/>
      <c r="BQ1449" s="326"/>
      <c r="BR1449" s="326"/>
      <c r="BS1449" s="326"/>
      <c r="BT1449" s="326"/>
      <c r="BU1449" s="326"/>
      <c r="BV1449" s="327"/>
    </row>
    <row r="1450" spans="1:74" ht="45" customHeight="1" x14ac:dyDescent="0.25">
      <c r="A1450" s="10">
        <f t="shared" si="5"/>
        <v>1436</v>
      </c>
      <c r="B1450" s="564" t="s">
        <v>303</v>
      </c>
      <c r="C1450" s="327"/>
      <c r="D1450" s="565" t="s">
        <v>307</v>
      </c>
      <c r="E1450" s="327"/>
      <c r="F1450" s="537" t="s">
        <v>334</v>
      </c>
      <c r="G1450" s="327"/>
      <c r="H1450" s="561" t="s">
        <v>334</v>
      </c>
      <c r="I1450" s="327"/>
      <c r="J1450" s="26"/>
      <c r="K1450" s="27"/>
      <c r="L1450" s="26"/>
      <c r="M1450" s="27"/>
      <c r="N1450" s="20"/>
      <c r="O1450" s="21"/>
      <c r="P1450" s="524"/>
      <c r="Q1450" s="327"/>
      <c r="R1450" s="516"/>
      <c r="S1450" s="327"/>
      <c r="T1450" s="517"/>
      <c r="U1450" s="327"/>
      <c r="V1450" s="518"/>
      <c r="W1450" s="327"/>
      <c r="X1450" s="438" t="s">
        <v>303</v>
      </c>
      <c r="Y1450" s="326"/>
      <c r="Z1450" s="326"/>
      <c r="AA1450" s="327"/>
      <c r="AB1450" s="519" t="s">
        <v>303</v>
      </c>
      <c r="AC1450" s="326"/>
      <c r="AD1450" s="326"/>
      <c r="AE1450" s="327"/>
      <c r="AF1450" s="520"/>
      <c r="AG1450" s="327"/>
      <c r="AH1450" s="520"/>
      <c r="AI1450" s="327"/>
      <c r="AJ1450" s="536"/>
      <c r="AK1450" s="327"/>
      <c r="AL1450" s="556" t="s">
        <v>334</v>
      </c>
      <c r="AM1450" s="327"/>
      <c r="AN1450" s="553" t="s">
        <v>334</v>
      </c>
      <c r="AO1450" s="327"/>
      <c r="AP1450" s="554"/>
      <c r="AQ1450" s="327"/>
      <c r="AR1450" s="555"/>
      <c r="AS1450" s="327"/>
      <c r="AT1450" s="549"/>
      <c r="AU1450" s="327"/>
      <c r="AV1450" s="553" t="s">
        <v>334</v>
      </c>
      <c r="AW1450" s="327"/>
      <c r="AX1450" s="521"/>
      <c r="AY1450" s="326"/>
      <c r="AZ1450" s="327"/>
      <c r="BA1450" s="536"/>
      <c r="BB1450" s="327"/>
      <c r="BC1450" s="22"/>
      <c r="BD1450" s="551" t="s">
        <v>334</v>
      </c>
      <c r="BE1450" s="327"/>
      <c r="BF1450" s="508"/>
      <c r="BG1450" s="326"/>
      <c r="BH1450" s="326"/>
      <c r="BI1450" s="327"/>
      <c r="BJ1450" s="451" t="s">
        <v>303</v>
      </c>
      <c r="BK1450" s="326"/>
      <c r="BL1450" s="326"/>
      <c r="BM1450" s="327"/>
      <c r="BN1450" s="558" t="s">
        <v>303</v>
      </c>
      <c r="BO1450" s="326"/>
      <c r="BP1450" s="326"/>
      <c r="BQ1450" s="326"/>
      <c r="BR1450" s="326"/>
      <c r="BS1450" s="326"/>
      <c r="BT1450" s="326"/>
      <c r="BU1450" s="326"/>
      <c r="BV1450" s="327"/>
    </row>
    <row r="1451" spans="1:74" ht="45" customHeight="1" x14ac:dyDescent="0.25">
      <c r="A1451" s="10">
        <f t="shared" si="5"/>
        <v>1437</v>
      </c>
      <c r="B1451" s="559" t="s">
        <v>303</v>
      </c>
      <c r="C1451" s="327"/>
      <c r="D1451" s="560" t="s">
        <v>307</v>
      </c>
      <c r="E1451" s="327"/>
      <c r="F1451" s="537" t="s">
        <v>334</v>
      </c>
      <c r="G1451" s="327"/>
      <c r="H1451" s="566" t="s">
        <v>334</v>
      </c>
      <c r="I1451" s="327"/>
      <c r="J1451" s="567"/>
      <c r="K1451" s="327"/>
      <c r="L1451" s="567"/>
      <c r="M1451" s="327"/>
      <c r="N1451" s="23"/>
      <c r="O1451" s="24"/>
      <c r="P1451" s="563"/>
      <c r="Q1451" s="327"/>
      <c r="R1451" s="538"/>
      <c r="S1451" s="327"/>
      <c r="T1451" s="539"/>
      <c r="U1451" s="327"/>
      <c r="V1451" s="540"/>
      <c r="W1451" s="327"/>
      <c r="X1451" s="541" t="s">
        <v>303</v>
      </c>
      <c r="Y1451" s="326"/>
      <c r="Z1451" s="326"/>
      <c r="AA1451" s="327"/>
      <c r="AB1451" s="542" t="s">
        <v>303</v>
      </c>
      <c r="AC1451" s="326"/>
      <c r="AD1451" s="326"/>
      <c r="AE1451" s="327"/>
      <c r="AF1451" s="543"/>
      <c r="AG1451" s="327"/>
      <c r="AH1451" s="543"/>
      <c r="AI1451" s="327"/>
      <c r="AJ1451" s="536"/>
      <c r="AK1451" s="327"/>
      <c r="AL1451" s="537" t="s">
        <v>334</v>
      </c>
      <c r="AM1451" s="327"/>
      <c r="AN1451" s="546" t="s">
        <v>334</v>
      </c>
      <c r="AO1451" s="327"/>
      <c r="AP1451" s="547"/>
      <c r="AQ1451" s="327"/>
      <c r="AR1451" s="548"/>
      <c r="AS1451" s="327"/>
      <c r="AT1451" s="568"/>
      <c r="AU1451" s="327"/>
      <c r="AV1451" s="546" t="s">
        <v>334</v>
      </c>
      <c r="AW1451" s="327"/>
      <c r="AX1451" s="521"/>
      <c r="AY1451" s="326"/>
      <c r="AZ1451" s="327"/>
      <c r="BA1451" s="550"/>
      <c r="BB1451" s="327"/>
      <c r="BC1451" s="25"/>
      <c r="BD1451" s="544" t="s">
        <v>334</v>
      </c>
      <c r="BE1451" s="327"/>
      <c r="BF1451" s="545"/>
      <c r="BG1451" s="326"/>
      <c r="BH1451" s="326"/>
      <c r="BI1451" s="327"/>
      <c r="BJ1451" s="557" t="s">
        <v>303</v>
      </c>
      <c r="BK1451" s="326"/>
      <c r="BL1451" s="326"/>
      <c r="BM1451" s="327"/>
      <c r="BN1451" s="558" t="s">
        <v>303</v>
      </c>
      <c r="BO1451" s="326"/>
      <c r="BP1451" s="326"/>
      <c r="BQ1451" s="326"/>
      <c r="BR1451" s="326"/>
      <c r="BS1451" s="326"/>
      <c r="BT1451" s="326"/>
      <c r="BU1451" s="326"/>
      <c r="BV1451" s="327"/>
    </row>
    <row r="1452" spans="1:74" ht="45" customHeight="1" x14ac:dyDescent="0.25">
      <c r="A1452" s="10">
        <f t="shared" si="5"/>
        <v>1438</v>
      </c>
      <c r="B1452" s="564" t="s">
        <v>303</v>
      </c>
      <c r="C1452" s="327"/>
      <c r="D1452" s="565" t="s">
        <v>307</v>
      </c>
      <c r="E1452" s="327"/>
      <c r="F1452" s="537" t="s">
        <v>334</v>
      </c>
      <c r="G1452" s="327"/>
      <c r="H1452" s="561" t="s">
        <v>334</v>
      </c>
      <c r="I1452" s="327"/>
      <c r="J1452" s="26"/>
      <c r="K1452" s="27"/>
      <c r="L1452" s="26"/>
      <c r="M1452" s="27"/>
      <c r="N1452" s="20"/>
      <c r="O1452" s="21"/>
      <c r="P1452" s="524"/>
      <c r="Q1452" s="327"/>
      <c r="R1452" s="516"/>
      <c r="S1452" s="327"/>
      <c r="T1452" s="517"/>
      <c r="U1452" s="327"/>
      <c r="V1452" s="518"/>
      <c r="W1452" s="327"/>
      <c r="X1452" s="438" t="s">
        <v>303</v>
      </c>
      <c r="Y1452" s="326"/>
      <c r="Z1452" s="326"/>
      <c r="AA1452" s="327"/>
      <c r="AB1452" s="519" t="s">
        <v>303</v>
      </c>
      <c r="AC1452" s="326"/>
      <c r="AD1452" s="326"/>
      <c r="AE1452" s="327"/>
      <c r="AF1452" s="520"/>
      <c r="AG1452" s="327"/>
      <c r="AH1452" s="520"/>
      <c r="AI1452" s="327"/>
      <c r="AJ1452" s="536"/>
      <c r="AK1452" s="327"/>
      <c r="AL1452" s="556" t="s">
        <v>334</v>
      </c>
      <c r="AM1452" s="327"/>
      <c r="AN1452" s="553" t="s">
        <v>334</v>
      </c>
      <c r="AO1452" s="327"/>
      <c r="AP1452" s="554"/>
      <c r="AQ1452" s="327"/>
      <c r="AR1452" s="555"/>
      <c r="AS1452" s="327"/>
      <c r="AT1452" s="549"/>
      <c r="AU1452" s="327"/>
      <c r="AV1452" s="553" t="s">
        <v>334</v>
      </c>
      <c r="AW1452" s="327"/>
      <c r="AX1452" s="521"/>
      <c r="AY1452" s="326"/>
      <c r="AZ1452" s="327"/>
      <c r="BA1452" s="536"/>
      <c r="BB1452" s="327"/>
      <c r="BC1452" s="22"/>
      <c r="BD1452" s="551" t="s">
        <v>334</v>
      </c>
      <c r="BE1452" s="327"/>
      <c r="BF1452" s="552"/>
      <c r="BG1452" s="326"/>
      <c r="BH1452" s="326"/>
      <c r="BI1452" s="327"/>
      <c r="BJ1452" s="451" t="s">
        <v>303</v>
      </c>
      <c r="BK1452" s="326"/>
      <c r="BL1452" s="326"/>
      <c r="BM1452" s="327"/>
      <c r="BN1452" s="558" t="s">
        <v>303</v>
      </c>
      <c r="BO1452" s="326"/>
      <c r="BP1452" s="326"/>
      <c r="BQ1452" s="326"/>
      <c r="BR1452" s="326"/>
      <c r="BS1452" s="326"/>
      <c r="BT1452" s="326"/>
      <c r="BU1452" s="326"/>
      <c r="BV1452" s="327"/>
    </row>
    <row r="1453" spans="1:74" ht="45" customHeight="1" x14ac:dyDescent="0.25">
      <c r="A1453" s="10">
        <f t="shared" si="5"/>
        <v>1439</v>
      </c>
      <c r="B1453" s="559" t="s">
        <v>303</v>
      </c>
      <c r="C1453" s="327"/>
      <c r="D1453" s="560" t="s">
        <v>307</v>
      </c>
      <c r="E1453" s="327"/>
      <c r="F1453" s="537" t="s">
        <v>334</v>
      </c>
      <c r="G1453" s="327"/>
      <c r="H1453" s="566" t="s">
        <v>334</v>
      </c>
      <c r="I1453" s="327"/>
      <c r="J1453" s="567"/>
      <c r="K1453" s="327"/>
      <c r="L1453" s="567"/>
      <c r="M1453" s="327"/>
      <c r="N1453" s="23"/>
      <c r="O1453" s="24"/>
      <c r="P1453" s="563"/>
      <c r="Q1453" s="327"/>
      <c r="R1453" s="538"/>
      <c r="S1453" s="327"/>
      <c r="T1453" s="539"/>
      <c r="U1453" s="327"/>
      <c r="V1453" s="540"/>
      <c r="W1453" s="327"/>
      <c r="X1453" s="541" t="s">
        <v>303</v>
      </c>
      <c r="Y1453" s="326"/>
      <c r="Z1453" s="326"/>
      <c r="AA1453" s="327"/>
      <c r="AB1453" s="542" t="s">
        <v>303</v>
      </c>
      <c r="AC1453" s="326"/>
      <c r="AD1453" s="326"/>
      <c r="AE1453" s="327"/>
      <c r="AF1453" s="543"/>
      <c r="AG1453" s="327"/>
      <c r="AH1453" s="543"/>
      <c r="AI1453" s="327"/>
      <c r="AJ1453" s="536"/>
      <c r="AK1453" s="327"/>
      <c r="AL1453" s="537" t="s">
        <v>334</v>
      </c>
      <c r="AM1453" s="327"/>
      <c r="AN1453" s="546" t="s">
        <v>334</v>
      </c>
      <c r="AO1453" s="327"/>
      <c r="AP1453" s="547"/>
      <c r="AQ1453" s="327"/>
      <c r="AR1453" s="548"/>
      <c r="AS1453" s="327"/>
      <c r="AT1453" s="549"/>
      <c r="AU1453" s="327"/>
      <c r="AV1453" s="546" t="s">
        <v>334</v>
      </c>
      <c r="AW1453" s="327"/>
      <c r="AX1453" s="521"/>
      <c r="AY1453" s="326"/>
      <c r="AZ1453" s="327"/>
      <c r="BA1453" s="550"/>
      <c r="BB1453" s="327"/>
      <c r="BC1453" s="25"/>
      <c r="BD1453" s="544" t="s">
        <v>334</v>
      </c>
      <c r="BE1453" s="327"/>
      <c r="BF1453" s="545"/>
      <c r="BG1453" s="326"/>
      <c r="BH1453" s="326"/>
      <c r="BI1453" s="327"/>
      <c r="BJ1453" s="557" t="s">
        <v>303</v>
      </c>
      <c r="BK1453" s="326"/>
      <c r="BL1453" s="326"/>
      <c r="BM1453" s="327"/>
      <c r="BN1453" s="558" t="s">
        <v>303</v>
      </c>
      <c r="BO1453" s="326"/>
      <c r="BP1453" s="326"/>
      <c r="BQ1453" s="326"/>
      <c r="BR1453" s="326"/>
      <c r="BS1453" s="326"/>
      <c r="BT1453" s="326"/>
      <c r="BU1453" s="326"/>
      <c r="BV1453" s="327"/>
    </row>
    <row r="1454" spans="1:74" ht="45" customHeight="1" x14ac:dyDescent="0.25">
      <c r="A1454" s="10">
        <f t="shared" si="5"/>
        <v>1440</v>
      </c>
      <c r="B1454" s="564" t="s">
        <v>303</v>
      </c>
      <c r="C1454" s="327"/>
      <c r="D1454" s="565" t="s">
        <v>307</v>
      </c>
      <c r="E1454" s="327"/>
      <c r="F1454" s="537" t="s">
        <v>334</v>
      </c>
      <c r="G1454" s="327"/>
      <c r="H1454" s="561" t="s">
        <v>334</v>
      </c>
      <c r="I1454" s="327"/>
      <c r="J1454" s="26"/>
      <c r="K1454" s="27"/>
      <c r="L1454" s="26"/>
      <c r="M1454" s="27"/>
      <c r="N1454" s="20"/>
      <c r="O1454" s="21"/>
      <c r="P1454" s="524"/>
      <c r="Q1454" s="327"/>
      <c r="R1454" s="516"/>
      <c r="S1454" s="327"/>
      <c r="T1454" s="517"/>
      <c r="U1454" s="327"/>
      <c r="V1454" s="518"/>
      <c r="W1454" s="327"/>
      <c r="X1454" s="438" t="s">
        <v>303</v>
      </c>
      <c r="Y1454" s="326"/>
      <c r="Z1454" s="326"/>
      <c r="AA1454" s="327"/>
      <c r="AB1454" s="519" t="s">
        <v>303</v>
      </c>
      <c r="AC1454" s="326"/>
      <c r="AD1454" s="326"/>
      <c r="AE1454" s="327"/>
      <c r="AF1454" s="520"/>
      <c r="AG1454" s="327"/>
      <c r="AH1454" s="520"/>
      <c r="AI1454" s="327"/>
      <c r="AJ1454" s="536"/>
      <c r="AK1454" s="327"/>
      <c r="AL1454" s="556" t="s">
        <v>334</v>
      </c>
      <c r="AM1454" s="327"/>
      <c r="AN1454" s="553" t="s">
        <v>334</v>
      </c>
      <c r="AO1454" s="327"/>
      <c r="AP1454" s="554"/>
      <c r="AQ1454" s="327"/>
      <c r="AR1454" s="555"/>
      <c r="AS1454" s="327"/>
      <c r="AT1454" s="549"/>
      <c r="AU1454" s="327"/>
      <c r="AV1454" s="553" t="s">
        <v>334</v>
      </c>
      <c r="AW1454" s="327"/>
      <c r="AX1454" s="521"/>
      <c r="AY1454" s="326"/>
      <c r="AZ1454" s="327"/>
      <c r="BA1454" s="536"/>
      <c r="BB1454" s="327"/>
      <c r="BC1454" s="22"/>
      <c r="BD1454" s="551" t="s">
        <v>334</v>
      </c>
      <c r="BE1454" s="327"/>
      <c r="BF1454" s="552"/>
      <c r="BG1454" s="326"/>
      <c r="BH1454" s="326"/>
      <c r="BI1454" s="327"/>
      <c r="BJ1454" s="451" t="s">
        <v>303</v>
      </c>
      <c r="BK1454" s="326"/>
      <c r="BL1454" s="326"/>
      <c r="BM1454" s="327"/>
      <c r="BN1454" s="558" t="s">
        <v>303</v>
      </c>
      <c r="BO1454" s="326"/>
      <c r="BP1454" s="326"/>
      <c r="BQ1454" s="326"/>
      <c r="BR1454" s="326"/>
      <c r="BS1454" s="326"/>
      <c r="BT1454" s="326"/>
      <c r="BU1454" s="326"/>
      <c r="BV1454" s="327"/>
    </row>
    <row r="1455" spans="1:74" ht="45" customHeight="1" x14ac:dyDescent="0.25">
      <c r="A1455" s="10">
        <f t="shared" si="5"/>
        <v>1441</v>
      </c>
      <c r="B1455" s="559" t="s">
        <v>303</v>
      </c>
      <c r="C1455" s="327"/>
      <c r="D1455" s="560" t="s">
        <v>307</v>
      </c>
      <c r="E1455" s="327"/>
      <c r="F1455" s="537" t="s">
        <v>334</v>
      </c>
      <c r="G1455" s="327"/>
      <c r="H1455" s="566" t="s">
        <v>334</v>
      </c>
      <c r="I1455" s="327"/>
      <c r="J1455" s="567"/>
      <c r="K1455" s="327"/>
      <c r="L1455" s="567"/>
      <c r="M1455" s="327"/>
      <c r="N1455" s="23"/>
      <c r="O1455" s="24"/>
      <c r="P1455" s="563"/>
      <c r="Q1455" s="327"/>
      <c r="R1455" s="538"/>
      <c r="S1455" s="327"/>
      <c r="T1455" s="539"/>
      <c r="U1455" s="327"/>
      <c r="V1455" s="540"/>
      <c r="W1455" s="327"/>
      <c r="X1455" s="541" t="s">
        <v>303</v>
      </c>
      <c r="Y1455" s="326"/>
      <c r="Z1455" s="326"/>
      <c r="AA1455" s="327"/>
      <c r="AB1455" s="542" t="s">
        <v>303</v>
      </c>
      <c r="AC1455" s="326"/>
      <c r="AD1455" s="326"/>
      <c r="AE1455" s="327"/>
      <c r="AF1455" s="543"/>
      <c r="AG1455" s="327"/>
      <c r="AH1455" s="543"/>
      <c r="AI1455" s="327"/>
      <c r="AJ1455" s="536"/>
      <c r="AK1455" s="327"/>
      <c r="AL1455" s="537" t="s">
        <v>334</v>
      </c>
      <c r="AM1455" s="327"/>
      <c r="AN1455" s="546" t="s">
        <v>334</v>
      </c>
      <c r="AO1455" s="327"/>
      <c r="AP1455" s="547"/>
      <c r="AQ1455" s="327"/>
      <c r="AR1455" s="548"/>
      <c r="AS1455" s="327"/>
      <c r="AT1455" s="549"/>
      <c r="AU1455" s="327"/>
      <c r="AV1455" s="546" t="s">
        <v>334</v>
      </c>
      <c r="AW1455" s="327"/>
      <c r="AX1455" s="521"/>
      <c r="AY1455" s="326"/>
      <c r="AZ1455" s="327"/>
      <c r="BA1455" s="550"/>
      <c r="BB1455" s="327"/>
      <c r="BC1455" s="25"/>
      <c r="BD1455" s="544" t="s">
        <v>334</v>
      </c>
      <c r="BE1455" s="327"/>
      <c r="BF1455" s="545"/>
      <c r="BG1455" s="326"/>
      <c r="BH1455" s="326"/>
      <c r="BI1455" s="327"/>
      <c r="BJ1455" s="557" t="s">
        <v>303</v>
      </c>
      <c r="BK1455" s="326"/>
      <c r="BL1455" s="326"/>
      <c r="BM1455" s="327"/>
      <c r="BN1455" s="558" t="s">
        <v>303</v>
      </c>
      <c r="BO1455" s="326"/>
      <c r="BP1455" s="326"/>
      <c r="BQ1455" s="326"/>
      <c r="BR1455" s="326"/>
      <c r="BS1455" s="326"/>
      <c r="BT1455" s="326"/>
      <c r="BU1455" s="326"/>
      <c r="BV1455" s="327"/>
    </row>
    <row r="1456" spans="1:74" ht="45" customHeight="1" x14ac:dyDescent="0.25">
      <c r="A1456" s="10">
        <f t="shared" si="5"/>
        <v>1442</v>
      </c>
      <c r="B1456" s="564" t="s">
        <v>303</v>
      </c>
      <c r="C1456" s="327"/>
      <c r="D1456" s="565" t="s">
        <v>307</v>
      </c>
      <c r="E1456" s="327"/>
      <c r="F1456" s="537" t="s">
        <v>334</v>
      </c>
      <c r="G1456" s="327"/>
      <c r="H1456" s="561" t="s">
        <v>334</v>
      </c>
      <c r="I1456" s="327"/>
      <c r="J1456" s="26"/>
      <c r="K1456" s="27"/>
      <c r="L1456" s="26"/>
      <c r="M1456" s="27"/>
      <c r="N1456" s="20"/>
      <c r="O1456" s="21"/>
      <c r="P1456" s="524"/>
      <c r="Q1456" s="327"/>
      <c r="R1456" s="516"/>
      <c r="S1456" s="327"/>
      <c r="T1456" s="517"/>
      <c r="U1456" s="327"/>
      <c r="V1456" s="518"/>
      <c r="W1456" s="327"/>
      <c r="X1456" s="438" t="s">
        <v>303</v>
      </c>
      <c r="Y1456" s="326"/>
      <c r="Z1456" s="326"/>
      <c r="AA1456" s="327"/>
      <c r="AB1456" s="519" t="s">
        <v>303</v>
      </c>
      <c r="AC1456" s="326"/>
      <c r="AD1456" s="326"/>
      <c r="AE1456" s="327"/>
      <c r="AF1456" s="520"/>
      <c r="AG1456" s="327"/>
      <c r="AH1456" s="520"/>
      <c r="AI1456" s="327"/>
      <c r="AJ1456" s="536"/>
      <c r="AK1456" s="327"/>
      <c r="AL1456" s="556" t="s">
        <v>334</v>
      </c>
      <c r="AM1456" s="327"/>
      <c r="AN1456" s="553" t="s">
        <v>334</v>
      </c>
      <c r="AO1456" s="327"/>
      <c r="AP1456" s="554"/>
      <c r="AQ1456" s="327"/>
      <c r="AR1456" s="555"/>
      <c r="AS1456" s="327"/>
      <c r="AT1456" s="549"/>
      <c r="AU1456" s="327"/>
      <c r="AV1456" s="553" t="s">
        <v>334</v>
      </c>
      <c r="AW1456" s="327"/>
      <c r="AX1456" s="521"/>
      <c r="AY1456" s="326"/>
      <c r="AZ1456" s="327"/>
      <c r="BA1456" s="536"/>
      <c r="BB1456" s="327"/>
      <c r="BC1456" s="22"/>
      <c r="BD1456" s="551" t="s">
        <v>334</v>
      </c>
      <c r="BE1456" s="327"/>
      <c r="BF1456" s="552"/>
      <c r="BG1456" s="326"/>
      <c r="BH1456" s="326"/>
      <c r="BI1456" s="327"/>
      <c r="BJ1456" s="451" t="s">
        <v>303</v>
      </c>
      <c r="BK1456" s="326"/>
      <c r="BL1456" s="326"/>
      <c r="BM1456" s="327"/>
      <c r="BN1456" s="558" t="s">
        <v>303</v>
      </c>
      <c r="BO1456" s="326"/>
      <c r="BP1456" s="326"/>
      <c r="BQ1456" s="326"/>
      <c r="BR1456" s="326"/>
      <c r="BS1456" s="326"/>
      <c r="BT1456" s="326"/>
      <c r="BU1456" s="326"/>
      <c r="BV1456" s="327"/>
    </row>
    <row r="1457" spans="1:74" ht="45" customHeight="1" x14ac:dyDescent="0.25">
      <c r="A1457" s="10">
        <f t="shared" si="5"/>
        <v>1443</v>
      </c>
      <c r="B1457" s="559" t="s">
        <v>303</v>
      </c>
      <c r="C1457" s="327"/>
      <c r="D1457" s="560" t="s">
        <v>307</v>
      </c>
      <c r="E1457" s="327"/>
      <c r="F1457" s="537" t="s">
        <v>334</v>
      </c>
      <c r="G1457" s="327"/>
      <c r="H1457" s="566" t="s">
        <v>334</v>
      </c>
      <c r="I1457" s="327"/>
      <c r="J1457" s="567"/>
      <c r="K1457" s="327"/>
      <c r="L1457" s="567"/>
      <c r="M1457" s="327"/>
      <c r="N1457" s="23"/>
      <c r="O1457" s="24"/>
      <c r="P1457" s="563"/>
      <c r="Q1457" s="327"/>
      <c r="R1457" s="538"/>
      <c r="S1457" s="327"/>
      <c r="T1457" s="539"/>
      <c r="U1457" s="327"/>
      <c r="V1457" s="540"/>
      <c r="W1457" s="327"/>
      <c r="X1457" s="541" t="s">
        <v>303</v>
      </c>
      <c r="Y1457" s="326"/>
      <c r="Z1457" s="326"/>
      <c r="AA1457" s="327"/>
      <c r="AB1457" s="542" t="s">
        <v>303</v>
      </c>
      <c r="AC1457" s="326"/>
      <c r="AD1457" s="326"/>
      <c r="AE1457" s="327"/>
      <c r="AF1457" s="543"/>
      <c r="AG1457" s="327"/>
      <c r="AH1457" s="543"/>
      <c r="AI1457" s="327"/>
      <c r="AJ1457" s="536"/>
      <c r="AK1457" s="327"/>
      <c r="AL1457" s="537" t="s">
        <v>334</v>
      </c>
      <c r="AM1457" s="327"/>
      <c r="AN1457" s="546" t="s">
        <v>334</v>
      </c>
      <c r="AO1457" s="327"/>
      <c r="AP1457" s="547"/>
      <c r="AQ1457" s="327"/>
      <c r="AR1457" s="548"/>
      <c r="AS1457" s="327"/>
      <c r="AT1457" s="568"/>
      <c r="AU1457" s="327"/>
      <c r="AV1457" s="546" t="s">
        <v>334</v>
      </c>
      <c r="AW1457" s="327"/>
      <c r="AX1457" s="521"/>
      <c r="AY1457" s="326"/>
      <c r="AZ1457" s="327"/>
      <c r="BA1457" s="550"/>
      <c r="BB1457" s="327"/>
      <c r="BC1457" s="25"/>
      <c r="BD1457" s="544" t="s">
        <v>334</v>
      </c>
      <c r="BE1457" s="327"/>
      <c r="BF1457" s="545"/>
      <c r="BG1457" s="326"/>
      <c r="BH1457" s="326"/>
      <c r="BI1457" s="327"/>
      <c r="BJ1457" s="557" t="s">
        <v>303</v>
      </c>
      <c r="BK1457" s="326"/>
      <c r="BL1457" s="326"/>
      <c r="BM1457" s="327"/>
      <c r="BN1457" s="558" t="s">
        <v>303</v>
      </c>
      <c r="BO1457" s="326"/>
      <c r="BP1457" s="326"/>
      <c r="BQ1457" s="326"/>
      <c r="BR1457" s="326"/>
      <c r="BS1457" s="326"/>
      <c r="BT1457" s="326"/>
      <c r="BU1457" s="326"/>
      <c r="BV1457" s="327"/>
    </row>
    <row r="1458" spans="1:74" ht="45" customHeight="1" x14ac:dyDescent="0.25">
      <c r="A1458" s="10">
        <f t="shared" si="5"/>
        <v>1444</v>
      </c>
      <c r="B1458" s="564" t="s">
        <v>303</v>
      </c>
      <c r="C1458" s="327"/>
      <c r="D1458" s="565" t="s">
        <v>307</v>
      </c>
      <c r="E1458" s="327"/>
      <c r="F1458" s="537" t="s">
        <v>334</v>
      </c>
      <c r="G1458" s="327"/>
      <c r="H1458" s="561" t="s">
        <v>334</v>
      </c>
      <c r="I1458" s="327"/>
      <c r="J1458" s="26"/>
      <c r="K1458" s="27"/>
      <c r="L1458" s="26"/>
      <c r="M1458" s="27"/>
      <c r="N1458" s="20"/>
      <c r="O1458" s="21"/>
      <c r="P1458" s="524"/>
      <c r="Q1458" s="327"/>
      <c r="R1458" s="516"/>
      <c r="S1458" s="327"/>
      <c r="T1458" s="517"/>
      <c r="U1458" s="327"/>
      <c r="V1458" s="518"/>
      <c r="W1458" s="327"/>
      <c r="X1458" s="438" t="s">
        <v>303</v>
      </c>
      <c r="Y1458" s="326"/>
      <c r="Z1458" s="326"/>
      <c r="AA1458" s="327"/>
      <c r="AB1458" s="519" t="s">
        <v>303</v>
      </c>
      <c r="AC1458" s="326"/>
      <c r="AD1458" s="326"/>
      <c r="AE1458" s="327"/>
      <c r="AF1458" s="520"/>
      <c r="AG1458" s="327"/>
      <c r="AH1458" s="520"/>
      <c r="AI1458" s="327"/>
      <c r="AJ1458" s="536"/>
      <c r="AK1458" s="327"/>
      <c r="AL1458" s="556" t="s">
        <v>334</v>
      </c>
      <c r="AM1458" s="327"/>
      <c r="AN1458" s="553" t="s">
        <v>334</v>
      </c>
      <c r="AO1458" s="327"/>
      <c r="AP1458" s="554"/>
      <c r="AQ1458" s="327"/>
      <c r="AR1458" s="555"/>
      <c r="AS1458" s="327"/>
      <c r="AT1458" s="549"/>
      <c r="AU1458" s="327"/>
      <c r="AV1458" s="553" t="s">
        <v>334</v>
      </c>
      <c r="AW1458" s="327"/>
      <c r="AX1458" s="521"/>
      <c r="AY1458" s="326"/>
      <c r="AZ1458" s="327"/>
      <c r="BA1458" s="536"/>
      <c r="BB1458" s="327"/>
      <c r="BC1458" s="22"/>
      <c r="BD1458" s="551" t="s">
        <v>334</v>
      </c>
      <c r="BE1458" s="327"/>
      <c r="BF1458" s="508"/>
      <c r="BG1458" s="326"/>
      <c r="BH1458" s="326"/>
      <c r="BI1458" s="327"/>
      <c r="BJ1458" s="451" t="s">
        <v>303</v>
      </c>
      <c r="BK1458" s="326"/>
      <c r="BL1458" s="326"/>
      <c r="BM1458" s="327"/>
      <c r="BN1458" s="558" t="s">
        <v>303</v>
      </c>
      <c r="BO1458" s="326"/>
      <c r="BP1458" s="326"/>
      <c r="BQ1458" s="326"/>
      <c r="BR1458" s="326"/>
      <c r="BS1458" s="326"/>
      <c r="BT1458" s="326"/>
      <c r="BU1458" s="326"/>
      <c r="BV1458" s="327"/>
    </row>
    <row r="1459" spans="1:74" ht="45" customHeight="1" x14ac:dyDescent="0.25">
      <c r="A1459" s="10">
        <f t="shared" si="5"/>
        <v>1445</v>
      </c>
      <c r="B1459" s="559" t="s">
        <v>303</v>
      </c>
      <c r="C1459" s="327"/>
      <c r="D1459" s="560" t="s">
        <v>307</v>
      </c>
      <c r="E1459" s="327"/>
      <c r="F1459" s="537" t="s">
        <v>334</v>
      </c>
      <c r="G1459" s="327"/>
      <c r="H1459" s="566" t="s">
        <v>334</v>
      </c>
      <c r="I1459" s="327"/>
      <c r="J1459" s="567"/>
      <c r="K1459" s="327"/>
      <c r="L1459" s="567"/>
      <c r="M1459" s="327"/>
      <c r="N1459" s="23"/>
      <c r="O1459" s="24"/>
      <c r="P1459" s="563"/>
      <c r="Q1459" s="327"/>
      <c r="R1459" s="538"/>
      <c r="S1459" s="327"/>
      <c r="T1459" s="539"/>
      <c r="U1459" s="327"/>
      <c r="V1459" s="540"/>
      <c r="W1459" s="327"/>
      <c r="X1459" s="541" t="s">
        <v>303</v>
      </c>
      <c r="Y1459" s="326"/>
      <c r="Z1459" s="326"/>
      <c r="AA1459" s="327"/>
      <c r="AB1459" s="542" t="s">
        <v>303</v>
      </c>
      <c r="AC1459" s="326"/>
      <c r="AD1459" s="326"/>
      <c r="AE1459" s="327"/>
      <c r="AF1459" s="543"/>
      <c r="AG1459" s="327"/>
      <c r="AH1459" s="543"/>
      <c r="AI1459" s="327"/>
      <c r="AJ1459" s="536"/>
      <c r="AK1459" s="327"/>
      <c r="AL1459" s="537" t="s">
        <v>334</v>
      </c>
      <c r="AM1459" s="327"/>
      <c r="AN1459" s="546" t="s">
        <v>334</v>
      </c>
      <c r="AO1459" s="327"/>
      <c r="AP1459" s="547"/>
      <c r="AQ1459" s="327"/>
      <c r="AR1459" s="548"/>
      <c r="AS1459" s="327"/>
      <c r="AT1459" s="568"/>
      <c r="AU1459" s="327"/>
      <c r="AV1459" s="546" t="s">
        <v>334</v>
      </c>
      <c r="AW1459" s="327"/>
      <c r="AX1459" s="521"/>
      <c r="AY1459" s="326"/>
      <c r="AZ1459" s="327"/>
      <c r="BA1459" s="550"/>
      <c r="BB1459" s="327"/>
      <c r="BC1459" s="25"/>
      <c r="BD1459" s="544" t="s">
        <v>334</v>
      </c>
      <c r="BE1459" s="327"/>
      <c r="BF1459" s="545"/>
      <c r="BG1459" s="326"/>
      <c r="BH1459" s="326"/>
      <c r="BI1459" s="327"/>
      <c r="BJ1459" s="557" t="s">
        <v>303</v>
      </c>
      <c r="BK1459" s="326"/>
      <c r="BL1459" s="326"/>
      <c r="BM1459" s="327"/>
      <c r="BN1459" s="558" t="s">
        <v>303</v>
      </c>
      <c r="BO1459" s="326"/>
      <c r="BP1459" s="326"/>
      <c r="BQ1459" s="326"/>
      <c r="BR1459" s="326"/>
      <c r="BS1459" s="326"/>
      <c r="BT1459" s="326"/>
      <c r="BU1459" s="326"/>
      <c r="BV1459" s="327"/>
    </row>
    <row r="1460" spans="1:74" ht="45" customHeight="1" x14ac:dyDescent="0.25">
      <c r="A1460" s="10">
        <f t="shared" si="5"/>
        <v>1446</v>
      </c>
      <c r="B1460" s="564" t="s">
        <v>303</v>
      </c>
      <c r="C1460" s="327"/>
      <c r="D1460" s="565" t="s">
        <v>307</v>
      </c>
      <c r="E1460" s="327"/>
      <c r="F1460" s="537" t="s">
        <v>334</v>
      </c>
      <c r="G1460" s="327"/>
      <c r="H1460" s="561" t="s">
        <v>334</v>
      </c>
      <c r="I1460" s="327"/>
      <c r="J1460" s="26"/>
      <c r="K1460" s="27"/>
      <c r="L1460" s="26"/>
      <c r="M1460" s="27"/>
      <c r="N1460" s="20"/>
      <c r="O1460" s="21"/>
      <c r="P1460" s="524"/>
      <c r="Q1460" s="327"/>
      <c r="R1460" s="516"/>
      <c r="S1460" s="327"/>
      <c r="T1460" s="517"/>
      <c r="U1460" s="327"/>
      <c r="V1460" s="518"/>
      <c r="W1460" s="327"/>
      <c r="X1460" s="438" t="s">
        <v>303</v>
      </c>
      <c r="Y1460" s="326"/>
      <c r="Z1460" s="326"/>
      <c r="AA1460" s="327"/>
      <c r="AB1460" s="519" t="s">
        <v>303</v>
      </c>
      <c r="AC1460" s="326"/>
      <c r="AD1460" s="326"/>
      <c r="AE1460" s="327"/>
      <c r="AF1460" s="520"/>
      <c r="AG1460" s="327"/>
      <c r="AH1460" s="520"/>
      <c r="AI1460" s="327"/>
      <c r="AJ1460" s="536"/>
      <c r="AK1460" s="327"/>
      <c r="AL1460" s="556" t="s">
        <v>334</v>
      </c>
      <c r="AM1460" s="327"/>
      <c r="AN1460" s="553" t="s">
        <v>334</v>
      </c>
      <c r="AO1460" s="327"/>
      <c r="AP1460" s="554"/>
      <c r="AQ1460" s="327"/>
      <c r="AR1460" s="555"/>
      <c r="AS1460" s="327"/>
      <c r="AT1460" s="549"/>
      <c r="AU1460" s="327"/>
      <c r="AV1460" s="553" t="s">
        <v>334</v>
      </c>
      <c r="AW1460" s="327"/>
      <c r="AX1460" s="521"/>
      <c r="AY1460" s="326"/>
      <c r="AZ1460" s="327"/>
      <c r="BA1460" s="536"/>
      <c r="BB1460" s="327"/>
      <c r="BC1460" s="22"/>
      <c r="BD1460" s="551" t="s">
        <v>334</v>
      </c>
      <c r="BE1460" s="327"/>
      <c r="BF1460" s="552"/>
      <c r="BG1460" s="326"/>
      <c r="BH1460" s="326"/>
      <c r="BI1460" s="327"/>
      <c r="BJ1460" s="451" t="s">
        <v>303</v>
      </c>
      <c r="BK1460" s="326"/>
      <c r="BL1460" s="326"/>
      <c r="BM1460" s="327"/>
      <c r="BN1460" s="558" t="s">
        <v>303</v>
      </c>
      <c r="BO1460" s="326"/>
      <c r="BP1460" s="326"/>
      <c r="BQ1460" s="326"/>
      <c r="BR1460" s="326"/>
      <c r="BS1460" s="326"/>
      <c r="BT1460" s="326"/>
      <c r="BU1460" s="326"/>
      <c r="BV1460" s="327"/>
    </row>
    <row r="1461" spans="1:74" ht="45" customHeight="1" x14ac:dyDescent="0.25">
      <c r="A1461" s="10">
        <f t="shared" si="5"/>
        <v>1447</v>
      </c>
      <c r="B1461" s="559" t="s">
        <v>303</v>
      </c>
      <c r="C1461" s="327"/>
      <c r="D1461" s="560" t="s">
        <v>307</v>
      </c>
      <c r="E1461" s="327"/>
      <c r="F1461" s="537" t="s">
        <v>334</v>
      </c>
      <c r="G1461" s="327"/>
      <c r="H1461" s="566" t="s">
        <v>334</v>
      </c>
      <c r="I1461" s="327"/>
      <c r="J1461" s="567"/>
      <c r="K1461" s="327"/>
      <c r="L1461" s="567"/>
      <c r="M1461" s="327"/>
      <c r="N1461" s="23"/>
      <c r="O1461" s="24"/>
      <c r="P1461" s="563"/>
      <c r="Q1461" s="327"/>
      <c r="R1461" s="538"/>
      <c r="S1461" s="327"/>
      <c r="T1461" s="539"/>
      <c r="U1461" s="327"/>
      <c r="V1461" s="540"/>
      <c r="W1461" s="327"/>
      <c r="X1461" s="541" t="s">
        <v>303</v>
      </c>
      <c r="Y1461" s="326"/>
      <c r="Z1461" s="326"/>
      <c r="AA1461" s="327"/>
      <c r="AB1461" s="542" t="s">
        <v>303</v>
      </c>
      <c r="AC1461" s="326"/>
      <c r="AD1461" s="326"/>
      <c r="AE1461" s="327"/>
      <c r="AF1461" s="543"/>
      <c r="AG1461" s="327"/>
      <c r="AH1461" s="543"/>
      <c r="AI1461" s="327"/>
      <c r="AJ1461" s="536"/>
      <c r="AK1461" s="327"/>
      <c r="AL1461" s="537" t="s">
        <v>334</v>
      </c>
      <c r="AM1461" s="327"/>
      <c r="AN1461" s="546" t="s">
        <v>334</v>
      </c>
      <c r="AO1461" s="327"/>
      <c r="AP1461" s="547"/>
      <c r="AQ1461" s="327"/>
      <c r="AR1461" s="548"/>
      <c r="AS1461" s="327"/>
      <c r="AT1461" s="568"/>
      <c r="AU1461" s="327"/>
      <c r="AV1461" s="546" t="s">
        <v>334</v>
      </c>
      <c r="AW1461" s="327"/>
      <c r="AX1461" s="521"/>
      <c r="AY1461" s="326"/>
      <c r="AZ1461" s="327"/>
      <c r="BA1461" s="550"/>
      <c r="BB1461" s="327"/>
      <c r="BC1461" s="25"/>
      <c r="BD1461" s="544" t="s">
        <v>334</v>
      </c>
      <c r="BE1461" s="327"/>
      <c r="BF1461" s="545"/>
      <c r="BG1461" s="326"/>
      <c r="BH1461" s="326"/>
      <c r="BI1461" s="327"/>
      <c r="BJ1461" s="557" t="s">
        <v>303</v>
      </c>
      <c r="BK1461" s="326"/>
      <c r="BL1461" s="326"/>
      <c r="BM1461" s="327"/>
      <c r="BN1461" s="558" t="s">
        <v>303</v>
      </c>
      <c r="BO1461" s="326"/>
      <c r="BP1461" s="326"/>
      <c r="BQ1461" s="326"/>
      <c r="BR1461" s="326"/>
      <c r="BS1461" s="326"/>
      <c r="BT1461" s="326"/>
      <c r="BU1461" s="326"/>
      <c r="BV1461" s="327"/>
    </row>
    <row r="1462" spans="1:74" ht="45" customHeight="1" x14ac:dyDescent="0.25">
      <c r="A1462" s="10">
        <f t="shared" si="5"/>
        <v>1448</v>
      </c>
      <c r="B1462" s="564" t="s">
        <v>303</v>
      </c>
      <c r="C1462" s="327"/>
      <c r="D1462" s="565" t="s">
        <v>307</v>
      </c>
      <c r="E1462" s="327"/>
      <c r="F1462" s="537" t="s">
        <v>334</v>
      </c>
      <c r="G1462" s="327"/>
      <c r="H1462" s="561" t="s">
        <v>334</v>
      </c>
      <c r="I1462" s="327"/>
      <c r="J1462" s="26"/>
      <c r="K1462" s="27"/>
      <c r="L1462" s="26"/>
      <c r="M1462" s="27"/>
      <c r="N1462" s="23"/>
      <c r="O1462" s="24"/>
      <c r="P1462" s="563"/>
      <c r="Q1462" s="327"/>
      <c r="R1462" s="538"/>
      <c r="S1462" s="327"/>
      <c r="T1462" s="539"/>
      <c r="U1462" s="327"/>
      <c r="V1462" s="518"/>
      <c r="W1462" s="327"/>
      <c r="X1462" s="438" t="s">
        <v>303</v>
      </c>
      <c r="Y1462" s="326"/>
      <c r="Z1462" s="326"/>
      <c r="AA1462" s="327"/>
      <c r="AB1462" s="519" t="s">
        <v>303</v>
      </c>
      <c r="AC1462" s="326"/>
      <c r="AD1462" s="326"/>
      <c r="AE1462" s="327"/>
      <c r="AF1462" s="520"/>
      <c r="AG1462" s="327"/>
      <c r="AH1462" s="520"/>
      <c r="AI1462" s="327"/>
      <c r="AJ1462" s="536"/>
      <c r="AK1462" s="327"/>
      <c r="AL1462" s="556" t="s">
        <v>334</v>
      </c>
      <c r="AM1462" s="327"/>
      <c r="AN1462" s="553" t="s">
        <v>334</v>
      </c>
      <c r="AO1462" s="327"/>
      <c r="AP1462" s="554"/>
      <c r="AQ1462" s="327"/>
      <c r="AR1462" s="555"/>
      <c r="AS1462" s="327"/>
      <c r="AT1462" s="549"/>
      <c r="AU1462" s="327"/>
      <c r="AV1462" s="553" t="s">
        <v>334</v>
      </c>
      <c r="AW1462" s="327"/>
      <c r="AX1462" s="521"/>
      <c r="AY1462" s="326"/>
      <c r="AZ1462" s="327"/>
      <c r="BA1462" s="536"/>
      <c r="BB1462" s="327"/>
      <c r="BC1462" s="22"/>
      <c r="BD1462" s="551" t="s">
        <v>334</v>
      </c>
      <c r="BE1462" s="327"/>
      <c r="BF1462" s="552"/>
      <c r="BG1462" s="326"/>
      <c r="BH1462" s="326"/>
      <c r="BI1462" s="327"/>
      <c r="BJ1462" s="451" t="s">
        <v>303</v>
      </c>
      <c r="BK1462" s="326"/>
      <c r="BL1462" s="326"/>
      <c r="BM1462" s="327"/>
      <c r="BN1462" s="558" t="s">
        <v>303</v>
      </c>
      <c r="BO1462" s="326"/>
      <c r="BP1462" s="326"/>
      <c r="BQ1462" s="326"/>
      <c r="BR1462" s="326"/>
      <c r="BS1462" s="326"/>
      <c r="BT1462" s="326"/>
      <c r="BU1462" s="326"/>
      <c r="BV1462" s="327"/>
    </row>
    <row r="1463" spans="1:74" ht="45" customHeight="1" x14ac:dyDescent="0.25">
      <c r="A1463" s="10">
        <f t="shared" si="5"/>
        <v>1449</v>
      </c>
      <c r="B1463" s="559" t="s">
        <v>303</v>
      </c>
      <c r="C1463" s="327"/>
      <c r="D1463" s="560" t="s">
        <v>307</v>
      </c>
      <c r="E1463" s="327"/>
      <c r="F1463" s="537" t="s">
        <v>334</v>
      </c>
      <c r="G1463" s="327"/>
      <c r="H1463" s="566" t="s">
        <v>334</v>
      </c>
      <c r="I1463" s="327"/>
      <c r="J1463" s="567"/>
      <c r="K1463" s="327"/>
      <c r="L1463" s="567"/>
      <c r="M1463" s="327"/>
      <c r="N1463" s="20"/>
      <c r="O1463" s="21"/>
      <c r="P1463" s="524"/>
      <c r="Q1463" s="327"/>
      <c r="R1463" s="516"/>
      <c r="S1463" s="327"/>
      <c r="T1463" s="517"/>
      <c r="U1463" s="327"/>
      <c r="V1463" s="540"/>
      <c r="W1463" s="327"/>
      <c r="X1463" s="541" t="s">
        <v>303</v>
      </c>
      <c r="Y1463" s="326"/>
      <c r="Z1463" s="326"/>
      <c r="AA1463" s="327"/>
      <c r="AB1463" s="542" t="s">
        <v>303</v>
      </c>
      <c r="AC1463" s="326"/>
      <c r="AD1463" s="326"/>
      <c r="AE1463" s="327"/>
      <c r="AF1463" s="543"/>
      <c r="AG1463" s="327"/>
      <c r="AH1463" s="543"/>
      <c r="AI1463" s="327"/>
      <c r="AJ1463" s="536"/>
      <c r="AK1463" s="327"/>
      <c r="AL1463" s="537" t="s">
        <v>334</v>
      </c>
      <c r="AM1463" s="327"/>
      <c r="AN1463" s="546" t="s">
        <v>334</v>
      </c>
      <c r="AO1463" s="327"/>
      <c r="AP1463" s="547"/>
      <c r="AQ1463" s="327"/>
      <c r="AR1463" s="548"/>
      <c r="AS1463" s="327"/>
      <c r="AT1463" s="568"/>
      <c r="AU1463" s="327"/>
      <c r="AV1463" s="546" t="s">
        <v>334</v>
      </c>
      <c r="AW1463" s="327"/>
      <c r="AX1463" s="521"/>
      <c r="AY1463" s="326"/>
      <c r="AZ1463" s="327"/>
      <c r="BA1463" s="550"/>
      <c r="BB1463" s="327"/>
      <c r="BC1463" s="25"/>
      <c r="BD1463" s="544" t="s">
        <v>334</v>
      </c>
      <c r="BE1463" s="327"/>
      <c r="BF1463" s="545"/>
      <c r="BG1463" s="326"/>
      <c r="BH1463" s="326"/>
      <c r="BI1463" s="327"/>
      <c r="BJ1463" s="557" t="s">
        <v>303</v>
      </c>
      <c r="BK1463" s="326"/>
      <c r="BL1463" s="326"/>
      <c r="BM1463" s="327"/>
      <c r="BN1463" s="558" t="s">
        <v>303</v>
      </c>
      <c r="BO1463" s="326"/>
      <c r="BP1463" s="326"/>
      <c r="BQ1463" s="326"/>
      <c r="BR1463" s="326"/>
      <c r="BS1463" s="326"/>
      <c r="BT1463" s="326"/>
      <c r="BU1463" s="326"/>
      <c r="BV1463" s="327"/>
    </row>
    <row r="1464" spans="1:74" ht="45" customHeight="1" x14ac:dyDescent="0.25">
      <c r="A1464" s="10">
        <f t="shared" si="5"/>
        <v>1450</v>
      </c>
      <c r="B1464" s="564" t="s">
        <v>303</v>
      </c>
      <c r="C1464" s="327"/>
      <c r="D1464" s="565" t="s">
        <v>307</v>
      </c>
      <c r="E1464" s="327"/>
      <c r="F1464" s="537" t="s">
        <v>334</v>
      </c>
      <c r="G1464" s="327"/>
      <c r="H1464" s="561" t="s">
        <v>334</v>
      </c>
      <c r="I1464" s="327"/>
      <c r="J1464" s="26"/>
      <c r="K1464" s="27"/>
      <c r="L1464" s="26"/>
      <c r="M1464" s="27"/>
      <c r="N1464" s="23"/>
      <c r="O1464" s="24"/>
      <c r="P1464" s="563"/>
      <c r="Q1464" s="327"/>
      <c r="R1464" s="538"/>
      <c r="S1464" s="327"/>
      <c r="T1464" s="539"/>
      <c r="U1464" s="327"/>
      <c r="V1464" s="518"/>
      <c r="W1464" s="327"/>
      <c r="X1464" s="438" t="s">
        <v>303</v>
      </c>
      <c r="Y1464" s="326"/>
      <c r="Z1464" s="326"/>
      <c r="AA1464" s="327"/>
      <c r="AB1464" s="519" t="s">
        <v>303</v>
      </c>
      <c r="AC1464" s="326"/>
      <c r="AD1464" s="326"/>
      <c r="AE1464" s="327"/>
      <c r="AF1464" s="520"/>
      <c r="AG1464" s="327"/>
      <c r="AH1464" s="520"/>
      <c r="AI1464" s="327"/>
      <c r="AJ1464" s="536"/>
      <c r="AK1464" s="327"/>
      <c r="AL1464" s="556" t="s">
        <v>334</v>
      </c>
      <c r="AM1464" s="327"/>
      <c r="AN1464" s="553" t="s">
        <v>334</v>
      </c>
      <c r="AO1464" s="327"/>
      <c r="AP1464" s="554"/>
      <c r="AQ1464" s="327"/>
      <c r="AR1464" s="555"/>
      <c r="AS1464" s="327"/>
      <c r="AT1464" s="549"/>
      <c r="AU1464" s="327"/>
      <c r="AV1464" s="553" t="s">
        <v>334</v>
      </c>
      <c r="AW1464" s="327"/>
      <c r="AX1464" s="521"/>
      <c r="AY1464" s="326"/>
      <c r="AZ1464" s="327"/>
      <c r="BA1464" s="536"/>
      <c r="BB1464" s="327"/>
      <c r="BC1464" s="22"/>
      <c r="BD1464" s="551" t="s">
        <v>334</v>
      </c>
      <c r="BE1464" s="327"/>
      <c r="BF1464" s="508"/>
      <c r="BG1464" s="326"/>
      <c r="BH1464" s="326"/>
      <c r="BI1464" s="327"/>
      <c r="BJ1464" s="451" t="s">
        <v>303</v>
      </c>
      <c r="BK1464" s="326"/>
      <c r="BL1464" s="326"/>
      <c r="BM1464" s="327"/>
      <c r="BN1464" s="558" t="s">
        <v>303</v>
      </c>
      <c r="BO1464" s="326"/>
      <c r="BP1464" s="326"/>
      <c r="BQ1464" s="326"/>
      <c r="BR1464" s="326"/>
      <c r="BS1464" s="326"/>
      <c r="BT1464" s="326"/>
      <c r="BU1464" s="326"/>
      <c r="BV1464" s="327"/>
    </row>
    <row r="1465" spans="1:74" ht="45" customHeight="1" x14ac:dyDescent="0.25">
      <c r="A1465" s="10">
        <f t="shared" si="5"/>
        <v>1451</v>
      </c>
      <c r="B1465" s="559" t="s">
        <v>303</v>
      </c>
      <c r="C1465" s="327"/>
      <c r="D1465" s="560" t="s">
        <v>307</v>
      </c>
      <c r="E1465" s="327"/>
      <c r="F1465" s="537" t="s">
        <v>334</v>
      </c>
      <c r="G1465" s="327"/>
      <c r="H1465" s="566" t="s">
        <v>334</v>
      </c>
      <c r="I1465" s="327"/>
      <c r="J1465" s="567"/>
      <c r="K1465" s="327"/>
      <c r="L1465" s="567"/>
      <c r="M1465" s="327"/>
      <c r="N1465" s="20"/>
      <c r="O1465" s="21"/>
      <c r="P1465" s="524"/>
      <c r="Q1465" s="327"/>
      <c r="R1465" s="516"/>
      <c r="S1465" s="327"/>
      <c r="T1465" s="517"/>
      <c r="U1465" s="327"/>
      <c r="V1465" s="540"/>
      <c r="W1465" s="327"/>
      <c r="X1465" s="541" t="s">
        <v>303</v>
      </c>
      <c r="Y1465" s="326"/>
      <c r="Z1465" s="326"/>
      <c r="AA1465" s="327"/>
      <c r="AB1465" s="542" t="s">
        <v>303</v>
      </c>
      <c r="AC1465" s="326"/>
      <c r="AD1465" s="326"/>
      <c r="AE1465" s="327"/>
      <c r="AF1465" s="543"/>
      <c r="AG1465" s="327"/>
      <c r="AH1465" s="543"/>
      <c r="AI1465" s="327"/>
      <c r="AJ1465" s="536"/>
      <c r="AK1465" s="327"/>
      <c r="AL1465" s="537" t="s">
        <v>334</v>
      </c>
      <c r="AM1465" s="327"/>
      <c r="AN1465" s="546" t="s">
        <v>334</v>
      </c>
      <c r="AO1465" s="327"/>
      <c r="AP1465" s="547"/>
      <c r="AQ1465" s="327"/>
      <c r="AR1465" s="548"/>
      <c r="AS1465" s="327"/>
      <c r="AT1465" s="568"/>
      <c r="AU1465" s="327"/>
      <c r="AV1465" s="546" t="s">
        <v>334</v>
      </c>
      <c r="AW1465" s="327"/>
      <c r="AX1465" s="521"/>
      <c r="AY1465" s="326"/>
      <c r="AZ1465" s="327"/>
      <c r="BA1465" s="550"/>
      <c r="BB1465" s="327"/>
      <c r="BC1465" s="25"/>
      <c r="BD1465" s="544" t="s">
        <v>334</v>
      </c>
      <c r="BE1465" s="327"/>
      <c r="BF1465" s="545"/>
      <c r="BG1465" s="326"/>
      <c r="BH1465" s="326"/>
      <c r="BI1465" s="327"/>
      <c r="BJ1465" s="557" t="s">
        <v>303</v>
      </c>
      <c r="BK1465" s="326"/>
      <c r="BL1465" s="326"/>
      <c r="BM1465" s="327"/>
      <c r="BN1465" s="558" t="s">
        <v>303</v>
      </c>
      <c r="BO1465" s="326"/>
      <c r="BP1465" s="326"/>
      <c r="BQ1465" s="326"/>
      <c r="BR1465" s="326"/>
      <c r="BS1465" s="326"/>
      <c r="BT1465" s="326"/>
      <c r="BU1465" s="326"/>
      <c r="BV1465" s="327"/>
    </row>
    <row r="1466" spans="1:74" ht="45" customHeight="1" x14ac:dyDescent="0.25">
      <c r="A1466" s="10">
        <f t="shared" si="5"/>
        <v>1452</v>
      </c>
      <c r="B1466" s="564" t="s">
        <v>303</v>
      </c>
      <c r="C1466" s="327"/>
      <c r="D1466" s="565" t="s">
        <v>307</v>
      </c>
      <c r="E1466" s="327"/>
      <c r="F1466" s="537" t="s">
        <v>334</v>
      </c>
      <c r="G1466" s="327"/>
      <c r="H1466" s="561" t="s">
        <v>334</v>
      </c>
      <c r="I1466" s="327"/>
      <c r="J1466" s="26"/>
      <c r="K1466" s="27"/>
      <c r="L1466" s="26"/>
      <c r="M1466" s="27"/>
      <c r="N1466" s="23"/>
      <c r="O1466" s="24"/>
      <c r="P1466" s="563"/>
      <c r="Q1466" s="327"/>
      <c r="R1466" s="538"/>
      <c r="S1466" s="327"/>
      <c r="T1466" s="539"/>
      <c r="U1466" s="327"/>
      <c r="V1466" s="518"/>
      <c r="W1466" s="327"/>
      <c r="X1466" s="438" t="s">
        <v>303</v>
      </c>
      <c r="Y1466" s="326"/>
      <c r="Z1466" s="326"/>
      <c r="AA1466" s="327"/>
      <c r="AB1466" s="519" t="s">
        <v>303</v>
      </c>
      <c r="AC1466" s="326"/>
      <c r="AD1466" s="326"/>
      <c r="AE1466" s="327"/>
      <c r="AF1466" s="520"/>
      <c r="AG1466" s="327"/>
      <c r="AH1466" s="520"/>
      <c r="AI1466" s="327"/>
      <c r="AJ1466" s="536"/>
      <c r="AK1466" s="327"/>
      <c r="AL1466" s="556" t="s">
        <v>334</v>
      </c>
      <c r="AM1466" s="327"/>
      <c r="AN1466" s="553" t="s">
        <v>334</v>
      </c>
      <c r="AO1466" s="327"/>
      <c r="AP1466" s="554"/>
      <c r="AQ1466" s="327"/>
      <c r="AR1466" s="555"/>
      <c r="AS1466" s="327"/>
      <c r="AT1466" s="549"/>
      <c r="AU1466" s="327"/>
      <c r="AV1466" s="553" t="s">
        <v>334</v>
      </c>
      <c r="AW1466" s="327"/>
      <c r="AX1466" s="521"/>
      <c r="AY1466" s="326"/>
      <c r="AZ1466" s="327"/>
      <c r="BA1466" s="536"/>
      <c r="BB1466" s="327"/>
      <c r="BC1466" s="22"/>
      <c r="BD1466" s="551" t="s">
        <v>334</v>
      </c>
      <c r="BE1466" s="327"/>
      <c r="BF1466" s="552"/>
      <c r="BG1466" s="326"/>
      <c r="BH1466" s="326"/>
      <c r="BI1466" s="327"/>
      <c r="BJ1466" s="451" t="s">
        <v>303</v>
      </c>
      <c r="BK1466" s="326"/>
      <c r="BL1466" s="326"/>
      <c r="BM1466" s="327"/>
      <c r="BN1466" s="558" t="s">
        <v>303</v>
      </c>
      <c r="BO1466" s="326"/>
      <c r="BP1466" s="326"/>
      <c r="BQ1466" s="326"/>
      <c r="BR1466" s="326"/>
      <c r="BS1466" s="326"/>
      <c r="BT1466" s="326"/>
      <c r="BU1466" s="326"/>
      <c r="BV1466" s="327"/>
    </row>
    <row r="1467" spans="1:74" ht="45" customHeight="1" x14ac:dyDescent="0.25">
      <c r="A1467" s="10">
        <f t="shared" si="5"/>
        <v>1453</v>
      </c>
      <c r="B1467" s="559" t="s">
        <v>303</v>
      </c>
      <c r="C1467" s="327"/>
      <c r="D1467" s="560" t="s">
        <v>307</v>
      </c>
      <c r="E1467" s="327"/>
      <c r="F1467" s="537" t="s">
        <v>334</v>
      </c>
      <c r="G1467" s="327"/>
      <c r="H1467" s="566" t="s">
        <v>334</v>
      </c>
      <c r="I1467" s="327"/>
      <c r="J1467" s="567"/>
      <c r="K1467" s="327"/>
      <c r="L1467" s="567"/>
      <c r="M1467" s="327"/>
      <c r="N1467" s="20"/>
      <c r="O1467" s="21"/>
      <c r="P1467" s="524"/>
      <c r="Q1467" s="327"/>
      <c r="R1467" s="516"/>
      <c r="S1467" s="327"/>
      <c r="T1467" s="517"/>
      <c r="U1467" s="327"/>
      <c r="V1467" s="540"/>
      <c r="W1467" s="327"/>
      <c r="X1467" s="541" t="s">
        <v>303</v>
      </c>
      <c r="Y1467" s="326"/>
      <c r="Z1467" s="326"/>
      <c r="AA1467" s="327"/>
      <c r="AB1467" s="542" t="s">
        <v>303</v>
      </c>
      <c r="AC1467" s="326"/>
      <c r="AD1467" s="326"/>
      <c r="AE1467" s="327"/>
      <c r="AF1467" s="543"/>
      <c r="AG1467" s="327"/>
      <c r="AH1467" s="543"/>
      <c r="AI1467" s="327"/>
      <c r="AJ1467" s="536"/>
      <c r="AK1467" s="327"/>
      <c r="AL1467" s="537" t="s">
        <v>334</v>
      </c>
      <c r="AM1467" s="327"/>
      <c r="AN1467" s="546" t="s">
        <v>334</v>
      </c>
      <c r="AO1467" s="327"/>
      <c r="AP1467" s="547"/>
      <c r="AQ1467" s="327"/>
      <c r="AR1467" s="548"/>
      <c r="AS1467" s="327"/>
      <c r="AT1467" s="549"/>
      <c r="AU1467" s="327"/>
      <c r="AV1467" s="546" t="s">
        <v>334</v>
      </c>
      <c r="AW1467" s="327"/>
      <c r="AX1467" s="521"/>
      <c r="AY1467" s="326"/>
      <c r="AZ1467" s="327"/>
      <c r="BA1467" s="550"/>
      <c r="BB1467" s="327"/>
      <c r="BC1467" s="25"/>
      <c r="BD1467" s="544" t="s">
        <v>334</v>
      </c>
      <c r="BE1467" s="327"/>
      <c r="BF1467" s="545"/>
      <c r="BG1467" s="326"/>
      <c r="BH1467" s="326"/>
      <c r="BI1467" s="327"/>
      <c r="BJ1467" s="557" t="s">
        <v>303</v>
      </c>
      <c r="BK1467" s="326"/>
      <c r="BL1467" s="326"/>
      <c r="BM1467" s="327"/>
      <c r="BN1467" s="558" t="s">
        <v>303</v>
      </c>
      <c r="BO1467" s="326"/>
      <c r="BP1467" s="326"/>
      <c r="BQ1467" s="326"/>
      <c r="BR1467" s="326"/>
      <c r="BS1467" s="326"/>
      <c r="BT1467" s="326"/>
      <c r="BU1467" s="326"/>
      <c r="BV1467" s="327"/>
    </row>
    <row r="1468" spans="1:74" ht="45" customHeight="1" x14ac:dyDescent="0.25">
      <c r="A1468" s="10">
        <f t="shared" si="5"/>
        <v>1454</v>
      </c>
      <c r="B1468" s="564" t="s">
        <v>303</v>
      </c>
      <c r="C1468" s="327"/>
      <c r="D1468" s="565" t="s">
        <v>307</v>
      </c>
      <c r="E1468" s="327"/>
      <c r="F1468" s="537" t="s">
        <v>334</v>
      </c>
      <c r="G1468" s="327"/>
      <c r="H1468" s="561" t="s">
        <v>334</v>
      </c>
      <c r="I1468" s="327"/>
      <c r="J1468" s="26"/>
      <c r="K1468" s="27"/>
      <c r="L1468" s="26"/>
      <c r="M1468" s="27"/>
      <c r="N1468" s="23"/>
      <c r="O1468" s="24"/>
      <c r="P1468" s="563"/>
      <c r="Q1468" s="327"/>
      <c r="R1468" s="538"/>
      <c r="S1468" s="327"/>
      <c r="T1468" s="539"/>
      <c r="U1468" s="327"/>
      <c r="V1468" s="518"/>
      <c r="W1468" s="327"/>
      <c r="X1468" s="438" t="s">
        <v>303</v>
      </c>
      <c r="Y1468" s="326"/>
      <c r="Z1468" s="326"/>
      <c r="AA1468" s="327"/>
      <c r="AB1468" s="519" t="s">
        <v>303</v>
      </c>
      <c r="AC1468" s="326"/>
      <c r="AD1468" s="326"/>
      <c r="AE1468" s="327"/>
      <c r="AF1468" s="520"/>
      <c r="AG1468" s="327"/>
      <c r="AH1468" s="520"/>
      <c r="AI1468" s="327"/>
      <c r="AJ1468" s="536"/>
      <c r="AK1468" s="327"/>
      <c r="AL1468" s="556" t="s">
        <v>334</v>
      </c>
      <c r="AM1468" s="327"/>
      <c r="AN1468" s="553" t="s">
        <v>334</v>
      </c>
      <c r="AO1468" s="327"/>
      <c r="AP1468" s="554"/>
      <c r="AQ1468" s="327"/>
      <c r="AR1468" s="555"/>
      <c r="AS1468" s="327"/>
      <c r="AT1468" s="549"/>
      <c r="AU1468" s="327"/>
      <c r="AV1468" s="553" t="s">
        <v>334</v>
      </c>
      <c r="AW1468" s="327"/>
      <c r="AX1468" s="521"/>
      <c r="AY1468" s="326"/>
      <c r="AZ1468" s="327"/>
      <c r="BA1468" s="536"/>
      <c r="BB1468" s="327"/>
      <c r="BC1468" s="22"/>
      <c r="BD1468" s="551" t="s">
        <v>334</v>
      </c>
      <c r="BE1468" s="327"/>
      <c r="BF1468" s="552"/>
      <c r="BG1468" s="326"/>
      <c r="BH1468" s="326"/>
      <c r="BI1468" s="327"/>
      <c r="BJ1468" s="451" t="s">
        <v>303</v>
      </c>
      <c r="BK1468" s="326"/>
      <c r="BL1468" s="326"/>
      <c r="BM1468" s="327"/>
      <c r="BN1468" s="558" t="s">
        <v>303</v>
      </c>
      <c r="BO1468" s="326"/>
      <c r="BP1468" s="326"/>
      <c r="BQ1468" s="326"/>
      <c r="BR1468" s="326"/>
      <c r="BS1468" s="326"/>
      <c r="BT1468" s="326"/>
      <c r="BU1468" s="326"/>
      <c r="BV1468" s="327"/>
    </row>
    <row r="1469" spans="1:74" ht="45" customHeight="1" x14ac:dyDescent="0.25">
      <c r="A1469" s="10">
        <f t="shared" si="5"/>
        <v>1455</v>
      </c>
      <c r="B1469" s="559" t="s">
        <v>303</v>
      </c>
      <c r="C1469" s="327"/>
      <c r="D1469" s="560" t="s">
        <v>307</v>
      </c>
      <c r="E1469" s="327"/>
      <c r="F1469" s="537" t="s">
        <v>334</v>
      </c>
      <c r="G1469" s="327"/>
      <c r="H1469" s="566" t="s">
        <v>334</v>
      </c>
      <c r="I1469" s="327"/>
      <c r="J1469" s="567"/>
      <c r="K1469" s="327"/>
      <c r="L1469" s="567"/>
      <c r="M1469" s="327"/>
      <c r="N1469" s="20"/>
      <c r="O1469" s="21"/>
      <c r="P1469" s="524"/>
      <c r="Q1469" s="327"/>
      <c r="R1469" s="516"/>
      <c r="S1469" s="327"/>
      <c r="T1469" s="517"/>
      <c r="U1469" s="327"/>
      <c r="V1469" s="540"/>
      <c r="W1469" s="327"/>
      <c r="X1469" s="541" t="s">
        <v>303</v>
      </c>
      <c r="Y1469" s="326"/>
      <c r="Z1469" s="326"/>
      <c r="AA1469" s="327"/>
      <c r="AB1469" s="542" t="s">
        <v>303</v>
      </c>
      <c r="AC1469" s="326"/>
      <c r="AD1469" s="326"/>
      <c r="AE1469" s="327"/>
      <c r="AF1469" s="543"/>
      <c r="AG1469" s="327"/>
      <c r="AH1469" s="543"/>
      <c r="AI1469" s="327"/>
      <c r="AJ1469" s="536"/>
      <c r="AK1469" s="327"/>
      <c r="AL1469" s="537" t="s">
        <v>334</v>
      </c>
      <c r="AM1469" s="327"/>
      <c r="AN1469" s="546" t="s">
        <v>334</v>
      </c>
      <c r="AO1469" s="327"/>
      <c r="AP1469" s="547"/>
      <c r="AQ1469" s="327"/>
      <c r="AR1469" s="548"/>
      <c r="AS1469" s="327"/>
      <c r="AT1469" s="549"/>
      <c r="AU1469" s="327"/>
      <c r="AV1469" s="546" t="s">
        <v>334</v>
      </c>
      <c r="AW1469" s="327"/>
      <c r="AX1469" s="521"/>
      <c r="AY1469" s="326"/>
      <c r="AZ1469" s="327"/>
      <c r="BA1469" s="550"/>
      <c r="BB1469" s="327"/>
      <c r="BC1469" s="25"/>
      <c r="BD1469" s="544" t="s">
        <v>334</v>
      </c>
      <c r="BE1469" s="327"/>
      <c r="BF1469" s="545"/>
      <c r="BG1469" s="326"/>
      <c r="BH1469" s="326"/>
      <c r="BI1469" s="327"/>
      <c r="BJ1469" s="557" t="s">
        <v>303</v>
      </c>
      <c r="BK1469" s="326"/>
      <c r="BL1469" s="326"/>
      <c r="BM1469" s="327"/>
      <c r="BN1469" s="558" t="s">
        <v>303</v>
      </c>
      <c r="BO1469" s="326"/>
      <c r="BP1469" s="326"/>
      <c r="BQ1469" s="326"/>
      <c r="BR1469" s="326"/>
      <c r="BS1469" s="326"/>
      <c r="BT1469" s="326"/>
      <c r="BU1469" s="326"/>
      <c r="BV1469" s="327"/>
    </row>
    <row r="1470" spans="1:74" ht="45" customHeight="1" x14ac:dyDescent="0.25">
      <c r="A1470" s="10">
        <f t="shared" si="5"/>
        <v>1456</v>
      </c>
      <c r="B1470" s="564" t="s">
        <v>303</v>
      </c>
      <c r="C1470" s="327"/>
      <c r="D1470" s="565" t="s">
        <v>307</v>
      </c>
      <c r="E1470" s="327"/>
      <c r="F1470" s="537" t="s">
        <v>334</v>
      </c>
      <c r="G1470" s="327"/>
      <c r="H1470" s="561" t="s">
        <v>334</v>
      </c>
      <c r="I1470" s="327"/>
      <c r="J1470" s="26"/>
      <c r="K1470" s="27"/>
      <c r="L1470" s="26"/>
      <c r="M1470" s="27"/>
      <c r="N1470" s="23"/>
      <c r="O1470" s="24"/>
      <c r="P1470" s="563"/>
      <c r="Q1470" s="327"/>
      <c r="R1470" s="538"/>
      <c r="S1470" s="327"/>
      <c r="T1470" s="539"/>
      <c r="U1470" s="327"/>
      <c r="V1470" s="518"/>
      <c r="W1470" s="327"/>
      <c r="X1470" s="438" t="s">
        <v>303</v>
      </c>
      <c r="Y1470" s="326"/>
      <c r="Z1470" s="326"/>
      <c r="AA1470" s="327"/>
      <c r="AB1470" s="519" t="s">
        <v>303</v>
      </c>
      <c r="AC1470" s="326"/>
      <c r="AD1470" s="326"/>
      <c r="AE1470" s="327"/>
      <c r="AF1470" s="520"/>
      <c r="AG1470" s="327"/>
      <c r="AH1470" s="520"/>
      <c r="AI1470" s="327"/>
      <c r="AJ1470" s="536"/>
      <c r="AK1470" s="327"/>
      <c r="AL1470" s="556" t="s">
        <v>334</v>
      </c>
      <c r="AM1470" s="327"/>
      <c r="AN1470" s="553" t="s">
        <v>334</v>
      </c>
      <c r="AO1470" s="327"/>
      <c r="AP1470" s="554"/>
      <c r="AQ1470" s="327"/>
      <c r="AR1470" s="555"/>
      <c r="AS1470" s="327"/>
      <c r="AT1470" s="549"/>
      <c r="AU1470" s="327"/>
      <c r="AV1470" s="553" t="s">
        <v>334</v>
      </c>
      <c r="AW1470" s="327"/>
      <c r="AX1470" s="521"/>
      <c r="AY1470" s="326"/>
      <c r="AZ1470" s="327"/>
      <c r="BA1470" s="536"/>
      <c r="BB1470" s="327"/>
      <c r="BC1470" s="22"/>
      <c r="BD1470" s="551" t="s">
        <v>334</v>
      </c>
      <c r="BE1470" s="327"/>
      <c r="BF1470" s="552"/>
      <c r="BG1470" s="326"/>
      <c r="BH1470" s="326"/>
      <c r="BI1470" s="327"/>
      <c r="BJ1470" s="451" t="s">
        <v>303</v>
      </c>
      <c r="BK1470" s="326"/>
      <c r="BL1470" s="326"/>
      <c r="BM1470" s="327"/>
      <c r="BN1470" s="558" t="s">
        <v>303</v>
      </c>
      <c r="BO1470" s="326"/>
      <c r="BP1470" s="326"/>
      <c r="BQ1470" s="326"/>
      <c r="BR1470" s="326"/>
      <c r="BS1470" s="326"/>
      <c r="BT1470" s="326"/>
      <c r="BU1470" s="326"/>
      <c r="BV1470" s="327"/>
    </row>
    <row r="1471" spans="1:74" ht="45" customHeight="1" x14ac:dyDescent="0.25">
      <c r="A1471" s="10">
        <f t="shared" si="5"/>
        <v>1457</v>
      </c>
      <c r="B1471" s="559" t="s">
        <v>303</v>
      </c>
      <c r="C1471" s="327"/>
      <c r="D1471" s="560" t="s">
        <v>307</v>
      </c>
      <c r="E1471" s="327"/>
      <c r="F1471" s="537" t="s">
        <v>334</v>
      </c>
      <c r="G1471" s="327"/>
      <c r="H1471" s="566" t="s">
        <v>334</v>
      </c>
      <c r="I1471" s="327"/>
      <c r="J1471" s="567"/>
      <c r="K1471" s="327"/>
      <c r="L1471" s="567"/>
      <c r="M1471" s="327"/>
      <c r="N1471" s="20"/>
      <c r="O1471" s="21"/>
      <c r="P1471" s="524"/>
      <c r="Q1471" s="327"/>
      <c r="R1471" s="516"/>
      <c r="S1471" s="327"/>
      <c r="T1471" s="517"/>
      <c r="U1471" s="327"/>
      <c r="V1471" s="540"/>
      <c r="W1471" s="327"/>
      <c r="X1471" s="541" t="s">
        <v>303</v>
      </c>
      <c r="Y1471" s="326"/>
      <c r="Z1471" s="326"/>
      <c r="AA1471" s="327"/>
      <c r="AB1471" s="542" t="s">
        <v>303</v>
      </c>
      <c r="AC1471" s="326"/>
      <c r="AD1471" s="326"/>
      <c r="AE1471" s="327"/>
      <c r="AF1471" s="543"/>
      <c r="AG1471" s="327"/>
      <c r="AH1471" s="543"/>
      <c r="AI1471" s="327"/>
      <c r="AJ1471" s="536"/>
      <c r="AK1471" s="327"/>
      <c r="AL1471" s="537" t="s">
        <v>334</v>
      </c>
      <c r="AM1471" s="327"/>
      <c r="AN1471" s="546" t="s">
        <v>334</v>
      </c>
      <c r="AO1471" s="327"/>
      <c r="AP1471" s="547"/>
      <c r="AQ1471" s="327"/>
      <c r="AR1471" s="548"/>
      <c r="AS1471" s="327"/>
      <c r="AT1471" s="568"/>
      <c r="AU1471" s="327"/>
      <c r="AV1471" s="546" t="s">
        <v>334</v>
      </c>
      <c r="AW1471" s="327"/>
      <c r="AX1471" s="521"/>
      <c r="AY1471" s="326"/>
      <c r="AZ1471" s="327"/>
      <c r="BA1471" s="550"/>
      <c r="BB1471" s="327"/>
      <c r="BC1471" s="25"/>
      <c r="BD1471" s="544" t="s">
        <v>334</v>
      </c>
      <c r="BE1471" s="327"/>
      <c r="BF1471" s="545"/>
      <c r="BG1471" s="326"/>
      <c r="BH1471" s="326"/>
      <c r="BI1471" s="327"/>
      <c r="BJ1471" s="557" t="s">
        <v>303</v>
      </c>
      <c r="BK1471" s="326"/>
      <c r="BL1471" s="326"/>
      <c r="BM1471" s="327"/>
      <c r="BN1471" s="558" t="s">
        <v>303</v>
      </c>
      <c r="BO1471" s="326"/>
      <c r="BP1471" s="326"/>
      <c r="BQ1471" s="326"/>
      <c r="BR1471" s="326"/>
      <c r="BS1471" s="326"/>
      <c r="BT1471" s="326"/>
      <c r="BU1471" s="326"/>
      <c r="BV1471" s="327"/>
    </row>
    <row r="1472" spans="1:74" ht="45" customHeight="1" x14ac:dyDescent="0.25">
      <c r="A1472" s="10">
        <f t="shared" si="5"/>
        <v>1458</v>
      </c>
      <c r="B1472" s="564" t="s">
        <v>303</v>
      </c>
      <c r="C1472" s="327"/>
      <c r="D1472" s="565" t="s">
        <v>307</v>
      </c>
      <c r="E1472" s="327"/>
      <c r="F1472" s="537" t="s">
        <v>334</v>
      </c>
      <c r="G1472" s="327"/>
      <c r="H1472" s="561" t="s">
        <v>334</v>
      </c>
      <c r="I1472" s="327"/>
      <c r="J1472" s="26"/>
      <c r="K1472" s="27"/>
      <c r="L1472" s="26"/>
      <c r="M1472" s="27"/>
      <c r="N1472" s="23"/>
      <c r="O1472" s="24"/>
      <c r="P1472" s="563"/>
      <c r="Q1472" s="327"/>
      <c r="R1472" s="538"/>
      <c r="S1472" s="327"/>
      <c r="T1472" s="539"/>
      <c r="U1472" s="327"/>
      <c r="V1472" s="518"/>
      <c r="W1472" s="327"/>
      <c r="X1472" s="438" t="s">
        <v>303</v>
      </c>
      <c r="Y1472" s="326"/>
      <c r="Z1472" s="326"/>
      <c r="AA1472" s="327"/>
      <c r="AB1472" s="519" t="s">
        <v>303</v>
      </c>
      <c r="AC1472" s="326"/>
      <c r="AD1472" s="326"/>
      <c r="AE1472" s="327"/>
      <c r="AF1472" s="520"/>
      <c r="AG1472" s="327"/>
      <c r="AH1472" s="520"/>
      <c r="AI1472" s="327"/>
      <c r="AJ1472" s="536"/>
      <c r="AK1472" s="327"/>
      <c r="AL1472" s="556" t="s">
        <v>334</v>
      </c>
      <c r="AM1472" s="327"/>
      <c r="AN1472" s="553" t="s">
        <v>334</v>
      </c>
      <c r="AO1472" s="327"/>
      <c r="AP1472" s="554"/>
      <c r="AQ1472" s="327"/>
      <c r="AR1472" s="555"/>
      <c r="AS1472" s="327"/>
      <c r="AT1472" s="549"/>
      <c r="AU1472" s="327"/>
      <c r="AV1472" s="553" t="s">
        <v>334</v>
      </c>
      <c r="AW1472" s="327"/>
      <c r="AX1472" s="521"/>
      <c r="AY1472" s="326"/>
      <c r="AZ1472" s="327"/>
      <c r="BA1472" s="536"/>
      <c r="BB1472" s="327"/>
      <c r="BC1472" s="22"/>
      <c r="BD1472" s="551" t="s">
        <v>334</v>
      </c>
      <c r="BE1472" s="327"/>
      <c r="BF1472" s="508"/>
      <c r="BG1472" s="326"/>
      <c r="BH1472" s="326"/>
      <c r="BI1472" s="327"/>
      <c r="BJ1472" s="451" t="s">
        <v>303</v>
      </c>
      <c r="BK1472" s="326"/>
      <c r="BL1472" s="326"/>
      <c r="BM1472" s="327"/>
      <c r="BN1472" s="558" t="s">
        <v>303</v>
      </c>
      <c r="BO1472" s="326"/>
      <c r="BP1472" s="326"/>
      <c r="BQ1472" s="326"/>
      <c r="BR1472" s="326"/>
      <c r="BS1472" s="326"/>
      <c r="BT1472" s="326"/>
      <c r="BU1472" s="326"/>
      <c r="BV1472" s="327"/>
    </row>
    <row r="1473" spans="1:74" ht="45" customHeight="1" x14ac:dyDescent="0.25">
      <c r="A1473" s="10">
        <f t="shared" si="5"/>
        <v>1459</v>
      </c>
      <c r="B1473" s="559" t="s">
        <v>303</v>
      </c>
      <c r="C1473" s="327"/>
      <c r="D1473" s="560" t="s">
        <v>307</v>
      </c>
      <c r="E1473" s="327"/>
      <c r="F1473" s="537" t="s">
        <v>334</v>
      </c>
      <c r="G1473" s="327"/>
      <c r="H1473" s="566" t="s">
        <v>334</v>
      </c>
      <c r="I1473" s="327"/>
      <c r="J1473" s="567"/>
      <c r="K1473" s="327"/>
      <c r="L1473" s="567"/>
      <c r="M1473" s="327"/>
      <c r="N1473" s="20"/>
      <c r="O1473" s="21"/>
      <c r="P1473" s="524"/>
      <c r="Q1473" s="327"/>
      <c r="R1473" s="516"/>
      <c r="S1473" s="327"/>
      <c r="T1473" s="517"/>
      <c r="U1473" s="327"/>
      <c r="V1473" s="540"/>
      <c r="W1473" s="327"/>
      <c r="X1473" s="541" t="s">
        <v>303</v>
      </c>
      <c r="Y1473" s="326"/>
      <c r="Z1473" s="326"/>
      <c r="AA1473" s="327"/>
      <c r="AB1473" s="542" t="s">
        <v>303</v>
      </c>
      <c r="AC1473" s="326"/>
      <c r="AD1473" s="326"/>
      <c r="AE1473" s="327"/>
      <c r="AF1473" s="543"/>
      <c r="AG1473" s="327"/>
      <c r="AH1473" s="543"/>
      <c r="AI1473" s="327"/>
      <c r="AJ1473" s="536"/>
      <c r="AK1473" s="327"/>
      <c r="AL1473" s="537" t="s">
        <v>334</v>
      </c>
      <c r="AM1473" s="327"/>
      <c r="AN1473" s="546" t="s">
        <v>334</v>
      </c>
      <c r="AO1473" s="327"/>
      <c r="AP1473" s="547"/>
      <c r="AQ1473" s="327"/>
      <c r="AR1473" s="548"/>
      <c r="AS1473" s="327"/>
      <c r="AT1473" s="568"/>
      <c r="AU1473" s="327"/>
      <c r="AV1473" s="546" t="s">
        <v>334</v>
      </c>
      <c r="AW1473" s="327"/>
      <c r="AX1473" s="521"/>
      <c r="AY1473" s="326"/>
      <c r="AZ1473" s="327"/>
      <c r="BA1473" s="550"/>
      <c r="BB1473" s="327"/>
      <c r="BC1473" s="25"/>
      <c r="BD1473" s="544" t="s">
        <v>334</v>
      </c>
      <c r="BE1473" s="327"/>
      <c r="BF1473" s="545"/>
      <c r="BG1473" s="326"/>
      <c r="BH1473" s="326"/>
      <c r="BI1473" s="327"/>
      <c r="BJ1473" s="557" t="s">
        <v>303</v>
      </c>
      <c r="BK1473" s="326"/>
      <c r="BL1473" s="326"/>
      <c r="BM1473" s="327"/>
      <c r="BN1473" s="558" t="s">
        <v>303</v>
      </c>
      <c r="BO1473" s="326"/>
      <c r="BP1473" s="326"/>
      <c r="BQ1473" s="326"/>
      <c r="BR1473" s="326"/>
      <c r="BS1473" s="326"/>
      <c r="BT1473" s="326"/>
      <c r="BU1473" s="326"/>
      <c r="BV1473" s="327"/>
    </row>
    <row r="1474" spans="1:74" ht="45" customHeight="1" x14ac:dyDescent="0.25">
      <c r="A1474" s="10">
        <f t="shared" si="5"/>
        <v>1460</v>
      </c>
      <c r="B1474" s="564" t="s">
        <v>303</v>
      </c>
      <c r="C1474" s="327"/>
      <c r="D1474" s="565" t="s">
        <v>307</v>
      </c>
      <c r="E1474" s="327"/>
      <c r="F1474" s="537" t="s">
        <v>334</v>
      </c>
      <c r="G1474" s="327"/>
      <c r="H1474" s="561" t="s">
        <v>334</v>
      </c>
      <c r="I1474" s="327"/>
      <c r="J1474" s="26"/>
      <c r="K1474" s="27"/>
      <c r="L1474" s="26"/>
      <c r="M1474" s="27"/>
      <c r="N1474" s="23"/>
      <c r="O1474" s="24"/>
      <c r="P1474" s="563"/>
      <c r="Q1474" s="327"/>
      <c r="R1474" s="538"/>
      <c r="S1474" s="327"/>
      <c r="T1474" s="539"/>
      <c r="U1474" s="327"/>
      <c r="V1474" s="518"/>
      <c r="W1474" s="327"/>
      <c r="X1474" s="438" t="s">
        <v>303</v>
      </c>
      <c r="Y1474" s="326"/>
      <c r="Z1474" s="326"/>
      <c r="AA1474" s="327"/>
      <c r="AB1474" s="519" t="s">
        <v>303</v>
      </c>
      <c r="AC1474" s="326"/>
      <c r="AD1474" s="326"/>
      <c r="AE1474" s="327"/>
      <c r="AF1474" s="520"/>
      <c r="AG1474" s="327"/>
      <c r="AH1474" s="520"/>
      <c r="AI1474" s="327"/>
      <c r="AJ1474" s="536"/>
      <c r="AK1474" s="327"/>
      <c r="AL1474" s="556" t="s">
        <v>334</v>
      </c>
      <c r="AM1474" s="327"/>
      <c r="AN1474" s="553" t="s">
        <v>334</v>
      </c>
      <c r="AO1474" s="327"/>
      <c r="AP1474" s="554"/>
      <c r="AQ1474" s="327"/>
      <c r="AR1474" s="555"/>
      <c r="AS1474" s="327"/>
      <c r="AT1474" s="549"/>
      <c r="AU1474" s="327"/>
      <c r="AV1474" s="553" t="s">
        <v>334</v>
      </c>
      <c r="AW1474" s="327"/>
      <c r="AX1474" s="521"/>
      <c r="AY1474" s="326"/>
      <c r="AZ1474" s="327"/>
      <c r="BA1474" s="536"/>
      <c r="BB1474" s="327"/>
      <c r="BC1474" s="22"/>
      <c r="BD1474" s="551" t="s">
        <v>334</v>
      </c>
      <c r="BE1474" s="327"/>
      <c r="BF1474" s="552"/>
      <c r="BG1474" s="326"/>
      <c r="BH1474" s="326"/>
      <c r="BI1474" s="327"/>
      <c r="BJ1474" s="451" t="s">
        <v>303</v>
      </c>
      <c r="BK1474" s="326"/>
      <c r="BL1474" s="326"/>
      <c r="BM1474" s="327"/>
      <c r="BN1474" s="558" t="s">
        <v>303</v>
      </c>
      <c r="BO1474" s="326"/>
      <c r="BP1474" s="326"/>
      <c r="BQ1474" s="326"/>
      <c r="BR1474" s="326"/>
      <c r="BS1474" s="326"/>
      <c r="BT1474" s="326"/>
      <c r="BU1474" s="326"/>
      <c r="BV1474" s="327"/>
    </row>
    <row r="1475" spans="1:74" ht="45" customHeight="1" x14ac:dyDescent="0.25">
      <c r="A1475" s="10">
        <f t="shared" si="5"/>
        <v>1461</v>
      </c>
      <c r="B1475" s="559" t="s">
        <v>303</v>
      </c>
      <c r="C1475" s="327"/>
      <c r="D1475" s="560" t="s">
        <v>307</v>
      </c>
      <c r="E1475" s="327"/>
      <c r="F1475" s="537" t="s">
        <v>334</v>
      </c>
      <c r="G1475" s="327"/>
      <c r="H1475" s="566" t="s">
        <v>334</v>
      </c>
      <c r="I1475" s="327"/>
      <c r="J1475" s="567"/>
      <c r="K1475" s="327"/>
      <c r="L1475" s="567"/>
      <c r="M1475" s="327"/>
      <c r="N1475" s="20"/>
      <c r="O1475" s="21"/>
      <c r="P1475" s="524"/>
      <c r="Q1475" s="327"/>
      <c r="R1475" s="516"/>
      <c r="S1475" s="327"/>
      <c r="T1475" s="517"/>
      <c r="U1475" s="327"/>
      <c r="V1475" s="540"/>
      <c r="W1475" s="327"/>
      <c r="X1475" s="541" t="s">
        <v>303</v>
      </c>
      <c r="Y1475" s="326"/>
      <c r="Z1475" s="326"/>
      <c r="AA1475" s="327"/>
      <c r="AB1475" s="542" t="s">
        <v>303</v>
      </c>
      <c r="AC1475" s="326"/>
      <c r="AD1475" s="326"/>
      <c r="AE1475" s="327"/>
      <c r="AF1475" s="543"/>
      <c r="AG1475" s="327"/>
      <c r="AH1475" s="543"/>
      <c r="AI1475" s="327"/>
      <c r="AJ1475" s="536"/>
      <c r="AK1475" s="327"/>
      <c r="AL1475" s="537" t="s">
        <v>334</v>
      </c>
      <c r="AM1475" s="327"/>
      <c r="AN1475" s="546" t="s">
        <v>334</v>
      </c>
      <c r="AO1475" s="327"/>
      <c r="AP1475" s="547"/>
      <c r="AQ1475" s="327"/>
      <c r="AR1475" s="548"/>
      <c r="AS1475" s="327"/>
      <c r="AT1475" s="568"/>
      <c r="AU1475" s="327"/>
      <c r="AV1475" s="546" t="s">
        <v>334</v>
      </c>
      <c r="AW1475" s="327"/>
      <c r="AX1475" s="521"/>
      <c r="AY1475" s="326"/>
      <c r="AZ1475" s="327"/>
      <c r="BA1475" s="550"/>
      <c r="BB1475" s="327"/>
      <c r="BC1475" s="25"/>
      <c r="BD1475" s="544" t="s">
        <v>334</v>
      </c>
      <c r="BE1475" s="327"/>
      <c r="BF1475" s="545"/>
      <c r="BG1475" s="326"/>
      <c r="BH1475" s="326"/>
      <c r="BI1475" s="327"/>
      <c r="BJ1475" s="557" t="s">
        <v>303</v>
      </c>
      <c r="BK1475" s="326"/>
      <c r="BL1475" s="326"/>
      <c r="BM1475" s="327"/>
      <c r="BN1475" s="558" t="s">
        <v>303</v>
      </c>
      <c r="BO1475" s="326"/>
      <c r="BP1475" s="326"/>
      <c r="BQ1475" s="326"/>
      <c r="BR1475" s="326"/>
      <c r="BS1475" s="326"/>
      <c r="BT1475" s="326"/>
      <c r="BU1475" s="326"/>
      <c r="BV1475" s="327"/>
    </row>
    <row r="1476" spans="1:74" ht="45" customHeight="1" x14ac:dyDescent="0.25">
      <c r="A1476" s="10">
        <f t="shared" si="5"/>
        <v>1462</v>
      </c>
      <c r="B1476" s="564" t="s">
        <v>303</v>
      </c>
      <c r="C1476" s="327"/>
      <c r="D1476" s="565" t="s">
        <v>307</v>
      </c>
      <c r="E1476" s="327"/>
      <c r="F1476" s="537" t="s">
        <v>334</v>
      </c>
      <c r="G1476" s="327"/>
      <c r="H1476" s="561" t="s">
        <v>334</v>
      </c>
      <c r="I1476" s="327"/>
      <c r="J1476" s="26"/>
      <c r="K1476" s="27"/>
      <c r="L1476" s="26"/>
      <c r="M1476" s="27"/>
      <c r="N1476" s="20"/>
      <c r="O1476" s="21"/>
      <c r="P1476" s="524"/>
      <c r="Q1476" s="327"/>
      <c r="R1476" s="516"/>
      <c r="S1476" s="327"/>
      <c r="T1476" s="517"/>
      <c r="U1476" s="327"/>
      <c r="V1476" s="518"/>
      <c r="W1476" s="327"/>
      <c r="X1476" s="438" t="s">
        <v>303</v>
      </c>
      <c r="Y1476" s="326"/>
      <c r="Z1476" s="326"/>
      <c r="AA1476" s="327"/>
      <c r="AB1476" s="519" t="s">
        <v>303</v>
      </c>
      <c r="AC1476" s="326"/>
      <c r="AD1476" s="326"/>
      <c r="AE1476" s="327"/>
      <c r="AF1476" s="520"/>
      <c r="AG1476" s="327"/>
      <c r="AH1476" s="520"/>
      <c r="AI1476" s="327"/>
      <c r="AJ1476" s="536"/>
      <c r="AK1476" s="327"/>
      <c r="AL1476" s="556" t="s">
        <v>334</v>
      </c>
      <c r="AM1476" s="327"/>
      <c r="AN1476" s="553" t="s">
        <v>334</v>
      </c>
      <c r="AO1476" s="327"/>
      <c r="AP1476" s="554"/>
      <c r="AQ1476" s="327"/>
      <c r="AR1476" s="555"/>
      <c r="AS1476" s="327"/>
      <c r="AT1476" s="549"/>
      <c r="AU1476" s="327"/>
      <c r="AV1476" s="553" t="s">
        <v>334</v>
      </c>
      <c r="AW1476" s="327"/>
      <c r="AX1476" s="521"/>
      <c r="AY1476" s="326"/>
      <c r="AZ1476" s="327"/>
      <c r="BA1476" s="536"/>
      <c r="BB1476" s="327"/>
      <c r="BC1476" s="22"/>
      <c r="BD1476" s="551" t="s">
        <v>334</v>
      </c>
      <c r="BE1476" s="327"/>
      <c r="BF1476" s="552"/>
      <c r="BG1476" s="326"/>
      <c r="BH1476" s="326"/>
      <c r="BI1476" s="327"/>
      <c r="BJ1476" s="451" t="s">
        <v>303</v>
      </c>
      <c r="BK1476" s="326"/>
      <c r="BL1476" s="326"/>
      <c r="BM1476" s="327"/>
      <c r="BN1476" s="558" t="s">
        <v>303</v>
      </c>
      <c r="BO1476" s="326"/>
      <c r="BP1476" s="326"/>
      <c r="BQ1476" s="326"/>
      <c r="BR1476" s="326"/>
      <c r="BS1476" s="326"/>
      <c r="BT1476" s="326"/>
      <c r="BU1476" s="326"/>
      <c r="BV1476" s="327"/>
    </row>
    <row r="1477" spans="1:74" ht="45" customHeight="1" x14ac:dyDescent="0.25">
      <c r="A1477" s="10">
        <f t="shared" si="5"/>
        <v>1463</v>
      </c>
      <c r="B1477" s="559" t="s">
        <v>303</v>
      </c>
      <c r="C1477" s="327"/>
      <c r="D1477" s="560" t="s">
        <v>307</v>
      </c>
      <c r="E1477" s="327"/>
      <c r="F1477" s="537" t="s">
        <v>334</v>
      </c>
      <c r="G1477" s="327"/>
      <c r="H1477" s="566" t="s">
        <v>334</v>
      </c>
      <c r="I1477" s="327"/>
      <c r="J1477" s="567"/>
      <c r="K1477" s="327"/>
      <c r="L1477" s="567"/>
      <c r="M1477" s="327"/>
      <c r="N1477" s="23"/>
      <c r="O1477" s="24"/>
      <c r="P1477" s="563"/>
      <c r="Q1477" s="327"/>
      <c r="R1477" s="538"/>
      <c r="S1477" s="327"/>
      <c r="T1477" s="539"/>
      <c r="U1477" s="327"/>
      <c r="V1477" s="540"/>
      <c r="W1477" s="327"/>
      <c r="X1477" s="541" t="s">
        <v>303</v>
      </c>
      <c r="Y1477" s="326"/>
      <c r="Z1477" s="326"/>
      <c r="AA1477" s="327"/>
      <c r="AB1477" s="542" t="s">
        <v>303</v>
      </c>
      <c r="AC1477" s="326"/>
      <c r="AD1477" s="326"/>
      <c r="AE1477" s="327"/>
      <c r="AF1477" s="543"/>
      <c r="AG1477" s="327"/>
      <c r="AH1477" s="543"/>
      <c r="AI1477" s="327"/>
      <c r="AJ1477" s="536"/>
      <c r="AK1477" s="327"/>
      <c r="AL1477" s="537" t="s">
        <v>334</v>
      </c>
      <c r="AM1477" s="327"/>
      <c r="AN1477" s="546" t="s">
        <v>334</v>
      </c>
      <c r="AO1477" s="327"/>
      <c r="AP1477" s="547"/>
      <c r="AQ1477" s="327"/>
      <c r="AR1477" s="548"/>
      <c r="AS1477" s="327"/>
      <c r="AT1477" s="568"/>
      <c r="AU1477" s="327"/>
      <c r="AV1477" s="546" t="s">
        <v>334</v>
      </c>
      <c r="AW1477" s="327"/>
      <c r="AX1477" s="521"/>
      <c r="AY1477" s="326"/>
      <c r="AZ1477" s="327"/>
      <c r="BA1477" s="550"/>
      <c r="BB1477" s="327"/>
      <c r="BC1477" s="25"/>
      <c r="BD1477" s="544" t="s">
        <v>334</v>
      </c>
      <c r="BE1477" s="327"/>
      <c r="BF1477" s="545"/>
      <c r="BG1477" s="326"/>
      <c r="BH1477" s="326"/>
      <c r="BI1477" s="327"/>
      <c r="BJ1477" s="557" t="s">
        <v>303</v>
      </c>
      <c r="BK1477" s="326"/>
      <c r="BL1477" s="326"/>
      <c r="BM1477" s="327"/>
      <c r="BN1477" s="558" t="s">
        <v>303</v>
      </c>
      <c r="BO1477" s="326"/>
      <c r="BP1477" s="326"/>
      <c r="BQ1477" s="326"/>
      <c r="BR1477" s="326"/>
      <c r="BS1477" s="326"/>
      <c r="BT1477" s="326"/>
      <c r="BU1477" s="326"/>
      <c r="BV1477" s="327"/>
    </row>
    <row r="1478" spans="1:74" ht="45" customHeight="1" x14ac:dyDescent="0.25">
      <c r="A1478" s="10">
        <f t="shared" si="5"/>
        <v>1464</v>
      </c>
      <c r="B1478" s="564" t="s">
        <v>303</v>
      </c>
      <c r="C1478" s="327"/>
      <c r="D1478" s="565" t="s">
        <v>307</v>
      </c>
      <c r="E1478" s="327"/>
      <c r="F1478" s="537" t="s">
        <v>334</v>
      </c>
      <c r="G1478" s="327"/>
      <c r="H1478" s="561" t="s">
        <v>334</v>
      </c>
      <c r="I1478" s="327"/>
      <c r="J1478" s="26"/>
      <c r="K1478" s="27"/>
      <c r="L1478" s="26"/>
      <c r="M1478" s="27"/>
      <c r="N1478" s="20"/>
      <c r="O1478" s="21"/>
      <c r="P1478" s="524"/>
      <c r="Q1478" s="327"/>
      <c r="R1478" s="516"/>
      <c r="S1478" s="327"/>
      <c r="T1478" s="517"/>
      <c r="U1478" s="327"/>
      <c r="V1478" s="518"/>
      <c r="W1478" s="327"/>
      <c r="X1478" s="438" t="s">
        <v>303</v>
      </c>
      <c r="Y1478" s="326"/>
      <c r="Z1478" s="326"/>
      <c r="AA1478" s="327"/>
      <c r="AB1478" s="519" t="s">
        <v>303</v>
      </c>
      <c r="AC1478" s="326"/>
      <c r="AD1478" s="326"/>
      <c r="AE1478" s="327"/>
      <c r="AF1478" s="520"/>
      <c r="AG1478" s="327"/>
      <c r="AH1478" s="520"/>
      <c r="AI1478" s="327"/>
      <c r="AJ1478" s="536"/>
      <c r="AK1478" s="327"/>
      <c r="AL1478" s="556" t="s">
        <v>334</v>
      </c>
      <c r="AM1478" s="327"/>
      <c r="AN1478" s="553" t="s">
        <v>334</v>
      </c>
      <c r="AO1478" s="327"/>
      <c r="AP1478" s="554"/>
      <c r="AQ1478" s="327"/>
      <c r="AR1478" s="555"/>
      <c r="AS1478" s="327"/>
      <c r="AT1478" s="549"/>
      <c r="AU1478" s="327"/>
      <c r="AV1478" s="553" t="s">
        <v>334</v>
      </c>
      <c r="AW1478" s="327"/>
      <c r="AX1478" s="521"/>
      <c r="AY1478" s="326"/>
      <c r="AZ1478" s="327"/>
      <c r="BA1478" s="536"/>
      <c r="BB1478" s="327"/>
      <c r="BC1478" s="22"/>
      <c r="BD1478" s="551" t="s">
        <v>334</v>
      </c>
      <c r="BE1478" s="327"/>
      <c r="BF1478" s="508"/>
      <c r="BG1478" s="326"/>
      <c r="BH1478" s="326"/>
      <c r="BI1478" s="327"/>
      <c r="BJ1478" s="451" t="s">
        <v>303</v>
      </c>
      <c r="BK1478" s="326"/>
      <c r="BL1478" s="326"/>
      <c r="BM1478" s="327"/>
      <c r="BN1478" s="558" t="s">
        <v>303</v>
      </c>
      <c r="BO1478" s="326"/>
      <c r="BP1478" s="326"/>
      <c r="BQ1478" s="326"/>
      <c r="BR1478" s="326"/>
      <c r="BS1478" s="326"/>
      <c r="BT1478" s="326"/>
      <c r="BU1478" s="326"/>
      <c r="BV1478" s="327"/>
    </row>
    <row r="1479" spans="1:74" ht="45" customHeight="1" x14ac:dyDescent="0.25">
      <c r="A1479" s="10">
        <f t="shared" si="5"/>
        <v>1465</v>
      </c>
      <c r="B1479" s="559" t="s">
        <v>303</v>
      </c>
      <c r="C1479" s="327"/>
      <c r="D1479" s="560" t="s">
        <v>307</v>
      </c>
      <c r="E1479" s="327"/>
      <c r="F1479" s="537" t="s">
        <v>334</v>
      </c>
      <c r="G1479" s="327"/>
      <c r="H1479" s="566" t="s">
        <v>334</v>
      </c>
      <c r="I1479" s="327"/>
      <c r="J1479" s="567"/>
      <c r="K1479" s="327"/>
      <c r="L1479" s="567"/>
      <c r="M1479" s="327"/>
      <c r="N1479" s="23"/>
      <c r="O1479" s="24"/>
      <c r="P1479" s="563"/>
      <c r="Q1479" s="327"/>
      <c r="R1479" s="538"/>
      <c r="S1479" s="327"/>
      <c r="T1479" s="539"/>
      <c r="U1479" s="327"/>
      <c r="V1479" s="540"/>
      <c r="W1479" s="327"/>
      <c r="X1479" s="541" t="s">
        <v>303</v>
      </c>
      <c r="Y1479" s="326"/>
      <c r="Z1479" s="326"/>
      <c r="AA1479" s="327"/>
      <c r="AB1479" s="542" t="s">
        <v>303</v>
      </c>
      <c r="AC1479" s="326"/>
      <c r="AD1479" s="326"/>
      <c r="AE1479" s="327"/>
      <c r="AF1479" s="543"/>
      <c r="AG1479" s="327"/>
      <c r="AH1479" s="543"/>
      <c r="AI1479" s="327"/>
      <c r="AJ1479" s="536"/>
      <c r="AK1479" s="327"/>
      <c r="AL1479" s="537" t="s">
        <v>334</v>
      </c>
      <c r="AM1479" s="327"/>
      <c r="AN1479" s="546" t="s">
        <v>334</v>
      </c>
      <c r="AO1479" s="327"/>
      <c r="AP1479" s="547"/>
      <c r="AQ1479" s="327"/>
      <c r="AR1479" s="548"/>
      <c r="AS1479" s="327"/>
      <c r="AT1479" s="568"/>
      <c r="AU1479" s="327"/>
      <c r="AV1479" s="546" t="s">
        <v>334</v>
      </c>
      <c r="AW1479" s="327"/>
      <c r="AX1479" s="521"/>
      <c r="AY1479" s="326"/>
      <c r="AZ1479" s="327"/>
      <c r="BA1479" s="550"/>
      <c r="BB1479" s="327"/>
      <c r="BC1479" s="25"/>
      <c r="BD1479" s="544" t="s">
        <v>334</v>
      </c>
      <c r="BE1479" s="327"/>
      <c r="BF1479" s="545"/>
      <c r="BG1479" s="326"/>
      <c r="BH1479" s="326"/>
      <c r="BI1479" s="327"/>
      <c r="BJ1479" s="557" t="s">
        <v>303</v>
      </c>
      <c r="BK1479" s="326"/>
      <c r="BL1479" s="326"/>
      <c r="BM1479" s="327"/>
      <c r="BN1479" s="558" t="s">
        <v>303</v>
      </c>
      <c r="BO1479" s="326"/>
      <c r="BP1479" s="326"/>
      <c r="BQ1479" s="326"/>
      <c r="BR1479" s="326"/>
      <c r="BS1479" s="326"/>
      <c r="BT1479" s="326"/>
      <c r="BU1479" s="326"/>
      <c r="BV1479" s="327"/>
    </row>
    <row r="1480" spans="1:74" ht="45" customHeight="1" x14ac:dyDescent="0.25">
      <c r="A1480" s="10">
        <f t="shared" si="5"/>
        <v>1466</v>
      </c>
      <c r="B1480" s="564" t="s">
        <v>303</v>
      </c>
      <c r="C1480" s="327"/>
      <c r="D1480" s="565" t="s">
        <v>307</v>
      </c>
      <c r="E1480" s="327"/>
      <c r="F1480" s="537" t="s">
        <v>334</v>
      </c>
      <c r="G1480" s="327"/>
      <c r="H1480" s="561" t="s">
        <v>334</v>
      </c>
      <c r="I1480" s="327"/>
      <c r="J1480" s="26"/>
      <c r="K1480" s="27"/>
      <c r="L1480" s="26"/>
      <c r="M1480" s="27"/>
      <c r="N1480" s="20"/>
      <c r="O1480" s="21"/>
      <c r="P1480" s="524"/>
      <c r="Q1480" s="327"/>
      <c r="R1480" s="516"/>
      <c r="S1480" s="327"/>
      <c r="T1480" s="517"/>
      <c r="U1480" s="327"/>
      <c r="V1480" s="518"/>
      <c r="W1480" s="327"/>
      <c r="X1480" s="438" t="s">
        <v>303</v>
      </c>
      <c r="Y1480" s="326"/>
      <c r="Z1480" s="326"/>
      <c r="AA1480" s="327"/>
      <c r="AB1480" s="519" t="s">
        <v>303</v>
      </c>
      <c r="AC1480" s="326"/>
      <c r="AD1480" s="326"/>
      <c r="AE1480" s="327"/>
      <c r="AF1480" s="520"/>
      <c r="AG1480" s="327"/>
      <c r="AH1480" s="520"/>
      <c r="AI1480" s="327"/>
      <c r="AJ1480" s="536"/>
      <c r="AK1480" s="327"/>
      <c r="AL1480" s="556" t="s">
        <v>334</v>
      </c>
      <c r="AM1480" s="327"/>
      <c r="AN1480" s="553" t="s">
        <v>334</v>
      </c>
      <c r="AO1480" s="327"/>
      <c r="AP1480" s="554"/>
      <c r="AQ1480" s="327"/>
      <c r="AR1480" s="555"/>
      <c r="AS1480" s="327"/>
      <c r="AT1480" s="549"/>
      <c r="AU1480" s="327"/>
      <c r="AV1480" s="553" t="s">
        <v>334</v>
      </c>
      <c r="AW1480" s="327"/>
      <c r="AX1480" s="521"/>
      <c r="AY1480" s="326"/>
      <c r="AZ1480" s="327"/>
      <c r="BA1480" s="536"/>
      <c r="BB1480" s="327"/>
      <c r="BC1480" s="22"/>
      <c r="BD1480" s="551" t="s">
        <v>334</v>
      </c>
      <c r="BE1480" s="327"/>
      <c r="BF1480" s="552"/>
      <c r="BG1480" s="326"/>
      <c r="BH1480" s="326"/>
      <c r="BI1480" s="327"/>
      <c r="BJ1480" s="451" t="s">
        <v>303</v>
      </c>
      <c r="BK1480" s="326"/>
      <c r="BL1480" s="326"/>
      <c r="BM1480" s="327"/>
      <c r="BN1480" s="558" t="s">
        <v>303</v>
      </c>
      <c r="BO1480" s="326"/>
      <c r="BP1480" s="326"/>
      <c r="BQ1480" s="326"/>
      <c r="BR1480" s="326"/>
      <c r="BS1480" s="326"/>
      <c r="BT1480" s="326"/>
      <c r="BU1480" s="326"/>
      <c r="BV1480" s="327"/>
    </row>
    <row r="1481" spans="1:74" ht="45" customHeight="1" x14ac:dyDescent="0.25">
      <c r="A1481" s="10">
        <f t="shared" si="5"/>
        <v>1467</v>
      </c>
      <c r="B1481" s="559" t="s">
        <v>303</v>
      </c>
      <c r="C1481" s="327"/>
      <c r="D1481" s="560" t="s">
        <v>307</v>
      </c>
      <c r="E1481" s="327"/>
      <c r="F1481" s="537" t="s">
        <v>334</v>
      </c>
      <c r="G1481" s="327"/>
      <c r="H1481" s="566" t="s">
        <v>334</v>
      </c>
      <c r="I1481" s="327"/>
      <c r="J1481" s="567"/>
      <c r="K1481" s="327"/>
      <c r="L1481" s="567"/>
      <c r="M1481" s="327"/>
      <c r="N1481" s="23"/>
      <c r="O1481" s="24"/>
      <c r="P1481" s="563"/>
      <c r="Q1481" s="327"/>
      <c r="R1481" s="538"/>
      <c r="S1481" s="327"/>
      <c r="T1481" s="539"/>
      <c r="U1481" s="327"/>
      <c r="V1481" s="540"/>
      <c r="W1481" s="327"/>
      <c r="X1481" s="541" t="s">
        <v>303</v>
      </c>
      <c r="Y1481" s="326"/>
      <c r="Z1481" s="326"/>
      <c r="AA1481" s="327"/>
      <c r="AB1481" s="542" t="s">
        <v>303</v>
      </c>
      <c r="AC1481" s="326"/>
      <c r="AD1481" s="326"/>
      <c r="AE1481" s="327"/>
      <c r="AF1481" s="543"/>
      <c r="AG1481" s="327"/>
      <c r="AH1481" s="543"/>
      <c r="AI1481" s="327"/>
      <c r="AJ1481" s="536"/>
      <c r="AK1481" s="327"/>
      <c r="AL1481" s="537" t="s">
        <v>334</v>
      </c>
      <c r="AM1481" s="327"/>
      <c r="AN1481" s="546" t="s">
        <v>334</v>
      </c>
      <c r="AO1481" s="327"/>
      <c r="AP1481" s="547"/>
      <c r="AQ1481" s="327"/>
      <c r="AR1481" s="548"/>
      <c r="AS1481" s="327"/>
      <c r="AT1481" s="549"/>
      <c r="AU1481" s="327"/>
      <c r="AV1481" s="546" t="s">
        <v>334</v>
      </c>
      <c r="AW1481" s="327"/>
      <c r="AX1481" s="521"/>
      <c r="AY1481" s="326"/>
      <c r="AZ1481" s="327"/>
      <c r="BA1481" s="550"/>
      <c r="BB1481" s="327"/>
      <c r="BC1481" s="25"/>
      <c r="BD1481" s="544" t="s">
        <v>334</v>
      </c>
      <c r="BE1481" s="327"/>
      <c r="BF1481" s="545"/>
      <c r="BG1481" s="326"/>
      <c r="BH1481" s="326"/>
      <c r="BI1481" s="327"/>
      <c r="BJ1481" s="557" t="s">
        <v>303</v>
      </c>
      <c r="BK1481" s="326"/>
      <c r="BL1481" s="326"/>
      <c r="BM1481" s="327"/>
      <c r="BN1481" s="558" t="s">
        <v>303</v>
      </c>
      <c r="BO1481" s="326"/>
      <c r="BP1481" s="326"/>
      <c r="BQ1481" s="326"/>
      <c r="BR1481" s="326"/>
      <c r="BS1481" s="326"/>
      <c r="BT1481" s="326"/>
      <c r="BU1481" s="326"/>
      <c r="BV1481" s="327"/>
    </row>
    <row r="1482" spans="1:74" ht="45" customHeight="1" x14ac:dyDescent="0.25">
      <c r="A1482" s="10">
        <f t="shared" si="5"/>
        <v>1468</v>
      </c>
      <c r="B1482" s="564" t="s">
        <v>303</v>
      </c>
      <c r="C1482" s="327"/>
      <c r="D1482" s="565" t="s">
        <v>307</v>
      </c>
      <c r="E1482" s="327"/>
      <c r="F1482" s="537" t="s">
        <v>334</v>
      </c>
      <c r="G1482" s="327"/>
      <c r="H1482" s="561" t="s">
        <v>334</v>
      </c>
      <c r="I1482" s="327"/>
      <c r="J1482" s="26"/>
      <c r="K1482" s="27"/>
      <c r="L1482" s="26"/>
      <c r="M1482" s="27"/>
      <c r="N1482" s="20"/>
      <c r="O1482" s="21"/>
      <c r="P1482" s="524"/>
      <c r="Q1482" s="327"/>
      <c r="R1482" s="516"/>
      <c r="S1482" s="327"/>
      <c r="T1482" s="517"/>
      <c r="U1482" s="327"/>
      <c r="V1482" s="518"/>
      <c r="W1482" s="327"/>
      <c r="X1482" s="438" t="s">
        <v>303</v>
      </c>
      <c r="Y1482" s="326"/>
      <c r="Z1482" s="326"/>
      <c r="AA1482" s="327"/>
      <c r="AB1482" s="519" t="s">
        <v>303</v>
      </c>
      <c r="AC1482" s="326"/>
      <c r="AD1482" s="326"/>
      <c r="AE1482" s="327"/>
      <c r="AF1482" s="520"/>
      <c r="AG1482" s="327"/>
      <c r="AH1482" s="520"/>
      <c r="AI1482" s="327"/>
      <c r="AJ1482" s="536"/>
      <c r="AK1482" s="327"/>
      <c r="AL1482" s="556" t="s">
        <v>334</v>
      </c>
      <c r="AM1482" s="327"/>
      <c r="AN1482" s="553" t="s">
        <v>334</v>
      </c>
      <c r="AO1482" s="327"/>
      <c r="AP1482" s="554"/>
      <c r="AQ1482" s="327"/>
      <c r="AR1482" s="555"/>
      <c r="AS1482" s="327"/>
      <c r="AT1482" s="549"/>
      <c r="AU1482" s="327"/>
      <c r="AV1482" s="553" t="s">
        <v>334</v>
      </c>
      <c r="AW1482" s="327"/>
      <c r="AX1482" s="521"/>
      <c r="AY1482" s="326"/>
      <c r="AZ1482" s="327"/>
      <c r="BA1482" s="536"/>
      <c r="BB1482" s="327"/>
      <c r="BC1482" s="22"/>
      <c r="BD1482" s="551" t="s">
        <v>334</v>
      </c>
      <c r="BE1482" s="327"/>
      <c r="BF1482" s="552"/>
      <c r="BG1482" s="326"/>
      <c r="BH1482" s="326"/>
      <c r="BI1482" s="327"/>
      <c r="BJ1482" s="451" t="s">
        <v>303</v>
      </c>
      <c r="BK1482" s="326"/>
      <c r="BL1482" s="326"/>
      <c r="BM1482" s="327"/>
      <c r="BN1482" s="558" t="s">
        <v>303</v>
      </c>
      <c r="BO1482" s="326"/>
      <c r="BP1482" s="326"/>
      <c r="BQ1482" s="326"/>
      <c r="BR1482" s="326"/>
      <c r="BS1482" s="326"/>
      <c r="BT1482" s="326"/>
      <c r="BU1482" s="326"/>
      <c r="BV1482" s="327"/>
    </row>
    <row r="1483" spans="1:74" ht="45" customHeight="1" x14ac:dyDescent="0.25">
      <c r="A1483" s="10">
        <f t="shared" si="5"/>
        <v>1469</v>
      </c>
      <c r="B1483" s="559" t="s">
        <v>303</v>
      </c>
      <c r="C1483" s="327"/>
      <c r="D1483" s="560" t="s">
        <v>307</v>
      </c>
      <c r="E1483" s="327"/>
      <c r="F1483" s="537" t="s">
        <v>334</v>
      </c>
      <c r="G1483" s="327"/>
      <c r="H1483" s="566" t="s">
        <v>334</v>
      </c>
      <c r="I1483" s="327"/>
      <c r="J1483" s="567"/>
      <c r="K1483" s="327"/>
      <c r="L1483" s="567"/>
      <c r="M1483" s="327"/>
      <c r="N1483" s="20"/>
      <c r="O1483" s="21"/>
      <c r="P1483" s="524"/>
      <c r="Q1483" s="327"/>
      <c r="R1483" s="538"/>
      <c r="S1483" s="327"/>
      <c r="T1483" s="539"/>
      <c r="U1483" s="327"/>
      <c r="V1483" s="540"/>
      <c r="W1483" s="327"/>
      <c r="X1483" s="541" t="s">
        <v>303</v>
      </c>
      <c r="Y1483" s="326"/>
      <c r="Z1483" s="326"/>
      <c r="AA1483" s="327"/>
      <c r="AB1483" s="542" t="s">
        <v>303</v>
      </c>
      <c r="AC1483" s="326"/>
      <c r="AD1483" s="326"/>
      <c r="AE1483" s="327"/>
      <c r="AF1483" s="543"/>
      <c r="AG1483" s="327"/>
      <c r="AH1483" s="543"/>
      <c r="AI1483" s="327"/>
      <c r="AJ1483" s="536"/>
      <c r="AK1483" s="327"/>
      <c r="AL1483" s="537" t="s">
        <v>334</v>
      </c>
      <c r="AM1483" s="327"/>
      <c r="AN1483" s="546" t="s">
        <v>334</v>
      </c>
      <c r="AO1483" s="327"/>
      <c r="AP1483" s="547"/>
      <c r="AQ1483" s="327"/>
      <c r="AR1483" s="548"/>
      <c r="AS1483" s="327"/>
      <c r="AT1483" s="549"/>
      <c r="AU1483" s="327"/>
      <c r="AV1483" s="546" t="s">
        <v>334</v>
      </c>
      <c r="AW1483" s="327"/>
      <c r="AX1483" s="521"/>
      <c r="AY1483" s="326"/>
      <c r="AZ1483" s="327"/>
      <c r="BA1483" s="550"/>
      <c r="BB1483" s="327"/>
      <c r="BC1483" s="25"/>
      <c r="BD1483" s="544" t="s">
        <v>334</v>
      </c>
      <c r="BE1483" s="327"/>
      <c r="BF1483" s="545"/>
      <c r="BG1483" s="326"/>
      <c r="BH1483" s="326"/>
      <c r="BI1483" s="327"/>
      <c r="BJ1483" s="557" t="s">
        <v>303</v>
      </c>
      <c r="BK1483" s="326"/>
      <c r="BL1483" s="326"/>
      <c r="BM1483" s="327"/>
      <c r="BN1483" s="558" t="s">
        <v>303</v>
      </c>
      <c r="BO1483" s="326"/>
      <c r="BP1483" s="326"/>
      <c r="BQ1483" s="326"/>
      <c r="BR1483" s="326"/>
      <c r="BS1483" s="326"/>
      <c r="BT1483" s="326"/>
      <c r="BU1483" s="326"/>
      <c r="BV1483" s="327"/>
    </row>
    <row r="1484" spans="1:74" ht="45" customHeight="1" x14ac:dyDescent="0.25">
      <c r="A1484" s="10">
        <f t="shared" si="5"/>
        <v>1470</v>
      </c>
      <c r="B1484" s="564" t="s">
        <v>303</v>
      </c>
      <c r="C1484" s="327"/>
      <c r="D1484" s="565" t="s">
        <v>307</v>
      </c>
      <c r="E1484" s="327"/>
      <c r="F1484" s="537" t="s">
        <v>334</v>
      </c>
      <c r="G1484" s="327"/>
      <c r="H1484" s="561" t="s">
        <v>334</v>
      </c>
      <c r="I1484" s="327"/>
      <c r="J1484" s="26"/>
      <c r="K1484" s="27"/>
      <c r="L1484" s="26"/>
      <c r="M1484" s="27"/>
      <c r="N1484" s="23"/>
      <c r="O1484" s="24"/>
      <c r="P1484" s="563"/>
      <c r="Q1484" s="327"/>
      <c r="R1484" s="516"/>
      <c r="S1484" s="327"/>
      <c r="T1484" s="517"/>
      <c r="U1484" s="327"/>
      <c r="V1484" s="518"/>
      <c r="W1484" s="327"/>
      <c r="X1484" s="438" t="s">
        <v>303</v>
      </c>
      <c r="Y1484" s="326"/>
      <c r="Z1484" s="326"/>
      <c r="AA1484" s="327"/>
      <c r="AB1484" s="519" t="s">
        <v>303</v>
      </c>
      <c r="AC1484" s="326"/>
      <c r="AD1484" s="326"/>
      <c r="AE1484" s="327"/>
      <c r="AF1484" s="520"/>
      <c r="AG1484" s="327"/>
      <c r="AH1484" s="520"/>
      <c r="AI1484" s="327"/>
      <c r="AJ1484" s="536"/>
      <c r="AK1484" s="327"/>
      <c r="AL1484" s="556" t="s">
        <v>334</v>
      </c>
      <c r="AM1484" s="327"/>
      <c r="AN1484" s="553" t="s">
        <v>334</v>
      </c>
      <c r="AO1484" s="327"/>
      <c r="AP1484" s="554"/>
      <c r="AQ1484" s="327"/>
      <c r="AR1484" s="555"/>
      <c r="AS1484" s="327"/>
      <c r="AT1484" s="549"/>
      <c r="AU1484" s="327"/>
      <c r="AV1484" s="553" t="s">
        <v>334</v>
      </c>
      <c r="AW1484" s="327"/>
      <c r="AX1484" s="521"/>
      <c r="AY1484" s="326"/>
      <c r="AZ1484" s="327"/>
      <c r="BA1484" s="536"/>
      <c r="BB1484" s="327"/>
      <c r="BC1484" s="22"/>
      <c r="BD1484" s="551" t="s">
        <v>334</v>
      </c>
      <c r="BE1484" s="327"/>
      <c r="BF1484" s="552"/>
      <c r="BG1484" s="326"/>
      <c r="BH1484" s="326"/>
      <c r="BI1484" s="327"/>
      <c r="BJ1484" s="451" t="s">
        <v>303</v>
      </c>
      <c r="BK1484" s="326"/>
      <c r="BL1484" s="326"/>
      <c r="BM1484" s="327"/>
      <c r="BN1484" s="558" t="s">
        <v>303</v>
      </c>
      <c r="BO1484" s="326"/>
      <c r="BP1484" s="326"/>
      <c r="BQ1484" s="326"/>
      <c r="BR1484" s="326"/>
      <c r="BS1484" s="326"/>
      <c r="BT1484" s="326"/>
      <c r="BU1484" s="326"/>
      <c r="BV1484" s="327"/>
    </row>
    <row r="1485" spans="1:74" ht="45" customHeight="1" x14ac:dyDescent="0.25">
      <c r="A1485" s="10">
        <f t="shared" si="5"/>
        <v>1471</v>
      </c>
      <c r="B1485" s="559" t="s">
        <v>303</v>
      </c>
      <c r="C1485" s="327"/>
      <c r="D1485" s="560" t="s">
        <v>307</v>
      </c>
      <c r="E1485" s="327"/>
      <c r="F1485" s="537" t="s">
        <v>334</v>
      </c>
      <c r="G1485" s="327"/>
      <c r="H1485" s="566" t="s">
        <v>334</v>
      </c>
      <c r="I1485" s="327"/>
      <c r="J1485" s="567"/>
      <c r="K1485" s="327"/>
      <c r="L1485" s="567"/>
      <c r="M1485" s="327"/>
      <c r="N1485" s="20"/>
      <c r="O1485" s="24"/>
      <c r="P1485" s="524"/>
      <c r="Q1485" s="327"/>
      <c r="R1485" s="538"/>
      <c r="S1485" s="327"/>
      <c r="T1485" s="539"/>
      <c r="U1485" s="327"/>
      <c r="V1485" s="540"/>
      <c r="W1485" s="327"/>
      <c r="X1485" s="541" t="s">
        <v>303</v>
      </c>
      <c r="Y1485" s="326"/>
      <c r="Z1485" s="326"/>
      <c r="AA1485" s="327"/>
      <c r="AB1485" s="542" t="s">
        <v>303</v>
      </c>
      <c r="AC1485" s="326"/>
      <c r="AD1485" s="326"/>
      <c r="AE1485" s="327"/>
      <c r="AF1485" s="543"/>
      <c r="AG1485" s="327"/>
      <c r="AH1485" s="543"/>
      <c r="AI1485" s="327"/>
      <c r="AJ1485" s="536"/>
      <c r="AK1485" s="327"/>
      <c r="AL1485" s="537" t="s">
        <v>334</v>
      </c>
      <c r="AM1485" s="327"/>
      <c r="AN1485" s="546" t="s">
        <v>334</v>
      </c>
      <c r="AO1485" s="327"/>
      <c r="AP1485" s="547"/>
      <c r="AQ1485" s="327"/>
      <c r="AR1485" s="548"/>
      <c r="AS1485" s="327"/>
      <c r="AT1485" s="568"/>
      <c r="AU1485" s="327"/>
      <c r="AV1485" s="546" t="s">
        <v>334</v>
      </c>
      <c r="AW1485" s="327"/>
      <c r="AX1485" s="521"/>
      <c r="AY1485" s="326"/>
      <c r="AZ1485" s="327"/>
      <c r="BA1485" s="550"/>
      <c r="BB1485" s="327"/>
      <c r="BC1485" s="25"/>
      <c r="BD1485" s="544" t="s">
        <v>334</v>
      </c>
      <c r="BE1485" s="327"/>
      <c r="BF1485" s="545"/>
      <c r="BG1485" s="326"/>
      <c r="BH1485" s="326"/>
      <c r="BI1485" s="327"/>
      <c r="BJ1485" s="557" t="s">
        <v>303</v>
      </c>
      <c r="BK1485" s="326"/>
      <c r="BL1485" s="326"/>
      <c r="BM1485" s="327"/>
      <c r="BN1485" s="558" t="s">
        <v>303</v>
      </c>
      <c r="BO1485" s="326"/>
      <c r="BP1485" s="326"/>
      <c r="BQ1485" s="326"/>
      <c r="BR1485" s="326"/>
      <c r="BS1485" s="326"/>
      <c r="BT1485" s="326"/>
      <c r="BU1485" s="326"/>
      <c r="BV1485" s="327"/>
    </row>
    <row r="1486" spans="1:74" ht="45" customHeight="1" x14ac:dyDescent="0.25">
      <c r="A1486" s="10">
        <f t="shared" si="5"/>
        <v>1472</v>
      </c>
      <c r="B1486" s="564" t="s">
        <v>303</v>
      </c>
      <c r="C1486" s="327"/>
      <c r="D1486" s="565" t="s">
        <v>307</v>
      </c>
      <c r="E1486" s="327"/>
      <c r="F1486" s="537" t="s">
        <v>334</v>
      </c>
      <c r="G1486" s="327"/>
      <c r="H1486" s="561" t="s">
        <v>334</v>
      </c>
      <c r="I1486" s="327"/>
      <c r="J1486" s="26"/>
      <c r="K1486" s="27"/>
      <c r="L1486" s="26"/>
      <c r="M1486" s="27"/>
      <c r="N1486" s="23"/>
      <c r="O1486" s="21"/>
      <c r="P1486" s="563"/>
      <c r="Q1486" s="327"/>
      <c r="R1486" s="516"/>
      <c r="S1486" s="327"/>
      <c r="T1486" s="517"/>
      <c r="U1486" s="327"/>
      <c r="V1486" s="518"/>
      <c r="W1486" s="327"/>
      <c r="X1486" s="438" t="s">
        <v>303</v>
      </c>
      <c r="Y1486" s="326"/>
      <c r="Z1486" s="326"/>
      <c r="AA1486" s="327"/>
      <c r="AB1486" s="519" t="s">
        <v>303</v>
      </c>
      <c r="AC1486" s="326"/>
      <c r="AD1486" s="326"/>
      <c r="AE1486" s="327"/>
      <c r="AF1486" s="520"/>
      <c r="AG1486" s="327"/>
      <c r="AH1486" s="520"/>
      <c r="AI1486" s="327"/>
      <c r="AJ1486" s="536"/>
      <c r="AK1486" s="327"/>
      <c r="AL1486" s="556" t="s">
        <v>334</v>
      </c>
      <c r="AM1486" s="327"/>
      <c r="AN1486" s="553" t="s">
        <v>334</v>
      </c>
      <c r="AO1486" s="327"/>
      <c r="AP1486" s="554"/>
      <c r="AQ1486" s="327"/>
      <c r="AR1486" s="555"/>
      <c r="AS1486" s="327"/>
      <c r="AT1486" s="549"/>
      <c r="AU1486" s="327"/>
      <c r="AV1486" s="553" t="s">
        <v>334</v>
      </c>
      <c r="AW1486" s="327"/>
      <c r="AX1486" s="521"/>
      <c r="AY1486" s="326"/>
      <c r="AZ1486" s="327"/>
      <c r="BA1486" s="536"/>
      <c r="BB1486" s="327"/>
      <c r="BC1486" s="22"/>
      <c r="BD1486" s="551" t="s">
        <v>334</v>
      </c>
      <c r="BE1486" s="327"/>
      <c r="BF1486" s="508"/>
      <c r="BG1486" s="326"/>
      <c r="BH1486" s="326"/>
      <c r="BI1486" s="327"/>
      <c r="BJ1486" s="451" t="s">
        <v>303</v>
      </c>
      <c r="BK1486" s="326"/>
      <c r="BL1486" s="326"/>
      <c r="BM1486" s="327"/>
      <c r="BN1486" s="558" t="s">
        <v>303</v>
      </c>
      <c r="BO1486" s="326"/>
      <c r="BP1486" s="326"/>
      <c r="BQ1486" s="326"/>
      <c r="BR1486" s="326"/>
      <c r="BS1486" s="326"/>
      <c r="BT1486" s="326"/>
      <c r="BU1486" s="326"/>
      <c r="BV1486" s="327"/>
    </row>
    <row r="1487" spans="1:74" ht="45" customHeight="1" x14ac:dyDescent="0.25">
      <c r="A1487" s="10">
        <f t="shared" si="5"/>
        <v>1473</v>
      </c>
      <c r="B1487" s="559" t="s">
        <v>303</v>
      </c>
      <c r="C1487" s="327"/>
      <c r="D1487" s="560" t="s">
        <v>307</v>
      </c>
      <c r="E1487" s="327"/>
      <c r="F1487" s="537" t="s">
        <v>334</v>
      </c>
      <c r="G1487" s="327"/>
      <c r="H1487" s="566" t="s">
        <v>334</v>
      </c>
      <c r="I1487" s="327"/>
      <c r="J1487" s="567"/>
      <c r="K1487" s="327"/>
      <c r="L1487" s="567"/>
      <c r="M1487" s="327"/>
      <c r="N1487" s="20"/>
      <c r="O1487" s="24"/>
      <c r="P1487" s="524"/>
      <c r="Q1487" s="327"/>
      <c r="R1487" s="538"/>
      <c r="S1487" s="327"/>
      <c r="T1487" s="539"/>
      <c r="U1487" s="327"/>
      <c r="V1487" s="540"/>
      <c r="W1487" s="327"/>
      <c r="X1487" s="541" t="s">
        <v>303</v>
      </c>
      <c r="Y1487" s="326"/>
      <c r="Z1487" s="326"/>
      <c r="AA1487" s="327"/>
      <c r="AB1487" s="542" t="s">
        <v>303</v>
      </c>
      <c r="AC1487" s="326"/>
      <c r="AD1487" s="326"/>
      <c r="AE1487" s="327"/>
      <c r="AF1487" s="543"/>
      <c r="AG1487" s="327"/>
      <c r="AH1487" s="543"/>
      <c r="AI1487" s="327"/>
      <c r="AJ1487" s="536"/>
      <c r="AK1487" s="327"/>
      <c r="AL1487" s="537" t="s">
        <v>334</v>
      </c>
      <c r="AM1487" s="327"/>
      <c r="AN1487" s="546" t="s">
        <v>334</v>
      </c>
      <c r="AO1487" s="327"/>
      <c r="AP1487" s="547"/>
      <c r="AQ1487" s="327"/>
      <c r="AR1487" s="548"/>
      <c r="AS1487" s="327"/>
      <c r="AT1487" s="568"/>
      <c r="AU1487" s="327"/>
      <c r="AV1487" s="546" t="s">
        <v>334</v>
      </c>
      <c r="AW1487" s="327"/>
      <c r="AX1487" s="521"/>
      <c r="AY1487" s="326"/>
      <c r="AZ1487" s="327"/>
      <c r="BA1487" s="550"/>
      <c r="BB1487" s="327"/>
      <c r="BC1487" s="25"/>
      <c r="BD1487" s="544" t="s">
        <v>334</v>
      </c>
      <c r="BE1487" s="327"/>
      <c r="BF1487" s="545"/>
      <c r="BG1487" s="326"/>
      <c r="BH1487" s="326"/>
      <c r="BI1487" s="327"/>
      <c r="BJ1487" s="557" t="s">
        <v>303</v>
      </c>
      <c r="BK1487" s="326"/>
      <c r="BL1487" s="326"/>
      <c r="BM1487" s="327"/>
      <c r="BN1487" s="558" t="s">
        <v>303</v>
      </c>
      <c r="BO1487" s="326"/>
      <c r="BP1487" s="326"/>
      <c r="BQ1487" s="326"/>
      <c r="BR1487" s="326"/>
      <c r="BS1487" s="326"/>
      <c r="BT1487" s="326"/>
      <c r="BU1487" s="326"/>
      <c r="BV1487" s="327"/>
    </row>
    <row r="1488" spans="1:74" ht="45" customHeight="1" x14ac:dyDescent="0.25">
      <c r="A1488" s="10">
        <f t="shared" si="5"/>
        <v>1474</v>
      </c>
      <c r="B1488" s="564" t="s">
        <v>303</v>
      </c>
      <c r="C1488" s="327"/>
      <c r="D1488" s="565" t="s">
        <v>307</v>
      </c>
      <c r="E1488" s="327"/>
      <c r="F1488" s="537" t="s">
        <v>334</v>
      </c>
      <c r="G1488" s="327"/>
      <c r="H1488" s="561" t="s">
        <v>334</v>
      </c>
      <c r="I1488" s="327"/>
      <c r="J1488" s="26"/>
      <c r="K1488" s="27"/>
      <c r="L1488" s="26"/>
      <c r="M1488" s="27"/>
      <c r="N1488" s="23"/>
      <c r="O1488" s="21"/>
      <c r="P1488" s="563"/>
      <c r="Q1488" s="327"/>
      <c r="R1488" s="516"/>
      <c r="S1488" s="327"/>
      <c r="T1488" s="517"/>
      <c r="U1488" s="327"/>
      <c r="V1488" s="518"/>
      <c r="W1488" s="327"/>
      <c r="X1488" s="438" t="s">
        <v>303</v>
      </c>
      <c r="Y1488" s="326"/>
      <c r="Z1488" s="326"/>
      <c r="AA1488" s="327"/>
      <c r="AB1488" s="519" t="s">
        <v>303</v>
      </c>
      <c r="AC1488" s="326"/>
      <c r="AD1488" s="326"/>
      <c r="AE1488" s="327"/>
      <c r="AF1488" s="520"/>
      <c r="AG1488" s="327"/>
      <c r="AH1488" s="520"/>
      <c r="AI1488" s="327"/>
      <c r="AJ1488" s="536"/>
      <c r="AK1488" s="327"/>
      <c r="AL1488" s="556" t="s">
        <v>334</v>
      </c>
      <c r="AM1488" s="327"/>
      <c r="AN1488" s="553" t="s">
        <v>334</v>
      </c>
      <c r="AO1488" s="327"/>
      <c r="AP1488" s="554"/>
      <c r="AQ1488" s="327"/>
      <c r="AR1488" s="555"/>
      <c r="AS1488" s="327"/>
      <c r="AT1488" s="549"/>
      <c r="AU1488" s="327"/>
      <c r="AV1488" s="553" t="s">
        <v>334</v>
      </c>
      <c r="AW1488" s="327"/>
      <c r="AX1488" s="521"/>
      <c r="AY1488" s="326"/>
      <c r="AZ1488" s="327"/>
      <c r="BA1488" s="536"/>
      <c r="BB1488" s="327"/>
      <c r="BC1488" s="22"/>
      <c r="BD1488" s="551" t="s">
        <v>334</v>
      </c>
      <c r="BE1488" s="327"/>
      <c r="BF1488" s="552"/>
      <c r="BG1488" s="326"/>
      <c r="BH1488" s="326"/>
      <c r="BI1488" s="327"/>
      <c r="BJ1488" s="451" t="s">
        <v>303</v>
      </c>
      <c r="BK1488" s="326"/>
      <c r="BL1488" s="326"/>
      <c r="BM1488" s="327"/>
      <c r="BN1488" s="558" t="s">
        <v>303</v>
      </c>
      <c r="BO1488" s="326"/>
      <c r="BP1488" s="326"/>
      <c r="BQ1488" s="326"/>
      <c r="BR1488" s="326"/>
      <c r="BS1488" s="326"/>
      <c r="BT1488" s="326"/>
      <c r="BU1488" s="326"/>
      <c r="BV1488" s="327"/>
    </row>
    <row r="1489" spans="1:74" ht="45" customHeight="1" x14ac:dyDescent="0.25">
      <c r="A1489" s="10">
        <f t="shared" si="5"/>
        <v>1475</v>
      </c>
      <c r="B1489" s="559" t="s">
        <v>303</v>
      </c>
      <c r="C1489" s="327"/>
      <c r="D1489" s="560" t="s">
        <v>307</v>
      </c>
      <c r="E1489" s="327"/>
      <c r="F1489" s="537" t="s">
        <v>334</v>
      </c>
      <c r="G1489" s="327"/>
      <c r="H1489" s="566" t="s">
        <v>334</v>
      </c>
      <c r="I1489" s="327"/>
      <c r="J1489" s="567"/>
      <c r="K1489" s="327"/>
      <c r="L1489" s="567"/>
      <c r="M1489" s="327"/>
      <c r="N1489" s="20"/>
      <c r="O1489" s="24"/>
      <c r="P1489" s="524"/>
      <c r="Q1489" s="327"/>
      <c r="R1489" s="538"/>
      <c r="S1489" s="327"/>
      <c r="T1489" s="539"/>
      <c r="U1489" s="327"/>
      <c r="V1489" s="540"/>
      <c r="W1489" s="327"/>
      <c r="X1489" s="541" t="s">
        <v>303</v>
      </c>
      <c r="Y1489" s="326"/>
      <c r="Z1489" s="326"/>
      <c r="AA1489" s="327"/>
      <c r="AB1489" s="542" t="s">
        <v>303</v>
      </c>
      <c r="AC1489" s="326"/>
      <c r="AD1489" s="326"/>
      <c r="AE1489" s="327"/>
      <c r="AF1489" s="543"/>
      <c r="AG1489" s="327"/>
      <c r="AH1489" s="543"/>
      <c r="AI1489" s="327"/>
      <c r="AJ1489" s="536"/>
      <c r="AK1489" s="327"/>
      <c r="AL1489" s="537" t="s">
        <v>334</v>
      </c>
      <c r="AM1489" s="327"/>
      <c r="AN1489" s="546" t="s">
        <v>334</v>
      </c>
      <c r="AO1489" s="327"/>
      <c r="AP1489" s="547"/>
      <c r="AQ1489" s="327"/>
      <c r="AR1489" s="548"/>
      <c r="AS1489" s="327"/>
      <c r="AT1489" s="568"/>
      <c r="AU1489" s="327"/>
      <c r="AV1489" s="546" t="s">
        <v>334</v>
      </c>
      <c r="AW1489" s="327"/>
      <c r="AX1489" s="521"/>
      <c r="AY1489" s="326"/>
      <c r="AZ1489" s="327"/>
      <c r="BA1489" s="550"/>
      <c r="BB1489" s="327"/>
      <c r="BC1489" s="25"/>
      <c r="BD1489" s="544" t="s">
        <v>334</v>
      </c>
      <c r="BE1489" s="327"/>
      <c r="BF1489" s="545"/>
      <c r="BG1489" s="326"/>
      <c r="BH1489" s="326"/>
      <c r="BI1489" s="327"/>
      <c r="BJ1489" s="557" t="s">
        <v>303</v>
      </c>
      <c r="BK1489" s="326"/>
      <c r="BL1489" s="326"/>
      <c r="BM1489" s="327"/>
      <c r="BN1489" s="558" t="s">
        <v>303</v>
      </c>
      <c r="BO1489" s="326"/>
      <c r="BP1489" s="326"/>
      <c r="BQ1489" s="326"/>
      <c r="BR1489" s="326"/>
      <c r="BS1489" s="326"/>
      <c r="BT1489" s="326"/>
      <c r="BU1489" s="326"/>
      <c r="BV1489" s="327"/>
    </row>
    <row r="1490" spans="1:74" ht="45" customHeight="1" x14ac:dyDescent="0.25">
      <c r="A1490" s="10">
        <f t="shared" si="5"/>
        <v>1476</v>
      </c>
      <c r="B1490" s="564" t="s">
        <v>303</v>
      </c>
      <c r="C1490" s="327"/>
      <c r="D1490" s="565" t="s">
        <v>307</v>
      </c>
      <c r="E1490" s="327"/>
      <c r="F1490" s="537" t="s">
        <v>334</v>
      </c>
      <c r="G1490" s="327"/>
      <c r="H1490" s="561" t="s">
        <v>334</v>
      </c>
      <c r="I1490" s="327"/>
      <c r="J1490" s="26"/>
      <c r="K1490" s="27"/>
      <c r="L1490" s="26"/>
      <c r="M1490" s="27"/>
      <c r="N1490" s="23"/>
      <c r="O1490" s="21"/>
      <c r="P1490" s="563"/>
      <c r="Q1490" s="327"/>
      <c r="R1490" s="516"/>
      <c r="S1490" s="327"/>
      <c r="T1490" s="517"/>
      <c r="U1490" s="327"/>
      <c r="V1490" s="518"/>
      <c r="W1490" s="327"/>
      <c r="X1490" s="438" t="s">
        <v>303</v>
      </c>
      <c r="Y1490" s="326"/>
      <c r="Z1490" s="326"/>
      <c r="AA1490" s="327"/>
      <c r="AB1490" s="519" t="s">
        <v>303</v>
      </c>
      <c r="AC1490" s="326"/>
      <c r="AD1490" s="326"/>
      <c r="AE1490" s="327"/>
      <c r="AF1490" s="520"/>
      <c r="AG1490" s="327"/>
      <c r="AH1490" s="520"/>
      <c r="AI1490" s="327"/>
      <c r="AJ1490" s="536"/>
      <c r="AK1490" s="327"/>
      <c r="AL1490" s="556" t="s">
        <v>334</v>
      </c>
      <c r="AM1490" s="327"/>
      <c r="AN1490" s="553" t="s">
        <v>334</v>
      </c>
      <c r="AO1490" s="327"/>
      <c r="AP1490" s="554"/>
      <c r="AQ1490" s="327"/>
      <c r="AR1490" s="555"/>
      <c r="AS1490" s="327"/>
      <c r="AT1490" s="549"/>
      <c r="AU1490" s="327"/>
      <c r="AV1490" s="553" t="s">
        <v>334</v>
      </c>
      <c r="AW1490" s="327"/>
      <c r="AX1490" s="521"/>
      <c r="AY1490" s="326"/>
      <c r="AZ1490" s="327"/>
      <c r="BA1490" s="536"/>
      <c r="BB1490" s="327"/>
      <c r="BC1490" s="22"/>
      <c r="BD1490" s="551" t="s">
        <v>334</v>
      </c>
      <c r="BE1490" s="327"/>
      <c r="BF1490" s="552"/>
      <c r="BG1490" s="326"/>
      <c r="BH1490" s="326"/>
      <c r="BI1490" s="327"/>
      <c r="BJ1490" s="451" t="s">
        <v>303</v>
      </c>
      <c r="BK1490" s="326"/>
      <c r="BL1490" s="326"/>
      <c r="BM1490" s="327"/>
      <c r="BN1490" s="558" t="s">
        <v>303</v>
      </c>
      <c r="BO1490" s="326"/>
      <c r="BP1490" s="326"/>
      <c r="BQ1490" s="326"/>
      <c r="BR1490" s="326"/>
      <c r="BS1490" s="326"/>
      <c r="BT1490" s="326"/>
      <c r="BU1490" s="326"/>
      <c r="BV1490" s="327"/>
    </row>
    <row r="1491" spans="1:74" ht="45" customHeight="1" x14ac:dyDescent="0.25">
      <c r="A1491" s="10">
        <f t="shared" si="5"/>
        <v>1477</v>
      </c>
      <c r="B1491" s="559" t="s">
        <v>303</v>
      </c>
      <c r="C1491" s="327"/>
      <c r="D1491" s="560" t="s">
        <v>307</v>
      </c>
      <c r="E1491" s="327"/>
      <c r="F1491" s="537" t="s">
        <v>334</v>
      </c>
      <c r="G1491" s="327"/>
      <c r="H1491" s="566" t="s">
        <v>334</v>
      </c>
      <c r="I1491" s="327"/>
      <c r="J1491" s="567"/>
      <c r="K1491" s="327"/>
      <c r="L1491" s="567"/>
      <c r="M1491" s="327"/>
      <c r="N1491" s="20"/>
      <c r="O1491" s="24"/>
      <c r="P1491" s="524"/>
      <c r="Q1491" s="327"/>
      <c r="R1491" s="538"/>
      <c r="S1491" s="327"/>
      <c r="T1491" s="539"/>
      <c r="U1491" s="327"/>
      <c r="V1491" s="540"/>
      <c r="W1491" s="327"/>
      <c r="X1491" s="541" t="s">
        <v>303</v>
      </c>
      <c r="Y1491" s="326"/>
      <c r="Z1491" s="326"/>
      <c r="AA1491" s="327"/>
      <c r="AB1491" s="542" t="s">
        <v>303</v>
      </c>
      <c r="AC1491" s="326"/>
      <c r="AD1491" s="326"/>
      <c r="AE1491" s="327"/>
      <c r="AF1491" s="543"/>
      <c r="AG1491" s="327"/>
      <c r="AH1491" s="543"/>
      <c r="AI1491" s="327"/>
      <c r="AJ1491" s="536"/>
      <c r="AK1491" s="327"/>
      <c r="AL1491" s="537" t="s">
        <v>334</v>
      </c>
      <c r="AM1491" s="327"/>
      <c r="AN1491" s="546" t="s">
        <v>334</v>
      </c>
      <c r="AO1491" s="327"/>
      <c r="AP1491" s="547"/>
      <c r="AQ1491" s="327"/>
      <c r="AR1491" s="548"/>
      <c r="AS1491" s="327"/>
      <c r="AT1491" s="568"/>
      <c r="AU1491" s="327"/>
      <c r="AV1491" s="546" t="s">
        <v>334</v>
      </c>
      <c r="AW1491" s="327"/>
      <c r="AX1491" s="521"/>
      <c r="AY1491" s="326"/>
      <c r="AZ1491" s="327"/>
      <c r="BA1491" s="550"/>
      <c r="BB1491" s="327"/>
      <c r="BC1491" s="25"/>
      <c r="BD1491" s="544" t="s">
        <v>334</v>
      </c>
      <c r="BE1491" s="327"/>
      <c r="BF1491" s="545"/>
      <c r="BG1491" s="326"/>
      <c r="BH1491" s="326"/>
      <c r="BI1491" s="327"/>
      <c r="BJ1491" s="557" t="s">
        <v>303</v>
      </c>
      <c r="BK1491" s="326"/>
      <c r="BL1491" s="326"/>
      <c r="BM1491" s="327"/>
      <c r="BN1491" s="558" t="s">
        <v>303</v>
      </c>
      <c r="BO1491" s="326"/>
      <c r="BP1491" s="326"/>
      <c r="BQ1491" s="326"/>
      <c r="BR1491" s="326"/>
      <c r="BS1491" s="326"/>
      <c r="BT1491" s="326"/>
      <c r="BU1491" s="326"/>
      <c r="BV1491" s="327"/>
    </row>
    <row r="1492" spans="1:74" ht="45" customHeight="1" x14ac:dyDescent="0.25">
      <c r="A1492" s="10">
        <f t="shared" si="5"/>
        <v>1478</v>
      </c>
      <c r="B1492" s="564" t="s">
        <v>303</v>
      </c>
      <c r="C1492" s="327"/>
      <c r="D1492" s="565" t="s">
        <v>307</v>
      </c>
      <c r="E1492" s="327"/>
      <c r="F1492" s="537" t="s">
        <v>334</v>
      </c>
      <c r="G1492" s="327"/>
      <c r="H1492" s="561" t="s">
        <v>334</v>
      </c>
      <c r="I1492" s="327"/>
      <c r="J1492" s="26"/>
      <c r="K1492" s="27"/>
      <c r="L1492" s="26"/>
      <c r="M1492" s="27"/>
      <c r="N1492" s="23"/>
      <c r="O1492" s="21"/>
      <c r="P1492" s="563"/>
      <c r="Q1492" s="327"/>
      <c r="R1492" s="516"/>
      <c r="S1492" s="327"/>
      <c r="T1492" s="517"/>
      <c r="U1492" s="327"/>
      <c r="V1492" s="518"/>
      <c r="W1492" s="327"/>
      <c r="X1492" s="438" t="s">
        <v>303</v>
      </c>
      <c r="Y1492" s="326"/>
      <c r="Z1492" s="326"/>
      <c r="AA1492" s="327"/>
      <c r="AB1492" s="519" t="s">
        <v>303</v>
      </c>
      <c r="AC1492" s="326"/>
      <c r="AD1492" s="326"/>
      <c r="AE1492" s="327"/>
      <c r="AF1492" s="520"/>
      <c r="AG1492" s="327"/>
      <c r="AH1492" s="520"/>
      <c r="AI1492" s="327"/>
      <c r="AJ1492" s="536"/>
      <c r="AK1492" s="327"/>
      <c r="AL1492" s="556" t="s">
        <v>334</v>
      </c>
      <c r="AM1492" s="327"/>
      <c r="AN1492" s="553" t="s">
        <v>334</v>
      </c>
      <c r="AO1492" s="327"/>
      <c r="AP1492" s="554"/>
      <c r="AQ1492" s="327"/>
      <c r="AR1492" s="555"/>
      <c r="AS1492" s="327"/>
      <c r="AT1492" s="549"/>
      <c r="AU1492" s="327"/>
      <c r="AV1492" s="553" t="s">
        <v>334</v>
      </c>
      <c r="AW1492" s="327"/>
      <c r="AX1492" s="521"/>
      <c r="AY1492" s="326"/>
      <c r="AZ1492" s="327"/>
      <c r="BA1492" s="536"/>
      <c r="BB1492" s="327"/>
      <c r="BC1492" s="22"/>
      <c r="BD1492" s="551" t="s">
        <v>334</v>
      </c>
      <c r="BE1492" s="327"/>
      <c r="BF1492" s="508"/>
      <c r="BG1492" s="326"/>
      <c r="BH1492" s="326"/>
      <c r="BI1492" s="327"/>
      <c r="BJ1492" s="451" t="s">
        <v>303</v>
      </c>
      <c r="BK1492" s="326"/>
      <c r="BL1492" s="326"/>
      <c r="BM1492" s="327"/>
      <c r="BN1492" s="558" t="s">
        <v>303</v>
      </c>
      <c r="BO1492" s="326"/>
      <c r="BP1492" s="326"/>
      <c r="BQ1492" s="326"/>
      <c r="BR1492" s="326"/>
      <c r="BS1492" s="326"/>
      <c r="BT1492" s="326"/>
      <c r="BU1492" s="326"/>
      <c r="BV1492" s="327"/>
    </row>
    <row r="1493" spans="1:74" ht="45" customHeight="1" x14ac:dyDescent="0.25">
      <c r="A1493" s="10">
        <f t="shared" si="5"/>
        <v>1479</v>
      </c>
      <c r="B1493" s="559" t="s">
        <v>303</v>
      </c>
      <c r="C1493" s="327"/>
      <c r="D1493" s="560" t="s">
        <v>307</v>
      </c>
      <c r="E1493" s="327"/>
      <c r="F1493" s="537" t="s">
        <v>334</v>
      </c>
      <c r="G1493" s="327"/>
      <c r="H1493" s="566" t="s">
        <v>334</v>
      </c>
      <c r="I1493" s="327"/>
      <c r="J1493" s="567"/>
      <c r="K1493" s="327"/>
      <c r="L1493" s="567"/>
      <c r="M1493" s="327"/>
      <c r="N1493" s="20"/>
      <c r="O1493" s="24"/>
      <c r="P1493" s="524"/>
      <c r="Q1493" s="327"/>
      <c r="R1493" s="538"/>
      <c r="S1493" s="327"/>
      <c r="T1493" s="539"/>
      <c r="U1493" s="327"/>
      <c r="V1493" s="540"/>
      <c r="W1493" s="327"/>
      <c r="X1493" s="541" t="s">
        <v>303</v>
      </c>
      <c r="Y1493" s="326"/>
      <c r="Z1493" s="326"/>
      <c r="AA1493" s="327"/>
      <c r="AB1493" s="542" t="s">
        <v>303</v>
      </c>
      <c r="AC1493" s="326"/>
      <c r="AD1493" s="326"/>
      <c r="AE1493" s="327"/>
      <c r="AF1493" s="543"/>
      <c r="AG1493" s="327"/>
      <c r="AH1493" s="543"/>
      <c r="AI1493" s="327"/>
      <c r="AJ1493" s="536"/>
      <c r="AK1493" s="327"/>
      <c r="AL1493" s="537" t="s">
        <v>334</v>
      </c>
      <c r="AM1493" s="327"/>
      <c r="AN1493" s="546" t="s">
        <v>334</v>
      </c>
      <c r="AO1493" s="327"/>
      <c r="AP1493" s="547"/>
      <c r="AQ1493" s="327"/>
      <c r="AR1493" s="548"/>
      <c r="AS1493" s="327"/>
      <c r="AT1493" s="568"/>
      <c r="AU1493" s="327"/>
      <c r="AV1493" s="546" t="s">
        <v>334</v>
      </c>
      <c r="AW1493" s="327"/>
      <c r="AX1493" s="521"/>
      <c r="AY1493" s="326"/>
      <c r="AZ1493" s="327"/>
      <c r="BA1493" s="550"/>
      <c r="BB1493" s="327"/>
      <c r="BC1493" s="25"/>
      <c r="BD1493" s="544" t="s">
        <v>334</v>
      </c>
      <c r="BE1493" s="327"/>
      <c r="BF1493" s="545"/>
      <c r="BG1493" s="326"/>
      <c r="BH1493" s="326"/>
      <c r="BI1493" s="327"/>
      <c r="BJ1493" s="557" t="s">
        <v>303</v>
      </c>
      <c r="BK1493" s="326"/>
      <c r="BL1493" s="326"/>
      <c r="BM1493" s="327"/>
      <c r="BN1493" s="558" t="s">
        <v>303</v>
      </c>
      <c r="BO1493" s="326"/>
      <c r="BP1493" s="326"/>
      <c r="BQ1493" s="326"/>
      <c r="BR1493" s="326"/>
      <c r="BS1493" s="326"/>
      <c r="BT1493" s="326"/>
      <c r="BU1493" s="326"/>
      <c r="BV1493" s="327"/>
    </row>
    <row r="1494" spans="1:74" ht="45" customHeight="1" x14ac:dyDescent="0.25">
      <c r="A1494" s="10">
        <f t="shared" si="5"/>
        <v>1480</v>
      </c>
      <c r="B1494" s="564" t="s">
        <v>303</v>
      </c>
      <c r="C1494" s="327"/>
      <c r="D1494" s="565" t="s">
        <v>307</v>
      </c>
      <c r="E1494" s="327"/>
      <c r="F1494" s="537" t="s">
        <v>334</v>
      </c>
      <c r="G1494" s="327"/>
      <c r="H1494" s="561" t="s">
        <v>334</v>
      </c>
      <c r="I1494" s="327"/>
      <c r="J1494" s="26"/>
      <c r="K1494" s="27"/>
      <c r="L1494" s="26"/>
      <c r="M1494" s="27"/>
      <c r="N1494" s="23"/>
      <c r="O1494" s="21"/>
      <c r="P1494" s="563"/>
      <c r="Q1494" s="327"/>
      <c r="R1494" s="516"/>
      <c r="S1494" s="327"/>
      <c r="T1494" s="517"/>
      <c r="U1494" s="327"/>
      <c r="V1494" s="518"/>
      <c r="W1494" s="327"/>
      <c r="X1494" s="438" t="s">
        <v>303</v>
      </c>
      <c r="Y1494" s="326"/>
      <c r="Z1494" s="326"/>
      <c r="AA1494" s="327"/>
      <c r="AB1494" s="519" t="s">
        <v>303</v>
      </c>
      <c r="AC1494" s="326"/>
      <c r="AD1494" s="326"/>
      <c r="AE1494" s="327"/>
      <c r="AF1494" s="520"/>
      <c r="AG1494" s="327"/>
      <c r="AH1494" s="520"/>
      <c r="AI1494" s="327"/>
      <c r="AJ1494" s="536"/>
      <c r="AK1494" s="327"/>
      <c r="AL1494" s="556" t="s">
        <v>334</v>
      </c>
      <c r="AM1494" s="327"/>
      <c r="AN1494" s="553" t="s">
        <v>334</v>
      </c>
      <c r="AO1494" s="327"/>
      <c r="AP1494" s="554"/>
      <c r="AQ1494" s="327"/>
      <c r="AR1494" s="555"/>
      <c r="AS1494" s="327"/>
      <c r="AT1494" s="549"/>
      <c r="AU1494" s="327"/>
      <c r="AV1494" s="553" t="s">
        <v>334</v>
      </c>
      <c r="AW1494" s="327"/>
      <c r="AX1494" s="521"/>
      <c r="AY1494" s="326"/>
      <c r="AZ1494" s="327"/>
      <c r="BA1494" s="536"/>
      <c r="BB1494" s="327"/>
      <c r="BC1494" s="22"/>
      <c r="BD1494" s="551" t="s">
        <v>334</v>
      </c>
      <c r="BE1494" s="327"/>
      <c r="BF1494" s="552"/>
      <c r="BG1494" s="326"/>
      <c r="BH1494" s="326"/>
      <c r="BI1494" s="327"/>
      <c r="BJ1494" s="451" t="s">
        <v>303</v>
      </c>
      <c r="BK1494" s="326"/>
      <c r="BL1494" s="326"/>
      <c r="BM1494" s="327"/>
      <c r="BN1494" s="558" t="s">
        <v>303</v>
      </c>
      <c r="BO1494" s="326"/>
      <c r="BP1494" s="326"/>
      <c r="BQ1494" s="326"/>
      <c r="BR1494" s="326"/>
      <c r="BS1494" s="326"/>
      <c r="BT1494" s="326"/>
      <c r="BU1494" s="326"/>
      <c r="BV1494" s="327"/>
    </row>
    <row r="1495" spans="1:74" ht="45" customHeight="1" x14ac:dyDescent="0.25">
      <c r="A1495" s="10">
        <f t="shared" si="5"/>
        <v>1481</v>
      </c>
      <c r="B1495" s="559" t="s">
        <v>303</v>
      </c>
      <c r="C1495" s="327"/>
      <c r="D1495" s="560" t="s">
        <v>307</v>
      </c>
      <c r="E1495" s="327"/>
      <c r="F1495" s="537" t="s">
        <v>334</v>
      </c>
      <c r="G1495" s="327"/>
      <c r="H1495" s="566" t="s">
        <v>334</v>
      </c>
      <c r="I1495" s="327"/>
      <c r="J1495" s="567"/>
      <c r="K1495" s="327"/>
      <c r="L1495" s="567"/>
      <c r="M1495" s="327"/>
      <c r="N1495" s="23"/>
      <c r="O1495" s="24"/>
      <c r="P1495" s="563"/>
      <c r="Q1495" s="327"/>
      <c r="R1495" s="538"/>
      <c r="S1495" s="327"/>
      <c r="T1495" s="539"/>
      <c r="U1495" s="327"/>
      <c r="V1495" s="540"/>
      <c r="W1495" s="327"/>
      <c r="X1495" s="541" t="s">
        <v>303</v>
      </c>
      <c r="Y1495" s="326"/>
      <c r="Z1495" s="326"/>
      <c r="AA1495" s="327"/>
      <c r="AB1495" s="542" t="s">
        <v>303</v>
      </c>
      <c r="AC1495" s="326"/>
      <c r="AD1495" s="326"/>
      <c r="AE1495" s="327"/>
      <c r="AF1495" s="543"/>
      <c r="AG1495" s="327"/>
      <c r="AH1495" s="543"/>
      <c r="AI1495" s="327"/>
      <c r="AJ1495" s="536"/>
      <c r="AK1495" s="327"/>
      <c r="AL1495" s="537" t="s">
        <v>334</v>
      </c>
      <c r="AM1495" s="327"/>
      <c r="AN1495" s="546" t="s">
        <v>334</v>
      </c>
      <c r="AO1495" s="327"/>
      <c r="AP1495" s="547"/>
      <c r="AQ1495" s="327"/>
      <c r="AR1495" s="548"/>
      <c r="AS1495" s="327"/>
      <c r="AT1495" s="549"/>
      <c r="AU1495" s="327"/>
      <c r="AV1495" s="546" t="s">
        <v>334</v>
      </c>
      <c r="AW1495" s="327"/>
      <c r="AX1495" s="521"/>
      <c r="AY1495" s="326"/>
      <c r="AZ1495" s="327"/>
      <c r="BA1495" s="550"/>
      <c r="BB1495" s="327"/>
      <c r="BC1495" s="25"/>
      <c r="BD1495" s="544" t="s">
        <v>334</v>
      </c>
      <c r="BE1495" s="327"/>
      <c r="BF1495" s="545"/>
      <c r="BG1495" s="326"/>
      <c r="BH1495" s="326"/>
      <c r="BI1495" s="327"/>
      <c r="BJ1495" s="557" t="s">
        <v>303</v>
      </c>
      <c r="BK1495" s="326"/>
      <c r="BL1495" s="326"/>
      <c r="BM1495" s="327"/>
      <c r="BN1495" s="558" t="s">
        <v>303</v>
      </c>
      <c r="BO1495" s="326"/>
      <c r="BP1495" s="326"/>
      <c r="BQ1495" s="326"/>
      <c r="BR1495" s="326"/>
      <c r="BS1495" s="326"/>
      <c r="BT1495" s="326"/>
      <c r="BU1495" s="326"/>
      <c r="BV1495" s="327"/>
    </row>
    <row r="1496" spans="1:74" ht="45" customHeight="1" x14ac:dyDescent="0.25">
      <c r="A1496" s="10">
        <f t="shared" si="5"/>
        <v>1482</v>
      </c>
      <c r="B1496" s="564" t="s">
        <v>303</v>
      </c>
      <c r="C1496" s="327"/>
      <c r="D1496" s="565" t="s">
        <v>307</v>
      </c>
      <c r="E1496" s="327"/>
      <c r="F1496" s="537" t="s">
        <v>334</v>
      </c>
      <c r="G1496" s="327"/>
      <c r="H1496" s="561" t="s">
        <v>334</v>
      </c>
      <c r="I1496" s="327"/>
      <c r="J1496" s="26"/>
      <c r="K1496" s="27"/>
      <c r="L1496" s="26"/>
      <c r="M1496" s="27"/>
      <c r="N1496" s="20"/>
      <c r="O1496" s="21"/>
      <c r="P1496" s="524"/>
      <c r="Q1496" s="327"/>
      <c r="R1496" s="516"/>
      <c r="S1496" s="327"/>
      <c r="T1496" s="517"/>
      <c r="U1496" s="327"/>
      <c r="V1496" s="518"/>
      <c r="W1496" s="327"/>
      <c r="X1496" s="438" t="s">
        <v>303</v>
      </c>
      <c r="Y1496" s="326"/>
      <c r="Z1496" s="326"/>
      <c r="AA1496" s="327"/>
      <c r="AB1496" s="519" t="s">
        <v>303</v>
      </c>
      <c r="AC1496" s="326"/>
      <c r="AD1496" s="326"/>
      <c r="AE1496" s="327"/>
      <c r="AF1496" s="520"/>
      <c r="AG1496" s="327"/>
      <c r="AH1496" s="520"/>
      <c r="AI1496" s="327"/>
      <c r="AJ1496" s="536"/>
      <c r="AK1496" s="327"/>
      <c r="AL1496" s="556" t="s">
        <v>334</v>
      </c>
      <c r="AM1496" s="327"/>
      <c r="AN1496" s="553" t="s">
        <v>334</v>
      </c>
      <c r="AO1496" s="327"/>
      <c r="AP1496" s="554"/>
      <c r="AQ1496" s="327"/>
      <c r="AR1496" s="555"/>
      <c r="AS1496" s="327"/>
      <c r="AT1496" s="549"/>
      <c r="AU1496" s="327"/>
      <c r="AV1496" s="553" t="s">
        <v>334</v>
      </c>
      <c r="AW1496" s="327"/>
      <c r="AX1496" s="521"/>
      <c r="AY1496" s="326"/>
      <c r="AZ1496" s="327"/>
      <c r="BA1496" s="536"/>
      <c r="BB1496" s="327"/>
      <c r="BC1496" s="22"/>
      <c r="BD1496" s="551" t="s">
        <v>334</v>
      </c>
      <c r="BE1496" s="327"/>
      <c r="BF1496" s="552"/>
      <c r="BG1496" s="326"/>
      <c r="BH1496" s="326"/>
      <c r="BI1496" s="327"/>
      <c r="BJ1496" s="451" t="s">
        <v>303</v>
      </c>
      <c r="BK1496" s="326"/>
      <c r="BL1496" s="326"/>
      <c r="BM1496" s="327"/>
      <c r="BN1496" s="558" t="s">
        <v>303</v>
      </c>
      <c r="BO1496" s="326"/>
      <c r="BP1496" s="326"/>
      <c r="BQ1496" s="326"/>
      <c r="BR1496" s="326"/>
      <c r="BS1496" s="326"/>
      <c r="BT1496" s="326"/>
      <c r="BU1496" s="326"/>
      <c r="BV1496" s="327"/>
    </row>
    <row r="1497" spans="1:74" ht="45" customHeight="1" x14ac:dyDescent="0.25">
      <c r="A1497" s="10">
        <f t="shared" si="5"/>
        <v>1483</v>
      </c>
      <c r="B1497" s="559" t="s">
        <v>303</v>
      </c>
      <c r="C1497" s="327"/>
      <c r="D1497" s="560" t="s">
        <v>307</v>
      </c>
      <c r="E1497" s="327"/>
      <c r="F1497" s="537" t="s">
        <v>334</v>
      </c>
      <c r="G1497" s="327"/>
      <c r="H1497" s="566" t="s">
        <v>334</v>
      </c>
      <c r="I1497" s="327"/>
      <c r="J1497" s="567"/>
      <c r="K1497" s="327"/>
      <c r="L1497" s="567"/>
      <c r="M1497" s="327"/>
      <c r="N1497" s="23"/>
      <c r="O1497" s="24"/>
      <c r="P1497" s="563"/>
      <c r="Q1497" s="327"/>
      <c r="R1497" s="538"/>
      <c r="S1497" s="327"/>
      <c r="T1497" s="539"/>
      <c r="U1497" s="327"/>
      <c r="V1497" s="540"/>
      <c r="W1497" s="327"/>
      <c r="X1497" s="541" t="s">
        <v>303</v>
      </c>
      <c r="Y1497" s="326"/>
      <c r="Z1497" s="326"/>
      <c r="AA1497" s="327"/>
      <c r="AB1497" s="542" t="s">
        <v>303</v>
      </c>
      <c r="AC1497" s="326"/>
      <c r="AD1497" s="326"/>
      <c r="AE1497" s="327"/>
      <c r="AF1497" s="543"/>
      <c r="AG1497" s="327"/>
      <c r="AH1497" s="543"/>
      <c r="AI1497" s="327"/>
      <c r="AJ1497" s="536"/>
      <c r="AK1497" s="327"/>
      <c r="AL1497" s="537" t="s">
        <v>334</v>
      </c>
      <c r="AM1497" s="327"/>
      <c r="AN1497" s="546" t="s">
        <v>334</v>
      </c>
      <c r="AO1497" s="327"/>
      <c r="AP1497" s="547"/>
      <c r="AQ1497" s="327"/>
      <c r="AR1497" s="548"/>
      <c r="AS1497" s="327"/>
      <c r="AT1497" s="549"/>
      <c r="AU1497" s="327"/>
      <c r="AV1497" s="546" t="s">
        <v>334</v>
      </c>
      <c r="AW1497" s="327"/>
      <c r="AX1497" s="521"/>
      <c r="AY1497" s="326"/>
      <c r="AZ1497" s="327"/>
      <c r="BA1497" s="550"/>
      <c r="BB1497" s="327"/>
      <c r="BC1497" s="25"/>
      <c r="BD1497" s="544" t="s">
        <v>334</v>
      </c>
      <c r="BE1497" s="327"/>
      <c r="BF1497" s="545"/>
      <c r="BG1497" s="326"/>
      <c r="BH1497" s="326"/>
      <c r="BI1497" s="327"/>
      <c r="BJ1497" s="557" t="s">
        <v>303</v>
      </c>
      <c r="BK1497" s="326"/>
      <c r="BL1497" s="326"/>
      <c r="BM1497" s="327"/>
      <c r="BN1497" s="558" t="s">
        <v>303</v>
      </c>
      <c r="BO1497" s="326"/>
      <c r="BP1497" s="326"/>
      <c r="BQ1497" s="326"/>
      <c r="BR1497" s="326"/>
      <c r="BS1497" s="326"/>
      <c r="BT1497" s="326"/>
      <c r="BU1497" s="326"/>
      <c r="BV1497" s="327"/>
    </row>
    <row r="1498" spans="1:74" ht="45" customHeight="1" x14ac:dyDescent="0.25">
      <c r="A1498" s="10">
        <f t="shared" si="5"/>
        <v>1484</v>
      </c>
      <c r="B1498" s="564" t="s">
        <v>303</v>
      </c>
      <c r="C1498" s="327"/>
      <c r="D1498" s="565" t="s">
        <v>307</v>
      </c>
      <c r="E1498" s="327"/>
      <c r="F1498" s="537" t="s">
        <v>334</v>
      </c>
      <c r="G1498" s="327"/>
      <c r="H1498" s="561" t="s">
        <v>334</v>
      </c>
      <c r="I1498" s="327"/>
      <c r="J1498" s="26"/>
      <c r="K1498" s="27"/>
      <c r="L1498" s="26"/>
      <c r="M1498" s="27"/>
      <c r="N1498" s="20"/>
      <c r="O1498" s="21"/>
      <c r="P1498" s="524"/>
      <c r="Q1498" s="327"/>
      <c r="R1498" s="516"/>
      <c r="S1498" s="327"/>
      <c r="T1498" s="517"/>
      <c r="U1498" s="327"/>
      <c r="V1498" s="518"/>
      <c r="W1498" s="327"/>
      <c r="X1498" s="438" t="s">
        <v>303</v>
      </c>
      <c r="Y1498" s="326"/>
      <c r="Z1498" s="326"/>
      <c r="AA1498" s="327"/>
      <c r="AB1498" s="519" t="s">
        <v>303</v>
      </c>
      <c r="AC1498" s="326"/>
      <c r="AD1498" s="326"/>
      <c r="AE1498" s="327"/>
      <c r="AF1498" s="520"/>
      <c r="AG1498" s="327"/>
      <c r="AH1498" s="520"/>
      <c r="AI1498" s="327"/>
      <c r="AJ1498" s="536"/>
      <c r="AK1498" s="327"/>
      <c r="AL1498" s="556" t="s">
        <v>334</v>
      </c>
      <c r="AM1498" s="327"/>
      <c r="AN1498" s="553" t="s">
        <v>334</v>
      </c>
      <c r="AO1498" s="327"/>
      <c r="AP1498" s="554"/>
      <c r="AQ1498" s="327"/>
      <c r="AR1498" s="555"/>
      <c r="AS1498" s="327"/>
      <c r="AT1498" s="549"/>
      <c r="AU1498" s="327"/>
      <c r="AV1498" s="553" t="s">
        <v>334</v>
      </c>
      <c r="AW1498" s="327"/>
      <c r="AX1498" s="521"/>
      <c r="AY1498" s="326"/>
      <c r="AZ1498" s="327"/>
      <c r="BA1498" s="536"/>
      <c r="BB1498" s="327"/>
      <c r="BC1498" s="22"/>
      <c r="BD1498" s="551" t="s">
        <v>334</v>
      </c>
      <c r="BE1498" s="327"/>
      <c r="BF1498" s="552"/>
      <c r="BG1498" s="326"/>
      <c r="BH1498" s="326"/>
      <c r="BI1498" s="327"/>
      <c r="BJ1498" s="451" t="s">
        <v>303</v>
      </c>
      <c r="BK1498" s="326"/>
      <c r="BL1498" s="326"/>
      <c r="BM1498" s="327"/>
      <c r="BN1498" s="558" t="s">
        <v>303</v>
      </c>
      <c r="BO1498" s="326"/>
      <c r="BP1498" s="326"/>
      <c r="BQ1498" s="326"/>
      <c r="BR1498" s="326"/>
      <c r="BS1498" s="326"/>
      <c r="BT1498" s="326"/>
      <c r="BU1498" s="326"/>
      <c r="BV1498" s="327"/>
    </row>
    <row r="1499" spans="1:74" ht="45" customHeight="1" x14ac:dyDescent="0.25">
      <c r="A1499" s="10">
        <f t="shared" si="5"/>
        <v>1485</v>
      </c>
      <c r="B1499" s="559" t="s">
        <v>303</v>
      </c>
      <c r="C1499" s="327"/>
      <c r="D1499" s="560" t="s">
        <v>307</v>
      </c>
      <c r="E1499" s="327"/>
      <c r="F1499" s="537" t="s">
        <v>334</v>
      </c>
      <c r="G1499" s="327"/>
      <c r="H1499" s="566" t="s">
        <v>334</v>
      </c>
      <c r="I1499" s="327"/>
      <c r="J1499" s="567"/>
      <c r="K1499" s="327"/>
      <c r="L1499" s="567"/>
      <c r="M1499" s="327"/>
      <c r="N1499" s="23"/>
      <c r="O1499" s="24"/>
      <c r="P1499" s="563"/>
      <c r="Q1499" s="327"/>
      <c r="R1499" s="538"/>
      <c r="S1499" s="327"/>
      <c r="T1499" s="539"/>
      <c r="U1499" s="327"/>
      <c r="V1499" s="540"/>
      <c r="W1499" s="327"/>
      <c r="X1499" s="541" t="s">
        <v>303</v>
      </c>
      <c r="Y1499" s="326"/>
      <c r="Z1499" s="326"/>
      <c r="AA1499" s="327"/>
      <c r="AB1499" s="542" t="s">
        <v>303</v>
      </c>
      <c r="AC1499" s="326"/>
      <c r="AD1499" s="326"/>
      <c r="AE1499" s="327"/>
      <c r="AF1499" s="543"/>
      <c r="AG1499" s="327"/>
      <c r="AH1499" s="543"/>
      <c r="AI1499" s="327"/>
      <c r="AJ1499" s="536"/>
      <c r="AK1499" s="327"/>
      <c r="AL1499" s="537" t="s">
        <v>334</v>
      </c>
      <c r="AM1499" s="327"/>
      <c r="AN1499" s="546" t="s">
        <v>334</v>
      </c>
      <c r="AO1499" s="327"/>
      <c r="AP1499" s="547"/>
      <c r="AQ1499" s="327"/>
      <c r="AR1499" s="548"/>
      <c r="AS1499" s="327"/>
      <c r="AT1499" s="568"/>
      <c r="AU1499" s="327"/>
      <c r="AV1499" s="546" t="s">
        <v>334</v>
      </c>
      <c r="AW1499" s="327"/>
      <c r="AX1499" s="521"/>
      <c r="AY1499" s="326"/>
      <c r="AZ1499" s="327"/>
      <c r="BA1499" s="550"/>
      <c r="BB1499" s="327"/>
      <c r="BC1499" s="25"/>
      <c r="BD1499" s="544" t="s">
        <v>334</v>
      </c>
      <c r="BE1499" s="327"/>
      <c r="BF1499" s="545"/>
      <c r="BG1499" s="326"/>
      <c r="BH1499" s="326"/>
      <c r="BI1499" s="327"/>
      <c r="BJ1499" s="557" t="s">
        <v>303</v>
      </c>
      <c r="BK1499" s="326"/>
      <c r="BL1499" s="326"/>
      <c r="BM1499" s="327"/>
      <c r="BN1499" s="558" t="s">
        <v>303</v>
      </c>
      <c r="BO1499" s="326"/>
      <c r="BP1499" s="326"/>
      <c r="BQ1499" s="326"/>
      <c r="BR1499" s="326"/>
      <c r="BS1499" s="326"/>
      <c r="BT1499" s="326"/>
      <c r="BU1499" s="326"/>
      <c r="BV1499" s="327"/>
    </row>
    <row r="1500" spans="1:74" ht="45" customHeight="1" x14ac:dyDescent="0.25">
      <c r="A1500" s="10">
        <f t="shared" si="5"/>
        <v>1486</v>
      </c>
      <c r="B1500" s="564" t="s">
        <v>303</v>
      </c>
      <c r="C1500" s="327"/>
      <c r="D1500" s="565" t="s">
        <v>307</v>
      </c>
      <c r="E1500" s="327"/>
      <c r="F1500" s="537" t="s">
        <v>334</v>
      </c>
      <c r="G1500" s="327"/>
      <c r="H1500" s="561" t="s">
        <v>334</v>
      </c>
      <c r="I1500" s="327"/>
      <c r="J1500" s="26"/>
      <c r="K1500" s="27"/>
      <c r="L1500" s="26"/>
      <c r="M1500" s="27"/>
      <c r="N1500" s="20"/>
      <c r="O1500" s="21"/>
      <c r="P1500" s="524"/>
      <c r="Q1500" s="327"/>
      <c r="R1500" s="516"/>
      <c r="S1500" s="327"/>
      <c r="T1500" s="517"/>
      <c r="U1500" s="327"/>
      <c r="V1500" s="518"/>
      <c r="W1500" s="327"/>
      <c r="X1500" s="438" t="s">
        <v>303</v>
      </c>
      <c r="Y1500" s="326"/>
      <c r="Z1500" s="326"/>
      <c r="AA1500" s="327"/>
      <c r="AB1500" s="519" t="s">
        <v>303</v>
      </c>
      <c r="AC1500" s="326"/>
      <c r="AD1500" s="326"/>
      <c r="AE1500" s="327"/>
      <c r="AF1500" s="520"/>
      <c r="AG1500" s="327"/>
      <c r="AH1500" s="520"/>
      <c r="AI1500" s="327"/>
      <c r="AJ1500" s="536"/>
      <c r="AK1500" s="327"/>
      <c r="AL1500" s="556" t="s">
        <v>334</v>
      </c>
      <c r="AM1500" s="327"/>
      <c r="AN1500" s="553" t="s">
        <v>334</v>
      </c>
      <c r="AO1500" s="327"/>
      <c r="AP1500" s="554"/>
      <c r="AQ1500" s="327"/>
      <c r="AR1500" s="555"/>
      <c r="AS1500" s="327"/>
      <c r="AT1500" s="549"/>
      <c r="AU1500" s="327"/>
      <c r="AV1500" s="553" t="s">
        <v>334</v>
      </c>
      <c r="AW1500" s="327"/>
      <c r="AX1500" s="521"/>
      <c r="AY1500" s="326"/>
      <c r="AZ1500" s="327"/>
      <c r="BA1500" s="536"/>
      <c r="BB1500" s="327"/>
      <c r="BC1500" s="22"/>
      <c r="BD1500" s="551" t="s">
        <v>334</v>
      </c>
      <c r="BE1500" s="327"/>
      <c r="BF1500" s="508"/>
      <c r="BG1500" s="326"/>
      <c r="BH1500" s="326"/>
      <c r="BI1500" s="327"/>
      <c r="BJ1500" s="451" t="s">
        <v>303</v>
      </c>
      <c r="BK1500" s="326"/>
      <c r="BL1500" s="326"/>
      <c r="BM1500" s="327"/>
      <c r="BN1500" s="558" t="s">
        <v>303</v>
      </c>
      <c r="BO1500" s="326"/>
      <c r="BP1500" s="326"/>
      <c r="BQ1500" s="326"/>
      <c r="BR1500" s="326"/>
      <c r="BS1500" s="326"/>
      <c r="BT1500" s="326"/>
      <c r="BU1500" s="326"/>
      <c r="BV1500" s="327"/>
    </row>
    <row r="1501" spans="1:74" ht="45" customHeight="1" x14ac:dyDescent="0.25">
      <c r="A1501" s="10">
        <f t="shared" si="5"/>
        <v>1487</v>
      </c>
      <c r="B1501" s="559" t="s">
        <v>303</v>
      </c>
      <c r="C1501" s="327"/>
      <c r="D1501" s="560" t="s">
        <v>307</v>
      </c>
      <c r="E1501" s="327"/>
      <c r="F1501" s="537" t="s">
        <v>334</v>
      </c>
      <c r="G1501" s="327"/>
      <c r="H1501" s="566" t="s">
        <v>334</v>
      </c>
      <c r="I1501" s="327"/>
      <c r="J1501" s="567"/>
      <c r="K1501" s="327"/>
      <c r="L1501" s="567"/>
      <c r="M1501" s="327"/>
      <c r="N1501" s="23"/>
      <c r="O1501" s="24"/>
      <c r="P1501" s="563"/>
      <c r="Q1501" s="327"/>
      <c r="R1501" s="538"/>
      <c r="S1501" s="327"/>
      <c r="T1501" s="539"/>
      <c r="U1501" s="327"/>
      <c r="V1501" s="540"/>
      <c r="W1501" s="327"/>
      <c r="X1501" s="541" t="s">
        <v>303</v>
      </c>
      <c r="Y1501" s="326"/>
      <c r="Z1501" s="326"/>
      <c r="AA1501" s="327"/>
      <c r="AB1501" s="542" t="s">
        <v>303</v>
      </c>
      <c r="AC1501" s="326"/>
      <c r="AD1501" s="326"/>
      <c r="AE1501" s="327"/>
      <c r="AF1501" s="543"/>
      <c r="AG1501" s="327"/>
      <c r="AH1501" s="543"/>
      <c r="AI1501" s="327"/>
      <c r="AJ1501" s="536"/>
      <c r="AK1501" s="327"/>
      <c r="AL1501" s="537" t="s">
        <v>334</v>
      </c>
      <c r="AM1501" s="327"/>
      <c r="AN1501" s="546" t="s">
        <v>334</v>
      </c>
      <c r="AO1501" s="327"/>
      <c r="AP1501" s="547"/>
      <c r="AQ1501" s="327"/>
      <c r="AR1501" s="548"/>
      <c r="AS1501" s="327"/>
      <c r="AT1501" s="568"/>
      <c r="AU1501" s="327"/>
      <c r="AV1501" s="546" t="s">
        <v>334</v>
      </c>
      <c r="AW1501" s="327"/>
      <c r="AX1501" s="521"/>
      <c r="AY1501" s="326"/>
      <c r="AZ1501" s="327"/>
      <c r="BA1501" s="550"/>
      <c r="BB1501" s="327"/>
      <c r="BC1501" s="25"/>
      <c r="BD1501" s="544" t="s">
        <v>334</v>
      </c>
      <c r="BE1501" s="327"/>
      <c r="BF1501" s="545"/>
      <c r="BG1501" s="326"/>
      <c r="BH1501" s="326"/>
      <c r="BI1501" s="327"/>
      <c r="BJ1501" s="557" t="s">
        <v>303</v>
      </c>
      <c r="BK1501" s="326"/>
      <c r="BL1501" s="326"/>
      <c r="BM1501" s="327"/>
      <c r="BN1501" s="558" t="s">
        <v>303</v>
      </c>
      <c r="BO1501" s="326"/>
      <c r="BP1501" s="326"/>
      <c r="BQ1501" s="326"/>
      <c r="BR1501" s="326"/>
      <c r="BS1501" s="326"/>
      <c r="BT1501" s="326"/>
      <c r="BU1501" s="326"/>
      <c r="BV1501" s="327"/>
    </row>
    <row r="1502" spans="1:74" ht="45" customHeight="1" x14ac:dyDescent="0.25">
      <c r="A1502" s="10">
        <f t="shared" si="5"/>
        <v>1488</v>
      </c>
      <c r="B1502" s="564" t="s">
        <v>303</v>
      </c>
      <c r="C1502" s="327"/>
      <c r="D1502" s="565" t="s">
        <v>307</v>
      </c>
      <c r="E1502" s="327"/>
      <c r="F1502" s="537" t="s">
        <v>334</v>
      </c>
      <c r="G1502" s="327"/>
      <c r="H1502" s="561" t="s">
        <v>334</v>
      </c>
      <c r="I1502" s="327"/>
      <c r="J1502" s="26"/>
      <c r="K1502" s="27"/>
      <c r="L1502" s="26"/>
      <c r="M1502" s="27"/>
      <c r="N1502" s="20"/>
      <c r="O1502" s="21"/>
      <c r="P1502" s="524"/>
      <c r="Q1502" s="327"/>
      <c r="R1502" s="516"/>
      <c r="S1502" s="327"/>
      <c r="T1502" s="517"/>
      <c r="U1502" s="327"/>
      <c r="V1502" s="518"/>
      <c r="W1502" s="327"/>
      <c r="X1502" s="438" t="s">
        <v>303</v>
      </c>
      <c r="Y1502" s="326"/>
      <c r="Z1502" s="326"/>
      <c r="AA1502" s="327"/>
      <c r="AB1502" s="519" t="s">
        <v>303</v>
      </c>
      <c r="AC1502" s="326"/>
      <c r="AD1502" s="326"/>
      <c r="AE1502" s="327"/>
      <c r="AF1502" s="520"/>
      <c r="AG1502" s="327"/>
      <c r="AH1502" s="520"/>
      <c r="AI1502" s="327"/>
      <c r="AJ1502" s="536"/>
      <c r="AK1502" s="327"/>
      <c r="AL1502" s="556" t="s">
        <v>334</v>
      </c>
      <c r="AM1502" s="327"/>
      <c r="AN1502" s="553" t="s">
        <v>334</v>
      </c>
      <c r="AO1502" s="327"/>
      <c r="AP1502" s="554"/>
      <c r="AQ1502" s="327"/>
      <c r="AR1502" s="555"/>
      <c r="AS1502" s="327"/>
      <c r="AT1502" s="549"/>
      <c r="AU1502" s="327"/>
      <c r="AV1502" s="553" t="s">
        <v>334</v>
      </c>
      <c r="AW1502" s="327"/>
      <c r="AX1502" s="521"/>
      <c r="AY1502" s="326"/>
      <c r="AZ1502" s="327"/>
      <c r="BA1502" s="536"/>
      <c r="BB1502" s="327"/>
      <c r="BC1502" s="22"/>
      <c r="BD1502" s="551" t="s">
        <v>334</v>
      </c>
      <c r="BE1502" s="327"/>
      <c r="BF1502" s="552"/>
      <c r="BG1502" s="326"/>
      <c r="BH1502" s="326"/>
      <c r="BI1502" s="327"/>
      <c r="BJ1502" s="451" t="s">
        <v>303</v>
      </c>
      <c r="BK1502" s="326"/>
      <c r="BL1502" s="326"/>
      <c r="BM1502" s="327"/>
      <c r="BN1502" s="558" t="s">
        <v>303</v>
      </c>
      <c r="BO1502" s="326"/>
      <c r="BP1502" s="326"/>
      <c r="BQ1502" s="326"/>
      <c r="BR1502" s="326"/>
      <c r="BS1502" s="326"/>
      <c r="BT1502" s="326"/>
      <c r="BU1502" s="326"/>
      <c r="BV1502" s="327"/>
    </row>
    <row r="1503" spans="1:74" ht="45" customHeight="1" x14ac:dyDescent="0.25">
      <c r="A1503" s="10">
        <f t="shared" si="5"/>
        <v>1489</v>
      </c>
      <c r="B1503" s="559" t="s">
        <v>303</v>
      </c>
      <c r="C1503" s="327"/>
      <c r="D1503" s="560" t="s">
        <v>307</v>
      </c>
      <c r="E1503" s="327"/>
      <c r="F1503" s="537" t="s">
        <v>334</v>
      </c>
      <c r="G1503" s="327"/>
      <c r="H1503" s="566" t="s">
        <v>334</v>
      </c>
      <c r="I1503" s="327"/>
      <c r="J1503" s="567"/>
      <c r="K1503" s="327"/>
      <c r="L1503" s="567"/>
      <c r="M1503" s="327"/>
      <c r="N1503" s="23"/>
      <c r="O1503" s="24"/>
      <c r="P1503" s="563"/>
      <c r="Q1503" s="327"/>
      <c r="R1503" s="538"/>
      <c r="S1503" s="327"/>
      <c r="T1503" s="539"/>
      <c r="U1503" s="327"/>
      <c r="V1503" s="540"/>
      <c r="W1503" s="327"/>
      <c r="X1503" s="541" t="s">
        <v>303</v>
      </c>
      <c r="Y1503" s="326"/>
      <c r="Z1503" s="326"/>
      <c r="AA1503" s="327"/>
      <c r="AB1503" s="542" t="s">
        <v>303</v>
      </c>
      <c r="AC1503" s="326"/>
      <c r="AD1503" s="326"/>
      <c r="AE1503" s="327"/>
      <c r="AF1503" s="543"/>
      <c r="AG1503" s="327"/>
      <c r="AH1503" s="543"/>
      <c r="AI1503" s="327"/>
      <c r="AJ1503" s="536"/>
      <c r="AK1503" s="327"/>
      <c r="AL1503" s="537" t="s">
        <v>334</v>
      </c>
      <c r="AM1503" s="327"/>
      <c r="AN1503" s="546" t="s">
        <v>334</v>
      </c>
      <c r="AO1503" s="327"/>
      <c r="AP1503" s="547"/>
      <c r="AQ1503" s="327"/>
      <c r="AR1503" s="548"/>
      <c r="AS1503" s="327"/>
      <c r="AT1503" s="568"/>
      <c r="AU1503" s="327"/>
      <c r="AV1503" s="546" t="s">
        <v>334</v>
      </c>
      <c r="AW1503" s="327"/>
      <c r="AX1503" s="521"/>
      <c r="AY1503" s="326"/>
      <c r="AZ1503" s="327"/>
      <c r="BA1503" s="550"/>
      <c r="BB1503" s="327"/>
      <c r="BC1503" s="25"/>
      <c r="BD1503" s="544" t="s">
        <v>334</v>
      </c>
      <c r="BE1503" s="327"/>
      <c r="BF1503" s="545"/>
      <c r="BG1503" s="326"/>
      <c r="BH1503" s="326"/>
      <c r="BI1503" s="327"/>
      <c r="BJ1503" s="557" t="s">
        <v>303</v>
      </c>
      <c r="BK1503" s="326"/>
      <c r="BL1503" s="326"/>
      <c r="BM1503" s="327"/>
      <c r="BN1503" s="558" t="s">
        <v>303</v>
      </c>
      <c r="BO1503" s="326"/>
      <c r="BP1503" s="326"/>
      <c r="BQ1503" s="326"/>
      <c r="BR1503" s="326"/>
      <c r="BS1503" s="326"/>
      <c r="BT1503" s="326"/>
      <c r="BU1503" s="326"/>
      <c r="BV1503" s="327"/>
    </row>
    <row r="1504" spans="1:74" ht="45" customHeight="1" x14ac:dyDescent="0.25">
      <c r="A1504" s="10">
        <f t="shared" si="5"/>
        <v>1490</v>
      </c>
      <c r="B1504" s="564" t="s">
        <v>303</v>
      </c>
      <c r="C1504" s="327"/>
      <c r="D1504" s="565" t="s">
        <v>307</v>
      </c>
      <c r="E1504" s="327"/>
      <c r="F1504" s="537" t="s">
        <v>334</v>
      </c>
      <c r="G1504" s="327"/>
      <c r="H1504" s="561" t="s">
        <v>334</v>
      </c>
      <c r="I1504" s="327"/>
      <c r="J1504" s="26"/>
      <c r="K1504" s="27"/>
      <c r="L1504" s="26"/>
      <c r="M1504" s="27"/>
      <c r="N1504" s="20"/>
      <c r="O1504" s="21"/>
      <c r="P1504" s="524"/>
      <c r="Q1504" s="327"/>
      <c r="R1504" s="516"/>
      <c r="S1504" s="327"/>
      <c r="T1504" s="517"/>
      <c r="U1504" s="327"/>
      <c r="V1504" s="518"/>
      <c r="W1504" s="327"/>
      <c r="X1504" s="438" t="s">
        <v>303</v>
      </c>
      <c r="Y1504" s="326"/>
      <c r="Z1504" s="326"/>
      <c r="AA1504" s="327"/>
      <c r="AB1504" s="519" t="s">
        <v>303</v>
      </c>
      <c r="AC1504" s="326"/>
      <c r="AD1504" s="326"/>
      <c r="AE1504" s="327"/>
      <c r="AF1504" s="520"/>
      <c r="AG1504" s="327"/>
      <c r="AH1504" s="520"/>
      <c r="AI1504" s="327"/>
      <c r="AJ1504" s="536"/>
      <c r="AK1504" s="327"/>
      <c r="AL1504" s="556" t="s">
        <v>334</v>
      </c>
      <c r="AM1504" s="327"/>
      <c r="AN1504" s="553" t="s">
        <v>334</v>
      </c>
      <c r="AO1504" s="327"/>
      <c r="AP1504" s="554"/>
      <c r="AQ1504" s="327"/>
      <c r="AR1504" s="555"/>
      <c r="AS1504" s="327"/>
      <c r="AT1504" s="549"/>
      <c r="AU1504" s="327"/>
      <c r="AV1504" s="553" t="s">
        <v>334</v>
      </c>
      <c r="AW1504" s="327"/>
      <c r="AX1504" s="521"/>
      <c r="AY1504" s="326"/>
      <c r="AZ1504" s="327"/>
      <c r="BA1504" s="536"/>
      <c r="BB1504" s="327"/>
      <c r="BC1504" s="22"/>
      <c r="BD1504" s="551" t="s">
        <v>334</v>
      </c>
      <c r="BE1504" s="327"/>
      <c r="BF1504" s="552"/>
      <c r="BG1504" s="326"/>
      <c r="BH1504" s="326"/>
      <c r="BI1504" s="327"/>
      <c r="BJ1504" s="451" t="s">
        <v>303</v>
      </c>
      <c r="BK1504" s="326"/>
      <c r="BL1504" s="326"/>
      <c r="BM1504" s="327"/>
      <c r="BN1504" s="558" t="s">
        <v>303</v>
      </c>
      <c r="BO1504" s="326"/>
      <c r="BP1504" s="326"/>
      <c r="BQ1504" s="326"/>
      <c r="BR1504" s="326"/>
      <c r="BS1504" s="326"/>
      <c r="BT1504" s="326"/>
      <c r="BU1504" s="326"/>
      <c r="BV1504" s="327"/>
    </row>
    <row r="1505" spans="1:74" ht="45" customHeight="1" x14ac:dyDescent="0.25">
      <c r="A1505" s="10">
        <f t="shared" si="5"/>
        <v>1491</v>
      </c>
      <c r="B1505" s="559" t="s">
        <v>303</v>
      </c>
      <c r="C1505" s="327"/>
      <c r="D1505" s="560" t="s">
        <v>307</v>
      </c>
      <c r="E1505" s="327"/>
      <c r="F1505" s="537" t="s">
        <v>334</v>
      </c>
      <c r="G1505" s="327"/>
      <c r="H1505" s="546" t="s">
        <v>334</v>
      </c>
      <c r="I1505" s="327"/>
      <c r="J1505" s="562"/>
      <c r="K1505" s="327"/>
      <c r="L1505" s="562"/>
      <c r="M1505" s="327"/>
      <c r="N1505" s="23"/>
      <c r="O1505" s="24"/>
      <c r="P1505" s="563"/>
      <c r="Q1505" s="327"/>
      <c r="R1505" s="538"/>
      <c r="S1505" s="327"/>
      <c r="T1505" s="539"/>
      <c r="U1505" s="327"/>
      <c r="V1505" s="540"/>
      <c r="W1505" s="327"/>
      <c r="X1505" s="541" t="s">
        <v>303</v>
      </c>
      <c r="Y1505" s="326"/>
      <c r="Z1505" s="326"/>
      <c r="AA1505" s="327"/>
      <c r="AB1505" s="542" t="s">
        <v>303</v>
      </c>
      <c r="AC1505" s="326"/>
      <c r="AD1505" s="326"/>
      <c r="AE1505" s="327"/>
      <c r="AF1505" s="543"/>
      <c r="AG1505" s="327"/>
      <c r="AH1505" s="543"/>
      <c r="AI1505" s="327"/>
      <c r="AJ1505" s="536"/>
      <c r="AK1505" s="327"/>
      <c r="AL1505" s="537" t="s">
        <v>334</v>
      </c>
      <c r="AM1505" s="327"/>
      <c r="AN1505" s="546" t="s">
        <v>334</v>
      </c>
      <c r="AO1505" s="327"/>
      <c r="AP1505" s="547"/>
      <c r="AQ1505" s="327"/>
      <c r="AR1505" s="548"/>
      <c r="AS1505" s="327"/>
      <c r="AT1505" s="568"/>
      <c r="AU1505" s="327"/>
      <c r="AV1505" s="546" t="s">
        <v>334</v>
      </c>
      <c r="AW1505" s="327"/>
      <c r="AX1505" s="521"/>
      <c r="AY1505" s="326"/>
      <c r="AZ1505" s="327"/>
      <c r="BA1505" s="550"/>
      <c r="BB1505" s="327"/>
      <c r="BC1505" s="25"/>
      <c r="BD1505" s="544" t="s">
        <v>334</v>
      </c>
      <c r="BE1505" s="327"/>
      <c r="BF1505" s="545"/>
      <c r="BG1505" s="326"/>
      <c r="BH1505" s="326"/>
      <c r="BI1505" s="327"/>
      <c r="BJ1505" s="557" t="s">
        <v>303</v>
      </c>
      <c r="BK1505" s="326"/>
      <c r="BL1505" s="326"/>
      <c r="BM1505" s="327"/>
      <c r="BN1505" s="558" t="s">
        <v>303</v>
      </c>
      <c r="BO1505" s="326"/>
      <c r="BP1505" s="326"/>
      <c r="BQ1505" s="326"/>
      <c r="BR1505" s="326"/>
      <c r="BS1505" s="326"/>
      <c r="BT1505" s="326"/>
      <c r="BU1505" s="326"/>
      <c r="BV1505" s="327"/>
    </row>
    <row r="1506" spans="1:74" ht="45" customHeight="1" x14ac:dyDescent="0.25">
      <c r="A1506" s="10">
        <f t="shared" si="5"/>
        <v>1492</v>
      </c>
      <c r="B1506" s="564" t="s">
        <v>303</v>
      </c>
      <c r="C1506" s="327"/>
      <c r="D1506" s="565" t="s">
        <v>307</v>
      </c>
      <c r="E1506" s="327"/>
      <c r="F1506" s="537" t="s">
        <v>334</v>
      </c>
      <c r="G1506" s="327"/>
      <c r="H1506" s="553" t="s">
        <v>334</v>
      </c>
      <c r="I1506" s="327"/>
      <c r="J1506" s="567"/>
      <c r="K1506" s="327"/>
      <c r="L1506" s="567"/>
      <c r="M1506" s="327"/>
      <c r="N1506" s="20"/>
      <c r="O1506" s="21"/>
      <c r="P1506" s="524"/>
      <c r="Q1506" s="327"/>
      <c r="R1506" s="516"/>
      <c r="S1506" s="327"/>
      <c r="T1506" s="517"/>
      <c r="U1506" s="327"/>
      <c r="V1506" s="518"/>
      <c r="W1506" s="327"/>
      <c r="X1506" s="438" t="s">
        <v>303</v>
      </c>
      <c r="Y1506" s="326"/>
      <c r="Z1506" s="326"/>
      <c r="AA1506" s="327"/>
      <c r="AB1506" s="519" t="s">
        <v>303</v>
      </c>
      <c r="AC1506" s="326"/>
      <c r="AD1506" s="326"/>
      <c r="AE1506" s="327"/>
      <c r="AF1506" s="520"/>
      <c r="AG1506" s="327"/>
      <c r="AH1506" s="520"/>
      <c r="AI1506" s="327"/>
      <c r="AJ1506" s="536"/>
      <c r="AK1506" s="327"/>
      <c r="AL1506" s="556" t="s">
        <v>334</v>
      </c>
      <c r="AM1506" s="327"/>
      <c r="AN1506" s="553" t="s">
        <v>334</v>
      </c>
      <c r="AO1506" s="327"/>
      <c r="AP1506" s="554"/>
      <c r="AQ1506" s="327"/>
      <c r="AR1506" s="555"/>
      <c r="AS1506" s="327"/>
      <c r="AT1506" s="549"/>
      <c r="AU1506" s="327"/>
      <c r="AV1506" s="553" t="s">
        <v>334</v>
      </c>
      <c r="AW1506" s="327"/>
      <c r="AX1506" s="521"/>
      <c r="AY1506" s="326"/>
      <c r="AZ1506" s="327"/>
      <c r="BA1506" s="536"/>
      <c r="BB1506" s="327"/>
      <c r="BC1506" s="22"/>
      <c r="BD1506" s="551" t="s">
        <v>334</v>
      </c>
      <c r="BE1506" s="327"/>
      <c r="BF1506" s="508"/>
      <c r="BG1506" s="326"/>
      <c r="BH1506" s="326"/>
      <c r="BI1506" s="327"/>
      <c r="BJ1506" s="451" t="s">
        <v>303</v>
      </c>
      <c r="BK1506" s="326"/>
      <c r="BL1506" s="326"/>
      <c r="BM1506" s="327"/>
      <c r="BN1506" s="558" t="s">
        <v>303</v>
      </c>
      <c r="BO1506" s="326"/>
      <c r="BP1506" s="326"/>
      <c r="BQ1506" s="326"/>
      <c r="BR1506" s="326"/>
      <c r="BS1506" s="326"/>
      <c r="BT1506" s="326"/>
      <c r="BU1506" s="326"/>
      <c r="BV1506" s="327"/>
    </row>
    <row r="1507" spans="1:74" ht="45" customHeight="1" x14ac:dyDescent="0.25">
      <c r="A1507" s="10">
        <f t="shared" si="5"/>
        <v>1493</v>
      </c>
      <c r="B1507" s="559" t="s">
        <v>303</v>
      </c>
      <c r="C1507" s="327"/>
      <c r="D1507" s="560" t="s">
        <v>307</v>
      </c>
      <c r="E1507" s="327"/>
      <c r="F1507" s="537" t="s">
        <v>334</v>
      </c>
      <c r="G1507" s="327"/>
      <c r="H1507" s="546" t="s">
        <v>334</v>
      </c>
      <c r="I1507" s="327"/>
      <c r="J1507" s="562"/>
      <c r="K1507" s="327"/>
      <c r="L1507" s="562"/>
      <c r="M1507" s="327"/>
      <c r="N1507" s="23"/>
      <c r="O1507" s="24"/>
      <c r="P1507" s="563"/>
      <c r="Q1507" s="327"/>
      <c r="R1507" s="538"/>
      <c r="S1507" s="327"/>
      <c r="T1507" s="539"/>
      <c r="U1507" s="327"/>
      <c r="V1507" s="540"/>
      <c r="W1507" s="327"/>
      <c r="X1507" s="541" t="s">
        <v>303</v>
      </c>
      <c r="Y1507" s="326"/>
      <c r="Z1507" s="326"/>
      <c r="AA1507" s="327"/>
      <c r="AB1507" s="542" t="s">
        <v>303</v>
      </c>
      <c r="AC1507" s="326"/>
      <c r="AD1507" s="326"/>
      <c r="AE1507" s="327"/>
      <c r="AF1507" s="543"/>
      <c r="AG1507" s="327"/>
      <c r="AH1507" s="543"/>
      <c r="AI1507" s="327"/>
      <c r="AJ1507" s="536"/>
      <c r="AK1507" s="327"/>
      <c r="AL1507" s="537" t="s">
        <v>334</v>
      </c>
      <c r="AM1507" s="327"/>
      <c r="AN1507" s="546" t="s">
        <v>334</v>
      </c>
      <c r="AO1507" s="327"/>
      <c r="AP1507" s="547"/>
      <c r="AQ1507" s="327"/>
      <c r="AR1507" s="548"/>
      <c r="AS1507" s="327"/>
      <c r="AT1507" s="568"/>
      <c r="AU1507" s="327"/>
      <c r="AV1507" s="546" t="s">
        <v>334</v>
      </c>
      <c r="AW1507" s="327"/>
      <c r="AX1507" s="521"/>
      <c r="AY1507" s="326"/>
      <c r="AZ1507" s="327"/>
      <c r="BA1507" s="550"/>
      <c r="BB1507" s="327"/>
      <c r="BC1507" s="25"/>
      <c r="BD1507" s="544" t="s">
        <v>334</v>
      </c>
      <c r="BE1507" s="327"/>
      <c r="BF1507" s="545"/>
      <c r="BG1507" s="326"/>
      <c r="BH1507" s="326"/>
      <c r="BI1507" s="327"/>
      <c r="BJ1507" s="557" t="s">
        <v>303</v>
      </c>
      <c r="BK1507" s="326"/>
      <c r="BL1507" s="326"/>
      <c r="BM1507" s="327"/>
      <c r="BN1507" s="558" t="s">
        <v>303</v>
      </c>
      <c r="BO1507" s="326"/>
      <c r="BP1507" s="326"/>
      <c r="BQ1507" s="326"/>
      <c r="BR1507" s="326"/>
      <c r="BS1507" s="326"/>
      <c r="BT1507" s="326"/>
      <c r="BU1507" s="326"/>
      <c r="BV1507" s="327"/>
    </row>
    <row r="1508" spans="1:74" ht="45" customHeight="1" x14ac:dyDescent="0.25">
      <c r="A1508" s="10">
        <f t="shared" si="5"/>
        <v>1494</v>
      </c>
      <c r="B1508" s="564" t="s">
        <v>303</v>
      </c>
      <c r="C1508" s="327"/>
      <c r="D1508" s="565" t="s">
        <v>307</v>
      </c>
      <c r="E1508" s="327"/>
      <c r="F1508" s="537" t="s">
        <v>334</v>
      </c>
      <c r="G1508" s="327"/>
      <c r="H1508" s="553" t="s">
        <v>334</v>
      </c>
      <c r="I1508" s="327"/>
      <c r="J1508" s="567"/>
      <c r="K1508" s="327"/>
      <c r="L1508" s="567"/>
      <c r="M1508" s="327"/>
      <c r="N1508" s="20"/>
      <c r="O1508" s="21"/>
      <c r="P1508" s="524"/>
      <c r="Q1508" s="327"/>
      <c r="R1508" s="516"/>
      <c r="S1508" s="327"/>
      <c r="T1508" s="517"/>
      <c r="U1508" s="327"/>
      <c r="V1508" s="518"/>
      <c r="W1508" s="327"/>
      <c r="X1508" s="438" t="s">
        <v>303</v>
      </c>
      <c r="Y1508" s="326"/>
      <c r="Z1508" s="326"/>
      <c r="AA1508" s="327"/>
      <c r="AB1508" s="519" t="s">
        <v>303</v>
      </c>
      <c r="AC1508" s="326"/>
      <c r="AD1508" s="326"/>
      <c r="AE1508" s="327"/>
      <c r="AF1508" s="520"/>
      <c r="AG1508" s="327"/>
      <c r="AH1508" s="520"/>
      <c r="AI1508" s="327"/>
      <c r="AJ1508" s="536"/>
      <c r="AK1508" s="327"/>
      <c r="AL1508" s="556" t="s">
        <v>334</v>
      </c>
      <c r="AM1508" s="327"/>
      <c r="AN1508" s="553" t="s">
        <v>334</v>
      </c>
      <c r="AO1508" s="327"/>
      <c r="AP1508" s="554"/>
      <c r="AQ1508" s="327"/>
      <c r="AR1508" s="555"/>
      <c r="AS1508" s="327"/>
      <c r="AT1508" s="549"/>
      <c r="AU1508" s="327"/>
      <c r="AV1508" s="553" t="s">
        <v>334</v>
      </c>
      <c r="AW1508" s="327"/>
      <c r="AX1508" s="521"/>
      <c r="AY1508" s="326"/>
      <c r="AZ1508" s="327"/>
      <c r="BA1508" s="536"/>
      <c r="BB1508" s="327"/>
      <c r="BC1508" s="22"/>
      <c r="BD1508" s="551" t="s">
        <v>334</v>
      </c>
      <c r="BE1508" s="327"/>
      <c r="BF1508" s="552"/>
      <c r="BG1508" s="326"/>
      <c r="BH1508" s="326"/>
      <c r="BI1508" s="327"/>
      <c r="BJ1508" s="451" t="s">
        <v>303</v>
      </c>
      <c r="BK1508" s="326"/>
      <c r="BL1508" s="326"/>
      <c r="BM1508" s="327"/>
      <c r="BN1508" s="558" t="s">
        <v>303</v>
      </c>
      <c r="BO1508" s="326"/>
      <c r="BP1508" s="326"/>
      <c r="BQ1508" s="326"/>
      <c r="BR1508" s="326"/>
      <c r="BS1508" s="326"/>
      <c r="BT1508" s="326"/>
      <c r="BU1508" s="326"/>
      <c r="BV1508" s="327"/>
    </row>
    <row r="1509" spans="1:74" ht="45" customHeight="1" x14ac:dyDescent="0.25">
      <c r="A1509" s="10">
        <f t="shared" si="5"/>
        <v>1495</v>
      </c>
      <c r="B1509" s="559" t="s">
        <v>303</v>
      </c>
      <c r="C1509" s="327"/>
      <c r="D1509" s="560" t="s">
        <v>307</v>
      </c>
      <c r="E1509" s="327"/>
      <c r="F1509" s="537" t="s">
        <v>334</v>
      </c>
      <c r="G1509" s="327"/>
      <c r="H1509" s="546" t="s">
        <v>334</v>
      </c>
      <c r="I1509" s="327"/>
      <c r="J1509" s="562"/>
      <c r="K1509" s="327"/>
      <c r="L1509" s="562"/>
      <c r="M1509" s="327"/>
      <c r="N1509" s="20"/>
      <c r="O1509" s="21"/>
      <c r="P1509" s="524"/>
      <c r="Q1509" s="327"/>
      <c r="R1509" s="538"/>
      <c r="S1509" s="327"/>
      <c r="T1509" s="539"/>
      <c r="U1509" s="327"/>
      <c r="V1509" s="540"/>
      <c r="W1509" s="327"/>
      <c r="X1509" s="541" t="s">
        <v>303</v>
      </c>
      <c r="Y1509" s="326"/>
      <c r="Z1509" s="326"/>
      <c r="AA1509" s="327"/>
      <c r="AB1509" s="542" t="s">
        <v>303</v>
      </c>
      <c r="AC1509" s="326"/>
      <c r="AD1509" s="326"/>
      <c r="AE1509" s="327"/>
      <c r="AF1509" s="543"/>
      <c r="AG1509" s="327"/>
      <c r="AH1509" s="543"/>
      <c r="AI1509" s="327"/>
      <c r="AJ1509" s="536"/>
      <c r="AK1509" s="327"/>
      <c r="AL1509" s="537" t="s">
        <v>334</v>
      </c>
      <c r="AM1509" s="327"/>
      <c r="AN1509" s="546" t="s">
        <v>334</v>
      </c>
      <c r="AO1509" s="327"/>
      <c r="AP1509" s="547"/>
      <c r="AQ1509" s="327"/>
      <c r="AR1509" s="548"/>
      <c r="AS1509" s="327"/>
      <c r="AT1509" s="549"/>
      <c r="AU1509" s="327"/>
      <c r="AV1509" s="546" t="s">
        <v>334</v>
      </c>
      <c r="AW1509" s="327"/>
      <c r="AX1509" s="521"/>
      <c r="AY1509" s="326"/>
      <c r="AZ1509" s="327"/>
      <c r="BA1509" s="550"/>
      <c r="BB1509" s="327"/>
      <c r="BC1509" s="25"/>
      <c r="BD1509" s="544" t="s">
        <v>334</v>
      </c>
      <c r="BE1509" s="327"/>
      <c r="BF1509" s="545"/>
      <c r="BG1509" s="326"/>
      <c r="BH1509" s="326"/>
      <c r="BI1509" s="327"/>
      <c r="BJ1509" s="557" t="s">
        <v>303</v>
      </c>
      <c r="BK1509" s="326"/>
      <c r="BL1509" s="326"/>
      <c r="BM1509" s="327"/>
      <c r="BN1509" s="558" t="s">
        <v>303</v>
      </c>
      <c r="BO1509" s="326"/>
      <c r="BP1509" s="326"/>
      <c r="BQ1509" s="326"/>
      <c r="BR1509" s="326"/>
      <c r="BS1509" s="326"/>
      <c r="BT1509" s="326"/>
      <c r="BU1509" s="326"/>
      <c r="BV1509" s="327"/>
    </row>
    <row r="1510" spans="1:74" ht="45" customHeight="1" x14ac:dyDescent="0.25">
      <c r="A1510" s="10">
        <f t="shared" si="5"/>
        <v>1496</v>
      </c>
      <c r="B1510" s="564" t="s">
        <v>303</v>
      </c>
      <c r="C1510" s="327"/>
      <c r="D1510" s="565" t="s">
        <v>307</v>
      </c>
      <c r="E1510" s="327"/>
      <c r="F1510" s="537" t="s">
        <v>334</v>
      </c>
      <c r="G1510" s="327"/>
      <c r="H1510" s="553" t="s">
        <v>334</v>
      </c>
      <c r="I1510" s="327"/>
      <c r="J1510" s="567"/>
      <c r="K1510" s="327"/>
      <c r="L1510" s="567"/>
      <c r="M1510" s="327"/>
      <c r="N1510" s="23"/>
      <c r="O1510" s="24"/>
      <c r="P1510" s="563"/>
      <c r="Q1510" s="327"/>
      <c r="R1510" s="516"/>
      <c r="S1510" s="327"/>
      <c r="T1510" s="517"/>
      <c r="U1510" s="327"/>
      <c r="V1510" s="518"/>
      <c r="W1510" s="327"/>
      <c r="X1510" s="438" t="s">
        <v>303</v>
      </c>
      <c r="Y1510" s="326"/>
      <c r="Z1510" s="326"/>
      <c r="AA1510" s="327"/>
      <c r="AB1510" s="519" t="s">
        <v>303</v>
      </c>
      <c r="AC1510" s="326"/>
      <c r="AD1510" s="326"/>
      <c r="AE1510" s="327"/>
      <c r="AF1510" s="520"/>
      <c r="AG1510" s="327"/>
      <c r="AH1510" s="520"/>
      <c r="AI1510" s="327"/>
      <c r="AJ1510" s="536"/>
      <c r="AK1510" s="327"/>
      <c r="AL1510" s="556" t="s">
        <v>334</v>
      </c>
      <c r="AM1510" s="327"/>
      <c r="AN1510" s="553" t="s">
        <v>334</v>
      </c>
      <c r="AO1510" s="327"/>
      <c r="AP1510" s="554"/>
      <c r="AQ1510" s="327"/>
      <c r="AR1510" s="555"/>
      <c r="AS1510" s="327"/>
      <c r="AT1510" s="549"/>
      <c r="AU1510" s="327"/>
      <c r="AV1510" s="553" t="s">
        <v>334</v>
      </c>
      <c r="AW1510" s="327"/>
      <c r="AX1510" s="521"/>
      <c r="AY1510" s="326"/>
      <c r="AZ1510" s="327"/>
      <c r="BA1510" s="536"/>
      <c r="BB1510" s="327"/>
      <c r="BC1510" s="22"/>
      <c r="BD1510" s="551" t="s">
        <v>334</v>
      </c>
      <c r="BE1510" s="327"/>
      <c r="BF1510" s="552"/>
      <c r="BG1510" s="326"/>
      <c r="BH1510" s="326"/>
      <c r="BI1510" s="327"/>
      <c r="BJ1510" s="451" t="s">
        <v>303</v>
      </c>
      <c r="BK1510" s="326"/>
      <c r="BL1510" s="326"/>
      <c r="BM1510" s="327"/>
      <c r="BN1510" s="558" t="s">
        <v>303</v>
      </c>
      <c r="BO1510" s="326"/>
      <c r="BP1510" s="326"/>
      <c r="BQ1510" s="326"/>
      <c r="BR1510" s="326"/>
      <c r="BS1510" s="326"/>
      <c r="BT1510" s="326"/>
      <c r="BU1510" s="326"/>
      <c r="BV1510" s="327"/>
    </row>
    <row r="1511" spans="1:74" ht="45" customHeight="1" x14ac:dyDescent="0.25">
      <c r="A1511" s="10">
        <f t="shared" si="5"/>
        <v>1497</v>
      </c>
      <c r="B1511" s="559" t="s">
        <v>303</v>
      </c>
      <c r="C1511" s="327"/>
      <c r="D1511" s="560" t="s">
        <v>307</v>
      </c>
      <c r="E1511" s="327"/>
      <c r="F1511" s="537" t="s">
        <v>334</v>
      </c>
      <c r="G1511" s="327"/>
      <c r="H1511" s="546" t="s">
        <v>334</v>
      </c>
      <c r="I1511" s="327"/>
      <c r="J1511" s="562"/>
      <c r="K1511" s="327"/>
      <c r="L1511" s="562"/>
      <c r="M1511" s="327"/>
      <c r="N1511" s="20"/>
      <c r="O1511" s="21"/>
      <c r="P1511" s="524"/>
      <c r="Q1511" s="327"/>
      <c r="R1511" s="538"/>
      <c r="S1511" s="327"/>
      <c r="T1511" s="539"/>
      <c r="U1511" s="327"/>
      <c r="V1511" s="540"/>
      <c r="W1511" s="327"/>
      <c r="X1511" s="541" t="s">
        <v>303</v>
      </c>
      <c r="Y1511" s="326"/>
      <c r="Z1511" s="326"/>
      <c r="AA1511" s="327"/>
      <c r="AB1511" s="542" t="s">
        <v>303</v>
      </c>
      <c r="AC1511" s="326"/>
      <c r="AD1511" s="326"/>
      <c r="AE1511" s="327"/>
      <c r="AF1511" s="543"/>
      <c r="AG1511" s="327"/>
      <c r="AH1511" s="543"/>
      <c r="AI1511" s="327"/>
      <c r="AJ1511" s="536"/>
      <c r="AK1511" s="327"/>
      <c r="AL1511" s="537" t="s">
        <v>334</v>
      </c>
      <c r="AM1511" s="327"/>
      <c r="AN1511" s="546" t="s">
        <v>334</v>
      </c>
      <c r="AO1511" s="327"/>
      <c r="AP1511" s="547"/>
      <c r="AQ1511" s="327"/>
      <c r="AR1511" s="548"/>
      <c r="AS1511" s="327"/>
      <c r="AT1511" s="549"/>
      <c r="AU1511" s="327"/>
      <c r="AV1511" s="546" t="s">
        <v>334</v>
      </c>
      <c r="AW1511" s="327"/>
      <c r="AX1511" s="521"/>
      <c r="AY1511" s="326"/>
      <c r="AZ1511" s="327"/>
      <c r="BA1511" s="550"/>
      <c r="BB1511" s="327"/>
      <c r="BC1511" s="25"/>
      <c r="BD1511" s="544" t="s">
        <v>334</v>
      </c>
      <c r="BE1511" s="327"/>
      <c r="BF1511" s="545"/>
      <c r="BG1511" s="326"/>
      <c r="BH1511" s="326"/>
      <c r="BI1511" s="327"/>
      <c r="BJ1511" s="557" t="s">
        <v>303</v>
      </c>
      <c r="BK1511" s="326"/>
      <c r="BL1511" s="326"/>
      <c r="BM1511" s="327"/>
      <c r="BN1511" s="558" t="s">
        <v>303</v>
      </c>
      <c r="BO1511" s="326"/>
      <c r="BP1511" s="326"/>
      <c r="BQ1511" s="326"/>
      <c r="BR1511" s="326"/>
      <c r="BS1511" s="326"/>
      <c r="BT1511" s="326"/>
      <c r="BU1511" s="326"/>
      <c r="BV1511" s="327"/>
    </row>
    <row r="1512" spans="1:74" ht="45" customHeight="1" x14ac:dyDescent="0.25">
      <c r="A1512" s="10">
        <f t="shared" si="5"/>
        <v>1498</v>
      </c>
      <c r="B1512" s="564" t="s">
        <v>303</v>
      </c>
      <c r="C1512" s="327"/>
      <c r="D1512" s="565" t="s">
        <v>307</v>
      </c>
      <c r="E1512" s="327"/>
      <c r="F1512" s="537" t="s">
        <v>334</v>
      </c>
      <c r="G1512" s="327"/>
      <c r="H1512" s="553" t="s">
        <v>334</v>
      </c>
      <c r="I1512" s="327"/>
      <c r="J1512" s="567"/>
      <c r="K1512" s="327"/>
      <c r="L1512" s="567"/>
      <c r="M1512" s="327"/>
      <c r="N1512" s="23"/>
      <c r="O1512" s="24"/>
      <c r="P1512" s="563"/>
      <c r="Q1512" s="327"/>
      <c r="R1512" s="516"/>
      <c r="S1512" s="327"/>
      <c r="T1512" s="517"/>
      <c r="U1512" s="327"/>
      <c r="V1512" s="518"/>
      <c r="W1512" s="327"/>
      <c r="X1512" s="438" t="s">
        <v>303</v>
      </c>
      <c r="Y1512" s="326"/>
      <c r="Z1512" s="326"/>
      <c r="AA1512" s="327"/>
      <c r="AB1512" s="519" t="s">
        <v>303</v>
      </c>
      <c r="AC1512" s="326"/>
      <c r="AD1512" s="326"/>
      <c r="AE1512" s="327"/>
      <c r="AF1512" s="520"/>
      <c r="AG1512" s="327"/>
      <c r="AH1512" s="520"/>
      <c r="AI1512" s="327"/>
      <c r="AJ1512" s="536"/>
      <c r="AK1512" s="327"/>
      <c r="AL1512" s="556" t="s">
        <v>334</v>
      </c>
      <c r="AM1512" s="327"/>
      <c r="AN1512" s="553" t="s">
        <v>334</v>
      </c>
      <c r="AO1512" s="327"/>
      <c r="AP1512" s="554"/>
      <c r="AQ1512" s="327"/>
      <c r="AR1512" s="555"/>
      <c r="AS1512" s="327"/>
      <c r="AT1512" s="549"/>
      <c r="AU1512" s="327"/>
      <c r="AV1512" s="553" t="s">
        <v>334</v>
      </c>
      <c r="AW1512" s="327"/>
      <c r="AX1512" s="521"/>
      <c r="AY1512" s="326"/>
      <c r="AZ1512" s="327"/>
      <c r="BA1512" s="536"/>
      <c r="BB1512" s="327"/>
      <c r="BC1512" s="22"/>
      <c r="BD1512" s="551" t="s">
        <v>334</v>
      </c>
      <c r="BE1512" s="327"/>
      <c r="BF1512" s="552"/>
      <c r="BG1512" s="326"/>
      <c r="BH1512" s="326"/>
      <c r="BI1512" s="327"/>
      <c r="BJ1512" s="451" t="s">
        <v>303</v>
      </c>
      <c r="BK1512" s="326"/>
      <c r="BL1512" s="326"/>
      <c r="BM1512" s="327"/>
      <c r="BN1512" s="558" t="s">
        <v>303</v>
      </c>
      <c r="BO1512" s="326"/>
      <c r="BP1512" s="326"/>
      <c r="BQ1512" s="326"/>
      <c r="BR1512" s="326"/>
      <c r="BS1512" s="326"/>
      <c r="BT1512" s="326"/>
      <c r="BU1512" s="326"/>
      <c r="BV1512" s="327"/>
    </row>
    <row r="1513" spans="1:74" ht="45" customHeight="1" x14ac:dyDescent="0.25">
      <c r="A1513" s="10">
        <f t="shared" si="5"/>
        <v>1499</v>
      </c>
      <c r="B1513" s="559" t="s">
        <v>303</v>
      </c>
      <c r="C1513" s="327"/>
      <c r="D1513" s="560" t="s">
        <v>307</v>
      </c>
      <c r="E1513" s="327"/>
      <c r="F1513" s="537" t="s">
        <v>334</v>
      </c>
      <c r="G1513" s="327"/>
      <c r="H1513" s="546" t="s">
        <v>334</v>
      </c>
      <c r="I1513" s="327"/>
      <c r="J1513" s="562"/>
      <c r="K1513" s="327"/>
      <c r="L1513" s="562"/>
      <c r="M1513" s="327"/>
      <c r="N1513" s="20"/>
      <c r="O1513" s="24"/>
      <c r="P1513" s="524"/>
      <c r="Q1513" s="327"/>
      <c r="R1513" s="538"/>
      <c r="S1513" s="327"/>
      <c r="T1513" s="539"/>
      <c r="U1513" s="327"/>
      <c r="V1513" s="540"/>
      <c r="W1513" s="327"/>
      <c r="X1513" s="541" t="s">
        <v>303</v>
      </c>
      <c r="Y1513" s="326"/>
      <c r="Z1513" s="326"/>
      <c r="AA1513" s="327"/>
      <c r="AB1513" s="542" t="s">
        <v>303</v>
      </c>
      <c r="AC1513" s="326"/>
      <c r="AD1513" s="326"/>
      <c r="AE1513" s="327"/>
      <c r="AF1513" s="543"/>
      <c r="AG1513" s="327"/>
      <c r="AH1513" s="543"/>
      <c r="AI1513" s="327"/>
      <c r="AJ1513" s="536"/>
      <c r="AK1513" s="327"/>
      <c r="AL1513" s="537" t="s">
        <v>334</v>
      </c>
      <c r="AM1513" s="327"/>
      <c r="AN1513" s="546" t="s">
        <v>334</v>
      </c>
      <c r="AO1513" s="327"/>
      <c r="AP1513" s="547"/>
      <c r="AQ1513" s="327"/>
      <c r="AR1513" s="548"/>
      <c r="AS1513" s="327"/>
      <c r="AT1513" s="568"/>
      <c r="AU1513" s="327"/>
      <c r="AV1513" s="546" t="s">
        <v>334</v>
      </c>
      <c r="AW1513" s="327"/>
      <c r="AX1513" s="521"/>
      <c r="AY1513" s="326"/>
      <c r="AZ1513" s="327"/>
      <c r="BA1513" s="550"/>
      <c r="BB1513" s="327"/>
      <c r="BC1513" s="25"/>
      <c r="BD1513" s="544" t="s">
        <v>334</v>
      </c>
      <c r="BE1513" s="327"/>
      <c r="BF1513" s="545"/>
      <c r="BG1513" s="326"/>
      <c r="BH1513" s="326"/>
      <c r="BI1513" s="327"/>
      <c r="BJ1513" s="557" t="s">
        <v>303</v>
      </c>
      <c r="BK1513" s="326"/>
      <c r="BL1513" s="326"/>
      <c r="BM1513" s="327"/>
      <c r="BN1513" s="558" t="s">
        <v>303</v>
      </c>
      <c r="BO1513" s="326"/>
      <c r="BP1513" s="326"/>
      <c r="BQ1513" s="326"/>
      <c r="BR1513" s="326"/>
      <c r="BS1513" s="326"/>
      <c r="BT1513" s="326"/>
      <c r="BU1513" s="326"/>
      <c r="BV1513" s="327"/>
    </row>
    <row r="1514" spans="1:74" ht="45" customHeight="1" x14ac:dyDescent="0.25">
      <c r="A1514" s="10">
        <f t="shared" si="5"/>
        <v>1500</v>
      </c>
      <c r="B1514" s="564" t="s">
        <v>303</v>
      </c>
      <c r="C1514" s="327"/>
      <c r="D1514" s="565" t="s">
        <v>307</v>
      </c>
      <c r="E1514" s="327"/>
      <c r="F1514" s="537" t="s">
        <v>334</v>
      </c>
      <c r="G1514" s="327"/>
      <c r="H1514" s="553" t="s">
        <v>334</v>
      </c>
      <c r="I1514" s="327"/>
      <c r="J1514" s="567"/>
      <c r="K1514" s="327"/>
      <c r="L1514" s="567"/>
      <c r="M1514" s="327"/>
      <c r="N1514" s="23"/>
      <c r="O1514" s="21"/>
      <c r="P1514" s="563"/>
      <c r="Q1514" s="327"/>
      <c r="R1514" s="516"/>
      <c r="S1514" s="327"/>
      <c r="T1514" s="517"/>
      <c r="U1514" s="327"/>
      <c r="V1514" s="518"/>
      <c r="W1514" s="327"/>
      <c r="X1514" s="438" t="s">
        <v>303</v>
      </c>
      <c r="Y1514" s="326"/>
      <c r="Z1514" s="326"/>
      <c r="AA1514" s="327"/>
      <c r="AB1514" s="519" t="s">
        <v>303</v>
      </c>
      <c r="AC1514" s="326"/>
      <c r="AD1514" s="326"/>
      <c r="AE1514" s="327"/>
      <c r="AF1514" s="520"/>
      <c r="AG1514" s="327"/>
      <c r="AH1514" s="520"/>
      <c r="AI1514" s="327"/>
      <c r="AJ1514" s="536"/>
      <c r="AK1514" s="327"/>
      <c r="AL1514" s="556" t="s">
        <v>334</v>
      </c>
      <c r="AM1514" s="327"/>
      <c r="AN1514" s="553" t="s">
        <v>334</v>
      </c>
      <c r="AO1514" s="327"/>
      <c r="AP1514" s="554"/>
      <c r="AQ1514" s="327"/>
      <c r="AR1514" s="555"/>
      <c r="AS1514" s="327"/>
      <c r="AT1514" s="549"/>
      <c r="AU1514" s="327"/>
      <c r="AV1514" s="553" t="s">
        <v>334</v>
      </c>
      <c r="AW1514" s="327"/>
      <c r="AX1514" s="521"/>
      <c r="AY1514" s="326"/>
      <c r="AZ1514" s="327"/>
      <c r="BA1514" s="536"/>
      <c r="BB1514" s="327"/>
      <c r="BC1514" s="22"/>
      <c r="BD1514" s="551" t="s">
        <v>334</v>
      </c>
      <c r="BE1514" s="327"/>
      <c r="BF1514" s="508"/>
      <c r="BG1514" s="326"/>
      <c r="BH1514" s="326"/>
      <c r="BI1514" s="327"/>
      <c r="BJ1514" s="451" t="s">
        <v>303</v>
      </c>
      <c r="BK1514" s="326"/>
      <c r="BL1514" s="326"/>
      <c r="BM1514" s="327"/>
      <c r="BN1514" s="558" t="s">
        <v>303</v>
      </c>
      <c r="BO1514" s="326"/>
      <c r="BP1514" s="326"/>
      <c r="BQ1514" s="326"/>
      <c r="BR1514" s="326"/>
      <c r="BS1514" s="326"/>
      <c r="BT1514" s="326"/>
      <c r="BU1514" s="326"/>
      <c r="BV1514" s="327"/>
    </row>
    <row r="1515" spans="1:74" ht="45" customHeight="1" x14ac:dyDescent="0.25">
      <c r="A1515" s="10">
        <f t="shared" si="5"/>
        <v>1501</v>
      </c>
      <c r="B1515" s="559" t="s">
        <v>303</v>
      </c>
      <c r="C1515" s="327"/>
      <c r="D1515" s="560" t="s">
        <v>307</v>
      </c>
      <c r="E1515" s="327"/>
      <c r="F1515" s="537" t="s">
        <v>334</v>
      </c>
      <c r="G1515" s="327"/>
      <c r="H1515" s="546" t="s">
        <v>334</v>
      </c>
      <c r="I1515" s="327"/>
      <c r="J1515" s="562"/>
      <c r="K1515" s="327"/>
      <c r="L1515" s="562"/>
      <c r="M1515" s="327"/>
      <c r="N1515" s="20"/>
      <c r="O1515" s="24"/>
      <c r="P1515" s="524"/>
      <c r="Q1515" s="327"/>
      <c r="R1515" s="538"/>
      <c r="S1515" s="327"/>
      <c r="T1515" s="539"/>
      <c r="U1515" s="327"/>
      <c r="V1515" s="540"/>
      <c r="W1515" s="327"/>
      <c r="X1515" s="541" t="s">
        <v>303</v>
      </c>
      <c r="Y1515" s="326"/>
      <c r="Z1515" s="326"/>
      <c r="AA1515" s="327"/>
      <c r="AB1515" s="542" t="s">
        <v>303</v>
      </c>
      <c r="AC1515" s="326"/>
      <c r="AD1515" s="326"/>
      <c r="AE1515" s="327"/>
      <c r="AF1515" s="543"/>
      <c r="AG1515" s="327"/>
      <c r="AH1515" s="543"/>
      <c r="AI1515" s="327"/>
      <c r="AJ1515" s="536"/>
      <c r="AK1515" s="327"/>
      <c r="AL1515" s="537" t="s">
        <v>334</v>
      </c>
      <c r="AM1515" s="327"/>
      <c r="AN1515" s="546" t="s">
        <v>334</v>
      </c>
      <c r="AO1515" s="327"/>
      <c r="AP1515" s="547"/>
      <c r="AQ1515" s="327"/>
      <c r="AR1515" s="548"/>
      <c r="AS1515" s="327"/>
      <c r="AT1515" s="568"/>
      <c r="AU1515" s="327"/>
      <c r="AV1515" s="546" t="s">
        <v>334</v>
      </c>
      <c r="AW1515" s="327"/>
      <c r="AX1515" s="521"/>
      <c r="AY1515" s="326"/>
      <c r="AZ1515" s="327"/>
      <c r="BA1515" s="550"/>
      <c r="BB1515" s="327"/>
      <c r="BC1515" s="25"/>
      <c r="BD1515" s="544" t="s">
        <v>334</v>
      </c>
      <c r="BE1515" s="327"/>
      <c r="BF1515" s="545"/>
      <c r="BG1515" s="326"/>
      <c r="BH1515" s="326"/>
      <c r="BI1515" s="327"/>
      <c r="BJ1515" s="557" t="s">
        <v>303</v>
      </c>
      <c r="BK1515" s="326"/>
      <c r="BL1515" s="326"/>
      <c r="BM1515" s="327"/>
      <c r="BN1515" s="558" t="s">
        <v>303</v>
      </c>
      <c r="BO1515" s="326"/>
      <c r="BP1515" s="326"/>
      <c r="BQ1515" s="326"/>
      <c r="BR1515" s="326"/>
      <c r="BS1515" s="326"/>
      <c r="BT1515" s="326"/>
      <c r="BU1515" s="326"/>
      <c r="BV1515" s="327"/>
    </row>
    <row r="1516" spans="1:74" ht="45" customHeight="1" x14ac:dyDescent="0.25">
      <c r="A1516" s="10">
        <f t="shared" si="5"/>
        <v>1502</v>
      </c>
      <c r="B1516" s="564" t="s">
        <v>303</v>
      </c>
      <c r="C1516" s="327"/>
      <c r="D1516" s="565" t="s">
        <v>307</v>
      </c>
      <c r="E1516" s="327"/>
      <c r="F1516" s="537" t="s">
        <v>334</v>
      </c>
      <c r="G1516" s="327"/>
      <c r="H1516" s="553" t="s">
        <v>334</v>
      </c>
      <c r="I1516" s="327"/>
      <c r="J1516" s="567"/>
      <c r="K1516" s="327"/>
      <c r="L1516" s="567"/>
      <c r="M1516" s="327"/>
      <c r="N1516" s="23"/>
      <c r="O1516" s="21"/>
      <c r="P1516" s="563"/>
      <c r="Q1516" s="327"/>
      <c r="R1516" s="516"/>
      <c r="S1516" s="327"/>
      <c r="T1516" s="517"/>
      <c r="U1516" s="327"/>
      <c r="V1516" s="518"/>
      <c r="W1516" s="327"/>
      <c r="X1516" s="438" t="s">
        <v>303</v>
      </c>
      <c r="Y1516" s="326"/>
      <c r="Z1516" s="326"/>
      <c r="AA1516" s="327"/>
      <c r="AB1516" s="519" t="s">
        <v>303</v>
      </c>
      <c r="AC1516" s="326"/>
      <c r="AD1516" s="326"/>
      <c r="AE1516" s="327"/>
      <c r="AF1516" s="520"/>
      <c r="AG1516" s="327"/>
      <c r="AH1516" s="520"/>
      <c r="AI1516" s="327"/>
      <c r="AJ1516" s="536"/>
      <c r="AK1516" s="327"/>
      <c r="AL1516" s="556" t="s">
        <v>334</v>
      </c>
      <c r="AM1516" s="327"/>
      <c r="AN1516" s="553" t="s">
        <v>334</v>
      </c>
      <c r="AO1516" s="327"/>
      <c r="AP1516" s="554"/>
      <c r="AQ1516" s="327"/>
      <c r="AR1516" s="555"/>
      <c r="AS1516" s="327"/>
      <c r="AT1516" s="549"/>
      <c r="AU1516" s="327"/>
      <c r="AV1516" s="553" t="s">
        <v>334</v>
      </c>
      <c r="AW1516" s="327"/>
      <c r="AX1516" s="521"/>
      <c r="AY1516" s="326"/>
      <c r="AZ1516" s="327"/>
      <c r="BA1516" s="536"/>
      <c r="BB1516" s="327"/>
      <c r="BC1516" s="22"/>
      <c r="BD1516" s="551" t="s">
        <v>334</v>
      </c>
      <c r="BE1516" s="327"/>
      <c r="BF1516" s="552"/>
      <c r="BG1516" s="326"/>
      <c r="BH1516" s="326"/>
      <c r="BI1516" s="327"/>
      <c r="BJ1516" s="451" t="s">
        <v>303</v>
      </c>
      <c r="BK1516" s="326"/>
      <c r="BL1516" s="326"/>
      <c r="BM1516" s="327"/>
      <c r="BN1516" s="558" t="s">
        <v>303</v>
      </c>
      <c r="BO1516" s="326"/>
      <c r="BP1516" s="326"/>
      <c r="BQ1516" s="326"/>
      <c r="BR1516" s="326"/>
      <c r="BS1516" s="326"/>
      <c r="BT1516" s="326"/>
      <c r="BU1516" s="326"/>
      <c r="BV1516" s="327"/>
    </row>
    <row r="1517" spans="1:74" ht="45" customHeight="1" x14ac:dyDescent="0.25">
      <c r="A1517" s="10">
        <f t="shared" si="5"/>
        <v>1503</v>
      </c>
      <c r="B1517" s="559" t="s">
        <v>303</v>
      </c>
      <c r="C1517" s="327"/>
      <c r="D1517" s="560" t="s">
        <v>307</v>
      </c>
      <c r="E1517" s="327"/>
      <c r="F1517" s="537" t="s">
        <v>334</v>
      </c>
      <c r="G1517" s="327"/>
      <c r="H1517" s="546" t="s">
        <v>334</v>
      </c>
      <c r="I1517" s="327"/>
      <c r="J1517" s="562"/>
      <c r="K1517" s="327"/>
      <c r="L1517" s="562"/>
      <c r="M1517" s="327"/>
      <c r="N1517" s="20"/>
      <c r="O1517" s="24"/>
      <c r="P1517" s="524"/>
      <c r="Q1517" s="327"/>
      <c r="R1517" s="538"/>
      <c r="S1517" s="327"/>
      <c r="T1517" s="539"/>
      <c r="U1517" s="327"/>
      <c r="V1517" s="540"/>
      <c r="W1517" s="327"/>
      <c r="X1517" s="541" t="s">
        <v>303</v>
      </c>
      <c r="Y1517" s="326"/>
      <c r="Z1517" s="326"/>
      <c r="AA1517" s="327"/>
      <c r="AB1517" s="542" t="s">
        <v>303</v>
      </c>
      <c r="AC1517" s="326"/>
      <c r="AD1517" s="326"/>
      <c r="AE1517" s="327"/>
      <c r="AF1517" s="543"/>
      <c r="AG1517" s="327"/>
      <c r="AH1517" s="543"/>
      <c r="AI1517" s="327"/>
      <c r="AJ1517" s="536"/>
      <c r="AK1517" s="327"/>
      <c r="AL1517" s="537" t="s">
        <v>334</v>
      </c>
      <c r="AM1517" s="327"/>
      <c r="AN1517" s="546" t="s">
        <v>334</v>
      </c>
      <c r="AO1517" s="327"/>
      <c r="AP1517" s="547"/>
      <c r="AQ1517" s="327"/>
      <c r="AR1517" s="548"/>
      <c r="AS1517" s="327"/>
      <c r="AT1517" s="568"/>
      <c r="AU1517" s="327"/>
      <c r="AV1517" s="546" t="s">
        <v>334</v>
      </c>
      <c r="AW1517" s="327"/>
      <c r="AX1517" s="521"/>
      <c r="AY1517" s="326"/>
      <c r="AZ1517" s="327"/>
      <c r="BA1517" s="550"/>
      <c r="BB1517" s="327"/>
      <c r="BC1517" s="25"/>
      <c r="BD1517" s="544" t="s">
        <v>334</v>
      </c>
      <c r="BE1517" s="327"/>
      <c r="BF1517" s="545"/>
      <c r="BG1517" s="326"/>
      <c r="BH1517" s="326"/>
      <c r="BI1517" s="327"/>
      <c r="BJ1517" s="557" t="s">
        <v>303</v>
      </c>
      <c r="BK1517" s="326"/>
      <c r="BL1517" s="326"/>
      <c r="BM1517" s="327"/>
      <c r="BN1517" s="558" t="s">
        <v>303</v>
      </c>
      <c r="BO1517" s="326"/>
      <c r="BP1517" s="326"/>
      <c r="BQ1517" s="326"/>
      <c r="BR1517" s="326"/>
      <c r="BS1517" s="326"/>
      <c r="BT1517" s="326"/>
      <c r="BU1517" s="326"/>
      <c r="BV1517" s="327"/>
    </row>
    <row r="1518" spans="1:74" ht="45" customHeight="1" x14ac:dyDescent="0.25">
      <c r="A1518" s="10">
        <f t="shared" si="5"/>
        <v>1504</v>
      </c>
      <c r="B1518" s="564" t="s">
        <v>303</v>
      </c>
      <c r="C1518" s="327"/>
      <c r="D1518" s="565" t="s">
        <v>307</v>
      </c>
      <c r="E1518" s="327"/>
      <c r="F1518" s="537" t="s">
        <v>334</v>
      </c>
      <c r="G1518" s="327"/>
      <c r="H1518" s="553" t="s">
        <v>334</v>
      </c>
      <c r="I1518" s="327"/>
      <c r="J1518" s="567"/>
      <c r="K1518" s="327"/>
      <c r="L1518" s="567"/>
      <c r="M1518" s="327"/>
      <c r="N1518" s="23"/>
      <c r="O1518" s="21"/>
      <c r="P1518" s="563"/>
      <c r="Q1518" s="327"/>
      <c r="R1518" s="516"/>
      <c r="S1518" s="327"/>
      <c r="T1518" s="517"/>
      <c r="U1518" s="327"/>
      <c r="V1518" s="518"/>
      <c r="W1518" s="327"/>
      <c r="X1518" s="438" t="s">
        <v>303</v>
      </c>
      <c r="Y1518" s="326"/>
      <c r="Z1518" s="326"/>
      <c r="AA1518" s="327"/>
      <c r="AB1518" s="519" t="s">
        <v>303</v>
      </c>
      <c r="AC1518" s="326"/>
      <c r="AD1518" s="326"/>
      <c r="AE1518" s="327"/>
      <c r="AF1518" s="520"/>
      <c r="AG1518" s="327"/>
      <c r="AH1518" s="520"/>
      <c r="AI1518" s="327"/>
      <c r="AJ1518" s="536"/>
      <c r="AK1518" s="327"/>
      <c r="AL1518" s="556" t="s">
        <v>334</v>
      </c>
      <c r="AM1518" s="327"/>
      <c r="AN1518" s="553" t="s">
        <v>334</v>
      </c>
      <c r="AO1518" s="327"/>
      <c r="AP1518" s="554"/>
      <c r="AQ1518" s="327"/>
      <c r="AR1518" s="555"/>
      <c r="AS1518" s="327"/>
      <c r="AT1518" s="549"/>
      <c r="AU1518" s="327"/>
      <c r="AV1518" s="553" t="s">
        <v>334</v>
      </c>
      <c r="AW1518" s="327"/>
      <c r="AX1518" s="521"/>
      <c r="AY1518" s="326"/>
      <c r="AZ1518" s="327"/>
      <c r="BA1518" s="536"/>
      <c r="BB1518" s="327"/>
      <c r="BC1518" s="22"/>
      <c r="BD1518" s="551" t="s">
        <v>334</v>
      </c>
      <c r="BE1518" s="327"/>
      <c r="BF1518" s="552"/>
      <c r="BG1518" s="326"/>
      <c r="BH1518" s="326"/>
      <c r="BI1518" s="327"/>
      <c r="BJ1518" s="451" t="s">
        <v>303</v>
      </c>
      <c r="BK1518" s="326"/>
      <c r="BL1518" s="326"/>
      <c r="BM1518" s="327"/>
      <c r="BN1518" s="558" t="s">
        <v>303</v>
      </c>
      <c r="BO1518" s="326"/>
      <c r="BP1518" s="326"/>
      <c r="BQ1518" s="326"/>
      <c r="BR1518" s="326"/>
      <c r="BS1518" s="326"/>
      <c r="BT1518" s="326"/>
      <c r="BU1518" s="326"/>
      <c r="BV1518" s="327"/>
    </row>
    <row r="1519" spans="1:74" ht="45" customHeight="1" x14ac:dyDescent="0.25">
      <c r="A1519" s="10">
        <f t="shared" si="5"/>
        <v>1505</v>
      </c>
      <c r="B1519" s="559" t="s">
        <v>303</v>
      </c>
      <c r="C1519" s="327"/>
      <c r="D1519" s="560" t="s">
        <v>307</v>
      </c>
      <c r="E1519" s="327"/>
      <c r="F1519" s="537" t="s">
        <v>334</v>
      </c>
      <c r="G1519" s="327"/>
      <c r="H1519" s="546" t="s">
        <v>334</v>
      </c>
      <c r="I1519" s="327"/>
      <c r="J1519" s="562"/>
      <c r="K1519" s="327"/>
      <c r="L1519" s="562"/>
      <c r="M1519" s="327"/>
      <c r="N1519" s="20"/>
      <c r="O1519" s="24"/>
      <c r="P1519" s="524"/>
      <c r="Q1519" s="327"/>
      <c r="R1519" s="538"/>
      <c r="S1519" s="327"/>
      <c r="T1519" s="539"/>
      <c r="U1519" s="327"/>
      <c r="V1519" s="540"/>
      <c r="W1519" s="327"/>
      <c r="X1519" s="541" t="s">
        <v>303</v>
      </c>
      <c r="Y1519" s="326"/>
      <c r="Z1519" s="326"/>
      <c r="AA1519" s="327"/>
      <c r="AB1519" s="542" t="s">
        <v>303</v>
      </c>
      <c r="AC1519" s="326"/>
      <c r="AD1519" s="326"/>
      <c r="AE1519" s="327"/>
      <c r="AF1519" s="543"/>
      <c r="AG1519" s="327"/>
      <c r="AH1519" s="543"/>
      <c r="AI1519" s="327"/>
      <c r="AJ1519" s="536"/>
      <c r="AK1519" s="327"/>
      <c r="AL1519" s="537" t="s">
        <v>334</v>
      </c>
      <c r="AM1519" s="327"/>
      <c r="AN1519" s="546" t="s">
        <v>334</v>
      </c>
      <c r="AO1519" s="327"/>
      <c r="AP1519" s="547"/>
      <c r="AQ1519" s="327"/>
      <c r="AR1519" s="548"/>
      <c r="AS1519" s="327"/>
      <c r="AT1519" s="568"/>
      <c r="AU1519" s="327"/>
      <c r="AV1519" s="546" t="s">
        <v>334</v>
      </c>
      <c r="AW1519" s="327"/>
      <c r="AX1519" s="521"/>
      <c r="AY1519" s="326"/>
      <c r="AZ1519" s="327"/>
      <c r="BA1519" s="550"/>
      <c r="BB1519" s="327"/>
      <c r="BC1519" s="25"/>
      <c r="BD1519" s="544" t="s">
        <v>334</v>
      </c>
      <c r="BE1519" s="327"/>
      <c r="BF1519" s="545"/>
      <c r="BG1519" s="326"/>
      <c r="BH1519" s="326"/>
      <c r="BI1519" s="327"/>
      <c r="BJ1519" s="557" t="s">
        <v>303</v>
      </c>
      <c r="BK1519" s="326"/>
      <c r="BL1519" s="326"/>
      <c r="BM1519" s="327"/>
      <c r="BN1519" s="558" t="s">
        <v>303</v>
      </c>
      <c r="BO1519" s="326"/>
      <c r="BP1519" s="326"/>
      <c r="BQ1519" s="326"/>
      <c r="BR1519" s="326"/>
      <c r="BS1519" s="326"/>
      <c r="BT1519" s="326"/>
      <c r="BU1519" s="326"/>
      <c r="BV1519" s="327"/>
    </row>
    <row r="1520" spans="1:74" ht="45" customHeight="1" x14ac:dyDescent="0.25">
      <c r="A1520" s="10">
        <f t="shared" si="5"/>
        <v>1506</v>
      </c>
      <c r="B1520" s="564" t="s">
        <v>303</v>
      </c>
      <c r="C1520" s="327"/>
      <c r="D1520" s="565" t="s">
        <v>307</v>
      </c>
      <c r="E1520" s="327"/>
      <c r="F1520" s="537" t="s">
        <v>334</v>
      </c>
      <c r="G1520" s="327"/>
      <c r="H1520" s="553" t="s">
        <v>334</v>
      </c>
      <c r="I1520" s="327"/>
      <c r="J1520" s="567"/>
      <c r="K1520" s="327"/>
      <c r="L1520" s="567"/>
      <c r="M1520" s="327"/>
      <c r="N1520" s="23"/>
      <c r="O1520" s="21"/>
      <c r="P1520" s="563"/>
      <c r="Q1520" s="327"/>
      <c r="R1520" s="516"/>
      <c r="S1520" s="327"/>
      <c r="T1520" s="517"/>
      <c r="U1520" s="327"/>
      <c r="V1520" s="518"/>
      <c r="W1520" s="327"/>
      <c r="X1520" s="438" t="s">
        <v>303</v>
      </c>
      <c r="Y1520" s="326"/>
      <c r="Z1520" s="326"/>
      <c r="AA1520" s="327"/>
      <c r="AB1520" s="519" t="s">
        <v>303</v>
      </c>
      <c r="AC1520" s="326"/>
      <c r="AD1520" s="326"/>
      <c r="AE1520" s="327"/>
      <c r="AF1520" s="520"/>
      <c r="AG1520" s="327"/>
      <c r="AH1520" s="520"/>
      <c r="AI1520" s="327"/>
      <c r="AJ1520" s="536"/>
      <c r="AK1520" s="327"/>
      <c r="AL1520" s="556" t="s">
        <v>334</v>
      </c>
      <c r="AM1520" s="327"/>
      <c r="AN1520" s="553" t="s">
        <v>334</v>
      </c>
      <c r="AO1520" s="327"/>
      <c r="AP1520" s="554"/>
      <c r="AQ1520" s="327"/>
      <c r="AR1520" s="555"/>
      <c r="AS1520" s="327"/>
      <c r="AT1520" s="549"/>
      <c r="AU1520" s="327"/>
      <c r="AV1520" s="553" t="s">
        <v>334</v>
      </c>
      <c r="AW1520" s="327"/>
      <c r="AX1520" s="521"/>
      <c r="AY1520" s="326"/>
      <c r="AZ1520" s="327"/>
      <c r="BA1520" s="536"/>
      <c r="BB1520" s="327"/>
      <c r="BC1520" s="22"/>
      <c r="BD1520" s="551" t="s">
        <v>334</v>
      </c>
      <c r="BE1520" s="327"/>
      <c r="BF1520" s="508"/>
      <c r="BG1520" s="326"/>
      <c r="BH1520" s="326"/>
      <c r="BI1520" s="327"/>
      <c r="BJ1520" s="451" t="s">
        <v>303</v>
      </c>
      <c r="BK1520" s="326"/>
      <c r="BL1520" s="326"/>
      <c r="BM1520" s="327"/>
      <c r="BN1520" s="558" t="s">
        <v>303</v>
      </c>
      <c r="BO1520" s="326"/>
      <c r="BP1520" s="326"/>
      <c r="BQ1520" s="326"/>
      <c r="BR1520" s="326"/>
      <c r="BS1520" s="326"/>
      <c r="BT1520" s="326"/>
      <c r="BU1520" s="326"/>
      <c r="BV1520" s="327"/>
    </row>
    <row r="1521" spans="1:74" ht="45" customHeight="1" x14ac:dyDescent="0.25">
      <c r="A1521" s="10">
        <f t="shared" si="5"/>
        <v>1507</v>
      </c>
      <c r="B1521" s="559" t="s">
        <v>303</v>
      </c>
      <c r="C1521" s="327"/>
      <c r="D1521" s="560" t="s">
        <v>307</v>
      </c>
      <c r="E1521" s="327"/>
      <c r="F1521" s="537" t="s">
        <v>334</v>
      </c>
      <c r="G1521" s="327"/>
      <c r="H1521" s="546" t="s">
        <v>334</v>
      </c>
      <c r="I1521" s="327"/>
      <c r="J1521" s="562"/>
      <c r="K1521" s="327"/>
      <c r="L1521" s="562"/>
      <c r="M1521" s="327"/>
      <c r="N1521" s="20"/>
      <c r="O1521" s="24"/>
      <c r="P1521" s="524"/>
      <c r="Q1521" s="327"/>
      <c r="R1521" s="538"/>
      <c r="S1521" s="327"/>
      <c r="T1521" s="539"/>
      <c r="U1521" s="327"/>
      <c r="V1521" s="540"/>
      <c r="W1521" s="327"/>
      <c r="X1521" s="541" t="s">
        <v>303</v>
      </c>
      <c r="Y1521" s="326"/>
      <c r="Z1521" s="326"/>
      <c r="AA1521" s="327"/>
      <c r="AB1521" s="542" t="s">
        <v>303</v>
      </c>
      <c r="AC1521" s="326"/>
      <c r="AD1521" s="326"/>
      <c r="AE1521" s="327"/>
      <c r="AF1521" s="543"/>
      <c r="AG1521" s="327"/>
      <c r="AH1521" s="543"/>
      <c r="AI1521" s="327"/>
      <c r="AJ1521" s="536"/>
      <c r="AK1521" s="327"/>
      <c r="AL1521" s="537" t="s">
        <v>334</v>
      </c>
      <c r="AM1521" s="327"/>
      <c r="AN1521" s="546" t="s">
        <v>334</v>
      </c>
      <c r="AO1521" s="327"/>
      <c r="AP1521" s="547"/>
      <c r="AQ1521" s="327"/>
      <c r="AR1521" s="548"/>
      <c r="AS1521" s="327"/>
      <c r="AT1521" s="568"/>
      <c r="AU1521" s="327"/>
      <c r="AV1521" s="546" t="s">
        <v>334</v>
      </c>
      <c r="AW1521" s="327"/>
      <c r="AX1521" s="521"/>
      <c r="AY1521" s="326"/>
      <c r="AZ1521" s="327"/>
      <c r="BA1521" s="550"/>
      <c r="BB1521" s="327"/>
      <c r="BC1521" s="25"/>
      <c r="BD1521" s="544" t="s">
        <v>334</v>
      </c>
      <c r="BE1521" s="327"/>
      <c r="BF1521" s="545"/>
      <c r="BG1521" s="326"/>
      <c r="BH1521" s="326"/>
      <c r="BI1521" s="327"/>
      <c r="BJ1521" s="557" t="s">
        <v>303</v>
      </c>
      <c r="BK1521" s="326"/>
      <c r="BL1521" s="326"/>
      <c r="BM1521" s="327"/>
      <c r="BN1521" s="558" t="s">
        <v>303</v>
      </c>
      <c r="BO1521" s="326"/>
      <c r="BP1521" s="326"/>
      <c r="BQ1521" s="326"/>
      <c r="BR1521" s="326"/>
      <c r="BS1521" s="326"/>
      <c r="BT1521" s="326"/>
      <c r="BU1521" s="326"/>
      <c r="BV1521" s="327"/>
    </row>
    <row r="1522" spans="1:74" ht="45" customHeight="1" x14ac:dyDescent="0.25">
      <c r="A1522" s="10">
        <f t="shared" si="5"/>
        <v>1508</v>
      </c>
      <c r="B1522" s="564" t="s">
        <v>303</v>
      </c>
      <c r="C1522" s="327"/>
      <c r="D1522" s="565" t="s">
        <v>307</v>
      </c>
      <c r="E1522" s="327"/>
      <c r="F1522" s="537" t="s">
        <v>334</v>
      </c>
      <c r="G1522" s="327"/>
      <c r="H1522" s="553" t="s">
        <v>334</v>
      </c>
      <c r="I1522" s="327"/>
      <c r="J1522" s="567"/>
      <c r="K1522" s="327"/>
      <c r="L1522" s="567"/>
      <c r="M1522" s="327"/>
      <c r="N1522" s="20"/>
      <c r="O1522" s="21"/>
      <c r="P1522" s="524"/>
      <c r="Q1522" s="327"/>
      <c r="R1522" s="516"/>
      <c r="S1522" s="327"/>
      <c r="T1522" s="517"/>
      <c r="U1522" s="327"/>
      <c r="V1522" s="518"/>
      <c r="W1522" s="327"/>
      <c r="X1522" s="438" t="s">
        <v>303</v>
      </c>
      <c r="Y1522" s="326"/>
      <c r="Z1522" s="326"/>
      <c r="AA1522" s="327"/>
      <c r="AB1522" s="519" t="s">
        <v>303</v>
      </c>
      <c r="AC1522" s="326"/>
      <c r="AD1522" s="326"/>
      <c r="AE1522" s="327"/>
      <c r="AF1522" s="520"/>
      <c r="AG1522" s="327"/>
      <c r="AH1522" s="520"/>
      <c r="AI1522" s="327"/>
      <c r="AJ1522" s="536"/>
      <c r="AK1522" s="327"/>
      <c r="AL1522" s="556" t="s">
        <v>334</v>
      </c>
      <c r="AM1522" s="327"/>
      <c r="AN1522" s="553" t="s">
        <v>334</v>
      </c>
      <c r="AO1522" s="327"/>
      <c r="AP1522" s="554"/>
      <c r="AQ1522" s="327"/>
      <c r="AR1522" s="555"/>
      <c r="AS1522" s="327"/>
      <c r="AT1522" s="549"/>
      <c r="AU1522" s="327"/>
      <c r="AV1522" s="553" t="s">
        <v>334</v>
      </c>
      <c r="AW1522" s="327"/>
      <c r="AX1522" s="521"/>
      <c r="AY1522" s="326"/>
      <c r="AZ1522" s="327"/>
      <c r="BA1522" s="536"/>
      <c r="BB1522" s="327"/>
      <c r="BC1522" s="22"/>
      <c r="BD1522" s="551" t="s">
        <v>334</v>
      </c>
      <c r="BE1522" s="327"/>
      <c r="BF1522" s="508"/>
      <c r="BG1522" s="326"/>
      <c r="BH1522" s="326"/>
      <c r="BI1522" s="327"/>
      <c r="BJ1522" s="451" t="s">
        <v>303</v>
      </c>
      <c r="BK1522" s="326"/>
      <c r="BL1522" s="326"/>
      <c r="BM1522" s="327"/>
      <c r="BN1522" s="558" t="s">
        <v>303</v>
      </c>
      <c r="BO1522" s="326"/>
      <c r="BP1522" s="326"/>
      <c r="BQ1522" s="326"/>
      <c r="BR1522" s="326"/>
      <c r="BS1522" s="326"/>
      <c r="BT1522" s="326"/>
      <c r="BU1522" s="326"/>
      <c r="BV1522" s="327"/>
    </row>
    <row r="1523" spans="1:74" ht="45" customHeight="1" x14ac:dyDescent="0.25">
      <c r="A1523" s="10">
        <f t="shared" si="5"/>
        <v>1509</v>
      </c>
      <c r="B1523" s="559" t="s">
        <v>303</v>
      </c>
      <c r="C1523" s="327"/>
      <c r="D1523" s="560" t="s">
        <v>307</v>
      </c>
      <c r="E1523" s="327"/>
      <c r="F1523" s="537" t="s">
        <v>334</v>
      </c>
      <c r="G1523" s="327"/>
      <c r="H1523" s="546" t="s">
        <v>334</v>
      </c>
      <c r="I1523" s="327"/>
      <c r="J1523" s="562"/>
      <c r="K1523" s="327"/>
      <c r="L1523" s="562"/>
      <c r="M1523" s="327"/>
      <c r="N1523" s="23"/>
      <c r="O1523" s="24"/>
      <c r="P1523" s="563"/>
      <c r="Q1523" s="327"/>
      <c r="R1523" s="538"/>
      <c r="S1523" s="327"/>
      <c r="T1523" s="539"/>
      <c r="U1523" s="327"/>
      <c r="V1523" s="540"/>
      <c r="W1523" s="327"/>
      <c r="X1523" s="541" t="s">
        <v>303</v>
      </c>
      <c r="Y1523" s="326"/>
      <c r="Z1523" s="326"/>
      <c r="AA1523" s="327"/>
      <c r="AB1523" s="542" t="s">
        <v>303</v>
      </c>
      <c r="AC1523" s="326"/>
      <c r="AD1523" s="326"/>
      <c r="AE1523" s="327"/>
      <c r="AF1523" s="543"/>
      <c r="AG1523" s="327"/>
      <c r="AH1523" s="543"/>
      <c r="AI1523" s="327"/>
      <c r="AJ1523" s="536"/>
      <c r="AK1523" s="327"/>
      <c r="AL1523" s="537" t="s">
        <v>334</v>
      </c>
      <c r="AM1523" s="327"/>
      <c r="AN1523" s="546" t="s">
        <v>334</v>
      </c>
      <c r="AO1523" s="327"/>
      <c r="AP1523" s="547"/>
      <c r="AQ1523" s="327"/>
      <c r="AR1523" s="548"/>
      <c r="AS1523" s="327"/>
      <c r="AT1523" s="549"/>
      <c r="AU1523" s="327"/>
      <c r="AV1523" s="546" t="s">
        <v>334</v>
      </c>
      <c r="AW1523" s="327"/>
      <c r="AX1523" s="521"/>
      <c r="AY1523" s="326"/>
      <c r="AZ1523" s="327"/>
      <c r="BA1523" s="550"/>
      <c r="BB1523" s="327"/>
      <c r="BC1523" s="25"/>
      <c r="BD1523" s="544" t="s">
        <v>334</v>
      </c>
      <c r="BE1523" s="327"/>
      <c r="BF1523" s="545"/>
      <c r="BG1523" s="326"/>
      <c r="BH1523" s="326"/>
      <c r="BI1523" s="327"/>
      <c r="BJ1523" s="557" t="s">
        <v>303</v>
      </c>
      <c r="BK1523" s="326"/>
      <c r="BL1523" s="326"/>
      <c r="BM1523" s="327"/>
      <c r="BN1523" s="558" t="s">
        <v>303</v>
      </c>
      <c r="BO1523" s="326"/>
      <c r="BP1523" s="326"/>
      <c r="BQ1523" s="326"/>
      <c r="BR1523" s="326"/>
      <c r="BS1523" s="326"/>
      <c r="BT1523" s="326"/>
      <c r="BU1523" s="326"/>
      <c r="BV1523" s="327"/>
    </row>
    <row r="1524" spans="1:74" ht="45" customHeight="1" x14ac:dyDescent="0.25">
      <c r="A1524" s="10">
        <f t="shared" si="5"/>
        <v>1510</v>
      </c>
      <c r="B1524" s="564" t="s">
        <v>303</v>
      </c>
      <c r="C1524" s="327"/>
      <c r="D1524" s="565" t="s">
        <v>307</v>
      </c>
      <c r="E1524" s="327"/>
      <c r="F1524" s="537" t="s">
        <v>334</v>
      </c>
      <c r="G1524" s="327"/>
      <c r="H1524" s="553" t="s">
        <v>334</v>
      </c>
      <c r="I1524" s="327"/>
      <c r="J1524" s="567"/>
      <c r="K1524" s="327"/>
      <c r="L1524" s="567"/>
      <c r="M1524" s="327"/>
      <c r="N1524" s="20"/>
      <c r="O1524" s="21"/>
      <c r="P1524" s="524"/>
      <c r="Q1524" s="327"/>
      <c r="R1524" s="516"/>
      <c r="S1524" s="327"/>
      <c r="T1524" s="517"/>
      <c r="U1524" s="327"/>
      <c r="V1524" s="518"/>
      <c r="W1524" s="327"/>
      <c r="X1524" s="438" t="s">
        <v>303</v>
      </c>
      <c r="Y1524" s="326"/>
      <c r="Z1524" s="326"/>
      <c r="AA1524" s="327"/>
      <c r="AB1524" s="519" t="s">
        <v>303</v>
      </c>
      <c r="AC1524" s="326"/>
      <c r="AD1524" s="326"/>
      <c r="AE1524" s="327"/>
      <c r="AF1524" s="520"/>
      <c r="AG1524" s="327"/>
      <c r="AH1524" s="520"/>
      <c r="AI1524" s="327"/>
      <c r="AJ1524" s="536"/>
      <c r="AK1524" s="327"/>
      <c r="AL1524" s="556" t="s">
        <v>334</v>
      </c>
      <c r="AM1524" s="327"/>
      <c r="AN1524" s="553" t="s">
        <v>334</v>
      </c>
      <c r="AO1524" s="327"/>
      <c r="AP1524" s="554"/>
      <c r="AQ1524" s="327"/>
      <c r="AR1524" s="555"/>
      <c r="AS1524" s="327"/>
      <c r="AT1524" s="549"/>
      <c r="AU1524" s="327"/>
      <c r="AV1524" s="553" t="s">
        <v>334</v>
      </c>
      <c r="AW1524" s="327"/>
      <c r="AX1524" s="521"/>
      <c r="AY1524" s="326"/>
      <c r="AZ1524" s="327"/>
      <c r="BA1524" s="536"/>
      <c r="BB1524" s="327"/>
      <c r="BC1524" s="22"/>
      <c r="BD1524" s="551" t="s">
        <v>334</v>
      </c>
      <c r="BE1524" s="327"/>
      <c r="BF1524" s="552"/>
      <c r="BG1524" s="326"/>
      <c r="BH1524" s="326"/>
      <c r="BI1524" s="327"/>
      <c r="BJ1524" s="451" t="s">
        <v>303</v>
      </c>
      <c r="BK1524" s="326"/>
      <c r="BL1524" s="326"/>
      <c r="BM1524" s="327"/>
      <c r="BN1524" s="558" t="s">
        <v>303</v>
      </c>
      <c r="BO1524" s="326"/>
      <c r="BP1524" s="326"/>
      <c r="BQ1524" s="326"/>
      <c r="BR1524" s="326"/>
      <c r="BS1524" s="326"/>
      <c r="BT1524" s="326"/>
      <c r="BU1524" s="326"/>
      <c r="BV1524" s="327"/>
    </row>
    <row r="1525" spans="1:74" ht="45" customHeight="1" x14ac:dyDescent="0.25">
      <c r="A1525" s="10">
        <f t="shared" si="5"/>
        <v>1511</v>
      </c>
      <c r="B1525" s="559" t="s">
        <v>303</v>
      </c>
      <c r="C1525" s="327"/>
      <c r="D1525" s="560" t="s">
        <v>307</v>
      </c>
      <c r="E1525" s="327"/>
      <c r="F1525" s="537" t="s">
        <v>334</v>
      </c>
      <c r="G1525" s="327"/>
      <c r="H1525" s="546" t="s">
        <v>334</v>
      </c>
      <c r="I1525" s="327"/>
      <c r="J1525" s="562"/>
      <c r="K1525" s="327"/>
      <c r="L1525" s="562"/>
      <c r="M1525" s="327"/>
      <c r="N1525" s="23"/>
      <c r="O1525" s="24"/>
      <c r="P1525" s="563"/>
      <c r="Q1525" s="327"/>
      <c r="R1525" s="538"/>
      <c r="S1525" s="327"/>
      <c r="T1525" s="539"/>
      <c r="U1525" s="327"/>
      <c r="V1525" s="540"/>
      <c r="W1525" s="327"/>
      <c r="X1525" s="541" t="s">
        <v>303</v>
      </c>
      <c r="Y1525" s="326"/>
      <c r="Z1525" s="326"/>
      <c r="AA1525" s="327"/>
      <c r="AB1525" s="542" t="s">
        <v>303</v>
      </c>
      <c r="AC1525" s="326"/>
      <c r="AD1525" s="326"/>
      <c r="AE1525" s="327"/>
      <c r="AF1525" s="543"/>
      <c r="AG1525" s="327"/>
      <c r="AH1525" s="543"/>
      <c r="AI1525" s="327"/>
      <c r="AJ1525" s="536"/>
      <c r="AK1525" s="327"/>
      <c r="AL1525" s="537" t="s">
        <v>334</v>
      </c>
      <c r="AM1525" s="327"/>
      <c r="AN1525" s="546" t="s">
        <v>334</v>
      </c>
      <c r="AO1525" s="327"/>
      <c r="AP1525" s="547"/>
      <c r="AQ1525" s="327"/>
      <c r="AR1525" s="548"/>
      <c r="AS1525" s="327"/>
      <c r="AT1525" s="549"/>
      <c r="AU1525" s="327"/>
      <c r="AV1525" s="546" t="s">
        <v>334</v>
      </c>
      <c r="AW1525" s="327"/>
      <c r="AX1525" s="521"/>
      <c r="AY1525" s="326"/>
      <c r="AZ1525" s="327"/>
      <c r="BA1525" s="550"/>
      <c r="BB1525" s="327"/>
      <c r="BC1525" s="25"/>
      <c r="BD1525" s="544" t="s">
        <v>334</v>
      </c>
      <c r="BE1525" s="327"/>
      <c r="BF1525" s="545"/>
      <c r="BG1525" s="326"/>
      <c r="BH1525" s="326"/>
      <c r="BI1525" s="327"/>
      <c r="BJ1525" s="557" t="s">
        <v>303</v>
      </c>
      <c r="BK1525" s="326"/>
      <c r="BL1525" s="326"/>
      <c r="BM1525" s="327"/>
      <c r="BN1525" s="558" t="s">
        <v>303</v>
      </c>
      <c r="BO1525" s="326"/>
      <c r="BP1525" s="326"/>
      <c r="BQ1525" s="326"/>
      <c r="BR1525" s="326"/>
      <c r="BS1525" s="326"/>
      <c r="BT1525" s="326"/>
      <c r="BU1525" s="326"/>
      <c r="BV1525" s="327"/>
    </row>
    <row r="1526" spans="1:74" ht="45" customHeight="1" x14ac:dyDescent="0.25">
      <c r="A1526" s="10">
        <f t="shared" si="5"/>
        <v>1512</v>
      </c>
      <c r="B1526" s="564" t="s">
        <v>303</v>
      </c>
      <c r="C1526" s="327"/>
      <c r="D1526" s="565" t="s">
        <v>307</v>
      </c>
      <c r="E1526" s="327"/>
      <c r="F1526" s="537" t="s">
        <v>334</v>
      </c>
      <c r="G1526" s="327"/>
      <c r="H1526" s="553" t="s">
        <v>334</v>
      </c>
      <c r="I1526" s="327"/>
      <c r="J1526" s="567"/>
      <c r="K1526" s="327"/>
      <c r="L1526" s="567"/>
      <c r="M1526" s="327"/>
      <c r="N1526" s="20"/>
      <c r="O1526" s="21"/>
      <c r="P1526" s="524"/>
      <c r="Q1526" s="327"/>
      <c r="R1526" s="516"/>
      <c r="S1526" s="327"/>
      <c r="T1526" s="517"/>
      <c r="U1526" s="327"/>
      <c r="V1526" s="518"/>
      <c r="W1526" s="327"/>
      <c r="X1526" s="438" t="s">
        <v>303</v>
      </c>
      <c r="Y1526" s="326"/>
      <c r="Z1526" s="326"/>
      <c r="AA1526" s="327"/>
      <c r="AB1526" s="519" t="s">
        <v>303</v>
      </c>
      <c r="AC1526" s="326"/>
      <c r="AD1526" s="326"/>
      <c r="AE1526" s="327"/>
      <c r="AF1526" s="520"/>
      <c r="AG1526" s="327"/>
      <c r="AH1526" s="520"/>
      <c r="AI1526" s="327"/>
      <c r="AJ1526" s="536"/>
      <c r="AK1526" s="327"/>
      <c r="AL1526" s="556" t="s">
        <v>334</v>
      </c>
      <c r="AM1526" s="327"/>
      <c r="AN1526" s="553" t="s">
        <v>334</v>
      </c>
      <c r="AO1526" s="327"/>
      <c r="AP1526" s="554"/>
      <c r="AQ1526" s="327"/>
      <c r="AR1526" s="555"/>
      <c r="AS1526" s="327"/>
      <c r="AT1526" s="549"/>
      <c r="AU1526" s="327"/>
      <c r="AV1526" s="553" t="s">
        <v>334</v>
      </c>
      <c r="AW1526" s="327"/>
      <c r="AX1526" s="521"/>
      <c r="AY1526" s="326"/>
      <c r="AZ1526" s="327"/>
      <c r="BA1526" s="536"/>
      <c r="BB1526" s="327"/>
      <c r="BC1526" s="22"/>
      <c r="BD1526" s="551" t="s">
        <v>334</v>
      </c>
      <c r="BE1526" s="327"/>
      <c r="BF1526" s="552"/>
      <c r="BG1526" s="326"/>
      <c r="BH1526" s="326"/>
      <c r="BI1526" s="327"/>
      <c r="BJ1526" s="451" t="s">
        <v>303</v>
      </c>
      <c r="BK1526" s="326"/>
      <c r="BL1526" s="326"/>
      <c r="BM1526" s="327"/>
      <c r="BN1526" s="558" t="s">
        <v>303</v>
      </c>
      <c r="BO1526" s="326"/>
      <c r="BP1526" s="326"/>
      <c r="BQ1526" s="326"/>
      <c r="BR1526" s="326"/>
      <c r="BS1526" s="326"/>
      <c r="BT1526" s="326"/>
      <c r="BU1526" s="326"/>
      <c r="BV1526" s="327"/>
    </row>
    <row r="1527" spans="1:74" ht="45" customHeight="1" x14ac:dyDescent="0.25">
      <c r="A1527" s="10">
        <f t="shared" si="5"/>
        <v>1513</v>
      </c>
      <c r="B1527" s="559" t="s">
        <v>303</v>
      </c>
      <c r="C1527" s="327"/>
      <c r="D1527" s="560" t="s">
        <v>307</v>
      </c>
      <c r="E1527" s="327"/>
      <c r="F1527" s="537" t="s">
        <v>334</v>
      </c>
      <c r="G1527" s="327"/>
      <c r="H1527" s="546" t="s">
        <v>334</v>
      </c>
      <c r="I1527" s="327"/>
      <c r="J1527" s="562"/>
      <c r="K1527" s="327"/>
      <c r="L1527" s="562"/>
      <c r="M1527" s="327"/>
      <c r="N1527" s="23"/>
      <c r="O1527" s="24"/>
      <c r="P1527" s="563"/>
      <c r="Q1527" s="327"/>
      <c r="R1527" s="538"/>
      <c r="S1527" s="327"/>
      <c r="T1527" s="539"/>
      <c r="U1527" s="327"/>
      <c r="V1527" s="540"/>
      <c r="W1527" s="327"/>
      <c r="X1527" s="541" t="s">
        <v>303</v>
      </c>
      <c r="Y1527" s="326"/>
      <c r="Z1527" s="326"/>
      <c r="AA1527" s="327"/>
      <c r="AB1527" s="542" t="s">
        <v>303</v>
      </c>
      <c r="AC1527" s="326"/>
      <c r="AD1527" s="326"/>
      <c r="AE1527" s="327"/>
      <c r="AF1527" s="543"/>
      <c r="AG1527" s="327"/>
      <c r="AH1527" s="543"/>
      <c r="AI1527" s="327"/>
      <c r="AJ1527" s="536"/>
      <c r="AK1527" s="327"/>
      <c r="AL1527" s="537" t="s">
        <v>334</v>
      </c>
      <c r="AM1527" s="327"/>
      <c r="AN1527" s="546" t="s">
        <v>334</v>
      </c>
      <c r="AO1527" s="327"/>
      <c r="AP1527" s="547"/>
      <c r="AQ1527" s="327"/>
      <c r="AR1527" s="548"/>
      <c r="AS1527" s="327"/>
      <c r="AT1527" s="568"/>
      <c r="AU1527" s="327"/>
      <c r="AV1527" s="546" t="s">
        <v>334</v>
      </c>
      <c r="AW1527" s="327"/>
      <c r="AX1527" s="521"/>
      <c r="AY1527" s="326"/>
      <c r="AZ1527" s="327"/>
      <c r="BA1527" s="550"/>
      <c r="BB1527" s="327"/>
      <c r="BC1527" s="25"/>
      <c r="BD1527" s="544" t="s">
        <v>334</v>
      </c>
      <c r="BE1527" s="327"/>
      <c r="BF1527" s="545"/>
      <c r="BG1527" s="326"/>
      <c r="BH1527" s="326"/>
      <c r="BI1527" s="327"/>
      <c r="BJ1527" s="557" t="s">
        <v>303</v>
      </c>
      <c r="BK1527" s="326"/>
      <c r="BL1527" s="326"/>
      <c r="BM1527" s="327"/>
      <c r="BN1527" s="558" t="s">
        <v>303</v>
      </c>
      <c r="BO1527" s="326"/>
      <c r="BP1527" s="326"/>
      <c r="BQ1527" s="326"/>
      <c r="BR1527" s="326"/>
      <c r="BS1527" s="326"/>
      <c r="BT1527" s="326"/>
      <c r="BU1527" s="326"/>
      <c r="BV1527" s="327"/>
    </row>
    <row r="1528" spans="1:74" ht="45" customHeight="1" x14ac:dyDescent="0.25">
      <c r="A1528" s="10">
        <f t="shared" si="5"/>
        <v>1514</v>
      </c>
      <c r="B1528" s="564" t="s">
        <v>303</v>
      </c>
      <c r="C1528" s="327"/>
      <c r="D1528" s="565" t="s">
        <v>307</v>
      </c>
      <c r="E1528" s="327"/>
      <c r="F1528" s="537" t="s">
        <v>334</v>
      </c>
      <c r="G1528" s="327"/>
      <c r="H1528" s="553" t="s">
        <v>334</v>
      </c>
      <c r="I1528" s="327"/>
      <c r="J1528" s="567"/>
      <c r="K1528" s="327"/>
      <c r="L1528" s="567"/>
      <c r="M1528" s="327"/>
      <c r="N1528" s="20"/>
      <c r="O1528" s="21"/>
      <c r="P1528" s="524"/>
      <c r="Q1528" s="327"/>
      <c r="R1528" s="516"/>
      <c r="S1528" s="327"/>
      <c r="T1528" s="517"/>
      <c r="U1528" s="327"/>
      <c r="V1528" s="518"/>
      <c r="W1528" s="327"/>
      <c r="X1528" s="438" t="s">
        <v>303</v>
      </c>
      <c r="Y1528" s="326"/>
      <c r="Z1528" s="326"/>
      <c r="AA1528" s="327"/>
      <c r="AB1528" s="519" t="s">
        <v>303</v>
      </c>
      <c r="AC1528" s="326"/>
      <c r="AD1528" s="326"/>
      <c r="AE1528" s="327"/>
      <c r="AF1528" s="520"/>
      <c r="AG1528" s="327"/>
      <c r="AH1528" s="520"/>
      <c r="AI1528" s="327"/>
      <c r="AJ1528" s="536"/>
      <c r="AK1528" s="327"/>
      <c r="AL1528" s="556" t="s">
        <v>334</v>
      </c>
      <c r="AM1528" s="327"/>
      <c r="AN1528" s="553" t="s">
        <v>334</v>
      </c>
      <c r="AO1528" s="327"/>
      <c r="AP1528" s="554"/>
      <c r="AQ1528" s="327"/>
      <c r="AR1528" s="555"/>
      <c r="AS1528" s="327"/>
      <c r="AT1528" s="549"/>
      <c r="AU1528" s="327"/>
      <c r="AV1528" s="553" t="s">
        <v>334</v>
      </c>
      <c r="AW1528" s="327"/>
      <c r="AX1528" s="521"/>
      <c r="AY1528" s="326"/>
      <c r="AZ1528" s="327"/>
      <c r="BA1528" s="536"/>
      <c r="BB1528" s="327"/>
      <c r="BC1528" s="22"/>
      <c r="BD1528" s="551" t="s">
        <v>334</v>
      </c>
      <c r="BE1528" s="327"/>
      <c r="BF1528" s="508"/>
      <c r="BG1528" s="326"/>
      <c r="BH1528" s="326"/>
      <c r="BI1528" s="327"/>
      <c r="BJ1528" s="451" t="s">
        <v>303</v>
      </c>
      <c r="BK1528" s="326"/>
      <c r="BL1528" s="326"/>
      <c r="BM1528" s="327"/>
      <c r="BN1528" s="558" t="s">
        <v>303</v>
      </c>
      <c r="BO1528" s="326"/>
      <c r="BP1528" s="326"/>
      <c r="BQ1528" s="326"/>
      <c r="BR1528" s="326"/>
      <c r="BS1528" s="326"/>
      <c r="BT1528" s="326"/>
      <c r="BU1528" s="326"/>
      <c r="BV1528" s="327"/>
    </row>
    <row r="1529" spans="1:74" ht="45" customHeight="1" x14ac:dyDescent="0.25">
      <c r="A1529" s="10">
        <f t="shared" si="5"/>
        <v>1515</v>
      </c>
      <c r="B1529" s="559" t="s">
        <v>303</v>
      </c>
      <c r="C1529" s="327"/>
      <c r="D1529" s="560" t="s">
        <v>307</v>
      </c>
      <c r="E1529" s="327"/>
      <c r="F1529" s="537" t="s">
        <v>334</v>
      </c>
      <c r="G1529" s="327"/>
      <c r="H1529" s="546" t="s">
        <v>334</v>
      </c>
      <c r="I1529" s="327"/>
      <c r="J1529" s="562"/>
      <c r="K1529" s="327"/>
      <c r="L1529" s="562"/>
      <c r="M1529" s="327"/>
      <c r="N1529" s="23"/>
      <c r="O1529" s="24"/>
      <c r="P1529" s="563"/>
      <c r="Q1529" s="327"/>
      <c r="R1529" s="538"/>
      <c r="S1529" s="327"/>
      <c r="T1529" s="539"/>
      <c r="U1529" s="327"/>
      <c r="V1529" s="540"/>
      <c r="W1529" s="327"/>
      <c r="X1529" s="541" t="s">
        <v>303</v>
      </c>
      <c r="Y1529" s="326"/>
      <c r="Z1529" s="326"/>
      <c r="AA1529" s="327"/>
      <c r="AB1529" s="542" t="s">
        <v>303</v>
      </c>
      <c r="AC1529" s="326"/>
      <c r="AD1529" s="326"/>
      <c r="AE1529" s="327"/>
      <c r="AF1529" s="543"/>
      <c r="AG1529" s="327"/>
      <c r="AH1529" s="543"/>
      <c r="AI1529" s="327"/>
      <c r="AJ1529" s="536"/>
      <c r="AK1529" s="327"/>
      <c r="AL1529" s="537" t="s">
        <v>334</v>
      </c>
      <c r="AM1529" s="327"/>
      <c r="AN1529" s="546" t="s">
        <v>334</v>
      </c>
      <c r="AO1529" s="327"/>
      <c r="AP1529" s="547"/>
      <c r="AQ1529" s="327"/>
      <c r="AR1529" s="548"/>
      <c r="AS1529" s="327"/>
      <c r="AT1529" s="568"/>
      <c r="AU1529" s="327"/>
      <c r="AV1529" s="546" t="s">
        <v>334</v>
      </c>
      <c r="AW1529" s="327"/>
      <c r="AX1529" s="521"/>
      <c r="AY1529" s="326"/>
      <c r="AZ1529" s="327"/>
      <c r="BA1529" s="550"/>
      <c r="BB1529" s="327"/>
      <c r="BC1529" s="25"/>
      <c r="BD1529" s="544" t="s">
        <v>334</v>
      </c>
      <c r="BE1529" s="327"/>
      <c r="BF1529" s="545"/>
      <c r="BG1529" s="326"/>
      <c r="BH1529" s="326"/>
      <c r="BI1529" s="327"/>
      <c r="BJ1529" s="557" t="s">
        <v>303</v>
      </c>
      <c r="BK1529" s="326"/>
      <c r="BL1529" s="326"/>
      <c r="BM1529" s="327"/>
      <c r="BN1529" s="558" t="s">
        <v>303</v>
      </c>
      <c r="BO1529" s="326"/>
      <c r="BP1529" s="326"/>
      <c r="BQ1529" s="326"/>
      <c r="BR1529" s="326"/>
      <c r="BS1529" s="326"/>
      <c r="BT1529" s="326"/>
      <c r="BU1529" s="326"/>
      <c r="BV1529" s="327"/>
    </row>
    <row r="1530" spans="1:74" ht="45" customHeight="1" x14ac:dyDescent="0.25">
      <c r="A1530" s="10">
        <f t="shared" si="5"/>
        <v>1516</v>
      </c>
      <c r="B1530" s="564" t="s">
        <v>303</v>
      </c>
      <c r="C1530" s="327"/>
      <c r="D1530" s="565" t="s">
        <v>307</v>
      </c>
      <c r="E1530" s="327"/>
      <c r="F1530" s="537" t="s">
        <v>334</v>
      </c>
      <c r="G1530" s="327"/>
      <c r="H1530" s="553" t="s">
        <v>334</v>
      </c>
      <c r="I1530" s="327"/>
      <c r="J1530" s="567"/>
      <c r="K1530" s="327"/>
      <c r="L1530" s="567"/>
      <c r="M1530" s="327"/>
      <c r="N1530" s="20"/>
      <c r="O1530" s="21"/>
      <c r="P1530" s="524"/>
      <c r="Q1530" s="327"/>
      <c r="R1530" s="516"/>
      <c r="S1530" s="327"/>
      <c r="T1530" s="517"/>
      <c r="U1530" s="327"/>
      <c r="V1530" s="518"/>
      <c r="W1530" s="327"/>
      <c r="X1530" s="438" t="s">
        <v>303</v>
      </c>
      <c r="Y1530" s="326"/>
      <c r="Z1530" s="326"/>
      <c r="AA1530" s="327"/>
      <c r="AB1530" s="519" t="s">
        <v>303</v>
      </c>
      <c r="AC1530" s="326"/>
      <c r="AD1530" s="326"/>
      <c r="AE1530" s="327"/>
      <c r="AF1530" s="520"/>
      <c r="AG1530" s="327"/>
      <c r="AH1530" s="520"/>
      <c r="AI1530" s="327"/>
      <c r="AJ1530" s="536"/>
      <c r="AK1530" s="327"/>
      <c r="AL1530" s="556" t="s">
        <v>334</v>
      </c>
      <c r="AM1530" s="327"/>
      <c r="AN1530" s="553" t="s">
        <v>334</v>
      </c>
      <c r="AO1530" s="327"/>
      <c r="AP1530" s="554"/>
      <c r="AQ1530" s="327"/>
      <c r="AR1530" s="555"/>
      <c r="AS1530" s="327"/>
      <c r="AT1530" s="549"/>
      <c r="AU1530" s="327"/>
      <c r="AV1530" s="553" t="s">
        <v>334</v>
      </c>
      <c r="AW1530" s="327"/>
      <c r="AX1530" s="521"/>
      <c r="AY1530" s="326"/>
      <c r="AZ1530" s="327"/>
      <c r="BA1530" s="536"/>
      <c r="BB1530" s="327"/>
      <c r="BC1530" s="22"/>
      <c r="BD1530" s="551" t="s">
        <v>334</v>
      </c>
      <c r="BE1530" s="327"/>
      <c r="BF1530" s="552"/>
      <c r="BG1530" s="326"/>
      <c r="BH1530" s="326"/>
      <c r="BI1530" s="327"/>
      <c r="BJ1530" s="451" t="s">
        <v>303</v>
      </c>
      <c r="BK1530" s="326"/>
      <c r="BL1530" s="326"/>
      <c r="BM1530" s="327"/>
      <c r="BN1530" s="558" t="s">
        <v>303</v>
      </c>
      <c r="BO1530" s="326"/>
      <c r="BP1530" s="326"/>
      <c r="BQ1530" s="326"/>
      <c r="BR1530" s="326"/>
      <c r="BS1530" s="326"/>
      <c r="BT1530" s="326"/>
      <c r="BU1530" s="326"/>
      <c r="BV1530" s="327"/>
    </row>
    <row r="1531" spans="1:74" ht="45" customHeight="1" x14ac:dyDescent="0.25">
      <c r="A1531" s="10">
        <f t="shared" si="5"/>
        <v>1517</v>
      </c>
      <c r="B1531" s="559" t="s">
        <v>303</v>
      </c>
      <c r="C1531" s="327"/>
      <c r="D1531" s="560" t="s">
        <v>307</v>
      </c>
      <c r="E1531" s="327"/>
      <c r="F1531" s="537" t="s">
        <v>334</v>
      </c>
      <c r="G1531" s="327"/>
      <c r="H1531" s="546" t="s">
        <v>334</v>
      </c>
      <c r="I1531" s="327"/>
      <c r="J1531" s="562"/>
      <c r="K1531" s="327"/>
      <c r="L1531" s="562"/>
      <c r="M1531" s="327"/>
      <c r="N1531" s="23"/>
      <c r="O1531" s="24"/>
      <c r="P1531" s="563"/>
      <c r="Q1531" s="327"/>
      <c r="R1531" s="538"/>
      <c r="S1531" s="327"/>
      <c r="T1531" s="539"/>
      <c r="U1531" s="327"/>
      <c r="V1531" s="540"/>
      <c r="W1531" s="327"/>
      <c r="X1531" s="541" t="s">
        <v>303</v>
      </c>
      <c r="Y1531" s="326"/>
      <c r="Z1531" s="326"/>
      <c r="AA1531" s="327"/>
      <c r="AB1531" s="542" t="s">
        <v>303</v>
      </c>
      <c r="AC1531" s="326"/>
      <c r="AD1531" s="326"/>
      <c r="AE1531" s="327"/>
      <c r="AF1531" s="543"/>
      <c r="AG1531" s="327"/>
      <c r="AH1531" s="543"/>
      <c r="AI1531" s="327"/>
      <c r="AJ1531" s="536"/>
      <c r="AK1531" s="327"/>
      <c r="AL1531" s="537" t="s">
        <v>334</v>
      </c>
      <c r="AM1531" s="327"/>
      <c r="AN1531" s="546" t="s">
        <v>334</v>
      </c>
      <c r="AO1531" s="327"/>
      <c r="AP1531" s="547"/>
      <c r="AQ1531" s="327"/>
      <c r="AR1531" s="548"/>
      <c r="AS1531" s="327"/>
      <c r="AT1531" s="568"/>
      <c r="AU1531" s="327"/>
      <c r="AV1531" s="546" t="s">
        <v>334</v>
      </c>
      <c r="AW1531" s="327"/>
      <c r="AX1531" s="521"/>
      <c r="AY1531" s="326"/>
      <c r="AZ1531" s="327"/>
      <c r="BA1531" s="550"/>
      <c r="BB1531" s="327"/>
      <c r="BC1531" s="25"/>
      <c r="BD1531" s="544" t="s">
        <v>334</v>
      </c>
      <c r="BE1531" s="327"/>
      <c r="BF1531" s="545"/>
      <c r="BG1531" s="326"/>
      <c r="BH1531" s="326"/>
      <c r="BI1531" s="327"/>
      <c r="BJ1531" s="557" t="s">
        <v>303</v>
      </c>
      <c r="BK1531" s="326"/>
      <c r="BL1531" s="326"/>
      <c r="BM1531" s="327"/>
      <c r="BN1531" s="558" t="s">
        <v>303</v>
      </c>
      <c r="BO1531" s="326"/>
      <c r="BP1531" s="326"/>
      <c r="BQ1531" s="326"/>
      <c r="BR1531" s="326"/>
      <c r="BS1531" s="326"/>
      <c r="BT1531" s="326"/>
      <c r="BU1531" s="326"/>
      <c r="BV1531" s="327"/>
    </row>
    <row r="1532" spans="1:74" ht="45" customHeight="1" x14ac:dyDescent="0.25">
      <c r="A1532" s="10">
        <f t="shared" si="5"/>
        <v>1518</v>
      </c>
      <c r="B1532" s="564" t="s">
        <v>303</v>
      </c>
      <c r="C1532" s="327"/>
      <c r="D1532" s="565" t="s">
        <v>307</v>
      </c>
      <c r="E1532" s="327"/>
      <c r="F1532" s="537" t="s">
        <v>334</v>
      </c>
      <c r="G1532" s="327"/>
      <c r="H1532" s="553" t="s">
        <v>334</v>
      </c>
      <c r="I1532" s="327"/>
      <c r="J1532" s="567"/>
      <c r="K1532" s="327"/>
      <c r="L1532" s="567"/>
      <c r="M1532" s="327"/>
      <c r="N1532" s="20"/>
      <c r="O1532" s="21"/>
      <c r="P1532" s="524"/>
      <c r="Q1532" s="327"/>
      <c r="R1532" s="516"/>
      <c r="S1532" s="327"/>
      <c r="T1532" s="517"/>
      <c r="U1532" s="327"/>
      <c r="V1532" s="518"/>
      <c r="W1532" s="327"/>
      <c r="X1532" s="438" t="s">
        <v>303</v>
      </c>
      <c r="Y1532" s="326"/>
      <c r="Z1532" s="326"/>
      <c r="AA1532" s="327"/>
      <c r="AB1532" s="519" t="s">
        <v>303</v>
      </c>
      <c r="AC1532" s="326"/>
      <c r="AD1532" s="326"/>
      <c r="AE1532" s="327"/>
      <c r="AF1532" s="520"/>
      <c r="AG1532" s="327"/>
      <c r="AH1532" s="520"/>
      <c r="AI1532" s="327"/>
      <c r="AJ1532" s="536"/>
      <c r="AK1532" s="327"/>
      <c r="AL1532" s="556" t="s">
        <v>334</v>
      </c>
      <c r="AM1532" s="327"/>
      <c r="AN1532" s="553" t="s">
        <v>334</v>
      </c>
      <c r="AO1532" s="327"/>
      <c r="AP1532" s="554"/>
      <c r="AQ1532" s="327"/>
      <c r="AR1532" s="555"/>
      <c r="AS1532" s="327"/>
      <c r="AT1532" s="549"/>
      <c r="AU1532" s="327"/>
      <c r="AV1532" s="553" t="s">
        <v>334</v>
      </c>
      <c r="AW1532" s="327"/>
      <c r="AX1532" s="521"/>
      <c r="AY1532" s="326"/>
      <c r="AZ1532" s="327"/>
      <c r="BA1532" s="536"/>
      <c r="BB1532" s="327"/>
      <c r="BC1532" s="22"/>
      <c r="BD1532" s="551" t="s">
        <v>334</v>
      </c>
      <c r="BE1532" s="327"/>
      <c r="BF1532" s="552"/>
      <c r="BG1532" s="326"/>
      <c r="BH1532" s="326"/>
      <c r="BI1532" s="327"/>
      <c r="BJ1532" s="451" t="s">
        <v>303</v>
      </c>
      <c r="BK1532" s="326"/>
      <c r="BL1532" s="326"/>
      <c r="BM1532" s="327"/>
      <c r="BN1532" s="558" t="s">
        <v>303</v>
      </c>
      <c r="BO1532" s="326"/>
      <c r="BP1532" s="326"/>
      <c r="BQ1532" s="326"/>
      <c r="BR1532" s="326"/>
      <c r="BS1532" s="326"/>
      <c r="BT1532" s="326"/>
      <c r="BU1532" s="326"/>
      <c r="BV1532" s="327"/>
    </row>
    <row r="1533" spans="1:74" ht="45" customHeight="1" x14ac:dyDescent="0.25">
      <c r="A1533" s="10">
        <f t="shared" si="5"/>
        <v>1519</v>
      </c>
      <c r="B1533" s="559" t="s">
        <v>303</v>
      </c>
      <c r="C1533" s="327"/>
      <c r="D1533" s="560" t="s">
        <v>307</v>
      </c>
      <c r="E1533" s="327"/>
      <c r="F1533" s="537" t="s">
        <v>334</v>
      </c>
      <c r="G1533" s="327"/>
      <c r="H1533" s="546" t="s">
        <v>334</v>
      </c>
      <c r="I1533" s="327"/>
      <c r="J1533" s="562"/>
      <c r="K1533" s="327"/>
      <c r="L1533" s="562"/>
      <c r="M1533" s="327"/>
      <c r="N1533" s="23"/>
      <c r="O1533" s="24"/>
      <c r="P1533" s="563"/>
      <c r="Q1533" s="327"/>
      <c r="R1533" s="538"/>
      <c r="S1533" s="327"/>
      <c r="T1533" s="539"/>
      <c r="U1533" s="327"/>
      <c r="V1533" s="540"/>
      <c r="W1533" s="327"/>
      <c r="X1533" s="541" t="s">
        <v>303</v>
      </c>
      <c r="Y1533" s="326"/>
      <c r="Z1533" s="326"/>
      <c r="AA1533" s="327"/>
      <c r="AB1533" s="542" t="s">
        <v>303</v>
      </c>
      <c r="AC1533" s="326"/>
      <c r="AD1533" s="326"/>
      <c r="AE1533" s="327"/>
      <c r="AF1533" s="543"/>
      <c r="AG1533" s="327"/>
      <c r="AH1533" s="543"/>
      <c r="AI1533" s="327"/>
      <c r="AJ1533" s="536"/>
      <c r="AK1533" s="327"/>
      <c r="AL1533" s="537" t="s">
        <v>334</v>
      </c>
      <c r="AM1533" s="327"/>
      <c r="AN1533" s="546" t="s">
        <v>334</v>
      </c>
      <c r="AO1533" s="327"/>
      <c r="AP1533" s="547"/>
      <c r="AQ1533" s="327"/>
      <c r="AR1533" s="548"/>
      <c r="AS1533" s="327"/>
      <c r="AT1533" s="568"/>
      <c r="AU1533" s="327"/>
      <c r="AV1533" s="546" t="s">
        <v>334</v>
      </c>
      <c r="AW1533" s="327"/>
      <c r="AX1533" s="521"/>
      <c r="AY1533" s="326"/>
      <c r="AZ1533" s="327"/>
      <c r="BA1533" s="550"/>
      <c r="BB1533" s="327"/>
      <c r="BC1533" s="25"/>
      <c r="BD1533" s="544" t="s">
        <v>334</v>
      </c>
      <c r="BE1533" s="327"/>
      <c r="BF1533" s="545"/>
      <c r="BG1533" s="326"/>
      <c r="BH1533" s="326"/>
      <c r="BI1533" s="327"/>
      <c r="BJ1533" s="557" t="s">
        <v>303</v>
      </c>
      <c r="BK1533" s="326"/>
      <c r="BL1533" s="326"/>
      <c r="BM1533" s="327"/>
      <c r="BN1533" s="558" t="s">
        <v>303</v>
      </c>
      <c r="BO1533" s="326"/>
      <c r="BP1533" s="326"/>
      <c r="BQ1533" s="326"/>
      <c r="BR1533" s="326"/>
      <c r="BS1533" s="326"/>
      <c r="BT1533" s="326"/>
      <c r="BU1533" s="326"/>
      <c r="BV1533" s="327"/>
    </row>
    <row r="1534" spans="1:74" ht="45" customHeight="1" x14ac:dyDescent="0.25">
      <c r="A1534" s="10">
        <f t="shared" si="5"/>
        <v>1520</v>
      </c>
      <c r="B1534" s="564" t="s">
        <v>303</v>
      </c>
      <c r="C1534" s="327"/>
      <c r="D1534" s="565" t="s">
        <v>307</v>
      </c>
      <c r="E1534" s="327"/>
      <c r="F1534" s="537" t="s">
        <v>334</v>
      </c>
      <c r="G1534" s="327"/>
      <c r="H1534" s="553" t="s">
        <v>334</v>
      </c>
      <c r="I1534" s="327"/>
      <c r="J1534" s="567"/>
      <c r="K1534" s="327"/>
      <c r="L1534" s="567"/>
      <c r="M1534" s="327"/>
      <c r="N1534" s="20"/>
      <c r="O1534" s="21"/>
      <c r="P1534" s="524"/>
      <c r="Q1534" s="327"/>
      <c r="R1534" s="516"/>
      <c r="S1534" s="327"/>
      <c r="T1534" s="517"/>
      <c r="U1534" s="327"/>
      <c r="V1534" s="518"/>
      <c r="W1534" s="327"/>
      <c r="X1534" s="438" t="s">
        <v>303</v>
      </c>
      <c r="Y1534" s="326"/>
      <c r="Z1534" s="326"/>
      <c r="AA1534" s="327"/>
      <c r="AB1534" s="519" t="s">
        <v>303</v>
      </c>
      <c r="AC1534" s="326"/>
      <c r="AD1534" s="326"/>
      <c r="AE1534" s="327"/>
      <c r="AF1534" s="520"/>
      <c r="AG1534" s="327"/>
      <c r="AH1534" s="520"/>
      <c r="AI1534" s="327"/>
      <c r="AJ1534" s="536"/>
      <c r="AK1534" s="327"/>
      <c r="AL1534" s="556" t="s">
        <v>334</v>
      </c>
      <c r="AM1534" s="327"/>
      <c r="AN1534" s="553" t="s">
        <v>334</v>
      </c>
      <c r="AO1534" s="327"/>
      <c r="AP1534" s="554"/>
      <c r="AQ1534" s="327"/>
      <c r="AR1534" s="555"/>
      <c r="AS1534" s="327"/>
      <c r="AT1534" s="549"/>
      <c r="AU1534" s="327"/>
      <c r="AV1534" s="553" t="s">
        <v>334</v>
      </c>
      <c r="AW1534" s="327"/>
      <c r="AX1534" s="521"/>
      <c r="AY1534" s="326"/>
      <c r="AZ1534" s="327"/>
      <c r="BA1534" s="536"/>
      <c r="BB1534" s="327"/>
      <c r="BC1534" s="22"/>
      <c r="BD1534" s="551" t="s">
        <v>334</v>
      </c>
      <c r="BE1534" s="327"/>
      <c r="BF1534" s="508"/>
      <c r="BG1534" s="326"/>
      <c r="BH1534" s="326"/>
      <c r="BI1534" s="327"/>
      <c r="BJ1534" s="451" t="s">
        <v>303</v>
      </c>
      <c r="BK1534" s="326"/>
      <c r="BL1534" s="326"/>
      <c r="BM1534" s="327"/>
      <c r="BN1534" s="558" t="s">
        <v>303</v>
      </c>
      <c r="BO1534" s="326"/>
      <c r="BP1534" s="326"/>
      <c r="BQ1534" s="326"/>
      <c r="BR1534" s="326"/>
      <c r="BS1534" s="326"/>
      <c r="BT1534" s="326"/>
      <c r="BU1534" s="326"/>
      <c r="BV1534" s="327"/>
    </row>
    <row r="1535" spans="1:74" ht="45" customHeight="1" x14ac:dyDescent="0.25">
      <c r="A1535" s="10">
        <f t="shared" si="5"/>
        <v>1521</v>
      </c>
      <c r="B1535" s="559" t="s">
        <v>303</v>
      </c>
      <c r="C1535" s="327"/>
      <c r="D1535" s="560" t="s">
        <v>307</v>
      </c>
      <c r="E1535" s="327"/>
      <c r="F1535" s="537" t="s">
        <v>334</v>
      </c>
      <c r="G1535" s="327"/>
      <c r="H1535" s="546" t="s">
        <v>334</v>
      </c>
      <c r="I1535" s="327"/>
      <c r="J1535" s="562"/>
      <c r="K1535" s="327"/>
      <c r="L1535" s="562"/>
      <c r="M1535" s="327"/>
      <c r="N1535" s="23"/>
      <c r="O1535" s="24"/>
      <c r="P1535" s="563"/>
      <c r="Q1535" s="327"/>
      <c r="R1535" s="538"/>
      <c r="S1535" s="327"/>
      <c r="T1535" s="539"/>
      <c r="U1535" s="327"/>
      <c r="V1535" s="540"/>
      <c r="W1535" s="327"/>
      <c r="X1535" s="541" t="s">
        <v>303</v>
      </c>
      <c r="Y1535" s="326"/>
      <c r="Z1535" s="326"/>
      <c r="AA1535" s="327"/>
      <c r="AB1535" s="542" t="s">
        <v>303</v>
      </c>
      <c r="AC1535" s="326"/>
      <c r="AD1535" s="326"/>
      <c r="AE1535" s="327"/>
      <c r="AF1535" s="543"/>
      <c r="AG1535" s="327"/>
      <c r="AH1535" s="543"/>
      <c r="AI1535" s="327"/>
      <c r="AJ1535" s="536"/>
      <c r="AK1535" s="327"/>
      <c r="AL1535" s="537" t="s">
        <v>334</v>
      </c>
      <c r="AM1535" s="327"/>
      <c r="AN1535" s="546" t="s">
        <v>334</v>
      </c>
      <c r="AO1535" s="327"/>
      <c r="AP1535" s="547"/>
      <c r="AQ1535" s="327"/>
      <c r="AR1535" s="548"/>
      <c r="AS1535" s="327"/>
      <c r="AT1535" s="568"/>
      <c r="AU1535" s="327"/>
      <c r="AV1535" s="546" t="s">
        <v>334</v>
      </c>
      <c r="AW1535" s="327"/>
      <c r="AX1535" s="521"/>
      <c r="AY1535" s="326"/>
      <c r="AZ1535" s="327"/>
      <c r="BA1535" s="550"/>
      <c r="BB1535" s="327"/>
      <c r="BC1535" s="25"/>
      <c r="BD1535" s="544" t="s">
        <v>334</v>
      </c>
      <c r="BE1535" s="327"/>
      <c r="BF1535" s="545"/>
      <c r="BG1535" s="326"/>
      <c r="BH1535" s="326"/>
      <c r="BI1535" s="327"/>
      <c r="BJ1535" s="557" t="s">
        <v>303</v>
      </c>
      <c r="BK1535" s="326"/>
      <c r="BL1535" s="326"/>
      <c r="BM1535" s="327"/>
      <c r="BN1535" s="558" t="s">
        <v>303</v>
      </c>
      <c r="BO1535" s="326"/>
      <c r="BP1535" s="326"/>
      <c r="BQ1535" s="326"/>
      <c r="BR1535" s="326"/>
      <c r="BS1535" s="326"/>
      <c r="BT1535" s="326"/>
      <c r="BU1535" s="326"/>
      <c r="BV1535" s="327"/>
    </row>
    <row r="1536" spans="1:74" ht="45" customHeight="1" x14ac:dyDescent="0.25">
      <c r="A1536" s="10">
        <f t="shared" si="5"/>
        <v>1522</v>
      </c>
      <c r="B1536" s="564" t="s">
        <v>303</v>
      </c>
      <c r="C1536" s="327"/>
      <c r="D1536" s="565" t="s">
        <v>307</v>
      </c>
      <c r="E1536" s="327"/>
      <c r="F1536" s="537" t="s">
        <v>334</v>
      </c>
      <c r="G1536" s="327"/>
      <c r="H1536" s="553" t="s">
        <v>334</v>
      </c>
      <c r="I1536" s="327"/>
      <c r="J1536" s="567"/>
      <c r="K1536" s="327"/>
      <c r="L1536" s="567"/>
      <c r="M1536" s="327"/>
      <c r="N1536" s="20"/>
      <c r="O1536" s="21"/>
      <c r="P1536" s="524"/>
      <c r="Q1536" s="327"/>
      <c r="R1536" s="516"/>
      <c r="S1536" s="327"/>
      <c r="T1536" s="517"/>
      <c r="U1536" s="327"/>
      <c r="V1536" s="518"/>
      <c r="W1536" s="327"/>
      <c r="X1536" s="438" t="s">
        <v>303</v>
      </c>
      <c r="Y1536" s="326"/>
      <c r="Z1536" s="326"/>
      <c r="AA1536" s="327"/>
      <c r="AB1536" s="519" t="s">
        <v>303</v>
      </c>
      <c r="AC1536" s="326"/>
      <c r="AD1536" s="326"/>
      <c r="AE1536" s="327"/>
      <c r="AF1536" s="520"/>
      <c r="AG1536" s="327"/>
      <c r="AH1536" s="520"/>
      <c r="AI1536" s="327"/>
      <c r="AJ1536" s="536"/>
      <c r="AK1536" s="327"/>
      <c r="AL1536" s="556" t="s">
        <v>334</v>
      </c>
      <c r="AM1536" s="327"/>
      <c r="AN1536" s="553" t="s">
        <v>334</v>
      </c>
      <c r="AO1536" s="327"/>
      <c r="AP1536" s="554"/>
      <c r="AQ1536" s="327"/>
      <c r="AR1536" s="555"/>
      <c r="AS1536" s="327"/>
      <c r="AT1536" s="549"/>
      <c r="AU1536" s="327"/>
      <c r="AV1536" s="553" t="s">
        <v>334</v>
      </c>
      <c r="AW1536" s="327"/>
      <c r="AX1536" s="521"/>
      <c r="AY1536" s="326"/>
      <c r="AZ1536" s="327"/>
      <c r="BA1536" s="536"/>
      <c r="BB1536" s="327"/>
      <c r="BC1536" s="22"/>
      <c r="BD1536" s="551" t="s">
        <v>334</v>
      </c>
      <c r="BE1536" s="327"/>
      <c r="BF1536" s="552"/>
      <c r="BG1536" s="326"/>
      <c r="BH1536" s="326"/>
      <c r="BI1536" s="327"/>
      <c r="BJ1536" s="451" t="s">
        <v>303</v>
      </c>
      <c r="BK1536" s="326"/>
      <c r="BL1536" s="326"/>
      <c r="BM1536" s="327"/>
      <c r="BN1536" s="558" t="s">
        <v>303</v>
      </c>
      <c r="BO1536" s="326"/>
      <c r="BP1536" s="326"/>
      <c r="BQ1536" s="326"/>
      <c r="BR1536" s="326"/>
      <c r="BS1536" s="326"/>
      <c r="BT1536" s="326"/>
      <c r="BU1536" s="326"/>
      <c r="BV1536" s="327"/>
    </row>
    <row r="1537" spans="1:74" ht="45" customHeight="1" x14ac:dyDescent="0.25">
      <c r="A1537" s="10">
        <f t="shared" si="5"/>
        <v>1523</v>
      </c>
      <c r="B1537" s="559" t="s">
        <v>303</v>
      </c>
      <c r="C1537" s="327"/>
      <c r="D1537" s="560" t="s">
        <v>307</v>
      </c>
      <c r="E1537" s="327"/>
      <c r="F1537" s="537" t="s">
        <v>334</v>
      </c>
      <c r="G1537" s="327"/>
      <c r="H1537" s="546" t="s">
        <v>334</v>
      </c>
      <c r="I1537" s="327"/>
      <c r="J1537" s="562"/>
      <c r="K1537" s="327"/>
      <c r="L1537" s="562"/>
      <c r="M1537" s="327"/>
      <c r="N1537" s="20"/>
      <c r="O1537" s="21"/>
      <c r="P1537" s="524"/>
      <c r="Q1537" s="327"/>
      <c r="R1537" s="538"/>
      <c r="S1537" s="327"/>
      <c r="T1537" s="539"/>
      <c r="U1537" s="327"/>
      <c r="V1537" s="540"/>
      <c r="W1537" s="327"/>
      <c r="X1537" s="541" t="s">
        <v>303</v>
      </c>
      <c r="Y1537" s="326"/>
      <c r="Z1537" s="326"/>
      <c r="AA1537" s="327"/>
      <c r="AB1537" s="542" t="s">
        <v>303</v>
      </c>
      <c r="AC1537" s="326"/>
      <c r="AD1537" s="326"/>
      <c r="AE1537" s="327"/>
      <c r="AF1537" s="543"/>
      <c r="AG1537" s="327"/>
      <c r="AH1537" s="543"/>
      <c r="AI1537" s="327"/>
      <c r="AJ1537" s="536"/>
      <c r="AK1537" s="327"/>
      <c r="AL1537" s="537" t="s">
        <v>334</v>
      </c>
      <c r="AM1537" s="327"/>
      <c r="AN1537" s="546" t="s">
        <v>334</v>
      </c>
      <c r="AO1537" s="327"/>
      <c r="AP1537" s="547"/>
      <c r="AQ1537" s="327"/>
      <c r="AR1537" s="548"/>
      <c r="AS1537" s="327"/>
      <c r="AT1537" s="549"/>
      <c r="AU1537" s="327"/>
      <c r="AV1537" s="546" t="s">
        <v>334</v>
      </c>
      <c r="AW1537" s="327"/>
      <c r="AX1537" s="521"/>
      <c r="AY1537" s="326"/>
      <c r="AZ1537" s="327"/>
      <c r="BA1537" s="550"/>
      <c r="BB1537" s="327"/>
      <c r="BC1537" s="25"/>
      <c r="BD1537" s="544" t="s">
        <v>334</v>
      </c>
      <c r="BE1537" s="327"/>
      <c r="BF1537" s="545"/>
      <c r="BG1537" s="326"/>
      <c r="BH1537" s="326"/>
      <c r="BI1537" s="327"/>
      <c r="BJ1537" s="557" t="s">
        <v>303</v>
      </c>
      <c r="BK1537" s="326"/>
      <c r="BL1537" s="326"/>
      <c r="BM1537" s="327"/>
      <c r="BN1537" s="558" t="s">
        <v>303</v>
      </c>
      <c r="BO1537" s="326"/>
      <c r="BP1537" s="326"/>
      <c r="BQ1537" s="326"/>
      <c r="BR1537" s="326"/>
      <c r="BS1537" s="326"/>
      <c r="BT1537" s="326"/>
      <c r="BU1537" s="326"/>
      <c r="BV1537" s="327"/>
    </row>
    <row r="1538" spans="1:74" ht="45" customHeight="1" x14ac:dyDescent="0.25">
      <c r="A1538" s="10">
        <f t="shared" si="5"/>
        <v>1524</v>
      </c>
      <c r="B1538" s="564" t="s">
        <v>303</v>
      </c>
      <c r="C1538" s="327"/>
      <c r="D1538" s="565" t="s">
        <v>307</v>
      </c>
      <c r="E1538" s="327"/>
      <c r="F1538" s="537" t="s">
        <v>334</v>
      </c>
      <c r="G1538" s="327"/>
      <c r="H1538" s="553" t="s">
        <v>334</v>
      </c>
      <c r="I1538" s="327"/>
      <c r="J1538" s="567"/>
      <c r="K1538" s="327"/>
      <c r="L1538" s="567"/>
      <c r="M1538" s="327"/>
      <c r="N1538" s="23"/>
      <c r="O1538" s="24"/>
      <c r="P1538" s="563"/>
      <c r="Q1538" s="327"/>
      <c r="R1538" s="516"/>
      <c r="S1538" s="327"/>
      <c r="T1538" s="517"/>
      <c r="U1538" s="327"/>
      <c r="V1538" s="518"/>
      <c r="W1538" s="327"/>
      <c r="X1538" s="438" t="s">
        <v>303</v>
      </c>
      <c r="Y1538" s="326"/>
      <c r="Z1538" s="326"/>
      <c r="AA1538" s="327"/>
      <c r="AB1538" s="519" t="s">
        <v>303</v>
      </c>
      <c r="AC1538" s="326"/>
      <c r="AD1538" s="326"/>
      <c r="AE1538" s="327"/>
      <c r="AF1538" s="520"/>
      <c r="AG1538" s="327"/>
      <c r="AH1538" s="520"/>
      <c r="AI1538" s="327"/>
      <c r="AJ1538" s="536"/>
      <c r="AK1538" s="327"/>
      <c r="AL1538" s="556" t="s">
        <v>334</v>
      </c>
      <c r="AM1538" s="327"/>
      <c r="AN1538" s="553" t="s">
        <v>334</v>
      </c>
      <c r="AO1538" s="327"/>
      <c r="AP1538" s="554"/>
      <c r="AQ1538" s="327"/>
      <c r="AR1538" s="555"/>
      <c r="AS1538" s="327"/>
      <c r="AT1538" s="549"/>
      <c r="AU1538" s="327"/>
      <c r="AV1538" s="553" t="s">
        <v>334</v>
      </c>
      <c r="AW1538" s="327"/>
      <c r="AX1538" s="521"/>
      <c r="AY1538" s="326"/>
      <c r="AZ1538" s="327"/>
      <c r="BA1538" s="536"/>
      <c r="BB1538" s="327"/>
      <c r="BC1538" s="22"/>
      <c r="BD1538" s="551" t="s">
        <v>334</v>
      </c>
      <c r="BE1538" s="327"/>
      <c r="BF1538" s="552"/>
      <c r="BG1538" s="326"/>
      <c r="BH1538" s="326"/>
      <c r="BI1538" s="327"/>
      <c r="BJ1538" s="451" t="s">
        <v>303</v>
      </c>
      <c r="BK1538" s="326"/>
      <c r="BL1538" s="326"/>
      <c r="BM1538" s="327"/>
      <c r="BN1538" s="558" t="s">
        <v>303</v>
      </c>
      <c r="BO1538" s="326"/>
      <c r="BP1538" s="326"/>
      <c r="BQ1538" s="326"/>
      <c r="BR1538" s="326"/>
      <c r="BS1538" s="326"/>
      <c r="BT1538" s="326"/>
      <c r="BU1538" s="326"/>
      <c r="BV1538" s="327"/>
    </row>
    <row r="1539" spans="1:74" ht="45" customHeight="1" x14ac:dyDescent="0.25">
      <c r="A1539" s="10">
        <f t="shared" si="5"/>
        <v>1525</v>
      </c>
      <c r="B1539" s="559" t="s">
        <v>303</v>
      </c>
      <c r="C1539" s="327"/>
      <c r="D1539" s="560" t="s">
        <v>307</v>
      </c>
      <c r="E1539" s="327"/>
      <c r="F1539" s="537" t="s">
        <v>334</v>
      </c>
      <c r="G1539" s="327"/>
      <c r="H1539" s="546" t="s">
        <v>334</v>
      </c>
      <c r="I1539" s="327"/>
      <c r="J1539" s="562"/>
      <c r="K1539" s="327"/>
      <c r="L1539" s="562"/>
      <c r="M1539" s="327"/>
      <c r="N1539" s="20"/>
      <c r="O1539" s="21"/>
      <c r="P1539" s="524"/>
      <c r="Q1539" s="327"/>
      <c r="R1539" s="538"/>
      <c r="S1539" s="327"/>
      <c r="T1539" s="539"/>
      <c r="U1539" s="327"/>
      <c r="V1539" s="540"/>
      <c r="W1539" s="327"/>
      <c r="X1539" s="541" t="s">
        <v>303</v>
      </c>
      <c r="Y1539" s="326"/>
      <c r="Z1539" s="326"/>
      <c r="AA1539" s="327"/>
      <c r="AB1539" s="542" t="s">
        <v>303</v>
      </c>
      <c r="AC1539" s="326"/>
      <c r="AD1539" s="326"/>
      <c r="AE1539" s="327"/>
      <c r="AF1539" s="543"/>
      <c r="AG1539" s="327"/>
      <c r="AH1539" s="543"/>
      <c r="AI1539" s="327"/>
      <c r="AJ1539" s="536"/>
      <c r="AK1539" s="327"/>
      <c r="AL1539" s="537" t="s">
        <v>334</v>
      </c>
      <c r="AM1539" s="327"/>
      <c r="AN1539" s="546" t="s">
        <v>334</v>
      </c>
      <c r="AO1539" s="327"/>
      <c r="AP1539" s="547"/>
      <c r="AQ1539" s="327"/>
      <c r="AR1539" s="548"/>
      <c r="AS1539" s="327"/>
      <c r="AT1539" s="549"/>
      <c r="AU1539" s="327"/>
      <c r="AV1539" s="546" t="s">
        <v>334</v>
      </c>
      <c r="AW1539" s="327"/>
      <c r="AX1539" s="521"/>
      <c r="AY1539" s="326"/>
      <c r="AZ1539" s="327"/>
      <c r="BA1539" s="550"/>
      <c r="BB1539" s="327"/>
      <c r="BC1539" s="25"/>
      <c r="BD1539" s="544" t="s">
        <v>334</v>
      </c>
      <c r="BE1539" s="327"/>
      <c r="BF1539" s="545"/>
      <c r="BG1539" s="326"/>
      <c r="BH1539" s="326"/>
      <c r="BI1539" s="327"/>
      <c r="BJ1539" s="557" t="s">
        <v>303</v>
      </c>
      <c r="BK1539" s="326"/>
      <c r="BL1539" s="326"/>
      <c r="BM1539" s="327"/>
      <c r="BN1539" s="558" t="s">
        <v>303</v>
      </c>
      <c r="BO1539" s="326"/>
      <c r="BP1539" s="326"/>
      <c r="BQ1539" s="326"/>
      <c r="BR1539" s="326"/>
      <c r="BS1539" s="326"/>
      <c r="BT1539" s="326"/>
      <c r="BU1539" s="326"/>
      <c r="BV1539" s="327"/>
    </row>
    <row r="1540" spans="1:74" ht="45" customHeight="1" x14ac:dyDescent="0.25">
      <c r="A1540" s="10">
        <f t="shared" si="5"/>
        <v>1526</v>
      </c>
      <c r="B1540" s="564" t="s">
        <v>303</v>
      </c>
      <c r="C1540" s="327"/>
      <c r="D1540" s="565" t="s">
        <v>307</v>
      </c>
      <c r="E1540" s="327"/>
      <c r="F1540" s="537" t="s">
        <v>334</v>
      </c>
      <c r="G1540" s="327"/>
      <c r="H1540" s="553" t="s">
        <v>334</v>
      </c>
      <c r="I1540" s="327"/>
      <c r="J1540" s="567"/>
      <c r="K1540" s="327"/>
      <c r="L1540" s="567"/>
      <c r="M1540" s="327"/>
      <c r="N1540" s="23"/>
      <c r="O1540" s="24"/>
      <c r="P1540" s="563"/>
      <c r="Q1540" s="327"/>
      <c r="R1540" s="516"/>
      <c r="S1540" s="327"/>
      <c r="T1540" s="517"/>
      <c r="U1540" s="327"/>
      <c r="V1540" s="518"/>
      <c r="W1540" s="327"/>
      <c r="X1540" s="438" t="s">
        <v>303</v>
      </c>
      <c r="Y1540" s="326"/>
      <c r="Z1540" s="326"/>
      <c r="AA1540" s="327"/>
      <c r="AB1540" s="519" t="s">
        <v>303</v>
      </c>
      <c r="AC1540" s="326"/>
      <c r="AD1540" s="326"/>
      <c r="AE1540" s="327"/>
      <c r="AF1540" s="520"/>
      <c r="AG1540" s="327"/>
      <c r="AH1540" s="520"/>
      <c r="AI1540" s="327"/>
      <c r="AJ1540" s="536"/>
      <c r="AK1540" s="327"/>
      <c r="AL1540" s="556" t="s">
        <v>334</v>
      </c>
      <c r="AM1540" s="327"/>
      <c r="AN1540" s="553" t="s">
        <v>334</v>
      </c>
      <c r="AO1540" s="327"/>
      <c r="AP1540" s="554"/>
      <c r="AQ1540" s="327"/>
      <c r="AR1540" s="555"/>
      <c r="AS1540" s="327"/>
      <c r="AT1540" s="549"/>
      <c r="AU1540" s="327"/>
      <c r="AV1540" s="553" t="s">
        <v>334</v>
      </c>
      <c r="AW1540" s="327"/>
      <c r="AX1540" s="521"/>
      <c r="AY1540" s="326"/>
      <c r="AZ1540" s="327"/>
      <c r="BA1540" s="536"/>
      <c r="BB1540" s="327"/>
      <c r="BC1540" s="22"/>
      <c r="BD1540" s="551" t="s">
        <v>334</v>
      </c>
      <c r="BE1540" s="327"/>
      <c r="BF1540" s="552"/>
      <c r="BG1540" s="326"/>
      <c r="BH1540" s="326"/>
      <c r="BI1540" s="327"/>
      <c r="BJ1540" s="451" t="s">
        <v>303</v>
      </c>
      <c r="BK1540" s="326"/>
      <c r="BL1540" s="326"/>
      <c r="BM1540" s="327"/>
      <c r="BN1540" s="558" t="s">
        <v>303</v>
      </c>
      <c r="BO1540" s="326"/>
      <c r="BP1540" s="326"/>
      <c r="BQ1540" s="326"/>
      <c r="BR1540" s="326"/>
      <c r="BS1540" s="326"/>
      <c r="BT1540" s="326"/>
      <c r="BU1540" s="326"/>
      <c r="BV1540" s="327"/>
    </row>
    <row r="1541" spans="1:74" ht="45" customHeight="1" x14ac:dyDescent="0.25">
      <c r="A1541" s="10">
        <f t="shared" si="5"/>
        <v>1527</v>
      </c>
      <c r="B1541" s="559" t="s">
        <v>303</v>
      </c>
      <c r="C1541" s="327"/>
      <c r="D1541" s="560" t="s">
        <v>307</v>
      </c>
      <c r="E1541" s="327"/>
      <c r="F1541" s="537" t="s">
        <v>334</v>
      </c>
      <c r="G1541" s="327"/>
      <c r="H1541" s="546" t="s">
        <v>334</v>
      </c>
      <c r="I1541" s="327"/>
      <c r="J1541" s="562"/>
      <c r="K1541" s="327"/>
      <c r="L1541" s="562"/>
      <c r="M1541" s="327"/>
      <c r="N1541" s="20"/>
      <c r="O1541" s="24"/>
      <c r="P1541" s="524"/>
      <c r="Q1541" s="327"/>
      <c r="R1541" s="538"/>
      <c r="S1541" s="327"/>
      <c r="T1541" s="539"/>
      <c r="U1541" s="327"/>
      <c r="V1541" s="540"/>
      <c r="W1541" s="327"/>
      <c r="X1541" s="541" t="s">
        <v>303</v>
      </c>
      <c r="Y1541" s="326"/>
      <c r="Z1541" s="326"/>
      <c r="AA1541" s="327"/>
      <c r="AB1541" s="542" t="s">
        <v>303</v>
      </c>
      <c r="AC1541" s="326"/>
      <c r="AD1541" s="326"/>
      <c r="AE1541" s="327"/>
      <c r="AF1541" s="543"/>
      <c r="AG1541" s="327"/>
      <c r="AH1541" s="543"/>
      <c r="AI1541" s="327"/>
      <c r="AJ1541" s="536"/>
      <c r="AK1541" s="327"/>
      <c r="AL1541" s="537" t="s">
        <v>334</v>
      </c>
      <c r="AM1541" s="327"/>
      <c r="AN1541" s="546" t="s">
        <v>334</v>
      </c>
      <c r="AO1541" s="327"/>
      <c r="AP1541" s="547"/>
      <c r="AQ1541" s="327"/>
      <c r="AR1541" s="548"/>
      <c r="AS1541" s="327"/>
      <c r="AT1541" s="568"/>
      <c r="AU1541" s="327"/>
      <c r="AV1541" s="546" t="s">
        <v>334</v>
      </c>
      <c r="AW1541" s="327"/>
      <c r="AX1541" s="521"/>
      <c r="AY1541" s="326"/>
      <c r="AZ1541" s="327"/>
      <c r="BA1541" s="550"/>
      <c r="BB1541" s="327"/>
      <c r="BC1541" s="25"/>
      <c r="BD1541" s="544" t="s">
        <v>334</v>
      </c>
      <c r="BE1541" s="327"/>
      <c r="BF1541" s="545"/>
      <c r="BG1541" s="326"/>
      <c r="BH1541" s="326"/>
      <c r="BI1541" s="327"/>
      <c r="BJ1541" s="557" t="s">
        <v>303</v>
      </c>
      <c r="BK1541" s="326"/>
      <c r="BL1541" s="326"/>
      <c r="BM1541" s="327"/>
      <c r="BN1541" s="558" t="s">
        <v>303</v>
      </c>
      <c r="BO1541" s="326"/>
      <c r="BP1541" s="326"/>
      <c r="BQ1541" s="326"/>
      <c r="BR1541" s="326"/>
      <c r="BS1541" s="326"/>
      <c r="BT1541" s="326"/>
      <c r="BU1541" s="326"/>
      <c r="BV1541" s="327"/>
    </row>
    <row r="1542" spans="1:74" ht="45" customHeight="1" x14ac:dyDescent="0.25">
      <c r="A1542" s="10">
        <f t="shared" si="5"/>
        <v>1528</v>
      </c>
      <c r="B1542" s="564" t="s">
        <v>303</v>
      </c>
      <c r="C1542" s="327"/>
      <c r="D1542" s="565" t="s">
        <v>307</v>
      </c>
      <c r="E1542" s="327"/>
      <c r="F1542" s="537" t="s">
        <v>334</v>
      </c>
      <c r="G1542" s="327"/>
      <c r="H1542" s="553" t="s">
        <v>334</v>
      </c>
      <c r="I1542" s="327"/>
      <c r="J1542" s="567"/>
      <c r="K1542" s="327"/>
      <c r="L1542" s="567"/>
      <c r="M1542" s="327"/>
      <c r="N1542" s="23"/>
      <c r="O1542" s="21"/>
      <c r="P1542" s="563"/>
      <c r="Q1542" s="327"/>
      <c r="R1542" s="516"/>
      <c r="S1542" s="327"/>
      <c r="T1542" s="517"/>
      <c r="U1542" s="327"/>
      <c r="V1542" s="518"/>
      <c r="W1542" s="327"/>
      <c r="X1542" s="438" t="s">
        <v>303</v>
      </c>
      <c r="Y1542" s="326"/>
      <c r="Z1542" s="326"/>
      <c r="AA1542" s="327"/>
      <c r="AB1542" s="519" t="s">
        <v>303</v>
      </c>
      <c r="AC1542" s="326"/>
      <c r="AD1542" s="326"/>
      <c r="AE1542" s="327"/>
      <c r="AF1542" s="520"/>
      <c r="AG1542" s="327"/>
      <c r="AH1542" s="520"/>
      <c r="AI1542" s="327"/>
      <c r="AJ1542" s="536"/>
      <c r="AK1542" s="327"/>
      <c r="AL1542" s="556" t="s">
        <v>334</v>
      </c>
      <c r="AM1542" s="327"/>
      <c r="AN1542" s="553" t="s">
        <v>334</v>
      </c>
      <c r="AO1542" s="327"/>
      <c r="AP1542" s="554"/>
      <c r="AQ1542" s="327"/>
      <c r="AR1542" s="555"/>
      <c r="AS1542" s="327"/>
      <c r="AT1542" s="549"/>
      <c r="AU1542" s="327"/>
      <c r="AV1542" s="553" t="s">
        <v>334</v>
      </c>
      <c r="AW1542" s="327"/>
      <c r="AX1542" s="521"/>
      <c r="AY1542" s="326"/>
      <c r="AZ1542" s="327"/>
      <c r="BA1542" s="536"/>
      <c r="BB1542" s="327"/>
      <c r="BC1542" s="22"/>
      <c r="BD1542" s="551" t="s">
        <v>334</v>
      </c>
      <c r="BE1542" s="327"/>
      <c r="BF1542" s="508"/>
      <c r="BG1542" s="326"/>
      <c r="BH1542" s="326"/>
      <c r="BI1542" s="327"/>
      <c r="BJ1542" s="451" t="s">
        <v>303</v>
      </c>
      <c r="BK1542" s="326"/>
      <c r="BL1542" s="326"/>
      <c r="BM1542" s="327"/>
      <c r="BN1542" s="558" t="s">
        <v>303</v>
      </c>
      <c r="BO1542" s="326"/>
      <c r="BP1542" s="326"/>
      <c r="BQ1542" s="326"/>
      <c r="BR1542" s="326"/>
      <c r="BS1542" s="326"/>
      <c r="BT1542" s="326"/>
      <c r="BU1542" s="326"/>
      <c r="BV1542" s="327"/>
    </row>
    <row r="1543" spans="1:74" ht="45" customHeight="1" x14ac:dyDescent="0.25">
      <c r="A1543" s="10">
        <f t="shared" si="5"/>
        <v>1529</v>
      </c>
      <c r="B1543" s="559" t="s">
        <v>303</v>
      </c>
      <c r="C1543" s="327"/>
      <c r="D1543" s="560" t="s">
        <v>307</v>
      </c>
      <c r="E1543" s="327"/>
      <c r="F1543" s="537" t="s">
        <v>334</v>
      </c>
      <c r="G1543" s="327"/>
      <c r="H1543" s="546" t="s">
        <v>334</v>
      </c>
      <c r="I1543" s="327"/>
      <c r="J1543" s="562"/>
      <c r="K1543" s="327"/>
      <c r="L1543" s="562"/>
      <c r="M1543" s="327"/>
      <c r="N1543" s="20"/>
      <c r="O1543" s="24"/>
      <c r="P1543" s="524"/>
      <c r="Q1543" s="327"/>
      <c r="R1543" s="538"/>
      <c r="S1543" s="327"/>
      <c r="T1543" s="539"/>
      <c r="U1543" s="327"/>
      <c r="V1543" s="540"/>
      <c r="W1543" s="327"/>
      <c r="X1543" s="541" t="s">
        <v>303</v>
      </c>
      <c r="Y1543" s="326"/>
      <c r="Z1543" s="326"/>
      <c r="AA1543" s="327"/>
      <c r="AB1543" s="542" t="s">
        <v>303</v>
      </c>
      <c r="AC1543" s="326"/>
      <c r="AD1543" s="326"/>
      <c r="AE1543" s="327"/>
      <c r="AF1543" s="543"/>
      <c r="AG1543" s="327"/>
      <c r="AH1543" s="543"/>
      <c r="AI1543" s="327"/>
      <c r="AJ1543" s="536"/>
      <c r="AK1543" s="327"/>
      <c r="AL1543" s="537" t="s">
        <v>334</v>
      </c>
      <c r="AM1543" s="327"/>
      <c r="AN1543" s="546" t="s">
        <v>334</v>
      </c>
      <c r="AO1543" s="327"/>
      <c r="AP1543" s="547"/>
      <c r="AQ1543" s="327"/>
      <c r="AR1543" s="548"/>
      <c r="AS1543" s="327"/>
      <c r="AT1543" s="568"/>
      <c r="AU1543" s="327"/>
      <c r="AV1543" s="546" t="s">
        <v>334</v>
      </c>
      <c r="AW1543" s="327"/>
      <c r="AX1543" s="521"/>
      <c r="AY1543" s="326"/>
      <c r="AZ1543" s="327"/>
      <c r="BA1543" s="550"/>
      <c r="BB1543" s="327"/>
      <c r="BC1543" s="25"/>
      <c r="BD1543" s="544" t="s">
        <v>334</v>
      </c>
      <c r="BE1543" s="327"/>
      <c r="BF1543" s="545"/>
      <c r="BG1543" s="326"/>
      <c r="BH1543" s="326"/>
      <c r="BI1543" s="327"/>
      <c r="BJ1543" s="557" t="s">
        <v>303</v>
      </c>
      <c r="BK1543" s="326"/>
      <c r="BL1543" s="326"/>
      <c r="BM1543" s="327"/>
      <c r="BN1543" s="558" t="s">
        <v>303</v>
      </c>
      <c r="BO1543" s="326"/>
      <c r="BP1543" s="326"/>
      <c r="BQ1543" s="326"/>
      <c r="BR1543" s="326"/>
      <c r="BS1543" s="326"/>
      <c r="BT1543" s="326"/>
      <c r="BU1543" s="326"/>
      <c r="BV1543" s="327"/>
    </row>
    <row r="1544" spans="1:74" ht="45" customHeight="1" x14ac:dyDescent="0.25">
      <c r="A1544" s="10">
        <f t="shared" si="5"/>
        <v>1530</v>
      </c>
      <c r="B1544" s="564" t="s">
        <v>303</v>
      </c>
      <c r="C1544" s="327"/>
      <c r="D1544" s="565" t="s">
        <v>307</v>
      </c>
      <c r="E1544" s="327"/>
      <c r="F1544" s="537" t="s">
        <v>334</v>
      </c>
      <c r="G1544" s="327"/>
      <c r="H1544" s="553" t="s">
        <v>334</v>
      </c>
      <c r="I1544" s="327"/>
      <c r="J1544" s="567"/>
      <c r="K1544" s="327"/>
      <c r="L1544" s="567"/>
      <c r="M1544" s="327"/>
      <c r="N1544" s="23"/>
      <c r="O1544" s="21"/>
      <c r="P1544" s="563"/>
      <c r="Q1544" s="327"/>
      <c r="R1544" s="516"/>
      <c r="S1544" s="327"/>
      <c r="T1544" s="517"/>
      <c r="U1544" s="327"/>
      <c r="V1544" s="518"/>
      <c r="W1544" s="327"/>
      <c r="X1544" s="438" t="s">
        <v>303</v>
      </c>
      <c r="Y1544" s="326"/>
      <c r="Z1544" s="326"/>
      <c r="AA1544" s="327"/>
      <c r="AB1544" s="519" t="s">
        <v>303</v>
      </c>
      <c r="AC1544" s="326"/>
      <c r="AD1544" s="326"/>
      <c r="AE1544" s="327"/>
      <c r="AF1544" s="520"/>
      <c r="AG1544" s="327"/>
      <c r="AH1544" s="520"/>
      <c r="AI1544" s="327"/>
      <c r="AJ1544" s="536"/>
      <c r="AK1544" s="327"/>
      <c r="AL1544" s="556" t="s">
        <v>334</v>
      </c>
      <c r="AM1544" s="327"/>
      <c r="AN1544" s="553" t="s">
        <v>334</v>
      </c>
      <c r="AO1544" s="327"/>
      <c r="AP1544" s="554"/>
      <c r="AQ1544" s="327"/>
      <c r="AR1544" s="555"/>
      <c r="AS1544" s="327"/>
      <c r="AT1544" s="549"/>
      <c r="AU1544" s="327"/>
      <c r="AV1544" s="553" t="s">
        <v>334</v>
      </c>
      <c r="AW1544" s="327"/>
      <c r="AX1544" s="521"/>
      <c r="AY1544" s="326"/>
      <c r="AZ1544" s="327"/>
      <c r="BA1544" s="536"/>
      <c r="BB1544" s="327"/>
      <c r="BC1544" s="22"/>
      <c r="BD1544" s="551" t="s">
        <v>334</v>
      </c>
      <c r="BE1544" s="327"/>
      <c r="BF1544" s="552"/>
      <c r="BG1544" s="326"/>
      <c r="BH1544" s="326"/>
      <c r="BI1544" s="327"/>
      <c r="BJ1544" s="451" t="s">
        <v>303</v>
      </c>
      <c r="BK1544" s="326"/>
      <c r="BL1544" s="326"/>
      <c r="BM1544" s="327"/>
      <c r="BN1544" s="558" t="s">
        <v>303</v>
      </c>
      <c r="BO1544" s="326"/>
      <c r="BP1544" s="326"/>
      <c r="BQ1544" s="326"/>
      <c r="BR1544" s="326"/>
      <c r="BS1544" s="326"/>
      <c r="BT1544" s="326"/>
      <c r="BU1544" s="326"/>
      <c r="BV1544" s="327"/>
    </row>
    <row r="1545" spans="1:74" ht="45" customHeight="1" x14ac:dyDescent="0.25">
      <c r="A1545" s="10">
        <f t="shared" ref="A1545:A1614" si="6">ROW(A1531)</f>
        <v>1531</v>
      </c>
      <c r="B1545" s="559" t="s">
        <v>303</v>
      </c>
      <c r="C1545" s="327"/>
      <c r="D1545" s="560" t="s">
        <v>307</v>
      </c>
      <c r="E1545" s="327"/>
      <c r="F1545" s="537" t="s">
        <v>334</v>
      </c>
      <c r="G1545" s="327"/>
      <c r="H1545" s="546" t="s">
        <v>334</v>
      </c>
      <c r="I1545" s="327"/>
      <c r="J1545" s="562"/>
      <c r="K1545" s="327"/>
      <c r="L1545" s="562"/>
      <c r="M1545" s="327"/>
      <c r="N1545" s="20"/>
      <c r="O1545" s="24"/>
      <c r="P1545" s="524"/>
      <c r="Q1545" s="327"/>
      <c r="R1545" s="538"/>
      <c r="S1545" s="327"/>
      <c r="T1545" s="539"/>
      <c r="U1545" s="327"/>
      <c r="V1545" s="540"/>
      <c r="W1545" s="327"/>
      <c r="X1545" s="541" t="s">
        <v>303</v>
      </c>
      <c r="Y1545" s="326"/>
      <c r="Z1545" s="326"/>
      <c r="AA1545" s="327"/>
      <c r="AB1545" s="542" t="s">
        <v>303</v>
      </c>
      <c r="AC1545" s="326"/>
      <c r="AD1545" s="326"/>
      <c r="AE1545" s="327"/>
      <c r="AF1545" s="543"/>
      <c r="AG1545" s="327"/>
      <c r="AH1545" s="543"/>
      <c r="AI1545" s="327"/>
      <c r="AJ1545" s="536"/>
      <c r="AK1545" s="327"/>
      <c r="AL1545" s="537" t="s">
        <v>334</v>
      </c>
      <c r="AM1545" s="327"/>
      <c r="AN1545" s="546" t="s">
        <v>334</v>
      </c>
      <c r="AO1545" s="327"/>
      <c r="AP1545" s="547"/>
      <c r="AQ1545" s="327"/>
      <c r="AR1545" s="548"/>
      <c r="AS1545" s="327"/>
      <c r="AT1545" s="568"/>
      <c r="AU1545" s="327"/>
      <c r="AV1545" s="546" t="s">
        <v>334</v>
      </c>
      <c r="AW1545" s="327"/>
      <c r="AX1545" s="521"/>
      <c r="AY1545" s="326"/>
      <c r="AZ1545" s="327"/>
      <c r="BA1545" s="550"/>
      <c r="BB1545" s="327"/>
      <c r="BC1545" s="25"/>
      <c r="BD1545" s="544" t="s">
        <v>334</v>
      </c>
      <c r="BE1545" s="327"/>
      <c r="BF1545" s="545"/>
      <c r="BG1545" s="326"/>
      <c r="BH1545" s="326"/>
      <c r="BI1545" s="327"/>
      <c r="BJ1545" s="557" t="s">
        <v>303</v>
      </c>
      <c r="BK1545" s="326"/>
      <c r="BL1545" s="326"/>
      <c r="BM1545" s="327"/>
      <c r="BN1545" s="558" t="s">
        <v>303</v>
      </c>
      <c r="BO1545" s="326"/>
      <c r="BP1545" s="326"/>
      <c r="BQ1545" s="326"/>
      <c r="BR1545" s="326"/>
      <c r="BS1545" s="326"/>
      <c r="BT1545" s="326"/>
      <c r="BU1545" s="326"/>
      <c r="BV1545" s="327"/>
    </row>
    <row r="1546" spans="1:74" ht="45" customHeight="1" x14ac:dyDescent="0.25">
      <c r="A1546" s="10">
        <f t="shared" si="6"/>
        <v>1532</v>
      </c>
      <c r="B1546" s="564" t="s">
        <v>303</v>
      </c>
      <c r="C1546" s="327"/>
      <c r="D1546" s="565" t="s">
        <v>307</v>
      </c>
      <c r="E1546" s="327"/>
      <c r="F1546" s="537" t="s">
        <v>334</v>
      </c>
      <c r="G1546" s="327"/>
      <c r="H1546" s="553" t="s">
        <v>334</v>
      </c>
      <c r="I1546" s="327"/>
      <c r="J1546" s="567"/>
      <c r="K1546" s="327"/>
      <c r="L1546" s="567"/>
      <c r="M1546" s="327"/>
      <c r="N1546" s="23"/>
      <c r="O1546" s="21"/>
      <c r="P1546" s="563"/>
      <c r="Q1546" s="327"/>
      <c r="R1546" s="516"/>
      <c r="S1546" s="327"/>
      <c r="T1546" s="517"/>
      <c r="U1546" s="327"/>
      <c r="V1546" s="518"/>
      <c r="W1546" s="327"/>
      <c r="X1546" s="438" t="s">
        <v>303</v>
      </c>
      <c r="Y1546" s="326"/>
      <c r="Z1546" s="326"/>
      <c r="AA1546" s="327"/>
      <c r="AB1546" s="519" t="s">
        <v>303</v>
      </c>
      <c r="AC1546" s="326"/>
      <c r="AD1546" s="326"/>
      <c r="AE1546" s="327"/>
      <c r="AF1546" s="520"/>
      <c r="AG1546" s="327"/>
      <c r="AH1546" s="520"/>
      <c r="AI1546" s="327"/>
      <c r="AJ1546" s="536"/>
      <c r="AK1546" s="327"/>
      <c r="AL1546" s="556" t="s">
        <v>334</v>
      </c>
      <c r="AM1546" s="327"/>
      <c r="AN1546" s="553" t="s">
        <v>334</v>
      </c>
      <c r="AO1546" s="327"/>
      <c r="AP1546" s="554"/>
      <c r="AQ1546" s="327"/>
      <c r="AR1546" s="555"/>
      <c r="AS1546" s="327"/>
      <c r="AT1546" s="549"/>
      <c r="AU1546" s="327"/>
      <c r="AV1546" s="553" t="s">
        <v>334</v>
      </c>
      <c r="AW1546" s="327"/>
      <c r="AX1546" s="521"/>
      <c r="AY1546" s="326"/>
      <c r="AZ1546" s="327"/>
      <c r="BA1546" s="536"/>
      <c r="BB1546" s="327"/>
      <c r="BC1546" s="22"/>
      <c r="BD1546" s="551" t="s">
        <v>334</v>
      </c>
      <c r="BE1546" s="327"/>
      <c r="BF1546" s="552"/>
      <c r="BG1546" s="326"/>
      <c r="BH1546" s="326"/>
      <c r="BI1546" s="327"/>
      <c r="BJ1546" s="451" t="s">
        <v>303</v>
      </c>
      <c r="BK1546" s="326"/>
      <c r="BL1546" s="326"/>
      <c r="BM1546" s="327"/>
      <c r="BN1546" s="558" t="s">
        <v>303</v>
      </c>
      <c r="BO1546" s="326"/>
      <c r="BP1546" s="326"/>
      <c r="BQ1546" s="326"/>
      <c r="BR1546" s="326"/>
      <c r="BS1546" s="326"/>
      <c r="BT1546" s="326"/>
      <c r="BU1546" s="326"/>
      <c r="BV1546" s="327"/>
    </row>
    <row r="1547" spans="1:74" ht="45" customHeight="1" x14ac:dyDescent="0.25">
      <c r="A1547" s="10">
        <f t="shared" si="6"/>
        <v>1533</v>
      </c>
      <c r="B1547" s="559" t="s">
        <v>303</v>
      </c>
      <c r="C1547" s="327"/>
      <c r="D1547" s="560" t="s">
        <v>307</v>
      </c>
      <c r="E1547" s="327"/>
      <c r="F1547" s="537" t="s">
        <v>334</v>
      </c>
      <c r="G1547" s="327"/>
      <c r="H1547" s="546" t="s">
        <v>334</v>
      </c>
      <c r="I1547" s="327"/>
      <c r="J1547" s="562"/>
      <c r="K1547" s="327"/>
      <c r="L1547" s="562"/>
      <c r="M1547" s="327"/>
      <c r="N1547" s="20"/>
      <c r="O1547" s="24"/>
      <c r="P1547" s="524"/>
      <c r="Q1547" s="327"/>
      <c r="R1547" s="538"/>
      <c r="S1547" s="327"/>
      <c r="T1547" s="539"/>
      <c r="U1547" s="327"/>
      <c r="V1547" s="540"/>
      <c r="W1547" s="327"/>
      <c r="X1547" s="541" t="s">
        <v>303</v>
      </c>
      <c r="Y1547" s="326"/>
      <c r="Z1547" s="326"/>
      <c r="AA1547" s="327"/>
      <c r="AB1547" s="542" t="s">
        <v>303</v>
      </c>
      <c r="AC1547" s="326"/>
      <c r="AD1547" s="326"/>
      <c r="AE1547" s="327"/>
      <c r="AF1547" s="543"/>
      <c r="AG1547" s="327"/>
      <c r="AH1547" s="543"/>
      <c r="AI1547" s="327"/>
      <c r="AJ1547" s="536"/>
      <c r="AK1547" s="327"/>
      <c r="AL1547" s="537" t="s">
        <v>334</v>
      </c>
      <c r="AM1547" s="327"/>
      <c r="AN1547" s="546" t="s">
        <v>334</v>
      </c>
      <c r="AO1547" s="327"/>
      <c r="AP1547" s="547"/>
      <c r="AQ1547" s="327"/>
      <c r="AR1547" s="548"/>
      <c r="AS1547" s="327"/>
      <c r="AT1547" s="568"/>
      <c r="AU1547" s="327"/>
      <c r="AV1547" s="546" t="s">
        <v>334</v>
      </c>
      <c r="AW1547" s="327"/>
      <c r="AX1547" s="521"/>
      <c r="AY1547" s="326"/>
      <c r="AZ1547" s="327"/>
      <c r="BA1547" s="550"/>
      <c r="BB1547" s="327"/>
      <c r="BC1547" s="25"/>
      <c r="BD1547" s="544" t="s">
        <v>334</v>
      </c>
      <c r="BE1547" s="327"/>
      <c r="BF1547" s="545"/>
      <c r="BG1547" s="326"/>
      <c r="BH1547" s="326"/>
      <c r="BI1547" s="327"/>
      <c r="BJ1547" s="557" t="s">
        <v>303</v>
      </c>
      <c r="BK1547" s="326"/>
      <c r="BL1547" s="326"/>
      <c r="BM1547" s="327"/>
      <c r="BN1547" s="558" t="s">
        <v>303</v>
      </c>
      <c r="BO1547" s="326"/>
      <c r="BP1547" s="326"/>
      <c r="BQ1547" s="326"/>
      <c r="BR1547" s="326"/>
      <c r="BS1547" s="326"/>
      <c r="BT1547" s="326"/>
      <c r="BU1547" s="326"/>
      <c r="BV1547" s="327"/>
    </row>
    <row r="1548" spans="1:74" ht="45" customHeight="1" x14ac:dyDescent="0.25">
      <c r="A1548" s="10">
        <f t="shared" si="6"/>
        <v>1534</v>
      </c>
      <c r="B1548" s="564" t="s">
        <v>303</v>
      </c>
      <c r="C1548" s="327"/>
      <c r="D1548" s="565" t="s">
        <v>307</v>
      </c>
      <c r="E1548" s="327"/>
      <c r="F1548" s="537" t="s">
        <v>334</v>
      </c>
      <c r="G1548" s="327"/>
      <c r="H1548" s="553" t="s">
        <v>334</v>
      </c>
      <c r="I1548" s="327"/>
      <c r="J1548" s="567"/>
      <c r="K1548" s="327"/>
      <c r="L1548" s="567"/>
      <c r="M1548" s="327"/>
      <c r="N1548" s="23"/>
      <c r="O1548" s="21"/>
      <c r="P1548" s="563"/>
      <c r="Q1548" s="327"/>
      <c r="R1548" s="516"/>
      <c r="S1548" s="327"/>
      <c r="T1548" s="517"/>
      <c r="U1548" s="327"/>
      <c r="V1548" s="518"/>
      <c r="W1548" s="327"/>
      <c r="X1548" s="438" t="s">
        <v>303</v>
      </c>
      <c r="Y1548" s="326"/>
      <c r="Z1548" s="326"/>
      <c r="AA1548" s="327"/>
      <c r="AB1548" s="519" t="s">
        <v>303</v>
      </c>
      <c r="AC1548" s="326"/>
      <c r="AD1548" s="326"/>
      <c r="AE1548" s="327"/>
      <c r="AF1548" s="520"/>
      <c r="AG1548" s="327"/>
      <c r="AH1548" s="520"/>
      <c r="AI1548" s="327"/>
      <c r="AJ1548" s="536"/>
      <c r="AK1548" s="327"/>
      <c r="AL1548" s="556" t="s">
        <v>334</v>
      </c>
      <c r="AM1548" s="327"/>
      <c r="AN1548" s="553" t="s">
        <v>334</v>
      </c>
      <c r="AO1548" s="327"/>
      <c r="AP1548" s="554"/>
      <c r="AQ1548" s="327"/>
      <c r="AR1548" s="555"/>
      <c r="AS1548" s="327"/>
      <c r="AT1548" s="549"/>
      <c r="AU1548" s="327"/>
      <c r="AV1548" s="553" t="s">
        <v>334</v>
      </c>
      <c r="AW1548" s="327"/>
      <c r="AX1548" s="521"/>
      <c r="AY1548" s="326"/>
      <c r="AZ1548" s="327"/>
      <c r="BA1548" s="536"/>
      <c r="BB1548" s="327"/>
      <c r="BC1548" s="22"/>
      <c r="BD1548" s="551" t="s">
        <v>334</v>
      </c>
      <c r="BE1548" s="327"/>
      <c r="BF1548" s="508"/>
      <c r="BG1548" s="326"/>
      <c r="BH1548" s="326"/>
      <c r="BI1548" s="327"/>
      <c r="BJ1548" s="451" t="s">
        <v>303</v>
      </c>
      <c r="BK1548" s="326"/>
      <c r="BL1548" s="326"/>
      <c r="BM1548" s="327"/>
      <c r="BN1548" s="558" t="s">
        <v>303</v>
      </c>
      <c r="BO1548" s="326"/>
      <c r="BP1548" s="326"/>
      <c r="BQ1548" s="326"/>
      <c r="BR1548" s="326"/>
      <c r="BS1548" s="326"/>
      <c r="BT1548" s="326"/>
      <c r="BU1548" s="326"/>
      <c r="BV1548" s="327"/>
    </row>
    <row r="1549" spans="1:74" ht="45" customHeight="1" x14ac:dyDescent="0.25">
      <c r="A1549" s="10">
        <f t="shared" si="6"/>
        <v>1535</v>
      </c>
      <c r="B1549" s="559" t="s">
        <v>303</v>
      </c>
      <c r="C1549" s="327"/>
      <c r="D1549" s="560" t="s">
        <v>307</v>
      </c>
      <c r="E1549" s="327"/>
      <c r="F1549" s="537" t="s">
        <v>334</v>
      </c>
      <c r="G1549" s="327"/>
      <c r="H1549" s="546" t="s">
        <v>334</v>
      </c>
      <c r="I1549" s="327"/>
      <c r="J1549" s="562"/>
      <c r="K1549" s="327"/>
      <c r="L1549" s="562"/>
      <c r="M1549" s="327"/>
      <c r="N1549" s="20"/>
      <c r="O1549" s="24"/>
      <c r="P1549" s="524"/>
      <c r="Q1549" s="327"/>
      <c r="R1549" s="538"/>
      <c r="S1549" s="327"/>
      <c r="T1549" s="539"/>
      <c r="U1549" s="327"/>
      <c r="V1549" s="540"/>
      <c r="W1549" s="327"/>
      <c r="X1549" s="541" t="s">
        <v>303</v>
      </c>
      <c r="Y1549" s="326"/>
      <c r="Z1549" s="326"/>
      <c r="AA1549" s="327"/>
      <c r="AB1549" s="542" t="s">
        <v>303</v>
      </c>
      <c r="AC1549" s="326"/>
      <c r="AD1549" s="326"/>
      <c r="AE1549" s="327"/>
      <c r="AF1549" s="543"/>
      <c r="AG1549" s="327"/>
      <c r="AH1549" s="543"/>
      <c r="AI1549" s="327"/>
      <c r="AJ1549" s="536"/>
      <c r="AK1549" s="327"/>
      <c r="AL1549" s="537" t="s">
        <v>334</v>
      </c>
      <c r="AM1549" s="327"/>
      <c r="AN1549" s="546" t="s">
        <v>334</v>
      </c>
      <c r="AO1549" s="327"/>
      <c r="AP1549" s="547"/>
      <c r="AQ1549" s="327"/>
      <c r="AR1549" s="548"/>
      <c r="AS1549" s="327"/>
      <c r="AT1549" s="568"/>
      <c r="AU1549" s="327"/>
      <c r="AV1549" s="546" t="s">
        <v>334</v>
      </c>
      <c r="AW1549" s="327"/>
      <c r="AX1549" s="521"/>
      <c r="AY1549" s="326"/>
      <c r="AZ1549" s="327"/>
      <c r="BA1549" s="550"/>
      <c r="BB1549" s="327"/>
      <c r="BC1549" s="25"/>
      <c r="BD1549" s="544" t="s">
        <v>334</v>
      </c>
      <c r="BE1549" s="327"/>
      <c r="BF1549" s="545"/>
      <c r="BG1549" s="326"/>
      <c r="BH1549" s="326"/>
      <c r="BI1549" s="327"/>
      <c r="BJ1549" s="557" t="s">
        <v>303</v>
      </c>
      <c r="BK1549" s="326"/>
      <c r="BL1549" s="326"/>
      <c r="BM1549" s="327"/>
      <c r="BN1549" s="558" t="s">
        <v>303</v>
      </c>
      <c r="BO1549" s="326"/>
      <c r="BP1549" s="326"/>
      <c r="BQ1549" s="326"/>
      <c r="BR1549" s="326"/>
      <c r="BS1549" s="326"/>
      <c r="BT1549" s="326"/>
      <c r="BU1549" s="326"/>
      <c r="BV1549" s="327"/>
    </row>
    <row r="1550" spans="1:74" ht="45" customHeight="1" x14ac:dyDescent="0.25">
      <c r="A1550" s="10">
        <f t="shared" si="6"/>
        <v>1536</v>
      </c>
      <c r="B1550" s="564" t="s">
        <v>303</v>
      </c>
      <c r="C1550" s="327"/>
      <c r="D1550" s="565" t="s">
        <v>307</v>
      </c>
      <c r="E1550" s="327"/>
      <c r="F1550" s="537" t="s">
        <v>334</v>
      </c>
      <c r="G1550" s="327"/>
      <c r="H1550" s="553" t="s">
        <v>334</v>
      </c>
      <c r="I1550" s="327"/>
      <c r="J1550" s="567"/>
      <c r="K1550" s="327"/>
      <c r="L1550" s="567"/>
      <c r="M1550" s="327"/>
      <c r="N1550" s="23"/>
      <c r="O1550" s="21"/>
      <c r="P1550" s="563"/>
      <c r="Q1550" s="327"/>
      <c r="R1550" s="516"/>
      <c r="S1550" s="327"/>
      <c r="T1550" s="517"/>
      <c r="U1550" s="327"/>
      <c r="V1550" s="518"/>
      <c r="W1550" s="327"/>
      <c r="X1550" s="438" t="s">
        <v>303</v>
      </c>
      <c r="Y1550" s="326"/>
      <c r="Z1550" s="326"/>
      <c r="AA1550" s="327"/>
      <c r="AB1550" s="519" t="s">
        <v>303</v>
      </c>
      <c r="AC1550" s="326"/>
      <c r="AD1550" s="326"/>
      <c r="AE1550" s="327"/>
      <c r="AF1550" s="520"/>
      <c r="AG1550" s="327"/>
      <c r="AH1550" s="520"/>
      <c r="AI1550" s="327"/>
      <c r="AJ1550" s="536"/>
      <c r="AK1550" s="327"/>
      <c r="AL1550" s="556" t="s">
        <v>334</v>
      </c>
      <c r="AM1550" s="327"/>
      <c r="AN1550" s="553" t="s">
        <v>334</v>
      </c>
      <c r="AO1550" s="327"/>
      <c r="AP1550" s="554"/>
      <c r="AQ1550" s="327"/>
      <c r="AR1550" s="555"/>
      <c r="AS1550" s="327"/>
      <c r="AT1550" s="549"/>
      <c r="AU1550" s="327"/>
      <c r="AV1550" s="553" t="s">
        <v>334</v>
      </c>
      <c r="AW1550" s="327"/>
      <c r="AX1550" s="521"/>
      <c r="AY1550" s="326"/>
      <c r="AZ1550" s="327"/>
      <c r="BA1550" s="536"/>
      <c r="BB1550" s="327"/>
      <c r="BC1550" s="22"/>
      <c r="BD1550" s="551" t="s">
        <v>334</v>
      </c>
      <c r="BE1550" s="327"/>
      <c r="BF1550" s="552"/>
      <c r="BG1550" s="326"/>
      <c r="BH1550" s="326"/>
      <c r="BI1550" s="327"/>
      <c r="BJ1550" s="451" t="s">
        <v>303</v>
      </c>
      <c r="BK1550" s="326"/>
      <c r="BL1550" s="326"/>
      <c r="BM1550" s="327"/>
      <c r="BN1550" s="558" t="s">
        <v>303</v>
      </c>
      <c r="BO1550" s="326"/>
      <c r="BP1550" s="326"/>
      <c r="BQ1550" s="326"/>
      <c r="BR1550" s="326"/>
      <c r="BS1550" s="326"/>
      <c r="BT1550" s="326"/>
      <c r="BU1550" s="326"/>
      <c r="BV1550" s="327"/>
    </row>
    <row r="1551" spans="1:74" ht="45" customHeight="1" x14ac:dyDescent="0.25">
      <c r="A1551" s="10">
        <f t="shared" si="6"/>
        <v>1537</v>
      </c>
      <c r="B1551" s="559" t="s">
        <v>303</v>
      </c>
      <c r="C1551" s="327"/>
      <c r="D1551" s="560" t="s">
        <v>307</v>
      </c>
      <c r="E1551" s="327"/>
      <c r="F1551" s="537" t="s">
        <v>334</v>
      </c>
      <c r="G1551" s="327"/>
      <c r="H1551" s="546" t="s">
        <v>334</v>
      </c>
      <c r="I1551" s="327"/>
      <c r="J1551" s="562"/>
      <c r="K1551" s="327"/>
      <c r="L1551" s="562"/>
      <c r="M1551" s="327"/>
      <c r="N1551" s="23"/>
      <c r="O1551" s="24"/>
      <c r="P1551" s="563"/>
      <c r="Q1551" s="327"/>
      <c r="R1551" s="538"/>
      <c r="S1551" s="327"/>
      <c r="T1551" s="539"/>
      <c r="U1551" s="327"/>
      <c r="V1551" s="540"/>
      <c r="W1551" s="327"/>
      <c r="X1551" s="541" t="s">
        <v>303</v>
      </c>
      <c r="Y1551" s="326"/>
      <c r="Z1551" s="326"/>
      <c r="AA1551" s="327"/>
      <c r="AB1551" s="542" t="s">
        <v>303</v>
      </c>
      <c r="AC1551" s="326"/>
      <c r="AD1551" s="326"/>
      <c r="AE1551" s="327"/>
      <c r="AF1551" s="543"/>
      <c r="AG1551" s="327"/>
      <c r="AH1551" s="543"/>
      <c r="AI1551" s="327"/>
      <c r="AJ1551" s="536"/>
      <c r="AK1551" s="327"/>
      <c r="AL1551" s="537" t="s">
        <v>334</v>
      </c>
      <c r="AM1551" s="327"/>
      <c r="AN1551" s="546" t="s">
        <v>334</v>
      </c>
      <c r="AO1551" s="327"/>
      <c r="AP1551" s="547"/>
      <c r="AQ1551" s="327"/>
      <c r="AR1551" s="548"/>
      <c r="AS1551" s="327"/>
      <c r="AT1551" s="549"/>
      <c r="AU1551" s="327"/>
      <c r="AV1551" s="546" t="s">
        <v>334</v>
      </c>
      <c r="AW1551" s="327"/>
      <c r="AX1551" s="521"/>
      <c r="AY1551" s="326"/>
      <c r="AZ1551" s="327"/>
      <c r="BA1551" s="550"/>
      <c r="BB1551" s="327"/>
      <c r="BC1551" s="25"/>
      <c r="BD1551" s="551" t="s">
        <v>334</v>
      </c>
      <c r="BE1551" s="327"/>
      <c r="BF1551" s="545"/>
      <c r="BG1551" s="326"/>
      <c r="BH1551" s="326"/>
      <c r="BI1551" s="327"/>
      <c r="BJ1551" s="557" t="s">
        <v>303</v>
      </c>
      <c r="BK1551" s="326"/>
      <c r="BL1551" s="326"/>
      <c r="BM1551" s="327"/>
      <c r="BN1551" s="558" t="s">
        <v>303</v>
      </c>
      <c r="BO1551" s="326"/>
      <c r="BP1551" s="326"/>
      <c r="BQ1551" s="326"/>
      <c r="BR1551" s="326"/>
      <c r="BS1551" s="326"/>
      <c r="BT1551" s="326"/>
      <c r="BU1551" s="326"/>
      <c r="BV1551" s="327"/>
    </row>
    <row r="1552" spans="1:74" ht="45" customHeight="1" x14ac:dyDescent="0.25">
      <c r="A1552" s="10">
        <f t="shared" si="6"/>
        <v>1538</v>
      </c>
      <c r="B1552" s="564" t="s">
        <v>303</v>
      </c>
      <c r="C1552" s="327"/>
      <c r="D1552" s="565" t="s">
        <v>307</v>
      </c>
      <c r="E1552" s="327"/>
      <c r="F1552" s="537" t="s">
        <v>334</v>
      </c>
      <c r="G1552" s="327"/>
      <c r="H1552" s="553" t="s">
        <v>334</v>
      </c>
      <c r="I1552" s="327"/>
      <c r="J1552" s="567"/>
      <c r="K1552" s="327"/>
      <c r="L1552" s="567"/>
      <c r="M1552" s="327"/>
      <c r="N1552" s="20"/>
      <c r="O1552" s="21"/>
      <c r="P1552" s="524"/>
      <c r="Q1552" s="327"/>
      <c r="R1552" s="516"/>
      <c r="S1552" s="327"/>
      <c r="T1552" s="517"/>
      <c r="U1552" s="327"/>
      <c r="V1552" s="518"/>
      <c r="W1552" s="327"/>
      <c r="X1552" s="438" t="s">
        <v>303</v>
      </c>
      <c r="Y1552" s="326"/>
      <c r="Z1552" s="326"/>
      <c r="AA1552" s="327"/>
      <c r="AB1552" s="519" t="s">
        <v>303</v>
      </c>
      <c r="AC1552" s="326"/>
      <c r="AD1552" s="326"/>
      <c r="AE1552" s="327"/>
      <c r="AF1552" s="520"/>
      <c r="AG1552" s="327"/>
      <c r="AH1552" s="520"/>
      <c r="AI1552" s="327"/>
      <c r="AJ1552" s="536"/>
      <c r="AK1552" s="327"/>
      <c r="AL1552" s="556" t="s">
        <v>334</v>
      </c>
      <c r="AM1552" s="327"/>
      <c r="AN1552" s="553" t="s">
        <v>334</v>
      </c>
      <c r="AO1552" s="327"/>
      <c r="AP1552" s="554"/>
      <c r="AQ1552" s="327"/>
      <c r="AR1552" s="555"/>
      <c r="AS1552" s="327"/>
      <c r="AT1552" s="549"/>
      <c r="AU1552" s="327"/>
      <c r="AV1552" s="553" t="s">
        <v>334</v>
      </c>
      <c r="AW1552" s="327"/>
      <c r="AX1552" s="521"/>
      <c r="AY1552" s="326"/>
      <c r="AZ1552" s="327"/>
      <c r="BA1552" s="536"/>
      <c r="BB1552" s="327"/>
      <c r="BC1552" s="22"/>
      <c r="BD1552" s="544" t="s">
        <v>334</v>
      </c>
      <c r="BE1552" s="327"/>
      <c r="BF1552" s="552"/>
      <c r="BG1552" s="326"/>
      <c r="BH1552" s="326"/>
      <c r="BI1552" s="327"/>
      <c r="BJ1552" s="451" t="s">
        <v>303</v>
      </c>
      <c r="BK1552" s="326"/>
      <c r="BL1552" s="326"/>
      <c r="BM1552" s="327"/>
      <c r="BN1552" s="558" t="s">
        <v>303</v>
      </c>
      <c r="BO1552" s="326"/>
      <c r="BP1552" s="326"/>
      <c r="BQ1552" s="326"/>
      <c r="BR1552" s="326"/>
      <c r="BS1552" s="326"/>
      <c r="BT1552" s="326"/>
      <c r="BU1552" s="326"/>
      <c r="BV1552" s="327"/>
    </row>
    <row r="1553" spans="1:74" ht="45" customHeight="1" x14ac:dyDescent="0.25">
      <c r="A1553" s="10">
        <f t="shared" si="6"/>
        <v>1539</v>
      </c>
      <c r="B1553" s="559" t="s">
        <v>303</v>
      </c>
      <c r="C1553" s="327"/>
      <c r="D1553" s="560" t="s">
        <v>307</v>
      </c>
      <c r="E1553" s="327"/>
      <c r="F1553" s="537" t="s">
        <v>334</v>
      </c>
      <c r="G1553" s="327"/>
      <c r="H1553" s="546" t="s">
        <v>334</v>
      </c>
      <c r="I1553" s="327"/>
      <c r="J1553" s="562"/>
      <c r="K1553" s="327"/>
      <c r="L1553" s="562"/>
      <c r="M1553" s="327"/>
      <c r="N1553" s="23"/>
      <c r="O1553" s="24"/>
      <c r="P1553" s="563"/>
      <c r="Q1553" s="327"/>
      <c r="R1553" s="538"/>
      <c r="S1553" s="327"/>
      <c r="T1553" s="539"/>
      <c r="U1553" s="327"/>
      <c r="V1553" s="540"/>
      <c r="W1553" s="327"/>
      <c r="X1553" s="541" t="s">
        <v>303</v>
      </c>
      <c r="Y1553" s="326"/>
      <c r="Z1553" s="326"/>
      <c r="AA1553" s="327"/>
      <c r="AB1553" s="542" t="s">
        <v>303</v>
      </c>
      <c r="AC1553" s="326"/>
      <c r="AD1553" s="326"/>
      <c r="AE1553" s="327"/>
      <c r="AF1553" s="543"/>
      <c r="AG1553" s="327"/>
      <c r="AH1553" s="543"/>
      <c r="AI1553" s="327"/>
      <c r="AJ1553" s="536"/>
      <c r="AK1553" s="327"/>
      <c r="AL1553" s="537" t="s">
        <v>334</v>
      </c>
      <c r="AM1553" s="327"/>
      <c r="AN1553" s="546" t="s">
        <v>334</v>
      </c>
      <c r="AO1553" s="327"/>
      <c r="AP1553" s="547"/>
      <c r="AQ1553" s="327"/>
      <c r="AR1553" s="548"/>
      <c r="AS1553" s="327"/>
      <c r="AT1553" s="549"/>
      <c r="AU1553" s="327"/>
      <c r="AV1553" s="546" t="s">
        <v>334</v>
      </c>
      <c r="AW1553" s="327"/>
      <c r="AX1553" s="521"/>
      <c r="AY1553" s="326"/>
      <c r="AZ1553" s="327"/>
      <c r="BA1553" s="550"/>
      <c r="BB1553" s="327"/>
      <c r="BC1553" s="25"/>
      <c r="BD1553" s="551" t="s">
        <v>334</v>
      </c>
      <c r="BE1553" s="327"/>
      <c r="BF1553" s="545"/>
      <c r="BG1553" s="326"/>
      <c r="BH1553" s="326"/>
      <c r="BI1553" s="327"/>
      <c r="BJ1553" s="557" t="s">
        <v>303</v>
      </c>
      <c r="BK1553" s="326"/>
      <c r="BL1553" s="326"/>
      <c r="BM1553" s="327"/>
      <c r="BN1553" s="558" t="s">
        <v>303</v>
      </c>
      <c r="BO1553" s="326"/>
      <c r="BP1553" s="326"/>
      <c r="BQ1553" s="326"/>
      <c r="BR1553" s="326"/>
      <c r="BS1553" s="326"/>
      <c r="BT1553" s="326"/>
      <c r="BU1553" s="326"/>
      <c r="BV1553" s="327"/>
    </row>
    <row r="1554" spans="1:74" ht="45" customHeight="1" x14ac:dyDescent="0.25">
      <c r="A1554" s="10">
        <f t="shared" si="6"/>
        <v>1540</v>
      </c>
      <c r="B1554" s="564" t="s">
        <v>303</v>
      </c>
      <c r="C1554" s="327"/>
      <c r="D1554" s="565" t="s">
        <v>307</v>
      </c>
      <c r="E1554" s="327"/>
      <c r="F1554" s="537" t="s">
        <v>334</v>
      </c>
      <c r="G1554" s="327"/>
      <c r="H1554" s="553" t="s">
        <v>334</v>
      </c>
      <c r="I1554" s="327"/>
      <c r="J1554" s="567"/>
      <c r="K1554" s="327"/>
      <c r="L1554" s="567"/>
      <c r="M1554" s="327"/>
      <c r="N1554" s="20"/>
      <c r="O1554" s="21"/>
      <c r="P1554" s="524"/>
      <c r="Q1554" s="327"/>
      <c r="R1554" s="516"/>
      <c r="S1554" s="327"/>
      <c r="T1554" s="517"/>
      <c r="U1554" s="327"/>
      <c r="V1554" s="518"/>
      <c r="W1554" s="327"/>
      <c r="X1554" s="438" t="s">
        <v>303</v>
      </c>
      <c r="Y1554" s="326"/>
      <c r="Z1554" s="326"/>
      <c r="AA1554" s="327"/>
      <c r="AB1554" s="519" t="s">
        <v>303</v>
      </c>
      <c r="AC1554" s="326"/>
      <c r="AD1554" s="326"/>
      <c r="AE1554" s="327"/>
      <c r="AF1554" s="520"/>
      <c r="AG1554" s="327"/>
      <c r="AH1554" s="520"/>
      <c r="AI1554" s="327"/>
      <c r="AJ1554" s="536"/>
      <c r="AK1554" s="327"/>
      <c r="AL1554" s="556" t="s">
        <v>334</v>
      </c>
      <c r="AM1554" s="327"/>
      <c r="AN1554" s="553" t="s">
        <v>334</v>
      </c>
      <c r="AO1554" s="327"/>
      <c r="AP1554" s="554"/>
      <c r="AQ1554" s="327"/>
      <c r="AR1554" s="555"/>
      <c r="AS1554" s="327"/>
      <c r="AT1554" s="549"/>
      <c r="AU1554" s="327"/>
      <c r="AV1554" s="553" t="s">
        <v>334</v>
      </c>
      <c r="AW1554" s="327"/>
      <c r="AX1554" s="521"/>
      <c r="AY1554" s="326"/>
      <c r="AZ1554" s="327"/>
      <c r="BA1554" s="536"/>
      <c r="BB1554" s="327"/>
      <c r="BC1554" s="22"/>
      <c r="BD1554" s="551" t="s">
        <v>334</v>
      </c>
      <c r="BE1554" s="327"/>
      <c r="BF1554" s="552"/>
      <c r="BG1554" s="326"/>
      <c r="BH1554" s="326"/>
      <c r="BI1554" s="327"/>
      <c r="BJ1554" s="451" t="s">
        <v>303</v>
      </c>
      <c r="BK1554" s="326"/>
      <c r="BL1554" s="326"/>
      <c r="BM1554" s="327"/>
      <c r="BN1554" s="558" t="s">
        <v>303</v>
      </c>
      <c r="BO1554" s="326"/>
      <c r="BP1554" s="326"/>
      <c r="BQ1554" s="326"/>
      <c r="BR1554" s="326"/>
      <c r="BS1554" s="326"/>
      <c r="BT1554" s="326"/>
      <c r="BU1554" s="326"/>
      <c r="BV1554" s="327"/>
    </row>
    <row r="1555" spans="1:74" ht="45" customHeight="1" x14ac:dyDescent="0.25">
      <c r="A1555" s="10">
        <f t="shared" si="6"/>
        <v>1541</v>
      </c>
      <c r="B1555" s="559" t="s">
        <v>303</v>
      </c>
      <c r="C1555" s="327"/>
      <c r="D1555" s="560" t="s">
        <v>307</v>
      </c>
      <c r="E1555" s="327"/>
      <c r="F1555" s="537" t="s">
        <v>334</v>
      </c>
      <c r="G1555" s="327"/>
      <c r="H1555" s="546" t="s">
        <v>334</v>
      </c>
      <c r="I1555" s="327"/>
      <c r="J1555" s="562"/>
      <c r="K1555" s="327"/>
      <c r="L1555" s="562"/>
      <c r="M1555" s="327"/>
      <c r="N1555" s="23"/>
      <c r="O1555" s="24"/>
      <c r="P1555" s="563"/>
      <c r="Q1555" s="327"/>
      <c r="R1555" s="538"/>
      <c r="S1555" s="327"/>
      <c r="T1555" s="539"/>
      <c r="U1555" s="327"/>
      <c r="V1555" s="540"/>
      <c r="W1555" s="327"/>
      <c r="X1555" s="541" t="s">
        <v>303</v>
      </c>
      <c r="Y1555" s="326"/>
      <c r="Z1555" s="326"/>
      <c r="AA1555" s="327"/>
      <c r="AB1555" s="542" t="s">
        <v>303</v>
      </c>
      <c r="AC1555" s="326"/>
      <c r="AD1555" s="326"/>
      <c r="AE1555" s="327"/>
      <c r="AF1555" s="543"/>
      <c r="AG1555" s="327"/>
      <c r="AH1555" s="543"/>
      <c r="AI1555" s="327"/>
      <c r="AJ1555" s="536"/>
      <c r="AK1555" s="327"/>
      <c r="AL1555" s="537" t="s">
        <v>334</v>
      </c>
      <c r="AM1555" s="327"/>
      <c r="AN1555" s="546" t="s">
        <v>334</v>
      </c>
      <c r="AO1555" s="327"/>
      <c r="AP1555" s="547"/>
      <c r="AQ1555" s="327"/>
      <c r="AR1555" s="548"/>
      <c r="AS1555" s="327"/>
      <c r="AT1555" s="568"/>
      <c r="AU1555" s="327"/>
      <c r="AV1555" s="546" t="s">
        <v>334</v>
      </c>
      <c r="AW1555" s="327"/>
      <c r="AX1555" s="521"/>
      <c r="AY1555" s="326"/>
      <c r="AZ1555" s="327"/>
      <c r="BA1555" s="550"/>
      <c r="BB1555" s="327"/>
      <c r="BC1555" s="25"/>
      <c r="BD1555" s="544" t="s">
        <v>334</v>
      </c>
      <c r="BE1555" s="327"/>
      <c r="BF1555" s="545"/>
      <c r="BG1555" s="326"/>
      <c r="BH1555" s="326"/>
      <c r="BI1555" s="327"/>
      <c r="BJ1555" s="557" t="s">
        <v>303</v>
      </c>
      <c r="BK1555" s="326"/>
      <c r="BL1555" s="326"/>
      <c r="BM1555" s="327"/>
      <c r="BN1555" s="558" t="s">
        <v>303</v>
      </c>
      <c r="BO1555" s="326"/>
      <c r="BP1555" s="326"/>
      <c r="BQ1555" s="326"/>
      <c r="BR1555" s="326"/>
      <c r="BS1555" s="326"/>
      <c r="BT1555" s="326"/>
      <c r="BU1555" s="326"/>
      <c r="BV1555" s="327"/>
    </row>
    <row r="1556" spans="1:74" ht="45" customHeight="1" x14ac:dyDescent="0.25">
      <c r="A1556" s="10">
        <f t="shared" si="6"/>
        <v>1542</v>
      </c>
      <c r="B1556" s="564" t="s">
        <v>303</v>
      </c>
      <c r="C1556" s="327"/>
      <c r="D1556" s="565" t="s">
        <v>307</v>
      </c>
      <c r="E1556" s="327"/>
      <c r="F1556" s="537" t="s">
        <v>334</v>
      </c>
      <c r="G1556" s="327"/>
      <c r="H1556" s="553" t="s">
        <v>334</v>
      </c>
      <c r="I1556" s="327"/>
      <c r="J1556" s="567"/>
      <c r="K1556" s="327"/>
      <c r="L1556" s="567"/>
      <c r="M1556" s="327"/>
      <c r="N1556" s="20"/>
      <c r="O1556" s="21"/>
      <c r="P1556" s="524"/>
      <c r="Q1556" s="327"/>
      <c r="R1556" s="516"/>
      <c r="S1556" s="327"/>
      <c r="T1556" s="517"/>
      <c r="U1556" s="327"/>
      <c r="V1556" s="518"/>
      <c r="W1556" s="327"/>
      <c r="X1556" s="438" t="s">
        <v>303</v>
      </c>
      <c r="Y1556" s="326"/>
      <c r="Z1556" s="326"/>
      <c r="AA1556" s="327"/>
      <c r="AB1556" s="519" t="s">
        <v>303</v>
      </c>
      <c r="AC1556" s="326"/>
      <c r="AD1556" s="326"/>
      <c r="AE1556" s="327"/>
      <c r="AF1556" s="520"/>
      <c r="AG1556" s="327"/>
      <c r="AH1556" s="520"/>
      <c r="AI1556" s="327"/>
      <c r="AJ1556" s="536"/>
      <c r="AK1556" s="327"/>
      <c r="AL1556" s="556" t="s">
        <v>334</v>
      </c>
      <c r="AM1556" s="327"/>
      <c r="AN1556" s="553" t="s">
        <v>334</v>
      </c>
      <c r="AO1556" s="327"/>
      <c r="AP1556" s="554"/>
      <c r="AQ1556" s="327"/>
      <c r="AR1556" s="555"/>
      <c r="AS1556" s="327"/>
      <c r="AT1556" s="549"/>
      <c r="AU1556" s="327"/>
      <c r="AV1556" s="553" t="s">
        <v>334</v>
      </c>
      <c r="AW1556" s="327"/>
      <c r="AX1556" s="521"/>
      <c r="AY1556" s="326"/>
      <c r="AZ1556" s="327"/>
      <c r="BA1556" s="536"/>
      <c r="BB1556" s="327"/>
      <c r="BC1556" s="22"/>
      <c r="BD1556" s="551" t="s">
        <v>334</v>
      </c>
      <c r="BE1556" s="327"/>
      <c r="BF1556" s="508"/>
      <c r="BG1556" s="326"/>
      <c r="BH1556" s="326"/>
      <c r="BI1556" s="327"/>
      <c r="BJ1556" s="451" t="s">
        <v>303</v>
      </c>
      <c r="BK1556" s="326"/>
      <c r="BL1556" s="326"/>
      <c r="BM1556" s="327"/>
      <c r="BN1556" s="558" t="s">
        <v>303</v>
      </c>
      <c r="BO1556" s="326"/>
      <c r="BP1556" s="326"/>
      <c r="BQ1556" s="326"/>
      <c r="BR1556" s="326"/>
      <c r="BS1556" s="326"/>
      <c r="BT1556" s="326"/>
      <c r="BU1556" s="326"/>
      <c r="BV1556" s="327"/>
    </row>
    <row r="1557" spans="1:74" ht="45" customHeight="1" x14ac:dyDescent="0.25">
      <c r="A1557" s="10">
        <f t="shared" si="6"/>
        <v>1543</v>
      </c>
      <c r="B1557" s="559" t="s">
        <v>303</v>
      </c>
      <c r="C1557" s="327"/>
      <c r="D1557" s="560" t="s">
        <v>307</v>
      </c>
      <c r="E1557" s="327"/>
      <c r="F1557" s="537" t="s">
        <v>334</v>
      </c>
      <c r="G1557" s="327"/>
      <c r="H1557" s="546" t="s">
        <v>334</v>
      </c>
      <c r="I1557" s="327"/>
      <c r="J1557" s="562"/>
      <c r="K1557" s="327"/>
      <c r="L1557" s="562"/>
      <c r="M1557" s="327"/>
      <c r="N1557" s="23"/>
      <c r="O1557" s="24"/>
      <c r="P1557" s="563"/>
      <c r="Q1557" s="327"/>
      <c r="R1557" s="538"/>
      <c r="S1557" s="327"/>
      <c r="T1557" s="539"/>
      <c r="U1557" s="327"/>
      <c r="V1557" s="540"/>
      <c r="W1557" s="327"/>
      <c r="X1557" s="541" t="s">
        <v>303</v>
      </c>
      <c r="Y1557" s="326"/>
      <c r="Z1557" s="326"/>
      <c r="AA1557" s="327"/>
      <c r="AB1557" s="542" t="s">
        <v>303</v>
      </c>
      <c r="AC1557" s="326"/>
      <c r="AD1557" s="326"/>
      <c r="AE1557" s="327"/>
      <c r="AF1557" s="543"/>
      <c r="AG1557" s="327"/>
      <c r="AH1557" s="543"/>
      <c r="AI1557" s="327"/>
      <c r="AJ1557" s="536"/>
      <c r="AK1557" s="327"/>
      <c r="AL1557" s="537" t="s">
        <v>334</v>
      </c>
      <c r="AM1557" s="327"/>
      <c r="AN1557" s="546" t="s">
        <v>334</v>
      </c>
      <c r="AO1557" s="327"/>
      <c r="AP1557" s="547"/>
      <c r="AQ1557" s="327"/>
      <c r="AR1557" s="548"/>
      <c r="AS1557" s="327"/>
      <c r="AT1557" s="568"/>
      <c r="AU1557" s="327"/>
      <c r="AV1557" s="546" t="s">
        <v>334</v>
      </c>
      <c r="AW1557" s="327"/>
      <c r="AX1557" s="521"/>
      <c r="AY1557" s="326"/>
      <c r="AZ1557" s="327"/>
      <c r="BA1557" s="550"/>
      <c r="BB1557" s="327"/>
      <c r="BC1557" s="25"/>
      <c r="BD1557" s="544" t="s">
        <v>334</v>
      </c>
      <c r="BE1557" s="327"/>
      <c r="BF1557" s="545"/>
      <c r="BG1557" s="326"/>
      <c r="BH1557" s="326"/>
      <c r="BI1557" s="327"/>
      <c r="BJ1557" s="557" t="s">
        <v>303</v>
      </c>
      <c r="BK1557" s="326"/>
      <c r="BL1557" s="326"/>
      <c r="BM1557" s="327"/>
      <c r="BN1557" s="558" t="s">
        <v>303</v>
      </c>
      <c r="BO1557" s="326"/>
      <c r="BP1557" s="326"/>
      <c r="BQ1557" s="326"/>
      <c r="BR1557" s="326"/>
      <c r="BS1557" s="326"/>
      <c r="BT1557" s="326"/>
      <c r="BU1557" s="326"/>
      <c r="BV1557" s="327"/>
    </row>
    <row r="1558" spans="1:74" ht="45" customHeight="1" x14ac:dyDescent="0.25">
      <c r="A1558" s="10">
        <f t="shared" si="6"/>
        <v>1544</v>
      </c>
      <c r="B1558" s="564" t="s">
        <v>303</v>
      </c>
      <c r="C1558" s="327"/>
      <c r="D1558" s="565" t="s">
        <v>307</v>
      </c>
      <c r="E1558" s="327"/>
      <c r="F1558" s="537" t="s">
        <v>334</v>
      </c>
      <c r="G1558" s="327"/>
      <c r="H1558" s="553" t="s">
        <v>334</v>
      </c>
      <c r="I1558" s="327"/>
      <c r="J1558" s="567"/>
      <c r="K1558" s="327"/>
      <c r="L1558" s="567"/>
      <c r="M1558" s="327"/>
      <c r="N1558" s="20"/>
      <c r="O1558" s="21"/>
      <c r="P1558" s="524"/>
      <c r="Q1558" s="327"/>
      <c r="R1558" s="516"/>
      <c r="S1558" s="327"/>
      <c r="T1558" s="517"/>
      <c r="U1558" s="327"/>
      <c r="V1558" s="518"/>
      <c r="W1558" s="327"/>
      <c r="X1558" s="438" t="s">
        <v>303</v>
      </c>
      <c r="Y1558" s="326"/>
      <c r="Z1558" s="326"/>
      <c r="AA1558" s="327"/>
      <c r="AB1558" s="519" t="s">
        <v>303</v>
      </c>
      <c r="AC1558" s="326"/>
      <c r="AD1558" s="326"/>
      <c r="AE1558" s="327"/>
      <c r="AF1558" s="520"/>
      <c r="AG1558" s="327"/>
      <c r="AH1558" s="520"/>
      <c r="AI1558" s="327"/>
      <c r="AJ1558" s="536"/>
      <c r="AK1558" s="327"/>
      <c r="AL1558" s="556" t="s">
        <v>334</v>
      </c>
      <c r="AM1558" s="327"/>
      <c r="AN1558" s="553" t="s">
        <v>334</v>
      </c>
      <c r="AO1558" s="327"/>
      <c r="AP1558" s="554"/>
      <c r="AQ1558" s="327"/>
      <c r="AR1558" s="555"/>
      <c r="AS1558" s="327"/>
      <c r="AT1558" s="549"/>
      <c r="AU1558" s="327"/>
      <c r="AV1558" s="553" t="s">
        <v>334</v>
      </c>
      <c r="AW1558" s="327"/>
      <c r="AX1558" s="521"/>
      <c r="AY1558" s="326"/>
      <c r="AZ1558" s="327"/>
      <c r="BA1558" s="536"/>
      <c r="BB1558" s="327"/>
      <c r="BC1558" s="22"/>
      <c r="BD1558" s="551" t="s">
        <v>334</v>
      </c>
      <c r="BE1558" s="327"/>
      <c r="BF1558" s="552"/>
      <c r="BG1558" s="326"/>
      <c r="BH1558" s="326"/>
      <c r="BI1558" s="327"/>
      <c r="BJ1558" s="451" t="s">
        <v>303</v>
      </c>
      <c r="BK1558" s="326"/>
      <c r="BL1558" s="326"/>
      <c r="BM1558" s="327"/>
      <c r="BN1558" s="558" t="s">
        <v>303</v>
      </c>
      <c r="BO1558" s="326"/>
      <c r="BP1558" s="326"/>
      <c r="BQ1558" s="326"/>
      <c r="BR1558" s="326"/>
      <c r="BS1558" s="326"/>
      <c r="BT1558" s="326"/>
      <c r="BU1558" s="326"/>
      <c r="BV1558" s="327"/>
    </row>
    <row r="1559" spans="1:74" ht="45" customHeight="1" x14ac:dyDescent="0.25">
      <c r="A1559" s="10">
        <f t="shared" si="6"/>
        <v>1545</v>
      </c>
      <c r="B1559" s="559" t="s">
        <v>303</v>
      </c>
      <c r="C1559" s="327"/>
      <c r="D1559" s="560" t="s">
        <v>307</v>
      </c>
      <c r="E1559" s="327"/>
      <c r="F1559" s="537" t="s">
        <v>334</v>
      </c>
      <c r="G1559" s="327"/>
      <c r="H1559" s="546" t="s">
        <v>334</v>
      </c>
      <c r="I1559" s="327"/>
      <c r="J1559" s="562"/>
      <c r="K1559" s="327"/>
      <c r="L1559" s="562"/>
      <c r="M1559" s="327"/>
      <c r="N1559" s="23"/>
      <c r="O1559" s="24"/>
      <c r="P1559" s="563"/>
      <c r="Q1559" s="327"/>
      <c r="R1559" s="538"/>
      <c r="S1559" s="327"/>
      <c r="T1559" s="539"/>
      <c r="U1559" s="327"/>
      <c r="V1559" s="540"/>
      <c r="W1559" s="327"/>
      <c r="X1559" s="541" t="s">
        <v>303</v>
      </c>
      <c r="Y1559" s="326"/>
      <c r="Z1559" s="326"/>
      <c r="AA1559" s="327"/>
      <c r="AB1559" s="542" t="s">
        <v>303</v>
      </c>
      <c r="AC1559" s="326"/>
      <c r="AD1559" s="326"/>
      <c r="AE1559" s="327"/>
      <c r="AF1559" s="543"/>
      <c r="AG1559" s="327"/>
      <c r="AH1559" s="543"/>
      <c r="AI1559" s="327"/>
      <c r="AJ1559" s="536"/>
      <c r="AK1559" s="327"/>
      <c r="AL1559" s="537" t="s">
        <v>334</v>
      </c>
      <c r="AM1559" s="327"/>
      <c r="AN1559" s="546" t="s">
        <v>334</v>
      </c>
      <c r="AO1559" s="327"/>
      <c r="AP1559" s="547"/>
      <c r="AQ1559" s="327"/>
      <c r="AR1559" s="548"/>
      <c r="AS1559" s="327"/>
      <c r="AT1559" s="568"/>
      <c r="AU1559" s="327"/>
      <c r="AV1559" s="546" t="s">
        <v>334</v>
      </c>
      <c r="AW1559" s="327"/>
      <c r="AX1559" s="521"/>
      <c r="AY1559" s="326"/>
      <c r="AZ1559" s="327"/>
      <c r="BA1559" s="550"/>
      <c r="BB1559" s="327"/>
      <c r="BC1559" s="25"/>
      <c r="BD1559" s="544" t="s">
        <v>334</v>
      </c>
      <c r="BE1559" s="327"/>
      <c r="BF1559" s="545"/>
      <c r="BG1559" s="326"/>
      <c r="BH1559" s="326"/>
      <c r="BI1559" s="327"/>
      <c r="BJ1559" s="557" t="s">
        <v>303</v>
      </c>
      <c r="BK1559" s="326"/>
      <c r="BL1559" s="326"/>
      <c r="BM1559" s="327"/>
      <c r="BN1559" s="558" t="s">
        <v>303</v>
      </c>
      <c r="BO1559" s="326"/>
      <c r="BP1559" s="326"/>
      <c r="BQ1559" s="326"/>
      <c r="BR1559" s="326"/>
      <c r="BS1559" s="326"/>
      <c r="BT1559" s="326"/>
      <c r="BU1559" s="326"/>
      <c r="BV1559" s="327"/>
    </row>
    <row r="1560" spans="1:74" ht="45" customHeight="1" x14ac:dyDescent="0.25">
      <c r="A1560" s="10">
        <f t="shared" si="6"/>
        <v>1546</v>
      </c>
      <c r="B1560" s="564" t="s">
        <v>303</v>
      </c>
      <c r="C1560" s="327"/>
      <c r="D1560" s="565" t="s">
        <v>307</v>
      </c>
      <c r="E1560" s="327"/>
      <c r="F1560" s="537" t="s">
        <v>334</v>
      </c>
      <c r="G1560" s="327"/>
      <c r="H1560" s="553" t="s">
        <v>334</v>
      </c>
      <c r="I1560" s="327"/>
      <c r="J1560" s="567"/>
      <c r="K1560" s="327"/>
      <c r="L1560" s="567"/>
      <c r="M1560" s="327"/>
      <c r="N1560" s="20"/>
      <c r="O1560" s="21"/>
      <c r="P1560" s="524"/>
      <c r="Q1560" s="327"/>
      <c r="R1560" s="516"/>
      <c r="S1560" s="327"/>
      <c r="T1560" s="517"/>
      <c r="U1560" s="327"/>
      <c r="V1560" s="518"/>
      <c r="W1560" s="327"/>
      <c r="X1560" s="438" t="s">
        <v>303</v>
      </c>
      <c r="Y1560" s="326"/>
      <c r="Z1560" s="326"/>
      <c r="AA1560" s="327"/>
      <c r="AB1560" s="519" t="s">
        <v>303</v>
      </c>
      <c r="AC1560" s="326"/>
      <c r="AD1560" s="326"/>
      <c r="AE1560" s="327"/>
      <c r="AF1560" s="520"/>
      <c r="AG1560" s="327"/>
      <c r="AH1560" s="520"/>
      <c r="AI1560" s="327"/>
      <c r="AJ1560" s="536"/>
      <c r="AK1560" s="327"/>
      <c r="AL1560" s="556" t="s">
        <v>334</v>
      </c>
      <c r="AM1560" s="327"/>
      <c r="AN1560" s="553" t="s">
        <v>334</v>
      </c>
      <c r="AO1560" s="327"/>
      <c r="AP1560" s="554"/>
      <c r="AQ1560" s="327"/>
      <c r="AR1560" s="555"/>
      <c r="AS1560" s="327"/>
      <c r="AT1560" s="549"/>
      <c r="AU1560" s="327"/>
      <c r="AV1560" s="553" t="s">
        <v>334</v>
      </c>
      <c r="AW1560" s="327"/>
      <c r="AX1560" s="521"/>
      <c r="AY1560" s="326"/>
      <c r="AZ1560" s="327"/>
      <c r="BA1560" s="536"/>
      <c r="BB1560" s="327"/>
      <c r="BC1560" s="22"/>
      <c r="BD1560" s="551" t="s">
        <v>334</v>
      </c>
      <c r="BE1560" s="327"/>
      <c r="BF1560" s="552"/>
      <c r="BG1560" s="326"/>
      <c r="BH1560" s="326"/>
      <c r="BI1560" s="327"/>
      <c r="BJ1560" s="451" t="s">
        <v>303</v>
      </c>
      <c r="BK1560" s="326"/>
      <c r="BL1560" s="326"/>
      <c r="BM1560" s="327"/>
      <c r="BN1560" s="558" t="s">
        <v>303</v>
      </c>
      <c r="BO1560" s="326"/>
      <c r="BP1560" s="326"/>
      <c r="BQ1560" s="326"/>
      <c r="BR1560" s="326"/>
      <c r="BS1560" s="326"/>
      <c r="BT1560" s="326"/>
      <c r="BU1560" s="326"/>
      <c r="BV1560" s="327"/>
    </row>
    <row r="1561" spans="1:74" ht="45" customHeight="1" x14ac:dyDescent="0.25">
      <c r="A1561" s="10">
        <f t="shared" si="6"/>
        <v>1547</v>
      </c>
      <c r="B1561" s="559" t="s">
        <v>303</v>
      </c>
      <c r="C1561" s="327"/>
      <c r="D1561" s="560" t="s">
        <v>307</v>
      </c>
      <c r="E1561" s="327"/>
      <c r="F1561" s="537" t="s">
        <v>334</v>
      </c>
      <c r="G1561" s="327"/>
      <c r="H1561" s="546" t="s">
        <v>334</v>
      </c>
      <c r="I1561" s="327"/>
      <c r="J1561" s="562"/>
      <c r="K1561" s="327"/>
      <c r="L1561" s="562"/>
      <c r="M1561" s="327"/>
      <c r="N1561" s="23"/>
      <c r="O1561" s="24"/>
      <c r="P1561" s="563"/>
      <c r="Q1561" s="327"/>
      <c r="R1561" s="538"/>
      <c r="S1561" s="327"/>
      <c r="T1561" s="539"/>
      <c r="U1561" s="327"/>
      <c r="V1561" s="540"/>
      <c r="W1561" s="327"/>
      <c r="X1561" s="541" t="s">
        <v>303</v>
      </c>
      <c r="Y1561" s="326"/>
      <c r="Z1561" s="326"/>
      <c r="AA1561" s="327"/>
      <c r="AB1561" s="542" t="s">
        <v>303</v>
      </c>
      <c r="AC1561" s="326"/>
      <c r="AD1561" s="326"/>
      <c r="AE1561" s="327"/>
      <c r="AF1561" s="543"/>
      <c r="AG1561" s="327"/>
      <c r="AH1561" s="543"/>
      <c r="AI1561" s="327"/>
      <c r="AJ1561" s="536"/>
      <c r="AK1561" s="327"/>
      <c r="AL1561" s="537" t="s">
        <v>334</v>
      </c>
      <c r="AM1561" s="327"/>
      <c r="AN1561" s="546" t="s">
        <v>334</v>
      </c>
      <c r="AO1561" s="327"/>
      <c r="AP1561" s="547"/>
      <c r="AQ1561" s="327"/>
      <c r="AR1561" s="548"/>
      <c r="AS1561" s="327"/>
      <c r="AT1561" s="568"/>
      <c r="AU1561" s="327"/>
      <c r="AV1561" s="546" t="s">
        <v>334</v>
      </c>
      <c r="AW1561" s="327"/>
      <c r="AX1561" s="521"/>
      <c r="AY1561" s="326"/>
      <c r="AZ1561" s="327"/>
      <c r="BA1561" s="550"/>
      <c r="BB1561" s="327"/>
      <c r="BC1561" s="25"/>
      <c r="BD1561" s="544" t="s">
        <v>334</v>
      </c>
      <c r="BE1561" s="327"/>
      <c r="BF1561" s="545"/>
      <c r="BG1561" s="326"/>
      <c r="BH1561" s="326"/>
      <c r="BI1561" s="327"/>
      <c r="BJ1561" s="557" t="s">
        <v>303</v>
      </c>
      <c r="BK1561" s="326"/>
      <c r="BL1561" s="326"/>
      <c r="BM1561" s="327"/>
      <c r="BN1561" s="558" t="s">
        <v>303</v>
      </c>
      <c r="BO1561" s="326"/>
      <c r="BP1561" s="326"/>
      <c r="BQ1561" s="326"/>
      <c r="BR1561" s="326"/>
      <c r="BS1561" s="326"/>
      <c r="BT1561" s="326"/>
      <c r="BU1561" s="326"/>
      <c r="BV1561" s="327"/>
    </row>
    <row r="1562" spans="1:74" ht="45" customHeight="1" x14ac:dyDescent="0.25">
      <c r="A1562" s="10">
        <f t="shared" si="6"/>
        <v>1548</v>
      </c>
      <c r="B1562" s="564" t="s">
        <v>303</v>
      </c>
      <c r="C1562" s="327"/>
      <c r="D1562" s="565" t="s">
        <v>307</v>
      </c>
      <c r="E1562" s="327"/>
      <c r="F1562" s="537" t="s">
        <v>334</v>
      </c>
      <c r="G1562" s="327"/>
      <c r="H1562" s="553" t="s">
        <v>334</v>
      </c>
      <c r="I1562" s="327"/>
      <c r="J1562" s="567"/>
      <c r="K1562" s="327"/>
      <c r="L1562" s="567"/>
      <c r="M1562" s="327"/>
      <c r="N1562" s="20"/>
      <c r="O1562" s="21"/>
      <c r="P1562" s="524"/>
      <c r="Q1562" s="327"/>
      <c r="R1562" s="516"/>
      <c r="S1562" s="327"/>
      <c r="T1562" s="517"/>
      <c r="U1562" s="327"/>
      <c r="V1562" s="518"/>
      <c r="W1562" s="327"/>
      <c r="X1562" s="438" t="s">
        <v>303</v>
      </c>
      <c r="Y1562" s="326"/>
      <c r="Z1562" s="326"/>
      <c r="AA1562" s="327"/>
      <c r="AB1562" s="519" t="s">
        <v>303</v>
      </c>
      <c r="AC1562" s="326"/>
      <c r="AD1562" s="326"/>
      <c r="AE1562" s="327"/>
      <c r="AF1562" s="520"/>
      <c r="AG1562" s="327"/>
      <c r="AH1562" s="520"/>
      <c r="AI1562" s="327"/>
      <c r="AJ1562" s="536"/>
      <c r="AK1562" s="327"/>
      <c r="AL1562" s="556" t="s">
        <v>334</v>
      </c>
      <c r="AM1562" s="327"/>
      <c r="AN1562" s="553" t="s">
        <v>334</v>
      </c>
      <c r="AO1562" s="327"/>
      <c r="AP1562" s="554"/>
      <c r="AQ1562" s="327"/>
      <c r="AR1562" s="555"/>
      <c r="AS1562" s="327"/>
      <c r="AT1562" s="549"/>
      <c r="AU1562" s="327"/>
      <c r="AV1562" s="553" t="s">
        <v>334</v>
      </c>
      <c r="AW1562" s="327"/>
      <c r="AX1562" s="521"/>
      <c r="AY1562" s="326"/>
      <c r="AZ1562" s="327"/>
      <c r="BA1562" s="536"/>
      <c r="BB1562" s="327"/>
      <c r="BC1562" s="22"/>
      <c r="BD1562" s="551" t="s">
        <v>334</v>
      </c>
      <c r="BE1562" s="327"/>
      <c r="BF1562" s="508"/>
      <c r="BG1562" s="326"/>
      <c r="BH1562" s="326"/>
      <c r="BI1562" s="327"/>
      <c r="BJ1562" s="451" t="s">
        <v>303</v>
      </c>
      <c r="BK1562" s="326"/>
      <c r="BL1562" s="326"/>
      <c r="BM1562" s="327"/>
      <c r="BN1562" s="558" t="s">
        <v>303</v>
      </c>
      <c r="BO1562" s="326"/>
      <c r="BP1562" s="326"/>
      <c r="BQ1562" s="326"/>
      <c r="BR1562" s="326"/>
      <c r="BS1562" s="326"/>
      <c r="BT1562" s="326"/>
      <c r="BU1562" s="326"/>
      <c r="BV1562" s="327"/>
    </row>
    <row r="1563" spans="1:74" ht="45" customHeight="1" x14ac:dyDescent="0.25">
      <c r="A1563" s="10">
        <f t="shared" si="6"/>
        <v>1549</v>
      </c>
      <c r="B1563" s="559" t="s">
        <v>303</v>
      </c>
      <c r="C1563" s="327"/>
      <c r="D1563" s="560" t="s">
        <v>307</v>
      </c>
      <c r="E1563" s="327"/>
      <c r="F1563" s="537" t="s">
        <v>334</v>
      </c>
      <c r="G1563" s="327"/>
      <c r="H1563" s="546" t="s">
        <v>334</v>
      </c>
      <c r="I1563" s="327"/>
      <c r="J1563" s="562"/>
      <c r="K1563" s="327"/>
      <c r="L1563" s="562"/>
      <c r="M1563" s="327"/>
      <c r="N1563" s="23"/>
      <c r="O1563" s="24"/>
      <c r="P1563" s="563"/>
      <c r="Q1563" s="327"/>
      <c r="R1563" s="538"/>
      <c r="S1563" s="327"/>
      <c r="T1563" s="539"/>
      <c r="U1563" s="327"/>
      <c r="V1563" s="540"/>
      <c r="W1563" s="327"/>
      <c r="X1563" s="541" t="s">
        <v>303</v>
      </c>
      <c r="Y1563" s="326"/>
      <c r="Z1563" s="326"/>
      <c r="AA1563" s="327"/>
      <c r="AB1563" s="542" t="s">
        <v>303</v>
      </c>
      <c r="AC1563" s="326"/>
      <c r="AD1563" s="326"/>
      <c r="AE1563" s="327"/>
      <c r="AF1563" s="543"/>
      <c r="AG1563" s="327"/>
      <c r="AH1563" s="543"/>
      <c r="AI1563" s="327"/>
      <c r="AJ1563" s="536"/>
      <c r="AK1563" s="327"/>
      <c r="AL1563" s="537" t="s">
        <v>334</v>
      </c>
      <c r="AM1563" s="327"/>
      <c r="AN1563" s="546" t="s">
        <v>334</v>
      </c>
      <c r="AO1563" s="327"/>
      <c r="AP1563" s="547"/>
      <c r="AQ1563" s="327"/>
      <c r="AR1563" s="548"/>
      <c r="AS1563" s="327"/>
      <c r="AT1563" s="568"/>
      <c r="AU1563" s="327"/>
      <c r="AV1563" s="546" t="s">
        <v>334</v>
      </c>
      <c r="AW1563" s="327"/>
      <c r="AX1563" s="521"/>
      <c r="AY1563" s="326"/>
      <c r="AZ1563" s="327"/>
      <c r="BA1563" s="550"/>
      <c r="BB1563" s="327"/>
      <c r="BC1563" s="25"/>
      <c r="BD1563" s="544" t="s">
        <v>334</v>
      </c>
      <c r="BE1563" s="327"/>
      <c r="BF1563" s="545"/>
      <c r="BG1563" s="326"/>
      <c r="BH1563" s="326"/>
      <c r="BI1563" s="327"/>
      <c r="BJ1563" s="557" t="s">
        <v>303</v>
      </c>
      <c r="BK1563" s="326"/>
      <c r="BL1563" s="326"/>
      <c r="BM1563" s="327"/>
      <c r="BN1563" s="558" t="s">
        <v>303</v>
      </c>
      <c r="BO1563" s="326"/>
      <c r="BP1563" s="326"/>
      <c r="BQ1563" s="326"/>
      <c r="BR1563" s="326"/>
      <c r="BS1563" s="326"/>
      <c r="BT1563" s="326"/>
      <c r="BU1563" s="326"/>
      <c r="BV1563" s="327"/>
    </row>
    <row r="1564" spans="1:74" ht="45" customHeight="1" x14ac:dyDescent="0.25">
      <c r="A1564" s="10">
        <f t="shared" si="6"/>
        <v>1550</v>
      </c>
      <c r="B1564" s="564" t="s">
        <v>303</v>
      </c>
      <c r="C1564" s="327"/>
      <c r="D1564" s="565" t="s">
        <v>307</v>
      </c>
      <c r="E1564" s="327"/>
      <c r="F1564" s="537" t="s">
        <v>334</v>
      </c>
      <c r="G1564" s="327"/>
      <c r="H1564" s="553" t="s">
        <v>334</v>
      </c>
      <c r="I1564" s="327"/>
      <c r="J1564" s="567"/>
      <c r="K1564" s="327"/>
      <c r="L1564" s="567"/>
      <c r="M1564" s="327"/>
      <c r="N1564" s="20"/>
      <c r="O1564" s="21"/>
      <c r="P1564" s="524"/>
      <c r="Q1564" s="327"/>
      <c r="R1564" s="516"/>
      <c r="S1564" s="327"/>
      <c r="T1564" s="517"/>
      <c r="U1564" s="327"/>
      <c r="V1564" s="518"/>
      <c r="W1564" s="327"/>
      <c r="X1564" s="438" t="s">
        <v>303</v>
      </c>
      <c r="Y1564" s="326"/>
      <c r="Z1564" s="326"/>
      <c r="AA1564" s="327"/>
      <c r="AB1564" s="519" t="s">
        <v>303</v>
      </c>
      <c r="AC1564" s="326"/>
      <c r="AD1564" s="326"/>
      <c r="AE1564" s="327"/>
      <c r="AF1564" s="520"/>
      <c r="AG1564" s="327"/>
      <c r="AH1564" s="520"/>
      <c r="AI1564" s="327"/>
      <c r="AJ1564" s="536"/>
      <c r="AK1564" s="327"/>
      <c r="AL1564" s="556" t="s">
        <v>334</v>
      </c>
      <c r="AM1564" s="327"/>
      <c r="AN1564" s="553" t="s">
        <v>334</v>
      </c>
      <c r="AO1564" s="327"/>
      <c r="AP1564" s="554"/>
      <c r="AQ1564" s="327"/>
      <c r="AR1564" s="555"/>
      <c r="AS1564" s="327"/>
      <c r="AT1564" s="549"/>
      <c r="AU1564" s="327"/>
      <c r="AV1564" s="553" t="s">
        <v>334</v>
      </c>
      <c r="AW1564" s="327"/>
      <c r="AX1564" s="521"/>
      <c r="AY1564" s="326"/>
      <c r="AZ1564" s="327"/>
      <c r="BA1564" s="536"/>
      <c r="BB1564" s="327"/>
      <c r="BC1564" s="22"/>
      <c r="BD1564" s="551" t="s">
        <v>334</v>
      </c>
      <c r="BE1564" s="327"/>
      <c r="BF1564" s="552"/>
      <c r="BG1564" s="326"/>
      <c r="BH1564" s="326"/>
      <c r="BI1564" s="327"/>
      <c r="BJ1564" s="451" t="s">
        <v>303</v>
      </c>
      <c r="BK1564" s="326"/>
      <c r="BL1564" s="326"/>
      <c r="BM1564" s="327"/>
      <c r="BN1564" s="558" t="s">
        <v>303</v>
      </c>
      <c r="BO1564" s="326"/>
      <c r="BP1564" s="326"/>
      <c r="BQ1564" s="326"/>
      <c r="BR1564" s="326"/>
      <c r="BS1564" s="326"/>
      <c r="BT1564" s="326"/>
      <c r="BU1564" s="326"/>
      <c r="BV1564" s="327"/>
    </row>
    <row r="1565" spans="1:74" ht="45" customHeight="1" x14ac:dyDescent="0.25">
      <c r="A1565" s="10">
        <f t="shared" si="6"/>
        <v>1551</v>
      </c>
      <c r="B1565" s="559" t="s">
        <v>303</v>
      </c>
      <c r="C1565" s="327"/>
      <c r="D1565" s="560" t="s">
        <v>307</v>
      </c>
      <c r="E1565" s="327"/>
      <c r="F1565" s="537" t="s">
        <v>334</v>
      </c>
      <c r="G1565" s="327"/>
      <c r="H1565" s="546" t="s">
        <v>334</v>
      </c>
      <c r="I1565" s="327"/>
      <c r="J1565" s="562"/>
      <c r="K1565" s="327"/>
      <c r="L1565" s="562"/>
      <c r="M1565" s="327"/>
      <c r="N1565" s="20"/>
      <c r="O1565" s="21"/>
      <c r="P1565" s="524"/>
      <c r="Q1565" s="327"/>
      <c r="R1565" s="538"/>
      <c r="S1565" s="327"/>
      <c r="T1565" s="539"/>
      <c r="U1565" s="327"/>
      <c r="V1565" s="540"/>
      <c r="W1565" s="327"/>
      <c r="X1565" s="541" t="s">
        <v>303</v>
      </c>
      <c r="Y1565" s="326"/>
      <c r="Z1565" s="326"/>
      <c r="AA1565" s="327"/>
      <c r="AB1565" s="542" t="s">
        <v>303</v>
      </c>
      <c r="AC1565" s="326"/>
      <c r="AD1565" s="326"/>
      <c r="AE1565" s="327"/>
      <c r="AF1565" s="543"/>
      <c r="AG1565" s="327"/>
      <c r="AH1565" s="543"/>
      <c r="AI1565" s="327"/>
      <c r="AJ1565" s="536"/>
      <c r="AK1565" s="327"/>
      <c r="AL1565" s="537" t="s">
        <v>334</v>
      </c>
      <c r="AM1565" s="327"/>
      <c r="AN1565" s="546" t="s">
        <v>334</v>
      </c>
      <c r="AO1565" s="327"/>
      <c r="AP1565" s="547"/>
      <c r="AQ1565" s="327"/>
      <c r="AR1565" s="548"/>
      <c r="AS1565" s="327"/>
      <c r="AT1565" s="549"/>
      <c r="AU1565" s="327"/>
      <c r="AV1565" s="546" t="s">
        <v>334</v>
      </c>
      <c r="AW1565" s="327"/>
      <c r="AX1565" s="521"/>
      <c r="AY1565" s="326"/>
      <c r="AZ1565" s="327"/>
      <c r="BA1565" s="550"/>
      <c r="BB1565" s="327"/>
      <c r="BC1565" s="25"/>
      <c r="BD1565" s="544" t="s">
        <v>334</v>
      </c>
      <c r="BE1565" s="327"/>
      <c r="BF1565" s="545"/>
      <c r="BG1565" s="326"/>
      <c r="BH1565" s="326"/>
      <c r="BI1565" s="327"/>
      <c r="BJ1565" s="557" t="s">
        <v>303</v>
      </c>
      <c r="BK1565" s="326"/>
      <c r="BL1565" s="326"/>
      <c r="BM1565" s="327"/>
      <c r="BN1565" s="558" t="s">
        <v>303</v>
      </c>
      <c r="BO1565" s="326"/>
      <c r="BP1565" s="326"/>
      <c r="BQ1565" s="326"/>
      <c r="BR1565" s="326"/>
      <c r="BS1565" s="326"/>
      <c r="BT1565" s="326"/>
      <c r="BU1565" s="326"/>
      <c r="BV1565" s="327"/>
    </row>
    <row r="1566" spans="1:74" ht="45" customHeight="1" x14ac:dyDescent="0.25">
      <c r="A1566" s="10">
        <f t="shared" si="6"/>
        <v>1552</v>
      </c>
      <c r="B1566" s="564" t="s">
        <v>303</v>
      </c>
      <c r="C1566" s="327"/>
      <c r="D1566" s="565" t="s">
        <v>307</v>
      </c>
      <c r="E1566" s="327"/>
      <c r="F1566" s="537" t="s">
        <v>334</v>
      </c>
      <c r="G1566" s="327"/>
      <c r="H1566" s="553" t="s">
        <v>334</v>
      </c>
      <c r="I1566" s="327"/>
      <c r="J1566" s="567"/>
      <c r="K1566" s="327"/>
      <c r="L1566" s="567"/>
      <c r="M1566" s="327"/>
      <c r="N1566" s="23"/>
      <c r="O1566" s="24"/>
      <c r="P1566" s="563"/>
      <c r="Q1566" s="327"/>
      <c r="R1566" s="516"/>
      <c r="S1566" s="327"/>
      <c r="T1566" s="517"/>
      <c r="U1566" s="327"/>
      <c r="V1566" s="518"/>
      <c r="W1566" s="327"/>
      <c r="X1566" s="438" t="s">
        <v>303</v>
      </c>
      <c r="Y1566" s="326"/>
      <c r="Z1566" s="326"/>
      <c r="AA1566" s="327"/>
      <c r="AB1566" s="519" t="s">
        <v>303</v>
      </c>
      <c r="AC1566" s="326"/>
      <c r="AD1566" s="326"/>
      <c r="AE1566" s="327"/>
      <c r="AF1566" s="520"/>
      <c r="AG1566" s="327"/>
      <c r="AH1566" s="520"/>
      <c r="AI1566" s="327"/>
      <c r="AJ1566" s="536"/>
      <c r="AK1566" s="327"/>
      <c r="AL1566" s="556" t="s">
        <v>334</v>
      </c>
      <c r="AM1566" s="327"/>
      <c r="AN1566" s="553" t="s">
        <v>334</v>
      </c>
      <c r="AO1566" s="327"/>
      <c r="AP1566" s="554"/>
      <c r="AQ1566" s="327"/>
      <c r="AR1566" s="555"/>
      <c r="AS1566" s="327"/>
      <c r="AT1566" s="549"/>
      <c r="AU1566" s="327"/>
      <c r="AV1566" s="553" t="s">
        <v>334</v>
      </c>
      <c r="AW1566" s="327"/>
      <c r="AX1566" s="521"/>
      <c r="AY1566" s="326"/>
      <c r="AZ1566" s="327"/>
      <c r="BA1566" s="536"/>
      <c r="BB1566" s="327"/>
      <c r="BC1566" s="22"/>
      <c r="BD1566" s="551" t="s">
        <v>334</v>
      </c>
      <c r="BE1566" s="327"/>
      <c r="BF1566" s="552"/>
      <c r="BG1566" s="326"/>
      <c r="BH1566" s="326"/>
      <c r="BI1566" s="327"/>
      <c r="BJ1566" s="451" t="s">
        <v>303</v>
      </c>
      <c r="BK1566" s="326"/>
      <c r="BL1566" s="326"/>
      <c r="BM1566" s="327"/>
      <c r="BN1566" s="558" t="s">
        <v>303</v>
      </c>
      <c r="BO1566" s="326"/>
      <c r="BP1566" s="326"/>
      <c r="BQ1566" s="326"/>
      <c r="BR1566" s="326"/>
      <c r="BS1566" s="326"/>
      <c r="BT1566" s="326"/>
      <c r="BU1566" s="326"/>
      <c r="BV1566" s="327"/>
    </row>
    <row r="1567" spans="1:74" ht="45" customHeight="1" x14ac:dyDescent="0.25">
      <c r="A1567" s="10">
        <f t="shared" si="6"/>
        <v>1553</v>
      </c>
      <c r="B1567" s="559" t="s">
        <v>303</v>
      </c>
      <c r="C1567" s="327"/>
      <c r="D1567" s="560" t="s">
        <v>307</v>
      </c>
      <c r="E1567" s="327"/>
      <c r="F1567" s="537" t="s">
        <v>334</v>
      </c>
      <c r="G1567" s="327"/>
      <c r="H1567" s="546" t="s">
        <v>334</v>
      </c>
      <c r="I1567" s="327"/>
      <c r="J1567" s="562"/>
      <c r="K1567" s="327"/>
      <c r="L1567" s="562"/>
      <c r="M1567" s="327"/>
      <c r="N1567" s="20"/>
      <c r="O1567" s="21"/>
      <c r="P1567" s="524"/>
      <c r="Q1567" s="327"/>
      <c r="R1567" s="538"/>
      <c r="S1567" s="327"/>
      <c r="T1567" s="539"/>
      <c r="U1567" s="327"/>
      <c r="V1567" s="540"/>
      <c r="W1567" s="327"/>
      <c r="X1567" s="541" t="s">
        <v>303</v>
      </c>
      <c r="Y1567" s="326"/>
      <c r="Z1567" s="326"/>
      <c r="AA1567" s="327"/>
      <c r="AB1567" s="542" t="s">
        <v>303</v>
      </c>
      <c r="AC1567" s="326"/>
      <c r="AD1567" s="326"/>
      <c r="AE1567" s="327"/>
      <c r="AF1567" s="543"/>
      <c r="AG1567" s="327"/>
      <c r="AH1567" s="543"/>
      <c r="AI1567" s="327"/>
      <c r="AJ1567" s="536"/>
      <c r="AK1567" s="327"/>
      <c r="AL1567" s="537" t="s">
        <v>334</v>
      </c>
      <c r="AM1567" s="327"/>
      <c r="AN1567" s="546" t="s">
        <v>334</v>
      </c>
      <c r="AO1567" s="327"/>
      <c r="AP1567" s="547"/>
      <c r="AQ1567" s="327"/>
      <c r="AR1567" s="548"/>
      <c r="AS1567" s="327"/>
      <c r="AT1567" s="549"/>
      <c r="AU1567" s="327"/>
      <c r="AV1567" s="546" t="s">
        <v>334</v>
      </c>
      <c r="AW1567" s="327"/>
      <c r="AX1567" s="521"/>
      <c r="AY1567" s="326"/>
      <c r="AZ1567" s="327"/>
      <c r="BA1567" s="550"/>
      <c r="BB1567" s="327"/>
      <c r="BC1567" s="25"/>
      <c r="BD1567" s="544" t="s">
        <v>334</v>
      </c>
      <c r="BE1567" s="327"/>
      <c r="BF1567" s="545"/>
      <c r="BG1567" s="326"/>
      <c r="BH1567" s="326"/>
      <c r="BI1567" s="327"/>
      <c r="BJ1567" s="557" t="s">
        <v>303</v>
      </c>
      <c r="BK1567" s="326"/>
      <c r="BL1567" s="326"/>
      <c r="BM1567" s="327"/>
      <c r="BN1567" s="558" t="s">
        <v>303</v>
      </c>
      <c r="BO1567" s="326"/>
      <c r="BP1567" s="326"/>
      <c r="BQ1567" s="326"/>
      <c r="BR1567" s="326"/>
      <c r="BS1567" s="326"/>
      <c r="BT1567" s="326"/>
      <c r="BU1567" s="326"/>
      <c r="BV1567" s="327"/>
    </row>
    <row r="1568" spans="1:74" ht="45" customHeight="1" x14ac:dyDescent="0.25">
      <c r="A1568" s="10">
        <f t="shared" si="6"/>
        <v>1554</v>
      </c>
      <c r="B1568" s="564" t="s">
        <v>303</v>
      </c>
      <c r="C1568" s="327"/>
      <c r="D1568" s="565" t="s">
        <v>307</v>
      </c>
      <c r="E1568" s="327"/>
      <c r="F1568" s="537" t="s">
        <v>334</v>
      </c>
      <c r="G1568" s="327"/>
      <c r="H1568" s="553" t="s">
        <v>334</v>
      </c>
      <c r="I1568" s="327"/>
      <c r="J1568" s="567"/>
      <c r="K1568" s="327"/>
      <c r="L1568" s="567"/>
      <c r="M1568" s="327"/>
      <c r="N1568" s="23"/>
      <c r="O1568" s="24"/>
      <c r="P1568" s="563"/>
      <c r="Q1568" s="327"/>
      <c r="R1568" s="516"/>
      <c r="S1568" s="327"/>
      <c r="T1568" s="517"/>
      <c r="U1568" s="327"/>
      <c r="V1568" s="518"/>
      <c r="W1568" s="327"/>
      <c r="X1568" s="438" t="s">
        <v>303</v>
      </c>
      <c r="Y1568" s="326"/>
      <c r="Z1568" s="326"/>
      <c r="AA1568" s="327"/>
      <c r="AB1568" s="519" t="s">
        <v>303</v>
      </c>
      <c r="AC1568" s="326"/>
      <c r="AD1568" s="326"/>
      <c r="AE1568" s="327"/>
      <c r="AF1568" s="520"/>
      <c r="AG1568" s="327"/>
      <c r="AH1568" s="520"/>
      <c r="AI1568" s="327"/>
      <c r="AJ1568" s="536"/>
      <c r="AK1568" s="327"/>
      <c r="AL1568" s="556" t="s">
        <v>334</v>
      </c>
      <c r="AM1568" s="327"/>
      <c r="AN1568" s="553" t="s">
        <v>334</v>
      </c>
      <c r="AO1568" s="327"/>
      <c r="AP1568" s="554"/>
      <c r="AQ1568" s="327"/>
      <c r="AR1568" s="555"/>
      <c r="AS1568" s="327"/>
      <c r="AT1568" s="549"/>
      <c r="AU1568" s="327"/>
      <c r="AV1568" s="553" t="s">
        <v>334</v>
      </c>
      <c r="AW1568" s="327"/>
      <c r="AX1568" s="521"/>
      <c r="AY1568" s="326"/>
      <c r="AZ1568" s="327"/>
      <c r="BA1568" s="536"/>
      <c r="BB1568" s="327"/>
      <c r="BC1568" s="22"/>
      <c r="BD1568" s="551" t="s">
        <v>334</v>
      </c>
      <c r="BE1568" s="327"/>
      <c r="BF1568" s="552"/>
      <c r="BG1568" s="326"/>
      <c r="BH1568" s="326"/>
      <c r="BI1568" s="327"/>
      <c r="BJ1568" s="451" t="s">
        <v>303</v>
      </c>
      <c r="BK1568" s="326"/>
      <c r="BL1568" s="326"/>
      <c r="BM1568" s="327"/>
      <c r="BN1568" s="558" t="s">
        <v>303</v>
      </c>
      <c r="BO1568" s="326"/>
      <c r="BP1568" s="326"/>
      <c r="BQ1568" s="326"/>
      <c r="BR1568" s="326"/>
      <c r="BS1568" s="326"/>
      <c r="BT1568" s="326"/>
      <c r="BU1568" s="326"/>
      <c r="BV1568" s="327"/>
    </row>
    <row r="1569" spans="1:74" ht="45" customHeight="1" x14ac:dyDescent="0.25">
      <c r="A1569" s="10">
        <f t="shared" si="6"/>
        <v>1555</v>
      </c>
      <c r="B1569" s="559" t="s">
        <v>303</v>
      </c>
      <c r="C1569" s="327"/>
      <c r="D1569" s="560" t="s">
        <v>307</v>
      </c>
      <c r="E1569" s="327"/>
      <c r="F1569" s="537" t="s">
        <v>334</v>
      </c>
      <c r="G1569" s="327"/>
      <c r="H1569" s="546" t="s">
        <v>334</v>
      </c>
      <c r="I1569" s="327"/>
      <c r="J1569" s="562"/>
      <c r="K1569" s="327"/>
      <c r="L1569" s="562"/>
      <c r="M1569" s="327"/>
      <c r="N1569" s="20"/>
      <c r="O1569" s="24"/>
      <c r="P1569" s="524"/>
      <c r="Q1569" s="327"/>
      <c r="R1569" s="538"/>
      <c r="S1569" s="327"/>
      <c r="T1569" s="539"/>
      <c r="U1569" s="327"/>
      <c r="V1569" s="540"/>
      <c r="W1569" s="327"/>
      <c r="X1569" s="541" t="s">
        <v>303</v>
      </c>
      <c r="Y1569" s="326"/>
      <c r="Z1569" s="326"/>
      <c r="AA1569" s="327"/>
      <c r="AB1569" s="542" t="s">
        <v>303</v>
      </c>
      <c r="AC1569" s="326"/>
      <c r="AD1569" s="326"/>
      <c r="AE1569" s="327"/>
      <c r="AF1569" s="543"/>
      <c r="AG1569" s="327"/>
      <c r="AH1569" s="543"/>
      <c r="AI1569" s="327"/>
      <c r="AJ1569" s="536"/>
      <c r="AK1569" s="327"/>
      <c r="AL1569" s="537" t="s">
        <v>334</v>
      </c>
      <c r="AM1569" s="327"/>
      <c r="AN1569" s="546" t="s">
        <v>334</v>
      </c>
      <c r="AO1569" s="327"/>
      <c r="AP1569" s="547"/>
      <c r="AQ1569" s="327"/>
      <c r="AR1569" s="548"/>
      <c r="AS1569" s="327"/>
      <c r="AT1569" s="568"/>
      <c r="AU1569" s="327"/>
      <c r="AV1569" s="546" t="s">
        <v>334</v>
      </c>
      <c r="AW1569" s="327"/>
      <c r="AX1569" s="521"/>
      <c r="AY1569" s="326"/>
      <c r="AZ1569" s="327"/>
      <c r="BA1569" s="550"/>
      <c r="BB1569" s="327"/>
      <c r="BC1569" s="25"/>
      <c r="BD1569" s="544" t="s">
        <v>334</v>
      </c>
      <c r="BE1569" s="327"/>
      <c r="BF1569" s="545"/>
      <c r="BG1569" s="326"/>
      <c r="BH1569" s="326"/>
      <c r="BI1569" s="327"/>
      <c r="BJ1569" s="557" t="s">
        <v>303</v>
      </c>
      <c r="BK1569" s="326"/>
      <c r="BL1569" s="326"/>
      <c r="BM1569" s="327"/>
      <c r="BN1569" s="558" t="s">
        <v>303</v>
      </c>
      <c r="BO1569" s="326"/>
      <c r="BP1569" s="326"/>
      <c r="BQ1569" s="326"/>
      <c r="BR1569" s="326"/>
      <c r="BS1569" s="326"/>
      <c r="BT1569" s="326"/>
      <c r="BU1569" s="326"/>
      <c r="BV1569" s="327"/>
    </row>
    <row r="1570" spans="1:74" ht="45" customHeight="1" x14ac:dyDescent="0.25">
      <c r="A1570" s="10">
        <f t="shared" si="6"/>
        <v>1556</v>
      </c>
      <c r="B1570" s="564" t="s">
        <v>303</v>
      </c>
      <c r="C1570" s="327"/>
      <c r="D1570" s="565" t="s">
        <v>307</v>
      </c>
      <c r="E1570" s="327"/>
      <c r="F1570" s="537" t="s">
        <v>334</v>
      </c>
      <c r="G1570" s="327"/>
      <c r="H1570" s="553" t="s">
        <v>334</v>
      </c>
      <c r="I1570" s="327"/>
      <c r="J1570" s="567"/>
      <c r="K1570" s="327"/>
      <c r="L1570" s="567"/>
      <c r="M1570" s="327"/>
      <c r="N1570" s="23"/>
      <c r="O1570" s="21"/>
      <c r="P1570" s="563"/>
      <c r="Q1570" s="327"/>
      <c r="R1570" s="516"/>
      <c r="S1570" s="327"/>
      <c r="T1570" s="517"/>
      <c r="U1570" s="327"/>
      <c r="V1570" s="518"/>
      <c r="W1570" s="327"/>
      <c r="X1570" s="438" t="s">
        <v>303</v>
      </c>
      <c r="Y1570" s="326"/>
      <c r="Z1570" s="326"/>
      <c r="AA1570" s="327"/>
      <c r="AB1570" s="519" t="s">
        <v>303</v>
      </c>
      <c r="AC1570" s="326"/>
      <c r="AD1570" s="326"/>
      <c r="AE1570" s="327"/>
      <c r="AF1570" s="520"/>
      <c r="AG1570" s="327"/>
      <c r="AH1570" s="520"/>
      <c r="AI1570" s="327"/>
      <c r="AJ1570" s="536"/>
      <c r="AK1570" s="327"/>
      <c r="AL1570" s="556" t="s">
        <v>334</v>
      </c>
      <c r="AM1570" s="327"/>
      <c r="AN1570" s="553" t="s">
        <v>334</v>
      </c>
      <c r="AO1570" s="327"/>
      <c r="AP1570" s="554"/>
      <c r="AQ1570" s="327"/>
      <c r="AR1570" s="555"/>
      <c r="AS1570" s="327"/>
      <c r="AT1570" s="549"/>
      <c r="AU1570" s="327"/>
      <c r="AV1570" s="553" t="s">
        <v>334</v>
      </c>
      <c r="AW1570" s="327"/>
      <c r="AX1570" s="521"/>
      <c r="AY1570" s="326"/>
      <c r="AZ1570" s="327"/>
      <c r="BA1570" s="536"/>
      <c r="BB1570" s="327"/>
      <c r="BC1570" s="22"/>
      <c r="BD1570" s="551" t="s">
        <v>334</v>
      </c>
      <c r="BE1570" s="327"/>
      <c r="BF1570" s="508"/>
      <c r="BG1570" s="326"/>
      <c r="BH1570" s="326"/>
      <c r="BI1570" s="327"/>
      <c r="BJ1570" s="451" t="s">
        <v>303</v>
      </c>
      <c r="BK1570" s="326"/>
      <c r="BL1570" s="326"/>
      <c r="BM1570" s="327"/>
      <c r="BN1570" s="558" t="s">
        <v>303</v>
      </c>
      <c r="BO1570" s="326"/>
      <c r="BP1570" s="326"/>
      <c r="BQ1570" s="326"/>
      <c r="BR1570" s="326"/>
      <c r="BS1570" s="326"/>
      <c r="BT1570" s="326"/>
      <c r="BU1570" s="326"/>
      <c r="BV1570" s="327"/>
    </row>
    <row r="1571" spans="1:74" ht="45" customHeight="1" x14ac:dyDescent="0.25">
      <c r="A1571" s="10">
        <f t="shared" si="6"/>
        <v>1557</v>
      </c>
      <c r="B1571" s="559" t="s">
        <v>303</v>
      </c>
      <c r="C1571" s="327"/>
      <c r="D1571" s="560" t="s">
        <v>307</v>
      </c>
      <c r="E1571" s="327"/>
      <c r="F1571" s="537" t="s">
        <v>334</v>
      </c>
      <c r="G1571" s="327"/>
      <c r="H1571" s="546" t="s">
        <v>334</v>
      </c>
      <c r="I1571" s="327"/>
      <c r="J1571" s="562"/>
      <c r="K1571" s="327"/>
      <c r="L1571" s="562"/>
      <c r="M1571" s="327"/>
      <c r="N1571" s="20"/>
      <c r="O1571" s="24"/>
      <c r="P1571" s="524"/>
      <c r="Q1571" s="327"/>
      <c r="R1571" s="538"/>
      <c r="S1571" s="327"/>
      <c r="T1571" s="539"/>
      <c r="U1571" s="327"/>
      <c r="V1571" s="540"/>
      <c r="W1571" s="327"/>
      <c r="X1571" s="541" t="s">
        <v>303</v>
      </c>
      <c r="Y1571" s="326"/>
      <c r="Z1571" s="326"/>
      <c r="AA1571" s="327"/>
      <c r="AB1571" s="542" t="s">
        <v>303</v>
      </c>
      <c r="AC1571" s="326"/>
      <c r="AD1571" s="326"/>
      <c r="AE1571" s="327"/>
      <c r="AF1571" s="543"/>
      <c r="AG1571" s="327"/>
      <c r="AH1571" s="543"/>
      <c r="AI1571" s="327"/>
      <c r="AJ1571" s="536"/>
      <c r="AK1571" s="327"/>
      <c r="AL1571" s="537" t="s">
        <v>334</v>
      </c>
      <c r="AM1571" s="327"/>
      <c r="AN1571" s="546" t="s">
        <v>334</v>
      </c>
      <c r="AO1571" s="327"/>
      <c r="AP1571" s="547"/>
      <c r="AQ1571" s="327"/>
      <c r="AR1571" s="548"/>
      <c r="AS1571" s="327"/>
      <c r="AT1571" s="568"/>
      <c r="AU1571" s="327"/>
      <c r="AV1571" s="546" t="s">
        <v>334</v>
      </c>
      <c r="AW1571" s="327"/>
      <c r="AX1571" s="521"/>
      <c r="AY1571" s="326"/>
      <c r="AZ1571" s="327"/>
      <c r="BA1571" s="550"/>
      <c r="BB1571" s="327"/>
      <c r="BC1571" s="25"/>
      <c r="BD1571" s="544" t="s">
        <v>334</v>
      </c>
      <c r="BE1571" s="327"/>
      <c r="BF1571" s="545"/>
      <c r="BG1571" s="326"/>
      <c r="BH1571" s="326"/>
      <c r="BI1571" s="327"/>
      <c r="BJ1571" s="557" t="s">
        <v>303</v>
      </c>
      <c r="BK1571" s="326"/>
      <c r="BL1571" s="326"/>
      <c r="BM1571" s="327"/>
      <c r="BN1571" s="558" t="s">
        <v>303</v>
      </c>
      <c r="BO1571" s="326"/>
      <c r="BP1571" s="326"/>
      <c r="BQ1571" s="326"/>
      <c r="BR1571" s="326"/>
      <c r="BS1571" s="326"/>
      <c r="BT1571" s="326"/>
      <c r="BU1571" s="326"/>
      <c r="BV1571" s="327"/>
    </row>
    <row r="1572" spans="1:74" ht="45" customHeight="1" x14ac:dyDescent="0.25">
      <c r="A1572" s="10">
        <f t="shared" si="6"/>
        <v>1558</v>
      </c>
      <c r="B1572" s="564" t="s">
        <v>303</v>
      </c>
      <c r="C1572" s="327"/>
      <c r="D1572" s="565" t="s">
        <v>307</v>
      </c>
      <c r="E1572" s="327"/>
      <c r="F1572" s="537" t="s">
        <v>334</v>
      </c>
      <c r="G1572" s="327"/>
      <c r="H1572" s="553" t="s">
        <v>334</v>
      </c>
      <c r="I1572" s="327"/>
      <c r="J1572" s="567"/>
      <c r="K1572" s="327"/>
      <c r="L1572" s="567"/>
      <c r="M1572" s="327"/>
      <c r="N1572" s="23"/>
      <c r="O1572" s="21"/>
      <c r="P1572" s="563"/>
      <c r="Q1572" s="327"/>
      <c r="R1572" s="516"/>
      <c r="S1572" s="327"/>
      <c r="T1572" s="517"/>
      <c r="U1572" s="327"/>
      <c r="V1572" s="518"/>
      <c r="W1572" s="327"/>
      <c r="X1572" s="438" t="s">
        <v>303</v>
      </c>
      <c r="Y1572" s="326"/>
      <c r="Z1572" s="326"/>
      <c r="AA1572" s="327"/>
      <c r="AB1572" s="519" t="s">
        <v>303</v>
      </c>
      <c r="AC1572" s="326"/>
      <c r="AD1572" s="326"/>
      <c r="AE1572" s="327"/>
      <c r="AF1572" s="520"/>
      <c r="AG1572" s="327"/>
      <c r="AH1572" s="520"/>
      <c r="AI1572" s="327"/>
      <c r="AJ1572" s="536"/>
      <c r="AK1572" s="327"/>
      <c r="AL1572" s="556" t="s">
        <v>334</v>
      </c>
      <c r="AM1572" s="327"/>
      <c r="AN1572" s="553" t="s">
        <v>334</v>
      </c>
      <c r="AO1572" s="327"/>
      <c r="AP1572" s="554"/>
      <c r="AQ1572" s="327"/>
      <c r="AR1572" s="555"/>
      <c r="AS1572" s="327"/>
      <c r="AT1572" s="549"/>
      <c r="AU1572" s="327"/>
      <c r="AV1572" s="553" t="s">
        <v>334</v>
      </c>
      <c r="AW1572" s="327"/>
      <c r="AX1572" s="521"/>
      <c r="AY1572" s="326"/>
      <c r="AZ1572" s="327"/>
      <c r="BA1572" s="536"/>
      <c r="BB1572" s="327"/>
      <c r="BC1572" s="22"/>
      <c r="BD1572" s="551" t="s">
        <v>334</v>
      </c>
      <c r="BE1572" s="327"/>
      <c r="BF1572" s="552"/>
      <c r="BG1572" s="326"/>
      <c r="BH1572" s="326"/>
      <c r="BI1572" s="327"/>
      <c r="BJ1572" s="451" t="s">
        <v>303</v>
      </c>
      <c r="BK1572" s="326"/>
      <c r="BL1572" s="326"/>
      <c r="BM1572" s="327"/>
      <c r="BN1572" s="558" t="s">
        <v>303</v>
      </c>
      <c r="BO1572" s="326"/>
      <c r="BP1572" s="326"/>
      <c r="BQ1572" s="326"/>
      <c r="BR1572" s="326"/>
      <c r="BS1572" s="326"/>
      <c r="BT1572" s="326"/>
      <c r="BU1572" s="326"/>
      <c r="BV1572" s="327"/>
    </row>
    <row r="1573" spans="1:74" ht="45" customHeight="1" x14ac:dyDescent="0.25">
      <c r="A1573" s="10">
        <f t="shared" si="6"/>
        <v>1559</v>
      </c>
      <c r="B1573" s="559" t="s">
        <v>303</v>
      </c>
      <c r="C1573" s="327"/>
      <c r="D1573" s="560" t="s">
        <v>307</v>
      </c>
      <c r="E1573" s="327"/>
      <c r="F1573" s="537" t="s">
        <v>334</v>
      </c>
      <c r="G1573" s="327"/>
      <c r="H1573" s="546" t="s">
        <v>334</v>
      </c>
      <c r="I1573" s="327"/>
      <c r="J1573" s="562"/>
      <c r="K1573" s="327"/>
      <c r="L1573" s="562"/>
      <c r="M1573" s="327"/>
      <c r="N1573" s="20"/>
      <c r="O1573" s="24"/>
      <c r="P1573" s="524"/>
      <c r="Q1573" s="327"/>
      <c r="R1573" s="538"/>
      <c r="S1573" s="327"/>
      <c r="T1573" s="539"/>
      <c r="U1573" s="327"/>
      <c r="V1573" s="540"/>
      <c r="W1573" s="327"/>
      <c r="X1573" s="541" t="s">
        <v>303</v>
      </c>
      <c r="Y1573" s="326"/>
      <c r="Z1573" s="326"/>
      <c r="AA1573" s="327"/>
      <c r="AB1573" s="542" t="s">
        <v>303</v>
      </c>
      <c r="AC1573" s="326"/>
      <c r="AD1573" s="326"/>
      <c r="AE1573" s="327"/>
      <c r="AF1573" s="543"/>
      <c r="AG1573" s="327"/>
      <c r="AH1573" s="543"/>
      <c r="AI1573" s="327"/>
      <c r="AJ1573" s="536"/>
      <c r="AK1573" s="327"/>
      <c r="AL1573" s="537" t="s">
        <v>334</v>
      </c>
      <c r="AM1573" s="327"/>
      <c r="AN1573" s="546" t="s">
        <v>334</v>
      </c>
      <c r="AO1573" s="327"/>
      <c r="AP1573" s="547"/>
      <c r="AQ1573" s="327"/>
      <c r="AR1573" s="548"/>
      <c r="AS1573" s="327"/>
      <c r="AT1573" s="568"/>
      <c r="AU1573" s="327"/>
      <c r="AV1573" s="546" t="s">
        <v>334</v>
      </c>
      <c r="AW1573" s="327"/>
      <c r="AX1573" s="521"/>
      <c r="AY1573" s="326"/>
      <c r="AZ1573" s="327"/>
      <c r="BA1573" s="550"/>
      <c r="BB1573" s="327"/>
      <c r="BC1573" s="25"/>
      <c r="BD1573" s="544" t="s">
        <v>334</v>
      </c>
      <c r="BE1573" s="327"/>
      <c r="BF1573" s="545"/>
      <c r="BG1573" s="326"/>
      <c r="BH1573" s="326"/>
      <c r="BI1573" s="327"/>
      <c r="BJ1573" s="557" t="s">
        <v>303</v>
      </c>
      <c r="BK1573" s="326"/>
      <c r="BL1573" s="326"/>
      <c r="BM1573" s="327"/>
      <c r="BN1573" s="558" t="s">
        <v>303</v>
      </c>
      <c r="BO1573" s="326"/>
      <c r="BP1573" s="326"/>
      <c r="BQ1573" s="326"/>
      <c r="BR1573" s="326"/>
      <c r="BS1573" s="326"/>
      <c r="BT1573" s="326"/>
      <c r="BU1573" s="326"/>
      <c r="BV1573" s="327"/>
    </row>
    <row r="1574" spans="1:74" ht="45" customHeight="1" x14ac:dyDescent="0.25">
      <c r="A1574" s="10">
        <f t="shared" si="6"/>
        <v>1560</v>
      </c>
      <c r="B1574" s="564" t="s">
        <v>303</v>
      </c>
      <c r="C1574" s="327"/>
      <c r="D1574" s="565" t="s">
        <v>307</v>
      </c>
      <c r="E1574" s="327"/>
      <c r="F1574" s="537" t="s">
        <v>334</v>
      </c>
      <c r="G1574" s="327"/>
      <c r="H1574" s="553" t="s">
        <v>334</v>
      </c>
      <c r="I1574" s="327"/>
      <c r="J1574" s="567"/>
      <c r="K1574" s="327"/>
      <c r="L1574" s="567"/>
      <c r="M1574" s="327"/>
      <c r="N1574" s="23"/>
      <c r="O1574" s="21"/>
      <c r="P1574" s="563"/>
      <c r="Q1574" s="327"/>
      <c r="R1574" s="516"/>
      <c r="S1574" s="327"/>
      <c r="T1574" s="517"/>
      <c r="U1574" s="327"/>
      <c r="V1574" s="518"/>
      <c r="W1574" s="327"/>
      <c r="X1574" s="438" t="s">
        <v>303</v>
      </c>
      <c r="Y1574" s="326"/>
      <c r="Z1574" s="326"/>
      <c r="AA1574" s="327"/>
      <c r="AB1574" s="519" t="s">
        <v>303</v>
      </c>
      <c r="AC1574" s="326"/>
      <c r="AD1574" s="326"/>
      <c r="AE1574" s="327"/>
      <c r="AF1574" s="520"/>
      <c r="AG1574" s="327"/>
      <c r="AH1574" s="520"/>
      <c r="AI1574" s="327"/>
      <c r="AJ1574" s="536"/>
      <c r="AK1574" s="327"/>
      <c r="AL1574" s="556" t="s">
        <v>334</v>
      </c>
      <c r="AM1574" s="327"/>
      <c r="AN1574" s="553" t="s">
        <v>334</v>
      </c>
      <c r="AO1574" s="327"/>
      <c r="AP1574" s="554"/>
      <c r="AQ1574" s="327"/>
      <c r="AR1574" s="555"/>
      <c r="AS1574" s="327"/>
      <c r="AT1574" s="549"/>
      <c r="AU1574" s="327"/>
      <c r="AV1574" s="553" t="s">
        <v>334</v>
      </c>
      <c r="AW1574" s="327"/>
      <c r="AX1574" s="521"/>
      <c r="AY1574" s="326"/>
      <c r="AZ1574" s="327"/>
      <c r="BA1574" s="536"/>
      <c r="BB1574" s="327"/>
      <c r="BC1574" s="22"/>
      <c r="BD1574" s="551" t="s">
        <v>334</v>
      </c>
      <c r="BE1574" s="327"/>
      <c r="BF1574" s="552"/>
      <c r="BG1574" s="326"/>
      <c r="BH1574" s="326"/>
      <c r="BI1574" s="327"/>
      <c r="BJ1574" s="451" t="s">
        <v>303</v>
      </c>
      <c r="BK1574" s="326"/>
      <c r="BL1574" s="326"/>
      <c r="BM1574" s="327"/>
      <c r="BN1574" s="558" t="s">
        <v>303</v>
      </c>
      <c r="BO1574" s="326"/>
      <c r="BP1574" s="326"/>
      <c r="BQ1574" s="326"/>
      <c r="BR1574" s="326"/>
      <c r="BS1574" s="326"/>
      <c r="BT1574" s="326"/>
      <c r="BU1574" s="326"/>
      <c r="BV1574" s="327"/>
    </row>
    <row r="1575" spans="1:74" ht="45" customHeight="1" x14ac:dyDescent="0.25">
      <c r="A1575" s="10">
        <f t="shared" si="6"/>
        <v>1561</v>
      </c>
      <c r="B1575" s="559" t="s">
        <v>303</v>
      </c>
      <c r="C1575" s="327"/>
      <c r="D1575" s="560" t="s">
        <v>307</v>
      </c>
      <c r="E1575" s="327"/>
      <c r="F1575" s="537" t="s">
        <v>334</v>
      </c>
      <c r="G1575" s="327"/>
      <c r="H1575" s="546" t="s">
        <v>334</v>
      </c>
      <c r="I1575" s="327"/>
      <c r="J1575" s="562"/>
      <c r="K1575" s="327"/>
      <c r="L1575" s="562"/>
      <c r="M1575" s="327"/>
      <c r="N1575" s="20"/>
      <c r="O1575" s="24"/>
      <c r="P1575" s="524"/>
      <c r="Q1575" s="327"/>
      <c r="R1575" s="538"/>
      <c r="S1575" s="327"/>
      <c r="T1575" s="539"/>
      <c r="U1575" s="327"/>
      <c r="V1575" s="540"/>
      <c r="W1575" s="327"/>
      <c r="X1575" s="541" t="s">
        <v>303</v>
      </c>
      <c r="Y1575" s="326"/>
      <c r="Z1575" s="326"/>
      <c r="AA1575" s="327"/>
      <c r="AB1575" s="542" t="s">
        <v>303</v>
      </c>
      <c r="AC1575" s="326"/>
      <c r="AD1575" s="326"/>
      <c r="AE1575" s="327"/>
      <c r="AF1575" s="543"/>
      <c r="AG1575" s="327"/>
      <c r="AH1575" s="543"/>
      <c r="AI1575" s="327"/>
      <c r="AJ1575" s="536"/>
      <c r="AK1575" s="327"/>
      <c r="AL1575" s="537" t="s">
        <v>334</v>
      </c>
      <c r="AM1575" s="327"/>
      <c r="AN1575" s="546" t="s">
        <v>334</v>
      </c>
      <c r="AO1575" s="327"/>
      <c r="AP1575" s="547"/>
      <c r="AQ1575" s="327"/>
      <c r="AR1575" s="548"/>
      <c r="AS1575" s="327"/>
      <c r="AT1575" s="568"/>
      <c r="AU1575" s="327"/>
      <c r="AV1575" s="546" t="s">
        <v>334</v>
      </c>
      <c r="AW1575" s="327"/>
      <c r="AX1575" s="521"/>
      <c r="AY1575" s="326"/>
      <c r="AZ1575" s="327"/>
      <c r="BA1575" s="550"/>
      <c r="BB1575" s="327"/>
      <c r="BC1575" s="25"/>
      <c r="BD1575" s="544" t="s">
        <v>334</v>
      </c>
      <c r="BE1575" s="327"/>
      <c r="BF1575" s="545"/>
      <c r="BG1575" s="326"/>
      <c r="BH1575" s="326"/>
      <c r="BI1575" s="327"/>
      <c r="BJ1575" s="557" t="s">
        <v>303</v>
      </c>
      <c r="BK1575" s="326"/>
      <c r="BL1575" s="326"/>
      <c r="BM1575" s="327"/>
      <c r="BN1575" s="558" t="s">
        <v>303</v>
      </c>
      <c r="BO1575" s="326"/>
      <c r="BP1575" s="326"/>
      <c r="BQ1575" s="326"/>
      <c r="BR1575" s="326"/>
      <c r="BS1575" s="326"/>
      <c r="BT1575" s="326"/>
      <c r="BU1575" s="326"/>
      <c r="BV1575" s="327"/>
    </row>
    <row r="1576" spans="1:74" ht="45" customHeight="1" x14ac:dyDescent="0.25">
      <c r="A1576" s="10">
        <f t="shared" si="6"/>
        <v>1562</v>
      </c>
      <c r="B1576" s="564" t="s">
        <v>303</v>
      </c>
      <c r="C1576" s="327"/>
      <c r="D1576" s="565" t="s">
        <v>307</v>
      </c>
      <c r="E1576" s="327"/>
      <c r="F1576" s="537" t="s">
        <v>334</v>
      </c>
      <c r="G1576" s="327"/>
      <c r="H1576" s="553" t="s">
        <v>334</v>
      </c>
      <c r="I1576" s="327"/>
      <c r="J1576" s="567"/>
      <c r="K1576" s="327"/>
      <c r="L1576" s="567"/>
      <c r="M1576" s="327"/>
      <c r="N1576" s="23"/>
      <c r="O1576" s="21"/>
      <c r="P1576" s="563"/>
      <c r="Q1576" s="327"/>
      <c r="R1576" s="516"/>
      <c r="S1576" s="327"/>
      <c r="T1576" s="517"/>
      <c r="U1576" s="327"/>
      <c r="V1576" s="518"/>
      <c r="W1576" s="327"/>
      <c r="X1576" s="438" t="s">
        <v>303</v>
      </c>
      <c r="Y1576" s="326"/>
      <c r="Z1576" s="326"/>
      <c r="AA1576" s="327"/>
      <c r="AB1576" s="519" t="s">
        <v>303</v>
      </c>
      <c r="AC1576" s="326"/>
      <c r="AD1576" s="326"/>
      <c r="AE1576" s="327"/>
      <c r="AF1576" s="520"/>
      <c r="AG1576" s="327"/>
      <c r="AH1576" s="520"/>
      <c r="AI1576" s="327"/>
      <c r="AJ1576" s="536"/>
      <c r="AK1576" s="327"/>
      <c r="AL1576" s="556" t="s">
        <v>334</v>
      </c>
      <c r="AM1576" s="327"/>
      <c r="AN1576" s="553" t="s">
        <v>334</v>
      </c>
      <c r="AO1576" s="327"/>
      <c r="AP1576" s="554"/>
      <c r="AQ1576" s="327"/>
      <c r="AR1576" s="555"/>
      <c r="AS1576" s="327"/>
      <c r="AT1576" s="549"/>
      <c r="AU1576" s="327"/>
      <c r="AV1576" s="553" t="s">
        <v>334</v>
      </c>
      <c r="AW1576" s="327"/>
      <c r="AX1576" s="521"/>
      <c r="AY1576" s="326"/>
      <c r="AZ1576" s="327"/>
      <c r="BA1576" s="536"/>
      <c r="BB1576" s="327"/>
      <c r="BC1576" s="22"/>
      <c r="BD1576" s="551" t="s">
        <v>334</v>
      </c>
      <c r="BE1576" s="327"/>
      <c r="BF1576" s="508"/>
      <c r="BG1576" s="326"/>
      <c r="BH1576" s="326"/>
      <c r="BI1576" s="327"/>
      <c r="BJ1576" s="451" t="s">
        <v>303</v>
      </c>
      <c r="BK1576" s="326"/>
      <c r="BL1576" s="326"/>
      <c r="BM1576" s="327"/>
      <c r="BN1576" s="558" t="s">
        <v>303</v>
      </c>
      <c r="BO1576" s="326"/>
      <c r="BP1576" s="326"/>
      <c r="BQ1576" s="326"/>
      <c r="BR1576" s="326"/>
      <c r="BS1576" s="326"/>
      <c r="BT1576" s="326"/>
      <c r="BU1576" s="326"/>
      <c r="BV1576" s="327"/>
    </row>
    <row r="1577" spans="1:74" ht="45" customHeight="1" x14ac:dyDescent="0.25">
      <c r="A1577" s="10">
        <f t="shared" si="6"/>
        <v>1563</v>
      </c>
      <c r="B1577" s="559" t="s">
        <v>303</v>
      </c>
      <c r="C1577" s="327"/>
      <c r="D1577" s="560" t="s">
        <v>307</v>
      </c>
      <c r="E1577" s="327"/>
      <c r="F1577" s="537" t="s">
        <v>334</v>
      </c>
      <c r="G1577" s="327"/>
      <c r="H1577" s="546" t="s">
        <v>334</v>
      </c>
      <c r="I1577" s="327"/>
      <c r="J1577" s="562"/>
      <c r="K1577" s="327"/>
      <c r="L1577" s="562"/>
      <c r="M1577" s="327"/>
      <c r="N1577" s="20"/>
      <c r="O1577" s="24"/>
      <c r="P1577" s="524"/>
      <c r="Q1577" s="327"/>
      <c r="R1577" s="538"/>
      <c r="S1577" s="327"/>
      <c r="T1577" s="539"/>
      <c r="U1577" s="327"/>
      <c r="V1577" s="540"/>
      <c r="W1577" s="327"/>
      <c r="X1577" s="541" t="s">
        <v>303</v>
      </c>
      <c r="Y1577" s="326"/>
      <c r="Z1577" s="326"/>
      <c r="AA1577" s="327"/>
      <c r="AB1577" s="542" t="s">
        <v>303</v>
      </c>
      <c r="AC1577" s="326"/>
      <c r="AD1577" s="326"/>
      <c r="AE1577" s="327"/>
      <c r="AF1577" s="543"/>
      <c r="AG1577" s="327"/>
      <c r="AH1577" s="543"/>
      <c r="AI1577" s="327"/>
      <c r="AJ1577" s="536"/>
      <c r="AK1577" s="327"/>
      <c r="AL1577" s="537" t="s">
        <v>334</v>
      </c>
      <c r="AM1577" s="327"/>
      <c r="AN1577" s="546" t="s">
        <v>334</v>
      </c>
      <c r="AO1577" s="327"/>
      <c r="AP1577" s="547"/>
      <c r="AQ1577" s="327"/>
      <c r="AR1577" s="548"/>
      <c r="AS1577" s="327"/>
      <c r="AT1577" s="568"/>
      <c r="AU1577" s="327"/>
      <c r="AV1577" s="546" t="s">
        <v>334</v>
      </c>
      <c r="AW1577" s="327"/>
      <c r="AX1577" s="521"/>
      <c r="AY1577" s="326"/>
      <c r="AZ1577" s="327"/>
      <c r="BA1577" s="550"/>
      <c r="BB1577" s="327"/>
      <c r="BC1577" s="25"/>
      <c r="BD1577" s="544" t="s">
        <v>334</v>
      </c>
      <c r="BE1577" s="327"/>
      <c r="BF1577" s="545"/>
      <c r="BG1577" s="326"/>
      <c r="BH1577" s="326"/>
      <c r="BI1577" s="327"/>
      <c r="BJ1577" s="557" t="s">
        <v>303</v>
      </c>
      <c r="BK1577" s="326"/>
      <c r="BL1577" s="326"/>
      <c r="BM1577" s="327"/>
      <c r="BN1577" s="558" t="s">
        <v>303</v>
      </c>
      <c r="BO1577" s="326"/>
      <c r="BP1577" s="326"/>
      <c r="BQ1577" s="326"/>
      <c r="BR1577" s="326"/>
      <c r="BS1577" s="326"/>
      <c r="BT1577" s="326"/>
      <c r="BU1577" s="326"/>
      <c r="BV1577" s="327"/>
    </row>
    <row r="1578" spans="1:74" ht="45" customHeight="1" x14ac:dyDescent="0.25">
      <c r="A1578" s="10">
        <f t="shared" si="6"/>
        <v>1564</v>
      </c>
      <c r="B1578" s="564" t="s">
        <v>303</v>
      </c>
      <c r="C1578" s="327"/>
      <c r="D1578" s="565" t="s">
        <v>307</v>
      </c>
      <c r="E1578" s="327"/>
      <c r="F1578" s="537" t="s">
        <v>334</v>
      </c>
      <c r="G1578" s="327"/>
      <c r="H1578" s="553" t="s">
        <v>334</v>
      </c>
      <c r="I1578" s="327"/>
      <c r="J1578" s="567"/>
      <c r="K1578" s="327"/>
      <c r="L1578" s="567"/>
      <c r="M1578" s="327"/>
      <c r="N1578" s="23"/>
      <c r="O1578" s="21"/>
      <c r="P1578" s="563"/>
      <c r="Q1578" s="327"/>
      <c r="R1578" s="516"/>
      <c r="S1578" s="327"/>
      <c r="T1578" s="517"/>
      <c r="U1578" s="327"/>
      <c r="V1578" s="518"/>
      <c r="W1578" s="327"/>
      <c r="X1578" s="438" t="s">
        <v>303</v>
      </c>
      <c r="Y1578" s="326"/>
      <c r="Z1578" s="326"/>
      <c r="AA1578" s="327"/>
      <c r="AB1578" s="519" t="s">
        <v>303</v>
      </c>
      <c r="AC1578" s="326"/>
      <c r="AD1578" s="326"/>
      <c r="AE1578" s="327"/>
      <c r="AF1578" s="520"/>
      <c r="AG1578" s="327"/>
      <c r="AH1578" s="520"/>
      <c r="AI1578" s="327"/>
      <c r="AJ1578" s="536"/>
      <c r="AK1578" s="327"/>
      <c r="AL1578" s="556" t="s">
        <v>334</v>
      </c>
      <c r="AM1578" s="327"/>
      <c r="AN1578" s="553" t="s">
        <v>334</v>
      </c>
      <c r="AO1578" s="327"/>
      <c r="AP1578" s="554"/>
      <c r="AQ1578" s="327"/>
      <c r="AR1578" s="555"/>
      <c r="AS1578" s="327"/>
      <c r="AT1578" s="549"/>
      <c r="AU1578" s="327"/>
      <c r="AV1578" s="553" t="s">
        <v>334</v>
      </c>
      <c r="AW1578" s="327"/>
      <c r="AX1578" s="521"/>
      <c r="AY1578" s="326"/>
      <c r="AZ1578" s="327"/>
      <c r="BA1578" s="536"/>
      <c r="BB1578" s="327"/>
      <c r="BC1578" s="22"/>
      <c r="BD1578" s="551" t="s">
        <v>334</v>
      </c>
      <c r="BE1578" s="327"/>
      <c r="BF1578" s="552"/>
      <c r="BG1578" s="326"/>
      <c r="BH1578" s="326"/>
      <c r="BI1578" s="327"/>
      <c r="BJ1578" s="451" t="s">
        <v>303</v>
      </c>
      <c r="BK1578" s="326"/>
      <c r="BL1578" s="326"/>
      <c r="BM1578" s="327"/>
      <c r="BN1578" s="558" t="s">
        <v>303</v>
      </c>
      <c r="BO1578" s="326"/>
      <c r="BP1578" s="326"/>
      <c r="BQ1578" s="326"/>
      <c r="BR1578" s="326"/>
      <c r="BS1578" s="326"/>
      <c r="BT1578" s="326"/>
      <c r="BU1578" s="326"/>
      <c r="BV1578" s="327"/>
    </row>
    <row r="1579" spans="1:74" ht="45" customHeight="1" x14ac:dyDescent="0.25">
      <c r="A1579" s="10">
        <f t="shared" si="6"/>
        <v>1565</v>
      </c>
      <c r="B1579" s="559" t="s">
        <v>303</v>
      </c>
      <c r="C1579" s="327"/>
      <c r="D1579" s="560" t="s">
        <v>307</v>
      </c>
      <c r="E1579" s="327"/>
      <c r="F1579" s="537" t="s">
        <v>334</v>
      </c>
      <c r="G1579" s="327"/>
      <c r="H1579" s="546" t="s">
        <v>334</v>
      </c>
      <c r="I1579" s="327"/>
      <c r="J1579" s="562"/>
      <c r="K1579" s="327"/>
      <c r="L1579" s="562"/>
      <c r="M1579" s="327"/>
      <c r="N1579" s="23"/>
      <c r="O1579" s="24"/>
      <c r="P1579" s="563"/>
      <c r="Q1579" s="327"/>
      <c r="R1579" s="538"/>
      <c r="S1579" s="327"/>
      <c r="T1579" s="539"/>
      <c r="U1579" s="327"/>
      <c r="V1579" s="540"/>
      <c r="W1579" s="327"/>
      <c r="X1579" s="541" t="s">
        <v>303</v>
      </c>
      <c r="Y1579" s="326"/>
      <c r="Z1579" s="326"/>
      <c r="AA1579" s="327"/>
      <c r="AB1579" s="542" t="s">
        <v>303</v>
      </c>
      <c r="AC1579" s="326"/>
      <c r="AD1579" s="326"/>
      <c r="AE1579" s="327"/>
      <c r="AF1579" s="543"/>
      <c r="AG1579" s="327"/>
      <c r="AH1579" s="543"/>
      <c r="AI1579" s="327"/>
      <c r="AJ1579" s="536"/>
      <c r="AK1579" s="327"/>
      <c r="AL1579" s="537" t="s">
        <v>334</v>
      </c>
      <c r="AM1579" s="327"/>
      <c r="AN1579" s="546" t="s">
        <v>334</v>
      </c>
      <c r="AO1579" s="327"/>
      <c r="AP1579" s="547"/>
      <c r="AQ1579" s="327"/>
      <c r="AR1579" s="548"/>
      <c r="AS1579" s="327"/>
      <c r="AT1579" s="549"/>
      <c r="AU1579" s="327"/>
      <c r="AV1579" s="546" t="s">
        <v>334</v>
      </c>
      <c r="AW1579" s="327"/>
      <c r="AX1579" s="521"/>
      <c r="AY1579" s="326"/>
      <c r="AZ1579" s="327"/>
      <c r="BA1579" s="550"/>
      <c r="BB1579" s="327"/>
      <c r="BC1579" s="25"/>
      <c r="BD1579" s="544" t="s">
        <v>334</v>
      </c>
      <c r="BE1579" s="327"/>
      <c r="BF1579" s="545"/>
      <c r="BG1579" s="326"/>
      <c r="BH1579" s="326"/>
      <c r="BI1579" s="327"/>
      <c r="BJ1579" s="557" t="s">
        <v>303</v>
      </c>
      <c r="BK1579" s="326"/>
      <c r="BL1579" s="326"/>
      <c r="BM1579" s="327"/>
      <c r="BN1579" s="558" t="s">
        <v>303</v>
      </c>
      <c r="BO1579" s="326"/>
      <c r="BP1579" s="326"/>
      <c r="BQ1579" s="326"/>
      <c r="BR1579" s="326"/>
      <c r="BS1579" s="326"/>
      <c r="BT1579" s="326"/>
      <c r="BU1579" s="326"/>
      <c r="BV1579" s="327"/>
    </row>
    <row r="1580" spans="1:74" ht="45" customHeight="1" x14ac:dyDescent="0.25">
      <c r="A1580" s="10">
        <f t="shared" si="6"/>
        <v>1566</v>
      </c>
      <c r="B1580" s="564" t="s">
        <v>303</v>
      </c>
      <c r="C1580" s="327"/>
      <c r="D1580" s="565" t="s">
        <v>307</v>
      </c>
      <c r="E1580" s="327"/>
      <c r="F1580" s="537" t="s">
        <v>334</v>
      </c>
      <c r="G1580" s="327"/>
      <c r="H1580" s="553" t="s">
        <v>334</v>
      </c>
      <c r="I1580" s="327"/>
      <c r="J1580" s="567"/>
      <c r="K1580" s="327"/>
      <c r="L1580" s="567"/>
      <c r="M1580" s="327"/>
      <c r="N1580" s="20"/>
      <c r="O1580" s="21"/>
      <c r="P1580" s="524"/>
      <c r="Q1580" s="327"/>
      <c r="R1580" s="516"/>
      <c r="S1580" s="327"/>
      <c r="T1580" s="517"/>
      <c r="U1580" s="327"/>
      <c r="V1580" s="518"/>
      <c r="W1580" s="327"/>
      <c r="X1580" s="438" t="s">
        <v>303</v>
      </c>
      <c r="Y1580" s="326"/>
      <c r="Z1580" s="326"/>
      <c r="AA1580" s="327"/>
      <c r="AB1580" s="519" t="s">
        <v>303</v>
      </c>
      <c r="AC1580" s="326"/>
      <c r="AD1580" s="326"/>
      <c r="AE1580" s="327"/>
      <c r="AF1580" s="520"/>
      <c r="AG1580" s="327"/>
      <c r="AH1580" s="520"/>
      <c r="AI1580" s="327"/>
      <c r="AJ1580" s="536"/>
      <c r="AK1580" s="327"/>
      <c r="AL1580" s="556" t="s">
        <v>334</v>
      </c>
      <c r="AM1580" s="327"/>
      <c r="AN1580" s="553" t="s">
        <v>334</v>
      </c>
      <c r="AO1580" s="327"/>
      <c r="AP1580" s="554"/>
      <c r="AQ1580" s="327"/>
      <c r="AR1580" s="555"/>
      <c r="AS1580" s="327"/>
      <c r="AT1580" s="549"/>
      <c r="AU1580" s="327"/>
      <c r="AV1580" s="553" t="s">
        <v>334</v>
      </c>
      <c r="AW1580" s="327"/>
      <c r="AX1580" s="521"/>
      <c r="AY1580" s="326"/>
      <c r="AZ1580" s="327"/>
      <c r="BA1580" s="536"/>
      <c r="BB1580" s="327"/>
      <c r="BC1580" s="22"/>
      <c r="BD1580" s="551" t="s">
        <v>334</v>
      </c>
      <c r="BE1580" s="327"/>
      <c r="BF1580" s="552"/>
      <c r="BG1580" s="326"/>
      <c r="BH1580" s="326"/>
      <c r="BI1580" s="327"/>
      <c r="BJ1580" s="451" t="s">
        <v>303</v>
      </c>
      <c r="BK1580" s="326"/>
      <c r="BL1580" s="326"/>
      <c r="BM1580" s="327"/>
      <c r="BN1580" s="558" t="s">
        <v>303</v>
      </c>
      <c r="BO1580" s="326"/>
      <c r="BP1580" s="326"/>
      <c r="BQ1580" s="326"/>
      <c r="BR1580" s="326"/>
      <c r="BS1580" s="326"/>
      <c r="BT1580" s="326"/>
      <c r="BU1580" s="326"/>
      <c r="BV1580" s="327"/>
    </row>
    <row r="1581" spans="1:74" ht="45" customHeight="1" x14ac:dyDescent="0.25">
      <c r="A1581" s="10">
        <f t="shared" si="6"/>
        <v>1567</v>
      </c>
      <c r="B1581" s="559" t="s">
        <v>303</v>
      </c>
      <c r="C1581" s="327"/>
      <c r="D1581" s="560" t="s">
        <v>307</v>
      </c>
      <c r="E1581" s="327"/>
      <c r="F1581" s="537" t="s">
        <v>334</v>
      </c>
      <c r="G1581" s="327"/>
      <c r="H1581" s="546" t="s">
        <v>334</v>
      </c>
      <c r="I1581" s="327"/>
      <c r="J1581" s="562"/>
      <c r="K1581" s="327"/>
      <c r="L1581" s="562"/>
      <c r="M1581" s="327"/>
      <c r="N1581" s="23"/>
      <c r="O1581" s="24"/>
      <c r="P1581" s="563"/>
      <c r="Q1581" s="327"/>
      <c r="R1581" s="538"/>
      <c r="S1581" s="327"/>
      <c r="T1581" s="539"/>
      <c r="U1581" s="327"/>
      <c r="V1581" s="540"/>
      <c r="W1581" s="327"/>
      <c r="X1581" s="541" t="s">
        <v>303</v>
      </c>
      <c r="Y1581" s="326"/>
      <c r="Z1581" s="326"/>
      <c r="AA1581" s="327"/>
      <c r="AB1581" s="542" t="s">
        <v>303</v>
      </c>
      <c r="AC1581" s="326"/>
      <c r="AD1581" s="326"/>
      <c r="AE1581" s="327"/>
      <c r="AF1581" s="543"/>
      <c r="AG1581" s="327"/>
      <c r="AH1581" s="543"/>
      <c r="AI1581" s="327"/>
      <c r="AJ1581" s="536"/>
      <c r="AK1581" s="327"/>
      <c r="AL1581" s="537" t="s">
        <v>334</v>
      </c>
      <c r="AM1581" s="327"/>
      <c r="AN1581" s="546" t="s">
        <v>334</v>
      </c>
      <c r="AO1581" s="327"/>
      <c r="AP1581" s="547"/>
      <c r="AQ1581" s="327"/>
      <c r="AR1581" s="548"/>
      <c r="AS1581" s="327"/>
      <c r="AT1581" s="549"/>
      <c r="AU1581" s="327"/>
      <c r="AV1581" s="546" t="s">
        <v>334</v>
      </c>
      <c r="AW1581" s="327"/>
      <c r="AX1581" s="521"/>
      <c r="AY1581" s="326"/>
      <c r="AZ1581" s="327"/>
      <c r="BA1581" s="550"/>
      <c r="BB1581" s="327"/>
      <c r="BC1581" s="25"/>
      <c r="BD1581" s="544" t="s">
        <v>334</v>
      </c>
      <c r="BE1581" s="327"/>
      <c r="BF1581" s="545"/>
      <c r="BG1581" s="326"/>
      <c r="BH1581" s="326"/>
      <c r="BI1581" s="327"/>
      <c r="BJ1581" s="557" t="s">
        <v>303</v>
      </c>
      <c r="BK1581" s="326"/>
      <c r="BL1581" s="326"/>
      <c r="BM1581" s="327"/>
      <c r="BN1581" s="558" t="s">
        <v>303</v>
      </c>
      <c r="BO1581" s="326"/>
      <c r="BP1581" s="326"/>
      <c r="BQ1581" s="326"/>
      <c r="BR1581" s="326"/>
      <c r="BS1581" s="326"/>
      <c r="BT1581" s="326"/>
      <c r="BU1581" s="326"/>
      <c r="BV1581" s="327"/>
    </row>
    <row r="1582" spans="1:74" ht="45" customHeight="1" x14ac:dyDescent="0.25">
      <c r="A1582" s="10">
        <f t="shared" si="6"/>
        <v>1568</v>
      </c>
      <c r="B1582" s="564" t="s">
        <v>303</v>
      </c>
      <c r="C1582" s="327"/>
      <c r="D1582" s="565" t="s">
        <v>307</v>
      </c>
      <c r="E1582" s="327"/>
      <c r="F1582" s="537" t="s">
        <v>334</v>
      </c>
      <c r="G1582" s="327"/>
      <c r="H1582" s="553" t="s">
        <v>334</v>
      </c>
      <c r="I1582" s="327"/>
      <c r="J1582" s="567"/>
      <c r="K1582" s="327"/>
      <c r="L1582" s="567"/>
      <c r="M1582" s="327"/>
      <c r="N1582" s="20"/>
      <c r="O1582" s="21"/>
      <c r="P1582" s="524"/>
      <c r="Q1582" s="327"/>
      <c r="R1582" s="516"/>
      <c r="S1582" s="327"/>
      <c r="T1582" s="517"/>
      <c r="U1582" s="327"/>
      <c r="V1582" s="518"/>
      <c r="W1582" s="327"/>
      <c r="X1582" s="438" t="s">
        <v>303</v>
      </c>
      <c r="Y1582" s="326"/>
      <c r="Z1582" s="326"/>
      <c r="AA1582" s="327"/>
      <c r="AB1582" s="519" t="s">
        <v>303</v>
      </c>
      <c r="AC1582" s="326"/>
      <c r="AD1582" s="326"/>
      <c r="AE1582" s="327"/>
      <c r="AF1582" s="520"/>
      <c r="AG1582" s="327"/>
      <c r="AH1582" s="520"/>
      <c r="AI1582" s="327"/>
      <c r="AJ1582" s="536"/>
      <c r="AK1582" s="327"/>
      <c r="AL1582" s="556" t="s">
        <v>334</v>
      </c>
      <c r="AM1582" s="327"/>
      <c r="AN1582" s="553" t="s">
        <v>334</v>
      </c>
      <c r="AO1582" s="327"/>
      <c r="AP1582" s="554"/>
      <c r="AQ1582" s="327"/>
      <c r="AR1582" s="555"/>
      <c r="AS1582" s="327"/>
      <c r="AT1582" s="549"/>
      <c r="AU1582" s="327"/>
      <c r="AV1582" s="553" t="s">
        <v>334</v>
      </c>
      <c r="AW1582" s="327"/>
      <c r="AX1582" s="521"/>
      <c r="AY1582" s="326"/>
      <c r="AZ1582" s="327"/>
      <c r="BA1582" s="536"/>
      <c r="BB1582" s="327"/>
      <c r="BC1582" s="22"/>
      <c r="BD1582" s="551" t="s">
        <v>334</v>
      </c>
      <c r="BE1582" s="327"/>
      <c r="BF1582" s="552"/>
      <c r="BG1582" s="326"/>
      <c r="BH1582" s="326"/>
      <c r="BI1582" s="327"/>
      <c r="BJ1582" s="451" t="s">
        <v>303</v>
      </c>
      <c r="BK1582" s="326"/>
      <c r="BL1582" s="326"/>
      <c r="BM1582" s="327"/>
      <c r="BN1582" s="558" t="s">
        <v>303</v>
      </c>
      <c r="BO1582" s="326"/>
      <c r="BP1582" s="326"/>
      <c r="BQ1582" s="326"/>
      <c r="BR1582" s="326"/>
      <c r="BS1582" s="326"/>
      <c r="BT1582" s="326"/>
      <c r="BU1582" s="326"/>
      <c r="BV1582" s="327"/>
    </row>
    <row r="1583" spans="1:74" ht="45" customHeight="1" x14ac:dyDescent="0.25">
      <c r="A1583" s="10">
        <f t="shared" si="6"/>
        <v>1569</v>
      </c>
      <c r="B1583" s="559" t="s">
        <v>303</v>
      </c>
      <c r="C1583" s="327"/>
      <c r="D1583" s="560" t="s">
        <v>307</v>
      </c>
      <c r="E1583" s="327"/>
      <c r="F1583" s="537" t="s">
        <v>334</v>
      </c>
      <c r="G1583" s="327"/>
      <c r="H1583" s="546" t="s">
        <v>334</v>
      </c>
      <c r="I1583" s="327"/>
      <c r="J1583" s="562"/>
      <c r="K1583" s="327"/>
      <c r="L1583" s="562"/>
      <c r="M1583" s="327"/>
      <c r="N1583" s="23"/>
      <c r="O1583" s="24"/>
      <c r="P1583" s="563"/>
      <c r="Q1583" s="327"/>
      <c r="R1583" s="538"/>
      <c r="S1583" s="327"/>
      <c r="T1583" s="539"/>
      <c r="U1583" s="327"/>
      <c r="V1583" s="540"/>
      <c r="W1583" s="327"/>
      <c r="X1583" s="541" t="s">
        <v>303</v>
      </c>
      <c r="Y1583" s="326"/>
      <c r="Z1583" s="326"/>
      <c r="AA1583" s="327"/>
      <c r="AB1583" s="542" t="s">
        <v>303</v>
      </c>
      <c r="AC1583" s="326"/>
      <c r="AD1583" s="326"/>
      <c r="AE1583" s="327"/>
      <c r="AF1583" s="543"/>
      <c r="AG1583" s="327"/>
      <c r="AH1583" s="543"/>
      <c r="AI1583" s="327"/>
      <c r="AJ1583" s="536"/>
      <c r="AK1583" s="327"/>
      <c r="AL1583" s="537" t="s">
        <v>334</v>
      </c>
      <c r="AM1583" s="327"/>
      <c r="AN1583" s="546" t="s">
        <v>334</v>
      </c>
      <c r="AO1583" s="327"/>
      <c r="AP1583" s="547"/>
      <c r="AQ1583" s="327"/>
      <c r="AR1583" s="548"/>
      <c r="AS1583" s="327"/>
      <c r="AT1583" s="568"/>
      <c r="AU1583" s="327"/>
      <c r="AV1583" s="546" t="s">
        <v>334</v>
      </c>
      <c r="AW1583" s="327"/>
      <c r="AX1583" s="521"/>
      <c r="AY1583" s="326"/>
      <c r="AZ1583" s="327"/>
      <c r="BA1583" s="550"/>
      <c r="BB1583" s="327"/>
      <c r="BC1583" s="25"/>
      <c r="BD1583" s="544" t="s">
        <v>334</v>
      </c>
      <c r="BE1583" s="327"/>
      <c r="BF1583" s="545"/>
      <c r="BG1583" s="326"/>
      <c r="BH1583" s="326"/>
      <c r="BI1583" s="327"/>
      <c r="BJ1583" s="557" t="s">
        <v>303</v>
      </c>
      <c r="BK1583" s="326"/>
      <c r="BL1583" s="326"/>
      <c r="BM1583" s="327"/>
      <c r="BN1583" s="558" t="s">
        <v>303</v>
      </c>
      <c r="BO1583" s="326"/>
      <c r="BP1583" s="326"/>
      <c r="BQ1583" s="326"/>
      <c r="BR1583" s="326"/>
      <c r="BS1583" s="326"/>
      <c r="BT1583" s="326"/>
      <c r="BU1583" s="326"/>
      <c r="BV1583" s="327"/>
    </row>
    <row r="1584" spans="1:74" ht="45" customHeight="1" x14ac:dyDescent="0.25">
      <c r="A1584" s="10">
        <f t="shared" si="6"/>
        <v>1570</v>
      </c>
      <c r="B1584" s="564" t="s">
        <v>303</v>
      </c>
      <c r="C1584" s="327"/>
      <c r="D1584" s="565" t="s">
        <v>307</v>
      </c>
      <c r="E1584" s="327"/>
      <c r="F1584" s="537" t="s">
        <v>334</v>
      </c>
      <c r="G1584" s="327"/>
      <c r="H1584" s="553" t="s">
        <v>334</v>
      </c>
      <c r="I1584" s="327"/>
      <c r="J1584" s="567"/>
      <c r="K1584" s="327"/>
      <c r="L1584" s="567"/>
      <c r="M1584" s="327"/>
      <c r="N1584" s="20"/>
      <c r="O1584" s="21"/>
      <c r="P1584" s="524"/>
      <c r="Q1584" s="327"/>
      <c r="R1584" s="516"/>
      <c r="S1584" s="327"/>
      <c r="T1584" s="517"/>
      <c r="U1584" s="327"/>
      <c r="V1584" s="518"/>
      <c r="W1584" s="327"/>
      <c r="X1584" s="438" t="s">
        <v>303</v>
      </c>
      <c r="Y1584" s="326"/>
      <c r="Z1584" s="326"/>
      <c r="AA1584" s="327"/>
      <c r="AB1584" s="519" t="s">
        <v>303</v>
      </c>
      <c r="AC1584" s="326"/>
      <c r="AD1584" s="326"/>
      <c r="AE1584" s="327"/>
      <c r="AF1584" s="520"/>
      <c r="AG1584" s="327"/>
      <c r="AH1584" s="520"/>
      <c r="AI1584" s="327"/>
      <c r="AJ1584" s="536"/>
      <c r="AK1584" s="327"/>
      <c r="AL1584" s="556" t="s">
        <v>334</v>
      </c>
      <c r="AM1584" s="327"/>
      <c r="AN1584" s="553" t="s">
        <v>334</v>
      </c>
      <c r="AO1584" s="327"/>
      <c r="AP1584" s="554"/>
      <c r="AQ1584" s="327"/>
      <c r="AR1584" s="555"/>
      <c r="AS1584" s="327"/>
      <c r="AT1584" s="549"/>
      <c r="AU1584" s="327"/>
      <c r="AV1584" s="553" t="s">
        <v>334</v>
      </c>
      <c r="AW1584" s="327"/>
      <c r="AX1584" s="521"/>
      <c r="AY1584" s="326"/>
      <c r="AZ1584" s="327"/>
      <c r="BA1584" s="536"/>
      <c r="BB1584" s="327"/>
      <c r="BC1584" s="22"/>
      <c r="BD1584" s="551" t="s">
        <v>334</v>
      </c>
      <c r="BE1584" s="327"/>
      <c r="BF1584" s="508"/>
      <c r="BG1584" s="326"/>
      <c r="BH1584" s="326"/>
      <c r="BI1584" s="327"/>
      <c r="BJ1584" s="451" t="s">
        <v>303</v>
      </c>
      <c r="BK1584" s="326"/>
      <c r="BL1584" s="326"/>
      <c r="BM1584" s="327"/>
      <c r="BN1584" s="558" t="s">
        <v>303</v>
      </c>
      <c r="BO1584" s="326"/>
      <c r="BP1584" s="326"/>
      <c r="BQ1584" s="326"/>
      <c r="BR1584" s="326"/>
      <c r="BS1584" s="326"/>
      <c r="BT1584" s="326"/>
      <c r="BU1584" s="326"/>
      <c r="BV1584" s="327"/>
    </row>
    <row r="1585" spans="1:74" ht="45" customHeight="1" x14ac:dyDescent="0.25">
      <c r="A1585" s="10">
        <f t="shared" si="6"/>
        <v>1571</v>
      </c>
      <c r="B1585" s="559" t="s">
        <v>303</v>
      </c>
      <c r="C1585" s="327"/>
      <c r="D1585" s="560" t="s">
        <v>307</v>
      </c>
      <c r="E1585" s="327"/>
      <c r="F1585" s="537" t="s">
        <v>334</v>
      </c>
      <c r="G1585" s="327"/>
      <c r="H1585" s="546" t="s">
        <v>334</v>
      </c>
      <c r="I1585" s="327"/>
      <c r="J1585" s="562"/>
      <c r="K1585" s="327"/>
      <c r="L1585" s="562"/>
      <c r="M1585" s="327"/>
      <c r="N1585" s="23"/>
      <c r="O1585" s="24"/>
      <c r="P1585" s="563"/>
      <c r="Q1585" s="327"/>
      <c r="R1585" s="538"/>
      <c r="S1585" s="327"/>
      <c r="T1585" s="539"/>
      <c r="U1585" s="327"/>
      <c r="V1585" s="540"/>
      <c r="W1585" s="327"/>
      <c r="X1585" s="541" t="s">
        <v>303</v>
      </c>
      <c r="Y1585" s="326"/>
      <c r="Z1585" s="326"/>
      <c r="AA1585" s="327"/>
      <c r="AB1585" s="542" t="s">
        <v>303</v>
      </c>
      <c r="AC1585" s="326"/>
      <c r="AD1585" s="326"/>
      <c r="AE1585" s="327"/>
      <c r="AF1585" s="543"/>
      <c r="AG1585" s="327"/>
      <c r="AH1585" s="543"/>
      <c r="AI1585" s="327"/>
      <c r="AJ1585" s="536"/>
      <c r="AK1585" s="327"/>
      <c r="AL1585" s="537" t="s">
        <v>334</v>
      </c>
      <c r="AM1585" s="327"/>
      <c r="AN1585" s="546" t="s">
        <v>334</v>
      </c>
      <c r="AO1585" s="327"/>
      <c r="AP1585" s="547"/>
      <c r="AQ1585" s="327"/>
      <c r="AR1585" s="548"/>
      <c r="AS1585" s="327"/>
      <c r="AT1585" s="568"/>
      <c r="AU1585" s="327"/>
      <c r="AV1585" s="546" t="s">
        <v>334</v>
      </c>
      <c r="AW1585" s="327"/>
      <c r="AX1585" s="521"/>
      <c r="AY1585" s="326"/>
      <c r="AZ1585" s="327"/>
      <c r="BA1585" s="550"/>
      <c r="BB1585" s="327"/>
      <c r="BC1585" s="25"/>
      <c r="BD1585" s="544" t="s">
        <v>334</v>
      </c>
      <c r="BE1585" s="327"/>
      <c r="BF1585" s="545"/>
      <c r="BG1585" s="326"/>
      <c r="BH1585" s="326"/>
      <c r="BI1585" s="327"/>
      <c r="BJ1585" s="557" t="s">
        <v>303</v>
      </c>
      <c r="BK1585" s="326"/>
      <c r="BL1585" s="326"/>
      <c r="BM1585" s="327"/>
      <c r="BN1585" s="558" t="s">
        <v>303</v>
      </c>
      <c r="BO1585" s="326"/>
      <c r="BP1585" s="326"/>
      <c r="BQ1585" s="326"/>
      <c r="BR1585" s="326"/>
      <c r="BS1585" s="326"/>
      <c r="BT1585" s="326"/>
      <c r="BU1585" s="326"/>
      <c r="BV1585" s="327"/>
    </row>
    <row r="1586" spans="1:74" ht="45" customHeight="1" x14ac:dyDescent="0.25">
      <c r="A1586" s="10">
        <f t="shared" si="6"/>
        <v>1572</v>
      </c>
      <c r="B1586" s="564" t="s">
        <v>303</v>
      </c>
      <c r="C1586" s="327"/>
      <c r="D1586" s="565" t="s">
        <v>307</v>
      </c>
      <c r="E1586" s="327"/>
      <c r="F1586" s="537" t="s">
        <v>334</v>
      </c>
      <c r="G1586" s="327"/>
      <c r="H1586" s="553" t="s">
        <v>334</v>
      </c>
      <c r="I1586" s="327"/>
      <c r="J1586" s="567"/>
      <c r="K1586" s="327"/>
      <c r="L1586" s="567"/>
      <c r="M1586" s="327"/>
      <c r="N1586" s="20"/>
      <c r="O1586" s="21"/>
      <c r="P1586" s="524"/>
      <c r="Q1586" s="327"/>
      <c r="R1586" s="516"/>
      <c r="S1586" s="327"/>
      <c r="T1586" s="517"/>
      <c r="U1586" s="327"/>
      <c r="V1586" s="518"/>
      <c r="W1586" s="327"/>
      <c r="X1586" s="438" t="s">
        <v>303</v>
      </c>
      <c r="Y1586" s="326"/>
      <c r="Z1586" s="326"/>
      <c r="AA1586" s="327"/>
      <c r="AB1586" s="519" t="s">
        <v>303</v>
      </c>
      <c r="AC1586" s="326"/>
      <c r="AD1586" s="326"/>
      <c r="AE1586" s="327"/>
      <c r="AF1586" s="520"/>
      <c r="AG1586" s="327"/>
      <c r="AH1586" s="520"/>
      <c r="AI1586" s="327"/>
      <c r="AJ1586" s="536"/>
      <c r="AK1586" s="327"/>
      <c r="AL1586" s="556" t="s">
        <v>334</v>
      </c>
      <c r="AM1586" s="327"/>
      <c r="AN1586" s="553" t="s">
        <v>334</v>
      </c>
      <c r="AO1586" s="327"/>
      <c r="AP1586" s="554"/>
      <c r="AQ1586" s="327"/>
      <c r="AR1586" s="555"/>
      <c r="AS1586" s="327"/>
      <c r="AT1586" s="549"/>
      <c r="AU1586" s="327"/>
      <c r="AV1586" s="553" t="s">
        <v>334</v>
      </c>
      <c r="AW1586" s="327"/>
      <c r="AX1586" s="521"/>
      <c r="AY1586" s="326"/>
      <c r="AZ1586" s="327"/>
      <c r="BA1586" s="536"/>
      <c r="BB1586" s="327"/>
      <c r="BC1586" s="22"/>
      <c r="BD1586" s="551" t="s">
        <v>334</v>
      </c>
      <c r="BE1586" s="327"/>
      <c r="BF1586" s="552"/>
      <c r="BG1586" s="326"/>
      <c r="BH1586" s="326"/>
      <c r="BI1586" s="327"/>
      <c r="BJ1586" s="451" t="s">
        <v>303</v>
      </c>
      <c r="BK1586" s="326"/>
      <c r="BL1586" s="326"/>
      <c r="BM1586" s="327"/>
      <c r="BN1586" s="558" t="s">
        <v>303</v>
      </c>
      <c r="BO1586" s="326"/>
      <c r="BP1586" s="326"/>
      <c r="BQ1586" s="326"/>
      <c r="BR1586" s="326"/>
      <c r="BS1586" s="326"/>
      <c r="BT1586" s="326"/>
      <c r="BU1586" s="326"/>
      <c r="BV1586" s="327"/>
    </row>
    <row r="1587" spans="1:74" ht="45" customHeight="1" x14ac:dyDescent="0.25">
      <c r="A1587" s="10">
        <f t="shared" si="6"/>
        <v>1573</v>
      </c>
      <c r="B1587" s="559" t="s">
        <v>303</v>
      </c>
      <c r="C1587" s="327"/>
      <c r="D1587" s="560" t="s">
        <v>307</v>
      </c>
      <c r="E1587" s="327"/>
      <c r="F1587" s="537" t="s">
        <v>334</v>
      </c>
      <c r="G1587" s="327"/>
      <c r="H1587" s="546" t="s">
        <v>334</v>
      </c>
      <c r="I1587" s="327"/>
      <c r="J1587" s="562"/>
      <c r="K1587" s="327"/>
      <c r="L1587" s="562"/>
      <c r="M1587" s="327"/>
      <c r="N1587" s="23"/>
      <c r="O1587" s="24"/>
      <c r="P1587" s="563"/>
      <c r="Q1587" s="327"/>
      <c r="R1587" s="538"/>
      <c r="S1587" s="327"/>
      <c r="T1587" s="539"/>
      <c r="U1587" s="327"/>
      <c r="V1587" s="540"/>
      <c r="W1587" s="327"/>
      <c r="X1587" s="541" t="s">
        <v>303</v>
      </c>
      <c r="Y1587" s="326"/>
      <c r="Z1587" s="326"/>
      <c r="AA1587" s="327"/>
      <c r="AB1587" s="542" t="s">
        <v>303</v>
      </c>
      <c r="AC1587" s="326"/>
      <c r="AD1587" s="326"/>
      <c r="AE1587" s="327"/>
      <c r="AF1587" s="543"/>
      <c r="AG1587" s="327"/>
      <c r="AH1587" s="543"/>
      <c r="AI1587" s="327"/>
      <c r="AJ1587" s="536"/>
      <c r="AK1587" s="327"/>
      <c r="AL1587" s="537" t="s">
        <v>334</v>
      </c>
      <c r="AM1587" s="327"/>
      <c r="AN1587" s="546" t="s">
        <v>334</v>
      </c>
      <c r="AO1587" s="327"/>
      <c r="AP1587" s="547"/>
      <c r="AQ1587" s="327"/>
      <c r="AR1587" s="548"/>
      <c r="AS1587" s="327"/>
      <c r="AT1587" s="568"/>
      <c r="AU1587" s="327"/>
      <c r="AV1587" s="546" t="s">
        <v>334</v>
      </c>
      <c r="AW1587" s="327"/>
      <c r="AX1587" s="521"/>
      <c r="AY1587" s="326"/>
      <c r="AZ1587" s="327"/>
      <c r="BA1587" s="550"/>
      <c r="BB1587" s="327"/>
      <c r="BC1587" s="25"/>
      <c r="BD1587" s="544" t="s">
        <v>334</v>
      </c>
      <c r="BE1587" s="327"/>
      <c r="BF1587" s="545"/>
      <c r="BG1587" s="326"/>
      <c r="BH1587" s="326"/>
      <c r="BI1587" s="327"/>
      <c r="BJ1587" s="557" t="s">
        <v>303</v>
      </c>
      <c r="BK1587" s="326"/>
      <c r="BL1587" s="326"/>
      <c r="BM1587" s="327"/>
      <c r="BN1587" s="558" t="s">
        <v>303</v>
      </c>
      <c r="BO1587" s="326"/>
      <c r="BP1587" s="326"/>
      <c r="BQ1587" s="326"/>
      <c r="BR1587" s="326"/>
      <c r="BS1587" s="326"/>
      <c r="BT1587" s="326"/>
      <c r="BU1587" s="326"/>
      <c r="BV1587" s="327"/>
    </row>
    <row r="1588" spans="1:74" ht="45" customHeight="1" x14ac:dyDescent="0.25">
      <c r="A1588" s="10">
        <f t="shared" si="6"/>
        <v>1574</v>
      </c>
      <c r="B1588" s="564" t="s">
        <v>303</v>
      </c>
      <c r="C1588" s="327"/>
      <c r="D1588" s="565" t="s">
        <v>307</v>
      </c>
      <c r="E1588" s="327"/>
      <c r="F1588" s="537" t="s">
        <v>334</v>
      </c>
      <c r="G1588" s="327"/>
      <c r="H1588" s="553" t="s">
        <v>334</v>
      </c>
      <c r="I1588" s="327"/>
      <c r="J1588" s="567"/>
      <c r="K1588" s="327"/>
      <c r="L1588" s="567"/>
      <c r="M1588" s="327"/>
      <c r="N1588" s="20"/>
      <c r="O1588" s="21"/>
      <c r="P1588" s="524"/>
      <c r="Q1588" s="327"/>
      <c r="R1588" s="516"/>
      <c r="S1588" s="327"/>
      <c r="T1588" s="517"/>
      <c r="U1588" s="327"/>
      <c r="V1588" s="518"/>
      <c r="W1588" s="327"/>
      <c r="X1588" s="438" t="s">
        <v>303</v>
      </c>
      <c r="Y1588" s="326"/>
      <c r="Z1588" s="326"/>
      <c r="AA1588" s="327"/>
      <c r="AB1588" s="519" t="s">
        <v>303</v>
      </c>
      <c r="AC1588" s="326"/>
      <c r="AD1588" s="326"/>
      <c r="AE1588" s="327"/>
      <c r="AF1588" s="520"/>
      <c r="AG1588" s="327"/>
      <c r="AH1588" s="520"/>
      <c r="AI1588" s="327"/>
      <c r="AJ1588" s="536"/>
      <c r="AK1588" s="327"/>
      <c r="AL1588" s="556" t="s">
        <v>334</v>
      </c>
      <c r="AM1588" s="327"/>
      <c r="AN1588" s="553" t="s">
        <v>334</v>
      </c>
      <c r="AO1588" s="327"/>
      <c r="AP1588" s="554"/>
      <c r="AQ1588" s="327"/>
      <c r="AR1588" s="555"/>
      <c r="AS1588" s="327"/>
      <c r="AT1588" s="549"/>
      <c r="AU1588" s="327"/>
      <c r="AV1588" s="553" t="s">
        <v>334</v>
      </c>
      <c r="AW1588" s="327"/>
      <c r="AX1588" s="521"/>
      <c r="AY1588" s="326"/>
      <c r="AZ1588" s="327"/>
      <c r="BA1588" s="536"/>
      <c r="BB1588" s="327"/>
      <c r="BC1588" s="22"/>
      <c r="BD1588" s="551" t="s">
        <v>334</v>
      </c>
      <c r="BE1588" s="327"/>
      <c r="BF1588" s="552"/>
      <c r="BG1588" s="326"/>
      <c r="BH1588" s="326"/>
      <c r="BI1588" s="327"/>
      <c r="BJ1588" s="451" t="s">
        <v>303</v>
      </c>
      <c r="BK1588" s="326"/>
      <c r="BL1588" s="326"/>
      <c r="BM1588" s="327"/>
      <c r="BN1588" s="558" t="s">
        <v>303</v>
      </c>
      <c r="BO1588" s="326"/>
      <c r="BP1588" s="326"/>
      <c r="BQ1588" s="326"/>
      <c r="BR1588" s="326"/>
      <c r="BS1588" s="326"/>
      <c r="BT1588" s="326"/>
      <c r="BU1588" s="326"/>
      <c r="BV1588" s="327"/>
    </row>
    <row r="1589" spans="1:74" ht="45" customHeight="1" x14ac:dyDescent="0.25">
      <c r="A1589" s="10">
        <f t="shared" si="6"/>
        <v>1575</v>
      </c>
      <c r="B1589" s="559" t="s">
        <v>303</v>
      </c>
      <c r="C1589" s="327"/>
      <c r="D1589" s="560" t="s">
        <v>307</v>
      </c>
      <c r="E1589" s="327"/>
      <c r="F1589" s="537" t="s">
        <v>334</v>
      </c>
      <c r="G1589" s="327"/>
      <c r="H1589" s="546" t="s">
        <v>334</v>
      </c>
      <c r="I1589" s="327"/>
      <c r="J1589" s="562"/>
      <c r="K1589" s="327"/>
      <c r="L1589" s="562"/>
      <c r="M1589" s="327"/>
      <c r="N1589" s="23"/>
      <c r="O1589" s="24"/>
      <c r="P1589" s="563"/>
      <c r="Q1589" s="327"/>
      <c r="R1589" s="538"/>
      <c r="S1589" s="327"/>
      <c r="T1589" s="539"/>
      <c r="U1589" s="327"/>
      <c r="V1589" s="540"/>
      <c r="W1589" s="327"/>
      <c r="X1589" s="541" t="s">
        <v>303</v>
      </c>
      <c r="Y1589" s="326"/>
      <c r="Z1589" s="326"/>
      <c r="AA1589" s="327"/>
      <c r="AB1589" s="542" t="s">
        <v>303</v>
      </c>
      <c r="AC1589" s="326"/>
      <c r="AD1589" s="326"/>
      <c r="AE1589" s="327"/>
      <c r="AF1589" s="543"/>
      <c r="AG1589" s="327"/>
      <c r="AH1589" s="543"/>
      <c r="AI1589" s="327"/>
      <c r="AJ1589" s="536"/>
      <c r="AK1589" s="327"/>
      <c r="AL1589" s="537" t="s">
        <v>334</v>
      </c>
      <c r="AM1589" s="327"/>
      <c r="AN1589" s="546" t="s">
        <v>334</v>
      </c>
      <c r="AO1589" s="327"/>
      <c r="AP1589" s="547"/>
      <c r="AQ1589" s="327"/>
      <c r="AR1589" s="548"/>
      <c r="AS1589" s="327"/>
      <c r="AT1589" s="568"/>
      <c r="AU1589" s="327"/>
      <c r="AV1589" s="546" t="s">
        <v>334</v>
      </c>
      <c r="AW1589" s="327"/>
      <c r="AX1589" s="521"/>
      <c r="AY1589" s="326"/>
      <c r="AZ1589" s="327"/>
      <c r="BA1589" s="550"/>
      <c r="BB1589" s="327"/>
      <c r="BC1589" s="25"/>
      <c r="BD1589" s="544" t="s">
        <v>334</v>
      </c>
      <c r="BE1589" s="327"/>
      <c r="BF1589" s="545"/>
      <c r="BG1589" s="326"/>
      <c r="BH1589" s="326"/>
      <c r="BI1589" s="327"/>
      <c r="BJ1589" s="557" t="s">
        <v>303</v>
      </c>
      <c r="BK1589" s="326"/>
      <c r="BL1589" s="326"/>
      <c r="BM1589" s="327"/>
      <c r="BN1589" s="558" t="s">
        <v>303</v>
      </c>
      <c r="BO1589" s="326"/>
      <c r="BP1589" s="326"/>
      <c r="BQ1589" s="326"/>
      <c r="BR1589" s="326"/>
      <c r="BS1589" s="326"/>
      <c r="BT1589" s="326"/>
      <c r="BU1589" s="326"/>
      <c r="BV1589" s="327"/>
    </row>
    <row r="1590" spans="1:74" ht="45" customHeight="1" x14ac:dyDescent="0.25">
      <c r="A1590" s="10">
        <f t="shared" si="6"/>
        <v>1576</v>
      </c>
      <c r="B1590" s="564" t="s">
        <v>303</v>
      </c>
      <c r="C1590" s="327"/>
      <c r="D1590" s="565" t="s">
        <v>307</v>
      </c>
      <c r="E1590" s="327"/>
      <c r="F1590" s="537" t="s">
        <v>334</v>
      </c>
      <c r="G1590" s="327"/>
      <c r="H1590" s="553" t="s">
        <v>334</v>
      </c>
      <c r="I1590" s="327"/>
      <c r="J1590" s="567"/>
      <c r="K1590" s="327"/>
      <c r="L1590" s="567"/>
      <c r="M1590" s="327"/>
      <c r="N1590" s="20"/>
      <c r="O1590" s="21"/>
      <c r="P1590" s="524"/>
      <c r="Q1590" s="327"/>
      <c r="R1590" s="516"/>
      <c r="S1590" s="327"/>
      <c r="T1590" s="517"/>
      <c r="U1590" s="327"/>
      <c r="V1590" s="518"/>
      <c r="W1590" s="327"/>
      <c r="X1590" s="438" t="s">
        <v>303</v>
      </c>
      <c r="Y1590" s="326"/>
      <c r="Z1590" s="326"/>
      <c r="AA1590" s="327"/>
      <c r="AB1590" s="519" t="s">
        <v>303</v>
      </c>
      <c r="AC1590" s="326"/>
      <c r="AD1590" s="326"/>
      <c r="AE1590" s="327"/>
      <c r="AF1590" s="520"/>
      <c r="AG1590" s="327"/>
      <c r="AH1590" s="520"/>
      <c r="AI1590" s="327"/>
      <c r="AJ1590" s="536"/>
      <c r="AK1590" s="327"/>
      <c r="AL1590" s="556" t="s">
        <v>334</v>
      </c>
      <c r="AM1590" s="327"/>
      <c r="AN1590" s="553" t="s">
        <v>334</v>
      </c>
      <c r="AO1590" s="327"/>
      <c r="AP1590" s="554"/>
      <c r="AQ1590" s="327"/>
      <c r="AR1590" s="555"/>
      <c r="AS1590" s="327"/>
      <c r="AT1590" s="549"/>
      <c r="AU1590" s="327"/>
      <c r="AV1590" s="553" t="s">
        <v>334</v>
      </c>
      <c r="AW1590" s="327"/>
      <c r="AX1590" s="521"/>
      <c r="AY1590" s="326"/>
      <c r="AZ1590" s="327"/>
      <c r="BA1590" s="536"/>
      <c r="BB1590" s="327"/>
      <c r="BC1590" s="22"/>
      <c r="BD1590" s="551" t="s">
        <v>334</v>
      </c>
      <c r="BE1590" s="327"/>
      <c r="BF1590" s="508"/>
      <c r="BG1590" s="326"/>
      <c r="BH1590" s="326"/>
      <c r="BI1590" s="327"/>
      <c r="BJ1590" s="451" t="s">
        <v>303</v>
      </c>
      <c r="BK1590" s="326"/>
      <c r="BL1590" s="326"/>
      <c r="BM1590" s="327"/>
      <c r="BN1590" s="558" t="s">
        <v>303</v>
      </c>
      <c r="BO1590" s="326"/>
      <c r="BP1590" s="326"/>
      <c r="BQ1590" s="326"/>
      <c r="BR1590" s="326"/>
      <c r="BS1590" s="326"/>
      <c r="BT1590" s="326"/>
      <c r="BU1590" s="326"/>
      <c r="BV1590" s="327"/>
    </row>
    <row r="1591" spans="1:74" ht="45" customHeight="1" x14ac:dyDescent="0.25">
      <c r="A1591" s="10">
        <f t="shared" si="6"/>
        <v>1577</v>
      </c>
      <c r="B1591" s="559" t="s">
        <v>303</v>
      </c>
      <c r="C1591" s="327"/>
      <c r="D1591" s="560" t="s">
        <v>307</v>
      </c>
      <c r="E1591" s="327"/>
      <c r="F1591" s="537" t="s">
        <v>334</v>
      </c>
      <c r="G1591" s="327"/>
      <c r="H1591" s="546" t="s">
        <v>334</v>
      </c>
      <c r="I1591" s="327"/>
      <c r="J1591" s="562"/>
      <c r="K1591" s="327"/>
      <c r="L1591" s="562"/>
      <c r="M1591" s="327"/>
      <c r="N1591" s="23"/>
      <c r="O1591" s="24"/>
      <c r="P1591" s="563"/>
      <c r="Q1591" s="327"/>
      <c r="R1591" s="538"/>
      <c r="S1591" s="327"/>
      <c r="T1591" s="539"/>
      <c r="U1591" s="327"/>
      <c r="V1591" s="540"/>
      <c r="W1591" s="327"/>
      <c r="X1591" s="541" t="s">
        <v>303</v>
      </c>
      <c r="Y1591" s="326"/>
      <c r="Z1591" s="326"/>
      <c r="AA1591" s="327"/>
      <c r="AB1591" s="542" t="s">
        <v>303</v>
      </c>
      <c r="AC1591" s="326"/>
      <c r="AD1591" s="326"/>
      <c r="AE1591" s="327"/>
      <c r="AF1591" s="543"/>
      <c r="AG1591" s="327"/>
      <c r="AH1591" s="543"/>
      <c r="AI1591" s="327"/>
      <c r="AJ1591" s="536"/>
      <c r="AK1591" s="327"/>
      <c r="AL1591" s="537" t="s">
        <v>334</v>
      </c>
      <c r="AM1591" s="327"/>
      <c r="AN1591" s="546" t="s">
        <v>334</v>
      </c>
      <c r="AO1591" s="327"/>
      <c r="AP1591" s="547"/>
      <c r="AQ1591" s="327"/>
      <c r="AR1591" s="548"/>
      <c r="AS1591" s="327"/>
      <c r="AT1591" s="568"/>
      <c r="AU1591" s="327"/>
      <c r="AV1591" s="546" t="s">
        <v>334</v>
      </c>
      <c r="AW1591" s="327"/>
      <c r="AX1591" s="521"/>
      <c r="AY1591" s="326"/>
      <c r="AZ1591" s="327"/>
      <c r="BA1591" s="550"/>
      <c r="BB1591" s="327"/>
      <c r="BC1591" s="25"/>
      <c r="BD1591" s="544" t="s">
        <v>334</v>
      </c>
      <c r="BE1591" s="327"/>
      <c r="BF1591" s="545"/>
      <c r="BG1591" s="326"/>
      <c r="BH1591" s="326"/>
      <c r="BI1591" s="327"/>
      <c r="BJ1591" s="557" t="s">
        <v>303</v>
      </c>
      <c r="BK1591" s="326"/>
      <c r="BL1591" s="326"/>
      <c r="BM1591" s="327"/>
      <c r="BN1591" s="558" t="s">
        <v>303</v>
      </c>
      <c r="BO1591" s="326"/>
      <c r="BP1591" s="326"/>
      <c r="BQ1591" s="326"/>
      <c r="BR1591" s="326"/>
      <c r="BS1591" s="326"/>
      <c r="BT1591" s="326"/>
      <c r="BU1591" s="326"/>
      <c r="BV1591" s="327"/>
    </row>
    <row r="1592" spans="1:74" ht="45" customHeight="1" x14ac:dyDescent="0.25">
      <c r="A1592" s="10">
        <f t="shared" si="6"/>
        <v>1578</v>
      </c>
      <c r="B1592" s="564" t="s">
        <v>303</v>
      </c>
      <c r="C1592" s="327"/>
      <c r="D1592" s="565" t="s">
        <v>307</v>
      </c>
      <c r="E1592" s="327"/>
      <c r="F1592" s="537" t="s">
        <v>334</v>
      </c>
      <c r="G1592" s="327"/>
      <c r="H1592" s="553" t="s">
        <v>334</v>
      </c>
      <c r="I1592" s="327"/>
      <c r="J1592" s="567"/>
      <c r="K1592" s="327"/>
      <c r="L1592" s="567"/>
      <c r="M1592" s="327"/>
      <c r="N1592" s="20"/>
      <c r="O1592" s="21"/>
      <c r="P1592" s="524"/>
      <c r="Q1592" s="327"/>
      <c r="R1592" s="516"/>
      <c r="S1592" s="327"/>
      <c r="T1592" s="517"/>
      <c r="U1592" s="327"/>
      <c r="V1592" s="518"/>
      <c r="W1592" s="327"/>
      <c r="X1592" s="438" t="s">
        <v>303</v>
      </c>
      <c r="Y1592" s="326"/>
      <c r="Z1592" s="326"/>
      <c r="AA1592" s="327"/>
      <c r="AB1592" s="519" t="s">
        <v>303</v>
      </c>
      <c r="AC1592" s="326"/>
      <c r="AD1592" s="326"/>
      <c r="AE1592" s="327"/>
      <c r="AF1592" s="520"/>
      <c r="AG1592" s="327"/>
      <c r="AH1592" s="520"/>
      <c r="AI1592" s="327"/>
      <c r="AJ1592" s="536"/>
      <c r="AK1592" s="327"/>
      <c r="AL1592" s="556" t="s">
        <v>334</v>
      </c>
      <c r="AM1592" s="327"/>
      <c r="AN1592" s="553" t="s">
        <v>334</v>
      </c>
      <c r="AO1592" s="327"/>
      <c r="AP1592" s="554"/>
      <c r="AQ1592" s="327"/>
      <c r="AR1592" s="555"/>
      <c r="AS1592" s="327"/>
      <c r="AT1592" s="549"/>
      <c r="AU1592" s="327"/>
      <c r="AV1592" s="553" t="s">
        <v>334</v>
      </c>
      <c r="AW1592" s="327"/>
      <c r="AX1592" s="521"/>
      <c r="AY1592" s="326"/>
      <c r="AZ1592" s="327"/>
      <c r="BA1592" s="536"/>
      <c r="BB1592" s="327"/>
      <c r="BC1592" s="22"/>
      <c r="BD1592" s="551" t="s">
        <v>334</v>
      </c>
      <c r="BE1592" s="327"/>
      <c r="BF1592" s="552"/>
      <c r="BG1592" s="326"/>
      <c r="BH1592" s="326"/>
      <c r="BI1592" s="327"/>
      <c r="BJ1592" s="451" t="s">
        <v>303</v>
      </c>
      <c r="BK1592" s="326"/>
      <c r="BL1592" s="326"/>
      <c r="BM1592" s="327"/>
      <c r="BN1592" s="558" t="s">
        <v>303</v>
      </c>
      <c r="BO1592" s="326"/>
      <c r="BP1592" s="326"/>
      <c r="BQ1592" s="326"/>
      <c r="BR1592" s="326"/>
      <c r="BS1592" s="326"/>
      <c r="BT1592" s="326"/>
      <c r="BU1592" s="326"/>
      <c r="BV1592" s="327"/>
    </row>
    <row r="1593" spans="1:74" ht="45" customHeight="1" x14ac:dyDescent="0.25">
      <c r="A1593" s="10">
        <f t="shared" si="6"/>
        <v>1579</v>
      </c>
      <c r="B1593" s="559" t="s">
        <v>303</v>
      </c>
      <c r="C1593" s="327"/>
      <c r="D1593" s="560" t="s">
        <v>307</v>
      </c>
      <c r="E1593" s="327"/>
      <c r="F1593" s="537" t="s">
        <v>334</v>
      </c>
      <c r="G1593" s="327"/>
      <c r="H1593" s="546" t="s">
        <v>334</v>
      </c>
      <c r="I1593" s="327"/>
      <c r="J1593" s="562"/>
      <c r="K1593" s="327"/>
      <c r="L1593" s="562"/>
      <c r="M1593" s="327"/>
      <c r="N1593" s="20"/>
      <c r="O1593" s="21"/>
      <c r="P1593" s="524"/>
      <c r="Q1593" s="327"/>
      <c r="R1593" s="538"/>
      <c r="S1593" s="327"/>
      <c r="T1593" s="539"/>
      <c r="U1593" s="327"/>
      <c r="V1593" s="540"/>
      <c r="W1593" s="327"/>
      <c r="X1593" s="541" t="s">
        <v>303</v>
      </c>
      <c r="Y1593" s="326"/>
      <c r="Z1593" s="326"/>
      <c r="AA1593" s="327"/>
      <c r="AB1593" s="542" t="s">
        <v>303</v>
      </c>
      <c r="AC1593" s="326"/>
      <c r="AD1593" s="326"/>
      <c r="AE1593" s="327"/>
      <c r="AF1593" s="543"/>
      <c r="AG1593" s="327"/>
      <c r="AH1593" s="543"/>
      <c r="AI1593" s="327"/>
      <c r="AJ1593" s="536"/>
      <c r="AK1593" s="327"/>
      <c r="AL1593" s="537" t="s">
        <v>334</v>
      </c>
      <c r="AM1593" s="327"/>
      <c r="AN1593" s="546" t="s">
        <v>334</v>
      </c>
      <c r="AO1593" s="327"/>
      <c r="AP1593" s="547"/>
      <c r="AQ1593" s="327"/>
      <c r="AR1593" s="548"/>
      <c r="AS1593" s="327"/>
      <c r="AT1593" s="549"/>
      <c r="AU1593" s="327"/>
      <c r="AV1593" s="546" t="s">
        <v>334</v>
      </c>
      <c r="AW1593" s="327"/>
      <c r="AX1593" s="521"/>
      <c r="AY1593" s="326"/>
      <c r="AZ1593" s="327"/>
      <c r="BA1593" s="550"/>
      <c r="BB1593" s="327"/>
      <c r="BC1593" s="25"/>
      <c r="BD1593" s="544" t="s">
        <v>334</v>
      </c>
      <c r="BE1593" s="327"/>
      <c r="BF1593" s="545"/>
      <c r="BG1593" s="326"/>
      <c r="BH1593" s="326"/>
      <c r="BI1593" s="327"/>
      <c r="BJ1593" s="557" t="s">
        <v>303</v>
      </c>
      <c r="BK1593" s="326"/>
      <c r="BL1593" s="326"/>
      <c r="BM1593" s="327"/>
      <c r="BN1593" s="558" t="s">
        <v>303</v>
      </c>
      <c r="BO1593" s="326"/>
      <c r="BP1593" s="326"/>
      <c r="BQ1593" s="326"/>
      <c r="BR1593" s="326"/>
      <c r="BS1593" s="326"/>
      <c r="BT1593" s="326"/>
      <c r="BU1593" s="326"/>
      <c r="BV1593" s="327"/>
    </row>
    <row r="1594" spans="1:74" ht="45" customHeight="1" x14ac:dyDescent="0.25">
      <c r="A1594" s="10">
        <f t="shared" si="6"/>
        <v>1580</v>
      </c>
      <c r="B1594" s="564" t="s">
        <v>303</v>
      </c>
      <c r="C1594" s="327"/>
      <c r="D1594" s="565" t="s">
        <v>307</v>
      </c>
      <c r="E1594" s="327"/>
      <c r="F1594" s="537" t="s">
        <v>334</v>
      </c>
      <c r="G1594" s="327"/>
      <c r="H1594" s="553" t="s">
        <v>334</v>
      </c>
      <c r="I1594" s="327"/>
      <c r="J1594" s="567"/>
      <c r="K1594" s="327"/>
      <c r="L1594" s="567"/>
      <c r="M1594" s="327"/>
      <c r="N1594" s="23"/>
      <c r="O1594" s="24"/>
      <c r="P1594" s="563"/>
      <c r="Q1594" s="327"/>
      <c r="R1594" s="516"/>
      <c r="S1594" s="327"/>
      <c r="T1594" s="517"/>
      <c r="U1594" s="327"/>
      <c r="V1594" s="518"/>
      <c r="W1594" s="327"/>
      <c r="X1594" s="438" t="s">
        <v>303</v>
      </c>
      <c r="Y1594" s="326"/>
      <c r="Z1594" s="326"/>
      <c r="AA1594" s="327"/>
      <c r="AB1594" s="519" t="s">
        <v>303</v>
      </c>
      <c r="AC1594" s="326"/>
      <c r="AD1594" s="326"/>
      <c r="AE1594" s="327"/>
      <c r="AF1594" s="520"/>
      <c r="AG1594" s="327"/>
      <c r="AH1594" s="520"/>
      <c r="AI1594" s="327"/>
      <c r="AJ1594" s="536"/>
      <c r="AK1594" s="327"/>
      <c r="AL1594" s="556" t="s">
        <v>334</v>
      </c>
      <c r="AM1594" s="327"/>
      <c r="AN1594" s="553" t="s">
        <v>334</v>
      </c>
      <c r="AO1594" s="327"/>
      <c r="AP1594" s="554"/>
      <c r="AQ1594" s="327"/>
      <c r="AR1594" s="555"/>
      <c r="AS1594" s="327"/>
      <c r="AT1594" s="549"/>
      <c r="AU1594" s="327"/>
      <c r="AV1594" s="553" t="s">
        <v>334</v>
      </c>
      <c r="AW1594" s="327"/>
      <c r="AX1594" s="521"/>
      <c r="AY1594" s="326"/>
      <c r="AZ1594" s="327"/>
      <c r="BA1594" s="536"/>
      <c r="BB1594" s="327"/>
      <c r="BC1594" s="22"/>
      <c r="BD1594" s="551" t="s">
        <v>334</v>
      </c>
      <c r="BE1594" s="327"/>
      <c r="BF1594" s="552"/>
      <c r="BG1594" s="326"/>
      <c r="BH1594" s="326"/>
      <c r="BI1594" s="327"/>
      <c r="BJ1594" s="451" t="s">
        <v>303</v>
      </c>
      <c r="BK1594" s="326"/>
      <c r="BL1594" s="326"/>
      <c r="BM1594" s="327"/>
      <c r="BN1594" s="558" t="s">
        <v>303</v>
      </c>
      <c r="BO1594" s="326"/>
      <c r="BP1594" s="326"/>
      <c r="BQ1594" s="326"/>
      <c r="BR1594" s="326"/>
      <c r="BS1594" s="326"/>
      <c r="BT1594" s="326"/>
      <c r="BU1594" s="326"/>
      <c r="BV1594" s="327"/>
    </row>
    <row r="1595" spans="1:74" ht="45" customHeight="1" x14ac:dyDescent="0.25">
      <c r="A1595" s="10">
        <f t="shared" si="6"/>
        <v>1581</v>
      </c>
      <c r="B1595" s="559" t="s">
        <v>303</v>
      </c>
      <c r="C1595" s="327"/>
      <c r="D1595" s="560" t="s">
        <v>307</v>
      </c>
      <c r="E1595" s="327"/>
      <c r="F1595" s="537" t="s">
        <v>334</v>
      </c>
      <c r="G1595" s="327"/>
      <c r="H1595" s="546" t="s">
        <v>334</v>
      </c>
      <c r="I1595" s="327"/>
      <c r="J1595" s="562"/>
      <c r="K1595" s="327"/>
      <c r="L1595" s="562"/>
      <c r="M1595" s="327"/>
      <c r="N1595" s="20"/>
      <c r="O1595" s="21"/>
      <c r="P1595" s="524"/>
      <c r="Q1595" s="327"/>
      <c r="R1595" s="538"/>
      <c r="S1595" s="327"/>
      <c r="T1595" s="539"/>
      <c r="U1595" s="327"/>
      <c r="V1595" s="540"/>
      <c r="W1595" s="327"/>
      <c r="X1595" s="541" t="s">
        <v>303</v>
      </c>
      <c r="Y1595" s="326"/>
      <c r="Z1595" s="326"/>
      <c r="AA1595" s="327"/>
      <c r="AB1595" s="542" t="s">
        <v>303</v>
      </c>
      <c r="AC1595" s="326"/>
      <c r="AD1595" s="326"/>
      <c r="AE1595" s="327"/>
      <c r="AF1595" s="543"/>
      <c r="AG1595" s="327"/>
      <c r="AH1595" s="543"/>
      <c r="AI1595" s="327"/>
      <c r="AJ1595" s="536"/>
      <c r="AK1595" s="327"/>
      <c r="AL1595" s="537" t="s">
        <v>334</v>
      </c>
      <c r="AM1595" s="327"/>
      <c r="AN1595" s="546" t="s">
        <v>334</v>
      </c>
      <c r="AO1595" s="327"/>
      <c r="AP1595" s="547"/>
      <c r="AQ1595" s="327"/>
      <c r="AR1595" s="548"/>
      <c r="AS1595" s="327"/>
      <c r="AT1595" s="549"/>
      <c r="AU1595" s="327"/>
      <c r="AV1595" s="546" t="s">
        <v>334</v>
      </c>
      <c r="AW1595" s="327"/>
      <c r="AX1595" s="521"/>
      <c r="AY1595" s="326"/>
      <c r="AZ1595" s="327"/>
      <c r="BA1595" s="550"/>
      <c r="BB1595" s="327"/>
      <c r="BC1595" s="25"/>
      <c r="BD1595" s="544" t="s">
        <v>334</v>
      </c>
      <c r="BE1595" s="327"/>
      <c r="BF1595" s="545"/>
      <c r="BG1595" s="326"/>
      <c r="BH1595" s="326"/>
      <c r="BI1595" s="327"/>
      <c r="BJ1595" s="557" t="s">
        <v>303</v>
      </c>
      <c r="BK1595" s="326"/>
      <c r="BL1595" s="326"/>
      <c r="BM1595" s="327"/>
      <c r="BN1595" s="558" t="s">
        <v>303</v>
      </c>
      <c r="BO1595" s="326"/>
      <c r="BP1595" s="326"/>
      <c r="BQ1595" s="326"/>
      <c r="BR1595" s="326"/>
      <c r="BS1595" s="326"/>
      <c r="BT1595" s="326"/>
      <c r="BU1595" s="326"/>
      <c r="BV1595" s="327"/>
    </row>
    <row r="1596" spans="1:74" ht="45" customHeight="1" x14ac:dyDescent="0.25">
      <c r="A1596" s="10">
        <f t="shared" si="6"/>
        <v>1582</v>
      </c>
      <c r="B1596" s="564" t="s">
        <v>303</v>
      </c>
      <c r="C1596" s="327"/>
      <c r="D1596" s="565" t="s">
        <v>307</v>
      </c>
      <c r="E1596" s="327"/>
      <c r="F1596" s="537" t="s">
        <v>334</v>
      </c>
      <c r="G1596" s="327"/>
      <c r="H1596" s="553" t="s">
        <v>334</v>
      </c>
      <c r="I1596" s="327"/>
      <c r="J1596" s="567"/>
      <c r="K1596" s="327"/>
      <c r="L1596" s="567"/>
      <c r="M1596" s="327"/>
      <c r="N1596" s="23"/>
      <c r="O1596" s="24"/>
      <c r="P1596" s="563"/>
      <c r="Q1596" s="327"/>
      <c r="R1596" s="516"/>
      <c r="S1596" s="327"/>
      <c r="T1596" s="517"/>
      <c r="U1596" s="327"/>
      <c r="V1596" s="518"/>
      <c r="W1596" s="327"/>
      <c r="X1596" s="438" t="s">
        <v>303</v>
      </c>
      <c r="Y1596" s="326"/>
      <c r="Z1596" s="326"/>
      <c r="AA1596" s="327"/>
      <c r="AB1596" s="519" t="s">
        <v>303</v>
      </c>
      <c r="AC1596" s="326"/>
      <c r="AD1596" s="326"/>
      <c r="AE1596" s="327"/>
      <c r="AF1596" s="520"/>
      <c r="AG1596" s="327"/>
      <c r="AH1596" s="520"/>
      <c r="AI1596" s="327"/>
      <c r="AJ1596" s="536"/>
      <c r="AK1596" s="327"/>
      <c r="AL1596" s="556" t="s">
        <v>334</v>
      </c>
      <c r="AM1596" s="327"/>
      <c r="AN1596" s="553" t="s">
        <v>334</v>
      </c>
      <c r="AO1596" s="327"/>
      <c r="AP1596" s="554"/>
      <c r="AQ1596" s="327"/>
      <c r="AR1596" s="555"/>
      <c r="AS1596" s="327"/>
      <c r="AT1596" s="549"/>
      <c r="AU1596" s="327"/>
      <c r="AV1596" s="553" t="s">
        <v>334</v>
      </c>
      <c r="AW1596" s="327"/>
      <c r="AX1596" s="521"/>
      <c r="AY1596" s="326"/>
      <c r="AZ1596" s="327"/>
      <c r="BA1596" s="536"/>
      <c r="BB1596" s="327"/>
      <c r="BC1596" s="22"/>
      <c r="BD1596" s="551" t="s">
        <v>334</v>
      </c>
      <c r="BE1596" s="327"/>
      <c r="BF1596" s="552"/>
      <c r="BG1596" s="326"/>
      <c r="BH1596" s="326"/>
      <c r="BI1596" s="327"/>
      <c r="BJ1596" s="451" t="s">
        <v>303</v>
      </c>
      <c r="BK1596" s="326"/>
      <c r="BL1596" s="326"/>
      <c r="BM1596" s="327"/>
      <c r="BN1596" s="558" t="s">
        <v>303</v>
      </c>
      <c r="BO1596" s="326"/>
      <c r="BP1596" s="326"/>
      <c r="BQ1596" s="326"/>
      <c r="BR1596" s="326"/>
      <c r="BS1596" s="326"/>
      <c r="BT1596" s="326"/>
      <c r="BU1596" s="326"/>
      <c r="BV1596" s="327"/>
    </row>
    <row r="1597" spans="1:74" ht="45" customHeight="1" x14ac:dyDescent="0.25">
      <c r="A1597" s="10">
        <f t="shared" si="6"/>
        <v>1583</v>
      </c>
      <c r="B1597" s="559" t="s">
        <v>303</v>
      </c>
      <c r="C1597" s="327"/>
      <c r="D1597" s="560" t="s">
        <v>307</v>
      </c>
      <c r="E1597" s="327"/>
      <c r="F1597" s="537" t="s">
        <v>334</v>
      </c>
      <c r="G1597" s="327"/>
      <c r="H1597" s="546" t="s">
        <v>334</v>
      </c>
      <c r="I1597" s="327"/>
      <c r="J1597" s="562"/>
      <c r="K1597" s="327"/>
      <c r="L1597" s="562"/>
      <c r="M1597" s="327"/>
      <c r="N1597" s="20"/>
      <c r="O1597" s="24"/>
      <c r="P1597" s="524"/>
      <c r="Q1597" s="327"/>
      <c r="R1597" s="538"/>
      <c r="S1597" s="327"/>
      <c r="T1597" s="539"/>
      <c r="U1597" s="327"/>
      <c r="V1597" s="540"/>
      <c r="W1597" s="327"/>
      <c r="X1597" s="541" t="s">
        <v>303</v>
      </c>
      <c r="Y1597" s="326"/>
      <c r="Z1597" s="326"/>
      <c r="AA1597" s="327"/>
      <c r="AB1597" s="542" t="s">
        <v>303</v>
      </c>
      <c r="AC1597" s="326"/>
      <c r="AD1597" s="326"/>
      <c r="AE1597" s="327"/>
      <c r="AF1597" s="543"/>
      <c r="AG1597" s="327"/>
      <c r="AH1597" s="543"/>
      <c r="AI1597" s="327"/>
      <c r="AJ1597" s="536"/>
      <c r="AK1597" s="327"/>
      <c r="AL1597" s="537" t="s">
        <v>334</v>
      </c>
      <c r="AM1597" s="327"/>
      <c r="AN1597" s="546" t="s">
        <v>334</v>
      </c>
      <c r="AO1597" s="327"/>
      <c r="AP1597" s="547"/>
      <c r="AQ1597" s="327"/>
      <c r="AR1597" s="548"/>
      <c r="AS1597" s="327"/>
      <c r="AT1597" s="568"/>
      <c r="AU1597" s="327"/>
      <c r="AV1597" s="546" t="s">
        <v>334</v>
      </c>
      <c r="AW1597" s="327"/>
      <c r="AX1597" s="521"/>
      <c r="AY1597" s="326"/>
      <c r="AZ1597" s="327"/>
      <c r="BA1597" s="550"/>
      <c r="BB1597" s="327"/>
      <c r="BC1597" s="25"/>
      <c r="BD1597" s="544" t="s">
        <v>334</v>
      </c>
      <c r="BE1597" s="327"/>
      <c r="BF1597" s="545"/>
      <c r="BG1597" s="326"/>
      <c r="BH1597" s="326"/>
      <c r="BI1597" s="327"/>
      <c r="BJ1597" s="557" t="s">
        <v>303</v>
      </c>
      <c r="BK1597" s="326"/>
      <c r="BL1597" s="326"/>
      <c r="BM1597" s="327"/>
      <c r="BN1597" s="558" t="s">
        <v>303</v>
      </c>
      <c r="BO1597" s="326"/>
      <c r="BP1597" s="326"/>
      <c r="BQ1597" s="326"/>
      <c r="BR1597" s="326"/>
      <c r="BS1597" s="326"/>
      <c r="BT1597" s="326"/>
      <c r="BU1597" s="326"/>
      <c r="BV1597" s="327"/>
    </row>
    <row r="1598" spans="1:74" ht="45" customHeight="1" x14ac:dyDescent="0.25">
      <c r="A1598" s="10">
        <f t="shared" si="6"/>
        <v>1584</v>
      </c>
      <c r="B1598" s="564" t="s">
        <v>303</v>
      </c>
      <c r="C1598" s="327"/>
      <c r="D1598" s="565" t="s">
        <v>307</v>
      </c>
      <c r="E1598" s="327"/>
      <c r="F1598" s="537" t="s">
        <v>334</v>
      </c>
      <c r="G1598" s="327"/>
      <c r="H1598" s="553" t="s">
        <v>334</v>
      </c>
      <c r="I1598" s="327"/>
      <c r="J1598" s="567"/>
      <c r="K1598" s="327"/>
      <c r="L1598" s="567"/>
      <c r="M1598" s="327"/>
      <c r="N1598" s="23"/>
      <c r="O1598" s="21"/>
      <c r="P1598" s="563"/>
      <c r="Q1598" s="327"/>
      <c r="R1598" s="516"/>
      <c r="S1598" s="327"/>
      <c r="T1598" s="517"/>
      <c r="U1598" s="327"/>
      <c r="V1598" s="518"/>
      <c r="W1598" s="327"/>
      <c r="X1598" s="438" t="s">
        <v>303</v>
      </c>
      <c r="Y1598" s="326"/>
      <c r="Z1598" s="326"/>
      <c r="AA1598" s="327"/>
      <c r="AB1598" s="519" t="s">
        <v>303</v>
      </c>
      <c r="AC1598" s="326"/>
      <c r="AD1598" s="326"/>
      <c r="AE1598" s="327"/>
      <c r="AF1598" s="520"/>
      <c r="AG1598" s="327"/>
      <c r="AH1598" s="520"/>
      <c r="AI1598" s="327"/>
      <c r="AJ1598" s="536"/>
      <c r="AK1598" s="327"/>
      <c r="AL1598" s="556" t="s">
        <v>334</v>
      </c>
      <c r="AM1598" s="327"/>
      <c r="AN1598" s="553" t="s">
        <v>334</v>
      </c>
      <c r="AO1598" s="327"/>
      <c r="AP1598" s="554"/>
      <c r="AQ1598" s="327"/>
      <c r="AR1598" s="555"/>
      <c r="AS1598" s="327"/>
      <c r="AT1598" s="549"/>
      <c r="AU1598" s="327"/>
      <c r="AV1598" s="553" t="s">
        <v>334</v>
      </c>
      <c r="AW1598" s="327"/>
      <c r="AX1598" s="521"/>
      <c r="AY1598" s="326"/>
      <c r="AZ1598" s="327"/>
      <c r="BA1598" s="536"/>
      <c r="BB1598" s="327"/>
      <c r="BC1598" s="22"/>
      <c r="BD1598" s="551" t="s">
        <v>334</v>
      </c>
      <c r="BE1598" s="327"/>
      <c r="BF1598" s="508"/>
      <c r="BG1598" s="326"/>
      <c r="BH1598" s="326"/>
      <c r="BI1598" s="327"/>
      <c r="BJ1598" s="451" t="s">
        <v>303</v>
      </c>
      <c r="BK1598" s="326"/>
      <c r="BL1598" s="326"/>
      <c r="BM1598" s="327"/>
      <c r="BN1598" s="558" t="s">
        <v>303</v>
      </c>
      <c r="BO1598" s="326"/>
      <c r="BP1598" s="326"/>
      <c r="BQ1598" s="326"/>
      <c r="BR1598" s="326"/>
      <c r="BS1598" s="326"/>
      <c r="BT1598" s="326"/>
      <c r="BU1598" s="326"/>
      <c r="BV1598" s="327"/>
    </row>
    <row r="1599" spans="1:74" ht="45" customHeight="1" x14ac:dyDescent="0.25">
      <c r="A1599" s="10">
        <f t="shared" si="6"/>
        <v>1585</v>
      </c>
      <c r="B1599" s="559" t="s">
        <v>303</v>
      </c>
      <c r="C1599" s="327"/>
      <c r="D1599" s="560" t="s">
        <v>307</v>
      </c>
      <c r="E1599" s="327"/>
      <c r="F1599" s="537" t="s">
        <v>334</v>
      </c>
      <c r="G1599" s="327"/>
      <c r="H1599" s="546" t="s">
        <v>334</v>
      </c>
      <c r="I1599" s="327"/>
      <c r="J1599" s="562"/>
      <c r="K1599" s="327"/>
      <c r="L1599" s="562"/>
      <c r="M1599" s="327"/>
      <c r="N1599" s="20"/>
      <c r="O1599" s="24"/>
      <c r="P1599" s="524"/>
      <c r="Q1599" s="327"/>
      <c r="R1599" s="538"/>
      <c r="S1599" s="327"/>
      <c r="T1599" s="539"/>
      <c r="U1599" s="327"/>
      <c r="V1599" s="540"/>
      <c r="W1599" s="327"/>
      <c r="X1599" s="541" t="s">
        <v>303</v>
      </c>
      <c r="Y1599" s="326"/>
      <c r="Z1599" s="326"/>
      <c r="AA1599" s="327"/>
      <c r="AB1599" s="542" t="s">
        <v>303</v>
      </c>
      <c r="AC1599" s="326"/>
      <c r="AD1599" s="326"/>
      <c r="AE1599" s="327"/>
      <c r="AF1599" s="543"/>
      <c r="AG1599" s="327"/>
      <c r="AH1599" s="543"/>
      <c r="AI1599" s="327"/>
      <c r="AJ1599" s="536"/>
      <c r="AK1599" s="327"/>
      <c r="AL1599" s="537" t="s">
        <v>334</v>
      </c>
      <c r="AM1599" s="327"/>
      <c r="AN1599" s="546" t="s">
        <v>334</v>
      </c>
      <c r="AO1599" s="327"/>
      <c r="AP1599" s="547"/>
      <c r="AQ1599" s="327"/>
      <c r="AR1599" s="548"/>
      <c r="AS1599" s="327"/>
      <c r="AT1599" s="568"/>
      <c r="AU1599" s="327"/>
      <c r="AV1599" s="546" t="s">
        <v>334</v>
      </c>
      <c r="AW1599" s="327"/>
      <c r="AX1599" s="521"/>
      <c r="AY1599" s="326"/>
      <c r="AZ1599" s="327"/>
      <c r="BA1599" s="550"/>
      <c r="BB1599" s="327"/>
      <c r="BC1599" s="25"/>
      <c r="BD1599" s="544" t="s">
        <v>334</v>
      </c>
      <c r="BE1599" s="327"/>
      <c r="BF1599" s="545"/>
      <c r="BG1599" s="326"/>
      <c r="BH1599" s="326"/>
      <c r="BI1599" s="327"/>
      <c r="BJ1599" s="557" t="s">
        <v>303</v>
      </c>
      <c r="BK1599" s="326"/>
      <c r="BL1599" s="326"/>
      <c r="BM1599" s="327"/>
      <c r="BN1599" s="558" t="s">
        <v>303</v>
      </c>
      <c r="BO1599" s="326"/>
      <c r="BP1599" s="326"/>
      <c r="BQ1599" s="326"/>
      <c r="BR1599" s="326"/>
      <c r="BS1599" s="326"/>
      <c r="BT1599" s="326"/>
      <c r="BU1599" s="326"/>
      <c r="BV1599" s="327"/>
    </row>
    <row r="1600" spans="1:74" ht="45" customHeight="1" x14ac:dyDescent="0.25">
      <c r="A1600" s="10">
        <f t="shared" si="6"/>
        <v>1586</v>
      </c>
      <c r="B1600" s="564" t="s">
        <v>303</v>
      </c>
      <c r="C1600" s="327"/>
      <c r="D1600" s="565" t="s">
        <v>307</v>
      </c>
      <c r="E1600" s="327"/>
      <c r="F1600" s="537" t="s">
        <v>334</v>
      </c>
      <c r="G1600" s="327"/>
      <c r="H1600" s="553" t="s">
        <v>334</v>
      </c>
      <c r="I1600" s="327"/>
      <c r="J1600" s="567"/>
      <c r="K1600" s="327"/>
      <c r="L1600" s="567"/>
      <c r="M1600" s="327"/>
      <c r="N1600" s="23"/>
      <c r="O1600" s="21"/>
      <c r="P1600" s="563"/>
      <c r="Q1600" s="327"/>
      <c r="R1600" s="516"/>
      <c r="S1600" s="327"/>
      <c r="T1600" s="517"/>
      <c r="U1600" s="327"/>
      <c r="V1600" s="518"/>
      <c r="W1600" s="327"/>
      <c r="X1600" s="438" t="s">
        <v>303</v>
      </c>
      <c r="Y1600" s="326"/>
      <c r="Z1600" s="326"/>
      <c r="AA1600" s="327"/>
      <c r="AB1600" s="519" t="s">
        <v>303</v>
      </c>
      <c r="AC1600" s="326"/>
      <c r="AD1600" s="326"/>
      <c r="AE1600" s="327"/>
      <c r="AF1600" s="520"/>
      <c r="AG1600" s="327"/>
      <c r="AH1600" s="520"/>
      <c r="AI1600" s="327"/>
      <c r="AJ1600" s="536"/>
      <c r="AK1600" s="327"/>
      <c r="AL1600" s="556" t="s">
        <v>334</v>
      </c>
      <c r="AM1600" s="327"/>
      <c r="AN1600" s="553" t="s">
        <v>334</v>
      </c>
      <c r="AO1600" s="327"/>
      <c r="AP1600" s="554"/>
      <c r="AQ1600" s="327"/>
      <c r="AR1600" s="555"/>
      <c r="AS1600" s="327"/>
      <c r="AT1600" s="549"/>
      <c r="AU1600" s="327"/>
      <c r="AV1600" s="553" t="s">
        <v>334</v>
      </c>
      <c r="AW1600" s="327"/>
      <c r="AX1600" s="521"/>
      <c r="AY1600" s="326"/>
      <c r="AZ1600" s="327"/>
      <c r="BA1600" s="536"/>
      <c r="BB1600" s="327"/>
      <c r="BC1600" s="22"/>
      <c r="BD1600" s="551" t="s">
        <v>334</v>
      </c>
      <c r="BE1600" s="327"/>
      <c r="BF1600" s="552"/>
      <c r="BG1600" s="326"/>
      <c r="BH1600" s="326"/>
      <c r="BI1600" s="327"/>
      <c r="BJ1600" s="451" t="s">
        <v>303</v>
      </c>
      <c r="BK1600" s="326"/>
      <c r="BL1600" s="326"/>
      <c r="BM1600" s="327"/>
      <c r="BN1600" s="558" t="s">
        <v>303</v>
      </c>
      <c r="BO1600" s="326"/>
      <c r="BP1600" s="326"/>
      <c r="BQ1600" s="326"/>
      <c r="BR1600" s="326"/>
      <c r="BS1600" s="326"/>
      <c r="BT1600" s="326"/>
      <c r="BU1600" s="326"/>
      <c r="BV1600" s="327"/>
    </row>
    <row r="1601" spans="1:74" ht="45" customHeight="1" x14ac:dyDescent="0.25">
      <c r="A1601" s="10">
        <f t="shared" si="6"/>
        <v>1587</v>
      </c>
      <c r="B1601" s="559" t="s">
        <v>303</v>
      </c>
      <c r="C1601" s="327"/>
      <c r="D1601" s="560" t="s">
        <v>307</v>
      </c>
      <c r="E1601" s="327"/>
      <c r="F1601" s="537" t="s">
        <v>334</v>
      </c>
      <c r="G1601" s="327"/>
      <c r="H1601" s="546" t="s">
        <v>334</v>
      </c>
      <c r="I1601" s="327"/>
      <c r="J1601" s="562"/>
      <c r="K1601" s="327"/>
      <c r="L1601" s="562"/>
      <c r="M1601" s="327"/>
      <c r="N1601" s="20"/>
      <c r="O1601" s="24"/>
      <c r="P1601" s="524"/>
      <c r="Q1601" s="327"/>
      <c r="R1601" s="538"/>
      <c r="S1601" s="327"/>
      <c r="T1601" s="539"/>
      <c r="U1601" s="327"/>
      <c r="V1601" s="540"/>
      <c r="W1601" s="327"/>
      <c r="X1601" s="541" t="s">
        <v>303</v>
      </c>
      <c r="Y1601" s="326"/>
      <c r="Z1601" s="326"/>
      <c r="AA1601" s="327"/>
      <c r="AB1601" s="542" t="s">
        <v>303</v>
      </c>
      <c r="AC1601" s="326"/>
      <c r="AD1601" s="326"/>
      <c r="AE1601" s="327"/>
      <c r="AF1601" s="543"/>
      <c r="AG1601" s="327"/>
      <c r="AH1601" s="543"/>
      <c r="AI1601" s="327"/>
      <c r="AJ1601" s="536"/>
      <c r="AK1601" s="327"/>
      <c r="AL1601" s="537" t="s">
        <v>334</v>
      </c>
      <c r="AM1601" s="327"/>
      <c r="AN1601" s="546" t="s">
        <v>334</v>
      </c>
      <c r="AO1601" s="327"/>
      <c r="AP1601" s="547"/>
      <c r="AQ1601" s="327"/>
      <c r="AR1601" s="548"/>
      <c r="AS1601" s="327"/>
      <c r="AT1601" s="568"/>
      <c r="AU1601" s="327"/>
      <c r="AV1601" s="546" t="s">
        <v>334</v>
      </c>
      <c r="AW1601" s="327"/>
      <c r="AX1601" s="521"/>
      <c r="AY1601" s="326"/>
      <c r="AZ1601" s="327"/>
      <c r="BA1601" s="550"/>
      <c r="BB1601" s="327"/>
      <c r="BC1601" s="25"/>
      <c r="BD1601" s="544" t="s">
        <v>334</v>
      </c>
      <c r="BE1601" s="327"/>
      <c r="BF1601" s="545"/>
      <c r="BG1601" s="326"/>
      <c r="BH1601" s="326"/>
      <c r="BI1601" s="327"/>
      <c r="BJ1601" s="557" t="s">
        <v>303</v>
      </c>
      <c r="BK1601" s="326"/>
      <c r="BL1601" s="326"/>
      <c r="BM1601" s="327"/>
      <c r="BN1601" s="558" t="s">
        <v>303</v>
      </c>
      <c r="BO1601" s="326"/>
      <c r="BP1601" s="326"/>
      <c r="BQ1601" s="326"/>
      <c r="BR1601" s="326"/>
      <c r="BS1601" s="326"/>
      <c r="BT1601" s="326"/>
      <c r="BU1601" s="326"/>
      <c r="BV1601" s="327"/>
    </row>
    <row r="1602" spans="1:74" ht="45" customHeight="1" x14ac:dyDescent="0.25">
      <c r="A1602" s="10">
        <f t="shared" si="6"/>
        <v>1588</v>
      </c>
      <c r="B1602" s="564" t="s">
        <v>303</v>
      </c>
      <c r="C1602" s="327"/>
      <c r="D1602" s="565" t="s">
        <v>307</v>
      </c>
      <c r="E1602" s="327"/>
      <c r="F1602" s="537" t="s">
        <v>334</v>
      </c>
      <c r="G1602" s="327"/>
      <c r="H1602" s="553" t="s">
        <v>334</v>
      </c>
      <c r="I1602" s="327"/>
      <c r="J1602" s="567"/>
      <c r="K1602" s="327"/>
      <c r="L1602" s="567"/>
      <c r="M1602" s="327"/>
      <c r="N1602" s="23"/>
      <c r="O1602" s="21"/>
      <c r="P1602" s="563"/>
      <c r="Q1602" s="327"/>
      <c r="R1602" s="516"/>
      <c r="S1602" s="327"/>
      <c r="T1602" s="517"/>
      <c r="U1602" s="327"/>
      <c r="V1602" s="518"/>
      <c r="W1602" s="327"/>
      <c r="X1602" s="438" t="s">
        <v>303</v>
      </c>
      <c r="Y1602" s="326"/>
      <c r="Z1602" s="326"/>
      <c r="AA1602" s="327"/>
      <c r="AB1602" s="519" t="s">
        <v>303</v>
      </c>
      <c r="AC1602" s="326"/>
      <c r="AD1602" s="326"/>
      <c r="AE1602" s="327"/>
      <c r="AF1602" s="520"/>
      <c r="AG1602" s="327"/>
      <c r="AH1602" s="520"/>
      <c r="AI1602" s="327"/>
      <c r="AJ1602" s="536"/>
      <c r="AK1602" s="327"/>
      <c r="AL1602" s="556" t="s">
        <v>334</v>
      </c>
      <c r="AM1602" s="327"/>
      <c r="AN1602" s="553" t="s">
        <v>334</v>
      </c>
      <c r="AO1602" s="327"/>
      <c r="AP1602" s="554"/>
      <c r="AQ1602" s="327"/>
      <c r="AR1602" s="555"/>
      <c r="AS1602" s="327"/>
      <c r="AT1602" s="549"/>
      <c r="AU1602" s="327"/>
      <c r="AV1602" s="553" t="s">
        <v>334</v>
      </c>
      <c r="AW1602" s="327"/>
      <c r="AX1602" s="521"/>
      <c r="AY1602" s="326"/>
      <c r="AZ1602" s="327"/>
      <c r="BA1602" s="536"/>
      <c r="BB1602" s="327"/>
      <c r="BC1602" s="22"/>
      <c r="BD1602" s="551" t="s">
        <v>334</v>
      </c>
      <c r="BE1602" s="327"/>
      <c r="BF1602" s="552"/>
      <c r="BG1602" s="326"/>
      <c r="BH1602" s="326"/>
      <c r="BI1602" s="327"/>
      <c r="BJ1602" s="451" t="s">
        <v>303</v>
      </c>
      <c r="BK1602" s="326"/>
      <c r="BL1602" s="326"/>
      <c r="BM1602" s="327"/>
      <c r="BN1602" s="558" t="s">
        <v>303</v>
      </c>
      <c r="BO1602" s="326"/>
      <c r="BP1602" s="326"/>
      <c r="BQ1602" s="326"/>
      <c r="BR1602" s="326"/>
      <c r="BS1602" s="326"/>
      <c r="BT1602" s="326"/>
      <c r="BU1602" s="326"/>
      <c r="BV1602" s="327"/>
    </row>
    <row r="1603" spans="1:74" ht="45" customHeight="1" x14ac:dyDescent="0.25">
      <c r="A1603" s="10">
        <f t="shared" si="6"/>
        <v>1589</v>
      </c>
      <c r="B1603" s="559" t="s">
        <v>303</v>
      </c>
      <c r="C1603" s="327"/>
      <c r="D1603" s="560" t="s">
        <v>307</v>
      </c>
      <c r="E1603" s="327"/>
      <c r="F1603" s="537" t="s">
        <v>334</v>
      </c>
      <c r="G1603" s="327"/>
      <c r="H1603" s="546" t="s">
        <v>334</v>
      </c>
      <c r="I1603" s="327"/>
      <c r="J1603" s="562"/>
      <c r="K1603" s="327"/>
      <c r="L1603" s="562"/>
      <c r="M1603" s="327"/>
      <c r="N1603" s="20"/>
      <c r="O1603" s="24"/>
      <c r="P1603" s="524"/>
      <c r="Q1603" s="327"/>
      <c r="R1603" s="538"/>
      <c r="S1603" s="327"/>
      <c r="T1603" s="539"/>
      <c r="U1603" s="327"/>
      <c r="V1603" s="540"/>
      <c r="W1603" s="327"/>
      <c r="X1603" s="541" t="s">
        <v>303</v>
      </c>
      <c r="Y1603" s="326"/>
      <c r="Z1603" s="326"/>
      <c r="AA1603" s="327"/>
      <c r="AB1603" s="542" t="s">
        <v>303</v>
      </c>
      <c r="AC1603" s="326"/>
      <c r="AD1603" s="326"/>
      <c r="AE1603" s="327"/>
      <c r="AF1603" s="543"/>
      <c r="AG1603" s="327"/>
      <c r="AH1603" s="543"/>
      <c r="AI1603" s="327"/>
      <c r="AJ1603" s="536"/>
      <c r="AK1603" s="327"/>
      <c r="AL1603" s="537" t="s">
        <v>334</v>
      </c>
      <c r="AM1603" s="327"/>
      <c r="AN1603" s="546" t="s">
        <v>334</v>
      </c>
      <c r="AO1603" s="327"/>
      <c r="AP1603" s="547"/>
      <c r="AQ1603" s="327"/>
      <c r="AR1603" s="548"/>
      <c r="AS1603" s="327"/>
      <c r="AT1603" s="568"/>
      <c r="AU1603" s="327"/>
      <c r="AV1603" s="546" t="s">
        <v>334</v>
      </c>
      <c r="AW1603" s="327"/>
      <c r="AX1603" s="521"/>
      <c r="AY1603" s="326"/>
      <c r="AZ1603" s="327"/>
      <c r="BA1603" s="550"/>
      <c r="BB1603" s="327"/>
      <c r="BC1603" s="25"/>
      <c r="BD1603" s="544" t="s">
        <v>334</v>
      </c>
      <c r="BE1603" s="327"/>
      <c r="BF1603" s="545"/>
      <c r="BG1603" s="326"/>
      <c r="BH1603" s="326"/>
      <c r="BI1603" s="327"/>
      <c r="BJ1603" s="557" t="s">
        <v>303</v>
      </c>
      <c r="BK1603" s="326"/>
      <c r="BL1603" s="326"/>
      <c r="BM1603" s="327"/>
      <c r="BN1603" s="558" t="s">
        <v>303</v>
      </c>
      <c r="BO1603" s="326"/>
      <c r="BP1603" s="326"/>
      <c r="BQ1603" s="326"/>
      <c r="BR1603" s="326"/>
      <c r="BS1603" s="326"/>
      <c r="BT1603" s="326"/>
      <c r="BU1603" s="326"/>
      <c r="BV1603" s="327"/>
    </row>
    <row r="1604" spans="1:74" ht="45" customHeight="1" x14ac:dyDescent="0.25">
      <c r="A1604" s="10">
        <f t="shared" si="6"/>
        <v>1590</v>
      </c>
      <c r="B1604" s="564" t="s">
        <v>303</v>
      </c>
      <c r="C1604" s="327"/>
      <c r="D1604" s="565" t="s">
        <v>307</v>
      </c>
      <c r="E1604" s="327"/>
      <c r="F1604" s="537" t="s">
        <v>334</v>
      </c>
      <c r="G1604" s="327"/>
      <c r="H1604" s="553" t="s">
        <v>334</v>
      </c>
      <c r="I1604" s="327"/>
      <c r="J1604" s="567"/>
      <c r="K1604" s="327"/>
      <c r="L1604" s="567"/>
      <c r="M1604" s="327"/>
      <c r="N1604" s="23"/>
      <c r="O1604" s="21"/>
      <c r="P1604" s="563"/>
      <c r="Q1604" s="327"/>
      <c r="R1604" s="516"/>
      <c r="S1604" s="327"/>
      <c r="T1604" s="517"/>
      <c r="U1604" s="327"/>
      <c r="V1604" s="518"/>
      <c r="W1604" s="327"/>
      <c r="X1604" s="438" t="s">
        <v>303</v>
      </c>
      <c r="Y1604" s="326"/>
      <c r="Z1604" s="326"/>
      <c r="AA1604" s="327"/>
      <c r="AB1604" s="519" t="s">
        <v>303</v>
      </c>
      <c r="AC1604" s="326"/>
      <c r="AD1604" s="326"/>
      <c r="AE1604" s="327"/>
      <c r="AF1604" s="520"/>
      <c r="AG1604" s="327"/>
      <c r="AH1604" s="520"/>
      <c r="AI1604" s="327"/>
      <c r="AJ1604" s="536"/>
      <c r="AK1604" s="327"/>
      <c r="AL1604" s="556" t="s">
        <v>334</v>
      </c>
      <c r="AM1604" s="327"/>
      <c r="AN1604" s="553" t="s">
        <v>334</v>
      </c>
      <c r="AO1604" s="327"/>
      <c r="AP1604" s="554"/>
      <c r="AQ1604" s="327"/>
      <c r="AR1604" s="555"/>
      <c r="AS1604" s="327"/>
      <c r="AT1604" s="549"/>
      <c r="AU1604" s="327"/>
      <c r="AV1604" s="553" t="s">
        <v>334</v>
      </c>
      <c r="AW1604" s="327"/>
      <c r="AX1604" s="521"/>
      <c r="AY1604" s="326"/>
      <c r="AZ1604" s="327"/>
      <c r="BA1604" s="536"/>
      <c r="BB1604" s="327"/>
      <c r="BC1604" s="22"/>
      <c r="BD1604" s="551" t="s">
        <v>334</v>
      </c>
      <c r="BE1604" s="327"/>
      <c r="BF1604" s="508"/>
      <c r="BG1604" s="326"/>
      <c r="BH1604" s="326"/>
      <c r="BI1604" s="327"/>
      <c r="BJ1604" s="451" t="s">
        <v>303</v>
      </c>
      <c r="BK1604" s="326"/>
      <c r="BL1604" s="326"/>
      <c r="BM1604" s="327"/>
      <c r="BN1604" s="558" t="s">
        <v>303</v>
      </c>
      <c r="BO1604" s="326"/>
      <c r="BP1604" s="326"/>
      <c r="BQ1604" s="326"/>
      <c r="BR1604" s="326"/>
      <c r="BS1604" s="326"/>
      <c r="BT1604" s="326"/>
      <c r="BU1604" s="326"/>
      <c r="BV1604" s="327"/>
    </row>
    <row r="1605" spans="1:74" ht="45" customHeight="1" x14ac:dyDescent="0.25">
      <c r="A1605" s="10">
        <f t="shared" si="6"/>
        <v>1591</v>
      </c>
      <c r="B1605" s="559" t="s">
        <v>303</v>
      </c>
      <c r="C1605" s="327"/>
      <c r="D1605" s="560" t="s">
        <v>307</v>
      </c>
      <c r="E1605" s="327"/>
      <c r="F1605" s="537" t="s">
        <v>334</v>
      </c>
      <c r="G1605" s="327"/>
      <c r="H1605" s="546" t="s">
        <v>334</v>
      </c>
      <c r="I1605" s="327"/>
      <c r="J1605" s="562"/>
      <c r="K1605" s="327"/>
      <c r="L1605" s="562"/>
      <c r="M1605" s="327"/>
      <c r="N1605" s="20"/>
      <c r="O1605" s="24"/>
      <c r="P1605" s="524"/>
      <c r="Q1605" s="327"/>
      <c r="R1605" s="538"/>
      <c r="S1605" s="327"/>
      <c r="T1605" s="539"/>
      <c r="U1605" s="327"/>
      <c r="V1605" s="540"/>
      <c r="W1605" s="327"/>
      <c r="X1605" s="541" t="s">
        <v>303</v>
      </c>
      <c r="Y1605" s="326"/>
      <c r="Z1605" s="326"/>
      <c r="AA1605" s="327"/>
      <c r="AB1605" s="542" t="s">
        <v>303</v>
      </c>
      <c r="AC1605" s="326"/>
      <c r="AD1605" s="326"/>
      <c r="AE1605" s="327"/>
      <c r="AF1605" s="543"/>
      <c r="AG1605" s="327"/>
      <c r="AH1605" s="543"/>
      <c r="AI1605" s="327"/>
      <c r="AJ1605" s="536"/>
      <c r="AK1605" s="327"/>
      <c r="AL1605" s="537" t="s">
        <v>334</v>
      </c>
      <c r="AM1605" s="327"/>
      <c r="AN1605" s="546" t="s">
        <v>334</v>
      </c>
      <c r="AO1605" s="327"/>
      <c r="AP1605" s="547"/>
      <c r="AQ1605" s="327"/>
      <c r="AR1605" s="548"/>
      <c r="AS1605" s="327"/>
      <c r="AT1605" s="568"/>
      <c r="AU1605" s="327"/>
      <c r="AV1605" s="546" t="s">
        <v>334</v>
      </c>
      <c r="AW1605" s="327"/>
      <c r="AX1605" s="521"/>
      <c r="AY1605" s="326"/>
      <c r="AZ1605" s="327"/>
      <c r="BA1605" s="550"/>
      <c r="BB1605" s="327"/>
      <c r="BC1605" s="25"/>
      <c r="BD1605" s="544" t="s">
        <v>334</v>
      </c>
      <c r="BE1605" s="327"/>
      <c r="BF1605" s="545"/>
      <c r="BG1605" s="326"/>
      <c r="BH1605" s="326"/>
      <c r="BI1605" s="327"/>
      <c r="BJ1605" s="557" t="s">
        <v>303</v>
      </c>
      <c r="BK1605" s="326"/>
      <c r="BL1605" s="326"/>
      <c r="BM1605" s="327"/>
      <c r="BN1605" s="558" t="s">
        <v>303</v>
      </c>
      <c r="BO1605" s="326"/>
      <c r="BP1605" s="326"/>
      <c r="BQ1605" s="326"/>
      <c r="BR1605" s="326"/>
      <c r="BS1605" s="326"/>
      <c r="BT1605" s="326"/>
      <c r="BU1605" s="326"/>
      <c r="BV1605" s="327"/>
    </row>
    <row r="1606" spans="1:74" ht="45" customHeight="1" x14ac:dyDescent="0.25">
      <c r="A1606" s="10">
        <f t="shared" si="6"/>
        <v>1592</v>
      </c>
      <c r="B1606" s="564" t="s">
        <v>303</v>
      </c>
      <c r="C1606" s="327"/>
      <c r="D1606" s="565" t="s">
        <v>307</v>
      </c>
      <c r="E1606" s="327"/>
      <c r="F1606" s="537" t="s">
        <v>334</v>
      </c>
      <c r="G1606" s="327"/>
      <c r="H1606" s="553" t="s">
        <v>334</v>
      </c>
      <c r="I1606" s="327"/>
      <c r="J1606" s="567"/>
      <c r="K1606" s="327"/>
      <c r="L1606" s="567"/>
      <c r="M1606" s="327"/>
      <c r="N1606" s="23"/>
      <c r="O1606" s="21"/>
      <c r="P1606" s="563"/>
      <c r="Q1606" s="327"/>
      <c r="R1606" s="516"/>
      <c r="S1606" s="327"/>
      <c r="T1606" s="517"/>
      <c r="U1606" s="327"/>
      <c r="V1606" s="518"/>
      <c r="W1606" s="327"/>
      <c r="X1606" s="438" t="s">
        <v>303</v>
      </c>
      <c r="Y1606" s="326"/>
      <c r="Z1606" s="326"/>
      <c r="AA1606" s="327"/>
      <c r="AB1606" s="519" t="s">
        <v>303</v>
      </c>
      <c r="AC1606" s="326"/>
      <c r="AD1606" s="326"/>
      <c r="AE1606" s="327"/>
      <c r="AF1606" s="520"/>
      <c r="AG1606" s="327"/>
      <c r="AH1606" s="520"/>
      <c r="AI1606" s="327"/>
      <c r="AJ1606" s="536"/>
      <c r="AK1606" s="327"/>
      <c r="AL1606" s="556" t="s">
        <v>334</v>
      </c>
      <c r="AM1606" s="327"/>
      <c r="AN1606" s="553" t="s">
        <v>334</v>
      </c>
      <c r="AO1606" s="327"/>
      <c r="AP1606" s="554"/>
      <c r="AQ1606" s="327"/>
      <c r="AR1606" s="555"/>
      <c r="AS1606" s="327"/>
      <c r="AT1606" s="549"/>
      <c r="AU1606" s="327"/>
      <c r="AV1606" s="553" t="s">
        <v>334</v>
      </c>
      <c r="AW1606" s="327"/>
      <c r="AX1606" s="521"/>
      <c r="AY1606" s="326"/>
      <c r="AZ1606" s="327"/>
      <c r="BA1606" s="536"/>
      <c r="BB1606" s="327"/>
      <c r="BC1606" s="22"/>
      <c r="BD1606" s="551" t="s">
        <v>334</v>
      </c>
      <c r="BE1606" s="327"/>
      <c r="BF1606" s="552"/>
      <c r="BG1606" s="326"/>
      <c r="BH1606" s="326"/>
      <c r="BI1606" s="327"/>
      <c r="BJ1606" s="451" t="s">
        <v>303</v>
      </c>
      <c r="BK1606" s="326"/>
      <c r="BL1606" s="326"/>
      <c r="BM1606" s="327"/>
      <c r="BN1606" s="558" t="s">
        <v>303</v>
      </c>
      <c r="BO1606" s="326"/>
      <c r="BP1606" s="326"/>
      <c r="BQ1606" s="326"/>
      <c r="BR1606" s="326"/>
      <c r="BS1606" s="326"/>
      <c r="BT1606" s="326"/>
      <c r="BU1606" s="326"/>
      <c r="BV1606" s="327"/>
    </row>
    <row r="1607" spans="1:74" ht="45" customHeight="1" x14ac:dyDescent="0.25">
      <c r="A1607" s="10">
        <f t="shared" si="6"/>
        <v>1593</v>
      </c>
      <c r="B1607" s="564" t="s">
        <v>303</v>
      </c>
      <c r="C1607" s="327"/>
      <c r="D1607" s="565" t="s">
        <v>307</v>
      </c>
      <c r="E1607" s="327"/>
      <c r="F1607" s="537" t="s">
        <v>334</v>
      </c>
      <c r="G1607" s="327"/>
      <c r="H1607" s="553" t="s">
        <v>334</v>
      </c>
      <c r="I1607" s="327"/>
      <c r="J1607" s="567"/>
      <c r="K1607" s="327"/>
      <c r="L1607" s="567"/>
      <c r="M1607" s="327"/>
      <c r="N1607" s="23"/>
      <c r="O1607" s="21"/>
      <c r="P1607" s="563"/>
      <c r="Q1607" s="327"/>
      <c r="R1607" s="516"/>
      <c r="S1607" s="327"/>
      <c r="T1607" s="517"/>
      <c r="U1607" s="327"/>
      <c r="V1607" s="518"/>
      <c r="W1607" s="327"/>
      <c r="X1607" s="438" t="s">
        <v>303</v>
      </c>
      <c r="Y1607" s="326"/>
      <c r="Z1607" s="326"/>
      <c r="AA1607" s="327"/>
      <c r="AB1607" s="519" t="s">
        <v>303</v>
      </c>
      <c r="AC1607" s="326"/>
      <c r="AD1607" s="326"/>
      <c r="AE1607" s="327"/>
      <c r="AF1607" s="520"/>
      <c r="AG1607" s="327"/>
      <c r="AH1607" s="520"/>
      <c r="AI1607" s="327"/>
      <c r="AJ1607" s="536"/>
      <c r="AK1607" s="327"/>
      <c r="AL1607" s="556" t="s">
        <v>334</v>
      </c>
      <c r="AM1607" s="327"/>
      <c r="AN1607" s="553" t="s">
        <v>334</v>
      </c>
      <c r="AO1607" s="327"/>
      <c r="AP1607" s="554"/>
      <c r="AQ1607" s="327"/>
      <c r="AR1607" s="555"/>
      <c r="AS1607" s="327"/>
      <c r="AT1607" s="549"/>
      <c r="AU1607" s="327"/>
      <c r="AV1607" s="553" t="s">
        <v>334</v>
      </c>
      <c r="AW1607" s="327"/>
      <c r="AX1607" s="521"/>
      <c r="AY1607" s="326"/>
      <c r="AZ1607" s="327"/>
      <c r="BA1607" s="536"/>
      <c r="BB1607" s="327"/>
      <c r="BC1607" s="22"/>
      <c r="BD1607" s="551" t="s">
        <v>334</v>
      </c>
      <c r="BE1607" s="327"/>
      <c r="BF1607" s="508"/>
      <c r="BG1607" s="326"/>
      <c r="BH1607" s="326"/>
      <c r="BI1607" s="327"/>
      <c r="BJ1607" s="451" t="s">
        <v>303</v>
      </c>
      <c r="BK1607" s="326"/>
      <c r="BL1607" s="326"/>
      <c r="BM1607" s="327"/>
      <c r="BN1607" s="558" t="s">
        <v>303</v>
      </c>
      <c r="BO1607" s="326"/>
      <c r="BP1607" s="326"/>
      <c r="BQ1607" s="326"/>
      <c r="BR1607" s="326"/>
      <c r="BS1607" s="326"/>
      <c r="BT1607" s="326"/>
      <c r="BU1607" s="326"/>
      <c r="BV1607" s="327"/>
    </row>
    <row r="1608" spans="1:74" ht="45" customHeight="1" x14ac:dyDescent="0.25">
      <c r="A1608" s="10">
        <f t="shared" si="6"/>
        <v>1594</v>
      </c>
      <c r="B1608" s="559" t="s">
        <v>303</v>
      </c>
      <c r="C1608" s="327"/>
      <c r="D1608" s="560" t="s">
        <v>307</v>
      </c>
      <c r="E1608" s="327"/>
      <c r="F1608" s="537" t="s">
        <v>334</v>
      </c>
      <c r="G1608" s="327"/>
      <c r="H1608" s="546" t="s">
        <v>334</v>
      </c>
      <c r="I1608" s="327"/>
      <c r="J1608" s="562"/>
      <c r="K1608" s="327"/>
      <c r="L1608" s="562"/>
      <c r="M1608" s="327"/>
      <c r="N1608" s="20"/>
      <c r="O1608" s="24"/>
      <c r="P1608" s="524"/>
      <c r="Q1608" s="327"/>
      <c r="R1608" s="538"/>
      <c r="S1608" s="327"/>
      <c r="T1608" s="539"/>
      <c r="U1608" s="327"/>
      <c r="V1608" s="540"/>
      <c r="W1608" s="327"/>
      <c r="X1608" s="541" t="s">
        <v>303</v>
      </c>
      <c r="Y1608" s="326"/>
      <c r="Z1608" s="326"/>
      <c r="AA1608" s="327"/>
      <c r="AB1608" s="542" t="s">
        <v>303</v>
      </c>
      <c r="AC1608" s="326"/>
      <c r="AD1608" s="326"/>
      <c r="AE1608" s="327"/>
      <c r="AF1608" s="543"/>
      <c r="AG1608" s="327"/>
      <c r="AH1608" s="543"/>
      <c r="AI1608" s="327"/>
      <c r="AJ1608" s="536"/>
      <c r="AK1608" s="327"/>
      <c r="AL1608" s="537" t="s">
        <v>334</v>
      </c>
      <c r="AM1608" s="327"/>
      <c r="AN1608" s="546" t="s">
        <v>334</v>
      </c>
      <c r="AO1608" s="327"/>
      <c r="AP1608" s="547"/>
      <c r="AQ1608" s="327"/>
      <c r="AR1608" s="548"/>
      <c r="AS1608" s="327"/>
      <c r="AT1608" s="568"/>
      <c r="AU1608" s="327"/>
      <c r="AV1608" s="546" t="s">
        <v>334</v>
      </c>
      <c r="AW1608" s="327"/>
      <c r="AX1608" s="521"/>
      <c r="AY1608" s="326"/>
      <c r="AZ1608" s="327"/>
      <c r="BA1608" s="550"/>
      <c r="BB1608" s="327"/>
      <c r="BC1608" s="25"/>
      <c r="BD1608" s="544" t="s">
        <v>334</v>
      </c>
      <c r="BE1608" s="327"/>
      <c r="BF1608" s="545"/>
      <c r="BG1608" s="326"/>
      <c r="BH1608" s="326"/>
      <c r="BI1608" s="327"/>
      <c r="BJ1608" s="557" t="s">
        <v>303</v>
      </c>
      <c r="BK1608" s="326"/>
      <c r="BL1608" s="326"/>
      <c r="BM1608" s="327"/>
      <c r="BN1608" s="558" t="s">
        <v>303</v>
      </c>
      <c r="BO1608" s="326"/>
      <c r="BP1608" s="326"/>
      <c r="BQ1608" s="326"/>
      <c r="BR1608" s="326"/>
      <c r="BS1608" s="326"/>
      <c r="BT1608" s="326"/>
      <c r="BU1608" s="326"/>
      <c r="BV1608" s="327"/>
    </row>
    <row r="1609" spans="1:74" ht="45" customHeight="1" x14ac:dyDescent="0.25">
      <c r="A1609" s="10">
        <f t="shared" si="6"/>
        <v>1595</v>
      </c>
      <c r="B1609" s="564" t="s">
        <v>303</v>
      </c>
      <c r="C1609" s="327"/>
      <c r="D1609" s="565" t="s">
        <v>307</v>
      </c>
      <c r="E1609" s="327"/>
      <c r="F1609" s="537" t="s">
        <v>334</v>
      </c>
      <c r="G1609" s="327"/>
      <c r="H1609" s="553" t="s">
        <v>334</v>
      </c>
      <c r="I1609" s="327"/>
      <c r="J1609" s="569"/>
      <c r="K1609" s="327"/>
      <c r="L1609" s="569"/>
      <c r="M1609" s="327"/>
      <c r="N1609" s="23"/>
      <c r="O1609" s="21"/>
      <c r="P1609" s="563"/>
      <c r="Q1609" s="327"/>
      <c r="R1609" s="516"/>
      <c r="S1609" s="327"/>
      <c r="T1609" s="517"/>
      <c r="U1609" s="327"/>
      <c r="V1609" s="518"/>
      <c r="W1609" s="327"/>
      <c r="X1609" s="438" t="s">
        <v>303</v>
      </c>
      <c r="Y1609" s="326"/>
      <c r="Z1609" s="326"/>
      <c r="AA1609" s="327"/>
      <c r="AB1609" s="519" t="s">
        <v>303</v>
      </c>
      <c r="AC1609" s="326"/>
      <c r="AD1609" s="326"/>
      <c r="AE1609" s="327"/>
      <c r="AF1609" s="520"/>
      <c r="AG1609" s="327"/>
      <c r="AH1609" s="520"/>
      <c r="AI1609" s="327"/>
      <c r="AJ1609" s="536"/>
      <c r="AK1609" s="327"/>
      <c r="AL1609" s="556" t="s">
        <v>334</v>
      </c>
      <c r="AM1609" s="327"/>
      <c r="AN1609" s="553" t="s">
        <v>334</v>
      </c>
      <c r="AO1609" s="327"/>
      <c r="AP1609" s="554"/>
      <c r="AQ1609" s="327"/>
      <c r="AR1609" s="555"/>
      <c r="AS1609" s="327"/>
      <c r="AT1609" s="549"/>
      <c r="AU1609" s="327"/>
      <c r="AV1609" s="553" t="s">
        <v>334</v>
      </c>
      <c r="AW1609" s="327"/>
      <c r="AX1609" s="521"/>
      <c r="AY1609" s="326"/>
      <c r="AZ1609" s="327"/>
      <c r="BA1609" s="536"/>
      <c r="BB1609" s="327"/>
      <c r="BC1609" s="22"/>
      <c r="BD1609" s="551" t="s">
        <v>334</v>
      </c>
      <c r="BE1609" s="327"/>
      <c r="BF1609" s="552"/>
      <c r="BG1609" s="326"/>
      <c r="BH1609" s="326"/>
      <c r="BI1609" s="327"/>
      <c r="BJ1609" s="451" t="s">
        <v>303</v>
      </c>
      <c r="BK1609" s="326"/>
      <c r="BL1609" s="326"/>
      <c r="BM1609" s="327"/>
      <c r="BN1609" s="558" t="s">
        <v>303</v>
      </c>
      <c r="BO1609" s="326"/>
      <c r="BP1609" s="326"/>
      <c r="BQ1609" s="326"/>
      <c r="BR1609" s="326"/>
      <c r="BS1609" s="326"/>
      <c r="BT1609" s="326"/>
      <c r="BU1609" s="326"/>
      <c r="BV1609" s="327"/>
    </row>
    <row r="1610" spans="1:74" ht="45" customHeight="1" x14ac:dyDescent="0.25">
      <c r="A1610" s="10">
        <f t="shared" si="6"/>
        <v>1596</v>
      </c>
      <c r="B1610" s="559" t="s">
        <v>303</v>
      </c>
      <c r="C1610" s="327"/>
      <c r="D1610" s="560" t="s">
        <v>307</v>
      </c>
      <c r="E1610" s="327"/>
      <c r="F1610" s="537" t="s">
        <v>334</v>
      </c>
      <c r="G1610" s="327"/>
      <c r="H1610" s="546" t="s">
        <v>334</v>
      </c>
      <c r="I1610" s="327"/>
      <c r="J1610" s="562"/>
      <c r="K1610" s="327"/>
      <c r="L1610" s="562"/>
      <c r="M1610" s="327"/>
      <c r="N1610" s="20"/>
      <c r="O1610" s="24"/>
      <c r="P1610" s="524"/>
      <c r="Q1610" s="327"/>
      <c r="R1610" s="538"/>
      <c r="S1610" s="327"/>
      <c r="T1610" s="539"/>
      <c r="U1610" s="327"/>
      <c r="V1610" s="540"/>
      <c r="W1610" s="327"/>
      <c r="X1610" s="541" t="s">
        <v>303</v>
      </c>
      <c r="Y1610" s="326"/>
      <c r="Z1610" s="326"/>
      <c r="AA1610" s="327"/>
      <c r="AB1610" s="542" t="s">
        <v>303</v>
      </c>
      <c r="AC1610" s="326"/>
      <c r="AD1610" s="326"/>
      <c r="AE1610" s="327"/>
      <c r="AF1610" s="543"/>
      <c r="AG1610" s="327"/>
      <c r="AH1610" s="543"/>
      <c r="AI1610" s="327"/>
      <c r="AJ1610" s="536"/>
      <c r="AK1610" s="327"/>
      <c r="AL1610" s="537" t="s">
        <v>334</v>
      </c>
      <c r="AM1610" s="327"/>
      <c r="AN1610" s="546" t="s">
        <v>334</v>
      </c>
      <c r="AO1610" s="327"/>
      <c r="AP1610" s="547"/>
      <c r="AQ1610" s="327"/>
      <c r="AR1610" s="548"/>
      <c r="AS1610" s="327"/>
      <c r="AT1610" s="568"/>
      <c r="AU1610" s="327"/>
      <c r="AV1610" s="546" t="s">
        <v>334</v>
      </c>
      <c r="AW1610" s="327"/>
      <c r="AX1610" s="521"/>
      <c r="AY1610" s="326"/>
      <c r="AZ1610" s="327"/>
      <c r="BA1610" s="550"/>
      <c r="BB1610" s="327"/>
      <c r="BC1610" s="25"/>
      <c r="BD1610" s="544" t="s">
        <v>334</v>
      </c>
      <c r="BE1610" s="327"/>
      <c r="BF1610" s="545"/>
      <c r="BG1610" s="326"/>
      <c r="BH1610" s="326"/>
      <c r="BI1610" s="327"/>
      <c r="BJ1610" s="557" t="s">
        <v>303</v>
      </c>
      <c r="BK1610" s="326"/>
      <c r="BL1610" s="326"/>
      <c r="BM1610" s="327"/>
      <c r="BN1610" s="558" t="s">
        <v>303</v>
      </c>
      <c r="BO1610" s="326"/>
      <c r="BP1610" s="326"/>
      <c r="BQ1610" s="326"/>
      <c r="BR1610" s="326"/>
      <c r="BS1610" s="326"/>
      <c r="BT1610" s="326"/>
      <c r="BU1610" s="326"/>
      <c r="BV1610" s="327"/>
    </row>
    <row r="1611" spans="1:74" ht="45" customHeight="1" x14ac:dyDescent="0.25">
      <c r="A1611" s="10">
        <f t="shared" si="6"/>
        <v>1597</v>
      </c>
      <c r="B1611" s="564" t="s">
        <v>303</v>
      </c>
      <c r="C1611" s="327"/>
      <c r="D1611" s="565" t="s">
        <v>307</v>
      </c>
      <c r="E1611" s="327"/>
      <c r="F1611" s="537" t="s">
        <v>334</v>
      </c>
      <c r="G1611" s="327"/>
      <c r="H1611" s="553" t="s">
        <v>334</v>
      </c>
      <c r="I1611" s="327"/>
      <c r="J1611" s="567"/>
      <c r="K1611" s="327"/>
      <c r="L1611" s="567"/>
      <c r="M1611" s="327"/>
      <c r="N1611" s="23"/>
      <c r="O1611" s="21"/>
      <c r="P1611" s="563"/>
      <c r="Q1611" s="327"/>
      <c r="R1611" s="516"/>
      <c r="S1611" s="327"/>
      <c r="T1611" s="517"/>
      <c r="U1611" s="327"/>
      <c r="V1611" s="518"/>
      <c r="W1611" s="327"/>
      <c r="X1611" s="438" t="s">
        <v>303</v>
      </c>
      <c r="Y1611" s="326"/>
      <c r="Z1611" s="326"/>
      <c r="AA1611" s="327"/>
      <c r="AB1611" s="519" t="s">
        <v>303</v>
      </c>
      <c r="AC1611" s="326"/>
      <c r="AD1611" s="326"/>
      <c r="AE1611" s="327"/>
      <c r="AF1611" s="520"/>
      <c r="AG1611" s="327"/>
      <c r="AH1611" s="520"/>
      <c r="AI1611" s="327"/>
      <c r="AJ1611" s="536"/>
      <c r="AK1611" s="327"/>
      <c r="AL1611" s="556" t="s">
        <v>334</v>
      </c>
      <c r="AM1611" s="327"/>
      <c r="AN1611" s="553" t="s">
        <v>334</v>
      </c>
      <c r="AO1611" s="327"/>
      <c r="AP1611" s="554"/>
      <c r="AQ1611" s="327"/>
      <c r="AR1611" s="555"/>
      <c r="AS1611" s="327"/>
      <c r="AT1611" s="549"/>
      <c r="AU1611" s="327"/>
      <c r="AV1611" s="553" t="s">
        <v>334</v>
      </c>
      <c r="AW1611" s="327"/>
      <c r="AX1611" s="521"/>
      <c r="AY1611" s="326"/>
      <c r="AZ1611" s="327"/>
      <c r="BA1611" s="536"/>
      <c r="BB1611" s="327"/>
      <c r="BC1611" s="22"/>
      <c r="BD1611" s="551" t="s">
        <v>334</v>
      </c>
      <c r="BE1611" s="327"/>
      <c r="BF1611" s="552"/>
      <c r="BG1611" s="326"/>
      <c r="BH1611" s="326"/>
      <c r="BI1611" s="327"/>
      <c r="BJ1611" s="451" t="s">
        <v>303</v>
      </c>
      <c r="BK1611" s="326"/>
      <c r="BL1611" s="326"/>
      <c r="BM1611" s="327"/>
      <c r="BN1611" s="558" t="s">
        <v>303</v>
      </c>
      <c r="BO1611" s="326"/>
      <c r="BP1611" s="326"/>
      <c r="BQ1611" s="326"/>
      <c r="BR1611" s="326"/>
      <c r="BS1611" s="326"/>
      <c r="BT1611" s="326"/>
      <c r="BU1611" s="326"/>
      <c r="BV1611" s="327"/>
    </row>
    <row r="1612" spans="1:74" ht="45" customHeight="1" x14ac:dyDescent="0.25">
      <c r="A1612" s="10">
        <f t="shared" si="6"/>
        <v>1598</v>
      </c>
      <c r="B1612" s="564" t="s">
        <v>303</v>
      </c>
      <c r="C1612" s="327"/>
      <c r="D1612" s="565" t="s">
        <v>307</v>
      </c>
      <c r="E1612" s="327"/>
      <c r="F1612" s="537" t="s">
        <v>334</v>
      </c>
      <c r="G1612" s="327"/>
      <c r="H1612" s="553" t="s">
        <v>334</v>
      </c>
      <c r="I1612" s="327"/>
      <c r="J1612" s="567"/>
      <c r="K1612" s="327"/>
      <c r="L1612" s="567"/>
      <c r="M1612" s="327"/>
      <c r="N1612" s="23"/>
      <c r="O1612" s="21"/>
      <c r="P1612" s="563"/>
      <c r="Q1612" s="327"/>
      <c r="R1612" s="516"/>
      <c r="S1612" s="327"/>
      <c r="T1612" s="517"/>
      <c r="U1612" s="327"/>
      <c r="V1612" s="518"/>
      <c r="W1612" s="327"/>
      <c r="X1612" s="438" t="s">
        <v>303</v>
      </c>
      <c r="Y1612" s="326"/>
      <c r="Z1612" s="326"/>
      <c r="AA1612" s="327"/>
      <c r="AB1612" s="519" t="s">
        <v>303</v>
      </c>
      <c r="AC1612" s="326"/>
      <c r="AD1612" s="326"/>
      <c r="AE1612" s="327"/>
      <c r="AF1612" s="520"/>
      <c r="AG1612" s="327"/>
      <c r="AH1612" s="520"/>
      <c r="AI1612" s="327"/>
      <c r="AJ1612" s="536"/>
      <c r="AK1612" s="327"/>
      <c r="AL1612" s="556" t="s">
        <v>334</v>
      </c>
      <c r="AM1612" s="327"/>
      <c r="AN1612" s="553" t="s">
        <v>334</v>
      </c>
      <c r="AO1612" s="327"/>
      <c r="AP1612" s="554"/>
      <c r="AQ1612" s="327"/>
      <c r="AR1612" s="555"/>
      <c r="AS1612" s="327"/>
      <c r="AT1612" s="549"/>
      <c r="AU1612" s="327"/>
      <c r="AV1612" s="553" t="s">
        <v>334</v>
      </c>
      <c r="AW1612" s="327"/>
      <c r="AX1612" s="521"/>
      <c r="AY1612" s="326"/>
      <c r="AZ1612" s="327"/>
      <c r="BA1612" s="536"/>
      <c r="BB1612" s="327"/>
      <c r="BC1612" s="22"/>
      <c r="BD1612" s="551" t="s">
        <v>334</v>
      </c>
      <c r="BE1612" s="327"/>
      <c r="BF1612" s="508"/>
      <c r="BG1612" s="326"/>
      <c r="BH1612" s="326"/>
      <c r="BI1612" s="327"/>
      <c r="BJ1612" s="451" t="s">
        <v>303</v>
      </c>
      <c r="BK1612" s="326"/>
      <c r="BL1612" s="326"/>
      <c r="BM1612" s="327"/>
      <c r="BN1612" s="558" t="s">
        <v>303</v>
      </c>
      <c r="BO1612" s="326"/>
      <c r="BP1612" s="326"/>
      <c r="BQ1612" s="326"/>
      <c r="BR1612" s="326"/>
      <c r="BS1612" s="326"/>
      <c r="BT1612" s="326"/>
      <c r="BU1612" s="326"/>
      <c r="BV1612" s="327"/>
    </row>
    <row r="1613" spans="1:74" ht="45" customHeight="1" x14ac:dyDescent="0.25">
      <c r="A1613" s="10">
        <f t="shared" si="6"/>
        <v>1599</v>
      </c>
      <c r="B1613" s="559" t="s">
        <v>303</v>
      </c>
      <c r="C1613" s="327"/>
      <c r="D1613" s="560" t="s">
        <v>307</v>
      </c>
      <c r="E1613" s="327"/>
      <c r="F1613" s="537" t="s">
        <v>334</v>
      </c>
      <c r="G1613" s="327"/>
      <c r="H1613" s="546" t="s">
        <v>334</v>
      </c>
      <c r="I1613" s="327"/>
      <c r="J1613" s="562"/>
      <c r="K1613" s="327"/>
      <c r="L1613" s="562"/>
      <c r="M1613" s="327"/>
      <c r="N1613" s="20"/>
      <c r="O1613" s="24"/>
      <c r="P1613" s="524"/>
      <c r="Q1613" s="327"/>
      <c r="R1613" s="538"/>
      <c r="S1613" s="327"/>
      <c r="T1613" s="539"/>
      <c r="U1613" s="327"/>
      <c r="V1613" s="540"/>
      <c r="W1613" s="327"/>
      <c r="X1613" s="541" t="s">
        <v>303</v>
      </c>
      <c r="Y1613" s="326"/>
      <c r="Z1613" s="326"/>
      <c r="AA1613" s="327"/>
      <c r="AB1613" s="542" t="s">
        <v>303</v>
      </c>
      <c r="AC1613" s="326"/>
      <c r="AD1613" s="326"/>
      <c r="AE1613" s="327"/>
      <c r="AF1613" s="543"/>
      <c r="AG1613" s="327"/>
      <c r="AH1613" s="543"/>
      <c r="AI1613" s="327"/>
      <c r="AJ1613" s="536"/>
      <c r="AK1613" s="327"/>
      <c r="AL1613" s="537" t="s">
        <v>334</v>
      </c>
      <c r="AM1613" s="327"/>
      <c r="AN1613" s="546" t="s">
        <v>334</v>
      </c>
      <c r="AO1613" s="327"/>
      <c r="AP1613" s="547"/>
      <c r="AQ1613" s="327"/>
      <c r="AR1613" s="548"/>
      <c r="AS1613" s="327"/>
      <c r="AT1613" s="568"/>
      <c r="AU1613" s="327"/>
      <c r="AV1613" s="546" t="s">
        <v>334</v>
      </c>
      <c r="AW1613" s="327"/>
      <c r="AX1613" s="521"/>
      <c r="AY1613" s="326"/>
      <c r="AZ1613" s="327"/>
      <c r="BA1613" s="550"/>
      <c r="BB1613" s="327"/>
      <c r="BC1613" s="25"/>
      <c r="BD1613" s="544" t="s">
        <v>334</v>
      </c>
      <c r="BE1613" s="327"/>
      <c r="BF1613" s="545"/>
      <c r="BG1613" s="326"/>
      <c r="BH1613" s="326"/>
      <c r="BI1613" s="327"/>
      <c r="BJ1613" s="557" t="s">
        <v>303</v>
      </c>
      <c r="BK1613" s="326"/>
      <c r="BL1613" s="326"/>
      <c r="BM1613" s="327"/>
      <c r="BN1613" s="558" t="s">
        <v>303</v>
      </c>
      <c r="BO1613" s="326"/>
      <c r="BP1613" s="326"/>
      <c r="BQ1613" s="326"/>
      <c r="BR1613" s="326"/>
      <c r="BS1613" s="326"/>
      <c r="BT1613" s="326"/>
      <c r="BU1613" s="326"/>
      <c r="BV1613" s="327"/>
    </row>
    <row r="1614" spans="1:74" ht="45" customHeight="1" x14ac:dyDescent="0.25">
      <c r="A1614" s="10">
        <f t="shared" si="6"/>
        <v>1600</v>
      </c>
      <c r="B1614" s="564" t="s">
        <v>303</v>
      </c>
      <c r="C1614" s="327"/>
      <c r="D1614" s="565" t="s">
        <v>307</v>
      </c>
      <c r="E1614" s="327"/>
      <c r="F1614" s="537" t="s">
        <v>334</v>
      </c>
      <c r="G1614" s="327"/>
      <c r="H1614" s="553" t="s">
        <v>334</v>
      </c>
      <c r="I1614" s="327"/>
      <c r="J1614" s="569"/>
      <c r="K1614" s="327"/>
      <c r="L1614" s="569"/>
      <c r="M1614" s="327"/>
      <c r="N1614" s="23"/>
      <c r="O1614" s="21"/>
      <c r="P1614" s="563"/>
      <c r="Q1614" s="327"/>
      <c r="R1614" s="516"/>
      <c r="S1614" s="327"/>
      <c r="T1614" s="517"/>
      <c r="U1614" s="327"/>
      <c r="V1614" s="518"/>
      <c r="W1614" s="327"/>
      <c r="X1614" s="438" t="s">
        <v>303</v>
      </c>
      <c r="Y1614" s="326"/>
      <c r="Z1614" s="326"/>
      <c r="AA1614" s="327"/>
      <c r="AB1614" s="519" t="s">
        <v>303</v>
      </c>
      <c r="AC1614" s="326"/>
      <c r="AD1614" s="326"/>
      <c r="AE1614" s="327"/>
      <c r="AF1614" s="520"/>
      <c r="AG1614" s="327"/>
      <c r="AH1614" s="520"/>
      <c r="AI1614" s="327"/>
      <c r="AJ1614" s="536"/>
      <c r="AK1614" s="327"/>
      <c r="AL1614" s="556" t="s">
        <v>334</v>
      </c>
      <c r="AM1614" s="327"/>
      <c r="AN1614" s="553" t="s">
        <v>334</v>
      </c>
      <c r="AO1614" s="327"/>
      <c r="AP1614" s="554"/>
      <c r="AQ1614" s="327"/>
      <c r="AR1614" s="555"/>
      <c r="AS1614" s="327"/>
      <c r="AT1614" s="549"/>
      <c r="AU1614" s="327"/>
      <c r="AV1614" s="553" t="s">
        <v>334</v>
      </c>
      <c r="AW1614" s="327"/>
      <c r="AX1614" s="521"/>
      <c r="AY1614" s="326"/>
      <c r="AZ1614" s="327"/>
      <c r="BA1614" s="536"/>
      <c r="BB1614" s="327"/>
      <c r="BC1614" s="22"/>
      <c r="BD1614" s="551" t="s">
        <v>334</v>
      </c>
      <c r="BE1614" s="327"/>
      <c r="BF1614" s="552"/>
      <c r="BG1614" s="326"/>
      <c r="BH1614" s="326"/>
      <c r="BI1614" s="327"/>
      <c r="BJ1614" s="451" t="s">
        <v>303</v>
      </c>
      <c r="BK1614" s="326"/>
      <c r="BL1614" s="326"/>
      <c r="BM1614" s="327"/>
      <c r="BN1614" s="558" t="s">
        <v>303</v>
      </c>
      <c r="BO1614" s="326"/>
      <c r="BP1614" s="326"/>
      <c r="BQ1614" s="326"/>
      <c r="BR1614" s="326"/>
      <c r="BS1614" s="326"/>
      <c r="BT1614" s="326"/>
      <c r="BU1614" s="326"/>
      <c r="BV1614" s="327"/>
    </row>
    <row r="1615" spans="1:74" ht="15.75" customHeight="1" x14ac:dyDescent="0.25">
      <c r="AT1615" s="28"/>
      <c r="AU1615" s="28"/>
    </row>
    <row r="1616" spans="1:74" ht="15.75" customHeight="1" x14ac:dyDescent="0.25">
      <c r="AT1616" s="28"/>
      <c r="AU1616" s="28"/>
    </row>
    <row r="1617" spans="46:47" ht="15.75" customHeight="1" x14ac:dyDescent="0.25">
      <c r="AT1617" s="28"/>
      <c r="AU1617" s="28"/>
    </row>
    <row r="1618" spans="46:47" ht="15.75" customHeight="1" x14ac:dyDescent="0.25">
      <c r="AT1618" s="28"/>
      <c r="AU1618" s="28"/>
    </row>
    <row r="1619" spans="46:47" ht="15.75" customHeight="1" x14ac:dyDescent="0.25">
      <c r="AT1619" s="28"/>
      <c r="AU1619" s="28"/>
    </row>
    <row r="1620" spans="46:47" ht="15.75" customHeight="1" x14ac:dyDescent="0.25">
      <c r="AT1620" s="28"/>
      <c r="AU1620" s="28"/>
    </row>
    <row r="1621" spans="46:47" ht="15.75" customHeight="1" x14ac:dyDescent="0.25">
      <c r="AT1621" s="28"/>
      <c r="AU1621" s="28"/>
    </row>
    <row r="1622" spans="46:47" ht="15.75" customHeight="1" x14ac:dyDescent="0.25">
      <c r="AT1622" s="28"/>
      <c r="AU1622" s="28"/>
    </row>
    <row r="1623" spans="46:47" ht="15.75" customHeight="1" x14ac:dyDescent="0.25">
      <c r="AT1623" s="28"/>
      <c r="AU1623" s="28"/>
    </row>
    <row r="1624" spans="46:47" ht="15.75" customHeight="1" x14ac:dyDescent="0.25">
      <c r="AT1624" s="28"/>
      <c r="AU1624" s="28"/>
    </row>
    <row r="1625" spans="46:47" ht="15.75" customHeight="1" x14ac:dyDescent="0.25">
      <c r="AT1625" s="28"/>
      <c r="AU1625" s="28"/>
    </row>
    <row r="1626" spans="46:47" ht="15.75" customHeight="1" x14ac:dyDescent="0.25">
      <c r="AT1626" s="28"/>
      <c r="AU1626" s="28"/>
    </row>
    <row r="1627" spans="46:47" ht="15.75" customHeight="1" x14ac:dyDescent="0.25">
      <c r="AT1627" s="28"/>
      <c r="AU1627" s="28"/>
    </row>
    <row r="1628" spans="46:47" ht="15.75" customHeight="1" x14ac:dyDescent="0.25">
      <c r="AT1628" s="28"/>
      <c r="AU1628" s="28"/>
    </row>
    <row r="1629" spans="46:47" ht="15.75" customHeight="1" x14ac:dyDescent="0.25">
      <c r="AT1629" s="28"/>
      <c r="AU1629" s="28"/>
    </row>
    <row r="1630" spans="46:47" ht="15.75" customHeight="1" x14ac:dyDescent="0.25">
      <c r="AT1630" s="28"/>
      <c r="AU1630" s="28"/>
    </row>
    <row r="1631" spans="46:47" ht="15.75" customHeight="1" x14ac:dyDescent="0.25">
      <c r="AT1631" s="28"/>
      <c r="AU1631" s="28"/>
    </row>
    <row r="1632" spans="46:47" ht="15.75" customHeight="1" x14ac:dyDescent="0.25">
      <c r="AT1632" s="28"/>
      <c r="AU1632" s="28"/>
    </row>
    <row r="1633" spans="46:47" ht="15.75" customHeight="1" x14ac:dyDescent="0.25">
      <c r="AT1633" s="28"/>
      <c r="AU1633" s="28"/>
    </row>
    <row r="1634" spans="46:47" ht="15.75" customHeight="1" x14ac:dyDescent="0.25">
      <c r="AT1634" s="28"/>
      <c r="AU1634" s="28"/>
    </row>
    <row r="1635" spans="46:47" ht="15.75" customHeight="1" x14ac:dyDescent="0.25">
      <c r="AT1635" s="28"/>
      <c r="AU1635" s="28"/>
    </row>
    <row r="1636" spans="46:47" ht="15.75" customHeight="1" x14ac:dyDescent="0.25">
      <c r="AT1636" s="28"/>
      <c r="AU1636" s="28"/>
    </row>
    <row r="1637" spans="46:47" ht="15.75" customHeight="1" x14ac:dyDescent="0.25">
      <c r="AT1637" s="28"/>
      <c r="AU1637" s="28"/>
    </row>
    <row r="1638" spans="46:47" ht="15.75" customHeight="1" x14ac:dyDescent="0.25">
      <c r="AT1638" s="28"/>
      <c r="AU1638" s="28"/>
    </row>
    <row r="1639" spans="46:47" ht="15.75" customHeight="1" x14ac:dyDescent="0.25">
      <c r="AT1639" s="28"/>
      <c r="AU1639" s="28"/>
    </row>
    <row r="1640" spans="46:47" ht="15.75" customHeight="1" x14ac:dyDescent="0.25">
      <c r="AT1640" s="28"/>
      <c r="AU1640" s="28"/>
    </row>
    <row r="1641" spans="46:47" ht="15.75" customHeight="1" x14ac:dyDescent="0.25">
      <c r="AT1641" s="28"/>
      <c r="AU1641" s="28"/>
    </row>
    <row r="1642" spans="46:47" ht="15.75" customHeight="1" x14ac:dyDescent="0.25">
      <c r="AT1642" s="28"/>
      <c r="AU1642" s="28"/>
    </row>
    <row r="1643" spans="46:47" ht="15.75" customHeight="1" x14ac:dyDescent="0.25">
      <c r="AT1643" s="28"/>
      <c r="AU1643" s="28"/>
    </row>
    <row r="1644" spans="46:47" ht="15.75" customHeight="1" x14ac:dyDescent="0.25">
      <c r="AT1644" s="28"/>
      <c r="AU1644" s="28"/>
    </row>
    <row r="1645" spans="46:47" ht="15.75" customHeight="1" x14ac:dyDescent="0.25">
      <c r="AT1645" s="28"/>
      <c r="AU1645" s="28"/>
    </row>
    <row r="1646" spans="46:47" ht="15.75" customHeight="1" x14ac:dyDescent="0.25">
      <c r="AT1646" s="28"/>
      <c r="AU1646" s="28"/>
    </row>
    <row r="1647" spans="46:47" ht="15.75" customHeight="1" x14ac:dyDescent="0.25">
      <c r="AT1647" s="28"/>
      <c r="AU1647" s="28"/>
    </row>
    <row r="1648" spans="46:47" ht="15.75" customHeight="1" x14ac:dyDescent="0.25">
      <c r="AT1648" s="28"/>
      <c r="AU1648" s="28"/>
    </row>
    <row r="1649" spans="46:47" ht="15.75" customHeight="1" x14ac:dyDescent="0.25">
      <c r="AT1649" s="28"/>
      <c r="AU1649" s="28"/>
    </row>
    <row r="1650" spans="46:47" ht="15.75" customHeight="1" x14ac:dyDescent="0.25">
      <c r="AT1650" s="28"/>
      <c r="AU1650" s="28"/>
    </row>
    <row r="1651" spans="46:47" ht="15.75" customHeight="1" x14ac:dyDescent="0.25">
      <c r="AT1651" s="28"/>
      <c r="AU1651" s="28"/>
    </row>
    <row r="1652" spans="46:47" ht="15.75" customHeight="1" x14ac:dyDescent="0.25">
      <c r="AT1652" s="28"/>
      <c r="AU1652" s="28"/>
    </row>
    <row r="1653" spans="46:47" ht="15.75" customHeight="1" x14ac:dyDescent="0.25">
      <c r="AT1653" s="28"/>
      <c r="AU1653" s="28"/>
    </row>
    <row r="1654" spans="46:47" ht="15.75" customHeight="1" x14ac:dyDescent="0.25">
      <c r="AT1654" s="28"/>
      <c r="AU1654" s="28"/>
    </row>
    <row r="1655" spans="46:47" ht="15.75" customHeight="1" x14ac:dyDescent="0.25">
      <c r="AT1655" s="28"/>
      <c r="AU1655" s="28"/>
    </row>
    <row r="1656" spans="46:47" ht="15.75" customHeight="1" x14ac:dyDescent="0.25">
      <c r="AT1656" s="28"/>
      <c r="AU1656" s="28"/>
    </row>
    <row r="1657" spans="46:47" ht="15.75" customHeight="1" x14ac:dyDescent="0.25">
      <c r="AT1657" s="28"/>
      <c r="AU1657" s="28"/>
    </row>
    <row r="1658" spans="46:47" ht="15.75" customHeight="1" x14ac:dyDescent="0.25">
      <c r="AT1658" s="28"/>
      <c r="AU1658" s="28"/>
    </row>
    <row r="1659" spans="46:47" ht="15.75" customHeight="1" x14ac:dyDescent="0.25">
      <c r="AT1659" s="28"/>
      <c r="AU1659" s="28"/>
    </row>
    <row r="1660" spans="46:47" ht="15.75" customHeight="1" x14ac:dyDescent="0.25">
      <c r="AT1660" s="28"/>
      <c r="AU1660" s="28"/>
    </row>
    <row r="1661" spans="46:47" ht="15.75" customHeight="1" x14ac:dyDescent="0.25">
      <c r="AT1661" s="28"/>
      <c r="AU1661" s="28"/>
    </row>
    <row r="1662" spans="46:47" ht="15.75" customHeight="1" x14ac:dyDescent="0.25">
      <c r="AT1662" s="28"/>
      <c r="AU1662" s="28"/>
    </row>
    <row r="1663" spans="46:47" ht="15.75" customHeight="1" x14ac:dyDescent="0.25">
      <c r="AT1663" s="28"/>
      <c r="AU1663" s="28"/>
    </row>
    <row r="1664" spans="46:47" ht="15.75" customHeight="1" x14ac:dyDescent="0.25">
      <c r="AT1664" s="28"/>
      <c r="AU1664" s="28"/>
    </row>
    <row r="1665" spans="46:47" ht="15.75" customHeight="1" x14ac:dyDescent="0.25">
      <c r="AT1665" s="28"/>
      <c r="AU1665" s="28"/>
    </row>
    <row r="1666" spans="46:47" ht="15.75" customHeight="1" x14ac:dyDescent="0.25">
      <c r="AT1666" s="28"/>
      <c r="AU1666" s="28"/>
    </row>
    <row r="1667" spans="46:47" ht="15.75" customHeight="1" x14ac:dyDescent="0.25">
      <c r="AT1667" s="28"/>
      <c r="AU1667" s="28"/>
    </row>
    <row r="1668" spans="46:47" ht="15.75" customHeight="1" x14ac:dyDescent="0.25">
      <c r="AT1668" s="28"/>
      <c r="AU1668" s="28"/>
    </row>
    <row r="1669" spans="46:47" ht="15.75" customHeight="1" x14ac:dyDescent="0.25">
      <c r="AT1669" s="28"/>
      <c r="AU1669" s="28"/>
    </row>
    <row r="1670" spans="46:47" ht="15.75" customHeight="1" x14ac:dyDescent="0.25">
      <c r="AT1670" s="28"/>
      <c r="AU1670" s="28"/>
    </row>
    <row r="1671" spans="46:47" ht="15.75" customHeight="1" x14ac:dyDescent="0.25">
      <c r="AT1671" s="28"/>
      <c r="AU1671" s="28"/>
    </row>
    <row r="1672" spans="46:47" ht="15.75" customHeight="1" x14ac:dyDescent="0.25">
      <c r="AT1672" s="28"/>
      <c r="AU1672" s="28"/>
    </row>
    <row r="1673" spans="46:47" ht="15.75" customHeight="1" x14ac:dyDescent="0.25">
      <c r="AT1673" s="28"/>
      <c r="AU1673" s="28"/>
    </row>
    <row r="1674" spans="46:47" ht="15.75" customHeight="1" x14ac:dyDescent="0.25">
      <c r="AT1674" s="28"/>
      <c r="AU1674" s="28"/>
    </row>
    <row r="1675" spans="46:47" ht="15.75" customHeight="1" x14ac:dyDescent="0.25">
      <c r="AT1675" s="28"/>
      <c r="AU1675" s="28"/>
    </row>
    <row r="1676" spans="46:47" ht="15.75" customHeight="1" x14ac:dyDescent="0.25">
      <c r="AT1676" s="28"/>
      <c r="AU1676" s="28"/>
    </row>
    <row r="1677" spans="46:47" ht="15.75" customHeight="1" x14ac:dyDescent="0.25">
      <c r="AT1677" s="28"/>
      <c r="AU1677" s="28"/>
    </row>
    <row r="1678" spans="46:47" ht="15.75" customHeight="1" x14ac:dyDescent="0.25">
      <c r="AT1678" s="28"/>
      <c r="AU1678" s="28"/>
    </row>
    <row r="1679" spans="46:47" ht="15.75" customHeight="1" x14ac:dyDescent="0.25">
      <c r="AT1679" s="28"/>
      <c r="AU1679" s="28"/>
    </row>
    <row r="1680" spans="46:47" ht="15.75" customHeight="1" x14ac:dyDescent="0.25">
      <c r="AT1680" s="28"/>
      <c r="AU1680" s="28"/>
    </row>
    <row r="1681" spans="46:47" ht="15.75" customHeight="1" x14ac:dyDescent="0.25">
      <c r="AT1681" s="28"/>
      <c r="AU1681" s="28"/>
    </row>
    <row r="1682" spans="46:47" ht="15.75" customHeight="1" x14ac:dyDescent="0.25">
      <c r="AT1682" s="28"/>
      <c r="AU1682" s="28"/>
    </row>
    <row r="1683" spans="46:47" ht="15.75" customHeight="1" x14ac:dyDescent="0.25">
      <c r="AT1683" s="28"/>
      <c r="AU1683" s="28"/>
    </row>
    <row r="1684" spans="46:47" ht="15.75" customHeight="1" x14ac:dyDescent="0.25">
      <c r="AT1684" s="28"/>
      <c r="AU1684" s="28"/>
    </row>
    <row r="1685" spans="46:47" ht="15.75" customHeight="1" x14ac:dyDescent="0.25">
      <c r="AT1685" s="28"/>
      <c r="AU1685" s="28"/>
    </row>
    <row r="1686" spans="46:47" ht="15.75" customHeight="1" x14ac:dyDescent="0.25">
      <c r="AT1686" s="28"/>
      <c r="AU1686" s="28"/>
    </row>
    <row r="1687" spans="46:47" ht="15.75" customHeight="1" x14ac:dyDescent="0.25">
      <c r="AT1687" s="28"/>
      <c r="AU1687" s="28"/>
    </row>
    <row r="1688" spans="46:47" ht="15.75" customHeight="1" x14ac:dyDescent="0.25">
      <c r="AT1688" s="28"/>
      <c r="AU1688" s="28"/>
    </row>
    <row r="1689" spans="46:47" ht="15.75" customHeight="1" x14ac:dyDescent="0.25">
      <c r="AT1689" s="28"/>
      <c r="AU1689" s="28"/>
    </row>
    <row r="1690" spans="46:47" ht="15.75" customHeight="1" x14ac:dyDescent="0.25">
      <c r="AT1690" s="28"/>
      <c r="AU1690" s="28"/>
    </row>
    <row r="1691" spans="46:47" ht="15.75" customHeight="1" x14ac:dyDescent="0.25">
      <c r="AT1691" s="28"/>
      <c r="AU1691" s="28"/>
    </row>
    <row r="1692" spans="46:47" ht="15.75" customHeight="1" x14ac:dyDescent="0.25">
      <c r="AT1692" s="28"/>
      <c r="AU1692" s="28"/>
    </row>
    <row r="1693" spans="46:47" ht="15.75" customHeight="1" x14ac:dyDescent="0.25">
      <c r="AT1693" s="28"/>
      <c r="AU1693" s="28"/>
    </row>
    <row r="1694" spans="46:47" ht="15.75" customHeight="1" x14ac:dyDescent="0.25">
      <c r="AT1694" s="28"/>
      <c r="AU1694" s="28"/>
    </row>
    <row r="1695" spans="46:47" ht="15.75" customHeight="1" x14ac:dyDescent="0.25">
      <c r="AT1695" s="28"/>
      <c r="AU1695" s="28"/>
    </row>
    <row r="1696" spans="46:47" ht="15.75" customHeight="1" x14ac:dyDescent="0.25">
      <c r="AT1696" s="28"/>
      <c r="AU1696" s="28"/>
    </row>
    <row r="1697" spans="46:47" ht="15.75" customHeight="1" x14ac:dyDescent="0.25">
      <c r="AT1697" s="28"/>
      <c r="AU1697" s="28"/>
    </row>
    <row r="1698" spans="46:47" ht="15.75" customHeight="1" x14ac:dyDescent="0.25">
      <c r="AT1698" s="28"/>
      <c r="AU1698" s="28"/>
    </row>
    <row r="1699" spans="46:47" ht="15.75" customHeight="1" x14ac:dyDescent="0.25">
      <c r="AT1699" s="28"/>
      <c r="AU1699" s="28"/>
    </row>
    <row r="1700" spans="46:47" ht="15.75" customHeight="1" x14ac:dyDescent="0.25">
      <c r="AT1700" s="28"/>
      <c r="AU1700" s="28"/>
    </row>
    <row r="1701" spans="46:47" ht="15.75" customHeight="1" x14ac:dyDescent="0.25">
      <c r="AT1701" s="28"/>
      <c r="AU1701" s="28"/>
    </row>
    <row r="1702" spans="46:47" ht="15.75" customHeight="1" x14ac:dyDescent="0.25">
      <c r="AT1702" s="28"/>
      <c r="AU1702" s="28"/>
    </row>
    <row r="1703" spans="46:47" ht="15.75" customHeight="1" x14ac:dyDescent="0.25">
      <c r="AT1703" s="28"/>
      <c r="AU1703" s="28"/>
    </row>
    <row r="1704" spans="46:47" ht="15.75" customHeight="1" x14ac:dyDescent="0.25">
      <c r="AT1704" s="28"/>
      <c r="AU1704" s="28"/>
    </row>
    <row r="1705" spans="46:47" ht="15.75" customHeight="1" x14ac:dyDescent="0.25">
      <c r="AT1705" s="28"/>
      <c r="AU1705" s="28"/>
    </row>
    <row r="1706" spans="46:47" ht="15.75" customHeight="1" x14ac:dyDescent="0.25">
      <c r="AT1706" s="28"/>
      <c r="AU1706" s="28"/>
    </row>
    <row r="1707" spans="46:47" ht="15.75" customHeight="1" x14ac:dyDescent="0.25">
      <c r="AT1707" s="28"/>
      <c r="AU1707" s="28"/>
    </row>
    <row r="1708" spans="46:47" ht="15.75" customHeight="1" x14ac:dyDescent="0.25">
      <c r="AT1708" s="28"/>
      <c r="AU1708" s="28"/>
    </row>
    <row r="1709" spans="46:47" ht="15.75" customHeight="1" x14ac:dyDescent="0.25">
      <c r="AT1709" s="28"/>
      <c r="AU1709" s="28"/>
    </row>
    <row r="1710" spans="46:47" ht="15.75" customHeight="1" x14ac:dyDescent="0.25">
      <c r="AT1710" s="28"/>
      <c r="AU1710" s="28"/>
    </row>
    <row r="1711" spans="46:47" ht="15.75" customHeight="1" x14ac:dyDescent="0.25">
      <c r="AT1711" s="28"/>
      <c r="AU1711" s="28"/>
    </row>
    <row r="1712" spans="46:47" ht="15.75" customHeight="1" x14ac:dyDescent="0.25">
      <c r="AT1712" s="28"/>
      <c r="AU1712" s="28"/>
    </row>
    <row r="1713" spans="46:47" ht="15.75" customHeight="1" x14ac:dyDescent="0.25">
      <c r="AT1713" s="28"/>
      <c r="AU1713" s="28"/>
    </row>
    <row r="1714" spans="46:47" ht="15.75" customHeight="1" x14ac:dyDescent="0.25">
      <c r="AT1714" s="28"/>
      <c r="AU1714" s="28"/>
    </row>
    <row r="1715" spans="46:47" ht="15.75" customHeight="1" x14ac:dyDescent="0.25">
      <c r="AT1715" s="28"/>
      <c r="AU1715" s="28"/>
    </row>
    <row r="1716" spans="46:47" ht="15.75" customHeight="1" x14ac:dyDescent="0.25">
      <c r="AT1716" s="28"/>
      <c r="AU1716" s="28"/>
    </row>
    <row r="1717" spans="46:47" ht="15.75" customHeight="1" x14ac:dyDescent="0.25">
      <c r="AT1717" s="28"/>
      <c r="AU1717" s="28"/>
    </row>
    <row r="1718" spans="46:47" ht="15.75" customHeight="1" x14ac:dyDescent="0.25">
      <c r="AT1718" s="28"/>
      <c r="AU1718" s="28"/>
    </row>
    <row r="1719" spans="46:47" ht="15.75" customHeight="1" x14ac:dyDescent="0.25">
      <c r="AT1719" s="28"/>
      <c r="AU1719" s="28"/>
    </row>
    <row r="1720" spans="46:47" ht="15.75" customHeight="1" x14ac:dyDescent="0.25">
      <c r="AT1720" s="28"/>
      <c r="AU1720" s="28"/>
    </row>
    <row r="1721" spans="46:47" ht="15.75" customHeight="1" x14ac:dyDescent="0.25">
      <c r="AT1721" s="28"/>
      <c r="AU1721" s="28"/>
    </row>
    <row r="1722" spans="46:47" ht="15.75" customHeight="1" x14ac:dyDescent="0.25">
      <c r="AT1722" s="28"/>
      <c r="AU1722" s="28"/>
    </row>
    <row r="1723" spans="46:47" ht="15.75" customHeight="1" x14ac:dyDescent="0.25">
      <c r="AT1723" s="28"/>
      <c r="AU1723" s="28"/>
    </row>
    <row r="1724" spans="46:47" ht="15.75" customHeight="1" x14ac:dyDescent="0.25">
      <c r="AT1724" s="28"/>
      <c r="AU1724" s="28"/>
    </row>
  </sheetData>
  <mergeCells count="42770">
    <mergeCell ref="B1409:C1409"/>
    <mergeCell ref="D1409:E1409"/>
    <mergeCell ref="F1409:G1409"/>
    <mergeCell ref="H1409:I1409"/>
    <mergeCell ref="J1409:K1409"/>
    <mergeCell ref="L1409:M1409"/>
    <mergeCell ref="P1409:Q1409"/>
    <mergeCell ref="AX1409:AZ1409"/>
    <mergeCell ref="BA1409:BB1409"/>
    <mergeCell ref="BD1409:BE1409"/>
    <mergeCell ref="BF1409:BI1409"/>
    <mergeCell ref="BJ1409:BM1409"/>
    <mergeCell ref="BN1409:BV1409"/>
    <mergeCell ref="AJ1407:AK1407"/>
    <mergeCell ref="AL1407:AM1407"/>
    <mergeCell ref="AN1409:AO1409"/>
    <mergeCell ref="AP1409:AQ1409"/>
    <mergeCell ref="AR1409:AS1409"/>
    <mergeCell ref="AT1409:AU1409"/>
    <mergeCell ref="AV1409:AW1409"/>
    <mergeCell ref="B1407:C1407"/>
    <mergeCell ref="D1407:E1407"/>
    <mergeCell ref="F1407:G1407"/>
    <mergeCell ref="H1407:I1407"/>
    <mergeCell ref="J1407:K1407"/>
    <mergeCell ref="L1407:M1407"/>
    <mergeCell ref="P1407:Q1407"/>
    <mergeCell ref="AX1407:AZ1407"/>
    <mergeCell ref="BA1407:BB1407"/>
    <mergeCell ref="BD1407:BE1407"/>
    <mergeCell ref="BF1407:BI1407"/>
    <mergeCell ref="BJ1407:BM1407"/>
    <mergeCell ref="BN1407:BV1407"/>
    <mergeCell ref="AN1407:AO1407"/>
    <mergeCell ref="AP1407:AQ1407"/>
    <mergeCell ref="AR1407:AS1407"/>
    <mergeCell ref="AT1407:AU1407"/>
    <mergeCell ref="AV1407:AW1407"/>
    <mergeCell ref="R1407:S1407"/>
    <mergeCell ref="T1407:U1407"/>
    <mergeCell ref="V1407:W1407"/>
    <mergeCell ref="X1407:AA1407"/>
    <mergeCell ref="AB1407:AE1407"/>
    <mergeCell ref="AF1407:AG1407"/>
    <mergeCell ref="AH1407:AI1407"/>
    <mergeCell ref="V1408:W1408"/>
    <mergeCell ref="X1408:AA1408"/>
    <mergeCell ref="AB1408:AE1408"/>
    <mergeCell ref="AF1408:AG1408"/>
    <mergeCell ref="AH1408:AI1408"/>
    <mergeCell ref="AJ1408:AK1408"/>
    <mergeCell ref="AL1408:AM1408"/>
    <mergeCell ref="BD1408:BE1408"/>
    <mergeCell ref="BF1408:BI1408"/>
    <mergeCell ref="BJ1408:BM1408"/>
    <mergeCell ref="BN1408:BV1408"/>
    <mergeCell ref="AN1408:AO1408"/>
    <mergeCell ref="AP1408:AQ1408"/>
    <mergeCell ref="AR1408:AS1408"/>
    <mergeCell ref="AT1408:AU1408"/>
    <mergeCell ref="AV1408:AW1408"/>
    <mergeCell ref="AX1408:AZ1408"/>
    <mergeCell ref="BA1408:BB1408"/>
    <mergeCell ref="B1408:C1408"/>
    <mergeCell ref="D1408:E1408"/>
    <mergeCell ref="F1408:G1408"/>
    <mergeCell ref="H1408:I1408"/>
    <mergeCell ref="P1408:Q1408"/>
    <mergeCell ref="R1408:S1408"/>
    <mergeCell ref="T1408:U1408"/>
    <mergeCell ref="AN1405:AO1405"/>
    <mergeCell ref="AP1405:AQ1405"/>
    <mergeCell ref="AR1405:AS1405"/>
    <mergeCell ref="AT1405:AU1405"/>
    <mergeCell ref="AV1405:AW1405"/>
    <mergeCell ref="R1405:S1405"/>
    <mergeCell ref="T1405:U1405"/>
    <mergeCell ref="V1405:W1405"/>
    <mergeCell ref="X1405:AA1405"/>
    <mergeCell ref="AB1405:AE1405"/>
    <mergeCell ref="AF1405:AG1405"/>
    <mergeCell ref="AH1405:AI1405"/>
    <mergeCell ref="V1406:W1406"/>
    <mergeCell ref="X1406:AA1406"/>
    <mergeCell ref="AB1406:AE1406"/>
    <mergeCell ref="AF1406:AG1406"/>
    <mergeCell ref="AH1406:AI1406"/>
    <mergeCell ref="AJ1406:AK1406"/>
    <mergeCell ref="AL1406:AM1406"/>
    <mergeCell ref="BD1406:BE1406"/>
    <mergeCell ref="BF1406:BI1406"/>
    <mergeCell ref="BJ1406:BM1406"/>
    <mergeCell ref="BN1406:BV1406"/>
    <mergeCell ref="AN1406:AO1406"/>
    <mergeCell ref="AP1406:AQ1406"/>
    <mergeCell ref="AR1406:AS1406"/>
    <mergeCell ref="AT1406:AU1406"/>
    <mergeCell ref="AV1406:AW1406"/>
    <mergeCell ref="AX1406:AZ1406"/>
    <mergeCell ref="BA1406:BB1406"/>
    <mergeCell ref="B1406:C1406"/>
    <mergeCell ref="D1406:E1406"/>
    <mergeCell ref="F1406:G1406"/>
    <mergeCell ref="H1406:I1406"/>
    <mergeCell ref="P1406:Q1406"/>
    <mergeCell ref="R1406:S1406"/>
    <mergeCell ref="T1406:U1406"/>
    <mergeCell ref="AJ1405:AK1405"/>
    <mergeCell ref="AL1405:AM1405"/>
    <mergeCell ref="B1405:C1405"/>
    <mergeCell ref="D1405:E1405"/>
    <mergeCell ref="F1405:G1405"/>
    <mergeCell ref="H1405:I1405"/>
    <mergeCell ref="J1405:K1405"/>
    <mergeCell ref="L1405:M1405"/>
    <mergeCell ref="P1405:Q1405"/>
    <mergeCell ref="AX1405:AZ1405"/>
    <mergeCell ref="BA1405:BB1405"/>
    <mergeCell ref="BD1405:BE1405"/>
    <mergeCell ref="BF1405:BI1405"/>
    <mergeCell ref="BJ1405:BM1405"/>
    <mergeCell ref="BN1405:BV1405"/>
    <mergeCell ref="AN1403:AO1403"/>
    <mergeCell ref="AP1403:AQ1403"/>
    <mergeCell ref="AR1403:AS1403"/>
    <mergeCell ref="AT1403:AU1403"/>
    <mergeCell ref="AV1403:AW1403"/>
    <mergeCell ref="R1403:S1403"/>
    <mergeCell ref="T1403:U1403"/>
    <mergeCell ref="V1403:W1403"/>
    <mergeCell ref="X1403:AA1403"/>
    <mergeCell ref="AB1403:AE1403"/>
    <mergeCell ref="AF1403:AG1403"/>
    <mergeCell ref="AH1403:AI1403"/>
    <mergeCell ref="V1404:W1404"/>
    <mergeCell ref="X1404:AA1404"/>
    <mergeCell ref="AB1404:AE1404"/>
    <mergeCell ref="AF1404:AG1404"/>
    <mergeCell ref="AH1404:AI1404"/>
    <mergeCell ref="AJ1404:AK1404"/>
    <mergeCell ref="AL1404:AM1404"/>
    <mergeCell ref="BD1404:BE1404"/>
    <mergeCell ref="BF1404:BI1404"/>
    <mergeCell ref="BJ1404:BM1404"/>
    <mergeCell ref="BN1404:BV1404"/>
    <mergeCell ref="AN1404:AO1404"/>
    <mergeCell ref="AP1404:AQ1404"/>
    <mergeCell ref="AR1404:AS1404"/>
    <mergeCell ref="AT1404:AU1404"/>
    <mergeCell ref="AV1404:AW1404"/>
    <mergeCell ref="AX1404:AZ1404"/>
    <mergeCell ref="BA1404:BB1404"/>
    <mergeCell ref="B1404:C1404"/>
    <mergeCell ref="D1404:E1404"/>
    <mergeCell ref="F1404:G1404"/>
    <mergeCell ref="H1404:I1404"/>
    <mergeCell ref="P1404:Q1404"/>
    <mergeCell ref="R1404:S1404"/>
    <mergeCell ref="T1404:U1404"/>
    <mergeCell ref="AJ1403:AK1403"/>
    <mergeCell ref="AL1403:AM1403"/>
    <mergeCell ref="B1403:C1403"/>
    <mergeCell ref="D1403:E1403"/>
    <mergeCell ref="F1403:G1403"/>
    <mergeCell ref="H1403:I1403"/>
    <mergeCell ref="J1403:K1403"/>
    <mergeCell ref="L1403:M1403"/>
    <mergeCell ref="P1403:Q1403"/>
    <mergeCell ref="AX1403:AZ1403"/>
    <mergeCell ref="BA1403:BB1403"/>
    <mergeCell ref="BD1403:BE1403"/>
    <mergeCell ref="BF1403:BI1403"/>
    <mergeCell ref="BJ1403:BM1403"/>
    <mergeCell ref="BN1403:BV1403"/>
    <mergeCell ref="P1400:Q1400"/>
    <mergeCell ref="B1401:C1401"/>
    <mergeCell ref="D1401:E1401"/>
    <mergeCell ref="F1401:G1401"/>
    <mergeCell ref="H1401:I1401"/>
    <mergeCell ref="J1401:K1401"/>
    <mergeCell ref="L1401:M1401"/>
    <mergeCell ref="P1401:Q1401"/>
    <mergeCell ref="AJ1400:AK1400"/>
    <mergeCell ref="AL1400:AM1400"/>
    <mergeCell ref="AN1400:AO1400"/>
    <mergeCell ref="AP1400:AQ1400"/>
    <mergeCell ref="AR1400:AS1400"/>
    <mergeCell ref="AT1400:AU1400"/>
    <mergeCell ref="AV1400:AW1400"/>
    <mergeCell ref="R1401:S1401"/>
    <mergeCell ref="T1401:U1401"/>
    <mergeCell ref="V1401:W1401"/>
    <mergeCell ref="X1401:AA1401"/>
    <mergeCell ref="AB1401:AE1401"/>
    <mergeCell ref="AF1401:AG1401"/>
    <mergeCell ref="AH1401:AI1401"/>
    <mergeCell ref="V1402:W1402"/>
    <mergeCell ref="X1402:AA1402"/>
    <mergeCell ref="AB1402:AE1402"/>
    <mergeCell ref="AF1402:AG1402"/>
    <mergeCell ref="AH1402:AI1402"/>
    <mergeCell ref="AJ1402:AK1402"/>
    <mergeCell ref="AL1402:AM1402"/>
    <mergeCell ref="BD1402:BE1402"/>
    <mergeCell ref="BF1402:BI1402"/>
    <mergeCell ref="BJ1402:BM1402"/>
    <mergeCell ref="BN1402:BV1402"/>
    <mergeCell ref="AN1402:AO1402"/>
    <mergeCell ref="AP1402:AQ1402"/>
    <mergeCell ref="AR1402:AS1402"/>
    <mergeCell ref="AT1402:AU1402"/>
    <mergeCell ref="AV1402:AW1402"/>
    <mergeCell ref="AX1402:AZ1402"/>
    <mergeCell ref="BA1402:BB1402"/>
    <mergeCell ref="B1402:C1402"/>
    <mergeCell ref="D1402:E1402"/>
    <mergeCell ref="F1402:G1402"/>
    <mergeCell ref="H1402:I1402"/>
    <mergeCell ref="P1402:Q1402"/>
    <mergeCell ref="R1402:S1402"/>
    <mergeCell ref="T1402:U1402"/>
    <mergeCell ref="AJ1401:AK1401"/>
    <mergeCell ref="AL1401:AM1401"/>
    <mergeCell ref="BJ1398:BM1398"/>
    <mergeCell ref="BN1398:BV1398"/>
    <mergeCell ref="BJ1399:BM1399"/>
    <mergeCell ref="BN1399:BV1399"/>
    <mergeCell ref="B1398:C1398"/>
    <mergeCell ref="D1398:E1398"/>
    <mergeCell ref="F1398:G1398"/>
    <mergeCell ref="H1398:I1398"/>
    <mergeCell ref="J1398:K1398"/>
    <mergeCell ref="L1398:M1398"/>
    <mergeCell ref="P1398:Q1398"/>
    <mergeCell ref="B1399:C1399"/>
    <mergeCell ref="D1399:E1399"/>
    <mergeCell ref="F1399:G1399"/>
    <mergeCell ref="H1399:I1399"/>
    <mergeCell ref="J1399:K1399"/>
    <mergeCell ref="L1399:M1399"/>
    <mergeCell ref="P1399:Q1399"/>
    <mergeCell ref="AJ1398:AK1398"/>
    <mergeCell ref="AL1398:AM1398"/>
    <mergeCell ref="AN1398:AO1398"/>
    <mergeCell ref="AP1398:AQ1398"/>
    <mergeCell ref="AR1398:AS1398"/>
    <mergeCell ref="AT1398:AU1398"/>
    <mergeCell ref="AV1398:AW1398"/>
    <mergeCell ref="BD1401:BE1401"/>
    <mergeCell ref="BF1401:BI1401"/>
    <mergeCell ref="AN1401:AO1401"/>
    <mergeCell ref="AP1401:AQ1401"/>
    <mergeCell ref="AR1401:AS1401"/>
    <mergeCell ref="AT1401:AU1401"/>
    <mergeCell ref="AV1401:AW1401"/>
    <mergeCell ref="AX1401:AZ1401"/>
    <mergeCell ref="BA1401:BB1401"/>
    <mergeCell ref="AJ1399:AK1399"/>
    <mergeCell ref="AL1399:AM1399"/>
    <mergeCell ref="R1399:S1399"/>
    <mergeCell ref="T1399:U1399"/>
    <mergeCell ref="V1399:W1399"/>
    <mergeCell ref="X1399:AA1399"/>
    <mergeCell ref="AB1399:AE1399"/>
    <mergeCell ref="AF1399:AG1399"/>
    <mergeCell ref="AH1399:AI1399"/>
    <mergeCell ref="R1400:S1400"/>
    <mergeCell ref="T1400:U1400"/>
    <mergeCell ref="V1400:W1400"/>
    <mergeCell ref="X1400:AA1400"/>
    <mergeCell ref="AB1400:AE1400"/>
    <mergeCell ref="AF1400:AG1400"/>
    <mergeCell ref="AH1400:AI1400"/>
    <mergeCell ref="AX1400:AZ1400"/>
    <mergeCell ref="BA1400:BB1400"/>
    <mergeCell ref="BD1400:BE1400"/>
    <mergeCell ref="BF1400:BI1400"/>
    <mergeCell ref="BJ1400:BM1400"/>
    <mergeCell ref="BN1400:BV1400"/>
    <mergeCell ref="BJ1401:BM1401"/>
    <mergeCell ref="BN1401:BV1401"/>
    <mergeCell ref="B1400:C1400"/>
    <mergeCell ref="D1400:E1400"/>
    <mergeCell ref="F1400:G1400"/>
    <mergeCell ref="H1400:I1400"/>
    <mergeCell ref="J1400:K1400"/>
    <mergeCell ref="L1400:M1400"/>
    <mergeCell ref="P1396:Q1396"/>
    <mergeCell ref="B1397:C1397"/>
    <mergeCell ref="D1397:E1397"/>
    <mergeCell ref="F1397:G1397"/>
    <mergeCell ref="H1397:I1397"/>
    <mergeCell ref="J1397:K1397"/>
    <mergeCell ref="L1397:M1397"/>
    <mergeCell ref="P1397:Q1397"/>
    <mergeCell ref="AJ1396:AK1396"/>
    <mergeCell ref="AL1396:AM1396"/>
    <mergeCell ref="AN1396:AO1396"/>
    <mergeCell ref="AP1396:AQ1396"/>
    <mergeCell ref="AR1396:AS1396"/>
    <mergeCell ref="AT1396:AU1396"/>
    <mergeCell ref="AV1396:AW1396"/>
    <mergeCell ref="BD1399:BE1399"/>
    <mergeCell ref="BF1399:BI1399"/>
    <mergeCell ref="AN1399:AO1399"/>
    <mergeCell ref="AP1399:AQ1399"/>
    <mergeCell ref="AR1399:AS1399"/>
    <mergeCell ref="AT1399:AU1399"/>
    <mergeCell ref="AV1399:AW1399"/>
    <mergeCell ref="AX1399:AZ1399"/>
    <mergeCell ref="BA1399:BB1399"/>
    <mergeCell ref="AJ1397:AK1397"/>
    <mergeCell ref="AL1397:AM1397"/>
    <mergeCell ref="R1397:S1397"/>
    <mergeCell ref="T1397:U1397"/>
    <mergeCell ref="V1397:W1397"/>
    <mergeCell ref="X1397:AA1397"/>
    <mergeCell ref="AB1397:AE1397"/>
    <mergeCell ref="AF1397:AG1397"/>
    <mergeCell ref="AH1397:AI1397"/>
    <mergeCell ref="R1398:S1398"/>
    <mergeCell ref="T1398:U1398"/>
    <mergeCell ref="V1398:W1398"/>
    <mergeCell ref="X1398:AA1398"/>
    <mergeCell ref="AB1398:AE1398"/>
    <mergeCell ref="AF1398:AG1398"/>
    <mergeCell ref="AH1398:AI1398"/>
    <mergeCell ref="AX1398:AZ1398"/>
    <mergeCell ref="BA1398:BB1398"/>
    <mergeCell ref="BD1398:BE1398"/>
    <mergeCell ref="BF1398:BI1398"/>
    <mergeCell ref="BJ1394:BM1394"/>
    <mergeCell ref="BN1394:BV1394"/>
    <mergeCell ref="BJ1395:BM1395"/>
    <mergeCell ref="BN1395:BV1395"/>
    <mergeCell ref="B1394:C1394"/>
    <mergeCell ref="D1394:E1394"/>
    <mergeCell ref="F1394:G1394"/>
    <mergeCell ref="H1394:I1394"/>
    <mergeCell ref="J1394:K1394"/>
    <mergeCell ref="L1394:M1394"/>
    <mergeCell ref="P1394:Q1394"/>
    <mergeCell ref="B1395:C1395"/>
    <mergeCell ref="D1395:E1395"/>
    <mergeCell ref="F1395:G1395"/>
    <mergeCell ref="H1395:I1395"/>
    <mergeCell ref="J1395:K1395"/>
    <mergeCell ref="L1395:M1395"/>
    <mergeCell ref="P1395:Q1395"/>
    <mergeCell ref="AJ1394:AK1394"/>
    <mergeCell ref="AL1394:AM1394"/>
    <mergeCell ref="AN1394:AO1394"/>
    <mergeCell ref="AP1394:AQ1394"/>
    <mergeCell ref="AR1394:AS1394"/>
    <mergeCell ref="AT1394:AU1394"/>
    <mergeCell ref="AV1394:AW1394"/>
    <mergeCell ref="BD1397:BE1397"/>
    <mergeCell ref="BF1397:BI1397"/>
    <mergeCell ref="AN1397:AO1397"/>
    <mergeCell ref="AP1397:AQ1397"/>
    <mergeCell ref="AR1397:AS1397"/>
    <mergeCell ref="AT1397:AU1397"/>
    <mergeCell ref="AV1397:AW1397"/>
    <mergeCell ref="AX1397:AZ1397"/>
    <mergeCell ref="BA1397:BB1397"/>
    <mergeCell ref="AJ1395:AK1395"/>
    <mergeCell ref="AL1395:AM1395"/>
    <mergeCell ref="R1395:S1395"/>
    <mergeCell ref="T1395:U1395"/>
    <mergeCell ref="V1395:W1395"/>
    <mergeCell ref="X1395:AA1395"/>
    <mergeCell ref="AB1395:AE1395"/>
    <mergeCell ref="AF1395:AG1395"/>
    <mergeCell ref="AH1395:AI1395"/>
    <mergeCell ref="R1396:S1396"/>
    <mergeCell ref="T1396:U1396"/>
    <mergeCell ref="V1396:W1396"/>
    <mergeCell ref="X1396:AA1396"/>
    <mergeCell ref="AB1396:AE1396"/>
    <mergeCell ref="AF1396:AG1396"/>
    <mergeCell ref="AH1396:AI1396"/>
    <mergeCell ref="AX1396:AZ1396"/>
    <mergeCell ref="BA1396:BB1396"/>
    <mergeCell ref="BD1396:BE1396"/>
    <mergeCell ref="BF1396:BI1396"/>
    <mergeCell ref="BJ1396:BM1396"/>
    <mergeCell ref="BN1396:BV1396"/>
    <mergeCell ref="BJ1397:BM1397"/>
    <mergeCell ref="BN1397:BV1397"/>
    <mergeCell ref="B1396:C1396"/>
    <mergeCell ref="D1396:E1396"/>
    <mergeCell ref="F1396:G1396"/>
    <mergeCell ref="H1396:I1396"/>
    <mergeCell ref="J1396:K1396"/>
    <mergeCell ref="L1396:M1396"/>
    <mergeCell ref="B1390:C1390"/>
    <mergeCell ref="D1390:E1390"/>
    <mergeCell ref="F1390:G1390"/>
    <mergeCell ref="H1390:I1390"/>
    <mergeCell ref="J1390:K1390"/>
    <mergeCell ref="L1390:M1390"/>
    <mergeCell ref="P1390:Q1390"/>
    <mergeCell ref="B1391:C1391"/>
    <mergeCell ref="D1391:E1391"/>
    <mergeCell ref="F1391:G1391"/>
    <mergeCell ref="H1391:I1391"/>
    <mergeCell ref="J1391:K1391"/>
    <mergeCell ref="L1391:M1391"/>
    <mergeCell ref="P1391:Q1391"/>
    <mergeCell ref="AJ1390:AK1390"/>
    <mergeCell ref="AL1390:AM1390"/>
    <mergeCell ref="AN1390:AO1390"/>
    <mergeCell ref="AP1390:AQ1390"/>
    <mergeCell ref="AR1390:AS1390"/>
    <mergeCell ref="AT1390:AU1390"/>
    <mergeCell ref="AV1390:AW1390"/>
    <mergeCell ref="BD1395:BE1395"/>
    <mergeCell ref="BF1395:BI1395"/>
    <mergeCell ref="AN1395:AO1395"/>
    <mergeCell ref="AP1395:AQ1395"/>
    <mergeCell ref="AR1395:AS1395"/>
    <mergeCell ref="AT1395:AU1395"/>
    <mergeCell ref="AV1395:AW1395"/>
    <mergeCell ref="AX1395:AZ1395"/>
    <mergeCell ref="BA1395:BB1395"/>
    <mergeCell ref="AJ1393:AK1393"/>
    <mergeCell ref="AL1393:AM1393"/>
    <mergeCell ref="R1393:S1393"/>
    <mergeCell ref="T1393:U1393"/>
    <mergeCell ref="V1393:W1393"/>
    <mergeCell ref="X1393:AA1393"/>
    <mergeCell ref="AB1393:AE1393"/>
    <mergeCell ref="AF1393:AG1393"/>
    <mergeCell ref="AH1393:AI1393"/>
    <mergeCell ref="R1394:S1394"/>
    <mergeCell ref="T1394:U1394"/>
    <mergeCell ref="V1394:W1394"/>
    <mergeCell ref="X1394:AA1394"/>
    <mergeCell ref="AB1394:AE1394"/>
    <mergeCell ref="AF1394:AG1394"/>
    <mergeCell ref="AH1394:AI1394"/>
    <mergeCell ref="AX1394:AZ1394"/>
    <mergeCell ref="BA1394:BB1394"/>
    <mergeCell ref="BD1394:BE1394"/>
    <mergeCell ref="BF1394:BI1394"/>
    <mergeCell ref="BD1391:BE1391"/>
    <mergeCell ref="BF1391:BI1391"/>
    <mergeCell ref="AN1391:AO1391"/>
    <mergeCell ref="AP1391:AQ1391"/>
    <mergeCell ref="AR1391:AS1391"/>
    <mergeCell ref="AT1391:AU1391"/>
    <mergeCell ref="AV1391:AW1391"/>
    <mergeCell ref="AX1391:AZ1391"/>
    <mergeCell ref="BA1391:BB1391"/>
    <mergeCell ref="AJ1389:AK1389"/>
    <mergeCell ref="AL1389:AM1389"/>
    <mergeCell ref="R1389:S1389"/>
    <mergeCell ref="T1389:U1389"/>
    <mergeCell ref="V1389:W1389"/>
    <mergeCell ref="X1389:AA1389"/>
    <mergeCell ref="AB1389:AE1389"/>
    <mergeCell ref="AF1389:AG1389"/>
    <mergeCell ref="AH1389:AI1389"/>
    <mergeCell ref="R1390:S1390"/>
    <mergeCell ref="T1390:U1390"/>
    <mergeCell ref="V1390:W1390"/>
    <mergeCell ref="X1390:AA1390"/>
    <mergeCell ref="AB1390:AE1390"/>
    <mergeCell ref="AF1390:AG1390"/>
    <mergeCell ref="AH1390:AI1390"/>
    <mergeCell ref="AX1390:AZ1390"/>
    <mergeCell ref="BA1390:BB1390"/>
    <mergeCell ref="BD1390:BE1390"/>
    <mergeCell ref="BF1390:BI1390"/>
    <mergeCell ref="BJ1390:BM1390"/>
    <mergeCell ref="BN1390:BV1390"/>
    <mergeCell ref="BJ1391:BM1391"/>
    <mergeCell ref="BN1391:BV1391"/>
    <mergeCell ref="R1388:S1388"/>
    <mergeCell ref="T1388:U1388"/>
    <mergeCell ref="V1388:W1388"/>
    <mergeCell ref="X1388:AA1388"/>
    <mergeCell ref="AB1388:AE1388"/>
    <mergeCell ref="AF1388:AG1388"/>
    <mergeCell ref="AH1388:AI1388"/>
    <mergeCell ref="AX1388:AZ1388"/>
    <mergeCell ref="BA1388:BB1388"/>
    <mergeCell ref="BD1388:BE1388"/>
    <mergeCell ref="BF1388:BI1388"/>
    <mergeCell ref="BJ1388:BM1388"/>
    <mergeCell ref="BN1388:BV1388"/>
    <mergeCell ref="BJ1389:BM1389"/>
    <mergeCell ref="BN1389:BV1389"/>
    <mergeCell ref="BD1389:BE1389"/>
    <mergeCell ref="BF1389:BI1389"/>
    <mergeCell ref="AN1389:AO1389"/>
    <mergeCell ref="AP1389:AQ1389"/>
    <mergeCell ref="AR1389:AS1389"/>
    <mergeCell ref="AT1389:AU1389"/>
    <mergeCell ref="AV1389:AW1389"/>
    <mergeCell ref="AX1389:AZ1389"/>
    <mergeCell ref="BA1389:BB1389"/>
    <mergeCell ref="B1388:C1388"/>
    <mergeCell ref="D1388:E1388"/>
    <mergeCell ref="F1388:G1388"/>
    <mergeCell ref="H1388:I1388"/>
    <mergeCell ref="J1388:K1388"/>
    <mergeCell ref="L1388:M1388"/>
    <mergeCell ref="P1388:Q1388"/>
    <mergeCell ref="B1389:C1389"/>
    <mergeCell ref="D1389:E1389"/>
    <mergeCell ref="F1389:G1389"/>
    <mergeCell ref="H1389:I1389"/>
    <mergeCell ref="J1389:K1389"/>
    <mergeCell ref="L1389:M1389"/>
    <mergeCell ref="P1389:Q1389"/>
    <mergeCell ref="AJ1388:AK1388"/>
    <mergeCell ref="AL1388:AM1388"/>
    <mergeCell ref="AN1388:AO1388"/>
    <mergeCell ref="AP1388:AQ1388"/>
    <mergeCell ref="AR1388:AS1388"/>
    <mergeCell ref="AT1388:AU1388"/>
    <mergeCell ref="AV1388:AW1388"/>
    <mergeCell ref="BA1262:BB1262"/>
    <mergeCell ref="BD1262:BE1262"/>
    <mergeCell ref="BF1262:BI1262"/>
    <mergeCell ref="BJ1262:BM1262"/>
    <mergeCell ref="BN1262:BV1262"/>
    <mergeCell ref="BJ1263:BM1263"/>
    <mergeCell ref="BN1263:BV1263"/>
    <mergeCell ref="B1263:C1263"/>
    <mergeCell ref="D1263:E1263"/>
    <mergeCell ref="F1263:G1263"/>
    <mergeCell ref="H1263:I1263"/>
    <mergeCell ref="J1263:K1263"/>
    <mergeCell ref="L1263:M1263"/>
    <mergeCell ref="P1263:Q1263"/>
    <mergeCell ref="AJ1262:AK1262"/>
    <mergeCell ref="AL1262:AM1262"/>
    <mergeCell ref="AN1262:AO1262"/>
    <mergeCell ref="AP1262:AQ1262"/>
    <mergeCell ref="AR1262:AS1262"/>
    <mergeCell ref="AT1262:AU1262"/>
    <mergeCell ref="AV1262:AW1262"/>
    <mergeCell ref="BD1265:BE1265"/>
    <mergeCell ref="BF1265:BI1265"/>
    <mergeCell ref="AN1265:AO1265"/>
    <mergeCell ref="AP1265:AQ1265"/>
    <mergeCell ref="AR1265:AS1265"/>
    <mergeCell ref="AT1265:AU1265"/>
    <mergeCell ref="AV1265:AW1265"/>
    <mergeCell ref="AX1265:AZ1265"/>
    <mergeCell ref="BA1265:BB1265"/>
    <mergeCell ref="AJ1269:AK1269"/>
    <mergeCell ref="AL1269:AM1269"/>
    <mergeCell ref="BJ1269:BM1269"/>
    <mergeCell ref="BN1269:BV1269"/>
    <mergeCell ref="R1269:S1269"/>
    <mergeCell ref="T1269:U1269"/>
    <mergeCell ref="V1269:W1269"/>
    <mergeCell ref="X1269:AA1269"/>
    <mergeCell ref="AB1269:AE1269"/>
    <mergeCell ref="AF1269:AG1269"/>
    <mergeCell ref="AH1269:AI1269"/>
    <mergeCell ref="R1266:S1266"/>
    <mergeCell ref="T1266:U1266"/>
    <mergeCell ref="BN1259:BV1259"/>
    <mergeCell ref="B1259:C1259"/>
    <mergeCell ref="D1259:E1259"/>
    <mergeCell ref="F1259:G1259"/>
    <mergeCell ref="H1259:I1259"/>
    <mergeCell ref="J1259:K1259"/>
    <mergeCell ref="L1259:M1259"/>
    <mergeCell ref="P1259:Q1259"/>
    <mergeCell ref="AJ1259:AK1259"/>
    <mergeCell ref="AL1259:AM1259"/>
    <mergeCell ref="AN1259:AO1259"/>
    <mergeCell ref="AP1259:AQ1259"/>
    <mergeCell ref="AR1259:AS1259"/>
    <mergeCell ref="AT1259:AU1259"/>
    <mergeCell ref="AV1259:AW1259"/>
    <mergeCell ref="B1260:C1260"/>
    <mergeCell ref="D1260:E1260"/>
    <mergeCell ref="F1260:G1260"/>
    <mergeCell ref="H1260:I1260"/>
    <mergeCell ref="J1260:K1260"/>
    <mergeCell ref="L1260:M1260"/>
    <mergeCell ref="P1260:Q1260"/>
    <mergeCell ref="R1262:S1262"/>
    <mergeCell ref="T1262:U1262"/>
    <mergeCell ref="V1262:W1262"/>
    <mergeCell ref="X1262:AA1262"/>
    <mergeCell ref="AB1262:AE1262"/>
    <mergeCell ref="AF1262:AG1262"/>
    <mergeCell ref="AH1262:AI1262"/>
    <mergeCell ref="B1262:C1262"/>
    <mergeCell ref="D1262:E1262"/>
    <mergeCell ref="F1262:G1262"/>
    <mergeCell ref="H1262:I1262"/>
    <mergeCell ref="J1262:K1262"/>
    <mergeCell ref="L1262:M1262"/>
    <mergeCell ref="P1262:Q1262"/>
    <mergeCell ref="R1261:S1261"/>
    <mergeCell ref="T1261:U1261"/>
    <mergeCell ref="V1261:W1261"/>
    <mergeCell ref="X1261:AA1261"/>
    <mergeCell ref="AB1261:AE1261"/>
    <mergeCell ref="AF1261:AG1261"/>
    <mergeCell ref="AH1261:AI1261"/>
    <mergeCell ref="AX1261:AZ1261"/>
    <mergeCell ref="BA1261:BB1261"/>
    <mergeCell ref="BD1261:BE1261"/>
    <mergeCell ref="BF1261:BI1261"/>
    <mergeCell ref="BJ1261:BM1261"/>
    <mergeCell ref="BN1261:BV1261"/>
    <mergeCell ref="AJ1261:AK1261"/>
    <mergeCell ref="AL1261:AM1261"/>
    <mergeCell ref="AN1261:AO1261"/>
    <mergeCell ref="AP1261:AQ1261"/>
    <mergeCell ref="AR1261:AS1261"/>
    <mergeCell ref="AT1261:AU1261"/>
    <mergeCell ref="AV1261:AW1261"/>
    <mergeCell ref="B1261:C1261"/>
    <mergeCell ref="D1261:E1261"/>
    <mergeCell ref="F1261:G1261"/>
    <mergeCell ref="H1261:I1261"/>
    <mergeCell ref="J1261:K1261"/>
    <mergeCell ref="L1261:M1261"/>
    <mergeCell ref="P1261:Q1261"/>
    <mergeCell ref="AX1262:AZ1262"/>
    <mergeCell ref="V1266:W1266"/>
    <mergeCell ref="X1266:AA1266"/>
    <mergeCell ref="AB1266:AE1266"/>
    <mergeCell ref="AF1266:AG1266"/>
    <mergeCell ref="AH1266:AI1266"/>
    <mergeCell ref="AX1266:AZ1266"/>
    <mergeCell ref="BA1266:BB1266"/>
    <mergeCell ref="BD1266:BE1266"/>
    <mergeCell ref="BF1266:BI1266"/>
    <mergeCell ref="BJ1266:BM1266"/>
    <mergeCell ref="BN1266:BV1266"/>
    <mergeCell ref="BJ1267:BM1267"/>
    <mergeCell ref="BN1267:BV1267"/>
    <mergeCell ref="B1266:C1266"/>
    <mergeCell ref="D1266:E1266"/>
    <mergeCell ref="F1266:G1266"/>
    <mergeCell ref="H1266:I1266"/>
    <mergeCell ref="J1266:K1266"/>
    <mergeCell ref="L1266:M1266"/>
    <mergeCell ref="P1266:Q1266"/>
    <mergeCell ref="B1267:C1267"/>
    <mergeCell ref="D1267:E1267"/>
    <mergeCell ref="F1267:G1267"/>
    <mergeCell ref="H1267:I1267"/>
    <mergeCell ref="J1267:K1267"/>
    <mergeCell ref="L1267:M1267"/>
    <mergeCell ref="P1267:Q1267"/>
    <mergeCell ref="AJ1266:AK1266"/>
    <mergeCell ref="AL1266:AM1266"/>
    <mergeCell ref="AN1266:AO1266"/>
    <mergeCell ref="AP1266:AQ1266"/>
    <mergeCell ref="AR1266:AS1266"/>
    <mergeCell ref="AT1266:AU1266"/>
    <mergeCell ref="AV1266:AW1266"/>
    <mergeCell ref="AJ1263:AK1263"/>
    <mergeCell ref="AL1263:AM1263"/>
    <mergeCell ref="R1263:S1263"/>
    <mergeCell ref="T1263:U1263"/>
    <mergeCell ref="V1263:W1263"/>
    <mergeCell ref="X1263:AA1263"/>
    <mergeCell ref="AB1263:AE1263"/>
    <mergeCell ref="AF1263:AG1263"/>
    <mergeCell ref="AH1263:AI1263"/>
    <mergeCell ref="R1264:S1264"/>
    <mergeCell ref="T1264:U1264"/>
    <mergeCell ref="V1264:W1264"/>
    <mergeCell ref="X1264:AA1264"/>
    <mergeCell ref="AB1264:AE1264"/>
    <mergeCell ref="AF1264:AG1264"/>
    <mergeCell ref="AH1264:AI1264"/>
    <mergeCell ref="AX1264:AZ1264"/>
    <mergeCell ref="BA1264:BB1264"/>
    <mergeCell ref="BD1264:BE1264"/>
    <mergeCell ref="BF1264:BI1264"/>
    <mergeCell ref="BJ1264:BM1264"/>
    <mergeCell ref="BN1264:BV1264"/>
    <mergeCell ref="BJ1265:BM1265"/>
    <mergeCell ref="BN1265:BV1265"/>
    <mergeCell ref="B1264:C1264"/>
    <mergeCell ref="D1264:E1264"/>
    <mergeCell ref="F1264:G1264"/>
    <mergeCell ref="H1264:I1264"/>
    <mergeCell ref="J1264:K1264"/>
    <mergeCell ref="L1264:M1264"/>
    <mergeCell ref="P1264:Q1264"/>
    <mergeCell ref="B1265:C1265"/>
    <mergeCell ref="D1265:E1265"/>
    <mergeCell ref="F1265:G1265"/>
    <mergeCell ref="H1265:I1265"/>
    <mergeCell ref="J1265:K1265"/>
    <mergeCell ref="L1265:M1265"/>
    <mergeCell ref="P1265:Q1265"/>
    <mergeCell ref="AJ1264:AK1264"/>
    <mergeCell ref="AL1264:AM1264"/>
    <mergeCell ref="AN1264:AO1264"/>
    <mergeCell ref="AP1264:AQ1264"/>
    <mergeCell ref="AR1264:AS1264"/>
    <mergeCell ref="AT1264:AU1264"/>
    <mergeCell ref="AV1264:AW1264"/>
    <mergeCell ref="AJ1265:AK1265"/>
    <mergeCell ref="AL1265:AM1265"/>
    <mergeCell ref="R1265:S1265"/>
    <mergeCell ref="T1265:U1265"/>
    <mergeCell ref="V1265:W1265"/>
    <mergeCell ref="X1265:AA1265"/>
    <mergeCell ref="AB1265:AE1265"/>
    <mergeCell ref="AF1265:AG1265"/>
    <mergeCell ref="AH1265:AI1265"/>
    <mergeCell ref="BD1263:BE1263"/>
    <mergeCell ref="BF1263:BI1263"/>
    <mergeCell ref="AN1263:AO1263"/>
    <mergeCell ref="AP1263:AQ1263"/>
    <mergeCell ref="AR1263:AS1263"/>
    <mergeCell ref="AT1263:AU1263"/>
    <mergeCell ref="AV1263:AW1263"/>
    <mergeCell ref="AX1263:AZ1263"/>
    <mergeCell ref="BA1263:BB1263"/>
    <mergeCell ref="B1254:C1254"/>
    <mergeCell ref="D1254:E1254"/>
    <mergeCell ref="F1254:G1254"/>
    <mergeCell ref="H1254:I1254"/>
    <mergeCell ref="J1254:K1254"/>
    <mergeCell ref="L1254:M1254"/>
    <mergeCell ref="P1254:Q1254"/>
    <mergeCell ref="AJ1253:AK1253"/>
    <mergeCell ref="AL1253:AM1253"/>
    <mergeCell ref="AN1253:AO1253"/>
    <mergeCell ref="AP1253:AQ1253"/>
    <mergeCell ref="AR1253:AS1253"/>
    <mergeCell ref="AT1253:AU1253"/>
    <mergeCell ref="AV1253:AW1253"/>
    <mergeCell ref="BD1256:BE1256"/>
    <mergeCell ref="BF1256:BI1256"/>
    <mergeCell ref="AN1256:AO1256"/>
    <mergeCell ref="AP1256:AQ1256"/>
    <mergeCell ref="AR1256:AS1256"/>
    <mergeCell ref="AT1256:AU1256"/>
    <mergeCell ref="AV1256:AW1256"/>
    <mergeCell ref="AX1256:AZ1256"/>
    <mergeCell ref="BA1256:BB1256"/>
    <mergeCell ref="AJ1260:AK1260"/>
    <mergeCell ref="AL1260:AM1260"/>
    <mergeCell ref="BJ1260:BM1260"/>
    <mergeCell ref="BN1260:BV1260"/>
    <mergeCell ref="R1260:S1260"/>
    <mergeCell ref="T1260:U1260"/>
    <mergeCell ref="V1260:W1260"/>
    <mergeCell ref="X1260:AA1260"/>
    <mergeCell ref="AB1260:AE1260"/>
    <mergeCell ref="AF1260:AG1260"/>
    <mergeCell ref="AH1260:AI1260"/>
    <mergeCell ref="BD1260:BE1260"/>
    <mergeCell ref="BF1260:BI1260"/>
    <mergeCell ref="AN1260:AO1260"/>
    <mergeCell ref="AP1260:AQ1260"/>
    <mergeCell ref="AR1260:AS1260"/>
    <mergeCell ref="AT1260:AU1260"/>
    <mergeCell ref="AV1260:AW1260"/>
    <mergeCell ref="AX1260:AZ1260"/>
    <mergeCell ref="BA1260:BB1260"/>
    <mergeCell ref="AJ1258:AK1258"/>
    <mergeCell ref="AL1258:AM1258"/>
    <mergeCell ref="R1258:S1258"/>
    <mergeCell ref="T1258:U1258"/>
    <mergeCell ref="V1258:W1258"/>
    <mergeCell ref="X1258:AA1258"/>
    <mergeCell ref="AB1258:AE1258"/>
    <mergeCell ref="AF1258:AG1258"/>
    <mergeCell ref="AH1258:AI1258"/>
    <mergeCell ref="R1259:S1259"/>
    <mergeCell ref="T1259:U1259"/>
    <mergeCell ref="V1259:W1259"/>
    <mergeCell ref="X1259:AA1259"/>
    <mergeCell ref="AB1259:AE1259"/>
    <mergeCell ref="AF1259:AG1259"/>
    <mergeCell ref="AH1259:AI1259"/>
    <mergeCell ref="AX1259:AZ1259"/>
    <mergeCell ref="BA1259:BB1259"/>
    <mergeCell ref="BD1259:BE1259"/>
    <mergeCell ref="BF1259:BI1259"/>
    <mergeCell ref="BJ1259:BM1259"/>
    <mergeCell ref="BJ1250:BM1250"/>
    <mergeCell ref="BN1250:BV1250"/>
    <mergeCell ref="B1250:C1250"/>
    <mergeCell ref="D1250:E1250"/>
    <mergeCell ref="F1250:G1250"/>
    <mergeCell ref="H1250:I1250"/>
    <mergeCell ref="J1250:K1250"/>
    <mergeCell ref="L1250:M1250"/>
    <mergeCell ref="P1250:Q1250"/>
    <mergeCell ref="AJ1250:AK1250"/>
    <mergeCell ref="AL1250:AM1250"/>
    <mergeCell ref="AN1250:AO1250"/>
    <mergeCell ref="AP1250:AQ1250"/>
    <mergeCell ref="AR1250:AS1250"/>
    <mergeCell ref="AT1250:AU1250"/>
    <mergeCell ref="AV1250:AW1250"/>
    <mergeCell ref="B1251:C1251"/>
    <mergeCell ref="D1251:E1251"/>
    <mergeCell ref="F1251:G1251"/>
    <mergeCell ref="H1251:I1251"/>
    <mergeCell ref="J1251:K1251"/>
    <mergeCell ref="L1251:M1251"/>
    <mergeCell ref="P1251:Q1251"/>
    <mergeCell ref="R1253:S1253"/>
    <mergeCell ref="T1253:U1253"/>
    <mergeCell ref="V1253:W1253"/>
    <mergeCell ref="X1253:AA1253"/>
    <mergeCell ref="AB1253:AE1253"/>
    <mergeCell ref="AF1253:AG1253"/>
    <mergeCell ref="AH1253:AI1253"/>
    <mergeCell ref="B1253:C1253"/>
    <mergeCell ref="D1253:E1253"/>
    <mergeCell ref="F1253:G1253"/>
    <mergeCell ref="H1253:I1253"/>
    <mergeCell ref="J1253:K1253"/>
    <mergeCell ref="L1253:M1253"/>
    <mergeCell ref="P1253:Q1253"/>
    <mergeCell ref="R1252:S1252"/>
    <mergeCell ref="T1252:U1252"/>
    <mergeCell ref="V1252:W1252"/>
    <mergeCell ref="X1252:AA1252"/>
    <mergeCell ref="AB1252:AE1252"/>
    <mergeCell ref="AF1252:AG1252"/>
    <mergeCell ref="AH1252:AI1252"/>
    <mergeCell ref="AX1252:AZ1252"/>
    <mergeCell ref="BA1252:BB1252"/>
    <mergeCell ref="BD1252:BE1252"/>
    <mergeCell ref="BF1252:BI1252"/>
    <mergeCell ref="BJ1252:BM1252"/>
    <mergeCell ref="BN1252:BV1252"/>
    <mergeCell ref="AJ1252:AK1252"/>
    <mergeCell ref="AL1252:AM1252"/>
    <mergeCell ref="AN1252:AO1252"/>
    <mergeCell ref="AP1252:AQ1252"/>
    <mergeCell ref="AR1252:AS1252"/>
    <mergeCell ref="AT1252:AU1252"/>
    <mergeCell ref="AV1252:AW1252"/>
    <mergeCell ref="B1252:C1252"/>
    <mergeCell ref="D1252:E1252"/>
    <mergeCell ref="F1252:G1252"/>
    <mergeCell ref="H1252:I1252"/>
    <mergeCell ref="J1252:K1252"/>
    <mergeCell ref="L1252:M1252"/>
    <mergeCell ref="P1252:Q1252"/>
    <mergeCell ref="D1258:E1258"/>
    <mergeCell ref="F1258:G1258"/>
    <mergeCell ref="H1258:I1258"/>
    <mergeCell ref="J1258:K1258"/>
    <mergeCell ref="L1258:M1258"/>
    <mergeCell ref="P1258:Q1258"/>
    <mergeCell ref="AJ1257:AK1257"/>
    <mergeCell ref="AL1257:AM1257"/>
    <mergeCell ref="AN1257:AO1257"/>
    <mergeCell ref="AP1257:AQ1257"/>
    <mergeCell ref="AR1257:AS1257"/>
    <mergeCell ref="AT1257:AU1257"/>
    <mergeCell ref="AV1257:AW1257"/>
    <mergeCell ref="BD1251:BE1251"/>
    <mergeCell ref="BF1251:BI1251"/>
    <mergeCell ref="AN1251:AO1251"/>
    <mergeCell ref="AP1251:AQ1251"/>
    <mergeCell ref="AR1251:AS1251"/>
    <mergeCell ref="AT1251:AU1251"/>
    <mergeCell ref="AV1251:AW1251"/>
    <mergeCell ref="AX1251:AZ1251"/>
    <mergeCell ref="BA1251:BB1251"/>
    <mergeCell ref="AJ1249:AK1249"/>
    <mergeCell ref="AL1249:AM1249"/>
    <mergeCell ref="R1249:S1249"/>
    <mergeCell ref="T1249:U1249"/>
    <mergeCell ref="V1249:W1249"/>
    <mergeCell ref="X1249:AA1249"/>
    <mergeCell ref="AB1249:AE1249"/>
    <mergeCell ref="AF1249:AG1249"/>
    <mergeCell ref="AH1249:AI1249"/>
    <mergeCell ref="R1250:S1250"/>
    <mergeCell ref="T1250:U1250"/>
    <mergeCell ref="V1250:W1250"/>
    <mergeCell ref="X1250:AA1250"/>
    <mergeCell ref="AB1250:AE1250"/>
    <mergeCell ref="AF1250:AG1250"/>
    <mergeCell ref="AH1250:AI1250"/>
    <mergeCell ref="AX1250:AZ1250"/>
    <mergeCell ref="BA1250:BB1250"/>
    <mergeCell ref="BD1250:BE1250"/>
    <mergeCell ref="BF1250:BI1250"/>
    <mergeCell ref="BD1254:BE1254"/>
    <mergeCell ref="BF1254:BI1254"/>
    <mergeCell ref="AN1254:AO1254"/>
    <mergeCell ref="AP1254:AQ1254"/>
    <mergeCell ref="AR1254:AS1254"/>
    <mergeCell ref="AT1254:AU1254"/>
    <mergeCell ref="AV1254:AW1254"/>
    <mergeCell ref="AX1254:AZ1254"/>
    <mergeCell ref="BA1254:BB1254"/>
    <mergeCell ref="AX1253:AZ1253"/>
    <mergeCell ref="BA1253:BB1253"/>
    <mergeCell ref="BD1253:BE1253"/>
    <mergeCell ref="BF1253:BI1253"/>
    <mergeCell ref="AJ1251:AK1251"/>
    <mergeCell ref="AL1251:AM1251"/>
    <mergeCell ref="BJ1256:BM1256"/>
    <mergeCell ref="BN1256:BV1256"/>
    <mergeCell ref="B1255:C1255"/>
    <mergeCell ref="D1255:E1255"/>
    <mergeCell ref="F1255:G1255"/>
    <mergeCell ref="H1255:I1255"/>
    <mergeCell ref="J1255:K1255"/>
    <mergeCell ref="L1255:M1255"/>
    <mergeCell ref="P1255:Q1255"/>
    <mergeCell ref="B1256:C1256"/>
    <mergeCell ref="D1256:E1256"/>
    <mergeCell ref="F1256:G1256"/>
    <mergeCell ref="H1256:I1256"/>
    <mergeCell ref="J1256:K1256"/>
    <mergeCell ref="L1256:M1256"/>
    <mergeCell ref="P1256:Q1256"/>
    <mergeCell ref="AJ1255:AK1255"/>
    <mergeCell ref="AL1255:AM1255"/>
    <mergeCell ref="AN1255:AO1255"/>
    <mergeCell ref="AP1255:AQ1255"/>
    <mergeCell ref="AR1255:AS1255"/>
    <mergeCell ref="AT1255:AU1255"/>
    <mergeCell ref="AV1255:AW1255"/>
    <mergeCell ref="BD1258:BE1258"/>
    <mergeCell ref="BF1258:BI1258"/>
    <mergeCell ref="AN1258:AO1258"/>
    <mergeCell ref="AP1258:AQ1258"/>
    <mergeCell ref="AR1258:AS1258"/>
    <mergeCell ref="AT1258:AU1258"/>
    <mergeCell ref="AV1258:AW1258"/>
    <mergeCell ref="AX1258:AZ1258"/>
    <mergeCell ref="BA1258:BB1258"/>
    <mergeCell ref="AJ1256:AK1256"/>
    <mergeCell ref="AL1256:AM1256"/>
    <mergeCell ref="R1256:S1256"/>
    <mergeCell ref="T1256:U1256"/>
    <mergeCell ref="V1256:W1256"/>
    <mergeCell ref="X1256:AA1256"/>
    <mergeCell ref="AB1256:AE1256"/>
    <mergeCell ref="AF1256:AG1256"/>
    <mergeCell ref="AH1256:AI1256"/>
    <mergeCell ref="R1257:S1257"/>
    <mergeCell ref="T1257:U1257"/>
    <mergeCell ref="V1257:W1257"/>
    <mergeCell ref="X1257:AA1257"/>
    <mergeCell ref="AB1257:AE1257"/>
    <mergeCell ref="AF1257:AG1257"/>
    <mergeCell ref="AH1257:AI1257"/>
    <mergeCell ref="AX1257:AZ1257"/>
    <mergeCell ref="BA1257:BB1257"/>
    <mergeCell ref="BD1257:BE1257"/>
    <mergeCell ref="BF1257:BI1257"/>
    <mergeCell ref="BJ1257:BM1257"/>
    <mergeCell ref="BN1257:BV1257"/>
    <mergeCell ref="BJ1258:BM1258"/>
    <mergeCell ref="BN1258:BV1258"/>
    <mergeCell ref="B1257:C1257"/>
    <mergeCell ref="D1257:E1257"/>
    <mergeCell ref="F1257:G1257"/>
    <mergeCell ref="H1257:I1257"/>
    <mergeCell ref="J1257:K1257"/>
    <mergeCell ref="L1257:M1257"/>
    <mergeCell ref="P1257:Q1257"/>
    <mergeCell ref="B1258:C1258"/>
    <mergeCell ref="BJ1251:BM1251"/>
    <mergeCell ref="BN1251:BV1251"/>
    <mergeCell ref="R1251:S1251"/>
    <mergeCell ref="T1251:U1251"/>
    <mergeCell ref="V1251:W1251"/>
    <mergeCell ref="X1251:AA1251"/>
    <mergeCell ref="AB1251:AE1251"/>
    <mergeCell ref="AF1251:AG1251"/>
    <mergeCell ref="AH1251:AI1251"/>
    <mergeCell ref="AJ1254:AK1254"/>
    <mergeCell ref="AL1254:AM1254"/>
    <mergeCell ref="R1254:S1254"/>
    <mergeCell ref="T1254:U1254"/>
    <mergeCell ref="V1254:W1254"/>
    <mergeCell ref="X1254:AA1254"/>
    <mergeCell ref="AB1254:AE1254"/>
    <mergeCell ref="AF1254:AG1254"/>
    <mergeCell ref="AH1254:AI1254"/>
    <mergeCell ref="R1255:S1255"/>
    <mergeCell ref="T1255:U1255"/>
    <mergeCell ref="V1255:W1255"/>
    <mergeCell ref="X1255:AA1255"/>
    <mergeCell ref="AB1255:AE1255"/>
    <mergeCell ref="AF1255:AG1255"/>
    <mergeCell ref="AH1255:AI1255"/>
    <mergeCell ref="AX1255:AZ1255"/>
    <mergeCell ref="BA1255:BB1255"/>
    <mergeCell ref="BD1255:BE1255"/>
    <mergeCell ref="BF1255:BI1255"/>
    <mergeCell ref="BJ1255:BM1255"/>
    <mergeCell ref="BN1255:BV1255"/>
    <mergeCell ref="BJ1253:BM1253"/>
    <mergeCell ref="BN1253:BV1253"/>
    <mergeCell ref="BJ1254:BM1254"/>
    <mergeCell ref="BN1254:BV1254"/>
    <mergeCell ref="BJ1243:BM1243"/>
    <mergeCell ref="BN1243:BV1243"/>
    <mergeCell ref="AJ1243:AK1243"/>
    <mergeCell ref="AL1243:AM1243"/>
    <mergeCell ref="AN1243:AO1243"/>
    <mergeCell ref="AP1243:AQ1243"/>
    <mergeCell ref="AR1243:AS1243"/>
    <mergeCell ref="AT1243:AU1243"/>
    <mergeCell ref="AV1243:AW1243"/>
    <mergeCell ref="B1243:C1243"/>
    <mergeCell ref="D1243:E1243"/>
    <mergeCell ref="F1243:G1243"/>
    <mergeCell ref="H1243:I1243"/>
    <mergeCell ref="J1243:K1243"/>
    <mergeCell ref="L1243:M1243"/>
    <mergeCell ref="P1243:Q1243"/>
    <mergeCell ref="AX1244:AZ1244"/>
    <mergeCell ref="BA1244:BB1244"/>
    <mergeCell ref="BD1244:BE1244"/>
    <mergeCell ref="BF1244:BI1244"/>
    <mergeCell ref="BJ1244:BM1244"/>
    <mergeCell ref="BN1244:BV1244"/>
    <mergeCell ref="BJ1245:BM1245"/>
    <mergeCell ref="BN1245:BV1245"/>
    <mergeCell ref="B1245:C1245"/>
    <mergeCell ref="D1245:E1245"/>
    <mergeCell ref="F1245:G1245"/>
    <mergeCell ref="H1245:I1245"/>
    <mergeCell ref="J1245:K1245"/>
    <mergeCell ref="L1245:M1245"/>
    <mergeCell ref="P1245:Q1245"/>
    <mergeCell ref="AJ1244:AK1244"/>
    <mergeCell ref="AL1244:AM1244"/>
    <mergeCell ref="AN1244:AO1244"/>
    <mergeCell ref="AP1244:AQ1244"/>
    <mergeCell ref="AR1244:AS1244"/>
    <mergeCell ref="AT1244:AU1244"/>
    <mergeCell ref="AV1244:AW1244"/>
    <mergeCell ref="R1244:S1244"/>
    <mergeCell ref="T1244:U1244"/>
    <mergeCell ref="V1244:W1244"/>
    <mergeCell ref="X1244:AA1244"/>
    <mergeCell ref="AB1244:AE1244"/>
    <mergeCell ref="AF1244:AG1244"/>
    <mergeCell ref="AH1244:AI1244"/>
    <mergeCell ref="B1244:C1244"/>
    <mergeCell ref="D1244:E1244"/>
    <mergeCell ref="F1244:G1244"/>
    <mergeCell ref="H1244:I1244"/>
    <mergeCell ref="J1244:K1244"/>
    <mergeCell ref="L1244:M1244"/>
    <mergeCell ref="P1244:Q1244"/>
    <mergeCell ref="BD1245:BE1245"/>
    <mergeCell ref="BF1245:BI1245"/>
    <mergeCell ref="AN1245:AO1245"/>
    <mergeCell ref="AP1245:AQ1245"/>
    <mergeCell ref="AR1245:AS1245"/>
    <mergeCell ref="AT1245:AU1245"/>
    <mergeCell ref="AV1245:AW1245"/>
    <mergeCell ref="AX1245:AZ1245"/>
    <mergeCell ref="BA1245:BB1245"/>
    <mergeCell ref="R1243:S1243"/>
    <mergeCell ref="T1243:U1243"/>
    <mergeCell ref="V1243:W1243"/>
    <mergeCell ref="X1243:AA1243"/>
    <mergeCell ref="AB1243:AE1243"/>
    <mergeCell ref="AF1243:AG1243"/>
    <mergeCell ref="AH1243:AI1243"/>
    <mergeCell ref="AX1243:AZ1243"/>
    <mergeCell ref="BA1243:BB1243"/>
    <mergeCell ref="BD1243:BE1243"/>
    <mergeCell ref="BF1243:BI1243"/>
    <mergeCell ref="B1248:C1248"/>
    <mergeCell ref="D1248:E1248"/>
    <mergeCell ref="F1248:G1248"/>
    <mergeCell ref="H1248:I1248"/>
    <mergeCell ref="J1248:K1248"/>
    <mergeCell ref="L1248:M1248"/>
    <mergeCell ref="P1248:Q1248"/>
    <mergeCell ref="B1249:C1249"/>
    <mergeCell ref="D1249:E1249"/>
    <mergeCell ref="F1249:G1249"/>
    <mergeCell ref="H1249:I1249"/>
    <mergeCell ref="J1249:K1249"/>
    <mergeCell ref="L1249:M1249"/>
    <mergeCell ref="P1249:Q1249"/>
    <mergeCell ref="AJ1248:AK1248"/>
    <mergeCell ref="AL1248:AM1248"/>
    <mergeCell ref="AN1248:AO1248"/>
    <mergeCell ref="AP1248:AQ1248"/>
    <mergeCell ref="AR1248:AS1248"/>
    <mergeCell ref="AT1248:AU1248"/>
    <mergeCell ref="AV1248:AW1248"/>
    <mergeCell ref="BD1242:BE1242"/>
    <mergeCell ref="BF1242:BI1242"/>
    <mergeCell ref="AN1242:AO1242"/>
    <mergeCell ref="AP1242:AQ1242"/>
    <mergeCell ref="AR1242:AS1242"/>
    <mergeCell ref="AT1242:AU1242"/>
    <mergeCell ref="AV1242:AW1242"/>
    <mergeCell ref="AX1242:AZ1242"/>
    <mergeCell ref="BA1242:BB1242"/>
    <mergeCell ref="BD1249:BE1249"/>
    <mergeCell ref="BF1249:BI1249"/>
    <mergeCell ref="AN1249:AO1249"/>
    <mergeCell ref="AP1249:AQ1249"/>
    <mergeCell ref="AR1249:AS1249"/>
    <mergeCell ref="AT1249:AU1249"/>
    <mergeCell ref="AV1249:AW1249"/>
    <mergeCell ref="AX1249:AZ1249"/>
    <mergeCell ref="BA1249:BB1249"/>
    <mergeCell ref="AJ1247:AK1247"/>
    <mergeCell ref="AL1247:AM1247"/>
    <mergeCell ref="R1247:S1247"/>
    <mergeCell ref="T1247:U1247"/>
    <mergeCell ref="V1247:W1247"/>
    <mergeCell ref="X1247:AA1247"/>
    <mergeCell ref="AB1247:AE1247"/>
    <mergeCell ref="AF1247:AG1247"/>
    <mergeCell ref="AH1247:AI1247"/>
    <mergeCell ref="R1248:S1248"/>
    <mergeCell ref="T1248:U1248"/>
    <mergeCell ref="V1248:W1248"/>
    <mergeCell ref="X1248:AA1248"/>
    <mergeCell ref="AB1248:AE1248"/>
    <mergeCell ref="AF1248:AG1248"/>
    <mergeCell ref="AH1248:AI1248"/>
    <mergeCell ref="AX1248:AZ1248"/>
    <mergeCell ref="BA1248:BB1248"/>
    <mergeCell ref="BD1248:BE1248"/>
    <mergeCell ref="BF1248:BI1248"/>
    <mergeCell ref="BJ1248:BM1248"/>
    <mergeCell ref="BN1248:BV1248"/>
    <mergeCell ref="BJ1249:BM1249"/>
    <mergeCell ref="BN1249:BV1249"/>
    <mergeCell ref="BD1247:BE1247"/>
    <mergeCell ref="BF1247:BI1247"/>
    <mergeCell ref="AN1247:AO1247"/>
    <mergeCell ref="AP1247:AQ1247"/>
    <mergeCell ref="AR1247:AS1247"/>
    <mergeCell ref="AT1247:AU1247"/>
    <mergeCell ref="AV1247:AW1247"/>
    <mergeCell ref="AX1247:AZ1247"/>
    <mergeCell ref="BA1247:BB1247"/>
    <mergeCell ref="AJ1245:AK1245"/>
    <mergeCell ref="AL1245:AM1245"/>
    <mergeCell ref="R1245:S1245"/>
    <mergeCell ref="T1245:U1245"/>
    <mergeCell ref="V1245:W1245"/>
    <mergeCell ref="X1245:AA1245"/>
    <mergeCell ref="AB1245:AE1245"/>
    <mergeCell ref="AF1245:AG1245"/>
    <mergeCell ref="AH1245:AI1245"/>
    <mergeCell ref="R1246:S1246"/>
    <mergeCell ref="T1246:U1246"/>
    <mergeCell ref="V1246:W1246"/>
    <mergeCell ref="X1246:AA1246"/>
    <mergeCell ref="AB1246:AE1246"/>
    <mergeCell ref="AF1246:AG1246"/>
    <mergeCell ref="AH1246:AI1246"/>
    <mergeCell ref="AX1246:AZ1246"/>
    <mergeCell ref="BA1246:BB1246"/>
    <mergeCell ref="BD1246:BE1246"/>
    <mergeCell ref="BF1246:BI1246"/>
    <mergeCell ref="BJ1246:BM1246"/>
    <mergeCell ref="BN1246:BV1246"/>
    <mergeCell ref="BJ1247:BM1247"/>
    <mergeCell ref="BN1247:BV1247"/>
    <mergeCell ref="B1246:C1246"/>
    <mergeCell ref="D1246:E1246"/>
    <mergeCell ref="F1246:G1246"/>
    <mergeCell ref="H1246:I1246"/>
    <mergeCell ref="J1246:K1246"/>
    <mergeCell ref="L1246:M1246"/>
    <mergeCell ref="P1246:Q1246"/>
    <mergeCell ref="B1247:C1247"/>
    <mergeCell ref="D1247:E1247"/>
    <mergeCell ref="F1247:G1247"/>
    <mergeCell ref="H1247:I1247"/>
    <mergeCell ref="J1247:K1247"/>
    <mergeCell ref="L1247:M1247"/>
    <mergeCell ref="P1247:Q1247"/>
    <mergeCell ref="AJ1246:AK1246"/>
    <mergeCell ref="AL1246:AM1246"/>
    <mergeCell ref="AN1246:AO1246"/>
    <mergeCell ref="AP1246:AQ1246"/>
    <mergeCell ref="AR1246:AS1246"/>
    <mergeCell ref="AT1246:AU1246"/>
    <mergeCell ref="AV1246:AW1246"/>
    <mergeCell ref="B1236:C1236"/>
    <mergeCell ref="D1236:E1236"/>
    <mergeCell ref="F1236:G1236"/>
    <mergeCell ref="H1236:I1236"/>
    <mergeCell ref="J1236:K1236"/>
    <mergeCell ref="L1236:M1236"/>
    <mergeCell ref="P1236:Q1236"/>
    <mergeCell ref="AJ1235:AK1235"/>
    <mergeCell ref="AL1235:AM1235"/>
    <mergeCell ref="AN1235:AO1235"/>
    <mergeCell ref="AP1235:AQ1235"/>
    <mergeCell ref="AR1235:AS1235"/>
    <mergeCell ref="AT1235:AU1235"/>
    <mergeCell ref="AV1235:AW1235"/>
    <mergeCell ref="AJ1240:AK1240"/>
    <mergeCell ref="AL1240:AM1240"/>
    <mergeCell ref="R1240:S1240"/>
    <mergeCell ref="T1240:U1240"/>
    <mergeCell ref="V1240:W1240"/>
    <mergeCell ref="X1240:AA1240"/>
    <mergeCell ref="AB1240:AE1240"/>
    <mergeCell ref="AF1240:AG1240"/>
    <mergeCell ref="AH1240:AI1240"/>
    <mergeCell ref="R1241:S1241"/>
    <mergeCell ref="T1241:U1241"/>
    <mergeCell ref="V1241:W1241"/>
    <mergeCell ref="X1241:AA1241"/>
    <mergeCell ref="AB1241:AE1241"/>
    <mergeCell ref="AF1241:AG1241"/>
    <mergeCell ref="AH1241:AI1241"/>
    <mergeCell ref="B1241:C1241"/>
    <mergeCell ref="D1241:E1241"/>
    <mergeCell ref="F1241:G1241"/>
    <mergeCell ref="H1241:I1241"/>
    <mergeCell ref="J1241:K1241"/>
    <mergeCell ref="L1241:M1241"/>
    <mergeCell ref="P1241:Q1241"/>
    <mergeCell ref="AJ1241:AK1241"/>
    <mergeCell ref="AL1241:AM1241"/>
    <mergeCell ref="AN1241:AO1241"/>
    <mergeCell ref="AP1241:AQ1241"/>
    <mergeCell ref="AR1241:AS1241"/>
    <mergeCell ref="AT1241:AU1241"/>
    <mergeCell ref="B1242:C1242"/>
    <mergeCell ref="D1242:E1242"/>
    <mergeCell ref="F1242:G1242"/>
    <mergeCell ref="H1242:I1242"/>
    <mergeCell ref="J1242:K1242"/>
    <mergeCell ref="L1242:M1242"/>
    <mergeCell ref="P1242:Q1242"/>
    <mergeCell ref="B1232:C1232"/>
    <mergeCell ref="D1232:E1232"/>
    <mergeCell ref="F1232:G1232"/>
    <mergeCell ref="H1232:I1232"/>
    <mergeCell ref="J1232:K1232"/>
    <mergeCell ref="L1232:M1232"/>
    <mergeCell ref="P1232:Q1232"/>
    <mergeCell ref="AJ1232:AK1232"/>
    <mergeCell ref="AL1232:AM1232"/>
    <mergeCell ref="AN1232:AO1232"/>
    <mergeCell ref="AP1232:AQ1232"/>
    <mergeCell ref="AR1232:AS1232"/>
    <mergeCell ref="AT1232:AU1232"/>
    <mergeCell ref="AV1232:AW1232"/>
    <mergeCell ref="B1233:C1233"/>
    <mergeCell ref="D1233:E1233"/>
    <mergeCell ref="F1233:G1233"/>
    <mergeCell ref="H1233:I1233"/>
    <mergeCell ref="J1233:K1233"/>
    <mergeCell ref="L1233:M1233"/>
    <mergeCell ref="P1233:Q1233"/>
    <mergeCell ref="R1235:S1235"/>
    <mergeCell ref="T1235:U1235"/>
    <mergeCell ref="V1235:W1235"/>
    <mergeCell ref="X1235:AA1235"/>
    <mergeCell ref="AB1235:AE1235"/>
    <mergeCell ref="AF1235:AG1235"/>
    <mergeCell ref="AH1235:AI1235"/>
    <mergeCell ref="B1235:C1235"/>
    <mergeCell ref="D1235:E1235"/>
    <mergeCell ref="F1235:G1235"/>
    <mergeCell ref="H1235:I1235"/>
    <mergeCell ref="J1235:K1235"/>
    <mergeCell ref="L1235:M1235"/>
    <mergeCell ref="P1235:Q1235"/>
    <mergeCell ref="AV1241:AW1241"/>
    <mergeCell ref="D1240:E1240"/>
    <mergeCell ref="F1240:G1240"/>
    <mergeCell ref="H1240:I1240"/>
    <mergeCell ref="J1240:K1240"/>
    <mergeCell ref="L1240:M1240"/>
    <mergeCell ref="P1240:Q1240"/>
    <mergeCell ref="AJ1239:AK1239"/>
    <mergeCell ref="AL1239:AM1239"/>
    <mergeCell ref="AN1239:AO1239"/>
    <mergeCell ref="AP1239:AQ1239"/>
    <mergeCell ref="AR1239:AS1239"/>
    <mergeCell ref="AT1239:AU1239"/>
    <mergeCell ref="AV1239:AW1239"/>
    <mergeCell ref="BD1238:BE1238"/>
    <mergeCell ref="BF1238:BI1238"/>
    <mergeCell ref="AN1238:AO1238"/>
    <mergeCell ref="AP1238:AQ1238"/>
    <mergeCell ref="AR1238:AS1238"/>
    <mergeCell ref="AT1238:AU1238"/>
    <mergeCell ref="AV1238:AW1238"/>
    <mergeCell ref="AX1238:AZ1238"/>
    <mergeCell ref="BA1238:BB1238"/>
    <mergeCell ref="AJ1242:AK1242"/>
    <mergeCell ref="AL1242:AM1242"/>
    <mergeCell ref="BJ1242:BM1242"/>
    <mergeCell ref="BN1242:BV1242"/>
    <mergeCell ref="R1242:S1242"/>
    <mergeCell ref="T1242:U1242"/>
    <mergeCell ref="V1242:W1242"/>
    <mergeCell ref="X1242:AA1242"/>
    <mergeCell ref="AB1242:AE1242"/>
    <mergeCell ref="AF1242:AG1242"/>
    <mergeCell ref="AH1242:AI1242"/>
    <mergeCell ref="BJ1241:BM1241"/>
    <mergeCell ref="BN1241:BV1241"/>
    <mergeCell ref="AX1241:AZ1241"/>
    <mergeCell ref="BA1241:BB1241"/>
    <mergeCell ref="BD1241:BE1241"/>
    <mergeCell ref="BF1241:BI1241"/>
    <mergeCell ref="B1239:C1239"/>
    <mergeCell ref="D1239:E1239"/>
    <mergeCell ref="F1239:G1239"/>
    <mergeCell ref="H1239:I1239"/>
    <mergeCell ref="J1239:K1239"/>
    <mergeCell ref="L1239:M1239"/>
    <mergeCell ref="P1239:Q1239"/>
    <mergeCell ref="B1240:C1240"/>
    <mergeCell ref="BD1233:BE1233"/>
    <mergeCell ref="BF1233:BI1233"/>
    <mergeCell ref="AN1233:AO1233"/>
    <mergeCell ref="AP1233:AQ1233"/>
    <mergeCell ref="AR1233:AS1233"/>
    <mergeCell ref="AT1233:AU1233"/>
    <mergeCell ref="AV1233:AW1233"/>
    <mergeCell ref="AX1233:AZ1233"/>
    <mergeCell ref="BA1233:BB1233"/>
    <mergeCell ref="AJ1231:AK1231"/>
    <mergeCell ref="AL1231:AM1231"/>
    <mergeCell ref="R1231:S1231"/>
    <mergeCell ref="T1231:U1231"/>
    <mergeCell ref="V1231:W1231"/>
    <mergeCell ref="X1231:AA1231"/>
    <mergeCell ref="AB1231:AE1231"/>
    <mergeCell ref="AF1231:AG1231"/>
    <mergeCell ref="AH1231:AI1231"/>
    <mergeCell ref="R1232:S1232"/>
    <mergeCell ref="T1232:U1232"/>
    <mergeCell ref="V1232:W1232"/>
    <mergeCell ref="X1232:AA1232"/>
    <mergeCell ref="AB1232:AE1232"/>
    <mergeCell ref="AF1232:AG1232"/>
    <mergeCell ref="AH1232:AI1232"/>
    <mergeCell ref="AX1232:AZ1232"/>
    <mergeCell ref="BA1232:BB1232"/>
    <mergeCell ref="BD1232:BE1232"/>
    <mergeCell ref="BF1232:BI1232"/>
    <mergeCell ref="BD1236:BE1236"/>
    <mergeCell ref="BF1236:BI1236"/>
    <mergeCell ref="AN1236:AO1236"/>
    <mergeCell ref="AP1236:AQ1236"/>
    <mergeCell ref="AR1236:AS1236"/>
    <mergeCell ref="AT1236:AU1236"/>
    <mergeCell ref="AV1236:AW1236"/>
    <mergeCell ref="AX1236:AZ1236"/>
    <mergeCell ref="BA1236:BB1236"/>
    <mergeCell ref="AX1234:AZ1234"/>
    <mergeCell ref="BA1234:BB1234"/>
    <mergeCell ref="BD1234:BE1234"/>
    <mergeCell ref="BF1234:BI1234"/>
    <mergeCell ref="AX1235:AZ1235"/>
    <mergeCell ref="BA1235:BB1235"/>
    <mergeCell ref="BD1235:BE1235"/>
    <mergeCell ref="BF1235:BI1235"/>
    <mergeCell ref="R1234:S1234"/>
    <mergeCell ref="T1234:U1234"/>
    <mergeCell ref="V1234:W1234"/>
    <mergeCell ref="X1234:AA1234"/>
    <mergeCell ref="AB1234:AE1234"/>
    <mergeCell ref="AF1234:AG1234"/>
    <mergeCell ref="AH1234:AI1234"/>
    <mergeCell ref="AJ1234:AK1234"/>
    <mergeCell ref="AL1234:AM1234"/>
    <mergeCell ref="AN1234:AO1234"/>
    <mergeCell ref="BD1240:BE1240"/>
    <mergeCell ref="BF1240:BI1240"/>
    <mergeCell ref="AN1240:AO1240"/>
    <mergeCell ref="AP1240:AQ1240"/>
    <mergeCell ref="AR1240:AS1240"/>
    <mergeCell ref="AT1240:AU1240"/>
    <mergeCell ref="AV1240:AW1240"/>
    <mergeCell ref="AX1240:AZ1240"/>
    <mergeCell ref="BA1240:BB1240"/>
    <mergeCell ref="AJ1238:AK1238"/>
    <mergeCell ref="AL1238:AM1238"/>
    <mergeCell ref="R1238:S1238"/>
    <mergeCell ref="T1238:U1238"/>
    <mergeCell ref="V1238:W1238"/>
    <mergeCell ref="X1238:AA1238"/>
    <mergeCell ref="AB1238:AE1238"/>
    <mergeCell ref="AF1238:AG1238"/>
    <mergeCell ref="AH1238:AI1238"/>
    <mergeCell ref="R1239:S1239"/>
    <mergeCell ref="T1239:U1239"/>
    <mergeCell ref="V1239:W1239"/>
    <mergeCell ref="X1239:AA1239"/>
    <mergeCell ref="AB1239:AE1239"/>
    <mergeCell ref="AF1239:AG1239"/>
    <mergeCell ref="AH1239:AI1239"/>
    <mergeCell ref="AX1239:AZ1239"/>
    <mergeCell ref="BA1239:BB1239"/>
    <mergeCell ref="BD1239:BE1239"/>
    <mergeCell ref="BF1239:BI1239"/>
    <mergeCell ref="BJ1239:BM1239"/>
    <mergeCell ref="BN1239:BV1239"/>
    <mergeCell ref="BJ1240:BM1240"/>
    <mergeCell ref="BN1240:BV1240"/>
    <mergeCell ref="BJ1232:BM1232"/>
    <mergeCell ref="BN1232:BV1232"/>
    <mergeCell ref="BJ1234:BM1234"/>
    <mergeCell ref="BN1234:BV1234"/>
    <mergeCell ref="BJ1235:BM1235"/>
    <mergeCell ref="BN1235:BV1235"/>
    <mergeCell ref="BJ1236:BM1236"/>
    <mergeCell ref="BN1236:BV1236"/>
    <mergeCell ref="BJ1229:BM1229"/>
    <mergeCell ref="BN1229:BV1229"/>
    <mergeCell ref="BJ1230:BM1230"/>
    <mergeCell ref="BN1230:BV1230"/>
    <mergeCell ref="BJ1231:BM1231"/>
    <mergeCell ref="BN1231:BV1231"/>
    <mergeCell ref="BJ1238:BM1238"/>
    <mergeCell ref="BN1238:BV1238"/>
    <mergeCell ref="B1237:C1237"/>
    <mergeCell ref="D1237:E1237"/>
    <mergeCell ref="F1237:G1237"/>
    <mergeCell ref="H1237:I1237"/>
    <mergeCell ref="J1237:K1237"/>
    <mergeCell ref="L1237:M1237"/>
    <mergeCell ref="P1237:Q1237"/>
    <mergeCell ref="B1238:C1238"/>
    <mergeCell ref="D1238:E1238"/>
    <mergeCell ref="F1238:G1238"/>
    <mergeCell ref="H1238:I1238"/>
    <mergeCell ref="J1238:K1238"/>
    <mergeCell ref="L1238:M1238"/>
    <mergeCell ref="P1238:Q1238"/>
    <mergeCell ref="AJ1237:AK1237"/>
    <mergeCell ref="AL1237:AM1237"/>
    <mergeCell ref="AN1237:AO1237"/>
    <mergeCell ref="AP1237:AQ1237"/>
    <mergeCell ref="AR1237:AS1237"/>
    <mergeCell ref="AT1237:AU1237"/>
    <mergeCell ref="AV1237:AW1237"/>
    <mergeCell ref="AP1234:AQ1234"/>
    <mergeCell ref="AR1234:AS1234"/>
    <mergeCell ref="AT1234:AU1234"/>
    <mergeCell ref="AV1234:AW1234"/>
    <mergeCell ref="B1234:C1234"/>
    <mergeCell ref="D1234:E1234"/>
    <mergeCell ref="F1234:G1234"/>
    <mergeCell ref="H1234:I1234"/>
    <mergeCell ref="J1234:K1234"/>
    <mergeCell ref="L1234:M1234"/>
    <mergeCell ref="P1234:Q1234"/>
    <mergeCell ref="AJ1233:AK1233"/>
    <mergeCell ref="AL1233:AM1233"/>
    <mergeCell ref="BJ1233:BM1233"/>
    <mergeCell ref="BN1233:BV1233"/>
    <mergeCell ref="R1233:S1233"/>
    <mergeCell ref="T1233:U1233"/>
    <mergeCell ref="V1233:W1233"/>
    <mergeCell ref="X1233:AA1233"/>
    <mergeCell ref="AB1233:AE1233"/>
    <mergeCell ref="AF1233:AG1233"/>
    <mergeCell ref="AH1233:AI1233"/>
    <mergeCell ref="AJ1236:AK1236"/>
    <mergeCell ref="AL1236:AM1236"/>
    <mergeCell ref="R1236:S1236"/>
    <mergeCell ref="T1236:U1236"/>
    <mergeCell ref="V1236:W1236"/>
    <mergeCell ref="X1236:AA1236"/>
    <mergeCell ref="AB1236:AE1236"/>
    <mergeCell ref="AF1236:AG1236"/>
    <mergeCell ref="AH1236:AI1236"/>
    <mergeCell ref="R1237:S1237"/>
    <mergeCell ref="T1237:U1237"/>
    <mergeCell ref="V1237:W1237"/>
    <mergeCell ref="X1237:AA1237"/>
    <mergeCell ref="AB1237:AE1237"/>
    <mergeCell ref="AF1237:AG1237"/>
    <mergeCell ref="AH1237:AI1237"/>
    <mergeCell ref="AX1237:AZ1237"/>
    <mergeCell ref="BA1237:BB1237"/>
    <mergeCell ref="BD1237:BE1237"/>
    <mergeCell ref="BF1237:BI1237"/>
    <mergeCell ref="BJ1237:BM1237"/>
    <mergeCell ref="BN1237:BV1237"/>
    <mergeCell ref="D1225:E1225"/>
    <mergeCell ref="F1225:G1225"/>
    <mergeCell ref="H1225:I1225"/>
    <mergeCell ref="J1225:K1225"/>
    <mergeCell ref="L1225:M1225"/>
    <mergeCell ref="P1225:Q1225"/>
    <mergeCell ref="AX1226:AZ1226"/>
    <mergeCell ref="BA1226:BB1226"/>
    <mergeCell ref="BD1226:BE1226"/>
    <mergeCell ref="BF1226:BI1226"/>
    <mergeCell ref="BJ1226:BM1226"/>
    <mergeCell ref="BN1226:BV1226"/>
    <mergeCell ref="BJ1227:BM1227"/>
    <mergeCell ref="BN1227:BV1227"/>
    <mergeCell ref="B1227:C1227"/>
    <mergeCell ref="D1227:E1227"/>
    <mergeCell ref="F1227:G1227"/>
    <mergeCell ref="H1227:I1227"/>
    <mergeCell ref="J1227:K1227"/>
    <mergeCell ref="L1227:M1227"/>
    <mergeCell ref="P1227:Q1227"/>
    <mergeCell ref="AJ1226:AK1226"/>
    <mergeCell ref="AL1226:AM1226"/>
    <mergeCell ref="AN1226:AO1226"/>
    <mergeCell ref="AP1226:AQ1226"/>
    <mergeCell ref="AR1226:AS1226"/>
    <mergeCell ref="AT1226:AU1226"/>
    <mergeCell ref="AV1226:AW1226"/>
    <mergeCell ref="BD1229:BE1229"/>
    <mergeCell ref="BF1229:BI1229"/>
    <mergeCell ref="AN1229:AO1229"/>
    <mergeCell ref="AP1229:AQ1229"/>
    <mergeCell ref="AR1229:AS1229"/>
    <mergeCell ref="AT1229:AU1229"/>
    <mergeCell ref="AV1229:AW1229"/>
    <mergeCell ref="AX1229:AZ1229"/>
    <mergeCell ref="BA1229:BB1229"/>
    <mergeCell ref="AH1223:AI1223"/>
    <mergeCell ref="AX1223:AZ1223"/>
    <mergeCell ref="BA1223:BB1223"/>
    <mergeCell ref="BD1223:BE1223"/>
    <mergeCell ref="BF1223:BI1223"/>
    <mergeCell ref="BJ1223:BM1223"/>
    <mergeCell ref="BN1223:BV1223"/>
    <mergeCell ref="B1223:C1223"/>
    <mergeCell ref="D1223:E1223"/>
    <mergeCell ref="F1223:G1223"/>
    <mergeCell ref="H1223:I1223"/>
    <mergeCell ref="J1223:K1223"/>
    <mergeCell ref="L1223:M1223"/>
    <mergeCell ref="P1223:Q1223"/>
    <mergeCell ref="AJ1223:AK1223"/>
    <mergeCell ref="AL1223:AM1223"/>
    <mergeCell ref="AN1223:AO1223"/>
    <mergeCell ref="AP1223:AQ1223"/>
    <mergeCell ref="AR1223:AS1223"/>
    <mergeCell ref="AT1223:AU1223"/>
    <mergeCell ref="AV1223:AW1223"/>
    <mergeCell ref="B1224:C1224"/>
    <mergeCell ref="D1224:E1224"/>
    <mergeCell ref="F1224:G1224"/>
    <mergeCell ref="H1224:I1224"/>
    <mergeCell ref="J1224:K1224"/>
    <mergeCell ref="L1224:M1224"/>
    <mergeCell ref="P1224:Q1224"/>
    <mergeCell ref="R1226:S1226"/>
    <mergeCell ref="T1226:U1226"/>
    <mergeCell ref="V1226:W1226"/>
    <mergeCell ref="X1226:AA1226"/>
    <mergeCell ref="AB1226:AE1226"/>
    <mergeCell ref="AF1226:AG1226"/>
    <mergeCell ref="AH1226:AI1226"/>
    <mergeCell ref="B1226:C1226"/>
    <mergeCell ref="D1226:E1226"/>
    <mergeCell ref="F1226:G1226"/>
    <mergeCell ref="H1226:I1226"/>
    <mergeCell ref="J1226:K1226"/>
    <mergeCell ref="L1226:M1226"/>
    <mergeCell ref="P1226:Q1226"/>
    <mergeCell ref="AB1223:AE1223"/>
    <mergeCell ref="R1225:S1225"/>
    <mergeCell ref="T1225:U1225"/>
    <mergeCell ref="V1225:W1225"/>
    <mergeCell ref="X1225:AA1225"/>
    <mergeCell ref="AB1225:AE1225"/>
    <mergeCell ref="AF1225:AG1225"/>
    <mergeCell ref="AH1225:AI1225"/>
    <mergeCell ref="AX1225:AZ1225"/>
    <mergeCell ref="BA1225:BB1225"/>
    <mergeCell ref="BD1225:BE1225"/>
    <mergeCell ref="BF1225:BI1225"/>
    <mergeCell ref="BJ1225:BM1225"/>
    <mergeCell ref="BN1225:BV1225"/>
    <mergeCell ref="AJ1225:AK1225"/>
    <mergeCell ref="AL1225:AM1225"/>
    <mergeCell ref="AN1225:AO1225"/>
    <mergeCell ref="AP1225:AQ1225"/>
    <mergeCell ref="AR1225:AS1225"/>
    <mergeCell ref="AT1225:AU1225"/>
    <mergeCell ref="AV1225:AW1225"/>
    <mergeCell ref="B1225:C1225"/>
    <mergeCell ref="R1223:S1223"/>
    <mergeCell ref="T1223:U1223"/>
    <mergeCell ref="V1223:W1223"/>
    <mergeCell ref="X1223:AA1223"/>
    <mergeCell ref="B1228:C1228"/>
    <mergeCell ref="D1228:E1228"/>
    <mergeCell ref="F1228:G1228"/>
    <mergeCell ref="H1228:I1228"/>
    <mergeCell ref="J1228:K1228"/>
    <mergeCell ref="L1228:M1228"/>
    <mergeCell ref="P1228:Q1228"/>
    <mergeCell ref="B1229:C1229"/>
    <mergeCell ref="D1229:E1229"/>
    <mergeCell ref="F1229:G1229"/>
    <mergeCell ref="H1229:I1229"/>
    <mergeCell ref="J1229:K1229"/>
    <mergeCell ref="L1229:M1229"/>
    <mergeCell ref="P1229:Q1229"/>
    <mergeCell ref="AJ1228:AK1228"/>
    <mergeCell ref="AL1228:AM1228"/>
    <mergeCell ref="AN1228:AO1228"/>
    <mergeCell ref="AP1228:AQ1228"/>
    <mergeCell ref="AR1228:AS1228"/>
    <mergeCell ref="AT1228:AU1228"/>
    <mergeCell ref="AV1228:AW1228"/>
    <mergeCell ref="BD1231:BE1231"/>
    <mergeCell ref="BF1231:BI1231"/>
    <mergeCell ref="AN1231:AO1231"/>
    <mergeCell ref="AP1231:AQ1231"/>
    <mergeCell ref="AR1231:AS1231"/>
    <mergeCell ref="AT1231:AU1231"/>
    <mergeCell ref="AV1231:AW1231"/>
    <mergeCell ref="AX1231:AZ1231"/>
    <mergeCell ref="BA1231:BB1231"/>
    <mergeCell ref="AJ1229:AK1229"/>
    <mergeCell ref="AL1229:AM1229"/>
    <mergeCell ref="R1229:S1229"/>
    <mergeCell ref="T1229:U1229"/>
    <mergeCell ref="V1229:W1229"/>
    <mergeCell ref="X1229:AA1229"/>
    <mergeCell ref="AB1229:AE1229"/>
    <mergeCell ref="AF1229:AG1229"/>
    <mergeCell ref="AH1229:AI1229"/>
    <mergeCell ref="R1230:S1230"/>
    <mergeCell ref="T1230:U1230"/>
    <mergeCell ref="V1230:W1230"/>
    <mergeCell ref="X1230:AA1230"/>
    <mergeCell ref="AB1230:AE1230"/>
    <mergeCell ref="AF1230:AG1230"/>
    <mergeCell ref="AH1230:AI1230"/>
    <mergeCell ref="AX1230:AZ1230"/>
    <mergeCell ref="BA1230:BB1230"/>
    <mergeCell ref="BD1230:BE1230"/>
    <mergeCell ref="BF1230:BI1230"/>
    <mergeCell ref="B1230:C1230"/>
    <mergeCell ref="D1230:E1230"/>
    <mergeCell ref="F1230:G1230"/>
    <mergeCell ref="H1230:I1230"/>
    <mergeCell ref="J1230:K1230"/>
    <mergeCell ref="L1230:M1230"/>
    <mergeCell ref="P1230:Q1230"/>
    <mergeCell ref="B1231:C1231"/>
    <mergeCell ref="AV1230:AW1230"/>
    <mergeCell ref="AF1223:AG1223"/>
    <mergeCell ref="AJ1224:AK1224"/>
    <mergeCell ref="AL1224:AM1224"/>
    <mergeCell ref="BJ1224:BM1224"/>
    <mergeCell ref="BN1224:BV1224"/>
    <mergeCell ref="R1224:S1224"/>
    <mergeCell ref="T1224:U1224"/>
    <mergeCell ref="V1224:W1224"/>
    <mergeCell ref="X1224:AA1224"/>
    <mergeCell ref="AB1224:AE1224"/>
    <mergeCell ref="AF1224:AG1224"/>
    <mergeCell ref="AH1224:AI1224"/>
    <mergeCell ref="AJ1227:AK1227"/>
    <mergeCell ref="AL1227:AM1227"/>
    <mergeCell ref="R1227:S1227"/>
    <mergeCell ref="T1227:U1227"/>
    <mergeCell ref="V1227:W1227"/>
    <mergeCell ref="X1227:AA1227"/>
    <mergeCell ref="AB1227:AE1227"/>
    <mergeCell ref="AF1227:AG1227"/>
    <mergeCell ref="AH1227:AI1227"/>
    <mergeCell ref="R1228:S1228"/>
    <mergeCell ref="T1228:U1228"/>
    <mergeCell ref="V1228:W1228"/>
    <mergeCell ref="X1228:AA1228"/>
    <mergeCell ref="AB1228:AE1228"/>
    <mergeCell ref="AF1228:AG1228"/>
    <mergeCell ref="AH1228:AI1228"/>
    <mergeCell ref="AX1228:AZ1228"/>
    <mergeCell ref="BA1228:BB1228"/>
    <mergeCell ref="BD1228:BE1228"/>
    <mergeCell ref="BF1228:BI1228"/>
    <mergeCell ref="BJ1228:BM1228"/>
    <mergeCell ref="BN1228:BV1228"/>
    <mergeCell ref="BD1224:BE1224"/>
    <mergeCell ref="BF1224:BI1224"/>
    <mergeCell ref="AN1224:AO1224"/>
    <mergeCell ref="AP1224:AQ1224"/>
    <mergeCell ref="AR1224:AS1224"/>
    <mergeCell ref="AT1224:AU1224"/>
    <mergeCell ref="AV1224:AW1224"/>
    <mergeCell ref="AX1224:AZ1224"/>
    <mergeCell ref="BA1224:BB1224"/>
    <mergeCell ref="BD1227:BE1227"/>
    <mergeCell ref="BF1227:BI1227"/>
    <mergeCell ref="AN1227:AO1227"/>
    <mergeCell ref="AP1227:AQ1227"/>
    <mergeCell ref="AR1227:AS1227"/>
    <mergeCell ref="AT1227:AU1227"/>
    <mergeCell ref="AV1227:AW1227"/>
    <mergeCell ref="AX1227:AZ1227"/>
    <mergeCell ref="BA1227:BB1227"/>
    <mergeCell ref="BJ1216:BM1216"/>
    <mergeCell ref="BN1216:BV1216"/>
    <mergeCell ref="AJ1216:AK1216"/>
    <mergeCell ref="AL1216:AM1216"/>
    <mergeCell ref="AN1216:AO1216"/>
    <mergeCell ref="AP1216:AQ1216"/>
    <mergeCell ref="AR1216:AS1216"/>
    <mergeCell ref="AT1216:AU1216"/>
    <mergeCell ref="AV1216:AW1216"/>
    <mergeCell ref="B1216:C1216"/>
    <mergeCell ref="D1216:E1216"/>
    <mergeCell ref="F1216:G1216"/>
    <mergeCell ref="H1216:I1216"/>
    <mergeCell ref="J1216:K1216"/>
    <mergeCell ref="L1216:M1216"/>
    <mergeCell ref="P1216:Q1216"/>
    <mergeCell ref="AX1217:AZ1217"/>
    <mergeCell ref="BA1217:BB1217"/>
    <mergeCell ref="BD1217:BE1217"/>
    <mergeCell ref="BF1217:BI1217"/>
    <mergeCell ref="BJ1217:BM1217"/>
    <mergeCell ref="BN1217:BV1217"/>
    <mergeCell ref="BJ1218:BM1218"/>
    <mergeCell ref="BN1218:BV1218"/>
    <mergeCell ref="B1218:C1218"/>
    <mergeCell ref="D1218:E1218"/>
    <mergeCell ref="F1218:G1218"/>
    <mergeCell ref="H1218:I1218"/>
    <mergeCell ref="J1218:K1218"/>
    <mergeCell ref="L1218:M1218"/>
    <mergeCell ref="P1218:Q1218"/>
    <mergeCell ref="AJ1217:AK1217"/>
    <mergeCell ref="AL1217:AM1217"/>
    <mergeCell ref="AN1217:AO1217"/>
    <mergeCell ref="AP1217:AQ1217"/>
    <mergeCell ref="AR1217:AS1217"/>
    <mergeCell ref="AT1217:AU1217"/>
    <mergeCell ref="AV1217:AW1217"/>
    <mergeCell ref="R1217:S1217"/>
    <mergeCell ref="T1217:U1217"/>
    <mergeCell ref="V1217:W1217"/>
    <mergeCell ref="X1217:AA1217"/>
    <mergeCell ref="AB1217:AE1217"/>
    <mergeCell ref="AF1217:AG1217"/>
    <mergeCell ref="AH1217:AI1217"/>
    <mergeCell ref="B1217:C1217"/>
    <mergeCell ref="D1217:E1217"/>
    <mergeCell ref="F1217:G1217"/>
    <mergeCell ref="H1217:I1217"/>
    <mergeCell ref="J1217:K1217"/>
    <mergeCell ref="L1217:M1217"/>
    <mergeCell ref="P1217:Q1217"/>
    <mergeCell ref="BD1218:BE1218"/>
    <mergeCell ref="BF1218:BI1218"/>
    <mergeCell ref="AN1218:AO1218"/>
    <mergeCell ref="AP1218:AQ1218"/>
    <mergeCell ref="AR1218:AS1218"/>
    <mergeCell ref="AT1218:AU1218"/>
    <mergeCell ref="AV1218:AW1218"/>
    <mergeCell ref="AX1218:AZ1218"/>
    <mergeCell ref="BA1218:BB1218"/>
    <mergeCell ref="R1216:S1216"/>
    <mergeCell ref="T1216:U1216"/>
    <mergeCell ref="V1216:W1216"/>
    <mergeCell ref="AB1216:AE1216"/>
    <mergeCell ref="AF1216:AG1216"/>
    <mergeCell ref="AH1216:AI1216"/>
    <mergeCell ref="AX1216:AZ1216"/>
    <mergeCell ref="BA1216:BB1216"/>
    <mergeCell ref="BD1216:BE1216"/>
    <mergeCell ref="BF1216:BI1216"/>
    <mergeCell ref="BD1215:BE1215"/>
    <mergeCell ref="BF1215:BI1215"/>
    <mergeCell ref="AN1215:AO1215"/>
    <mergeCell ref="AP1215:AQ1215"/>
    <mergeCell ref="AR1215:AS1215"/>
    <mergeCell ref="AT1215:AU1215"/>
    <mergeCell ref="AV1215:AW1215"/>
    <mergeCell ref="AX1215:AZ1215"/>
    <mergeCell ref="BA1215:BB1215"/>
    <mergeCell ref="AJ1213:AK1213"/>
    <mergeCell ref="AL1213:AM1213"/>
    <mergeCell ref="R1213:S1213"/>
    <mergeCell ref="T1213:U1213"/>
    <mergeCell ref="V1213:W1213"/>
    <mergeCell ref="X1213:AA1213"/>
    <mergeCell ref="AB1213:AE1213"/>
    <mergeCell ref="AF1213:AG1213"/>
    <mergeCell ref="AH1213:AI1213"/>
    <mergeCell ref="R1214:S1214"/>
    <mergeCell ref="T1214:U1214"/>
    <mergeCell ref="V1214:W1214"/>
    <mergeCell ref="X1214:AA1214"/>
    <mergeCell ref="AB1214:AE1214"/>
    <mergeCell ref="AF1214:AG1214"/>
    <mergeCell ref="AH1214:AI1214"/>
    <mergeCell ref="AX1214:AZ1214"/>
    <mergeCell ref="BA1214:BB1214"/>
    <mergeCell ref="BD1214:BE1214"/>
    <mergeCell ref="BF1214:BI1214"/>
    <mergeCell ref="BJ1214:BM1214"/>
    <mergeCell ref="BN1214:BV1214"/>
    <mergeCell ref="B1214:C1214"/>
    <mergeCell ref="D1214:E1214"/>
    <mergeCell ref="F1214:G1214"/>
    <mergeCell ref="H1214:I1214"/>
    <mergeCell ref="J1214:K1214"/>
    <mergeCell ref="L1214:M1214"/>
    <mergeCell ref="P1214:Q1214"/>
    <mergeCell ref="AJ1214:AK1214"/>
    <mergeCell ref="AL1214:AM1214"/>
    <mergeCell ref="AN1214:AO1214"/>
    <mergeCell ref="AP1214:AQ1214"/>
    <mergeCell ref="AR1214:AS1214"/>
    <mergeCell ref="AT1214:AU1214"/>
    <mergeCell ref="AV1214:AW1214"/>
    <mergeCell ref="B1215:C1215"/>
    <mergeCell ref="D1215:E1215"/>
    <mergeCell ref="F1215:G1215"/>
    <mergeCell ref="H1215:I1215"/>
    <mergeCell ref="J1215:K1215"/>
    <mergeCell ref="L1215:M1215"/>
    <mergeCell ref="P1215:Q1215"/>
    <mergeCell ref="BD1219:BE1219"/>
    <mergeCell ref="BF1219:BI1219"/>
    <mergeCell ref="BJ1219:BM1219"/>
    <mergeCell ref="BN1219:BV1219"/>
    <mergeCell ref="BJ1220:BM1220"/>
    <mergeCell ref="BN1220:BV1220"/>
    <mergeCell ref="B1219:C1219"/>
    <mergeCell ref="D1219:E1219"/>
    <mergeCell ref="F1219:G1219"/>
    <mergeCell ref="H1219:I1219"/>
    <mergeCell ref="J1219:K1219"/>
    <mergeCell ref="L1219:M1219"/>
    <mergeCell ref="P1219:Q1219"/>
    <mergeCell ref="B1220:C1220"/>
    <mergeCell ref="D1220:E1220"/>
    <mergeCell ref="F1220:G1220"/>
    <mergeCell ref="H1220:I1220"/>
    <mergeCell ref="J1220:K1220"/>
    <mergeCell ref="L1220:M1220"/>
    <mergeCell ref="P1220:Q1220"/>
    <mergeCell ref="AJ1219:AK1219"/>
    <mergeCell ref="AL1219:AM1219"/>
    <mergeCell ref="AN1219:AO1219"/>
    <mergeCell ref="AP1219:AQ1219"/>
    <mergeCell ref="AR1219:AS1219"/>
    <mergeCell ref="AT1219:AU1219"/>
    <mergeCell ref="AV1219:AW1219"/>
    <mergeCell ref="AX1219:AZ1219"/>
    <mergeCell ref="BA1219:BB1219"/>
    <mergeCell ref="AJ1215:AK1215"/>
    <mergeCell ref="AL1215:AM1215"/>
    <mergeCell ref="BJ1215:BM1215"/>
    <mergeCell ref="BN1215:BV1215"/>
    <mergeCell ref="R1215:S1215"/>
    <mergeCell ref="T1215:U1215"/>
    <mergeCell ref="V1215:W1215"/>
    <mergeCell ref="X1215:AA1215"/>
    <mergeCell ref="AB1215:AE1215"/>
    <mergeCell ref="AF1215:AG1215"/>
    <mergeCell ref="AH1215:AI1215"/>
    <mergeCell ref="X1216:AA1216"/>
    <mergeCell ref="BD1222:BE1222"/>
    <mergeCell ref="BF1222:BI1222"/>
    <mergeCell ref="AN1222:AO1222"/>
    <mergeCell ref="AP1222:AQ1222"/>
    <mergeCell ref="AR1222:AS1222"/>
    <mergeCell ref="AT1222:AU1222"/>
    <mergeCell ref="AV1222:AW1222"/>
    <mergeCell ref="AX1222:AZ1222"/>
    <mergeCell ref="BA1222:BB1222"/>
    <mergeCell ref="AJ1220:AK1220"/>
    <mergeCell ref="AL1220:AM1220"/>
    <mergeCell ref="R1220:S1220"/>
    <mergeCell ref="T1220:U1220"/>
    <mergeCell ref="V1220:W1220"/>
    <mergeCell ref="X1220:AA1220"/>
    <mergeCell ref="AB1220:AE1220"/>
    <mergeCell ref="AF1220:AG1220"/>
    <mergeCell ref="AH1220:AI1220"/>
    <mergeCell ref="R1221:S1221"/>
    <mergeCell ref="T1221:U1221"/>
    <mergeCell ref="V1221:W1221"/>
    <mergeCell ref="X1221:AA1221"/>
    <mergeCell ref="AB1221:AE1221"/>
    <mergeCell ref="AF1221:AG1221"/>
    <mergeCell ref="AH1221:AI1221"/>
    <mergeCell ref="AX1221:AZ1221"/>
    <mergeCell ref="BA1221:BB1221"/>
    <mergeCell ref="BD1221:BE1221"/>
    <mergeCell ref="BF1221:BI1221"/>
    <mergeCell ref="BJ1221:BM1221"/>
    <mergeCell ref="BN1221:BV1221"/>
    <mergeCell ref="BJ1222:BM1222"/>
    <mergeCell ref="BN1222:BV1222"/>
    <mergeCell ref="BD1220:BE1220"/>
    <mergeCell ref="BF1220:BI1220"/>
    <mergeCell ref="AN1220:AO1220"/>
    <mergeCell ref="AP1220:AQ1220"/>
    <mergeCell ref="AR1220:AS1220"/>
    <mergeCell ref="AT1220:AU1220"/>
    <mergeCell ref="AV1220:AW1220"/>
    <mergeCell ref="AX1220:AZ1220"/>
    <mergeCell ref="BA1220:BB1220"/>
    <mergeCell ref="AJ1222:AK1222"/>
    <mergeCell ref="AL1222:AM1222"/>
    <mergeCell ref="R1222:S1222"/>
    <mergeCell ref="T1222:U1222"/>
    <mergeCell ref="V1222:W1222"/>
    <mergeCell ref="X1222:AA1222"/>
    <mergeCell ref="AB1222:AE1222"/>
    <mergeCell ref="AF1222:AG1222"/>
    <mergeCell ref="AH1222:AI1222"/>
    <mergeCell ref="B1221:C1221"/>
    <mergeCell ref="D1221:E1221"/>
    <mergeCell ref="F1221:G1221"/>
    <mergeCell ref="H1221:I1221"/>
    <mergeCell ref="P1392:Q1392"/>
    <mergeCell ref="B1393:C1393"/>
    <mergeCell ref="D1393:E1393"/>
    <mergeCell ref="F1393:G1393"/>
    <mergeCell ref="H1393:I1393"/>
    <mergeCell ref="J1393:K1393"/>
    <mergeCell ref="L1393:M1393"/>
    <mergeCell ref="P1393:Q1393"/>
    <mergeCell ref="AJ1392:AK1392"/>
    <mergeCell ref="AL1392:AM1392"/>
    <mergeCell ref="AN1392:AO1392"/>
    <mergeCell ref="AP1392:AQ1392"/>
    <mergeCell ref="AR1392:AS1392"/>
    <mergeCell ref="AT1392:AU1392"/>
    <mergeCell ref="AV1392:AW1392"/>
    <mergeCell ref="AJ1218:AK1218"/>
    <mergeCell ref="AL1218:AM1218"/>
    <mergeCell ref="R1218:S1218"/>
    <mergeCell ref="T1218:U1218"/>
    <mergeCell ref="V1218:W1218"/>
    <mergeCell ref="X1218:AA1218"/>
    <mergeCell ref="AB1218:AE1218"/>
    <mergeCell ref="AF1218:AG1218"/>
    <mergeCell ref="AH1218:AI1218"/>
    <mergeCell ref="R1219:S1219"/>
    <mergeCell ref="T1219:U1219"/>
    <mergeCell ref="V1219:W1219"/>
    <mergeCell ref="X1219:AA1219"/>
    <mergeCell ref="AB1219:AE1219"/>
    <mergeCell ref="AF1219:AG1219"/>
    <mergeCell ref="AH1219:AI1219"/>
    <mergeCell ref="J1221:K1221"/>
    <mergeCell ref="L1221:M1221"/>
    <mergeCell ref="P1221:Q1221"/>
    <mergeCell ref="B1222:C1222"/>
    <mergeCell ref="D1222:E1222"/>
    <mergeCell ref="F1222:G1222"/>
    <mergeCell ref="H1222:I1222"/>
    <mergeCell ref="J1222:K1222"/>
    <mergeCell ref="L1222:M1222"/>
    <mergeCell ref="P1222:Q1222"/>
    <mergeCell ref="AJ1221:AK1221"/>
    <mergeCell ref="AL1221:AM1221"/>
    <mergeCell ref="AN1221:AO1221"/>
    <mergeCell ref="AP1221:AQ1221"/>
    <mergeCell ref="AR1221:AS1221"/>
    <mergeCell ref="AT1221:AU1221"/>
    <mergeCell ref="AV1221:AW1221"/>
    <mergeCell ref="D1231:E1231"/>
    <mergeCell ref="F1231:G1231"/>
    <mergeCell ref="H1231:I1231"/>
    <mergeCell ref="J1231:K1231"/>
    <mergeCell ref="L1231:M1231"/>
    <mergeCell ref="P1231:Q1231"/>
    <mergeCell ref="AJ1230:AK1230"/>
    <mergeCell ref="AL1230:AM1230"/>
    <mergeCell ref="AN1230:AO1230"/>
    <mergeCell ref="AP1230:AQ1230"/>
    <mergeCell ref="AR1230:AS1230"/>
    <mergeCell ref="AT1230:AU1230"/>
    <mergeCell ref="BJ1381:BM1381"/>
    <mergeCell ref="BN1381:BV1381"/>
    <mergeCell ref="BJ1382:BM1382"/>
    <mergeCell ref="BN1382:BV1382"/>
    <mergeCell ref="B1381:C1381"/>
    <mergeCell ref="D1381:E1381"/>
    <mergeCell ref="F1381:G1381"/>
    <mergeCell ref="H1381:I1381"/>
    <mergeCell ref="J1381:K1381"/>
    <mergeCell ref="L1381:M1381"/>
    <mergeCell ref="P1381:Q1381"/>
    <mergeCell ref="B1382:C1382"/>
    <mergeCell ref="D1382:E1382"/>
    <mergeCell ref="F1382:G1382"/>
    <mergeCell ref="H1382:I1382"/>
    <mergeCell ref="J1382:K1382"/>
    <mergeCell ref="L1382:M1382"/>
    <mergeCell ref="P1382:Q1382"/>
    <mergeCell ref="AJ1381:AK1381"/>
    <mergeCell ref="AL1381:AM1381"/>
    <mergeCell ref="AN1381:AO1381"/>
    <mergeCell ref="AP1381:AQ1381"/>
    <mergeCell ref="AR1381:AS1381"/>
    <mergeCell ref="AT1381:AU1381"/>
    <mergeCell ref="AV1381:AW1381"/>
    <mergeCell ref="BD1393:BE1393"/>
    <mergeCell ref="BF1393:BI1393"/>
    <mergeCell ref="AN1393:AO1393"/>
    <mergeCell ref="AP1393:AQ1393"/>
    <mergeCell ref="AR1393:AS1393"/>
    <mergeCell ref="AT1393:AU1393"/>
    <mergeCell ref="AV1393:AW1393"/>
    <mergeCell ref="AX1393:AZ1393"/>
    <mergeCell ref="BA1393:BB1393"/>
    <mergeCell ref="AJ1391:AK1391"/>
    <mergeCell ref="AL1391:AM1391"/>
    <mergeCell ref="R1391:S1391"/>
    <mergeCell ref="T1391:U1391"/>
    <mergeCell ref="V1391:W1391"/>
    <mergeCell ref="X1391:AA1391"/>
    <mergeCell ref="AB1391:AE1391"/>
    <mergeCell ref="AF1391:AG1391"/>
    <mergeCell ref="AH1391:AI1391"/>
    <mergeCell ref="R1392:S1392"/>
    <mergeCell ref="T1392:U1392"/>
    <mergeCell ref="V1392:W1392"/>
    <mergeCell ref="X1392:AA1392"/>
    <mergeCell ref="AB1392:AE1392"/>
    <mergeCell ref="AF1392:AG1392"/>
    <mergeCell ref="AH1392:AI1392"/>
    <mergeCell ref="AX1392:AZ1392"/>
    <mergeCell ref="BA1392:BB1392"/>
    <mergeCell ref="BD1392:BE1392"/>
    <mergeCell ref="BF1392:BI1392"/>
    <mergeCell ref="BJ1392:BM1392"/>
    <mergeCell ref="BN1392:BV1392"/>
    <mergeCell ref="BJ1393:BM1393"/>
    <mergeCell ref="BN1393:BV1393"/>
    <mergeCell ref="B1392:C1392"/>
    <mergeCell ref="D1392:E1392"/>
    <mergeCell ref="F1392:G1392"/>
    <mergeCell ref="H1392:I1392"/>
    <mergeCell ref="J1392:K1392"/>
    <mergeCell ref="L1392:M1392"/>
    <mergeCell ref="P1379:Q1379"/>
    <mergeCell ref="B1380:C1380"/>
    <mergeCell ref="D1380:E1380"/>
    <mergeCell ref="F1380:G1380"/>
    <mergeCell ref="H1380:I1380"/>
    <mergeCell ref="J1380:K1380"/>
    <mergeCell ref="L1380:M1380"/>
    <mergeCell ref="P1380:Q1380"/>
    <mergeCell ref="AJ1379:AK1379"/>
    <mergeCell ref="AL1379:AM1379"/>
    <mergeCell ref="AN1379:AO1379"/>
    <mergeCell ref="AP1379:AQ1379"/>
    <mergeCell ref="AR1379:AS1379"/>
    <mergeCell ref="AT1379:AU1379"/>
    <mergeCell ref="AV1379:AW1379"/>
    <mergeCell ref="BD1382:BE1382"/>
    <mergeCell ref="BF1382:BI1382"/>
    <mergeCell ref="AN1382:AO1382"/>
    <mergeCell ref="AP1382:AQ1382"/>
    <mergeCell ref="AR1382:AS1382"/>
    <mergeCell ref="AT1382:AU1382"/>
    <mergeCell ref="AV1382:AW1382"/>
    <mergeCell ref="AX1382:AZ1382"/>
    <mergeCell ref="BA1382:BB1382"/>
    <mergeCell ref="AJ1380:AK1380"/>
    <mergeCell ref="AL1380:AM1380"/>
    <mergeCell ref="R1380:S1380"/>
    <mergeCell ref="T1380:U1380"/>
    <mergeCell ref="V1380:W1380"/>
    <mergeCell ref="X1380:AA1380"/>
    <mergeCell ref="AB1380:AE1380"/>
    <mergeCell ref="AF1380:AG1380"/>
    <mergeCell ref="AH1380:AI1380"/>
    <mergeCell ref="R1381:S1381"/>
    <mergeCell ref="T1381:U1381"/>
    <mergeCell ref="V1381:W1381"/>
    <mergeCell ref="X1381:AA1381"/>
    <mergeCell ref="AB1381:AE1381"/>
    <mergeCell ref="AF1381:AG1381"/>
    <mergeCell ref="AH1381:AI1381"/>
    <mergeCell ref="AX1381:AZ1381"/>
    <mergeCell ref="BA1381:BB1381"/>
    <mergeCell ref="BD1381:BE1381"/>
    <mergeCell ref="BF1381:BI1381"/>
    <mergeCell ref="BJ1377:BM1377"/>
    <mergeCell ref="BN1377:BV1377"/>
    <mergeCell ref="BJ1378:BM1378"/>
    <mergeCell ref="BN1378:BV1378"/>
    <mergeCell ref="B1377:C1377"/>
    <mergeCell ref="D1377:E1377"/>
    <mergeCell ref="F1377:G1377"/>
    <mergeCell ref="H1377:I1377"/>
    <mergeCell ref="J1377:K1377"/>
    <mergeCell ref="L1377:M1377"/>
    <mergeCell ref="P1377:Q1377"/>
    <mergeCell ref="B1378:C1378"/>
    <mergeCell ref="D1378:E1378"/>
    <mergeCell ref="F1378:G1378"/>
    <mergeCell ref="H1378:I1378"/>
    <mergeCell ref="J1378:K1378"/>
    <mergeCell ref="L1378:M1378"/>
    <mergeCell ref="P1378:Q1378"/>
    <mergeCell ref="AJ1377:AK1377"/>
    <mergeCell ref="AL1377:AM1377"/>
    <mergeCell ref="AN1377:AO1377"/>
    <mergeCell ref="AP1377:AQ1377"/>
    <mergeCell ref="AR1377:AS1377"/>
    <mergeCell ref="AT1377:AU1377"/>
    <mergeCell ref="AV1377:AW1377"/>
    <mergeCell ref="BD1380:BE1380"/>
    <mergeCell ref="BF1380:BI1380"/>
    <mergeCell ref="AN1380:AO1380"/>
    <mergeCell ref="AP1380:AQ1380"/>
    <mergeCell ref="AR1380:AS1380"/>
    <mergeCell ref="AT1380:AU1380"/>
    <mergeCell ref="AV1380:AW1380"/>
    <mergeCell ref="AX1380:AZ1380"/>
    <mergeCell ref="BA1380:BB1380"/>
    <mergeCell ref="AJ1378:AK1378"/>
    <mergeCell ref="AL1378:AM1378"/>
    <mergeCell ref="R1378:S1378"/>
    <mergeCell ref="T1378:U1378"/>
    <mergeCell ref="V1378:W1378"/>
    <mergeCell ref="X1378:AA1378"/>
    <mergeCell ref="AB1378:AE1378"/>
    <mergeCell ref="AF1378:AG1378"/>
    <mergeCell ref="AH1378:AI1378"/>
    <mergeCell ref="R1379:S1379"/>
    <mergeCell ref="T1379:U1379"/>
    <mergeCell ref="V1379:W1379"/>
    <mergeCell ref="X1379:AA1379"/>
    <mergeCell ref="AB1379:AE1379"/>
    <mergeCell ref="AF1379:AG1379"/>
    <mergeCell ref="AH1379:AI1379"/>
    <mergeCell ref="AX1379:AZ1379"/>
    <mergeCell ref="BA1379:BB1379"/>
    <mergeCell ref="BD1379:BE1379"/>
    <mergeCell ref="BF1379:BI1379"/>
    <mergeCell ref="BJ1379:BM1379"/>
    <mergeCell ref="BN1379:BV1379"/>
    <mergeCell ref="BJ1380:BM1380"/>
    <mergeCell ref="BN1380:BV1380"/>
    <mergeCell ref="B1379:C1379"/>
    <mergeCell ref="D1379:E1379"/>
    <mergeCell ref="F1379:G1379"/>
    <mergeCell ref="H1379:I1379"/>
    <mergeCell ref="J1379:K1379"/>
    <mergeCell ref="L1379:M1379"/>
    <mergeCell ref="F1376:G1376"/>
    <mergeCell ref="H1376:I1376"/>
    <mergeCell ref="J1376:K1376"/>
    <mergeCell ref="L1376:M1376"/>
    <mergeCell ref="P1376:Q1376"/>
    <mergeCell ref="AJ1375:AK1375"/>
    <mergeCell ref="AL1375:AM1375"/>
    <mergeCell ref="AN1375:AO1375"/>
    <mergeCell ref="AP1375:AQ1375"/>
    <mergeCell ref="AR1375:AS1375"/>
    <mergeCell ref="AT1375:AU1375"/>
    <mergeCell ref="AV1375:AW1375"/>
    <mergeCell ref="BD1378:BE1378"/>
    <mergeCell ref="BF1378:BI1378"/>
    <mergeCell ref="AN1378:AO1378"/>
    <mergeCell ref="AP1378:AQ1378"/>
    <mergeCell ref="AR1378:AS1378"/>
    <mergeCell ref="AT1378:AU1378"/>
    <mergeCell ref="AV1378:AW1378"/>
    <mergeCell ref="AX1378:AZ1378"/>
    <mergeCell ref="BA1378:BB1378"/>
    <mergeCell ref="AJ1376:AK1376"/>
    <mergeCell ref="AL1376:AM1376"/>
    <mergeCell ref="R1376:S1376"/>
    <mergeCell ref="T1376:U1376"/>
    <mergeCell ref="V1376:W1376"/>
    <mergeCell ref="X1376:AA1376"/>
    <mergeCell ref="AB1376:AE1376"/>
    <mergeCell ref="AF1376:AG1376"/>
    <mergeCell ref="AH1376:AI1376"/>
    <mergeCell ref="R1377:S1377"/>
    <mergeCell ref="T1377:U1377"/>
    <mergeCell ref="V1377:W1377"/>
    <mergeCell ref="X1377:AA1377"/>
    <mergeCell ref="AB1377:AE1377"/>
    <mergeCell ref="AF1377:AG1377"/>
    <mergeCell ref="AH1377:AI1377"/>
    <mergeCell ref="AX1377:AZ1377"/>
    <mergeCell ref="BA1377:BB1377"/>
    <mergeCell ref="BD1377:BE1377"/>
    <mergeCell ref="BF1377:BI1377"/>
    <mergeCell ref="BD1376:BE1376"/>
    <mergeCell ref="BF1376:BI1376"/>
    <mergeCell ref="AN1376:AO1376"/>
    <mergeCell ref="AP1376:AQ1376"/>
    <mergeCell ref="AR1376:AS1376"/>
    <mergeCell ref="AT1376:AU1376"/>
    <mergeCell ref="AV1376:AW1376"/>
    <mergeCell ref="AX1376:AZ1376"/>
    <mergeCell ref="BA1376:BB1376"/>
    <mergeCell ref="R1375:S1375"/>
    <mergeCell ref="T1375:U1375"/>
    <mergeCell ref="V1375:W1375"/>
    <mergeCell ref="X1375:AA1375"/>
    <mergeCell ref="AB1375:AE1375"/>
    <mergeCell ref="AF1375:AG1375"/>
    <mergeCell ref="AH1375:AI1375"/>
    <mergeCell ref="AX1375:AZ1375"/>
    <mergeCell ref="BA1375:BB1375"/>
    <mergeCell ref="BD1375:BE1375"/>
    <mergeCell ref="BF1375:BI1375"/>
    <mergeCell ref="BJ1375:BM1375"/>
    <mergeCell ref="BN1375:BV1375"/>
    <mergeCell ref="BJ1376:BM1376"/>
    <mergeCell ref="BN1376:BV1376"/>
    <mergeCell ref="B1371:C1371"/>
    <mergeCell ref="D1371:E1371"/>
    <mergeCell ref="F1371:G1371"/>
    <mergeCell ref="H1371:I1371"/>
    <mergeCell ref="J1371:K1371"/>
    <mergeCell ref="L1371:M1371"/>
    <mergeCell ref="P1371:Q1371"/>
    <mergeCell ref="B1372:C1372"/>
    <mergeCell ref="D1372:E1372"/>
    <mergeCell ref="F1372:G1372"/>
    <mergeCell ref="H1372:I1372"/>
    <mergeCell ref="J1372:K1372"/>
    <mergeCell ref="L1372:M1372"/>
    <mergeCell ref="P1372:Q1372"/>
    <mergeCell ref="AJ1371:AK1371"/>
    <mergeCell ref="AL1371:AM1371"/>
    <mergeCell ref="AN1371:AO1371"/>
    <mergeCell ref="AP1371:AQ1371"/>
    <mergeCell ref="AR1371:AS1371"/>
    <mergeCell ref="AT1371:AU1371"/>
    <mergeCell ref="AV1371:AW1371"/>
    <mergeCell ref="BD1374:BE1374"/>
    <mergeCell ref="BF1374:BI1374"/>
    <mergeCell ref="AN1374:AO1374"/>
    <mergeCell ref="AP1374:AQ1374"/>
    <mergeCell ref="AR1374:AS1374"/>
    <mergeCell ref="AT1374:AU1374"/>
    <mergeCell ref="AV1374:AW1374"/>
    <mergeCell ref="AX1374:AZ1374"/>
    <mergeCell ref="BA1374:BB1374"/>
    <mergeCell ref="AJ1372:AK1372"/>
    <mergeCell ref="AL1372:AM1372"/>
    <mergeCell ref="R1372:S1372"/>
    <mergeCell ref="T1372:U1372"/>
    <mergeCell ref="V1372:W1372"/>
    <mergeCell ref="X1372:AA1372"/>
    <mergeCell ref="AB1372:AE1372"/>
    <mergeCell ref="AF1372:AG1372"/>
    <mergeCell ref="AH1372:AI1372"/>
    <mergeCell ref="R1373:S1373"/>
    <mergeCell ref="B1375:C1375"/>
    <mergeCell ref="D1375:E1375"/>
    <mergeCell ref="F1375:G1375"/>
    <mergeCell ref="H1375:I1375"/>
    <mergeCell ref="J1375:K1375"/>
    <mergeCell ref="L1375:M1375"/>
    <mergeCell ref="P1375:Q1375"/>
    <mergeCell ref="B1376:C1376"/>
    <mergeCell ref="D1376:E1376"/>
    <mergeCell ref="BF1373:BI1373"/>
    <mergeCell ref="B1373:C1373"/>
    <mergeCell ref="D1373:E1373"/>
    <mergeCell ref="F1373:G1373"/>
    <mergeCell ref="H1373:I1373"/>
    <mergeCell ref="J1373:K1373"/>
    <mergeCell ref="L1373:M1373"/>
    <mergeCell ref="P1373:Q1373"/>
    <mergeCell ref="B1374:C1374"/>
    <mergeCell ref="D1374:E1374"/>
    <mergeCell ref="F1374:G1374"/>
    <mergeCell ref="H1374:I1374"/>
    <mergeCell ref="J1374:K1374"/>
    <mergeCell ref="L1374:M1374"/>
    <mergeCell ref="P1374:Q1374"/>
    <mergeCell ref="BD1366:BE1366"/>
    <mergeCell ref="BF1366:BI1366"/>
    <mergeCell ref="AN1366:AO1366"/>
    <mergeCell ref="AP1366:AQ1366"/>
    <mergeCell ref="AR1366:AS1366"/>
    <mergeCell ref="AT1366:AU1366"/>
    <mergeCell ref="AV1366:AW1366"/>
    <mergeCell ref="AX1366:AZ1366"/>
    <mergeCell ref="BA1366:BB1366"/>
    <mergeCell ref="BD1368:BE1368"/>
    <mergeCell ref="BF1368:BI1368"/>
    <mergeCell ref="AN1368:AO1368"/>
    <mergeCell ref="AP1368:AQ1368"/>
    <mergeCell ref="AR1368:AS1368"/>
    <mergeCell ref="AT1368:AU1368"/>
    <mergeCell ref="AV1368:AW1368"/>
    <mergeCell ref="AX1368:AZ1368"/>
    <mergeCell ref="BA1368:BB1368"/>
    <mergeCell ref="R1367:S1367"/>
    <mergeCell ref="T1367:U1367"/>
    <mergeCell ref="V1367:W1367"/>
    <mergeCell ref="X1367:AA1367"/>
    <mergeCell ref="AB1367:AE1367"/>
    <mergeCell ref="AF1367:AG1367"/>
    <mergeCell ref="AH1367:AI1367"/>
    <mergeCell ref="AX1367:AZ1367"/>
    <mergeCell ref="BA1367:BB1367"/>
    <mergeCell ref="BD1367:BE1367"/>
    <mergeCell ref="BF1367:BI1367"/>
    <mergeCell ref="AJ1374:AK1374"/>
    <mergeCell ref="AL1374:AM1374"/>
    <mergeCell ref="R1374:S1374"/>
    <mergeCell ref="T1374:U1374"/>
    <mergeCell ref="V1374:W1374"/>
    <mergeCell ref="X1374:AA1374"/>
    <mergeCell ref="AB1374:AE1374"/>
    <mergeCell ref="AF1374:AG1374"/>
    <mergeCell ref="AH1374:AI1374"/>
    <mergeCell ref="BJ1384:BM1384"/>
    <mergeCell ref="BN1384:BV1384"/>
    <mergeCell ref="R1384:S1384"/>
    <mergeCell ref="T1384:U1384"/>
    <mergeCell ref="V1384:W1384"/>
    <mergeCell ref="X1384:AA1384"/>
    <mergeCell ref="AB1384:AE1384"/>
    <mergeCell ref="AF1384:AG1384"/>
    <mergeCell ref="AH1384:AI1384"/>
    <mergeCell ref="BD1372:BE1372"/>
    <mergeCell ref="BF1372:BI1372"/>
    <mergeCell ref="AN1372:AO1372"/>
    <mergeCell ref="AP1372:AQ1372"/>
    <mergeCell ref="AR1372:AS1372"/>
    <mergeCell ref="AT1372:AU1372"/>
    <mergeCell ref="AV1372:AW1372"/>
    <mergeCell ref="AX1372:AZ1372"/>
    <mergeCell ref="BA1372:BB1372"/>
    <mergeCell ref="AJ1370:AK1370"/>
    <mergeCell ref="AL1370:AM1370"/>
    <mergeCell ref="R1370:S1370"/>
    <mergeCell ref="T1370:U1370"/>
    <mergeCell ref="V1370:W1370"/>
    <mergeCell ref="X1370:AA1370"/>
    <mergeCell ref="AB1370:AE1370"/>
    <mergeCell ref="AF1370:AG1370"/>
    <mergeCell ref="AH1370:AI1370"/>
    <mergeCell ref="R1371:S1371"/>
    <mergeCell ref="T1371:U1371"/>
    <mergeCell ref="V1371:W1371"/>
    <mergeCell ref="X1371:AA1371"/>
    <mergeCell ref="AB1371:AE1371"/>
    <mergeCell ref="AF1371:AG1371"/>
    <mergeCell ref="AH1371:AI1371"/>
    <mergeCell ref="AX1371:AZ1371"/>
    <mergeCell ref="BA1371:BB1371"/>
    <mergeCell ref="BD1371:BE1371"/>
    <mergeCell ref="BF1371:BI1371"/>
    <mergeCell ref="BJ1371:BM1371"/>
    <mergeCell ref="BN1371:BV1371"/>
    <mergeCell ref="BJ1372:BM1372"/>
    <mergeCell ref="BN1372:BV1372"/>
    <mergeCell ref="BJ1373:BM1373"/>
    <mergeCell ref="BN1373:BV1373"/>
    <mergeCell ref="BJ1374:BM1374"/>
    <mergeCell ref="BN1374:BV1374"/>
    <mergeCell ref="AJ1373:AK1373"/>
    <mergeCell ref="AL1373:AM1373"/>
    <mergeCell ref="AN1373:AO1373"/>
    <mergeCell ref="AP1373:AQ1373"/>
    <mergeCell ref="AR1373:AS1373"/>
    <mergeCell ref="AT1373:AU1373"/>
    <mergeCell ref="AV1373:AW1373"/>
    <mergeCell ref="BJ1383:BM1383"/>
    <mergeCell ref="BN1383:BV1383"/>
    <mergeCell ref="T1373:U1373"/>
    <mergeCell ref="V1373:W1373"/>
    <mergeCell ref="X1373:AA1373"/>
    <mergeCell ref="AB1373:AE1373"/>
    <mergeCell ref="AF1373:AG1373"/>
    <mergeCell ref="AH1373:AI1373"/>
    <mergeCell ref="AX1373:AZ1373"/>
    <mergeCell ref="BA1373:BB1373"/>
    <mergeCell ref="BD1373:BE1373"/>
    <mergeCell ref="BJ1362:BM1362"/>
    <mergeCell ref="BN1362:BV1362"/>
    <mergeCell ref="AJ1362:AK1362"/>
    <mergeCell ref="AL1362:AM1362"/>
    <mergeCell ref="AN1362:AO1362"/>
    <mergeCell ref="AP1362:AQ1362"/>
    <mergeCell ref="AR1362:AS1362"/>
    <mergeCell ref="AT1362:AU1362"/>
    <mergeCell ref="AV1362:AW1362"/>
    <mergeCell ref="B1362:C1362"/>
    <mergeCell ref="D1362:E1362"/>
    <mergeCell ref="F1362:G1362"/>
    <mergeCell ref="H1362:I1362"/>
    <mergeCell ref="J1362:K1362"/>
    <mergeCell ref="L1362:M1362"/>
    <mergeCell ref="P1362:Q1362"/>
    <mergeCell ref="AX1363:AZ1363"/>
    <mergeCell ref="BA1363:BB1363"/>
    <mergeCell ref="BD1363:BE1363"/>
    <mergeCell ref="BF1363:BI1363"/>
    <mergeCell ref="BJ1363:BM1363"/>
    <mergeCell ref="BN1363:BV1363"/>
    <mergeCell ref="BJ1364:BM1364"/>
    <mergeCell ref="BN1364:BV1364"/>
    <mergeCell ref="B1364:C1364"/>
    <mergeCell ref="D1364:E1364"/>
    <mergeCell ref="F1364:G1364"/>
    <mergeCell ref="H1364:I1364"/>
    <mergeCell ref="J1364:K1364"/>
    <mergeCell ref="L1364:M1364"/>
    <mergeCell ref="P1364:Q1364"/>
    <mergeCell ref="AJ1363:AK1363"/>
    <mergeCell ref="AL1363:AM1363"/>
    <mergeCell ref="AN1363:AO1363"/>
    <mergeCell ref="AP1363:AQ1363"/>
    <mergeCell ref="AR1363:AS1363"/>
    <mergeCell ref="AT1363:AU1363"/>
    <mergeCell ref="AV1363:AW1363"/>
    <mergeCell ref="R1363:S1363"/>
    <mergeCell ref="T1363:U1363"/>
    <mergeCell ref="V1363:W1363"/>
    <mergeCell ref="X1363:AA1363"/>
    <mergeCell ref="AB1363:AE1363"/>
    <mergeCell ref="AF1363:AG1363"/>
    <mergeCell ref="AH1363:AI1363"/>
    <mergeCell ref="B1363:C1363"/>
    <mergeCell ref="D1363:E1363"/>
    <mergeCell ref="F1363:G1363"/>
    <mergeCell ref="H1363:I1363"/>
    <mergeCell ref="J1363:K1363"/>
    <mergeCell ref="L1363:M1363"/>
    <mergeCell ref="P1363:Q1363"/>
    <mergeCell ref="BD1364:BE1364"/>
    <mergeCell ref="BF1364:BI1364"/>
    <mergeCell ref="AN1364:AO1364"/>
    <mergeCell ref="AP1364:AQ1364"/>
    <mergeCell ref="AR1364:AS1364"/>
    <mergeCell ref="AT1364:AU1364"/>
    <mergeCell ref="AV1364:AW1364"/>
    <mergeCell ref="AX1364:AZ1364"/>
    <mergeCell ref="BA1364:BB1364"/>
    <mergeCell ref="R1362:S1362"/>
    <mergeCell ref="T1362:U1362"/>
    <mergeCell ref="V1362:W1362"/>
    <mergeCell ref="X1362:AA1362"/>
    <mergeCell ref="AB1362:AE1362"/>
    <mergeCell ref="AF1362:AG1362"/>
    <mergeCell ref="AH1362:AI1362"/>
    <mergeCell ref="AX1362:AZ1362"/>
    <mergeCell ref="BA1362:BB1362"/>
    <mergeCell ref="BD1362:BE1362"/>
    <mergeCell ref="BF1362:BI1362"/>
    <mergeCell ref="BD1361:BE1361"/>
    <mergeCell ref="BF1361:BI1361"/>
    <mergeCell ref="AN1361:AO1361"/>
    <mergeCell ref="AP1361:AQ1361"/>
    <mergeCell ref="AR1361:AS1361"/>
    <mergeCell ref="AT1361:AU1361"/>
    <mergeCell ref="AV1361:AW1361"/>
    <mergeCell ref="AX1361:AZ1361"/>
    <mergeCell ref="BA1361:BB1361"/>
    <mergeCell ref="AJ1359:AK1359"/>
    <mergeCell ref="AL1359:AM1359"/>
    <mergeCell ref="R1359:S1359"/>
    <mergeCell ref="T1359:U1359"/>
    <mergeCell ref="V1359:W1359"/>
    <mergeCell ref="X1359:AA1359"/>
    <mergeCell ref="AB1359:AE1359"/>
    <mergeCell ref="AF1359:AG1359"/>
    <mergeCell ref="AH1359:AI1359"/>
    <mergeCell ref="R1360:S1360"/>
    <mergeCell ref="T1360:U1360"/>
    <mergeCell ref="V1360:W1360"/>
    <mergeCell ref="X1360:AA1360"/>
    <mergeCell ref="AB1360:AE1360"/>
    <mergeCell ref="AF1360:AG1360"/>
    <mergeCell ref="AH1360:AI1360"/>
    <mergeCell ref="AX1360:AZ1360"/>
    <mergeCell ref="BA1360:BB1360"/>
    <mergeCell ref="BD1360:BE1360"/>
    <mergeCell ref="BF1360:BI1360"/>
    <mergeCell ref="T1361:U1361"/>
    <mergeCell ref="V1361:W1361"/>
    <mergeCell ref="X1361:AA1361"/>
    <mergeCell ref="AB1361:AE1361"/>
    <mergeCell ref="AF1361:AG1361"/>
    <mergeCell ref="AH1361:AI1361"/>
    <mergeCell ref="BJ1360:BM1360"/>
    <mergeCell ref="BN1360:BV1360"/>
    <mergeCell ref="B1360:C1360"/>
    <mergeCell ref="D1360:E1360"/>
    <mergeCell ref="F1360:G1360"/>
    <mergeCell ref="H1360:I1360"/>
    <mergeCell ref="J1360:K1360"/>
    <mergeCell ref="L1360:M1360"/>
    <mergeCell ref="P1360:Q1360"/>
    <mergeCell ref="AJ1360:AK1360"/>
    <mergeCell ref="AL1360:AM1360"/>
    <mergeCell ref="AN1360:AO1360"/>
    <mergeCell ref="AP1360:AQ1360"/>
    <mergeCell ref="AR1360:AS1360"/>
    <mergeCell ref="AT1360:AU1360"/>
    <mergeCell ref="AV1360:AW1360"/>
    <mergeCell ref="B1361:C1361"/>
    <mergeCell ref="D1361:E1361"/>
    <mergeCell ref="F1361:G1361"/>
    <mergeCell ref="H1361:I1361"/>
    <mergeCell ref="J1361:K1361"/>
    <mergeCell ref="L1361:M1361"/>
    <mergeCell ref="P1361:Q1361"/>
    <mergeCell ref="BD1365:BE1365"/>
    <mergeCell ref="BF1365:BI1365"/>
    <mergeCell ref="BJ1365:BM1365"/>
    <mergeCell ref="BN1365:BV1365"/>
    <mergeCell ref="BJ1366:BM1366"/>
    <mergeCell ref="BN1366:BV1366"/>
    <mergeCell ref="B1365:C1365"/>
    <mergeCell ref="D1365:E1365"/>
    <mergeCell ref="F1365:G1365"/>
    <mergeCell ref="H1365:I1365"/>
    <mergeCell ref="J1365:K1365"/>
    <mergeCell ref="L1365:M1365"/>
    <mergeCell ref="P1365:Q1365"/>
    <mergeCell ref="B1366:C1366"/>
    <mergeCell ref="D1366:E1366"/>
    <mergeCell ref="F1366:G1366"/>
    <mergeCell ref="H1366:I1366"/>
    <mergeCell ref="J1366:K1366"/>
    <mergeCell ref="L1366:M1366"/>
    <mergeCell ref="P1366:Q1366"/>
    <mergeCell ref="AJ1365:AK1365"/>
    <mergeCell ref="AL1365:AM1365"/>
    <mergeCell ref="AN1365:AO1365"/>
    <mergeCell ref="AP1365:AQ1365"/>
    <mergeCell ref="AR1365:AS1365"/>
    <mergeCell ref="AT1365:AU1365"/>
    <mergeCell ref="AV1365:AW1365"/>
    <mergeCell ref="AJ1366:AK1366"/>
    <mergeCell ref="AL1366:AM1366"/>
    <mergeCell ref="R1366:S1366"/>
    <mergeCell ref="T1366:U1366"/>
    <mergeCell ref="V1366:W1366"/>
    <mergeCell ref="X1366:AA1366"/>
    <mergeCell ref="AB1366:AE1366"/>
    <mergeCell ref="AF1366:AG1366"/>
    <mergeCell ref="AH1366:AI1366"/>
    <mergeCell ref="AJ1361:AK1361"/>
    <mergeCell ref="AL1361:AM1361"/>
    <mergeCell ref="BJ1361:BM1361"/>
    <mergeCell ref="BN1361:BV1361"/>
    <mergeCell ref="R1361:S1361"/>
    <mergeCell ref="BJ1367:BM1367"/>
    <mergeCell ref="BN1367:BV1367"/>
    <mergeCell ref="BJ1368:BM1368"/>
    <mergeCell ref="BN1368:BV1368"/>
    <mergeCell ref="B1367:C1367"/>
    <mergeCell ref="D1367:E1367"/>
    <mergeCell ref="F1367:G1367"/>
    <mergeCell ref="H1367:I1367"/>
    <mergeCell ref="P1369:Q1369"/>
    <mergeCell ref="B1370:C1370"/>
    <mergeCell ref="D1370:E1370"/>
    <mergeCell ref="F1370:G1370"/>
    <mergeCell ref="H1370:I1370"/>
    <mergeCell ref="J1370:K1370"/>
    <mergeCell ref="L1370:M1370"/>
    <mergeCell ref="P1370:Q1370"/>
    <mergeCell ref="AJ1369:AK1369"/>
    <mergeCell ref="AL1369:AM1369"/>
    <mergeCell ref="AN1369:AO1369"/>
    <mergeCell ref="AP1369:AQ1369"/>
    <mergeCell ref="AR1369:AS1369"/>
    <mergeCell ref="AT1369:AU1369"/>
    <mergeCell ref="AV1369:AW1369"/>
    <mergeCell ref="AJ1364:AK1364"/>
    <mergeCell ref="AL1364:AM1364"/>
    <mergeCell ref="R1364:S1364"/>
    <mergeCell ref="T1364:U1364"/>
    <mergeCell ref="V1364:W1364"/>
    <mergeCell ref="X1364:AA1364"/>
    <mergeCell ref="AB1364:AE1364"/>
    <mergeCell ref="AF1364:AG1364"/>
    <mergeCell ref="AH1364:AI1364"/>
    <mergeCell ref="R1365:S1365"/>
    <mergeCell ref="T1365:U1365"/>
    <mergeCell ref="V1365:W1365"/>
    <mergeCell ref="X1365:AA1365"/>
    <mergeCell ref="AB1365:AE1365"/>
    <mergeCell ref="AF1365:AG1365"/>
    <mergeCell ref="AH1365:AI1365"/>
    <mergeCell ref="AX1365:AZ1365"/>
    <mergeCell ref="BA1365:BB1365"/>
    <mergeCell ref="J1367:K1367"/>
    <mergeCell ref="L1367:M1367"/>
    <mergeCell ref="P1367:Q1367"/>
    <mergeCell ref="B1368:C1368"/>
    <mergeCell ref="D1368:E1368"/>
    <mergeCell ref="F1368:G1368"/>
    <mergeCell ref="H1368:I1368"/>
    <mergeCell ref="J1368:K1368"/>
    <mergeCell ref="L1368:M1368"/>
    <mergeCell ref="P1368:Q1368"/>
    <mergeCell ref="AJ1367:AK1367"/>
    <mergeCell ref="AL1367:AM1367"/>
    <mergeCell ref="AN1367:AO1367"/>
    <mergeCell ref="AP1367:AQ1367"/>
    <mergeCell ref="AR1367:AS1367"/>
    <mergeCell ref="AT1367:AU1367"/>
    <mergeCell ref="AV1367:AW1367"/>
    <mergeCell ref="BJ1358:BM1358"/>
    <mergeCell ref="BN1358:BV1358"/>
    <mergeCell ref="BJ1359:BM1359"/>
    <mergeCell ref="BN1359:BV1359"/>
    <mergeCell ref="B1358:C1358"/>
    <mergeCell ref="D1358:E1358"/>
    <mergeCell ref="F1358:G1358"/>
    <mergeCell ref="H1358:I1358"/>
    <mergeCell ref="J1358:K1358"/>
    <mergeCell ref="L1358:M1358"/>
    <mergeCell ref="P1358:Q1358"/>
    <mergeCell ref="B1359:C1359"/>
    <mergeCell ref="D1359:E1359"/>
    <mergeCell ref="F1359:G1359"/>
    <mergeCell ref="H1359:I1359"/>
    <mergeCell ref="J1359:K1359"/>
    <mergeCell ref="L1359:M1359"/>
    <mergeCell ref="P1359:Q1359"/>
    <mergeCell ref="AJ1358:AK1358"/>
    <mergeCell ref="AL1358:AM1358"/>
    <mergeCell ref="AN1358:AO1358"/>
    <mergeCell ref="AP1358:AQ1358"/>
    <mergeCell ref="AR1358:AS1358"/>
    <mergeCell ref="AT1358:AU1358"/>
    <mergeCell ref="AV1358:AW1358"/>
    <mergeCell ref="BD1370:BE1370"/>
    <mergeCell ref="BF1370:BI1370"/>
    <mergeCell ref="AN1370:AO1370"/>
    <mergeCell ref="AP1370:AQ1370"/>
    <mergeCell ref="AR1370:AS1370"/>
    <mergeCell ref="AT1370:AU1370"/>
    <mergeCell ref="AV1370:AW1370"/>
    <mergeCell ref="AX1370:AZ1370"/>
    <mergeCell ref="BA1370:BB1370"/>
    <mergeCell ref="AJ1368:AK1368"/>
    <mergeCell ref="AL1368:AM1368"/>
    <mergeCell ref="R1368:S1368"/>
    <mergeCell ref="T1368:U1368"/>
    <mergeCell ref="V1368:W1368"/>
    <mergeCell ref="X1368:AA1368"/>
    <mergeCell ref="AB1368:AE1368"/>
    <mergeCell ref="AF1368:AG1368"/>
    <mergeCell ref="AH1368:AI1368"/>
    <mergeCell ref="R1369:S1369"/>
    <mergeCell ref="T1369:U1369"/>
    <mergeCell ref="V1369:W1369"/>
    <mergeCell ref="X1369:AA1369"/>
    <mergeCell ref="AB1369:AE1369"/>
    <mergeCell ref="AF1369:AG1369"/>
    <mergeCell ref="AH1369:AI1369"/>
    <mergeCell ref="AX1369:AZ1369"/>
    <mergeCell ref="BA1369:BB1369"/>
    <mergeCell ref="BD1369:BE1369"/>
    <mergeCell ref="BF1369:BI1369"/>
    <mergeCell ref="BJ1369:BM1369"/>
    <mergeCell ref="BN1369:BV1369"/>
    <mergeCell ref="BJ1370:BM1370"/>
    <mergeCell ref="BN1370:BV1370"/>
    <mergeCell ref="B1369:C1369"/>
    <mergeCell ref="D1369:E1369"/>
    <mergeCell ref="F1369:G1369"/>
    <mergeCell ref="H1369:I1369"/>
    <mergeCell ref="J1369:K1369"/>
    <mergeCell ref="L1369:M1369"/>
    <mergeCell ref="P1356:Q1356"/>
    <mergeCell ref="B1357:C1357"/>
    <mergeCell ref="D1357:E1357"/>
    <mergeCell ref="F1357:G1357"/>
    <mergeCell ref="H1357:I1357"/>
    <mergeCell ref="J1357:K1357"/>
    <mergeCell ref="L1357:M1357"/>
    <mergeCell ref="P1357:Q1357"/>
    <mergeCell ref="AJ1356:AK1356"/>
    <mergeCell ref="AL1356:AM1356"/>
    <mergeCell ref="AN1356:AO1356"/>
    <mergeCell ref="AP1356:AQ1356"/>
    <mergeCell ref="AR1356:AS1356"/>
    <mergeCell ref="AT1356:AU1356"/>
    <mergeCell ref="AV1356:AW1356"/>
    <mergeCell ref="BD1359:BE1359"/>
    <mergeCell ref="BF1359:BI1359"/>
    <mergeCell ref="AN1359:AO1359"/>
    <mergeCell ref="AP1359:AQ1359"/>
    <mergeCell ref="AR1359:AS1359"/>
    <mergeCell ref="AT1359:AU1359"/>
    <mergeCell ref="AV1359:AW1359"/>
    <mergeCell ref="AX1359:AZ1359"/>
    <mergeCell ref="BA1359:BB1359"/>
    <mergeCell ref="AJ1357:AK1357"/>
    <mergeCell ref="AL1357:AM1357"/>
    <mergeCell ref="R1357:S1357"/>
    <mergeCell ref="T1357:U1357"/>
    <mergeCell ref="V1357:W1357"/>
    <mergeCell ref="X1357:AA1357"/>
    <mergeCell ref="AB1357:AE1357"/>
    <mergeCell ref="AF1357:AG1357"/>
    <mergeCell ref="AH1357:AI1357"/>
    <mergeCell ref="R1358:S1358"/>
    <mergeCell ref="T1358:U1358"/>
    <mergeCell ref="V1358:W1358"/>
    <mergeCell ref="X1358:AA1358"/>
    <mergeCell ref="AB1358:AE1358"/>
    <mergeCell ref="AF1358:AG1358"/>
    <mergeCell ref="AH1358:AI1358"/>
    <mergeCell ref="AX1358:AZ1358"/>
    <mergeCell ref="BA1358:BB1358"/>
    <mergeCell ref="BD1358:BE1358"/>
    <mergeCell ref="BF1358:BI1358"/>
    <mergeCell ref="BJ1354:BM1354"/>
    <mergeCell ref="BN1354:BV1354"/>
    <mergeCell ref="BJ1355:BM1355"/>
    <mergeCell ref="BN1355:BV1355"/>
    <mergeCell ref="B1354:C1354"/>
    <mergeCell ref="D1354:E1354"/>
    <mergeCell ref="F1354:G1354"/>
    <mergeCell ref="H1354:I1354"/>
    <mergeCell ref="J1354:K1354"/>
    <mergeCell ref="L1354:M1354"/>
    <mergeCell ref="P1354:Q1354"/>
    <mergeCell ref="B1355:C1355"/>
    <mergeCell ref="D1355:E1355"/>
    <mergeCell ref="F1355:G1355"/>
    <mergeCell ref="H1355:I1355"/>
    <mergeCell ref="J1355:K1355"/>
    <mergeCell ref="L1355:M1355"/>
    <mergeCell ref="P1355:Q1355"/>
    <mergeCell ref="AJ1354:AK1354"/>
    <mergeCell ref="AL1354:AM1354"/>
    <mergeCell ref="AN1354:AO1354"/>
    <mergeCell ref="AP1354:AQ1354"/>
    <mergeCell ref="AR1354:AS1354"/>
    <mergeCell ref="AT1354:AU1354"/>
    <mergeCell ref="AV1354:AW1354"/>
    <mergeCell ref="BD1357:BE1357"/>
    <mergeCell ref="BF1357:BI1357"/>
    <mergeCell ref="AN1357:AO1357"/>
    <mergeCell ref="AP1357:AQ1357"/>
    <mergeCell ref="AR1357:AS1357"/>
    <mergeCell ref="AT1357:AU1357"/>
    <mergeCell ref="AV1357:AW1357"/>
    <mergeCell ref="AX1357:AZ1357"/>
    <mergeCell ref="BA1357:BB1357"/>
    <mergeCell ref="AJ1355:AK1355"/>
    <mergeCell ref="AL1355:AM1355"/>
    <mergeCell ref="R1355:S1355"/>
    <mergeCell ref="T1355:U1355"/>
    <mergeCell ref="V1355:W1355"/>
    <mergeCell ref="X1355:AA1355"/>
    <mergeCell ref="AB1355:AE1355"/>
    <mergeCell ref="AF1355:AG1355"/>
    <mergeCell ref="AH1355:AI1355"/>
    <mergeCell ref="R1356:S1356"/>
    <mergeCell ref="T1356:U1356"/>
    <mergeCell ref="V1356:W1356"/>
    <mergeCell ref="X1356:AA1356"/>
    <mergeCell ref="AB1356:AE1356"/>
    <mergeCell ref="AF1356:AG1356"/>
    <mergeCell ref="AH1356:AI1356"/>
    <mergeCell ref="AX1356:AZ1356"/>
    <mergeCell ref="BA1356:BB1356"/>
    <mergeCell ref="BD1356:BE1356"/>
    <mergeCell ref="BF1356:BI1356"/>
    <mergeCell ref="BJ1356:BM1356"/>
    <mergeCell ref="BN1356:BV1356"/>
    <mergeCell ref="BJ1357:BM1357"/>
    <mergeCell ref="BN1357:BV1357"/>
    <mergeCell ref="B1356:C1356"/>
    <mergeCell ref="D1356:E1356"/>
    <mergeCell ref="F1356:G1356"/>
    <mergeCell ref="H1356:I1356"/>
    <mergeCell ref="J1356:K1356"/>
    <mergeCell ref="L1356:M1356"/>
    <mergeCell ref="F1353:G1353"/>
    <mergeCell ref="H1353:I1353"/>
    <mergeCell ref="J1353:K1353"/>
    <mergeCell ref="L1353:M1353"/>
    <mergeCell ref="P1353:Q1353"/>
    <mergeCell ref="AJ1352:AK1352"/>
    <mergeCell ref="AL1352:AM1352"/>
    <mergeCell ref="AN1352:AO1352"/>
    <mergeCell ref="AP1352:AQ1352"/>
    <mergeCell ref="AR1352:AS1352"/>
    <mergeCell ref="AT1352:AU1352"/>
    <mergeCell ref="AV1352:AW1352"/>
    <mergeCell ref="BD1355:BE1355"/>
    <mergeCell ref="BF1355:BI1355"/>
    <mergeCell ref="AN1355:AO1355"/>
    <mergeCell ref="AP1355:AQ1355"/>
    <mergeCell ref="AR1355:AS1355"/>
    <mergeCell ref="AT1355:AU1355"/>
    <mergeCell ref="AV1355:AW1355"/>
    <mergeCell ref="AX1355:AZ1355"/>
    <mergeCell ref="BA1355:BB1355"/>
    <mergeCell ref="AJ1353:AK1353"/>
    <mergeCell ref="AL1353:AM1353"/>
    <mergeCell ref="R1353:S1353"/>
    <mergeCell ref="T1353:U1353"/>
    <mergeCell ref="V1353:W1353"/>
    <mergeCell ref="X1353:AA1353"/>
    <mergeCell ref="AB1353:AE1353"/>
    <mergeCell ref="AF1353:AG1353"/>
    <mergeCell ref="AH1353:AI1353"/>
    <mergeCell ref="R1354:S1354"/>
    <mergeCell ref="T1354:U1354"/>
    <mergeCell ref="V1354:W1354"/>
    <mergeCell ref="X1354:AA1354"/>
    <mergeCell ref="AB1354:AE1354"/>
    <mergeCell ref="AF1354:AG1354"/>
    <mergeCell ref="AH1354:AI1354"/>
    <mergeCell ref="AX1354:AZ1354"/>
    <mergeCell ref="BA1354:BB1354"/>
    <mergeCell ref="BD1354:BE1354"/>
    <mergeCell ref="BF1354:BI1354"/>
    <mergeCell ref="BD1353:BE1353"/>
    <mergeCell ref="BF1353:BI1353"/>
    <mergeCell ref="AN1353:AO1353"/>
    <mergeCell ref="AP1353:AQ1353"/>
    <mergeCell ref="AR1353:AS1353"/>
    <mergeCell ref="AT1353:AU1353"/>
    <mergeCell ref="AV1353:AW1353"/>
    <mergeCell ref="AX1353:AZ1353"/>
    <mergeCell ref="BA1353:BB1353"/>
    <mergeCell ref="R1352:S1352"/>
    <mergeCell ref="T1352:U1352"/>
    <mergeCell ref="V1352:W1352"/>
    <mergeCell ref="X1352:AA1352"/>
    <mergeCell ref="AB1352:AE1352"/>
    <mergeCell ref="AF1352:AG1352"/>
    <mergeCell ref="AH1352:AI1352"/>
    <mergeCell ref="AX1352:AZ1352"/>
    <mergeCell ref="BA1352:BB1352"/>
    <mergeCell ref="BD1352:BE1352"/>
    <mergeCell ref="BF1352:BI1352"/>
    <mergeCell ref="BJ1352:BM1352"/>
    <mergeCell ref="BN1352:BV1352"/>
    <mergeCell ref="BJ1353:BM1353"/>
    <mergeCell ref="BN1353:BV1353"/>
    <mergeCell ref="B1348:C1348"/>
    <mergeCell ref="D1348:E1348"/>
    <mergeCell ref="F1348:G1348"/>
    <mergeCell ref="H1348:I1348"/>
    <mergeCell ref="J1348:K1348"/>
    <mergeCell ref="L1348:M1348"/>
    <mergeCell ref="P1348:Q1348"/>
    <mergeCell ref="B1349:C1349"/>
    <mergeCell ref="D1349:E1349"/>
    <mergeCell ref="F1349:G1349"/>
    <mergeCell ref="H1349:I1349"/>
    <mergeCell ref="J1349:K1349"/>
    <mergeCell ref="L1349:M1349"/>
    <mergeCell ref="P1349:Q1349"/>
    <mergeCell ref="AJ1348:AK1348"/>
    <mergeCell ref="AL1348:AM1348"/>
    <mergeCell ref="AN1348:AO1348"/>
    <mergeCell ref="AP1348:AQ1348"/>
    <mergeCell ref="AR1348:AS1348"/>
    <mergeCell ref="AT1348:AU1348"/>
    <mergeCell ref="AV1348:AW1348"/>
    <mergeCell ref="BD1351:BE1351"/>
    <mergeCell ref="BF1351:BI1351"/>
    <mergeCell ref="AN1351:AO1351"/>
    <mergeCell ref="AP1351:AQ1351"/>
    <mergeCell ref="AR1351:AS1351"/>
    <mergeCell ref="AT1351:AU1351"/>
    <mergeCell ref="AV1351:AW1351"/>
    <mergeCell ref="AX1351:AZ1351"/>
    <mergeCell ref="BA1351:BB1351"/>
    <mergeCell ref="AJ1349:AK1349"/>
    <mergeCell ref="AL1349:AM1349"/>
    <mergeCell ref="R1349:S1349"/>
    <mergeCell ref="T1349:U1349"/>
    <mergeCell ref="V1349:W1349"/>
    <mergeCell ref="X1349:AA1349"/>
    <mergeCell ref="AB1349:AE1349"/>
    <mergeCell ref="AF1349:AG1349"/>
    <mergeCell ref="AH1349:AI1349"/>
    <mergeCell ref="R1350:S1350"/>
    <mergeCell ref="B1352:C1352"/>
    <mergeCell ref="D1352:E1352"/>
    <mergeCell ref="F1352:G1352"/>
    <mergeCell ref="H1352:I1352"/>
    <mergeCell ref="J1352:K1352"/>
    <mergeCell ref="L1352:M1352"/>
    <mergeCell ref="P1352:Q1352"/>
    <mergeCell ref="B1353:C1353"/>
    <mergeCell ref="D1353:E1353"/>
    <mergeCell ref="B1350:C1350"/>
    <mergeCell ref="D1350:E1350"/>
    <mergeCell ref="F1350:G1350"/>
    <mergeCell ref="H1350:I1350"/>
    <mergeCell ref="J1350:K1350"/>
    <mergeCell ref="L1350:M1350"/>
    <mergeCell ref="P1350:Q1350"/>
    <mergeCell ref="B1351:C1351"/>
    <mergeCell ref="D1351:E1351"/>
    <mergeCell ref="F1351:G1351"/>
    <mergeCell ref="H1351:I1351"/>
    <mergeCell ref="J1351:K1351"/>
    <mergeCell ref="L1351:M1351"/>
    <mergeCell ref="P1351:Q1351"/>
    <mergeCell ref="BD1343:BE1343"/>
    <mergeCell ref="BF1343:BI1343"/>
    <mergeCell ref="AN1343:AO1343"/>
    <mergeCell ref="AP1343:AQ1343"/>
    <mergeCell ref="AR1343:AS1343"/>
    <mergeCell ref="AT1343:AU1343"/>
    <mergeCell ref="AV1343:AW1343"/>
    <mergeCell ref="AX1343:AZ1343"/>
    <mergeCell ref="BA1343:BB1343"/>
    <mergeCell ref="BD1349:BE1349"/>
    <mergeCell ref="BF1349:BI1349"/>
    <mergeCell ref="AN1349:AO1349"/>
    <mergeCell ref="AP1349:AQ1349"/>
    <mergeCell ref="AR1349:AS1349"/>
    <mergeCell ref="AT1349:AU1349"/>
    <mergeCell ref="AV1349:AW1349"/>
    <mergeCell ref="AX1349:AZ1349"/>
    <mergeCell ref="BA1349:BB1349"/>
    <mergeCell ref="AJ1347:AK1347"/>
    <mergeCell ref="AL1347:AM1347"/>
    <mergeCell ref="R1347:S1347"/>
    <mergeCell ref="T1347:U1347"/>
    <mergeCell ref="V1347:W1347"/>
    <mergeCell ref="X1347:AA1347"/>
    <mergeCell ref="AB1347:AE1347"/>
    <mergeCell ref="AF1347:AG1347"/>
    <mergeCell ref="AH1347:AI1347"/>
    <mergeCell ref="R1348:S1348"/>
    <mergeCell ref="T1348:U1348"/>
    <mergeCell ref="V1348:W1348"/>
    <mergeCell ref="X1348:AA1348"/>
    <mergeCell ref="AB1348:AE1348"/>
    <mergeCell ref="AF1348:AG1348"/>
    <mergeCell ref="AH1348:AI1348"/>
    <mergeCell ref="AX1348:AZ1348"/>
    <mergeCell ref="BA1348:BB1348"/>
    <mergeCell ref="BD1348:BE1348"/>
    <mergeCell ref="BF1348:BI1348"/>
    <mergeCell ref="BD1345:BE1345"/>
    <mergeCell ref="BF1345:BI1345"/>
    <mergeCell ref="AJ1351:AK1351"/>
    <mergeCell ref="AL1351:AM1351"/>
    <mergeCell ref="R1351:S1351"/>
    <mergeCell ref="T1351:U1351"/>
    <mergeCell ref="V1351:W1351"/>
    <mergeCell ref="X1351:AA1351"/>
    <mergeCell ref="AB1351:AE1351"/>
    <mergeCell ref="AF1351:AG1351"/>
    <mergeCell ref="AH1351:AI1351"/>
    <mergeCell ref="B1339:C1339"/>
    <mergeCell ref="D1339:E1339"/>
    <mergeCell ref="F1339:G1339"/>
    <mergeCell ref="H1339:I1339"/>
    <mergeCell ref="J1339:K1339"/>
    <mergeCell ref="L1339:M1339"/>
    <mergeCell ref="P1339:Q1339"/>
    <mergeCell ref="AX1340:AZ1340"/>
    <mergeCell ref="BA1340:BB1340"/>
    <mergeCell ref="BD1340:BE1340"/>
    <mergeCell ref="BF1340:BI1340"/>
    <mergeCell ref="BJ1340:BM1340"/>
    <mergeCell ref="BN1340:BV1340"/>
    <mergeCell ref="BJ1341:BM1341"/>
    <mergeCell ref="BN1341:BV1341"/>
    <mergeCell ref="B1341:C1341"/>
    <mergeCell ref="D1341:E1341"/>
    <mergeCell ref="F1341:G1341"/>
    <mergeCell ref="H1341:I1341"/>
    <mergeCell ref="J1341:K1341"/>
    <mergeCell ref="L1341:M1341"/>
    <mergeCell ref="P1341:Q1341"/>
    <mergeCell ref="AJ1340:AK1340"/>
    <mergeCell ref="AL1340:AM1340"/>
    <mergeCell ref="AN1340:AO1340"/>
    <mergeCell ref="AP1340:AQ1340"/>
    <mergeCell ref="AR1340:AS1340"/>
    <mergeCell ref="AT1340:AU1340"/>
    <mergeCell ref="AV1340:AW1340"/>
    <mergeCell ref="R1340:S1340"/>
    <mergeCell ref="T1340:U1340"/>
    <mergeCell ref="V1340:W1340"/>
    <mergeCell ref="X1340:AA1340"/>
    <mergeCell ref="AB1340:AE1340"/>
    <mergeCell ref="AF1340:AG1340"/>
    <mergeCell ref="AH1340:AI1340"/>
    <mergeCell ref="B1340:C1340"/>
    <mergeCell ref="D1340:E1340"/>
    <mergeCell ref="F1340:G1340"/>
    <mergeCell ref="H1340:I1340"/>
    <mergeCell ref="R1337:S1337"/>
    <mergeCell ref="T1337:U1337"/>
    <mergeCell ref="V1337:W1337"/>
    <mergeCell ref="X1337:AA1337"/>
    <mergeCell ref="AB1337:AE1337"/>
    <mergeCell ref="AF1337:AG1337"/>
    <mergeCell ref="AH1337:AI1337"/>
    <mergeCell ref="AX1337:AZ1337"/>
    <mergeCell ref="BA1337:BB1337"/>
    <mergeCell ref="BD1337:BE1337"/>
    <mergeCell ref="BF1337:BI1337"/>
    <mergeCell ref="BJ1348:BM1348"/>
    <mergeCell ref="BN1348:BV1348"/>
    <mergeCell ref="BJ1349:BM1349"/>
    <mergeCell ref="BN1349:BV1349"/>
    <mergeCell ref="BJ1350:BM1350"/>
    <mergeCell ref="BN1350:BV1350"/>
    <mergeCell ref="BJ1351:BM1351"/>
    <mergeCell ref="BN1351:BV1351"/>
    <mergeCell ref="AJ1350:AK1350"/>
    <mergeCell ref="AL1350:AM1350"/>
    <mergeCell ref="AN1350:AO1350"/>
    <mergeCell ref="AP1350:AQ1350"/>
    <mergeCell ref="AR1350:AS1350"/>
    <mergeCell ref="AT1350:AU1350"/>
    <mergeCell ref="AV1350:AW1350"/>
    <mergeCell ref="BJ1339:BM1339"/>
    <mergeCell ref="BN1339:BV1339"/>
    <mergeCell ref="AJ1339:AK1339"/>
    <mergeCell ref="AL1339:AM1339"/>
    <mergeCell ref="AN1339:AO1339"/>
    <mergeCell ref="AP1339:AQ1339"/>
    <mergeCell ref="AR1339:AS1339"/>
    <mergeCell ref="AT1339:AU1339"/>
    <mergeCell ref="AV1339:AW1339"/>
    <mergeCell ref="T1350:U1350"/>
    <mergeCell ref="V1350:W1350"/>
    <mergeCell ref="X1350:AA1350"/>
    <mergeCell ref="AB1350:AE1350"/>
    <mergeCell ref="AF1350:AG1350"/>
    <mergeCell ref="AH1350:AI1350"/>
    <mergeCell ref="AX1350:AZ1350"/>
    <mergeCell ref="BA1350:BB1350"/>
    <mergeCell ref="BD1350:BE1350"/>
    <mergeCell ref="BF1350:BI1350"/>
    <mergeCell ref="AJ1342:AK1342"/>
    <mergeCell ref="AL1342:AM1342"/>
    <mergeCell ref="AN1342:AO1342"/>
    <mergeCell ref="AP1342:AQ1342"/>
    <mergeCell ref="AR1342:AS1342"/>
    <mergeCell ref="AT1342:AU1342"/>
    <mergeCell ref="AV1342:AW1342"/>
    <mergeCell ref="AJ1338:AK1338"/>
    <mergeCell ref="AL1338:AM1338"/>
    <mergeCell ref="BJ1338:BM1338"/>
    <mergeCell ref="BN1338:BV1338"/>
    <mergeCell ref="R1338:S1338"/>
    <mergeCell ref="T1338:U1338"/>
    <mergeCell ref="V1338:W1338"/>
    <mergeCell ref="X1338:AA1338"/>
    <mergeCell ref="AB1338:AE1338"/>
    <mergeCell ref="AF1338:AG1338"/>
    <mergeCell ref="AH1338:AI1338"/>
    <mergeCell ref="J1340:K1340"/>
    <mergeCell ref="L1340:M1340"/>
    <mergeCell ref="P1340:Q1340"/>
    <mergeCell ref="BD1341:BE1341"/>
    <mergeCell ref="BF1341:BI1341"/>
    <mergeCell ref="AN1341:AO1341"/>
    <mergeCell ref="AP1341:AQ1341"/>
    <mergeCell ref="AR1341:AS1341"/>
    <mergeCell ref="AT1341:AU1341"/>
    <mergeCell ref="AV1341:AW1341"/>
    <mergeCell ref="AX1341:AZ1341"/>
    <mergeCell ref="BA1341:BB1341"/>
    <mergeCell ref="R1339:S1339"/>
    <mergeCell ref="T1339:U1339"/>
    <mergeCell ref="V1339:W1339"/>
    <mergeCell ref="X1339:AA1339"/>
    <mergeCell ref="AB1339:AE1339"/>
    <mergeCell ref="AF1339:AG1339"/>
    <mergeCell ref="AH1339:AI1339"/>
    <mergeCell ref="AX1339:AZ1339"/>
    <mergeCell ref="BA1339:BB1339"/>
    <mergeCell ref="BD1339:BE1339"/>
    <mergeCell ref="BF1339:BI1339"/>
    <mergeCell ref="BD1338:BE1338"/>
    <mergeCell ref="BF1338:BI1338"/>
    <mergeCell ref="AN1338:AO1338"/>
    <mergeCell ref="AP1338:AQ1338"/>
    <mergeCell ref="AR1338:AS1338"/>
    <mergeCell ref="AT1338:AU1338"/>
    <mergeCell ref="AV1338:AW1338"/>
    <mergeCell ref="AX1338:AZ1338"/>
    <mergeCell ref="BA1338:BB1338"/>
    <mergeCell ref="AF1343:AG1343"/>
    <mergeCell ref="AH1343:AI1343"/>
    <mergeCell ref="R1344:S1344"/>
    <mergeCell ref="T1344:U1344"/>
    <mergeCell ref="V1344:W1344"/>
    <mergeCell ref="X1344:AA1344"/>
    <mergeCell ref="AB1344:AE1344"/>
    <mergeCell ref="AF1344:AG1344"/>
    <mergeCell ref="AH1344:AI1344"/>
    <mergeCell ref="AX1344:AZ1344"/>
    <mergeCell ref="BA1344:BB1344"/>
    <mergeCell ref="BD1344:BE1344"/>
    <mergeCell ref="BF1344:BI1344"/>
    <mergeCell ref="BJ1344:BM1344"/>
    <mergeCell ref="BN1344:BV1344"/>
    <mergeCell ref="BJ1345:BM1345"/>
    <mergeCell ref="BN1345:BV1345"/>
    <mergeCell ref="B1344:C1344"/>
    <mergeCell ref="D1344:E1344"/>
    <mergeCell ref="F1344:G1344"/>
    <mergeCell ref="H1344:I1344"/>
    <mergeCell ref="BJ1337:BM1337"/>
    <mergeCell ref="BN1337:BV1337"/>
    <mergeCell ref="B1337:C1337"/>
    <mergeCell ref="D1337:E1337"/>
    <mergeCell ref="F1337:G1337"/>
    <mergeCell ref="H1337:I1337"/>
    <mergeCell ref="J1337:K1337"/>
    <mergeCell ref="L1337:M1337"/>
    <mergeCell ref="P1337:Q1337"/>
    <mergeCell ref="AJ1337:AK1337"/>
    <mergeCell ref="AL1337:AM1337"/>
    <mergeCell ref="AN1337:AO1337"/>
    <mergeCell ref="AP1337:AQ1337"/>
    <mergeCell ref="AR1337:AS1337"/>
    <mergeCell ref="AT1337:AU1337"/>
    <mergeCell ref="AV1337:AW1337"/>
    <mergeCell ref="B1338:C1338"/>
    <mergeCell ref="D1338:E1338"/>
    <mergeCell ref="F1338:G1338"/>
    <mergeCell ref="H1338:I1338"/>
    <mergeCell ref="J1338:K1338"/>
    <mergeCell ref="L1338:M1338"/>
    <mergeCell ref="P1338:Q1338"/>
    <mergeCell ref="BD1342:BE1342"/>
    <mergeCell ref="BF1342:BI1342"/>
    <mergeCell ref="BJ1342:BM1342"/>
    <mergeCell ref="BN1342:BV1342"/>
    <mergeCell ref="BJ1343:BM1343"/>
    <mergeCell ref="BN1343:BV1343"/>
    <mergeCell ref="B1342:C1342"/>
    <mergeCell ref="D1342:E1342"/>
    <mergeCell ref="F1342:G1342"/>
    <mergeCell ref="H1342:I1342"/>
    <mergeCell ref="J1342:K1342"/>
    <mergeCell ref="L1342:M1342"/>
    <mergeCell ref="P1342:Q1342"/>
    <mergeCell ref="B1343:C1343"/>
    <mergeCell ref="D1343:E1343"/>
    <mergeCell ref="F1343:G1343"/>
    <mergeCell ref="H1343:I1343"/>
    <mergeCell ref="J1343:K1343"/>
    <mergeCell ref="L1343:M1343"/>
    <mergeCell ref="P1343:Q1343"/>
    <mergeCell ref="P1346:Q1346"/>
    <mergeCell ref="B1347:C1347"/>
    <mergeCell ref="D1347:E1347"/>
    <mergeCell ref="F1347:G1347"/>
    <mergeCell ref="H1347:I1347"/>
    <mergeCell ref="J1347:K1347"/>
    <mergeCell ref="L1347:M1347"/>
    <mergeCell ref="P1347:Q1347"/>
    <mergeCell ref="AJ1346:AK1346"/>
    <mergeCell ref="AL1346:AM1346"/>
    <mergeCell ref="AN1346:AO1346"/>
    <mergeCell ref="AP1346:AQ1346"/>
    <mergeCell ref="AR1346:AS1346"/>
    <mergeCell ref="AT1346:AU1346"/>
    <mergeCell ref="AV1346:AW1346"/>
    <mergeCell ref="AJ1341:AK1341"/>
    <mergeCell ref="AL1341:AM1341"/>
    <mergeCell ref="R1341:S1341"/>
    <mergeCell ref="T1341:U1341"/>
    <mergeCell ref="V1341:W1341"/>
    <mergeCell ref="X1341:AA1341"/>
    <mergeCell ref="AB1341:AE1341"/>
    <mergeCell ref="AF1341:AG1341"/>
    <mergeCell ref="AH1341:AI1341"/>
    <mergeCell ref="R1342:S1342"/>
    <mergeCell ref="T1342:U1342"/>
    <mergeCell ref="V1342:W1342"/>
    <mergeCell ref="X1342:AA1342"/>
    <mergeCell ref="AB1342:AE1342"/>
    <mergeCell ref="AF1342:AG1342"/>
    <mergeCell ref="AH1342:AI1342"/>
    <mergeCell ref="AX1342:AZ1342"/>
    <mergeCell ref="BA1342:BB1342"/>
    <mergeCell ref="J1344:K1344"/>
    <mergeCell ref="L1344:M1344"/>
    <mergeCell ref="P1344:Q1344"/>
    <mergeCell ref="B1345:C1345"/>
    <mergeCell ref="D1345:E1345"/>
    <mergeCell ref="F1345:G1345"/>
    <mergeCell ref="H1345:I1345"/>
    <mergeCell ref="J1345:K1345"/>
    <mergeCell ref="L1345:M1345"/>
    <mergeCell ref="P1345:Q1345"/>
    <mergeCell ref="AJ1344:AK1344"/>
    <mergeCell ref="AL1344:AM1344"/>
    <mergeCell ref="AN1344:AO1344"/>
    <mergeCell ref="AP1344:AQ1344"/>
    <mergeCell ref="AR1344:AS1344"/>
    <mergeCell ref="AT1344:AU1344"/>
    <mergeCell ref="AV1344:AW1344"/>
    <mergeCell ref="AN1345:AO1345"/>
    <mergeCell ref="AP1345:AQ1345"/>
    <mergeCell ref="AR1345:AS1345"/>
    <mergeCell ref="AT1345:AU1345"/>
    <mergeCell ref="AV1345:AW1345"/>
    <mergeCell ref="AX1345:AZ1345"/>
    <mergeCell ref="BA1345:BB1345"/>
    <mergeCell ref="AJ1343:AK1343"/>
    <mergeCell ref="AL1343:AM1343"/>
    <mergeCell ref="R1343:S1343"/>
    <mergeCell ref="T1343:U1343"/>
    <mergeCell ref="V1343:W1343"/>
    <mergeCell ref="X1343:AA1343"/>
    <mergeCell ref="AB1343:AE1343"/>
    <mergeCell ref="BJ1335:BM1335"/>
    <mergeCell ref="BN1335:BV1335"/>
    <mergeCell ref="BJ1336:BM1336"/>
    <mergeCell ref="BN1336:BV1336"/>
    <mergeCell ref="B1335:C1335"/>
    <mergeCell ref="D1335:E1335"/>
    <mergeCell ref="F1335:G1335"/>
    <mergeCell ref="H1335:I1335"/>
    <mergeCell ref="J1335:K1335"/>
    <mergeCell ref="L1335:M1335"/>
    <mergeCell ref="P1335:Q1335"/>
    <mergeCell ref="B1336:C1336"/>
    <mergeCell ref="D1336:E1336"/>
    <mergeCell ref="F1336:G1336"/>
    <mergeCell ref="H1336:I1336"/>
    <mergeCell ref="J1336:K1336"/>
    <mergeCell ref="L1336:M1336"/>
    <mergeCell ref="P1336:Q1336"/>
    <mergeCell ref="AJ1335:AK1335"/>
    <mergeCell ref="AL1335:AM1335"/>
    <mergeCell ref="AN1335:AO1335"/>
    <mergeCell ref="AP1335:AQ1335"/>
    <mergeCell ref="AR1335:AS1335"/>
    <mergeCell ref="AT1335:AU1335"/>
    <mergeCell ref="AV1335:AW1335"/>
    <mergeCell ref="BD1347:BE1347"/>
    <mergeCell ref="BF1347:BI1347"/>
    <mergeCell ref="AN1347:AO1347"/>
    <mergeCell ref="AP1347:AQ1347"/>
    <mergeCell ref="AR1347:AS1347"/>
    <mergeCell ref="AT1347:AU1347"/>
    <mergeCell ref="AV1347:AW1347"/>
    <mergeCell ref="AX1347:AZ1347"/>
    <mergeCell ref="BA1347:BB1347"/>
    <mergeCell ref="AJ1345:AK1345"/>
    <mergeCell ref="AL1345:AM1345"/>
    <mergeCell ref="R1345:S1345"/>
    <mergeCell ref="T1345:U1345"/>
    <mergeCell ref="V1345:W1345"/>
    <mergeCell ref="X1345:AA1345"/>
    <mergeCell ref="AB1345:AE1345"/>
    <mergeCell ref="AF1345:AG1345"/>
    <mergeCell ref="AH1345:AI1345"/>
    <mergeCell ref="R1346:S1346"/>
    <mergeCell ref="T1346:U1346"/>
    <mergeCell ref="V1346:W1346"/>
    <mergeCell ref="X1346:AA1346"/>
    <mergeCell ref="AB1346:AE1346"/>
    <mergeCell ref="AF1346:AG1346"/>
    <mergeCell ref="AH1346:AI1346"/>
    <mergeCell ref="AX1346:AZ1346"/>
    <mergeCell ref="BA1346:BB1346"/>
    <mergeCell ref="BD1346:BE1346"/>
    <mergeCell ref="BF1346:BI1346"/>
    <mergeCell ref="BJ1346:BM1346"/>
    <mergeCell ref="BN1346:BV1346"/>
    <mergeCell ref="BJ1347:BM1347"/>
    <mergeCell ref="BN1347:BV1347"/>
    <mergeCell ref="B1346:C1346"/>
    <mergeCell ref="D1346:E1346"/>
    <mergeCell ref="F1346:G1346"/>
    <mergeCell ref="H1346:I1346"/>
    <mergeCell ref="J1346:K1346"/>
    <mergeCell ref="L1346:M1346"/>
    <mergeCell ref="P1333:Q1333"/>
    <mergeCell ref="B1334:C1334"/>
    <mergeCell ref="D1334:E1334"/>
    <mergeCell ref="F1334:G1334"/>
    <mergeCell ref="H1334:I1334"/>
    <mergeCell ref="J1334:K1334"/>
    <mergeCell ref="L1334:M1334"/>
    <mergeCell ref="P1334:Q1334"/>
    <mergeCell ref="AJ1333:AK1333"/>
    <mergeCell ref="AL1333:AM1333"/>
    <mergeCell ref="AN1333:AO1333"/>
    <mergeCell ref="AP1333:AQ1333"/>
    <mergeCell ref="AR1333:AS1333"/>
    <mergeCell ref="AT1333:AU1333"/>
    <mergeCell ref="AV1333:AW1333"/>
    <mergeCell ref="BD1336:BE1336"/>
    <mergeCell ref="BF1336:BI1336"/>
    <mergeCell ref="AN1336:AO1336"/>
    <mergeCell ref="AP1336:AQ1336"/>
    <mergeCell ref="AR1336:AS1336"/>
    <mergeCell ref="AT1336:AU1336"/>
    <mergeCell ref="AV1336:AW1336"/>
    <mergeCell ref="AX1336:AZ1336"/>
    <mergeCell ref="BA1336:BB1336"/>
    <mergeCell ref="AJ1334:AK1334"/>
    <mergeCell ref="AL1334:AM1334"/>
    <mergeCell ref="R1334:S1334"/>
    <mergeCell ref="T1334:U1334"/>
    <mergeCell ref="V1334:W1334"/>
    <mergeCell ref="X1334:AA1334"/>
    <mergeCell ref="AB1334:AE1334"/>
    <mergeCell ref="AF1334:AG1334"/>
    <mergeCell ref="AH1334:AI1334"/>
    <mergeCell ref="R1335:S1335"/>
    <mergeCell ref="T1335:U1335"/>
    <mergeCell ref="V1335:W1335"/>
    <mergeCell ref="X1335:AA1335"/>
    <mergeCell ref="AB1335:AE1335"/>
    <mergeCell ref="AF1335:AG1335"/>
    <mergeCell ref="AH1335:AI1335"/>
    <mergeCell ref="AX1335:AZ1335"/>
    <mergeCell ref="BA1335:BB1335"/>
    <mergeCell ref="BD1335:BE1335"/>
    <mergeCell ref="BF1335:BI1335"/>
    <mergeCell ref="AJ1336:AK1336"/>
    <mergeCell ref="AL1336:AM1336"/>
    <mergeCell ref="R1336:S1336"/>
    <mergeCell ref="T1336:U1336"/>
    <mergeCell ref="V1336:W1336"/>
    <mergeCell ref="X1336:AA1336"/>
    <mergeCell ref="AB1336:AE1336"/>
    <mergeCell ref="AF1336:AG1336"/>
    <mergeCell ref="AH1336:AI1336"/>
    <mergeCell ref="BJ1331:BM1331"/>
    <mergeCell ref="BN1331:BV1331"/>
    <mergeCell ref="BJ1332:BM1332"/>
    <mergeCell ref="BN1332:BV1332"/>
    <mergeCell ref="B1331:C1331"/>
    <mergeCell ref="D1331:E1331"/>
    <mergeCell ref="F1331:G1331"/>
    <mergeCell ref="H1331:I1331"/>
    <mergeCell ref="J1331:K1331"/>
    <mergeCell ref="L1331:M1331"/>
    <mergeCell ref="P1331:Q1331"/>
    <mergeCell ref="B1332:C1332"/>
    <mergeCell ref="D1332:E1332"/>
    <mergeCell ref="F1332:G1332"/>
    <mergeCell ref="H1332:I1332"/>
    <mergeCell ref="J1332:K1332"/>
    <mergeCell ref="L1332:M1332"/>
    <mergeCell ref="P1332:Q1332"/>
    <mergeCell ref="AJ1331:AK1331"/>
    <mergeCell ref="AL1331:AM1331"/>
    <mergeCell ref="AN1331:AO1331"/>
    <mergeCell ref="AP1331:AQ1331"/>
    <mergeCell ref="AR1331:AS1331"/>
    <mergeCell ref="AT1331:AU1331"/>
    <mergeCell ref="AV1331:AW1331"/>
    <mergeCell ref="BD1334:BE1334"/>
    <mergeCell ref="BF1334:BI1334"/>
    <mergeCell ref="AN1334:AO1334"/>
    <mergeCell ref="AP1334:AQ1334"/>
    <mergeCell ref="AR1334:AS1334"/>
    <mergeCell ref="AT1334:AU1334"/>
    <mergeCell ref="AV1334:AW1334"/>
    <mergeCell ref="AX1334:AZ1334"/>
    <mergeCell ref="BA1334:BB1334"/>
    <mergeCell ref="AJ1332:AK1332"/>
    <mergeCell ref="AL1332:AM1332"/>
    <mergeCell ref="R1332:S1332"/>
    <mergeCell ref="T1332:U1332"/>
    <mergeCell ref="V1332:W1332"/>
    <mergeCell ref="X1332:AA1332"/>
    <mergeCell ref="AB1332:AE1332"/>
    <mergeCell ref="AF1332:AG1332"/>
    <mergeCell ref="AH1332:AI1332"/>
    <mergeCell ref="R1333:S1333"/>
    <mergeCell ref="T1333:U1333"/>
    <mergeCell ref="V1333:W1333"/>
    <mergeCell ref="X1333:AA1333"/>
    <mergeCell ref="AB1333:AE1333"/>
    <mergeCell ref="AF1333:AG1333"/>
    <mergeCell ref="AH1333:AI1333"/>
    <mergeCell ref="AX1333:AZ1333"/>
    <mergeCell ref="BA1333:BB1333"/>
    <mergeCell ref="BD1333:BE1333"/>
    <mergeCell ref="BF1333:BI1333"/>
    <mergeCell ref="BJ1333:BM1333"/>
    <mergeCell ref="BN1333:BV1333"/>
    <mergeCell ref="BJ1334:BM1334"/>
    <mergeCell ref="BN1334:BV1334"/>
    <mergeCell ref="B1333:C1333"/>
    <mergeCell ref="D1333:E1333"/>
    <mergeCell ref="F1333:G1333"/>
    <mergeCell ref="H1333:I1333"/>
    <mergeCell ref="J1333:K1333"/>
    <mergeCell ref="L1333:M1333"/>
    <mergeCell ref="F1330:G1330"/>
    <mergeCell ref="H1330:I1330"/>
    <mergeCell ref="J1330:K1330"/>
    <mergeCell ref="L1330:M1330"/>
    <mergeCell ref="P1330:Q1330"/>
    <mergeCell ref="AJ1329:AK1329"/>
    <mergeCell ref="AL1329:AM1329"/>
    <mergeCell ref="AN1329:AO1329"/>
    <mergeCell ref="AP1329:AQ1329"/>
    <mergeCell ref="AR1329:AS1329"/>
    <mergeCell ref="AT1329:AU1329"/>
    <mergeCell ref="AV1329:AW1329"/>
    <mergeCell ref="BD1332:BE1332"/>
    <mergeCell ref="BF1332:BI1332"/>
    <mergeCell ref="AN1332:AO1332"/>
    <mergeCell ref="AP1332:AQ1332"/>
    <mergeCell ref="AR1332:AS1332"/>
    <mergeCell ref="AT1332:AU1332"/>
    <mergeCell ref="AV1332:AW1332"/>
    <mergeCell ref="AX1332:AZ1332"/>
    <mergeCell ref="BA1332:BB1332"/>
    <mergeCell ref="AJ1330:AK1330"/>
    <mergeCell ref="AL1330:AM1330"/>
    <mergeCell ref="R1330:S1330"/>
    <mergeCell ref="T1330:U1330"/>
    <mergeCell ref="V1330:W1330"/>
    <mergeCell ref="X1330:AA1330"/>
    <mergeCell ref="AB1330:AE1330"/>
    <mergeCell ref="AF1330:AG1330"/>
    <mergeCell ref="AH1330:AI1330"/>
    <mergeCell ref="R1331:S1331"/>
    <mergeCell ref="T1331:U1331"/>
    <mergeCell ref="V1331:W1331"/>
    <mergeCell ref="X1331:AA1331"/>
    <mergeCell ref="AB1331:AE1331"/>
    <mergeCell ref="AF1331:AG1331"/>
    <mergeCell ref="AH1331:AI1331"/>
    <mergeCell ref="AX1331:AZ1331"/>
    <mergeCell ref="BA1331:BB1331"/>
    <mergeCell ref="BD1331:BE1331"/>
    <mergeCell ref="BF1331:BI1331"/>
    <mergeCell ref="BD1330:BE1330"/>
    <mergeCell ref="BF1330:BI1330"/>
    <mergeCell ref="AN1330:AO1330"/>
    <mergeCell ref="AP1330:AQ1330"/>
    <mergeCell ref="AR1330:AS1330"/>
    <mergeCell ref="AT1330:AU1330"/>
    <mergeCell ref="AV1330:AW1330"/>
    <mergeCell ref="AX1330:AZ1330"/>
    <mergeCell ref="BA1330:BB1330"/>
    <mergeCell ref="R1329:S1329"/>
    <mergeCell ref="T1329:U1329"/>
    <mergeCell ref="V1329:W1329"/>
    <mergeCell ref="X1329:AA1329"/>
    <mergeCell ref="AB1329:AE1329"/>
    <mergeCell ref="AF1329:AG1329"/>
    <mergeCell ref="AH1329:AI1329"/>
    <mergeCell ref="AX1329:AZ1329"/>
    <mergeCell ref="BA1329:BB1329"/>
    <mergeCell ref="BD1329:BE1329"/>
    <mergeCell ref="BF1329:BI1329"/>
    <mergeCell ref="BJ1329:BM1329"/>
    <mergeCell ref="BN1329:BV1329"/>
    <mergeCell ref="BJ1330:BM1330"/>
    <mergeCell ref="BN1330:BV1330"/>
    <mergeCell ref="B1325:C1325"/>
    <mergeCell ref="D1325:E1325"/>
    <mergeCell ref="F1325:G1325"/>
    <mergeCell ref="H1325:I1325"/>
    <mergeCell ref="J1325:K1325"/>
    <mergeCell ref="L1325:M1325"/>
    <mergeCell ref="P1325:Q1325"/>
    <mergeCell ref="B1326:C1326"/>
    <mergeCell ref="D1326:E1326"/>
    <mergeCell ref="F1326:G1326"/>
    <mergeCell ref="H1326:I1326"/>
    <mergeCell ref="J1326:K1326"/>
    <mergeCell ref="L1326:M1326"/>
    <mergeCell ref="P1326:Q1326"/>
    <mergeCell ref="AJ1325:AK1325"/>
    <mergeCell ref="AL1325:AM1325"/>
    <mergeCell ref="AN1325:AO1325"/>
    <mergeCell ref="AP1325:AQ1325"/>
    <mergeCell ref="AR1325:AS1325"/>
    <mergeCell ref="AT1325:AU1325"/>
    <mergeCell ref="AV1325:AW1325"/>
    <mergeCell ref="BD1328:BE1328"/>
    <mergeCell ref="BF1328:BI1328"/>
    <mergeCell ref="AN1328:AO1328"/>
    <mergeCell ref="AP1328:AQ1328"/>
    <mergeCell ref="AR1328:AS1328"/>
    <mergeCell ref="AT1328:AU1328"/>
    <mergeCell ref="AV1328:AW1328"/>
    <mergeCell ref="AX1328:AZ1328"/>
    <mergeCell ref="BA1328:BB1328"/>
    <mergeCell ref="AJ1326:AK1326"/>
    <mergeCell ref="AL1326:AM1326"/>
    <mergeCell ref="R1326:S1326"/>
    <mergeCell ref="T1326:U1326"/>
    <mergeCell ref="V1326:W1326"/>
    <mergeCell ref="X1326:AA1326"/>
    <mergeCell ref="AB1326:AE1326"/>
    <mergeCell ref="AF1326:AG1326"/>
    <mergeCell ref="AH1326:AI1326"/>
    <mergeCell ref="R1327:S1327"/>
    <mergeCell ref="B1329:C1329"/>
    <mergeCell ref="D1329:E1329"/>
    <mergeCell ref="F1329:G1329"/>
    <mergeCell ref="H1329:I1329"/>
    <mergeCell ref="J1329:K1329"/>
    <mergeCell ref="L1329:M1329"/>
    <mergeCell ref="P1329:Q1329"/>
    <mergeCell ref="B1330:C1330"/>
    <mergeCell ref="D1330:E1330"/>
    <mergeCell ref="B1327:C1327"/>
    <mergeCell ref="D1327:E1327"/>
    <mergeCell ref="F1327:G1327"/>
    <mergeCell ref="H1327:I1327"/>
    <mergeCell ref="J1327:K1327"/>
    <mergeCell ref="L1327:M1327"/>
    <mergeCell ref="P1327:Q1327"/>
    <mergeCell ref="B1328:C1328"/>
    <mergeCell ref="D1328:E1328"/>
    <mergeCell ref="F1328:G1328"/>
    <mergeCell ref="H1328:I1328"/>
    <mergeCell ref="J1328:K1328"/>
    <mergeCell ref="L1328:M1328"/>
    <mergeCell ref="P1328:Q1328"/>
    <mergeCell ref="BD1320:BE1320"/>
    <mergeCell ref="BF1320:BI1320"/>
    <mergeCell ref="AN1320:AO1320"/>
    <mergeCell ref="AP1320:AQ1320"/>
    <mergeCell ref="AR1320:AS1320"/>
    <mergeCell ref="AT1320:AU1320"/>
    <mergeCell ref="AV1320:AW1320"/>
    <mergeCell ref="AX1320:AZ1320"/>
    <mergeCell ref="BA1320:BB1320"/>
    <mergeCell ref="BD1326:BE1326"/>
    <mergeCell ref="BF1326:BI1326"/>
    <mergeCell ref="AN1326:AO1326"/>
    <mergeCell ref="AP1326:AQ1326"/>
    <mergeCell ref="AR1326:AS1326"/>
    <mergeCell ref="AT1326:AU1326"/>
    <mergeCell ref="AV1326:AW1326"/>
    <mergeCell ref="AX1326:AZ1326"/>
    <mergeCell ref="BA1326:BB1326"/>
    <mergeCell ref="AJ1324:AK1324"/>
    <mergeCell ref="AL1324:AM1324"/>
    <mergeCell ref="R1324:S1324"/>
    <mergeCell ref="T1324:U1324"/>
    <mergeCell ref="V1324:W1324"/>
    <mergeCell ref="X1324:AA1324"/>
    <mergeCell ref="AB1324:AE1324"/>
    <mergeCell ref="AF1324:AG1324"/>
    <mergeCell ref="AH1324:AI1324"/>
    <mergeCell ref="R1325:S1325"/>
    <mergeCell ref="T1325:U1325"/>
    <mergeCell ref="V1325:W1325"/>
    <mergeCell ref="X1325:AA1325"/>
    <mergeCell ref="AB1325:AE1325"/>
    <mergeCell ref="AF1325:AG1325"/>
    <mergeCell ref="AH1325:AI1325"/>
    <mergeCell ref="AX1325:AZ1325"/>
    <mergeCell ref="BA1325:BB1325"/>
    <mergeCell ref="BD1325:BE1325"/>
    <mergeCell ref="BF1325:BI1325"/>
    <mergeCell ref="BD1322:BE1322"/>
    <mergeCell ref="BF1322:BI1322"/>
    <mergeCell ref="AJ1328:AK1328"/>
    <mergeCell ref="AL1328:AM1328"/>
    <mergeCell ref="R1328:S1328"/>
    <mergeCell ref="T1328:U1328"/>
    <mergeCell ref="V1328:W1328"/>
    <mergeCell ref="X1328:AA1328"/>
    <mergeCell ref="AB1328:AE1328"/>
    <mergeCell ref="AF1328:AG1328"/>
    <mergeCell ref="AH1328:AI1328"/>
    <mergeCell ref="B1316:C1316"/>
    <mergeCell ref="D1316:E1316"/>
    <mergeCell ref="F1316:G1316"/>
    <mergeCell ref="H1316:I1316"/>
    <mergeCell ref="J1316:K1316"/>
    <mergeCell ref="L1316:M1316"/>
    <mergeCell ref="P1316:Q1316"/>
    <mergeCell ref="AX1317:AZ1317"/>
    <mergeCell ref="BA1317:BB1317"/>
    <mergeCell ref="BD1317:BE1317"/>
    <mergeCell ref="BF1317:BI1317"/>
    <mergeCell ref="BJ1317:BM1317"/>
    <mergeCell ref="BN1317:BV1317"/>
    <mergeCell ref="BJ1318:BM1318"/>
    <mergeCell ref="BN1318:BV1318"/>
    <mergeCell ref="B1318:C1318"/>
    <mergeCell ref="D1318:E1318"/>
    <mergeCell ref="F1318:G1318"/>
    <mergeCell ref="H1318:I1318"/>
    <mergeCell ref="J1318:K1318"/>
    <mergeCell ref="L1318:M1318"/>
    <mergeCell ref="P1318:Q1318"/>
    <mergeCell ref="AJ1317:AK1317"/>
    <mergeCell ref="AL1317:AM1317"/>
    <mergeCell ref="AN1317:AO1317"/>
    <mergeCell ref="AP1317:AQ1317"/>
    <mergeCell ref="AR1317:AS1317"/>
    <mergeCell ref="AT1317:AU1317"/>
    <mergeCell ref="AV1317:AW1317"/>
    <mergeCell ref="R1317:S1317"/>
    <mergeCell ref="T1317:U1317"/>
    <mergeCell ref="V1317:W1317"/>
    <mergeCell ref="X1317:AA1317"/>
    <mergeCell ref="AB1317:AE1317"/>
    <mergeCell ref="AF1317:AG1317"/>
    <mergeCell ref="AH1317:AI1317"/>
    <mergeCell ref="B1317:C1317"/>
    <mergeCell ref="D1317:E1317"/>
    <mergeCell ref="F1317:G1317"/>
    <mergeCell ref="H1317:I1317"/>
    <mergeCell ref="R1314:S1314"/>
    <mergeCell ref="T1314:U1314"/>
    <mergeCell ref="V1314:W1314"/>
    <mergeCell ref="X1314:AA1314"/>
    <mergeCell ref="AB1314:AE1314"/>
    <mergeCell ref="AF1314:AG1314"/>
    <mergeCell ref="AH1314:AI1314"/>
    <mergeCell ref="AX1314:AZ1314"/>
    <mergeCell ref="BA1314:BB1314"/>
    <mergeCell ref="BD1314:BE1314"/>
    <mergeCell ref="BF1314:BI1314"/>
    <mergeCell ref="BJ1325:BM1325"/>
    <mergeCell ref="BN1325:BV1325"/>
    <mergeCell ref="BJ1326:BM1326"/>
    <mergeCell ref="BN1326:BV1326"/>
    <mergeCell ref="BJ1327:BM1327"/>
    <mergeCell ref="BN1327:BV1327"/>
    <mergeCell ref="BJ1328:BM1328"/>
    <mergeCell ref="BN1328:BV1328"/>
    <mergeCell ref="AJ1327:AK1327"/>
    <mergeCell ref="AL1327:AM1327"/>
    <mergeCell ref="AN1327:AO1327"/>
    <mergeCell ref="AP1327:AQ1327"/>
    <mergeCell ref="AR1327:AS1327"/>
    <mergeCell ref="AT1327:AU1327"/>
    <mergeCell ref="AV1327:AW1327"/>
    <mergeCell ref="BJ1316:BM1316"/>
    <mergeCell ref="BN1316:BV1316"/>
    <mergeCell ref="AJ1316:AK1316"/>
    <mergeCell ref="AL1316:AM1316"/>
    <mergeCell ref="AN1316:AO1316"/>
    <mergeCell ref="AP1316:AQ1316"/>
    <mergeCell ref="AR1316:AS1316"/>
    <mergeCell ref="AT1316:AU1316"/>
    <mergeCell ref="AV1316:AW1316"/>
    <mergeCell ref="T1327:U1327"/>
    <mergeCell ref="V1327:W1327"/>
    <mergeCell ref="X1327:AA1327"/>
    <mergeCell ref="AB1327:AE1327"/>
    <mergeCell ref="AF1327:AG1327"/>
    <mergeCell ref="AH1327:AI1327"/>
    <mergeCell ref="AX1327:AZ1327"/>
    <mergeCell ref="BA1327:BB1327"/>
    <mergeCell ref="BD1327:BE1327"/>
    <mergeCell ref="BF1327:BI1327"/>
    <mergeCell ref="AJ1319:AK1319"/>
    <mergeCell ref="AL1319:AM1319"/>
    <mergeCell ref="AN1319:AO1319"/>
    <mergeCell ref="AP1319:AQ1319"/>
    <mergeCell ref="AR1319:AS1319"/>
    <mergeCell ref="AT1319:AU1319"/>
    <mergeCell ref="AV1319:AW1319"/>
    <mergeCell ref="AJ1315:AK1315"/>
    <mergeCell ref="AL1315:AM1315"/>
    <mergeCell ref="BJ1315:BM1315"/>
    <mergeCell ref="BN1315:BV1315"/>
    <mergeCell ref="R1315:S1315"/>
    <mergeCell ref="T1315:U1315"/>
    <mergeCell ref="V1315:W1315"/>
    <mergeCell ref="X1315:AA1315"/>
    <mergeCell ref="AB1315:AE1315"/>
    <mergeCell ref="AF1315:AG1315"/>
    <mergeCell ref="AH1315:AI1315"/>
    <mergeCell ref="J1317:K1317"/>
    <mergeCell ref="L1317:M1317"/>
    <mergeCell ref="P1317:Q1317"/>
    <mergeCell ref="BD1318:BE1318"/>
    <mergeCell ref="BF1318:BI1318"/>
    <mergeCell ref="AN1318:AO1318"/>
    <mergeCell ref="AP1318:AQ1318"/>
    <mergeCell ref="AR1318:AS1318"/>
    <mergeCell ref="AT1318:AU1318"/>
    <mergeCell ref="AV1318:AW1318"/>
    <mergeCell ref="AX1318:AZ1318"/>
    <mergeCell ref="BA1318:BB1318"/>
    <mergeCell ref="R1316:S1316"/>
    <mergeCell ref="T1316:U1316"/>
    <mergeCell ref="V1316:W1316"/>
    <mergeCell ref="X1316:AA1316"/>
    <mergeCell ref="AB1316:AE1316"/>
    <mergeCell ref="AF1316:AG1316"/>
    <mergeCell ref="AH1316:AI1316"/>
    <mergeCell ref="AX1316:AZ1316"/>
    <mergeCell ref="BA1316:BB1316"/>
    <mergeCell ref="BD1316:BE1316"/>
    <mergeCell ref="BF1316:BI1316"/>
    <mergeCell ref="BD1315:BE1315"/>
    <mergeCell ref="BF1315:BI1315"/>
    <mergeCell ref="AN1315:AO1315"/>
    <mergeCell ref="AP1315:AQ1315"/>
    <mergeCell ref="AR1315:AS1315"/>
    <mergeCell ref="AT1315:AU1315"/>
    <mergeCell ref="AV1315:AW1315"/>
    <mergeCell ref="AX1315:AZ1315"/>
    <mergeCell ref="BA1315:BB1315"/>
    <mergeCell ref="AF1320:AG1320"/>
    <mergeCell ref="AH1320:AI1320"/>
    <mergeCell ref="R1321:S1321"/>
    <mergeCell ref="T1321:U1321"/>
    <mergeCell ref="V1321:W1321"/>
    <mergeCell ref="X1321:AA1321"/>
    <mergeCell ref="AB1321:AE1321"/>
    <mergeCell ref="AF1321:AG1321"/>
    <mergeCell ref="AH1321:AI1321"/>
    <mergeCell ref="AX1321:AZ1321"/>
    <mergeCell ref="BA1321:BB1321"/>
    <mergeCell ref="BD1321:BE1321"/>
    <mergeCell ref="BF1321:BI1321"/>
    <mergeCell ref="BJ1321:BM1321"/>
    <mergeCell ref="BN1321:BV1321"/>
    <mergeCell ref="BJ1322:BM1322"/>
    <mergeCell ref="BN1322:BV1322"/>
    <mergeCell ref="B1321:C1321"/>
    <mergeCell ref="D1321:E1321"/>
    <mergeCell ref="F1321:G1321"/>
    <mergeCell ref="H1321:I1321"/>
    <mergeCell ref="BJ1314:BM1314"/>
    <mergeCell ref="BN1314:BV1314"/>
    <mergeCell ref="B1314:C1314"/>
    <mergeCell ref="D1314:E1314"/>
    <mergeCell ref="F1314:G1314"/>
    <mergeCell ref="H1314:I1314"/>
    <mergeCell ref="J1314:K1314"/>
    <mergeCell ref="L1314:M1314"/>
    <mergeCell ref="P1314:Q1314"/>
    <mergeCell ref="AJ1314:AK1314"/>
    <mergeCell ref="AL1314:AM1314"/>
    <mergeCell ref="AN1314:AO1314"/>
    <mergeCell ref="AP1314:AQ1314"/>
    <mergeCell ref="AR1314:AS1314"/>
    <mergeCell ref="AT1314:AU1314"/>
    <mergeCell ref="AV1314:AW1314"/>
    <mergeCell ref="B1315:C1315"/>
    <mergeCell ref="D1315:E1315"/>
    <mergeCell ref="F1315:G1315"/>
    <mergeCell ref="H1315:I1315"/>
    <mergeCell ref="J1315:K1315"/>
    <mergeCell ref="L1315:M1315"/>
    <mergeCell ref="P1315:Q1315"/>
    <mergeCell ref="BD1319:BE1319"/>
    <mergeCell ref="BF1319:BI1319"/>
    <mergeCell ref="BJ1319:BM1319"/>
    <mergeCell ref="BN1319:BV1319"/>
    <mergeCell ref="BJ1320:BM1320"/>
    <mergeCell ref="BN1320:BV1320"/>
    <mergeCell ref="B1319:C1319"/>
    <mergeCell ref="D1319:E1319"/>
    <mergeCell ref="F1319:G1319"/>
    <mergeCell ref="H1319:I1319"/>
    <mergeCell ref="J1319:K1319"/>
    <mergeCell ref="L1319:M1319"/>
    <mergeCell ref="P1319:Q1319"/>
    <mergeCell ref="B1320:C1320"/>
    <mergeCell ref="D1320:E1320"/>
    <mergeCell ref="F1320:G1320"/>
    <mergeCell ref="H1320:I1320"/>
    <mergeCell ref="J1320:K1320"/>
    <mergeCell ref="L1320:M1320"/>
    <mergeCell ref="P1320:Q1320"/>
    <mergeCell ref="P1323:Q1323"/>
    <mergeCell ref="B1324:C1324"/>
    <mergeCell ref="D1324:E1324"/>
    <mergeCell ref="F1324:G1324"/>
    <mergeCell ref="H1324:I1324"/>
    <mergeCell ref="J1324:K1324"/>
    <mergeCell ref="L1324:M1324"/>
    <mergeCell ref="P1324:Q1324"/>
    <mergeCell ref="AJ1323:AK1323"/>
    <mergeCell ref="AL1323:AM1323"/>
    <mergeCell ref="AN1323:AO1323"/>
    <mergeCell ref="AP1323:AQ1323"/>
    <mergeCell ref="AR1323:AS1323"/>
    <mergeCell ref="AT1323:AU1323"/>
    <mergeCell ref="AV1323:AW1323"/>
    <mergeCell ref="AJ1318:AK1318"/>
    <mergeCell ref="AL1318:AM1318"/>
    <mergeCell ref="R1318:S1318"/>
    <mergeCell ref="T1318:U1318"/>
    <mergeCell ref="V1318:W1318"/>
    <mergeCell ref="X1318:AA1318"/>
    <mergeCell ref="AB1318:AE1318"/>
    <mergeCell ref="AF1318:AG1318"/>
    <mergeCell ref="AH1318:AI1318"/>
    <mergeCell ref="R1319:S1319"/>
    <mergeCell ref="T1319:U1319"/>
    <mergeCell ref="V1319:W1319"/>
    <mergeCell ref="X1319:AA1319"/>
    <mergeCell ref="AB1319:AE1319"/>
    <mergeCell ref="AF1319:AG1319"/>
    <mergeCell ref="AH1319:AI1319"/>
    <mergeCell ref="AX1319:AZ1319"/>
    <mergeCell ref="BA1319:BB1319"/>
    <mergeCell ref="J1321:K1321"/>
    <mergeCell ref="L1321:M1321"/>
    <mergeCell ref="P1321:Q1321"/>
    <mergeCell ref="B1322:C1322"/>
    <mergeCell ref="D1322:E1322"/>
    <mergeCell ref="F1322:G1322"/>
    <mergeCell ref="H1322:I1322"/>
    <mergeCell ref="J1322:K1322"/>
    <mergeCell ref="L1322:M1322"/>
    <mergeCell ref="P1322:Q1322"/>
    <mergeCell ref="AJ1321:AK1321"/>
    <mergeCell ref="AL1321:AM1321"/>
    <mergeCell ref="AN1321:AO1321"/>
    <mergeCell ref="AP1321:AQ1321"/>
    <mergeCell ref="AR1321:AS1321"/>
    <mergeCell ref="AT1321:AU1321"/>
    <mergeCell ref="AV1321:AW1321"/>
    <mergeCell ref="AN1322:AO1322"/>
    <mergeCell ref="AP1322:AQ1322"/>
    <mergeCell ref="AR1322:AS1322"/>
    <mergeCell ref="AT1322:AU1322"/>
    <mergeCell ref="AV1322:AW1322"/>
    <mergeCell ref="AX1322:AZ1322"/>
    <mergeCell ref="BA1322:BB1322"/>
    <mergeCell ref="AJ1320:AK1320"/>
    <mergeCell ref="AL1320:AM1320"/>
    <mergeCell ref="R1320:S1320"/>
    <mergeCell ref="T1320:U1320"/>
    <mergeCell ref="V1320:W1320"/>
    <mergeCell ref="X1320:AA1320"/>
    <mergeCell ref="AB1320:AE1320"/>
    <mergeCell ref="BJ1312:BM1312"/>
    <mergeCell ref="BN1312:BV1312"/>
    <mergeCell ref="BJ1313:BM1313"/>
    <mergeCell ref="BN1313:BV1313"/>
    <mergeCell ref="B1312:C1312"/>
    <mergeCell ref="D1312:E1312"/>
    <mergeCell ref="F1312:G1312"/>
    <mergeCell ref="H1312:I1312"/>
    <mergeCell ref="J1312:K1312"/>
    <mergeCell ref="L1312:M1312"/>
    <mergeCell ref="P1312:Q1312"/>
    <mergeCell ref="B1313:C1313"/>
    <mergeCell ref="D1313:E1313"/>
    <mergeCell ref="F1313:G1313"/>
    <mergeCell ref="H1313:I1313"/>
    <mergeCell ref="J1313:K1313"/>
    <mergeCell ref="L1313:M1313"/>
    <mergeCell ref="P1313:Q1313"/>
    <mergeCell ref="AJ1312:AK1312"/>
    <mergeCell ref="AL1312:AM1312"/>
    <mergeCell ref="AN1312:AO1312"/>
    <mergeCell ref="AP1312:AQ1312"/>
    <mergeCell ref="AR1312:AS1312"/>
    <mergeCell ref="AT1312:AU1312"/>
    <mergeCell ref="AV1312:AW1312"/>
    <mergeCell ref="BD1324:BE1324"/>
    <mergeCell ref="BF1324:BI1324"/>
    <mergeCell ref="AN1324:AO1324"/>
    <mergeCell ref="AP1324:AQ1324"/>
    <mergeCell ref="AR1324:AS1324"/>
    <mergeCell ref="AT1324:AU1324"/>
    <mergeCell ref="AV1324:AW1324"/>
    <mergeCell ref="AX1324:AZ1324"/>
    <mergeCell ref="BA1324:BB1324"/>
    <mergeCell ref="AJ1322:AK1322"/>
    <mergeCell ref="AL1322:AM1322"/>
    <mergeCell ref="R1322:S1322"/>
    <mergeCell ref="T1322:U1322"/>
    <mergeCell ref="V1322:W1322"/>
    <mergeCell ref="X1322:AA1322"/>
    <mergeCell ref="AB1322:AE1322"/>
    <mergeCell ref="AF1322:AG1322"/>
    <mergeCell ref="AH1322:AI1322"/>
    <mergeCell ref="R1323:S1323"/>
    <mergeCell ref="T1323:U1323"/>
    <mergeCell ref="V1323:W1323"/>
    <mergeCell ref="X1323:AA1323"/>
    <mergeCell ref="AB1323:AE1323"/>
    <mergeCell ref="AF1323:AG1323"/>
    <mergeCell ref="AH1323:AI1323"/>
    <mergeCell ref="AX1323:AZ1323"/>
    <mergeCell ref="BA1323:BB1323"/>
    <mergeCell ref="BD1323:BE1323"/>
    <mergeCell ref="BF1323:BI1323"/>
    <mergeCell ref="BJ1323:BM1323"/>
    <mergeCell ref="BN1323:BV1323"/>
    <mergeCell ref="BJ1324:BM1324"/>
    <mergeCell ref="BN1324:BV1324"/>
    <mergeCell ref="B1323:C1323"/>
    <mergeCell ref="D1323:E1323"/>
    <mergeCell ref="F1323:G1323"/>
    <mergeCell ref="H1323:I1323"/>
    <mergeCell ref="J1323:K1323"/>
    <mergeCell ref="L1323:M1323"/>
    <mergeCell ref="P1310:Q1310"/>
    <mergeCell ref="B1311:C1311"/>
    <mergeCell ref="D1311:E1311"/>
    <mergeCell ref="F1311:G1311"/>
    <mergeCell ref="H1311:I1311"/>
    <mergeCell ref="J1311:K1311"/>
    <mergeCell ref="L1311:M1311"/>
    <mergeCell ref="P1311:Q1311"/>
    <mergeCell ref="AJ1310:AK1310"/>
    <mergeCell ref="AL1310:AM1310"/>
    <mergeCell ref="AN1310:AO1310"/>
    <mergeCell ref="AP1310:AQ1310"/>
    <mergeCell ref="AR1310:AS1310"/>
    <mergeCell ref="AT1310:AU1310"/>
    <mergeCell ref="AV1310:AW1310"/>
    <mergeCell ref="BD1313:BE1313"/>
    <mergeCell ref="BF1313:BI1313"/>
    <mergeCell ref="AN1313:AO1313"/>
    <mergeCell ref="AP1313:AQ1313"/>
    <mergeCell ref="AR1313:AS1313"/>
    <mergeCell ref="AT1313:AU1313"/>
    <mergeCell ref="AV1313:AW1313"/>
    <mergeCell ref="AX1313:AZ1313"/>
    <mergeCell ref="BA1313:BB1313"/>
    <mergeCell ref="AJ1311:AK1311"/>
    <mergeCell ref="AL1311:AM1311"/>
    <mergeCell ref="R1311:S1311"/>
    <mergeCell ref="T1311:U1311"/>
    <mergeCell ref="V1311:W1311"/>
    <mergeCell ref="X1311:AA1311"/>
    <mergeCell ref="AB1311:AE1311"/>
    <mergeCell ref="AF1311:AG1311"/>
    <mergeCell ref="AH1311:AI1311"/>
    <mergeCell ref="R1312:S1312"/>
    <mergeCell ref="T1312:U1312"/>
    <mergeCell ref="V1312:W1312"/>
    <mergeCell ref="X1312:AA1312"/>
    <mergeCell ref="AB1312:AE1312"/>
    <mergeCell ref="AF1312:AG1312"/>
    <mergeCell ref="AH1312:AI1312"/>
    <mergeCell ref="AX1312:AZ1312"/>
    <mergeCell ref="BA1312:BB1312"/>
    <mergeCell ref="BD1312:BE1312"/>
    <mergeCell ref="BF1312:BI1312"/>
    <mergeCell ref="AJ1313:AK1313"/>
    <mergeCell ref="AL1313:AM1313"/>
    <mergeCell ref="R1313:S1313"/>
    <mergeCell ref="T1313:U1313"/>
    <mergeCell ref="V1313:W1313"/>
    <mergeCell ref="X1313:AA1313"/>
    <mergeCell ref="AB1313:AE1313"/>
    <mergeCell ref="AF1313:AG1313"/>
    <mergeCell ref="AH1313:AI1313"/>
    <mergeCell ref="BJ1308:BM1308"/>
    <mergeCell ref="BN1308:BV1308"/>
    <mergeCell ref="BJ1309:BM1309"/>
    <mergeCell ref="BN1309:BV1309"/>
    <mergeCell ref="B1308:C1308"/>
    <mergeCell ref="D1308:E1308"/>
    <mergeCell ref="F1308:G1308"/>
    <mergeCell ref="H1308:I1308"/>
    <mergeCell ref="J1308:K1308"/>
    <mergeCell ref="L1308:M1308"/>
    <mergeCell ref="P1308:Q1308"/>
    <mergeCell ref="B1309:C1309"/>
    <mergeCell ref="D1309:E1309"/>
    <mergeCell ref="F1309:G1309"/>
    <mergeCell ref="H1309:I1309"/>
    <mergeCell ref="J1309:K1309"/>
    <mergeCell ref="L1309:M1309"/>
    <mergeCell ref="P1309:Q1309"/>
    <mergeCell ref="AJ1308:AK1308"/>
    <mergeCell ref="AL1308:AM1308"/>
    <mergeCell ref="AN1308:AO1308"/>
    <mergeCell ref="AP1308:AQ1308"/>
    <mergeCell ref="AR1308:AS1308"/>
    <mergeCell ref="AT1308:AU1308"/>
    <mergeCell ref="AV1308:AW1308"/>
    <mergeCell ref="BD1311:BE1311"/>
    <mergeCell ref="BF1311:BI1311"/>
    <mergeCell ref="AN1311:AO1311"/>
    <mergeCell ref="AP1311:AQ1311"/>
    <mergeCell ref="AR1311:AS1311"/>
    <mergeCell ref="AT1311:AU1311"/>
    <mergeCell ref="AV1311:AW1311"/>
    <mergeCell ref="AX1311:AZ1311"/>
    <mergeCell ref="BA1311:BB1311"/>
    <mergeCell ref="AJ1309:AK1309"/>
    <mergeCell ref="AL1309:AM1309"/>
    <mergeCell ref="R1309:S1309"/>
    <mergeCell ref="T1309:U1309"/>
    <mergeCell ref="V1309:W1309"/>
    <mergeCell ref="X1309:AA1309"/>
    <mergeCell ref="AB1309:AE1309"/>
    <mergeCell ref="AF1309:AG1309"/>
    <mergeCell ref="AH1309:AI1309"/>
    <mergeCell ref="R1310:S1310"/>
    <mergeCell ref="T1310:U1310"/>
    <mergeCell ref="V1310:W1310"/>
    <mergeCell ref="X1310:AA1310"/>
    <mergeCell ref="AB1310:AE1310"/>
    <mergeCell ref="AF1310:AG1310"/>
    <mergeCell ref="AH1310:AI1310"/>
    <mergeCell ref="AX1310:AZ1310"/>
    <mergeCell ref="BA1310:BB1310"/>
    <mergeCell ref="BD1310:BE1310"/>
    <mergeCell ref="BF1310:BI1310"/>
    <mergeCell ref="BJ1310:BM1310"/>
    <mergeCell ref="BN1310:BV1310"/>
    <mergeCell ref="BJ1311:BM1311"/>
    <mergeCell ref="BN1311:BV1311"/>
    <mergeCell ref="B1310:C1310"/>
    <mergeCell ref="D1310:E1310"/>
    <mergeCell ref="F1310:G1310"/>
    <mergeCell ref="H1310:I1310"/>
    <mergeCell ref="J1310:K1310"/>
    <mergeCell ref="L1310:M1310"/>
    <mergeCell ref="F1307:G1307"/>
    <mergeCell ref="H1307:I1307"/>
    <mergeCell ref="J1307:K1307"/>
    <mergeCell ref="L1307:M1307"/>
    <mergeCell ref="P1307:Q1307"/>
    <mergeCell ref="AJ1306:AK1306"/>
    <mergeCell ref="AL1306:AM1306"/>
    <mergeCell ref="AN1306:AO1306"/>
    <mergeCell ref="AP1306:AQ1306"/>
    <mergeCell ref="AR1306:AS1306"/>
    <mergeCell ref="AT1306:AU1306"/>
    <mergeCell ref="AV1306:AW1306"/>
    <mergeCell ref="BD1309:BE1309"/>
    <mergeCell ref="BF1309:BI1309"/>
    <mergeCell ref="AN1309:AO1309"/>
    <mergeCell ref="AP1309:AQ1309"/>
    <mergeCell ref="AR1309:AS1309"/>
    <mergeCell ref="AT1309:AU1309"/>
    <mergeCell ref="AV1309:AW1309"/>
    <mergeCell ref="AX1309:AZ1309"/>
    <mergeCell ref="BA1309:BB1309"/>
    <mergeCell ref="AJ1307:AK1307"/>
    <mergeCell ref="AL1307:AM1307"/>
    <mergeCell ref="R1307:S1307"/>
    <mergeCell ref="T1307:U1307"/>
    <mergeCell ref="V1307:W1307"/>
    <mergeCell ref="X1307:AA1307"/>
    <mergeCell ref="AB1307:AE1307"/>
    <mergeCell ref="AF1307:AG1307"/>
    <mergeCell ref="AH1307:AI1307"/>
    <mergeCell ref="R1308:S1308"/>
    <mergeCell ref="T1308:U1308"/>
    <mergeCell ref="V1308:W1308"/>
    <mergeCell ref="X1308:AA1308"/>
    <mergeCell ref="AB1308:AE1308"/>
    <mergeCell ref="AF1308:AG1308"/>
    <mergeCell ref="AH1308:AI1308"/>
    <mergeCell ref="AX1308:AZ1308"/>
    <mergeCell ref="BA1308:BB1308"/>
    <mergeCell ref="BD1308:BE1308"/>
    <mergeCell ref="BF1308:BI1308"/>
    <mergeCell ref="BD1307:BE1307"/>
    <mergeCell ref="BF1307:BI1307"/>
    <mergeCell ref="AN1307:AO1307"/>
    <mergeCell ref="AP1307:AQ1307"/>
    <mergeCell ref="AR1307:AS1307"/>
    <mergeCell ref="AT1307:AU1307"/>
    <mergeCell ref="AV1307:AW1307"/>
    <mergeCell ref="AX1307:AZ1307"/>
    <mergeCell ref="BA1307:BB1307"/>
    <mergeCell ref="R1306:S1306"/>
    <mergeCell ref="T1306:U1306"/>
    <mergeCell ref="V1306:W1306"/>
    <mergeCell ref="X1306:AA1306"/>
    <mergeCell ref="AB1306:AE1306"/>
    <mergeCell ref="AF1306:AG1306"/>
    <mergeCell ref="AH1306:AI1306"/>
    <mergeCell ref="AX1306:AZ1306"/>
    <mergeCell ref="BA1306:BB1306"/>
    <mergeCell ref="BD1306:BE1306"/>
    <mergeCell ref="BF1306:BI1306"/>
    <mergeCell ref="BJ1306:BM1306"/>
    <mergeCell ref="BN1306:BV1306"/>
    <mergeCell ref="BJ1307:BM1307"/>
    <mergeCell ref="BN1307:BV1307"/>
    <mergeCell ref="B1302:C1302"/>
    <mergeCell ref="D1302:E1302"/>
    <mergeCell ref="F1302:G1302"/>
    <mergeCell ref="H1302:I1302"/>
    <mergeCell ref="J1302:K1302"/>
    <mergeCell ref="L1302:M1302"/>
    <mergeCell ref="P1302:Q1302"/>
    <mergeCell ref="B1303:C1303"/>
    <mergeCell ref="D1303:E1303"/>
    <mergeCell ref="F1303:G1303"/>
    <mergeCell ref="H1303:I1303"/>
    <mergeCell ref="J1303:K1303"/>
    <mergeCell ref="L1303:M1303"/>
    <mergeCell ref="P1303:Q1303"/>
    <mergeCell ref="AJ1302:AK1302"/>
    <mergeCell ref="AL1302:AM1302"/>
    <mergeCell ref="AN1302:AO1302"/>
    <mergeCell ref="AP1302:AQ1302"/>
    <mergeCell ref="AR1302:AS1302"/>
    <mergeCell ref="AT1302:AU1302"/>
    <mergeCell ref="AV1302:AW1302"/>
    <mergeCell ref="BD1305:BE1305"/>
    <mergeCell ref="BF1305:BI1305"/>
    <mergeCell ref="AN1305:AO1305"/>
    <mergeCell ref="AP1305:AQ1305"/>
    <mergeCell ref="AR1305:AS1305"/>
    <mergeCell ref="AT1305:AU1305"/>
    <mergeCell ref="AV1305:AW1305"/>
    <mergeCell ref="AX1305:AZ1305"/>
    <mergeCell ref="BA1305:BB1305"/>
    <mergeCell ref="AJ1303:AK1303"/>
    <mergeCell ref="AL1303:AM1303"/>
    <mergeCell ref="R1303:S1303"/>
    <mergeCell ref="T1303:U1303"/>
    <mergeCell ref="V1303:W1303"/>
    <mergeCell ref="X1303:AA1303"/>
    <mergeCell ref="AB1303:AE1303"/>
    <mergeCell ref="AF1303:AG1303"/>
    <mergeCell ref="AH1303:AI1303"/>
    <mergeCell ref="R1304:S1304"/>
    <mergeCell ref="B1306:C1306"/>
    <mergeCell ref="D1306:E1306"/>
    <mergeCell ref="F1306:G1306"/>
    <mergeCell ref="H1306:I1306"/>
    <mergeCell ref="J1306:K1306"/>
    <mergeCell ref="L1306:M1306"/>
    <mergeCell ref="P1306:Q1306"/>
    <mergeCell ref="B1307:C1307"/>
    <mergeCell ref="D1307:E1307"/>
    <mergeCell ref="B1304:C1304"/>
    <mergeCell ref="D1304:E1304"/>
    <mergeCell ref="F1304:G1304"/>
    <mergeCell ref="H1304:I1304"/>
    <mergeCell ref="J1304:K1304"/>
    <mergeCell ref="L1304:M1304"/>
    <mergeCell ref="P1304:Q1304"/>
    <mergeCell ref="B1305:C1305"/>
    <mergeCell ref="D1305:E1305"/>
    <mergeCell ref="F1305:G1305"/>
    <mergeCell ref="H1305:I1305"/>
    <mergeCell ref="J1305:K1305"/>
    <mergeCell ref="L1305:M1305"/>
    <mergeCell ref="P1305:Q1305"/>
    <mergeCell ref="BD1297:BE1297"/>
    <mergeCell ref="BF1297:BI1297"/>
    <mergeCell ref="AN1297:AO1297"/>
    <mergeCell ref="AP1297:AQ1297"/>
    <mergeCell ref="AR1297:AS1297"/>
    <mergeCell ref="AT1297:AU1297"/>
    <mergeCell ref="AV1297:AW1297"/>
    <mergeCell ref="AX1297:AZ1297"/>
    <mergeCell ref="BA1297:BB1297"/>
    <mergeCell ref="BD1303:BE1303"/>
    <mergeCell ref="BF1303:BI1303"/>
    <mergeCell ref="AN1303:AO1303"/>
    <mergeCell ref="AP1303:AQ1303"/>
    <mergeCell ref="AR1303:AS1303"/>
    <mergeCell ref="AT1303:AU1303"/>
    <mergeCell ref="AV1303:AW1303"/>
    <mergeCell ref="AX1303:AZ1303"/>
    <mergeCell ref="BA1303:BB1303"/>
    <mergeCell ref="AJ1301:AK1301"/>
    <mergeCell ref="AL1301:AM1301"/>
    <mergeCell ref="R1301:S1301"/>
    <mergeCell ref="T1301:U1301"/>
    <mergeCell ref="V1301:W1301"/>
    <mergeCell ref="X1301:AA1301"/>
    <mergeCell ref="AB1301:AE1301"/>
    <mergeCell ref="AF1301:AG1301"/>
    <mergeCell ref="AH1301:AI1301"/>
    <mergeCell ref="R1302:S1302"/>
    <mergeCell ref="T1302:U1302"/>
    <mergeCell ref="V1302:W1302"/>
    <mergeCell ref="X1302:AA1302"/>
    <mergeCell ref="AB1302:AE1302"/>
    <mergeCell ref="AF1302:AG1302"/>
    <mergeCell ref="AH1302:AI1302"/>
    <mergeCell ref="AX1302:AZ1302"/>
    <mergeCell ref="BA1302:BB1302"/>
    <mergeCell ref="BD1302:BE1302"/>
    <mergeCell ref="BF1302:BI1302"/>
    <mergeCell ref="BD1299:BE1299"/>
    <mergeCell ref="BF1299:BI1299"/>
    <mergeCell ref="AJ1305:AK1305"/>
    <mergeCell ref="AL1305:AM1305"/>
    <mergeCell ref="R1305:S1305"/>
    <mergeCell ref="T1305:U1305"/>
    <mergeCell ref="V1305:W1305"/>
    <mergeCell ref="X1305:AA1305"/>
    <mergeCell ref="AB1305:AE1305"/>
    <mergeCell ref="AF1305:AG1305"/>
    <mergeCell ref="AH1305:AI1305"/>
    <mergeCell ref="B1293:C1293"/>
    <mergeCell ref="D1293:E1293"/>
    <mergeCell ref="F1293:G1293"/>
    <mergeCell ref="H1293:I1293"/>
    <mergeCell ref="J1293:K1293"/>
    <mergeCell ref="L1293:M1293"/>
    <mergeCell ref="P1293:Q1293"/>
    <mergeCell ref="AX1294:AZ1294"/>
    <mergeCell ref="BA1294:BB1294"/>
    <mergeCell ref="BD1294:BE1294"/>
    <mergeCell ref="BF1294:BI1294"/>
    <mergeCell ref="BJ1294:BM1294"/>
    <mergeCell ref="BN1294:BV1294"/>
    <mergeCell ref="BJ1295:BM1295"/>
    <mergeCell ref="BN1295:BV1295"/>
    <mergeCell ref="B1295:C1295"/>
    <mergeCell ref="D1295:E1295"/>
    <mergeCell ref="F1295:G1295"/>
    <mergeCell ref="H1295:I1295"/>
    <mergeCell ref="J1295:K1295"/>
    <mergeCell ref="L1295:M1295"/>
    <mergeCell ref="P1295:Q1295"/>
    <mergeCell ref="AJ1294:AK1294"/>
    <mergeCell ref="AL1294:AM1294"/>
    <mergeCell ref="AN1294:AO1294"/>
    <mergeCell ref="AP1294:AQ1294"/>
    <mergeCell ref="AR1294:AS1294"/>
    <mergeCell ref="AT1294:AU1294"/>
    <mergeCell ref="AV1294:AW1294"/>
    <mergeCell ref="R1294:S1294"/>
    <mergeCell ref="T1294:U1294"/>
    <mergeCell ref="V1294:W1294"/>
    <mergeCell ref="X1294:AA1294"/>
    <mergeCell ref="AB1294:AE1294"/>
    <mergeCell ref="AF1294:AG1294"/>
    <mergeCell ref="AH1294:AI1294"/>
    <mergeCell ref="B1294:C1294"/>
    <mergeCell ref="D1294:E1294"/>
    <mergeCell ref="F1294:G1294"/>
    <mergeCell ref="H1294:I1294"/>
    <mergeCell ref="R1291:S1291"/>
    <mergeCell ref="T1291:U1291"/>
    <mergeCell ref="V1291:W1291"/>
    <mergeCell ref="X1291:AA1291"/>
    <mergeCell ref="AB1291:AE1291"/>
    <mergeCell ref="AF1291:AG1291"/>
    <mergeCell ref="AH1291:AI1291"/>
    <mergeCell ref="AX1291:AZ1291"/>
    <mergeCell ref="BA1291:BB1291"/>
    <mergeCell ref="BD1291:BE1291"/>
    <mergeCell ref="BF1291:BI1291"/>
    <mergeCell ref="BJ1302:BM1302"/>
    <mergeCell ref="BN1302:BV1302"/>
    <mergeCell ref="BJ1303:BM1303"/>
    <mergeCell ref="BN1303:BV1303"/>
    <mergeCell ref="BJ1304:BM1304"/>
    <mergeCell ref="BN1304:BV1304"/>
    <mergeCell ref="BJ1305:BM1305"/>
    <mergeCell ref="BN1305:BV1305"/>
    <mergeCell ref="AJ1304:AK1304"/>
    <mergeCell ref="AL1304:AM1304"/>
    <mergeCell ref="AN1304:AO1304"/>
    <mergeCell ref="AP1304:AQ1304"/>
    <mergeCell ref="AR1304:AS1304"/>
    <mergeCell ref="AT1304:AU1304"/>
    <mergeCell ref="AV1304:AW1304"/>
    <mergeCell ref="BJ1293:BM1293"/>
    <mergeCell ref="BN1293:BV1293"/>
    <mergeCell ref="AJ1293:AK1293"/>
    <mergeCell ref="AL1293:AM1293"/>
    <mergeCell ref="AN1293:AO1293"/>
    <mergeCell ref="AP1293:AQ1293"/>
    <mergeCell ref="AR1293:AS1293"/>
    <mergeCell ref="AT1293:AU1293"/>
    <mergeCell ref="AV1293:AW1293"/>
    <mergeCell ref="T1304:U1304"/>
    <mergeCell ref="V1304:W1304"/>
    <mergeCell ref="X1304:AA1304"/>
    <mergeCell ref="AB1304:AE1304"/>
    <mergeCell ref="AF1304:AG1304"/>
    <mergeCell ref="AH1304:AI1304"/>
    <mergeCell ref="AX1304:AZ1304"/>
    <mergeCell ref="BA1304:BB1304"/>
    <mergeCell ref="BD1304:BE1304"/>
    <mergeCell ref="BF1304:BI1304"/>
    <mergeCell ref="AJ1296:AK1296"/>
    <mergeCell ref="AL1296:AM1296"/>
    <mergeCell ref="AN1296:AO1296"/>
    <mergeCell ref="AP1296:AQ1296"/>
    <mergeCell ref="AR1296:AS1296"/>
    <mergeCell ref="AT1296:AU1296"/>
    <mergeCell ref="AV1296:AW1296"/>
    <mergeCell ref="AJ1292:AK1292"/>
    <mergeCell ref="AL1292:AM1292"/>
    <mergeCell ref="BJ1292:BM1292"/>
    <mergeCell ref="BN1292:BV1292"/>
    <mergeCell ref="R1292:S1292"/>
    <mergeCell ref="T1292:U1292"/>
    <mergeCell ref="V1292:W1292"/>
    <mergeCell ref="X1292:AA1292"/>
    <mergeCell ref="AB1292:AE1292"/>
    <mergeCell ref="AF1292:AG1292"/>
    <mergeCell ref="AH1292:AI1292"/>
    <mergeCell ref="J1294:K1294"/>
    <mergeCell ref="L1294:M1294"/>
    <mergeCell ref="P1294:Q1294"/>
    <mergeCell ref="BD1295:BE1295"/>
    <mergeCell ref="BF1295:BI1295"/>
    <mergeCell ref="AN1295:AO1295"/>
    <mergeCell ref="AP1295:AQ1295"/>
    <mergeCell ref="AR1295:AS1295"/>
    <mergeCell ref="AT1295:AU1295"/>
    <mergeCell ref="AV1295:AW1295"/>
    <mergeCell ref="AX1295:AZ1295"/>
    <mergeCell ref="BA1295:BB1295"/>
    <mergeCell ref="R1293:S1293"/>
    <mergeCell ref="T1293:U1293"/>
    <mergeCell ref="V1293:W1293"/>
    <mergeCell ref="X1293:AA1293"/>
    <mergeCell ref="AB1293:AE1293"/>
    <mergeCell ref="AF1293:AG1293"/>
    <mergeCell ref="AH1293:AI1293"/>
    <mergeCell ref="AX1293:AZ1293"/>
    <mergeCell ref="BA1293:BB1293"/>
    <mergeCell ref="BD1293:BE1293"/>
    <mergeCell ref="BF1293:BI1293"/>
    <mergeCell ref="BD1292:BE1292"/>
    <mergeCell ref="BF1292:BI1292"/>
    <mergeCell ref="AN1292:AO1292"/>
    <mergeCell ref="AP1292:AQ1292"/>
    <mergeCell ref="AR1292:AS1292"/>
    <mergeCell ref="AT1292:AU1292"/>
    <mergeCell ref="AV1292:AW1292"/>
    <mergeCell ref="AX1292:AZ1292"/>
    <mergeCell ref="BA1292:BB1292"/>
    <mergeCell ref="AF1297:AG1297"/>
    <mergeCell ref="AH1297:AI1297"/>
    <mergeCell ref="R1298:S1298"/>
    <mergeCell ref="T1298:U1298"/>
    <mergeCell ref="V1298:W1298"/>
    <mergeCell ref="X1298:AA1298"/>
    <mergeCell ref="AB1298:AE1298"/>
    <mergeCell ref="AF1298:AG1298"/>
    <mergeCell ref="AH1298:AI1298"/>
    <mergeCell ref="AX1298:AZ1298"/>
    <mergeCell ref="BA1298:BB1298"/>
    <mergeCell ref="BD1298:BE1298"/>
    <mergeCell ref="BF1298:BI1298"/>
    <mergeCell ref="BJ1298:BM1298"/>
    <mergeCell ref="BN1298:BV1298"/>
    <mergeCell ref="BJ1299:BM1299"/>
    <mergeCell ref="BN1299:BV1299"/>
    <mergeCell ref="B1298:C1298"/>
    <mergeCell ref="D1298:E1298"/>
    <mergeCell ref="F1298:G1298"/>
    <mergeCell ref="H1298:I1298"/>
    <mergeCell ref="BJ1291:BM1291"/>
    <mergeCell ref="BN1291:BV1291"/>
    <mergeCell ref="B1291:C1291"/>
    <mergeCell ref="D1291:E1291"/>
    <mergeCell ref="F1291:G1291"/>
    <mergeCell ref="H1291:I1291"/>
    <mergeCell ref="J1291:K1291"/>
    <mergeCell ref="L1291:M1291"/>
    <mergeCell ref="P1291:Q1291"/>
    <mergeCell ref="AJ1291:AK1291"/>
    <mergeCell ref="AL1291:AM1291"/>
    <mergeCell ref="AN1291:AO1291"/>
    <mergeCell ref="AP1291:AQ1291"/>
    <mergeCell ref="AR1291:AS1291"/>
    <mergeCell ref="AT1291:AU1291"/>
    <mergeCell ref="AV1291:AW1291"/>
    <mergeCell ref="B1292:C1292"/>
    <mergeCell ref="D1292:E1292"/>
    <mergeCell ref="F1292:G1292"/>
    <mergeCell ref="H1292:I1292"/>
    <mergeCell ref="J1292:K1292"/>
    <mergeCell ref="L1292:M1292"/>
    <mergeCell ref="P1292:Q1292"/>
    <mergeCell ref="BD1296:BE1296"/>
    <mergeCell ref="BF1296:BI1296"/>
    <mergeCell ref="BJ1296:BM1296"/>
    <mergeCell ref="BN1296:BV1296"/>
    <mergeCell ref="BJ1297:BM1297"/>
    <mergeCell ref="BN1297:BV1297"/>
    <mergeCell ref="B1296:C1296"/>
    <mergeCell ref="D1296:E1296"/>
    <mergeCell ref="F1296:G1296"/>
    <mergeCell ref="H1296:I1296"/>
    <mergeCell ref="J1296:K1296"/>
    <mergeCell ref="L1296:M1296"/>
    <mergeCell ref="P1296:Q1296"/>
    <mergeCell ref="B1297:C1297"/>
    <mergeCell ref="D1297:E1297"/>
    <mergeCell ref="F1297:G1297"/>
    <mergeCell ref="H1297:I1297"/>
    <mergeCell ref="J1297:K1297"/>
    <mergeCell ref="L1297:M1297"/>
    <mergeCell ref="P1297:Q1297"/>
    <mergeCell ref="P1300:Q1300"/>
    <mergeCell ref="B1301:C1301"/>
    <mergeCell ref="D1301:E1301"/>
    <mergeCell ref="F1301:G1301"/>
    <mergeCell ref="H1301:I1301"/>
    <mergeCell ref="J1301:K1301"/>
    <mergeCell ref="L1301:M1301"/>
    <mergeCell ref="P1301:Q1301"/>
    <mergeCell ref="AJ1300:AK1300"/>
    <mergeCell ref="AL1300:AM1300"/>
    <mergeCell ref="AN1300:AO1300"/>
    <mergeCell ref="AP1300:AQ1300"/>
    <mergeCell ref="AR1300:AS1300"/>
    <mergeCell ref="AT1300:AU1300"/>
    <mergeCell ref="AV1300:AW1300"/>
    <mergeCell ref="AJ1295:AK1295"/>
    <mergeCell ref="AL1295:AM1295"/>
    <mergeCell ref="R1295:S1295"/>
    <mergeCell ref="T1295:U1295"/>
    <mergeCell ref="V1295:W1295"/>
    <mergeCell ref="X1295:AA1295"/>
    <mergeCell ref="AB1295:AE1295"/>
    <mergeCell ref="AF1295:AG1295"/>
    <mergeCell ref="AH1295:AI1295"/>
    <mergeCell ref="R1296:S1296"/>
    <mergeCell ref="T1296:U1296"/>
    <mergeCell ref="V1296:W1296"/>
    <mergeCell ref="X1296:AA1296"/>
    <mergeCell ref="AB1296:AE1296"/>
    <mergeCell ref="AF1296:AG1296"/>
    <mergeCell ref="AH1296:AI1296"/>
    <mergeCell ref="AX1296:AZ1296"/>
    <mergeCell ref="BA1296:BB1296"/>
    <mergeCell ref="J1298:K1298"/>
    <mergeCell ref="L1298:M1298"/>
    <mergeCell ref="P1298:Q1298"/>
    <mergeCell ref="B1299:C1299"/>
    <mergeCell ref="D1299:E1299"/>
    <mergeCell ref="F1299:G1299"/>
    <mergeCell ref="H1299:I1299"/>
    <mergeCell ref="J1299:K1299"/>
    <mergeCell ref="L1299:M1299"/>
    <mergeCell ref="P1299:Q1299"/>
    <mergeCell ref="AJ1298:AK1298"/>
    <mergeCell ref="AL1298:AM1298"/>
    <mergeCell ref="AN1298:AO1298"/>
    <mergeCell ref="AP1298:AQ1298"/>
    <mergeCell ref="AR1298:AS1298"/>
    <mergeCell ref="AT1298:AU1298"/>
    <mergeCell ref="AV1298:AW1298"/>
    <mergeCell ref="AN1299:AO1299"/>
    <mergeCell ref="AP1299:AQ1299"/>
    <mergeCell ref="AR1299:AS1299"/>
    <mergeCell ref="AT1299:AU1299"/>
    <mergeCell ref="AV1299:AW1299"/>
    <mergeCell ref="AX1299:AZ1299"/>
    <mergeCell ref="BA1299:BB1299"/>
    <mergeCell ref="AJ1297:AK1297"/>
    <mergeCell ref="AL1297:AM1297"/>
    <mergeCell ref="R1297:S1297"/>
    <mergeCell ref="T1297:U1297"/>
    <mergeCell ref="V1297:W1297"/>
    <mergeCell ref="X1297:AA1297"/>
    <mergeCell ref="AB1297:AE1297"/>
    <mergeCell ref="BJ1289:BM1289"/>
    <mergeCell ref="BN1289:BV1289"/>
    <mergeCell ref="BJ1290:BM1290"/>
    <mergeCell ref="BN1290:BV1290"/>
    <mergeCell ref="B1289:C1289"/>
    <mergeCell ref="D1289:E1289"/>
    <mergeCell ref="F1289:G1289"/>
    <mergeCell ref="H1289:I1289"/>
    <mergeCell ref="J1289:K1289"/>
    <mergeCell ref="L1289:M1289"/>
    <mergeCell ref="P1289:Q1289"/>
    <mergeCell ref="B1290:C1290"/>
    <mergeCell ref="D1290:E1290"/>
    <mergeCell ref="F1290:G1290"/>
    <mergeCell ref="H1290:I1290"/>
    <mergeCell ref="J1290:K1290"/>
    <mergeCell ref="L1290:M1290"/>
    <mergeCell ref="P1290:Q1290"/>
    <mergeCell ref="AJ1289:AK1289"/>
    <mergeCell ref="AL1289:AM1289"/>
    <mergeCell ref="AN1289:AO1289"/>
    <mergeCell ref="AP1289:AQ1289"/>
    <mergeCell ref="AR1289:AS1289"/>
    <mergeCell ref="AT1289:AU1289"/>
    <mergeCell ref="AV1289:AW1289"/>
    <mergeCell ref="BD1301:BE1301"/>
    <mergeCell ref="BF1301:BI1301"/>
    <mergeCell ref="AN1301:AO1301"/>
    <mergeCell ref="AP1301:AQ1301"/>
    <mergeCell ref="AR1301:AS1301"/>
    <mergeCell ref="AT1301:AU1301"/>
    <mergeCell ref="AV1301:AW1301"/>
    <mergeCell ref="AX1301:AZ1301"/>
    <mergeCell ref="BA1301:BB1301"/>
    <mergeCell ref="AJ1299:AK1299"/>
    <mergeCell ref="AL1299:AM1299"/>
    <mergeCell ref="R1299:S1299"/>
    <mergeCell ref="T1299:U1299"/>
    <mergeCell ref="V1299:W1299"/>
    <mergeCell ref="X1299:AA1299"/>
    <mergeCell ref="AB1299:AE1299"/>
    <mergeCell ref="AF1299:AG1299"/>
    <mergeCell ref="AH1299:AI1299"/>
    <mergeCell ref="R1300:S1300"/>
    <mergeCell ref="T1300:U1300"/>
    <mergeCell ref="V1300:W1300"/>
    <mergeCell ref="X1300:AA1300"/>
    <mergeCell ref="AB1300:AE1300"/>
    <mergeCell ref="AF1300:AG1300"/>
    <mergeCell ref="AH1300:AI1300"/>
    <mergeCell ref="AX1300:AZ1300"/>
    <mergeCell ref="BA1300:BB1300"/>
    <mergeCell ref="BD1300:BE1300"/>
    <mergeCell ref="BF1300:BI1300"/>
    <mergeCell ref="BJ1300:BM1300"/>
    <mergeCell ref="BN1300:BV1300"/>
    <mergeCell ref="BJ1301:BM1301"/>
    <mergeCell ref="BN1301:BV1301"/>
    <mergeCell ref="B1300:C1300"/>
    <mergeCell ref="D1300:E1300"/>
    <mergeCell ref="F1300:G1300"/>
    <mergeCell ref="H1300:I1300"/>
    <mergeCell ref="J1300:K1300"/>
    <mergeCell ref="L1300:M1300"/>
    <mergeCell ref="P1287:Q1287"/>
    <mergeCell ref="B1288:C1288"/>
    <mergeCell ref="D1288:E1288"/>
    <mergeCell ref="F1288:G1288"/>
    <mergeCell ref="H1288:I1288"/>
    <mergeCell ref="J1288:K1288"/>
    <mergeCell ref="L1288:M1288"/>
    <mergeCell ref="P1288:Q1288"/>
    <mergeCell ref="AJ1287:AK1287"/>
    <mergeCell ref="AL1287:AM1287"/>
    <mergeCell ref="AN1287:AO1287"/>
    <mergeCell ref="AP1287:AQ1287"/>
    <mergeCell ref="AR1287:AS1287"/>
    <mergeCell ref="AT1287:AU1287"/>
    <mergeCell ref="AV1287:AW1287"/>
    <mergeCell ref="BD1290:BE1290"/>
    <mergeCell ref="BF1290:BI1290"/>
    <mergeCell ref="AN1290:AO1290"/>
    <mergeCell ref="AP1290:AQ1290"/>
    <mergeCell ref="AR1290:AS1290"/>
    <mergeCell ref="AT1290:AU1290"/>
    <mergeCell ref="AV1290:AW1290"/>
    <mergeCell ref="AX1290:AZ1290"/>
    <mergeCell ref="BA1290:BB1290"/>
    <mergeCell ref="AJ1288:AK1288"/>
    <mergeCell ref="AL1288:AM1288"/>
    <mergeCell ref="R1288:S1288"/>
    <mergeCell ref="T1288:U1288"/>
    <mergeCell ref="V1288:W1288"/>
    <mergeCell ref="X1288:AA1288"/>
    <mergeCell ref="AB1288:AE1288"/>
    <mergeCell ref="AF1288:AG1288"/>
    <mergeCell ref="AH1288:AI1288"/>
    <mergeCell ref="R1289:S1289"/>
    <mergeCell ref="T1289:U1289"/>
    <mergeCell ref="V1289:W1289"/>
    <mergeCell ref="X1289:AA1289"/>
    <mergeCell ref="AB1289:AE1289"/>
    <mergeCell ref="AF1289:AG1289"/>
    <mergeCell ref="AH1289:AI1289"/>
    <mergeCell ref="AX1289:AZ1289"/>
    <mergeCell ref="BA1289:BB1289"/>
    <mergeCell ref="BD1289:BE1289"/>
    <mergeCell ref="BF1289:BI1289"/>
    <mergeCell ref="AJ1290:AK1290"/>
    <mergeCell ref="AL1290:AM1290"/>
    <mergeCell ref="R1290:S1290"/>
    <mergeCell ref="T1290:U1290"/>
    <mergeCell ref="V1290:W1290"/>
    <mergeCell ref="X1290:AA1290"/>
    <mergeCell ref="AB1290:AE1290"/>
    <mergeCell ref="AF1290:AG1290"/>
    <mergeCell ref="AH1290:AI1290"/>
    <mergeCell ref="BJ1285:BM1285"/>
    <mergeCell ref="BN1285:BV1285"/>
    <mergeCell ref="BJ1286:BM1286"/>
    <mergeCell ref="BN1286:BV1286"/>
    <mergeCell ref="B1285:C1285"/>
    <mergeCell ref="D1285:E1285"/>
    <mergeCell ref="F1285:G1285"/>
    <mergeCell ref="H1285:I1285"/>
    <mergeCell ref="J1285:K1285"/>
    <mergeCell ref="L1285:M1285"/>
    <mergeCell ref="P1285:Q1285"/>
    <mergeCell ref="B1286:C1286"/>
    <mergeCell ref="D1286:E1286"/>
    <mergeCell ref="F1286:G1286"/>
    <mergeCell ref="H1286:I1286"/>
    <mergeCell ref="J1286:K1286"/>
    <mergeCell ref="L1286:M1286"/>
    <mergeCell ref="P1286:Q1286"/>
    <mergeCell ref="AJ1285:AK1285"/>
    <mergeCell ref="AL1285:AM1285"/>
    <mergeCell ref="AN1285:AO1285"/>
    <mergeCell ref="AP1285:AQ1285"/>
    <mergeCell ref="AR1285:AS1285"/>
    <mergeCell ref="AT1285:AU1285"/>
    <mergeCell ref="AV1285:AW1285"/>
    <mergeCell ref="BD1288:BE1288"/>
    <mergeCell ref="BF1288:BI1288"/>
    <mergeCell ref="AN1288:AO1288"/>
    <mergeCell ref="AP1288:AQ1288"/>
    <mergeCell ref="AR1288:AS1288"/>
    <mergeCell ref="AT1288:AU1288"/>
    <mergeCell ref="AV1288:AW1288"/>
    <mergeCell ref="AX1288:AZ1288"/>
    <mergeCell ref="BA1288:BB1288"/>
    <mergeCell ref="AJ1286:AK1286"/>
    <mergeCell ref="AL1286:AM1286"/>
    <mergeCell ref="R1286:S1286"/>
    <mergeCell ref="T1286:U1286"/>
    <mergeCell ref="V1286:W1286"/>
    <mergeCell ref="X1286:AA1286"/>
    <mergeCell ref="AB1286:AE1286"/>
    <mergeCell ref="AF1286:AG1286"/>
    <mergeCell ref="AH1286:AI1286"/>
    <mergeCell ref="R1287:S1287"/>
    <mergeCell ref="T1287:U1287"/>
    <mergeCell ref="V1287:W1287"/>
    <mergeCell ref="X1287:AA1287"/>
    <mergeCell ref="AB1287:AE1287"/>
    <mergeCell ref="AF1287:AG1287"/>
    <mergeCell ref="AH1287:AI1287"/>
    <mergeCell ref="AX1287:AZ1287"/>
    <mergeCell ref="BA1287:BB1287"/>
    <mergeCell ref="BD1287:BE1287"/>
    <mergeCell ref="BF1287:BI1287"/>
    <mergeCell ref="BJ1287:BM1287"/>
    <mergeCell ref="BN1287:BV1287"/>
    <mergeCell ref="BJ1288:BM1288"/>
    <mergeCell ref="BN1288:BV1288"/>
    <mergeCell ref="B1287:C1287"/>
    <mergeCell ref="D1287:E1287"/>
    <mergeCell ref="F1287:G1287"/>
    <mergeCell ref="H1287:I1287"/>
    <mergeCell ref="J1287:K1287"/>
    <mergeCell ref="L1287:M1287"/>
    <mergeCell ref="F1284:G1284"/>
    <mergeCell ref="H1284:I1284"/>
    <mergeCell ref="J1284:K1284"/>
    <mergeCell ref="L1284:M1284"/>
    <mergeCell ref="P1284:Q1284"/>
    <mergeCell ref="AJ1283:AK1283"/>
    <mergeCell ref="AL1283:AM1283"/>
    <mergeCell ref="AN1283:AO1283"/>
    <mergeCell ref="AP1283:AQ1283"/>
    <mergeCell ref="AR1283:AS1283"/>
    <mergeCell ref="AT1283:AU1283"/>
    <mergeCell ref="AV1283:AW1283"/>
    <mergeCell ref="BD1286:BE1286"/>
    <mergeCell ref="BF1286:BI1286"/>
    <mergeCell ref="AN1286:AO1286"/>
    <mergeCell ref="AP1286:AQ1286"/>
    <mergeCell ref="AR1286:AS1286"/>
    <mergeCell ref="AT1286:AU1286"/>
    <mergeCell ref="AV1286:AW1286"/>
    <mergeCell ref="AX1286:AZ1286"/>
    <mergeCell ref="BA1286:BB1286"/>
    <mergeCell ref="AJ1284:AK1284"/>
    <mergeCell ref="AL1284:AM1284"/>
    <mergeCell ref="R1284:S1284"/>
    <mergeCell ref="T1284:U1284"/>
    <mergeCell ref="V1284:W1284"/>
    <mergeCell ref="X1284:AA1284"/>
    <mergeCell ref="AB1284:AE1284"/>
    <mergeCell ref="AF1284:AG1284"/>
    <mergeCell ref="AH1284:AI1284"/>
    <mergeCell ref="R1285:S1285"/>
    <mergeCell ref="T1285:U1285"/>
    <mergeCell ref="V1285:W1285"/>
    <mergeCell ref="X1285:AA1285"/>
    <mergeCell ref="AB1285:AE1285"/>
    <mergeCell ref="AF1285:AG1285"/>
    <mergeCell ref="AH1285:AI1285"/>
    <mergeCell ref="AX1285:AZ1285"/>
    <mergeCell ref="BA1285:BB1285"/>
    <mergeCell ref="BD1285:BE1285"/>
    <mergeCell ref="BF1285:BI1285"/>
    <mergeCell ref="BD1284:BE1284"/>
    <mergeCell ref="BF1284:BI1284"/>
    <mergeCell ref="AN1284:AO1284"/>
    <mergeCell ref="AP1284:AQ1284"/>
    <mergeCell ref="AR1284:AS1284"/>
    <mergeCell ref="AT1284:AU1284"/>
    <mergeCell ref="AV1284:AW1284"/>
    <mergeCell ref="AX1284:AZ1284"/>
    <mergeCell ref="BA1284:BB1284"/>
    <mergeCell ref="R1283:S1283"/>
    <mergeCell ref="T1283:U1283"/>
    <mergeCell ref="V1283:W1283"/>
    <mergeCell ref="X1283:AA1283"/>
    <mergeCell ref="AB1283:AE1283"/>
    <mergeCell ref="AF1283:AG1283"/>
    <mergeCell ref="AH1283:AI1283"/>
    <mergeCell ref="AX1283:AZ1283"/>
    <mergeCell ref="BA1283:BB1283"/>
    <mergeCell ref="BD1283:BE1283"/>
    <mergeCell ref="BF1283:BI1283"/>
    <mergeCell ref="BJ1283:BM1283"/>
    <mergeCell ref="BN1283:BV1283"/>
    <mergeCell ref="BJ1284:BM1284"/>
    <mergeCell ref="BN1284:BV1284"/>
    <mergeCell ref="B1279:C1279"/>
    <mergeCell ref="D1279:E1279"/>
    <mergeCell ref="F1279:G1279"/>
    <mergeCell ref="H1279:I1279"/>
    <mergeCell ref="J1279:K1279"/>
    <mergeCell ref="L1279:M1279"/>
    <mergeCell ref="P1279:Q1279"/>
    <mergeCell ref="B1280:C1280"/>
    <mergeCell ref="D1280:E1280"/>
    <mergeCell ref="F1280:G1280"/>
    <mergeCell ref="H1280:I1280"/>
    <mergeCell ref="J1280:K1280"/>
    <mergeCell ref="L1280:M1280"/>
    <mergeCell ref="P1280:Q1280"/>
    <mergeCell ref="AJ1279:AK1279"/>
    <mergeCell ref="AL1279:AM1279"/>
    <mergeCell ref="AN1279:AO1279"/>
    <mergeCell ref="AP1279:AQ1279"/>
    <mergeCell ref="AR1279:AS1279"/>
    <mergeCell ref="AT1279:AU1279"/>
    <mergeCell ref="AV1279:AW1279"/>
    <mergeCell ref="BD1282:BE1282"/>
    <mergeCell ref="BF1282:BI1282"/>
    <mergeCell ref="AN1282:AO1282"/>
    <mergeCell ref="AP1282:AQ1282"/>
    <mergeCell ref="AR1282:AS1282"/>
    <mergeCell ref="AT1282:AU1282"/>
    <mergeCell ref="AV1282:AW1282"/>
    <mergeCell ref="AX1282:AZ1282"/>
    <mergeCell ref="BA1282:BB1282"/>
    <mergeCell ref="AJ1280:AK1280"/>
    <mergeCell ref="AL1280:AM1280"/>
    <mergeCell ref="R1280:S1280"/>
    <mergeCell ref="T1280:U1280"/>
    <mergeCell ref="V1280:W1280"/>
    <mergeCell ref="X1280:AA1280"/>
    <mergeCell ref="AB1280:AE1280"/>
    <mergeCell ref="AF1280:AG1280"/>
    <mergeCell ref="AH1280:AI1280"/>
    <mergeCell ref="R1281:S1281"/>
    <mergeCell ref="B1283:C1283"/>
    <mergeCell ref="D1283:E1283"/>
    <mergeCell ref="F1283:G1283"/>
    <mergeCell ref="H1283:I1283"/>
    <mergeCell ref="J1283:K1283"/>
    <mergeCell ref="L1283:M1283"/>
    <mergeCell ref="P1283:Q1283"/>
    <mergeCell ref="B1284:C1284"/>
    <mergeCell ref="D1284:E1284"/>
    <mergeCell ref="B1281:C1281"/>
    <mergeCell ref="D1281:E1281"/>
    <mergeCell ref="F1281:G1281"/>
    <mergeCell ref="H1281:I1281"/>
    <mergeCell ref="J1281:K1281"/>
    <mergeCell ref="L1281:M1281"/>
    <mergeCell ref="P1281:Q1281"/>
    <mergeCell ref="B1282:C1282"/>
    <mergeCell ref="D1282:E1282"/>
    <mergeCell ref="F1282:G1282"/>
    <mergeCell ref="H1282:I1282"/>
    <mergeCell ref="J1282:K1282"/>
    <mergeCell ref="L1282:M1282"/>
    <mergeCell ref="P1282:Q1282"/>
    <mergeCell ref="BD1274:BE1274"/>
    <mergeCell ref="BF1274:BI1274"/>
    <mergeCell ref="AN1274:AO1274"/>
    <mergeCell ref="AP1274:AQ1274"/>
    <mergeCell ref="AR1274:AS1274"/>
    <mergeCell ref="AT1274:AU1274"/>
    <mergeCell ref="AV1274:AW1274"/>
    <mergeCell ref="AX1274:AZ1274"/>
    <mergeCell ref="BA1274:BB1274"/>
    <mergeCell ref="BD1280:BE1280"/>
    <mergeCell ref="BF1280:BI1280"/>
    <mergeCell ref="AN1280:AO1280"/>
    <mergeCell ref="AP1280:AQ1280"/>
    <mergeCell ref="AR1280:AS1280"/>
    <mergeCell ref="AT1280:AU1280"/>
    <mergeCell ref="AV1280:AW1280"/>
    <mergeCell ref="AX1280:AZ1280"/>
    <mergeCell ref="BA1280:BB1280"/>
    <mergeCell ref="AJ1278:AK1278"/>
    <mergeCell ref="AL1278:AM1278"/>
    <mergeCell ref="R1278:S1278"/>
    <mergeCell ref="T1278:U1278"/>
    <mergeCell ref="V1278:W1278"/>
    <mergeCell ref="X1278:AA1278"/>
    <mergeCell ref="AB1278:AE1278"/>
    <mergeCell ref="AF1278:AG1278"/>
    <mergeCell ref="AH1278:AI1278"/>
    <mergeCell ref="R1279:S1279"/>
    <mergeCell ref="T1279:U1279"/>
    <mergeCell ref="V1279:W1279"/>
    <mergeCell ref="X1279:AA1279"/>
    <mergeCell ref="AB1279:AE1279"/>
    <mergeCell ref="AF1279:AG1279"/>
    <mergeCell ref="AH1279:AI1279"/>
    <mergeCell ref="AX1279:AZ1279"/>
    <mergeCell ref="BA1279:BB1279"/>
    <mergeCell ref="BD1279:BE1279"/>
    <mergeCell ref="BF1279:BI1279"/>
    <mergeCell ref="P1277:Q1277"/>
    <mergeCell ref="B1278:C1278"/>
    <mergeCell ref="AJ1282:AK1282"/>
    <mergeCell ref="AL1282:AM1282"/>
    <mergeCell ref="R1282:S1282"/>
    <mergeCell ref="T1282:U1282"/>
    <mergeCell ref="V1282:W1282"/>
    <mergeCell ref="X1282:AA1282"/>
    <mergeCell ref="AB1282:AE1282"/>
    <mergeCell ref="AF1282:AG1282"/>
    <mergeCell ref="AH1282:AI1282"/>
    <mergeCell ref="B1270:C1270"/>
    <mergeCell ref="D1270:E1270"/>
    <mergeCell ref="F1270:G1270"/>
    <mergeCell ref="H1270:I1270"/>
    <mergeCell ref="J1270:K1270"/>
    <mergeCell ref="L1270:M1270"/>
    <mergeCell ref="P1270:Q1270"/>
    <mergeCell ref="AX1271:AZ1271"/>
    <mergeCell ref="BA1271:BB1271"/>
    <mergeCell ref="BD1271:BE1271"/>
    <mergeCell ref="BF1271:BI1271"/>
    <mergeCell ref="BJ1271:BM1271"/>
    <mergeCell ref="BN1271:BV1271"/>
    <mergeCell ref="BJ1272:BM1272"/>
    <mergeCell ref="BN1272:BV1272"/>
    <mergeCell ref="B1272:C1272"/>
    <mergeCell ref="D1272:E1272"/>
    <mergeCell ref="F1272:G1272"/>
    <mergeCell ref="H1272:I1272"/>
    <mergeCell ref="J1272:K1272"/>
    <mergeCell ref="L1272:M1272"/>
    <mergeCell ref="P1272:Q1272"/>
    <mergeCell ref="AJ1271:AK1271"/>
    <mergeCell ref="AL1271:AM1271"/>
    <mergeCell ref="AN1271:AO1271"/>
    <mergeCell ref="AP1271:AQ1271"/>
    <mergeCell ref="AR1271:AS1271"/>
    <mergeCell ref="AT1271:AU1271"/>
    <mergeCell ref="AV1271:AW1271"/>
    <mergeCell ref="R1271:S1271"/>
    <mergeCell ref="T1271:U1271"/>
    <mergeCell ref="V1271:W1271"/>
    <mergeCell ref="X1271:AA1271"/>
    <mergeCell ref="AB1271:AE1271"/>
    <mergeCell ref="AF1271:AG1271"/>
    <mergeCell ref="AH1271:AI1271"/>
    <mergeCell ref="B1271:C1271"/>
    <mergeCell ref="D1271:E1271"/>
    <mergeCell ref="F1271:G1271"/>
    <mergeCell ref="H1271:I1271"/>
    <mergeCell ref="AT1269:AU1269"/>
    <mergeCell ref="AV1269:AW1269"/>
    <mergeCell ref="AX1269:AZ1269"/>
    <mergeCell ref="BA1269:BB1269"/>
    <mergeCell ref="AJ1267:AK1267"/>
    <mergeCell ref="AL1267:AM1267"/>
    <mergeCell ref="R1267:S1267"/>
    <mergeCell ref="T1267:U1267"/>
    <mergeCell ref="V1267:W1267"/>
    <mergeCell ref="X1267:AA1267"/>
    <mergeCell ref="AB1267:AE1267"/>
    <mergeCell ref="AF1267:AG1267"/>
    <mergeCell ref="AH1267:AI1267"/>
    <mergeCell ref="R1268:S1268"/>
    <mergeCell ref="T1268:U1268"/>
    <mergeCell ref="V1268:W1268"/>
    <mergeCell ref="X1268:AA1268"/>
    <mergeCell ref="AB1268:AE1268"/>
    <mergeCell ref="AF1268:AG1268"/>
    <mergeCell ref="AH1268:AI1268"/>
    <mergeCell ref="AX1268:AZ1268"/>
    <mergeCell ref="BA1268:BB1268"/>
    <mergeCell ref="BD1268:BE1268"/>
    <mergeCell ref="BF1268:BI1268"/>
    <mergeCell ref="BJ1279:BM1279"/>
    <mergeCell ref="BN1279:BV1279"/>
    <mergeCell ref="BJ1280:BM1280"/>
    <mergeCell ref="BN1280:BV1280"/>
    <mergeCell ref="BJ1281:BM1281"/>
    <mergeCell ref="BN1281:BV1281"/>
    <mergeCell ref="BJ1282:BM1282"/>
    <mergeCell ref="BN1282:BV1282"/>
    <mergeCell ref="AJ1281:AK1281"/>
    <mergeCell ref="AL1281:AM1281"/>
    <mergeCell ref="AN1281:AO1281"/>
    <mergeCell ref="AP1281:AQ1281"/>
    <mergeCell ref="AR1281:AS1281"/>
    <mergeCell ref="AT1281:AU1281"/>
    <mergeCell ref="AV1281:AW1281"/>
    <mergeCell ref="BJ1270:BM1270"/>
    <mergeCell ref="BN1270:BV1270"/>
    <mergeCell ref="AJ1270:AK1270"/>
    <mergeCell ref="AL1270:AM1270"/>
    <mergeCell ref="AN1270:AO1270"/>
    <mergeCell ref="AP1270:AQ1270"/>
    <mergeCell ref="AR1270:AS1270"/>
    <mergeCell ref="AT1270:AU1270"/>
    <mergeCell ref="AV1270:AW1270"/>
    <mergeCell ref="T1281:U1281"/>
    <mergeCell ref="V1281:W1281"/>
    <mergeCell ref="X1281:AA1281"/>
    <mergeCell ref="AB1281:AE1281"/>
    <mergeCell ref="AF1281:AG1281"/>
    <mergeCell ref="AH1281:AI1281"/>
    <mergeCell ref="AX1281:AZ1281"/>
    <mergeCell ref="BA1281:BB1281"/>
    <mergeCell ref="BD1281:BE1281"/>
    <mergeCell ref="BF1281:BI1281"/>
    <mergeCell ref="BJ1268:BM1268"/>
    <mergeCell ref="BN1268:BV1268"/>
    <mergeCell ref="B1268:C1268"/>
    <mergeCell ref="D1268:E1268"/>
    <mergeCell ref="F1268:G1268"/>
    <mergeCell ref="H1268:I1268"/>
    <mergeCell ref="J1268:K1268"/>
    <mergeCell ref="L1268:M1268"/>
    <mergeCell ref="P1268:Q1268"/>
    <mergeCell ref="AJ1268:AK1268"/>
    <mergeCell ref="AL1268:AM1268"/>
    <mergeCell ref="AN1268:AO1268"/>
    <mergeCell ref="AP1268:AQ1268"/>
    <mergeCell ref="AR1268:AS1268"/>
    <mergeCell ref="AT1268:AU1268"/>
    <mergeCell ref="AV1268:AW1268"/>
    <mergeCell ref="B1269:C1269"/>
    <mergeCell ref="D1269:E1269"/>
    <mergeCell ref="F1269:G1269"/>
    <mergeCell ref="H1269:I1269"/>
    <mergeCell ref="J1269:K1269"/>
    <mergeCell ref="L1269:M1269"/>
    <mergeCell ref="P1269:Q1269"/>
    <mergeCell ref="BD1267:BE1267"/>
    <mergeCell ref="BF1267:BI1267"/>
    <mergeCell ref="AN1267:AO1267"/>
    <mergeCell ref="AP1267:AQ1267"/>
    <mergeCell ref="AR1267:AS1267"/>
    <mergeCell ref="AT1267:AU1267"/>
    <mergeCell ref="AV1267:AW1267"/>
    <mergeCell ref="AX1267:AZ1267"/>
    <mergeCell ref="BA1267:BB1267"/>
    <mergeCell ref="BD1273:BE1273"/>
    <mergeCell ref="BF1273:BI1273"/>
    <mergeCell ref="BJ1273:BM1273"/>
    <mergeCell ref="BN1273:BV1273"/>
    <mergeCell ref="J1271:K1271"/>
    <mergeCell ref="L1271:M1271"/>
    <mergeCell ref="P1271:Q1271"/>
    <mergeCell ref="BD1272:BE1272"/>
    <mergeCell ref="BF1272:BI1272"/>
    <mergeCell ref="AN1272:AO1272"/>
    <mergeCell ref="AP1272:AQ1272"/>
    <mergeCell ref="AR1272:AS1272"/>
    <mergeCell ref="AT1272:AU1272"/>
    <mergeCell ref="AV1272:AW1272"/>
    <mergeCell ref="AX1272:AZ1272"/>
    <mergeCell ref="BA1272:BB1272"/>
    <mergeCell ref="R1270:S1270"/>
    <mergeCell ref="T1270:U1270"/>
    <mergeCell ref="V1270:W1270"/>
    <mergeCell ref="X1270:AA1270"/>
    <mergeCell ref="AB1270:AE1270"/>
    <mergeCell ref="AF1270:AG1270"/>
    <mergeCell ref="AH1270:AI1270"/>
    <mergeCell ref="AX1270:AZ1270"/>
    <mergeCell ref="BA1270:BB1270"/>
    <mergeCell ref="BD1270:BE1270"/>
    <mergeCell ref="BF1270:BI1270"/>
    <mergeCell ref="BD1269:BE1269"/>
    <mergeCell ref="BF1269:BI1269"/>
    <mergeCell ref="AN1269:AO1269"/>
    <mergeCell ref="AP1269:AQ1269"/>
    <mergeCell ref="AR1269:AS1269"/>
    <mergeCell ref="BJ1274:BM1274"/>
    <mergeCell ref="BN1274:BV1274"/>
    <mergeCell ref="B1273:C1273"/>
    <mergeCell ref="D1273:E1273"/>
    <mergeCell ref="F1273:G1273"/>
    <mergeCell ref="H1273:I1273"/>
    <mergeCell ref="J1273:K1273"/>
    <mergeCell ref="L1273:M1273"/>
    <mergeCell ref="P1273:Q1273"/>
    <mergeCell ref="B1274:C1274"/>
    <mergeCell ref="D1274:E1274"/>
    <mergeCell ref="F1274:G1274"/>
    <mergeCell ref="H1274:I1274"/>
    <mergeCell ref="J1274:K1274"/>
    <mergeCell ref="L1274:M1274"/>
    <mergeCell ref="P1274:Q1274"/>
    <mergeCell ref="AJ1273:AK1273"/>
    <mergeCell ref="AL1273:AM1273"/>
    <mergeCell ref="AN1273:AO1273"/>
    <mergeCell ref="AP1273:AQ1273"/>
    <mergeCell ref="AR1273:AS1273"/>
    <mergeCell ref="AT1273:AU1273"/>
    <mergeCell ref="AV1273:AW1273"/>
    <mergeCell ref="BD1276:BE1276"/>
    <mergeCell ref="BF1276:BI1276"/>
    <mergeCell ref="AN1276:AO1276"/>
    <mergeCell ref="AP1276:AQ1276"/>
    <mergeCell ref="AR1276:AS1276"/>
    <mergeCell ref="AT1276:AU1276"/>
    <mergeCell ref="AV1276:AW1276"/>
    <mergeCell ref="AX1276:AZ1276"/>
    <mergeCell ref="BA1276:BB1276"/>
    <mergeCell ref="AJ1274:AK1274"/>
    <mergeCell ref="AL1274:AM1274"/>
    <mergeCell ref="R1274:S1274"/>
    <mergeCell ref="T1274:U1274"/>
    <mergeCell ref="V1274:W1274"/>
    <mergeCell ref="X1274:AA1274"/>
    <mergeCell ref="AB1274:AE1274"/>
    <mergeCell ref="AF1274:AG1274"/>
    <mergeCell ref="AH1274:AI1274"/>
    <mergeCell ref="R1275:S1275"/>
    <mergeCell ref="T1275:U1275"/>
    <mergeCell ref="V1275:W1275"/>
    <mergeCell ref="X1275:AA1275"/>
    <mergeCell ref="AB1275:AE1275"/>
    <mergeCell ref="AF1275:AG1275"/>
    <mergeCell ref="AH1275:AI1275"/>
    <mergeCell ref="AX1275:AZ1275"/>
    <mergeCell ref="BA1275:BB1275"/>
    <mergeCell ref="BD1275:BE1275"/>
    <mergeCell ref="BF1275:BI1275"/>
    <mergeCell ref="BJ1275:BM1275"/>
    <mergeCell ref="BN1275:BV1275"/>
    <mergeCell ref="BJ1276:BM1276"/>
    <mergeCell ref="BN1276:BV1276"/>
    <mergeCell ref="B1275:C1275"/>
    <mergeCell ref="D1275:E1275"/>
    <mergeCell ref="F1275:G1275"/>
    <mergeCell ref="H1275:I1275"/>
    <mergeCell ref="B1276:C1276"/>
    <mergeCell ref="D1278:E1278"/>
    <mergeCell ref="F1278:G1278"/>
    <mergeCell ref="H1278:I1278"/>
    <mergeCell ref="J1278:K1278"/>
    <mergeCell ref="L1278:M1278"/>
    <mergeCell ref="P1278:Q1278"/>
    <mergeCell ref="AJ1277:AK1277"/>
    <mergeCell ref="AL1277:AM1277"/>
    <mergeCell ref="AN1277:AO1277"/>
    <mergeCell ref="AP1277:AQ1277"/>
    <mergeCell ref="AR1277:AS1277"/>
    <mergeCell ref="AT1277:AU1277"/>
    <mergeCell ref="AV1277:AW1277"/>
    <mergeCell ref="AJ1272:AK1272"/>
    <mergeCell ref="AL1272:AM1272"/>
    <mergeCell ref="R1272:S1272"/>
    <mergeCell ref="T1272:U1272"/>
    <mergeCell ref="V1272:W1272"/>
    <mergeCell ref="X1272:AA1272"/>
    <mergeCell ref="AB1272:AE1272"/>
    <mergeCell ref="AF1272:AG1272"/>
    <mergeCell ref="AH1272:AI1272"/>
    <mergeCell ref="R1273:S1273"/>
    <mergeCell ref="T1273:U1273"/>
    <mergeCell ref="V1273:W1273"/>
    <mergeCell ref="X1273:AA1273"/>
    <mergeCell ref="AB1273:AE1273"/>
    <mergeCell ref="AF1273:AG1273"/>
    <mergeCell ref="AH1273:AI1273"/>
    <mergeCell ref="AX1273:AZ1273"/>
    <mergeCell ref="BA1273:BB1273"/>
    <mergeCell ref="J1275:K1275"/>
    <mergeCell ref="L1275:M1275"/>
    <mergeCell ref="P1275:Q1275"/>
    <mergeCell ref="D1276:E1276"/>
    <mergeCell ref="F1276:G1276"/>
    <mergeCell ref="H1276:I1276"/>
    <mergeCell ref="J1276:K1276"/>
    <mergeCell ref="L1276:M1276"/>
    <mergeCell ref="P1276:Q1276"/>
    <mergeCell ref="AJ1275:AK1275"/>
    <mergeCell ref="AL1275:AM1275"/>
    <mergeCell ref="AN1275:AO1275"/>
    <mergeCell ref="AP1275:AQ1275"/>
    <mergeCell ref="AR1275:AS1275"/>
    <mergeCell ref="AT1275:AU1275"/>
    <mergeCell ref="AV1275:AW1275"/>
    <mergeCell ref="BJ1212:BM1212"/>
    <mergeCell ref="BN1212:BV1212"/>
    <mergeCell ref="BJ1213:BM1213"/>
    <mergeCell ref="BN1213:BV1213"/>
    <mergeCell ref="B1212:C1212"/>
    <mergeCell ref="D1212:E1212"/>
    <mergeCell ref="F1212:G1212"/>
    <mergeCell ref="H1212:I1212"/>
    <mergeCell ref="J1212:K1212"/>
    <mergeCell ref="L1212:M1212"/>
    <mergeCell ref="P1212:Q1212"/>
    <mergeCell ref="B1213:C1213"/>
    <mergeCell ref="D1213:E1213"/>
    <mergeCell ref="F1213:G1213"/>
    <mergeCell ref="H1213:I1213"/>
    <mergeCell ref="J1213:K1213"/>
    <mergeCell ref="L1213:M1213"/>
    <mergeCell ref="P1213:Q1213"/>
    <mergeCell ref="AJ1212:AK1212"/>
    <mergeCell ref="AL1212:AM1212"/>
    <mergeCell ref="AN1212:AO1212"/>
    <mergeCell ref="AP1212:AQ1212"/>
    <mergeCell ref="AR1212:AS1212"/>
    <mergeCell ref="AT1212:AU1212"/>
    <mergeCell ref="AV1212:AW1212"/>
    <mergeCell ref="BD1278:BE1278"/>
    <mergeCell ref="BF1278:BI1278"/>
    <mergeCell ref="AN1278:AO1278"/>
    <mergeCell ref="AP1278:AQ1278"/>
    <mergeCell ref="AR1278:AS1278"/>
    <mergeCell ref="AT1278:AU1278"/>
    <mergeCell ref="AV1278:AW1278"/>
    <mergeCell ref="AX1278:AZ1278"/>
    <mergeCell ref="BA1278:BB1278"/>
    <mergeCell ref="AJ1276:AK1276"/>
    <mergeCell ref="AL1276:AM1276"/>
    <mergeCell ref="R1276:S1276"/>
    <mergeCell ref="T1276:U1276"/>
    <mergeCell ref="V1276:W1276"/>
    <mergeCell ref="X1276:AA1276"/>
    <mergeCell ref="AB1276:AE1276"/>
    <mergeCell ref="AF1276:AG1276"/>
    <mergeCell ref="AH1276:AI1276"/>
    <mergeCell ref="R1277:S1277"/>
    <mergeCell ref="T1277:U1277"/>
    <mergeCell ref="V1277:W1277"/>
    <mergeCell ref="X1277:AA1277"/>
    <mergeCell ref="AB1277:AE1277"/>
    <mergeCell ref="AF1277:AG1277"/>
    <mergeCell ref="AH1277:AI1277"/>
    <mergeCell ref="AX1277:AZ1277"/>
    <mergeCell ref="BA1277:BB1277"/>
    <mergeCell ref="BD1277:BE1277"/>
    <mergeCell ref="BF1277:BI1277"/>
    <mergeCell ref="BJ1277:BM1277"/>
    <mergeCell ref="BN1277:BV1277"/>
    <mergeCell ref="BJ1278:BM1278"/>
    <mergeCell ref="BN1278:BV1278"/>
    <mergeCell ref="B1277:C1277"/>
    <mergeCell ref="D1277:E1277"/>
    <mergeCell ref="F1277:G1277"/>
    <mergeCell ref="H1277:I1277"/>
    <mergeCell ref="J1277:K1277"/>
    <mergeCell ref="L1277:M1277"/>
    <mergeCell ref="B1210:C1210"/>
    <mergeCell ref="D1210:E1210"/>
    <mergeCell ref="F1210:G1210"/>
    <mergeCell ref="H1210:I1210"/>
    <mergeCell ref="J1210:K1210"/>
    <mergeCell ref="L1210:M1210"/>
    <mergeCell ref="P1210:Q1210"/>
    <mergeCell ref="B1211:C1211"/>
    <mergeCell ref="D1211:E1211"/>
    <mergeCell ref="F1211:G1211"/>
    <mergeCell ref="H1211:I1211"/>
    <mergeCell ref="J1211:K1211"/>
    <mergeCell ref="L1211:M1211"/>
    <mergeCell ref="P1211:Q1211"/>
    <mergeCell ref="AJ1210:AK1210"/>
    <mergeCell ref="AL1210:AM1210"/>
    <mergeCell ref="AN1210:AO1210"/>
    <mergeCell ref="AP1210:AQ1210"/>
    <mergeCell ref="AR1210:AS1210"/>
    <mergeCell ref="AT1210:AU1210"/>
    <mergeCell ref="AV1210:AW1210"/>
    <mergeCell ref="BD1213:BE1213"/>
    <mergeCell ref="BF1213:BI1213"/>
    <mergeCell ref="AN1213:AO1213"/>
    <mergeCell ref="AP1213:AQ1213"/>
    <mergeCell ref="AR1213:AS1213"/>
    <mergeCell ref="AT1213:AU1213"/>
    <mergeCell ref="AV1213:AW1213"/>
    <mergeCell ref="AX1213:AZ1213"/>
    <mergeCell ref="BA1213:BB1213"/>
    <mergeCell ref="AJ1211:AK1211"/>
    <mergeCell ref="AL1211:AM1211"/>
    <mergeCell ref="R1211:S1211"/>
    <mergeCell ref="T1211:U1211"/>
    <mergeCell ref="V1211:W1211"/>
    <mergeCell ref="X1211:AA1211"/>
    <mergeCell ref="AB1211:AE1211"/>
    <mergeCell ref="AF1211:AG1211"/>
    <mergeCell ref="AH1211:AI1211"/>
    <mergeCell ref="R1212:S1212"/>
    <mergeCell ref="T1212:U1212"/>
    <mergeCell ref="V1212:W1212"/>
    <mergeCell ref="X1212:AA1212"/>
    <mergeCell ref="AB1212:AE1212"/>
    <mergeCell ref="AF1212:AG1212"/>
    <mergeCell ref="AH1212:AI1212"/>
    <mergeCell ref="AX1212:AZ1212"/>
    <mergeCell ref="BA1212:BB1212"/>
    <mergeCell ref="BD1212:BE1212"/>
    <mergeCell ref="BF1212:BI1212"/>
    <mergeCell ref="BD1211:BE1211"/>
    <mergeCell ref="BF1211:BI1211"/>
    <mergeCell ref="AN1211:AO1211"/>
    <mergeCell ref="AP1211:AQ1211"/>
    <mergeCell ref="AR1211:AS1211"/>
    <mergeCell ref="AT1211:AU1211"/>
    <mergeCell ref="AV1211:AW1211"/>
    <mergeCell ref="AX1211:AZ1211"/>
    <mergeCell ref="BA1211:BB1211"/>
    <mergeCell ref="AJ1209:AK1209"/>
    <mergeCell ref="AL1209:AM1209"/>
    <mergeCell ref="R1209:S1209"/>
    <mergeCell ref="T1209:U1209"/>
    <mergeCell ref="V1209:W1209"/>
    <mergeCell ref="X1209:AA1209"/>
    <mergeCell ref="AB1209:AE1209"/>
    <mergeCell ref="AF1209:AG1209"/>
    <mergeCell ref="AH1209:AI1209"/>
    <mergeCell ref="R1210:S1210"/>
    <mergeCell ref="T1210:U1210"/>
    <mergeCell ref="V1210:W1210"/>
    <mergeCell ref="X1210:AA1210"/>
    <mergeCell ref="AB1210:AE1210"/>
    <mergeCell ref="AF1210:AG1210"/>
    <mergeCell ref="AH1210:AI1210"/>
    <mergeCell ref="AX1210:AZ1210"/>
    <mergeCell ref="BA1210:BB1210"/>
    <mergeCell ref="BD1210:BE1210"/>
    <mergeCell ref="BF1210:BI1210"/>
    <mergeCell ref="BJ1210:BM1210"/>
    <mergeCell ref="BN1210:BV1210"/>
    <mergeCell ref="BJ1211:BM1211"/>
    <mergeCell ref="BN1211:BV1211"/>
    <mergeCell ref="V1204:W1204"/>
    <mergeCell ref="X1204:AA1204"/>
    <mergeCell ref="AB1204:AE1204"/>
    <mergeCell ref="AF1204:AG1204"/>
    <mergeCell ref="AH1204:AI1204"/>
    <mergeCell ref="AJ1204:AK1204"/>
    <mergeCell ref="AL1204:AM1204"/>
    <mergeCell ref="BD1204:BE1204"/>
    <mergeCell ref="BF1204:BI1204"/>
    <mergeCell ref="BJ1204:BM1204"/>
    <mergeCell ref="BN1204:BV1204"/>
    <mergeCell ref="AN1204:AO1204"/>
    <mergeCell ref="AP1204:AQ1204"/>
    <mergeCell ref="AR1204:AS1204"/>
    <mergeCell ref="AT1204:AU1204"/>
    <mergeCell ref="AV1204:AW1204"/>
    <mergeCell ref="AX1204:AZ1204"/>
    <mergeCell ref="BA1204:BB1204"/>
    <mergeCell ref="AT1207:AU1207"/>
    <mergeCell ref="AV1207:AW1207"/>
    <mergeCell ref="BD1209:BE1209"/>
    <mergeCell ref="BF1209:BI1209"/>
    <mergeCell ref="AN1209:AO1209"/>
    <mergeCell ref="AP1209:AQ1209"/>
    <mergeCell ref="AR1209:AS1209"/>
    <mergeCell ref="AT1209:AU1209"/>
    <mergeCell ref="AV1209:AW1209"/>
    <mergeCell ref="AX1209:AZ1209"/>
    <mergeCell ref="BA1209:BB1209"/>
    <mergeCell ref="AJ1207:AK1207"/>
    <mergeCell ref="AL1207:AM1207"/>
    <mergeCell ref="R1207:S1207"/>
    <mergeCell ref="T1207:U1207"/>
    <mergeCell ref="V1207:W1207"/>
    <mergeCell ref="X1207:AA1207"/>
    <mergeCell ref="AB1207:AE1207"/>
    <mergeCell ref="AF1207:AG1207"/>
    <mergeCell ref="AH1207:AI1207"/>
    <mergeCell ref="R1208:S1208"/>
    <mergeCell ref="T1208:U1208"/>
    <mergeCell ref="B1204:C1204"/>
    <mergeCell ref="D1204:E1204"/>
    <mergeCell ref="F1204:G1204"/>
    <mergeCell ref="H1204:I1204"/>
    <mergeCell ref="P1204:Q1204"/>
    <mergeCell ref="R1204:S1204"/>
    <mergeCell ref="T1204:U1204"/>
    <mergeCell ref="B1205:C1205"/>
    <mergeCell ref="D1205:E1205"/>
    <mergeCell ref="F1205:G1205"/>
    <mergeCell ref="H1205:I1205"/>
    <mergeCell ref="J1205:K1205"/>
    <mergeCell ref="L1205:M1205"/>
    <mergeCell ref="P1205:Q1205"/>
    <mergeCell ref="AX1205:AZ1205"/>
    <mergeCell ref="BA1205:BB1205"/>
    <mergeCell ref="BD1205:BE1205"/>
    <mergeCell ref="BF1205:BI1205"/>
    <mergeCell ref="BJ1205:BM1205"/>
    <mergeCell ref="BN1205:BV1205"/>
    <mergeCell ref="AN1205:AO1205"/>
    <mergeCell ref="AP1205:AQ1205"/>
    <mergeCell ref="AR1205:AS1205"/>
    <mergeCell ref="AT1205:AU1205"/>
    <mergeCell ref="AV1205:AW1205"/>
    <mergeCell ref="V1202:W1202"/>
    <mergeCell ref="X1202:AA1202"/>
    <mergeCell ref="AB1202:AE1202"/>
    <mergeCell ref="AF1202:AG1202"/>
    <mergeCell ref="AH1202:AI1202"/>
    <mergeCell ref="AJ1202:AK1202"/>
    <mergeCell ref="AL1202:AM1202"/>
    <mergeCell ref="BD1202:BE1202"/>
    <mergeCell ref="BF1202:BI1202"/>
    <mergeCell ref="BJ1202:BM1202"/>
    <mergeCell ref="BN1202:BV1202"/>
    <mergeCell ref="AN1202:AO1202"/>
    <mergeCell ref="AP1202:AQ1202"/>
    <mergeCell ref="AR1202:AS1202"/>
    <mergeCell ref="AT1202:AU1202"/>
    <mergeCell ref="AV1202:AW1202"/>
    <mergeCell ref="AX1202:AZ1202"/>
    <mergeCell ref="BA1202:BB1202"/>
    <mergeCell ref="B1202:C1202"/>
    <mergeCell ref="D1202:E1202"/>
    <mergeCell ref="F1202:G1202"/>
    <mergeCell ref="H1202:I1202"/>
    <mergeCell ref="P1202:Q1202"/>
    <mergeCell ref="R1202:S1202"/>
    <mergeCell ref="T1202:U1202"/>
    <mergeCell ref="B1203:C1203"/>
    <mergeCell ref="D1203:E1203"/>
    <mergeCell ref="F1203:G1203"/>
    <mergeCell ref="H1203:I1203"/>
    <mergeCell ref="J1203:K1203"/>
    <mergeCell ref="L1203:M1203"/>
    <mergeCell ref="P1203:Q1203"/>
    <mergeCell ref="AX1203:AZ1203"/>
    <mergeCell ref="BA1203:BB1203"/>
    <mergeCell ref="BD1203:BE1203"/>
    <mergeCell ref="BF1203:BI1203"/>
    <mergeCell ref="BJ1203:BM1203"/>
    <mergeCell ref="BN1203:BV1203"/>
    <mergeCell ref="AN1203:AO1203"/>
    <mergeCell ref="AP1203:AQ1203"/>
    <mergeCell ref="AR1203:AS1203"/>
    <mergeCell ref="AT1203:AU1203"/>
    <mergeCell ref="AV1203:AW1203"/>
    <mergeCell ref="R1203:S1203"/>
    <mergeCell ref="T1203:U1203"/>
    <mergeCell ref="V1203:W1203"/>
    <mergeCell ref="X1203:AA1203"/>
    <mergeCell ref="AB1203:AE1203"/>
    <mergeCell ref="AF1203:AG1203"/>
    <mergeCell ref="AH1203:AI1203"/>
    <mergeCell ref="AJ1203:AK1203"/>
    <mergeCell ref="AL1203:AM1203"/>
    <mergeCell ref="V1200:W1200"/>
    <mergeCell ref="X1200:AA1200"/>
    <mergeCell ref="AB1200:AE1200"/>
    <mergeCell ref="AF1200:AG1200"/>
    <mergeCell ref="AH1200:AI1200"/>
    <mergeCell ref="AJ1200:AK1200"/>
    <mergeCell ref="AL1200:AM1200"/>
    <mergeCell ref="BD1200:BE1200"/>
    <mergeCell ref="BF1200:BI1200"/>
    <mergeCell ref="BJ1200:BM1200"/>
    <mergeCell ref="BN1200:BV1200"/>
    <mergeCell ref="AN1200:AO1200"/>
    <mergeCell ref="AP1200:AQ1200"/>
    <mergeCell ref="AR1200:AS1200"/>
    <mergeCell ref="AT1200:AU1200"/>
    <mergeCell ref="AV1200:AW1200"/>
    <mergeCell ref="AX1200:AZ1200"/>
    <mergeCell ref="BA1200:BB1200"/>
    <mergeCell ref="B1200:C1200"/>
    <mergeCell ref="D1200:E1200"/>
    <mergeCell ref="F1200:G1200"/>
    <mergeCell ref="H1200:I1200"/>
    <mergeCell ref="P1200:Q1200"/>
    <mergeCell ref="R1200:S1200"/>
    <mergeCell ref="T1200:U1200"/>
    <mergeCell ref="B1201:C1201"/>
    <mergeCell ref="D1201:E1201"/>
    <mergeCell ref="F1201:G1201"/>
    <mergeCell ref="H1201:I1201"/>
    <mergeCell ref="J1201:K1201"/>
    <mergeCell ref="L1201:M1201"/>
    <mergeCell ref="P1201:Q1201"/>
    <mergeCell ref="AX1201:AZ1201"/>
    <mergeCell ref="BA1201:BB1201"/>
    <mergeCell ref="BD1201:BE1201"/>
    <mergeCell ref="BF1201:BI1201"/>
    <mergeCell ref="BJ1201:BM1201"/>
    <mergeCell ref="BN1201:BV1201"/>
    <mergeCell ref="AN1201:AO1201"/>
    <mergeCell ref="AP1201:AQ1201"/>
    <mergeCell ref="AR1201:AS1201"/>
    <mergeCell ref="AT1201:AU1201"/>
    <mergeCell ref="AV1201:AW1201"/>
    <mergeCell ref="R1201:S1201"/>
    <mergeCell ref="T1201:U1201"/>
    <mergeCell ref="V1201:W1201"/>
    <mergeCell ref="X1201:AA1201"/>
    <mergeCell ref="AB1201:AE1201"/>
    <mergeCell ref="AF1201:AG1201"/>
    <mergeCell ref="AH1201:AI1201"/>
    <mergeCell ref="AJ1201:AK1201"/>
    <mergeCell ref="AL1201:AM1201"/>
    <mergeCell ref="V1198:W1198"/>
    <mergeCell ref="X1198:AA1198"/>
    <mergeCell ref="AB1198:AE1198"/>
    <mergeCell ref="AF1198:AG1198"/>
    <mergeCell ref="AH1198:AI1198"/>
    <mergeCell ref="AJ1198:AK1198"/>
    <mergeCell ref="AL1198:AM1198"/>
    <mergeCell ref="BD1198:BE1198"/>
    <mergeCell ref="BF1198:BI1198"/>
    <mergeCell ref="BJ1198:BM1198"/>
    <mergeCell ref="BN1198:BV1198"/>
    <mergeCell ref="AN1198:AO1198"/>
    <mergeCell ref="AP1198:AQ1198"/>
    <mergeCell ref="AR1198:AS1198"/>
    <mergeCell ref="AT1198:AU1198"/>
    <mergeCell ref="AV1198:AW1198"/>
    <mergeCell ref="AX1198:AZ1198"/>
    <mergeCell ref="BA1198:BB1198"/>
    <mergeCell ref="B1198:C1198"/>
    <mergeCell ref="D1198:E1198"/>
    <mergeCell ref="F1198:G1198"/>
    <mergeCell ref="H1198:I1198"/>
    <mergeCell ref="P1198:Q1198"/>
    <mergeCell ref="R1198:S1198"/>
    <mergeCell ref="T1198:U1198"/>
    <mergeCell ref="B1199:C1199"/>
    <mergeCell ref="D1199:E1199"/>
    <mergeCell ref="F1199:G1199"/>
    <mergeCell ref="H1199:I1199"/>
    <mergeCell ref="J1199:K1199"/>
    <mergeCell ref="L1199:M1199"/>
    <mergeCell ref="P1199:Q1199"/>
    <mergeCell ref="AX1199:AZ1199"/>
    <mergeCell ref="BA1199:BB1199"/>
    <mergeCell ref="BD1199:BE1199"/>
    <mergeCell ref="BF1199:BI1199"/>
    <mergeCell ref="BJ1199:BM1199"/>
    <mergeCell ref="BN1199:BV1199"/>
    <mergeCell ref="AN1199:AO1199"/>
    <mergeCell ref="AP1199:AQ1199"/>
    <mergeCell ref="AR1199:AS1199"/>
    <mergeCell ref="AT1199:AU1199"/>
    <mergeCell ref="AV1199:AW1199"/>
    <mergeCell ref="R1199:S1199"/>
    <mergeCell ref="T1199:U1199"/>
    <mergeCell ref="V1199:W1199"/>
    <mergeCell ref="X1199:AA1199"/>
    <mergeCell ref="AB1199:AE1199"/>
    <mergeCell ref="AF1199:AG1199"/>
    <mergeCell ref="AH1199:AI1199"/>
    <mergeCell ref="AJ1199:AK1199"/>
    <mergeCell ref="AL1199:AM1199"/>
    <mergeCell ref="V1196:W1196"/>
    <mergeCell ref="X1196:AA1196"/>
    <mergeCell ref="AB1196:AE1196"/>
    <mergeCell ref="AF1196:AG1196"/>
    <mergeCell ref="AH1196:AI1196"/>
    <mergeCell ref="AJ1196:AK1196"/>
    <mergeCell ref="AL1196:AM1196"/>
    <mergeCell ref="BD1196:BE1196"/>
    <mergeCell ref="BF1196:BI1196"/>
    <mergeCell ref="BJ1196:BM1196"/>
    <mergeCell ref="BN1196:BV1196"/>
    <mergeCell ref="AN1196:AO1196"/>
    <mergeCell ref="AP1196:AQ1196"/>
    <mergeCell ref="AR1196:AS1196"/>
    <mergeCell ref="AT1196:AU1196"/>
    <mergeCell ref="AV1196:AW1196"/>
    <mergeCell ref="AX1196:AZ1196"/>
    <mergeCell ref="BA1196:BB1196"/>
    <mergeCell ref="B1196:C1196"/>
    <mergeCell ref="D1196:E1196"/>
    <mergeCell ref="F1196:G1196"/>
    <mergeCell ref="H1196:I1196"/>
    <mergeCell ref="P1196:Q1196"/>
    <mergeCell ref="R1196:S1196"/>
    <mergeCell ref="T1196:U1196"/>
    <mergeCell ref="B1197:C1197"/>
    <mergeCell ref="D1197:E1197"/>
    <mergeCell ref="F1197:G1197"/>
    <mergeCell ref="H1197:I1197"/>
    <mergeCell ref="J1197:K1197"/>
    <mergeCell ref="L1197:M1197"/>
    <mergeCell ref="P1197:Q1197"/>
    <mergeCell ref="AX1197:AZ1197"/>
    <mergeCell ref="BA1197:BB1197"/>
    <mergeCell ref="BD1197:BE1197"/>
    <mergeCell ref="BF1197:BI1197"/>
    <mergeCell ref="BJ1197:BM1197"/>
    <mergeCell ref="BN1197:BV1197"/>
    <mergeCell ref="AN1197:AO1197"/>
    <mergeCell ref="AP1197:AQ1197"/>
    <mergeCell ref="AR1197:AS1197"/>
    <mergeCell ref="AT1197:AU1197"/>
    <mergeCell ref="AV1197:AW1197"/>
    <mergeCell ref="R1197:S1197"/>
    <mergeCell ref="T1197:U1197"/>
    <mergeCell ref="V1197:W1197"/>
    <mergeCell ref="X1197:AA1197"/>
    <mergeCell ref="AB1197:AE1197"/>
    <mergeCell ref="AF1197:AG1197"/>
    <mergeCell ref="AH1197:AI1197"/>
    <mergeCell ref="AJ1197:AK1197"/>
    <mergeCell ref="AL1197:AM1197"/>
    <mergeCell ref="BN1194:BV1194"/>
    <mergeCell ref="AN1194:AO1194"/>
    <mergeCell ref="AP1194:AQ1194"/>
    <mergeCell ref="AR1194:AS1194"/>
    <mergeCell ref="AT1194:AU1194"/>
    <mergeCell ref="AV1194:AW1194"/>
    <mergeCell ref="AX1194:AZ1194"/>
    <mergeCell ref="BA1194:BB1194"/>
    <mergeCell ref="B1194:C1194"/>
    <mergeCell ref="D1194:E1194"/>
    <mergeCell ref="F1194:G1194"/>
    <mergeCell ref="H1194:I1194"/>
    <mergeCell ref="P1194:Q1194"/>
    <mergeCell ref="R1194:S1194"/>
    <mergeCell ref="T1194:U1194"/>
    <mergeCell ref="B1195:C1195"/>
    <mergeCell ref="D1195:E1195"/>
    <mergeCell ref="F1195:G1195"/>
    <mergeCell ref="H1195:I1195"/>
    <mergeCell ref="J1195:K1195"/>
    <mergeCell ref="L1195:M1195"/>
    <mergeCell ref="P1195:Q1195"/>
    <mergeCell ref="AX1195:AZ1195"/>
    <mergeCell ref="BA1195:BB1195"/>
    <mergeCell ref="BD1195:BE1195"/>
    <mergeCell ref="BF1195:BI1195"/>
    <mergeCell ref="BJ1195:BM1195"/>
    <mergeCell ref="BN1195:BV1195"/>
    <mergeCell ref="AJ1193:AK1193"/>
    <mergeCell ref="AL1193:AM1193"/>
    <mergeCell ref="AN1195:AO1195"/>
    <mergeCell ref="AP1195:AQ1195"/>
    <mergeCell ref="AR1195:AS1195"/>
    <mergeCell ref="AT1195:AU1195"/>
    <mergeCell ref="AV1195:AW1195"/>
    <mergeCell ref="R1195:S1195"/>
    <mergeCell ref="T1195:U1195"/>
    <mergeCell ref="V1195:W1195"/>
    <mergeCell ref="X1195:AA1195"/>
    <mergeCell ref="AB1195:AE1195"/>
    <mergeCell ref="AF1195:AG1195"/>
    <mergeCell ref="AH1195:AI1195"/>
    <mergeCell ref="AJ1195:AK1195"/>
    <mergeCell ref="AL1195:AM1195"/>
    <mergeCell ref="V1194:W1194"/>
    <mergeCell ref="X1194:AA1194"/>
    <mergeCell ref="AB1194:AE1194"/>
    <mergeCell ref="AF1194:AG1194"/>
    <mergeCell ref="AH1194:AI1194"/>
    <mergeCell ref="AJ1194:AK1194"/>
    <mergeCell ref="AL1194:AM1194"/>
    <mergeCell ref="BD1194:BE1194"/>
    <mergeCell ref="BF1194:BI1194"/>
    <mergeCell ref="BJ1194:BM1194"/>
    <mergeCell ref="B1192:C1192"/>
    <mergeCell ref="D1192:E1192"/>
    <mergeCell ref="F1192:G1192"/>
    <mergeCell ref="H1192:I1192"/>
    <mergeCell ref="P1192:Q1192"/>
    <mergeCell ref="R1192:S1192"/>
    <mergeCell ref="T1192:U1192"/>
    <mergeCell ref="B1193:C1193"/>
    <mergeCell ref="D1193:E1193"/>
    <mergeCell ref="F1193:G1193"/>
    <mergeCell ref="H1193:I1193"/>
    <mergeCell ref="J1193:K1193"/>
    <mergeCell ref="L1193:M1193"/>
    <mergeCell ref="P1193:Q1193"/>
    <mergeCell ref="AX1193:AZ1193"/>
    <mergeCell ref="BA1193:BB1193"/>
    <mergeCell ref="BD1193:BE1193"/>
    <mergeCell ref="BF1193:BI1193"/>
    <mergeCell ref="BJ1193:BM1193"/>
    <mergeCell ref="BN1193:BV1193"/>
    <mergeCell ref="AJ1191:AK1191"/>
    <mergeCell ref="AL1191:AM1191"/>
    <mergeCell ref="AN1193:AO1193"/>
    <mergeCell ref="AP1193:AQ1193"/>
    <mergeCell ref="AR1193:AS1193"/>
    <mergeCell ref="AT1193:AU1193"/>
    <mergeCell ref="AV1193:AW1193"/>
    <mergeCell ref="R1193:S1193"/>
    <mergeCell ref="T1193:U1193"/>
    <mergeCell ref="V1193:W1193"/>
    <mergeCell ref="X1193:AA1193"/>
    <mergeCell ref="AB1193:AE1193"/>
    <mergeCell ref="AF1193:AG1193"/>
    <mergeCell ref="AH1193:AI1193"/>
    <mergeCell ref="V1192:W1192"/>
    <mergeCell ref="X1192:AA1192"/>
    <mergeCell ref="AB1192:AE1192"/>
    <mergeCell ref="AF1192:AG1192"/>
    <mergeCell ref="AH1192:AI1192"/>
    <mergeCell ref="AJ1192:AK1192"/>
    <mergeCell ref="AL1192:AM1192"/>
    <mergeCell ref="BD1192:BE1192"/>
    <mergeCell ref="BF1192:BI1192"/>
    <mergeCell ref="BJ1192:BM1192"/>
    <mergeCell ref="BN1192:BV1192"/>
    <mergeCell ref="AN1192:AO1192"/>
    <mergeCell ref="AP1192:AQ1192"/>
    <mergeCell ref="AR1192:AS1192"/>
    <mergeCell ref="AT1192:AU1192"/>
    <mergeCell ref="AV1192:AW1192"/>
    <mergeCell ref="AX1192:AZ1192"/>
    <mergeCell ref="BA1192:BB1192"/>
    <mergeCell ref="B1190:C1190"/>
    <mergeCell ref="D1190:E1190"/>
    <mergeCell ref="F1190:G1190"/>
    <mergeCell ref="H1190:I1190"/>
    <mergeCell ref="P1190:Q1190"/>
    <mergeCell ref="R1190:S1190"/>
    <mergeCell ref="T1190:U1190"/>
    <mergeCell ref="B1191:C1191"/>
    <mergeCell ref="D1191:E1191"/>
    <mergeCell ref="F1191:G1191"/>
    <mergeCell ref="H1191:I1191"/>
    <mergeCell ref="J1191:K1191"/>
    <mergeCell ref="L1191:M1191"/>
    <mergeCell ref="P1191:Q1191"/>
    <mergeCell ref="AX1191:AZ1191"/>
    <mergeCell ref="BA1191:BB1191"/>
    <mergeCell ref="BD1191:BE1191"/>
    <mergeCell ref="BF1191:BI1191"/>
    <mergeCell ref="BJ1191:BM1191"/>
    <mergeCell ref="BN1191:BV1191"/>
    <mergeCell ref="AJ1189:AK1189"/>
    <mergeCell ref="AL1189:AM1189"/>
    <mergeCell ref="AN1191:AO1191"/>
    <mergeCell ref="AP1191:AQ1191"/>
    <mergeCell ref="AR1191:AS1191"/>
    <mergeCell ref="AT1191:AU1191"/>
    <mergeCell ref="AV1191:AW1191"/>
    <mergeCell ref="R1191:S1191"/>
    <mergeCell ref="T1191:U1191"/>
    <mergeCell ref="V1191:W1191"/>
    <mergeCell ref="X1191:AA1191"/>
    <mergeCell ref="AB1191:AE1191"/>
    <mergeCell ref="AF1191:AG1191"/>
    <mergeCell ref="AH1191:AI1191"/>
    <mergeCell ref="R1189:S1189"/>
    <mergeCell ref="T1189:U1189"/>
    <mergeCell ref="V1189:W1189"/>
    <mergeCell ref="X1189:AA1189"/>
    <mergeCell ref="AB1189:AE1189"/>
    <mergeCell ref="AF1189:AG1189"/>
    <mergeCell ref="AH1189:AI1189"/>
    <mergeCell ref="V1190:W1190"/>
    <mergeCell ref="X1190:AA1190"/>
    <mergeCell ref="AB1190:AE1190"/>
    <mergeCell ref="AF1190:AG1190"/>
    <mergeCell ref="AH1190:AI1190"/>
    <mergeCell ref="AJ1190:AK1190"/>
    <mergeCell ref="AL1190:AM1190"/>
    <mergeCell ref="BD1190:BE1190"/>
    <mergeCell ref="BF1190:BI1190"/>
    <mergeCell ref="BJ1190:BM1190"/>
    <mergeCell ref="BN1190:BV1190"/>
    <mergeCell ref="AN1190:AO1190"/>
    <mergeCell ref="AP1190:AQ1190"/>
    <mergeCell ref="AR1190:AS1190"/>
    <mergeCell ref="AT1190:AU1190"/>
    <mergeCell ref="AV1190:AW1190"/>
    <mergeCell ref="AX1190:AZ1190"/>
    <mergeCell ref="BA1190:BB1190"/>
    <mergeCell ref="AX1101:AZ1101"/>
    <mergeCell ref="BA1101:BB1101"/>
    <mergeCell ref="R1099:S1099"/>
    <mergeCell ref="T1099:U1099"/>
    <mergeCell ref="V1099:W1099"/>
    <mergeCell ref="X1099:AA1099"/>
    <mergeCell ref="AB1099:AE1099"/>
    <mergeCell ref="AF1099:AG1099"/>
    <mergeCell ref="AH1099:AI1099"/>
    <mergeCell ref="AX1099:AZ1099"/>
    <mergeCell ref="BA1099:BB1099"/>
    <mergeCell ref="BD1099:BE1099"/>
    <mergeCell ref="BF1099:BI1099"/>
    <mergeCell ref="BJ1099:BM1099"/>
    <mergeCell ref="BN1099:BV1099"/>
    <mergeCell ref="AJ1099:AK1099"/>
    <mergeCell ref="AL1099:AM1099"/>
    <mergeCell ref="AN1099:AO1099"/>
    <mergeCell ref="AP1099:AQ1099"/>
    <mergeCell ref="AR1099:AS1099"/>
    <mergeCell ref="AT1099:AU1099"/>
    <mergeCell ref="AV1099:AW1099"/>
    <mergeCell ref="B1099:C1099"/>
    <mergeCell ref="D1099:E1099"/>
    <mergeCell ref="F1099:G1099"/>
    <mergeCell ref="H1099:I1099"/>
    <mergeCell ref="J1099:K1099"/>
    <mergeCell ref="L1099:M1099"/>
    <mergeCell ref="P1099:Q1099"/>
    <mergeCell ref="AX1100:AZ1100"/>
    <mergeCell ref="BA1100:BB1100"/>
    <mergeCell ref="BD1100:BE1100"/>
    <mergeCell ref="BF1100:BI1100"/>
    <mergeCell ref="BJ1100:BM1100"/>
    <mergeCell ref="BN1100:BV1100"/>
    <mergeCell ref="BJ1101:BM1101"/>
    <mergeCell ref="BN1101:BV1101"/>
    <mergeCell ref="B1101:C1101"/>
    <mergeCell ref="D1101:E1101"/>
    <mergeCell ref="F1101:G1101"/>
    <mergeCell ref="H1101:I1101"/>
    <mergeCell ref="J1101:K1101"/>
    <mergeCell ref="L1101:M1101"/>
    <mergeCell ref="P1101:Q1101"/>
    <mergeCell ref="AJ1100:AK1100"/>
    <mergeCell ref="AL1100:AM1100"/>
    <mergeCell ref="AN1100:AO1100"/>
    <mergeCell ref="AP1100:AQ1100"/>
    <mergeCell ref="AR1100:AS1100"/>
    <mergeCell ref="AT1100:AU1100"/>
    <mergeCell ref="AV1100:AW1100"/>
    <mergeCell ref="B1208:C1208"/>
    <mergeCell ref="D1208:E1208"/>
    <mergeCell ref="F1208:G1208"/>
    <mergeCell ref="H1208:I1208"/>
    <mergeCell ref="J1208:K1208"/>
    <mergeCell ref="L1208:M1208"/>
    <mergeCell ref="P1208:Q1208"/>
    <mergeCell ref="B1209:C1209"/>
    <mergeCell ref="D1209:E1209"/>
    <mergeCell ref="F1209:G1209"/>
    <mergeCell ref="H1209:I1209"/>
    <mergeCell ref="J1209:K1209"/>
    <mergeCell ref="L1209:M1209"/>
    <mergeCell ref="P1209:Q1209"/>
    <mergeCell ref="AJ1208:AK1208"/>
    <mergeCell ref="AL1208:AM1208"/>
    <mergeCell ref="AN1208:AO1208"/>
    <mergeCell ref="AP1208:AQ1208"/>
    <mergeCell ref="AR1208:AS1208"/>
    <mergeCell ref="AT1208:AU1208"/>
    <mergeCell ref="AV1208:AW1208"/>
    <mergeCell ref="BD1098:BE1098"/>
    <mergeCell ref="BF1098:BI1098"/>
    <mergeCell ref="AN1098:AO1098"/>
    <mergeCell ref="AP1098:AQ1098"/>
    <mergeCell ref="AR1098:AS1098"/>
    <mergeCell ref="AT1098:AU1098"/>
    <mergeCell ref="AV1098:AW1098"/>
    <mergeCell ref="AX1098:AZ1098"/>
    <mergeCell ref="BA1098:BB1098"/>
    <mergeCell ref="AJ1096:AK1096"/>
    <mergeCell ref="AL1096:AM1096"/>
    <mergeCell ref="R1096:S1096"/>
    <mergeCell ref="T1096:U1096"/>
    <mergeCell ref="V1096:W1096"/>
    <mergeCell ref="X1096:AA1096"/>
    <mergeCell ref="AB1096:AE1096"/>
    <mergeCell ref="AF1096:AG1096"/>
    <mergeCell ref="AH1096:AI1096"/>
    <mergeCell ref="R1097:S1097"/>
    <mergeCell ref="T1097:U1097"/>
    <mergeCell ref="V1097:W1097"/>
    <mergeCell ref="X1097:AA1097"/>
    <mergeCell ref="AB1097:AE1097"/>
    <mergeCell ref="AF1097:AG1097"/>
    <mergeCell ref="AH1097:AI1097"/>
    <mergeCell ref="AX1097:AZ1097"/>
    <mergeCell ref="BA1097:BB1097"/>
    <mergeCell ref="BD1097:BE1097"/>
    <mergeCell ref="BF1097:BI1097"/>
    <mergeCell ref="B1097:C1097"/>
    <mergeCell ref="D1097:E1097"/>
    <mergeCell ref="F1097:G1097"/>
    <mergeCell ref="H1097:I1097"/>
    <mergeCell ref="J1097:K1097"/>
    <mergeCell ref="L1097:M1097"/>
    <mergeCell ref="P1097:Q1097"/>
    <mergeCell ref="AJ1097:AK1097"/>
    <mergeCell ref="AL1097:AM1097"/>
    <mergeCell ref="AN1097:AO1097"/>
    <mergeCell ref="AP1097:AQ1097"/>
    <mergeCell ref="AR1097:AS1097"/>
    <mergeCell ref="AT1097:AU1097"/>
    <mergeCell ref="AV1097:AW1097"/>
    <mergeCell ref="V1208:W1208"/>
    <mergeCell ref="X1208:AA1208"/>
    <mergeCell ref="AB1208:AE1208"/>
    <mergeCell ref="AF1208:AG1208"/>
    <mergeCell ref="AH1208:AI1208"/>
    <mergeCell ref="AX1208:AZ1208"/>
    <mergeCell ref="BA1208:BB1208"/>
    <mergeCell ref="BD1208:BE1208"/>
    <mergeCell ref="BF1208:BI1208"/>
    <mergeCell ref="BJ1208:BM1208"/>
    <mergeCell ref="BN1208:BV1208"/>
    <mergeCell ref="BJ1209:BM1209"/>
    <mergeCell ref="BN1209:BV1209"/>
    <mergeCell ref="B1614:C1614"/>
    <mergeCell ref="D1614:E1614"/>
    <mergeCell ref="F1614:G1614"/>
    <mergeCell ref="H1614:I1614"/>
    <mergeCell ref="J1614:K1614"/>
    <mergeCell ref="L1614:M1614"/>
    <mergeCell ref="P1614:Q1614"/>
    <mergeCell ref="AJ1613:AK1613"/>
    <mergeCell ref="AL1613:AM1613"/>
    <mergeCell ref="AN1613:AO1613"/>
    <mergeCell ref="AP1613:AQ1613"/>
    <mergeCell ref="AR1613:AS1613"/>
    <mergeCell ref="AT1613:AU1613"/>
    <mergeCell ref="AV1613:AW1613"/>
    <mergeCell ref="R1205:S1205"/>
    <mergeCell ref="T1205:U1205"/>
    <mergeCell ref="V1205:W1205"/>
    <mergeCell ref="X1205:AA1205"/>
    <mergeCell ref="AB1205:AE1205"/>
    <mergeCell ref="AF1205:AG1205"/>
    <mergeCell ref="AH1205:AI1205"/>
    <mergeCell ref="V1206:W1206"/>
    <mergeCell ref="X1206:AA1206"/>
    <mergeCell ref="AB1206:AE1206"/>
    <mergeCell ref="AF1206:AG1206"/>
    <mergeCell ref="AH1206:AI1206"/>
    <mergeCell ref="AJ1206:AK1206"/>
    <mergeCell ref="AL1206:AM1206"/>
    <mergeCell ref="BD1206:BE1206"/>
    <mergeCell ref="BF1206:BI1206"/>
    <mergeCell ref="BJ1206:BM1206"/>
    <mergeCell ref="BN1206:BV1206"/>
    <mergeCell ref="AN1206:AO1206"/>
    <mergeCell ref="AP1206:AQ1206"/>
    <mergeCell ref="AR1206:AS1206"/>
    <mergeCell ref="AT1206:AU1206"/>
    <mergeCell ref="AV1206:AW1206"/>
    <mergeCell ref="AX1206:AZ1206"/>
    <mergeCell ref="BA1206:BB1206"/>
    <mergeCell ref="B1206:C1206"/>
    <mergeCell ref="D1206:E1206"/>
    <mergeCell ref="F1206:G1206"/>
    <mergeCell ref="H1206:I1206"/>
    <mergeCell ref="P1206:Q1206"/>
    <mergeCell ref="R1206:S1206"/>
    <mergeCell ref="T1206:U1206"/>
    <mergeCell ref="B1207:C1207"/>
    <mergeCell ref="D1207:E1207"/>
    <mergeCell ref="F1207:G1207"/>
    <mergeCell ref="H1207:I1207"/>
    <mergeCell ref="J1207:K1207"/>
    <mergeCell ref="L1207:M1207"/>
    <mergeCell ref="P1207:Q1207"/>
    <mergeCell ref="AX1207:AZ1207"/>
    <mergeCell ref="BA1207:BB1207"/>
    <mergeCell ref="BD1207:BE1207"/>
    <mergeCell ref="BF1207:BI1207"/>
    <mergeCell ref="BJ1207:BM1207"/>
    <mergeCell ref="BN1207:BV1207"/>
    <mergeCell ref="AJ1205:AK1205"/>
    <mergeCell ref="AL1205:AM1205"/>
    <mergeCell ref="AN1207:AO1207"/>
    <mergeCell ref="AP1207:AQ1207"/>
    <mergeCell ref="AR1207:AS1207"/>
    <mergeCell ref="AJ1614:AK1614"/>
    <mergeCell ref="AL1614:AM1614"/>
    <mergeCell ref="R1614:S1614"/>
    <mergeCell ref="T1614:U1614"/>
    <mergeCell ref="V1614:W1614"/>
    <mergeCell ref="X1614:AA1614"/>
    <mergeCell ref="AB1614:AE1614"/>
    <mergeCell ref="AF1614:AG1614"/>
    <mergeCell ref="AH1614:AI1614"/>
    <mergeCell ref="BD1614:BE1614"/>
    <mergeCell ref="BF1614:BI1614"/>
    <mergeCell ref="AN1614:AO1614"/>
    <mergeCell ref="AP1614:AQ1614"/>
    <mergeCell ref="AR1614:AS1614"/>
    <mergeCell ref="AT1614:AU1614"/>
    <mergeCell ref="AV1614:AW1614"/>
    <mergeCell ref="AX1614:AZ1614"/>
    <mergeCell ref="BA1614:BB1614"/>
    <mergeCell ref="R1612:S1612"/>
    <mergeCell ref="T1612:U1612"/>
    <mergeCell ref="V1612:W1612"/>
    <mergeCell ref="X1612:AA1612"/>
    <mergeCell ref="AB1612:AE1612"/>
    <mergeCell ref="AF1612:AG1612"/>
    <mergeCell ref="AH1612:AI1612"/>
    <mergeCell ref="AX1612:AZ1612"/>
    <mergeCell ref="BA1612:BB1612"/>
    <mergeCell ref="BD1612:BE1612"/>
    <mergeCell ref="BF1612:BI1612"/>
    <mergeCell ref="BJ1612:BM1612"/>
    <mergeCell ref="BN1612:BV1612"/>
    <mergeCell ref="AJ1612:AK1612"/>
    <mergeCell ref="AL1612:AM1612"/>
    <mergeCell ref="AN1612:AO1612"/>
    <mergeCell ref="AP1612:AQ1612"/>
    <mergeCell ref="AR1612:AS1612"/>
    <mergeCell ref="AT1612:AU1612"/>
    <mergeCell ref="AV1612:AW1612"/>
    <mergeCell ref="AX1613:AZ1613"/>
    <mergeCell ref="BA1613:BB1613"/>
    <mergeCell ref="BD1613:BE1613"/>
    <mergeCell ref="BF1613:BI1613"/>
    <mergeCell ref="BJ1613:BM1613"/>
    <mergeCell ref="BN1613:BV1613"/>
    <mergeCell ref="BJ1614:BM1614"/>
    <mergeCell ref="BN1614:BV1614"/>
    <mergeCell ref="BJ1610:BM1610"/>
    <mergeCell ref="BN1610:BV1610"/>
    <mergeCell ref="P1608:Q1608"/>
    <mergeCell ref="BJ1606:BM1606"/>
    <mergeCell ref="BN1606:BV1606"/>
    <mergeCell ref="B1610:C1610"/>
    <mergeCell ref="D1610:E1610"/>
    <mergeCell ref="F1610:G1610"/>
    <mergeCell ref="H1610:I1610"/>
    <mergeCell ref="J1610:K1610"/>
    <mergeCell ref="L1610:M1610"/>
    <mergeCell ref="P1610:Q1610"/>
    <mergeCell ref="AJ1610:AK1610"/>
    <mergeCell ref="AL1610:AM1610"/>
    <mergeCell ref="AN1610:AO1610"/>
    <mergeCell ref="AP1610:AQ1610"/>
    <mergeCell ref="AR1610:AS1610"/>
    <mergeCell ref="AT1610:AU1610"/>
    <mergeCell ref="AV1610:AW1610"/>
    <mergeCell ref="B1611:C1611"/>
    <mergeCell ref="D1611:E1611"/>
    <mergeCell ref="F1611:G1611"/>
    <mergeCell ref="H1611:I1611"/>
    <mergeCell ref="J1611:K1611"/>
    <mergeCell ref="L1611:M1611"/>
    <mergeCell ref="P1611:Q1611"/>
    <mergeCell ref="R1613:S1613"/>
    <mergeCell ref="T1613:U1613"/>
    <mergeCell ref="V1613:W1613"/>
    <mergeCell ref="X1613:AA1613"/>
    <mergeCell ref="AB1613:AE1613"/>
    <mergeCell ref="AF1613:AG1613"/>
    <mergeCell ref="AH1613:AI1613"/>
    <mergeCell ref="B1613:C1613"/>
    <mergeCell ref="D1613:E1613"/>
    <mergeCell ref="F1613:G1613"/>
    <mergeCell ref="H1613:I1613"/>
    <mergeCell ref="J1613:K1613"/>
    <mergeCell ref="L1613:M1613"/>
    <mergeCell ref="P1613:Q1613"/>
    <mergeCell ref="B1612:C1612"/>
    <mergeCell ref="D1612:E1612"/>
    <mergeCell ref="F1612:G1612"/>
    <mergeCell ref="H1612:I1612"/>
    <mergeCell ref="J1612:K1612"/>
    <mergeCell ref="L1612:M1612"/>
    <mergeCell ref="P1612:Q1612"/>
    <mergeCell ref="F1609:G1609"/>
    <mergeCell ref="H1609:I1609"/>
    <mergeCell ref="J1609:K1609"/>
    <mergeCell ref="L1609:M1609"/>
    <mergeCell ref="P1609:Q1609"/>
    <mergeCell ref="AJ1608:AK1608"/>
    <mergeCell ref="AL1608:AM1608"/>
    <mergeCell ref="AN1608:AO1608"/>
    <mergeCell ref="AP1608:AQ1608"/>
    <mergeCell ref="AR1608:AS1608"/>
    <mergeCell ref="AT1608:AU1608"/>
    <mergeCell ref="AV1608:AW1608"/>
    <mergeCell ref="BD1611:BE1611"/>
    <mergeCell ref="BF1611:BI1611"/>
    <mergeCell ref="AN1611:AO1611"/>
    <mergeCell ref="AP1611:AQ1611"/>
    <mergeCell ref="AR1611:AS1611"/>
    <mergeCell ref="AT1611:AU1611"/>
    <mergeCell ref="AV1611:AW1611"/>
    <mergeCell ref="AX1611:AZ1611"/>
    <mergeCell ref="BA1611:BB1611"/>
    <mergeCell ref="AJ1609:AK1609"/>
    <mergeCell ref="AL1609:AM1609"/>
    <mergeCell ref="R1609:S1609"/>
    <mergeCell ref="T1609:U1609"/>
    <mergeCell ref="V1609:W1609"/>
    <mergeCell ref="X1609:AA1609"/>
    <mergeCell ref="AB1609:AE1609"/>
    <mergeCell ref="AF1609:AG1609"/>
    <mergeCell ref="AH1609:AI1609"/>
    <mergeCell ref="R1610:S1610"/>
    <mergeCell ref="T1610:U1610"/>
    <mergeCell ref="V1610:W1610"/>
    <mergeCell ref="X1610:AA1610"/>
    <mergeCell ref="AB1610:AE1610"/>
    <mergeCell ref="AF1610:AG1610"/>
    <mergeCell ref="AH1610:AI1610"/>
    <mergeCell ref="AX1610:AZ1610"/>
    <mergeCell ref="BA1610:BB1610"/>
    <mergeCell ref="BD1610:BE1610"/>
    <mergeCell ref="BF1610:BI1610"/>
    <mergeCell ref="BJ1607:BM1607"/>
    <mergeCell ref="BN1607:BV1607"/>
    <mergeCell ref="B1606:C1606"/>
    <mergeCell ref="D1606:E1606"/>
    <mergeCell ref="F1606:G1606"/>
    <mergeCell ref="H1606:I1606"/>
    <mergeCell ref="J1606:K1606"/>
    <mergeCell ref="L1606:M1606"/>
    <mergeCell ref="P1606:Q1606"/>
    <mergeCell ref="B1607:C1607"/>
    <mergeCell ref="D1607:E1607"/>
    <mergeCell ref="F1607:G1607"/>
    <mergeCell ref="H1607:I1607"/>
    <mergeCell ref="J1607:K1607"/>
    <mergeCell ref="L1607:M1607"/>
    <mergeCell ref="P1607:Q1607"/>
    <mergeCell ref="AJ1606:AK1606"/>
    <mergeCell ref="AL1606:AM1606"/>
    <mergeCell ref="AN1606:AO1606"/>
    <mergeCell ref="AP1606:AQ1606"/>
    <mergeCell ref="AR1606:AS1606"/>
    <mergeCell ref="AT1606:AU1606"/>
    <mergeCell ref="AV1606:AW1606"/>
    <mergeCell ref="BD1609:BE1609"/>
    <mergeCell ref="BF1609:BI1609"/>
    <mergeCell ref="AN1609:AO1609"/>
    <mergeCell ref="AP1609:AQ1609"/>
    <mergeCell ref="AR1609:AS1609"/>
    <mergeCell ref="AT1609:AU1609"/>
    <mergeCell ref="AV1609:AW1609"/>
    <mergeCell ref="AX1609:AZ1609"/>
    <mergeCell ref="BA1609:BB1609"/>
    <mergeCell ref="AJ1607:AK1607"/>
    <mergeCell ref="AL1607:AM1607"/>
    <mergeCell ref="R1607:S1607"/>
    <mergeCell ref="T1607:U1607"/>
    <mergeCell ref="V1607:W1607"/>
    <mergeCell ref="X1607:AA1607"/>
    <mergeCell ref="AB1607:AE1607"/>
    <mergeCell ref="AF1607:AG1607"/>
    <mergeCell ref="AH1607:AI1607"/>
    <mergeCell ref="R1608:S1608"/>
    <mergeCell ref="T1608:U1608"/>
    <mergeCell ref="V1608:W1608"/>
    <mergeCell ref="X1608:AA1608"/>
    <mergeCell ref="AB1608:AE1608"/>
    <mergeCell ref="AF1608:AG1608"/>
    <mergeCell ref="AH1608:AI1608"/>
    <mergeCell ref="AX1608:AZ1608"/>
    <mergeCell ref="BA1608:BB1608"/>
    <mergeCell ref="BD1608:BE1608"/>
    <mergeCell ref="BF1608:BI1608"/>
    <mergeCell ref="BJ1608:BM1608"/>
    <mergeCell ref="BN1608:BV1608"/>
    <mergeCell ref="BJ1609:BM1609"/>
    <mergeCell ref="BN1609:BV1609"/>
    <mergeCell ref="B1608:C1608"/>
    <mergeCell ref="D1608:E1608"/>
    <mergeCell ref="F1608:G1608"/>
    <mergeCell ref="H1608:I1608"/>
    <mergeCell ref="J1608:K1608"/>
    <mergeCell ref="L1608:M1608"/>
    <mergeCell ref="B1609:C1609"/>
    <mergeCell ref="D1609:E1609"/>
    <mergeCell ref="P1604:Q1604"/>
    <mergeCell ref="B1605:C1605"/>
    <mergeCell ref="D1605:E1605"/>
    <mergeCell ref="F1605:G1605"/>
    <mergeCell ref="H1605:I1605"/>
    <mergeCell ref="J1605:K1605"/>
    <mergeCell ref="L1605:M1605"/>
    <mergeCell ref="P1605:Q1605"/>
    <mergeCell ref="AJ1604:AK1604"/>
    <mergeCell ref="AL1604:AM1604"/>
    <mergeCell ref="AN1604:AO1604"/>
    <mergeCell ref="AP1604:AQ1604"/>
    <mergeCell ref="AR1604:AS1604"/>
    <mergeCell ref="AT1604:AU1604"/>
    <mergeCell ref="AV1604:AW1604"/>
    <mergeCell ref="BD1607:BE1607"/>
    <mergeCell ref="BF1607:BI1607"/>
    <mergeCell ref="AN1607:AO1607"/>
    <mergeCell ref="AP1607:AQ1607"/>
    <mergeCell ref="AR1607:AS1607"/>
    <mergeCell ref="AT1607:AU1607"/>
    <mergeCell ref="AV1607:AW1607"/>
    <mergeCell ref="AX1607:AZ1607"/>
    <mergeCell ref="BA1607:BB1607"/>
    <mergeCell ref="AJ1605:AK1605"/>
    <mergeCell ref="AL1605:AM1605"/>
    <mergeCell ref="R1605:S1605"/>
    <mergeCell ref="T1605:U1605"/>
    <mergeCell ref="V1605:W1605"/>
    <mergeCell ref="X1605:AA1605"/>
    <mergeCell ref="AB1605:AE1605"/>
    <mergeCell ref="AF1605:AG1605"/>
    <mergeCell ref="AH1605:AI1605"/>
    <mergeCell ref="R1606:S1606"/>
    <mergeCell ref="T1606:U1606"/>
    <mergeCell ref="V1606:W1606"/>
    <mergeCell ref="X1606:AA1606"/>
    <mergeCell ref="AB1606:AE1606"/>
    <mergeCell ref="AF1606:AG1606"/>
    <mergeCell ref="AH1606:AI1606"/>
    <mergeCell ref="AX1606:AZ1606"/>
    <mergeCell ref="BA1606:BB1606"/>
    <mergeCell ref="BD1606:BE1606"/>
    <mergeCell ref="BF1606:BI1606"/>
    <mergeCell ref="BJ1602:BM1602"/>
    <mergeCell ref="BN1602:BV1602"/>
    <mergeCell ref="BJ1603:BM1603"/>
    <mergeCell ref="BN1603:BV1603"/>
    <mergeCell ref="B1602:C1602"/>
    <mergeCell ref="D1602:E1602"/>
    <mergeCell ref="F1602:G1602"/>
    <mergeCell ref="H1602:I1602"/>
    <mergeCell ref="J1602:K1602"/>
    <mergeCell ref="L1602:M1602"/>
    <mergeCell ref="P1602:Q1602"/>
    <mergeCell ref="B1603:C1603"/>
    <mergeCell ref="D1603:E1603"/>
    <mergeCell ref="F1603:G1603"/>
    <mergeCell ref="H1603:I1603"/>
    <mergeCell ref="J1603:K1603"/>
    <mergeCell ref="L1603:M1603"/>
    <mergeCell ref="P1603:Q1603"/>
    <mergeCell ref="AJ1602:AK1602"/>
    <mergeCell ref="AL1602:AM1602"/>
    <mergeCell ref="AN1602:AO1602"/>
    <mergeCell ref="AP1602:AQ1602"/>
    <mergeCell ref="AR1602:AS1602"/>
    <mergeCell ref="AT1602:AU1602"/>
    <mergeCell ref="AV1602:AW1602"/>
    <mergeCell ref="BD1605:BE1605"/>
    <mergeCell ref="BF1605:BI1605"/>
    <mergeCell ref="AN1605:AO1605"/>
    <mergeCell ref="AP1605:AQ1605"/>
    <mergeCell ref="AR1605:AS1605"/>
    <mergeCell ref="AT1605:AU1605"/>
    <mergeCell ref="AV1605:AW1605"/>
    <mergeCell ref="AX1605:AZ1605"/>
    <mergeCell ref="BA1605:BB1605"/>
    <mergeCell ref="AJ1603:AK1603"/>
    <mergeCell ref="AL1603:AM1603"/>
    <mergeCell ref="R1603:S1603"/>
    <mergeCell ref="T1603:U1603"/>
    <mergeCell ref="V1603:W1603"/>
    <mergeCell ref="X1603:AA1603"/>
    <mergeCell ref="AB1603:AE1603"/>
    <mergeCell ref="AF1603:AG1603"/>
    <mergeCell ref="AH1603:AI1603"/>
    <mergeCell ref="R1604:S1604"/>
    <mergeCell ref="T1604:U1604"/>
    <mergeCell ref="V1604:W1604"/>
    <mergeCell ref="X1604:AA1604"/>
    <mergeCell ref="AB1604:AE1604"/>
    <mergeCell ref="AF1604:AG1604"/>
    <mergeCell ref="AH1604:AI1604"/>
    <mergeCell ref="AX1604:AZ1604"/>
    <mergeCell ref="BA1604:BB1604"/>
    <mergeCell ref="BD1604:BE1604"/>
    <mergeCell ref="BF1604:BI1604"/>
    <mergeCell ref="BJ1604:BM1604"/>
    <mergeCell ref="BN1604:BV1604"/>
    <mergeCell ref="BJ1605:BM1605"/>
    <mergeCell ref="BN1605:BV1605"/>
    <mergeCell ref="B1604:C1604"/>
    <mergeCell ref="D1604:E1604"/>
    <mergeCell ref="F1604:G1604"/>
    <mergeCell ref="H1604:I1604"/>
    <mergeCell ref="J1604:K1604"/>
    <mergeCell ref="L1604:M1604"/>
    <mergeCell ref="H1600:I1600"/>
    <mergeCell ref="J1600:K1600"/>
    <mergeCell ref="L1600:M1600"/>
    <mergeCell ref="P1600:Q1600"/>
    <mergeCell ref="B1601:C1601"/>
    <mergeCell ref="D1601:E1601"/>
    <mergeCell ref="F1601:G1601"/>
    <mergeCell ref="H1601:I1601"/>
    <mergeCell ref="J1601:K1601"/>
    <mergeCell ref="L1601:M1601"/>
    <mergeCell ref="P1601:Q1601"/>
    <mergeCell ref="AJ1600:AK1600"/>
    <mergeCell ref="AL1600:AM1600"/>
    <mergeCell ref="AN1600:AO1600"/>
    <mergeCell ref="AP1600:AQ1600"/>
    <mergeCell ref="AR1600:AS1600"/>
    <mergeCell ref="AT1600:AU1600"/>
    <mergeCell ref="AV1600:AW1600"/>
    <mergeCell ref="BD1603:BE1603"/>
    <mergeCell ref="BF1603:BI1603"/>
    <mergeCell ref="AN1603:AO1603"/>
    <mergeCell ref="AP1603:AQ1603"/>
    <mergeCell ref="AR1603:AS1603"/>
    <mergeCell ref="AT1603:AU1603"/>
    <mergeCell ref="AV1603:AW1603"/>
    <mergeCell ref="AX1603:AZ1603"/>
    <mergeCell ref="BA1603:BB1603"/>
    <mergeCell ref="AJ1601:AK1601"/>
    <mergeCell ref="AL1601:AM1601"/>
    <mergeCell ref="R1601:S1601"/>
    <mergeCell ref="T1601:U1601"/>
    <mergeCell ref="V1601:W1601"/>
    <mergeCell ref="X1601:AA1601"/>
    <mergeCell ref="AB1601:AE1601"/>
    <mergeCell ref="AF1601:AG1601"/>
    <mergeCell ref="AH1601:AI1601"/>
    <mergeCell ref="R1602:S1602"/>
    <mergeCell ref="T1602:U1602"/>
    <mergeCell ref="V1602:W1602"/>
    <mergeCell ref="X1602:AA1602"/>
    <mergeCell ref="AB1602:AE1602"/>
    <mergeCell ref="AF1602:AG1602"/>
    <mergeCell ref="AH1602:AI1602"/>
    <mergeCell ref="AX1602:AZ1602"/>
    <mergeCell ref="BA1602:BB1602"/>
    <mergeCell ref="BD1602:BE1602"/>
    <mergeCell ref="BF1602:BI1602"/>
    <mergeCell ref="BA1598:BB1598"/>
    <mergeCell ref="BD1598:BE1598"/>
    <mergeCell ref="BF1598:BI1598"/>
    <mergeCell ref="BJ1598:BM1598"/>
    <mergeCell ref="BN1598:BV1598"/>
    <mergeCell ref="BJ1599:BM1599"/>
    <mergeCell ref="BN1599:BV1599"/>
    <mergeCell ref="B1598:C1598"/>
    <mergeCell ref="D1598:E1598"/>
    <mergeCell ref="F1598:G1598"/>
    <mergeCell ref="H1598:I1598"/>
    <mergeCell ref="J1598:K1598"/>
    <mergeCell ref="L1598:M1598"/>
    <mergeCell ref="P1598:Q1598"/>
    <mergeCell ref="B1599:C1599"/>
    <mergeCell ref="D1599:E1599"/>
    <mergeCell ref="F1599:G1599"/>
    <mergeCell ref="H1599:I1599"/>
    <mergeCell ref="J1599:K1599"/>
    <mergeCell ref="L1599:M1599"/>
    <mergeCell ref="P1599:Q1599"/>
    <mergeCell ref="AJ1598:AK1598"/>
    <mergeCell ref="AL1598:AM1598"/>
    <mergeCell ref="AN1598:AO1598"/>
    <mergeCell ref="AP1598:AQ1598"/>
    <mergeCell ref="AR1598:AS1598"/>
    <mergeCell ref="AT1598:AU1598"/>
    <mergeCell ref="AV1598:AW1598"/>
    <mergeCell ref="BD1601:BE1601"/>
    <mergeCell ref="BF1601:BI1601"/>
    <mergeCell ref="AN1601:AO1601"/>
    <mergeCell ref="AP1601:AQ1601"/>
    <mergeCell ref="AR1601:AS1601"/>
    <mergeCell ref="AT1601:AU1601"/>
    <mergeCell ref="AV1601:AW1601"/>
    <mergeCell ref="AX1601:AZ1601"/>
    <mergeCell ref="BA1601:BB1601"/>
    <mergeCell ref="AJ1599:AK1599"/>
    <mergeCell ref="AL1599:AM1599"/>
    <mergeCell ref="R1599:S1599"/>
    <mergeCell ref="T1599:U1599"/>
    <mergeCell ref="V1599:W1599"/>
    <mergeCell ref="X1599:AA1599"/>
    <mergeCell ref="AB1599:AE1599"/>
    <mergeCell ref="AF1599:AG1599"/>
    <mergeCell ref="AH1599:AI1599"/>
    <mergeCell ref="R1600:S1600"/>
    <mergeCell ref="T1600:U1600"/>
    <mergeCell ref="V1600:W1600"/>
    <mergeCell ref="X1600:AA1600"/>
    <mergeCell ref="AB1600:AE1600"/>
    <mergeCell ref="AF1600:AG1600"/>
    <mergeCell ref="AH1600:AI1600"/>
    <mergeCell ref="AX1600:AZ1600"/>
    <mergeCell ref="BA1600:BB1600"/>
    <mergeCell ref="BD1600:BE1600"/>
    <mergeCell ref="BF1600:BI1600"/>
    <mergeCell ref="BJ1600:BM1600"/>
    <mergeCell ref="BN1600:BV1600"/>
    <mergeCell ref="BJ1601:BM1601"/>
    <mergeCell ref="BN1601:BV1601"/>
    <mergeCell ref="B1600:C1600"/>
    <mergeCell ref="D1600:E1600"/>
    <mergeCell ref="F1600:G1600"/>
    <mergeCell ref="BJ1590:BM1590"/>
    <mergeCell ref="BN1590:BV1590"/>
    <mergeCell ref="BJ1591:BM1591"/>
    <mergeCell ref="BN1591:BV1591"/>
    <mergeCell ref="B1591:C1591"/>
    <mergeCell ref="D1591:E1591"/>
    <mergeCell ref="F1591:G1591"/>
    <mergeCell ref="H1591:I1591"/>
    <mergeCell ref="J1591:K1591"/>
    <mergeCell ref="L1591:M1591"/>
    <mergeCell ref="P1591:Q1591"/>
    <mergeCell ref="AJ1590:AK1590"/>
    <mergeCell ref="AL1590:AM1590"/>
    <mergeCell ref="AN1590:AO1590"/>
    <mergeCell ref="AP1590:AQ1590"/>
    <mergeCell ref="AR1590:AS1590"/>
    <mergeCell ref="AT1590:AU1590"/>
    <mergeCell ref="AV1590:AW1590"/>
    <mergeCell ref="BD1593:BE1593"/>
    <mergeCell ref="BF1593:BI1593"/>
    <mergeCell ref="AN1593:AO1593"/>
    <mergeCell ref="AP1593:AQ1593"/>
    <mergeCell ref="AR1593:AS1593"/>
    <mergeCell ref="AT1593:AU1593"/>
    <mergeCell ref="AV1593:AW1593"/>
    <mergeCell ref="AX1593:AZ1593"/>
    <mergeCell ref="BA1593:BB1593"/>
    <mergeCell ref="AJ1611:AK1611"/>
    <mergeCell ref="AL1611:AM1611"/>
    <mergeCell ref="BJ1611:BM1611"/>
    <mergeCell ref="BN1611:BV1611"/>
    <mergeCell ref="R1611:S1611"/>
    <mergeCell ref="T1611:U1611"/>
    <mergeCell ref="V1611:W1611"/>
    <mergeCell ref="X1611:AA1611"/>
    <mergeCell ref="AB1611:AE1611"/>
    <mergeCell ref="AF1611:AG1611"/>
    <mergeCell ref="AH1611:AI1611"/>
    <mergeCell ref="BD1599:BE1599"/>
    <mergeCell ref="BF1599:BI1599"/>
    <mergeCell ref="AN1599:AO1599"/>
    <mergeCell ref="AP1599:AQ1599"/>
    <mergeCell ref="AR1599:AS1599"/>
    <mergeCell ref="AT1599:AU1599"/>
    <mergeCell ref="AV1599:AW1599"/>
    <mergeCell ref="AX1599:AZ1599"/>
    <mergeCell ref="BA1599:BB1599"/>
    <mergeCell ref="AJ1597:AK1597"/>
    <mergeCell ref="AL1597:AM1597"/>
    <mergeCell ref="R1597:S1597"/>
    <mergeCell ref="T1597:U1597"/>
    <mergeCell ref="V1597:W1597"/>
    <mergeCell ref="X1597:AA1597"/>
    <mergeCell ref="AB1597:AE1597"/>
    <mergeCell ref="AF1597:AG1597"/>
    <mergeCell ref="AH1597:AI1597"/>
    <mergeCell ref="R1598:S1598"/>
    <mergeCell ref="T1598:U1598"/>
    <mergeCell ref="V1598:W1598"/>
    <mergeCell ref="X1598:AA1598"/>
    <mergeCell ref="AB1598:AE1598"/>
    <mergeCell ref="AF1598:AG1598"/>
    <mergeCell ref="AH1598:AI1598"/>
    <mergeCell ref="AX1598:AZ1598"/>
    <mergeCell ref="BJ1587:BM1587"/>
    <mergeCell ref="BN1587:BV1587"/>
    <mergeCell ref="B1587:C1587"/>
    <mergeCell ref="D1587:E1587"/>
    <mergeCell ref="F1587:G1587"/>
    <mergeCell ref="H1587:I1587"/>
    <mergeCell ref="J1587:K1587"/>
    <mergeCell ref="L1587:M1587"/>
    <mergeCell ref="P1587:Q1587"/>
    <mergeCell ref="AJ1587:AK1587"/>
    <mergeCell ref="AL1587:AM1587"/>
    <mergeCell ref="AN1587:AO1587"/>
    <mergeCell ref="AP1587:AQ1587"/>
    <mergeCell ref="AR1587:AS1587"/>
    <mergeCell ref="AT1587:AU1587"/>
    <mergeCell ref="AV1587:AW1587"/>
    <mergeCell ref="B1588:C1588"/>
    <mergeCell ref="D1588:E1588"/>
    <mergeCell ref="F1588:G1588"/>
    <mergeCell ref="H1588:I1588"/>
    <mergeCell ref="J1588:K1588"/>
    <mergeCell ref="L1588:M1588"/>
    <mergeCell ref="P1588:Q1588"/>
    <mergeCell ref="R1590:S1590"/>
    <mergeCell ref="T1590:U1590"/>
    <mergeCell ref="V1590:W1590"/>
    <mergeCell ref="X1590:AA1590"/>
    <mergeCell ref="AB1590:AE1590"/>
    <mergeCell ref="AF1590:AG1590"/>
    <mergeCell ref="AH1590:AI1590"/>
    <mergeCell ref="B1590:C1590"/>
    <mergeCell ref="D1590:E1590"/>
    <mergeCell ref="F1590:G1590"/>
    <mergeCell ref="H1590:I1590"/>
    <mergeCell ref="J1590:K1590"/>
    <mergeCell ref="L1590:M1590"/>
    <mergeCell ref="P1590:Q1590"/>
    <mergeCell ref="R1589:S1589"/>
    <mergeCell ref="T1589:U1589"/>
    <mergeCell ref="V1589:W1589"/>
    <mergeCell ref="X1589:AA1589"/>
    <mergeCell ref="AB1589:AE1589"/>
    <mergeCell ref="AF1589:AG1589"/>
    <mergeCell ref="AH1589:AI1589"/>
    <mergeCell ref="AX1589:AZ1589"/>
    <mergeCell ref="BA1589:BB1589"/>
    <mergeCell ref="BD1589:BE1589"/>
    <mergeCell ref="BF1589:BI1589"/>
    <mergeCell ref="BJ1589:BM1589"/>
    <mergeCell ref="BN1589:BV1589"/>
    <mergeCell ref="AJ1589:AK1589"/>
    <mergeCell ref="AL1589:AM1589"/>
    <mergeCell ref="AN1589:AO1589"/>
    <mergeCell ref="AP1589:AQ1589"/>
    <mergeCell ref="AR1589:AS1589"/>
    <mergeCell ref="AT1589:AU1589"/>
    <mergeCell ref="AV1589:AW1589"/>
    <mergeCell ref="B1589:C1589"/>
    <mergeCell ref="D1589:E1589"/>
    <mergeCell ref="F1589:G1589"/>
    <mergeCell ref="H1589:I1589"/>
    <mergeCell ref="J1589:K1589"/>
    <mergeCell ref="L1589:M1589"/>
    <mergeCell ref="P1589:Q1589"/>
    <mergeCell ref="B1594:C1594"/>
    <mergeCell ref="D1594:E1594"/>
    <mergeCell ref="F1594:G1594"/>
    <mergeCell ref="H1594:I1594"/>
    <mergeCell ref="J1594:K1594"/>
    <mergeCell ref="L1594:M1594"/>
    <mergeCell ref="P1594:Q1594"/>
    <mergeCell ref="B1595:C1595"/>
    <mergeCell ref="D1595:E1595"/>
    <mergeCell ref="F1595:G1595"/>
    <mergeCell ref="H1595:I1595"/>
    <mergeCell ref="J1595:K1595"/>
    <mergeCell ref="L1595:M1595"/>
    <mergeCell ref="P1595:Q1595"/>
    <mergeCell ref="AJ1594:AK1594"/>
    <mergeCell ref="AL1594:AM1594"/>
    <mergeCell ref="AN1594:AO1594"/>
    <mergeCell ref="AP1594:AQ1594"/>
    <mergeCell ref="AR1594:AS1594"/>
    <mergeCell ref="AT1594:AU1594"/>
    <mergeCell ref="AV1594:AW1594"/>
    <mergeCell ref="BD1588:BE1588"/>
    <mergeCell ref="BF1588:BI1588"/>
    <mergeCell ref="AN1588:AO1588"/>
    <mergeCell ref="AP1588:AQ1588"/>
    <mergeCell ref="AR1588:AS1588"/>
    <mergeCell ref="AT1588:AU1588"/>
    <mergeCell ref="AV1588:AW1588"/>
    <mergeCell ref="AX1588:AZ1588"/>
    <mergeCell ref="BA1588:BB1588"/>
    <mergeCell ref="AJ1586:AK1586"/>
    <mergeCell ref="AL1586:AM1586"/>
    <mergeCell ref="R1586:S1586"/>
    <mergeCell ref="T1586:U1586"/>
    <mergeCell ref="V1586:W1586"/>
    <mergeCell ref="X1586:AA1586"/>
    <mergeCell ref="AB1586:AE1586"/>
    <mergeCell ref="AF1586:AG1586"/>
    <mergeCell ref="AH1586:AI1586"/>
    <mergeCell ref="R1587:S1587"/>
    <mergeCell ref="T1587:U1587"/>
    <mergeCell ref="V1587:W1587"/>
    <mergeCell ref="X1587:AA1587"/>
    <mergeCell ref="AB1587:AE1587"/>
    <mergeCell ref="AF1587:AG1587"/>
    <mergeCell ref="AH1587:AI1587"/>
    <mergeCell ref="AX1587:AZ1587"/>
    <mergeCell ref="BA1587:BB1587"/>
    <mergeCell ref="BD1587:BE1587"/>
    <mergeCell ref="BF1587:BI1587"/>
    <mergeCell ref="BD1591:BE1591"/>
    <mergeCell ref="BF1591:BI1591"/>
    <mergeCell ref="AN1591:AO1591"/>
    <mergeCell ref="AP1591:AQ1591"/>
    <mergeCell ref="AR1591:AS1591"/>
    <mergeCell ref="AT1591:AU1591"/>
    <mergeCell ref="AV1591:AW1591"/>
    <mergeCell ref="AX1591:AZ1591"/>
    <mergeCell ref="BA1591:BB1591"/>
    <mergeCell ref="AX1590:AZ1590"/>
    <mergeCell ref="BA1590:BB1590"/>
    <mergeCell ref="BD1590:BE1590"/>
    <mergeCell ref="BF1590:BI1590"/>
    <mergeCell ref="BD1595:BE1595"/>
    <mergeCell ref="BF1595:BI1595"/>
    <mergeCell ref="AN1595:AO1595"/>
    <mergeCell ref="AP1595:AQ1595"/>
    <mergeCell ref="AR1595:AS1595"/>
    <mergeCell ref="AT1595:AU1595"/>
    <mergeCell ref="AV1595:AW1595"/>
    <mergeCell ref="AX1595:AZ1595"/>
    <mergeCell ref="BA1595:BB1595"/>
    <mergeCell ref="AJ1593:AK1593"/>
    <mergeCell ref="AL1593:AM1593"/>
    <mergeCell ref="R1593:S1593"/>
    <mergeCell ref="T1593:U1593"/>
    <mergeCell ref="V1593:W1593"/>
    <mergeCell ref="X1593:AA1593"/>
    <mergeCell ref="AB1593:AE1593"/>
    <mergeCell ref="AF1593:AG1593"/>
    <mergeCell ref="AH1593:AI1593"/>
    <mergeCell ref="R1594:S1594"/>
    <mergeCell ref="T1594:U1594"/>
    <mergeCell ref="V1594:W1594"/>
    <mergeCell ref="X1594:AA1594"/>
    <mergeCell ref="AB1594:AE1594"/>
    <mergeCell ref="AF1594:AG1594"/>
    <mergeCell ref="AH1594:AI1594"/>
    <mergeCell ref="AX1594:AZ1594"/>
    <mergeCell ref="BA1594:BB1594"/>
    <mergeCell ref="BD1594:BE1594"/>
    <mergeCell ref="BF1594:BI1594"/>
    <mergeCell ref="BJ1594:BM1594"/>
    <mergeCell ref="BN1594:BV1594"/>
    <mergeCell ref="BJ1595:BM1595"/>
    <mergeCell ref="BN1595:BV1595"/>
    <mergeCell ref="AJ1591:AK1591"/>
    <mergeCell ref="AL1591:AM1591"/>
    <mergeCell ref="R1591:S1591"/>
    <mergeCell ref="T1591:U1591"/>
    <mergeCell ref="V1591:W1591"/>
    <mergeCell ref="X1591:AA1591"/>
    <mergeCell ref="AB1591:AE1591"/>
    <mergeCell ref="AF1591:AG1591"/>
    <mergeCell ref="AH1591:AI1591"/>
    <mergeCell ref="R1592:S1592"/>
    <mergeCell ref="T1592:U1592"/>
    <mergeCell ref="V1592:W1592"/>
    <mergeCell ref="X1592:AA1592"/>
    <mergeCell ref="AB1592:AE1592"/>
    <mergeCell ref="AF1592:AG1592"/>
    <mergeCell ref="AH1592:AI1592"/>
    <mergeCell ref="AX1592:AZ1592"/>
    <mergeCell ref="BA1592:BB1592"/>
    <mergeCell ref="BD1592:BE1592"/>
    <mergeCell ref="BF1592:BI1592"/>
    <mergeCell ref="BJ1592:BM1592"/>
    <mergeCell ref="BN1592:BV1592"/>
    <mergeCell ref="BJ1593:BM1593"/>
    <mergeCell ref="BN1593:BV1593"/>
    <mergeCell ref="AJ1592:AK1592"/>
    <mergeCell ref="AL1592:AM1592"/>
    <mergeCell ref="AN1592:AO1592"/>
    <mergeCell ref="AP1592:AQ1592"/>
    <mergeCell ref="AR1592:AS1592"/>
    <mergeCell ref="AT1592:AU1592"/>
    <mergeCell ref="AV1592:AW1592"/>
    <mergeCell ref="B1536:C1536"/>
    <mergeCell ref="D1536:E1536"/>
    <mergeCell ref="F1536:G1536"/>
    <mergeCell ref="H1536:I1536"/>
    <mergeCell ref="J1536:K1536"/>
    <mergeCell ref="L1536:M1536"/>
    <mergeCell ref="P1536:Q1536"/>
    <mergeCell ref="AJ1535:AK1535"/>
    <mergeCell ref="AL1535:AM1535"/>
    <mergeCell ref="AN1535:AO1535"/>
    <mergeCell ref="AP1535:AQ1535"/>
    <mergeCell ref="AR1535:AS1535"/>
    <mergeCell ref="AT1535:AU1535"/>
    <mergeCell ref="AV1535:AW1535"/>
    <mergeCell ref="L1539:M1539"/>
    <mergeCell ref="P1539:Q1539"/>
    <mergeCell ref="B1540:C1540"/>
    <mergeCell ref="P1583:Q1583"/>
    <mergeCell ref="B1584:C1584"/>
    <mergeCell ref="D1584:E1584"/>
    <mergeCell ref="F1584:G1584"/>
    <mergeCell ref="H1584:I1584"/>
    <mergeCell ref="J1584:K1584"/>
    <mergeCell ref="L1584:M1584"/>
    <mergeCell ref="P1584:Q1584"/>
    <mergeCell ref="AJ1583:AK1583"/>
    <mergeCell ref="AL1583:AM1583"/>
    <mergeCell ref="AN1583:AO1583"/>
    <mergeCell ref="AP1583:AQ1583"/>
    <mergeCell ref="AR1583:AS1583"/>
    <mergeCell ref="AT1583:AU1583"/>
    <mergeCell ref="AV1583:AW1583"/>
    <mergeCell ref="B1581:C1581"/>
    <mergeCell ref="D1581:E1581"/>
    <mergeCell ref="F1581:G1581"/>
    <mergeCell ref="H1581:I1581"/>
    <mergeCell ref="J1581:K1581"/>
    <mergeCell ref="L1581:M1581"/>
    <mergeCell ref="P1581:Q1581"/>
    <mergeCell ref="B1582:C1582"/>
    <mergeCell ref="D1582:E1582"/>
    <mergeCell ref="F1582:G1582"/>
    <mergeCell ref="H1582:I1582"/>
    <mergeCell ref="AJ1542:AK1542"/>
    <mergeCell ref="AL1542:AM1542"/>
    <mergeCell ref="BJ1542:BM1542"/>
    <mergeCell ref="BN1542:BV1542"/>
    <mergeCell ref="R1542:S1542"/>
    <mergeCell ref="T1542:U1542"/>
    <mergeCell ref="V1542:W1542"/>
    <mergeCell ref="X1542:AA1542"/>
    <mergeCell ref="AB1542:AE1542"/>
    <mergeCell ref="AF1542:AG1542"/>
    <mergeCell ref="AH1542:AI1542"/>
    <mergeCell ref="BJ1532:BM1532"/>
    <mergeCell ref="BN1532:BV1532"/>
    <mergeCell ref="B1532:C1532"/>
    <mergeCell ref="D1532:E1532"/>
    <mergeCell ref="F1532:G1532"/>
    <mergeCell ref="H1532:I1532"/>
    <mergeCell ref="J1532:K1532"/>
    <mergeCell ref="L1532:M1532"/>
    <mergeCell ref="P1532:Q1532"/>
    <mergeCell ref="AJ1532:AK1532"/>
    <mergeCell ref="AL1532:AM1532"/>
    <mergeCell ref="AN1532:AO1532"/>
    <mergeCell ref="AP1532:AQ1532"/>
    <mergeCell ref="AR1532:AS1532"/>
    <mergeCell ref="AT1532:AU1532"/>
    <mergeCell ref="AV1532:AW1532"/>
    <mergeCell ref="B1533:C1533"/>
    <mergeCell ref="D1533:E1533"/>
    <mergeCell ref="F1533:G1533"/>
    <mergeCell ref="H1533:I1533"/>
    <mergeCell ref="J1533:K1533"/>
    <mergeCell ref="L1533:M1533"/>
    <mergeCell ref="P1533:Q1533"/>
    <mergeCell ref="R1535:S1535"/>
    <mergeCell ref="T1535:U1535"/>
    <mergeCell ref="V1535:W1535"/>
    <mergeCell ref="X1535:AA1535"/>
    <mergeCell ref="AB1535:AE1535"/>
    <mergeCell ref="AF1535:AG1535"/>
    <mergeCell ref="AH1535:AI1535"/>
    <mergeCell ref="B1535:C1535"/>
    <mergeCell ref="D1535:E1535"/>
    <mergeCell ref="F1535:G1535"/>
    <mergeCell ref="H1535:I1535"/>
    <mergeCell ref="J1535:K1535"/>
    <mergeCell ref="L1535:M1535"/>
    <mergeCell ref="P1535:Q1535"/>
    <mergeCell ref="R1534:S1534"/>
    <mergeCell ref="T1534:U1534"/>
    <mergeCell ref="V1534:W1534"/>
    <mergeCell ref="X1534:AA1534"/>
    <mergeCell ref="AB1534:AE1534"/>
    <mergeCell ref="AF1534:AG1534"/>
    <mergeCell ref="AH1534:AI1534"/>
    <mergeCell ref="B1534:C1534"/>
    <mergeCell ref="D1534:E1534"/>
    <mergeCell ref="F1534:G1534"/>
    <mergeCell ref="H1534:I1534"/>
    <mergeCell ref="J1534:K1534"/>
    <mergeCell ref="L1534:M1534"/>
    <mergeCell ref="P1534:Q1534"/>
    <mergeCell ref="AJ1539:AK1539"/>
    <mergeCell ref="AL1539:AM1539"/>
    <mergeCell ref="AN1539:AO1539"/>
    <mergeCell ref="AP1539:AQ1539"/>
    <mergeCell ref="AR1539:AS1539"/>
    <mergeCell ref="AT1539:AU1539"/>
    <mergeCell ref="AV1539:AW1539"/>
    <mergeCell ref="BD1533:BE1533"/>
    <mergeCell ref="BF1533:BI1533"/>
    <mergeCell ref="AN1533:AO1533"/>
    <mergeCell ref="AP1533:AQ1533"/>
    <mergeCell ref="AR1533:AS1533"/>
    <mergeCell ref="AT1533:AU1533"/>
    <mergeCell ref="AV1533:AW1533"/>
    <mergeCell ref="AX1533:AZ1533"/>
    <mergeCell ref="BA1533:BB1533"/>
    <mergeCell ref="BJ1538:BM1538"/>
    <mergeCell ref="BN1538:BV1538"/>
    <mergeCell ref="B1537:C1537"/>
    <mergeCell ref="D1537:E1537"/>
    <mergeCell ref="F1537:G1537"/>
    <mergeCell ref="H1537:I1537"/>
    <mergeCell ref="J1537:K1537"/>
    <mergeCell ref="L1537:M1537"/>
    <mergeCell ref="P1537:Q1537"/>
    <mergeCell ref="B1538:C1538"/>
    <mergeCell ref="D1538:E1538"/>
    <mergeCell ref="F1538:G1538"/>
    <mergeCell ref="H1538:I1538"/>
    <mergeCell ref="J1538:K1538"/>
    <mergeCell ref="L1538:M1538"/>
    <mergeCell ref="P1538:Q1538"/>
    <mergeCell ref="AJ1537:AK1537"/>
    <mergeCell ref="AL1537:AM1537"/>
    <mergeCell ref="AN1537:AO1537"/>
    <mergeCell ref="AP1537:AQ1537"/>
    <mergeCell ref="AR1537:AS1537"/>
    <mergeCell ref="AT1537:AU1537"/>
    <mergeCell ref="AV1537:AW1537"/>
    <mergeCell ref="B1539:C1539"/>
    <mergeCell ref="D1539:E1539"/>
    <mergeCell ref="F1539:G1539"/>
    <mergeCell ref="H1539:I1539"/>
    <mergeCell ref="J1539:K1539"/>
    <mergeCell ref="BD1538:BE1538"/>
    <mergeCell ref="BF1538:BI1538"/>
    <mergeCell ref="AN1538:AO1538"/>
    <mergeCell ref="AP1538:AQ1538"/>
    <mergeCell ref="AR1538:AS1538"/>
    <mergeCell ref="AT1538:AU1538"/>
    <mergeCell ref="AV1538:AW1538"/>
    <mergeCell ref="AX1538:AZ1538"/>
    <mergeCell ref="BA1538:BB1538"/>
    <mergeCell ref="AJ1538:AK1538"/>
    <mergeCell ref="AL1538:AM1538"/>
    <mergeCell ref="R1538:S1538"/>
    <mergeCell ref="T1538:U1538"/>
    <mergeCell ref="V1538:W1538"/>
    <mergeCell ref="X1538:AA1538"/>
    <mergeCell ref="AB1538:AE1538"/>
    <mergeCell ref="AF1538:AG1538"/>
    <mergeCell ref="AH1538:AI1538"/>
    <mergeCell ref="R1539:S1539"/>
    <mergeCell ref="T1539:U1539"/>
    <mergeCell ref="V1539:W1539"/>
    <mergeCell ref="X1539:AA1539"/>
    <mergeCell ref="AB1539:AE1539"/>
    <mergeCell ref="AF1539:AG1539"/>
    <mergeCell ref="AH1539:AI1539"/>
    <mergeCell ref="AX1539:AZ1539"/>
    <mergeCell ref="BA1539:BB1539"/>
    <mergeCell ref="BD1539:BE1539"/>
    <mergeCell ref="BF1539:BI1539"/>
    <mergeCell ref="BJ1539:BM1539"/>
    <mergeCell ref="BN1539:BV1539"/>
    <mergeCell ref="BJ1540:BM1540"/>
    <mergeCell ref="BN1540:BV1540"/>
    <mergeCell ref="AJ1531:AK1531"/>
    <mergeCell ref="AL1531:AM1531"/>
    <mergeCell ref="R1531:S1531"/>
    <mergeCell ref="T1531:U1531"/>
    <mergeCell ref="V1531:W1531"/>
    <mergeCell ref="X1531:AA1531"/>
    <mergeCell ref="AB1531:AE1531"/>
    <mergeCell ref="AF1531:AG1531"/>
    <mergeCell ref="AH1531:AI1531"/>
    <mergeCell ref="R1532:S1532"/>
    <mergeCell ref="T1532:U1532"/>
    <mergeCell ref="V1532:W1532"/>
    <mergeCell ref="X1532:AA1532"/>
    <mergeCell ref="AB1532:AE1532"/>
    <mergeCell ref="AF1532:AG1532"/>
    <mergeCell ref="AH1532:AI1532"/>
    <mergeCell ref="AX1532:AZ1532"/>
    <mergeCell ref="BA1532:BB1532"/>
    <mergeCell ref="BD1532:BE1532"/>
    <mergeCell ref="BF1532:BI1532"/>
    <mergeCell ref="BD1536:BE1536"/>
    <mergeCell ref="BF1536:BI1536"/>
    <mergeCell ref="AN1536:AO1536"/>
    <mergeCell ref="AP1536:AQ1536"/>
    <mergeCell ref="AR1536:AS1536"/>
    <mergeCell ref="AT1536:AU1536"/>
    <mergeCell ref="AV1536:AW1536"/>
    <mergeCell ref="AX1536:AZ1536"/>
    <mergeCell ref="BA1536:BB1536"/>
    <mergeCell ref="AX1535:AZ1535"/>
    <mergeCell ref="BA1535:BB1535"/>
    <mergeCell ref="BD1535:BE1535"/>
    <mergeCell ref="BF1535:BI1535"/>
    <mergeCell ref="AJ1533:AK1533"/>
    <mergeCell ref="AL1533:AM1533"/>
    <mergeCell ref="AX1534:AZ1534"/>
    <mergeCell ref="BA1534:BB1534"/>
    <mergeCell ref="BD1534:BE1534"/>
    <mergeCell ref="BF1534:BI1534"/>
    <mergeCell ref="BJ1534:BM1534"/>
    <mergeCell ref="BJ1533:BM1533"/>
    <mergeCell ref="BN1533:BV1533"/>
    <mergeCell ref="R1533:S1533"/>
    <mergeCell ref="T1533:U1533"/>
    <mergeCell ref="V1533:W1533"/>
    <mergeCell ref="X1533:AA1533"/>
    <mergeCell ref="AB1533:AE1533"/>
    <mergeCell ref="AF1533:AG1533"/>
    <mergeCell ref="AH1533:AI1533"/>
    <mergeCell ref="AJ1536:AK1536"/>
    <mergeCell ref="AL1536:AM1536"/>
    <mergeCell ref="R1536:S1536"/>
    <mergeCell ref="T1536:U1536"/>
    <mergeCell ref="V1536:W1536"/>
    <mergeCell ref="X1536:AA1536"/>
    <mergeCell ref="AB1536:AE1536"/>
    <mergeCell ref="AF1536:AG1536"/>
    <mergeCell ref="AH1536:AI1536"/>
    <mergeCell ref="R1537:S1537"/>
    <mergeCell ref="T1537:U1537"/>
    <mergeCell ref="V1537:W1537"/>
    <mergeCell ref="X1537:AA1537"/>
    <mergeCell ref="AB1537:AE1537"/>
    <mergeCell ref="AF1537:AG1537"/>
    <mergeCell ref="AH1537:AI1537"/>
    <mergeCell ref="AX1537:AZ1537"/>
    <mergeCell ref="BA1537:BB1537"/>
    <mergeCell ref="BD1537:BE1537"/>
    <mergeCell ref="BF1537:BI1537"/>
    <mergeCell ref="BJ1537:BM1537"/>
    <mergeCell ref="BN1537:BV1537"/>
    <mergeCell ref="BJ1535:BM1535"/>
    <mergeCell ref="BN1535:BV1535"/>
    <mergeCell ref="BJ1536:BM1536"/>
    <mergeCell ref="BN1536:BV1536"/>
    <mergeCell ref="BN1534:BV1534"/>
    <mergeCell ref="AJ1534:AK1534"/>
    <mergeCell ref="AL1534:AM1534"/>
    <mergeCell ref="AN1534:AO1534"/>
    <mergeCell ref="AP1534:AQ1534"/>
    <mergeCell ref="AR1534:AS1534"/>
    <mergeCell ref="AT1534:AU1534"/>
    <mergeCell ref="AV1534:AW1534"/>
    <mergeCell ref="BJ1525:BM1525"/>
    <mergeCell ref="BN1525:BV1525"/>
    <mergeCell ref="AJ1525:AK1525"/>
    <mergeCell ref="AL1525:AM1525"/>
    <mergeCell ref="AN1525:AO1525"/>
    <mergeCell ref="AP1525:AQ1525"/>
    <mergeCell ref="AR1525:AS1525"/>
    <mergeCell ref="AT1525:AU1525"/>
    <mergeCell ref="AV1525:AW1525"/>
    <mergeCell ref="B1525:C1525"/>
    <mergeCell ref="D1525:E1525"/>
    <mergeCell ref="F1525:G1525"/>
    <mergeCell ref="H1525:I1525"/>
    <mergeCell ref="J1525:K1525"/>
    <mergeCell ref="L1525:M1525"/>
    <mergeCell ref="P1525:Q1525"/>
    <mergeCell ref="AX1526:AZ1526"/>
    <mergeCell ref="BA1526:BB1526"/>
    <mergeCell ref="BD1526:BE1526"/>
    <mergeCell ref="BF1526:BI1526"/>
    <mergeCell ref="BJ1526:BM1526"/>
    <mergeCell ref="BN1526:BV1526"/>
    <mergeCell ref="BJ1527:BM1527"/>
    <mergeCell ref="BN1527:BV1527"/>
    <mergeCell ref="B1527:C1527"/>
    <mergeCell ref="D1527:E1527"/>
    <mergeCell ref="F1527:G1527"/>
    <mergeCell ref="H1527:I1527"/>
    <mergeCell ref="J1527:K1527"/>
    <mergeCell ref="L1527:M1527"/>
    <mergeCell ref="P1527:Q1527"/>
    <mergeCell ref="AJ1526:AK1526"/>
    <mergeCell ref="AL1526:AM1526"/>
    <mergeCell ref="AN1526:AO1526"/>
    <mergeCell ref="AP1526:AQ1526"/>
    <mergeCell ref="AR1526:AS1526"/>
    <mergeCell ref="AT1526:AU1526"/>
    <mergeCell ref="AV1526:AW1526"/>
    <mergeCell ref="R1526:S1526"/>
    <mergeCell ref="T1526:U1526"/>
    <mergeCell ref="V1526:W1526"/>
    <mergeCell ref="X1526:AA1526"/>
    <mergeCell ref="AB1526:AE1526"/>
    <mergeCell ref="AF1526:AG1526"/>
    <mergeCell ref="AH1526:AI1526"/>
    <mergeCell ref="B1526:C1526"/>
    <mergeCell ref="D1526:E1526"/>
    <mergeCell ref="F1526:G1526"/>
    <mergeCell ref="H1526:I1526"/>
    <mergeCell ref="J1526:K1526"/>
    <mergeCell ref="L1526:M1526"/>
    <mergeCell ref="P1526:Q1526"/>
    <mergeCell ref="BD1527:BE1527"/>
    <mergeCell ref="BF1527:BI1527"/>
    <mergeCell ref="AN1527:AO1527"/>
    <mergeCell ref="AP1527:AQ1527"/>
    <mergeCell ref="AR1527:AS1527"/>
    <mergeCell ref="AT1527:AU1527"/>
    <mergeCell ref="AV1527:AW1527"/>
    <mergeCell ref="AX1527:AZ1527"/>
    <mergeCell ref="BA1527:BB1527"/>
    <mergeCell ref="R1525:S1525"/>
    <mergeCell ref="T1525:U1525"/>
    <mergeCell ref="V1525:W1525"/>
    <mergeCell ref="J1530:K1530"/>
    <mergeCell ref="L1530:M1530"/>
    <mergeCell ref="P1530:Q1530"/>
    <mergeCell ref="B1531:C1531"/>
    <mergeCell ref="D1531:E1531"/>
    <mergeCell ref="F1531:G1531"/>
    <mergeCell ref="H1531:I1531"/>
    <mergeCell ref="J1531:K1531"/>
    <mergeCell ref="L1531:M1531"/>
    <mergeCell ref="P1531:Q1531"/>
    <mergeCell ref="AJ1530:AK1530"/>
    <mergeCell ref="AL1530:AM1530"/>
    <mergeCell ref="AN1530:AO1530"/>
    <mergeCell ref="AP1530:AQ1530"/>
    <mergeCell ref="AR1530:AS1530"/>
    <mergeCell ref="AT1530:AU1530"/>
    <mergeCell ref="AV1530:AW1530"/>
    <mergeCell ref="BD1524:BE1524"/>
    <mergeCell ref="BF1524:BI1524"/>
    <mergeCell ref="AN1524:AO1524"/>
    <mergeCell ref="AP1524:AQ1524"/>
    <mergeCell ref="AR1524:AS1524"/>
    <mergeCell ref="AT1524:AU1524"/>
    <mergeCell ref="AV1524:AW1524"/>
    <mergeCell ref="AX1524:AZ1524"/>
    <mergeCell ref="BA1524:BB1524"/>
    <mergeCell ref="BD1531:BE1531"/>
    <mergeCell ref="BF1531:BI1531"/>
    <mergeCell ref="AN1531:AO1531"/>
    <mergeCell ref="AP1531:AQ1531"/>
    <mergeCell ref="AR1531:AS1531"/>
    <mergeCell ref="AT1531:AU1531"/>
    <mergeCell ref="AV1531:AW1531"/>
    <mergeCell ref="AX1531:AZ1531"/>
    <mergeCell ref="BA1531:BB1531"/>
    <mergeCell ref="AJ1529:AK1529"/>
    <mergeCell ref="AL1529:AM1529"/>
    <mergeCell ref="R1529:S1529"/>
    <mergeCell ref="T1529:U1529"/>
    <mergeCell ref="V1529:W1529"/>
    <mergeCell ref="X1529:AA1529"/>
    <mergeCell ref="AB1529:AE1529"/>
    <mergeCell ref="AF1529:AG1529"/>
    <mergeCell ref="AH1529:AI1529"/>
    <mergeCell ref="R1530:S1530"/>
    <mergeCell ref="T1530:U1530"/>
    <mergeCell ref="V1530:W1530"/>
    <mergeCell ref="X1530:AA1530"/>
    <mergeCell ref="AB1530:AE1530"/>
    <mergeCell ref="AF1530:AG1530"/>
    <mergeCell ref="AH1530:AI1530"/>
    <mergeCell ref="AX1530:AZ1530"/>
    <mergeCell ref="AJ1522:AK1522"/>
    <mergeCell ref="AL1522:AM1522"/>
    <mergeCell ref="R1522:S1522"/>
    <mergeCell ref="T1522:U1522"/>
    <mergeCell ref="V1522:W1522"/>
    <mergeCell ref="X1522:AA1522"/>
    <mergeCell ref="AB1522:AE1522"/>
    <mergeCell ref="AF1522:AG1522"/>
    <mergeCell ref="AH1522:AI1522"/>
    <mergeCell ref="R1523:S1523"/>
    <mergeCell ref="T1523:U1523"/>
    <mergeCell ref="V1523:W1523"/>
    <mergeCell ref="X1523:AA1523"/>
    <mergeCell ref="AB1523:AE1523"/>
    <mergeCell ref="AF1523:AG1523"/>
    <mergeCell ref="AH1523:AI1523"/>
    <mergeCell ref="AX1523:AZ1523"/>
    <mergeCell ref="BA1523:BB1523"/>
    <mergeCell ref="BD1523:BE1523"/>
    <mergeCell ref="BF1523:BI1523"/>
    <mergeCell ref="B1523:C1523"/>
    <mergeCell ref="D1523:E1523"/>
    <mergeCell ref="F1523:G1523"/>
    <mergeCell ref="H1523:I1523"/>
    <mergeCell ref="J1523:K1523"/>
    <mergeCell ref="L1523:M1523"/>
    <mergeCell ref="P1523:Q1523"/>
    <mergeCell ref="AJ1523:AK1523"/>
    <mergeCell ref="AL1523:AM1523"/>
    <mergeCell ref="AN1523:AO1523"/>
    <mergeCell ref="AP1523:AQ1523"/>
    <mergeCell ref="AR1523:AS1523"/>
    <mergeCell ref="AT1523:AU1523"/>
    <mergeCell ref="AV1523:AW1523"/>
    <mergeCell ref="R1524:S1524"/>
    <mergeCell ref="T1524:U1524"/>
    <mergeCell ref="V1524:W1524"/>
    <mergeCell ref="X1524:AA1524"/>
    <mergeCell ref="AB1524:AE1524"/>
    <mergeCell ref="AF1524:AG1524"/>
    <mergeCell ref="AH1524:AI1524"/>
    <mergeCell ref="BJ1523:BM1523"/>
    <mergeCell ref="BN1523:BV1523"/>
    <mergeCell ref="B1524:C1524"/>
    <mergeCell ref="D1524:E1524"/>
    <mergeCell ref="F1524:G1524"/>
    <mergeCell ref="BA1530:BB1530"/>
    <mergeCell ref="BD1530:BE1530"/>
    <mergeCell ref="BF1530:BI1530"/>
    <mergeCell ref="BJ1530:BM1530"/>
    <mergeCell ref="BN1530:BV1530"/>
    <mergeCell ref="BJ1531:BM1531"/>
    <mergeCell ref="BN1531:BV1531"/>
    <mergeCell ref="BD1529:BE1529"/>
    <mergeCell ref="BF1529:BI1529"/>
    <mergeCell ref="AN1529:AO1529"/>
    <mergeCell ref="AP1529:AQ1529"/>
    <mergeCell ref="AR1529:AS1529"/>
    <mergeCell ref="AT1529:AU1529"/>
    <mergeCell ref="AV1529:AW1529"/>
    <mergeCell ref="AX1529:AZ1529"/>
    <mergeCell ref="BA1529:BB1529"/>
    <mergeCell ref="AJ1527:AK1527"/>
    <mergeCell ref="AL1527:AM1527"/>
    <mergeCell ref="R1527:S1527"/>
    <mergeCell ref="T1527:U1527"/>
    <mergeCell ref="V1527:W1527"/>
    <mergeCell ref="X1527:AA1527"/>
    <mergeCell ref="AB1527:AE1527"/>
    <mergeCell ref="AF1527:AG1527"/>
    <mergeCell ref="AH1527:AI1527"/>
    <mergeCell ref="R1528:S1528"/>
    <mergeCell ref="T1528:U1528"/>
    <mergeCell ref="V1528:W1528"/>
    <mergeCell ref="X1528:AA1528"/>
    <mergeCell ref="AB1528:AE1528"/>
    <mergeCell ref="AF1528:AG1528"/>
    <mergeCell ref="AH1528:AI1528"/>
    <mergeCell ref="AX1528:AZ1528"/>
    <mergeCell ref="BA1528:BB1528"/>
    <mergeCell ref="BD1528:BE1528"/>
    <mergeCell ref="BF1528:BI1528"/>
    <mergeCell ref="BJ1528:BM1528"/>
    <mergeCell ref="BN1528:BV1528"/>
    <mergeCell ref="BJ1529:BM1529"/>
    <mergeCell ref="BN1529:BV1529"/>
    <mergeCell ref="X1525:AA1525"/>
    <mergeCell ref="AB1525:AE1525"/>
    <mergeCell ref="AF1525:AG1525"/>
    <mergeCell ref="AH1525:AI1525"/>
    <mergeCell ref="AX1525:AZ1525"/>
    <mergeCell ref="BA1525:BB1525"/>
    <mergeCell ref="BD1525:BE1525"/>
    <mergeCell ref="BF1525:BI1525"/>
    <mergeCell ref="B1530:C1530"/>
    <mergeCell ref="D1530:E1530"/>
    <mergeCell ref="F1530:G1530"/>
    <mergeCell ref="H1530:I1530"/>
    <mergeCell ref="BJ1516:BM1516"/>
    <mergeCell ref="BN1516:BV1516"/>
    <mergeCell ref="AJ1516:AK1516"/>
    <mergeCell ref="AL1516:AM1516"/>
    <mergeCell ref="AN1516:AO1516"/>
    <mergeCell ref="AP1516:AQ1516"/>
    <mergeCell ref="AR1516:AS1516"/>
    <mergeCell ref="AT1516:AU1516"/>
    <mergeCell ref="AV1516:AW1516"/>
    <mergeCell ref="B1516:C1516"/>
    <mergeCell ref="D1516:E1516"/>
    <mergeCell ref="F1516:G1516"/>
    <mergeCell ref="B1528:C1528"/>
    <mergeCell ref="D1528:E1528"/>
    <mergeCell ref="F1528:G1528"/>
    <mergeCell ref="H1528:I1528"/>
    <mergeCell ref="J1528:K1528"/>
    <mergeCell ref="L1528:M1528"/>
    <mergeCell ref="P1528:Q1528"/>
    <mergeCell ref="B1529:C1529"/>
    <mergeCell ref="D1529:E1529"/>
    <mergeCell ref="F1529:G1529"/>
    <mergeCell ref="H1529:I1529"/>
    <mergeCell ref="J1529:K1529"/>
    <mergeCell ref="L1529:M1529"/>
    <mergeCell ref="P1529:Q1529"/>
    <mergeCell ref="AJ1528:AK1528"/>
    <mergeCell ref="AL1528:AM1528"/>
    <mergeCell ref="AN1528:AO1528"/>
    <mergeCell ref="AP1528:AQ1528"/>
    <mergeCell ref="AR1528:AS1528"/>
    <mergeCell ref="AT1528:AU1528"/>
    <mergeCell ref="AV1528:AW1528"/>
    <mergeCell ref="BJ1517:BM1517"/>
    <mergeCell ref="BN1517:BV1517"/>
    <mergeCell ref="BJ1518:BM1518"/>
    <mergeCell ref="BN1518:BV1518"/>
    <mergeCell ref="B1518:C1518"/>
    <mergeCell ref="D1518:E1518"/>
    <mergeCell ref="F1518:G1518"/>
    <mergeCell ref="H1518:I1518"/>
    <mergeCell ref="J1518:K1518"/>
    <mergeCell ref="L1518:M1518"/>
    <mergeCell ref="P1518:Q1518"/>
    <mergeCell ref="AJ1517:AK1517"/>
    <mergeCell ref="AL1517:AM1517"/>
    <mergeCell ref="AN1517:AO1517"/>
    <mergeCell ref="AP1517:AQ1517"/>
    <mergeCell ref="AR1517:AS1517"/>
    <mergeCell ref="AT1517:AU1517"/>
    <mergeCell ref="AV1517:AW1517"/>
    <mergeCell ref="BD1520:BE1520"/>
    <mergeCell ref="BF1520:BI1520"/>
    <mergeCell ref="AN1520:AO1520"/>
    <mergeCell ref="AP1520:AQ1520"/>
    <mergeCell ref="AR1520:AS1520"/>
    <mergeCell ref="AT1520:AU1520"/>
    <mergeCell ref="AV1520:AW1520"/>
    <mergeCell ref="AX1520:AZ1520"/>
    <mergeCell ref="BA1520:BB1520"/>
    <mergeCell ref="AJ1524:AK1524"/>
    <mergeCell ref="AL1524:AM1524"/>
    <mergeCell ref="BJ1524:BM1524"/>
    <mergeCell ref="BN1524:BV1524"/>
    <mergeCell ref="BA1522:BB1522"/>
    <mergeCell ref="AJ1520:AK1520"/>
    <mergeCell ref="AL1520:AM1520"/>
    <mergeCell ref="R1520:S1520"/>
    <mergeCell ref="T1520:U1520"/>
    <mergeCell ref="V1520:W1520"/>
    <mergeCell ref="X1520:AA1520"/>
    <mergeCell ref="AB1520:AE1520"/>
    <mergeCell ref="AF1520:AG1520"/>
    <mergeCell ref="AH1520:AI1520"/>
    <mergeCell ref="R1521:S1521"/>
    <mergeCell ref="T1521:U1521"/>
    <mergeCell ref="V1521:W1521"/>
    <mergeCell ref="X1521:AA1521"/>
    <mergeCell ref="AB1521:AE1521"/>
    <mergeCell ref="AF1521:AG1521"/>
    <mergeCell ref="AH1521:AI1521"/>
    <mergeCell ref="AX1521:AZ1521"/>
    <mergeCell ref="BA1521:BB1521"/>
    <mergeCell ref="BD1521:BE1521"/>
    <mergeCell ref="BF1521:BI1521"/>
    <mergeCell ref="H1524:I1524"/>
    <mergeCell ref="J1524:K1524"/>
    <mergeCell ref="L1524:M1524"/>
    <mergeCell ref="P1524:Q1524"/>
    <mergeCell ref="BJ1514:BM1514"/>
    <mergeCell ref="BN1514:BV1514"/>
    <mergeCell ref="B1514:C1514"/>
    <mergeCell ref="D1514:E1514"/>
    <mergeCell ref="F1514:G1514"/>
    <mergeCell ref="H1514:I1514"/>
    <mergeCell ref="J1514:K1514"/>
    <mergeCell ref="L1514:M1514"/>
    <mergeCell ref="P1514:Q1514"/>
    <mergeCell ref="AJ1514:AK1514"/>
    <mergeCell ref="AL1514:AM1514"/>
    <mergeCell ref="AN1514:AO1514"/>
    <mergeCell ref="AP1514:AQ1514"/>
    <mergeCell ref="AR1514:AS1514"/>
    <mergeCell ref="AT1514:AU1514"/>
    <mergeCell ref="AV1514:AW1514"/>
    <mergeCell ref="B1515:C1515"/>
    <mergeCell ref="D1515:E1515"/>
    <mergeCell ref="F1515:G1515"/>
    <mergeCell ref="H1515:I1515"/>
    <mergeCell ref="J1515:K1515"/>
    <mergeCell ref="L1515:M1515"/>
    <mergeCell ref="P1515:Q1515"/>
    <mergeCell ref="R1517:S1517"/>
    <mergeCell ref="T1517:U1517"/>
    <mergeCell ref="V1517:W1517"/>
    <mergeCell ref="X1517:AA1517"/>
    <mergeCell ref="AB1517:AE1517"/>
    <mergeCell ref="AF1517:AG1517"/>
    <mergeCell ref="AH1517:AI1517"/>
    <mergeCell ref="B1517:C1517"/>
    <mergeCell ref="D1517:E1517"/>
    <mergeCell ref="F1517:G1517"/>
    <mergeCell ref="H1517:I1517"/>
    <mergeCell ref="J1517:K1517"/>
    <mergeCell ref="L1517:M1517"/>
    <mergeCell ref="P1517:Q1517"/>
    <mergeCell ref="R1516:S1516"/>
    <mergeCell ref="T1516:U1516"/>
    <mergeCell ref="R1514:S1514"/>
    <mergeCell ref="T1514:U1514"/>
    <mergeCell ref="V1514:W1514"/>
    <mergeCell ref="X1514:AA1514"/>
    <mergeCell ref="AB1514:AE1514"/>
    <mergeCell ref="AF1514:AG1514"/>
    <mergeCell ref="AH1514:AI1514"/>
    <mergeCell ref="AX1514:AZ1514"/>
    <mergeCell ref="BA1514:BB1514"/>
    <mergeCell ref="BD1514:BE1514"/>
    <mergeCell ref="BF1514:BI1514"/>
    <mergeCell ref="BD1518:BE1518"/>
    <mergeCell ref="BF1518:BI1518"/>
    <mergeCell ref="AN1518:AO1518"/>
    <mergeCell ref="AP1518:AQ1518"/>
    <mergeCell ref="AR1518:AS1518"/>
    <mergeCell ref="AT1518:AU1518"/>
    <mergeCell ref="AV1518:AW1518"/>
    <mergeCell ref="AX1518:AZ1518"/>
    <mergeCell ref="BA1518:BB1518"/>
    <mergeCell ref="AX1517:AZ1517"/>
    <mergeCell ref="BA1517:BB1517"/>
    <mergeCell ref="BD1517:BE1517"/>
    <mergeCell ref="BF1517:BI1517"/>
    <mergeCell ref="AJ1515:AK1515"/>
    <mergeCell ref="AL1515:AM1515"/>
    <mergeCell ref="H1516:I1516"/>
    <mergeCell ref="J1516:K1516"/>
    <mergeCell ref="L1516:M1516"/>
    <mergeCell ref="P1516:Q1516"/>
    <mergeCell ref="B1521:C1521"/>
    <mergeCell ref="D1521:E1521"/>
    <mergeCell ref="F1521:G1521"/>
    <mergeCell ref="H1521:I1521"/>
    <mergeCell ref="J1521:K1521"/>
    <mergeCell ref="L1521:M1521"/>
    <mergeCell ref="P1521:Q1521"/>
    <mergeCell ref="AJ1521:AK1521"/>
    <mergeCell ref="AL1521:AM1521"/>
    <mergeCell ref="AN1521:AO1521"/>
    <mergeCell ref="AP1521:AQ1521"/>
    <mergeCell ref="AR1521:AS1521"/>
    <mergeCell ref="AT1521:AU1521"/>
    <mergeCell ref="AV1521:AW1521"/>
    <mergeCell ref="BD1515:BE1515"/>
    <mergeCell ref="BF1515:BI1515"/>
    <mergeCell ref="AN1515:AO1515"/>
    <mergeCell ref="AP1515:AQ1515"/>
    <mergeCell ref="AR1515:AS1515"/>
    <mergeCell ref="AT1515:AU1515"/>
    <mergeCell ref="AV1515:AW1515"/>
    <mergeCell ref="AX1515:AZ1515"/>
    <mergeCell ref="BA1515:BB1515"/>
    <mergeCell ref="V1516:W1516"/>
    <mergeCell ref="X1516:AA1516"/>
    <mergeCell ref="AB1516:AE1516"/>
    <mergeCell ref="AF1516:AG1516"/>
    <mergeCell ref="AH1516:AI1516"/>
    <mergeCell ref="AX1516:AZ1516"/>
    <mergeCell ref="BA1516:BB1516"/>
    <mergeCell ref="BD1516:BE1516"/>
    <mergeCell ref="BF1516:BI1516"/>
    <mergeCell ref="BJ1521:BM1521"/>
    <mergeCell ref="BN1521:BV1521"/>
    <mergeCell ref="BJ1522:BM1522"/>
    <mergeCell ref="BN1522:BV1522"/>
    <mergeCell ref="AJ1518:AK1518"/>
    <mergeCell ref="AL1518:AM1518"/>
    <mergeCell ref="R1518:S1518"/>
    <mergeCell ref="T1518:U1518"/>
    <mergeCell ref="V1518:W1518"/>
    <mergeCell ref="X1518:AA1518"/>
    <mergeCell ref="AB1518:AE1518"/>
    <mergeCell ref="AF1518:AG1518"/>
    <mergeCell ref="AH1518:AI1518"/>
    <mergeCell ref="R1519:S1519"/>
    <mergeCell ref="T1519:U1519"/>
    <mergeCell ref="V1519:W1519"/>
    <mergeCell ref="X1519:AA1519"/>
    <mergeCell ref="AB1519:AE1519"/>
    <mergeCell ref="AF1519:AG1519"/>
    <mergeCell ref="AH1519:AI1519"/>
    <mergeCell ref="AX1519:AZ1519"/>
    <mergeCell ref="BA1519:BB1519"/>
    <mergeCell ref="BD1519:BE1519"/>
    <mergeCell ref="BF1519:BI1519"/>
    <mergeCell ref="BJ1519:BM1519"/>
    <mergeCell ref="BN1519:BV1519"/>
    <mergeCell ref="BJ1520:BM1520"/>
    <mergeCell ref="BN1520:BV1520"/>
    <mergeCell ref="B1519:C1519"/>
    <mergeCell ref="D1519:E1519"/>
    <mergeCell ref="F1519:G1519"/>
    <mergeCell ref="H1519:I1519"/>
    <mergeCell ref="J1519:K1519"/>
    <mergeCell ref="L1519:M1519"/>
    <mergeCell ref="P1519:Q1519"/>
    <mergeCell ref="B1520:C1520"/>
    <mergeCell ref="D1520:E1520"/>
    <mergeCell ref="F1520:G1520"/>
    <mergeCell ref="H1520:I1520"/>
    <mergeCell ref="J1520:K1520"/>
    <mergeCell ref="L1520:M1520"/>
    <mergeCell ref="P1520:Q1520"/>
    <mergeCell ref="AJ1519:AK1519"/>
    <mergeCell ref="AL1519:AM1519"/>
    <mergeCell ref="AN1519:AO1519"/>
    <mergeCell ref="AP1519:AQ1519"/>
    <mergeCell ref="AR1519:AS1519"/>
    <mergeCell ref="AT1519:AU1519"/>
    <mergeCell ref="AV1519:AW1519"/>
    <mergeCell ref="B1522:C1522"/>
    <mergeCell ref="D1522:E1522"/>
    <mergeCell ref="F1522:G1522"/>
    <mergeCell ref="H1522:I1522"/>
    <mergeCell ref="J1522:K1522"/>
    <mergeCell ref="L1522:M1522"/>
    <mergeCell ref="P1522:Q1522"/>
    <mergeCell ref="BD1522:BE1522"/>
    <mergeCell ref="BF1522:BI1522"/>
    <mergeCell ref="AN1522:AO1522"/>
    <mergeCell ref="AP1522:AQ1522"/>
    <mergeCell ref="AR1522:AS1522"/>
    <mergeCell ref="AT1522:AU1522"/>
    <mergeCell ref="AV1522:AW1522"/>
    <mergeCell ref="AX1522:AZ1522"/>
    <mergeCell ref="V1492:W1492"/>
    <mergeCell ref="X1492:AA1492"/>
    <mergeCell ref="AB1492:AE1492"/>
    <mergeCell ref="AF1492:AG1492"/>
    <mergeCell ref="AH1492:AI1492"/>
    <mergeCell ref="AJ1492:AK1492"/>
    <mergeCell ref="AL1492:AM1492"/>
    <mergeCell ref="BD1492:BE1492"/>
    <mergeCell ref="BF1492:BI1492"/>
    <mergeCell ref="BJ1492:BM1492"/>
    <mergeCell ref="BN1492:BV1492"/>
    <mergeCell ref="AN1492:AO1492"/>
    <mergeCell ref="AP1492:AQ1492"/>
    <mergeCell ref="AR1492:AS1492"/>
    <mergeCell ref="AT1492:AU1492"/>
    <mergeCell ref="AV1492:AW1492"/>
    <mergeCell ref="AX1492:AZ1492"/>
    <mergeCell ref="BA1492:BB1492"/>
    <mergeCell ref="B1492:C1492"/>
    <mergeCell ref="D1492:E1492"/>
    <mergeCell ref="F1492:G1492"/>
    <mergeCell ref="H1492:I1492"/>
    <mergeCell ref="P1492:Q1492"/>
    <mergeCell ref="R1492:S1492"/>
    <mergeCell ref="T1492:U1492"/>
    <mergeCell ref="AJ1491:AK1491"/>
    <mergeCell ref="AL1491:AM1491"/>
    <mergeCell ref="B1489:C1489"/>
    <mergeCell ref="D1489:E1489"/>
    <mergeCell ref="F1489:G1489"/>
    <mergeCell ref="H1489:I1489"/>
    <mergeCell ref="J1489:K1489"/>
    <mergeCell ref="L1489:M1489"/>
    <mergeCell ref="P1489:Q1489"/>
    <mergeCell ref="AX1489:AZ1489"/>
    <mergeCell ref="BA1489:BB1489"/>
    <mergeCell ref="BD1489:BE1489"/>
    <mergeCell ref="V1490:W1490"/>
    <mergeCell ref="X1490:AA1490"/>
    <mergeCell ref="AB1490:AE1490"/>
    <mergeCell ref="AF1490:AG1490"/>
    <mergeCell ref="AH1490:AI1490"/>
    <mergeCell ref="AJ1490:AK1490"/>
    <mergeCell ref="AL1490:AM1490"/>
    <mergeCell ref="BD1490:BE1490"/>
    <mergeCell ref="BF1490:BI1490"/>
    <mergeCell ref="BJ1490:BM1490"/>
    <mergeCell ref="BN1490:BV1490"/>
    <mergeCell ref="AN1490:AO1490"/>
    <mergeCell ref="AP1490:AQ1490"/>
    <mergeCell ref="AR1490:AS1490"/>
    <mergeCell ref="AT1490:AU1490"/>
    <mergeCell ref="AV1490:AW1490"/>
    <mergeCell ref="AX1490:AZ1490"/>
    <mergeCell ref="BA1490:BB1490"/>
    <mergeCell ref="B1491:C1491"/>
    <mergeCell ref="D1491:E1491"/>
    <mergeCell ref="F1491:G1491"/>
    <mergeCell ref="H1491:I1491"/>
    <mergeCell ref="J1491:K1491"/>
    <mergeCell ref="L1491:M1491"/>
    <mergeCell ref="P1491:Q1491"/>
    <mergeCell ref="AX1491:AZ1491"/>
    <mergeCell ref="BA1491:BB1491"/>
    <mergeCell ref="BD1491:BE1491"/>
    <mergeCell ref="BF1491:BI1491"/>
    <mergeCell ref="BJ1491:BM1491"/>
    <mergeCell ref="BN1491:BV1491"/>
    <mergeCell ref="AJ1489:AK1489"/>
    <mergeCell ref="AL1489:AM1489"/>
    <mergeCell ref="AN1491:AO1491"/>
    <mergeCell ref="AP1491:AQ1491"/>
    <mergeCell ref="AR1491:AS1491"/>
    <mergeCell ref="AT1491:AU1491"/>
    <mergeCell ref="AV1491:AW1491"/>
    <mergeCell ref="R1491:S1491"/>
    <mergeCell ref="T1491:U1491"/>
    <mergeCell ref="V1491:W1491"/>
    <mergeCell ref="X1491:AA1491"/>
    <mergeCell ref="AB1491:AE1491"/>
    <mergeCell ref="AF1491:AG1491"/>
    <mergeCell ref="AH1491:AI1491"/>
    <mergeCell ref="AT1488:AU1488"/>
    <mergeCell ref="AV1488:AW1488"/>
    <mergeCell ref="AX1488:AZ1488"/>
    <mergeCell ref="BA1488:BB1488"/>
    <mergeCell ref="B1488:C1488"/>
    <mergeCell ref="D1488:E1488"/>
    <mergeCell ref="F1488:G1488"/>
    <mergeCell ref="H1488:I1488"/>
    <mergeCell ref="P1488:Q1488"/>
    <mergeCell ref="R1488:S1488"/>
    <mergeCell ref="T1488:U1488"/>
    <mergeCell ref="B1485:C1485"/>
    <mergeCell ref="D1485:E1485"/>
    <mergeCell ref="F1485:G1485"/>
    <mergeCell ref="H1485:I1485"/>
    <mergeCell ref="J1485:K1485"/>
    <mergeCell ref="BF1489:BI1489"/>
    <mergeCell ref="BJ1489:BM1489"/>
    <mergeCell ref="BN1489:BV1489"/>
    <mergeCell ref="AJ1487:AK1487"/>
    <mergeCell ref="AL1487:AM1487"/>
    <mergeCell ref="AN1489:AO1489"/>
    <mergeCell ref="AP1489:AQ1489"/>
    <mergeCell ref="AR1489:AS1489"/>
    <mergeCell ref="AT1489:AU1489"/>
    <mergeCell ref="AV1489:AW1489"/>
    <mergeCell ref="R1489:S1489"/>
    <mergeCell ref="T1489:U1489"/>
    <mergeCell ref="V1489:W1489"/>
    <mergeCell ref="X1489:AA1489"/>
    <mergeCell ref="AB1489:AE1489"/>
    <mergeCell ref="AF1489:AG1489"/>
    <mergeCell ref="AH1489:AI1489"/>
    <mergeCell ref="V1486:W1486"/>
    <mergeCell ref="X1486:AA1486"/>
    <mergeCell ref="AB1486:AE1486"/>
    <mergeCell ref="AF1486:AG1486"/>
    <mergeCell ref="AH1486:AI1486"/>
    <mergeCell ref="AJ1486:AK1486"/>
    <mergeCell ref="AL1486:AM1486"/>
    <mergeCell ref="BD1486:BE1486"/>
    <mergeCell ref="BF1486:BI1486"/>
    <mergeCell ref="BJ1486:BM1486"/>
    <mergeCell ref="BN1486:BV1486"/>
    <mergeCell ref="AN1486:AO1486"/>
    <mergeCell ref="AP1486:AQ1486"/>
    <mergeCell ref="AR1486:AS1486"/>
    <mergeCell ref="AT1486:AU1486"/>
    <mergeCell ref="AV1486:AW1486"/>
    <mergeCell ref="AX1486:AZ1486"/>
    <mergeCell ref="BA1486:BB1486"/>
    <mergeCell ref="B1490:C1490"/>
    <mergeCell ref="D1490:E1490"/>
    <mergeCell ref="F1490:G1490"/>
    <mergeCell ref="H1490:I1490"/>
    <mergeCell ref="P1490:Q1490"/>
    <mergeCell ref="R1490:S1490"/>
    <mergeCell ref="T1490:U1490"/>
    <mergeCell ref="B1487:C1487"/>
    <mergeCell ref="D1487:E1487"/>
    <mergeCell ref="F1487:G1487"/>
    <mergeCell ref="H1487:I1487"/>
    <mergeCell ref="J1487:K1487"/>
    <mergeCell ref="L1487:M1487"/>
    <mergeCell ref="P1487:Q1487"/>
    <mergeCell ref="AX1487:AZ1487"/>
    <mergeCell ref="BA1487:BB1487"/>
    <mergeCell ref="BD1487:BE1487"/>
    <mergeCell ref="BF1487:BI1487"/>
    <mergeCell ref="BJ1487:BM1487"/>
    <mergeCell ref="BN1487:BV1487"/>
    <mergeCell ref="AN1487:AO1487"/>
    <mergeCell ref="AP1487:AQ1487"/>
    <mergeCell ref="AR1487:AS1487"/>
    <mergeCell ref="AT1487:AU1487"/>
    <mergeCell ref="AV1487:AW1487"/>
    <mergeCell ref="R1487:S1487"/>
    <mergeCell ref="T1487:U1487"/>
    <mergeCell ref="V1487:W1487"/>
    <mergeCell ref="X1487:AA1487"/>
    <mergeCell ref="AB1487:AE1487"/>
    <mergeCell ref="AF1487:AG1487"/>
    <mergeCell ref="AH1487:AI1487"/>
    <mergeCell ref="V1488:W1488"/>
    <mergeCell ref="X1488:AA1488"/>
    <mergeCell ref="AB1488:AE1488"/>
    <mergeCell ref="AF1488:AG1488"/>
    <mergeCell ref="AH1488:AI1488"/>
    <mergeCell ref="AJ1488:AK1488"/>
    <mergeCell ref="AL1488:AM1488"/>
    <mergeCell ref="BD1488:BE1488"/>
    <mergeCell ref="BF1488:BI1488"/>
    <mergeCell ref="BJ1488:BM1488"/>
    <mergeCell ref="BN1488:BV1488"/>
    <mergeCell ref="AN1488:AO1488"/>
    <mergeCell ref="AP1488:AQ1488"/>
    <mergeCell ref="AR1488:AS1488"/>
    <mergeCell ref="AT1484:AU1484"/>
    <mergeCell ref="AV1484:AW1484"/>
    <mergeCell ref="AX1484:AZ1484"/>
    <mergeCell ref="BA1484:BB1484"/>
    <mergeCell ref="B1484:C1484"/>
    <mergeCell ref="D1484:E1484"/>
    <mergeCell ref="F1484:G1484"/>
    <mergeCell ref="H1484:I1484"/>
    <mergeCell ref="P1484:Q1484"/>
    <mergeCell ref="R1484:S1484"/>
    <mergeCell ref="T1484:U1484"/>
    <mergeCell ref="B1481:C1481"/>
    <mergeCell ref="D1481:E1481"/>
    <mergeCell ref="F1481:G1481"/>
    <mergeCell ref="H1481:I1481"/>
    <mergeCell ref="J1481:K1481"/>
    <mergeCell ref="L1485:M1485"/>
    <mergeCell ref="P1485:Q1485"/>
    <mergeCell ref="AX1485:AZ1485"/>
    <mergeCell ref="BA1485:BB1485"/>
    <mergeCell ref="BD1485:BE1485"/>
    <mergeCell ref="BF1485:BI1485"/>
    <mergeCell ref="BJ1485:BM1485"/>
    <mergeCell ref="BN1485:BV1485"/>
    <mergeCell ref="AJ1483:AK1483"/>
    <mergeCell ref="AL1483:AM1483"/>
    <mergeCell ref="AN1485:AO1485"/>
    <mergeCell ref="AP1485:AQ1485"/>
    <mergeCell ref="AR1485:AS1485"/>
    <mergeCell ref="AT1485:AU1485"/>
    <mergeCell ref="AV1485:AW1485"/>
    <mergeCell ref="R1485:S1485"/>
    <mergeCell ref="T1485:U1485"/>
    <mergeCell ref="V1485:W1485"/>
    <mergeCell ref="X1485:AA1485"/>
    <mergeCell ref="AB1485:AE1485"/>
    <mergeCell ref="AF1485:AG1485"/>
    <mergeCell ref="AH1485:AI1485"/>
    <mergeCell ref="AJ1485:AK1485"/>
    <mergeCell ref="AL1485:AM1485"/>
    <mergeCell ref="V1482:W1482"/>
    <mergeCell ref="X1482:AA1482"/>
    <mergeCell ref="AB1482:AE1482"/>
    <mergeCell ref="AF1482:AG1482"/>
    <mergeCell ref="AH1482:AI1482"/>
    <mergeCell ref="AJ1482:AK1482"/>
    <mergeCell ref="AL1482:AM1482"/>
    <mergeCell ref="BD1482:BE1482"/>
    <mergeCell ref="BF1482:BI1482"/>
    <mergeCell ref="BJ1482:BM1482"/>
    <mergeCell ref="BN1482:BV1482"/>
    <mergeCell ref="AN1482:AO1482"/>
    <mergeCell ref="AP1482:AQ1482"/>
    <mergeCell ref="AR1482:AS1482"/>
    <mergeCell ref="AT1482:AU1482"/>
    <mergeCell ref="AV1482:AW1482"/>
    <mergeCell ref="AX1482:AZ1482"/>
    <mergeCell ref="BA1482:BB1482"/>
    <mergeCell ref="B1486:C1486"/>
    <mergeCell ref="D1486:E1486"/>
    <mergeCell ref="F1486:G1486"/>
    <mergeCell ref="H1486:I1486"/>
    <mergeCell ref="P1486:Q1486"/>
    <mergeCell ref="R1486:S1486"/>
    <mergeCell ref="T1486:U1486"/>
    <mergeCell ref="B1483:C1483"/>
    <mergeCell ref="D1483:E1483"/>
    <mergeCell ref="F1483:G1483"/>
    <mergeCell ref="H1483:I1483"/>
    <mergeCell ref="J1483:K1483"/>
    <mergeCell ref="L1483:M1483"/>
    <mergeCell ref="P1483:Q1483"/>
    <mergeCell ref="AX1483:AZ1483"/>
    <mergeCell ref="BA1483:BB1483"/>
    <mergeCell ref="BD1483:BE1483"/>
    <mergeCell ref="BF1483:BI1483"/>
    <mergeCell ref="BJ1483:BM1483"/>
    <mergeCell ref="BN1483:BV1483"/>
    <mergeCell ref="AN1483:AO1483"/>
    <mergeCell ref="AP1483:AQ1483"/>
    <mergeCell ref="AR1483:AS1483"/>
    <mergeCell ref="AT1483:AU1483"/>
    <mergeCell ref="AV1483:AW1483"/>
    <mergeCell ref="R1483:S1483"/>
    <mergeCell ref="T1483:U1483"/>
    <mergeCell ref="V1483:W1483"/>
    <mergeCell ref="X1483:AA1483"/>
    <mergeCell ref="AB1483:AE1483"/>
    <mergeCell ref="AF1483:AG1483"/>
    <mergeCell ref="AH1483:AI1483"/>
    <mergeCell ref="V1484:W1484"/>
    <mergeCell ref="X1484:AA1484"/>
    <mergeCell ref="AB1484:AE1484"/>
    <mergeCell ref="AF1484:AG1484"/>
    <mergeCell ref="AH1484:AI1484"/>
    <mergeCell ref="AJ1484:AK1484"/>
    <mergeCell ref="AL1484:AM1484"/>
    <mergeCell ref="BD1484:BE1484"/>
    <mergeCell ref="BF1484:BI1484"/>
    <mergeCell ref="BJ1484:BM1484"/>
    <mergeCell ref="BN1484:BV1484"/>
    <mergeCell ref="AN1484:AO1484"/>
    <mergeCell ref="AP1484:AQ1484"/>
    <mergeCell ref="AR1484:AS1484"/>
    <mergeCell ref="AT1480:AU1480"/>
    <mergeCell ref="AV1480:AW1480"/>
    <mergeCell ref="AX1480:AZ1480"/>
    <mergeCell ref="BA1480:BB1480"/>
    <mergeCell ref="B1480:C1480"/>
    <mergeCell ref="D1480:E1480"/>
    <mergeCell ref="F1480:G1480"/>
    <mergeCell ref="H1480:I1480"/>
    <mergeCell ref="P1480:Q1480"/>
    <mergeCell ref="R1480:S1480"/>
    <mergeCell ref="T1480:U1480"/>
    <mergeCell ref="B1477:C1477"/>
    <mergeCell ref="D1477:E1477"/>
    <mergeCell ref="F1477:G1477"/>
    <mergeCell ref="H1477:I1477"/>
    <mergeCell ref="J1477:K1477"/>
    <mergeCell ref="L1481:M1481"/>
    <mergeCell ref="P1481:Q1481"/>
    <mergeCell ref="AX1481:AZ1481"/>
    <mergeCell ref="BA1481:BB1481"/>
    <mergeCell ref="BD1481:BE1481"/>
    <mergeCell ref="BF1481:BI1481"/>
    <mergeCell ref="BJ1481:BM1481"/>
    <mergeCell ref="BN1481:BV1481"/>
    <mergeCell ref="AJ1479:AK1479"/>
    <mergeCell ref="AL1479:AM1479"/>
    <mergeCell ref="AN1481:AO1481"/>
    <mergeCell ref="AP1481:AQ1481"/>
    <mergeCell ref="AR1481:AS1481"/>
    <mergeCell ref="AT1481:AU1481"/>
    <mergeCell ref="AV1481:AW1481"/>
    <mergeCell ref="R1481:S1481"/>
    <mergeCell ref="T1481:U1481"/>
    <mergeCell ref="V1481:W1481"/>
    <mergeCell ref="X1481:AA1481"/>
    <mergeCell ref="AB1481:AE1481"/>
    <mergeCell ref="AF1481:AG1481"/>
    <mergeCell ref="AH1481:AI1481"/>
    <mergeCell ref="AJ1481:AK1481"/>
    <mergeCell ref="AL1481:AM1481"/>
    <mergeCell ref="V1478:W1478"/>
    <mergeCell ref="X1478:AA1478"/>
    <mergeCell ref="AB1478:AE1478"/>
    <mergeCell ref="AF1478:AG1478"/>
    <mergeCell ref="AH1478:AI1478"/>
    <mergeCell ref="AJ1478:AK1478"/>
    <mergeCell ref="AL1478:AM1478"/>
    <mergeCell ref="BD1478:BE1478"/>
    <mergeCell ref="BF1478:BI1478"/>
    <mergeCell ref="BJ1478:BM1478"/>
    <mergeCell ref="BN1478:BV1478"/>
    <mergeCell ref="AN1478:AO1478"/>
    <mergeCell ref="AP1478:AQ1478"/>
    <mergeCell ref="AR1478:AS1478"/>
    <mergeCell ref="AT1478:AU1478"/>
    <mergeCell ref="AV1478:AW1478"/>
    <mergeCell ref="AX1478:AZ1478"/>
    <mergeCell ref="BA1478:BB1478"/>
    <mergeCell ref="B1482:C1482"/>
    <mergeCell ref="D1482:E1482"/>
    <mergeCell ref="F1482:G1482"/>
    <mergeCell ref="H1482:I1482"/>
    <mergeCell ref="P1482:Q1482"/>
    <mergeCell ref="R1482:S1482"/>
    <mergeCell ref="T1482:U1482"/>
    <mergeCell ref="B1479:C1479"/>
    <mergeCell ref="D1479:E1479"/>
    <mergeCell ref="F1479:G1479"/>
    <mergeCell ref="H1479:I1479"/>
    <mergeCell ref="J1479:K1479"/>
    <mergeCell ref="L1479:M1479"/>
    <mergeCell ref="P1479:Q1479"/>
    <mergeCell ref="AX1479:AZ1479"/>
    <mergeCell ref="BA1479:BB1479"/>
    <mergeCell ref="BD1479:BE1479"/>
    <mergeCell ref="BF1479:BI1479"/>
    <mergeCell ref="BJ1479:BM1479"/>
    <mergeCell ref="BN1479:BV1479"/>
    <mergeCell ref="AN1479:AO1479"/>
    <mergeCell ref="AP1479:AQ1479"/>
    <mergeCell ref="AR1479:AS1479"/>
    <mergeCell ref="AT1479:AU1479"/>
    <mergeCell ref="AV1479:AW1479"/>
    <mergeCell ref="R1479:S1479"/>
    <mergeCell ref="T1479:U1479"/>
    <mergeCell ref="V1479:W1479"/>
    <mergeCell ref="X1479:AA1479"/>
    <mergeCell ref="AB1479:AE1479"/>
    <mergeCell ref="AF1479:AG1479"/>
    <mergeCell ref="AH1479:AI1479"/>
    <mergeCell ref="V1480:W1480"/>
    <mergeCell ref="X1480:AA1480"/>
    <mergeCell ref="AB1480:AE1480"/>
    <mergeCell ref="AF1480:AG1480"/>
    <mergeCell ref="AH1480:AI1480"/>
    <mergeCell ref="AJ1480:AK1480"/>
    <mergeCell ref="AL1480:AM1480"/>
    <mergeCell ref="BD1480:BE1480"/>
    <mergeCell ref="BF1480:BI1480"/>
    <mergeCell ref="BJ1480:BM1480"/>
    <mergeCell ref="BN1480:BV1480"/>
    <mergeCell ref="AN1480:AO1480"/>
    <mergeCell ref="AP1480:AQ1480"/>
    <mergeCell ref="AR1480:AS1480"/>
    <mergeCell ref="AT1476:AU1476"/>
    <mergeCell ref="AV1476:AW1476"/>
    <mergeCell ref="AX1476:AZ1476"/>
    <mergeCell ref="BA1476:BB1476"/>
    <mergeCell ref="B1476:C1476"/>
    <mergeCell ref="D1476:E1476"/>
    <mergeCell ref="F1476:G1476"/>
    <mergeCell ref="H1476:I1476"/>
    <mergeCell ref="P1476:Q1476"/>
    <mergeCell ref="R1476:S1476"/>
    <mergeCell ref="T1476:U1476"/>
    <mergeCell ref="B1473:C1473"/>
    <mergeCell ref="D1473:E1473"/>
    <mergeCell ref="F1473:G1473"/>
    <mergeCell ref="H1473:I1473"/>
    <mergeCell ref="J1473:K1473"/>
    <mergeCell ref="L1477:M1477"/>
    <mergeCell ref="P1477:Q1477"/>
    <mergeCell ref="AX1477:AZ1477"/>
    <mergeCell ref="BA1477:BB1477"/>
    <mergeCell ref="BD1477:BE1477"/>
    <mergeCell ref="BF1477:BI1477"/>
    <mergeCell ref="BJ1477:BM1477"/>
    <mergeCell ref="BN1477:BV1477"/>
    <mergeCell ref="AJ1475:AK1475"/>
    <mergeCell ref="AL1475:AM1475"/>
    <mergeCell ref="AN1477:AO1477"/>
    <mergeCell ref="AP1477:AQ1477"/>
    <mergeCell ref="AR1477:AS1477"/>
    <mergeCell ref="AT1477:AU1477"/>
    <mergeCell ref="AV1477:AW1477"/>
    <mergeCell ref="R1477:S1477"/>
    <mergeCell ref="T1477:U1477"/>
    <mergeCell ref="V1477:W1477"/>
    <mergeCell ref="X1477:AA1477"/>
    <mergeCell ref="AB1477:AE1477"/>
    <mergeCell ref="AF1477:AG1477"/>
    <mergeCell ref="AH1477:AI1477"/>
    <mergeCell ref="AJ1477:AK1477"/>
    <mergeCell ref="AL1477:AM1477"/>
    <mergeCell ref="V1474:W1474"/>
    <mergeCell ref="X1474:AA1474"/>
    <mergeCell ref="AB1474:AE1474"/>
    <mergeCell ref="AF1474:AG1474"/>
    <mergeCell ref="AH1474:AI1474"/>
    <mergeCell ref="AJ1474:AK1474"/>
    <mergeCell ref="AL1474:AM1474"/>
    <mergeCell ref="BD1474:BE1474"/>
    <mergeCell ref="BF1474:BI1474"/>
    <mergeCell ref="BJ1474:BM1474"/>
    <mergeCell ref="BN1474:BV1474"/>
    <mergeCell ref="AN1474:AO1474"/>
    <mergeCell ref="AP1474:AQ1474"/>
    <mergeCell ref="AR1474:AS1474"/>
    <mergeCell ref="AT1474:AU1474"/>
    <mergeCell ref="AV1474:AW1474"/>
    <mergeCell ref="AX1474:AZ1474"/>
    <mergeCell ref="BA1474:BB1474"/>
    <mergeCell ref="B1478:C1478"/>
    <mergeCell ref="D1478:E1478"/>
    <mergeCell ref="F1478:G1478"/>
    <mergeCell ref="H1478:I1478"/>
    <mergeCell ref="P1478:Q1478"/>
    <mergeCell ref="R1478:S1478"/>
    <mergeCell ref="T1478:U1478"/>
    <mergeCell ref="B1475:C1475"/>
    <mergeCell ref="D1475:E1475"/>
    <mergeCell ref="F1475:G1475"/>
    <mergeCell ref="H1475:I1475"/>
    <mergeCell ref="J1475:K1475"/>
    <mergeCell ref="L1475:M1475"/>
    <mergeCell ref="P1475:Q1475"/>
    <mergeCell ref="AX1475:AZ1475"/>
    <mergeCell ref="BA1475:BB1475"/>
    <mergeCell ref="BD1475:BE1475"/>
    <mergeCell ref="BF1475:BI1475"/>
    <mergeCell ref="BJ1475:BM1475"/>
    <mergeCell ref="BN1475:BV1475"/>
    <mergeCell ref="AN1475:AO1475"/>
    <mergeCell ref="AP1475:AQ1475"/>
    <mergeCell ref="AR1475:AS1475"/>
    <mergeCell ref="AT1475:AU1475"/>
    <mergeCell ref="AV1475:AW1475"/>
    <mergeCell ref="R1475:S1475"/>
    <mergeCell ref="T1475:U1475"/>
    <mergeCell ref="V1475:W1475"/>
    <mergeCell ref="X1475:AA1475"/>
    <mergeCell ref="AB1475:AE1475"/>
    <mergeCell ref="AF1475:AG1475"/>
    <mergeCell ref="AH1475:AI1475"/>
    <mergeCell ref="V1476:W1476"/>
    <mergeCell ref="X1476:AA1476"/>
    <mergeCell ref="AB1476:AE1476"/>
    <mergeCell ref="AF1476:AG1476"/>
    <mergeCell ref="AH1476:AI1476"/>
    <mergeCell ref="AJ1476:AK1476"/>
    <mergeCell ref="AL1476:AM1476"/>
    <mergeCell ref="BD1476:BE1476"/>
    <mergeCell ref="BF1476:BI1476"/>
    <mergeCell ref="BJ1476:BM1476"/>
    <mergeCell ref="BN1476:BV1476"/>
    <mergeCell ref="AN1476:AO1476"/>
    <mergeCell ref="AP1476:AQ1476"/>
    <mergeCell ref="AR1476:AS1476"/>
    <mergeCell ref="AT1472:AU1472"/>
    <mergeCell ref="AV1472:AW1472"/>
    <mergeCell ref="AX1472:AZ1472"/>
    <mergeCell ref="BA1472:BB1472"/>
    <mergeCell ref="B1472:C1472"/>
    <mergeCell ref="D1472:E1472"/>
    <mergeCell ref="F1472:G1472"/>
    <mergeCell ref="H1472:I1472"/>
    <mergeCell ref="P1472:Q1472"/>
    <mergeCell ref="R1472:S1472"/>
    <mergeCell ref="T1472:U1472"/>
    <mergeCell ref="B1469:C1469"/>
    <mergeCell ref="D1469:E1469"/>
    <mergeCell ref="F1469:G1469"/>
    <mergeCell ref="H1469:I1469"/>
    <mergeCell ref="J1469:K1469"/>
    <mergeCell ref="L1473:M1473"/>
    <mergeCell ref="P1473:Q1473"/>
    <mergeCell ref="AX1473:AZ1473"/>
    <mergeCell ref="BA1473:BB1473"/>
    <mergeCell ref="BD1473:BE1473"/>
    <mergeCell ref="BF1473:BI1473"/>
    <mergeCell ref="BJ1473:BM1473"/>
    <mergeCell ref="BN1473:BV1473"/>
    <mergeCell ref="AJ1471:AK1471"/>
    <mergeCell ref="AL1471:AM1471"/>
    <mergeCell ref="AN1473:AO1473"/>
    <mergeCell ref="AP1473:AQ1473"/>
    <mergeCell ref="AR1473:AS1473"/>
    <mergeCell ref="AT1473:AU1473"/>
    <mergeCell ref="AV1473:AW1473"/>
    <mergeCell ref="R1473:S1473"/>
    <mergeCell ref="T1473:U1473"/>
    <mergeCell ref="V1473:W1473"/>
    <mergeCell ref="X1473:AA1473"/>
    <mergeCell ref="AB1473:AE1473"/>
    <mergeCell ref="AF1473:AG1473"/>
    <mergeCell ref="AH1473:AI1473"/>
    <mergeCell ref="AJ1473:AK1473"/>
    <mergeCell ref="AL1473:AM1473"/>
    <mergeCell ref="V1470:W1470"/>
    <mergeCell ref="X1470:AA1470"/>
    <mergeCell ref="AB1470:AE1470"/>
    <mergeCell ref="AF1470:AG1470"/>
    <mergeCell ref="AH1470:AI1470"/>
    <mergeCell ref="AJ1470:AK1470"/>
    <mergeCell ref="AL1470:AM1470"/>
    <mergeCell ref="BD1470:BE1470"/>
    <mergeCell ref="BF1470:BI1470"/>
    <mergeCell ref="BJ1470:BM1470"/>
    <mergeCell ref="BN1470:BV1470"/>
    <mergeCell ref="AN1470:AO1470"/>
    <mergeCell ref="AP1470:AQ1470"/>
    <mergeCell ref="AR1470:AS1470"/>
    <mergeCell ref="AT1470:AU1470"/>
    <mergeCell ref="AV1470:AW1470"/>
    <mergeCell ref="AX1470:AZ1470"/>
    <mergeCell ref="BA1470:BB1470"/>
    <mergeCell ref="B1474:C1474"/>
    <mergeCell ref="D1474:E1474"/>
    <mergeCell ref="F1474:G1474"/>
    <mergeCell ref="H1474:I1474"/>
    <mergeCell ref="P1474:Q1474"/>
    <mergeCell ref="R1474:S1474"/>
    <mergeCell ref="T1474:U1474"/>
    <mergeCell ref="B1471:C1471"/>
    <mergeCell ref="D1471:E1471"/>
    <mergeCell ref="F1471:G1471"/>
    <mergeCell ref="H1471:I1471"/>
    <mergeCell ref="J1471:K1471"/>
    <mergeCell ref="L1471:M1471"/>
    <mergeCell ref="P1471:Q1471"/>
    <mergeCell ref="AX1471:AZ1471"/>
    <mergeCell ref="BA1471:BB1471"/>
    <mergeCell ref="BD1471:BE1471"/>
    <mergeCell ref="BF1471:BI1471"/>
    <mergeCell ref="BJ1471:BM1471"/>
    <mergeCell ref="BN1471:BV1471"/>
    <mergeCell ref="AN1471:AO1471"/>
    <mergeCell ref="AP1471:AQ1471"/>
    <mergeCell ref="AR1471:AS1471"/>
    <mergeCell ref="AT1471:AU1471"/>
    <mergeCell ref="AV1471:AW1471"/>
    <mergeCell ref="R1471:S1471"/>
    <mergeCell ref="T1471:U1471"/>
    <mergeCell ref="V1471:W1471"/>
    <mergeCell ref="X1471:AA1471"/>
    <mergeCell ref="AB1471:AE1471"/>
    <mergeCell ref="AF1471:AG1471"/>
    <mergeCell ref="AH1471:AI1471"/>
    <mergeCell ref="V1472:W1472"/>
    <mergeCell ref="X1472:AA1472"/>
    <mergeCell ref="AB1472:AE1472"/>
    <mergeCell ref="AF1472:AG1472"/>
    <mergeCell ref="AH1472:AI1472"/>
    <mergeCell ref="AJ1472:AK1472"/>
    <mergeCell ref="AL1472:AM1472"/>
    <mergeCell ref="BD1472:BE1472"/>
    <mergeCell ref="BF1472:BI1472"/>
    <mergeCell ref="BJ1472:BM1472"/>
    <mergeCell ref="BN1472:BV1472"/>
    <mergeCell ref="AN1472:AO1472"/>
    <mergeCell ref="AP1472:AQ1472"/>
    <mergeCell ref="AR1472:AS1472"/>
    <mergeCell ref="AT1468:AU1468"/>
    <mergeCell ref="AV1468:AW1468"/>
    <mergeCell ref="AX1468:AZ1468"/>
    <mergeCell ref="BA1468:BB1468"/>
    <mergeCell ref="B1468:C1468"/>
    <mergeCell ref="D1468:E1468"/>
    <mergeCell ref="F1468:G1468"/>
    <mergeCell ref="H1468:I1468"/>
    <mergeCell ref="P1468:Q1468"/>
    <mergeCell ref="R1468:S1468"/>
    <mergeCell ref="T1468:U1468"/>
    <mergeCell ref="B1465:C1465"/>
    <mergeCell ref="D1465:E1465"/>
    <mergeCell ref="F1465:G1465"/>
    <mergeCell ref="H1465:I1465"/>
    <mergeCell ref="J1465:K1465"/>
    <mergeCell ref="L1469:M1469"/>
    <mergeCell ref="P1469:Q1469"/>
    <mergeCell ref="AX1469:AZ1469"/>
    <mergeCell ref="BA1469:BB1469"/>
    <mergeCell ref="BD1469:BE1469"/>
    <mergeCell ref="BF1469:BI1469"/>
    <mergeCell ref="BJ1469:BM1469"/>
    <mergeCell ref="BN1469:BV1469"/>
    <mergeCell ref="AJ1467:AK1467"/>
    <mergeCell ref="AL1467:AM1467"/>
    <mergeCell ref="AN1469:AO1469"/>
    <mergeCell ref="AP1469:AQ1469"/>
    <mergeCell ref="AR1469:AS1469"/>
    <mergeCell ref="AT1469:AU1469"/>
    <mergeCell ref="AV1469:AW1469"/>
    <mergeCell ref="R1469:S1469"/>
    <mergeCell ref="T1469:U1469"/>
    <mergeCell ref="V1469:W1469"/>
    <mergeCell ref="X1469:AA1469"/>
    <mergeCell ref="AB1469:AE1469"/>
    <mergeCell ref="AF1469:AG1469"/>
    <mergeCell ref="AH1469:AI1469"/>
    <mergeCell ref="AJ1469:AK1469"/>
    <mergeCell ref="AL1469:AM1469"/>
    <mergeCell ref="V1466:W1466"/>
    <mergeCell ref="X1466:AA1466"/>
    <mergeCell ref="AB1466:AE1466"/>
    <mergeCell ref="AF1466:AG1466"/>
    <mergeCell ref="AH1466:AI1466"/>
    <mergeCell ref="AJ1466:AK1466"/>
    <mergeCell ref="AL1466:AM1466"/>
    <mergeCell ref="BD1466:BE1466"/>
    <mergeCell ref="BF1466:BI1466"/>
    <mergeCell ref="BJ1466:BM1466"/>
    <mergeCell ref="BN1466:BV1466"/>
    <mergeCell ref="AN1466:AO1466"/>
    <mergeCell ref="AP1466:AQ1466"/>
    <mergeCell ref="AR1466:AS1466"/>
    <mergeCell ref="AT1466:AU1466"/>
    <mergeCell ref="AV1466:AW1466"/>
    <mergeCell ref="AX1466:AZ1466"/>
    <mergeCell ref="BA1466:BB1466"/>
    <mergeCell ref="B1470:C1470"/>
    <mergeCell ref="D1470:E1470"/>
    <mergeCell ref="F1470:G1470"/>
    <mergeCell ref="H1470:I1470"/>
    <mergeCell ref="P1470:Q1470"/>
    <mergeCell ref="R1470:S1470"/>
    <mergeCell ref="T1470:U1470"/>
    <mergeCell ref="B1467:C1467"/>
    <mergeCell ref="D1467:E1467"/>
    <mergeCell ref="F1467:G1467"/>
    <mergeCell ref="H1467:I1467"/>
    <mergeCell ref="J1467:K1467"/>
    <mergeCell ref="L1467:M1467"/>
    <mergeCell ref="P1467:Q1467"/>
    <mergeCell ref="AX1467:AZ1467"/>
    <mergeCell ref="BA1467:BB1467"/>
    <mergeCell ref="BD1467:BE1467"/>
    <mergeCell ref="BF1467:BI1467"/>
    <mergeCell ref="BJ1467:BM1467"/>
    <mergeCell ref="BN1467:BV1467"/>
    <mergeCell ref="AN1467:AO1467"/>
    <mergeCell ref="AP1467:AQ1467"/>
    <mergeCell ref="AR1467:AS1467"/>
    <mergeCell ref="AT1467:AU1467"/>
    <mergeCell ref="AV1467:AW1467"/>
    <mergeCell ref="R1467:S1467"/>
    <mergeCell ref="T1467:U1467"/>
    <mergeCell ref="V1467:W1467"/>
    <mergeCell ref="X1467:AA1467"/>
    <mergeCell ref="AB1467:AE1467"/>
    <mergeCell ref="AF1467:AG1467"/>
    <mergeCell ref="AH1467:AI1467"/>
    <mergeCell ref="V1468:W1468"/>
    <mergeCell ref="X1468:AA1468"/>
    <mergeCell ref="AB1468:AE1468"/>
    <mergeCell ref="AF1468:AG1468"/>
    <mergeCell ref="AH1468:AI1468"/>
    <mergeCell ref="AJ1468:AK1468"/>
    <mergeCell ref="AL1468:AM1468"/>
    <mergeCell ref="BD1468:BE1468"/>
    <mergeCell ref="BF1468:BI1468"/>
    <mergeCell ref="BJ1468:BM1468"/>
    <mergeCell ref="BN1468:BV1468"/>
    <mergeCell ref="AN1468:AO1468"/>
    <mergeCell ref="AP1468:AQ1468"/>
    <mergeCell ref="AR1468:AS1468"/>
    <mergeCell ref="AT1464:AU1464"/>
    <mergeCell ref="AV1464:AW1464"/>
    <mergeCell ref="AX1464:AZ1464"/>
    <mergeCell ref="BA1464:BB1464"/>
    <mergeCell ref="B1464:C1464"/>
    <mergeCell ref="D1464:E1464"/>
    <mergeCell ref="F1464:G1464"/>
    <mergeCell ref="H1464:I1464"/>
    <mergeCell ref="P1464:Q1464"/>
    <mergeCell ref="R1464:S1464"/>
    <mergeCell ref="T1464:U1464"/>
    <mergeCell ref="B1461:C1461"/>
    <mergeCell ref="D1461:E1461"/>
    <mergeCell ref="F1461:G1461"/>
    <mergeCell ref="H1461:I1461"/>
    <mergeCell ref="J1461:K1461"/>
    <mergeCell ref="L1465:M1465"/>
    <mergeCell ref="P1465:Q1465"/>
    <mergeCell ref="AX1465:AZ1465"/>
    <mergeCell ref="BA1465:BB1465"/>
    <mergeCell ref="BD1465:BE1465"/>
    <mergeCell ref="BF1465:BI1465"/>
    <mergeCell ref="BJ1465:BM1465"/>
    <mergeCell ref="BN1465:BV1465"/>
    <mergeCell ref="AJ1463:AK1463"/>
    <mergeCell ref="AL1463:AM1463"/>
    <mergeCell ref="AN1465:AO1465"/>
    <mergeCell ref="AP1465:AQ1465"/>
    <mergeCell ref="AR1465:AS1465"/>
    <mergeCell ref="AT1465:AU1465"/>
    <mergeCell ref="AV1465:AW1465"/>
    <mergeCell ref="R1465:S1465"/>
    <mergeCell ref="T1465:U1465"/>
    <mergeCell ref="V1465:W1465"/>
    <mergeCell ref="X1465:AA1465"/>
    <mergeCell ref="AB1465:AE1465"/>
    <mergeCell ref="AF1465:AG1465"/>
    <mergeCell ref="AH1465:AI1465"/>
    <mergeCell ref="AJ1465:AK1465"/>
    <mergeCell ref="AL1465:AM1465"/>
    <mergeCell ref="V1462:W1462"/>
    <mergeCell ref="X1462:AA1462"/>
    <mergeCell ref="AB1462:AE1462"/>
    <mergeCell ref="AF1462:AG1462"/>
    <mergeCell ref="AH1462:AI1462"/>
    <mergeCell ref="AJ1462:AK1462"/>
    <mergeCell ref="AL1462:AM1462"/>
    <mergeCell ref="BD1462:BE1462"/>
    <mergeCell ref="BF1462:BI1462"/>
    <mergeCell ref="BJ1462:BM1462"/>
    <mergeCell ref="BN1462:BV1462"/>
    <mergeCell ref="AN1462:AO1462"/>
    <mergeCell ref="AP1462:AQ1462"/>
    <mergeCell ref="AR1462:AS1462"/>
    <mergeCell ref="AT1462:AU1462"/>
    <mergeCell ref="AV1462:AW1462"/>
    <mergeCell ref="AX1462:AZ1462"/>
    <mergeCell ref="BA1462:BB1462"/>
    <mergeCell ref="B1466:C1466"/>
    <mergeCell ref="D1466:E1466"/>
    <mergeCell ref="F1466:G1466"/>
    <mergeCell ref="H1466:I1466"/>
    <mergeCell ref="P1466:Q1466"/>
    <mergeCell ref="R1466:S1466"/>
    <mergeCell ref="T1466:U1466"/>
    <mergeCell ref="B1463:C1463"/>
    <mergeCell ref="D1463:E1463"/>
    <mergeCell ref="F1463:G1463"/>
    <mergeCell ref="H1463:I1463"/>
    <mergeCell ref="J1463:K1463"/>
    <mergeCell ref="L1463:M1463"/>
    <mergeCell ref="P1463:Q1463"/>
    <mergeCell ref="AX1463:AZ1463"/>
    <mergeCell ref="BA1463:BB1463"/>
    <mergeCell ref="BD1463:BE1463"/>
    <mergeCell ref="BF1463:BI1463"/>
    <mergeCell ref="BJ1463:BM1463"/>
    <mergeCell ref="BN1463:BV1463"/>
    <mergeCell ref="AN1463:AO1463"/>
    <mergeCell ref="AP1463:AQ1463"/>
    <mergeCell ref="AR1463:AS1463"/>
    <mergeCell ref="AT1463:AU1463"/>
    <mergeCell ref="AV1463:AW1463"/>
    <mergeCell ref="R1463:S1463"/>
    <mergeCell ref="T1463:U1463"/>
    <mergeCell ref="V1463:W1463"/>
    <mergeCell ref="X1463:AA1463"/>
    <mergeCell ref="AB1463:AE1463"/>
    <mergeCell ref="AF1463:AG1463"/>
    <mergeCell ref="AH1463:AI1463"/>
    <mergeCell ref="V1464:W1464"/>
    <mergeCell ref="X1464:AA1464"/>
    <mergeCell ref="AB1464:AE1464"/>
    <mergeCell ref="AF1464:AG1464"/>
    <mergeCell ref="AH1464:AI1464"/>
    <mergeCell ref="AJ1464:AK1464"/>
    <mergeCell ref="AL1464:AM1464"/>
    <mergeCell ref="BD1464:BE1464"/>
    <mergeCell ref="BF1464:BI1464"/>
    <mergeCell ref="BJ1464:BM1464"/>
    <mergeCell ref="BN1464:BV1464"/>
    <mergeCell ref="AN1464:AO1464"/>
    <mergeCell ref="AP1464:AQ1464"/>
    <mergeCell ref="AR1464:AS1464"/>
    <mergeCell ref="AT1460:AU1460"/>
    <mergeCell ref="AV1460:AW1460"/>
    <mergeCell ref="AX1460:AZ1460"/>
    <mergeCell ref="BA1460:BB1460"/>
    <mergeCell ref="B1460:C1460"/>
    <mergeCell ref="D1460:E1460"/>
    <mergeCell ref="F1460:G1460"/>
    <mergeCell ref="H1460:I1460"/>
    <mergeCell ref="P1460:Q1460"/>
    <mergeCell ref="R1460:S1460"/>
    <mergeCell ref="T1460:U1460"/>
    <mergeCell ref="B1457:C1457"/>
    <mergeCell ref="D1457:E1457"/>
    <mergeCell ref="F1457:G1457"/>
    <mergeCell ref="H1457:I1457"/>
    <mergeCell ref="J1457:K1457"/>
    <mergeCell ref="L1461:M1461"/>
    <mergeCell ref="P1461:Q1461"/>
    <mergeCell ref="AX1461:AZ1461"/>
    <mergeCell ref="BA1461:BB1461"/>
    <mergeCell ref="BD1461:BE1461"/>
    <mergeCell ref="BF1461:BI1461"/>
    <mergeCell ref="BJ1461:BM1461"/>
    <mergeCell ref="BN1461:BV1461"/>
    <mergeCell ref="AJ1459:AK1459"/>
    <mergeCell ref="AL1459:AM1459"/>
    <mergeCell ref="AN1461:AO1461"/>
    <mergeCell ref="AP1461:AQ1461"/>
    <mergeCell ref="AR1461:AS1461"/>
    <mergeCell ref="AT1461:AU1461"/>
    <mergeCell ref="AV1461:AW1461"/>
    <mergeCell ref="R1461:S1461"/>
    <mergeCell ref="T1461:U1461"/>
    <mergeCell ref="V1461:W1461"/>
    <mergeCell ref="X1461:AA1461"/>
    <mergeCell ref="AB1461:AE1461"/>
    <mergeCell ref="AF1461:AG1461"/>
    <mergeCell ref="AH1461:AI1461"/>
    <mergeCell ref="AJ1461:AK1461"/>
    <mergeCell ref="AL1461:AM1461"/>
    <mergeCell ref="V1458:W1458"/>
    <mergeCell ref="X1458:AA1458"/>
    <mergeCell ref="AB1458:AE1458"/>
    <mergeCell ref="AF1458:AG1458"/>
    <mergeCell ref="AH1458:AI1458"/>
    <mergeCell ref="AJ1458:AK1458"/>
    <mergeCell ref="AL1458:AM1458"/>
    <mergeCell ref="BD1458:BE1458"/>
    <mergeCell ref="BF1458:BI1458"/>
    <mergeCell ref="BJ1458:BM1458"/>
    <mergeCell ref="BN1458:BV1458"/>
    <mergeCell ref="AN1458:AO1458"/>
    <mergeCell ref="AP1458:AQ1458"/>
    <mergeCell ref="AR1458:AS1458"/>
    <mergeCell ref="AT1458:AU1458"/>
    <mergeCell ref="AV1458:AW1458"/>
    <mergeCell ref="AX1458:AZ1458"/>
    <mergeCell ref="BA1458:BB1458"/>
    <mergeCell ref="B1462:C1462"/>
    <mergeCell ref="D1462:E1462"/>
    <mergeCell ref="F1462:G1462"/>
    <mergeCell ref="H1462:I1462"/>
    <mergeCell ref="P1462:Q1462"/>
    <mergeCell ref="R1462:S1462"/>
    <mergeCell ref="T1462:U1462"/>
    <mergeCell ref="B1459:C1459"/>
    <mergeCell ref="D1459:E1459"/>
    <mergeCell ref="F1459:G1459"/>
    <mergeCell ref="H1459:I1459"/>
    <mergeCell ref="J1459:K1459"/>
    <mergeCell ref="L1459:M1459"/>
    <mergeCell ref="P1459:Q1459"/>
    <mergeCell ref="AX1459:AZ1459"/>
    <mergeCell ref="BA1459:BB1459"/>
    <mergeCell ref="BD1459:BE1459"/>
    <mergeCell ref="BF1459:BI1459"/>
    <mergeCell ref="BJ1459:BM1459"/>
    <mergeCell ref="BN1459:BV1459"/>
    <mergeCell ref="AN1459:AO1459"/>
    <mergeCell ref="AP1459:AQ1459"/>
    <mergeCell ref="AR1459:AS1459"/>
    <mergeCell ref="AT1459:AU1459"/>
    <mergeCell ref="AV1459:AW1459"/>
    <mergeCell ref="R1459:S1459"/>
    <mergeCell ref="T1459:U1459"/>
    <mergeCell ref="V1459:W1459"/>
    <mergeCell ref="X1459:AA1459"/>
    <mergeCell ref="AB1459:AE1459"/>
    <mergeCell ref="AF1459:AG1459"/>
    <mergeCell ref="AH1459:AI1459"/>
    <mergeCell ref="V1460:W1460"/>
    <mergeCell ref="X1460:AA1460"/>
    <mergeCell ref="AB1460:AE1460"/>
    <mergeCell ref="AF1460:AG1460"/>
    <mergeCell ref="AH1460:AI1460"/>
    <mergeCell ref="AJ1460:AK1460"/>
    <mergeCell ref="AL1460:AM1460"/>
    <mergeCell ref="BD1460:BE1460"/>
    <mergeCell ref="BF1460:BI1460"/>
    <mergeCell ref="BJ1460:BM1460"/>
    <mergeCell ref="BN1460:BV1460"/>
    <mergeCell ref="AN1460:AO1460"/>
    <mergeCell ref="AP1460:AQ1460"/>
    <mergeCell ref="AR1460:AS1460"/>
    <mergeCell ref="AT1456:AU1456"/>
    <mergeCell ref="AV1456:AW1456"/>
    <mergeCell ref="AX1456:AZ1456"/>
    <mergeCell ref="BA1456:BB1456"/>
    <mergeCell ref="B1456:C1456"/>
    <mergeCell ref="D1456:E1456"/>
    <mergeCell ref="F1456:G1456"/>
    <mergeCell ref="H1456:I1456"/>
    <mergeCell ref="P1456:Q1456"/>
    <mergeCell ref="R1456:S1456"/>
    <mergeCell ref="T1456:U1456"/>
    <mergeCell ref="B1453:C1453"/>
    <mergeCell ref="D1453:E1453"/>
    <mergeCell ref="F1453:G1453"/>
    <mergeCell ref="H1453:I1453"/>
    <mergeCell ref="J1453:K1453"/>
    <mergeCell ref="L1457:M1457"/>
    <mergeCell ref="P1457:Q1457"/>
    <mergeCell ref="AX1457:AZ1457"/>
    <mergeCell ref="BA1457:BB1457"/>
    <mergeCell ref="BD1457:BE1457"/>
    <mergeCell ref="BF1457:BI1457"/>
    <mergeCell ref="BJ1457:BM1457"/>
    <mergeCell ref="BN1457:BV1457"/>
    <mergeCell ref="AJ1455:AK1455"/>
    <mergeCell ref="AL1455:AM1455"/>
    <mergeCell ref="AN1457:AO1457"/>
    <mergeCell ref="AP1457:AQ1457"/>
    <mergeCell ref="AR1457:AS1457"/>
    <mergeCell ref="AT1457:AU1457"/>
    <mergeCell ref="AV1457:AW1457"/>
    <mergeCell ref="R1457:S1457"/>
    <mergeCell ref="T1457:U1457"/>
    <mergeCell ref="V1457:W1457"/>
    <mergeCell ref="X1457:AA1457"/>
    <mergeCell ref="AB1457:AE1457"/>
    <mergeCell ref="AF1457:AG1457"/>
    <mergeCell ref="AH1457:AI1457"/>
    <mergeCell ref="AJ1457:AK1457"/>
    <mergeCell ref="AL1457:AM1457"/>
    <mergeCell ref="V1454:W1454"/>
    <mergeCell ref="X1454:AA1454"/>
    <mergeCell ref="AB1454:AE1454"/>
    <mergeCell ref="AF1454:AG1454"/>
    <mergeCell ref="AH1454:AI1454"/>
    <mergeCell ref="AJ1454:AK1454"/>
    <mergeCell ref="AL1454:AM1454"/>
    <mergeCell ref="BD1454:BE1454"/>
    <mergeCell ref="BF1454:BI1454"/>
    <mergeCell ref="BJ1454:BM1454"/>
    <mergeCell ref="BN1454:BV1454"/>
    <mergeCell ref="AN1454:AO1454"/>
    <mergeCell ref="AP1454:AQ1454"/>
    <mergeCell ref="AR1454:AS1454"/>
    <mergeCell ref="AT1454:AU1454"/>
    <mergeCell ref="AV1454:AW1454"/>
    <mergeCell ref="AX1454:AZ1454"/>
    <mergeCell ref="BA1454:BB1454"/>
    <mergeCell ref="B1458:C1458"/>
    <mergeCell ref="D1458:E1458"/>
    <mergeCell ref="F1458:G1458"/>
    <mergeCell ref="H1458:I1458"/>
    <mergeCell ref="P1458:Q1458"/>
    <mergeCell ref="R1458:S1458"/>
    <mergeCell ref="T1458:U1458"/>
    <mergeCell ref="B1455:C1455"/>
    <mergeCell ref="D1455:E1455"/>
    <mergeCell ref="F1455:G1455"/>
    <mergeCell ref="H1455:I1455"/>
    <mergeCell ref="J1455:K1455"/>
    <mergeCell ref="L1455:M1455"/>
    <mergeCell ref="P1455:Q1455"/>
    <mergeCell ref="AX1455:AZ1455"/>
    <mergeCell ref="BA1455:BB1455"/>
    <mergeCell ref="BD1455:BE1455"/>
    <mergeCell ref="BF1455:BI1455"/>
    <mergeCell ref="BJ1455:BM1455"/>
    <mergeCell ref="BN1455:BV1455"/>
    <mergeCell ref="AN1455:AO1455"/>
    <mergeCell ref="AP1455:AQ1455"/>
    <mergeCell ref="AR1455:AS1455"/>
    <mergeCell ref="AT1455:AU1455"/>
    <mergeCell ref="AV1455:AW1455"/>
    <mergeCell ref="R1455:S1455"/>
    <mergeCell ref="T1455:U1455"/>
    <mergeCell ref="V1455:W1455"/>
    <mergeCell ref="X1455:AA1455"/>
    <mergeCell ref="AB1455:AE1455"/>
    <mergeCell ref="AF1455:AG1455"/>
    <mergeCell ref="AH1455:AI1455"/>
    <mergeCell ref="V1456:W1456"/>
    <mergeCell ref="X1456:AA1456"/>
    <mergeCell ref="AB1456:AE1456"/>
    <mergeCell ref="AF1456:AG1456"/>
    <mergeCell ref="AH1456:AI1456"/>
    <mergeCell ref="AJ1456:AK1456"/>
    <mergeCell ref="AL1456:AM1456"/>
    <mergeCell ref="BD1456:BE1456"/>
    <mergeCell ref="BF1456:BI1456"/>
    <mergeCell ref="BJ1456:BM1456"/>
    <mergeCell ref="BN1456:BV1456"/>
    <mergeCell ref="AN1456:AO1456"/>
    <mergeCell ref="AP1456:AQ1456"/>
    <mergeCell ref="AR1456:AS1456"/>
    <mergeCell ref="AT1452:AU1452"/>
    <mergeCell ref="AV1452:AW1452"/>
    <mergeCell ref="AX1452:AZ1452"/>
    <mergeCell ref="BA1452:BB1452"/>
    <mergeCell ref="B1452:C1452"/>
    <mergeCell ref="D1452:E1452"/>
    <mergeCell ref="F1452:G1452"/>
    <mergeCell ref="H1452:I1452"/>
    <mergeCell ref="P1452:Q1452"/>
    <mergeCell ref="R1452:S1452"/>
    <mergeCell ref="T1452:U1452"/>
    <mergeCell ref="B1449:C1449"/>
    <mergeCell ref="D1449:E1449"/>
    <mergeCell ref="F1449:G1449"/>
    <mergeCell ref="H1449:I1449"/>
    <mergeCell ref="J1449:K1449"/>
    <mergeCell ref="L1453:M1453"/>
    <mergeCell ref="P1453:Q1453"/>
    <mergeCell ref="AX1453:AZ1453"/>
    <mergeCell ref="BA1453:BB1453"/>
    <mergeCell ref="BD1453:BE1453"/>
    <mergeCell ref="BF1453:BI1453"/>
    <mergeCell ref="BJ1453:BM1453"/>
    <mergeCell ref="BN1453:BV1453"/>
    <mergeCell ref="AJ1451:AK1451"/>
    <mergeCell ref="AL1451:AM1451"/>
    <mergeCell ref="AN1453:AO1453"/>
    <mergeCell ref="AP1453:AQ1453"/>
    <mergeCell ref="AR1453:AS1453"/>
    <mergeCell ref="AT1453:AU1453"/>
    <mergeCell ref="AV1453:AW1453"/>
    <mergeCell ref="R1453:S1453"/>
    <mergeCell ref="T1453:U1453"/>
    <mergeCell ref="V1453:W1453"/>
    <mergeCell ref="X1453:AA1453"/>
    <mergeCell ref="AB1453:AE1453"/>
    <mergeCell ref="AF1453:AG1453"/>
    <mergeCell ref="AH1453:AI1453"/>
    <mergeCell ref="AJ1453:AK1453"/>
    <mergeCell ref="AL1453:AM1453"/>
    <mergeCell ref="V1450:W1450"/>
    <mergeCell ref="X1450:AA1450"/>
    <mergeCell ref="AB1450:AE1450"/>
    <mergeCell ref="AF1450:AG1450"/>
    <mergeCell ref="AH1450:AI1450"/>
    <mergeCell ref="AJ1450:AK1450"/>
    <mergeCell ref="AL1450:AM1450"/>
    <mergeCell ref="BD1450:BE1450"/>
    <mergeCell ref="BF1450:BI1450"/>
    <mergeCell ref="BJ1450:BM1450"/>
    <mergeCell ref="BN1450:BV1450"/>
    <mergeCell ref="AN1450:AO1450"/>
    <mergeCell ref="AP1450:AQ1450"/>
    <mergeCell ref="AR1450:AS1450"/>
    <mergeCell ref="AT1450:AU1450"/>
    <mergeCell ref="AV1450:AW1450"/>
    <mergeCell ref="AX1450:AZ1450"/>
    <mergeCell ref="BA1450:BB1450"/>
    <mergeCell ref="B1454:C1454"/>
    <mergeCell ref="D1454:E1454"/>
    <mergeCell ref="F1454:G1454"/>
    <mergeCell ref="H1454:I1454"/>
    <mergeCell ref="P1454:Q1454"/>
    <mergeCell ref="R1454:S1454"/>
    <mergeCell ref="T1454:U1454"/>
    <mergeCell ref="B1451:C1451"/>
    <mergeCell ref="D1451:E1451"/>
    <mergeCell ref="F1451:G1451"/>
    <mergeCell ref="H1451:I1451"/>
    <mergeCell ref="J1451:K1451"/>
    <mergeCell ref="L1451:M1451"/>
    <mergeCell ref="P1451:Q1451"/>
    <mergeCell ref="AX1451:AZ1451"/>
    <mergeCell ref="BA1451:BB1451"/>
    <mergeCell ref="BD1451:BE1451"/>
    <mergeCell ref="BF1451:BI1451"/>
    <mergeCell ref="BJ1451:BM1451"/>
    <mergeCell ref="BN1451:BV1451"/>
    <mergeCell ref="AN1451:AO1451"/>
    <mergeCell ref="AP1451:AQ1451"/>
    <mergeCell ref="AR1451:AS1451"/>
    <mergeCell ref="AT1451:AU1451"/>
    <mergeCell ref="AV1451:AW1451"/>
    <mergeCell ref="R1451:S1451"/>
    <mergeCell ref="T1451:U1451"/>
    <mergeCell ref="V1451:W1451"/>
    <mergeCell ref="X1451:AA1451"/>
    <mergeCell ref="AB1451:AE1451"/>
    <mergeCell ref="AF1451:AG1451"/>
    <mergeCell ref="AH1451:AI1451"/>
    <mergeCell ref="V1452:W1452"/>
    <mergeCell ref="X1452:AA1452"/>
    <mergeCell ref="AB1452:AE1452"/>
    <mergeCell ref="AF1452:AG1452"/>
    <mergeCell ref="AH1452:AI1452"/>
    <mergeCell ref="AJ1452:AK1452"/>
    <mergeCell ref="AL1452:AM1452"/>
    <mergeCell ref="BD1452:BE1452"/>
    <mergeCell ref="BF1452:BI1452"/>
    <mergeCell ref="BJ1452:BM1452"/>
    <mergeCell ref="BN1452:BV1452"/>
    <mergeCell ref="AN1452:AO1452"/>
    <mergeCell ref="AP1452:AQ1452"/>
    <mergeCell ref="AR1452:AS1452"/>
    <mergeCell ref="AT1448:AU1448"/>
    <mergeCell ref="AV1448:AW1448"/>
    <mergeCell ref="AX1448:AZ1448"/>
    <mergeCell ref="BA1448:BB1448"/>
    <mergeCell ref="B1448:C1448"/>
    <mergeCell ref="D1448:E1448"/>
    <mergeCell ref="F1448:G1448"/>
    <mergeCell ref="H1448:I1448"/>
    <mergeCell ref="P1448:Q1448"/>
    <mergeCell ref="R1448:S1448"/>
    <mergeCell ref="T1448:U1448"/>
    <mergeCell ref="B1445:C1445"/>
    <mergeCell ref="D1445:E1445"/>
    <mergeCell ref="F1445:G1445"/>
    <mergeCell ref="H1445:I1445"/>
    <mergeCell ref="J1445:K1445"/>
    <mergeCell ref="L1449:M1449"/>
    <mergeCell ref="P1449:Q1449"/>
    <mergeCell ref="AX1449:AZ1449"/>
    <mergeCell ref="BA1449:BB1449"/>
    <mergeCell ref="BD1449:BE1449"/>
    <mergeCell ref="BF1449:BI1449"/>
    <mergeCell ref="BJ1449:BM1449"/>
    <mergeCell ref="BN1449:BV1449"/>
    <mergeCell ref="AJ1447:AK1447"/>
    <mergeCell ref="AL1447:AM1447"/>
    <mergeCell ref="AN1449:AO1449"/>
    <mergeCell ref="AP1449:AQ1449"/>
    <mergeCell ref="AR1449:AS1449"/>
    <mergeCell ref="AT1449:AU1449"/>
    <mergeCell ref="AV1449:AW1449"/>
    <mergeCell ref="R1449:S1449"/>
    <mergeCell ref="T1449:U1449"/>
    <mergeCell ref="V1449:W1449"/>
    <mergeCell ref="X1449:AA1449"/>
    <mergeCell ref="AB1449:AE1449"/>
    <mergeCell ref="AF1449:AG1449"/>
    <mergeCell ref="AH1449:AI1449"/>
    <mergeCell ref="AJ1449:AK1449"/>
    <mergeCell ref="AL1449:AM1449"/>
    <mergeCell ref="V1446:W1446"/>
    <mergeCell ref="X1446:AA1446"/>
    <mergeCell ref="AB1446:AE1446"/>
    <mergeCell ref="AF1446:AG1446"/>
    <mergeCell ref="AH1446:AI1446"/>
    <mergeCell ref="AJ1446:AK1446"/>
    <mergeCell ref="AL1446:AM1446"/>
    <mergeCell ref="BD1446:BE1446"/>
    <mergeCell ref="BF1446:BI1446"/>
    <mergeCell ref="BJ1446:BM1446"/>
    <mergeCell ref="BN1446:BV1446"/>
    <mergeCell ref="AN1446:AO1446"/>
    <mergeCell ref="AP1446:AQ1446"/>
    <mergeCell ref="AR1446:AS1446"/>
    <mergeCell ref="AT1446:AU1446"/>
    <mergeCell ref="AV1446:AW1446"/>
    <mergeCell ref="AX1446:AZ1446"/>
    <mergeCell ref="BA1446:BB1446"/>
    <mergeCell ref="B1450:C1450"/>
    <mergeCell ref="D1450:E1450"/>
    <mergeCell ref="F1450:G1450"/>
    <mergeCell ref="H1450:I1450"/>
    <mergeCell ref="P1450:Q1450"/>
    <mergeCell ref="R1450:S1450"/>
    <mergeCell ref="T1450:U1450"/>
    <mergeCell ref="B1447:C1447"/>
    <mergeCell ref="D1447:E1447"/>
    <mergeCell ref="F1447:G1447"/>
    <mergeCell ref="H1447:I1447"/>
    <mergeCell ref="J1447:K1447"/>
    <mergeCell ref="L1447:M1447"/>
    <mergeCell ref="P1447:Q1447"/>
    <mergeCell ref="AX1447:AZ1447"/>
    <mergeCell ref="BA1447:BB1447"/>
    <mergeCell ref="BD1447:BE1447"/>
    <mergeCell ref="BF1447:BI1447"/>
    <mergeCell ref="BJ1447:BM1447"/>
    <mergeCell ref="BN1447:BV1447"/>
    <mergeCell ref="AN1447:AO1447"/>
    <mergeCell ref="AP1447:AQ1447"/>
    <mergeCell ref="AR1447:AS1447"/>
    <mergeCell ref="AT1447:AU1447"/>
    <mergeCell ref="AV1447:AW1447"/>
    <mergeCell ref="R1447:S1447"/>
    <mergeCell ref="T1447:U1447"/>
    <mergeCell ref="V1447:W1447"/>
    <mergeCell ref="X1447:AA1447"/>
    <mergeCell ref="AB1447:AE1447"/>
    <mergeCell ref="AF1447:AG1447"/>
    <mergeCell ref="AH1447:AI1447"/>
    <mergeCell ref="V1448:W1448"/>
    <mergeCell ref="X1448:AA1448"/>
    <mergeCell ref="AB1448:AE1448"/>
    <mergeCell ref="AF1448:AG1448"/>
    <mergeCell ref="AH1448:AI1448"/>
    <mergeCell ref="AJ1448:AK1448"/>
    <mergeCell ref="AL1448:AM1448"/>
    <mergeCell ref="BD1448:BE1448"/>
    <mergeCell ref="BF1448:BI1448"/>
    <mergeCell ref="BJ1448:BM1448"/>
    <mergeCell ref="BN1448:BV1448"/>
    <mergeCell ref="AN1448:AO1448"/>
    <mergeCell ref="AP1448:AQ1448"/>
    <mergeCell ref="AR1448:AS1448"/>
    <mergeCell ref="AT1444:AU1444"/>
    <mergeCell ref="AV1444:AW1444"/>
    <mergeCell ref="AX1444:AZ1444"/>
    <mergeCell ref="BA1444:BB1444"/>
    <mergeCell ref="B1444:C1444"/>
    <mergeCell ref="D1444:E1444"/>
    <mergeCell ref="F1444:G1444"/>
    <mergeCell ref="H1444:I1444"/>
    <mergeCell ref="P1444:Q1444"/>
    <mergeCell ref="R1444:S1444"/>
    <mergeCell ref="T1444:U1444"/>
    <mergeCell ref="B1441:C1441"/>
    <mergeCell ref="D1441:E1441"/>
    <mergeCell ref="F1441:G1441"/>
    <mergeCell ref="H1441:I1441"/>
    <mergeCell ref="J1441:K1441"/>
    <mergeCell ref="L1445:M1445"/>
    <mergeCell ref="P1445:Q1445"/>
    <mergeCell ref="AX1445:AZ1445"/>
    <mergeCell ref="BA1445:BB1445"/>
    <mergeCell ref="BD1445:BE1445"/>
    <mergeCell ref="BF1445:BI1445"/>
    <mergeCell ref="BJ1445:BM1445"/>
    <mergeCell ref="BN1445:BV1445"/>
    <mergeCell ref="AJ1443:AK1443"/>
    <mergeCell ref="AL1443:AM1443"/>
    <mergeCell ref="AN1445:AO1445"/>
    <mergeCell ref="AP1445:AQ1445"/>
    <mergeCell ref="AR1445:AS1445"/>
    <mergeCell ref="AT1445:AU1445"/>
    <mergeCell ref="AV1445:AW1445"/>
    <mergeCell ref="R1445:S1445"/>
    <mergeCell ref="T1445:U1445"/>
    <mergeCell ref="V1445:W1445"/>
    <mergeCell ref="X1445:AA1445"/>
    <mergeCell ref="AB1445:AE1445"/>
    <mergeCell ref="AF1445:AG1445"/>
    <mergeCell ref="AH1445:AI1445"/>
    <mergeCell ref="AJ1445:AK1445"/>
    <mergeCell ref="AL1445:AM1445"/>
    <mergeCell ref="V1442:W1442"/>
    <mergeCell ref="X1442:AA1442"/>
    <mergeCell ref="AB1442:AE1442"/>
    <mergeCell ref="AF1442:AG1442"/>
    <mergeCell ref="AH1442:AI1442"/>
    <mergeCell ref="AJ1442:AK1442"/>
    <mergeCell ref="AL1442:AM1442"/>
    <mergeCell ref="BD1442:BE1442"/>
    <mergeCell ref="BF1442:BI1442"/>
    <mergeCell ref="BJ1442:BM1442"/>
    <mergeCell ref="BN1442:BV1442"/>
    <mergeCell ref="AN1442:AO1442"/>
    <mergeCell ref="AP1442:AQ1442"/>
    <mergeCell ref="AR1442:AS1442"/>
    <mergeCell ref="AT1442:AU1442"/>
    <mergeCell ref="AV1442:AW1442"/>
    <mergeCell ref="AX1442:AZ1442"/>
    <mergeCell ref="BA1442:BB1442"/>
    <mergeCell ref="B1446:C1446"/>
    <mergeCell ref="D1446:E1446"/>
    <mergeCell ref="F1446:G1446"/>
    <mergeCell ref="H1446:I1446"/>
    <mergeCell ref="P1446:Q1446"/>
    <mergeCell ref="R1446:S1446"/>
    <mergeCell ref="T1446:U1446"/>
    <mergeCell ref="B1443:C1443"/>
    <mergeCell ref="D1443:E1443"/>
    <mergeCell ref="F1443:G1443"/>
    <mergeCell ref="H1443:I1443"/>
    <mergeCell ref="J1443:K1443"/>
    <mergeCell ref="L1443:M1443"/>
    <mergeCell ref="P1443:Q1443"/>
    <mergeCell ref="AX1443:AZ1443"/>
    <mergeCell ref="BA1443:BB1443"/>
    <mergeCell ref="BD1443:BE1443"/>
    <mergeCell ref="BF1443:BI1443"/>
    <mergeCell ref="BJ1443:BM1443"/>
    <mergeCell ref="BN1443:BV1443"/>
    <mergeCell ref="AN1443:AO1443"/>
    <mergeCell ref="AP1443:AQ1443"/>
    <mergeCell ref="AR1443:AS1443"/>
    <mergeCell ref="AT1443:AU1443"/>
    <mergeCell ref="AV1443:AW1443"/>
    <mergeCell ref="R1443:S1443"/>
    <mergeCell ref="T1443:U1443"/>
    <mergeCell ref="V1443:W1443"/>
    <mergeCell ref="X1443:AA1443"/>
    <mergeCell ref="AB1443:AE1443"/>
    <mergeCell ref="AF1443:AG1443"/>
    <mergeCell ref="AH1443:AI1443"/>
    <mergeCell ref="V1444:W1444"/>
    <mergeCell ref="X1444:AA1444"/>
    <mergeCell ref="AB1444:AE1444"/>
    <mergeCell ref="AF1444:AG1444"/>
    <mergeCell ref="AH1444:AI1444"/>
    <mergeCell ref="AJ1444:AK1444"/>
    <mergeCell ref="AL1444:AM1444"/>
    <mergeCell ref="BD1444:BE1444"/>
    <mergeCell ref="BF1444:BI1444"/>
    <mergeCell ref="BJ1444:BM1444"/>
    <mergeCell ref="BN1444:BV1444"/>
    <mergeCell ref="AN1444:AO1444"/>
    <mergeCell ref="AP1444:AQ1444"/>
    <mergeCell ref="AR1444:AS1444"/>
    <mergeCell ref="AT1440:AU1440"/>
    <mergeCell ref="AV1440:AW1440"/>
    <mergeCell ref="AX1440:AZ1440"/>
    <mergeCell ref="BA1440:BB1440"/>
    <mergeCell ref="B1440:C1440"/>
    <mergeCell ref="D1440:E1440"/>
    <mergeCell ref="F1440:G1440"/>
    <mergeCell ref="H1440:I1440"/>
    <mergeCell ref="P1440:Q1440"/>
    <mergeCell ref="R1440:S1440"/>
    <mergeCell ref="T1440:U1440"/>
    <mergeCell ref="B1437:C1437"/>
    <mergeCell ref="D1437:E1437"/>
    <mergeCell ref="F1437:G1437"/>
    <mergeCell ref="H1437:I1437"/>
    <mergeCell ref="J1437:K1437"/>
    <mergeCell ref="L1441:M1441"/>
    <mergeCell ref="P1441:Q1441"/>
    <mergeCell ref="AX1441:AZ1441"/>
    <mergeCell ref="BA1441:BB1441"/>
    <mergeCell ref="BD1441:BE1441"/>
    <mergeCell ref="BF1441:BI1441"/>
    <mergeCell ref="BJ1441:BM1441"/>
    <mergeCell ref="BN1441:BV1441"/>
    <mergeCell ref="AJ1439:AK1439"/>
    <mergeCell ref="AL1439:AM1439"/>
    <mergeCell ref="AN1441:AO1441"/>
    <mergeCell ref="AP1441:AQ1441"/>
    <mergeCell ref="AR1441:AS1441"/>
    <mergeCell ref="AT1441:AU1441"/>
    <mergeCell ref="AV1441:AW1441"/>
    <mergeCell ref="R1441:S1441"/>
    <mergeCell ref="T1441:U1441"/>
    <mergeCell ref="V1441:W1441"/>
    <mergeCell ref="X1441:AA1441"/>
    <mergeCell ref="AB1441:AE1441"/>
    <mergeCell ref="AF1441:AG1441"/>
    <mergeCell ref="AH1441:AI1441"/>
    <mergeCell ref="AJ1441:AK1441"/>
    <mergeCell ref="AL1441:AM1441"/>
    <mergeCell ref="V1438:W1438"/>
    <mergeCell ref="X1438:AA1438"/>
    <mergeCell ref="AB1438:AE1438"/>
    <mergeCell ref="AF1438:AG1438"/>
    <mergeCell ref="AH1438:AI1438"/>
    <mergeCell ref="AJ1438:AK1438"/>
    <mergeCell ref="AL1438:AM1438"/>
    <mergeCell ref="BD1438:BE1438"/>
    <mergeCell ref="BF1438:BI1438"/>
    <mergeCell ref="BJ1438:BM1438"/>
    <mergeCell ref="BN1438:BV1438"/>
    <mergeCell ref="AN1438:AO1438"/>
    <mergeCell ref="AP1438:AQ1438"/>
    <mergeCell ref="AR1438:AS1438"/>
    <mergeCell ref="AT1438:AU1438"/>
    <mergeCell ref="AV1438:AW1438"/>
    <mergeCell ref="AX1438:AZ1438"/>
    <mergeCell ref="BA1438:BB1438"/>
    <mergeCell ref="B1442:C1442"/>
    <mergeCell ref="D1442:E1442"/>
    <mergeCell ref="F1442:G1442"/>
    <mergeCell ref="H1442:I1442"/>
    <mergeCell ref="P1442:Q1442"/>
    <mergeCell ref="R1442:S1442"/>
    <mergeCell ref="T1442:U1442"/>
    <mergeCell ref="B1439:C1439"/>
    <mergeCell ref="D1439:E1439"/>
    <mergeCell ref="F1439:G1439"/>
    <mergeCell ref="H1439:I1439"/>
    <mergeCell ref="J1439:K1439"/>
    <mergeCell ref="L1439:M1439"/>
    <mergeCell ref="P1439:Q1439"/>
    <mergeCell ref="AX1439:AZ1439"/>
    <mergeCell ref="BA1439:BB1439"/>
    <mergeCell ref="BD1439:BE1439"/>
    <mergeCell ref="BF1439:BI1439"/>
    <mergeCell ref="BJ1439:BM1439"/>
    <mergeCell ref="BN1439:BV1439"/>
    <mergeCell ref="AN1439:AO1439"/>
    <mergeCell ref="AP1439:AQ1439"/>
    <mergeCell ref="AR1439:AS1439"/>
    <mergeCell ref="AT1439:AU1439"/>
    <mergeCell ref="AV1439:AW1439"/>
    <mergeCell ref="R1439:S1439"/>
    <mergeCell ref="T1439:U1439"/>
    <mergeCell ref="V1439:W1439"/>
    <mergeCell ref="X1439:AA1439"/>
    <mergeCell ref="AB1439:AE1439"/>
    <mergeCell ref="AF1439:AG1439"/>
    <mergeCell ref="AH1439:AI1439"/>
    <mergeCell ref="V1440:W1440"/>
    <mergeCell ref="X1440:AA1440"/>
    <mergeCell ref="AB1440:AE1440"/>
    <mergeCell ref="AF1440:AG1440"/>
    <mergeCell ref="AH1440:AI1440"/>
    <mergeCell ref="AJ1440:AK1440"/>
    <mergeCell ref="AL1440:AM1440"/>
    <mergeCell ref="BD1440:BE1440"/>
    <mergeCell ref="BF1440:BI1440"/>
    <mergeCell ref="BJ1440:BM1440"/>
    <mergeCell ref="BN1440:BV1440"/>
    <mergeCell ref="AN1440:AO1440"/>
    <mergeCell ref="AP1440:AQ1440"/>
    <mergeCell ref="AR1440:AS1440"/>
    <mergeCell ref="AT1436:AU1436"/>
    <mergeCell ref="AV1436:AW1436"/>
    <mergeCell ref="AX1436:AZ1436"/>
    <mergeCell ref="BA1436:BB1436"/>
    <mergeCell ref="B1436:C1436"/>
    <mergeCell ref="D1436:E1436"/>
    <mergeCell ref="F1436:G1436"/>
    <mergeCell ref="H1436:I1436"/>
    <mergeCell ref="P1436:Q1436"/>
    <mergeCell ref="R1436:S1436"/>
    <mergeCell ref="T1436:U1436"/>
    <mergeCell ref="B1433:C1433"/>
    <mergeCell ref="D1433:E1433"/>
    <mergeCell ref="F1433:G1433"/>
    <mergeCell ref="H1433:I1433"/>
    <mergeCell ref="J1433:K1433"/>
    <mergeCell ref="L1437:M1437"/>
    <mergeCell ref="P1437:Q1437"/>
    <mergeCell ref="AX1437:AZ1437"/>
    <mergeCell ref="BA1437:BB1437"/>
    <mergeCell ref="BD1437:BE1437"/>
    <mergeCell ref="BF1437:BI1437"/>
    <mergeCell ref="BJ1437:BM1437"/>
    <mergeCell ref="BN1437:BV1437"/>
    <mergeCell ref="AJ1435:AK1435"/>
    <mergeCell ref="AL1435:AM1435"/>
    <mergeCell ref="AN1437:AO1437"/>
    <mergeCell ref="AP1437:AQ1437"/>
    <mergeCell ref="AR1437:AS1437"/>
    <mergeCell ref="AT1437:AU1437"/>
    <mergeCell ref="AV1437:AW1437"/>
    <mergeCell ref="R1437:S1437"/>
    <mergeCell ref="T1437:U1437"/>
    <mergeCell ref="V1437:W1437"/>
    <mergeCell ref="X1437:AA1437"/>
    <mergeCell ref="AB1437:AE1437"/>
    <mergeCell ref="AF1437:AG1437"/>
    <mergeCell ref="AH1437:AI1437"/>
    <mergeCell ref="AJ1437:AK1437"/>
    <mergeCell ref="AL1437:AM1437"/>
    <mergeCell ref="V1434:W1434"/>
    <mergeCell ref="X1434:AA1434"/>
    <mergeCell ref="AB1434:AE1434"/>
    <mergeCell ref="AF1434:AG1434"/>
    <mergeCell ref="AH1434:AI1434"/>
    <mergeCell ref="AJ1434:AK1434"/>
    <mergeCell ref="AL1434:AM1434"/>
    <mergeCell ref="BD1434:BE1434"/>
    <mergeCell ref="BF1434:BI1434"/>
    <mergeCell ref="BJ1434:BM1434"/>
    <mergeCell ref="BN1434:BV1434"/>
    <mergeCell ref="AN1434:AO1434"/>
    <mergeCell ref="AP1434:AQ1434"/>
    <mergeCell ref="AR1434:AS1434"/>
    <mergeCell ref="AT1434:AU1434"/>
    <mergeCell ref="AV1434:AW1434"/>
    <mergeCell ref="AX1434:AZ1434"/>
    <mergeCell ref="BA1434:BB1434"/>
    <mergeCell ref="B1438:C1438"/>
    <mergeCell ref="D1438:E1438"/>
    <mergeCell ref="F1438:G1438"/>
    <mergeCell ref="H1438:I1438"/>
    <mergeCell ref="P1438:Q1438"/>
    <mergeCell ref="R1438:S1438"/>
    <mergeCell ref="T1438:U1438"/>
    <mergeCell ref="B1435:C1435"/>
    <mergeCell ref="D1435:E1435"/>
    <mergeCell ref="F1435:G1435"/>
    <mergeCell ref="H1435:I1435"/>
    <mergeCell ref="J1435:K1435"/>
    <mergeCell ref="L1435:M1435"/>
    <mergeCell ref="P1435:Q1435"/>
    <mergeCell ref="AX1435:AZ1435"/>
    <mergeCell ref="BA1435:BB1435"/>
    <mergeCell ref="BD1435:BE1435"/>
    <mergeCell ref="BF1435:BI1435"/>
    <mergeCell ref="BJ1435:BM1435"/>
    <mergeCell ref="BN1435:BV1435"/>
    <mergeCell ref="AN1435:AO1435"/>
    <mergeCell ref="AP1435:AQ1435"/>
    <mergeCell ref="AR1435:AS1435"/>
    <mergeCell ref="AT1435:AU1435"/>
    <mergeCell ref="AV1435:AW1435"/>
    <mergeCell ref="R1435:S1435"/>
    <mergeCell ref="T1435:U1435"/>
    <mergeCell ref="V1435:W1435"/>
    <mergeCell ref="X1435:AA1435"/>
    <mergeCell ref="AB1435:AE1435"/>
    <mergeCell ref="AF1435:AG1435"/>
    <mergeCell ref="AH1435:AI1435"/>
    <mergeCell ref="V1436:W1436"/>
    <mergeCell ref="X1436:AA1436"/>
    <mergeCell ref="AB1436:AE1436"/>
    <mergeCell ref="AF1436:AG1436"/>
    <mergeCell ref="AH1436:AI1436"/>
    <mergeCell ref="AJ1436:AK1436"/>
    <mergeCell ref="AL1436:AM1436"/>
    <mergeCell ref="BD1436:BE1436"/>
    <mergeCell ref="BF1436:BI1436"/>
    <mergeCell ref="BJ1436:BM1436"/>
    <mergeCell ref="BN1436:BV1436"/>
    <mergeCell ref="AN1436:AO1436"/>
    <mergeCell ref="AP1436:AQ1436"/>
    <mergeCell ref="AR1436:AS1436"/>
    <mergeCell ref="AT1432:AU1432"/>
    <mergeCell ref="AV1432:AW1432"/>
    <mergeCell ref="AX1432:AZ1432"/>
    <mergeCell ref="BA1432:BB1432"/>
    <mergeCell ref="B1432:C1432"/>
    <mergeCell ref="D1432:E1432"/>
    <mergeCell ref="F1432:G1432"/>
    <mergeCell ref="H1432:I1432"/>
    <mergeCell ref="P1432:Q1432"/>
    <mergeCell ref="R1432:S1432"/>
    <mergeCell ref="T1432:U1432"/>
    <mergeCell ref="B1429:C1429"/>
    <mergeCell ref="D1429:E1429"/>
    <mergeCell ref="F1429:G1429"/>
    <mergeCell ref="H1429:I1429"/>
    <mergeCell ref="J1429:K1429"/>
    <mergeCell ref="L1433:M1433"/>
    <mergeCell ref="P1433:Q1433"/>
    <mergeCell ref="AX1433:AZ1433"/>
    <mergeCell ref="BA1433:BB1433"/>
    <mergeCell ref="BD1433:BE1433"/>
    <mergeCell ref="BF1433:BI1433"/>
    <mergeCell ref="BJ1433:BM1433"/>
    <mergeCell ref="BN1433:BV1433"/>
    <mergeCell ref="AJ1431:AK1431"/>
    <mergeCell ref="AL1431:AM1431"/>
    <mergeCell ref="AN1433:AO1433"/>
    <mergeCell ref="AP1433:AQ1433"/>
    <mergeCell ref="AR1433:AS1433"/>
    <mergeCell ref="AT1433:AU1433"/>
    <mergeCell ref="AV1433:AW1433"/>
    <mergeCell ref="R1433:S1433"/>
    <mergeCell ref="T1433:U1433"/>
    <mergeCell ref="V1433:W1433"/>
    <mergeCell ref="X1433:AA1433"/>
    <mergeCell ref="AB1433:AE1433"/>
    <mergeCell ref="AF1433:AG1433"/>
    <mergeCell ref="AH1433:AI1433"/>
    <mergeCell ref="AJ1433:AK1433"/>
    <mergeCell ref="AL1433:AM1433"/>
    <mergeCell ref="V1430:W1430"/>
    <mergeCell ref="X1430:AA1430"/>
    <mergeCell ref="AB1430:AE1430"/>
    <mergeCell ref="AF1430:AG1430"/>
    <mergeCell ref="AH1430:AI1430"/>
    <mergeCell ref="AJ1430:AK1430"/>
    <mergeCell ref="AL1430:AM1430"/>
    <mergeCell ref="BD1430:BE1430"/>
    <mergeCell ref="BF1430:BI1430"/>
    <mergeCell ref="BJ1430:BM1430"/>
    <mergeCell ref="BN1430:BV1430"/>
    <mergeCell ref="AN1430:AO1430"/>
    <mergeCell ref="AP1430:AQ1430"/>
    <mergeCell ref="AR1430:AS1430"/>
    <mergeCell ref="AT1430:AU1430"/>
    <mergeCell ref="AV1430:AW1430"/>
    <mergeCell ref="AX1430:AZ1430"/>
    <mergeCell ref="BA1430:BB1430"/>
    <mergeCell ref="B1434:C1434"/>
    <mergeCell ref="D1434:E1434"/>
    <mergeCell ref="F1434:G1434"/>
    <mergeCell ref="H1434:I1434"/>
    <mergeCell ref="P1434:Q1434"/>
    <mergeCell ref="R1434:S1434"/>
    <mergeCell ref="T1434:U1434"/>
    <mergeCell ref="B1431:C1431"/>
    <mergeCell ref="D1431:E1431"/>
    <mergeCell ref="F1431:G1431"/>
    <mergeCell ref="H1431:I1431"/>
    <mergeCell ref="J1431:K1431"/>
    <mergeCell ref="L1431:M1431"/>
    <mergeCell ref="P1431:Q1431"/>
    <mergeCell ref="AX1431:AZ1431"/>
    <mergeCell ref="BA1431:BB1431"/>
    <mergeCell ref="BD1431:BE1431"/>
    <mergeCell ref="BF1431:BI1431"/>
    <mergeCell ref="BJ1431:BM1431"/>
    <mergeCell ref="BN1431:BV1431"/>
    <mergeCell ref="AN1431:AO1431"/>
    <mergeCell ref="AP1431:AQ1431"/>
    <mergeCell ref="AR1431:AS1431"/>
    <mergeCell ref="AT1431:AU1431"/>
    <mergeCell ref="AV1431:AW1431"/>
    <mergeCell ref="R1431:S1431"/>
    <mergeCell ref="T1431:U1431"/>
    <mergeCell ref="V1431:W1431"/>
    <mergeCell ref="X1431:AA1431"/>
    <mergeCell ref="AB1431:AE1431"/>
    <mergeCell ref="AF1431:AG1431"/>
    <mergeCell ref="AH1431:AI1431"/>
    <mergeCell ref="V1432:W1432"/>
    <mergeCell ref="X1432:AA1432"/>
    <mergeCell ref="AB1432:AE1432"/>
    <mergeCell ref="AF1432:AG1432"/>
    <mergeCell ref="AH1432:AI1432"/>
    <mergeCell ref="AJ1432:AK1432"/>
    <mergeCell ref="AL1432:AM1432"/>
    <mergeCell ref="BD1432:BE1432"/>
    <mergeCell ref="BF1432:BI1432"/>
    <mergeCell ref="BJ1432:BM1432"/>
    <mergeCell ref="BN1432:BV1432"/>
    <mergeCell ref="AN1432:AO1432"/>
    <mergeCell ref="AP1432:AQ1432"/>
    <mergeCell ref="AR1432:AS1432"/>
    <mergeCell ref="AT1428:AU1428"/>
    <mergeCell ref="AV1428:AW1428"/>
    <mergeCell ref="AX1428:AZ1428"/>
    <mergeCell ref="BA1428:BB1428"/>
    <mergeCell ref="B1428:C1428"/>
    <mergeCell ref="D1428:E1428"/>
    <mergeCell ref="F1428:G1428"/>
    <mergeCell ref="H1428:I1428"/>
    <mergeCell ref="P1428:Q1428"/>
    <mergeCell ref="R1428:S1428"/>
    <mergeCell ref="T1428:U1428"/>
    <mergeCell ref="B1425:C1425"/>
    <mergeCell ref="D1425:E1425"/>
    <mergeCell ref="F1425:G1425"/>
    <mergeCell ref="H1425:I1425"/>
    <mergeCell ref="J1425:K1425"/>
    <mergeCell ref="L1429:M1429"/>
    <mergeCell ref="P1429:Q1429"/>
    <mergeCell ref="AX1429:AZ1429"/>
    <mergeCell ref="BA1429:BB1429"/>
    <mergeCell ref="BD1429:BE1429"/>
    <mergeCell ref="BF1429:BI1429"/>
    <mergeCell ref="BJ1429:BM1429"/>
    <mergeCell ref="BN1429:BV1429"/>
    <mergeCell ref="AJ1427:AK1427"/>
    <mergeCell ref="AL1427:AM1427"/>
    <mergeCell ref="AN1429:AO1429"/>
    <mergeCell ref="AP1429:AQ1429"/>
    <mergeCell ref="AR1429:AS1429"/>
    <mergeCell ref="AT1429:AU1429"/>
    <mergeCell ref="AV1429:AW1429"/>
    <mergeCell ref="R1429:S1429"/>
    <mergeCell ref="T1429:U1429"/>
    <mergeCell ref="V1429:W1429"/>
    <mergeCell ref="X1429:AA1429"/>
    <mergeCell ref="AB1429:AE1429"/>
    <mergeCell ref="AF1429:AG1429"/>
    <mergeCell ref="AH1429:AI1429"/>
    <mergeCell ref="AJ1429:AK1429"/>
    <mergeCell ref="AL1429:AM1429"/>
    <mergeCell ref="V1426:W1426"/>
    <mergeCell ref="X1426:AA1426"/>
    <mergeCell ref="AB1426:AE1426"/>
    <mergeCell ref="AF1426:AG1426"/>
    <mergeCell ref="AH1426:AI1426"/>
    <mergeCell ref="AJ1426:AK1426"/>
    <mergeCell ref="AL1426:AM1426"/>
    <mergeCell ref="BD1426:BE1426"/>
    <mergeCell ref="BF1426:BI1426"/>
    <mergeCell ref="BJ1426:BM1426"/>
    <mergeCell ref="BN1426:BV1426"/>
    <mergeCell ref="AN1426:AO1426"/>
    <mergeCell ref="AP1426:AQ1426"/>
    <mergeCell ref="AR1426:AS1426"/>
    <mergeCell ref="AT1426:AU1426"/>
    <mergeCell ref="AV1426:AW1426"/>
    <mergeCell ref="AX1426:AZ1426"/>
    <mergeCell ref="BA1426:BB1426"/>
    <mergeCell ref="B1430:C1430"/>
    <mergeCell ref="D1430:E1430"/>
    <mergeCell ref="F1430:G1430"/>
    <mergeCell ref="H1430:I1430"/>
    <mergeCell ref="P1430:Q1430"/>
    <mergeCell ref="R1430:S1430"/>
    <mergeCell ref="T1430:U1430"/>
    <mergeCell ref="B1427:C1427"/>
    <mergeCell ref="D1427:E1427"/>
    <mergeCell ref="F1427:G1427"/>
    <mergeCell ref="H1427:I1427"/>
    <mergeCell ref="J1427:K1427"/>
    <mergeCell ref="L1427:M1427"/>
    <mergeCell ref="P1427:Q1427"/>
    <mergeCell ref="AX1427:AZ1427"/>
    <mergeCell ref="BA1427:BB1427"/>
    <mergeCell ref="BD1427:BE1427"/>
    <mergeCell ref="BF1427:BI1427"/>
    <mergeCell ref="BJ1427:BM1427"/>
    <mergeCell ref="BN1427:BV1427"/>
    <mergeCell ref="AN1427:AO1427"/>
    <mergeCell ref="AP1427:AQ1427"/>
    <mergeCell ref="AR1427:AS1427"/>
    <mergeCell ref="AT1427:AU1427"/>
    <mergeCell ref="AV1427:AW1427"/>
    <mergeCell ref="R1427:S1427"/>
    <mergeCell ref="T1427:U1427"/>
    <mergeCell ref="V1427:W1427"/>
    <mergeCell ref="X1427:AA1427"/>
    <mergeCell ref="AB1427:AE1427"/>
    <mergeCell ref="AF1427:AG1427"/>
    <mergeCell ref="AH1427:AI1427"/>
    <mergeCell ref="V1428:W1428"/>
    <mergeCell ref="X1428:AA1428"/>
    <mergeCell ref="AB1428:AE1428"/>
    <mergeCell ref="AF1428:AG1428"/>
    <mergeCell ref="AH1428:AI1428"/>
    <mergeCell ref="AJ1428:AK1428"/>
    <mergeCell ref="AL1428:AM1428"/>
    <mergeCell ref="BD1428:BE1428"/>
    <mergeCell ref="BF1428:BI1428"/>
    <mergeCell ref="BJ1428:BM1428"/>
    <mergeCell ref="BN1428:BV1428"/>
    <mergeCell ref="AN1428:AO1428"/>
    <mergeCell ref="AP1428:AQ1428"/>
    <mergeCell ref="AR1428:AS1428"/>
    <mergeCell ref="AT1424:AU1424"/>
    <mergeCell ref="AV1424:AW1424"/>
    <mergeCell ref="AX1424:AZ1424"/>
    <mergeCell ref="BA1424:BB1424"/>
    <mergeCell ref="B1424:C1424"/>
    <mergeCell ref="D1424:E1424"/>
    <mergeCell ref="F1424:G1424"/>
    <mergeCell ref="H1424:I1424"/>
    <mergeCell ref="P1424:Q1424"/>
    <mergeCell ref="R1424:S1424"/>
    <mergeCell ref="T1424:U1424"/>
    <mergeCell ref="B1421:C1421"/>
    <mergeCell ref="D1421:E1421"/>
    <mergeCell ref="F1421:G1421"/>
    <mergeCell ref="H1421:I1421"/>
    <mergeCell ref="J1421:K1421"/>
    <mergeCell ref="L1425:M1425"/>
    <mergeCell ref="P1425:Q1425"/>
    <mergeCell ref="AX1425:AZ1425"/>
    <mergeCell ref="BA1425:BB1425"/>
    <mergeCell ref="BD1425:BE1425"/>
    <mergeCell ref="BF1425:BI1425"/>
    <mergeCell ref="BJ1425:BM1425"/>
    <mergeCell ref="BN1425:BV1425"/>
    <mergeCell ref="AJ1423:AK1423"/>
    <mergeCell ref="AL1423:AM1423"/>
    <mergeCell ref="AN1425:AO1425"/>
    <mergeCell ref="AP1425:AQ1425"/>
    <mergeCell ref="AR1425:AS1425"/>
    <mergeCell ref="AT1425:AU1425"/>
    <mergeCell ref="AV1425:AW1425"/>
    <mergeCell ref="R1425:S1425"/>
    <mergeCell ref="T1425:U1425"/>
    <mergeCell ref="V1425:W1425"/>
    <mergeCell ref="X1425:AA1425"/>
    <mergeCell ref="AB1425:AE1425"/>
    <mergeCell ref="AF1425:AG1425"/>
    <mergeCell ref="AH1425:AI1425"/>
    <mergeCell ref="AJ1425:AK1425"/>
    <mergeCell ref="AL1425:AM1425"/>
    <mergeCell ref="V1422:W1422"/>
    <mergeCell ref="X1422:AA1422"/>
    <mergeCell ref="AB1422:AE1422"/>
    <mergeCell ref="AF1422:AG1422"/>
    <mergeCell ref="AH1422:AI1422"/>
    <mergeCell ref="AJ1422:AK1422"/>
    <mergeCell ref="AL1422:AM1422"/>
    <mergeCell ref="BD1422:BE1422"/>
    <mergeCell ref="BF1422:BI1422"/>
    <mergeCell ref="BJ1422:BM1422"/>
    <mergeCell ref="BN1422:BV1422"/>
    <mergeCell ref="AN1422:AO1422"/>
    <mergeCell ref="AP1422:AQ1422"/>
    <mergeCell ref="AR1422:AS1422"/>
    <mergeCell ref="AT1422:AU1422"/>
    <mergeCell ref="AV1422:AW1422"/>
    <mergeCell ref="AX1422:AZ1422"/>
    <mergeCell ref="BA1422:BB1422"/>
    <mergeCell ref="B1426:C1426"/>
    <mergeCell ref="D1426:E1426"/>
    <mergeCell ref="F1426:G1426"/>
    <mergeCell ref="H1426:I1426"/>
    <mergeCell ref="P1426:Q1426"/>
    <mergeCell ref="R1426:S1426"/>
    <mergeCell ref="T1426:U1426"/>
    <mergeCell ref="B1423:C1423"/>
    <mergeCell ref="D1423:E1423"/>
    <mergeCell ref="F1423:G1423"/>
    <mergeCell ref="H1423:I1423"/>
    <mergeCell ref="J1423:K1423"/>
    <mergeCell ref="L1423:M1423"/>
    <mergeCell ref="P1423:Q1423"/>
    <mergeCell ref="AX1423:AZ1423"/>
    <mergeCell ref="BA1423:BB1423"/>
    <mergeCell ref="BD1423:BE1423"/>
    <mergeCell ref="BF1423:BI1423"/>
    <mergeCell ref="BJ1423:BM1423"/>
    <mergeCell ref="BN1423:BV1423"/>
    <mergeCell ref="AN1423:AO1423"/>
    <mergeCell ref="AP1423:AQ1423"/>
    <mergeCell ref="AR1423:AS1423"/>
    <mergeCell ref="AT1423:AU1423"/>
    <mergeCell ref="AV1423:AW1423"/>
    <mergeCell ref="R1423:S1423"/>
    <mergeCell ref="T1423:U1423"/>
    <mergeCell ref="V1423:W1423"/>
    <mergeCell ref="X1423:AA1423"/>
    <mergeCell ref="AB1423:AE1423"/>
    <mergeCell ref="AF1423:AG1423"/>
    <mergeCell ref="AH1423:AI1423"/>
    <mergeCell ref="V1424:W1424"/>
    <mergeCell ref="X1424:AA1424"/>
    <mergeCell ref="AB1424:AE1424"/>
    <mergeCell ref="AF1424:AG1424"/>
    <mergeCell ref="AH1424:AI1424"/>
    <mergeCell ref="AJ1424:AK1424"/>
    <mergeCell ref="AL1424:AM1424"/>
    <mergeCell ref="BD1424:BE1424"/>
    <mergeCell ref="BF1424:BI1424"/>
    <mergeCell ref="BJ1424:BM1424"/>
    <mergeCell ref="BN1424:BV1424"/>
    <mergeCell ref="AN1424:AO1424"/>
    <mergeCell ref="AP1424:AQ1424"/>
    <mergeCell ref="AR1424:AS1424"/>
    <mergeCell ref="AT1420:AU1420"/>
    <mergeCell ref="AV1420:AW1420"/>
    <mergeCell ref="AX1420:AZ1420"/>
    <mergeCell ref="BA1420:BB1420"/>
    <mergeCell ref="B1420:C1420"/>
    <mergeCell ref="D1420:E1420"/>
    <mergeCell ref="F1420:G1420"/>
    <mergeCell ref="H1420:I1420"/>
    <mergeCell ref="P1420:Q1420"/>
    <mergeCell ref="R1420:S1420"/>
    <mergeCell ref="T1420:U1420"/>
    <mergeCell ref="B1417:C1417"/>
    <mergeCell ref="D1417:E1417"/>
    <mergeCell ref="F1417:G1417"/>
    <mergeCell ref="H1417:I1417"/>
    <mergeCell ref="J1417:K1417"/>
    <mergeCell ref="L1421:M1421"/>
    <mergeCell ref="P1421:Q1421"/>
    <mergeCell ref="AX1421:AZ1421"/>
    <mergeCell ref="BA1421:BB1421"/>
    <mergeCell ref="BD1421:BE1421"/>
    <mergeCell ref="BF1421:BI1421"/>
    <mergeCell ref="BJ1421:BM1421"/>
    <mergeCell ref="BN1421:BV1421"/>
    <mergeCell ref="AJ1419:AK1419"/>
    <mergeCell ref="AL1419:AM1419"/>
    <mergeCell ref="AN1421:AO1421"/>
    <mergeCell ref="AP1421:AQ1421"/>
    <mergeCell ref="AR1421:AS1421"/>
    <mergeCell ref="AT1421:AU1421"/>
    <mergeCell ref="AV1421:AW1421"/>
    <mergeCell ref="R1421:S1421"/>
    <mergeCell ref="T1421:U1421"/>
    <mergeCell ref="V1421:W1421"/>
    <mergeCell ref="X1421:AA1421"/>
    <mergeCell ref="AB1421:AE1421"/>
    <mergeCell ref="AF1421:AG1421"/>
    <mergeCell ref="AH1421:AI1421"/>
    <mergeCell ref="AJ1421:AK1421"/>
    <mergeCell ref="AL1421:AM1421"/>
    <mergeCell ref="V1418:W1418"/>
    <mergeCell ref="X1418:AA1418"/>
    <mergeCell ref="AB1418:AE1418"/>
    <mergeCell ref="AF1418:AG1418"/>
    <mergeCell ref="AH1418:AI1418"/>
    <mergeCell ref="AJ1418:AK1418"/>
    <mergeCell ref="AL1418:AM1418"/>
    <mergeCell ref="BD1418:BE1418"/>
    <mergeCell ref="BF1418:BI1418"/>
    <mergeCell ref="BJ1418:BM1418"/>
    <mergeCell ref="BN1418:BV1418"/>
    <mergeCell ref="AN1418:AO1418"/>
    <mergeCell ref="AP1418:AQ1418"/>
    <mergeCell ref="AR1418:AS1418"/>
    <mergeCell ref="AT1418:AU1418"/>
    <mergeCell ref="AV1418:AW1418"/>
    <mergeCell ref="AX1418:AZ1418"/>
    <mergeCell ref="BA1418:BB1418"/>
    <mergeCell ref="B1422:C1422"/>
    <mergeCell ref="D1422:E1422"/>
    <mergeCell ref="F1422:G1422"/>
    <mergeCell ref="H1422:I1422"/>
    <mergeCell ref="P1422:Q1422"/>
    <mergeCell ref="R1422:S1422"/>
    <mergeCell ref="T1422:U1422"/>
    <mergeCell ref="B1419:C1419"/>
    <mergeCell ref="D1419:E1419"/>
    <mergeCell ref="F1419:G1419"/>
    <mergeCell ref="H1419:I1419"/>
    <mergeCell ref="J1419:K1419"/>
    <mergeCell ref="L1419:M1419"/>
    <mergeCell ref="P1419:Q1419"/>
    <mergeCell ref="AX1419:AZ1419"/>
    <mergeCell ref="BA1419:BB1419"/>
    <mergeCell ref="BD1419:BE1419"/>
    <mergeCell ref="BF1419:BI1419"/>
    <mergeCell ref="BJ1419:BM1419"/>
    <mergeCell ref="BN1419:BV1419"/>
    <mergeCell ref="AN1419:AO1419"/>
    <mergeCell ref="AP1419:AQ1419"/>
    <mergeCell ref="AR1419:AS1419"/>
    <mergeCell ref="AT1419:AU1419"/>
    <mergeCell ref="AV1419:AW1419"/>
    <mergeCell ref="R1419:S1419"/>
    <mergeCell ref="T1419:U1419"/>
    <mergeCell ref="V1419:W1419"/>
    <mergeCell ref="X1419:AA1419"/>
    <mergeCell ref="AB1419:AE1419"/>
    <mergeCell ref="AF1419:AG1419"/>
    <mergeCell ref="AH1419:AI1419"/>
    <mergeCell ref="V1420:W1420"/>
    <mergeCell ref="X1420:AA1420"/>
    <mergeCell ref="AB1420:AE1420"/>
    <mergeCell ref="AF1420:AG1420"/>
    <mergeCell ref="AH1420:AI1420"/>
    <mergeCell ref="AJ1420:AK1420"/>
    <mergeCell ref="AL1420:AM1420"/>
    <mergeCell ref="BD1420:BE1420"/>
    <mergeCell ref="BF1420:BI1420"/>
    <mergeCell ref="BJ1420:BM1420"/>
    <mergeCell ref="BN1420:BV1420"/>
    <mergeCell ref="AN1420:AO1420"/>
    <mergeCell ref="AP1420:AQ1420"/>
    <mergeCell ref="AR1420:AS1420"/>
    <mergeCell ref="AB1416:AE1416"/>
    <mergeCell ref="AF1416:AG1416"/>
    <mergeCell ref="AH1416:AI1416"/>
    <mergeCell ref="AJ1416:AK1416"/>
    <mergeCell ref="AL1416:AM1416"/>
    <mergeCell ref="BD1416:BE1416"/>
    <mergeCell ref="BF1416:BI1416"/>
    <mergeCell ref="BJ1416:BM1416"/>
    <mergeCell ref="BN1416:BV1416"/>
    <mergeCell ref="AN1416:AO1416"/>
    <mergeCell ref="AP1416:AQ1416"/>
    <mergeCell ref="AR1416:AS1416"/>
    <mergeCell ref="AT1416:AU1416"/>
    <mergeCell ref="AV1416:AW1416"/>
    <mergeCell ref="AX1416:AZ1416"/>
    <mergeCell ref="BA1416:BB1416"/>
    <mergeCell ref="B1416:C1416"/>
    <mergeCell ref="D1416:E1416"/>
    <mergeCell ref="F1416:G1416"/>
    <mergeCell ref="H1416:I1416"/>
    <mergeCell ref="P1416:Q1416"/>
    <mergeCell ref="R1416:S1416"/>
    <mergeCell ref="T1416:U1416"/>
    <mergeCell ref="B1413:C1413"/>
    <mergeCell ref="D1413:E1413"/>
    <mergeCell ref="F1413:G1413"/>
    <mergeCell ref="H1413:I1413"/>
    <mergeCell ref="J1413:K1413"/>
    <mergeCell ref="L1417:M1417"/>
    <mergeCell ref="P1417:Q1417"/>
    <mergeCell ref="AX1417:AZ1417"/>
    <mergeCell ref="BA1417:BB1417"/>
    <mergeCell ref="BD1417:BE1417"/>
    <mergeCell ref="BF1417:BI1417"/>
    <mergeCell ref="BJ1417:BM1417"/>
    <mergeCell ref="BN1417:BV1417"/>
    <mergeCell ref="AJ1415:AK1415"/>
    <mergeCell ref="AL1415:AM1415"/>
    <mergeCell ref="AN1417:AO1417"/>
    <mergeCell ref="AP1417:AQ1417"/>
    <mergeCell ref="AR1417:AS1417"/>
    <mergeCell ref="AT1417:AU1417"/>
    <mergeCell ref="AV1417:AW1417"/>
    <mergeCell ref="R1417:S1417"/>
    <mergeCell ref="T1417:U1417"/>
    <mergeCell ref="V1417:W1417"/>
    <mergeCell ref="X1417:AA1417"/>
    <mergeCell ref="AB1417:AE1417"/>
    <mergeCell ref="AF1417:AG1417"/>
    <mergeCell ref="AH1417:AI1417"/>
    <mergeCell ref="AJ1417:AK1417"/>
    <mergeCell ref="AL1417:AM1417"/>
    <mergeCell ref="AR1413:AS1413"/>
    <mergeCell ref="AT1413:AU1413"/>
    <mergeCell ref="AV1413:AW1413"/>
    <mergeCell ref="R1413:S1413"/>
    <mergeCell ref="T1413:U1413"/>
    <mergeCell ref="V1413:W1413"/>
    <mergeCell ref="X1413:AA1413"/>
    <mergeCell ref="AB1413:AE1413"/>
    <mergeCell ref="AF1413:AG1413"/>
    <mergeCell ref="AH1413:AI1413"/>
    <mergeCell ref="V1414:W1414"/>
    <mergeCell ref="X1414:AA1414"/>
    <mergeCell ref="AB1414:AE1414"/>
    <mergeCell ref="AF1414:AG1414"/>
    <mergeCell ref="AH1414:AI1414"/>
    <mergeCell ref="AJ1414:AK1414"/>
    <mergeCell ref="AL1414:AM1414"/>
    <mergeCell ref="BD1414:BE1414"/>
    <mergeCell ref="BF1414:BI1414"/>
    <mergeCell ref="BJ1414:BM1414"/>
    <mergeCell ref="BN1414:BV1414"/>
    <mergeCell ref="AN1414:AO1414"/>
    <mergeCell ref="AP1414:AQ1414"/>
    <mergeCell ref="AR1414:AS1414"/>
    <mergeCell ref="AT1414:AU1414"/>
    <mergeCell ref="AV1414:AW1414"/>
    <mergeCell ref="AX1414:AZ1414"/>
    <mergeCell ref="BA1414:BB1414"/>
    <mergeCell ref="B1418:C1418"/>
    <mergeCell ref="D1418:E1418"/>
    <mergeCell ref="F1418:G1418"/>
    <mergeCell ref="H1418:I1418"/>
    <mergeCell ref="P1418:Q1418"/>
    <mergeCell ref="R1418:S1418"/>
    <mergeCell ref="T1418:U1418"/>
    <mergeCell ref="B1415:C1415"/>
    <mergeCell ref="D1415:E1415"/>
    <mergeCell ref="F1415:G1415"/>
    <mergeCell ref="H1415:I1415"/>
    <mergeCell ref="J1415:K1415"/>
    <mergeCell ref="L1415:M1415"/>
    <mergeCell ref="P1415:Q1415"/>
    <mergeCell ref="AX1415:AZ1415"/>
    <mergeCell ref="BA1415:BB1415"/>
    <mergeCell ref="BD1415:BE1415"/>
    <mergeCell ref="BF1415:BI1415"/>
    <mergeCell ref="BJ1415:BM1415"/>
    <mergeCell ref="BN1415:BV1415"/>
    <mergeCell ref="AJ1413:AK1413"/>
    <mergeCell ref="AL1413:AM1413"/>
    <mergeCell ref="AN1415:AO1415"/>
    <mergeCell ref="AP1415:AQ1415"/>
    <mergeCell ref="AR1415:AS1415"/>
    <mergeCell ref="AT1415:AU1415"/>
    <mergeCell ref="AV1415:AW1415"/>
    <mergeCell ref="R1415:S1415"/>
    <mergeCell ref="T1415:U1415"/>
    <mergeCell ref="V1415:W1415"/>
    <mergeCell ref="X1415:AA1415"/>
    <mergeCell ref="AB1415:AE1415"/>
    <mergeCell ref="AF1415:AG1415"/>
    <mergeCell ref="AH1415:AI1415"/>
    <mergeCell ref="V1416:W1416"/>
    <mergeCell ref="X1416:AA1416"/>
    <mergeCell ref="AX1411:AZ1411"/>
    <mergeCell ref="BA1411:BB1411"/>
    <mergeCell ref="BD1411:BE1411"/>
    <mergeCell ref="BF1411:BI1411"/>
    <mergeCell ref="BJ1411:BM1411"/>
    <mergeCell ref="BN1411:BV1411"/>
    <mergeCell ref="AJ1409:AK1409"/>
    <mergeCell ref="AL1409:AM1409"/>
    <mergeCell ref="AN1411:AO1411"/>
    <mergeCell ref="AP1411:AQ1411"/>
    <mergeCell ref="B1414:C1414"/>
    <mergeCell ref="D1414:E1414"/>
    <mergeCell ref="F1414:G1414"/>
    <mergeCell ref="H1414:I1414"/>
    <mergeCell ref="P1414:Q1414"/>
    <mergeCell ref="R1414:S1414"/>
    <mergeCell ref="T1414:U1414"/>
    <mergeCell ref="AR1411:AS1411"/>
    <mergeCell ref="AT1411:AU1411"/>
    <mergeCell ref="AV1411:AW1411"/>
    <mergeCell ref="R1411:S1411"/>
    <mergeCell ref="T1411:U1411"/>
    <mergeCell ref="V1411:W1411"/>
    <mergeCell ref="X1411:AA1411"/>
    <mergeCell ref="AB1411:AE1411"/>
    <mergeCell ref="AF1411:AG1411"/>
    <mergeCell ref="AH1411:AI1411"/>
    <mergeCell ref="V1412:W1412"/>
    <mergeCell ref="X1412:AA1412"/>
    <mergeCell ref="AB1412:AE1412"/>
    <mergeCell ref="AF1412:AG1412"/>
    <mergeCell ref="AH1412:AI1412"/>
    <mergeCell ref="AJ1412:AK1412"/>
    <mergeCell ref="AL1412:AM1412"/>
    <mergeCell ref="BD1412:BE1412"/>
    <mergeCell ref="BF1412:BI1412"/>
    <mergeCell ref="BJ1412:BM1412"/>
    <mergeCell ref="BN1412:BV1412"/>
    <mergeCell ref="AN1412:AO1412"/>
    <mergeCell ref="AP1412:AQ1412"/>
    <mergeCell ref="AR1412:AS1412"/>
    <mergeCell ref="AT1412:AU1412"/>
    <mergeCell ref="AV1412:AW1412"/>
    <mergeCell ref="AX1412:AZ1412"/>
    <mergeCell ref="BA1412:BB1412"/>
    <mergeCell ref="B1412:C1412"/>
    <mergeCell ref="D1412:E1412"/>
    <mergeCell ref="F1412:G1412"/>
    <mergeCell ref="H1412:I1412"/>
    <mergeCell ref="P1412:Q1412"/>
    <mergeCell ref="R1412:S1412"/>
    <mergeCell ref="T1412:U1412"/>
    <mergeCell ref="L1413:M1413"/>
    <mergeCell ref="P1413:Q1413"/>
    <mergeCell ref="AX1413:AZ1413"/>
    <mergeCell ref="BA1413:BB1413"/>
    <mergeCell ref="BD1413:BE1413"/>
    <mergeCell ref="BF1413:BI1413"/>
    <mergeCell ref="BJ1413:BM1413"/>
    <mergeCell ref="BN1413:BV1413"/>
    <mergeCell ref="AJ1411:AK1411"/>
    <mergeCell ref="AL1411:AM1411"/>
    <mergeCell ref="AN1413:AO1413"/>
    <mergeCell ref="AP1413:AQ1413"/>
    <mergeCell ref="BJ1596:BM1596"/>
    <mergeCell ref="BN1596:BV1596"/>
    <mergeCell ref="BJ1597:BM1597"/>
    <mergeCell ref="BN1597:BV1597"/>
    <mergeCell ref="B1596:C1596"/>
    <mergeCell ref="D1596:E1596"/>
    <mergeCell ref="F1596:G1596"/>
    <mergeCell ref="H1596:I1596"/>
    <mergeCell ref="J1596:K1596"/>
    <mergeCell ref="L1596:M1596"/>
    <mergeCell ref="P1596:Q1596"/>
    <mergeCell ref="B1597:C1597"/>
    <mergeCell ref="D1597:E1597"/>
    <mergeCell ref="F1597:G1597"/>
    <mergeCell ref="H1597:I1597"/>
    <mergeCell ref="J1597:K1597"/>
    <mergeCell ref="L1597:M1597"/>
    <mergeCell ref="P1597:Q1597"/>
    <mergeCell ref="AJ1596:AK1596"/>
    <mergeCell ref="AL1596:AM1596"/>
    <mergeCell ref="AN1596:AO1596"/>
    <mergeCell ref="AP1596:AQ1596"/>
    <mergeCell ref="AR1596:AS1596"/>
    <mergeCell ref="AT1596:AU1596"/>
    <mergeCell ref="AV1596:AW1596"/>
    <mergeCell ref="R1409:S1409"/>
    <mergeCell ref="T1409:U1409"/>
    <mergeCell ref="V1409:W1409"/>
    <mergeCell ref="X1409:AA1409"/>
    <mergeCell ref="AB1409:AE1409"/>
    <mergeCell ref="AF1409:AG1409"/>
    <mergeCell ref="AH1409:AI1409"/>
    <mergeCell ref="V1410:W1410"/>
    <mergeCell ref="X1410:AA1410"/>
    <mergeCell ref="AB1410:AE1410"/>
    <mergeCell ref="AF1410:AG1410"/>
    <mergeCell ref="AH1410:AI1410"/>
    <mergeCell ref="AJ1410:AK1410"/>
    <mergeCell ref="AL1410:AM1410"/>
    <mergeCell ref="BD1410:BE1410"/>
    <mergeCell ref="BF1410:BI1410"/>
    <mergeCell ref="BJ1410:BM1410"/>
    <mergeCell ref="BN1410:BV1410"/>
    <mergeCell ref="AN1410:AO1410"/>
    <mergeCell ref="AP1410:AQ1410"/>
    <mergeCell ref="AR1410:AS1410"/>
    <mergeCell ref="AT1410:AU1410"/>
    <mergeCell ref="AV1410:AW1410"/>
    <mergeCell ref="AX1410:AZ1410"/>
    <mergeCell ref="BA1410:BB1410"/>
    <mergeCell ref="B1410:C1410"/>
    <mergeCell ref="D1410:E1410"/>
    <mergeCell ref="F1410:G1410"/>
    <mergeCell ref="H1410:I1410"/>
    <mergeCell ref="P1410:Q1410"/>
    <mergeCell ref="R1410:S1410"/>
    <mergeCell ref="T1410:U1410"/>
    <mergeCell ref="B1411:C1411"/>
    <mergeCell ref="D1411:E1411"/>
    <mergeCell ref="F1411:G1411"/>
    <mergeCell ref="H1411:I1411"/>
    <mergeCell ref="J1411:K1411"/>
    <mergeCell ref="L1411:M1411"/>
    <mergeCell ref="P1411:Q1411"/>
    <mergeCell ref="B1585:C1585"/>
    <mergeCell ref="D1585:E1585"/>
    <mergeCell ref="F1585:G1585"/>
    <mergeCell ref="H1585:I1585"/>
    <mergeCell ref="J1585:K1585"/>
    <mergeCell ref="L1585:M1585"/>
    <mergeCell ref="P1585:Q1585"/>
    <mergeCell ref="B1586:C1586"/>
    <mergeCell ref="D1586:E1586"/>
    <mergeCell ref="F1586:G1586"/>
    <mergeCell ref="H1586:I1586"/>
    <mergeCell ref="J1586:K1586"/>
    <mergeCell ref="L1586:M1586"/>
    <mergeCell ref="P1586:Q1586"/>
    <mergeCell ref="AJ1585:AK1585"/>
    <mergeCell ref="AL1585:AM1585"/>
    <mergeCell ref="AN1585:AO1585"/>
    <mergeCell ref="AP1585:AQ1585"/>
    <mergeCell ref="AR1585:AS1585"/>
    <mergeCell ref="AT1585:AU1585"/>
    <mergeCell ref="AV1585:AW1585"/>
    <mergeCell ref="BD1597:BE1597"/>
    <mergeCell ref="BF1597:BI1597"/>
    <mergeCell ref="AN1597:AO1597"/>
    <mergeCell ref="AP1597:AQ1597"/>
    <mergeCell ref="AR1597:AS1597"/>
    <mergeCell ref="AT1597:AU1597"/>
    <mergeCell ref="AV1597:AW1597"/>
    <mergeCell ref="AX1597:AZ1597"/>
    <mergeCell ref="BA1597:BB1597"/>
    <mergeCell ref="AJ1595:AK1595"/>
    <mergeCell ref="AL1595:AM1595"/>
    <mergeCell ref="R1595:S1595"/>
    <mergeCell ref="T1595:U1595"/>
    <mergeCell ref="V1595:W1595"/>
    <mergeCell ref="X1595:AA1595"/>
    <mergeCell ref="AB1595:AE1595"/>
    <mergeCell ref="AF1595:AG1595"/>
    <mergeCell ref="AH1595:AI1595"/>
    <mergeCell ref="R1596:S1596"/>
    <mergeCell ref="T1596:U1596"/>
    <mergeCell ref="V1596:W1596"/>
    <mergeCell ref="X1596:AA1596"/>
    <mergeCell ref="AB1596:AE1596"/>
    <mergeCell ref="AF1596:AG1596"/>
    <mergeCell ref="AH1596:AI1596"/>
    <mergeCell ref="AX1596:AZ1596"/>
    <mergeCell ref="BA1596:BB1596"/>
    <mergeCell ref="BD1596:BE1596"/>
    <mergeCell ref="BF1596:BI1596"/>
    <mergeCell ref="B1592:C1592"/>
    <mergeCell ref="D1592:E1592"/>
    <mergeCell ref="F1592:G1592"/>
    <mergeCell ref="H1592:I1592"/>
    <mergeCell ref="J1592:K1592"/>
    <mergeCell ref="L1592:M1592"/>
    <mergeCell ref="P1592:Q1592"/>
    <mergeCell ref="B1593:C1593"/>
    <mergeCell ref="D1593:E1593"/>
    <mergeCell ref="F1593:G1593"/>
    <mergeCell ref="H1593:I1593"/>
    <mergeCell ref="J1593:K1593"/>
    <mergeCell ref="L1593:M1593"/>
    <mergeCell ref="P1593:Q1593"/>
    <mergeCell ref="BD1586:BE1586"/>
    <mergeCell ref="BF1586:BI1586"/>
    <mergeCell ref="AN1586:AO1586"/>
    <mergeCell ref="AP1586:AQ1586"/>
    <mergeCell ref="AR1586:AS1586"/>
    <mergeCell ref="AT1586:AU1586"/>
    <mergeCell ref="AV1586:AW1586"/>
    <mergeCell ref="AX1586:AZ1586"/>
    <mergeCell ref="BA1586:BB1586"/>
    <mergeCell ref="AJ1584:AK1584"/>
    <mergeCell ref="AL1584:AM1584"/>
    <mergeCell ref="R1584:S1584"/>
    <mergeCell ref="T1584:U1584"/>
    <mergeCell ref="V1584:W1584"/>
    <mergeCell ref="X1584:AA1584"/>
    <mergeCell ref="AB1584:AE1584"/>
    <mergeCell ref="AF1584:AG1584"/>
    <mergeCell ref="AH1584:AI1584"/>
    <mergeCell ref="R1585:S1585"/>
    <mergeCell ref="T1585:U1585"/>
    <mergeCell ref="V1585:W1585"/>
    <mergeCell ref="X1585:AA1585"/>
    <mergeCell ref="AB1585:AE1585"/>
    <mergeCell ref="AF1585:AG1585"/>
    <mergeCell ref="AH1585:AI1585"/>
    <mergeCell ref="AX1585:AZ1585"/>
    <mergeCell ref="BA1585:BB1585"/>
    <mergeCell ref="BD1585:BE1585"/>
    <mergeCell ref="BF1585:BI1585"/>
    <mergeCell ref="BJ1581:BM1581"/>
    <mergeCell ref="BN1581:BV1581"/>
    <mergeCell ref="BJ1582:BM1582"/>
    <mergeCell ref="BN1582:BV1582"/>
    <mergeCell ref="BJ1583:BM1583"/>
    <mergeCell ref="BN1583:BV1583"/>
    <mergeCell ref="BJ1584:BM1584"/>
    <mergeCell ref="BN1584:BV1584"/>
    <mergeCell ref="BJ1585:BM1585"/>
    <mergeCell ref="BN1585:BV1585"/>
    <mergeCell ref="BJ1586:BM1586"/>
    <mergeCell ref="BN1586:BV1586"/>
    <mergeCell ref="J1582:K1582"/>
    <mergeCell ref="L1582:M1582"/>
    <mergeCell ref="P1582:Q1582"/>
    <mergeCell ref="AJ1581:AK1581"/>
    <mergeCell ref="AL1581:AM1581"/>
    <mergeCell ref="AN1581:AO1581"/>
    <mergeCell ref="AP1581:AQ1581"/>
    <mergeCell ref="AR1581:AS1581"/>
    <mergeCell ref="AT1581:AU1581"/>
    <mergeCell ref="AV1581:AW1581"/>
    <mergeCell ref="BD1584:BE1584"/>
    <mergeCell ref="BF1584:BI1584"/>
    <mergeCell ref="AN1584:AO1584"/>
    <mergeCell ref="AP1584:AQ1584"/>
    <mergeCell ref="AR1584:AS1584"/>
    <mergeCell ref="AT1584:AU1584"/>
    <mergeCell ref="AV1584:AW1584"/>
    <mergeCell ref="AX1584:AZ1584"/>
    <mergeCell ref="BA1584:BB1584"/>
    <mergeCell ref="AJ1582:AK1582"/>
    <mergeCell ref="AL1582:AM1582"/>
    <mergeCell ref="R1582:S1582"/>
    <mergeCell ref="T1582:U1582"/>
    <mergeCell ref="V1582:W1582"/>
    <mergeCell ref="X1582:AA1582"/>
    <mergeCell ref="AB1582:AE1582"/>
    <mergeCell ref="AF1582:AG1582"/>
    <mergeCell ref="AH1582:AI1582"/>
    <mergeCell ref="R1583:S1583"/>
    <mergeCell ref="T1583:U1583"/>
    <mergeCell ref="V1583:W1583"/>
    <mergeCell ref="X1583:AA1583"/>
    <mergeCell ref="AB1583:AE1583"/>
    <mergeCell ref="AF1583:AG1583"/>
    <mergeCell ref="AH1583:AI1583"/>
    <mergeCell ref="AX1583:AZ1583"/>
    <mergeCell ref="BA1583:BB1583"/>
    <mergeCell ref="BD1583:BE1583"/>
    <mergeCell ref="BF1583:BI1583"/>
    <mergeCell ref="B1583:C1583"/>
    <mergeCell ref="D1583:E1583"/>
    <mergeCell ref="F1583:G1583"/>
    <mergeCell ref="H1583:I1583"/>
    <mergeCell ref="J1583:K1583"/>
    <mergeCell ref="L1583:M1583"/>
    <mergeCell ref="B1579:C1579"/>
    <mergeCell ref="D1579:E1579"/>
    <mergeCell ref="F1579:G1579"/>
    <mergeCell ref="H1579:I1579"/>
    <mergeCell ref="J1579:K1579"/>
    <mergeCell ref="L1579:M1579"/>
    <mergeCell ref="P1579:Q1579"/>
    <mergeCell ref="B1580:C1580"/>
    <mergeCell ref="D1580:E1580"/>
    <mergeCell ref="F1580:G1580"/>
    <mergeCell ref="H1580:I1580"/>
    <mergeCell ref="J1580:K1580"/>
    <mergeCell ref="L1580:M1580"/>
    <mergeCell ref="P1580:Q1580"/>
    <mergeCell ref="AJ1579:AK1579"/>
    <mergeCell ref="AL1579:AM1579"/>
    <mergeCell ref="AN1579:AO1579"/>
    <mergeCell ref="AP1579:AQ1579"/>
    <mergeCell ref="AR1579:AS1579"/>
    <mergeCell ref="AT1579:AU1579"/>
    <mergeCell ref="AV1579:AW1579"/>
    <mergeCell ref="BD1582:BE1582"/>
    <mergeCell ref="BF1582:BI1582"/>
    <mergeCell ref="AN1582:AO1582"/>
    <mergeCell ref="AP1582:AQ1582"/>
    <mergeCell ref="AR1582:AS1582"/>
    <mergeCell ref="AT1582:AU1582"/>
    <mergeCell ref="AV1582:AW1582"/>
    <mergeCell ref="AX1582:AZ1582"/>
    <mergeCell ref="BA1582:BB1582"/>
    <mergeCell ref="AJ1580:AK1580"/>
    <mergeCell ref="AL1580:AM1580"/>
    <mergeCell ref="R1580:S1580"/>
    <mergeCell ref="T1580:U1580"/>
    <mergeCell ref="V1580:W1580"/>
    <mergeCell ref="X1580:AA1580"/>
    <mergeCell ref="AB1580:AE1580"/>
    <mergeCell ref="AF1580:AG1580"/>
    <mergeCell ref="AH1580:AI1580"/>
    <mergeCell ref="R1581:S1581"/>
    <mergeCell ref="T1581:U1581"/>
    <mergeCell ref="V1581:W1581"/>
    <mergeCell ref="X1581:AA1581"/>
    <mergeCell ref="AB1581:AE1581"/>
    <mergeCell ref="AF1581:AG1581"/>
    <mergeCell ref="AH1581:AI1581"/>
    <mergeCell ref="AX1581:AZ1581"/>
    <mergeCell ref="BA1581:BB1581"/>
    <mergeCell ref="BD1581:BE1581"/>
    <mergeCell ref="BF1581:BI1581"/>
    <mergeCell ref="BD1580:BE1580"/>
    <mergeCell ref="BF1580:BI1580"/>
    <mergeCell ref="AN1580:AO1580"/>
    <mergeCell ref="AP1580:AQ1580"/>
    <mergeCell ref="AR1580:AS1580"/>
    <mergeCell ref="AT1580:AU1580"/>
    <mergeCell ref="AV1580:AW1580"/>
    <mergeCell ref="AX1580:AZ1580"/>
    <mergeCell ref="BA1580:BB1580"/>
    <mergeCell ref="AJ1578:AK1578"/>
    <mergeCell ref="AL1578:AM1578"/>
    <mergeCell ref="R1578:S1578"/>
    <mergeCell ref="T1578:U1578"/>
    <mergeCell ref="V1578:W1578"/>
    <mergeCell ref="X1578:AA1578"/>
    <mergeCell ref="AB1578:AE1578"/>
    <mergeCell ref="AF1578:AG1578"/>
    <mergeCell ref="AH1578:AI1578"/>
    <mergeCell ref="R1579:S1579"/>
    <mergeCell ref="T1579:U1579"/>
    <mergeCell ref="V1579:W1579"/>
    <mergeCell ref="X1579:AA1579"/>
    <mergeCell ref="AB1579:AE1579"/>
    <mergeCell ref="AF1579:AG1579"/>
    <mergeCell ref="AH1579:AI1579"/>
    <mergeCell ref="AX1579:AZ1579"/>
    <mergeCell ref="BA1579:BB1579"/>
    <mergeCell ref="BD1579:BE1579"/>
    <mergeCell ref="BF1579:BI1579"/>
    <mergeCell ref="BJ1579:BM1579"/>
    <mergeCell ref="BN1579:BV1579"/>
    <mergeCell ref="BJ1580:BM1580"/>
    <mergeCell ref="BN1580:BV1580"/>
    <mergeCell ref="B1575:C1575"/>
    <mergeCell ref="D1575:E1575"/>
    <mergeCell ref="F1575:G1575"/>
    <mergeCell ref="H1575:I1575"/>
    <mergeCell ref="J1575:K1575"/>
    <mergeCell ref="L1575:M1575"/>
    <mergeCell ref="P1575:Q1575"/>
    <mergeCell ref="B1576:C1576"/>
    <mergeCell ref="D1576:E1576"/>
    <mergeCell ref="F1576:G1576"/>
    <mergeCell ref="H1576:I1576"/>
    <mergeCell ref="J1576:K1576"/>
    <mergeCell ref="L1576:M1576"/>
    <mergeCell ref="P1576:Q1576"/>
    <mergeCell ref="AJ1575:AK1575"/>
    <mergeCell ref="AL1575:AM1575"/>
    <mergeCell ref="AN1575:AO1575"/>
    <mergeCell ref="AP1575:AQ1575"/>
    <mergeCell ref="AR1575:AS1575"/>
    <mergeCell ref="AT1575:AU1575"/>
    <mergeCell ref="AV1575:AW1575"/>
    <mergeCell ref="BD1578:BE1578"/>
    <mergeCell ref="BF1578:BI1578"/>
    <mergeCell ref="AN1578:AO1578"/>
    <mergeCell ref="AP1578:AQ1578"/>
    <mergeCell ref="AR1578:AS1578"/>
    <mergeCell ref="AT1578:AU1578"/>
    <mergeCell ref="AV1578:AW1578"/>
    <mergeCell ref="AX1578:AZ1578"/>
    <mergeCell ref="BA1578:BB1578"/>
    <mergeCell ref="AJ1576:AK1576"/>
    <mergeCell ref="AL1576:AM1576"/>
    <mergeCell ref="R1576:S1576"/>
    <mergeCell ref="T1576:U1576"/>
    <mergeCell ref="V1576:W1576"/>
    <mergeCell ref="X1576:AA1576"/>
    <mergeCell ref="AB1576:AE1576"/>
    <mergeCell ref="AF1576:AG1576"/>
    <mergeCell ref="AH1576:AI1576"/>
    <mergeCell ref="BD1577:BE1577"/>
    <mergeCell ref="BF1577:BI1577"/>
    <mergeCell ref="B1577:C1577"/>
    <mergeCell ref="D1577:E1577"/>
    <mergeCell ref="F1577:G1577"/>
    <mergeCell ref="H1577:I1577"/>
    <mergeCell ref="J1577:K1577"/>
    <mergeCell ref="L1577:M1577"/>
    <mergeCell ref="P1577:Q1577"/>
    <mergeCell ref="B1578:C1578"/>
    <mergeCell ref="D1578:E1578"/>
    <mergeCell ref="F1578:G1578"/>
    <mergeCell ref="H1578:I1578"/>
    <mergeCell ref="J1578:K1578"/>
    <mergeCell ref="L1578:M1578"/>
    <mergeCell ref="P1578:Q1578"/>
    <mergeCell ref="BD1570:BE1570"/>
    <mergeCell ref="BF1570:BI1570"/>
    <mergeCell ref="AN1570:AO1570"/>
    <mergeCell ref="AP1570:AQ1570"/>
    <mergeCell ref="AR1570:AS1570"/>
    <mergeCell ref="AT1570:AU1570"/>
    <mergeCell ref="AV1570:AW1570"/>
    <mergeCell ref="AX1570:AZ1570"/>
    <mergeCell ref="BA1570:BB1570"/>
    <mergeCell ref="BD1572:BE1572"/>
    <mergeCell ref="BF1572:BI1572"/>
    <mergeCell ref="AN1572:AO1572"/>
    <mergeCell ref="AP1572:AQ1572"/>
    <mergeCell ref="AR1572:AS1572"/>
    <mergeCell ref="AT1572:AU1572"/>
    <mergeCell ref="AV1572:AW1572"/>
    <mergeCell ref="AX1572:AZ1572"/>
    <mergeCell ref="BA1572:BB1572"/>
    <mergeCell ref="R1571:S1571"/>
    <mergeCell ref="T1571:U1571"/>
    <mergeCell ref="V1571:W1571"/>
    <mergeCell ref="X1571:AA1571"/>
    <mergeCell ref="AB1571:AE1571"/>
    <mergeCell ref="AF1571:AG1571"/>
    <mergeCell ref="AH1571:AI1571"/>
    <mergeCell ref="AX1571:AZ1571"/>
    <mergeCell ref="BA1571:BB1571"/>
    <mergeCell ref="BD1571:BE1571"/>
    <mergeCell ref="BF1571:BI1571"/>
    <mergeCell ref="AJ1588:AK1588"/>
    <mergeCell ref="AL1588:AM1588"/>
    <mergeCell ref="BJ1588:BM1588"/>
    <mergeCell ref="BN1588:BV1588"/>
    <mergeCell ref="R1588:S1588"/>
    <mergeCell ref="T1588:U1588"/>
    <mergeCell ref="V1588:W1588"/>
    <mergeCell ref="X1588:AA1588"/>
    <mergeCell ref="AB1588:AE1588"/>
    <mergeCell ref="AF1588:AG1588"/>
    <mergeCell ref="AH1588:AI1588"/>
    <mergeCell ref="BD1576:BE1576"/>
    <mergeCell ref="BF1576:BI1576"/>
    <mergeCell ref="AN1576:AO1576"/>
    <mergeCell ref="AP1576:AQ1576"/>
    <mergeCell ref="AR1576:AS1576"/>
    <mergeCell ref="AT1576:AU1576"/>
    <mergeCell ref="AV1576:AW1576"/>
    <mergeCell ref="AX1576:AZ1576"/>
    <mergeCell ref="BA1576:BB1576"/>
    <mergeCell ref="AJ1574:AK1574"/>
    <mergeCell ref="AL1574:AM1574"/>
    <mergeCell ref="R1574:S1574"/>
    <mergeCell ref="T1574:U1574"/>
    <mergeCell ref="V1574:W1574"/>
    <mergeCell ref="X1574:AA1574"/>
    <mergeCell ref="AB1574:AE1574"/>
    <mergeCell ref="AF1574:AG1574"/>
    <mergeCell ref="AH1574:AI1574"/>
    <mergeCell ref="R1575:S1575"/>
    <mergeCell ref="T1575:U1575"/>
    <mergeCell ref="V1575:W1575"/>
    <mergeCell ref="X1575:AA1575"/>
    <mergeCell ref="AB1575:AE1575"/>
    <mergeCell ref="AF1575:AG1575"/>
    <mergeCell ref="AH1575:AI1575"/>
    <mergeCell ref="AX1575:AZ1575"/>
    <mergeCell ref="BA1575:BB1575"/>
    <mergeCell ref="BD1575:BE1575"/>
    <mergeCell ref="BF1575:BI1575"/>
    <mergeCell ref="BJ1575:BM1575"/>
    <mergeCell ref="BN1575:BV1575"/>
    <mergeCell ref="BJ1576:BM1576"/>
    <mergeCell ref="BN1576:BV1576"/>
    <mergeCell ref="BJ1577:BM1577"/>
    <mergeCell ref="BN1577:BV1577"/>
    <mergeCell ref="BJ1578:BM1578"/>
    <mergeCell ref="BN1578:BV1578"/>
    <mergeCell ref="AJ1577:AK1577"/>
    <mergeCell ref="AL1577:AM1577"/>
    <mergeCell ref="AN1577:AO1577"/>
    <mergeCell ref="AP1577:AQ1577"/>
    <mergeCell ref="AR1577:AS1577"/>
    <mergeCell ref="AT1577:AU1577"/>
    <mergeCell ref="AV1577:AW1577"/>
    <mergeCell ref="R1577:S1577"/>
    <mergeCell ref="T1577:U1577"/>
    <mergeCell ref="V1577:W1577"/>
    <mergeCell ref="X1577:AA1577"/>
    <mergeCell ref="AB1577:AE1577"/>
    <mergeCell ref="AF1577:AG1577"/>
    <mergeCell ref="AH1577:AI1577"/>
    <mergeCell ref="AX1577:AZ1577"/>
    <mergeCell ref="BA1577:BB1577"/>
    <mergeCell ref="BJ1566:BM1566"/>
    <mergeCell ref="BN1566:BV1566"/>
    <mergeCell ref="AJ1566:AK1566"/>
    <mergeCell ref="AL1566:AM1566"/>
    <mergeCell ref="AN1566:AO1566"/>
    <mergeCell ref="AP1566:AQ1566"/>
    <mergeCell ref="AR1566:AS1566"/>
    <mergeCell ref="AT1566:AU1566"/>
    <mergeCell ref="AV1566:AW1566"/>
    <mergeCell ref="B1566:C1566"/>
    <mergeCell ref="D1566:E1566"/>
    <mergeCell ref="F1566:G1566"/>
    <mergeCell ref="H1566:I1566"/>
    <mergeCell ref="J1566:K1566"/>
    <mergeCell ref="L1566:M1566"/>
    <mergeCell ref="P1566:Q1566"/>
    <mergeCell ref="AX1567:AZ1567"/>
    <mergeCell ref="BA1567:BB1567"/>
    <mergeCell ref="BD1567:BE1567"/>
    <mergeCell ref="BF1567:BI1567"/>
    <mergeCell ref="BJ1567:BM1567"/>
    <mergeCell ref="BN1567:BV1567"/>
    <mergeCell ref="BJ1568:BM1568"/>
    <mergeCell ref="BN1568:BV1568"/>
    <mergeCell ref="B1568:C1568"/>
    <mergeCell ref="D1568:E1568"/>
    <mergeCell ref="F1568:G1568"/>
    <mergeCell ref="H1568:I1568"/>
    <mergeCell ref="J1568:K1568"/>
    <mergeCell ref="L1568:M1568"/>
    <mergeCell ref="P1568:Q1568"/>
    <mergeCell ref="AJ1567:AK1567"/>
    <mergeCell ref="AL1567:AM1567"/>
    <mergeCell ref="AN1567:AO1567"/>
    <mergeCell ref="AP1567:AQ1567"/>
    <mergeCell ref="AR1567:AS1567"/>
    <mergeCell ref="AT1567:AU1567"/>
    <mergeCell ref="AV1567:AW1567"/>
    <mergeCell ref="R1567:S1567"/>
    <mergeCell ref="T1567:U1567"/>
    <mergeCell ref="V1567:W1567"/>
    <mergeCell ref="X1567:AA1567"/>
    <mergeCell ref="AB1567:AE1567"/>
    <mergeCell ref="AF1567:AG1567"/>
    <mergeCell ref="AH1567:AI1567"/>
    <mergeCell ref="B1567:C1567"/>
    <mergeCell ref="D1567:E1567"/>
    <mergeCell ref="F1567:G1567"/>
    <mergeCell ref="H1567:I1567"/>
    <mergeCell ref="J1567:K1567"/>
    <mergeCell ref="L1567:M1567"/>
    <mergeCell ref="P1567:Q1567"/>
    <mergeCell ref="BD1568:BE1568"/>
    <mergeCell ref="BF1568:BI1568"/>
    <mergeCell ref="AN1568:AO1568"/>
    <mergeCell ref="AP1568:AQ1568"/>
    <mergeCell ref="AR1568:AS1568"/>
    <mergeCell ref="AT1568:AU1568"/>
    <mergeCell ref="AV1568:AW1568"/>
    <mergeCell ref="AX1568:AZ1568"/>
    <mergeCell ref="BA1568:BB1568"/>
    <mergeCell ref="R1566:S1566"/>
    <mergeCell ref="T1566:U1566"/>
    <mergeCell ref="V1566:W1566"/>
    <mergeCell ref="X1566:AA1566"/>
    <mergeCell ref="AB1566:AE1566"/>
    <mergeCell ref="AF1566:AG1566"/>
    <mergeCell ref="AH1566:AI1566"/>
    <mergeCell ref="AX1566:AZ1566"/>
    <mergeCell ref="BA1566:BB1566"/>
    <mergeCell ref="BD1566:BE1566"/>
    <mergeCell ref="BF1566:BI1566"/>
    <mergeCell ref="BD1565:BE1565"/>
    <mergeCell ref="BF1565:BI1565"/>
    <mergeCell ref="AN1565:AO1565"/>
    <mergeCell ref="AP1565:AQ1565"/>
    <mergeCell ref="AR1565:AS1565"/>
    <mergeCell ref="AT1565:AU1565"/>
    <mergeCell ref="AV1565:AW1565"/>
    <mergeCell ref="AX1565:AZ1565"/>
    <mergeCell ref="BA1565:BB1565"/>
    <mergeCell ref="AJ1563:AK1563"/>
    <mergeCell ref="AL1563:AM1563"/>
    <mergeCell ref="R1563:S1563"/>
    <mergeCell ref="T1563:U1563"/>
    <mergeCell ref="V1563:W1563"/>
    <mergeCell ref="X1563:AA1563"/>
    <mergeCell ref="AB1563:AE1563"/>
    <mergeCell ref="AF1563:AG1563"/>
    <mergeCell ref="AH1563:AI1563"/>
    <mergeCell ref="R1564:S1564"/>
    <mergeCell ref="T1564:U1564"/>
    <mergeCell ref="V1564:W1564"/>
    <mergeCell ref="X1564:AA1564"/>
    <mergeCell ref="AB1564:AE1564"/>
    <mergeCell ref="AF1564:AG1564"/>
    <mergeCell ref="AH1564:AI1564"/>
    <mergeCell ref="AX1564:AZ1564"/>
    <mergeCell ref="BA1564:BB1564"/>
    <mergeCell ref="BD1564:BE1564"/>
    <mergeCell ref="BF1564:BI1564"/>
    <mergeCell ref="T1565:U1565"/>
    <mergeCell ref="V1565:W1565"/>
    <mergeCell ref="X1565:AA1565"/>
    <mergeCell ref="AB1565:AE1565"/>
    <mergeCell ref="AF1565:AG1565"/>
    <mergeCell ref="AH1565:AI1565"/>
    <mergeCell ref="BJ1564:BM1564"/>
    <mergeCell ref="BN1564:BV1564"/>
    <mergeCell ref="B1564:C1564"/>
    <mergeCell ref="D1564:E1564"/>
    <mergeCell ref="F1564:G1564"/>
    <mergeCell ref="H1564:I1564"/>
    <mergeCell ref="J1564:K1564"/>
    <mergeCell ref="L1564:M1564"/>
    <mergeCell ref="P1564:Q1564"/>
    <mergeCell ref="AJ1564:AK1564"/>
    <mergeCell ref="AL1564:AM1564"/>
    <mergeCell ref="AN1564:AO1564"/>
    <mergeCell ref="AP1564:AQ1564"/>
    <mergeCell ref="AR1564:AS1564"/>
    <mergeCell ref="AT1564:AU1564"/>
    <mergeCell ref="AV1564:AW1564"/>
    <mergeCell ref="B1565:C1565"/>
    <mergeCell ref="D1565:E1565"/>
    <mergeCell ref="F1565:G1565"/>
    <mergeCell ref="H1565:I1565"/>
    <mergeCell ref="J1565:K1565"/>
    <mergeCell ref="L1565:M1565"/>
    <mergeCell ref="P1565:Q1565"/>
    <mergeCell ref="BD1569:BE1569"/>
    <mergeCell ref="BF1569:BI1569"/>
    <mergeCell ref="BJ1569:BM1569"/>
    <mergeCell ref="BN1569:BV1569"/>
    <mergeCell ref="BJ1570:BM1570"/>
    <mergeCell ref="BN1570:BV1570"/>
    <mergeCell ref="B1569:C1569"/>
    <mergeCell ref="D1569:E1569"/>
    <mergeCell ref="F1569:G1569"/>
    <mergeCell ref="H1569:I1569"/>
    <mergeCell ref="J1569:K1569"/>
    <mergeCell ref="L1569:M1569"/>
    <mergeCell ref="P1569:Q1569"/>
    <mergeCell ref="B1570:C1570"/>
    <mergeCell ref="D1570:E1570"/>
    <mergeCell ref="F1570:G1570"/>
    <mergeCell ref="H1570:I1570"/>
    <mergeCell ref="J1570:K1570"/>
    <mergeCell ref="L1570:M1570"/>
    <mergeCell ref="P1570:Q1570"/>
    <mergeCell ref="AJ1569:AK1569"/>
    <mergeCell ref="AL1569:AM1569"/>
    <mergeCell ref="AN1569:AO1569"/>
    <mergeCell ref="AP1569:AQ1569"/>
    <mergeCell ref="AR1569:AS1569"/>
    <mergeCell ref="AT1569:AU1569"/>
    <mergeCell ref="AV1569:AW1569"/>
    <mergeCell ref="AJ1570:AK1570"/>
    <mergeCell ref="AL1570:AM1570"/>
    <mergeCell ref="R1570:S1570"/>
    <mergeCell ref="T1570:U1570"/>
    <mergeCell ref="V1570:W1570"/>
    <mergeCell ref="X1570:AA1570"/>
    <mergeCell ref="AB1570:AE1570"/>
    <mergeCell ref="AF1570:AG1570"/>
    <mergeCell ref="AH1570:AI1570"/>
    <mergeCell ref="AJ1565:AK1565"/>
    <mergeCell ref="AL1565:AM1565"/>
    <mergeCell ref="BJ1565:BM1565"/>
    <mergeCell ref="BN1565:BV1565"/>
    <mergeCell ref="R1565:S1565"/>
    <mergeCell ref="BJ1571:BM1571"/>
    <mergeCell ref="BN1571:BV1571"/>
    <mergeCell ref="BJ1572:BM1572"/>
    <mergeCell ref="BN1572:BV1572"/>
    <mergeCell ref="B1571:C1571"/>
    <mergeCell ref="D1571:E1571"/>
    <mergeCell ref="F1571:G1571"/>
    <mergeCell ref="H1571:I1571"/>
    <mergeCell ref="P1573:Q1573"/>
    <mergeCell ref="B1574:C1574"/>
    <mergeCell ref="D1574:E1574"/>
    <mergeCell ref="F1574:G1574"/>
    <mergeCell ref="H1574:I1574"/>
    <mergeCell ref="J1574:K1574"/>
    <mergeCell ref="L1574:M1574"/>
    <mergeCell ref="P1574:Q1574"/>
    <mergeCell ref="AJ1573:AK1573"/>
    <mergeCell ref="AL1573:AM1573"/>
    <mergeCell ref="AN1573:AO1573"/>
    <mergeCell ref="AP1573:AQ1573"/>
    <mergeCell ref="AR1573:AS1573"/>
    <mergeCell ref="AT1573:AU1573"/>
    <mergeCell ref="AV1573:AW1573"/>
    <mergeCell ref="AJ1568:AK1568"/>
    <mergeCell ref="AL1568:AM1568"/>
    <mergeCell ref="R1568:S1568"/>
    <mergeCell ref="T1568:U1568"/>
    <mergeCell ref="V1568:W1568"/>
    <mergeCell ref="X1568:AA1568"/>
    <mergeCell ref="AB1568:AE1568"/>
    <mergeCell ref="AF1568:AG1568"/>
    <mergeCell ref="AH1568:AI1568"/>
    <mergeCell ref="R1569:S1569"/>
    <mergeCell ref="T1569:U1569"/>
    <mergeCell ref="V1569:W1569"/>
    <mergeCell ref="X1569:AA1569"/>
    <mergeCell ref="AB1569:AE1569"/>
    <mergeCell ref="AF1569:AG1569"/>
    <mergeCell ref="AH1569:AI1569"/>
    <mergeCell ref="AX1569:AZ1569"/>
    <mergeCell ref="BA1569:BB1569"/>
    <mergeCell ref="J1571:K1571"/>
    <mergeCell ref="L1571:M1571"/>
    <mergeCell ref="P1571:Q1571"/>
    <mergeCell ref="B1572:C1572"/>
    <mergeCell ref="D1572:E1572"/>
    <mergeCell ref="F1572:G1572"/>
    <mergeCell ref="H1572:I1572"/>
    <mergeCell ref="J1572:K1572"/>
    <mergeCell ref="L1572:M1572"/>
    <mergeCell ref="P1572:Q1572"/>
    <mergeCell ref="AJ1571:AK1571"/>
    <mergeCell ref="AL1571:AM1571"/>
    <mergeCell ref="AN1571:AO1571"/>
    <mergeCell ref="AP1571:AQ1571"/>
    <mergeCell ref="AR1571:AS1571"/>
    <mergeCell ref="AT1571:AU1571"/>
    <mergeCell ref="AV1571:AW1571"/>
    <mergeCell ref="BJ1562:BM1562"/>
    <mergeCell ref="BN1562:BV1562"/>
    <mergeCell ref="BJ1563:BM1563"/>
    <mergeCell ref="BN1563:BV1563"/>
    <mergeCell ref="B1562:C1562"/>
    <mergeCell ref="D1562:E1562"/>
    <mergeCell ref="F1562:G1562"/>
    <mergeCell ref="H1562:I1562"/>
    <mergeCell ref="J1562:K1562"/>
    <mergeCell ref="L1562:M1562"/>
    <mergeCell ref="P1562:Q1562"/>
    <mergeCell ref="B1563:C1563"/>
    <mergeCell ref="D1563:E1563"/>
    <mergeCell ref="F1563:G1563"/>
    <mergeCell ref="H1563:I1563"/>
    <mergeCell ref="J1563:K1563"/>
    <mergeCell ref="L1563:M1563"/>
    <mergeCell ref="P1563:Q1563"/>
    <mergeCell ref="AJ1562:AK1562"/>
    <mergeCell ref="AL1562:AM1562"/>
    <mergeCell ref="AN1562:AO1562"/>
    <mergeCell ref="AP1562:AQ1562"/>
    <mergeCell ref="AR1562:AS1562"/>
    <mergeCell ref="AT1562:AU1562"/>
    <mergeCell ref="AV1562:AW1562"/>
    <mergeCell ref="BD1574:BE1574"/>
    <mergeCell ref="BF1574:BI1574"/>
    <mergeCell ref="AN1574:AO1574"/>
    <mergeCell ref="AP1574:AQ1574"/>
    <mergeCell ref="AR1574:AS1574"/>
    <mergeCell ref="AT1574:AU1574"/>
    <mergeCell ref="AV1574:AW1574"/>
    <mergeCell ref="AX1574:AZ1574"/>
    <mergeCell ref="BA1574:BB1574"/>
    <mergeCell ref="AJ1572:AK1572"/>
    <mergeCell ref="AL1572:AM1572"/>
    <mergeCell ref="R1572:S1572"/>
    <mergeCell ref="T1572:U1572"/>
    <mergeCell ref="V1572:W1572"/>
    <mergeCell ref="X1572:AA1572"/>
    <mergeCell ref="AB1572:AE1572"/>
    <mergeCell ref="AF1572:AG1572"/>
    <mergeCell ref="AH1572:AI1572"/>
    <mergeCell ref="R1573:S1573"/>
    <mergeCell ref="T1573:U1573"/>
    <mergeCell ref="V1573:W1573"/>
    <mergeCell ref="X1573:AA1573"/>
    <mergeCell ref="AB1573:AE1573"/>
    <mergeCell ref="AF1573:AG1573"/>
    <mergeCell ref="AH1573:AI1573"/>
    <mergeCell ref="AX1573:AZ1573"/>
    <mergeCell ref="BA1573:BB1573"/>
    <mergeCell ref="BD1573:BE1573"/>
    <mergeCell ref="BF1573:BI1573"/>
    <mergeCell ref="BJ1573:BM1573"/>
    <mergeCell ref="BN1573:BV1573"/>
    <mergeCell ref="BJ1574:BM1574"/>
    <mergeCell ref="BN1574:BV1574"/>
    <mergeCell ref="B1573:C1573"/>
    <mergeCell ref="D1573:E1573"/>
    <mergeCell ref="F1573:G1573"/>
    <mergeCell ref="H1573:I1573"/>
    <mergeCell ref="J1573:K1573"/>
    <mergeCell ref="L1573:M1573"/>
    <mergeCell ref="P1560:Q1560"/>
    <mergeCell ref="B1561:C1561"/>
    <mergeCell ref="D1561:E1561"/>
    <mergeCell ref="F1561:G1561"/>
    <mergeCell ref="H1561:I1561"/>
    <mergeCell ref="J1561:K1561"/>
    <mergeCell ref="L1561:M1561"/>
    <mergeCell ref="P1561:Q1561"/>
    <mergeCell ref="AJ1560:AK1560"/>
    <mergeCell ref="AL1560:AM1560"/>
    <mergeCell ref="AN1560:AO1560"/>
    <mergeCell ref="AP1560:AQ1560"/>
    <mergeCell ref="AR1560:AS1560"/>
    <mergeCell ref="AT1560:AU1560"/>
    <mergeCell ref="AV1560:AW1560"/>
    <mergeCell ref="BD1563:BE1563"/>
    <mergeCell ref="BF1563:BI1563"/>
    <mergeCell ref="AN1563:AO1563"/>
    <mergeCell ref="AP1563:AQ1563"/>
    <mergeCell ref="AR1563:AS1563"/>
    <mergeCell ref="AT1563:AU1563"/>
    <mergeCell ref="AV1563:AW1563"/>
    <mergeCell ref="AX1563:AZ1563"/>
    <mergeCell ref="BA1563:BB1563"/>
    <mergeCell ref="AJ1561:AK1561"/>
    <mergeCell ref="AL1561:AM1561"/>
    <mergeCell ref="R1561:S1561"/>
    <mergeCell ref="T1561:U1561"/>
    <mergeCell ref="V1561:W1561"/>
    <mergeCell ref="X1561:AA1561"/>
    <mergeCell ref="AB1561:AE1561"/>
    <mergeCell ref="AF1561:AG1561"/>
    <mergeCell ref="AH1561:AI1561"/>
    <mergeCell ref="R1562:S1562"/>
    <mergeCell ref="T1562:U1562"/>
    <mergeCell ref="V1562:W1562"/>
    <mergeCell ref="X1562:AA1562"/>
    <mergeCell ref="AB1562:AE1562"/>
    <mergeCell ref="AF1562:AG1562"/>
    <mergeCell ref="AH1562:AI1562"/>
    <mergeCell ref="AX1562:AZ1562"/>
    <mergeCell ref="BA1562:BB1562"/>
    <mergeCell ref="BD1562:BE1562"/>
    <mergeCell ref="BF1562:BI1562"/>
    <mergeCell ref="BJ1558:BM1558"/>
    <mergeCell ref="BN1558:BV1558"/>
    <mergeCell ref="BJ1559:BM1559"/>
    <mergeCell ref="BN1559:BV1559"/>
    <mergeCell ref="B1558:C1558"/>
    <mergeCell ref="D1558:E1558"/>
    <mergeCell ref="F1558:G1558"/>
    <mergeCell ref="H1558:I1558"/>
    <mergeCell ref="J1558:K1558"/>
    <mergeCell ref="L1558:M1558"/>
    <mergeCell ref="P1558:Q1558"/>
    <mergeCell ref="B1559:C1559"/>
    <mergeCell ref="D1559:E1559"/>
    <mergeCell ref="F1559:G1559"/>
    <mergeCell ref="H1559:I1559"/>
    <mergeCell ref="J1559:K1559"/>
    <mergeCell ref="L1559:M1559"/>
    <mergeCell ref="P1559:Q1559"/>
    <mergeCell ref="AJ1558:AK1558"/>
    <mergeCell ref="AL1558:AM1558"/>
    <mergeCell ref="AN1558:AO1558"/>
    <mergeCell ref="AP1558:AQ1558"/>
    <mergeCell ref="AR1558:AS1558"/>
    <mergeCell ref="AT1558:AU1558"/>
    <mergeCell ref="AV1558:AW1558"/>
    <mergeCell ref="BD1561:BE1561"/>
    <mergeCell ref="BF1561:BI1561"/>
    <mergeCell ref="AN1561:AO1561"/>
    <mergeCell ref="AP1561:AQ1561"/>
    <mergeCell ref="AR1561:AS1561"/>
    <mergeCell ref="AT1561:AU1561"/>
    <mergeCell ref="AV1561:AW1561"/>
    <mergeCell ref="AX1561:AZ1561"/>
    <mergeCell ref="BA1561:BB1561"/>
    <mergeCell ref="AJ1559:AK1559"/>
    <mergeCell ref="AL1559:AM1559"/>
    <mergeCell ref="R1559:S1559"/>
    <mergeCell ref="T1559:U1559"/>
    <mergeCell ref="V1559:W1559"/>
    <mergeCell ref="X1559:AA1559"/>
    <mergeCell ref="AB1559:AE1559"/>
    <mergeCell ref="AF1559:AG1559"/>
    <mergeCell ref="AH1559:AI1559"/>
    <mergeCell ref="R1560:S1560"/>
    <mergeCell ref="T1560:U1560"/>
    <mergeCell ref="V1560:W1560"/>
    <mergeCell ref="X1560:AA1560"/>
    <mergeCell ref="AB1560:AE1560"/>
    <mergeCell ref="AF1560:AG1560"/>
    <mergeCell ref="AH1560:AI1560"/>
    <mergeCell ref="AX1560:AZ1560"/>
    <mergeCell ref="BA1560:BB1560"/>
    <mergeCell ref="BD1560:BE1560"/>
    <mergeCell ref="BF1560:BI1560"/>
    <mergeCell ref="BJ1560:BM1560"/>
    <mergeCell ref="BN1560:BV1560"/>
    <mergeCell ref="BJ1561:BM1561"/>
    <mergeCell ref="BN1561:BV1561"/>
    <mergeCell ref="B1560:C1560"/>
    <mergeCell ref="D1560:E1560"/>
    <mergeCell ref="F1560:G1560"/>
    <mergeCell ref="H1560:I1560"/>
    <mergeCell ref="J1560:K1560"/>
    <mergeCell ref="L1560:M1560"/>
    <mergeCell ref="F1557:G1557"/>
    <mergeCell ref="H1557:I1557"/>
    <mergeCell ref="J1557:K1557"/>
    <mergeCell ref="L1557:M1557"/>
    <mergeCell ref="P1557:Q1557"/>
    <mergeCell ref="AJ1556:AK1556"/>
    <mergeCell ref="AL1556:AM1556"/>
    <mergeCell ref="AN1556:AO1556"/>
    <mergeCell ref="AP1556:AQ1556"/>
    <mergeCell ref="AR1556:AS1556"/>
    <mergeCell ref="AT1556:AU1556"/>
    <mergeCell ref="AV1556:AW1556"/>
    <mergeCell ref="BD1559:BE1559"/>
    <mergeCell ref="BF1559:BI1559"/>
    <mergeCell ref="AN1559:AO1559"/>
    <mergeCell ref="AP1559:AQ1559"/>
    <mergeCell ref="AR1559:AS1559"/>
    <mergeCell ref="AT1559:AU1559"/>
    <mergeCell ref="AV1559:AW1559"/>
    <mergeCell ref="AX1559:AZ1559"/>
    <mergeCell ref="BA1559:BB1559"/>
    <mergeCell ref="AJ1557:AK1557"/>
    <mergeCell ref="AL1557:AM1557"/>
    <mergeCell ref="R1557:S1557"/>
    <mergeCell ref="T1557:U1557"/>
    <mergeCell ref="V1557:W1557"/>
    <mergeCell ref="X1557:AA1557"/>
    <mergeCell ref="AB1557:AE1557"/>
    <mergeCell ref="AF1557:AG1557"/>
    <mergeCell ref="AH1557:AI1557"/>
    <mergeCell ref="R1558:S1558"/>
    <mergeCell ref="T1558:U1558"/>
    <mergeCell ref="V1558:W1558"/>
    <mergeCell ref="X1558:AA1558"/>
    <mergeCell ref="AB1558:AE1558"/>
    <mergeCell ref="AF1558:AG1558"/>
    <mergeCell ref="AH1558:AI1558"/>
    <mergeCell ref="AX1558:AZ1558"/>
    <mergeCell ref="BA1558:BB1558"/>
    <mergeCell ref="BD1558:BE1558"/>
    <mergeCell ref="BF1558:BI1558"/>
    <mergeCell ref="BD1557:BE1557"/>
    <mergeCell ref="BF1557:BI1557"/>
    <mergeCell ref="AN1557:AO1557"/>
    <mergeCell ref="AP1557:AQ1557"/>
    <mergeCell ref="AR1557:AS1557"/>
    <mergeCell ref="AT1557:AU1557"/>
    <mergeCell ref="AV1557:AW1557"/>
    <mergeCell ref="AX1557:AZ1557"/>
    <mergeCell ref="BA1557:BB1557"/>
    <mergeCell ref="R1556:S1556"/>
    <mergeCell ref="T1556:U1556"/>
    <mergeCell ref="V1556:W1556"/>
    <mergeCell ref="X1556:AA1556"/>
    <mergeCell ref="AB1556:AE1556"/>
    <mergeCell ref="AF1556:AG1556"/>
    <mergeCell ref="AH1556:AI1556"/>
    <mergeCell ref="AX1556:AZ1556"/>
    <mergeCell ref="BA1556:BB1556"/>
    <mergeCell ref="BD1556:BE1556"/>
    <mergeCell ref="BF1556:BI1556"/>
    <mergeCell ref="BJ1556:BM1556"/>
    <mergeCell ref="BN1556:BV1556"/>
    <mergeCell ref="BJ1557:BM1557"/>
    <mergeCell ref="BN1557:BV1557"/>
    <mergeCell ref="B1552:C1552"/>
    <mergeCell ref="D1552:E1552"/>
    <mergeCell ref="F1552:G1552"/>
    <mergeCell ref="H1552:I1552"/>
    <mergeCell ref="J1552:K1552"/>
    <mergeCell ref="L1552:M1552"/>
    <mergeCell ref="P1552:Q1552"/>
    <mergeCell ref="B1553:C1553"/>
    <mergeCell ref="D1553:E1553"/>
    <mergeCell ref="F1553:G1553"/>
    <mergeCell ref="H1553:I1553"/>
    <mergeCell ref="J1553:K1553"/>
    <mergeCell ref="L1553:M1553"/>
    <mergeCell ref="P1553:Q1553"/>
    <mergeCell ref="AJ1552:AK1552"/>
    <mergeCell ref="AL1552:AM1552"/>
    <mergeCell ref="AN1552:AO1552"/>
    <mergeCell ref="AP1552:AQ1552"/>
    <mergeCell ref="AR1552:AS1552"/>
    <mergeCell ref="AT1552:AU1552"/>
    <mergeCell ref="AV1552:AW1552"/>
    <mergeCell ref="BD1555:BE1555"/>
    <mergeCell ref="BF1555:BI1555"/>
    <mergeCell ref="AN1555:AO1555"/>
    <mergeCell ref="AP1555:AQ1555"/>
    <mergeCell ref="AR1555:AS1555"/>
    <mergeCell ref="AT1555:AU1555"/>
    <mergeCell ref="AV1555:AW1555"/>
    <mergeCell ref="AX1555:AZ1555"/>
    <mergeCell ref="BA1555:BB1555"/>
    <mergeCell ref="AJ1553:AK1553"/>
    <mergeCell ref="AL1553:AM1553"/>
    <mergeCell ref="R1553:S1553"/>
    <mergeCell ref="T1553:U1553"/>
    <mergeCell ref="V1553:W1553"/>
    <mergeCell ref="X1553:AA1553"/>
    <mergeCell ref="AB1553:AE1553"/>
    <mergeCell ref="AF1553:AG1553"/>
    <mergeCell ref="AH1553:AI1553"/>
    <mergeCell ref="R1554:S1554"/>
    <mergeCell ref="B1556:C1556"/>
    <mergeCell ref="D1556:E1556"/>
    <mergeCell ref="F1556:G1556"/>
    <mergeCell ref="H1556:I1556"/>
    <mergeCell ref="J1556:K1556"/>
    <mergeCell ref="L1556:M1556"/>
    <mergeCell ref="P1556:Q1556"/>
    <mergeCell ref="B1557:C1557"/>
    <mergeCell ref="D1557:E1557"/>
    <mergeCell ref="B1554:C1554"/>
    <mergeCell ref="D1554:E1554"/>
    <mergeCell ref="F1554:G1554"/>
    <mergeCell ref="H1554:I1554"/>
    <mergeCell ref="J1554:K1554"/>
    <mergeCell ref="L1554:M1554"/>
    <mergeCell ref="P1554:Q1554"/>
    <mergeCell ref="B1555:C1555"/>
    <mergeCell ref="D1555:E1555"/>
    <mergeCell ref="F1555:G1555"/>
    <mergeCell ref="H1555:I1555"/>
    <mergeCell ref="J1555:K1555"/>
    <mergeCell ref="L1555:M1555"/>
    <mergeCell ref="P1555:Q1555"/>
    <mergeCell ref="BD1547:BE1547"/>
    <mergeCell ref="BF1547:BI1547"/>
    <mergeCell ref="AN1547:AO1547"/>
    <mergeCell ref="AP1547:AQ1547"/>
    <mergeCell ref="AR1547:AS1547"/>
    <mergeCell ref="AT1547:AU1547"/>
    <mergeCell ref="AV1547:AW1547"/>
    <mergeCell ref="AX1547:AZ1547"/>
    <mergeCell ref="BA1547:BB1547"/>
    <mergeCell ref="BD1553:BE1553"/>
    <mergeCell ref="BF1553:BI1553"/>
    <mergeCell ref="AN1553:AO1553"/>
    <mergeCell ref="AP1553:AQ1553"/>
    <mergeCell ref="AR1553:AS1553"/>
    <mergeCell ref="AT1553:AU1553"/>
    <mergeCell ref="AV1553:AW1553"/>
    <mergeCell ref="AX1553:AZ1553"/>
    <mergeCell ref="BA1553:BB1553"/>
    <mergeCell ref="AJ1551:AK1551"/>
    <mergeCell ref="AL1551:AM1551"/>
    <mergeCell ref="R1551:S1551"/>
    <mergeCell ref="T1551:U1551"/>
    <mergeCell ref="V1551:W1551"/>
    <mergeCell ref="X1551:AA1551"/>
    <mergeCell ref="AB1551:AE1551"/>
    <mergeCell ref="AF1551:AG1551"/>
    <mergeCell ref="AH1551:AI1551"/>
    <mergeCell ref="R1552:S1552"/>
    <mergeCell ref="T1552:U1552"/>
    <mergeCell ref="V1552:W1552"/>
    <mergeCell ref="X1552:AA1552"/>
    <mergeCell ref="AB1552:AE1552"/>
    <mergeCell ref="AF1552:AG1552"/>
    <mergeCell ref="AH1552:AI1552"/>
    <mergeCell ref="AX1552:AZ1552"/>
    <mergeCell ref="BA1552:BB1552"/>
    <mergeCell ref="BD1552:BE1552"/>
    <mergeCell ref="BF1552:BI1552"/>
    <mergeCell ref="P1550:Q1550"/>
    <mergeCell ref="B1551:C1551"/>
    <mergeCell ref="AJ1555:AK1555"/>
    <mergeCell ref="AL1555:AM1555"/>
    <mergeCell ref="R1555:S1555"/>
    <mergeCell ref="T1555:U1555"/>
    <mergeCell ref="V1555:W1555"/>
    <mergeCell ref="X1555:AA1555"/>
    <mergeCell ref="AB1555:AE1555"/>
    <mergeCell ref="AF1555:AG1555"/>
    <mergeCell ref="AH1555:AI1555"/>
    <mergeCell ref="B1543:C1543"/>
    <mergeCell ref="D1543:E1543"/>
    <mergeCell ref="F1543:G1543"/>
    <mergeCell ref="H1543:I1543"/>
    <mergeCell ref="J1543:K1543"/>
    <mergeCell ref="L1543:M1543"/>
    <mergeCell ref="P1543:Q1543"/>
    <mergeCell ref="AX1544:AZ1544"/>
    <mergeCell ref="BA1544:BB1544"/>
    <mergeCell ref="BD1544:BE1544"/>
    <mergeCell ref="BF1544:BI1544"/>
    <mergeCell ref="BJ1544:BM1544"/>
    <mergeCell ref="BN1544:BV1544"/>
    <mergeCell ref="BJ1545:BM1545"/>
    <mergeCell ref="BN1545:BV1545"/>
    <mergeCell ref="B1545:C1545"/>
    <mergeCell ref="D1545:E1545"/>
    <mergeCell ref="F1545:G1545"/>
    <mergeCell ref="H1545:I1545"/>
    <mergeCell ref="J1545:K1545"/>
    <mergeCell ref="L1545:M1545"/>
    <mergeCell ref="P1545:Q1545"/>
    <mergeCell ref="AJ1544:AK1544"/>
    <mergeCell ref="AL1544:AM1544"/>
    <mergeCell ref="AN1544:AO1544"/>
    <mergeCell ref="AP1544:AQ1544"/>
    <mergeCell ref="AR1544:AS1544"/>
    <mergeCell ref="AT1544:AU1544"/>
    <mergeCell ref="AV1544:AW1544"/>
    <mergeCell ref="R1544:S1544"/>
    <mergeCell ref="T1544:U1544"/>
    <mergeCell ref="V1544:W1544"/>
    <mergeCell ref="X1544:AA1544"/>
    <mergeCell ref="AB1544:AE1544"/>
    <mergeCell ref="AF1544:AG1544"/>
    <mergeCell ref="AH1544:AI1544"/>
    <mergeCell ref="B1544:C1544"/>
    <mergeCell ref="D1544:E1544"/>
    <mergeCell ref="F1544:G1544"/>
    <mergeCell ref="H1544:I1544"/>
    <mergeCell ref="BA1542:BB1542"/>
    <mergeCell ref="AJ1540:AK1540"/>
    <mergeCell ref="AL1540:AM1540"/>
    <mergeCell ref="R1540:S1540"/>
    <mergeCell ref="T1540:U1540"/>
    <mergeCell ref="V1540:W1540"/>
    <mergeCell ref="X1540:AA1540"/>
    <mergeCell ref="AB1540:AE1540"/>
    <mergeCell ref="AF1540:AG1540"/>
    <mergeCell ref="AH1540:AI1540"/>
    <mergeCell ref="R1541:S1541"/>
    <mergeCell ref="T1541:U1541"/>
    <mergeCell ref="V1541:W1541"/>
    <mergeCell ref="X1541:AA1541"/>
    <mergeCell ref="AB1541:AE1541"/>
    <mergeCell ref="AF1541:AG1541"/>
    <mergeCell ref="AH1541:AI1541"/>
    <mergeCell ref="AX1541:AZ1541"/>
    <mergeCell ref="BA1541:BB1541"/>
    <mergeCell ref="BD1541:BE1541"/>
    <mergeCell ref="BF1541:BI1541"/>
    <mergeCell ref="BJ1552:BM1552"/>
    <mergeCell ref="BN1552:BV1552"/>
    <mergeCell ref="BJ1553:BM1553"/>
    <mergeCell ref="BN1553:BV1553"/>
    <mergeCell ref="BJ1554:BM1554"/>
    <mergeCell ref="BN1554:BV1554"/>
    <mergeCell ref="BJ1555:BM1555"/>
    <mergeCell ref="BN1555:BV1555"/>
    <mergeCell ref="AJ1554:AK1554"/>
    <mergeCell ref="AL1554:AM1554"/>
    <mergeCell ref="AN1554:AO1554"/>
    <mergeCell ref="AP1554:AQ1554"/>
    <mergeCell ref="AR1554:AS1554"/>
    <mergeCell ref="AT1554:AU1554"/>
    <mergeCell ref="AV1554:AW1554"/>
    <mergeCell ref="BJ1543:BM1543"/>
    <mergeCell ref="BN1543:BV1543"/>
    <mergeCell ref="AJ1543:AK1543"/>
    <mergeCell ref="AL1543:AM1543"/>
    <mergeCell ref="AN1543:AO1543"/>
    <mergeCell ref="AP1543:AQ1543"/>
    <mergeCell ref="AR1543:AS1543"/>
    <mergeCell ref="AT1543:AU1543"/>
    <mergeCell ref="AV1543:AW1543"/>
    <mergeCell ref="T1554:U1554"/>
    <mergeCell ref="V1554:W1554"/>
    <mergeCell ref="X1554:AA1554"/>
    <mergeCell ref="AB1554:AE1554"/>
    <mergeCell ref="AF1554:AG1554"/>
    <mergeCell ref="AH1554:AI1554"/>
    <mergeCell ref="AX1554:AZ1554"/>
    <mergeCell ref="BA1554:BB1554"/>
    <mergeCell ref="BD1554:BE1554"/>
    <mergeCell ref="BF1554:BI1554"/>
    <mergeCell ref="BD1540:BE1540"/>
    <mergeCell ref="BF1540:BI1540"/>
    <mergeCell ref="AN1540:AO1540"/>
    <mergeCell ref="AP1540:AQ1540"/>
    <mergeCell ref="AR1540:AS1540"/>
    <mergeCell ref="AT1540:AU1540"/>
    <mergeCell ref="AV1540:AW1540"/>
    <mergeCell ref="AX1540:AZ1540"/>
    <mergeCell ref="BA1540:BB1540"/>
    <mergeCell ref="BJ1541:BM1541"/>
    <mergeCell ref="BN1541:BV1541"/>
    <mergeCell ref="B1541:C1541"/>
    <mergeCell ref="D1541:E1541"/>
    <mergeCell ref="F1541:G1541"/>
    <mergeCell ref="H1541:I1541"/>
    <mergeCell ref="J1541:K1541"/>
    <mergeCell ref="L1541:M1541"/>
    <mergeCell ref="P1541:Q1541"/>
    <mergeCell ref="AJ1541:AK1541"/>
    <mergeCell ref="AL1541:AM1541"/>
    <mergeCell ref="AN1541:AO1541"/>
    <mergeCell ref="AP1541:AQ1541"/>
    <mergeCell ref="AR1541:AS1541"/>
    <mergeCell ref="AT1541:AU1541"/>
    <mergeCell ref="AV1541:AW1541"/>
    <mergeCell ref="B1542:C1542"/>
    <mergeCell ref="D1542:E1542"/>
    <mergeCell ref="F1542:G1542"/>
    <mergeCell ref="H1542:I1542"/>
    <mergeCell ref="J1542:K1542"/>
    <mergeCell ref="L1542:M1542"/>
    <mergeCell ref="P1542:Q1542"/>
    <mergeCell ref="D1540:E1540"/>
    <mergeCell ref="F1540:G1540"/>
    <mergeCell ref="H1540:I1540"/>
    <mergeCell ref="J1540:K1540"/>
    <mergeCell ref="L1540:M1540"/>
    <mergeCell ref="P1540:Q1540"/>
    <mergeCell ref="BD1546:BE1546"/>
    <mergeCell ref="BF1546:BI1546"/>
    <mergeCell ref="BJ1546:BM1546"/>
    <mergeCell ref="BN1546:BV1546"/>
    <mergeCell ref="J1544:K1544"/>
    <mergeCell ref="L1544:M1544"/>
    <mergeCell ref="P1544:Q1544"/>
    <mergeCell ref="BD1545:BE1545"/>
    <mergeCell ref="BF1545:BI1545"/>
    <mergeCell ref="AN1545:AO1545"/>
    <mergeCell ref="AP1545:AQ1545"/>
    <mergeCell ref="AR1545:AS1545"/>
    <mergeCell ref="AT1545:AU1545"/>
    <mergeCell ref="AV1545:AW1545"/>
    <mergeCell ref="AX1545:AZ1545"/>
    <mergeCell ref="BA1545:BB1545"/>
    <mergeCell ref="R1543:S1543"/>
    <mergeCell ref="T1543:U1543"/>
    <mergeCell ref="V1543:W1543"/>
    <mergeCell ref="X1543:AA1543"/>
    <mergeCell ref="AB1543:AE1543"/>
    <mergeCell ref="AF1543:AG1543"/>
    <mergeCell ref="AH1543:AI1543"/>
    <mergeCell ref="AX1543:AZ1543"/>
    <mergeCell ref="BA1543:BB1543"/>
    <mergeCell ref="BD1543:BE1543"/>
    <mergeCell ref="BF1543:BI1543"/>
    <mergeCell ref="BD1542:BE1542"/>
    <mergeCell ref="BF1542:BI1542"/>
    <mergeCell ref="AN1542:AO1542"/>
    <mergeCell ref="AP1542:AQ1542"/>
    <mergeCell ref="AR1542:AS1542"/>
    <mergeCell ref="AT1542:AU1542"/>
    <mergeCell ref="AV1542:AW1542"/>
    <mergeCell ref="AX1542:AZ1542"/>
    <mergeCell ref="BJ1547:BM1547"/>
    <mergeCell ref="BN1547:BV1547"/>
    <mergeCell ref="B1546:C1546"/>
    <mergeCell ref="D1546:E1546"/>
    <mergeCell ref="F1546:G1546"/>
    <mergeCell ref="H1546:I1546"/>
    <mergeCell ref="J1546:K1546"/>
    <mergeCell ref="L1546:M1546"/>
    <mergeCell ref="P1546:Q1546"/>
    <mergeCell ref="B1547:C1547"/>
    <mergeCell ref="D1547:E1547"/>
    <mergeCell ref="F1547:G1547"/>
    <mergeCell ref="H1547:I1547"/>
    <mergeCell ref="J1547:K1547"/>
    <mergeCell ref="L1547:M1547"/>
    <mergeCell ref="P1547:Q1547"/>
    <mergeCell ref="AJ1546:AK1546"/>
    <mergeCell ref="AL1546:AM1546"/>
    <mergeCell ref="AN1546:AO1546"/>
    <mergeCell ref="AP1546:AQ1546"/>
    <mergeCell ref="AR1546:AS1546"/>
    <mergeCell ref="AT1546:AU1546"/>
    <mergeCell ref="AV1546:AW1546"/>
    <mergeCell ref="BD1549:BE1549"/>
    <mergeCell ref="BF1549:BI1549"/>
    <mergeCell ref="AN1549:AO1549"/>
    <mergeCell ref="AP1549:AQ1549"/>
    <mergeCell ref="AR1549:AS1549"/>
    <mergeCell ref="AT1549:AU1549"/>
    <mergeCell ref="AV1549:AW1549"/>
    <mergeCell ref="AX1549:AZ1549"/>
    <mergeCell ref="BA1549:BB1549"/>
    <mergeCell ref="AJ1547:AK1547"/>
    <mergeCell ref="AL1547:AM1547"/>
    <mergeCell ref="R1547:S1547"/>
    <mergeCell ref="T1547:U1547"/>
    <mergeCell ref="V1547:W1547"/>
    <mergeCell ref="X1547:AA1547"/>
    <mergeCell ref="AB1547:AE1547"/>
    <mergeCell ref="AF1547:AG1547"/>
    <mergeCell ref="AH1547:AI1547"/>
    <mergeCell ref="R1548:S1548"/>
    <mergeCell ref="T1548:U1548"/>
    <mergeCell ref="V1548:W1548"/>
    <mergeCell ref="X1548:AA1548"/>
    <mergeCell ref="AB1548:AE1548"/>
    <mergeCell ref="AF1548:AG1548"/>
    <mergeCell ref="AH1548:AI1548"/>
    <mergeCell ref="AX1548:AZ1548"/>
    <mergeCell ref="BA1548:BB1548"/>
    <mergeCell ref="BD1548:BE1548"/>
    <mergeCell ref="BF1548:BI1548"/>
    <mergeCell ref="BJ1548:BM1548"/>
    <mergeCell ref="BN1548:BV1548"/>
    <mergeCell ref="BJ1549:BM1549"/>
    <mergeCell ref="BN1549:BV1549"/>
    <mergeCell ref="B1548:C1548"/>
    <mergeCell ref="D1548:E1548"/>
    <mergeCell ref="F1548:G1548"/>
    <mergeCell ref="H1548:I1548"/>
    <mergeCell ref="B1549:C1549"/>
    <mergeCell ref="D1551:E1551"/>
    <mergeCell ref="F1551:G1551"/>
    <mergeCell ref="H1551:I1551"/>
    <mergeCell ref="J1551:K1551"/>
    <mergeCell ref="L1551:M1551"/>
    <mergeCell ref="P1551:Q1551"/>
    <mergeCell ref="AJ1550:AK1550"/>
    <mergeCell ref="AL1550:AM1550"/>
    <mergeCell ref="AN1550:AO1550"/>
    <mergeCell ref="AP1550:AQ1550"/>
    <mergeCell ref="AR1550:AS1550"/>
    <mergeCell ref="AT1550:AU1550"/>
    <mergeCell ref="AV1550:AW1550"/>
    <mergeCell ref="AJ1545:AK1545"/>
    <mergeCell ref="AL1545:AM1545"/>
    <mergeCell ref="R1545:S1545"/>
    <mergeCell ref="T1545:U1545"/>
    <mergeCell ref="V1545:W1545"/>
    <mergeCell ref="X1545:AA1545"/>
    <mergeCell ref="AB1545:AE1545"/>
    <mergeCell ref="AF1545:AG1545"/>
    <mergeCell ref="AH1545:AI1545"/>
    <mergeCell ref="R1546:S1546"/>
    <mergeCell ref="T1546:U1546"/>
    <mergeCell ref="V1546:W1546"/>
    <mergeCell ref="X1546:AA1546"/>
    <mergeCell ref="AB1546:AE1546"/>
    <mergeCell ref="AF1546:AG1546"/>
    <mergeCell ref="AH1546:AI1546"/>
    <mergeCell ref="AX1546:AZ1546"/>
    <mergeCell ref="BA1546:BB1546"/>
    <mergeCell ref="J1548:K1548"/>
    <mergeCell ref="L1548:M1548"/>
    <mergeCell ref="P1548:Q1548"/>
    <mergeCell ref="D1549:E1549"/>
    <mergeCell ref="F1549:G1549"/>
    <mergeCell ref="H1549:I1549"/>
    <mergeCell ref="J1549:K1549"/>
    <mergeCell ref="L1549:M1549"/>
    <mergeCell ref="P1549:Q1549"/>
    <mergeCell ref="AJ1548:AK1548"/>
    <mergeCell ref="AL1548:AM1548"/>
    <mergeCell ref="AN1548:AO1548"/>
    <mergeCell ref="AP1548:AQ1548"/>
    <mergeCell ref="AR1548:AS1548"/>
    <mergeCell ref="AT1548:AU1548"/>
    <mergeCell ref="AV1548:AW1548"/>
    <mergeCell ref="BJ1512:BM1512"/>
    <mergeCell ref="BN1512:BV1512"/>
    <mergeCell ref="BJ1513:BM1513"/>
    <mergeCell ref="BN1513:BV1513"/>
    <mergeCell ref="B1512:C1512"/>
    <mergeCell ref="D1512:E1512"/>
    <mergeCell ref="F1512:G1512"/>
    <mergeCell ref="H1512:I1512"/>
    <mergeCell ref="J1512:K1512"/>
    <mergeCell ref="L1512:M1512"/>
    <mergeCell ref="P1512:Q1512"/>
    <mergeCell ref="B1513:C1513"/>
    <mergeCell ref="D1513:E1513"/>
    <mergeCell ref="F1513:G1513"/>
    <mergeCell ref="H1513:I1513"/>
    <mergeCell ref="J1513:K1513"/>
    <mergeCell ref="L1513:M1513"/>
    <mergeCell ref="P1513:Q1513"/>
    <mergeCell ref="AJ1512:AK1512"/>
    <mergeCell ref="AL1512:AM1512"/>
    <mergeCell ref="AN1512:AO1512"/>
    <mergeCell ref="AP1512:AQ1512"/>
    <mergeCell ref="AR1512:AS1512"/>
    <mergeCell ref="AT1512:AU1512"/>
    <mergeCell ref="AV1512:AW1512"/>
    <mergeCell ref="BD1551:BE1551"/>
    <mergeCell ref="BF1551:BI1551"/>
    <mergeCell ref="AN1551:AO1551"/>
    <mergeCell ref="AP1551:AQ1551"/>
    <mergeCell ref="AR1551:AS1551"/>
    <mergeCell ref="AT1551:AU1551"/>
    <mergeCell ref="AV1551:AW1551"/>
    <mergeCell ref="AX1551:AZ1551"/>
    <mergeCell ref="BA1551:BB1551"/>
    <mergeCell ref="AJ1549:AK1549"/>
    <mergeCell ref="AL1549:AM1549"/>
    <mergeCell ref="R1549:S1549"/>
    <mergeCell ref="T1549:U1549"/>
    <mergeCell ref="V1549:W1549"/>
    <mergeCell ref="X1549:AA1549"/>
    <mergeCell ref="AB1549:AE1549"/>
    <mergeCell ref="AF1549:AG1549"/>
    <mergeCell ref="AH1549:AI1549"/>
    <mergeCell ref="R1550:S1550"/>
    <mergeCell ref="T1550:U1550"/>
    <mergeCell ref="V1550:W1550"/>
    <mergeCell ref="X1550:AA1550"/>
    <mergeCell ref="AB1550:AE1550"/>
    <mergeCell ref="AF1550:AG1550"/>
    <mergeCell ref="AH1550:AI1550"/>
    <mergeCell ref="AX1550:AZ1550"/>
    <mergeCell ref="BA1550:BB1550"/>
    <mergeCell ref="BD1550:BE1550"/>
    <mergeCell ref="BF1550:BI1550"/>
    <mergeCell ref="BJ1550:BM1550"/>
    <mergeCell ref="BN1550:BV1550"/>
    <mergeCell ref="BJ1551:BM1551"/>
    <mergeCell ref="BN1551:BV1551"/>
    <mergeCell ref="B1550:C1550"/>
    <mergeCell ref="D1550:E1550"/>
    <mergeCell ref="F1550:G1550"/>
    <mergeCell ref="H1550:I1550"/>
    <mergeCell ref="J1550:K1550"/>
    <mergeCell ref="L1550:M1550"/>
    <mergeCell ref="P1510:Q1510"/>
    <mergeCell ref="B1511:C1511"/>
    <mergeCell ref="D1511:E1511"/>
    <mergeCell ref="F1511:G1511"/>
    <mergeCell ref="H1511:I1511"/>
    <mergeCell ref="J1511:K1511"/>
    <mergeCell ref="L1511:M1511"/>
    <mergeCell ref="P1511:Q1511"/>
    <mergeCell ref="AJ1510:AK1510"/>
    <mergeCell ref="AL1510:AM1510"/>
    <mergeCell ref="AN1510:AO1510"/>
    <mergeCell ref="AP1510:AQ1510"/>
    <mergeCell ref="AR1510:AS1510"/>
    <mergeCell ref="AT1510:AU1510"/>
    <mergeCell ref="AV1510:AW1510"/>
    <mergeCell ref="BD1513:BE1513"/>
    <mergeCell ref="BF1513:BI1513"/>
    <mergeCell ref="AN1513:AO1513"/>
    <mergeCell ref="AP1513:AQ1513"/>
    <mergeCell ref="AR1513:AS1513"/>
    <mergeCell ref="AT1513:AU1513"/>
    <mergeCell ref="AV1513:AW1513"/>
    <mergeCell ref="AX1513:AZ1513"/>
    <mergeCell ref="BA1513:BB1513"/>
    <mergeCell ref="AJ1511:AK1511"/>
    <mergeCell ref="AL1511:AM1511"/>
    <mergeCell ref="R1511:S1511"/>
    <mergeCell ref="T1511:U1511"/>
    <mergeCell ref="V1511:W1511"/>
    <mergeCell ref="X1511:AA1511"/>
    <mergeCell ref="AB1511:AE1511"/>
    <mergeCell ref="AF1511:AG1511"/>
    <mergeCell ref="AH1511:AI1511"/>
    <mergeCell ref="R1512:S1512"/>
    <mergeCell ref="T1512:U1512"/>
    <mergeCell ref="V1512:W1512"/>
    <mergeCell ref="X1512:AA1512"/>
    <mergeCell ref="AB1512:AE1512"/>
    <mergeCell ref="AF1512:AG1512"/>
    <mergeCell ref="AH1512:AI1512"/>
    <mergeCell ref="AX1512:AZ1512"/>
    <mergeCell ref="BA1512:BB1512"/>
    <mergeCell ref="BD1512:BE1512"/>
    <mergeCell ref="BF1512:BI1512"/>
    <mergeCell ref="AJ1513:AK1513"/>
    <mergeCell ref="AL1513:AM1513"/>
    <mergeCell ref="R1513:S1513"/>
    <mergeCell ref="T1513:U1513"/>
    <mergeCell ref="V1513:W1513"/>
    <mergeCell ref="X1513:AA1513"/>
    <mergeCell ref="AB1513:AE1513"/>
    <mergeCell ref="AF1513:AG1513"/>
    <mergeCell ref="AH1513:AI1513"/>
    <mergeCell ref="BJ1508:BM1508"/>
    <mergeCell ref="BN1508:BV1508"/>
    <mergeCell ref="BJ1509:BM1509"/>
    <mergeCell ref="BN1509:BV1509"/>
    <mergeCell ref="B1508:C1508"/>
    <mergeCell ref="D1508:E1508"/>
    <mergeCell ref="F1508:G1508"/>
    <mergeCell ref="H1508:I1508"/>
    <mergeCell ref="J1508:K1508"/>
    <mergeCell ref="L1508:M1508"/>
    <mergeCell ref="P1508:Q1508"/>
    <mergeCell ref="B1509:C1509"/>
    <mergeCell ref="D1509:E1509"/>
    <mergeCell ref="F1509:G1509"/>
    <mergeCell ref="H1509:I1509"/>
    <mergeCell ref="J1509:K1509"/>
    <mergeCell ref="L1509:M1509"/>
    <mergeCell ref="P1509:Q1509"/>
    <mergeCell ref="AJ1508:AK1508"/>
    <mergeCell ref="AL1508:AM1508"/>
    <mergeCell ref="AN1508:AO1508"/>
    <mergeCell ref="AP1508:AQ1508"/>
    <mergeCell ref="AR1508:AS1508"/>
    <mergeCell ref="AT1508:AU1508"/>
    <mergeCell ref="AV1508:AW1508"/>
    <mergeCell ref="BD1511:BE1511"/>
    <mergeCell ref="BF1511:BI1511"/>
    <mergeCell ref="AN1511:AO1511"/>
    <mergeCell ref="AP1511:AQ1511"/>
    <mergeCell ref="AR1511:AS1511"/>
    <mergeCell ref="AT1511:AU1511"/>
    <mergeCell ref="AV1511:AW1511"/>
    <mergeCell ref="AX1511:AZ1511"/>
    <mergeCell ref="BA1511:BB1511"/>
    <mergeCell ref="AJ1509:AK1509"/>
    <mergeCell ref="AL1509:AM1509"/>
    <mergeCell ref="R1509:S1509"/>
    <mergeCell ref="T1509:U1509"/>
    <mergeCell ref="V1509:W1509"/>
    <mergeCell ref="X1509:AA1509"/>
    <mergeCell ref="AB1509:AE1509"/>
    <mergeCell ref="AF1509:AG1509"/>
    <mergeCell ref="AH1509:AI1509"/>
    <mergeCell ref="R1510:S1510"/>
    <mergeCell ref="T1510:U1510"/>
    <mergeCell ref="V1510:W1510"/>
    <mergeCell ref="X1510:AA1510"/>
    <mergeCell ref="AB1510:AE1510"/>
    <mergeCell ref="AF1510:AG1510"/>
    <mergeCell ref="AH1510:AI1510"/>
    <mergeCell ref="AX1510:AZ1510"/>
    <mergeCell ref="BA1510:BB1510"/>
    <mergeCell ref="BD1510:BE1510"/>
    <mergeCell ref="BF1510:BI1510"/>
    <mergeCell ref="BJ1510:BM1510"/>
    <mergeCell ref="BN1510:BV1510"/>
    <mergeCell ref="BJ1511:BM1511"/>
    <mergeCell ref="BN1511:BV1511"/>
    <mergeCell ref="B1510:C1510"/>
    <mergeCell ref="D1510:E1510"/>
    <mergeCell ref="F1510:G1510"/>
    <mergeCell ref="H1510:I1510"/>
    <mergeCell ref="J1510:K1510"/>
    <mergeCell ref="L1510:M1510"/>
    <mergeCell ref="B1506:C1506"/>
    <mergeCell ref="D1506:E1506"/>
    <mergeCell ref="F1506:G1506"/>
    <mergeCell ref="H1506:I1506"/>
    <mergeCell ref="J1506:K1506"/>
    <mergeCell ref="L1506:M1506"/>
    <mergeCell ref="P1506:Q1506"/>
    <mergeCell ref="B1507:C1507"/>
    <mergeCell ref="D1507:E1507"/>
    <mergeCell ref="F1507:G1507"/>
    <mergeCell ref="H1507:I1507"/>
    <mergeCell ref="J1507:K1507"/>
    <mergeCell ref="L1507:M1507"/>
    <mergeCell ref="P1507:Q1507"/>
    <mergeCell ref="AJ1506:AK1506"/>
    <mergeCell ref="AL1506:AM1506"/>
    <mergeCell ref="AN1506:AO1506"/>
    <mergeCell ref="AP1506:AQ1506"/>
    <mergeCell ref="AR1506:AS1506"/>
    <mergeCell ref="AT1506:AU1506"/>
    <mergeCell ref="AV1506:AW1506"/>
    <mergeCell ref="BD1509:BE1509"/>
    <mergeCell ref="BF1509:BI1509"/>
    <mergeCell ref="AN1509:AO1509"/>
    <mergeCell ref="AP1509:AQ1509"/>
    <mergeCell ref="AR1509:AS1509"/>
    <mergeCell ref="AT1509:AU1509"/>
    <mergeCell ref="AV1509:AW1509"/>
    <mergeCell ref="AX1509:AZ1509"/>
    <mergeCell ref="BA1509:BB1509"/>
    <mergeCell ref="AJ1507:AK1507"/>
    <mergeCell ref="AL1507:AM1507"/>
    <mergeCell ref="R1507:S1507"/>
    <mergeCell ref="T1507:U1507"/>
    <mergeCell ref="V1507:W1507"/>
    <mergeCell ref="X1507:AA1507"/>
    <mergeCell ref="AB1507:AE1507"/>
    <mergeCell ref="AF1507:AG1507"/>
    <mergeCell ref="AH1507:AI1507"/>
    <mergeCell ref="R1508:S1508"/>
    <mergeCell ref="T1508:U1508"/>
    <mergeCell ref="V1508:W1508"/>
    <mergeCell ref="X1508:AA1508"/>
    <mergeCell ref="AB1508:AE1508"/>
    <mergeCell ref="AF1508:AG1508"/>
    <mergeCell ref="AH1508:AI1508"/>
    <mergeCell ref="AX1508:AZ1508"/>
    <mergeCell ref="BA1508:BB1508"/>
    <mergeCell ref="BD1508:BE1508"/>
    <mergeCell ref="BF1508:BI1508"/>
    <mergeCell ref="BD1507:BE1507"/>
    <mergeCell ref="BF1507:BI1507"/>
    <mergeCell ref="AN1507:AO1507"/>
    <mergeCell ref="AP1507:AQ1507"/>
    <mergeCell ref="AR1507:AS1507"/>
    <mergeCell ref="AT1507:AU1507"/>
    <mergeCell ref="AV1507:AW1507"/>
    <mergeCell ref="AX1507:AZ1507"/>
    <mergeCell ref="BA1507:BB1507"/>
    <mergeCell ref="AJ1505:AK1505"/>
    <mergeCell ref="AL1505:AM1505"/>
    <mergeCell ref="R1505:S1505"/>
    <mergeCell ref="T1505:U1505"/>
    <mergeCell ref="V1505:W1505"/>
    <mergeCell ref="X1505:AA1505"/>
    <mergeCell ref="AB1505:AE1505"/>
    <mergeCell ref="AF1505:AG1505"/>
    <mergeCell ref="AH1505:AI1505"/>
    <mergeCell ref="R1506:S1506"/>
    <mergeCell ref="T1506:U1506"/>
    <mergeCell ref="V1506:W1506"/>
    <mergeCell ref="X1506:AA1506"/>
    <mergeCell ref="AB1506:AE1506"/>
    <mergeCell ref="AF1506:AG1506"/>
    <mergeCell ref="AH1506:AI1506"/>
    <mergeCell ref="AX1506:AZ1506"/>
    <mergeCell ref="BA1506:BB1506"/>
    <mergeCell ref="BD1506:BE1506"/>
    <mergeCell ref="BF1506:BI1506"/>
    <mergeCell ref="BJ1506:BM1506"/>
    <mergeCell ref="BN1506:BV1506"/>
    <mergeCell ref="BJ1507:BM1507"/>
    <mergeCell ref="BN1507:BV1507"/>
    <mergeCell ref="V1500:W1500"/>
    <mergeCell ref="X1500:AA1500"/>
    <mergeCell ref="AB1500:AE1500"/>
    <mergeCell ref="AF1500:AG1500"/>
    <mergeCell ref="AH1500:AI1500"/>
    <mergeCell ref="AJ1500:AK1500"/>
    <mergeCell ref="AL1500:AM1500"/>
    <mergeCell ref="BD1500:BE1500"/>
    <mergeCell ref="BF1500:BI1500"/>
    <mergeCell ref="BJ1500:BM1500"/>
    <mergeCell ref="BN1500:BV1500"/>
    <mergeCell ref="AN1500:AO1500"/>
    <mergeCell ref="AP1500:AQ1500"/>
    <mergeCell ref="AR1500:AS1500"/>
    <mergeCell ref="AT1500:AU1500"/>
    <mergeCell ref="AV1500:AW1500"/>
    <mergeCell ref="AX1500:AZ1500"/>
    <mergeCell ref="BA1500:BB1500"/>
    <mergeCell ref="B1500:C1500"/>
    <mergeCell ref="D1500:E1500"/>
    <mergeCell ref="F1500:G1500"/>
    <mergeCell ref="H1500:I1500"/>
    <mergeCell ref="P1500:Q1500"/>
    <mergeCell ref="R1500:S1500"/>
    <mergeCell ref="T1500:U1500"/>
    <mergeCell ref="B1501:C1501"/>
    <mergeCell ref="D1501:E1501"/>
    <mergeCell ref="F1501:G1501"/>
    <mergeCell ref="H1501:I1501"/>
    <mergeCell ref="J1501:K1501"/>
    <mergeCell ref="L1501:M1501"/>
    <mergeCell ref="P1501:Q1501"/>
    <mergeCell ref="AX1501:AZ1501"/>
    <mergeCell ref="BA1501:BB1501"/>
    <mergeCell ref="BD1501:BE1501"/>
    <mergeCell ref="BF1501:BI1501"/>
    <mergeCell ref="BJ1501:BM1501"/>
    <mergeCell ref="BN1501:BV1501"/>
    <mergeCell ref="AN1501:AO1501"/>
    <mergeCell ref="AP1501:AQ1501"/>
    <mergeCell ref="AR1501:AS1501"/>
    <mergeCell ref="AT1501:AU1501"/>
    <mergeCell ref="AV1501:AW1501"/>
    <mergeCell ref="X1498:AA1498"/>
    <mergeCell ref="AB1498:AE1498"/>
    <mergeCell ref="AF1498:AG1498"/>
    <mergeCell ref="AH1498:AI1498"/>
    <mergeCell ref="AJ1498:AK1498"/>
    <mergeCell ref="AL1498:AM1498"/>
    <mergeCell ref="BD1498:BE1498"/>
    <mergeCell ref="BF1498:BI1498"/>
    <mergeCell ref="BJ1498:BM1498"/>
    <mergeCell ref="BN1498:BV1498"/>
    <mergeCell ref="AN1498:AO1498"/>
    <mergeCell ref="AP1498:AQ1498"/>
    <mergeCell ref="AR1498:AS1498"/>
    <mergeCell ref="AT1498:AU1498"/>
    <mergeCell ref="AV1498:AW1498"/>
    <mergeCell ref="AX1498:AZ1498"/>
    <mergeCell ref="BA1498:BB1498"/>
    <mergeCell ref="B1498:C1498"/>
    <mergeCell ref="D1498:E1498"/>
    <mergeCell ref="F1498:G1498"/>
    <mergeCell ref="H1498:I1498"/>
    <mergeCell ref="P1498:Q1498"/>
    <mergeCell ref="R1498:S1498"/>
    <mergeCell ref="T1498:U1498"/>
    <mergeCell ref="B1499:C1499"/>
    <mergeCell ref="D1499:E1499"/>
    <mergeCell ref="F1499:G1499"/>
    <mergeCell ref="H1499:I1499"/>
    <mergeCell ref="J1499:K1499"/>
    <mergeCell ref="L1499:M1499"/>
    <mergeCell ref="P1499:Q1499"/>
    <mergeCell ref="AX1499:AZ1499"/>
    <mergeCell ref="BA1499:BB1499"/>
    <mergeCell ref="BD1499:BE1499"/>
    <mergeCell ref="BF1499:BI1499"/>
    <mergeCell ref="BJ1499:BM1499"/>
    <mergeCell ref="BN1499:BV1499"/>
    <mergeCell ref="AN1499:AO1499"/>
    <mergeCell ref="AP1499:AQ1499"/>
    <mergeCell ref="AL1499:AM1499"/>
    <mergeCell ref="B1496:C1496"/>
    <mergeCell ref="D1496:E1496"/>
    <mergeCell ref="F1496:G1496"/>
    <mergeCell ref="H1496:I1496"/>
    <mergeCell ref="P1496:Q1496"/>
    <mergeCell ref="R1496:S1496"/>
    <mergeCell ref="T1496:U1496"/>
    <mergeCell ref="B1497:C1497"/>
    <mergeCell ref="D1497:E1497"/>
    <mergeCell ref="F1497:G1497"/>
    <mergeCell ref="H1497:I1497"/>
    <mergeCell ref="J1497:K1497"/>
    <mergeCell ref="L1497:M1497"/>
    <mergeCell ref="P1497:Q1497"/>
    <mergeCell ref="AX1497:AZ1497"/>
    <mergeCell ref="BA1497:BB1497"/>
    <mergeCell ref="BD1497:BE1497"/>
    <mergeCell ref="BF1497:BI1497"/>
    <mergeCell ref="BJ1497:BM1497"/>
    <mergeCell ref="BN1497:BV1497"/>
    <mergeCell ref="AJ1495:AK1495"/>
    <mergeCell ref="AL1495:AM1495"/>
    <mergeCell ref="AN1497:AO1497"/>
    <mergeCell ref="AP1497:AQ1497"/>
    <mergeCell ref="AR1497:AS1497"/>
    <mergeCell ref="AT1497:AU1497"/>
    <mergeCell ref="AV1497:AW1497"/>
    <mergeCell ref="R1497:S1497"/>
    <mergeCell ref="T1497:U1497"/>
    <mergeCell ref="V1497:W1497"/>
    <mergeCell ref="X1497:AA1497"/>
    <mergeCell ref="AB1497:AE1497"/>
    <mergeCell ref="AF1497:AG1497"/>
    <mergeCell ref="AH1497:AI1497"/>
    <mergeCell ref="AJ1497:AK1497"/>
    <mergeCell ref="AL1497:AM1497"/>
    <mergeCell ref="B1494:C1494"/>
    <mergeCell ref="D1494:E1494"/>
    <mergeCell ref="F1494:G1494"/>
    <mergeCell ref="H1494:I1494"/>
    <mergeCell ref="P1494:Q1494"/>
    <mergeCell ref="R1494:S1494"/>
    <mergeCell ref="T1494:U1494"/>
    <mergeCell ref="B1495:C1495"/>
    <mergeCell ref="D1495:E1495"/>
    <mergeCell ref="F1495:G1495"/>
    <mergeCell ref="H1495:I1495"/>
    <mergeCell ref="J1495:K1495"/>
    <mergeCell ref="L1495:M1495"/>
    <mergeCell ref="P1495:Q1495"/>
    <mergeCell ref="AX1495:AZ1495"/>
    <mergeCell ref="BA1495:BB1495"/>
    <mergeCell ref="BD1495:BE1495"/>
    <mergeCell ref="BF1495:BI1495"/>
    <mergeCell ref="BJ1495:BM1495"/>
    <mergeCell ref="BN1495:BV1495"/>
    <mergeCell ref="AJ1493:AK1493"/>
    <mergeCell ref="AL1493:AM1493"/>
    <mergeCell ref="AN1495:AO1495"/>
    <mergeCell ref="AP1495:AQ1495"/>
    <mergeCell ref="AR1495:AS1495"/>
    <mergeCell ref="AT1495:AU1495"/>
    <mergeCell ref="AV1495:AW1495"/>
    <mergeCell ref="R1495:S1495"/>
    <mergeCell ref="T1495:U1495"/>
    <mergeCell ref="V1495:W1495"/>
    <mergeCell ref="X1495:AA1495"/>
    <mergeCell ref="AB1495:AE1495"/>
    <mergeCell ref="AF1495:AG1495"/>
    <mergeCell ref="AH1495:AI1495"/>
    <mergeCell ref="B1493:C1493"/>
    <mergeCell ref="D1493:E1493"/>
    <mergeCell ref="F1493:G1493"/>
    <mergeCell ref="H1493:I1493"/>
    <mergeCell ref="J1493:K1493"/>
    <mergeCell ref="L1493:M1493"/>
    <mergeCell ref="P1493:Q1493"/>
    <mergeCell ref="AX1493:AZ1493"/>
    <mergeCell ref="BA1493:BB1493"/>
    <mergeCell ref="BD1493:BE1493"/>
    <mergeCell ref="BF1493:BI1493"/>
    <mergeCell ref="BJ1493:BM1493"/>
    <mergeCell ref="BN1493:BV1493"/>
    <mergeCell ref="AN1493:AO1493"/>
    <mergeCell ref="AP1493:AQ1493"/>
    <mergeCell ref="AR1493:AS1493"/>
    <mergeCell ref="AT1493:AU1493"/>
    <mergeCell ref="AV1493:AW1493"/>
    <mergeCell ref="BJ1515:BM1515"/>
    <mergeCell ref="BN1515:BV1515"/>
    <mergeCell ref="R1515:S1515"/>
    <mergeCell ref="T1515:U1515"/>
    <mergeCell ref="V1515:W1515"/>
    <mergeCell ref="X1515:AA1515"/>
    <mergeCell ref="AB1515:AE1515"/>
    <mergeCell ref="AF1515:AG1515"/>
    <mergeCell ref="AH1515:AI1515"/>
    <mergeCell ref="R1493:S1493"/>
    <mergeCell ref="T1493:U1493"/>
    <mergeCell ref="V1493:W1493"/>
    <mergeCell ref="X1493:AA1493"/>
    <mergeCell ref="AB1493:AE1493"/>
    <mergeCell ref="AF1493:AG1493"/>
    <mergeCell ref="AH1493:AI1493"/>
    <mergeCell ref="V1494:W1494"/>
    <mergeCell ref="X1494:AA1494"/>
    <mergeCell ref="AB1494:AE1494"/>
    <mergeCell ref="AF1494:AG1494"/>
    <mergeCell ref="AH1494:AI1494"/>
    <mergeCell ref="AJ1494:AK1494"/>
    <mergeCell ref="AL1494:AM1494"/>
    <mergeCell ref="BD1494:BE1494"/>
    <mergeCell ref="BF1494:BI1494"/>
    <mergeCell ref="BJ1494:BM1494"/>
    <mergeCell ref="BN1494:BV1494"/>
    <mergeCell ref="AN1494:AO1494"/>
    <mergeCell ref="AP1494:AQ1494"/>
    <mergeCell ref="AR1494:AS1494"/>
    <mergeCell ref="AT1494:AU1494"/>
    <mergeCell ref="AV1494:AW1494"/>
    <mergeCell ref="AX1494:AZ1494"/>
    <mergeCell ref="BA1494:BB1494"/>
    <mergeCell ref="V1496:W1496"/>
    <mergeCell ref="X1496:AA1496"/>
    <mergeCell ref="AB1496:AE1496"/>
    <mergeCell ref="AF1496:AG1496"/>
    <mergeCell ref="AH1496:AI1496"/>
    <mergeCell ref="AJ1496:AK1496"/>
    <mergeCell ref="AL1496:AM1496"/>
    <mergeCell ref="BD1496:BE1496"/>
    <mergeCell ref="BF1496:BI1496"/>
    <mergeCell ref="BJ1496:BM1496"/>
    <mergeCell ref="BN1496:BV1496"/>
    <mergeCell ref="AN1496:AO1496"/>
    <mergeCell ref="AP1496:AQ1496"/>
    <mergeCell ref="AR1496:AS1496"/>
    <mergeCell ref="AT1496:AU1496"/>
    <mergeCell ref="AV1496:AW1496"/>
    <mergeCell ref="AX1496:AZ1496"/>
    <mergeCell ref="BA1496:BB1496"/>
    <mergeCell ref="V1498:W1498"/>
    <mergeCell ref="AR1499:AS1499"/>
    <mergeCell ref="AT1499:AU1499"/>
    <mergeCell ref="AV1499:AW1499"/>
    <mergeCell ref="R1499:S1499"/>
    <mergeCell ref="T1499:U1499"/>
    <mergeCell ref="V1499:W1499"/>
    <mergeCell ref="X1499:AA1499"/>
    <mergeCell ref="AB1499:AE1499"/>
    <mergeCell ref="AF1499:AG1499"/>
    <mergeCell ref="AH1499:AI1499"/>
    <mergeCell ref="AJ1499:AK1499"/>
    <mergeCell ref="BJ1385:BM1385"/>
    <mergeCell ref="BN1385:BV1385"/>
    <mergeCell ref="AJ1385:AK1385"/>
    <mergeCell ref="AL1385:AM1385"/>
    <mergeCell ref="AN1385:AO1385"/>
    <mergeCell ref="AP1385:AQ1385"/>
    <mergeCell ref="AR1385:AS1385"/>
    <mergeCell ref="AT1385:AU1385"/>
    <mergeCell ref="AV1385:AW1385"/>
    <mergeCell ref="B1385:C1385"/>
    <mergeCell ref="D1385:E1385"/>
    <mergeCell ref="F1385:G1385"/>
    <mergeCell ref="H1385:I1385"/>
    <mergeCell ref="J1385:K1385"/>
    <mergeCell ref="L1385:M1385"/>
    <mergeCell ref="P1385:Q1385"/>
    <mergeCell ref="AX1386:AZ1386"/>
    <mergeCell ref="BA1386:BB1386"/>
    <mergeCell ref="BD1386:BE1386"/>
    <mergeCell ref="BF1386:BI1386"/>
    <mergeCell ref="BJ1386:BM1386"/>
    <mergeCell ref="BN1386:BV1386"/>
    <mergeCell ref="BJ1387:BM1387"/>
    <mergeCell ref="BN1387:BV1387"/>
    <mergeCell ref="B1387:C1387"/>
    <mergeCell ref="D1387:E1387"/>
    <mergeCell ref="F1387:G1387"/>
    <mergeCell ref="H1387:I1387"/>
    <mergeCell ref="J1387:K1387"/>
    <mergeCell ref="L1387:M1387"/>
    <mergeCell ref="P1387:Q1387"/>
    <mergeCell ref="AJ1386:AK1386"/>
    <mergeCell ref="AL1386:AM1386"/>
    <mergeCell ref="AN1386:AO1386"/>
    <mergeCell ref="AP1386:AQ1386"/>
    <mergeCell ref="AR1386:AS1386"/>
    <mergeCell ref="AT1386:AU1386"/>
    <mergeCell ref="AV1386:AW1386"/>
    <mergeCell ref="AJ1387:AK1387"/>
    <mergeCell ref="AL1387:AM1387"/>
    <mergeCell ref="R1387:S1387"/>
    <mergeCell ref="T1387:U1387"/>
    <mergeCell ref="V1387:W1387"/>
    <mergeCell ref="X1387:AA1387"/>
    <mergeCell ref="AB1387:AE1387"/>
    <mergeCell ref="AF1387:AG1387"/>
    <mergeCell ref="AH1387:AI1387"/>
    <mergeCell ref="R1386:S1386"/>
    <mergeCell ref="T1386:U1386"/>
    <mergeCell ref="V1386:W1386"/>
    <mergeCell ref="X1386:AA1386"/>
    <mergeCell ref="AB1386:AE1386"/>
    <mergeCell ref="AF1386:AG1386"/>
    <mergeCell ref="AH1386:AI1386"/>
    <mergeCell ref="B1386:C1386"/>
    <mergeCell ref="D1386:E1386"/>
    <mergeCell ref="F1386:G1386"/>
    <mergeCell ref="H1386:I1386"/>
    <mergeCell ref="J1386:K1386"/>
    <mergeCell ref="L1386:M1386"/>
    <mergeCell ref="P1386:Q1386"/>
    <mergeCell ref="BD1387:BE1387"/>
    <mergeCell ref="BF1387:BI1387"/>
    <mergeCell ref="AN1387:AO1387"/>
    <mergeCell ref="AV1387:AW1387"/>
    <mergeCell ref="AX1387:AZ1387"/>
    <mergeCell ref="BA1387:BB1387"/>
    <mergeCell ref="R1385:S1385"/>
    <mergeCell ref="T1385:U1385"/>
    <mergeCell ref="V1385:W1385"/>
    <mergeCell ref="X1385:AA1385"/>
    <mergeCell ref="AB1385:AE1385"/>
    <mergeCell ref="AF1385:AG1385"/>
    <mergeCell ref="AH1385:AI1385"/>
    <mergeCell ref="AX1385:AZ1385"/>
    <mergeCell ref="BA1385:BB1385"/>
    <mergeCell ref="BD1385:BE1385"/>
    <mergeCell ref="BF1385:BI1385"/>
    <mergeCell ref="BD1384:BE1384"/>
    <mergeCell ref="BF1384:BI1384"/>
    <mergeCell ref="AN1384:AO1384"/>
    <mergeCell ref="AP1384:AQ1384"/>
    <mergeCell ref="AR1384:AS1384"/>
    <mergeCell ref="AT1384:AU1384"/>
    <mergeCell ref="AV1384:AW1384"/>
    <mergeCell ref="AX1384:AZ1384"/>
    <mergeCell ref="BA1384:BB1384"/>
    <mergeCell ref="AJ1382:AK1382"/>
    <mergeCell ref="AL1382:AM1382"/>
    <mergeCell ref="R1382:S1382"/>
    <mergeCell ref="T1382:U1382"/>
    <mergeCell ref="V1382:W1382"/>
    <mergeCell ref="X1382:AA1382"/>
    <mergeCell ref="AB1382:AE1382"/>
    <mergeCell ref="AF1382:AG1382"/>
    <mergeCell ref="AH1382:AI1382"/>
    <mergeCell ref="R1383:S1383"/>
    <mergeCell ref="T1383:U1383"/>
    <mergeCell ref="V1383:W1383"/>
    <mergeCell ref="X1383:AA1383"/>
    <mergeCell ref="AB1383:AE1383"/>
    <mergeCell ref="AF1383:AG1383"/>
    <mergeCell ref="AH1383:AI1383"/>
    <mergeCell ref="AX1383:AZ1383"/>
    <mergeCell ref="BA1383:BB1383"/>
    <mergeCell ref="BD1383:BE1383"/>
    <mergeCell ref="BF1383:BI1383"/>
    <mergeCell ref="AJ1384:AK1384"/>
    <mergeCell ref="AL1384:AM1384"/>
    <mergeCell ref="B1383:C1383"/>
    <mergeCell ref="D1383:E1383"/>
    <mergeCell ref="F1383:G1383"/>
    <mergeCell ref="H1383:I1383"/>
    <mergeCell ref="J1383:K1383"/>
    <mergeCell ref="L1383:M1383"/>
    <mergeCell ref="P1383:Q1383"/>
    <mergeCell ref="AJ1383:AK1383"/>
    <mergeCell ref="AL1383:AM1383"/>
    <mergeCell ref="AN1383:AO1383"/>
    <mergeCell ref="AP1383:AQ1383"/>
    <mergeCell ref="AR1383:AS1383"/>
    <mergeCell ref="AT1383:AU1383"/>
    <mergeCell ref="AV1383:AW1383"/>
    <mergeCell ref="B1384:C1384"/>
    <mergeCell ref="D1384:E1384"/>
    <mergeCell ref="F1384:G1384"/>
    <mergeCell ref="H1384:I1384"/>
    <mergeCell ref="J1384:K1384"/>
    <mergeCell ref="L1384:M1384"/>
    <mergeCell ref="P1384:Q1384"/>
    <mergeCell ref="V1504:W1504"/>
    <mergeCell ref="X1504:AA1504"/>
    <mergeCell ref="AB1504:AE1504"/>
    <mergeCell ref="AF1504:AG1504"/>
    <mergeCell ref="AH1504:AI1504"/>
    <mergeCell ref="AJ1504:AK1504"/>
    <mergeCell ref="AL1504:AM1504"/>
    <mergeCell ref="BD1504:BE1504"/>
    <mergeCell ref="BF1504:BI1504"/>
    <mergeCell ref="BJ1504:BM1504"/>
    <mergeCell ref="BN1504:BV1504"/>
    <mergeCell ref="AN1504:AO1504"/>
    <mergeCell ref="AP1504:AQ1504"/>
    <mergeCell ref="AR1504:AS1504"/>
    <mergeCell ref="AT1504:AU1504"/>
    <mergeCell ref="AV1504:AW1504"/>
    <mergeCell ref="AX1504:AZ1504"/>
    <mergeCell ref="BA1504:BB1504"/>
    <mergeCell ref="B1504:C1504"/>
    <mergeCell ref="D1504:E1504"/>
    <mergeCell ref="F1504:G1504"/>
    <mergeCell ref="H1504:I1504"/>
    <mergeCell ref="P1504:Q1504"/>
    <mergeCell ref="R1504:S1504"/>
    <mergeCell ref="T1504:U1504"/>
    <mergeCell ref="AL1501:AM1501"/>
    <mergeCell ref="AN1503:AO1503"/>
    <mergeCell ref="AP1503:AQ1503"/>
    <mergeCell ref="AR1503:AS1503"/>
    <mergeCell ref="AT1503:AU1503"/>
    <mergeCell ref="AV1503:AW1503"/>
    <mergeCell ref="R1503:S1503"/>
    <mergeCell ref="T1503:U1503"/>
    <mergeCell ref="V1503:W1503"/>
    <mergeCell ref="X1503:AA1503"/>
    <mergeCell ref="AB1503:AE1503"/>
    <mergeCell ref="AF1503:AG1503"/>
    <mergeCell ref="AH1503:AI1503"/>
    <mergeCell ref="AJ1503:AK1503"/>
    <mergeCell ref="AL1503:AM1503"/>
    <mergeCell ref="AP1387:AQ1387"/>
    <mergeCell ref="AR1387:AS1387"/>
    <mergeCell ref="AT1387:AU1387"/>
    <mergeCell ref="B1505:C1505"/>
    <mergeCell ref="D1505:E1505"/>
    <mergeCell ref="F1505:G1505"/>
    <mergeCell ref="H1505:I1505"/>
    <mergeCell ref="J1505:K1505"/>
    <mergeCell ref="L1505:M1505"/>
    <mergeCell ref="P1505:Q1505"/>
    <mergeCell ref="AX1505:AZ1505"/>
    <mergeCell ref="BA1505:BB1505"/>
    <mergeCell ref="BD1505:BE1505"/>
    <mergeCell ref="BF1505:BI1505"/>
    <mergeCell ref="BJ1505:BM1505"/>
    <mergeCell ref="BN1505:BV1505"/>
    <mergeCell ref="AN1505:AO1505"/>
    <mergeCell ref="AP1505:AQ1505"/>
    <mergeCell ref="AR1505:AS1505"/>
    <mergeCell ref="AT1505:AU1505"/>
    <mergeCell ref="AV1505:AW1505"/>
    <mergeCell ref="R1501:S1501"/>
    <mergeCell ref="T1501:U1501"/>
    <mergeCell ref="V1501:W1501"/>
    <mergeCell ref="X1501:AA1501"/>
    <mergeCell ref="AB1501:AE1501"/>
    <mergeCell ref="AF1501:AG1501"/>
    <mergeCell ref="AH1501:AI1501"/>
    <mergeCell ref="V1502:W1502"/>
    <mergeCell ref="X1502:AA1502"/>
    <mergeCell ref="AB1502:AE1502"/>
    <mergeCell ref="AF1502:AG1502"/>
    <mergeCell ref="AH1502:AI1502"/>
    <mergeCell ref="AJ1502:AK1502"/>
    <mergeCell ref="AL1502:AM1502"/>
    <mergeCell ref="BD1502:BE1502"/>
    <mergeCell ref="BF1502:BI1502"/>
    <mergeCell ref="BJ1502:BM1502"/>
    <mergeCell ref="BN1502:BV1502"/>
    <mergeCell ref="AN1502:AO1502"/>
    <mergeCell ref="AP1502:AQ1502"/>
    <mergeCell ref="AR1502:AS1502"/>
    <mergeCell ref="AT1502:AU1502"/>
    <mergeCell ref="AV1502:AW1502"/>
    <mergeCell ref="AX1502:AZ1502"/>
    <mergeCell ref="BA1502:BB1502"/>
    <mergeCell ref="B1502:C1502"/>
    <mergeCell ref="D1502:E1502"/>
    <mergeCell ref="F1502:G1502"/>
    <mergeCell ref="H1502:I1502"/>
    <mergeCell ref="P1502:Q1502"/>
    <mergeCell ref="R1502:S1502"/>
    <mergeCell ref="T1502:U1502"/>
    <mergeCell ref="B1503:C1503"/>
    <mergeCell ref="D1503:E1503"/>
    <mergeCell ref="F1503:G1503"/>
    <mergeCell ref="H1503:I1503"/>
    <mergeCell ref="J1503:K1503"/>
    <mergeCell ref="L1503:M1503"/>
    <mergeCell ref="P1503:Q1503"/>
    <mergeCell ref="AX1503:AZ1503"/>
    <mergeCell ref="BA1503:BB1503"/>
    <mergeCell ref="BD1503:BE1503"/>
    <mergeCell ref="BF1503:BI1503"/>
    <mergeCell ref="BJ1503:BM1503"/>
    <mergeCell ref="BN1503:BV1503"/>
    <mergeCell ref="AJ1501:AK1501"/>
    <mergeCell ref="V1188:W1188"/>
    <mergeCell ref="X1188:AA1188"/>
    <mergeCell ref="AB1188:AE1188"/>
    <mergeCell ref="AF1188:AG1188"/>
    <mergeCell ref="AH1188:AI1188"/>
    <mergeCell ref="AJ1188:AK1188"/>
    <mergeCell ref="AL1188:AM1188"/>
    <mergeCell ref="BD1188:BE1188"/>
    <mergeCell ref="BF1188:BI1188"/>
    <mergeCell ref="BJ1188:BM1188"/>
    <mergeCell ref="BN1188:BV1188"/>
    <mergeCell ref="AN1188:AO1188"/>
    <mergeCell ref="AP1188:AQ1188"/>
    <mergeCell ref="AR1188:AS1188"/>
    <mergeCell ref="AT1188:AU1188"/>
    <mergeCell ref="AV1188:AW1188"/>
    <mergeCell ref="AX1188:AZ1188"/>
    <mergeCell ref="BA1188:BB1188"/>
    <mergeCell ref="B1188:C1188"/>
    <mergeCell ref="D1188:E1188"/>
    <mergeCell ref="F1188:G1188"/>
    <mergeCell ref="H1188:I1188"/>
    <mergeCell ref="P1188:Q1188"/>
    <mergeCell ref="R1188:S1188"/>
    <mergeCell ref="T1188:U1188"/>
    <mergeCell ref="B1189:C1189"/>
    <mergeCell ref="D1189:E1189"/>
    <mergeCell ref="F1189:G1189"/>
    <mergeCell ref="H1189:I1189"/>
    <mergeCell ref="J1189:K1189"/>
    <mergeCell ref="L1189:M1189"/>
    <mergeCell ref="P1189:Q1189"/>
    <mergeCell ref="AX1189:AZ1189"/>
    <mergeCell ref="BA1189:BB1189"/>
    <mergeCell ref="BD1189:BE1189"/>
    <mergeCell ref="BF1189:BI1189"/>
    <mergeCell ref="BJ1189:BM1189"/>
    <mergeCell ref="BN1189:BV1189"/>
    <mergeCell ref="AN1189:AO1189"/>
    <mergeCell ref="AP1189:AQ1189"/>
    <mergeCell ref="AR1189:AS1189"/>
    <mergeCell ref="AT1189:AU1189"/>
    <mergeCell ref="AV1189:AW1189"/>
    <mergeCell ref="V1186:W1186"/>
    <mergeCell ref="X1186:AA1186"/>
    <mergeCell ref="AB1186:AE1186"/>
    <mergeCell ref="AF1186:AG1186"/>
    <mergeCell ref="AH1186:AI1186"/>
    <mergeCell ref="AJ1186:AK1186"/>
    <mergeCell ref="AL1186:AM1186"/>
    <mergeCell ref="BD1186:BE1186"/>
    <mergeCell ref="BF1186:BI1186"/>
    <mergeCell ref="BJ1186:BM1186"/>
    <mergeCell ref="BN1186:BV1186"/>
    <mergeCell ref="AN1186:AO1186"/>
    <mergeCell ref="AP1186:AQ1186"/>
    <mergeCell ref="AR1186:AS1186"/>
    <mergeCell ref="AT1186:AU1186"/>
    <mergeCell ref="AV1186:AW1186"/>
    <mergeCell ref="AX1186:AZ1186"/>
    <mergeCell ref="BA1186:BB1186"/>
    <mergeCell ref="B1186:C1186"/>
    <mergeCell ref="D1186:E1186"/>
    <mergeCell ref="F1186:G1186"/>
    <mergeCell ref="H1186:I1186"/>
    <mergeCell ref="P1186:Q1186"/>
    <mergeCell ref="R1186:S1186"/>
    <mergeCell ref="T1186:U1186"/>
    <mergeCell ref="B1187:C1187"/>
    <mergeCell ref="D1187:E1187"/>
    <mergeCell ref="F1187:G1187"/>
    <mergeCell ref="H1187:I1187"/>
    <mergeCell ref="J1187:K1187"/>
    <mergeCell ref="L1187:M1187"/>
    <mergeCell ref="P1187:Q1187"/>
    <mergeCell ref="AX1187:AZ1187"/>
    <mergeCell ref="BA1187:BB1187"/>
    <mergeCell ref="BD1187:BE1187"/>
    <mergeCell ref="BF1187:BI1187"/>
    <mergeCell ref="BJ1187:BM1187"/>
    <mergeCell ref="BN1187:BV1187"/>
    <mergeCell ref="AN1187:AO1187"/>
    <mergeCell ref="AP1187:AQ1187"/>
    <mergeCell ref="AR1187:AS1187"/>
    <mergeCell ref="AT1187:AU1187"/>
    <mergeCell ref="AV1187:AW1187"/>
    <mergeCell ref="R1187:S1187"/>
    <mergeCell ref="T1187:U1187"/>
    <mergeCell ref="V1187:W1187"/>
    <mergeCell ref="X1187:AA1187"/>
    <mergeCell ref="AB1187:AE1187"/>
    <mergeCell ref="AF1187:AG1187"/>
    <mergeCell ref="AH1187:AI1187"/>
    <mergeCell ref="AJ1187:AK1187"/>
    <mergeCell ref="AL1187:AM1187"/>
    <mergeCell ref="V1184:W1184"/>
    <mergeCell ref="X1184:AA1184"/>
    <mergeCell ref="AB1184:AE1184"/>
    <mergeCell ref="AF1184:AG1184"/>
    <mergeCell ref="AH1184:AI1184"/>
    <mergeCell ref="AJ1184:AK1184"/>
    <mergeCell ref="AL1184:AM1184"/>
    <mergeCell ref="BD1184:BE1184"/>
    <mergeCell ref="BF1184:BI1184"/>
    <mergeCell ref="BJ1184:BM1184"/>
    <mergeCell ref="BN1184:BV1184"/>
    <mergeCell ref="AN1184:AO1184"/>
    <mergeCell ref="AP1184:AQ1184"/>
    <mergeCell ref="AR1184:AS1184"/>
    <mergeCell ref="AT1184:AU1184"/>
    <mergeCell ref="AV1184:AW1184"/>
    <mergeCell ref="AX1184:AZ1184"/>
    <mergeCell ref="BA1184:BB1184"/>
    <mergeCell ref="B1184:C1184"/>
    <mergeCell ref="D1184:E1184"/>
    <mergeCell ref="F1184:G1184"/>
    <mergeCell ref="H1184:I1184"/>
    <mergeCell ref="P1184:Q1184"/>
    <mergeCell ref="R1184:S1184"/>
    <mergeCell ref="T1184:U1184"/>
    <mergeCell ref="B1185:C1185"/>
    <mergeCell ref="D1185:E1185"/>
    <mergeCell ref="F1185:G1185"/>
    <mergeCell ref="H1185:I1185"/>
    <mergeCell ref="J1185:K1185"/>
    <mergeCell ref="L1185:M1185"/>
    <mergeCell ref="P1185:Q1185"/>
    <mergeCell ref="AX1185:AZ1185"/>
    <mergeCell ref="BA1185:BB1185"/>
    <mergeCell ref="BD1185:BE1185"/>
    <mergeCell ref="BF1185:BI1185"/>
    <mergeCell ref="BJ1185:BM1185"/>
    <mergeCell ref="BN1185:BV1185"/>
    <mergeCell ref="AN1185:AO1185"/>
    <mergeCell ref="AP1185:AQ1185"/>
    <mergeCell ref="AR1185:AS1185"/>
    <mergeCell ref="AT1185:AU1185"/>
    <mergeCell ref="AV1185:AW1185"/>
    <mergeCell ref="R1185:S1185"/>
    <mergeCell ref="T1185:U1185"/>
    <mergeCell ref="V1185:W1185"/>
    <mergeCell ref="X1185:AA1185"/>
    <mergeCell ref="AB1185:AE1185"/>
    <mergeCell ref="AF1185:AG1185"/>
    <mergeCell ref="AH1185:AI1185"/>
    <mergeCell ref="AJ1185:AK1185"/>
    <mergeCell ref="AL1185:AM1185"/>
    <mergeCell ref="V1182:W1182"/>
    <mergeCell ref="X1182:AA1182"/>
    <mergeCell ref="AB1182:AE1182"/>
    <mergeCell ref="AF1182:AG1182"/>
    <mergeCell ref="AH1182:AI1182"/>
    <mergeCell ref="AJ1182:AK1182"/>
    <mergeCell ref="AL1182:AM1182"/>
    <mergeCell ref="BD1182:BE1182"/>
    <mergeCell ref="BF1182:BI1182"/>
    <mergeCell ref="BJ1182:BM1182"/>
    <mergeCell ref="BN1182:BV1182"/>
    <mergeCell ref="AN1182:AO1182"/>
    <mergeCell ref="AP1182:AQ1182"/>
    <mergeCell ref="AR1182:AS1182"/>
    <mergeCell ref="AT1182:AU1182"/>
    <mergeCell ref="AV1182:AW1182"/>
    <mergeCell ref="AX1182:AZ1182"/>
    <mergeCell ref="BA1182:BB1182"/>
    <mergeCell ref="B1182:C1182"/>
    <mergeCell ref="D1182:E1182"/>
    <mergeCell ref="F1182:G1182"/>
    <mergeCell ref="H1182:I1182"/>
    <mergeCell ref="P1182:Q1182"/>
    <mergeCell ref="R1182:S1182"/>
    <mergeCell ref="T1182:U1182"/>
    <mergeCell ref="B1183:C1183"/>
    <mergeCell ref="D1183:E1183"/>
    <mergeCell ref="F1183:G1183"/>
    <mergeCell ref="H1183:I1183"/>
    <mergeCell ref="J1183:K1183"/>
    <mergeCell ref="L1183:M1183"/>
    <mergeCell ref="P1183:Q1183"/>
    <mergeCell ref="AX1183:AZ1183"/>
    <mergeCell ref="BA1183:BB1183"/>
    <mergeCell ref="BD1183:BE1183"/>
    <mergeCell ref="BF1183:BI1183"/>
    <mergeCell ref="BJ1183:BM1183"/>
    <mergeCell ref="BN1183:BV1183"/>
    <mergeCell ref="AN1183:AO1183"/>
    <mergeCell ref="AP1183:AQ1183"/>
    <mergeCell ref="AR1183:AS1183"/>
    <mergeCell ref="AT1183:AU1183"/>
    <mergeCell ref="AV1183:AW1183"/>
    <mergeCell ref="R1183:S1183"/>
    <mergeCell ref="T1183:U1183"/>
    <mergeCell ref="V1183:W1183"/>
    <mergeCell ref="X1183:AA1183"/>
    <mergeCell ref="AB1183:AE1183"/>
    <mergeCell ref="AF1183:AG1183"/>
    <mergeCell ref="AH1183:AI1183"/>
    <mergeCell ref="AJ1183:AK1183"/>
    <mergeCell ref="AL1183:AM1183"/>
    <mergeCell ref="V1180:W1180"/>
    <mergeCell ref="X1180:AA1180"/>
    <mergeCell ref="AB1180:AE1180"/>
    <mergeCell ref="AF1180:AG1180"/>
    <mergeCell ref="AH1180:AI1180"/>
    <mergeCell ref="AJ1180:AK1180"/>
    <mergeCell ref="AL1180:AM1180"/>
    <mergeCell ref="BD1180:BE1180"/>
    <mergeCell ref="BF1180:BI1180"/>
    <mergeCell ref="BJ1180:BM1180"/>
    <mergeCell ref="BN1180:BV1180"/>
    <mergeCell ref="AN1180:AO1180"/>
    <mergeCell ref="AP1180:AQ1180"/>
    <mergeCell ref="AR1180:AS1180"/>
    <mergeCell ref="AT1180:AU1180"/>
    <mergeCell ref="AV1180:AW1180"/>
    <mergeCell ref="AX1180:AZ1180"/>
    <mergeCell ref="BA1180:BB1180"/>
    <mergeCell ref="B1180:C1180"/>
    <mergeCell ref="D1180:E1180"/>
    <mergeCell ref="F1180:G1180"/>
    <mergeCell ref="H1180:I1180"/>
    <mergeCell ref="P1180:Q1180"/>
    <mergeCell ref="R1180:S1180"/>
    <mergeCell ref="T1180:U1180"/>
    <mergeCell ref="B1181:C1181"/>
    <mergeCell ref="D1181:E1181"/>
    <mergeCell ref="F1181:G1181"/>
    <mergeCell ref="H1181:I1181"/>
    <mergeCell ref="J1181:K1181"/>
    <mergeCell ref="L1181:M1181"/>
    <mergeCell ref="P1181:Q1181"/>
    <mergeCell ref="AX1181:AZ1181"/>
    <mergeCell ref="BA1181:BB1181"/>
    <mergeCell ref="BD1181:BE1181"/>
    <mergeCell ref="BF1181:BI1181"/>
    <mergeCell ref="BJ1181:BM1181"/>
    <mergeCell ref="BN1181:BV1181"/>
    <mergeCell ref="AN1181:AO1181"/>
    <mergeCell ref="AP1181:AQ1181"/>
    <mergeCell ref="AR1181:AS1181"/>
    <mergeCell ref="AT1181:AU1181"/>
    <mergeCell ref="AV1181:AW1181"/>
    <mergeCell ref="R1181:S1181"/>
    <mergeCell ref="T1181:U1181"/>
    <mergeCell ref="V1181:W1181"/>
    <mergeCell ref="X1181:AA1181"/>
    <mergeCell ref="AB1181:AE1181"/>
    <mergeCell ref="AF1181:AG1181"/>
    <mergeCell ref="AH1181:AI1181"/>
    <mergeCell ref="AJ1181:AK1181"/>
    <mergeCell ref="AL1181:AM1181"/>
    <mergeCell ref="V1178:W1178"/>
    <mergeCell ref="X1178:AA1178"/>
    <mergeCell ref="AB1178:AE1178"/>
    <mergeCell ref="AF1178:AG1178"/>
    <mergeCell ref="AH1178:AI1178"/>
    <mergeCell ref="AJ1178:AK1178"/>
    <mergeCell ref="AL1178:AM1178"/>
    <mergeCell ref="BD1178:BE1178"/>
    <mergeCell ref="BF1178:BI1178"/>
    <mergeCell ref="BJ1178:BM1178"/>
    <mergeCell ref="BN1178:BV1178"/>
    <mergeCell ref="AN1178:AO1178"/>
    <mergeCell ref="AP1178:AQ1178"/>
    <mergeCell ref="AR1178:AS1178"/>
    <mergeCell ref="AT1178:AU1178"/>
    <mergeCell ref="AV1178:AW1178"/>
    <mergeCell ref="AX1178:AZ1178"/>
    <mergeCell ref="BA1178:BB1178"/>
    <mergeCell ref="B1178:C1178"/>
    <mergeCell ref="D1178:E1178"/>
    <mergeCell ref="F1178:G1178"/>
    <mergeCell ref="H1178:I1178"/>
    <mergeCell ref="P1178:Q1178"/>
    <mergeCell ref="R1178:S1178"/>
    <mergeCell ref="T1178:U1178"/>
    <mergeCell ref="B1179:C1179"/>
    <mergeCell ref="D1179:E1179"/>
    <mergeCell ref="F1179:G1179"/>
    <mergeCell ref="H1179:I1179"/>
    <mergeCell ref="J1179:K1179"/>
    <mergeCell ref="L1179:M1179"/>
    <mergeCell ref="P1179:Q1179"/>
    <mergeCell ref="AX1179:AZ1179"/>
    <mergeCell ref="BA1179:BB1179"/>
    <mergeCell ref="BD1179:BE1179"/>
    <mergeCell ref="BF1179:BI1179"/>
    <mergeCell ref="BJ1179:BM1179"/>
    <mergeCell ref="BN1179:BV1179"/>
    <mergeCell ref="AN1179:AO1179"/>
    <mergeCell ref="AP1179:AQ1179"/>
    <mergeCell ref="AR1179:AS1179"/>
    <mergeCell ref="AT1179:AU1179"/>
    <mergeCell ref="AV1179:AW1179"/>
    <mergeCell ref="R1179:S1179"/>
    <mergeCell ref="T1179:U1179"/>
    <mergeCell ref="V1179:W1179"/>
    <mergeCell ref="X1179:AA1179"/>
    <mergeCell ref="AB1179:AE1179"/>
    <mergeCell ref="AF1179:AG1179"/>
    <mergeCell ref="AH1179:AI1179"/>
    <mergeCell ref="AJ1179:AK1179"/>
    <mergeCell ref="AL1179:AM1179"/>
    <mergeCell ref="V1176:W1176"/>
    <mergeCell ref="X1176:AA1176"/>
    <mergeCell ref="AB1176:AE1176"/>
    <mergeCell ref="AF1176:AG1176"/>
    <mergeCell ref="AH1176:AI1176"/>
    <mergeCell ref="AJ1176:AK1176"/>
    <mergeCell ref="AL1176:AM1176"/>
    <mergeCell ref="BD1176:BE1176"/>
    <mergeCell ref="BF1176:BI1176"/>
    <mergeCell ref="BJ1176:BM1176"/>
    <mergeCell ref="BN1176:BV1176"/>
    <mergeCell ref="AN1176:AO1176"/>
    <mergeCell ref="AP1176:AQ1176"/>
    <mergeCell ref="AR1176:AS1176"/>
    <mergeCell ref="AT1176:AU1176"/>
    <mergeCell ref="AV1176:AW1176"/>
    <mergeCell ref="AX1176:AZ1176"/>
    <mergeCell ref="BA1176:BB1176"/>
    <mergeCell ref="B1176:C1176"/>
    <mergeCell ref="D1176:E1176"/>
    <mergeCell ref="F1176:G1176"/>
    <mergeCell ref="H1176:I1176"/>
    <mergeCell ref="P1176:Q1176"/>
    <mergeCell ref="R1176:S1176"/>
    <mergeCell ref="T1176:U1176"/>
    <mergeCell ref="B1177:C1177"/>
    <mergeCell ref="D1177:E1177"/>
    <mergeCell ref="F1177:G1177"/>
    <mergeCell ref="H1177:I1177"/>
    <mergeCell ref="J1177:K1177"/>
    <mergeCell ref="L1177:M1177"/>
    <mergeCell ref="P1177:Q1177"/>
    <mergeCell ref="AX1177:AZ1177"/>
    <mergeCell ref="BA1177:BB1177"/>
    <mergeCell ref="BD1177:BE1177"/>
    <mergeCell ref="BF1177:BI1177"/>
    <mergeCell ref="BJ1177:BM1177"/>
    <mergeCell ref="BN1177:BV1177"/>
    <mergeCell ref="AN1177:AO1177"/>
    <mergeCell ref="AP1177:AQ1177"/>
    <mergeCell ref="AR1177:AS1177"/>
    <mergeCell ref="AT1177:AU1177"/>
    <mergeCell ref="AV1177:AW1177"/>
    <mergeCell ref="R1177:S1177"/>
    <mergeCell ref="T1177:U1177"/>
    <mergeCell ref="V1177:W1177"/>
    <mergeCell ref="X1177:AA1177"/>
    <mergeCell ref="AB1177:AE1177"/>
    <mergeCell ref="AF1177:AG1177"/>
    <mergeCell ref="AH1177:AI1177"/>
    <mergeCell ref="AJ1177:AK1177"/>
    <mergeCell ref="AL1177:AM1177"/>
    <mergeCell ref="V1174:W1174"/>
    <mergeCell ref="X1174:AA1174"/>
    <mergeCell ref="AB1174:AE1174"/>
    <mergeCell ref="AF1174:AG1174"/>
    <mergeCell ref="AH1174:AI1174"/>
    <mergeCell ref="AJ1174:AK1174"/>
    <mergeCell ref="AL1174:AM1174"/>
    <mergeCell ref="BD1174:BE1174"/>
    <mergeCell ref="BF1174:BI1174"/>
    <mergeCell ref="BJ1174:BM1174"/>
    <mergeCell ref="BN1174:BV1174"/>
    <mergeCell ref="AN1174:AO1174"/>
    <mergeCell ref="AP1174:AQ1174"/>
    <mergeCell ref="AR1174:AS1174"/>
    <mergeCell ref="AT1174:AU1174"/>
    <mergeCell ref="AV1174:AW1174"/>
    <mergeCell ref="AX1174:AZ1174"/>
    <mergeCell ref="BA1174:BB1174"/>
    <mergeCell ref="B1174:C1174"/>
    <mergeCell ref="D1174:E1174"/>
    <mergeCell ref="F1174:G1174"/>
    <mergeCell ref="H1174:I1174"/>
    <mergeCell ref="P1174:Q1174"/>
    <mergeCell ref="R1174:S1174"/>
    <mergeCell ref="T1174:U1174"/>
    <mergeCell ref="B1175:C1175"/>
    <mergeCell ref="D1175:E1175"/>
    <mergeCell ref="F1175:G1175"/>
    <mergeCell ref="H1175:I1175"/>
    <mergeCell ref="J1175:K1175"/>
    <mergeCell ref="L1175:M1175"/>
    <mergeCell ref="P1175:Q1175"/>
    <mergeCell ref="AX1175:AZ1175"/>
    <mergeCell ref="BA1175:BB1175"/>
    <mergeCell ref="BD1175:BE1175"/>
    <mergeCell ref="BF1175:BI1175"/>
    <mergeCell ref="BJ1175:BM1175"/>
    <mergeCell ref="BN1175:BV1175"/>
    <mergeCell ref="AN1175:AO1175"/>
    <mergeCell ref="AP1175:AQ1175"/>
    <mergeCell ref="AR1175:AS1175"/>
    <mergeCell ref="AT1175:AU1175"/>
    <mergeCell ref="AV1175:AW1175"/>
    <mergeCell ref="R1175:S1175"/>
    <mergeCell ref="T1175:U1175"/>
    <mergeCell ref="V1175:W1175"/>
    <mergeCell ref="X1175:AA1175"/>
    <mergeCell ref="AB1175:AE1175"/>
    <mergeCell ref="AF1175:AG1175"/>
    <mergeCell ref="AH1175:AI1175"/>
    <mergeCell ref="AJ1175:AK1175"/>
    <mergeCell ref="AL1175:AM1175"/>
    <mergeCell ref="V1172:W1172"/>
    <mergeCell ref="X1172:AA1172"/>
    <mergeCell ref="AB1172:AE1172"/>
    <mergeCell ref="AF1172:AG1172"/>
    <mergeCell ref="AH1172:AI1172"/>
    <mergeCell ref="AJ1172:AK1172"/>
    <mergeCell ref="AL1172:AM1172"/>
    <mergeCell ref="BD1172:BE1172"/>
    <mergeCell ref="BF1172:BI1172"/>
    <mergeCell ref="BJ1172:BM1172"/>
    <mergeCell ref="BN1172:BV1172"/>
    <mergeCell ref="AN1172:AO1172"/>
    <mergeCell ref="AP1172:AQ1172"/>
    <mergeCell ref="AR1172:AS1172"/>
    <mergeCell ref="AT1172:AU1172"/>
    <mergeCell ref="AV1172:AW1172"/>
    <mergeCell ref="AX1172:AZ1172"/>
    <mergeCell ref="BA1172:BB1172"/>
    <mergeCell ref="B1172:C1172"/>
    <mergeCell ref="D1172:E1172"/>
    <mergeCell ref="F1172:G1172"/>
    <mergeCell ref="H1172:I1172"/>
    <mergeCell ref="P1172:Q1172"/>
    <mergeCell ref="R1172:S1172"/>
    <mergeCell ref="T1172:U1172"/>
    <mergeCell ref="B1173:C1173"/>
    <mergeCell ref="D1173:E1173"/>
    <mergeCell ref="F1173:G1173"/>
    <mergeCell ref="H1173:I1173"/>
    <mergeCell ref="J1173:K1173"/>
    <mergeCell ref="L1173:M1173"/>
    <mergeCell ref="P1173:Q1173"/>
    <mergeCell ref="AX1173:AZ1173"/>
    <mergeCell ref="BA1173:BB1173"/>
    <mergeCell ref="BD1173:BE1173"/>
    <mergeCell ref="BF1173:BI1173"/>
    <mergeCell ref="BJ1173:BM1173"/>
    <mergeCell ref="BN1173:BV1173"/>
    <mergeCell ref="AN1173:AO1173"/>
    <mergeCell ref="AP1173:AQ1173"/>
    <mergeCell ref="AR1173:AS1173"/>
    <mergeCell ref="AT1173:AU1173"/>
    <mergeCell ref="AV1173:AW1173"/>
    <mergeCell ref="R1173:S1173"/>
    <mergeCell ref="T1173:U1173"/>
    <mergeCell ref="V1173:W1173"/>
    <mergeCell ref="X1173:AA1173"/>
    <mergeCell ref="AB1173:AE1173"/>
    <mergeCell ref="AF1173:AG1173"/>
    <mergeCell ref="AH1173:AI1173"/>
    <mergeCell ref="AJ1173:AK1173"/>
    <mergeCell ref="AL1173:AM1173"/>
    <mergeCell ref="V1170:W1170"/>
    <mergeCell ref="X1170:AA1170"/>
    <mergeCell ref="AB1170:AE1170"/>
    <mergeCell ref="AF1170:AG1170"/>
    <mergeCell ref="AH1170:AI1170"/>
    <mergeCell ref="AJ1170:AK1170"/>
    <mergeCell ref="AL1170:AM1170"/>
    <mergeCell ref="BD1170:BE1170"/>
    <mergeCell ref="BF1170:BI1170"/>
    <mergeCell ref="BJ1170:BM1170"/>
    <mergeCell ref="BN1170:BV1170"/>
    <mergeCell ref="AN1170:AO1170"/>
    <mergeCell ref="AP1170:AQ1170"/>
    <mergeCell ref="AR1170:AS1170"/>
    <mergeCell ref="AT1170:AU1170"/>
    <mergeCell ref="AV1170:AW1170"/>
    <mergeCell ref="AX1170:AZ1170"/>
    <mergeCell ref="BA1170:BB1170"/>
    <mergeCell ref="B1170:C1170"/>
    <mergeCell ref="D1170:E1170"/>
    <mergeCell ref="F1170:G1170"/>
    <mergeCell ref="H1170:I1170"/>
    <mergeCell ref="P1170:Q1170"/>
    <mergeCell ref="R1170:S1170"/>
    <mergeCell ref="T1170:U1170"/>
    <mergeCell ref="B1171:C1171"/>
    <mergeCell ref="D1171:E1171"/>
    <mergeCell ref="F1171:G1171"/>
    <mergeCell ref="H1171:I1171"/>
    <mergeCell ref="J1171:K1171"/>
    <mergeCell ref="L1171:M1171"/>
    <mergeCell ref="P1171:Q1171"/>
    <mergeCell ref="AX1171:AZ1171"/>
    <mergeCell ref="BA1171:BB1171"/>
    <mergeCell ref="BD1171:BE1171"/>
    <mergeCell ref="BF1171:BI1171"/>
    <mergeCell ref="BJ1171:BM1171"/>
    <mergeCell ref="BN1171:BV1171"/>
    <mergeCell ref="AN1171:AO1171"/>
    <mergeCell ref="AP1171:AQ1171"/>
    <mergeCell ref="AR1171:AS1171"/>
    <mergeCell ref="AT1171:AU1171"/>
    <mergeCell ref="AV1171:AW1171"/>
    <mergeCell ref="R1171:S1171"/>
    <mergeCell ref="T1171:U1171"/>
    <mergeCell ref="V1171:W1171"/>
    <mergeCell ref="X1171:AA1171"/>
    <mergeCell ref="AB1171:AE1171"/>
    <mergeCell ref="AF1171:AG1171"/>
    <mergeCell ref="AH1171:AI1171"/>
    <mergeCell ref="AJ1171:AK1171"/>
    <mergeCell ref="AL1171:AM1171"/>
    <mergeCell ref="V1168:W1168"/>
    <mergeCell ref="X1168:AA1168"/>
    <mergeCell ref="AB1168:AE1168"/>
    <mergeCell ref="AF1168:AG1168"/>
    <mergeCell ref="AH1168:AI1168"/>
    <mergeCell ref="AJ1168:AK1168"/>
    <mergeCell ref="AL1168:AM1168"/>
    <mergeCell ref="BD1168:BE1168"/>
    <mergeCell ref="BF1168:BI1168"/>
    <mergeCell ref="BJ1168:BM1168"/>
    <mergeCell ref="BN1168:BV1168"/>
    <mergeCell ref="AN1168:AO1168"/>
    <mergeCell ref="AP1168:AQ1168"/>
    <mergeCell ref="AR1168:AS1168"/>
    <mergeCell ref="AT1168:AU1168"/>
    <mergeCell ref="AV1168:AW1168"/>
    <mergeCell ref="AX1168:AZ1168"/>
    <mergeCell ref="BA1168:BB1168"/>
    <mergeCell ref="B1168:C1168"/>
    <mergeCell ref="D1168:E1168"/>
    <mergeCell ref="F1168:G1168"/>
    <mergeCell ref="H1168:I1168"/>
    <mergeCell ref="P1168:Q1168"/>
    <mergeCell ref="R1168:S1168"/>
    <mergeCell ref="T1168:U1168"/>
    <mergeCell ref="B1169:C1169"/>
    <mergeCell ref="D1169:E1169"/>
    <mergeCell ref="F1169:G1169"/>
    <mergeCell ref="H1169:I1169"/>
    <mergeCell ref="J1169:K1169"/>
    <mergeCell ref="L1169:M1169"/>
    <mergeCell ref="P1169:Q1169"/>
    <mergeCell ref="AX1169:AZ1169"/>
    <mergeCell ref="BA1169:BB1169"/>
    <mergeCell ref="BD1169:BE1169"/>
    <mergeCell ref="BF1169:BI1169"/>
    <mergeCell ref="BJ1169:BM1169"/>
    <mergeCell ref="BN1169:BV1169"/>
    <mergeCell ref="AN1169:AO1169"/>
    <mergeCell ref="AP1169:AQ1169"/>
    <mergeCell ref="AR1169:AS1169"/>
    <mergeCell ref="AT1169:AU1169"/>
    <mergeCell ref="AV1169:AW1169"/>
    <mergeCell ref="R1169:S1169"/>
    <mergeCell ref="T1169:U1169"/>
    <mergeCell ref="V1169:W1169"/>
    <mergeCell ref="X1169:AA1169"/>
    <mergeCell ref="AB1169:AE1169"/>
    <mergeCell ref="AF1169:AG1169"/>
    <mergeCell ref="AH1169:AI1169"/>
    <mergeCell ref="AJ1169:AK1169"/>
    <mergeCell ref="AL1169:AM1169"/>
    <mergeCell ref="V1166:W1166"/>
    <mergeCell ref="X1166:AA1166"/>
    <mergeCell ref="AB1166:AE1166"/>
    <mergeCell ref="AF1166:AG1166"/>
    <mergeCell ref="AH1166:AI1166"/>
    <mergeCell ref="AJ1166:AK1166"/>
    <mergeCell ref="AL1166:AM1166"/>
    <mergeCell ref="BD1166:BE1166"/>
    <mergeCell ref="BF1166:BI1166"/>
    <mergeCell ref="BJ1166:BM1166"/>
    <mergeCell ref="BN1166:BV1166"/>
    <mergeCell ref="AN1166:AO1166"/>
    <mergeCell ref="AP1166:AQ1166"/>
    <mergeCell ref="AR1166:AS1166"/>
    <mergeCell ref="AT1166:AU1166"/>
    <mergeCell ref="AV1166:AW1166"/>
    <mergeCell ref="AX1166:AZ1166"/>
    <mergeCell ref="BA1166:BB1166"/>
    <mergeCell ref="B1166:C1166"/>
    <mergeCell ref="D1166:E1166"/>
    <mergeCell ref="F1166:G1166"/>
    <mergeCell ref="H1166:I1166"/>
    <mergeCell ref="P1166:Q1166"/>
    <mergeCell ref="R1166:S1166"/>
    <mergeCell ref="T1166:U1166"/>
    <mergeCell ref="B1167:C1167"/>
    <mergeCell ref="D1167:E1167"/>
    <mergeCell ref="F1167:G1167"/>
    <mergeCell ref="H1167:I1167"/>
    <mergeCell ref="J1167:K1167"/>
    <mergeCell ref="L1167:M1167"/>
    <mergeCell ref="P1167:Q1167"/>
    <mergeCell ref="AX1167:AZ1167"/>
    <mergeCell ref="BA1167:BB1167"/>
    <mergeCell ref="BD1167:BE1167"/>
    <mergeCell ref="BF1167:BI1167"/>
    <mergeCell ref="BJ1167:BM1167"/>
    <mergeCell ref="BN1167:BV1167"/>
    <mergeCell ref="AN1167:AO1167"/>
    <mergeCell ref="AP1167:AQ1167"/>
    <mergeCell ref="AR1167:AS1167"/>
    <mergeCell ref="AT1167:AU1167"/>
    <mergeCell ref="AV1167:AW1167"/>
    <mergeCell ref="R1167:S1167"/>
    <mergeCell ref="T1167:U1167"/>
    <mergeCell ref="V1167:W1167"/>
    <mergeCell ref="X1167:AA1167"/>
    <mergeCell ref="AB1167:AE1167"/>
    <mergeCell ref="AF1167:AG1167"/>
    <mergeCell ref="AH1167:AI1167"/>
    <mergeCell ref="AJ1167:AK1167"/>
    <mergeCell ref="AL1167:AM1167"/>
    <mergeCell ref="V1164:W1164"/>
    <mergeCell ref="X1164:AA1164"/>
    <mergeCell ref="AB1164:AE1164"/>
    <mergeCell ref="AF1164:AG1164"/>
    <mergeCell ref="AH1164:AI1164"/>
    <mergeCell ref="AJ1164:AK1164"/>
    <mergeCell ref="AL1164:AM1164"/>
    <mergeCell ref="BD1164:BE1164"/>
    <mergeCell ref="BF1164:BI1164"/>
    <mergeCell ref="BJ1164:BM1164"/>
    <mergeCell ref="BN1164:BV1164"/>
    <mergeCell ref="AN1164:AO1164"/>
    <mergeCell ref="AP1164:AQ1164"/>
    <mergeCell ref="AR1164:AS1164"/>
    <mergeCell ref="AT1164:AU1164"/>
    <mergeCell ref="AV1164:AW1164"/>
    <mergeCell ref="AX1164:AZ1164"/>
    <mergeCell ref="BA1164:BB1164"/>
    <mergeCell ref="B1164:C1164"/>
    <mergeCell ref="D1164:E1164"/>
    <mergeCell ref="F1164:G1164"/>
    <mergeCell ref="H1164:I1164"/>
    <mergeCell ref="P1164:Q1164"/>
    <mergeCell ref="R1164:S1164"/>
    <mergeCell ref="T1164:U1164"/>
    <mergeCell ref="B1165:C1165"/>
    <mergeCell ref="D1165:E1165"/>
    <mergeCell ref="F1165:G1165"/>
    <mergeCell ref="H1165:I1165"/>
    <mergeCell ref="J1165:K1165"/>
    <mergeCell ref="L1165:M1165"/>
    <mergeCell ref="P1165:Q1165"/>
    <mergeCell ref="AX1165:AZ1165"/>
    <mergeCell ref="BA1165:BB1165"/>
    <mergeCell ref="BD1165:BE1165"/>
    <mergeCell ref="BF1165:BI1165"/>
    <mergeCell ref="BJ1165:BM1165"/>
    <mergeCell ref="BN1165:BV1165"/>
    <mergeCell ref="AN1165:AO1165"/>
    <mergeCell ref="AP1165:AQ1165"/>
    <mergeCell ref="AR1165:AS1165"/>
    <mergeCell ref="AT1165:AU1165"/>
    <mergeCell ref="AV1165:AW1165"/>
    <mergeCell ref="R1165:S1165"/>
    <mergeCell ref="T1165:U1165"/>
    <mergeCell ref="V1165:W1165"/>
    <mergeCell ref="X1165:AA1165"/>
    <mergeCell ref="AB1165:AE1165"/>
    <mergeCell ref="AF1165:AG1165"/>
    <mergeCell ref="AH1165:AI1165"/>
    <mergeCell ref="AJ1165:AK1165"/>
    <mergeCell ref="AL1165:AM1165"/>
    <mergeCell ref="V1162:W1162"/>
    <mergeCell ref="X1162:AA1162"/>
    <mergeCell ref="AB1162:AE1162"/>
    <mergeCell ref="AF1162:AG1162"/>
    <mergeCell ref="AH1162:AI1162"/>
    <mergeCell ref="AJ1162:AK1162"/>
    <mergeCell ref="AL1162:AM1162"/>
    <mergeCell ref="BD1162:BE1162"/>
    <mergeCell ref="BF1162:BI1162"/>
    <mergeCell ref="BJ1162:BM1162"/>
    <mergeCell ref="BN1162:BV1162"/>
    <mergeCell ref="AN1162:AO1162"/>
    <mergeCell ref="AP1162:AQ1162"/>
    <mergeCell ref="AR1162:AS1162"/>
    <mergeCell ref="AT1162:AU1162"/>
    <mergeCell ref="AV1162:AW1162"/>
    <mergeCell ref="AX1162:AZ1162"/>
    <mergeCell ref="BA1162:BB1162"/>
    <mergeCell ref="B1162:C1162"/>
    <mergeCell ref="D1162:E1162"/>
    <mergeCell ref="F1162:G1162"/>
    <mergeCell ref="H1162:I1162"/>
    <mergeCell ref="P1162:Q1162"/>
    <mergeCell ref="R1162:S1162"/>
    <mergeCell ref="T1162:U1162"/>
    <mergeCell ref="B1163:C1163"/>
    <mergeCell ref="D1163:E1163"/>
    <mergeCell ref="F1163:G1163"/>
    <mergeCell ref="H1163:I1163"/>
    <mergeCell ref="J1163:K1163"/>
    <mergeCell ref="L1163:M1163"/>
    <mergeCell ref="P1163:Q1163"/>
    <mergeCell ref="AX1163:AZ1163"/>
    <mergeCell ref="BA1163:BB1163"/>
    <mergeCell ref="BD1163:BE1163"/>
    <mergeCell ref="BF1163:BI1163"/>
    <mergeCell ref="BJ1163:BM1163"/>
    <mergeCell ref="BN1163:BV1163"/>
    <mergeCell ref="AN1163:AO1163"/>
    <mergeCell ref="AP1163:AQ1163"/>
    <mergeCell ref="AR1163:AS1163"/>
    <mergeCell ref="AT1163:AU1163"/>
    <mergeCell ref="AV1163:AW1163"/>
    <mergeCell ref="R1163:S1163"/>
    <mergeCell ref="T1163:U1163"/>
    <mergeCell ref="V1163:W1163"/>
    <mergeCell ref="X1163:AA1163"/>
    <mergeCell ref="AB1163:AE1163"/>
    <mergeCell ref="AF1163:AG1163"/>
    <mergeCell ref="AH1163:AI1163"/>
    <mergeCell ref="AJ1163:AK1163"/>
    <mergeCell ref="AL1163:AM1163"/>
    <mergeCell ref="V1160:W1160"/>
    <mergeCell ref="X1160:AA1160"/>
    <mergeCell ref="AB1160:AE1160"/>
    <mergeCell ref="AF1160:AG1160"/>
    <mergeCell ref="AH1160:AI1160"/>
    <mergeCell ref="AJ1160:AK1160"/>
    <mergeCell ref="AL1160:AM1160"/>
    <mergeCell ref="BD1160:BE1160"/>
    <mergeCell ref="BF1160:BI1160"/>
    <mergeCell ref="BJ1160:BM1160"/>
    <mergeCell ref="BN1160:BV1160"/>
    <mergeCell ref="AN1160:AO1160"/>
    <mergeCell ref="AP1160:AQ1160"/>
    <mergeCell ref="AR1160:AS1160"/>
    <mergeCell ref="AT1160:AU1160"/>
    <mergeCell ref="AV1160:AW1160"/>
    <mergeCell ref="AX1160:AZ1160"/>
    <mergeCell ref="BA1160:BB1160"/>
    <mergeCell ref="B1160:C1160"/>
    <mergeCell ref="D1160:E1160"/>
    <mergeCell ref="F1160:G1160"/>
    <mergeCell ref="H1160:I1160"/>
    <mergeCell ref="P1160:Q1160"/>
    <mergeCell ref="R1160:S1160"/>
    <mergeCell ref="T1160:U1160"/>
    <mergeCell ref="B1161:C1161"/>
    <mergeCell ref="D1161:E1161"/>
    <mergeCell ref="F1161:G1161"/>
    <mergeCell ref="H1161:I1161"/>
    <mergeCell ref="J1161:K1161"/>
    <mergeCell ref="L1161:M1161"/>
    <mergeCell ref="P1161:Q1161"/>
    <mergeCell ref="AX1161:AZ1161"/>
    <mergeCell ref="BA1161:BB1161"/>
    <mergeCell ref="BD1161:BE1161"/>
    <mergeCell ref="BF1161:BI1161"/>
    <mergeCell ref="BJ1161:BM1161"/>
    <mergeCell ref="BN1161:BV1161"/>
    <mergeCell ref="AN1161:AO1161"/>
    <mergeCell ref="AP1161:AQ1161"/>
    <mergeCell ref="AR1161:AS1161"/>
    <mergeCell ref="AT1161:AU1161"/>
    <mergeCell ref="AV1161:AW1161"/>
    <mergeCell ref="R1161:S1161"/>
    <mergeCell ref="T1161:U1161"/>
    <mergeCell ref="V1161:W1161"/>
    <mergeCell ref="X1161:AA1161"/>
    <mergeCell ref="AB1161:AE1161"/>
    <mergeCell ref="AF1161:AG1161"/>
    <mergeCell ref="AH1161:AI1161"/>
    <mergeCell ref="AJ1161:AK1161"/>
    <mergeCell ref="AL1161:AM1161"/>
    <mergeCell ref="V1158:W1158"/>
    <mergeCell ref="X1158:AA1158"/>
    <mergeCell ref="AB1158:AE1158"/>
    <mergeCell ref="AF1158:AG1158"/>
    <mergeCell ref="AH1158:AI1158"/>
    <mergeCell ref="AJ1158:AK1158"/>
    <mergeCell ref="AL1158:AM1158"/>
    <mergeCell ref="BD1158:BE1158"/>
    <mergeCell ref="BF1158:BI1158"/>
    <mergeCell ref="BJ1158:BM1158"/>
    <mergeCell ref="BN1158:BV1158"/>
    <mergeCell ref="AN1158:AO1158"/>
    <mergeCell ref="AP1158:AQ1158"/>
    <mergeCell ref="AR1158:AS1158"/>
    <mergeCell ref="AT1158:AU1158"/>
    <mergeCell ref="AV1158:AW1158"/>
    <mergeCell ref="AX1158:AZ1158"/>
    <mergeCell ref="BA1158:BB1158"/>
    <mergeCell ref="B1158:C1158"/>
    <mergeCell ref="D1158:E1158"/>
    <mergeCell ref="F1158:G1158"/>
    <mergeCell ref="H1158:I1158"/>
    <mergeCell ref="P1158:Q1158"/>
    <mergeCell ref="R1158:S1158"/>
    <mergeCell ref="T1158:U1158"/>
    <mergeCell ref="B1159:C1159"/>
    <mergeCell ref="D1159:E1159"/>
    <mergeCell ref="F1159:G1159"/>
    <mergeCell ref="H1159:I1159"/>
    <mergeCell ref="J1159:K1159"/>
    <mergeCell ref="L1159:M1159"/>
    <mergeCell ref="P1159:Q1159"/>
    <mergeCell ref="AX1159:AZ1159"/>
    <mergeCell ref="BA1159:BB1159"/>
    <mergeCell ref="BD1159:BE1159"/>
    <mergeCell ref="BF1159:BI1159"/>
    <mergeCell ref="BJ1159:BM1159"/>
    <mergeCell ref="BN1159:BV1159"/>
    <mergeCell ref="AN1159:AO1159"/>
    <mergeCell ref="AP1159:AQ1159"/>
    <mergeCell ref="AR1159:AS1159"/>
    <mergeCell ref="AT1159:AU1159"/>
    <mergeCell ref="AV1159:AW1159"/>
    <mergeCell ref="R1159:S1159"/>
    <mergeCell ref="T1159:U1159"/>
    <mergeCell ref="V1159:W1159"/>
    <mergeCell ref="X1159:AA1159"/>
    <mergeCell ref="AB1159:AE1159"/>
    <mergeCell ref="AF1159:AG1159"/>
    <mergeCell ref="AH1159:AI1159"/>
    <mergeCell ref="AJ1159:AK1159"/>
    <mergeCell ref="AL1159:AM1159"/>
    <mergeCell ref="V1156:W1156"/>
    <mergeCell ref="X1156:AA1156"/>
    <mergeCell ref="AB1156:AE1156"/>
    <mergeCell ref="AF1156:AG1156"/>
    <mergeCell ref="AH1156:AI1156"/>
    <mergeCell ref="AJ1156:AK1156"/>
    <mergeCell ref="AL1156:AM1156"/>
    <mergeCell ref="BD1156:BE1156"/>
    <mergeCell ref="BF1156:BI1156"/>
    <mergeCell ref="BJ1156:BM1156"/>
    <mergeCell ref="BN1156:BV1156"/>
    <mergeCell ref="AN1156:AO1156"/>
    <mergeCell ref="AP1156:AQ1156"/>
    <mergeCell ref="AR1156:AS1156"/>
    <mergeCell ref="AT1156:AU1156"/>
    <mergeCell ref="AV1156:AW1156"/>
    <mergeCell ref="AX1156:AZ1156"/>
    <mergeCell ref="BA1156:BB1156"/>
    <mergeCell ref="B1156:C1156"/>
    <mergeCell ref="D1156:E1156"/>
    <mergeCell ref="F1156:G1156"/>
    <mergeCell ref="H1156:I1156"/>
    <mergeCell ref="P1156:Q1156"/>
    <mergeCell ref="R1156:S1156"/>
    <mergeCell ref="T1156:U1156"/>
    <mergeCell ref="B1157:C1157"/>
    <mergeCell ref="D1157:E1157"/>
    <mergeCell ref="F1157:G1157"/>
    <mergeCell ref="H1157:I1157"/>
    <mergeCell ref="J1157:K1157"/>
    <mergeCell ref="L1157:M1157"/>
    <mergeCell ref="P1157:Q1157"/>
    <mergeCell ref="AX1157:AZ1157"/>
    <mergeCell ref="BA1157:BB1157"/>
    <mergeCell ref="BD1157:BE1157"/>
    <mergeCell ref="BF1157:BI1157"/>
    <mergeCell ref="BJ1157:BM1157"/>
    <mergeCell ref="BN1157:BV1157"/>
    <mergeCell ref="AN1157:AO1157"/>
    <mergeCell ref="AP1157:AQ1157"/>
    <mergeCell ref="AR1157:AS1157"/>
    <mergeCell ref="AT1157:AU1157"/>
    <mergeCell ref="AV1157:AW1157"/>
    <mergeCell ref="R1157:S1157"/>
    <mergeCell ref="T1157:U1157"/>
    <mergeCell ref="V1157:W1157"/>
    <mergeCell ref="X1157:AA1157"/>
    <mergeCell ref="AB1157:AE1157"/>
    <mergeCell ref="AF1157:AG1157"/>
    <mergeCell ref="AH1157:AI1157"/>
    <mergeCell ref="AJ1157:AK1157"/>
    <mergeCell ref="AL1157:AM1157"/>
    <mergeCell ref="V1154:W1154"/>
    <mergeCell ref="X1154:AA1154"/>
    <mergeCell ref="AB1154:AE1154"/>
    <mergeCell ref="AF1154:AG1154"/>
    <mergeCell ref="AH1154:AI1154"/>
    <mergeCell ref="AJ1154:AK1154"/>
    <mergeCell ref="AL1154:AM1154"/>
    <mergeCell ref="BD1154:BE1154"/>
    <mergeCell ref="BF1154:BI1154"/>
    <mergeCell ref="BJ1154:BM1154"/>
    <mergeCell ref="BN1154:BV1154"/>
    <mergeCell ref="AN1154:AO1154"/>
    <mergeCell ref="AP1154:AQ1154"/>
    <mergeCell ref="AR1154:AS1154"/>
    <mergeCell ref="AT1154:AU1154"/>
    <mergeCell ref="AV1154:AW1154"/>
    <mergeCell ref="AX1154:AZ1154"/>
    <mergeCell ref="BA1154:BB1154"/>
    <mergeCell ref="B1154:C1154"/>
    <mergeCell ref="D1154:E1154"/>
    <mergeCell ref="F1154:G1154"/>
    <mergeCell ref="H1154:I1154"/>
    <mergeCell ref="P1154:Q1154"/>
    <mergeCell ref="R1154:S1154"/>
    <mergeCell ref="T1154:U1154"/>
    <mergeCell ref="B1155:C1155"/>
    <mergeCell ref="D1155:E1155"/>
    <mergeCell ref="F1155:G1155"/>
    <mergeCell ref="H1155:I1155"/>
    <mergeCell ref="J1155:K1155"/>
    <mergeCell ref="L1155:M1155"/>
    <mergeCell ref="P1155:Q1155"/>
    <mergeCell ref="AX1155:AZ1155"/>
    <mergeCell ref="BA1155:BB1155"/>
    <mergeCell ref="BD1155:BE1155"/>
    <mergeCell ref="BF1155:BI1155"/>
    <mergeCell ref="BJ1155:BM1155"/>
    <mergeCell ref="BN1155:BV1155"/>
    <mergeCell ref="AN1155:AO1155"/>
    <mergeCell ref="AP1155:AQ1155"/>
    <mergeCell ref="AR1155:AS1155"/>
    <mergeCell ref="AT1155:AU1155"/>
    <mergeCell ref="AV1155:AW1155"/>
    <mergeCell ref="R1155:S1155"/>
    <mergeCell ref="T1155:U1155"/>
    <mergeCell ref="V1155:W1155"/>
    <mergeCell ref="X1155:AA1155"/>
    <mergeCell ref="AB1155:AE1155"/>
    <mergeCell ref="AF1155:AG1155"/>
    <mergeCell ref="AH1155:AI1155"/>
    <mergeCell ref="AJ1155:AK1155"/>
    <mergeCell ref="AL1155:AM1155"/>
    <mergeCell ref="V1152:W1152"/>
    <mergeCell ref="X1152:AA1152"/>
    <mergeCell ref="AB1152:AE1152"/>
    <mergeCell ref="AF1152:AG1152"/>
    <mergeCell ref="AH1152:AI1152"/>
    <mergeCell ref="AJ1152:AK1152"/>
    <mergeCell ref="AL1152:AM1152"/>
    <mergeCell ref="BD1152:BE1152"/>
    <mergeCell ref="BF1152:BI1152"/>
    <mergeCell ref="BJ1152:BM1152"/>
    <mergeCell ref="BN1152:BV1152"/>
    <mergeCell ref="AN1152:AO1152"/>
    <mergeCell ref="AP1152:AQ1152"/>
    <mergeCell ref="AR1152:AS1152"/>
    <mergeCell ref="AT1152:AU1152"/>
    <mergeCell ref="AV1152:AW1152"/>
    <mergeCell ref="AX1152:AZ1152"/>
    <mergeCell ref="BA1152:BB1152"/>
    <mergeCell ref="B1152:C1152"/>
    <mergeCell ref="D1152:E1152"/>
    <mergeCell ref="F1152:G1152"/>
    <mergeCell ref="H1152:I1152"/>
    <mergeCell ref="P1152:Q1152"/>
    <mergeCell ref="R1152:S1152"/>
    <mergeCell ref="T1152:U1152"/>
    <mergeCell ref="B1153:C1153"/>
    <mergeCell ref="D1153:E1153"/>
    <mergeCell ref="F1153:G1153"/>
    <mergeCell ref="H1153:I1153"/>
    <mergeCell ref="J1153:K1153"/>
    <mergeCell ref="L1153:M1153"/>
    <mergeCell ref="P1153:Q1153"/>
    <mergeCell ref="AX1153:AZ1153"/>
    <mergeCell ref="BA1153:BB1153"/>
    <mergeCell ref="BD1153:BE1153"/>
    <mergeCell ref="BF1153:BI1153"/>
    <mergeCell ref="BJ1153:BM1153"/>
    <mergeCell ref="BN1153:BV1153"/>
    <mergeCell ref="AN1153:AO1153"/>
    <mergeCell ref="AP1153:AQ1153"/>
    <mergeCell ref="AR1153:AS1153"/>
    <mergeCell ref="AT1153:AU1153"/>
    <mergeCell ref="AV1153:AW1153"/>
    <mergeCell ref="R1153:S1153"/>
    <mergeCell ref="T1153:U1153"/>
    <mergeCell ref="V1153:W1153"/>
    <mergeCell ref="X1153:AA1153"/>
    <mergeCell ref="AB1153:AE1153"/>
    <mergeCell ref="AF1153:AG1153"/>
    <mergeCell ref="AH1153:AI1153"/>
    <mergeCell ref="AJ1153:AK1153"/>
    <mergeCell ref="AL1153:AM1153"/>
    <mergeCell ref="V1150:W1150"/>
    <mergeCell ref="X1150:AA1150"/>
    <mergeCell ref="AB1150:AE1150"/>
    <mergeCell ref="AF1150:AG1150"/>
    <mergeCell ref="AH1150:AI1150"/>
    <mergeCell ref="AJ1150:AK1150"/>
    <mergeCell ref="AL1150:AM1150"/>
    <mergeCell ref="BD1150:BE1150"/>
    <mergeCell ref="BF1150:BI1150"/>
    <mergeCell ref="BJ1150:BM1150"/>
    <mergeCell ref="BN1150:BV1150"/>
    <mergeCell ref="AN1150:AO1150"/>
    <mergeCell ref="AP1150:AQ1150"/>
    <mergeCell ref="AR1150:AS1150"/>
    <mergeCell ref="AT1150:AU1150"/>
    <mergeCell ref="AV1150:AW1150"/>
    <mergeCell ref="AX1150:AZ1150"/>
    <mergeCell ref="BA1150:BB1150"/>
    <mergeCell ref="B1150:C1150"/>
    <mergeCell ref="D1150:E1150"/>
    <mergeCell ref="F1150:G1150"/>
    <mergeCell ref="H1150:I1150"/>
    <mergeCell ref="P1150:Q1150"/>
    <mergeCell ref="R1150:S1150"/>
    <mergeCell ref="T1150:U1150"/>
    <mergeCell ref="B1151:C1151"/>
    <mergeCell ref="D1151:E1151"/>
    <mergeCell ref="F1151:G1151"/>
    <mergeCell ref="H1151:I1151"/>
    <mergeCell ref="J1151:K1151"/>
    <mergeCell ref="L1151:M1151"/>
    <mergeCell ref="P1151:Q1151"/>
    <mergeCell ref="AX1151:AZ1151"/>
    <mergeCell ref="BA1151:BB1151"/>
    <mergeCell ref="BD1151:BE1151"/>
    <mergeCell ref="BF1151:BI1151"/>
    <mergeCell ref="BJ1151:BM1151"/>
    <mergeCell ref="BN1151:BV1151"/>
    <mergeCell ref="AN1151:AO1151"/>
    <mergeCell ref="AP1151:AQ1151"/>
    <mergeCell ref="AR1151:AS1151"/>
    <mergeCell ref="AT1151:AU1151"/>
    <mergeCell ref="AV1151:AW1151"/>
    <mergeCell ref="R1151:S1151"/>
    <mergeCell ref="T1151:U1151"/>
    <mergeCell ref="V1151:W1151"/>
    <mergeCell ref="X1151:AA1151"/>
    <mergeCell ref="AB1151:AE1151"/>
    <mergeCell ref="AF1151:AG1151"/>
    <mergeCell ref="AH1151:AI1151"/>
    <mergeCell ref="AJ1151:AK1151"/>
    <mergeCell ref="AL1151:AM1151"/>
    <mergeCell ref="V1148:W1148"/>
    <mergeCell ref="X1148:AA1148"/>
    <mergeCell ref="AB1148:AE1148"/>
    <mergeCell ref="AF1148:AG1148"/>
    <mergeCell ref="AH1148:AI1148"/>
    <mergeCell ref="AJ1148:AK1148"/>
    <mergeCell ref="AL1148:AM1148"/>
    <mergeCell ref="BD1148:BE1148"/>
    <mergeCell ref="BF1148:BI1148"/>
    <mergeCell ref="BJ1148:BM1148"/>
    <mergeCell ref="BN1148:BV1148"/>
    <mergeCell ref="AN1148:AO1148"/>
    <mergeCell ref="AP1148:AQ1148"/>
    <mergeCell ref="AR1148:AS1148"/>
    <mergeCell ref="AT1148:AU1148"/>
    <mergeCell ref="AV1148:AW1148"/>
    <mergeCell ref="AX1148:AZ1148"/>
    <mergeCell ref="BA1148:BB1148"/>
    <mergeCell ref="B1148:C1148"/>
    <mergeCell ref="D1148:E1148"/>
    <mergeCell ref="F1148:G1148"/>
    <mergeCell ref="H1148:I1148"/>
    <mergeCell ref="P1148:Q1148"/>
    <mergeCell ref="R1148:S1148"/>
    <mergeCell ref="T1148:U1148"/>
    <mergeCell ref="B1149:C1149"/>
    <mergeCell ref="D1149:E1149"/>
    <mergeCell ref="F1149:G1149"/>
    <mergeCell ref="H1149:I1149"/>
    <mergeCell ref="J1149:K1149"/>
    <mergeCell ref="L1149:M1149"/>
    <mergeCell ref="P1149:Q1149"/>
    <mergeCell ref="AX1149:AZ1149"/>
    <mergeCell ref="BA1149:BB1149"/>
    <mergeCell ref="BD1149:BE1149"/>
    <mergeCell ref="BF1149:BI1149"/>
    <mergeCell ref="BJ1149:BM1149"/>
    <mergeCell ref="BN1149:BV1149"/>
    <mergeCell ref="AN1149:AO1149"/>
    <mergeCell ref="AP1149:AQ1149"/>
    <mergeCell ref="AR1149:AS1149"/>
    <mergeCell ref="AT1149:AU1149"/>
    <mergeCell ref="AV1149:AW1149"/>
    <mergeCell ref="R1149:S1149"/>
    <mergeCell ref="T1149:U1149"/>
    <mergeCell ref="V1149:W1149"/>
    <mergeCell ref="X1149:AA1149"/>
    <mergeCell ref="AB1149:AE1149"/>
    <mergeCell ref="AF1149:AG1149"/>
    <mergeCell ref="AH1149:AI1149"/>
    <mergeCell ref="AJ1149:AK1149"/>
    <mergeCell ref="AL1149:AM1149"/>
    <mergeCell ref="V1146:W1146"/>
    <mergeCell ref="X1146:AA1146"/>
    <mergeCell ref="AB1146:AE1146"/>
    <mergeCell ref="AF1146:AG1146"/>
    <mergeCell ref="AH1146:AI1146"/>
    <mergeCell ref="AJ1146:AK1146"/>
    <mergeCell ref="AL1146:AM1146"/>
    <mergeCell ref="BD1146:BE1146"/>
    <mergeCell ref="BF1146:BI1146"/>
    <mergeCell ref="BJ1146:BM1146"/>
    <mergeCell ref="BN1146:BV1146"/>
    <mergeCell ref="AN1146:AO1146"/>
    <mergeCell ref="AP1146:AQ1146"/>
    <mergeCell ref="AR1146:AS1146"/>
    <mergeCell ref="AT1146:AU1146"/>
    <mergeCell ref="AV1146:AW1146"/>
    <mergeCell ref="AX1146:AZ1146"/>
    <mergeCell ref="BA1146:BB1146"/>
    <mergeCell ref="B1146:C1146"/>
    <mergeCell ref="D1146:E1146"/>
    <mergeCell ref="F1146:G1146"/>
    <mergeCell ref="H1146:I1146"/>
    <mergeCell ref="P1146:Q1146"/>
    <mergeCell ref="R1146:S1146"/>
    <mergeCell ref="T1146:U1146"/>
    <mergeCell ref="B1147:C1147"/>
    <mergeCell ref="D1147:E1147"/>
    <mergeCell ref="F1147:G1147"/>
    <mergeCell ref="H1147:I1147"/>
    <mergeCell ref="J1147:K1147"/>
    <mergeCell ref="L1147:M1147"/>
    <mergeCell ref="P1147:Q1147"/>
    <mergeCell ref="AX1147:AZ1147"/>
    <mergeCell ref="BA1147:BB1147"/>
    <mergeCell ref="BD1147:BE1147"/>
    <mergeCell ref="BF1147:BI1147"/>
    <mergeCell ref="BJ1147:BM1147"/>
    <mergeCell ref="BN1147:BV1147"/>
    <mergeCell ref="AN1147:AO1147"/>
    <mergeCell ref="AP1147:AQ1147"/>
    <mergeCell ref="AR1147:AS1147"/>
    <mergeCell ref="AT1147:AU1147"/>
    <mergeCell ref="AV1147:AW1147"/>
    <mergeCell ref="R1147:S1147"/>
    <mergeCell ref="T1147:U1147"/>
    <mergeCell ref="V1147:W1147"/>
    <mergeCell ref="X1147:AA1147"/>
    <mergeCell ref="AB1147:AE1147"/>
    <mergeCell ref="AF1147:AG1147"/>
    <mergeCell ref="AH1147:AI1147"/>
    <mergeCell ref="AJ1147:AK1147"/>
    <mergeCell ref="AL1147:AM1147"/>
    <mergeCell ref="V1144:W1144"/>
    <mergeCell ref="X1144:AA1144"/>
    <mergeCell ref="AB1144:AE1144"/>
    <mergeCell ref="AF1144:AG1144"/>
    <mergeCell ref="AH1144:AI1144"/>
    <mergeCell ref="AJ1144:AK1144"/>
    <mergeCell ref="AL1144:AM1144"/>
    <mergeCell ref="BD1144:BE1144"/>
    <mergeCell ref="BF1144:BI1144"/>
    <mergeCell ref="BJ1144:BM1144"/>
    <mergeCell ref="BN1144:BV1144"/>
    <mergeCell ref="AN1144:AO1144"/>
    <mergeCell ref="AP1144:AQ1144"/>
    <mergeCell ref="AR1144:AS1144"/>
    <mergeCell ref="AT1144:AU1144"/>
    <mergeCell ref="AV1144:AW1144"/>
    <mergeCell ref="AX1144:AZ1144"/>
    <mergeCell ref="BA1144:BB1144"/>
    <mergeCell ref="B1144:C1144"/>
    <mergeCell ref="D1144:E1144"/>
    <mergeCell ref="F1144:G1144"/>
    <mergeCell ref="H1144:I1144"/>
    <mergeCell ref="P1144:Q1144"/>
    <mergeCell ref="R1144:S1144"/>
    <mergeCell ref="T1144:U1144"/>
    <mergeCell ref="B1145:C1145"/>
    <mergeCell ref="D1145:E1145"/>
    <mergeCell ref="F1145:G1145"/>
    <mergeCell ref="H1145:I1145"/>
    <mergeCell ref="J1145:K1145"/>
    <mergeCell ref="L1145:M1145"/>
    <mergeCell ref="P1145:Q1145"/>
    <mergeCell ref="AX1145:AZ1145"/>
    <mergeCell ref="BA1145:BB1145"/>
    <mergeCell ref="BD1145:BE1145"/>
    <mergeCell ref="BF1145:BI1145"/>
    <mergeCell ref="BJ1145:BM1145"/>
    <mergeCell ref="BN1145:BV1145"/>
    <mergeCell ref="AN1145:AO1145"/>
    <mergeCell ref="AP1145:AQ1145"/>
    <mergeCell ref="AR1145:AS1145"/>
    <mergeCell ref="AT1145:AU1145"/>
    <mergeCell ref="AV1145:AW1145"/>
    <mergeCell ref="R1145:S1145"/>
    <mergeCell ref="T1145:U1145"/>
    <mergeCell ref="V1145:W1145"/>
    <mergeCell ref="X1145:AA1145"/>
    <mergeCell ref="AB1145:AE1145"/>
    <mergeCell ref="AF1145:AG1145"/>
    <mergeCell ref="AH1145:AI1145"/>
    <mergeCell ref="AJ1145:AK1145"/>
    <mergeCell ref="AL1145:AM1145"/>
    <mergeCell ref="V1142:W1142"/>
    <mergeCell ref="X1142:AA1142"/>
    <mergeCell ref="AB1142:AE1142"/>
    <mergeCell ref="AF1142:AG1142"/>
    <mergeCell ref="AH1142:AI1142"/>
    <mergeCell ref="AJ1142:AK1142"/>
    <mergeCell ref="AL1142:AM1142"/>
    <mergeCell ref="BD1142:BE1142"/>
    <mergeCell ref="BF1142:BI1142"/>
    <mergeCell ref="BJ1142:BM1142"/>
    <mergeCell ref="BN1142:BV1142"/>
    <mergeCell ref="AN1142:AO1142"/>
    <mergeCell ref="AP1142:AQ1142"/>
    <mergeCell ref="AR1142:AS1142"/>
    <mergeCell ref="AT1142:AU1142"/>
    <mergeCell ref="AV1142:AW1142"/>
    <mergeCell ref="AX1142:AZ1142"/>
    <mergeCell ref="BA1142:BB1142"/>
    <mergeCell ref="B1142:C1142"/>
    <mergeCell ref="D1142:E1142"/>
    <mergeCell ref="F1142:G1142"/>
    <mergeCell ref="H1142:I1142"/>
    <mergeCell ref="P1142:Q1142"/>
    <mergeCell ref="R1142:S1142"/>
    <mergeCell ref="T1142:U1142"/>
    <mergeCell ref="B1143:C1143"/>
    <mergeCell ref="D1143:E1143"/>
    <mergeCell ref="F1143:G1143"/>
    <mergeCell ref="H1143:I1143"/>
    <mergeCell ref="J1143:K1143"/>
    <mergeCell ref="L1143:M1143"/>
    <mergeCell ref="P1143:Q1143"/>
    <mergeCell ref="AX1143:AZ1143"/>
    <mergeCell ref="BA1143:BB1143"/>
    <mergeCell ref="BD1143:BE1143"/>
    <mergeCell ref="BF1143:BI1143"/>
    <mergeCell ref="BJ1143:BM1143"/>
    <mergeCell ref="BN1143:BV1143"/>
    <mergeCell ref="AN1143:AO1143"/>
    <mergeCell ref="AP1143:AQ1143"/>
    <mergeCell ref="AR1143:AS1143"/>
    <mergeCell ref="AT1143:AU1143"/>
    <mergeCell ref="AV1143:AW1143"/>
    <mergeCell ref="R1143:S1143"/>
    <mergeCell ref="T1143:U1143"/>
    <mergeCell ref="V1143:W1143"/>
    <mergeCell ref="X1143:AA1143"/>
    <mergeCell ref="AB1143:AE1143"/>
    <mergeCell ref="AF1143:AG1143"/>
    <mergeCell ref="AH1143:AI1143"/>
    <mergeCell ref="AJ1143:AK1143"/>
    <mergeCell ref="AL1143:AM1143"/>
    <mergeCell ref="V1140:W1140"/>
    <mergeCell ref="X1140:AA1140"/>
    <mergeCell ref="AB1140:AE1140"/>
    <mergeCell ref="AF1140:AG1140"/>
    <mergeCell ref="AH1140:AI1140"/>
    <mergeCell ref="AJ1140:AK1140"/>
    <mergeCell ref="AL1140:AM1140"/>
    <mergeCell ref="BD1140:BE1140"/>
    <mergeCell ref="BF1140:BI1140"/>
    <mergeCell ref="BJ1140:BM1140"/>
    <mergeCell ref="BN1140:BV1140"/>
    <mergeCell ref="AN1140:AO1140"/>
    <mergeCell ref="AP1140:AQ1140"/>
    <mergeCell ref="AR1140:AS1140"/>
    <mergeCell ref="AT1140:AU1140"/>
    <mergeCell ref="AV1140:AW1140"/>
    <mergeCell ref="AX1140:AZ1140"/>
    <mergeCell ref="BA1140:BB1140"/>
    <mergeCell ref="B1140:C1140"/>
    <mergeCell ref="D1140:E1140"/>
    <mergeCell ref="F1140:G1140"/>
    <mergeCell ref="H1140:I1140"/>
    <mergeCell ref="P1140:Q1140"/>
    <mergeCell ref="R1140:S1140"/>
    <mergeCell ref="T1140:U1140"/>
    <mergeCell ref="B1141:C1141"/>
    <mergeCell ref="D1141:E1141"/>
    <mergeCell ref="F1141:G1141"/>
    <mergeCell ref="H1141:I1141"/>
    <mergeCell ref="J1141:K1141"/>
    <mergeCell ref="L1141:M1141"/>
    <mergeCell ref="P1141:Q1141"/>
    <mergeCell ref="AX1141:AZ1141"/>
    <mergeCell ref="BA1141:BB1141"/>
    <mergeCell ref="BD1141:BE1141"/>
    <mergeCell ref="BF1141:BI1141"/>
    <mergeCell ref="BJ1141:BM1141"/>
    <mergeCell ref="BN1141:BV1141"/>
    <mergeCell ref="AN1141:AO1141"/>
    <mergeCell ref="AP1141:AQ1141"/>
    <mergeCell ref="AR1141:AS1141"/>
    <mergeCell ref="AT1141:AU1141"/>
    <mergeCell ref="AV1141:AW1141"/>
    <mergeCell ref="R1141:S1141"/>
    <mergeCell ref="T1141:U1141"/>
    <mergeCell ref="V1141:W1141"/>
    <mergeCell ref="X1141:AA1141"/>
    <mergeCell ref="AB1141:AE1141"/>
    <mergeCell ref="AF1141:AG1141"/>
    <mergeCell ref="AH1141:AI1141"/>
    <mergeCell ref="AJ1141:AK1141"/>
    <mergeCell ref="AL1141:AM1141"/>
    <mergeCell ref="V1138:W1138"/>
    <mergeCell ref="X1138:AA1138"/>
    <mergeCell ref="AB1138:AE1138"/>
    <mergeCell ref="AF1138:AG1138"/>
    <mergeCell ref="AH1138:AI1138"/>
    <mergeCell ref="AJ1138:AK1138"/>
    <mergeCell ref="AL1138:AM1138"/>
    <mergeCell ref="BD1138:BE1138"/>
    <mergeCell ref="BF1138:BI1138"/>
    <mergeCell ref="BJ1138:BM1138"/>
    <mergeCell ref="BN1138:BV1138"/>
    <mergeCell ref="AN1138:AO1138"/>
    <mergeCell ref="AP1138:AQ1138"/>
    <mergeCell ref="AR1138:AS1138"/>
    <mergeCell ref="AT1138:AU1138"/>
    <mergeCell ref="AV1138:AW1138"/>
    <mergeCell ref="AX1138:AZ1138"/>
    <mergeCell ref="BA1138:BB1138"/>
    <mergeCell ref="B1138:C1138"/>
    <mergeCell ref="D1138:E1138"/>
    <mergeCell ref="F1138:G1138"/>
    <mergeCell ref="H1138:I1138"/>
    <mergeCell ref="P1138:Q1138"/>
    <mergeCell ref="R1138:S1138"/>
    <mergeCell ref="T1138:U1138"/>
    <mergeCell ref="B1139:C1139"/>
    <mergeCell ref="D1139:E1139"/>
    <mergeCell ref="F1139:G1139"/>
    <mergeCell ref="H1139:I1139"/>
    <mergeCell ref="J1139:K1139"/>
    <mergeCell ref="L1139:M1139"/>
    <mergeCell ref="P1139:Q1139"/>
    <mergeCell ref="AX1139:AZ1139"/>
    <mergeCell ref="BA1139:BB1139"/>
    <mergeCell ref="BD1139:BE1139"/>
    <mergeCell ref="BF1139:BI1139"/>
    <mergeCell ref="BJ1139:BM1139"/>
    <mergeCell ref="BN1139:BV1139"/>
    <mergeCell ref="AN1139:AO1139"/>
    <mergeCell ref="AP1139:AQ1139"/>
    <mergeCell ref="AR1139:AS1139"/>
    <mergeCell ref="AT1139:AU1139"/>
    <mergeCell ref="AV1139:AW1139"/>
    <mergeCell ref="R1139:S1139"/>
    <mergeCell ref="T1139:U1139"/>
    <mergeCell ref="V1139:W1139"/>
    <mergeCell ref="X1139:AA1139"/>
    <mergeCell ref="AB1139:AE1139"/>
    <mergeCell ref="AF1139:AG1139"/>
    <mergeCell ref="AH1139:AI1139"/>
    <mergeCell ref="AJ1139:AK1139"/>
    <mergeCell ref="AL1139:AM1139"/>
    <mergeCell ref="V1136:W1136"/>
    <mergeCell ref="X1136:AA1136"/>
    <mergeCell ref="AB1136:AE1136"/>
    <mergeCell ref="AF1136:AG1136"/>
    <mergeCell ref="AH1136:AI1136"/>
    <mergeCell ref="AJ1136:AK1136"/>
    <mergeCell ref="AL1136:AM1136"/>
    <mergeCell ref="BD1136:BE1136"/>
    <mergeCell ref="BF1136:BI1136"/>
    <mergeCell ref="BJ1136:BM1136"/>
    <mergeCell ref="BN1136:BV1136"/>
    <mergeCell ref="AN1136:AO1136"/>
    <mergeCell ref="AP1136:AQ1136"/>
    <mergeCell ref="AR1136:AS1136"/>
    <mergeCell ref="AT1136:AU1136"/>
    <mergeCell ref="AV1136:AW1136"/>
    <mergeCell ref="AX1136:AZ1136"/>
    <mergeCell ref="BA1136:BB1136"/>
    <mergeCell ref="B1136:C1136"/>
    <mergeCell ref="D1136:E1136"/>
    <mergeCell ref="F1136:G1136"/>
    <mergeCell ref="H1136:I1136"/>
    <mergeCell ref="P1136:Q1136"/>
    <mergeCell ref="R1136:S1136"/>
    <mergeCell ref="T1136:U1136"/>
    <mergeCell ref="B1137:C1137"/>
    <mergeCell ref="D1137:E1137"/>
    <mergeCell ref="F1137:G1137"/>
    <mergeCell ref="H1137:I1137"/>
    <mergeCell ref="J1137:K1137"/>
    <mergeCell ref="L1137:M1137"/>
    <mergeCell ref="P1137:Q1137"/>
    <mergeCell ref="AX1137:AZ1137"/>
    <mergeCell ref="BA1137:BB1137"/>
    <mergeCell ref="BD1137:BE1137"/>
    <mergeCell ref="BF1137:BI1137"/>
    <mergeCell ref="BJ1137:BM1137"/>
    <mergeCell ref="BN1137:BV1137"/>
    <mergeCell ref="AN1137:AO1137"/>
    <mergeCell ref="AP1137:AQ1137"/>
    <mergeCell ref="AR1137:AS1137"/>
    <mergeCell ref="AT1137:AU1137"/>
    <mergeCell ref="AV1137:AW1137"/>
    <mergeCell ref="R1137:S1137"/>
    <mergeCell ref="T1137:U1137"/>
    <mergeCell ref="V1137:W1137"/>
    <mergeCell ref="X1137:AA1137"/>
    <mergeCell ref="AB1137:AE1137"/>
    <mergeCell ref="AF1137:AG1137"/>
    <mergeCell ref="AH1137:AI1137"/>
    <mergeCell ref="AJ1137:AK1137"/>
    <mergeCell ref="AL1137:AM1137"/>
    <mergeCell ref="V1134:W1134"/>
    <mergeCell ref="X1134:AA1134"/>
    <mergeCell ref="AB1134:AE1134"/>
    <mergeCell ref="AF1134:AG1134"/>
    <mergeCell ref="AH1134:AI1134"/>
    <mergeCell ref="AJ1134:AK1134"/>
    <mergeCell ref="AL1134:AM1134"/>
    <mergeCell ref="BD1134:BE1134"/>
    <mergeCell ref="BF1134:BI1134"/>
    <mergeCell ref="BJ1134:BM1134"/>
    <mergeCell ref="BN1134:BV1134"/>
    <mergeCell ref="AN1134:AO1134"/>
    <mergeCell ref="AP1134:AQ1134"/>
    <mergeCell ref="AR1134:AS1134"/>
    <mergeCell ref="AT1134:AU1134"/>
    <mergeCell ref="AV1134:AW1134"/>
    <mergeCell ref="AX1134:AZ1134"/>
    <mergeCell ref="BA1134:BB1134"/>
    <mergeCell ref="B1134:C1134"/>
    <mergeCell ref="D1134:E1134"/>
    <mergeCell ref="F1134:G1134"/>
    <mergeCell ref="H1134:I1134"/>
    <mergeCell ref="P1134:Q1134"/>
    <mergeCell ref="R1134:S1134"/>
    <mergeCell ref="T1134:U1134"/>
    <mergeCell ref="B1135:C1135"/>
    <mergeCell ref="D1135:E1135"/>
    <mergeCell ref="F1135:G1135"/>
    <mergeCell ref="H1135:I1135"/>
    <mergeCell ref="J1135:K1135"/>
    <mergeCell ref="L1135:M1135"/>
    <mergeCell ref="P1135:Q1135"/>
    <mergeCell ref="AX1135:AZ1135"/>
    <mergeCell ref="BA1135:BB1135"/>
    <mergeCell ref="BD1135:BE1135"/>
    <mergeCell ref="BF1135:BI1135"/>
    <mergeCell ref="BJ1135:BM1135"/>
    <mergeCell ref="BN1135:BV1135"/>
    <mergeCell ref="AN1135:AO1135"/>
    <mergeCell ref="AP1135:AQ1135"/>
    <mergeCell ref="AR1135:AS1135"/>
    <mergeCell ref="AT1135:AU1135"/>
    <mergeCell ref="AV1135:AW1135"/>
    <mergeCell ref="R1135:S1135"/>
    <mergeCell ref="T1135:U1135"/>
    <mergeCell ref="V1135:W1135"/>
    <mergeCell ref="X1135:AA1135"/>
    <mergeCell ref="AB1135:AE1135"/>
    <mergeCell ref="AF1135:AG1135"/>
    <mergeCell ref="AH1135:AI1135"/>
    <mergeCell ref="AJ1135:AK1135"/>
    <mergeCell ref="AL1135:AM1135"/>
    <mergeCell ref="V1132:W1132"/>
    <mergeCell ref="X1132:AA1132"/>
    <mergeCell ref="AB1132:AE1132"/>
    <mergeCell ref="AF1132:AG1132"/>
    <mergeCell ref="AH1132:AI1132"/>
    <mergeCell ref="AJ1132:AK1132"/>
    <mergeCell ref="AL1132:AM1132"/>
    <mergeCell ref="BD1132:BE1132"/>
    <mergeCell ref="BF1132:BI1132"/>
    <mergeCell ref="BJ1132:BM1132"/>
    <mergeCell ref="BN1132:BV1132"/>
    <mergeCell ref="AN1132:AO1132"/>
    <mergeCell ref="AP1132:AQ1132"/>
    <mergeCell ref="AR1132:AS1132"/>
    <mergeCell ref="AT1132:AU1132"/>
    <mergeCell ref="AV1132:AW1132"/>
    <mergeCell ref="AX1132:AZ1132"/>
    <mergeCell ref="BA1132:BB1132"/>
    <mergeCell ref="B1132:C1132"/>
    <mergeCell ref="D1132:E1132"/>
    <mergeCell ref="F1132:G1132"/>
    <mergeCell ref="H1132:I1132"/>
    <mergeCell ref="P1132:Q1132"/>
    <mergeCell ref="R1132:S1132"/>
    <mergeCell ref="T1132:U1132"/>
    <mergeCell ref="B1133:C1133"/>
    <mergeCell ref="D1133:E1133"/>
    <mergeCell ref="F1133:G1133"/>
    <mergeCell ref="H1133:I1133"/>
    <mergeCell ref="J1133:K1133"/>
    <mergeCell ref="L1133:M1133"/>
    <mergeCell ref="P1133:Q1133"/>
    <mergeCell ref="AX1133:AZ1133"/>
    <mergeCell ref="BA1133:BB1133"/>
    <mergeCell ref="BD1133:BE1133"/>
    <mergeCell ref="BF1133:BI1133"/>
    <mergeCell ref="BJ1133:BM1133"/>
    <mergeCell ref="BN1133:BV1133"/>
    <mergeCell ref="AN1133:AO1133"/>
    <mergeCell ref="AP1133:AQ1133"/>
    <mergeCell ref="AR1133:AS1133"/>
    <mergeCell ref="AT1133:AU1133"/>
    <mergeCell ref="AV1133:AW1133"/>
    <mergeCell ref="R1133:S1133"/>
    <mergeCell ref="T1133:U1133"/>
    <mergeCell ref="V1133:W1133"/>
    <mergeCell ref="X1133:AA1133"/>
    <mergeCell ref="AB1133:AE1133"/>
    <mergeCell ref="AF1133:AG1133"/>
    <mergeCell ref="AH1133:AI1133"/>
    <mergeCell ref="AJ1133:AK1133"/>
    <mergeCell ref="AL1133:AM1133"/>
    <mergeCell ref="V1130:W1130"/>
    <mergeCell ref="X1130:AA1130"/>
    <mergeCell ref="AB1130:AE1130"/>
    <mergeCell ref="AF1130:AG1130"/>
    <mergeCell ref="AH1130:AI1130"/>
    <mergeCell ref="AJ1130:AK1130"/>
    <mergeCell ref="AL1130:AM1130"/>
    <mergeCell ref="BD1130:BE1130"/>
    <mergeCell ref="BF1130:BI1130"/>
    <mergeCell ref="BJ1130:BM1130"/>
    <mergeCell ref="BN1130:BV1130"/>
    <mergeCell ref="AN1130:AO1130"/>
    <mergeCell ref="AP1130:AQ1130"/>
    <mergeCell ref="AR1130:AS1130"/>
    <mergeCell ref="AT1130:AU1130"/>
    <mergeCell ref="AV1130:AW1130"/>
    <mergeCell ref="AX1130:AZ1130"/>
    <mergeCell ref="BA1130:BB1130"/>
    <mergeCell ref="B1130:C1130"/>
    <mergeCell ref="D1130:E1130"/>
    <mergeCell ref="F1130:G1130"/>
    <mergeCell ref="H1130:I1130"/>
    <mergeCell ref="P1130:Q1130"/>
    <mergeCell ref="R1130:S1130"/>
    <mergeCell ref="T1130:U1130"/>
    <mergeCell ref="B1131:C1131"/>
    <mergeCell ref="D1131:E1131"/>
    <mergeCell ref="F1131:G1131"/>
    <mergeCell ref="H1131:I1131"/>
    <mergeCell ref="J1131:K1131"/>
    <mergeCell ref="L1131:M1131"/>
    <mergeCell ref="P1131:Q1131"/>
    <mergeCell ref="AX1131:AZ1131"/>
    <mergeCell ref="BA1131:BB1131"/>
    <mergeCell ref="BD1131:BE1131"/>
    <mergeCell ref="BF1131:BI1131"/>
    <mergeCell ref="BJ1131:BM1131"/>
    <mergeCell ref="BN1131:BV1131"/>
    <mergeCell ref="AN1131:AO1131"/>
    <mergeCell ref="AP1131:AQ1131"/>
    <mergeCell ref="AR1131:AS1131"/>
    <mergeCell ref="AT1131:AU1131"/>
    <mergeCell ref="AV1131:AW1131"/>
    <mergeCell ref="R1131:S1131"/>
    <mergeCell ref="T1131:U1131"/>
    <mergeCell ref="V1131:W1131"/>
    <mergeCell ref="X1131:AA1131"/>
    <mergeCell ref="AB1131:AE1131"/>
    <mergeCell ref="AF1131:AG1131"/>
    <mergeCell ref="AH1131:AI1131"/>
    <mergeCell ref="AJ1131:AK1131"/>
    <mergeCell ref="AL1131:AM1131"/>
    <mergeCell ref="V1128:W1128"/>
    <mergeCell ref="X1128:AA1128"/>
    <mergeCell ref="AB1128:AE1128"/>
    <mergeCell ref="AF1128:AG1128"/>
    <mergeCell ref="AH1128:AI1128"/>
    <mergeCell ref="AJ1128:AK1128"/>
    <mergeCell ref="AL1128:AM1128"/>
    <mergeCell ref="BD1128:BE1128"/>
    <mergeCell ref="BF1128:BI1128"/>
    <mergeCell ref="BJ1128:BM1128"/>
    <mergeCell ref="BN1128:BV1128"/>
    <mergeCell ref="AN1128:AO1128"/>
    <mergeCell ref="AP1128:AQ1128"/>
    <mergeCell ref="AR1128:AS1128"/>
    <mergeCell ref="AT1128:AU1128"/>
    <mergeCell ref="AV1128:AW1128"/>
    <mergeCell ref="AX1128:AZ1128"/>
    <mergeCell ref="BA1128:BB1128"/>
    <mergeCell ref="B1128:C1128"/>
    <mergeCell ref="D1128:E1128"/>
    <mergeCell ref="F1128:G1128"/>
    <mergeCell ref="H1128:I1128"/>
    <mergeCell ref="P1128:Q1128"/>
    <mergeCell ref="R1128:S1128"/>
    <mergeCell ref="T1128:U1128"/>
    <mergeCell ref="B1129:C1129"/>
    <mergeCell ref="D1129:E1129"/>
    <mergeCell ref="F1129:G1129"/>
    <mergeCell ref="H1129:I1129"/>
    <mergeCell ref="J1129:K1129"/>
    <mergeCell ref="L1129:M1129"/>
    <mergeCell ref="P1129:Q1129"/>
    <mergeCell ref="AX1129:AZ1129"/>
    <mergeCell ref="BA1129:BB1129"/>
    <mergeCell ref="BD1129:BE1129"/>
    <mergeCell ref="BF1129:BI1129"/>
    <mergeCell ref="BJ1129:BM1129"/>
    <mergeCell ref="BN1129:BV1129"/>
    <mergeCell ref="AN1129:AO1129"/>
    <mergeCell ref="AP1129:AQ1129"/>
    <mergeCell ref="AR1129:AS1129"/>
    <mergeCell ref="AT1129:AU1129"/>
    <mergeCell ref="AV1129:AW1129"/>
    <mergeCell ref="R1129:S1129"/>
    <mergeCell ref="T1129:U1129"/>
    <mergeCell ref="V1129:W1129"/>
    <mergeCell ref="X1129:AA1129"/>
    <mergeCell ref="AB1129:AE1129"/>
    <mergeCell ref="AF1129:AG1129"/>
    <mergeCell ref="AH1129:AI1129"/>
    <mergeCell ref="AJ1129:AK1129"/>
    <mergeCell ref="AL1129:AM1129"/>
    <mergeCell ref="V1126:W1126"/>
    <mergeCell ref="X1126:AA1126"/>
    <mergeCell ref="AB1126:AE1126"/>
    <mergeCell ref="AF1126:AG1126"/>
    <mergeCell ref="AH1126:AI1126"/>
    <mergeCell ref="AJ1126:AK1126"/>
    <mergeCell ref="AL1126:AM1126"/>
    <mergeCell ref="BD1126:BE1126"/>
    <mergeCell ref="BF1126:BI1126"/>
    <mergeCell ref="BJ1126:BM1126"/>
    <mergeCell ref="BN1126:BV1126"/>
    <mergeCell ref="AN1126:AO1126"/>
    <mergeCell ref="AP1126:AQ1126"/>
    <mergeCell ref="AR1126:AS1126"/>
    <mergeCell ref="AT1126:AU1126"/>
    <mergeCell ref="AV1126:AW1126"/>
    <mergeCell ref="AX1126:AZ1126"/>
    <mergeCell ref="BA1126:BB1126"/>
    <mergeCell ref="B1126:C1126"/>
    <mergeCell ref="D1126:E1126"/>
    <mergeCell ref="F1126:G1126"/>
    <mergeCell ref="H1126:I1126"/>
    <mergeCell ref="P1126:Q1126"/>
    <mergeCell ref="R1126:S1126"/>
    <mergeCell ref="T1126:U1126"/>
    <mergeCell ref="B1127:C1127"/>
    <mergeCell ref="D1127:E1127"/>
    <mergeCell ref="F1127:G1127"/>
    <mergeCell ref="H1127:I1127"/>
    <mergeCell ref="J1127:K1127"/>
    <mergeCell ref="L1127:M1127"/>
    <mergeCell ref="P1127:Q1127"/>
    <mergeCell ref="AX1127:AZ1127"/>
    <mergeCell ref="BA1127:BB1127"/>
    <mergeCell ref="BD1127:BE1127"/>
    <mergeCell ref="BF1127:BI1127"/>
    <mergeCell ref="BJ1127:BM1127"/>
    <mergeCell ref="BN1127:BV1127"/>
    <mergeCell ref="AN1127:AO1127"/>
    <mergeCell ref="AP1127:AQ1127"/>
    <mergeCell ref="AR1127:AS1127"/>
    <mergeCell ref="AT1127:AU1127"/>
    <mergeCell ref="AV1127:AW1127"/>
    <mergeCell ref="R1127:S1127"/>
    <mergeCell ref="T1127:U1127"/>
    <mergeCell ref="V1127:W1127"/>
    <mergeCell ref="X1127:AA1127"/>
    <mergeCell ref="AB1127:AE1127"/>
    <mergeCell ref="AF1127:AG1127"/>
    <mergeCell ref="AH1127:AI1127"/>
    <mergeCell ref="AJ1127:AK1127"/>
    <mergeCell ref="AL1127:AM1127"/>
    <mergeCell ref="V1124:W1124"/>
    <mergeCell ref="X1124:AA1124"/>
    <mergeCell ref="AB1124:AE1124"/>
    <mergeCell ref="AF1124:AG1124"/>
    <mergeCell ref="AH1124:AI1124"/>
    <mergeCell ref="AJ1124:AK1124"/>
    <mergeCell ref="AL1124:AM1124"/>
    <mergeCell ref="BD1124:BE1124"/>
    <mergeCell ref="BF1124:BI1124"/>
    <mergeCell ref="BJ1124:BM1124"/>
    <mergeCell ref="BN1124:BV1124"/>
    <mergeCell ref="AN1124:AO1124"/>
    <mergeCell ref="AP1124:AQ1124"/>
    <mergeCell ref="AR1124:AS1124"/>
    <mergeCell ref="AT1124:AU1124"/>
    <mergeCell ref="AV1124:AW1124"/>
    <mergeCell ref="AX1124:AZ1124"/>
    <mergeCell ref="BA1124:BB1124"/>
    <mergeCell ref="B1124:C1124"/>
    <mergeCell ref="D1124:E1124"/>
    <mergeCell ref="F1124:G1124"/>
    <mergeCell ref="H1124:I1124"/>
    <mergeCell ref="P1124:Q1124"/>
    <mergeCell ref="R1124:S1124"/>
    <mergeCell ref="T1124:U1124"/>
    <mergeCell ref="B1125:C1125"/>
    <mergeCell ref="D1125:E1125"/>
    <mergeCell ref="F1125:G1125"/>
    <mergeCell ref="H1125:I1125"/>
    <mergeCell ref="J1125:K1125"/>
    <mergeCell ref="L1125:M1125"/>
    <mergeCell ref="P1125:Q1125"/>
    <mergeCell ref="AX1125:AZ1125"/>
    <mergeCell ref="BA1125:BB1125"/>
    <mergeCell ref="BD1125:BE1125"/>
    <mergeCell ref="BF1125:BI1125"/>
    <mergeCell ref="BJ1125:BM1125"/>
    <mergeCell ref="BN1125:BV1125"/>
    <mergeCell ref="AN1125:AO1125"/>
    <mergeCell ref="AP1125:AQ1125"/>
    <mergeCell ref="AR1125:AS1125"/>
    <mergeCell ref="AT1125:AU1125"/>
    <mergeCell ref="AV1125:AW1125"/>
    <mergeCell ref="R1125:S1125"/>
    <mergeCell ref="T1125:U1125"/>
    <mergeCell ref="V1125:W1125"/>
    <mergeCell ref="X1125:AA1125"/>
    <mergeCell ref="AB1125:AE1125"/>
    <mergeCell ref="AF1125:AG1125"/>
    <mergeCell ref="AH1125:AI1125"/>
    <mergeCell ref="AJ1125:AK1125"/>
    <mergeCell ref="AL1125:AM1125"/>
    <mergeCell ref="V1122:W1122"/>
    <mergeCell ref="X1122:AA1122"/>
    <mergeCell ref="AB1122:AE1122"/>
    <mergeCell ref="AF1122:AG1122"/>
    <mergeCell ref="AH1122:AI1122"/>
    <mergeCell ref="AJ1122:AK1122"/>
    <mergeCell ref="AL1122:AM1122"/>
    <mergeCell ref="BD1122:BE1122"/>
    <mergeCell ref="BF1122:BI1122"/>
    <mergeCell ref="BJ1122:BM1122"/>
    <mergeCell ref="BN1122:BV1122"/>
    <mergeCell ref="AN1122:AO1122"/>
    <mergeCell ref="AP1122:AQ1122"/>
    <mergeCell ref="AR1122:AS1122"/>
    <mergeCell ref="AT1122:AU1122"/>
    <mergeCell ref="AV1122:AW1122"/>
    <mergeCell ref="AX1122:AZ1122"/>
    <mergeCell ref="BA1122:BB1122"/>
    <mergeCell ref="B1122:C1122"/>
    <mergeCell ref="D1122:E1122"/>
    <mergeCell ref="F1122:G1122"/>
    <mergeCell ref="H1122:I1122"/>
    <mergeCell ref="P1122:Q1122"/>
    <mergeCell ref="R1122:S1122"/>
    <mergeCell ref="T1122:U1122"/>
    <mergeCell ref="B1123:C1123"/>
    <mergeCell ref="D1123:E1123"/>
    <mergeCell ref="F1123:G1123"/>
    <mergeCell ref="H1123:I1123"/>
    <mergeCell ref="J1123:K1123"/>
    <mergeCell ref="L1123:M1123"/>
    <mergeCell ref="P1123:Q1123"/>
    <mergeCell ref="AX1123:AZ1123"/>
    <mergeCell ref="BA1123:BB1123"/>
    <mergeCell ref="BD1123:BE1123"/>
    <mergeCell ref="BF1123:BI1123"/>
    <mergeCell ref="BJ1123:BM1123"/>
    <mergeCell ref="BN1123:BV1123"/>
    <mergeCell ref="AN1123:AO1123"/>
    <mergeCell ref="AP1123:AQ1123"/>
    <mergeCell ref="AR1123:AS1123"/>
    <mergeCell ref="AT1123:AU1123"/>
    <mergeCell ref="AV1123:AW1123"/>
    <mergeCell ref="R1123:S1123"/>
    <mergeCell ref="T1123:U1123"/>
    <mergeCell ref="V1123:W1123"/>
    <mergeCell ref="X1123:AA1123"/>
    <mergeCell ref="AB1123:AE1123"/>
    <mergeCell ref="AF1123:AG1123"/>
    <mergeCell ref="AH1123:AI1123"/>
    <mergeCell ref="AJ1123:AK1123"/>
    <mergeCell ref="AL1123:AM1123"/>
    <mergeCell ref="V1120:W1120"/>
    <mergeCell ref="X1120:AA1120"/>
    <mergeCell ref="AB1120:AE1120"/>
    <mergeCell ref="AF1120:AG1120"/>
    <mergeCell ref="AH1120:AI1120"/>
    <mergeCell ref="AJ1120:AK1120"/>
    <mergeCell ref="AL1120:AM1120"/>
    <mergeCell ref="BD1120:BE1120"/>
    <mergeCell ref="BF1120:BI1120"/>
    <mergeCell ref="BJ1120:BM1120"/>
    <mergeCell ref="BN1120:BV1120"/>
    <mergeCell ref="AN1120:AO1120"/>
    <mergeCell ref="AP1120:AQ1120"/>
    <mergeCell ref="AR1120:AS1120"/>
    <mergeCell ref="AT1120:AU1120"/>
    <mergeCell ref="AV1120:AW1120"/>
    <mergeCell ref="AX1120:AZ1120"/>
    <mergeCell ref="BA1120:BB1120"/>
    <mergeCell ref="B1120:C1120"/>
    <mergeCell ref="D1120:E1120"/>
    <mergeCell ref="F1120:G1120"/>
    <mergeCell ref="H1120:I1120"/>
    <mergeCell ref="P1120:Q1120"/>
    <mergeCell ref="R1120:S1120"/>
    <mergeCell ref="T1120:U1120"/>
    <mergeCell ref="B1121:C1121"/>
    <mergeCell ref="D1121:E1121"/>
    <mergeCell ref="F1121:G1121"/>
    <mergeCell ref="H1121:I1121"/>
    <mergeCell ref="J1121:K1121"/>
    <mergeCell ref="L1121:M1121"/>
    <mergeCell ref="P1121:Q1121"/>
    <mergeCell ref="AX1121:AZ1121"/>
    <mergeCell ref="BA1121:BB1121"/>
    <mergeCell ref="BD1121:BE1121"/>
    <mergeCell ref="BF1121:BI1121"/>
    <mergeCell ref="BJ1121:BM1121"/>
    <mergeCell ref="BN1121:BV1121"/>
    <mergeCell ref="AN1121:AO1121"/>
    <mergeCell ref="AP1121:AQ1121"/>
    <mergeCell ref="AR1121:AS1121"/>
    <mergeCell ref="AT1121:AU1121"/>
    <mergeCell ref="AV1121:AW1121"/>
    <mergeCell ref="R1121:S1121"/>
    <mergeCell ref="T1121:U1121"/>
    <mergeCell ref="V1121:W1121"/>
    <mergeCell ref="X1121:AA1121"/>
    <mergeCell ref="AB1121:AE1121"/>
    <mergeCell ref="AF1121:AG1121"/>
    <mergeCell ref="AH1121:AI1121"/>
    <mergeCell ref="AJ1121:AK1121"/>
    <mergeCell ref="AL1121:AM1121"/>
    <mergeCell ref="V1118:W1118"/>
    <mergeCell ref="X1118:AA1118"/>
    <mergeCell ref="AB1118:AE1118"/>
    <mergeCell ref="AF1118:AG1118"/>
    <mergeCell ref="AH1118:AI1118"/>
    <mergeCell ref="AJ1118:AK1118"/>
    <mergeCell ref="AL1118:AM1118"/>
    <mergeCell ref="BD1118:BE1118"/>
    <mergeCell ref="BF1118:BI1118"/>
    <mergeCell ref="BJ1118:BM1118"/>
    <mergeCell ref="BN1118:BV1118"/>
    <mergeCell ref="AN1118:AO1118"/>
    <mergeCell ref="AP1118:AQ1118"/>
    <mergeCell ref="AR1118:AS1118"/>
    <mergeCell ref="AT1118:AU1118"/>
    <mergeCell ref="AV1118:AW1118"/>
    <mergeCell ref="AX1118:AZ1118"/>
    <mergeCell ref="BA1118:BB1118"/>
    <mergeCell ref="B1118:C1118"/>
    <mergeCell ref="D1118:E1118"/>
    <mergeCell ref="F1118:G1118"/>
    <mergeCell ref="H1118:I1118"/>
    <mergeCell ref="P1118:Q1118"/>
    <mergeCell ref="R1118:S1118"/>
    <mergeCell ref="T1118:U1118"/>
    <mergeCell ref="B1119:C1119"/>
    <mergeCell ref="D1119:E1119"/>
    <mergeCell ref="F1119:G1119"/>
    <mergeCell ref="H1119:I1119"/>
    <mergeCell ref="J1119:K1119"/>
    <mergeCell ref="L1119:M1119"/>
    <mergeCell ref="P1119:Q1119"/>
    <mergeCell ref="AX1119:AZ1119"/>
    <mergeCell ref="BA1119:BB1119"/>
    <mergeCell ref="BD1119:BE1119"/>
    <mergeCell ref="BF1119:BI1119"/>
    <mergeCell ref="BJ1119:BM1119"/>
    <mergeCell ref="BN1119:BV1119"/>
    <mergeCell ref="AN1119:AO1119"/>
    <mergeCell ref="AP1119:AQ1119"/>
    <mergeCell ref="AR1119:AS1119"/>
    <mergeCell ref="AT1119:AU1119"/>
    <mergeCell ref="AV1119:AW1119"/>
    <mergeCell ref="R1119:S1119"/>
    <mergeCell ref="T1119:U1119"/>
    <mergeCell ref="V1119:W1119"/>
    <mergeCell ref="X1119:AA1119"/>
    <mergeCell ref="AB1119:AE1119"/>
    <mergeCell ref="AF1119:AG1119"/>
    <mergeCell ref="AH1119:AI1119"/>
    <mergeCell ref="AJ1119:AK1119"/>
    <mergeCell ref="AL1119:AM1119"/>
    <mergeCell ref="V1116:W1116"/>
    <mergeCell ref="X1116:AA1116"/>
    <mergeCell ref="AB1116:AE1116"/>
    <mergeCell ref="AF1116:AG1116"/>
    <mergeCell ref="AH1116:AI1116"/>
    <mergeCell ref="AJ1116:AK1116"/>
    <mergeCell ref="AL1116:AM1116"/>
    <mergeCell ref="BD1116:BE1116"/>
    <mergeCell ref="BF1116:BI1116"/>
    <mergeCell ref="BJ1116:BM1116"/>
    <mergeCell ref="BN1116:BV1116"/>
    <mergeCell ref="AN1116:AO1116"/>
    <mergeCell ref="AP1116:AQ1116"/>
    <mergeCell ref="AR1116:AS1116"/>
    <mergeCell ref="AT1116:AU1116"/>
    <mergeCell ref="AV1116:AW1116"/>
    <mergeCell ref="AX1116:AZ1116"/>
    <mergeCell ref="BA1116:BB1116"/>
    <mergeCell ref="B1116:C1116"/>
    <mergeCell ref="D1116:E1116"/>
    <mergeCell ref="F1116:G1116"/>
    <mergeCell ref="H1116:I1116"/>
    <mergeCell ref="P1116:Q1116"/>
    <mergeCell ref="R1116:S1116"/>
    <mergeCell ref="T1116:U1116"/>
    <mergeCell ref="B1117:C1117"/>
    <mergeCell ref="D1117:E1117"/>
    <mergeCell ref="F1117:G1117"/>
    <mergeCell ref="H1117:I1117"/>
    <mergeCell ref="J1117:K1117"/>
    <mergeCell ref="L1117:M1117"/>
    <mergeCell ref="P1117:Q1117"/>
    <mergeCell ref="AX1117:AZ1117"/>
    <mergeCell ref="BA1117:BB1117"/>
    <mergeCell ref="BD1117:BE1117"/>
    <mergeCell ref="BF1117:BI1117"/>
    <mergeCell ref="BJ1117:BM1117"/>
    <mergeCell ref="BN1117:BV1117"/>
    <mergeCell ref="AN1117:AO1117"/>
    <mergeCell ref="AP1117:AQ1117"/>
    <mergeCell ref="AR1117:AS1117"/>
    <mergeCell ref="AT1117:AU1117"/>
    <mergeCell ref="AV1117:AW1117"/>
    <mergeCell ref="R1117:S1117"/>
    <mergeCell ref="T1117:U1117"/>
    <mergeCell ref="V1117:W1117"/>
    <mergeCell ref="X1117:AA1117"/>
    <mergeCell ref="AB1117:AE1117"/>
    <mergeCell ref="AF1117:AG1117"/>
    <mergeCell ref="AH1117:AI1117"/>
    <mergeCell ref="AJ1117:AK1117"/>
    <mergeCell ref="AL1117:AM1117"/>
    <mergeCell ref="V1114:W1114"/>
    <mergeCell ref="X1114:AA1114"/>
    <mergeCell ref="AB1114:AE1114"/>
    <mergeCell ref="AF1114:AG1114"/>
    <mergeCell ref="AH1114:AI1114"/>
    <mergeCell ref="AJ1114:AK1114"/>
    <mergeCell ref="AL1114:AM1114"/>
    <mergeCell ref="BD1114:BE1114"/>
    <mergeCell ref="BF1114:BI1114"/>
    <mergeCell ref="BJ1114:BM1114"/>
    <mergeCell ref="BN1114:BV1114"/>
    <mergeCell ref="AN1114:AO1114"/>
    <mergeCell ref="AP1114:AQ1114"/>
    <mergeCell ref="AR1114:AS1114"/>
    <mergeCell ref="AT1114:AU1114"/>
    <mergeCell ref="AV1114:AW1114"/>
    <mergeCell ref="AX1114:AZ1114"/>
    <mergeCell ref="BA1114:BB1114"/>
    <mergeCell ref="B1114:C1114"/>
    <mergeCell ref="D1114:E1114"/>
    <mergeCell ref="F1114:G1114"/>
    <mergeCell ref="H1114:I1114"/>
    <mergeCell ref="P1114:Q1114"/>
    <mergeCell ref="R1114:S1114"/>
    <mergeCell ref="T1114:U1114"/>
    <mergeCell ref="B1115:C1115"/>
    <mergeCell ref="D1115:E1115"/>
    <mergeCell ref="F1115:G1115"/>
    <mergeCell ref="H1115:I1115"/>
    <mergeCell ref="J1115:K1115"/>
    <mergeCell ref="L1115:M1115"/>
    <mergeCell ref="P1115:Q1115"/>
    <mergeCell ref="AX1115:AZ1115"/>
    <mergeCell ref="BA1115:BB1115"/>
    <mergeCell ref="BD1115:BE1115"/>
    <mergeCell ref="BF1115:BI1115"/>
    <mergeCell ref="BJ1115:BM1115"/>
    <mergeCell ref="BN1115:BV1115"/>
    <mergeCell ref="AN1115:AO1115"/>
    <mergeCell ref="AP1115:AQ1115"/>
    <mergeCell ref="AR1115:AS1115"/>
    <mergeCell ref="AT1115:AU1115"/>
    <mergeCell ref="AV1115:AW1115"/>
    <mergeCell ref="R1115:S1115"/>
    <mergeCell ref="T1115:U1115"/>
    <mergeCell ref="V1115:W1115"/>
    <mergeCell ref="X1115:AA1115"/>
    <mergeCell ref="AB1115:AE1115"/>
    <mergeCell ref="AF1115:AG1115"/>
    <mergeCell ref="AH1115:AI1115"/>
    <mergeCell ref="AJ1115:AK1115"/>
    <mergeCell ref="AL1115:AM1115"/>
    <mergeCell ref="V1112:W1112"/>
    <mergeCell ref="X1112:AA1112"/>
    <mergeCell ref="AB1112:AE1112"/>
    <mergeCell ref="AF1112:AG1112"/>
    <mergeCell ref="AH1112:AI1112"/>
    <mergeCell ref="AJ1112:AK1112"/>
    <mergeCell ref="AL1112:AM1112"/>
    <mergeCell ref="BD1112:BE1112"/>
    <mergeCell ref="BF1112:BI1112"/>
    <mergeCell ref="BJ1112:BM1112"/>
    <mergeCell ref="BN1112:BV1112"/>
    <mergeCell ref="AN1112:AO1112"/>
    <mergeCell ref="AP1112:AQ1112"/>
    <mergeCell ref="AR1112:AS1112"/>
    <mergeCell ref="AT1112:AU1112"/>
    <mergeCell ref="AV1112:AW1112"/>
    <mergeCell ref="AX1112:AZ1112"/>
    <mergeCell ref="BA1112:BB1112"/>
    <mergeCell ref="B1112:C1112"/>
    <mergeCell ref="D1112:E1112"/>
    <mergeCell ref="F1112:G1112"/>
    <mergeCell ref="H1112:I1112"/>
    <mergeCell ref="P1112:Q1112"/>
    <mergeCell ref="R1112:S1112"/>
    <mergeCell ref="T1112:U1112"/>
    <mergeCell ref="B1113:C1113"/>
    <mergeCell ref="D1113:E1113"/>
    <mergeCell ref="F1113:G1113"/>
    <mergeCell ref="H1113:I1113"/>
    <mergeCell ref="J1113:K1113"/>
    <mergeCell ref="L1113:M1113"/>
    <mergeCell ref="P1113:Q1113"/>
    <mergeCell ref="AX1113:AZ1113"/>
    <mergeCell ref="BA1113:BB1113"/>
    <mergeCell ref="BD1113:BE1113"/>
    <mergeCell ref="BF1113:BI1113"/>
    <mergeCell ref="BJ1113:BM1113"/>
    <mergeCell ref="BN1113:BV1113"/>
    <mergeCell ref="AN1113:AO1113"/>
    <mergeCell ref="AP1113:AQ1113"/>
    <mergeCell ref="AR1113:AS1113"/>
    <mergeCell ref="AT1113:AU1113"/>
    <mergeCell ref="AV1113:AW1113"/>
    <mergeCell ref="R1113:S1113"/>
    <mergeCell ref="T1113:U1113"/>
    <mergeCell ref="V1113:W1113"/>
    <mergeCell ref="X1113:AA1113"/>
    <mergeCell ref="AB1113:AE1113"/>
    <mergeCell ref="AF1113:AG1113"/>
    <mergeCell ref="AH1113:AI1113"/>
    <mergeCell ref="AJ1113:AK1113"/>
    <mergeCell ref="AL1113:AM1113"/>
    <mergeCell ref="V1110:W1110"/>
    <mergeCell ref="X1110:AA1110"/>
    <mergeCell ref="AB1110:AE1110"/>
    <mergeCell ref="AF1110:AG1110"/>
    <mergeCell ref="AH1110:AI1110"/>
    <mergeCell ref="AJ1110:AK1110"/>
    <mergeCell ref="AL1110:AM1110"/>
    <mergeCell ref="BD1110:BE1110"/>
    <mergeCell ref="BF1110:BI1110"/>
    <mergeCell ref="BJ1110:BM1110"/>
    <mergeCell ref="BN1110:BV1110"/>
    <mergeCell ref="AN1110:AO1110"/>
    <mergeCell ref="AP1110:AQ1110"/>
    <mergeCell ref="AR1110:AS1110"/>
    <mergeCell ref="AT1110:AU1110"/>
    <mergeCell ref="AV1110:AW1110"/>
    <mergeCell ref="AX1110:AZ1110"/>
    <mergeCell ref="BA1110:BB1110"/>
    <mergeCell ref="B1110:C1110"/>
    <mergeCell ref="D1110:E1110"/>
    <mergeCell ref="F1110:G1110"/>
    <mergeCell ref="H1110:I1110"/>
    <mergeCell ref="P1110:Q1110"/>
    <mergeCell ref="R1110:S1110"/>
    <mergeCell ref="T1110:U1110"/>
    <mergeCell ref="B1111:C1111"/>
    <mergeCell ref="D1111:E1111"/>
    <mergeCell ref="F1111:G1111"/>
    <mergeCell ref="H1111:I1111"/>
    <mergeCell ref="J1111:K1111"/>
    <mergeCell ref="L1111:M1111"/>
    <mergeCell ref="P1111:Q1111"/>
    <mergeCell ref="AX1111:AZ1111"/>
    <mergeCell ref="BA1111:BB1111"/>
    <mergeCell ref="BD1111:BE1111"/>
    <mergeCell ref="BF1111:BI1111"/>
    <mergeCell ref="BJ1111:BM1111"/>
    <mergeCell ref="BN1111:BV1111"/>
    <mergeCell ref="AN1111:AO1111"/>
    <mergeCell ref="AP1111:AQ1111"/>
    <mergeCell ref="AR1111:AS1111"/>
    <mergeCell ref="AT1111:AU1111"/>
    <mergeCell ref="AV1111:AW1111"/>
    <mergeCell ref="R1111:S1111"/>
    <mergeCell ref="T1111:U1111"/>
    <mergeCell ref="V1111:W1111"/>
    <mergeCell ref="X1111:AA1111"/>
    <mergeCell ref="AB1111:AE1111"/>
    <mergeCell ref="AF1111:AG1111"/>
    <mergeCell ref="AH1111:AI1111"/>
    <mergeCell ref="AJ1111:AK1111"/>
    <mergeCell ref="AL1111:AM1111"/>
    <mergeCell ref="V1108:W1108"/>
    <mergeCell ref="X1108:AA1108"/>
    <mergeCell ref="AB1108:AE1108"/>
    <mergeCell ref="AF1108:AG1108"/>
    <mergeCell ref="AH1108:AI1108"/>
    <mergeCell ref="AJ1108:AK1108"/>
    <mergeCell ref="AL1108:AM1108"/>
    <mergeCell ref="BD1108:BE1108"/>
    <mergeCell ref="BF1108:BI1108"/>
    <mergeCell ref="BJ1108:BM1108"/>
    <mergeCell ref="BN1108:BV1108"/>
    <mergeCell ref="AN1108:AO1108"/>
    <mergeCell ref="AP1108:AQ1108"/>
    <mergeCell ref="AR1108:AS1108"/>
    <mergeCell ref="AT1108:AU1108"/>
    <mergeCell ref="AV1108:AW1108"/>
    <mergeCell ref="AX1108:AZ1108"/>
    <mergeCell ref="BA1108:BB1108"/>
    <mergeCell ref="B1108:C1108"/>
    <mergeCell ref="D1108:E1108"/>
    <mergeCell ref="F1108:G1108"/>
    <mergeCell ref="H1108:I1108"/>
    <mergeCell ref="P1108:Q1108"/>
    <mergeCell ref="R1108:S1108"/>
    <mergeCell ref="T1108:U1108"/>
    <mergeCell ref="B1109:C1109"/>
    <mergeCell ref="D1109:E1109"/>
    <mergeCell ref="F1109:G1109"/>
    <mergeCell ref="H1109:I1109"/>
    <mergeCell ref="J1109:K1109"/>
    <mergeCell ref="L1109:M1109"/>
    <mergeCell ref="P1109:Q1109"/>
    <mergeCell ref="AX1109:AZ1109"/>
    <mergeCell ref="BA1109:BB1109"/>
    <mergeCell ref="BD1109:BE1109"/>
    <mergeCell ref="BF1109:BI1109"/>
    <mergeCell ref="BJ1109:BM1109"/>
    <mergeCell ref="BN1109:BV1109"/>
    <mergeCell ref="AN1109:AO1109"/>
    <mergeCell ref="AP1109:AQ1109"/>
    <mergeCell ref="AR1109:AS1109"/>
    <mergeCell ref="AT1109:AU1109"/>
    <mergeCell ref="AV1109:AW1109"/>
    <mergeCell ref="R1109:S1109"/>
    <mergeCell ref="T1109:U1109"/>
    <mergeCell ref="V1109:W1109"/>
    <mergeCell ref="X1109:AA1109"/>
    <mergeCell ref="AB1109:AE1109"/>
    <mergeCell ref="AF1109:AG1109"/>
    <mergeCell ref="AH1109:AI1109"/>
    <mergeCell ref="AJ1109:AK1109"/>
    <mergeCell ref="AL1109:AM1109"/>
    <mergeCell ref="V1106:W1106"/>
    <mergeCell ref="X1106:AA1106"/>
    <mergeCell ref="AB1106:AE1106"/>
    <mergeCell ref="AF1106:AG1106"/>
    <mergeCell ref="AH1106:AI1106"/>
    <mergeCell ref="AJ1106:AK1106"/>
    <mergeCell ref="AL1106:AM1106"/>
    <mergeCell ref="BD1106:BE1106"/>
    <mergeCell ref="BF1106:BI1106"/>
    <mergeCell ref="BJ1106:BM1106"/>
    <mergeCell ref="BN1106:BV1106"/>
    <mergeCell ref="AN1106:AO1106"/>
    <mergeCell ref="AP1106:AQ1106"/>
    <mergeCell ref="AR1106:AS1106"/>
    <mergeCell ref="AT1106:AU1106"/>
    <mergeCell ref="AV1106:AW1106"/>
    <mergeCell ref="AX1106:AZ1106"/>
    <mergeCell ref="BA1106:BB1106"/>
    <mergeCell ref="B1106:C1106"/>
    <mergeCell ref="D1106:E1106"/>
    <mergeCell ref="F1106:G1106"/>
    <mergeCell ref="H1106:I1106"/>
    <mergeCell ref="P1106:Q1106"/>
    <mergeCell ref="R1106:S1106"/>
    <mergeCell ref="T1106:U1106"/>
    <mergeCell ref="B1107:C1107"/>
    <mergeCell ref="D1107:E1107"/>
    <mergeCell ref="F1107:G1107"/>
    <mergeCell ref="H1107:I1107"/>
    <mergeCell ref="J1107:K1107"/>
    <mergeCell ref="L1107:M1107"/>
    <mergeCell ref="P1107:Q1107"/>
    <mergeCell ref="AX1107:AZ1107"/>
    <mergeCell ref="BA1107:BB1107"/>
    <mergeCell ref="BD1107:BE1107"/>
    <mergeCell ref="BF1107:BI1107"/>
    <mergeCell ref="BJ1107:BM1107"/>
    <mergeCell ref="BN1107:BV1107"/>
    <mergeCell ref="AN1107:AO1107"/>
    <mergeCell ref="AP1107:AQ1107"/>
    <mergeCell ref="AR1107:AS1107"/>
    <mergeCell ref="AT1107:AU1107"/>
    <mergeCell ref="AV1107:AW1107"/>
    <mergeCell ref="R1107:S1107"/>
    <mergeCell ref="T1107:U1107"/>
    <mergeCell ref="V1107:W1107"/>
    <mergeCell ref="X1107:AA1107"/>
    <mergeCell ref="AB1107:AE1107"/>
    <mergeCell ref="AF1107:AG1107"/>
    <mergeCell ref="AH1107:AI1107"/>
    <mergeCell ref="AJ1107:AK1107"/>
    <mergeCell ref="AL1107:AM1107"/>
    <mergeCell ref="V1104:W1104"/>
    <mergeCell ref="X1104:AA1104"/>
    <mergeCell ref="AB1104:AE1104"/>
    <mergeCell ref="AF1104:AG1104"/>
    <mergeCell ref="AH1104:AI1104"/>
    <mergeCell ref="AJ1104:AK1104"/>
    <mergeCell ref="AL1104:AM1104"/>
    <mergeCell ref="BD1104:BE1104"/>
    <mergeCell ref="BF1104:BI1104"/>
    <mergeCell ref="BJ1104:BM1104"/>
    <mergeCell ref="BN1104:BV1104"/>
    <mergeCell ref="AN1104:AO1104"/>
    <mergeCell ref="AP1104:AQ1104"/>
    <mergeCell ref="AR1104:AS1104"/>
    <mergeCell ref="AT1104:AU1104"/>
    <mergeCell ref="AV1104:AW1104"/>
    <mergeCell ref="AX1104:AZ1104"/>
    <mergeCell ref="BA1104:BB1104"/>
    <mergeCell ref="B1104:C1104"/>
    <mergeCell ref="D1104:E1104"/>
    <mergeCell ref="F1104:G1104"/>
    <mergeCell ref="H1104:I1104"/>
    <mergeCell ref="P1104:Q1104"/>
    <mergeCell ref="R1104:S1104"/>
    <mergeCell ref="T1104:U1104"/>
    <mergeCell ref="B1105:C1105"/>
    <mergeCell ref="D1105:E1105"/>
    <mergeCell ref="F1105:G1105"/>
    <mergeCell ref="H1105:I1105"/>
    <mergeCell ref="J1105:K1105"/>
    <mergeCell ref="L1105:M1105"/>
    <mergeCell ref="P1105:Q1105"/>
    <mergeCell ref="AX1105:AZ1105"/>
    <mergeCell ref="BA1105:BB1105"/>
    <mergeCell ref="BD1105:BE1105"/>
    <mergeCell ref="BF1105:BI1105"/>
    <mergeCell ref="BJ1105:BM1105"/>
    <mergeCell ref="BN1105:BV1105"/>
    <mergeCell ref="AN1105:AO1105"/>
    <mergeCell ref="AP1105:AQ1105"/>
    <mergeCell ref="AR1105:AS1105"/>
    <mergeCell ref="AT1105:AU1105"/>
    <mergeCell ref="AV1105:AW1105"/>
    <mergeCell ref="R1105:S1105"/>
    <mergeCell ref="T1105:U1105"/>
    <mergeCell ref="V1105:W1105"/>
    <mergeCell ref="X1105:AA1105"/>
    <mergeCell ref="AB1105:AE1105"/>
    <mergeCell ref="AF1105:AG1105"/>
    <mergeCell ref="AH1105:AI1105"/>
    <mergeCell ref="AJ1105:AK1105"/>
    <mergeCell ref="AL1105:AM1105"/>
    <mergeCell ref="R1102:S1102"/>
    <mergeCell ref="T1102:U1102"/>
    <mergeCell ref="V1102:W1102"/>
    <mergeCell ref="X1102:AA1102"/>
    <mergeCell ref="AB1102:AE1102"/>
    <mergeCell ref="AF1102:AG1102"/>
    <mergeCell ref="AH1102:AI1102"/>
    <mergeCell ref="AX1102:AZ1102"/>
    <mergeCell ref="BA1102:BB1102"/>
    <mergeCell ref="BD1102:BE1102"/>
    <mergeCell ref="BF1102:BI1102"/>
    <mergeCell ref="BJ1102:BM1102"/>
    <mergeCell ref="BN1102:BV1102"/>
    <mergeCell ref="BJ1103:BM1103"/>
    <mergeCell ref="BN1103:BV1103"/>
    <mergeCell ref="B1102:C1102"/>
    <mergeCell ref="D1102:E1102"/>
    <mergeCell ref="F1102:G1102"/>
    <mergeCell ref="H1102:I1102"/>
    <mergeCell ref="J1102:K1102"/>
    <mergeCell ref="L1102:M1102"/>
    <mergeCell ref="P1102:Q1102"/>
    <mergeCell ref="B1103:C1103"/>
    <mergeCell ref="D1103:E1103"/>
    <mergeCell ref="F1103:G1103"/>
    <mergeCell ref="H1103:I1103"/>
    <mergeCell ref="J1103:K1103"/>
    <mergeCell ref="L1103:M1103"/>
    <mergeCell ref="P1103:Q1103"/>
    <mergeCell ref="AJ1102:AK1102"/>
    <mergeCell ref="AL1102:AM1102"/>
    <mergeCell ref="AN1102:AO1102"/>
    <mergeCell ref="AP1102:AQ1102"/>
    <mergeCell ref="AR1102:AS1102"/>
    <mergeCell ref="AT1102:AU1102"/>
    <mergeCell ref="AV1102:AW1102"/>
    <mergeCell ref="R1103:S1103"/>
    <mergeCell ref="T1103:U1103"/>
    <mergeCell ref="V1103:W1103"/>
    <mergeCell ref="X1103:AA1103"/>
    <mergeCell ref="AB1103:AE1103"/>
    <mergeCell ref="AF1103:AG1103"/>
    <mergeCell ref="AH1103:AI1103"/>
    <mergeCell ref="AJ1103:AK1103"/>
    <mergeCell ref="AL1103:AM1103"/>
    <mergeCell ref="BD1103:BE1103"/>
    <mergeCell ref="BF1103:BI1103"/>
    <mergeCell ref="AN1103:AO1103"/>
    <mergeCell ref="AP1103:AQ1103"/>
    <mergeCell ref="AR1103:AS1103"/>
    <mergeCell ref="AT1103:AU1103"/>
    <mergeCell ref="AV1103:AW1103"/>
    <mergeCell ref="AX1103:AZ1103"/>
    <mergeCell ref="BA1103:BB1103"/>
    <mergeCell ref="BJ1068:BM1068"/>
    <mergeCell ref="BN1068:BV1068"/>
    <mergeCell ref="BJ1069:BM1069"/>
    <mergeCell ref="BN1069:BV1069"/>
    <mergeCell ref="B1068:C1068"/>
    <mergeCell ref="D1068:E1068"/>
    <mergeCell ref="F1068:G1068"/>
    <mergeCell ref="H1068:I1068"/>
    <mergeCell ref="J1068:K1068"/>
    <mergeCell ref="L1068:M1068"/>
    <mergeCell ref="P1068:Q1068"/>
    <mergeCell ref="B1069:C1069"/>
    <mergeCell ref="D1069:E1069"/>
    <mergeCell ref="F1069:G1069"/>
    <mergeCell ref="H1069:I1069"/>
    <mergeCell ref="J1069:K1069"/>
    <mergeCell ref="L1069:M1069"/>
    <mergeCell ref="P1069:Q1069"/>
    <mergeCell ref="AJ1068:AK1068"/>
    <mergeCell ref="AL1068:AM1068"/>
    <mergeCell ref="AN1068:AO1068"/>
    <mergeCell ref="AP1068:AQ1068"/>
    <mergeCell ref="AR1068:AS1068"/>
    <mergeCell ref="AT1068:AU1068"/>
    <mergeCell ref="AV1068:AW1068"/>
    <mergeCell ref="AJ1101:AK1101"/>
    <mergeCell ref="AL1101:AM1101"/>
    <mergeCell ref="R1101:S1101"/>
    <mergeCell ref="T1101:U1101"/>
    <mergeCell ref="V1101:W1101"/>
    <mergeCell ref="X1101:AA1101"/>
    <mergeCell ref="AB1101:AE1101"/>
    <mergeCell ref="AF1101:AG1101"/>
    <mergeCell ref="AH1101:AI1101"/>
    <mergeCell ref="BJ1097:BM1097"/>
    <mergeCell ref="BN1097:BV1097"/>
    <mergeCell ref="B1098:C1098"/>
    <mergeCell ref="D1098:E1098"/>
    <mergeCell ref="F1098:G1098"/>
    <mergeCell ref="H1098:I1098"/>
    <mergeCell ref="J1098:K1098"/>
    <mergeCell ref="L1098:M1098"/>
    <mergeCell ref="P1098:Q1098"/>
    <mergeCell ref="R1100:S1100"/>
    <mergeCell ref="T1100:U1100"/>
    <mergeCell ref="V1100:W1100"/>
    <mergeCell ref="X1100:AA1100"/>
    <mergeCell ref="AB1100:AE1100"/>
    <mergeCell ref="AF1100:AG1100"/>
    <mergeCell ref="AH1100:AI1100"/>
    <mergeCell ref="B1100:C1100"/>
    <mergeCell ref="D1100:E1100"/>
    <mergeCell ref="F1100:G1100"/>
    <mergeCell ref="H1100:I1100"/>
    <mergeCell ref="J1100:K1100"/>
    <mergeCell ref="L1100:M1100"/>
    <mergeCell ref="P1100:Q1100"/>
    <mergeCell ref="BD1101:BE1101"/>
    <mergeCell ref="BF1101:BI1101"/>
    <mergeCell ref="AN1101:AO1101"/>
    <mergeCell ref="AP1101:AQ1101"/>
    <mergeCell ref="AR1101:AS1101"/>
    <mergeCell ref="AT1101:AU1101"/>
    <mergeCell ref="AV1101:AW1101"/>
    <mergeCell ref="P1066:Q1066"/>
    <mergeCell ref="B1067:C1067"/>
    <mergeCell ref="D1067:E1067"/>
    <mergeCell ref="F1067:G1067"/>
    <mergeCell ref="H1067:I1067"/>
    <mergeCell ref="J1067:K1067"/>
    <mergeCell ref="L1067:M1067"/>
    <mergeCell ref="P1067:Q1067"/>
    <mergeCell ref="AJ1066:AK1066"/>
    <mergeCell ref="AL1066:AM1066"/>
    <mergeCell ref="AN1066:AO1066"/>
    <mergeCell ref="AP1066:AQ1066"/>
    <mergeCell ref="AR1066:AS1066"/>
    <mergeCell ref="AT1066:AU1066"/>
    <mergeCell ref="AV1066:AW1066"/>
    <mergeCell ref="BD1069:BE1069"/>
    <mergeCell ref="BF1069:BI1069"/>
    <mergeCell ref="AN1069:AO1069"/>
    <mergeCell ref="AP1069:AQ1069"/>
    <mergeCell ref="AR1069:AS1069"/>
    <mergeCell ref="AT1069:AU1069"/>
    <mergeCell ref="AV1069:AW1069"/>
    <mergeCell ref="AX1069:AZ1069"/>
    <mergeCell ref="BA1069:BB1069"/>
    <mergeCell ref="AJ1067:AK1067"/>
    <mergeCell ref="AL1067:AM1067"/>
    <mergeCell ref="R1067:S1067"/>
    <mergeCell ref="T1067:U1067"/>
    <mergeCell ref="V1067:W1067"/>
    <mergeCell ref="X1067:AA1067"/>
    <mergeCell ref="AB1067:AE1067"/>
    <mergeCell ref="AF1067:AG1067"/>
    <mergeCell ref="AH1067:AI1067"/>
    <mergeCell ref="R1068:S1068"/>
    <mergeCell ref="T1068:U1068"/>
    <mergeCell ref="V1068:W1068"/>
    <mergeCell ref="X1068:AA1068"/>
    <mergeCell ref="AB1068:AE1068"/>
    <mergeCell ref="AF1068:AG1068"/>
    <mergeCell ref="AH1068:AI1068"/>
    <mergeCell ref="AX1068:AZ1068"/>
    <mergeCell ref="BA1068:BB1068"/>
    <mergeCell ref="BD1068:BE1068"/>
    <mergeCell ref="BF1068:BI1068"/>
    <mergeCell ref="AJ1069:AK1069"/>
    <mergeCell ref="AL1069:AM1069"/>
    <mergeCell ref="R1069:S1069"/>
    <mergeCell ref="T1069:U1069"/>
    <mergeCell ref="V1069:W1069"/>
    <mergeCell ref="X1069:AA1069"/>
    <mergeCell ref="AB1069:AE1069"/>
    <mergeCell ref="AF1069:AG1069"/>
    <mergeCell ref="AH1069:AI1069"/>
    <mergeCell ref="BJ1064:BM1064"/>
    <mergeCell ref="BN1064:BV1064"/>
    <mergeCell ref="BJ1065:BM1065"/>
    <mergeCell ref="BN1065:BV1065"/>
    <mergeCell ref="B1064:C1064"/>
    <mergeCell ref="D1064:E1064"/>
    <mergeCell ref="F1064:G1064"/>
    <mergeCell ref="H1064:I1064"/>
    <mergeCell ref="J1064:K1064"/>
    <mergeCell ref="L1064:M1064"/>
    <mergeCell ref="P1064:Q1064"/>
    <mergeCell ref="B1065:C1065"/>
    <mergeCell ref="D1065:E1065"/>
    <mergeCell ref="F1065:G1065"/>
    <mergeCell ref="H1065:I1065"/>
    <mergeCell ref="J1065:K1065"/>
    <mergeCell ref="L1065:M1065"/>
    <mergeCell ref="P1065:Q1065"/>
    <mergeCell ref="AJ1064:AK1064"/>
    <mergeCell ref="AL1064:AM1064"/>
    <mergeCell ref="AN1064:AO1064"/>
    <mergeCell ref="AP1064:AQ1064"/>
    <mergeCell ref="AR1064:AS1064"/>
    <mergeCell ref="AT1064:AU1064"/>
    <mergeCell ref="AV1064:AW1064"/>
    <mergeCell ref="BD1067:BE1067"/>
    <mergeCell ref="BF1067:BI1067"/>
    <mergeCell ref="AN1067:AO1067"/>
    <mergeCell ref="AP1067:AQ1067"/>
    <mergeCell ref="AR1067:AS1067"/>
    <mergeCell ref="AT1067:AU1067"/>
    <mergeCell ref="AV1067:AW1067"/>
    <mergeCell ref="AX1067:AZ1067"/>
    <mergeCell ref="BA1067:BB1067"/>
    <mergeCell ref="AJ1065:AK1065"/>
    <mergeCell ref="AL1065:AM1065"/>
    <mergeCell ref="R1065:S1065"/>
    <mergeCell ref="T1065:U1065"/>
    <mergeCell ref="V1065:W1065"/>
    <mergeCell ref="X1065:AA1065"/>
    <mergeCell ref="AB1065:AE1065"/>
    <mergeCell ref="AF1065:AG1065"/>
    <mergeCell ref="AH1065:AI1065"/>
    <mergeCell ref="R1066:S1066"/>
    <mergeCell ref="T1066:U1066"/>
    <mergeCell ref="V1066:W1066"/>
    <mergeCell ref="X1066:AA1066"/>
    <mergeCell ref="AB1066:AE1066"/>
    <mergeCell ref="AF1066:AG1066"/>
    <mergeCell ref="AH1066:AI1066"/>
    <mergeCell ref="AX1066:AZ1066"/>
    <mergeCell ref="BA1066:BB1066"/>
    <mergeCell ref="BD1066:BE1066"/>
    <mergeCell ref="BF1066:BI1066"/>
    <mergeCell ref="BJ1066:BM1066"/>
    <mergeCell ref="BN1066:BV1066"/>
    <mergeCell ref="BJ1067:BM1067"/>
    <mergeCell ref="BN1067:BV1067"/>
    <mergeCell ref="B1066:C1066"/>
    <mergeCell ref="D1066:E1066"/>
    <mergeCell ref="F1066:G1066"/>
    <mergeCell ref="H1066:I1066"/>
    <mergeCell ref="J1066:K1066"/>
    <mergeCell ref="L1066:M1066"/>
    <mergeCell ref="P1062:Q1062"/>
    <mergeCell ref="B1063:C1063"/>
    <mergeCell ref="D1063:E1063"/>
    <mergeCell ref="F1063:G1063"/>
    <mergeCell ref="H1063:I1063"/>
    <mergeCell ref="J1063:K1063"/>
    <mergeCell ref="L1063:M1063"/>
    <mergeCell ref="P1063:Q1063"/>
    <mergeCell ref="AJ1062:AK1062"/>
    <mergeCell ref="AL1062:AM1062"/>
    <mergeCell ref="AN1062:AO1062"/>
    <mergeCell ref="AP1062:AQ1062"/>
    <mergeCell ref="AR1062:AS1062"/>
    <mergeCell ref="AT1062:AU1062"/>
    <mergeCell ref="AV1062:AW1062"/>
    <mergeCell ref="BD1065:BE1065"/>
    <mergeCell ref="BF1065:BI1065"/>
    <mergeCell ref="AN1065:AO1065"/>
    <mergeCell ref="AP1065:AQ1065"/>
    <mergeCell ref="AR1065:AS1065"/>
    <mergeCell ref="AT1065:AU1065"/>
    <mergeCell ref="AV1065:AW1065"/>
    <mergeCell ref="AX1065:AZ1065"/>
    <mergeCell ref="BA1065:BB1065"/>
    <mergeCell ref="AJ1063:AK1063"/>
    <mergeCell ref="AL1063:AM1063"/>
    <mergeCell ref="R1063:S1063"/>
    <mergeCell ref="T1063:U1063"/>
    <mergeCell ref="V1063:W1063"/>
    <mergeCell ref="X1063:AA1063"/>
    <mergeCell ref="AB1063:AE1063"/>
    <mergeCell ref="AF1063:AG1063"/>
    <mergeCell ref="AH1063:AI1063"/>
    <mergeCell ref="R1064:S1064"/>
    <mergeCell ref="T1064:U1064"/>
    <mergeCell ref="V1064:W1064"/>
    <mergeCell ref="X1064:AA1064"/>
    <mergeCell ref="AB1064:AE1064"/>
    <mergeCell ref="AF1064:AG1064"/>
    <mergeCell ref="AH1064:AI1064"/>
    <mergeCell ref="AX1064:AZ1064"/>
    <mergeCell ref="BA1064:BB1064"/>
    <mergeCell ref="BD1064:BE1064"/>
    <mergeCell ref="BF1064:BI1064"/>
    <mergeCell ref="BJ1060:BM1060"/>
    <mergeCell ref="BN1060:BV1060"/>
    <mergeCell ref="BJ1061:BM1061"/>
    <mergeCell ref="BN1061:BV1061"/>
    <mergeCell ref="B1060:C1060"/>
    <mergeCell ref="D1060:E1060"/>
    <mergeCell ref="F1060:G1060"/>
    <mergeCell ref="H1060:I1060"/>
    <mergeCell ref="J1060:K1060"/>
    <mergeCell ref="L1060:M1060"/>
    <mergeCell ref="P1060:Q1060"/>
    <mergeCell ref="B1061:C1061"/>
    <mergeCell ref="D1061:E1061"/>
    <mergeCell ref="F1061:G1061"/>
    <mergeCell ref="H1061:I1061"/>
    <mergeCell ref="J1061:K1061"/>
    <mergeCell ref="L1061:M1061"/>
    <mergeCell ref="P1061:Q1061"/>
    <mergeCell ref="AJ1060:AK1060"/>
    <mergeCell ref="AL1060:AM1060"/>
    <mergeCell ref="AN1060:AO1060"/>
    <mergeCell ref="AP1060:AQ1060"/>
    <mergeCell ref="AR1060:AS1060"/>
    <mergeCell ref="AT1060:AU1060"/>
    <mergeCell ref="AV1060:AW1060"/>
    <mergeCell ref="BD1063:BE1063"/>
    <mergeCell ref="BF1063:BI1063"/>
    <mergeCell ref="AN1063:AO1063"/>
    <mergeCell ref="AP1063:AQ1063"/>
    <mergeCell ref="AR1063:AS1063"/>
    <mergeCell ref="AT1063:AU1063"/>
    <mergeCell ref="AV1063:AW1063"/>
    <mergeCell ref="AX1063:AZ1063"/>
    <mergeCell ref="BA1063:BB1063"/>
    <mergeCell ref="AJ1061:AK1061"/>
    <mergeCell ref="AL1061:AM1061"/>
    <mergeCell ref="R1061:S1061"/>
    <mergeCell ref="T1061:U1061"/>
    <mergeCell ref="V1061:W1061"/>
    <mergeCell ref="X1061:AA1061"/>
    <mergeCell ref="AB1061:AE1061"/>
    <mergeCell ref="AF1061:AG1061"/>
    <mergeCell ref="AH1061:AI1061"/>
    <mergeCell ref="R1062:S1062"/>
    <mergeCell ref="T1062:U1062"/>
    <mergeCell ref="V1062:W1062"/>
    <mergeCell ref="X1062:AA1062"/>
    <mergeCell ref="AB1062:AE1062"/>
    <mergeCell ref="AF1062:AG1062"/>
    <mergeCell ref="AH1062:AI1062"/>
    <mergeCell ref="AX1062:AZ1062"/>
    <mergeCell ref="BA1062:BB1062"/>
    <mergeCell ref="BD1062:BE1062"/>
    <mergeCell ref="BF1062:BI1062"/>
    <mergeCell ref="BJ1062:BM1062"/>
    <mergeCell ref="BN1062:BV1062"/>
    <mergeCell ref="BJ1063:BM1063"/>
    <mergeCell ref="BN1063:BV1063"/>
    <mergeCell ref="B1062:C1062"/>
    <mergeCell ref="D1062:E1062"/>
    <mergeCell ref="F1062:G1062"/>
    <mergeCell ref="H1062:I1062"/>
    <mergeCell ref="J1062:K1062"/>
    <mergeCell ref="L1062:M1062"/>
    <mergeCell ref="B1058:C1058"/>
    <mergeCell ref="D1058:E1058"/>
    <mergeCell ref="F1058:G1058"/>
    <mergeCell ref="H1058:I1058"/>
    <mergeCell ref="J1058:K1058"/>
    <mergeCell ref="L1058:M1058"/>
    <mergeCell ref="P1058:Q1058"/>
    <mergeCell ref="B1059:C1059"/>
    <mergeCell ref="D1059:E1059"/>
    <mergeCell ref="F1059:G1059"/>
    <mergeCell ref="H1059:I1059"/>
    <mergeCell ref="J1059:K1059"/>
    <mergeCell ref="L1059:M1059"/>
    <mergeCell ref="P1059:Q1059"/>
    <mergeCell ref="AJ1058:AK1058"/>
    <mergeCell ref="AL1058:AM1058"/>
    <mergeCell ref="AN1058:AO1058"/>
    <mergeCell ref="AP1058:AQ1058"/>
    <mergeCell ref="AR1058:AS1058"/>
    <mergeCell ref="AT1058:AU1058"/>
    <mergeCell ref="AV1058:AW1058"/>
    <mergeCell ref="BD1061:BE1061"/>
    <mergeCell ref="BF1061:BI1061"/>
    <mergeCell ref="AN1061:AO1061"/>
    <mergeCell ref="AP1061:AQ1061"/>
    <mergeCell ref="AR1061:AS1061"/>
    <mergeCell ref="AT1061:AU1061"/>
    <mergeCell ref="AV1061:AW1061"/>
    <mergeCell ref="AX1061:AZ1061"/>
    <mergeCell ref="BA1061:BB1061"/>
    <mergeCell ref="AJ1059:AK1059"/>
    <mergeCell ref="AL1059:AM1059"/>
    <mergeCell ref="R1059:S1059"/>
    <mergeCell ref="T1059:U1059"/>
    <mergeCell ref="V1059:W1059"/>
    <mergeCell ref="X1059:AA1059"/>
    <mergeCell ref="AB1059:AE1059"/>
    <mergeCell ref="AF1059:AG1059"/>
    <mergeCell ref="AH1059:AI1059"/>
    <mergeCell ref="R1060:S1060"/>
    <mergeCell ref="T1060:U1060"/>
    <mergeCell ref="V1060:W1060"/>
    <mergeCell ref="X1060:AA1060"/>
    <mergeCell ref="AB1060:AE1060"/>
    <mergeCell ref="AF1060:AG1060"/>
    <mergeCell ref="AH1060:AI1060"/>
    <mergeCell ref="AX1060:AZ1060"/>
    <mergeCell ref="BA1060:BB1060"/>
    <mergeCell ref="BD1060:BE1060"/>
    <mergeCell ref="BF1060:BI1060"/>
    <mergeCell ref="BD1059:BE1059"/>
    <mergeCell ref="BF1059:BI1059"/>
    <mergeCell ref="AN1059:AO1059"/>
    <mergeCell ref="AP1059:AQ1059"/>
    <mergeCell ref="AR1059:AS1059"/>
    <mergeCell ref="AT1059:AU1059"/>
    <mergeCell ref="AV1059:AW1059"/>
    <mergeCell ref="AX1059:AZ1059"/>
    <mergeCell ref="BA1059:BB1059"/>
    <mergeCell ref="AJ1057:AK1057"/>
    <mergeCell ref="AL1057:AM1057"/>
    <mergeCell ref="R1057:S1057"/>
    <mergeCell ref="T1057:U1057"/>
    <mergeCell ref="V1057:W1057"/>
    <mergeCell ref="X1057:AA1057"/>
    <mergeCell ref="AB1057:AE1057"/>
    <mergeCell ref="AF1057:AG1057"/>
    <mergeCell ref="AH1057:AI1057"/>
    <mergeCell ref="R1058:S1058"/>
    <mergeCell ref="T1058:U1058"/>
    <mergeCell ref="V1058:W1058"/>
    <mergeCell ref="X1058:AA1058"/>
    <mergeCell ref="AB1058:AE1058"/>
    <mergeCell ref="AF1058:AG1058"/>
    <mergeCell ref="AH1058:AI1058"/>
    <mergeCell ref="AX1058:AZ1058"/>
    <mergeCell ref="BA1058:BB1058"/>
    <mergeCell ref="BD1058:BE1058"/>
    <mergeCell ref="BF1058:BI1058"/>
    <mergeCell ref="BJ1058:BM1058"/>
    <mergeCell ref="BN1058:BV1058"/>
    <mergeCell ref="BJ1059:BM1059"/>
    <mergeCell ref="BN1059:BV1059"/>
    <mergeCell ref="B1092:C1092"/>
    <mergeCell ref="D1092:E1092"/>
    <mergeCell ref="F1092:G1092"/>
    <mergeCell ref="H1092:I1092"/>
    <mergeCell ref="J1092:K1092"/>
    <mergeCell ref="L1092:M1092"/>
    <mergeCell ref="P1092:Q1092"/>
    <mergeCell ref="AJ1091:AK1091"/>
    <mergeCell ref="AL1091:AM1091"/>
    <mergeCell ref="AN1091:AO1091"/>
    <mergeCell ref="AP1091:AQ1091"/>
    <mergeCell ref="AR1091:AS1091"/>
    <mergeCell ref="AT1091:AU1091"/>
    <mergeCell ref="AV1091:AW1091"/>
    <mergeCell ref="AX1090:AZ1090"/>
    <mergeCell ref="BA1090:BB1090"/>
    <mergeCell ref="BD1090:BE1090"/>
    <mergeCell ref="BF1090:BI1090"/>
    <mergeCell ref="BJ1090:BM1090"/>
    <mergeCell ref="BN1090:BV1090"/>
    <mergeCell ref="AJ1090:AK1090"/>
    <mergeCell ref="AL1090:AM1090"/>
    <mergeCell ref="AN1090:AO1090"/>
    <mergeCell ref="AP1090:AQ1090"/>
    <mergeCell ref="AR1090:AS1090"/>
    <mergeCell ref="AT1090:AU1090"/>
    <mergeCell ref="AV1090:AW1090"/>
    <mergeCell ref="B1090:C1090"/>
    <mergeCell ref="D1090:E1090"/>
    <mergeCell ref="F1090:G1090"/>
    <mergeCell ref="H1090:I1090"/>
    <mergeCell ref="J1090:K1090"/>
    <mergeCell ref="L1090:M1090"/>
    <mergeCell ref="P1090:Q1090"/>
    <mergeCell ref="BJ1089:BM1089"/>
    <mergeCell ref="BN1089:BV1089"/>
    <mergeCell ref="AJ1092:AK1092"/>
    <mergeCell ref="AL1092:AM1092"/>
    <mergeCell ref="R1092:S1092"/>
    <mergeCell ref="T1092:U1092"/>
    <mergeCell ref="BD1094:BE1094"/>
    <mergeCell ref="BF1094:BI1094"/>
    <mergeCell ref="AN1094:AO1094"/>
    <mergeCell ref="AP1094:AQ1094"/>
    <mergeCell ref="AR1094:AS1094"/>
    <mergeCell ref="AT1094:AU1094"/>
    <mergeCell ref="AV1094:AW1094"/>
    <mergeCell ref="AX1094:AZ1094"/>
    <mergeCell ref="BA1094:BB1094"/>
    <mergeCell ref="AJ1098:AK1098"/>
    <mergeCell ref="AL1098:AM1098"/>
    <mergeCell ref="BJ1098:BM1098"/>
    <mergeCell ref="BN1098:BV1098"/>
    <mergeCell ref="R1098:S1098"/>
    <mergeCell ref="T1098:U1098"/>
    <mergeCell ref="V1098:W1098"/>
    <mergeCell ref="X1098:AA1098"/>
    <mergeCell ref="AB1098:AE1098"/>
    <mergeCell ref="AF1098:AG1098"/>
    <mergeCell ref="AH1098:AI1098"/>
    <mergeCell ref="BJ1088:BM1088"/>
    <mergeCell ref="BN1088:BV1088"/>
    <mergeCell ref="B1088:C1088"/>
    <mergeCell ref="D1088:E1088"/>
    <mergeCell ref="F1088:G1088"/>
    <mergeCell ref="H1088:I1088"/>
    <mergeCell ref="J1088:K1088"/>
    <mergeCell ref="L1088:M1088"/>
    <mergeCell ref="P1088:Q1088"/>
    <mergeCell ref="AJ1088:AK1088"/>
    <mergeCell ref="AL1088:AM1088"/>
    <mergeCell ref="AN1088:AO1088"/>
    <mergeCell ref="AP1088:AQ1088"/>
    <mergeCell ref="AR1088:AS1088"/>
    <mergeCell ref="AT1088:AU1088"/>
    <mergeCell ref="AV1088:AW1088"/>
    <mergeCell ref="B1089:C1089"/>
    <mergeCell ref="D1089:E1089"/>
    <mergeCell ref="F1089:G1089"/>
    <mergeCell ref="H1089:I1089"/>
    <mergeCell ref="J1089:K1089"/>
    <mergeCell ref="L1089:M1089"/>
    <mergeCell ref="P1089:Q1089"/>
    <mergeCell ref="R1091:S1091"/>
    <mergeCell ref="T1091:U1091"/>
    <mergeCell ref="V1091:W1091"/>
    <mergeCell ref="X1091:AA1091"/>
    <mergeCell ref="AB1091:AE1091"/>
    <mergeCell ref="AF1091:AG1091"/>
    <mergeCell ref="AH1091:AI1091"/>
    <mergeCell ref="B1091:C1091"/>
    <mergeCell ref="D1091:E1091"/>
    <mergeCell ref="F1091:G1091"/>
    <mergeCell ref="H1091:I1091"/>
    <mergeCell ref="J1091:K1091"/>
    <mergeCell ref="L1091:M1091"/>
    <mergeCell ref="P1091:Q1091"/>
    <mergeCell ref="R1090:S1090"/>
    <mergeCell ref="T1090:U1090"/>
    <mergeCell ref="V1090:W1090"/>
    <mergeCell ref="X1090:AA1090"/>
    <mergeCell ref="AB1090:AE1090"/>
    <mergeCell ref="AF1090:AG1090"/>
    <mergeCell ref="AH1090:AI1090"/>
    <mergeCell ref="D1096:E1096"/>
    <mergeCell ref="F1096:G1096"/>
    <mergeCell ref="H1096:I1096"/>
    <mergeCell ref="J1096:K1096"/>
    <mergeCell ref="L1096:M1096"/>
    <mergeCell ref="P1096:Q1096"/>
    <mergeCell ref="AJ1095:AK1095"/>
    <mergeCell ref="AL1095:AM1095"/>
    <mergeCell ref="AN1095:AO1095"/>
    <mergeCell ref="AP1095:AQ1095"/>
    <mergeCell ref="AR1095:AS1095"/>
    <mergeCell ref="AT1095:AU1095"/>
    <mergeCell ref="AV1095:AW1095"/>
    <mergeCell ref="BD1089:BE1089"/>
    <mergeCell ref="BF1089:BI1089"/>
    <mergeCell ref="AN1089:AO1089"/>
    <mergeCell ref="AP1089:AQ1089"/>
    <mergeCell ref="AR1089:AS1089"/>
    <mergeCell ref="AT1089:AU1089"/>
    <mergeCell ref="AV1089:AW1089"/>
    <mergeCell ref="AX1089:AZ1089"/>
    <mergeCell ref="BA1089:BB1089"/>
    <mergeCell ref="AJ1087:AK1087"/>
    <mergeCell ref="AL1087:AM1087"/>
    <mergeCell ref="R1087:S1087"/>
    <mergeCell ref="T1087:U1087"/>
    <mergeCell ref="V1087:W1087"/>
    <mergeCell ref="X1087:AA1087"/>
    <mergeCell ref="AB1087:AE1087"/>
    <mergeCell ref="AF1087:AG1087"/>
    <mergeCell ref="AH1087:AI1087"/>
    <mergeCell ref="R1088:S1088"/>
    <mergeCell ref="T1088:U1088"/>
    <mergeCell ref="V1088:W1088"/>
    <mergeCell ref="X1088:AA1088"/>
    <mergeCell ref="AB1088:AE1088"/>
    <mergeCell ref="AF1088:AG1088"/>
    <mergeCell ref="AH1088:AI1088"/>
    <mergeCell ref="AX1088:AZ1088"/>
    <mergeCell ref="BA1088:BB1088"/>
    <mergeCell ref="BD1088:BE1088"/>
    <mergeCell ref="BF1088:BI1088"/>
    <mergeCell ref="BD1092:BE1092"/>
    <mergeCell ref="BF1092:BI1092"/>
    <mergeCell ref="AN1092:AO1092"/>
    <mergeCell ref="AP1092:AQ1092"/>
    <mergeCell ref="AR1092:AS1092"/>
    <mergeCell ref="AT1092:AU1092"/>
    <mergeCell ref="AV1092:AW1092"/>
    <mergeCell ref="AX1092:AZ1092"/>
    <mergeCell ref="BA1092:BB1092"/>
    <mergeCell ref="AX1091:AZ1091"/>
    <mergeCell ref="BA1091:BB1091"/>
    <mergeCell ref="BD1091:BE1091"/>
    <mergeCell ref="BF1091:BI1091"/>
    <mergeCell ref="AJ1089:AK1089"/>
    <mergeCell ref="AL1089:AM1089"/>
    <mergeCell ref="R1089:S1089"/>
    <mergeCell ref="T1089:U1089"/>
    <mergeCell ref="V1089:W1089"/>
    <mergeCell ref="X1089:AA1089"/>
    <mergeCell ref="AB1089:AE1089"/>
    <mergeCell ref="AF1089:AG1089"/>
    <mergeCell ref="AH1089:AI1089"/>
    <mergeCell ref="BJ1094:BM1094"/>
    <mergeCell ref="BN1094:BV1094"/>
    <mergeCell ref="B1093:C1093"/>
    <mergeCell ref="D1093:E1093"/>
    <mergeCell ref="F1093:G1093"/>
    <mergeCell ref="H1093:I1093"/>
    <mergeCell ref="J1093:K1093"/>
    <mergeCell ref="L1093:M1093"/>
    <mergeCell ref="P1093:Q1093"/>
    <mergeCell ref="B1094:C1094"/>
    <mergeCell ref="D1094:E1094"/>
    <mergeCell ref="F1094:G1094"/>
    <mergeCell ref="H1094:I1094"/>
    <mergeCell ref="J1094:K1094"/>
    <mergeCell ref="L1094:M1094"/>
    <mergeCell ref="P1094:Q1094"/>
    <mergeCell ref="AJ1093:AK1093"/>
    <mergeCell ref="AL1093:AM1093"/>
    <mergeCell ref="AN1093:AO1093"/>
    <mergeCell ref="AP1093:AQ1093"/>
    <mergeCell ref="AR1093:AS1093"/>
    <mergeCell ref="AT1093:AU1093"/>
    <mergeCell ref="AV1093:AW1093"/>
    <mergeCell ref="BD1096:BE1096"/>
    <mergeCell ref="BF1096:BI1096"/>
    <mergeCell ref="AN1096:AO1096"/>
    <mergeCell ref="AP1096:AQ1096"/>
    <mergeCell ref="AR1096:AS1096"/>
    <mergeCell ref="AT1096:AU1096"/>
    <mergeCell ref="AV1096:AW1096"/>
    <mergeCell ref="AX1096:AZ1096"/>
    <mergeCell ref="BA1096:BB1096"/>
    <mergeCell ref="AJ1094:AK1094"/>
    <mergeCell ref="AL1094:AM1094"/>
    <mergeCell ref="R1094:S1094"/>
    <mergeCell ref="T1094:U1094"/>
    <mergeCell ref="V1094:W1094"/>
    <mergeCell ref="X1094:AA1094"/>
    <mergeCell ref="AB1094:AE1094"/>
    <mergeCell ref="AF1094:AG1094"/>
    <mergeCell ref="AH1094:AI1094"/>
    <mergeCell ref="R1095:S1095"/>
    <mergeCell ref="T1095:U1095"/>
    <mergeCell ref="V1095:W1095"/>
    <mergeCell ref="X1095:AA1095"/>
    <mergeCell ref="AB1095:AE1095"/>
    <mergeCell ref="AF1095:AG1095"/>
    <mergeCell ref="AH1095:AI1095"/>
    <mergeCell ref="AX1095:AZ1095"/>
    <mergeCell ref="BA1095:BB1095"/>
    <mergeCell ref="BD1095:BE1095"/>
    <mergeCell ref="BF1095:BI1095"/>
    <mergeCell ref="BJ1095:BM1095"/>
    <mergeCell ref="BN1095:BV1095"/>
    <mergeCell ref="BJ1096:BM1096"/>
    <mergeCell ref="BN1096:BV1096"/>
    <mergeCell ref="B1095:C1095"/>
    <mergeCell ref="D1095:E1095"/>
    <mergeCell ref="F1095:G1095"/>
    <mergeCell ref="H1095:I1095"/>
    <mergeCell ref="J1095:K1095"/>
    <mergeCell ref="L1095:M1095"/>
    <mergeCell ref="P1095:Q1095"/>
    <mergeCell ref="B1096:C1096"/>
    <mergeCell ref="V1092:W1092"/>
    <mergeCell ref="X1092:AA1092"/>
    <mergeCell ref="AB1092:AE1092"/>
    <mergeCell ref="AF1092:AG1092"/>
    <mergeCell ref="AH1092:AI1092"/>
    <mergeCell ref="R1093:S1093"/>
    <mergeCell ref="T1093:U1093"/>
    <mergeCell ref="V1093:W1093"/>
    <mergeCell ref="X1093:AA1093"/>
    <mergeCell ref="AB1093:AE1093"/>
    <mergeCell ref="AF1093:AG1093"/>
    <mergeCell ref="AH1093:AI1093"/>
    <mergeCell ref="AX1093:AZ1093"/>
    <mergeCell ref="BA1093:BB1093"/>
    <mergeCell ref="BD1093:BE1093"/>
    <mergeCell ref="BF1093:BI1093"/>
    <mergeCell ref="BJ1093:BM1093"/>
    <mergeCell ref="BN1093:BV1093"/>
    <mergeCell ref="BJ1091:BM1091"/>
    <mergeCell ref="BN1091:BV1091"/>
    <mergeCell ref="BJ1092:BM1092"/>
    <mergeCell ref="BN1092:BV1092"/>
    <mergeCell ref="T1081:U1081"/>
    <mergeCell ref="V1081:W1081"/>
    <mergeCell ref="X1081:AA1081"/>
    <mergeCell ref="AB1081:AE1081"/>
    <mergeCell ref="AF1081:AG1081"/>
    <mergeCell ref="AH1081:AI1081"/>
    <mergeCell ref="AX1081:AZ1081"/>
    <mergeCell ref="BA1081:BB1081"/>
    <mergeCell ref="BD1081:BE1081"/>
    <mergeCell ref="BF1081:BI1081"/>
    <mergeCell ref="BJ1081:BM1081"/>
    <mergeCell ref="BN1081:BV1081"/>
    <mergeCell ref="AJ1081:AK1081"/>
    <mergeCell ref="AL1081:AM1081"/>
    <mergeCell ref="AN1081:AO1081"/>
    <mergeCell ref="AP1081:AQ1081"/>
    <mergeCell ref="AR1081:AS1081"/>
    <mergeCell ref="AT1081:AU1081"/>
    <mergeCell ref="AV1081:AW1081"/>
    <mergeCell ref="BN1082:BV1082"/>
    <mergeCell ref="BJ1083:BM1083"/>
    <mergeCell ref="BN1083:BV1083"/>
    <mergeCell ref="B1083:C1083"/>
    <mergeCell ref="D1083:E1083"/>
    <mergeCell ref="F1083:G1083"/>
    <mergeCell ref="H1083:I1083"/>
    <mergeCell ref="J1083:K1083"/>
    <mergeCell ref="L1083:M1083"/>
    <mergeCell ref="P1083:Q1083"/>
    <mergeCell ref="AJ1082:AK1082"/>
    <mergeCell ref="AL1082:AM1082"/>
    <mergeCell ref="AN1082:AO1082"/>
    <mergeCell ref="AP1082:AQ1082"/>
    <mergeCell ref="AR1082:AS1082"/>
    <mergeCell ref="AT1082:AU1082"/>
    <mergeCell ref="AV1082:AW1082"/>
    <mergeCell ref="BJ1086:BM1086"/>
    <mergeCell ref="BN1086:BV1086"/>
    <mergeCell ref="BJ1087:BM1087"/>
    <mergeCell ref="BN1087:BV1087"/>
    <mergeCell ref="B1086:C1086"/>
    <mergeCell ref="D1086:E1086"/>
    <mergeCell ref="F1086:G1086"/>
    <mergeCell ref="H1086:I1086"/>
    <mergeCell ref="J1086:K1086"/>
    <mergeCell ref="L1086:M1086"/>
    <mergeCell ref="P1086:Q1086"/>
    <mergeCell ref="B1087:C1087"/>
    <mergeCell ref="D1087:E1087"/>
    <mergeCell ref="F1087:G1087"/>
    <mergeCell ref="H1087:I1087"/>
    <mergeCell ref="J1087:K1087"/>
    <mergeCell ref="L1087:M1087"/>
    <mergeCell ref="P1087:Q1087"/>
    <mergeCell ref="AJ1086:AK1086"/>
    <mergeCell ref="AL1086:AM1086"/>
    <mergeCell ref="AN1086:AO1086"/>
    <mergeCell ref="AP1086:AQ1086"/>
    <mergeCell ref="AR1086:AS1086"/>
    <mergeCell ref="AT1086:AU1086"/>
    <mergeCell ref="AV1086:AW1086"/>
    <mergeCell ref="B1084:C1084"/>
    <mergeCell ref="D1084:E1084"/>
    <mergeCell ref="F1084:G1084"/>
    <mergeCell ref="H1084:I1084"/>
    <mergeCell ref="J1084:K1084"/>
    <mergeCell ref="L1084:M1084"/>
    <mergeCell ref="P1084:Q1084"/>
    <mergeCell ref="B1085:C1085"/>
    <mergeCell ref="D1085:E1085"/>
    <mergeCell ref="F1085:G1085"/>
    <mergeCell ref="B1080:C1080"/>
    <mergeCell ref="D1080:E1080"/>
    <mergeCell ref="F1080:G1080"/>
    <mergeCell ref="H1080:I1080"/>
    <mergeCell ref="J1080:K1080"/>
    <mergeCell ref="L1080:M1080"/>
    <mergeCell ref="P1080:Q1080"/>
    <mergeCell ref="R1082:S1082"/>
    <mergeCell ref="T1082:U1082"/>
    <mergeCell ref="V1082:W1082"/>
    <mergeCell ref="X1082:AA1082"/>
    <mergeCell ref="AB1082:AE1082"/>
    <mergeCell ref="AF1082:AG1082"/>
    <mergeCell ref="AH1082:AI1082"/>
    <mergeCell ref="B1082:C1082"/>
    <mergeCell ref="D1082:E1082"/>
    <mergeCell ref="F1082:G1082"/>
    <mergeCell ref="H1082:I1082"/>
    <mergeCell ref="J1082:K1082"/>
    <mergeCell ref="L1082:M1082"/>
    <mergeCell ref="P1082:Q1082"/>
    <mergeCell ref="BD1083:BE1083"/>
    <mergeCell ref="BF1083:BI1083"/>
    <mergeCell ref="AN1083:AO1083"/>
    <mergeCell ref="AP1083:AQ1083"/>
    <mergeCell ref="AR1083:AS1083"/>
    <mergeCell ref="AT1083:AU1083"/>
    <mergeCell ref="AV1083:AW1083"/>
    <mergeCell ref="AX1083:AZ1083"/>
    <mergeCell ref="BA1083:BB1083"/>
    <mergeCell ref="B1081:C1081"/>
    <mergeCell ref="D1081:E1081"/>
    <mergeCell ref="F1081:G1081"/>
    <mergeCell ref="H1081:I1081"/>
    <mergeCell ref="J1081:K1081"/>
    <mergeCell ref="L1081:M1081"/>
    <mergeCell ref="P1081:Q1081"/>
    <mergeCell ref="AX1082:AZ1082"/>
    <mergeCell ref="BA1082:BB1082"/>
    <mergeCell ref="BD1082:BE1082"/>
    <mergeCell ref="BF1082:BI1082"/>
    <mergeCell ref="H1085:I1085"/>
    <mergeCell ref="J1085:K1085"/>
    <mergeCell ref="L1085:M1085"/>
    <mergeCell ref="P1085:Q1085"/>
    <mergeCell ref="AJ1084:AK1084"/>
    <mergeCell ref="AL1084:AM1084"/>
    <mergeCell ref="AN1084:AO1084"/>
    <mergeCell ref="AP1084:AQ1084"/>
    <mergeCell ref="AR1084:AS1084"/>
    <mergeCell ref="AT1084:AU1084"/>
    <mergeCell ref="AV1084:AW1084"/>
    <mergeCell ref="BD1087:BE1087"/>
    <mergeCell ref="BF1087:BI1087"/>
    <mergeCell ref="AN1087:AO1087"/>
    <mergeCell ref="AP1087:AQ1087"/>
    <mergeCell ref="AR1087:AS1087"/>
    <mergeCell ref="AT1087:AU1087"/>
    <mergeCell ref="AV1087:AW1087"/>
    <mergeCell ref="AX1087:AZ1087"/>
    <mergeCell ref="BA1087:BB1087"/>
    <mergeCell ref="AJ1085:AK1085"/>
    <mergeCell ref="AL1085:AM1085"/>
    <mergeCell ref="R1085:S1085"/>
    <mergeCell ref="T1085:U1085"/>
    <mergeCell ref="V1085:W1085"/>
    <mergeCell ref="X1085:AA1085"/>
    <mergeCell ref="AB1085:AE1085"/>
    <mergeCell ref="AF1085:AG1085"/>
    <mergeCell ref="AH1085:AI1085"/>
    <mergeCell ref="R1086:S1086"/>
    <mergeCell ref="T1086:U1086"/>
    <mergeCell ref="V1086:W1086"/>
    <mergeCell ref="X1086:AA1086"/>
    <mergeCell ref="AB1086:AE1086"/>
    <mergeCell ref="AF1086:AG1086"/>
    <mergeCell ref="AH1086:AI1086"/>
    <mergeCell ref="AX1086:AZ1086"/>
    <mergeCell ref="BA1086:BB1086"/>
    <mergeCell ref="BD1086:BE1086"/>
    <mergeCell ref="BF1086:BI1086"/>
    <mergeCell ref="BD1085:BE1085"/>
    <mergeCell ref="BF1085:BI1085"/>
    <mergeCell ref="AN1085:AO1085"/>
    <mergeCell ref="AP1085:AQ1085"/>
    <mergeCell ref="AR1085:AS1085"/>
    <mergeCell ref="AT1085:AU1085"/>
    <mergeCell ref="AV1085:AW1085"/>
    <mergeCell ref="AX1085:AZ1085"/>
    <mergeCell ref="BA1085:BB1085"/>
    <mergeCell ref="AJ1083:AK1083"/>
    <mergeCell ref="AL1083:AM1083"/>
    <mergeCell ref="R1083:S1083"/>
    <mergeCell ref="T1083:U1083"/>
    <mergeCell ref="V1083:W1083"/>
    <mergeCell ref="X1083:AA1083"/>
    <mergeCell ref="AB1083:AE1083"/>
    <mergeCell ref="AF1083:AG1083"/>
    <mergeCell ref="AH1083:AI1083"/>
    <mergeCell ref="R1084:S1084"/>
    <mergeCell ref="T1084:U1084"/>
    <mergeCell ref="V1084:W1084"/>
    <mergeCell ref="X1084:AA1084"/>
    <mergeCell ref="AB1084:AE1084"/>
    <mergeCell ref="AF1084:AG1084"/>
    <mergeCell ref="AH1084:AI1084"/>
    <mergeCell ref="AX1084:AZ1084"/>
    <mergeCell ref="BA1084:BB1084"/>
    <mergeCell ref="BD1084:BE1084"/>
    <mergeCell ref="BF1084:BI1084"/>
    <mergeCell ref="BJ1084:BM1084"/>
    <mergeCell ref="BN1084:BV1084"/>
    <mergeCell ref="BJ1085:BM1085"/>
    <mergeCell ref="BN1085:BV1085"/>
    <mergeCell ref="AJ1078:AK1078"/>
    <mergeCell ref="AL1078:AM1078"/>
    <mergeCell ref="R1078:S1078"/>
    <mergeCell ref="T1078:U1078"/>
    <mergeCell ref="V1078:W1078"/>
    <mergeCell ref="X1078:AA1078"/>
    <mergeCell ref="AB1078:AE1078"/>
    <mergeCell ref="AF1078:AG1078"/>
    <mergeCell ref="AH1078:AI1078"/>
    <mergeCell ref="R1079:S1079"/>
    <mergeCell ref="T1079:U1079"/>
    <mergeCell ref="V1079:W1079"/>
    <mergeCell ref="X1079:AA1079"/>
    <mergeCell ref="AB1079:AE1079"/>
    <mergeCell ref="AF1079:AG1079"/>
    <mergeCell ref="AH1079:AI1079"/>
    <mergeCell ref="AX1079:AZ1079"/>
    <mergeCell ref="BA1079:BB1079"/>
    <mergeCell ref="BD1079:BE1079"/>
    <mergeCell ref="BF1079:BI1079"/>
    <mergeCell ref="BJ1079:BM1079"/>
    <mergeCell ref="BN1079:BV1079"/>
    <mergeCell ref="AJ1079:AK1079"/>
    <mergeCell ref="AL1079:AM1079"/>
    <mergeCell ref="AN1079:AO1079"/>
    <mergeCell ref="AP1079:AQ1079"/>
    <mergeCell ref="AR1079:AS1079"/>
    <mergeCell ref="AT1079:AU1079"/>
    <mergeCell ref="AV1079:AW1079"/>
    <mergeCell ref="R1081:S1081"/>
    <mergeCell ref="BD1080:BE1080"/>
    <mergeCell ref="BF1080:BI1080"/>
    <mergeCell ref="AN1080:AO1080"/>
    <mergeCell ref="AP1080:AQ1080"/>
    <mergeCell ref="AR1080:AS1080"/>
    <mergeCell ref="AT1080:AU1080"/>
    <mergeCell ref="AV1080:AW1080"/>
    <mergeCell ref="AX1080:AZ1080"/>
    <mergeCell ref="BA1080:BB1080"/>
    <mergeCell ref="BJ1082:BM1082"/>
    <mergeCell ref="B1049:C1049"/>
    <mergeCell ref="D1049:E1049"/>
    <mergeCell ref="F1049:G1049"/>
    <mergeCell ref="H1049:I1049"/>
    <mergeCell ref="J1049:K1049"/>
    <mergeCell ref="L1049:M1049"/>
    <mergeCell ref="P1049:Q1049"/>
    <mergeCell ref="AX1050:AZ1050"/>
    <mergeCell ref="BA1050:BB1050"/>
    <mergeCell ref="BD1050:BE1050"/>
    <mergeCell ref="BF1050:BI1050"/>
    <mergeCell ref="BJ1050:BM1050"/>
    <mergeCell ref="BN1050:BV1050"/>
    <mergeCell ref="BJ1051:BM1051"/>
    <mergeCell ref="BN1051:BV1051"/>
    <mergeCell ref="B1051:C1051"/>
    <mergeCell ref="D1051:E1051"/>
    <mergeCell ref="F1051:G1051"/>
    <mergeCell ref="H1051:I1051"/>
    <mergeCell ref="J1051:K1051"/>
    <mergeCell ref="L1051:M1051"/>
    <mergeCell ref="P1051:Q1051"/>
    <mergeCell ref="AJ1050:AK1050"/>
    <mergeCell ref="AL1050:AM1050"/>
    <mergeCell ref="AN1050:AO1050"/>
    <mergeCell ref="AP1050:AQ1050"/>
    <mergeCell ref="AR1050:AS1050"/>
    <mergeCell ref="AT1050:AU1050"/>
    <mergeCell ref="AV1050:AW1050"/>
    <mergeCell ref="R1050:S1050"/>
    <mergeCell ref="T1050:U1050"/>
    <mergeCell ref="V1050:W1050"/>
    <mergeCell ref="X1050:AA1050"/>
    <mergeCell ref="AB1050:AE1050"/>
    <mergeCell ref="AF1050:AG1050"/>
    <mergeCell ref="AH1050:AI1050"/>
    <mergeCell ref="B1050:C1050"/>
    <mergeCell ref="D1050:E1050"/>
    <mergeCell ref="F1050:G1050"/>
    <mergeCell ref="H1050:I1050"/>
    <mergeCell ref="J1050:K1050"/>
    <mergeCell ref="L1050:M1050"/>
    <mergeCell ref="P1050:Q1050"/>
    <mergeCell ref="BD1051:BE1051"/>
    <mergeCell ref="BF1051:BI1051"/>
    <mergeCell ref="AN1051:AO1051"/>
    <mergeCell ref="AP1051:AQ1051"/>
    <mergeCell ref="AR1051:AS1051"/>
    <mergeCell ref="AT1051:AU1051"/>
    <mergeCell ref="AV1051:AW1051"/>
    <mergeCell ref="AX1051:AZ1051"/>
    <mergeCell ref="BA1051:BB1051"/>
    <mergeCell ref="R1049:S1049"/>
    <mergeCell ref="T1049:U1049"/>
    <mergeCell ref="V1049:W1049"/>
    <mergeCell ref="AF1054:AG1054"/>
    <mergeCell ref="AH1054:AI1054"/>
    <mergeCell ref="AX1054:AZ1054"/>
    <mergeCell ref="BA1054:BB1054"/>
    <mergeCell ref="BD1054:BE1054"/>
    <mergeCell ref="BF1054:BI1054"/>
    <mergeCell ref="BJ1054:BM1054"/>
    <mergeCell ref="BN1054:BV1054"/>
    <mergeCell ref="X1049:AA1049"/>
    <mergeCell ref="AB1049:AE1049"/>
    <mergeCell ref="AF1049:AG1049"/>
    <mergeCell ref="AH1049:AI1049"/>
    <mergeCell ref="AX1049:AZ1049"/>
    <mergeCell ref="BA1049:BB1049"/>
    <mergeCell ref="BD1049:BE1049"/>
    <mergeCell ref="BF1049:BI1049"/>
    <mergeCell ref="BD1048:BE1048"/>
    <mergeCell ref="BF1048:BI1048"/>
    <mergeCell ref="AN1048:AO1048"/>
    <mergeCell ref="AP1048:AQ1048"/>
    <mergeCell ref="AR1048:AS1048"/>
    <mergeCell ref="AT1048:AU1048"/>
    <mergeCell ref="AV1048:AW1048"/>
    <mergeCell ref="AX1048:AZ1048"/>
    <mergeCell ref="BA1048:BB1048"/>
    <mergeCell ref="AJ1046:AK1046"/>
    <mergeCell ref="AL1046:AM1046"/>
    <mergeCell ref="R1046:S1046"/>
    <mergeCell ref="T1046:U1046"/>
    <mergeCell ref="V1046:W1046"/>
    <mergeCell ref="X1046:AA1046"/>
    <mergeCell ref="AB1046:AE1046"/>
    <mergeCell ref="AF1046:AG1046"/>
    <mergeCell ref="AH1046:AI1046"/>
    <mergeCell ref="R1047:S1047"/>
    <mergeCell ref="T1047:U1047"/>
    <mergeCell ref="V1047:W1047"/>
    <mergeCell ref="X1047:AA1047"/>
    <mergeCell ref="AB1047:AE1047"/>
    <mergeCell ref="AF1047:AG1047"/>
    <mergeCell ref="AH1047:AI1047"/>
    <mergeCell ref="AX1047:AZ1047"/>
    <mergeCell ref="BA1047:BB1047"/>
    <mergeCell ref="BD1047:BE1047"/>
    <mergeCell ref="BF1047:BI1047"/>
    <mergeCell ref="BJ1049:BM1049"/>
    <mergeCell ref="BN1049:BV1049"/>
    <mergeCell ref="AJ1049:AK1049"/>
    <mergeCell ref="AL1049:AM1049"/>
    <mergeCell ref="AN1049:AO1049"/>
    <mergeCell ref="AP1049:AQ1049"/>
    <mergeCell ref="AR1049:AS1049"/>
    <mergeCell ref="AT1049:AU1049"/>
    <mergeCell ref="AV1049:AW1049"/>
    <mergeCell ref="B1054:C1054"/>
    <mergeCell ref="D1054:E1054"/>
    <mergeCell ref="F1054:G1054"/>
    <mergeCell ref="H1054:I1054"/>
    <mergeCell ref="J1054:K1054"/>
    <mergeCell ref="L1054:M1054"/>
    <mergeCell ref="P1054:Q1054"/>
    <mergeCell ref="B1055:C1055"/>
    <mergeCell ref="D1055:E1055"/>
    <mergeCell ref="F1055:G1055"/>
    <mergeCell ref="H1055:I1055"/>
    <mergeCell ref="J1055:K1055"/>
    <mergeCell ref="L1055:M1055"/>
    <mergeCell ref="P1055:Q1055"/>
    <mergeCell ref="AJ1054:AK1054"/>
    <mergeCell ref="AL1054:AM1054"/>
    <mergeCell ref="AN1054:AO1054"/>
    <mergeCell ref="AP1054:AQ1054"/>
    <mergeCell ref="AR1054:AS1054"/>
    <mergeCell ref="AT1054:AU1054"/>
    <mergeCell ref="AV1054:AW1054"/>
    <mergeCell ref="BD1053:BE1053"/>
    <mergeCell ref="BF1053:BI1053"/>
    <mergeCell ref="AN1053:AO1053"/>
    <mergeCell ref="AP1053:AQ1053"/>
    <mergeCell ref="AR1053:AS1053"/>
    <mergeCell ref="AT1053:AU1053"/>
    <mergeCell ref="AV1053:AW1053"/>
    <mergeCell ref="AX1053:AZ1053"/>
    <mergeCell ref="BA1053:BB1053"/>
    <mergeCell ref="BJ1056:BM1056"/>
    <mergeCell ref="BN1056:BV1056"/>
    <mergeCell ref="BJ1047:BM1047"/>
    <mergeCell ref="BN1047:BV1047"/>
    <mergeCell ref="B1047:C1047"/>
    <mergeCell ref="D1047:E1047"/>
    <mergeCell ref="F1047:G1047"/>
    <mergeCell ref="H1047:I1047"/>
    <mergeCell ref="J1047:K1047"/>
    <mergeCell ref="L1047:M1047"/>
    <mergeCell ref="P1047:Q1047"/>
    <mergeCell ref="AJ1047:AK1047"/>
    <mergeCell ref="AL1047:AM1047"/>
    <mergeCell ref="AN1047:AO1047"/>
    <mergeCell ref="AP1047:AQ1047"/>
    <mergeCell ref="AR1047:AS1047"/>
    <mergeCell ref="AT1047:AU1047"/>
    <mergeCell ref="AV1047:AW1047"/>
    <mergeCell ref="B1048:C1048"/>
    <mergeCell ref="D1048:E1048"/>
    <mergeCell ref="F1048:G1048"/>
    <mergeCell ref="H1048:I1048"/>
    <mergeCell ref="J1048:K1048"/>
    <mergeCell ref="L1048:M1048"/>
    <mergeCell ref="P1048:Q1048"/>
    <mergeCell ref="X1053:AA1053"/>
    <mergeCell ref="AB1053:AE1053"/>
    <mergeCell ref="AF1053:AG1053"/>
    <mergeCell ref="AH1053:AI1053"/>
    <mergeCell ref="R1054:S1054"/>
    <mergeCell ref="T1054:U1054"/>
    <mergeCell ref="V1054:W1054"/>
    <mergeCell ref="X1054:AA1054"/>
    <mergeCell ref="AB1054:AE1054"/>
    <mergeCell ref="BJ1057:BM1057"/>
    <mergeCell ref="BN1057:BV1057"/>
    <mergeCell ref="B1056:C1056"/>
    <mergeCell ref="D1056:E1056"/>
    <mergeCell ref="F1056:G1056"/>
    <mergeCell ref="H1056:I1056"/>
    <mergeCell ref="J1056:K1056"/>
    <mergeCell ref="L1056:M1056"/>
    <mergeCell ref="P1056:Q1056"/>
    <mergeCell ref="B1057:C1057"/>
    <mergeCell ref="D1057:E1057"/>
    <mergeCell ref="F1057:G1057"/>
    <mergeCell ref="H1057:I1057"/>
    <mergeCell ref="J1057:K1057"/>
    <mergeCell ref="L1057:M1057"/>
    <mergeCell ref="P1057:Q1057"/>
    <mergeCell ref="AJ1056:AK1056"/>
    <mergeCell ref="AL1056:AM1056"/>
    <mergeCell ref="AN1056:AO1056"/>
    <mergeCell ref="AP1056:AQ1056"/>
    <mergeCell ref="AR1056:AS1056"/>
    <mergeCell ref="AT1056:AU1056"/>
    <mergeCell ref="AV1056:AW1056"/>
    <mergeCell ref="AJ1051:AK1051"/>
    <mergeCell ref="AL1051:AM1051"/>
    <mergeCell ref="R1051:S1051"/>
    <mergeCell ref="T1051:U1051"/>
    <mergeCell ref="V1051:W1051"/>
    <mergeCell ref="X1051:AA1051"/>
    <mergeCell ref="AB1051:AE1051"/>
    <mergeCell ref="AF1051:AG1051"/>
    <mergeCell ref="AH1051:AI1051"/>
    <mergeCell ref="R1052:S1052"/>
    <mergeCell ref="T1052:U1052"/>
    <mergeCell ref="V1052:W1052"/>
    <mergeCell ref="X1052:AA1052"/>
    <mergeCell ref="AB1052:AE1052"/>
    <mergeCell ref="AF1052:AG1052"/>
    <mergeCell ref="AH1052:AI1052"/>
    <mergeCell ref="AX1052:AZ1052"/>
    <mergeCell ref="BA1052:BB1052"/>
    <mergeCell ref="BD1052:BE1052"/>
    <mergeCell ref="BF1052:BI1052"/>
    <mergeCell ref="BJ1052:BM1052"/>
    <mergeCell ref="BN1052:BV1052"/>
    <mergeCell ref="BJ1053:BM1053"/>
    <mergeCell ref="BN1053:BV1053"/>
    <mergeCell ref="B1052:C1052"/>
    <mergeCell ref="D1052:E1052"/>
    <mergeCell ref="F1052:G1052"/>
    <mergeCell ref="H1052:I1052"/>
    <mergeCell ref="J1052:K1052"/>
    <mergeCell ref="L1052:M1052"/>
    <mergeCell ref="P1052:Q1052"/>
    <mergeCell ref="B1053:C1053"/>
    <mergeCell ref="D1053:E1053"/>
    <mergeCell ref="F1053:G1053"/>
    <mergeCell ref="H1053:I1053"/>
    <mergeCell ref="J1053:K1053"/>
    <mergeCell ref="L1053:M1053"/>
    <mergeCell ref="P1053:Q1053"/>
    <mergeCell ref="AJ1052:AK1052"/>
    <mergeCell ref="BJ1055:BM1055"/>
    <mergeCell ref="BN1055:BV1055"/>
    <mergeCell ref="P1045:Q1045"/>
    <mergeCell ref="B1046:C1046"/>
    <mergeCell ref="D1046:E1046"/>
    <mergeCell ref="F1046:G1046"/>
    <mergeCell ref="H1046:I1046"/>
    <mergeCell ref="J1046:K1046"/>
    <mergeCell ref="L1046:M1046"/>
    <mergeCell ref="P1046:Q1046"/>
    <mergeCell ref="AJ1045:AK1045"/>
    <mergeCell ref="AL1045:AM1045"/>
    <mergeCell ref="AN1045:AO1045"/>
    <mergeCell ref="AP1045:AQ1045"/>
    <mergeCell ref="AR1045:AS1045"/>
    <mergeCell ref="AT1045:AU1045"/>
    <mergeCell ref="AV1045:AW1045"/>
    <mergeCell ref="BD1057:BE1057"/>
    <mergeCell ref="BF1057:BI1057"/>
    <mergeCell ref="AN1057:AO1057"/>
    <mergeCell ref="AP1057:AQ1057"/>
    <mergeCell ref="AR1057:AS1057"/>
    <mergeCell ref="AT1057:AU1057"/>
    <mergeCell ref="AV1057:AW1057"/>
    <mergeCell ref="AX1057:AZ1057"/>
    <mergeCell ref="BA1057:BB1057"/>
    <mergeCell ref="AJ1055:AK1055"/>
    <mergeCell ref="AL1055:AM1055"/>
    <mergeCell ref="R1055:S1055"/>
    <mergeCell ref="T1055:U1055"/>
    <mergeCell ref="V1055:W1055"/>
    <mergeCell ref="X1055:AA1055"/>
    <mergeCell ref="AB1055:AE1055"/>
    <mergeCell ref="AF1055:AG1055"/>
    <mergeCell ref="AH1055:AI1055"/>
    <mergeCell ref="R1056:S1056"/>
    <mergeCell ref="T1056:U1056"/>
    <mergeCell ref="V1056:W1056"/>
    <mergeCell ref="X1056:AA1056"/>
    <mergeCell ref="AB1056:AE1056"/>
    <mergeCell ref="AF1056:AG1056"/>
    <mergeCell ref="AH1056:AI1056"/>
    <mergeCell ref="AX1056:AZ1056"/>
    <mergeCell ref="BA1056:BB1056"/>
    <mergeCell ref="BD1056:BE1056"/>
    <mergeCell ref="BF1056:BI1056"/>
    <mergeCell ref="AL1052:AM1052"/>
    <mergeCell ref="AN1052:AO1052"/>
    <mergeCell ref="AP1052:AQ1052"/>
    <mergeCell ref="AR1052:AS1052"/>
    <mergeCell ref="AT1052:AU1052"/>
    <mergeCell ref="AV1052:AW1052"/>
    <mergeCell ref="BD1055:BE1055"/>
    <mergeCell ref="BF1055:BI1055"/>
    <mergeCell ref="AN1055:AO1055"/>
    <mergeCell ref="AP1055:AQ1055"/>
    <mergeCell ref="AR1055:AS1055"/>
    <mergeCell ref="AT1055:AU1055"/>
    <mergeCell ref="AV1055:AW1055"/>
    <mergeCell ref="AX1055:AZ1055"/>
    <mergeCell ref="BA1055:BB1055"/>
    <mergeCell ref="AJ1053:AK1053"/>
    <mergeCell ref="AL1053:AM1053"/>
    <mergeCell ref="R1053:S1053"/>
    <mergeCell ref="T1053:U1053"/>
    <mergeCell ref="V1053:W1053"/>
    <mergeCell ref="BJ1043:BM1043"/>
    <mergeCell ref="BN1043:BV1043"/>
    <mergeCell ref="BJ1044:BM1044"/>
    <mergeCell ref="BN1044:BV1044"/>
    <mergeCell ref="B1043:C1043"/>
    <mergeCell ref="D1043:E1043"/>
    <mergeCell ref="F1043:G1043"/>
    <mergeCell ref="H1043:I1043"/>
    <mergeCell ref="J1043:K1043"/>
    <mergeCell ref="L1043:M1043"/>
    <mergeCell ref="P1043:Q1043"/>
    <mergeCell ref="B1044:C1044"/>
    <mergeCell ref="D1044:E1044"/>
    <mergeCell ref="F1044:G1044"/>
    <mergeCell ref="H1044:I1044"/>
    <mergeCell ref="J1044:K1044"/>
    <mergeCell ref="L1044:M1044"/>
    <mergeCell ref="P1044:Q1044"/>
    <mergeCell ref="AJ1043:AK1043"/>
    <mergeCell ref="AL1043:AM1043"/>
    <mergeCell ref="AN1043:AO1043"/>
    <mergeCell ref="AP1043:AQ1043"/>
    <mergeCell ref="AR1043:AS1043"/>
    <mergeCell ref="AT1043:AU1043"/>
    <mergeCell ref="AV1043:AW1043"/>
    <mergeCell ref="BD1046:BE1046"/>
    <mergeCell ref="BF1046:BI1046"/>
    <mergeCell ref="AN1046:AO1046"/>
    <mergeCell ref="AP1046:AQ1046"/>
    <mergeCell ref="AR1046:AS1046"/>
    <mergeCell ref="AT1046:AU1046"/>
    <mergeCell ref="AV1046:AW1046"/>
    <mergeCell ref="AX1046:AZ1046"/>
    <mergeCell ref="BA1046:BB1046"/>
    <mergeCell ref="AJ1044:AK1044"/>
    <mergeCell ref="AL1044:AM1044"/>
    <mergeCell ref="R1044:S1044"/>
    <mergeCell ref="T1044:U1044"/>
    <mergeCell ref="V1044:W1044"/>
    <mergeCell ref="X1044:AA1044"/>
    <mergeCell ref="AB1044:AE1044"/>
    <mergeCell ref="AF1044:AG1044"/>
    <mergeCell ref="AH1044:AI1044"/>
    <mergeCell ref="R1045:S1045"/>
    <mergeCell ref="T1045:U1045"/>
    <mergeCell ref="V1045:W1045"/>
    <mergeCell ref="X1045:AA1045"/>
    <mergeCell ref="AB1045:AE1045"/>
    <mergeCell ref="AF1045:AG1045"/>
    <mergeCell ref="AH1045:AI1045"/>
    <mergeCell ref="AX1045:AZ1045"/>
    <mergeCell ref="BA1045:BB1045"/>
    <mergeCell ref="BD1045:BE1045"/>
    <mergeCell ref="BF1045:BI1045"/>
    <mergeCell ref="BJ1045:BM1045"/>
    <mergeCell ref="BN1045:BV1045"/>
    <mergeCell ref="BJ1046:BM1046"/>
    <mergeCell ref="BN1046:BV1046"/>
    <mergeCell ref="B1045:C1045"/>
    <mergeCell ref="D1045:E1045"/>
    <mergeCell ref="F1045:G1045"/>
    <mergeCell ref="H1045:I1045"/>
    <mergeCell ref="J1045:K1045"/>
    <mergeCell ref="L1045:M1045"/>
    <mergeCell ref="B1041:C1041"/>
    <mergeCell ref="D1041:E1041"/>
    <mergeCell ref="F1041:G1041"/>
    <mergeCell ref="H1041:I1041"/>
    <mergeCell ref="J1041:K1041"/>
    <mergeCell ref="L1041:M1041"/>
    <mergeCell ref="P1041:Q1041"/>
    <mergeCell ref="B1042:C1042"/>
    <mergeCell ref="D1042:E1042"/>
    <mergeCell ref="F1042:G1042"/>
    <mergeCell ref="H1042:I1042"/>
    <mergeCell ref="J1042:K1042"/>
    <mergeCell ref="L1042:M1042"/>
    <mergeCell ref="P1042:Q1042"/>
    <mergeCell ref="AJ1041:AK1041"/>
    <mergeCell ref="AL1041:AM1041"/>
    <mergeCell ref="AN1041:AO1041"/>
    <mergeCell ref="AP1041:AQ1041"/>
    <mergeCell ref="AR1041:AS1041"/>
    <mergeCell ref="AT1041:AU1041"/>
    <mergeCell ref="AV1041:AW1041"/>
    <mergeCell ref="BD1044:BE1044"/>
    <mergeCell ref="BF1044:BI1044"/>
    <mergeCell ref="AN1044:AO1044"/>
    <mergeCell ref="AP1044:AQ1044"/>
    <mergeCell ref="AR1044:AS1044"/>
    <mergeCell ref="AT1044:AU1044"/>
    <mergeCell ref="AV1044:AW1044"/>
    <mergeCell ref="AX1044:AZ1044"/>
    <mergeCell ref="BA1044:BB1044"/>
    <mergeCell ref="AJ1042:AK1042"/>
    <mergeCell ref="AL1042:AM1042"/>
    <mergeCell ref="R1042:S1042"/>
    <mergeCell ref="T1042:U1042"/>
    <mergeCell ref="V1042:W1042"/>
    <mergeCell ref="X1042:AA1042"/>
    <mergeCell ref="AB1042:AE1042"/>
    <mergeCell ref="AF1042:AG1042"/>
    <mergeCell ref="AH1042:AI1042"/>
    <mergeCell ref="R1043:S1043"/>
    <mergeCell ref="T1043:U1043"/>
    <mergeCell ref="V1043:W1043"/>
    <mergeCell ref="X1043:AA1043"/>
    <mergeCell ref="AB1043:AE1043"/>
    <mergeCell ref="AF1043:AG1043"/>
    <mergeCell ref="AH1043:AI1043"/>
    <mergeCell ref="AX1043:AZ1043"/>
    <mergeCell ref="BA1043:BB1043"/>
    <mergeCell ref="BD1043:BE1043"/>
    <mergeCell ref="BF1043:BI1043"/>
    <mergeCell ref="BD1042:BE1042"/>
    <mergeCell ref="BF1042:BI1042"/>
    <mergeCell ref="AN1042:AO1042"/>
    <mergeCell ref="AP1042:AQ1042"/>
    <mergeCell ref="AR1042:AS1042"/>
    <mergeCell ref="AT1042:AU1042"/>
    <mergeCell ref="AV1042:AW1042"/>
    <mergeCell ref="AX1042:AZ1042"/>
    <mergeCell ref="BA1042:BB1042"/>
    <mergeCell ref="AB1036:AE1036"/>
    <mergeCell ref="AF1036:AG1036"/>
    <mergeCell ref="AH1036:AI1036"/>
    <mergeCell ref="R1037:S1037"/>
    <mergeCell ref="T1037:U1037"/>
    <mergeCell ref="V1037:W1037"/>
    <mergeCell ref="X1037:AA1037"/>
    <mergeCell ref="AB1037:AE1037"/>
    <mergeCell ref="AF1037:AG1037"/>
    <mergeCell ref="AH1037:AI1037"/>
    <mergeCell ref="AJ1040:AK1040"/>
    <mergeCell ref="AL1040:AM1040"/>
    <mergeCell ref="R1040:S1040"/>
    <mergeCell ref="T1040:U1040"/>
    <mergeCell ref="V1040:W1040"/>
    <mergeCell ref="X1040:AA1040"/>
    <mergeCell ref="AB1040:AE1040"/>
    <mergeCell ref="AF1040:AG1040"/>
    <mergeCell ref="AH1040:AI1040"/>
    <mergeCell ref="R1041:S1041"/>
    <mergeCell ref="T1041:U1041"/>
    <mergeCell ref="V1041:W1041"/>
    <mergeCell ref="X1041:AA1041"/>
    <mergeCell ref="AB1041:AE1041"/>
    <mergeCell ref="AF1041:AG1041"/>
    <mergeCell ref="AH1041:AI1041"/>
    <mergeCell ref="AX1041:AZ1041"/>
    <mergeCell ref="BA1041:BB1041"/>
    <mergeCell ref="BD1041:BE1041"/>
    <mergeCell ref="BF1041:BI1041"/>
    <mergeCell ref="BJ1041:BM1041"/>
    <mergeCell ref="BN1041:BV1041"/>
    <mergeCell ref="BJ1042:BM1042"/>
    <mergeCell ref="BN1042:BV1042"/>
    <mergeCell ref="AJ1038:AK1038"/>
    <mergeCell ref="AL1038:AM1038"/>
    <mergeCell ref="R1038:S1038"/>
    <mergeCell ref="T1038:U1038"/>
    <mergeCell ref="V1038:W1038"/>
    <mergeCell ref="X1038:AA1038"/>
    <mergeCell ref="AB1038:AE1038"/>
    <mergeCell ref="AF1038:AG1038"/>
    <mergeCell ref="AH1038:AI1038"/>
    <mergeCell ref="R1039:S1039"/>
    <mergeCell ref="T1039:U1039"/>
    <mergeCell ref="V1039:W1039"/>
    <mergeCell ref="X1039:AA1039"/>
    <mergeCell ref="AB1039:AE1039"/>
    <mergeCell ref="AF1039:AG1039"/>
    <mergeCell ref="AH1039:AI1039"/>
    <mergeCell ref="AX1039:AZ1039"/>
    <mergeCell ref="BA1039:BB1039"/>
    <mergeCell ref="BD1039:BE1039"/>
    <mergeCell ref="BF1039:BI1039"/>
    <mergeCell ref="BJ1039:BM1039"/>
    <mergeCell ref="BN1039:BV1039"/>
    <mergeCell ref="BJ1040:BM1040"/>
    <mergeCell ref="BN1040:BV1040"/>
    <mergeCell ref="BD1038:BE1038"/>
    <mergeCell ref="BF1038:BI1038"/>
    <mergeCell ref="AX1038:AZ1038"/>
    <mergeCell ref="BA1038:BB1038"/>
    <mergeCell ref="AJ1048:AK1048"/>
    <mergeCell ref="AL1048:AM1048"/>
    <mergeCell ref="BJ1048:BM1048"/>
    <mergeCell ref="BN1048:BV1048"/>
    <mergeCell ref="R1048:S1048"/>
    <mergeCell ref="T1048:U1048"/>
    <mergeCell ref="V1048:W1048"/>
    <mergeCell ref="X1048:AA1048"/>
    <mergeCell ref="AB1048:AE1048"/>
    <mergeCell ref="AF1048:AG1048"/>
    <mergeCell ref="AH1048:AI1048"/>
    <mergeCell ref="BD1036:BE1036"/>
    <mergeCell ref="BF1036:BI1036"/>
    <mergeCell ref="AN1036:AO1036"/>
    <mergeCell ref="AP1036:AQ1036"/>
    <mergeCell ref="AR1036:AS1036"/>
    <mergeCell ref="AT1036:AU1036"/>
    <mergeCell ref="AV1036:AW1036"/>
    <mergeCell ref="AX1036:AZ1036"/>
    <mergeCell ref="BA1036:BB1036"/>
    <mergeCell ref="BD1040:BE1040"/>
    <mergeCell ref="BF1040:BI1040"/>
    <mergeCell ref="AN1040:AO1040"/>
    <mergeCell ref="AP1040:AQ1040"/>
    <mergeCell ref="AR1040:AS1040"/>
    <mergeCell ref="AT1040:AU1040"/>
    <mergeCell ref="AV1040:AW1040"/>
    <mergeCell ref="AX1040:AZ1040"/>
    <mergeCell ref="BA1040:BB1040"/>
    <mergeCell ref="B1039:C1039"/>
    <mergeCell ref="D1039:E1039"/>
    <mergeCell ref="F1039:G1039"/>
    <mergeCell ref="H1039:I1039"/>
    <mergeCell ref="J1039:K1039"/>
    <mergeCell ref="L1039:M1039"/>
    <mergeCell ref="P1039:Q1039"/>
    <mergeCell ref="B1040:C1040"/>
    <mergeCell ref="D1040:E1040"/>
    <mergeCell ref="F1040:G1040"/>
    <mergeCell ref="H1040:I1040"/>
    <mergeCell ref="J1040:K1040"/>
    <mergeCell ref="L1040:M1040"/>
    <mergeCell ref="P1040:Q1040"/>
    <mergeCell ref="AJ1039:AK1039"/>
    <mergeCell ref="AL1039:AM1039"/>
    <mergeCell ref="AN1039:AO1039"/>
    <mergeCell ref="AP1039:AQ1039"/>
    <mergeCell ref="AR1039:AS1039"/>
    <mergeCell ref="AT1039:AU1039"/>
    <mergeCell ref="AV1039:AW1039"/>
    <mergeCell ref="B1036:C1036"/>
    <mergeCell ref="D1036:E1036"/>
    <mergeCell ref="F1036:G1036"/>
    <mergeCell ref="H1036:I1036"/>
    <mergeCell ref="J1036:K1036"/>
    <mergeCell ref="L1036:M1036"/>
    <mergeCell ref="P1036:Q1036"/>
    <mergeCell ref="AN1038:AO1038"/>
    <mergeCell ref="AP1038:AQ1038"/>
    <mergeCell ref="AR1038:AS1038"/>
    <mergeCell ref="AT1038:AU1038"/>
    <mergeCell ref="AV1038:AW1038"/>
    <mergeCell ref="AJ1036:AK1036"/>
    <mergeCell ref="AL1036:AM1036"/>
    <mergeCell ref="R1035:S1035"/>
    <mergeCell ref="T1035:U1035"/>
    <mergeCell ref="V1035:W1035"/>
    <mergeCell ref="X1035:AA1035"/>
    <mergeCell ref="AB1035:AE1035"/>
    <mergeCell ref="AF1035:AG1035"/>
    <mergeCell ref="AH1035:AI1035"/>
    <mergeCell ref="AX1035:AZ1035"/>
    <mergeCell ref="BA1035:BB1035"/>
    <mergeCell ref="BD1035:BE1035"/>
    <mergeCell ref="BF1035:BI1035"/>
    <mergeCell ref="BJ1035:BM1035"/>
    <mergeCell ref="BN1035:BV1035"/>
    <mergeCell ref="BJ1036:BM1036"/>
    <mergeCell ref="BN1036:BV1036"/>
    <mergeCell ref="BJ1037:BM1037"/>
    <mergeCell ref="BN1037:BV1037"/>
    <mergeCell ref="BJ1038:BM1038"/>
    <mergeCell ref="BN1038:BV1038"/>
    <mergeCell ref="AJ1037:AK1037"/>
    <mergeCell ref="AL1037:AM1037"/>
    <mergeCell ref="AN1037:AO1037"/>
    <mergeCell ref="AP1037:AQ1037"/>
    <mergeCell ref="AR1037:AS1037"/>
    <mergeCell ref="AT1037:AU1037"/>
    <mergeCell ref="AV1037:AW1037"/>
    <mergeCell ref="BJ1034:BM1034"/>
    <mergeCell ref="BN1034:BV1034"/>
    <mergeCell ref="AX1037:AZ1037"/>
    <mergeCell ref="BA1037:BB1037"/>
    <mergeCell ref="BD1037:BE1037"/>
    <mergeCell ref="BF1037:BI1037"/>
    <mergeCell ref="B1037:C1037"/>
    <mergeCell ref="D1037:E1037"/>
    <mergeCell ref="F1037:G1037"/>
    <mergeCell ref="H1037:I1037"/>
    <mergeCell ref="J1037:K1037"/>
    <mergeCell ref="L1037:M1037"/>
    <mergeCell ref="P1037:Q1037"/>
    <mergeCell ref="B1038:C1038"/>
    <mergeCell ref="D1038:E1038"/>
    <mergeCell ref="F1038:G1038"/>
    <mergeCell ref="H1038:I1038"/>
    <mergeCell ref="J1038:K1038"/>
    <mergeCell ref="L1038:M1038"/>
    <mergeCell ref="P1038:Q1038"/>
    <mergeCell ref="B1035:C1035"/>
    <mergeCell ref="D1035:E1035"/>
    <mergeCell ref="F1035:G1035"/>
    <mergeCell ref="H1035:I1035"/>
    <mergeCell ref="J1035:K1035"/>
    <mergeCell ref="L1035:M1035"/>
    <mergeCell ref="P1035:Q1035"/>
    <mergeCell ref="AJ1035:AK1035"/>
    <mergeCell ref="AL1035:AM1035"/>
    <mergeCell ref="AN1035:AO1035"/>
    <mergeCell ref="AP1035:AQ1035"/>
    <mergeCell ref="AR1035:AS1035"/>
    <mergeCell ref="AT1035:AU1035"/>
    <mergeCell ref="AV1035:AW1035"/>
    <mergeCell ref="R1036:S1036"/>
    <mergeCell ref="T1036:U1036"/>
    <mergeCell ref="V1036:W1036"/>
    <mergeCell ref="X1036:AA1036"/>
    <mergeCell ref="BJ1027:BM1027"/>
    <mergeCell ref="BN1027:BV1027"/>
    <mergeCell ref="BJ1028:BM1028"/>
    <mergeCell ref="BN1028:BV1028"/>
    <mergeCell ref="B1028:C1028"/>
    <mergeCell ref="D1028:E1028"/>
    <mergeCell ref="F1028:G1028"/>
    <mergeCell ref="H1028:I1028"/>
    <mergeCell ref="J1028:K1028"/>
    <mergeCell ref="L1028:M1028"/>
    <mergeCell ref="P1028:Q1028"/>
    <mergeCell ref="AJ1027:AK1027"/>
    <mergeCell ref="AL1027:AM1027"/>
    <mergeCell ref="AN1027:AO1027"/>
    <mergeCell ref="AP1027:AQ1027"/>
    <mergeCell ref="AR1027:AS1027"/>
    <mergeCell ref="AT1027:AU1027"/>
    <mergeCell ref="AV1027:AW1027"/>
    <mergeCell ref="R1027:S1027"/>
    <mergeCell ref="T1027:U1027"/>
    <mergeCell ref="V1027:W1027"/>
    <mergeCell ref="X1027:AA1027"/>
    <mergeCell ref="AB1027:AE1027"/>
    <mergeCell ref="AF1027:AG1027"/>
    <mergeCell ref="AH1027:AI1027"/>
    <mergeCell ref="B1027:C1027"/>
    <mergeCell ref="D1027:E1027"/>
    <mergeCell ref="F1027:G1027"/>
    <mergeCell ref="H1027:I1027"/>
    <mergeCell ref="J1027:K1027"/>
    <mergeCell ref="L1027:M1027"/>
    <mergeCell ref="P1027:Q1027"/>
    <mergeCell ref="BD1028:BE1028"/>
    <mergeCell ref="BF1028:BI1028"/>
    <mergeCell ref="AN1028:AO1028"/>
    <mergeCell ref="AP1028:AQ1028"/>
    <mergeCell ref="AR1028:AS1028"/>
    <mergeCell ref="AT1028:AU1028"/>
    <mergeCell ref="AV1028:AW1028"/>
    <mergeCell ref="AX1028:AZ1028"/>
    <mergeCell ref="BA1028:BB1028"/>
    <mergeCell ref="AJ1023:AK1023"/>
    <mergeCell ref="AL1023:AM1023"/>
    <mergeCell ref="R1023:S1023"/>
    <mergeCell ref="T1023:U1023"/>
    <mergeCell ref="V1023:W1023"/>
    <mergeCell ref="X1023:AA1023"/>
    <mergeCell ref="AB1023:AE1023"/>
    <mergeCell ref="AF1023:AG1023"/>
    <mergeCell ref="AH1023:AI1023"/>
    <mergeCell ref="R1024:S1024"/>
    <mergeCell ref="T1024:U1024"/>
    <mergeCell ref="V1024:W1024"/>
    <mergeCell ref="X1024:AA1024"/>
    <mergeCell ref="AB1024:AE1024"/>
    <mergeCell ref="AF1024:AG1024"/>
    <mergeCell ref="AH1024:AI1024"/>
    <mergeCell ref="AX1024:AZ1024"/>
    <mergeCell ref="BA1024:BB1024"/>
    <mergeCell ref="BD1024:BE1024"/>
    <mergeCell ref="BF1024:BI1024"/>
    <mergeCell ref="BJ1026:BM1026"/>
    <mergeCell ref="BN1026:BV1026"/>
    <mergeCell ref="AJ1026:AK1026"/>
    <mergeCell ref="AL1026:AM1026"/>
    <mergeCell ref="AN1026:AO1026"/>
    <mergeCell ref="AP1026:AQ1026"/>
    <mergeCell ref="AR1026:AS1026"/>
    <mergeCell ref="AT1026:AU1026"/>
    <mergeCell ref="AV1026:AW1026"/>
    <mergeCell ref="B1026:C1026"/>
    <mergeCell ref="D1026:E1026"/>
    <mergeCell ref="F1026:G1026"/>
    <mergeCell ref="H1026:I1026"/>
    <mergeCell ref="J1026:K1026"/>
    <mergeCell ref="L1026:M1026"/>
    <mergeCell ref="P1026:Q1026"/>
    <mergeCell ref="R1026:S1026"/>
    <mergeCell ref="T1026:U1026"/>
    <mergeCell ref="V1026:W1026"/>
    <mergeCell ref="BJ1024:BM1024"/>
    <mergeCell ref="BN1024:BV1024"/>
    <mergeCell ref="B1024:C1024"/>
    <mergeCell ref="D1024:E1024"/>
    <mergeCell ref="F1024:G1024"/>
    <mergeCell ref="H1024:I1024"/>
    <mergeCell ref="J1024:K1024"/>
    <mergeCell ref="L1024:M1024"/>
    <mergeCell ref="P1024:Q1024"/>
    <mergeCell ref="AJ1024:AK1024"/>
    <mergeCell ref="AL1024:AM1024"/>
    <mergeCell ref="AN1024:AO1024"/>
    <mergeCell ref="AP1024:AQ1024"/>
    <mergeCell ref="AR1024:AS1024"/>
    <mergeCell ref="AT1024:AU1024"/>
    <mergeCell ref="AV1024:AW1024"/>
    <mergeCell ref="B1025:C1025"/>
    <mergeCell ref="D1025:E1025"/>
    <mergeCell ref="F1025:G1025"/>
    <mergeCell ref="H1025:I1025"/>
    <mergeCell ref="J1025:K1025"/>
    <mergeCell ref="L1025:M1025"/>
    <mergeCell ref="P1025:Q1025"/>
    <mergeCell ref="X1030:AA1030"/>
    <mergeCell ref="AB1030:AE1030"/>
    <mergeCell ref="AF1030:AG1030"/>
    <mergeCell ref="AH1030:AI1030"/>
    <mergeCell ref="R1031:S1031"/>
    <mergeCell ref="T1031:U1031"/>
    <mergeCell ref="V1031:W1031"/>
    <mergeCell ref="X1031:AA1031"/>
    <mergeCell ref="AB1031:AE1031"/>
    <mergeCell ref="AF1031:AG1031"/>
    <mergeCell ref="AH1031:AI1031"/>
    <mergeCell ref="AX1031:AZ1031"/>
    <mergeCell ref="BA1031:BB1031"/>
    <mergeCell ref="BD1031:BE1031"/>
    <mergeCell ref="BF1031:BI1031"/>
    <mergeCell ref="BJ1031:BM1031"/>
    <mergeCell ref="BN1031:BV1031"/>
    <mergeCell ref="BF1029:BI1029"/>
    <mergeCell ref="BJ1029:BM1029"/>
    <mergeCell ref="BN1029:BV1029"/>
    <mergeCell ref="X1026:AA1026"/>
    <mergeCell ref="AB1026:AE1026"/>
    <mergeCell ref="AF1026:AG1026"/>
    <mergeCell ref="AH1026:AI1026"/>
    <mergeCell ref="AX1026:AZ1026"/>
    <mergeCell ref="BA1026:BB1026"/>
    <mergeCell ref="BD1026:BE1026"/>
    <mergeCell ref="BF1026:BI1026"/>
    <mergeCell ref="BD1025:BE1025"/>
    <mergeCell ref="BF1025:BI1025"/>
    <mergeCell ref="AN1025:AO1025"/>
    <mergeCell ref="AP1025:AQ1025"/>
    <mergeCell ref="AR1025:AS1025"/>
    <mergeCell ref="AT1025:AU1025"/>
    <mergeCell ref="AV1025:AW1025"/>
    <mergeCell ref="AX1025:AZ1025"/>
    <mergeCell ref="BA1025:BB1025"/>
    <mergeCell ref="AX1027:AZ1027"/>
    <mergeCell ref="BA1027:BB1027"/>
    <mergeCell ref="BD1027:BE1027"/>
    <mergeCell ref="BF1027:BI1027"/>
    <mergeCell ref="BJ1032:BM1032"/>
    <mergeCell ref="BN1032:BV1032"/>
    <mergeCell ref="B1031:C1031"/>
    <mergeCell ref="D1031:E1031"/>
    <mergeCell ref="F1031:G1031"/>
    <mergeCell ref="H1031:I1031"/>
    <mergeCell ref="J1031:K1031"/>
    <mergeCell ref="L1031:M1031"/>
    <mergeCell ref="P1031:Q1031"/>
    <mergeCell ref="B1032:C1032"/>
    <mergeCell ref="D1032:E1032"/>
    <mergeCell ref="F1032:G1032"/>
    <mergeCell ref="H1032:I1032"/>
    <mergeCell ref="J1032:K1032"/>
    <mergeCell ref="L1032:M1032"/>
    <mergeCell ref="P1032:Q1032"/>
    <mergeCell ref="AJ1031:AK1031"/>
    <mergeCell ref="AL1031:AM1031"/>
    <mergeCell ref="AN1031:AO1031"/>
    <mergeCell ref="AP1031:AQ1031"/>
    <mergeCell ref="AR1031:AS1031"/>
    <mergeCell ref="AT1031:AU1031"/>
    <mergeCell ref="AV1031:AW1031"/>
    <mergeCell ref="BD1030:BE1030"/>
    <mergeCell ref="BF1030:BI1030"/>
    <mergeCell ref="AN1030:AO1030"/>
    <mergeCell ref="AP1030:AQ1030"/>
    <mergeCell ref="AR1030:AS1030"/>
    <mergeCell ref="AT1030:AU1030"/>
    <mergeCell ref="AV1030:AW1030"/>
    <mergeCell ref="AX1030:AZ1030"/>
    <mergeCell ref="BA1030:BB1030"/>
    <mergeCell ref="BJ1033:BM1033"/>
    <mergeCell ref="BN1033:BV1033"/>
    <mergeCell ref="B1033:C1033"/>
    <mergeCell ref="D1033:E1033"/>
    <mergeCell ref="F1033:G1033"/>
    <mergeCell ref="H1033:I1033"/>
    <mergeCell ref="J1033:K1033"/>
    <mergeCell ref="L1033:M1033"/>
    <mergeCell ref="P1033:Q1033"/>
    <mergeCell ref="BJ1030:BM1030"/>
    <mergeCell ref="BN1030:BV1030"/>
    <mergeCell ref="B1034:C1034"/>
    <mergeCell ref="D1034:E1034"/>
    <mergeCell ref="F1034:G1034"/>
    <mergeCell ref="H1034:I1034"/>
    <mergeCell ref="J1034:K1034"/>
    <mergeCell ref="L1034:M1034"/>
    <mergeCell ref="P1034:Q1034"/>
    <mergeCell ref="AJ1033:AK1033"/>
    <mergeCell ref="AL1033:AM1033"/>
    <mergeCell ref="AN1033:AO1033"/>
    <mergeCell ref="AP1033:AQ1033"/>
    <mergeCell ref="AR1033:AS1033"/>
    <mergeCell ref="AT1033:AU1033"/>
    <mergeCell ref="AV1033:AW1033"/>
    <mergeCell ref="AJ1028:AK1028"/>
    <mergeCell ref="AL1028:AM1028"/>
    <mergeCell ref="R1028:S1028"/>
    <mergeCell ref="T1028:U1028"/>
    <mergeCell ref="V1028:W1028"/>
    <mergeCell ref="X1028:AA1028"/>
    <mergeCell ref="AB1028:AE1028"/>
    <mergeCell ref="AF1028:AG1028"/>
    <mergeCell ref="AH1028:AI1028"/>
    <mergeCell ref="R1029:S1029"/>
    <mergeCell ref="T1029:U1029"/>
    <mergeCell ref="V1029:W1029"/>
    <mergeCell ref="X1029:AA1029"/>
    <mergeCell ref="AB1029:AE1029"/>
    <mergeCell ref="AF1029:AG1029"/>
    <mergeCell ref="AH1029:AI1029"/>
    <mergeCell ref="AX1029:AZ1029"/>
    <mergeCell ref="BA1029:BB1029"/>
    <mergeCell ref="BD1029:BE1029"/>
    <mergeCell ref="B1029:C1029"/>
    <mergeCell ref="D1029:E1029"/>
    <mergeCell ref="F1029:G1029"/>
    <mergeCell ref="H1029:I1029"/>
    <mergeCell ref="J1029:K1029"/>
    <mergeCell ref="L1029:M1029"/>
    <mergeCell ref="P1029:Q1029"/>
    <mergeCell ref="B1030:C1030"/>
    <mergeCell ref="D1030:E1030"/>
    <mergeCell ref="F1030:G1030"/>
    <mergeCell ref="H1030:I1030"/>
    <mergeCell ref="J1030:K1030"/>
    <mergeCell ref="L1030:M1030"/>
    <mergeCell ref="P1030:Q1030"/>
    <mergeCell ref="AJ1029:AK1029"/>
    <mergeCell ref="AJ1034:AK1034"/>
    <mergeCell ref="AL1034:AM1034"/>
    <mergeCell ref="R1034:S1034"/>
    <mergeCell ref="T1034:U1034"/>
    <mergeCell ref="V1034:W1034"/>
    <mergeCell ref="X1034:AA1034"/>
    <mergeCell ref="AB1034:AE1034"/>
    <mergeCell ref="AF1034:AG1034"/>
    <mergeCell ref="AH1034:AI1034"/>
    <mergeCell ref="P1022:Q1022"/>
    <mergeCell ref="B1023:C1023"/>
    <mergeCell ref="D1023:E1023"/>
    <mergeCell ref="F1023:G1023"/>
    <mergeCell ref="H1023:I1023"/>
    <mergeCell ref="J1023:K1023"/>
    <mergeCell ref="L1023:M1023"/>
    <mergeCell ref="P1023:Q1023"/>
    <mergeCell ref="AJ1022:AK1022"/>
    <mergeCell ref="AL1022:AM1022"/>
    <mergeCell ref="AN1022:AO1022"/>
    <mergeCell ref="AP1022:AQ1022"/>
    <mergeCell ref="AR1022:AS1022"/>
    <mergeCell ref="AT1022:AU1022"/>
    <mergeCell ref="AV1022:AW1022"/>
    <mergeCell ref="BD1034:BE1034"/>
    <mergeCell ref="BF1034:BI1034"/>
    <mergeCell ref="AN1034:AO1034"/>
    <mergeCell ref="AP1034:AQ1034"/>
    <mergeCell ref="AR1034:AS1034"/>
    <mergeCell ref="AT1034:AU1034"/>
    <mergeCell ref="AV1034:AW1034"/>
    <mergeCell ref="AX1034:AZ1034"/>
    <mergeCell ref="BA1034:BB1034"/>
    <mergeCell ref="AJ1032:AK1032"/>
    <mergeCell ref="AL1032:AM1032"/>
    <mergeCell ref="R1032:S1032"/>
    <mergeCell ref="T1032:U1032"/>
    <mergeCell ref="V1032:W1032"/>
    <mergeCell ref="X1032:AA1032"/>
    <mergeCell ref="AB1032:AE1032"/>
    <mergeCell ref="AF1032:AG1032"/>
    <mergeCell ref="AH1032:AI1032"/>
    <mergeCell ref="R1033:S1033"/>
    <mergeCell ref="T1033:U1033"/>
    <mergeCell ref="V1033:W1033"/>
    <mergeCell ref="X1033:AA1033"/>
    <mergeCell ref="AB1033:AE1033"/>
    <mergeCell ref="AF1033:AG1033"/>
    <mergeCell ref="AH1033:AI1033"/>
    <mergeCell ref="AX1033:AZ1033"/>
    <mergeCell ref="BA1033:BB1033"/>
    <mergeCell ref="BD1033:BE1033"/>
    <mergeCell ref="BF1033:BI1033"/>
    <mergeCell ref="AL1029:AM1029"/>
    <mergeCell ref="AN1029:AO1029"/>
    <mergeCell ref="AP1029:AQ1029"/>
    <mergeCell ref="AR1029:AS1029"/>
    <mergeCell ref="AT1029:AU1029"/>
    <mergeCell ref="AV1029:AW1029"/>
    <mergeCell ref="BD1032:BE1032"/>
    <mergeCell ref="BF1032:BI1032"/>
    <mergeCell ref="AN1032:AO1032"/>
    <mergeCell ref="AP1032:AQ1032"/>
    <mergeCell ref="AR1032:AS1032"/>
    <mergeCell ref="AT1032:AU1032"/>
    <mergeCell ref="AV1032:AW1032"/>
    <mergeCell ref="AX1032:AZ1032"/>
    <mergeCell ref="BA1032:BB1032"/>
    <mergeCell ref="AJ1030:AK1030"/>
    <mergeCell ref="AL1030:AM1030"/>
    <mergeCell ref="R1030:S1030"/>
    <mergeCell ref="T1030:U1030"/>
    <mergeCell ref="V1030:W1030"/>
    <mergeCell ref="BJ1020:BM1020"/>
    <mergeCell ref="BN1020:BV1020"/>
    <mergeCell ref="BJ1021:BM1021"/>
    <mergeCell ref="BN1021:BV1021"/>
    <mergeCell ref="B1020:C1020"/>
    <mergeCell ref="D1020:E1020"/>
    <mergeCell ref="F1020:G1020"/>
    <mergeCell ref="H1020:I1020"/>
    <mergeCell ref="J1020:K1020"/>
    <mergeCell ref="L1020:M1020"/>
    <mergeCell ref="P1020:Q1020"/>
    <mergeCell ref="B1021:C1021"/>
    <mergeCell ref="D1021:E1021"/>
    <mergeCell ref="F1021:G1021"/>
    <mergeCell ref="H1021:I1021"/>
    <mergeCell ref="J1021:K1021"/>
    <mergeCell ref="L1021:M1021"/>
    <mergeCell ref="P1021:Q1021"/>
    <mergeCell ref="AJ1020:AK1020"/>
    <mergeCell ref="AL1020:AM1020"/>
    <mergeCell ref="AN1020:AO1020"/>
    <mergeCell ref="AP1020:AQ1020"/>
    <mergeCell ref="AR1020:AS1020"/>
    <mergeCell ref="AT1020:AU1020"/>
    <mergeCell ref="AV1020:AW1020"/>
    <mergeCell ref="BD1023:BE1023"/>
    <mergeCell ref="BF1023:BI1023"/>
    <mergeCell ref="AN1023:AO1023"/>
    <mergeCell ref="AP1023:AQ1023"/>
    <mergeCell ref="AR1023:AS1023"/>
    <mergeCell ref="AT1023:AU1023"/>
    <mergeCell ref="AV1023:AW1023"/>
    <mergeCell ref="AX1023:AZ1023"/>
    <mergeCell ref="BA1023:BB1023"/>
    <mergeCell ref="AJ1021:AK1021"/>
    <mergeCell ref="AL1021:AM1021"/>
    <mergeCell ref="R1021:S1021"/>
    <mergeCell ref="T1021:U1021"/>
    <mergeCell ref="V1021:W1021"/>
    <mergeCell ref="X1021:AA1021"/>
    <mergeCell ref="AB1021:AE1021"/>
    <mergeCell ref="AF1021:AG1021"/>
    <mergeCell ref="AH1021:AI1021"/>
    <mergeCell ref="R1022:S1022"/>
    <mergeCell ref="T1022:U1022"/>
    <mergeCell ref="V1022:W1022"/>
    <mergeCell ref="X1022:AA1022"/>
    <mergeCell ref="AB1022:AE1022"/>
    <mergeCell ref="AF1022:AG1022"/>
    <mergeCell ref="AH1022:AI1022"/>
    <mergeCell ref="AX1022:AZ1022"/>
    <mergeCell ref="BA1022:BB1022"/>
    <mergeCell ref="BD1022:BE1022"/>
    <mergeCell ref="BF1022:BI1022"/>
    <mergeCell ref="BJ1022:BM1022"/>
    <mergeCell ref="BN1022:BV1022"/>
    <mergeCell ref="BJ1023:BM1023"/>
    <mergeCell ref="BN1023:BV1023"/>
    <mergeCell ref="B1022:C1022"/>
    <mergeCell ref="D1022:E1022"/>
    <mergeCell ref="F1022:G1022"/>
    <mergeCell ref="H1022:I1022"/>
    <mergeCell ref="J1022:K1022"/>
    <mergeCell ref="L1022:M1022"/>
    <mergeCell ref="B1018:C1018"/>
    <mergeCell ref="D1018:E1018"/>
    <mergeCell ref="F1018:G1018"/>
    <mergeCell ref="H1018:I1018"/>
    <mergeCell ref="J1018:K1018"/>
    <mergeCell ref="L1018:M1018"/>
    <mergeCell ref="P1018:Q1018"/>
    <mergeCell ref="B1019:C1019"/>
    <mergeCell ref="D1019:E1019"/>
    <mergeCell ref="F1019:G1019"/>
    <mergeCell ref="H1019:I1019"/>
    <mergeCell ref="J1019:K1019"/>
    <mergeCell ref="L1019:M1019"/>
    <mergeCell ref="P1019:Q1019"/>
    <mergeCell ref="AJ1018:AK1018"/>
    <mergeCell ref="AL1018:AM1018"/>
    <mergeCell ref="AN1018:AO1018"/>
    <mergeCell ref="AP1018:AQ1018"/>
    <mergeCell ref="AR1018:AS1018"/>
    <mergeCell ref="AT1018:AU1018"/>
    <mergeCell ref="AV1018:AW1018"/>
    <mergeCell ref="BD1021:BE1021"/>
    <mergeCell ref="BF1021:BI1021"/>
    <mergeCell ref="AN1021:AO1021"/>
    <mergeCell ref="AP1021:AQ1021"/>
    <mergeCell ref="AR1021:AS1021"/>
    <mergeCell ref="AT1021:AU1021"/>
    <mergeCell ref="AV1021:AW1021"/>
    <mergeCell ref="AX1021:AZ1021"/>
    <mergeCell ref="BA1021:BB1021"/>
    <mergeCell ref="AJ1019:AK1019"/>
    <mergeCell ref="AL1019:AM1019"/>
    <mergeCell ref="R1019:S1019"/>
    <mergeCell ref="T1019:U1019"/>
    <mergeCell ref="V1019:W1019"/>
    <mergeCell ref="X1019:AA1019"/>
    <mergeCell ref="AB1019:AE1019"/>
    <mergeCell ref="AF1019:AG1019"/>
    <mergeCell ref="AH1019:AI1019"/>
    <mergeCell ref="R1020:S1020"/>
    <mergeCell ref="T1020:U1020"/>
    <mergeCell ref="V1020:W1020"/>
    <mergeCell ref="X1020:AA1020"/>
    <mergeCell ref="AB1020:AE1020"/>
    <mergeCell ref="AF1020:AG1020"/>
    <mergeCell ref="AH1020:AI1020"/>
    <mergeCell ref="AX1020:AZ1020"/>
    <mergeCell ref="BA1020:BB1020"/>
    <mergeCell ref="BD1020:BE1020"/>
    <mergeCell ref="BF1020:BI1020"/>
    <mergeCell ref="BD1019:BE1019"/>
    <mergeCell ref="BF1019:BI1019"/>
    <mergeCell ref="AN1019:AO1019"/>
    <mergeCell ref="AP1019:AQ1019"/>
    <mergeCell ref="AR1019:AS1019"/>
    <mergeCell ref="AT1019:AU1019"/>
    <mergeCell ref="AV1019:AW1019"/>
    <mergeCell ref="AX1019:AZ1019"/>
    <mergeCell ref="BA1019:BB1019"/>
    <mergeCell ref="AB1013:AE1013"/>
    <mergeCell ref="AF1013:AG1013"/>
    <mergeCell ref="AH1013:AI1013"/>
    <mergeCell ref="R1014:S1014"/>
    <mergeCell ref="T1014:U1014"/>
    <mergeCell ref="V1014:W1014"/>
    <mergeCell ref="X1014:AA1014"/>
    <mergeCell ref="AB1014:AE1014"/>
    <mergeCell ref="AF1014:AG1014"/>
    <mergeCell ref="AH1014:AI1014"/>
    <mergeCell ref="AJ1017:AK1017"/>
    <mergeCell ref="AL1017:AM1017"/>
    <mergeCell ref="R1017:S1017"/>
    <mergeCell ref="T1017:U1017"/>
    <mergeCell ref="V1017:W1017"/>
    <mergeCell ref="X1017:AA1017"/>
    <mergeCell ref="AB1017:AE1017"/>
    <mergeCell ref="AF1017:AG1017"/>
    <mergeCell ref="AH1017:AI1017"/>
    <mergeCell ref="R1018:S1018"/>
    <mergeCell ref="T1018:U1018"/>
    <mergeCell ref="V1018:W1018"/>
    <mergeCell ref="X1018:AA1018"/>
    <mergeCell ref="AB1018:AE1018"/>
    <mergeCell ref="AF1018:AG1018"/>
    <mergeCell ref="AH1018:AI1018"/>
    <mergeCell ref="AX1018:AZ1018"/>
    <mergeCell ref="BA1018:BB1018"/>
    <mergeCell ref="BD1018:BE1018"/>
    <mergeCell ref="BF1018:BI1018"/>
    <mergeCell ref="BJ1018:BM1018"/>
    <mergeCell ref="BN1018:BV1018"/>
    <mergeCell ref="BJ1019:BM1019"/>
    <mergeCell ref="BN1019:BV1019"/>
    <mergeCell ref="AJ1015:AK1015"/>
    <mergeCell ref="AL1015:AM1015"/>
    <mergeCell ref="R1015:S1015"/>
    <mergeCell ref="T1015:U1015"/>
    <mergeCell ref="V1015:W1015"/>
    <mergeCell ref="X1015:AA1015"/>
    <mergeCell ref="AB1015:AE1015"/>
    <mergeCell ref="AF1015:AG1015"/>
    <mergeCell ref="AH1015:AI1015"/>
    <mergeCell ref="R1016:S1016"/>
    <mergeCell ref="T1016:U1016"/>
    <mergeCell ref="V1016:W1016"/>
    <mergeCell ref="X1016:AA1016"/>
    <mergeCell ref="AB1016:AE1016"/>
    <mergeCell ref="AF1016:AG1016"/>
    <mergeCell ref="AH1016:AI1016"/>
    <mergeCell ref="AX1016:AZ1016"/>
    <mergeCell ref="BA1016:BB1016"/>
    <mergeCell ref="BD1016:BE1016"/>
    <mergeCell ref="BF1016:BI1016"/>
    <mergeCell ref="BJ1016:BM1016"/>
    <mergeCell ref="BN1016:BV1016"/>
    <mergeCell ref="BJ1017:BM1017"/>
    <mergeCell ref="BN1017:BV1017"/>
    <mergeCell ref="BD1015:BE1015"/>
    <mergeCell ref="BF1015:BI1015"/>
    <mergeCell ref="AX1015:AZ1015"/>
    <mergeCell ref="BA1015:BB1015"/>
    <mergeCell ref="AJ1025:AK1025"/>
    <mergeCell ref="AL1025:AM1025"/>
    <mergeCell ref="BJ1025:BM1025"/>
    <mergeCell ref="BN1025:BV1025"/>
    <mergeCell ref="R1025:S1025"/>
    <mergeCell ref="T1025:U1025"/>
    <mergeCell ref="V1025:W1025"/>
    <mergeCell ref="X1025:AA1025"/>
    <mergeCell ref="AB1025:AE1025"/>
    <mergeCell ref="AF1025:AG1025"/>
    <mergeCell ref="AH1025:AI1025"/>
    <mergeCell ref="BD1013:BE1013"/>
    <mergeCell ref="BF1013:BI1013"/>
    <mergeCell ref="AN1013:AO1013"/>
    <mergeCell ref="AP1013:AQ1013"/>
    <mergeCell ref="AR1013:AS1013"/>
    <mergeCell ref="AT1013:AU1013"/>
    <mergeCell ref="AV1013:AW1013"/>
    <mergeCell ref="AX1013:AZ1013"/>
    <mergeCell ref="BA1013:BB1013"/>
    <mergeCell ref="BD1017:BE1017"/>
    <mergeCell ref="BF1017:BI1017"/>
    <mergeCell ref="AN1017:AO1017"/>
    <mergeCell ref="AP1017:AQ1017"/>
    <mergeCell ref="AR1017:AS1017"/>
    <mergeCell ref="AT1017:AU1017"/>
    <mergeCell ref="AV1017:AW1017"/>
    <mergeCell ref="AX1017:AZ1017"/>
    <mergeCell ref="BA1017:BB1017"/>
    <mergeCell ref="B1016:C1016"/>
    <mergeCell ref="D1016:E1016"/>
    <mergeCell ref="F1016:G1016"/>
    <mergeCell ref="H1016:I1016"/>
    <mergeCell ref="J1016:K1016"/>
    <mergeCell ref="L1016:M1016"/>
    <mergeCell ref="P1016:Q1016"/>
    <mergeCell ref="B1017:C1017"/>
    <mergeCell ref="D1017:E1017"/>
    <mergeCell ref="F1017:G1017"/>
    <mergeCell ref="H1017:I1017"/>
    <mergeCell ref="J1017:K1017"/>
    <mergeCell ref="L1017:M1017"/>
    <mergeCell ref="P1017:Q1017"/>
    <mergeCell ref="AJ1016:AK1016"/>
    <mergeCell ref="AL1016:AM1016"/>
    <mergeCell ref="AN1016:AO1016"/>
    <mergeCell ref="AP1016:AQ1016"/>
    <mergeCell ref="AR1016:AS1016"/>
    <mergeCell ref="AT1016:AU1016"/>
    <mergeCell ref="AV1016:AW1016"/>
    <mergeCell ref="B1013:C1013"/>
    <mergeCell ref="D1013:E1013"/>
    <mergeCell ref="F1013:G1013"/>
    <mergeCell ref="H1013:I1013"/>
    <mergeCell ref="J1013:K1013"/>
    <mergeCell ref="L1013:M1013"/>
    <mergeCell ref="P1013:Q1013"/>
    <mergeCell ref="AN1015:AO1015"/>
    <mergeCell ref="AP1015:AQ1015"/>
    <mergeCell ref="AR1015:AS1015"/>
    <mergeCell ref="AT1015:AU1015"/>
    <mergeCell ref="AV1015:AW1015"/>
    <mergeCell ref="AJ1013:AK1013"/>
    <mergeCell ref="AL1013:AM1013"/>
    <mergeCell ref="R1012:S1012"/>
    <mergeCell ref="T1012:U1012"/>
    <mergeCell ref="V1012:W1012"/>
    <mergeCell ref="X1012:AA1012"/>
    <mergeCell ref="AB1012:AE1012"/>
    <mergeCell ref="AF1012:AG1012"/>
    <mergeCell ref="AH1012:AI1012"/>
    <mergeCell ref="AX1012:AZ1012"/>
    <mergeCell ref="BA1012:BB1012"/>
    <mergeCell ref="BD1012:BE1012"/>
    <mergeCell ref="BF1012:BI1012"/>
    <mergeCell ref="BJ1012:BM1012"/>
    <mergeCell ref="BN1012:BV1012"/>
    <mergeCell ref="BJ1013:BM1013"/>
    <mergeCell ref="BN1013:BV1013"/>
    <mergeCell ref="BJ1014:BM1014"/>
    <mergeCell ref="BN1014:BV1014"/>
    <mergeCell ref="BJ1015:BM1015"/>
    <mergeCell ref="BN1015:BV1015"/>
    <mergeCell ref="AJ1014:AK1014"/>
    <mergeCell ref="AL1014:AM1014"/>
    <mergeCell ref="AN1014:AO1014"/>
    <mergeCell ref="AP1014:AQ1014"/>
    <mergeCell ref="AR1014:AS1014"/>
    <mergeCell ref="AT1014:AU1014"/>
    <mergeCell ref="AV1014:AW1014"/>
    <mergeCell ref="BJ1011:BM1011"/>
    <mergeCell ref="BN1011:BV1011"/>
    <mergeCell ref="AX1014:AZ1014"/>
    <mergeCell ref="BA1014:BB1014"/>
    <mergeCell ref="BD1014:BE1014"/>
    <mergeCell ref="BF1014:BI1014"/>
    <mergeCell ref="B1014:C1014"/>
    <mergeCell ref="D1014:E1014"/>
    <mergeCell ref="F1014:G1014"/>
    <mergeCell ref="H1014:I1014"/>
    <mergeCell ref="J1014:K1014"/>
    <mergeCell ref="L1014:M1014"/>
    <mergeCell ref="P1014:Q1014"/>
    <mergeCell ref="B1015:C1015"/>
    <mergeCell ref="D1015:E1015"/>
    <mergeCell ref="F1015:G1015"/>
    <mergeCell ref="H1015:I1015"/>
    <mergeCell ref="J1015:K1015"/>
    <mergeCell ref="L1015:M1015"/>
    <mergeCell ref="P1015:Q1015"/>
    <mergeCell ref="B1012:C1012"/>
    <mergeCell ref="D1012:E1012"/>
    <mergeCell ref="F1012:G1012"/>
    <mergeCell ref="H1012:I1012"/>
    <mergeCell ref="J1012:K1012"/>
    <mergeCell ref="L1012:M1012"/>
    <mergeCell ref="P1012:Q1012"/>
    <mergeCell ref="AJ1012:AK1012"/>
    <mergeCell ref="AL1012:AM1012"/>
    <mergeCell ref="AN1012:AO1012"/>
    <mergeCell ref="AP1012:AQ1012"/>
    <mergeCell ref="AR1012:AS1012"/>
    <mergeCell ref="AT1012:AU1012"/>
    <mergeCell ref="AV1012:AW1012"/>
    <mergeCell ref="R1013:S1013"/>
    <mergeCell ref="T1013:U1013"/>
    <mergeCell ref="V1013:W1013"/>
    <mergeCell ref="X1013:AA1013"/>
    <mergeCell ref="BJ1004:BM1004"/>
    <mergeCell ref="BN1004:BV1004"/>
    <mergeCell ref="BJ1005:BM1005"/>
    <mergeCell ref="BN1005:BV1005"/>
    <mergeCell ref="B1005:C1005"/>
    <mergeCell ref="D1005:E1005"/>
    <mergeCell ref="F1005:G1005"/>
    <mergeCell ref="H1005:I1005"/>
    <mergeCell ref="J1005:K1005"/>
    <mergeCell ref="L1005:M1005"/>
    <mergeCell ref="P1005:Q1005"/>
    <mergeCell ref="AJ1004:AK1004"/>
    <mergeCell ref="AL1004:AM1004"/>
    <mergeCell ref="AN1004:AO1004"/>
    <mergeCell ref="AP1004:AQ1004"/>
    <mergeCell ref="AR1004:AS1004"/>
    <mergeCell ref="AT1004:AU1004"/>
    <mergeCell ref="AV1004:AW1004"/>
    <mergeCell ref="R1004:S1004"/>
    <mergeCell ref="T1004:U1004"/>
    <mergeCell ref="V1004:W1004"/>
    <mergeCell ref="X1004:AA1004"/>
    <mergeCell ref="AB1004:AE1004"/>
    <mergeCell ref="AF1004:AG1004"/>
    <mergeCell ref="AH1004:AI1004"/>
    <mergeCell ref="B1004:C1004"/>
    <mergeCell ref="D1004:E1004"/>
    <mergeCell ref="F1004:G1004"/>
    <mergeCell ref="H1004:I1004"/>
    <mergeCell ref="J1004:K1004"/>
    <mergeCell ref="L1004:M1004"/>
    <mergeCell ref="P1004:Q1004"/>
    <mergeCell ref="BD1005:BE1005"/>
    <mergeCell ref="BF1005:BI1005"/>
    <mergeCell ref="AN1005:AO1005"/>
    <mergeCell ref="AP1005:AQ1005"/>
    <mergeCell ref="AR1005:AS1005"/>
    <mergeCell ref="AT1005:AU1005"/>
    <mergeCell ref="AV1005:AW1005"/>
    <mergeCell ref="AX1005:AZ1005"/>
    <mergeCell ref="BA1005:BB1005"/>
    <mergeCell ref="AJ1000:AK1000"/>
    <mergeCell ref="AL1000:AM1000"/>
    <mergeCell ref="R1000:S1000"/>
    <mergeCell ref="T1000:U1000"/>
    <mergeCell ref="V1000:W1000"/>
    <mergeCell ref="X1000:AA1000"/>
    <mergeCell ref="AB1000:AE1000"/>
    <mergeCell ref="AF1000:AG1000"/>
    <mergeCell ref="AH1000:AI1000"/>
    <mergeCell ref="R1001:S1001"/>
    <mergeCell ref="T1001:U1001"/>
    <mergeCell ref="V1001:W1001"/>
    <mergeCell ref="X1001:AA1001"/>
    <mergeCell ref="AB1001:AE1001"/>
    <mergeCell ref="AF1001:AG1001"/>
    <mergeCell ref="AH1001:AI1001"/>
    <mergeCell ref="AX1001:AZ1001"/>
    <mergeCell ref="BA1001:BB1001"/>
    <mergeCell ref="BD1001:BE1001"/>
    <mergeCell ref="BF1001:BI1001"/>
    <mergeCell ref="BJ1003:BM1003"/>
    <mergeCell ref="BN1003:BV1003"/>
    <mergeCell ref="AJ1003:AK1003"/>
    <mergeCell ref="AL1003:AM1003"/>
    <mergeCell ref="AN1003:AO1003"/>
    <mergeCell ref="AP1003:AQ1003"/>
    <mergeCell ref="AR1003:AS1003"/>
    <mergeCell ref="AT1003:AU1003"/>
    <mergeCell ref="AV1003:AW1003"/>
    <mergeCell ref="B1003:C1003"/>
    <mergeCell ref="D1003:E1003"/>
    <mergeCell ref="F1003:G1003"/>
    <mergeCell ref="H1003:I1003"/>
    <mergeCell ref="J1003:K1003"/>
    <mergeCell ref="L1003:M1003"/>
    <mergeCell ref="P1003:Q1003"/>
    <mergeCell ref="R1003:S1003"/>
    <mergeCell ref="T1003:U1003"/>
    <mergeCell ref="V1003:W1003"/>
    <mergeCell ref="BJ1001:BM1001"/>
    <mergeCell ref="BN1001:BV1001"/>
    <mergeCell ref="B1001:C1001"/>
    <mergeCell ref="D1001:E1001"/>
    <mergeCell ref="F1001:G1001"/>
    <mergeCell ref="H1001:I1001"/>
    <mergeCell ref="J1001:K1001"/>
    <mergeCell ref="L1001:M1001"/>
    <mergeCell ref="P1001:Q1001"/>
    <mergeCell ref="AJ1001:AK1001"/>
    <mergeCell ref="AL1001:AM1001"/>
    <mergeCell ref="AN1001:AO1001"/>
    <mergeCell ref="AP1001:AQ1001"/>
    <mergeCell ref="AR1001:AS1001"/>
    <mergeCell ref="AT1001:AU1001"/>
    <mergeCell ref="AV1001:AW1001"/>
    <mergeCell ref="B1002:C1002"/>
    <mergeCell ref="D1002:E1002"/>
    <mergeCell ref="F1002:G1002"/>
    <mergeCell ref="H1002:I1002"/>
    <mergeCell ref="J1002:K1002"/>
    <mergeCell ref="L1002:M1002"/>
    <mergeCell ref="P1002:Q1002"/>
    <mergeCell ref="X1007:AA1007"/>
    <mergeCell ref="AB1007:AE1007"/>
    <mergeCell ref="AF1007:AG1007"/>
    <mergeCell ref="AH1007:AI1007"/>
    <mergeCell ref="R1008:S1008"/>
    <mergeCell ref="T1008:U1008"/>
    <mergeCell ref="V1008:W1008"/>
    <mergeCell ref="X1008:AA1008"/>
    <mergeCell ref="AB1008:AE1008"/>
    <mergeCell ref="AF1008:AG1008"/>
    <mergeCell ref="AH1008:AI1008"/>
    <mergeCell ref="AX1008:AZ1008"/>
    <mergeCell ref="BA1008:BB1008"/>
    <mergeCell ref="BD1008:BE1008"/>
    <mergeCell ref="BF1008:BI1008"/>
    <mergeCell ref="BJ1008:BM1008"/>
    <mergeCell ref="BN1008:BV1008"/>
    <mergeCell ref="BF1006:BI1006"/>
    <mergeCell ref="BJ1006:BM1006"/>
    <mergeCell ref="BN1006:BV1006"/>
    <mergeCell ref="X1003:AA1003"/>
    <mergeCell ref="AB1003:AE1003"/>
    <mergeCell ref="AF1003:AG1003"/>
    <mergeCell ref="AH1003:AI1003"/>
    <mergeCell ref="AX1003:AZ1003"/>
    <mergeCell ref="BA1003:BB1003"/>
    <mergeCell ref="BD1003:BE1003"/>
    <mergeCell ref="BF1003:BI1003"/>
    <mergeCell ref="BD1002:BE1002"/>
    <mergeCell ref="BF1002:BI1002"/>
    <mergeCell ref="AN1002:AO1002"/>
    <mergeCell ref="AP1002:AQ1002"/>
    <mergeCell ref="AR1002:AS1002"/>
    <mergeCell ref="AT1002:AU1002"/>
    <mergeCell ref="AV1002:AW1002"/>
    <mergeCell ref="AX1002:AZ1002"/>
    <mergeCell ref="BA1002:BB1002"/>
    <mergeCell ref="AX1004:AZ1004"/>
    <mergeCell ref="BA1004:BB1004"/>
    <mergeCell ref="BD1004:BE1004"/>
    <mergeCell ref="BF1004:BI1004"/>
    <mergeCell ref="BJ1009:BM1009"/>
    <mergeCell ref="BN1009:BV1009"/>
    <mergeCell ref="B1008:C1008"/>
    <mergeCell ref="D1008:E1008"/>
    <mergeCell ref="F1008:G1008"/>
    <mergeCell ref="H1008:I1008"/>
    <mergeCell ref="J1008:K1008"/>
    <mergeCell ref="L1008:M1008"/>
    <mergeCell ref="P1008:Q1008"/>
    <mergeCell ref="B1009:C1009"/>
    <mergeCell ref="D1009:E1009"/>
    <mergeCell ref="F1009:G1009"/>
    <mergeCell ref="H1009:I1009"/>
    <mergeCell ref="J1009:K1009"/>
    <mergeCell ref="L1009:M1009"/>
    <mergeCell ref="P1009:Q1009"/>
    <mergeCell ref="AJ1008:AK1008"/>
    <mergeCell ref="AL1008:AM1008"/>
    <mergeCell ref="AN1008:AO1008"/>
    <mergeCell ref="AP1008:AQ1008"/>
    <mergeCell ref="AR1008:AS1008"/>
    <mergeCell ref="AT1008:AU1008"/>
    <mergeCell ref="AV1008:AW1008"/>
    <mergeCell ref="BD1007:BE1007"/>
    <mergeCell ref="BF1007:BI1007"/>
    <mergeCell ref="AN1007:AO1007"/>
    <mergeCell ref="AP1007:AQ1007"/>
    <mergeCell ref="AR1007:AS1007"/>
    <mergeCell ref="AT1007:AU1007"/>
    <mergeCell ref="AV1007:AW1007"/>
    <mergeCell ref="AX1007:AZ1007"/>
    <mergeCell ref="BA1007:BB1007"/>
    <mergeCell ref="BJ1010:BM1010"/>
    <mergeCell ref="BN1010:BV1010"/>
    <mergeCell ref="B1010:C1010"/>
    <mergeCell ref="D1010:E1010"/>
    <mergeCell ref="F1010:G1010"/>
    <mergeCell ref="H1010:I1010"/>
    <mergeCell ref="J1010:K1010"/>
    <mergeCell ref="L1010:M1010"/>
    <mergeCell ref="P1010:Q1010"/>
    <mergeCell ref="BJ1007:BM1007"/>
    <mergeCell ref="BN1007:BV1007"/>
    <mergeCell ref="B1011:C1011"/>
    <mergeCell ref="D1011:E1011"/>
    <mergeCell ref="F1011:G1011"/>
    <mergeCell ref="H1011:I1011"/>
    <mergeCell ref="J1011:K1011"/>
    <mergeCell ref="L1011:M1011"/>
    <mergeCell ref="P1011:Q1011"/>
    <mergeCell ref="AJ1010:AK1010"/>
    <mergeCell ref="AL1010:AM1010"/>
    <mergeCell ref="AN1010:AO1010"/>
    <mergeCell ref="AP1010:AQ1010"/>
    <mergeCell ref="AR1010:AS1010"/>
    <mergeCell ref="AT1010:AU1010"/>
    <mergeCell ref="AV1010:AW1010"/>
    <mergeCell ref="AJ1005:AK1005"/>
    <mergeCell ref="AL1005:AM1005"/>
    <mergeCell ref="R1005:S1005"/>
    <mergeCell ref="T1005:U1005"/>
    <mergeCell ref="V1005:W1005"/>
    <mergeCell ref="X1005:AA1005"/>
    <mergeCell ref="AB1005:AE1005"/>
    <mergeCell ref="AF1005:AG1005"/>
    <mergeCell ref="AH1005:AI1005"/>
    <mergeCell ref="R1006:S1006"/>
    <mergeCell ref="T1006:U1006"/>
    <mergeCell ref="V1006:W1006"/>
    <mergeCell ref="X1006:AA1006"/>
    <mergeCell ref="AB1006:AE1006"/>
    <mergeCell ref="AF1006:AG1006"/>
    <mergeCell ref="AH1006:AI1006"/>
    <mergeCell ref="AX1006:AZ1006"/>
    <mergeCell ref="BA1006:BB1006"/>
    <mergeCell ref="BD1006:BE1006"/>
    <mergeCell ref="B1006:C1006"/>
    <mergeCell ref="D1006:E1006"/>
    <mergeCell ref="F1006:G1006"/>
    <mergeCell ref="H1006:I1006"/>
    <mergeCell ref="J1006:K1006"/>
    <mergeCell ref="L1006:M1006"/>
    <mergeCell ref="P1006:Q1006"/>
    <mergeCell ref="B1007:C1007"/>
    <mergeCell ref="D1007:E1007"/>
    <mergeCell ref="F1007:G1007"/>
    <mergeCell ref="H1007:I1007"/>
    <mergeCell ref="J1007:K1007"/>
    <mergeCell ref="L1007:M1007"/>
    <mergeCell ref="P1007:Q1007"/>
    <mergeCell ref="AJ1006:AK1006"/>
    <mergeCell ref="AJ1011:AK1011"/>
    <mergeCell ref="AL1011:AM1011"/>
    <mergeCell ref="R1011:S1011"/>
    <mergeCell ref="T1011:U1011"/>
    <mergeCell ref="V1011:W1011"/>
    <mergeCell ref="X1011:AA1011"/>
    <mergeCell ref="AB1011:AE1011"/>
    <mergeCell ref="AF1011:AG1011"/>
    <mergeCell ref="AH1011:AI1011"/>
    <mergeCell ref="P999:Q999"/>
    <mergeCell ref="B1000:C1000"/>
    <mergeCell ref="D1000:E1000"/>
    <mergeCell ref="F1000:G1000"/>
    <mergeCell ref="H1000:I1000"/>
    <mergeCell ref="J1000:K1000"/>
    <mergeCell ref="L1000:M1000"/>
    <mergeCell ref="P1000:Q1000"/>
    <mergeCell ref="AJ999:AK999"/>
    <mergeCell ref="AL999:AM999"/>
    <mergeCell ref="AN999:AO999"/>
    <mergeCell ref="AP999:AQ999"/>
    <mergeCell ref="AR999:AS999"/>
    <mergeCell ref="AT999:AU999"/>
    <mergeCell ref="AV999:AW999"/>
    <mergeCell ref="BD1011:BE1011"/>
    <mergeCell ref="BF1011:BI1011"/>
    <mergeCell ref="AN1011:AO1011"/>
    <mergeCell ref="AP1011:AQ1011"/>
    <mergeCell ref="AR1011:AS1011"/>
    <mergeCell ref="AT1011:AU1011"/>
    <mergeCell ref="AV1011:AW1011"/>
    <mergeCell ref="AX1011:AZ1011"/>
    <mergeCell ref="BA1011:BB1011"/>
    <mergeCell ref="AJ1009:AK1009"/>
    <mergeCell ref="AL1009:AM1009"/>
    <mergeCell ref="R1009:S1009"/>
    <mergeCell ref="T1009:U1009"/>
    <mergeCell ref="V1009:W1009"/>
    <mergeCell ref="X1009:AA1009"/>
    <mergeCell ref="AB1009:AE1009"/>
    <mergeCell ref="AF1009:AG1009"/>
    <mergeCell ref="AH1009:AI1009"/>
    <mergeCell ref="R1010:S1010"/>
    <mergeCell ref="T1010:U1010"/>
    <mergeCell ref="V1010:W1010"/>
    <mergeCell ref="X1010:AA1010"/>
    <mergeCell ref="AB1010:AE1010"/>
    <mergeCell ref="AF1010:AG1010"/>
    <mergeCell ref="AH1010:AI1010"/>
    <mergeCell ref="AX1010:AZ1010"/>
    <mergeCell ref="BA1010:BB1010"/>
    <mergeCell ref="BD1010:BE1010"/>
    <mergeCell ref="BF1010:BI1010"/>
    <mergeCell ref="AL1006:AM1006"/>
    <mergeCell ref="AN1006:AO1006"/>
    <mergeCell ref="AP1006:AQ1006"/>
    <mergeCell ref="AR1006:AS1006"/>
    <mergeCell ref="AT1006:AU1006"/>
    <mergeCell ref="AV1006:AW1006"/>
    <mergeCell ref="BD1009:BE1009"/>
    <mergeCell ref="BF1009:BI1009"/>
    <mergeCell ref="AN1009:AO1009"/>
    <mergeCell ref="AP1009:AQ1009"/>
    <mergeCell ref="AR1009:AS1009"/>
    <mergeCell ref="AT1009:AU1009"/>
    <mergeCell ref="AV1009:AW1009"/>
    <mergeCell ref="AX1009:AZ1009"/>
    <mergeCell ref="BA1009:BB1009"/>
    <mergeCell ref="AJ1007:AK1007"/>
    <mergeCell ref="AL1007:AM1007"/>
    <mergeCell ref="R1007:S1007"/>
    <mergeCell ref="T1007:U1007"/>
    <mergeCell ref="V1007:W1007"/>
    <mergeCell ref="BJ997:BM997"/>
    <mergeCell ref="BN997:BV997"/>
    <mergeCell ref="BJ998:BM998"/>
    <mergeCell ref="BN998:BV998"/>
    <mergeCell ref="B997:C997"/>
    <mergeCell ref="D997:E997"/>
    <mergeCell ref="F997:G997"/>
    <mergeCell ref="H997:I997"/>
    <mergeCell ref="J997:K997"/>
    <mergeCell ref="L997:M997"/>
    <mergeCell ref="P997:Q997"/>
    <mergeCell ref="B998:C998"/>
    <mergeCell ref="D998:E998"/>
    <mergeCell ref="F998:G998"/>
    <mergeCell ref="H998:I998"/>
    <mergeCell ref="J998:K998"/>
    <mergeCell ref="L998:M998"/>
    <mergeCell ref="P998:Q998"/>
    <mergeCell ref="AJ997:AK997"/>
    <mergeCell ref="AL997:AM997"/>
    <mergeCell ref="AN997:AO997"/>
    <mergeCell ref="AP997:AQ997"/>
    <mergeCell ref="AR997:AS997"/>
    <mergeCell ref="AT997:AU997"/>
    <mergeCell ref="AV997:AW997"/>
    <mergeCell ref="BD1000:BE1000"/>
    <mergeCell ref="BF1000:BI1000"/>
    <mergeCell ref="AN1000:AO1000"/>
    <mergeCell ref="AP1000:AQ1000"/>
    <mergeCell ref="AR1000:AS1000"/>
    <mergeCell ref="AT1000:AU1000"/>
    <mergeCell ref="AV1000:AW1000"/>
    <mergeCell ref="AX1000:AZ1000"/>
    <mergeCell ref="BA1000:BB1000"/>
    <mergeCell ref="AJ998:AK998"/>
    <mergeCell ref="AL998:AM998"/>
    <mergeCell ref="R998:S998"/>
    <mergeCell ref="T998:U998"/>
    <mergeCell ref="V998:W998"/>
    <mergeCell ref="X998:AA998"/>
    <mergeCell ref="AB998:AE998"/>
    <mergeCell ref="AF998:AG998"/>
    <mergeCell ref="AH998:AI998"/>
    <mergeCell ref="R999:S999"/>
    <mergeCell ref="T999:U999"/>
    <mergeCell ref="V999:W999"/>
    <mergeCell ref="X999:AA999"/>
    <mergeCell ref="AB999:AE999"/>
    <mergeCell ref="AF999:AG999"/>
    <mergeCell ref="AH999:AI999"/>
    <mergeCell ref="AX999:AZ999"/>
    <mergeCell ref="BA999:BB999"/>
    <mergeCell ref="BD999:BE999"/>
    <mergeCell ref="BF999:BI999"/>
    <mergeCell ref="BJ999:BM999"/>
    <mergeCell ref="BN999:BV999"/>
    <mergeCell ref="BJ1000:BM1000"/>
    <mergeCell ref="BN1000:BV1000"/>
    <mergeCell ref="B999:C999"/>
    <mergeCell ref="D999:E999"/>
    <mergeCell ref="F999:G999"/>
    <mergeCell ref="H999:I999"/>
    <mergeCell ref="J999:K999"/>
    <mergeCell ref="L999:M999"/>
    <mergeCell ref="B995:C995"/>
    <mergeCell ref="D995:E995"/>
    <mergeCell ref="F995:G995"/>
    <mergeCell ref="H995:I995"/>
    <mergeCell ref="J995:K995"/>
    <mergeCell ref="L995:M995"/>
    <mergeCell ref="P995:Q995"/>
    <mergeCell ref="B996:C996"/>
    <mergeCell ref="D996:E996"/>
    <mergeCell ref="F996:G996"/>
    <mergeCell ref="H996:I996"/>
    <mergeCell ref="J996:K996"/>
    <mergeCell ref="L996:M996"/>
    <mergeCell ref="P996:Q996"/>
    <mergeCell ref="AJ995:AK995"/>
    <mergeCell ref="AL995:AM995"/>
    <mergeCell ref="AN995:AO995"/>
    <mergeCell ref="AP995:AQ995"/>
    <mergeCell ref="AR995:AS995"/>
    <mergeCell ref="AT995:AU995"/>
    <mergeCell ref="AV995:AW995"/>
    <mergeCell ref="BD998:BE998"/>
    <mergeCell ref="BF998:BI998"/>
    <mergeCell ref="AN998:AO998"/>
    <mergeCell ref="AP998:AQ998"/>
    <mergeCell ref="AR998:AS998"/>
    <mergeCell ref="AT998:AU998"/>
    <mergeCell ref="AV998:AW998"/>
    <mergeCell ref="AX998:AZ998"/>
    <mergeCell ref="BA998:BB998"/>
    <mergeCell ref="AJ996:AK996"/>
    <mergeCell ref="AL996:AM996"/>
    <mergeCell ref="R996:S996"/>
    <mergeCell ref="T996:U996"/>
    <mergeCell ref="V996:W996"/>
    <mergeCell ref="X996:AA996"/>
    <mergeCell ref="AB996:AE996"/>
    <mergeCell ref="AF996:AG996"/>
    <mergeCell ref="AH996:AI996"/>
    <mergeCell ref="R997:S997"/>
    <mergeCell ref="T997:U997"/>
    <mergeCell ref="V997:W997"/>
    <mergeCell ref="X997:AA997"/>
    <mergeCell ref="AB997:AE997"/>
    <mergeCell ref="AF997:AG997"/>
    <mergeCell ref="AH997:AI997"/>
    <mergeCell ref="AX997:AZ997"/>
    <mergeCell ref="BA997:BB997"/>
    <mergeCell ref="BD997:BE997"/>
    <mergeCell ref="BF997:BI997"/>
    <mergeCell ref="BD996:BE996"/>
    <mergeCell ref="BF996:BI996"/>
    <mergeCell ref="AN996:AO996"/>
    <mergeCell ref="AP996:AQ996"/>
    <mergeCell ref="AR996:AS996"/>
    <mergeCell ref="AT996:AU996"/>
    <mergeCell ref="AV996:AW996"/>
    <mergeCell ref="AX996:AZ996"/>
    <mergeCell ref="BA996:BB996"/>
    <mergeCell ref="AB990:AE990"/>
    <mergeCell ref="AF990:AG990"/>
    <mergeCell ref="AH990:AI990"/>
    <mergeCell ref="R991:S991"/>
    <mergeCell ref="T991:U991"/>
    <mergeCell ref="V991:W991"/>
    <mergeCell ref="X991:AA991"/>
    <mergeCell ref="AB991:AE991"/>
    <mergeCell ref="AF991:AG991"/>
    <mergeCell ref="AH991:AI991"/>
    <mergeCell ref="AJ994:AK994"/>
    <mergeCell ref="AL994:AM994"/>
    <mergeCell ref="R994:S994"/>
    <mergeCell ref="T994:U994"/>
    <mergeCell ref="V994:W994"/>
    <mergeCell ref="X994:AA994"/>
    <mergeCell ref="AB994:AE994"/>
    <mergeCell ref="AF994:AG994"/>
    <mergeCell ref="AH994:AI994"/>
    <mergeCell ref="R995:S995"/>
    <mergeCell ref="T995:U995"/>
    <mergeCell ref="V995:W995"/>
    <mergeCell ref="X995:AA995"/>
    <mergeCell ref="AB995:AE995"/>
    <mergeCell ref="AF995:AG995"/>
    <mergeCell ref="AH995:AI995"/>
    <mergeCell ref="AX995:AZ995"/>
    <mergeCell ref="BA995:BB995"/>
    <mergeCell ref="BD995:BE995"/>
    <mergeCell ref="BF995:BI995"/>
    <mergeCell ref="BJ995:BM995"/>
    <mergeCell ref="BN995:BV995"/>
    <mergeCell ref="BJ996:BM996"/>
    <mergeCell ref="BN996:BV996"/>
    <mergeCell ref="AJ992:AK992"/>
    <mergeCell ref="AL992:AM992"/>
    <mergeCell ref="R992:S992"/>
    <mergeCell ref="T992:U992"/>
    <mergeCell ref="V992:W992"/>
    <mergeCell ref="X992:AA992"/>
    <mergeCell ref="AB992:AE992"/>
    <mergeCell ref="AF992:AG992"/>
    <mergeCell ref="AH992:AI992"/>
    <mergeCell ref="R993:S993"/>
    <mergeCell ref="T993:U993"/>
    <mergeCell ref="V993:W993"/>
    <mergeCell ref="X993:AA993"/>
    <mergeCell ref="AB993:AE993"/>
    <mergeCell ref="AF993:AG993"/>
    <mergeCell ref="AH993:AI993"/>
    <mergeCell ref="AX993:AZ993"/>
    <mergeCell ref="BA993:BB993"/>
    <mergeCell ref="BD993:BE993"/>
    <mergeCell ref="BF993:BI993"/>
    <mergeCell ref="BJ993:BM993"/>
    <mergeCell ref="BN993:BV993"/>
    <mergeCell ref="BJ994:BM994"/>
    <mergeCell ref="BN994:BV994"/>
    <mergeCell ref="BD992:BE992"/>
    <mergeCell ref="BF992:BI992"/>
    <mergeCell ref="AX992:AZ992"/>
    <mergeCell ref="BA992:BB992"/>
    <mergeCell ref="AJ1002:AK1002"/>
    <mergeCell ref="AL1002:AM1002"/>
    <mergeCell ref="BJ1002:BM1002"/>
    <mergeCell ref="BN1002:BV1002"/>
    <mergeCell ref="R1002:S1002"/>
    <mergeCell ref="T1002:U1002"/>
    <mergeCell ref="V1002:W1002"/>
    <mergeCell ref="X1002:AA1002"/>
    <mergeCell ref="AB1002:AE1002"/>
    <mergeCell ref="AF1002:AG1002"/>
    <mergeCell ref="AH1002:AI1002"/>
    <mergeCell ref="BD990:BE990"/>
    <mergeCell ref="BF990:BI990"/>
    <mergeCell ref="AN990:AO990"/>
    <mergeCell ref="AP990:AQ990"/>
    <mergeCell ref="AR990:AS990"/>
    <mergeCell ref="AT990:AU990"/>
    <mergeCell ref="AV990:AW990"/>
    <mergeCell ref="AX990:AZ990"/>
    <mergeCell ref="BA990:BB990"/>
    <mergeCell ref="BD994:BE994"/>
    <mergeCell ref="BF994:BI994"/>
    <mergeCell ref="AN994:AO994"/>
    <mergeCell ref="AP994:AQ994"/>
    <mergeCell ref="AR994:AS994"/>
    <mergeCell ref="AT994:AU994"/>
    <mergeCell ref="AV994:AW994"/>
    <mergeCell ref="AX994:AZ994"/>
    <mergeCell ref="BA994:BB994"/>
    <mergeCell ref="B993:C993"/>
    <mergeCell ref="D993:E993"/>
    <mergeCell ref="F993:G993"/>
    <mergeCell ref="H993:I993"/>
    <mergeCell ref="J993:K993"/>
    <mergeCell ref="L993:M993"/>
    <mergeCell ref="P993:Q993"/>
    <mergeCell ref="B994:C994"/>
    <mergeCell ref="D994:E994"/>
    <mergeCell ref="F994:G994"/>
    <mergeCell ref="H994:I994"/>
    <mergeCell ref="J994:K994"/>
    <mergeCell ref="L994:M994"/>
    <mergeCell ref="P994:Q994"/>
    <mergeCell ref="AJ993:AK993"/>
    <mergeCell ref="AL993:AM993"/>
    <mergeCell ref="AN993:AO993"/>
    <mergeCell ref="AP993:AQ993"/>
    <mergeCell ref="AR993:AS993"/>
    <mergeCell ref="AT993:AU993"/>
    <mergeCell ref="AV993:AW993"/>
    <mergeCell ref="B990:C990"/>
    <mergeCell ref="D990:E990"/>
    <mergeCell ref="F990:G990"/>
    <mergeCell ref="H990:I990"/>
    <mergeCell ref="J990:K990"/>
    <mergeCell ref="L990:M990"/>
    <mergeCell ref="P990:Q990"/>
    <mergeCell ref="AN992:AO992"/>
    <mergeCell ref="AP992:AQ992"/>
    <mergeCell ref="AR992:AS992"/>
    <mergeCell ref="AT992:AU992"/>
    <mergeCell ref="AV992:AW992"/>
    <mergeCell ref="AJ990:AK990"/>
    <mergeCell ref="AL990:AM990"/>
    <mergeCell ref="R989:S989"/>
    <mergeCell ref="T989:U989"/>
    <mergeCell ref="V989:W989"/>
    <mergeCell ref="X989:AA989"/>
    <mergeCell ref="AB989:AE989"/>
    <mergeCell ref="AF989:AG989"/>
    <mergeCell ref="AH989:AI989"/>
    <mergeCell ref="AX989:AZ989"/>
    <mergeCell ref="BA989:BB989"/>
    <mergeCell ref="BD989:BE989"/>
    <mergeCell ref="BF989:BI989"/>
    <mergeCell ref="BJ989:BM989"/>
    <mergeCell ref="BN989:BV989"/>
    <mergeCell ref="BJ990:BM990"/>
    <mergeCell ref="BN990:BV990"/>
    <mergeCell ref="BJ991:BM991"/>
    <mergeCell ref="BN991:BV991"/>
    <mergeCell ref="BJ992:BM992"/>
    <mergeCell ref="BN992:BV992"/>
    <mergeCell ref="AJ991:AK991"/>
    <mergeCell ref="AL991:AM991"/>
    <mergeCell ref="AN991:AO991"/>
    <mergeCell ref="AP991:AQ991"/>
    <mergeCell ref="AR991:AS991"/>
    <mergeCell ref="AT991:AU991"/>
    <mergeCell ref="AV991:AW991"/>
    <mergeCell ref="BJ988:BM988"/>
    <mergeCell ref="BN988:BV988"/>
    <mergeCell ref="AX991:AZ991"/>
    <mergeCell ref="BA991:BB991"/>
    <mergeCell ref="BD991:BE991"/>
    <mergeCell ref="BF991:BI991"/>
    <mergeCell ref="B991:C991"/>
    <mergeCell ref="D991:E991"/>
    <mergeCell ref="F991:G991"/>
    <mergeCell ref="H991:I991"/>
    <mergeCell ref="J991:K991"/>
    <mergeCell ref="L991:M991"/>
    <mergeCell ref="P991:Q991"/>
    <mergeCell ref="B992:C992"/>
    <mergeCell ref="D992:E992"/>
    <mergeCell ref="F992:G992"/>
    <mergeCell ref="H992:I992"/>
    <mergeCell ref="J992:K992"/>
    <mergeCell ref="L992:M992"/>
    <mergeCell ref="P992:Q992"/>
    <mergeCell ref="B989:C989"/>
    <mergeCell ref="D989:E989"/>
    <mergeCell ref="F989:G989"/>
    <mergeCell ref="H989:I989"/>
    <mergeCell ref="J989:K989"/>
    <mergeCell ref="L989:M989"/>
    <mergeCell ref="P989:Q989"/>
    <mergeCell ref="AJ989:AK989"/>
    <mergeCell ref="AL989:AM989"/>
    <mergeCell ref="AN989:AO989"/>
    <mergeCell ref="AP989:AQ989"/>
    <mergeCell ref="AR989:AS989"/>
    <mergeCell ref="AT989:AU989"/>
    <mergeCell ref="AV989:AW989"/>
    <mergeCell ref="R990:S990"/>
    <mergeCell ref="T990:U990"/>
    <mergeCell ref="V990:W990"/>
    <mergeCell ref="X990:AA990"/>
    <mergeCell ref="BJ981:BM981"/>
    <mergeCell ref="BN981:BV981"/>
    <mergeCell ref="BJ982:BM982"/>
    <mergeCell ref="BN982:BV982"/>
    <mergeCell ref="B982:C982"/>
    <mergeCell ref="D982:E982"/>
    <mergeCell ref="F982:G982"/>
    <mergeCell ref="H982:I982"/>
    <mergeCell ref="J982:K982"/>
    <mergeCell ref="L982:M982"/>
    <mergeCell ref="P982:Q982"/>
    <mergeCell ref="AJ981:AK981"/>
    <mergeCell ref="AL981:AM981"/>
    <mergeCell ref="AN981:AO981"/>
    <mergeCell ref="AP981:AQ981"/>
    <mergeCell ref="AR981:AS981"/>
    <mergeCell ref="AT981:AU981"/>
    <mergeCell ref="AV981:AW981"/>
    <mergeCell ref="R981:S981"/>
    <mergeCell ref="T981:U981"/>
    <mergeCell ref="V981:W981"/>
    <mergeCell ref="X981:AA981"/>
    <mergeCell ref="AB981:AE981"/>
    <mergeCell ref="AF981:AG981"/>
    <mergeCell ref="AH981:AI981"/>
    <mergeCell ref="B981:C981"/>
    <mergeCell ref="D981:E981"/>
    <mergeCell ref="F981:G981"/>
    <mergeCell ref="H981:I981"/>
    <mergeCell ref="J981:K981"/>
    <mergeCell ref="L981:M981"/>
    <mergeCell ref="P981:Q981"/>
    <mergeCell ref="BD982:BE982"/>
    <mergeCell ref="BF982:BI982"/>
    <mergeCell ref="AN982:AO982"/>
    <mergeCell ref="AP982:AQ982"/>
    <mergeCell ref="AR982:AS982"/>
    <mergeCell ref="AT982:AU982"/>
    <mergeCell ref="AV982:AW982"/>
    <mergeCell ref="AX982:AZ982"/>
    <mergeCell ref="BA982:BB982"/>
    <mergeCell ref="AJ977:AK977"/>
    <mergeCell ref="AL977:AM977"/>
    <mergeCell ref="R977:S977"/>
    <mergeCell ref="T977:U977"/>
    <mergeCell ref="V977:W977"/>
    <mergeCell ref="X977:AA977"/>
    <mergeCell ref="AB977:AE977"/>
    <mergeCell ref="AF977:AG977"/>
    <mergeCell ref="AH977:AI977"/>
    <mergeCell ref="R978:S978"/>
    <mergeCell ref="T978:U978"/>
    <mergeCell ref="V978:W978"/>
    <mergeCell ref="X978:AA978"/>
    <mergeCell ref="AB978:AE978"/>
    <mergeCell ref="AF978:AG978"/>
    <mergeCell ref="AH978:AI978"/>
    <mergeCell ref="AX978:AZ978"/>
    <mergeCell ref="BA978:BB978"/>
    <mergeCell ref="BD978:BE978"/>
    <mergeCell ref="BF978:BI978"/>
    <mergeCell ref="BJ980:BM980"/>
    <mergeCell ref="BN980:BV980"/>
    <mergeCell ref="AJ980:AK980"/>
    <mergeCell ref="AL980:AM980"/>
    <mergeCell ref="AN980:AO980"/>
    <mergeCell ref="AP980:AQ980"/>
    <mergeCell ref="AR980:AS980"/>
    <mergeCell ref="AT980:AU980"/>
    <mergeCell ref="AV980:AW980"/>
    <mergeCell ref="B980:C980"/>
    <mergeCell ref="D980:E980"/>
    <mergeCell ref="F980:G980"/>
    <mergeCell ref="H980:I980"/>
    <mergeCell ref="J980:K980"/>
    <mergeCell ref="L980:M980"/>
    <mergeCell ref="P980:Q980"/>
    <mergeCell ref="R980:S980"/>
    <mergeCell ref="T980:U980"/>
    <mergeCell ref="V980:W980"/>
    <mergeCell ref="BJ978:BM978"/>
    <mergeCell ref="BN978:BV978"/>
    <mergeCell ref="B978:C978"/>
    <mergeCell ref="D978:E978"/>
    <mergeCell ref="F978:G978"/>
    <mergeCell ref="H978:I978"/>
    <mergeCell ref="J978:K978"/>
    <mergeCell ref="L978:M978"/>
    <mergeCell ref="P978:Q978"/>
    <mergeCell ref="AJ978:AK978"/>
    <mergeCell ref="AL978:AM978"/>
    <mergeCell ref="AN978:AO978"/>
    <mergeCell ref="AP978:AQ978"/>
    <mergeCell ref="AR978:AS978"/>
    <mergeCell ref="AT978:AU978"/>
    <mergeCell ref="AV978:AW978"/>
    <mergeCell ref="B979:C979"/>
    <mergeCell ref="D979:E979"/>
    <mergeCell ref="F979:G979"/>
    <mergeCell ref="H979:I979"/>
    <mergeCell ref="J979:K979"/>
    <mergeCell ref="L979:M979"/>
    <mergeCell ref="P979:Q979"/>
    <mergeCell ref="X984:AA984"/>
    <mergeCell ref="AB984:AE984"/>
    <mergeCell ref="AF984:AG984"/>
    <mergeCell ref="AH984:AI984"/>
    <mergeCell ref="R985:S985"/>
    <mergeCell ref="T985:U985"/>
    <mergeCell ref="V985:W985"/>
    <mergeCell ref="X985:AA985"/>
    <mergeCell ref="AB985:AE985"/>
    <mergeCell ref="AF985:AG985"/>
    <mergeCell ref="AH985:AI985"/>
    <mergeCell ref="AX985:AZ985"/>
    <mergeCell ref="BA985:BB985"/>
    <mergeCell ref="BD985:BE985"/>
    <mergeCell ref="BF985:BI985"/>
    <mergeCell ref="BJ985:BM985"/>
    <mergeCell ref="BN985:BV985"/>
    <mergeCell ref="BF983:BI983"/>
    <mergeCell ref="BJ983:BM983"/>
    <mergeCell ref="BN983:BV983"/>
    <mergeCell ref="X980:AA980"/>
    <mergeCell ref="AB980:AE980"/>
    <mergeCell ref="AF980:AG980"/>
    <mergeCell ref="AH980:AI980"/>
    <mergeCell ref="AX980:AZ980"/>
    <mergeCell ref="BA980:BB980"/>
    <mergeCell ref="BD980:BE980"/>
    <mergeCell ref="BF980:BI980"/>
    <mergeCell ref="BD979:BE979"/>
    <mergeCell ref="BF979:BI979"/>
    <mergeCell ref="AN979:AO979"/>
    <mergeCell ref="AP979:AQ979"/>
    <mergeCell ref="AR979:AS979"/>
    <mergeCell ref="AT979:AU979"/>
    <mergeCell ref="AV979:AW979"/>
    <mergeCell ref="AX979:AZ979"/>
    <mergeCell ref="BA979:BB979"/>
    <mergeCell ref="AX981:AZ981"/>
    <mergeCell ref="BA981:BB981"/>
    <mergeCell ref="BD981:BE981"/>
    <mergeCell ref="BF981:BI981"/>
    <mergeCell ref="BJ986:BM986"/>
    <mergeCell ref="BN986:BV986"/>
    <mergeCell ref="B985:C985"/>
    <mergeCell ref="D985:E985"/>
    <mergeCell ref="F985:G985"/>
    <mergeCell ref="H985:I985"/>
    <mergeCell ref="J985:K985"/>
    <mergeCell ref="L985:M985"/>
    <mergeCell ref="P985:Q985"/>
    <mergeCell ref="B986:C986"/>
    <mergeCell ref="D986:E986"/>
    <mergeCell ref="F986:G986"/>
    <mergeCell ref="H986:I986"/>
    <mergeCell ref="J986:K986"/>
    <mergeCell ref="L986:M986"/>
    <mergeCell ref="P986:Q986"/>
    <mergeCell ref="AJ985:AK985"/>
    <mergeCell ref="AL985:AM985"/>
    <mergeCell ref="AN985:AO985"/>
    <mergeCell ref="AP985:AQ985"/>
    <mergeCell ref="AR985:AS985"/>
    <mergeCell ref="AT985:AU985"/>
    <mergeCell ref="AV985:AW985"/>
    <mergeCell ref="BD984:BE984"/>
    <mergeCell ref="BF984:BI984"/>
    <mergeCell ref="AN984:AO984"/>
    <mergeCell ref="AP984:AQ984"/>
    <mergeCell ref="AR984:AS984"/>
    <mergeCell ref="AT984:AU984"/>
    <mergeCell ref="AV984:AW984"/>
    <mergeCell ref="AX984:AZ984"/>
    <mergeCell ref="BA984:BB984"/>
    <mergeCell ref="BJ987:BM987"/>
    <mergeCell ref="BN987:BV987"/>
    <mergeCell ref="B987:C987"/>
    <mergeCell ref="D987:E987"/>
    <mergeCell ref="F987:G987"/>
    <mergeCell ref="H987:I987"/>
    <mergeCell ref="J987:K987"/>
    <mergeCell ref="L987:M987"/>
    <mergeCell ref="P987:Q987"/>
    <mergeCell ref="BJ984:BM984"/>
    <mergeCell ref="BN984:BV984"/>
    <mergeCell ref="B988:C988"/>
    <mergeCell ref="D988:E988"/>
    <mergeCell ref="F988:G988"/>
    <mergeCell ref="H988:I988"/>
    <mergeCell ref="J988:K988"/>
    <mergeCell ref="L988:M988"/>
    <mergeCell ref="P988:Q988"/>
    <mergeCell ref="AJ987:AK987"/>
    <mergeCell ref="AL987:AM987"/>
    <mergeCell ref="AN987:AO987"/>
    <mergeCell ref="AP987:AQ987"/>
    <mergeCell ref="AR987:AS987"/>
    <mergeCell ref="AT987:AU987"/>
    <mergeCell ref="AV987:AW987"/>
    <mergeCell ref="AJ982:AK982"/>
    <mergeCell ref="AL982:AM982"/>
    <mergeCell ref="R982:S982"/>
    <mergeCell ref="T982:U982"/>
    <mergeCell ref="V982:W982"/>
    <mergeCell ref="X982:AA982"/>
    <mergeCell ref="AB982:AE982"/>
    <mergeCell ref="AF982:AG982"/>
    <mergeCell ref="AH982:AI982"/>
    <mergeCell ref="R983:S983"/>
    <mergeCell ref="T983:U983"/>
    <mergeCell ref="V983:W983"/>
    <mergeCell ref="X983:AA983"/>
    <mergeCell ref="AB983:AE983"/>
    <mergeCell ref="AF983:AG983"/>
    <mergeCell ref="AH983:AI983"/>
    <mergeCell ref="AX983:AZ983"/>
    <mergeCell ref="BA983:BB983"/>
    <mergeCell ref="BD983:BE983"/>
    <mergeCell ref="B983:C983"/>
    <mergeCell ref="D983:E983"/>
    <mergeCell ref="F983:G983"/>
    <mergeCell ref="H983:I983"/>
    <mergeCell ref="J983:K983"/>
    <mergeCell ref="L983:M983"/>
    <mergeCell ref="P983:Q983"/>
    <mergeCell ref="B984:C984"/>
    <mergeCell ref="D984:E984"/>
    <mergeCell ref="F984:G984"/>
    <mergeCell ref="H984:I984"/>
    <mergeCell ref="J984:K984"/>
    <mergeCell ref="L984:M984"/>
    <mergeCell ref="P984:Q984"/>
    <mergeCell ref="AJ983:AK983"/>
    <mergeCell ref="AJ988:AK988"/>
    <mergeCell ref="AL988:AM988"/>
    <mergeCell ref="R988:S988"/>
    <mergeCell ref="T988:U988"/>
    <mergeCell ref="V988:W988"/>
    <mergeCell ref="X988:AA988"/>
    <mergeCell ref="AB988:AE988"/>
    <mergeCell ref="AF988:AG988"/>
    <mergeCell ref="AH988:AI988"/>
    <mergeCell ref="P976:Q976"/>
    <mergeCell ref="B977:C977"/>
    <mergeCell ref="D977:E977"/>
    <mergeCell ref="F977:G977"/>
    <mergeCell ref="H977:I977"/>
    <mergeCell ref="J977:K977"/>
    <mergeCell ref="L977:M977"/>
    <mergeCell ref="P977:Q977"/>
    <mergeCell ref="AJ976:AK976"/>
    <mergeCell ref="AL976:AM976"/>
    <mergeCell ref="AN976:AO976"/>
    <mergeCell ref="AP976:AQ976"/>
    <mergeCell ref="AR976:AS976"/>
    <mergeCell ref="AT976:AU976"/>
    <mergeCell ref="AV976:AW976"/>
    <mergeCell ref="BD988:BE988"/>
    <mergeCell ref="BF988:BI988"/>
    <mergeCell ref="AN988:AO988"/>
    <mergeCell ref="AP988:AQ988"/>
    <mergeCell ref="AR988:AS988"/>
    <mergeCell ref="AT988:AU988"/>
    <mergeCell ref="AV988:AW988"/>
    <mergeCell ref="AX988:AZ988"/>
    <mergeCell ref="BA988:BB988"/>
    <mergeCell ref="AJ986:AK986"/>
    <mergeCell ref="AL986:AM986"/>
    <mergeCell ref="R986:S986"/>
    <mergeCell ref="T986:U986"/>
    <mergeCell ref="V986:W986"/>
    <mergeCell ref="X986:AA986"/>
    <mergeCell ref="AB986:AE986"/>
    <mergeCell ref="AF986:AG986"/>
    <mergeCell ref="AH986:AI986"/>
    <mergeCell ref="R987:S987"/>
    <mergeCell ref="T987:U987"/>
    <mergeCell ref="V987:W987"/>
    <mergeCell ref="X987:AA987"/>
    <mergeCell ref="AB987:AE987"/>
    <mergeCell ref="AF987:AG987"/>
    <mergeCell ref="AH987:AI987"/>
    <mergeCell ref="AX987:AZ987"/>
    <mergeCell ref="BA987:BB987"/>
    <mergeCell ref="BD987:BE987"/>
    <mergeCell ref="BF987:BI987"/>
    <mergeCell ref="AL983:AM983"/>
    <mergeCell ref="AN983:AO983"/>
    <mergeCell ref="AP983:AQ983"/>
    <mergeCell ref="AR983:AS983"/>
    <mergeCell ref="AT983:AU983"/>
    <mergeCell ref="AV983:AW983"/>
    <mergeCell ref="BD986:BE986"/>
    <mergeCell ref="BF986:BI986"/>
    <mergeCell ref="AN986:AO986"/>
    <mergeCell ref="AP986:AQ986"/>
    <mergeCell ref="AR986:AS986"/>
    <mergeCell ref="AT986:AU986"/>
    <mergeCell ref="AV986:AW986"/>
    <mergeCell ref="AX986:AZ986"/>
    <mergeCell ref="BA986:BB986"/>
    <mergeCell ref="AJ984:AK984"/>
    <mergeCell ref="AL984:AM984"/>
    <mergeCell ref="R984:S984"/>
    <mergeCell ref="T984:U984"/>
    <mergeCell ref="V984:W984"/>
    <mergeCell ref="BJ974:BM974"/>
    <mergeCell ref="BN974:BV974"/>
    <mergeCell ref="BJ975:BM975"/>
    <mergeCell ref="BN975:BV975"/>
    <mergeCell ref="B974:C974"/>
    <mergeCell ref="D974:E974"/>
    <mergeCell ref="F974:G974"/>
    <mergeCell ref="H974:I974"/>
    <mergeCell ref="J974:K974"/>
    <mergeCell ref="L974:M974"/>
    <mergeCell ref="P974:Q974"/>
    <mergeCell ref="B975:C975"/>
    <mergeCell ref="D975:E975"/>
    <mergeCell ref="F975:G975"/>
    <mergeCell ref="H975:I975"/>
    <mergeCell ref="J975:K975"/>
    <mergeCell ref="L975:M975"/>
    <mergeCell ref="P975:Q975"/>
    <mergeCell ref="AJ974:AK974"/>
    <mergeCell ref="AL974:AM974"/>
    <mergeCell ref="AN974:AO974"/>
    <mergeCell ref="AP974:AQ974"/>
    <mergeCell ref="AR974:AS974"/>
    <mergeCell ref="AT974:AU974"/>
    <mergeCell ref="AV974:AW974"/>
    <mergeCell ref="BD977:BE977"/>
    <mergeCell ref="BF977:BI977"/>
    <mergeCell ref="AN977:AO977"/>
    <mergeCell ref="AP977:AQ977"/>
    <mergeCell ref="AR977:AS977"/>
    <mergeCell ref="AT977:AU977"/>
    <mergeCell ref="AV977:AW977"/>
    <mergeCell ref="AX977:AZ977"/>
    <mergeCell ref="BA977:BB977"/>
    <mergeCell ref="AJ975:AK975"/>
    <mergeCell ref="AL975:AM975"/>
    <mergeCell ref="R975:S975"/>
    <mergeCell ref="T975:U975"/>
    <mergeCell ref="V975:W975"/>
    <mergeCell ref="X975:AA975"/>
    <mergeCell ref="AB975:AE975"/>
    <mergeCell ref="AF975:AG975"/>
    <mergeCell ref="AH975:AI975"/>
    <mergeCell ref="R976:S976"/>
    <mergeCell ref="T976:U976"/>
    <mergeCell ref="V976:W976"/>
    <mergeCell ref="X976:AA976"/>
    <mergeCell ref="AB976:AE976"/>
    <mergeCell ref="AF976:AG976"/>
    <mergeCell ref="AH976:AI976"/>
    <mergeCell ref="AX976:AZ976"/>
    <mergeCell ref="BA976:BB976"/>
    <mergeCell ref="BD976:BE976"/>
    <mergeCell ref="BF976:BI976"/>
    <mergeCell ref="BJ976:BM976"/>
    <mergeCell ref="BN976:BV976"/>
    <mergeCell ref="BJ977:BM977"/>
    <mergeCell ref="BN977:BV977"/>
    <mergeCell ref="B976:C976"/>
    <mergeCell ref="D976:E976"/>
    <mergeCell ref="F976:G976"/>
    <mergeCell ref="H976:I976"/>
    <mergeCell ref="J976:K976"/>
    <mergeCell ref="L976:M976"/>
    <mergeCell ref="P972:Q972"/>
    <mergeCell ref="B973:C973"/>
    <mergeCell ref="D973:E973"/>
    <mergeCell ref="F973:G973"/>
    <mergeCell ref="H973:I973"/>
    <mergeCell ref="J973:K973"/>
    <mergeCell ref="L973:M973"/>
    <mergeCell ref="P973:Q973"/>
    <mergeCell ref="AJ972:AK972"/>
    <mergeCell ref="AL972:AM972"/>
    <mergeCell ref="AN972:AO972"/>
    <mergeCell ref="AP972:AQ972"/>
    <mergeCell ref="AR972:AS972"/>
    <mergeCell ref="AT972:AU972"/>
    <mergeCell ref="AV972:AW972"/>
    <mergeCell ref="BD975:BE975"/>
    <mergeCell ref="BF975:BI975"/>
    <mergeCell ref="AN975:AO975"/>
    <mergeCell ref="AP975:AQ975"/>
    <mergeCell ref="AR975:AS975"/>
    <mergeCell ref="AT975:AU975"/>
    <mergeCell ref="AV975:AW975"/>
    <mergeCell ref="AX975:AZ975"/>
    <mergeCell ref="BA975:BB975"/>
    <mergeCell ref="AJ973:AK973"/>
    <mergeCell ref="AL973:AM973"/>
    <mergeCell ref="R973:S973"/>
    <mergeCell ref="T973:U973"/>
    <mergeCell ref="V973:W973"/>
    <mergeCell ref="X973:AA973"/>
    <mergeCell ref="AB973:AE973"/>
    <mergeCell ref="AF973:AG973"/>
    <mergeCell ref="AH973:AI973"/>
    <mergeCell ref="R974:S974"/>
    <mergeCell ref="T974:U974"/>
    <mergeCell ref="V974:W974"/>
    <mergeCell ref="X974:AA974"/>
    <mergeCell ref="AB974:AE974"/>
    <mergeCell ref="AF974:AG974"/>
    <mergeCell ref="AH974:AI974"/>
    <mergeCell ref="AX974:AZ974"/>
    <mergeCell ref="BA974:BB974"/>
    <mergeCell ref="BD974:BE974"/>
    <mergeCell ref="BF974:BI974"/>
    <mergeCell ref="BJ970:BM970"/>
    <mergeCell ref="BN970:BV970"/>
    <mergeCell ref="BJ971:BM971"/>
    <mergeCell ref="BN971:BV971"/>
    <mergeCell ref="B970:C970"/>
    <mergeCell ref="D970:E970"/>
    <mergeCell ref="F970:G970"/>
    <mergeCell ref="H970:I970"/>
    <mergeCell ref="J970:K970"/>
    <mergeCell ref="L970:M970"/>
    <mergeCell ref="P970:Q970"/>
    <mergeCell ref="B971:C971"/>
    <mergeCell ref="D971:E971"/>
    <mergeCell ref="F971:G971"/>
    <mergeCell ref="H971:I971"/>
    <mergeCell ref="J971:K971"/>
    <mergeCell ref="L971:M971"/>
    <mergeCell ref="P971:Q971"/>
    <mergeCell ref="AJ970:AK970"/>
    <mergeCell ref="AL970:AM970"/>
    <mergeCell ref="AN970:AO970"/>
    <mergeCell ref="AP970:AQ970"/>
    <mergeCell ref="AR970:AS970"/>
    <mergeCell ref="AT970:AU970"/>
    <mergeCell ref="AV970:AW970"/>
    <mergeCell ref="BD973:BE973"/>
    <mergeCell ref="BF973:BI973"/>
    <mergeCell ref="AN973:AO973"/>
    <mergeCell ref="AP973:AQ973"/>
    <mergeCell ref="AR973:AS973"/>
    <mergeCell ref="AT973:AU973"/>
    <mergeCell ref="AV973:AW973"/>
    <mergeCell ref="AX973:AZ973"/>
    <mergeCell ref="BA973:BB973"/>
    <mergeCell ref="AJ971:AK971"/>
    <mergeCell ref="AL971:AM971"/>
    <mergeCell ref="R971:S971"/>
    <mergeCell ref="T971:U971"/>
    <mergeCell ref="V971:W971"/>
    <mergeCell ref="X971:AA971"/>
    <mergeCell ref="AB971:AE971"/>
    <mergeCell ref="AF971:AG971"/>
    <mergeCell ref="AH971:AI971"/>
    <mergeCell ref="R972:S972"/>
    <mergeCell ref="T972:U972"/>
    <mergeCell ref="V972:W972"/>
    <mergeCell ref="X972:AA972"/>
    <mergeCell ref="AB972:AE972"/>
    <mergeCell ref="AF972:AG972"/>
    <mergeCell ref="AH972:AI972"/>
    <mergeCell ref="AX972:AZ972"/>
    <mergeCell ref="BA972:BB972"/>
    <mergeCell ref="BD972:BE972"/>
    <mergeCell ref="BF972:BI972"/>
    <mergeCell ref="BJ972:BM972"/>
    <mergeCell ref="BN972:BV972"/>
    <mergeCell ref="BJ973:BM973"/>
    <mergeCell ref="BN973:BV973"/>
    <mergeCell ref="B972:C972"/>
    <mergeCell ref="D972:E972"/>
    <mergeCell ref="F972:G972"/>
    <mergeCell ref="H972:I972"/>
    <mergeCell ref="J972:K972"/>
    <mergeCell ref="L972:M972"/>
    <mergeCell ref="B968:C968"/>
    <mergeCell ref="D968:E968"/>
    <mergeCell ref="F968:G968"/>
    <mergeCell ref="H968:I968"/>
    <mergeCell ref="J968:K968"/>
    <mergeCell ref="L968:M968"/>
    <mergeCell ref="P968:Q968"/>
    <mergeCell ref="B969:C969"/>
    <mergeCell ref="D969:E969"/>
    <mergeCell ref="F969:G969"/>
    <mergeCell ref="H969:I969"/>
    <mergeCell ref="J969:K969"/>
    <mergeCell ref="L969:M969"/>
    <mergeCell ref="P969:Q969"/>
    <mergeCell ref="AJ968:AK968"/>
    <mergeCell ref="AL968:AM968"/>
    <mergeCell ref="AN968:AO968"/>
    <mergeCell ref="AP968:AQ968"/>
    <mergeCell ref="AR968:AS968"/>
    <mergeCell ref="AT968:AU968"/>
    <mergeCell ref="AV968:AW968"/>
    <mergeCell ref="BD971:BE971"/>
    <mergeCell ref="BF971:BI971"/>
    <mergeCell ref="AN971:AO971"/>
    <mergeCell ref="AP971:AQ971"/>
    <mergeCell ref="AR971:AS971"/>
    <mergeCell ref="AT971:AU971"/>
    <mergeCell ref="AV971:AW971"/>
    <mergeCell ref="AX971:AZ971"/>
    <mergeCell ref="BA971:BB971"/>
    <mergeCell ref="AJ969:AK969"/>
    <mergeCell ref="AL969:AM969"/>
    <mergeCell ref="R969:S969"/>
    <mergeCell ref="T969:U969"/>
    <mergeCell ref="V969:W969"/>
    <mergeCell ref="X969:AA969"/>
    <mergeCell ref="AB969:AE969"/>
    <mergeCell ref="AF969:AG969"/>
    <mergeCell ref="AH969:AI969"/>
    <mergeCell ref="R970:S970"/>
    <mergeCell ref="T970:U970"/>
    <mergeCell ref="V970:W970"/>
    <mergeCell ref="X970:AA970"/>
    <mergeCell ref="AB970:AE970"/>
    <mergeCell ref="AF970:AG970"/>
    <mergeCell ref="AH970:AI970"/>
    <mergeCell ref="AX970:AZ970"/>
    <mergeCell ref="BA970:BB970"/>
    <mergeCell ref="BD970:BE970"/>
    <mergeCell ref="BF970:BI970"/>
    <mergeCell ref="AF966:AG966"/>
    <mergeCell ref="AH966:AI966"/>
    <mergeCell ref="AX966:AZ966"/>
    <mergeCell ref="BA966:BB966"/>
    <mergeCell ref="BD966:BE966"/>
    <mergeCell ref="BF966:BI966"/>
    <mergeCell ref="BJ966:BM966"/>
    <mergeCell ref="BN966:BV966"/>
    <mergeCell ref="BJ967:BM967"/>
    <mergeCell ref="BN967:BV967"/>
    <mergeCell ref="B966:C966"/>
    <mergeCell ref="D966:E966"/>
    <mergeCell ref="F966:G966"/>
    <mergeCell ref="H966:I966"/>
    <mergeCell ref="J966:K966"/>
    <mergeCell ref="L966:M966"/>
    <mergeCell ref="P966:Q966"/>
    <mergeCell ref="B967:C967"/>
    <mergeCell ref="D967:E967"/>
    <mergeCell ref="F967:G967"/>
    <mergeCell ref="H967:I967"/>
    <mergeCell ref="J967:K967"/>
    <mergeCell ref="L967:M967"/>
    <mergeCell ref="P967:Q967"/>
    <mergeCell ref="AJ966:AK966"/>
    <mergeCell ref="AL966:AM966"/>
    <mergeCell ref="AN966:AO966"/>
    <mergeCell ref="AP966:AQ966"/>
    <mergeCell ref="AR966:AS966"/>
    <mergeCell ref="AT966:AU966"/>
    <mergeCell ref="AV966:AW966"/>
    <mergeCell ref="BD969:BE969"/>
    <mergeCell ref="BF969:BI969"/>
    <mergeCell ref="AN969:AO969"/>
    <mergeCell ref="AP969:AQ969"/>
    <mergeCell ref="AR969:AS969"/>
    <mergeCell ref="AT969:AU969"/>
    <mergeCell ref="AV969:AW969"/>
    <mergeCell ref="AX969:AZ969"/>
    <mergeCell ref="BA969:BB969"/>
    <mergeCell ref="AJ967:AK967"/>
    <mergeCell ref="AL967:AM967"/>
    <mergeCell ref="R967:S967"/>
    <mergeCell ref="T967:U967"/>
    <mergeCell ref="V967:W967"/>
    <mergeCell ref="X967:AA967"/>
    <mergeCell ref="AB967:AE967"/>
    <mergeCell ref="AF967:AG967"/>
    <mergeCell ref="AH967:AI967"/>
    <mergeCell ref="R968:S968"/>
    <mergeCell ref="T968:U968"/>
    <mergeCell ref="V968:W968"/>
    <mergeCell ref="X968:AA968"/>
    <mergeCell ref="AB968:AE968"/>
    <mergeCell ref="AF968:AG968"/>
    <mergeCell ref="AH968:AI968"/>
    <mergeCell ref="AX968:AZ968"/>
    <mergeCell ref="BA968:BB968"/>
    <mergeCell ref="BD968:BE968"/>
    <mergeCell ref="BF968:BI968"/>
    <mergeCell ref="BJ968:BM968"/>
    <mergeCell ref="BN968:BV968"/>
    <mergeCell ref="BJ969:BM969"/>
    <mergeCell ref="BN969:BV969"/>
    <mergeCell ref="BA958:BB958"/>
    <mergeCell ref="BD958:BE958"/>
    <mergeCell ref="BF958:BI958"/>
    <mergeCell ref="BJ958:BM958"/>
    <mergeCell ref="BN958:BV958"/>
    <mergeCell ref="BJ959:BM959"/>
    <mergeCell ref="BN959:BV959"/>
    <mergeCell ref="B959:C959"/>
    <mergeCell ref="D959:E959"/>
    <mergeCell ref="F959:G959"/>
    <mergeCell ref="H959:I959"/>
    <mergeCell ref="J959:K959"/>
    <mergeCell ref="L959:M959"/>
    <mergeCell ref="P959:Q959"/>
    <mergeCell ref="AJ958:AK958"/>
    <mergeCell ref="AL958:AM958"/>
    <mergeCell ref="AN958:AO958"/>
    <mergeCell ref="AP958:AQ958"/>
    <mergeCell ref="AR958:AS958"/>
    <mergeCell ref="AT958:AU958"/>
    <mergeCell ref="AV958:AW958"/>
    <mergeCell ref="BD961:BE961"/>
    <mergeCell ref="BF961:BI961"/>
    <mergeCell ref="AN961:AO961"/>
    <mergeCell ref="AP961:AQ961"/>
    <mergeCell ref="AR961:AS961"/>
    <mergeCell ref="AT961:AU961"/>
    <mergeCell ref="AV961:AW961"/>
    <mergeCell ref="AX961:AZ961"/>
    <mergeCell ref="BA961:BB961"/>
    <mergeCell ref="AJ979:AK979"/>
    <mergeCell ref="AL979:AM979"/>
    <mergeCell ref="BJ979:BM979"/>
    <mergeCell ref="BN979:BV979"/>
    <mergeCell ref="R979:S979"/>
    <mergeCell ref="T979:U979"/>
    <mergeCell ref="V979:W979"/>
    <mergeCell ref="X979:AA979"/>
    <mergeCell ref="AB979:AE979"/>
    <mergeCell ref="AF979:AG979"/>
    <mergeCell ref="AH979:AI979"/>
    <mergeCell ref="BD967:BE967"/>
    <mergeCell ref="BF967:BI967"/>
    <mergeCell ref="AN967:AO967"/>
    <mergeCell ref="AP967:AQ967"/>
    <mergeCell ref="AR967:AS967"/>
    <mergeCell ref="AT967:AU967"/>
    <mergeCell ref="AV967:AW967"/>
    <mergeCell ref="AX967:AZ967"/>
    <mergeCell ref="BA967:BB967"/>
    <mergeCell ref="AJ965:AK965"/>
    <mergeCell ref="AL965:AM965"/>
    <mergeCell ref="R965:S965"/>
    <mergeCell ref="T965:U965"/>
    <mergeCell ref="V965:W965"/>
    <mergeCell ref="X965:AA965"/>
    <mergeCell ref="AB965:AE965"/>
    <mergeCell ref="AF965:AG965"/>
    <mergeCell ref="AH965:AI965"/>
    <mergeCell ref="R966:S966"/>
    <mergeCell ref="T966:U966"/>
    <mergeCell ref="V966:W966"/>
    <mergeCell ref="X966:AA966"/>
    <mergeCell ref="AB966:AE966"/>
    <mergeCell ref="BN955:BV955"/>
    <mergeCell ref="B955:C955"/>
    <mergeCell ref="D955:E955"/>
    <mergeCell ref="F955:G955"/>
    <mergeCell ref="H955:I955"/>
    <mergeCell ref="J955:K955"/>
    <mergeCell ref="L955:M955"/>
    <mergeCell ref="P955:Q955"/>
    <mergeCell ref="AJ955:AK955"/>
    <mergeCell ref="AL955:AM955"/>
    <mergeCell ref="AN955:AO955"/>
    <mergeCell ref="AP955:AQ955"/>
    <mergeCell ref="AR955:AS955"/>
    <mergeCell ref="AT955:AU955"/>
    <mergeCell ref="AV955:AW955"/>
    <mergeCell ref="B956:C956"/>
    <mergeCell ref="D956:E956"/>
    <mergeCell ref="F956:G956"/>
    <mergeCell ref="H956:I956"/>
    <mergeCell ref="J956:K956"/>
    <mergeCell ref="L956:M956"/>
    <mergeCell ref="P956:Q956"/>
    <mergeCell ref="R958:S958"/>
    <mergeCell ref="T958:U958"/>
    <mergeCell ref="V958:W958"/>
    <mergeCell ref="X958:AA958"/>
    <mergeCell ref="AB958:AE958"/>
    <mergeCell ref="AF958:AG958"/>
    <mergeCell ref="AH958:AI958"/>
    <mergeCell ref="B958:C958"/>
    <mergeCell ref="D958:E958"/>
    <mergeCell ref="F958:G958"/>
    <mergeCell ref="H958:I958"/>
    <mergeCell ref="J958:K958"/>
    <mergeCell ref="L958:M958"/>
    <mergeCell ref="P958:Q958"/>
    <mergeCell ref="R957:S957"/>
    <mergeCell ref="T957:U957"/>
    <mergeCell ref="V957:W957"/>
    <mergeCell ref="X957:AA957"/>
    <mergeCell ref="AB957:AE957"/>
    <mergeCell ref="AF957:AG957"/>
    <mergeCell ref="AH957:AI957"/>
    <mergeCell ref="AX957:AZ957"/>
    <mergeCell ref="BA957:BB957"/>
    <mergeCell ref="BD957:BE957"/>
    <mergeCell ref="BF957:BI957"/>
    <mergeCell ref="BJ957:BM957"/>
    <mergeCell ref="BN957:BV957"/>
    <mergeCell ref="AJ957:AK957"/>
    <mergeCell ref="AL957:AM957"/>
    <mergeCell ref="AN957:AO957"/>
    <mergeCell ref="AP957:AQ957"/>
    <mergeCell ref="AR957:AS957"/>
    <mergeCell ref="AT957:AU957"/>
    <mergeCell ref="AV957:AW957"/>
    <mergeCell ref="B957:C957"/>
    <mergeCell ref="D957:E957"/>
    <mergeCell ref="F957:G957"/>
    <mergeCell ref="H957:I957"/>
    <mergeCell ref="J957:K957"/>
    <mergeCell ref="L957:M957"/>
    <mergeCell ref="P957:Q957"/>
    <mergeCell ref="AX958:AZ958"/>
    <mergeCell ref="R962:S962"/>
    <mergeCell ref="T962:U962"/>
    <mergeCell ref="V962:W962"/>
    <mergeCell ref="X962:AA962"/>
    <mergeCell ref="AB962:AE962"/>
    <mergeCell ref="AF962:AG962"/>
    <mergeCell ref="AH962:AI962"/>
    <mergeCell ref="AX962:AZ962"/>
    <mergeCell ref="BA962:BB962"/>
    <mergeCell ref="BD962:BE962"/>
    <mergeCell ref="BF962:BI962"/>
    <mergeCell ref="BJ962:BM962"/>
    <mergeCell ref="BN962:BV962"/>
    <mergeCell ref="BJ963:BM963"/>
    <mergeCell ref="BN963:BV963"/>
    <mergeCell ref="B962:C962"/>
    <mergeCell ref="D962:E962"/>
    <mergeCell ref="F962:G962"/>
    <mergeCell ref="H962:I962"/>
    <mergeCell ref="J962:K962"/>
    <mergeCell ref="L962:M962"/>
    <mergeCell ref="P962:Q962"/>
    <mergeCell ref="B963:C963"/>
    <mergeCell ref="D963:E963"/>
    <mergeCell ref="F963:G963"/>
    <mergeCell ref="H963:I963"/>
    <mergeCell ref="J963:K963"/>
    <mergeCell ref="L963:M963"/>
    <mergeCell ref="P963:Q963"/>
    <mergeCell ref="AJ962:AK962"/>
    <mergeCell ref="AL962:AM962"/>
    <mergeCell ref="AN962:AO962"/>
    <mergeCell ref="AP962:AQ962"/>
    <mergeCell ref="AR962:AS962"/>
    <mergeCell ref="AT962:AU962"/>
    <mergeCell ref="AV962:AW962"/>
    <mergeCell ref="AJ959:AK959"/>
    <mergeCell ref="AL959:AM959"/>
    <mergeCell ref="R959:S959"/>
    <mergeCell ref="T959:U959"/>
    <mergeCell ref="V959:W959"/>
    <mergeCell ref="X959:AA959"/>
    <mergeCell ref="AB959:AE959"/>
    <mergeCell ref="AF959:AG959"/>
    <mergeCell ref="AH959:AI959"/>
    <mergeCell ref="R960:S960"/>
    <mergeCell ref="T960:U960"/>
    <mergeCell ref="V960:W960"/>
    <mergeCell ref="X960:AA960"/>
    <mergeCell ref="AB960:AE960"/>
    <mergeCell ref="AF960:AG960"/>
    <mergeCell ref="AH960:AI960"/>
    <mergeCell ref="AX960:AZ960"/>
    <mergeCell ref="BA960:BB960"/>
    <mergeCell ref="BD960:BE960"/>
    <mergeCell ref="BF960:BI960"/>
    <mergeCell ref="BJ960:BM960"/>
    <mergeCell ref="BN960:BV960"/>
    <mergeCell ref="BJ961:BM961"/>
    <mergeCell ref="BN961:BV961"/>
    <mergeCell ref="B960:C960"/>
    <mergeCell ref="D960:E960"/>
    <mergeCell ref="F960:G960"/>
    <mergeCell ref="H960:I960"/>
    <mergeCell ref="J960:K960"/>
    <mergeCell ref="L960:M960"/>
    <mergeCell ref="P960:Q960"/>
    <mergeCell ref="B961:C961"/>
    <mergeCell ref="D961:E961"/>
    <mergeCell ref="F961:G961"/>
    <mergeCell ref="H961:I961"/>
    <mergeCell ref="J961:K961"/>
    <mergeCell ref="L961:M961"/>
    <mergeCell ref="P961:Q961"/>
    <mergeCell ref="AJ960:AK960"/>
    <mergeCell ref="AL960:AM960"/>
    <mergeCell ref="AN960:AO960"/>
    <mergeCell ref="AP960:AQ960"/>
    <mergeCell ref="AR960:AS960"/>
    <mergeCell ref="AT960:AU960"/>
    <mergeCell ref="AV960:AW960"/>
    <mergeCell ref="AJ961:AK961"/>
    <mergeCell ref="AL961:AM961"/>
    <mergeCell ref="R961:S961"/>
    <mergeCell ref="T961:U961"/>
    <mergeCell ref="V961:W961"/>
    <mergeCell ref="X961:AA961"/>
    <mergeCell ref="AB961:AE961"/>
    <mergeCell ref="AF961:AG961"/>
    <mergeCell ref="AH961:AI961"/>
    <mergeCell ref="BD959:BE959"/>
    <mergeCell ref="BF959:BI959"/>
    <mergeCell ref="AN959:AO959"/>
    <mergeCell ref="AP959:AQ959"/>
    <mergeCell ref="AR959:AS959"/>
    <mergeCell ref="AT959:AU959"/>
    <mergeCell ref="AV959:AW959"/>
    <mergeCell ref="AX959:AZ959"/>
    <mergeCell ref="BA959:BB959"/>
    <mergeCell ref="V852:W852"/>
    <mergeCell ref="X852:AA852"/>
    <mergeCell ref="AB852:AE852"/>
    <mergeCell ref="AF852:AG852"/>
    <mergeCell ref="AH852:AI852"/>
    <mergeCell ref="AJ852:AK852"/>
    <mergeCell ref="AL852:AM852"/>
    <mergeCell ref="BD852:BE852"/>
    <mergeCell ref="BF852:BI852"/>
    <mergeCell ref="BJ852:BM852"/>
    <mergeCell ref="BN852:BV852"/>
    <mergeCell ref="AN852:AO852"/>
    <mergeCell ref="AP852:AQ852"/>
    <mergeCell ref="AR852:AS852"/>
    <mergeCell ref="AT852:AU852"/>
    <mergeCell ref="AV852:AW852"/>
    <mergeCell ref="AX852:AZ852"/>
    <mergeCell ref="BA852:BB852"/>
    <mergeCell ref="B852:C852"/>
    <mergeCell ref="D852:E852"/>
    <mergeCell ref="F852:G852"/>
    <mergeCell ref="H852:I852"/>
    <mergeCell ref="P852:Q852"/>
    <mergeCell ref="R852:S852"/>
    <mergeCell ref="T852:U852"/>
    <mergeCell ref="B853:C853"/>
    <mergeCell ref="D853:E853"/>
    <mergeCell ref="F853:G853"/>
    <mergeCell ref="H853:I853"/>
    <mergeCell ref="J853:K853"/>
    <mergeCell ref="L853:M853"/>
    <mergeCell ref="P853:Q853"/>
    <mergeCell ref="AX853:AZ853"/>
    <mergeCell ref="BA853:BB853"/>
    <mergeCell ref="BD853:BE853"/>
    <mergeCell ref="BF853:BI853"/>
    <mergeCell ref="BJ853:BM853"/>
    <mergeCell ref="BN853:BV853"/>
    <mergeCell ref="AN853:AO853"/>
    <mergeCell ref="AP853:AQ853"/>
    <mergeCell ref="AR853:AS853"/>
    <mergeCell ref="AT853:AU853"/>
    <mergeCell ref="AV853:AW853"/>
    <mergeCell ref="V850:W850"/>
    <mergeCell ref="X850:AA850"/>
    <mergeCell ref="AB850:AE850"/>
    <mergeCell ref="AF850:AG850"/>
    <mergeCell ref="AH850:AI850"/>
    <mergeCell ref="AJ850:AK850"/>
    <mergeCell ref="AL850:AM850"/>
    <mergeCell ref="BD850:BE850"/>
    <mergeCell ref="BF850:BI850"/>
    <mergeCell ref="BJ850:BM850"/>
    <mergeCell ref="BN850:BV850"/>
    <mergeCell ref="AN850:AO850"/>
    <mergeCell ref="AP850:AQ850"/>
    <mergeCell ref="AR850:AS850"/>
    <mergeCell ref="AT850:AU850"/>
    <mergeCell ref="AV850:AW850"/>
    <mergeCell ref="AX850:AZ850"/>
    <mergeCell ref="BA850:BB850"/>
    <mergeCell ref="B850:C850"/>
    <mergeCell ref="D850:E850"/>
    <mergeCell ref="F850:G850"/>
    <mergeCell ref="H850:I850"/>
    <mergeCell ref="P850:Q850"/>
    <mergeCell ref="R850:S850"/>
    <mergeCell ref="T850:U850"/>
    <mergeCell ref="B851:C851"/>
    <mergeCell ref="D851:E851"/>
    <mergeCell ref="F851:G851"/>
    <mergeCell ref="H851:I851"/>
    <mergeCell ref="J851:K851"/>
    <mergeCell ref="L851:M851"/>
    <mergeCell ref="P851:Q851"/>
    <mergeCell ref="AX851:AZ851"/>
    <mergeCell ref="BA851:BB851"/>
    <mergeCell ref="BD851:BE851"/>
    <mergeCell ref="BF851:BI851"/>
    <mergeCell ref="BJ851:BM851"/>
    <mergeCell ref="BN851:BV851"/>
    <mergeCell ref="AN851:AO851"/>
    <mergeCell ref="AP851:AQ851"/>
    <mergeCell ref="AR851:AS851"/>
    <mergeCell ref="AT851:AU851"/>
    <mergeCell ref="AV851:AW851"/>
    <mergeCell ref="R851:S851"/>
    <mergeCell ref="T851:U851"/>
    <mergeCell ref="V851:W851"/>
    <mergeCell ref="X851:AA851"/>
    <mergeCell ref="AB851:AE851"/>
    <mergeCell ref="AF851:AG851"/>
    <mergeCell ref="AH851:AI851"/>
    <mergeCell ref="AJ851:AK851"/>
    <mergeCell ref="AL851:AM851"/>
    <mergeCell ref="V848:W848"/>
    <mergeCell ref="X848:AA848"/>
    <mergeCell ref="AB848:AE848"/>
    <mergeCell ref="AF848:AG848"/>
    <mergeCell ref="AH848:AI848"/>
    <mergeCell ref="AJ848:AK848"/>
    <mergeCell ref="AL848:AM848"/>
    <mergeCell ref="BD848:BE848"/>
    <mergeCell ref="BF848:BI848"/>
    <mergeCell ref="BJ848:BM848"/>
    <mergeCell ref="BN848:BV848"/>
    <mergeCell ref="AN848:AO848"/>
    <mergeCell ref="AP848:AQ848"/>
    <mergeCell ref="AR848:AS848"/>
    <mergeCell ref="AT848:AU848"/>
    <mergeCell ref="AV848:AW848"/>
    <mergeCell ref="AX848:AZ848"/>
    <mergeCell ref="BA848:BB848"/>
    <mergeCell ref="B848:C848"/>
    <mergeCell ref="D848:E848"/>
    <mergeCell ref="F848:G848"/>
    <mergeCell ref="H848:I848"/>
    <mergeCell ref="P848:Q848"/>
    <mergeCell ref="R848:S848"/>
    <mergeCell ref="T848:U848"/>
    <mergeCell ref="B849:C849"/>
    <mergeCell ref="D849:E849"/>
    <mergeCell ref="F849:G849"/>
    <mergeCell ref="H849:I849"/>
    <mergeCell ref="J849:K849"/>
    <mergeCell ref="L849:M849"/>
    <mergeCell ref="P849:Q849"/>
    <mergeCell ref="AX849:AZ849"/>
    <mergeCell ref="BA849:BB849"/>
    <mergeCell ref="BD849:BE849"/>
    <mergeCell ref="BF849:BI849"/>
    <mergeCell ref="BJ849:BM849"/>
    <mergeCell ref="BN849:BV849"/>
    <mergeCell ref="AN849:AO849"/>
    <mergeCell ref="AP849:AQ849"/>
    <mergeCell ref="AR849:AS849"/>
    <mergeCell ref="AT849:AU849"/>
    <mergeCell ref="AV849:AW849"/>
    <mergeCell ref="R849:S849"/>
    <mergeCell ref="T849:U849"/>
    <mergeCell ref="V849:W849"/>
    <mergeCell ref="X849:AA849"/>
    <mergeCell ref="AB849:AE849"/>
    <mergeCell ref="AF849:AG849"/>
    <mergeCell ref="AH849:AI849"/>
    <mergeCell ref="AJ849:AK849"/>
    <mergeCell ref="AL849:AM849"/>
    <mergeCell ref="V846:W846"/>
    <mergeCell ref="X846:AA846"/>
    <mergeCell ref="AB846:AE846"/>
    <mergeCell ref="AF846:AG846"/>
    <mergeCell ref="AH846:AI846"/>
    <mergeCell ref="AJ846:AK846"/>
    <mergeCell ref="AL846:AM846"/>
    <mergeCell ref="BD846:BE846"/>
    <mergeCell ref="BF846:BI846"/>
    <mergeCell ref="BJ846:BM846"/>
    <mergeCell ref="BN846:BV846"/>
    <mergeCell ref="AN846:AO846"/>
    <mergeCell ref="AP846:AQ846"/>
    <mergeCell ref="AR846:AS846"/>
    <mergeCell ref="AT846:AU846"/>
    <mergeCell ref="AV846:AW846"/>
    <mergeCell ref="AX846:AZ846"/>
    <mergeCell ref="BA846:BB846"/>
    <mergeCell ref="B846:C846"/>
    <mergeCell ref="D846:E846"/>
    <mergeCell ref="F846:G846"/>
    <mergeCell ref="H846:I846"/>
    <mergeCell ref="P846:Q846"/>
    <mergeCell ref="R846:S846"/>
    <mergeCell ref="T846:U846"/>
    <mergeCell ref="B847:C847"/>
    <mergeCell ref="D847:E847"/>
    <mergeCell ref="F847:G847"/>
    <mergeCell ref="H847:I847"/>
    <mergeCell ref="J847:K847"/>
    <mergeCell ref="L847:M847"/>
    <mergeCell ref="P847:Q847"/>
    <mergeCell ref="AX847:AZ847"/>
    <mergeCell ref="BA847:BB847"/>
    <mergeCell ref="BD847:BE847"/>
    <mergeCell ref="BF847:BI847"/>
    <mergeCell ref="BJ847:BM847"/>
    <mergeCell ref="BN847:BV847"/>
    <mergeCell ref="AN847:AO847"/>
    <mergeCell ref="AP847:AQ847"/>
    <mergeCell ref="AR847:AS847"/>
    <mergeCell ref="AT847:AU847"/>
    <mergeCell ref="AV847:AW847"/>
    <mergeCell ref="R847:S847"/>
    <mergeCell ref="T847:U847"/>
    <mergeCell ref="V847:W847"/>
    <mergeCell ref="X847:AA847"/>
    <mergeCell ref="AB847:AE847"/>
    <mergeCell ref="AF847:AG847"/>
    <mergeCell ref="AH847:AI847"/>
    <mergeCell ref="AJ847:AK847"/>
    <mergeCell ref="AL847:AM847"/>
    <mergeCell ref="V844:W844"/>
    <mergeCell ref="X844:AA844"/>
    <mergeCell ref="AB844:AE844"/>
    <mergeCell ref="AF844:AG844"/>
    <mergeCell ref="AH844:AI844"/>
    <mergeCell ref="AJ844:AK844"/>
    <mergeCell ref="AL844:AM844"/>
    <mergeCell ref="BD844:BE844"/>
    <mergeCell ref="BF844:BI844"/>
    <mergeCell ref="BJ844:BM844"/>
    <mergeCell ref="BN844:BV844"/>
    <mergeCell ref="AN844:AO844"/>
    <mergeCell ref="AP844:AQ844"/>
    <mergeCell ref="AR844:AS844"/>
    <mergeCell ref="AT844:AU844"/>
    <mergeCell ref="AV844:AW844"/>
    <mergeCell ref="AX844:AZ844"/>
    <mergeCell ref="BA844:BB844"/>
    <mergeCell ref="B844:C844"/>
    <mergeCell ref="D844:E844"/>
    <mergeCell ref="F844:G844"/>
    <mergeCell ref="H844:I844"/>
    <mergeCell ref="P844:Q844"/>
    <mergeCell ref="R844:S844"/>
    <mergeCell ref="T844:U844"/>
    <mergeCell ref="B845:C845"/>
    <mergeCell ref="D845:E845"/>
    <mergeCell ref="F845:G845"/>
    <mergeCell ref="H845:I845"/>
    <mergeCell ref="J845:K845"/>
    <mergeCell ref="L845:M845"/>
    <mergeCell ref="P845:Q845"/>
    <mergeCell ref="AX845:AZ845"/>
    <mergeCell ref="BA845:BB845"/>
    <mergeCell ref="BD845:BE845"/>
    <mergeCell ref="BF845:BI845"/>
    <mergeCell ref="BJ845:BM845"/>
    <mergeCell ref="BN845:BV845"/>
    <mergeCell ref="AN845:AO845"/>
    <mergeCell ref="AP845:AQ845"/>
    <mergeCell ref="AR845:AS845"/>
    <mergeCell ref="AT845:AU845"/>
    <mergeCell ref="AV845:AW845"/>
    <mergeCell ref="R845:S845"/>
    <mergeCell ref="T845:U845"/>
    <mergeCell ref="V845:W845"/>
    <mergeCell ref="X845:AA845"/>
    <mergeCell ref="AB845:AE845"/>
    <mergeCell ref="AF845:AG845"/>
    <mergeCell ref="AH845:AI845"/>
    <mergeCell ref="AJ845:AK845"/>
    <mergeCell ref="AL845:AM845"/>
    <mergeCell ref="V842:W842"/>
    <mergeCell ref="X842:AA842"/>
    <mergeCell ref="AB842:AE842"/>
    <mergeCell ref="AF842:AG842"/>
    <mergeCell ref="AH842:AI842"/>
    <mergeCell ref="AJ842:AK842"/>
    <mergeCell ref="AL842:AM842"/>
    <mergeCell ref="BD842:BE842"/>
    <mergeCell ref="BF842:BI842"/>
    <mergeCell ref="BJ842:BM842"/>
    <mergeCell ref="BN842:BV842"/>
    <mergeCell ref="AN842:AO842"/>
    <mergeCell ref="AP842:AQ842"/>
    <mergeCell ref="AR842:AS842"/>
    <mergeCell ref="AT842:AU842"/>
    <mergeCell ref="AV842:AW842"/>
    <mergeCell ref="AX842:AZ842"/>
    <mergeCell ref="BA842:BB842"/>
    <mergeCell ref="B842:C842"/>
    <mergeCell ref="D842:E842"/>
    <mergeCell ref="F842:G842"/>
    <mergeCell ref="H842:I842"/>
    <mergeCell ref="P842:Q842"/>
    <mergeCell ref="R842:S842"/>
    <mergeCell ref="T842:U842"/>
    <mergeCell ref="B843:C843"/>
    <mergeCell ref="D843:E843"/>
    <mergeCell ref="F843:G843"/>
    <mergeCell ref="H843:I843"/>
    <mergeCell ref="J843:K843"/>
    <mergeCell ref="L843:M843"/>
    <mergeCell ref="P843:Q843"/>
    <mergeCell ref="AX843:AZ843"/>
    <mergeCell ref="BA843:BB843"/>
    <mergeCell ref="BD843:BE843"/>
    <mergeCell ref="BF843:BI843"/>
    <mergeCell ref="BJ843:BM843"/>
    <mergeCell ref="BN843:BV843"/>
    <mergeCell ref="AN843:AO843"/>
    <mergeCell ref="AP843:AQ843"/>
    <mergeCell ref="AR843:AS843"/>
    <mergeCell ref="AT843:AU843"/>
    <mergeCell ref="AV843:AW843"/>
    <mergeCell ref="R843:S843"/>
    <mergeCell ref="T843:U843"/>
    <mergeCell ref="V843:W843"/>
    <mergeCell ref="X843:AA843"/>
    <mergeCell ref="AB843:AE843"/>
    <mergeCell ref="AF843:AG843"/>
    <mergeCell ref="AH843:AI843"/>
    <mergeCell ref="AJ843:AK843"/>
    <mergeCell ref="AL843:AM843"/>
    <mergeCell ref="V840:W840"/>
    <mergeCell ref="X840:AA840"/>
    <mergeCell ref="AB840:AE840"/>
    <mergeCell ref="AF840:AG840"/>
    <mergeCell ref="AH840:AI840"/>
    <mergeCell ref="AJ840:AK840"/>
    <mergeCell ref="AL840:AM840"/>
    <mergeCell ref="BD840:BE840"/>
    <mergeCell ref="BF840:BI840"/>
    <mergeCell ref="BJ840:BM840"/>
    <mergeCell ref="BN840:BV840"/>
    <mergeCell ref="AN840:AO840"/>
    <mergeCell ref="AP840:AQ840"/>
    <mergeCell ref="AR840:AS840"/>
    <mergeCell ref="AT840:AU840"/>
    <mergeCell ref="AV840:AW840"/>
    <mergeCell ref="AX840:AZ840"/>
    <mergeCell ref="BA840:BB840"/>
    <mergeCell ref="B840:C840"/>
    <mergeCell ref="D840:E840"/>
    <mergeCell ref="F840:G840"/>
    <mergeCell ref="H840:I840"/>
    <mergeCell ref="P840:Q840"/>
    <mergeCell ref="R840:S840"/>
    <mergeCell ref="T840:U840"/>
    <mergeCell ref="B841:C841"/>
    <mergeCell ref="D841:E841"/>
    <mergeCell ref="F841:G841"/>
    <mergeCell ref="H841:I841"/>
    <mergeCell ref="J841:K841"/>
    <mergeCell ref="L841:M841"/>
    <mergeCell ref="P841:Q841"/>
    <mergeCell ref="AX841:AZ841"/>
    <mergeCell ref="BA841:BB841"/>
    <mergeCell ref="BD841:BE841"/>
    <mergeCell ref="BF841:BI841"/>
    <mergeCell ref="BJ841:BM841"/>
    <mergeCell ref="BN841:BV841"/>
    <mergeCell ref="AN841:AO841"/>
    <mergeCell ref="AP841:AQ841"/>
    <mergeCell ref="AR841:AS841"/>
    <mergeCell ref="AT841:AU841"/>
    <mergeCell ref="AV841:AW841"/>
    <mergeCell ref="R841:S841"/>
    <mergeCell ref="T841:U841"/>
    <mergeCell ref="V841:W841"/>
    <mergeCell ref="X841:AA841"/>
    <mergeCell ref="AB841:AE841"/>
    <mergeCell ref="AF841:AG841"/>
    <mergeCell ref="AH841:AI841"/>
    <mergeCell ref="AJ841:AK841"/>
    <mergeCell ref="AL841:AM841"/>
    <mergeCell ref="V838:W838"/>
    <mergeCell ref="X838:AA838"/>
    <mergeCell ref="AB838:AE838"/>
    <mergeCell ref="AF838:AG838"/>
    <mergeCell ref="AH838:AI838"/>
    <mergeCell ref="AJ838:AK838"/>
    <mergeCell ref="AL838:AM838"/>
    <mergeCell ref="BD838:BE838"/>
    <mergeCell ref="BF838:BI838"/>
    <mergeCell ref="BJ838:BM838"/>
    <mergeCell ref="BN838:BV838"/>
    <mergeCell ref="AN838:AO838"/>
    <mergeCell ref="AP838:AQ838"/>
    <mergeCell ref="AR838:AS838"/>
    <mergeCell ref="AT838:AU838"/>
    <mergeCell ref="AV838:AW838"/>
    <mergeCell ref="AX838:AZ838"/>
    <mergeCell ref="BA838:BB838"/>
    <mergeCell ref="B838:C838"/>
    <mergeCell ref="D838:E838"/>
    <mergeCell ref="F838:G838"/>
    <mergeCell ref="H838:I838"/>
    <mergeCell ref="P838:Q838"/>
    <mergeCell ref="R838:S838"/>
    <mergeCell ref="T838:U838"/>
    <mergeCell ref="B839:C839"/>
    <mergeCell ref="D839:E839"/>
    <mergeCell ref="F839:G839"/>
    <mergeCell ref="H839:I839"/>
    <mergeCell ref="J839:K839"/>
    <mergeCell ref="L839:M839"/>
    <mergeCell ref="P839:Q839"/>
    <mergeCell ref="AX839:AZ839"/>
    <mergeCell ref="BA839:BB839"/>
    <mergeCell ref="BD839:BE839"/>
    <mergeCell ref="BF839:BI839"/>
    <mergeCell ref="BJ839:BM839"/>
    <mergeCell ref="BN839:BV839"/>
    <mergeCell ref="AN839:AO839"/>
    <mergeCell ref="AP839:AQ839"/>
    <mergeCell ref="AR839:AS839"/>
    <mergeCell ref="AT839:AU839"/>
    <mergeCell ref="AV839:AW839"/>
    <mergeCell ref="R839:S839"/>
    <mergeCell ref="T839:U839"/>
    <mergeCell ref="V839:W839"/>
    <mergeCell ref="X839:AA839"/>
    <mergeCell ref="AB839:AE839"/>
    <mergeCell ref="AF839:AG839"/>
    <mergeCell ref="AH839:AI839"/>
    <mergeCell ref="AJ839:AK839"/>
    <mergeCell ref="AL839:AM839"/>
    <mergeCell ref="V836:W836"/>
    <mergeCell ref="X836:AA836"/>
    <mergeCell ref="AB836:AE836"/>
    <mergeCell ref="AF836:AG836"/>
    <mergeCell ref="AH836:AI836"/>
    <mergeCell ref="AJ836:AK836"/>
    <mergeCell ref="AL836:AM836"/>
    <mergeCell ref="BD836:BE836"/>
    <mergeCell ref="BF836:BI836"/>
    <mergeCell ref="BJ836:BM836"/>
    <mergeCell ref="BN836:BV836"/>
    <mergeCell ref="AN836:AO836"/>
    <mergeCell ref="AP836:AQ836"/>
    <mergeCell ref="AR836:AS836"/>
    <mergeCell ref="AT836:AU836"/>
    <mergeCell ref="AV836:AW836"/>
    <mergeCell ref="AX836:AZ836"/>
    <mergeCell ref="BA836:BB836"/>
    <mergeCell ref="B836:C836"/>
    <mergeCell ref="D836:E836"/>
    <mergeCell ref="F836:G836"/>
    <mergeCell ref="H836:I836"/>
    <mergeCell ref="P836:Q836"/>
    <mergeCell ref="R836:S836"/>
    <mergeCell ref="T836:U836"/>
    <mergeCell ref="B837:C837"/>
    <mergeCell ref="D837:E837"/>
    <mergeCell ref="F837:G837"/>
    <mergeCell ref="H837:I837"/>
    <mergeCell ref="J837:K837"/>
    <mergeCell ref="L837:M837"/>
    <mergeCell ref="P837:Q837"/>
    <mergeCell ref="AX837:AZ837"/>
    <mergeCell ref="BA837:BB837"/>
    <mergeCell ref="BD837:BE837"/>
    <mergeCell ref="BF837:BI837"/>
    <mergeCell ref="BJ837:BM837"/>
    <mergeCell ref="BN837:BV837"/>
    <mergeCell ref="AN837:AO837"/>
    <mergeCell ref="AP837:AQ837"/>
    <mergeCell ref="AR837:AS837"/>
    <mergeCell ref="AT837:AU837"/>
    <mergeCell ref="AV837:AW837"/>
    <mergeCell ref="R837:S837"/>
    <mergeCell ref="T837:U837"/>
    <mergeCell ref="V837:W837"/>
    <mergeCell ref="X837:AA837"/>
    <mergeCell ref="AB837:AE837"/>
    <mergeCell ref="AF837:AG837"/>
    <mergeCell ref="AH837:AI837"/>
    <mergeCell ref="AJ837:AK837"/>
    <mergeCell ref="AL837:AM837"/>
    <mergeCell ref="V834:W834"/>
    <mergeCell ref="X834:AA834"/>
    <mergeCell ref="AB834:AE834"/>
    <mergeCell ref="AF834:AG834"/>
    <mergeCell ref="AH834:AI834"/>
    <mergeCell ref="AJ834:AK834"/>
    <mergeCell ref="AL834:AM834"/>
    <mergeCell ref="BD834:BE834"/>
    <mergeCell ref="BF834:BI834"/>
    <mergeCell ref="BJ834:BM834"/>
    <mergeCell ref="BN834:BV834"/>
    <mergeCell ref="AN834:AO834"/>
    <mergeCell ref="AP834:AQ834"/>
    <mergeCell ref="AR834:AS834"/>
    <mergeCell ref="AT834:AU834"/>
    <mergeCell ref="AV834:AW834"/>
    <mergeCell ref="AX834:AZ834"/>
    <mergeCell ref="BA834:BB834"/>
    <mergeCell ref="B834:C834"/>
    <mergeCell ref="D834:E834"/>
    <mergeCell ref="F834:G834"/>
    <mergeCell ref="H834:I834"/>
    <mergeCell ref="P834:Q834"/>
    <mergeCell ref="R834:S834"/>
    <mergeCell ref="T834:U834"/>
    <mergeCell ref="B835:C835"/>
    <mergeCell ref="D835:E835"/>
    <mergeCell ref="F835:G835"/>
    <mergeCell ref="H835:I835"/>
    <mergeCell ref="J835:K835"/>
    <mergeCell ref="L835:M835"/>
    <mergeCell ref="P835:Q835"/>
    <mergeCell ref="AX835:AZ835"/>
    <mergeCell ref="BA835:BB835"/>
    <mergeCell ref="BD835:BE835"/>
    <mergeCell ref="BF835:BI835"/>
    <mergeCell ref="BJ835:BM835"/>
    <mergeCell ref="BN835:BV835"/>
    <mergeCell ref="AN835:AO835"/>
    <mergeCell ref="AP835:AQ835"/>
    <mergeCell ref="AR835:AS835"/>
    <mergeCell ref="AT835:AU835"/>
    <mergeCell ref="AV835:AW835"/>
    <mergeCell ref="R835:S835"/>
    <mergeCell ref="T835:U835"/>
    <mergeCell ref="V835:W835"/>
    <mergeCell ref="X835:AA835"/>
    <mergeCell ref="AB835:AE835"/>
    <mergeCell ref="AF835:AG835"/>
    <mergeCell ref="AH835:AI835"/>
    <mergeCell ref="AJ835:AK835"/>
    <mergeCell ref="AL835:AM835"/>
    <mergeCell ref="V832:W832"/>
    <mergeCell ref="X832:AA832"/>
    <mergeCell ref="AB832:AE832"/>
    <mergeCell ref="AF832:AG832"/>
    <mergeCell ref="AH832:AI832"/>
    <mergeCell ref="AJ832:AK832"/>
    <mergeCell ref="AL832:AM832"/>
    <mergeCell ref="BD832:BE832"/>
    <mergeCell ref="BF832:BI832"/>
    <mergeCell ref="BJ832:BM832"/>
    <mergeCell ref="BN832:BV832"/>
    <mergeCell ref="AN832:AO832"/>
    <mergeCell ref="AP832:AQ832"/>
    <mergeCell ref="AR832:AS832"/>
    <mergeCell ref="AT832:AU832"/>
    <mergeCell ref="AV832:AW832"/>
    <mergeCell ref="AX832:AZ832"/>
    <mergeCell ref="BA832:BB832"/>
    <mergeCell ref="B832:C832"/>
    <mergeCell ref="D832:E832"/>
    <mergeCell ref="F832:G832"/>
    <mergeCell ref="H832:I832"/>
    <mergeCell ref="P832:Q832"/>
    <mergeCell ref="R832:S832"/>
    <mergeCell ref="T832:U832"/>
    <mergeCell ref="B833:C833"/>
    <mergeCell ref="D833:E833"/>
    <mergeCell ref="F833:G833"/>
    <mergeCell ref="H833:I833"/>
    <mergeCell ref="J833:K833"/>
    <mergeCell ref="L833:M833"/>
    <mergeCell ref="P833:Q833"/>
    <mergeCell ref="AX833:AZ833"/>
    <mergeCell ref="BA833:BB833"/>
    <mergeCell ref="BD833:BE833"/>
    <mergeCell ref="BF833:BI833"/>
    <mergeCell ref="BJ833:BM833"/>
    <mergeCell ref="BN833:BV833"/>
    <mergeCell ref="AN833:AO833"/>
    <mergeCell ref="AP833:AQ833"/>
    <mergeCell ref="AR833:AS833"/>
    <mergeCell ref="AT833:AU833"/>
    <mergeCell ref="AV833:AW833"/>
    <mergeCell ref="R833:S833"/>
    <mergeCell ref="T833:U833"/>
    <mergeCell ref="V833:W833"/>
    <mergeCell ref="X833:AA833"/>
    <mergeCell ref="AB833:AE833"/>
    <mergeCell ref="AF833:AG833"/>
    <mergeCell ref="AH833:AI833"/>
    <mergeCell ref="AJ833:AK833"/>
    <mergeCell ref="AL833:AM833"/>
    <mergeCell ref="V830:W830"/>
    <mergeCell ref="X830:AA830"/>
    <mergeCell ref="AB830:AE830"/>
    <mergeCell ref="AF830:AG830"/>
    <mergeCell ref="AH830:AI830"/>
    <mergeCell ref="AJ830:AK830"/>
    <mergeCell ref="AL830:AM830"/>
    <mergeCell ref="BD830:BE830"/>
    <mergeCell ref="BF830:BI830"/>
    <mergeCell ref="BJ830:BM830"/>
    <mergeCell ref="BN830:BV830"/>
    <mergeCell ref="AN830:AO830"/>
    <mergeCell ref="AP830:AQ830"/>
    <mergeCell ref="AR830:AS830"/>
    <mergeCell ref="AT830:AU830"/>
    <mergeCell ref="AV830:AW830"/>
    <mergeCell ref="AX830:AZ830"/>
    <mergeCell ref="BA830:BB830"/>
    <mergeCell ref="B830:C830"/>
    <mergeCell ref="D830:E830"/>
    <mergeCell ref="F830:G830"/>
    <mergeCell ref="H830:I830"/>
    <mergeCell ref="P830:Q830"/>
    <mergeCell ref="R830:S830"/>
    <mergeCell ref="T830:U830"/>
    <mergeCell ref="B831:C831"/>
    <mergeCell ref="D831:E831"/>
    <mergeCell ref="F831:G831"/>
    <mergeCell ref="H831:I831"/>
    <mergeCell ref="J831:K831"/>
    <mergeCell ref="L831:M831"/>
    <mergeCell ref="P831:Q831"/>
    <mergeCell ref="AX831:AZ831"/>
    <mergeCell ref="BA831:BB831"/>
    <mergeCell ref="BD831:BE831"/>
    <mergeCell ref="BF831:BI831"/>
    <mergeCell ref="BJ831:BM831"/>
    <mergeCell ref="BN831:BV831"/>
    <mergeCell ref="AN831:AO831"/>
    <mergeCell ref="AP831:AQ831"/>
    <mergeCell ref="AR831:AS831"/>
    <mergeCell ref="AT831:AU831"/>
    <mergeCell ref="AV831:AW831"/>
    <mergeCell ref="R831:S831"/>
    <mergeCell ref="T831:U831"/>
    <mergeCell ref="V831:W831"/>
    <mergeCell ref="X831:AA831"/>
    <mergeCell ref="AB831:AE831"/>
    <mergeCell ref="AF831:AG831"/>
    <mergeCell ref="AH831:AI831"/>
    <mergeCell ref="AJ831:AK831"/>
    <mergeCell ref="AL831:AM831"/>
    <mergeCell ref="V828:W828"/>
    <mergeCell ref="X828:AA828"/>
    <mergeCell ref="AB828:AE828"/>
    <mergeCell ref="AF828:AG828"/>
    <mergeCell ref="AH828:AI828"/>
    <mergeCell ref="AJ828:AK828"/>
    <mergeCell ref="AL828:AM828"/>
    <mergeCell ref="BD828:BE828"/>
    <mergeCell ref="BF828:BI828"/>
    <mergeCell ref="BJ828:BM828"/>
    <mergeCell ref="BN828:BV828"/>
    <mergeCell ref="AN828:AO828"/>
    <mergeCell ref="AP828:AQ828"/>
    <mergeCell ref="AR828:AS828"/>
    <mergeCell ref="AT828:AU828"/>
    <mergeCell ref="AV828:AW828"/>
    <mergeCell ref="AX828:AZ828"/>
    <mergeCell ref="BA828:BB828"/>
    <mergeCell ref="B828:C828"/>
    <mergeCell ref="D828:E828"/>
    <mergeCell ref="F828:G828"/>
    <mergeCell ref="H828:I828"/>
    <mergeCell ref="P828:Q828"/>
    <mergeCell ref="R828:S828"/>
    <mergeCell ref="T828:U828"/>
    <mergeCell ref="B829:C829"/>
    <mergeCell ref="D829:E829"/>
    <mergeCell ref="F829:G829"/>
    <mergeCell ref="H829:I829"/>
    <mergeCell ref="J829:K829"/>
    <mergeCell ref="L829:M829"/>
    <mergeCell ref="P829:Q829"/>
    <mergeCell ref="AX829:AZ829"/>
    <mergeCell ref="BA829:BB829"/>
    <mergeCell ref="BD829:BE829"/>
    <mergeCell ref="BF829:BI829"/>
    <mergeCell ref="BJ829:BM829"/>
    <mergeCell ref="BN829:BV829"/>
    <mergeCell ref="AN829:AO829"/>
    <mergeCell ref="AP829:AQ829"/>
    <mergeCell ref="AR829:AS829"/>
    <mergeCell ref="AT829:AU829"/>
    <mergeCell ref="AV829:AW829"/>
    <mergeCell ref="R829:S829"/>
    <mergeCell ref="T829:U829"/>
    <mergeCell ref="V829:W829"/>
    <mergeCell ref="X829:AA829"/>
    <mergeCell ref="AB829:AE829"/>
    <mergeCell ref="AF829:AG829"/>
    <mergeCell ref="AH829:AI829"/>
    <mergeCell ref="AJ829:AK829"/>
    <mergeCell ref="AL829:AM829"/>
    <mergeCell ref="V826:W826"/>
    <mergeCell ref="X826:AA826"/>
    <mergeCell ref="AB826:AE826"/>
    <mergeCell ref="AF826:AG826"/>
    <mergeCell ref="AH826:AI826"/>
    <mergeCell ref="AJ826:AK826"/>
    <mergeCell ref="AL826:AM826"/>
    <mergeCell ref="BD826:BE826"/>
    <mergeCell ref="BF826:BI826"/>
    <mergeCell ref="BJ826:BM826"/>
    <mergeCell ref="BN826:BV826"/>
    <mergeCell ref="AN826:AO826"/>
    <mergeCell ref="AP826:AQ826"/>
    <mergeCell ref="AR826:AS826"/>
    <mergeCell ref="AT826:AU826"/>
    <mergeCell ref="AV826:AW826"/>
    <mergeCell ref="AX826:AZ826"/>
    <mergeCell ref="BA826:BB826"/>
    <mergeCell ref="B826:C826"/>
    <mergeCell ref="D826:E826"/>
    <mergeCell ref="F826:G826"/>
    <mergeCell ref="H826:I826"/>
    <mergeCell ref="P826:Q826"/>
    <mergeCell ref="R826:S826"/>
    <mergeCell ref="T826:U826"/>
    <mergeCell ref="B827:C827"/>
    <mergeCell ref="D827:E827"/>
    <mergeCell ref="F827:G827"/>
    <mergeCell ref="H827:I827"/>
    <mergeCell ref="J827:K827"/>
    <mergeCell ref="L827:M827"/>
    <mergeCell ref="P827:Q827"/>
    <mergeCell ref="AX827:AZ827"/>
    <mergeCell ref="BA827:BB827"/>
    <mergeCell ref="BD827:BE827"/>
    <mergeCell ref="BF827:BI827"/>
    <mergeCell ref="BJ827:BM827"/>
    <mergeCell ref="BN827:BV827"/>
    <mergeCell ref="AN827:AO827"/>
    <mergeCell ref="AP827:AQ827"/>
    <mergeCell ref="AR827:AS827"/>
    <mergeCell ref="AT827:AU827"/>
    <mergeCell ref="AV827:AW827"/>
    <mergeCell ref="R827:S827"/>
    <mergeCell ref="T827:U827"/>
    <mergeCell ref="V827:W827"/>
    <mergeCell ref="X827:AA827"/>
    <mergeCell ref="AB827:AE827"/>
    <mergeCell ref="AF827:AG827"/>
    <mergeCell ref="AH827:AI827"/>
    <mergeCell ref="AJ827:AK827"/>
    <mergeCell ref="AL827:AM827"/>
    <mergeCell ref="BJ649:BM649"/>
    <mergeCell ref="BN649:BV649"/>
    <mergeCell ref="B649:C649"/>
    <mergeCell ref="D649:E649"/>
    <mergeCell ref="F649:G649"/>
    <mergeCell ref="H649:I649"/>
    <mergeCell ref="J649:K649"/>
    <mergeCell ref="L649:M649"/>
    <mergeCell ref="P649:Q649"/>
    <mergeCell ref="AJ648:AK648"/>
    <mergeCell ref="AL648:AM648"/>
    <mergeCell ref="AN648:AO648"/>
    <mergeCell ref="AP648:AQ648"/>
    <mergeCell ref="AR648:AS648"/>
    <mergeCell ref="AT648:AU648"/>
    <mergeCell ref="AV648:AW648"/>
    <mergeCell ref="BD651:BE651"/>
    <mergeCell ref="BF651:BI651"/>
    <mergeCell ref="AN651:AO651"/>
    <mergeCell ref="AP651:AQ651"/>
    <mergeCell ref="AR651:AS651"/>
    <mergeCell ref="AT651:AU651"/>
    <mergeCell ref="AV651:AW651"/>
    <mergeCell ref="AX651:AZ651"/>
    <mergeCell ref="BA651:BB651"/>
    <mergeCell ref="AJ655:AK655"/>
    <mergeCell ref="AL655:AM655"/>
    <mergeCell ref="BJ655:BM655"/>
    <mergeCell ref="BN655:BV655"/>
    <mergeCell ref="R655:S655"/>
    <mergeCell ref="T655:U655"/>
    <mergeCell ref="V655:W655"/>
    <mergeCell ref="X655:AA655"/>
    <mergeCell ref="AB655:AE655"/>
    <mergeCell ref="AF655:AG655"/>
    <mergeCell ref="AH655:AI655"/>
    <mergeCell ref="BF653:BI653"/>
    <mergeCell ref="AN653:AO653"/>
    <mergeCell ref="AP653:AQ653"/>
    <mergeCell ref="AR653:AS653"/>
    <mergeCell ref="AT653:AU653"/>
    <mergeCell ref="AV653:AW653"/>
    <mergeCell ref="AX653:AZ653"/>
    <mergeCell ref="BA653:BB653"/>
    <mergeCell ref="AJ651:AK651"/>
    <mergeCell ref="AL651:AM651"/>
    <mergeCell ref="R651:S651"/>
    <mergeCell ref="T651:U651"/>
    <mergeCell ref="V651:W651"/>
    <mergeCell ref="X651:AA651"/>
    <mergeCell ref="AB651:AE651"/>
    <mergeCell ref="AF651:AG651"/>
    <mergeCell ref="AH651:AI651"/>
    <mergeCell ref="R652:S652"/>
    <mergeCell ref="T652:U652"/>
    <mergeCell ref="V652:W652"/>
    <mergeCell ref="X652:AA652"/>
    <mergeCell ref="AB652:AE652"/>
    <mergeCell ref="AF652:AG652"/>
    <mergeCell ref="R648:S648"/>
    <mergeCell ref="T648:U648"/>
    <mergeCell ref="V648:W648"/>
    <mergeCell ref="X648:AA648"/>
    <mergeCell ref="AB648:AE648"/>
    <mergeCell ref="AF648:AG648"/>
    <mergeCell ref="AH648:AI648"/>
    <mergeCell ref="B648:C648"/>
    <mergeCell ref="D648:E648"/>
    <mergeCell ref="F648:G648"/>
    <mergeCell ref="H648:I648"/>
    <mergeCell ref="J648:K648"/>
    <mergeCell ref="L648:M648"/>
    <mergeCell ref="P648:Q648"/>
    <mergeCell ref="R647:S647"/>
    <mergeCell ref="T647:U647"/>
    <mergeCell ref="V647:W647"/>
    <mergeCell ref="X647:AA647"/>
    <mergeCell ref="AB647:AE647"/>
    <mergeCell ref="AF647:AG647"/>
    <mergeCell ref="AH647:AI647"/>
    <mergeCell ref="AX647:AZ647"/>
    <mergeCell ref="BA647:BB647"/>
    <mergeCell ref="BD647:BE647"/>
    <mergeCell ref="BF647:BI647"/>
    <mergeCell ref="BJ647:BM647"/>
    <mergeCell ref="BN647:BV647"/>
    <mergeCell ref="AJ647:AK647"/>
    <mergeCell ref="AL647:AM647"/>
    <mergeCell ref="AN647:AO647"/>
    <mergeCell ref="AP647:AQ647"/>
    <mergeCell ref="AR647:AS647"/>
    <mergeCell ref="AT647:AU647"/>
    <mergeCell ref="AV647:AW647"/>
    <mergeCell ref="B647:C647"/>
    <mergeCell ref="D647:E647"/>
    <mergeCell ref="F647:G647"/>
    <mergeCell ref="H647:I647"/>
    <mergeCell ref="J647:K647"/>
    <mergeCell ref="L647:M647"/>
    <mergeCell ref="P647:Q647"/>
    <mergeCell ref="AX648:AZ648"/>
    <mergeCell ref="BA648:BB648"/>
    <mergeCell ref="BD648:BE648"/>
    <mergeCell ref="BF648:BI648"/>
    <mergeCell ref="BJ648:BM648"/>
    <mergeCell ref="BN648:BV648"/>
    <mergeCell ref="AH652:AI652"/>
    <mergeCell ref="AX652:AZ652"/>
    <mergeCell ref="BA652:BB652"/>
    <mergeCell ref="BD652:BE652"/>
    <mergeCell ref="BF652:BI652"/>
    <mergeCell ref="BJ652:BM652"/>
    <mergeCell ref="BN652:BV652"/>
    <mergeCell ref="BJ653:BM653"/>
    <mergeCell ref="BN653:BV653"/>
    <mergeCell ref="B652:C652"/>
    <mergeCell ref="D652:E652"/>
    <mergeCell ref="F652:G652"/>
    <mergeCell ref="H652:I652"/>
    <mergeCell ref="J652:K652"/>
    <mergeCell ref="L652:M652"/>
    <mergeCell ref="P652:Q652"/>
    <mergeCell ref="B653:C653"/>
    <mergeCell ref="D653:E653"/>
    <mergeCell ref="F653:G653"/>
    <mergeCell ref="H653:I653"/>
    <mergeCell ref="J653:K653"/>
    <mergeCell ref="L653:M653"/>
    <mergeCell ref="P653:Q653"/>
    <mergeCell ref="AJ652:AK652"/>
    <mergeCell ref="AL652:AM652"/>
    <mergeCell ref="AN652:AO652"/>
    <mergeCell ref="AP652:AQ652"/>
    <mergeCell ref="AR652:AS652"/>
    <mergeCell ref="AT652:AU652"/>
    <mergeCell ref="AV652:AW652"/>
    <mergeCell ref="AJ649:AK649"/>
    <mergeCell ref="AL649:AM649"/>
    <mergeCell ref="R649:S649"/>
    <mergeCell ref="T649:U649"/>
    <mergeCell ref="V649:W649"/>
    <mergeCell ref="X649:AA649"/>
    <mergeCell ref="AB649:AE649"/>
    <mergeCell ref="AF649:AG649"/>
    <mergeCell ref="AH649:AI649"/>
    <mergeCell ref="R650:S650"/>
    <mergeCell ref="T650:U650"/>
    <mergeCell ref="V650:W650"/>
    <mergeCell ref="X650:AA650"/>
    <mergeCell ref="AB650:AE650"/>
    <mergeCell ref="AF650:AG650"/>
    <mergeCell ref="AH650:AI650"/>
    <mergeCell ref="AX650:AZ650"/>
    <mergeCell ref="BA650:BB650"/>
    <mergeCell ref="BD650:BE650"/>
    <mergeCell ref="BF650:BI650"/>
    <mergeCell ref="BJ650:BM650"/>
    <mergeCell ref="BN650:BV650"/>
    <mergeCell ref="BJ651:BM651"/>
    <mergeCell ref="BN651:BV651"/>
    <mergeCell ref="B650:C650"/>
    <mergeCell ref="D650:E650"/>
    <mergeCell ref="F650:G650"/>
    <mergeCell ref="H650:I650"/>
    <mergeCell ref="J650:K650"/>
    <mergeCell ref="L650:M650"/>
    <mergeCell ref="P650:Q650"/>
    <mergeCell ref="B651:C651"/>
    <mergeCell ref="D651:E651"/>
    <mergeCell ref="F651:G651"/>
    <mergeCell ref="H651:I651"/>
    <mergeCell ref="J651:K651"/>
    <mergeCell ref="L651:M651"/>
    <mergeCell ref="P651:Q651"/>
    <mergeCell ref="AJ650:AK650"/>
    <mergeCell ref="AL650:AM650"/>
    <mergeCell ref="AN650:AO650"/>
    <mergeCell ref="AP650:AQ650"/>
    <mergeCell ref="AR650:AS650"/>
    <mergeCell ref="AT650:AU650"/>
    <mergeCell ref="AV650:AW650"/>
    <mergeCell ref="BD649:BE649"/>
    <mergeCell ref="BF649:BI649"/>
    <mergeCell ref="AN649:AO649"/>
    <mergeCell ref="AP649:AQ649"/>
    <mergeCell ref="AR649:AS649"/>
    <mergeCell ref="AT649:AU649"/>
    <mergeCell ref="AV649:AW649"/>
    <mergeCell ref="AX649:AZ649"/>
    <mergeCell ref="BA649:BB649"/>
    <mergeCell ref="B640:C640"/>
    <mergeCell ref="D640:E640"/>
    <mergeCell ref="F640:G640"/>
    <mergeCell ref="H640:I640"/>
    <mergeCell ref="J640:K640"/>
    <mergeCell ref="L640:M640"/>
    <mergeCell ref="P640:Q640"/>
    <mergeCell ref="AJ639:AK639"/>
    <mergeCell ref="AL639:AM639"/>
    <mergeCell ref="AN639:AO639"/>
    <mergeCell ref="AP639:AQ639"/>
    <mergeCell ref="AR639:AS639"/>
    <mergeCell ref="AT639:AU639"/>
    <mergeCell ref="AV639:AW639"/>
    <mergeCell ref="BD642:BE642"/>
    <mergeCell ref="BF642:BI642"/>
    <mergeCell ref="AN642:AO642"/>
    <mergeCell ref="AP642:AQ642"/>
    <mergeCell ref="AR642:AS642"/>
    <mergeCell ref="AT642:AU642"/>
    <mergeCell ref="AV642:AW642"/>
    <mergeCell ref="AX642:AZ642"/>
    <mergeCell ref="BA642:BB642"/>
    <mergeCell ref="AJ646:AK646"/>
    <mergeCell ref="AL646:AM646"/>
    <mergeCell ref="D644:E644"/>
    <mergeCell ref="F644:G644"/>
    <mergeCell ref="H644:I644"/>
    <mergeCell ref="J644:K644"/>
    <mergeCell ref="L644:M644"/>
    <mergeCell ref="P644:Q644"/>
    <mergeCell ref="AJ643:AK643"/>
    <mergeCell ref="AL643:AM643"/>
    <mergeCell ref="AN643:AO643"/>
    <mergeCell ref="AP643:AQ643"/>
    <mergeCell ref="AR643:AS643"/>
    <mergeCell ref="AT643:AU643"/>
    <mergeCell ref="AV643:AW643"/>
    <mergeCell ref="B645:C645"/>
    <mergeCell ref="D645:E645"/>
    <mergeCell ref="F645:G645"/>
    <mergeCell ref="H645:I645"/>
    <mergeCell ref="J645:K645"/>
    <mergeCell ref="L645:M645"/>
    <mergeCell ref="B638:C638"/>
    <mergeCell ref="D638:E638"/>
    <mergeCell ref="F638:G638"/>
    <mergeCell ref="H638:I638"/>
    <mergeCell ref="J638:K638"/>
    <mergeCell ref="L638:M638"/>
    <mergeCell ref="P638:Q638"/>
    <mergeCell ref="BJ646:BM646"/>
    <mergeCell ref="BN646:BV646"/>
    <mergeCell ref="R646:S646"/>
    <mergeCell ref="T646:U646"/>
    <mergeCell ref="V646:W646"/>
    <mergeCell ref="X646:AA646"/>
    <mergeCell ref="AB646:AE646"/>
    <mergeCell ref="AF646:AG646"/>
    <mergeCell ref="AH646:AI646"/>
    <mergeCell ref="BD646:BE646"/>
    <mergeCell ref="BF646:BI646"/>
    <mergeCell ref="AN646:AO646"/>
    <mergeCell ref="AP646:AQ646"/>
    <mergeCell ref="AR646:AS646"/>
    <mergeCell ref="AT646:AU646"/>
    <mergeCell ref="AV646:AW646"/>
    <mergeCell ref="AX646:AZ646"/>
    <mergeCell ref="BA646:BB646"/>
    <mergeCell ref="AJ644:AK644"/>
    <mergeCell ref="AL644:AM644"/>
    <mergeCell ref="R644:S644"/>
    <mergeCell ref="T644:U644"/>
    <mergeCell ref="V644:W644"/>
    <mergeCell ref="X644:AA644"/>
    <mergeCell ref="AB644:AE644"/>
    <mergeCell ref="AF644:AG644"/>
    <mergeCell ref="AH644:AI644"/>
    <mergeCell ref="R645:S645"/>
    <mergeCell ref="T645:U645"/>
    <mergeCell ref="V645:W645"/>
    <mergeCell ref="X645:AA645"/>
    <mergeCell ref="AB645:AE645"/>
    <mergeCell ref="AF645:AG645"/>
    <mergeCell ref="AH645:AI645"/>
    <mergeCell ref="AX645:AZ645"/>
    <mergeCell ref="BA645:BB645"/>
    <mergeCell ref="BD645:BE645"/>
    <mergeCell ref="BF645:BI645"/>
    <mergeCell ref="BJ645:BM645"/>
    <mergeCell ref="BN645:BV645"/>
    <mergeCell ref="P645:Q645"/>
    <mergeCell ref="AJ645:AK645"/>
    <mergeCell ref="AL645:AM645"/>
    <mergeCell ref="AN645:AO645"/>
    <mergeCell ref="AP645:AQ645"/>
    <mergeCell ref="AR645:AS645"/>
    <mergeCell ref="AT645:AU645"/>
    <mergeCell ref="AV645:AW645"/>
    <mergeCell ref="B646:C646"/>
    <mergeCell ref="D646:E646"/>
    <mergeCell ref="F646:G646"/>
    <mergeCell ref="H646:I646"/>
    <mergeCell ref="J646:K646"/>
    <mergeCell ref="L646:M646"/>
    <mergeCell ref="P646:Q646"/>
    <mergeCell ref="R636:S636"/>
    <mergeCell ref="T636:U636"/>
    <mergeCell ref="V636:W636"/>
    <mergeCell ref="X636:AA636"/>
    <mergeCell ref="AB636:AE636"/>
    <mergeCell ref="AF636:AG636"/>
    <mergeCell ref="AH636:AI636"/>
    <mergeCell ref="AX636:AZ636"/>
    <mergeCell ref="BA636:BB636"/>
    <mergeCell ref="BD636:BE636"/>
    <mergeCell ref="BF636:BI636"/>
    <mergeCell ref="BD640:BE640"/>
    <mergeCell ref="BF640:BI640"/>
    <mergeCell ref="AN640:AO640"/>
    <mergeCell ref="AP640:AQ640"/>
    <mergeCell ref="AR640:AS640"/>
    <mergeCell ref="AT640:AU640"/>
    <mergeCell ref="AV640:AW640"/>
    <mergeCell ref="AX640:AZ640"/>
    <mergeCell ref="BA640:BB640"/>
    <mergeCell ref="AX639:AZ639"/>
    <mergeCell ref="BA639:BB639"/>
    <mergeCell ref="BD639:BE639"/>
    <mergeCell ref="BF639:BI639"/>
    <mergeCell ref="AJ637:AK637"/>
    <mergeCell ref="AL637:AM637"/>
    <mergeCell ref="BJ636:BM636"/>
    <mergeCell ref="BN636:BV636"/>
    <mergeCell ref="B636:C636"/>
    <mergeCell ref="D636:E636"/>
    <mergeCell ref="F636:G636"/>
    <mergeCell ref="H636:I636"/>
    <mergeCell ref="J636:K636"/>
    <mergeCell ref="L636:M636"/>
    <mergeCell ref="P636:Q636"/>
    <mergeCell ref="AJ636:AK636"/>
    <mergeCell ref="AL636:AM636"/>
    <mergeCell ref="AN636:AO636"/>
    <mergeCell ref="AP636:AQ636"/>
    <mergeCell ref="AR636:AS636"/>
    <mergeCell ref="AT636:AU636"/>
    <mergeCell ref="AV636:AW636"/>
    <mergeCell ref="B637:C637"/>
    <mergeCell ref="D637:E637"/>
    <mergeCell ref="F637:G637"/>
    <mergeCell ref="H637:I637"/>
    <mergeCell ref="J637:K637"/>
    <mergeCell ref="L637:M637"/>
    <mergeCell ref="P637:Q637"/>
    <mergeCell ref="R639:S639"/>
    <mergeCell ref="T639:U639"/>
    <mergeCell ref="V639:W639"/>
    <mergeCell ref="X639:AA639"/>
    <mergeCell ref="AB639:AE639"/>
    <mergeCell ref="AF639:AG639"/>
    <mergeCell ref="AH639:AI639"/>
    <mergeCell ref="B639:C639"/>
    <mergeCell ref="D639:E639"/>
    <mergeCell ref="F639:G639"/>
    <mergeCell ref="H639:I639"/>
    <mergeCell ref="J639:K639"/>
    <mergeCell ref="L639:M639"/>
    <mergeCell ref="P639:Q639"/>
    <mergeCell ref="R638:S638"/>
    <mergeCell ref="BJ642:BM642"/>
    <mergeCell ref="BN642:BV642"/>
    <mergeCell ref="B641:C641"/>
    <mergeCell ref="D641:E641"/>
    <mergeCell ref="F641:G641"/>
    <mergeCell ref="H641:I641"/>
    <mergeCell ref="J641:K641"/>
    <mergeCell ref="L641:M641"/>
    <mergeCell ref="P641:Q641"/>
    <mergeCell ref="B642:C642"/>
    <mergeCell ref="D642:E642"/>
    <mergeCell ref="F642:G642"/>
    <mergeCell ref="H642:I642"/>
    <mergeCell ref="J642:K642"/>
    <mergeCell ref="L642:M642"/>
    <mergeCell ref="P642:Q642"/>
    <mergeCell ref="AJ641:AK641"/>
    <mergeCell ref="AL641:AM641"/>
    <mergeCell ref="AN641:AO641"/>
    <mergeCell ref="AP641:AQ641"/>
    <mergeCell ref="AR641:AS641"/>
    <mergeCell ref="AT641:AU641"/>
    <mergeCell ref="AV641:AW641"/>
    <mergeCell ref="BD644:BE644"/>
    <mergeCell ref="BF644:BI644"/>
    <mergeCell ref="AN644:AO644"/>
    <mergeCell ref="AP644:AQ644"/>
    <mergeCell ref="AR644:AS644"/>
    <mergeCell ref="AT644:AU644"/>
    <mergeCell ref="AV644:AW644"/>
    <mergeCell ref="AX644:AZ644"/>
    <mergeCell ref="BA644:BB644"/>
    <mergeCell ref="AJ642:AK642"/>
    <mergeCell ref="AL642:AM642"/>
    <mergeCell ref="R642:S642"/>
    <mergeCell ref="T642:U642"/>
    <mergeCell ref="V642:W642"/>
    <mergeCell ref="X642:AA642"/>
    <mergeCell ref="AB642:AE642"/>
    <mergeCell ref="AF642:AG642"/>
    <mergeCell ref="AH642:AI642"/>
    <mergeCell ref="R643:S643"/>
    <mergeCell ref="T643:U643"/>
    <mergeCell ref="V643:W643"/>
    <mergeCell ref="X643:AA643"/>
    <mergeCell ref="AB643:AE643"/>
    <mergeCell ref="AF643:AG643"/>
    <mergeCell ref="AH643:AI643"/>
    <mergeCell ref="AX643:AZ643"/>
    <mergeCell ref="BA643:BB643"/>
    <mergeCell ref="BD643:BE643"/>
    <mergeCell ref="BF643:BI643"/>
    <mergeCell ref="BJ643:BM643"/>
    <mergeCell ref="BN643:BV643"/>
    <mergeCell ref="BJ644:BM644"/>
    <mergeCell ref="BN644:BV644"/>
    <mergeCell ref="B643:C643"/>
    <mergeCell ref="D643:E643"/>
    <mergeCell ref="F643:G643"/>
    <mergeCell ref="H643:I643"/>
    <mergeCell ref="J643:K643"/>
    <mergeCell ref="L643:M643"/>
    <mergeCell ref="P643:Q643"/>
    <mergeCell ref="B644:C644"/>
    <mergeCell ref="BJ637:BM637"/>
    <mergeCell ref="BN637:BV637"/>
    <mergeCell ref="R637:S637"/>
    <mergeCell ref="T637:U637"/>
    <mergeCell ref="V637:W637"/>
    <mergeCell ref="X637:AA637"/>
    <mergeCell ref="AB637:AE637"/>
    <mergeCell ref="AF637:AG637"/>
    <mergeCell ref="AH637:AI637"/>
    <mergeCell ref="AJ640:AK640"/>
    <mergeCell ref="AL640:AM640"/>
    <mergeCell ref="R640:S640"/>
    <mergeCell ref="T640:U640"/>
    <mergeCell ref="V640:W640"/>
    <mergeCell ref="X640:AA640"/>
    <mergeCell ref="AB640:AE640"/>
    <mergeCell ref="AF640:AG640"/>
    <mergeCell ref="AH640:AI640"/>
    <mergeCell ref="R641:S641"/>
    <mergeCell ref="T641:U641"/>
    <mergeCell ref="V641:W641"/>
    <mergeCell ref="X641:AA641"/>
    <mergeCell ref="AB641:AE641"/>
    <mergeCell ref="AF641:AG641"/>
    <mergeCell ref="AH641:AI641"/>
    <mergeCell ref="AX641:AZ641"/>
    <mergeCell ref="BA641:BB641"/>
    <mergeCell ref="BD641:BE641"/>
    <mergeCell ref="BF641:BI641"/>
    <mergeCell ref="BJ641:BM641"/>
    <mergeCell ref="BN641:BV641"/>
    <mergeCell ref="BJ639:BM639"/>
    <mergeCell ref="BN639:BV639"/>
    <mergeCell ref="BJ640:BM640"/>
    <mergeCell ref="BN640:BV640"/>
    <mergeCell ref="BD637:BE637"/>
    <mergeCell ref="BF637:BI637"/>
    <mergeCell ref="AN637:AO637"/>
    <mergeCell ref="AP637:AQ637"/>
    <mergeCell ref="AR637:AS637"/>
    <mergeCell ref="AT637:AU637"/>
    <mergeCell ref="AV637:AW637"/>
    <mergeCell ref="AX637:AZ637"/>
    <mergeCell ref="BA637:BB637"/>
    <mergeCell ref="T638:U638"/>
    <mergeCell ref="V638:W638"/>
    <mergeCell ref="X638:AA638"/>
    <mergeCell ref="AB638:AE638"/>
    <mergeCell ref="AF638:AG638"/>
    <mergeCell ref="AH638:AI638"/>
    <mergeCell ref="AX638:AZ638"/>
    <mergeCell ref="BA638:BB638"/>
    <mergeCell ref="BD638:BE638"/>
    <mergeCell ref="BF638:BI638"/>
    <mergeCell ref="BJ638:BM638"/>
    <mergeCell ref="BN638:BV638"/>
    <mergeCell ref="AJ638:AK638"/>
    <mergeCell ref="AL638:AM638"/>
    <mergeCell ref="AN638:AO638"/>
    <mergeCell ref="AP638:AQ638"/>
    <mergeCell ref="AR638:AS638"/>
    <mergeCell ref="AT638:AU638"/>
    <mergeCell ref="AV638:AW638"/>
    <mergeCell ref="BJ629:BM629"/>
    <mergeCell ref="BN629:BV629"/>
    <mergeCell ref="AJ629:AK629"/>
    <mergeCell ref="AL629:AM629"/>
    <mergeCell ref="AN629:AO629"/>
    <mergeCell ref="AP629:AQ629"/>
    <mergeCell ref="AR629:AS629"/>
    <mergeCell ref="AT629:AU629"/>
    <mergeCell ref="AV629:AW629"/>
    <mergeCell ref="B629:C629"/>
    <mergeCell ref="D629:E629"/>
    <mergeCell ref="F629:G629"/>
    <mergeCell ref="H629:I629"/>
    <mergeCell ref="J629:K629"/>
    <mergeCell ref="L629:M629"/>
    <mergeCell ref="P629:Q629"/>
    <mergeCell ref="AX630:AZ630"/>
    <mergeCell ref="BA630:BB630"/>
    <mergeCell ref="BD630:BE630"/>
    <mergeCell ref="BF630:BI630"/>
    <mergeCell ref="BJ630:BM630"/>
    <mergeCell ref="BN630:BV630"/>
    <mergeCell ref="BJ631:BM631"/>
    <mergeCell ref="BN631:BV631"/>
    <mergeCell ref="B631:C631"/>
    <mergeCell ref="D631:E631"/>
    <mergeCell ref="F631:G631"/>
    <mergeCell ref="H631:I631"/>
    <mergeCell ref="J631:K631"/>
    <mergeCell ref="L631:M631"/>
    <mergeCell ref="P631:Q631"/>
    <mergeCell ref="AJ630:AK630"/>
    <mergeCell ref="AL630:AM630"/>
    <mergeCell ref="AN630:AO630"/>
    <mergeCell ref="AP630:AQ630"/>
    <mergeCell ref="AR630:AS630"/>
    <mergeCell ref="AT630:AU630"/>
    <mergeCell ref="AV630:AW630"/>
    <mergeCell ref="R630:S630"/>
    <mergeCell ref="T630:U630"/>
    <mergeCell ref="V630:W630"/>
    <mergeCell ref="X630:AA630"/>
    <mergeCell ref="AB630:AE630"/>
    <mergeCell ref="AF630:AG630"/>
    <mergeCell ref="AH630:AI630"/>
    <mergeCell ref="B630:C630"/>
    <mergeCell ref="D630:E630"/>
    <mergeCell ref="F630:G630"/>
    <mergeCell ref="H630:I630"/>
    <mergeCell ref="J630:K630"/>
    <mergeCell ref="L630:M630"/>
    <mergeCell ref="P630:Q630"/>
    <mergeCell ref="BD631:BE631"/>
    <mergeCell ref="BF631:BI631"/>
    <mergeCell ref="AN631:AO631"/>
    <mergeCell ref="AP631:AQ631"/>
    <mergeCell ref="AR631:AS631"/>
    <mergeCell ref="AT631:AU631"/>
    <mergeCell ref="AV631:AW631"/>
    <mergeCell ref="AX631:AZ631"/>
    <mergeCell ref="BA631:BB631"/>
    <mergeCell ref="R629:S629"/>
    <mergeCell ref="T629:U629"/>
    <mergeCell ref="V629:W629"/>
    <mergeCell ref="B634:C634"/>
    <mergeCell ref="D634:E634"/>
    <mergeCell ref="F634:G634"/>
    <mergeCell ref="H634:I634"/>
    <mergeCell ref="J634:K634"/>
    <mergeCell ref="L634:M634"/>
    <mergeCell ref="P634:Q634"/>
    <mergeCell ref="B635:C635"/>
    <mergeCell ref="D635:E635"/>
    <mergeCell ref="F635:G635"/>
    <mergeCell ref="H635:I635"/>
    <mergeCell ref="J635:K635"/>
    <mergeCell ref="L635:M635"/>
    <mergeCell ref="P635:Q635"/>
    <mergeCell ref="AJ634:AK634"/>
    <mergeCell ref="AL634:AM634"/>
    <mergeCell ref="AN634:AO634"/>
    <mergeCell ref="AP634:AQ634"/>
    <mergeCell ref="AR634:AS634"/>
    <mergeCell ref="AT634:AU634"/>
    <mergeCell ref="AV634:AW634"/>
    <mergeCell ref="BD628:BE628"/>
    <mergeCell ref="BF628:BI628"/>
    <mergeCell ref="AN628:AO628"/>
    <mergeCell ref="AP628:AQ628"/>
    <mergeCell ref="AR628:AS628"/>
    <mergeCell ref="AT628:AU628"/>
    <mergeCell ref="AV628:AW628"/>
    <mergeCell ref="AX628:AZ628"/>
    <mergeCell ref="BA628:BB628"/>
    <mergeCell ref="BD635:BE635"/>
    <mergeCell ref="BF635:BI635"/>
    <mergeCell ref="AN635:AO635"/>
    <mergeCell ref="AP635:AQ635"/>
    <mergeCell ref="AR635:AS635"/>
    <mergeCell ref="AT635:AU635"/>
    <mergeCell ref="AV635:AW635"/>
    <mergeCell ref="AX635:AZ635"/>
    <mergeCell ref="BA635:BB635"/>
    <mergeCell ref="AJ633:AK633"/>
    <mergeCell ref="AL633:AM633"/>
    <mergeCell ref="R633:S633"/>
    <mergeCell ref="T633:U633"/>
    <mergeCell ref="V633:W633"/>
    <mergeCell ref="X633:AA633"/>
    <mergeCell ref="AB633:AE633"/>
    <mergeCell ref="AF633:AG633"/>
    <mergeCell ref="AH633:AI633"/>
    <mergeCell ref="R634:S634"/>
    <mergeCell ref="T634:U634"/>
    <mergeCell ref="V634:W634"/>
    <mergeCell ref="X634:AA634"/>
    <mergeCell ref="AB634:AE634"/>
    <mergeCell ref="AF634:AG634"/>
    <mergeCell ref="AH634:AI634"/>
    <mergeCell ref="AX634:AZ634"/>
    <mergeCell ref="AJ635:AK635"/>
    <mergeCell ref="AL635:AM635"/>
    <mergeCell ref="R635:S635"/>
    <mergeCell ref="T635:U635"/>
    <mergeCell ref="V635:W635"/>
    <mergeCell ref="X635:AA635"/>
    <mergeCell ref="AB635:AE635"/>
    <mergeCell ref="AF635:AG635"/>
    <mergeCell ref="R627:S627"/>
    <mergeCell ref="T627:U627"/>
    <mergeCell ref="V627:W627"/>
    <mergeCell ref="X627:AA627"/>
    <mergeCell ref="AB627:AE627"/>
    <mergeCell ref="AF627:AG627"/>
    <mergeCell ref="AH627:AI627"/>
    <mergeCell ref="AX627:AZ627"/>
    <mergeCell ref="BA627:BB627"/>
    <mergeCell ref="BD627:BE627"/>
    <mergeCell ref="BF627:BI627"/>
    <mergeCell ref="B627:C627"/>
    <mergeCell ref="D627:E627"/>
    <mergeCell ref="F627:G627"/>
    <mergeCell ref="H627:I627"/>
    <mergeCell ref="J627:K627"/>
    <mergeCell ref="L627:M627"/>
    <mergeCell ref="P627:Q627"/>
    <mergeCell ref="AJ627:AK627"/>
    <mergeCell ref="AL627:AM627"/>
    <mergeCell ref="AN627:AO627"/>
    <mergeCell ref="AP627:AQ627"/>
    <mergeCell ref="AR627:AS627"/>
    <mergeCell ref="AT627:AU627"/>
    <mergeCell ref="AV627:AW627"/>
    <mergeCell ref="X629:AA629"/>
    <mergeCell ref="AB629:AE629"/>
    <mergeCell ref="AF629:AG629"/>
    <mergeCell ref="AH629:AI629"/>
    <mergeCell ref="AX629:AZ629"/>
    <mergeCell ref="BA629:BB629"/>
    <mergeCell ref="BD629:BE629"/>
    <mergeCell ref="BF629:BI629"/>
    <mergeCell ref="BA634:BB634"/>
    <mergeCell ref="BD634:BE634"/>
    <mergeCell ref="BF634:BI634"/>
    <mergeCell ref="BJ634:BM634"/>
    <mergeCell ref="BN634:BV634"/>
    <mergeCell ref="BJ635:BM635"/>
    <mergeCell ref="BN635:BV635"/>
    <mergeCell ref="BD633:BE633"/>
    <mergeCell ref="BF633:BI633"/>
    <mergeCell ref="AN633:AO633"/>
    <mergeCell ref="AP633:AQ633"/>
    <mergeCell ref="AR633:AS633"/>
    <mergeCell ref="AT633:AU633"/>
    <mergeCell ref="AV633:AW633"/>
    <mergeCell ref="AX633:AZ633"/>
    <mergeCell ref="BA633:BB633"/>
    <mergeCell ref="AJ631:AK631"/>
    <mergeCell ref="AL631:AM631"/>
    <mergeCell ref="R631:S631"/>
    <mergeCell ref="T631:U631"/>
    <mergeCell ref="V631:W631"/>
    <mergeCell ref="X631:AA631"/>
    <mergeCell ref="AB631:AE631"/>
    <mergeCell ref="AF631:AG631"/>
    <mergeCell ref="AH631:AI631"/>
    <mergeCell ref="R632:S632"/>
    <mergeCell ref="T632:U632"/>
    <mergeCell ref="V632:W632"/>
    <mergeCell ref="X632:AA632"/>
    <mergeCell ref="AB632:AE632"/>
    <mergeCell ref="AF632:AG632"/>
    <mergeCell ref="AH632:AI632"/>
    <mergeCell ref="AX632:AZ632"/>
    <mergeCell ref="BA632:BB632"/>
    <mergeCell ref="BD632:BE632"/>
    <mergeCell ref="BF632:BI632"/>
    <mergeCell ref="BJ632:BM632"/>
    <mergeCell ref="BN632:BV632"/>
    <mergeCell ref="BJ633:BM633"/>
    <mergeCell ref="BN633:BV633"/>
    <mergeCell ref="AH635:AI635"/>
    <mergeCell ref="B632:C632"/>
    <mergeCell ref="D632:E632"/>
    <mergeCell ref="F632:G632"/>
    <mergeCell ref="H632:I632"/>
    <mergeCell ref="J632:K632"/>
    <mergeCell ref="L632:M632"/>
    <mergeCell ref="P632:Q632"/>
    <mergeCell ref="B633:C633"/>
    <mergeCell ref="D633:E633"/>
    <mergeCell ref="F633:G633"/>
    <mergeCell ref="H633:I633"/>
    <mergeCell ref="J633:K633"/>
    <mergeCell ref="L633:M633"/>
    <mergeCell ref="P633:Q633"/>
    <mergeCell ref="AJ632:AK632"/>
    <mergeCell ref="AL632:AM632"/>
    <mergeCell ref="AN632:AO632"/>
    <mergeCell ref="AP632:AQ632"/>
    <mergeCell ref="AR632:AS632"/>
    <mergeCell ref="AT632:AU632"/>
    <mergeCell ref="AV632:AW632"/>
    <mergeCell ref="BJ621:BM621"/>
    <mergeCell ref="BN621:BV621"/>
    <mergeCell ref="BJ622:BM622"/>
    <mergeCell ref="BN622:BV622"/>
    <mergeCell ref="B622:C622"/>
    <mergeCell ref="D622:E622"/>
    <mergeCell ref="F622:G622"/>
    <mergeCell ref="H622:I622"/>
    <mergeCell ref="J622:K622"/>
    <mergeCell ref="L622:M622"/>
    <mergeCell ref="P622:Q622"/>
    <mergeCell ref="AJ621:AK621"/>
    <mergeCell ref="AL621:AM621"/>
    <mergeCell ref="AN621:AO621"/>
    <mergeCell ref="AP621:AQ621"/>
    <mergeCell ref="AR621:AS621"/>
    <mergeCell ref="AT621:AU621"/>
    <mergeCell ref="AV621:AW621"/>
    <mergeCell ref="BD624:BE624"/>
    <mergeCell ref="BF624:BI624"/>
    <mergeCell ref="AN624:AO624"/>
    <mergeCell ref="AP624:AQ624"/>
    <mergeCell ref="AR624:AS624"/>
    <mergeCell ref="AT624:AU624"/>
    <mergeCell ref="AV624:AW624"/>
    <mergeCell ref="AX624:AZ624"/>
    <mergeCell ref="BA624:BB624"/>
    <mergeCell ref="AJ628:AK628"/>
    <mergeCell ref="AL628:AM628"/>
    <mergeCell ref="BJ628:BM628"/>
    <mergeCell ref="BN628:BV628"/>
    <mergeCell ref="R628:S628"/>
    <mergeCell ref="T628:U628"/>
    <mergeCell ref="V628:W628"/>
    <mergeCell ref="X628:AA628"/>
    <mergeCell ref="AB628:AE628"/>
    <mergeCell ref="AF628:AG628"/>
    <mergeCell ref="AH628:AI628"/>
    <mergeCell ref="BJ627:BM627"/>
    <mergeCell ref="BN627:BV627"/>
    <mergeCell ref="B628:C628"/>
    <mergeCell ref="D628:E628"/>
    <mergeCell ref="F628:G628"/>
    <mergeCell ref="H628:I628"/>
    <mergeCell ref="J628:K628"/>
    <mergeCell ref="L628:M628"/>
    <mergeCell ref="P628:Q628"/>
    <mergeCell ref="BJ618:BM618"/>
    <mergeCell ref="BN618:BV618"/>
    <mergeCell ref="B618:C618"/>
    <mergeCell ref="D618:E618"/>
    <mergeCell ref="F618:G618"/>
    <mergeCell ref="H618:I618"/>
    <mergeCell ref="J618:K618"/>
    <mergeCell ref="L618:M618"/>
    <mergeCell ref="P618:Q618"/>
    <mergeCell ref="AJ618:AK618"/>
    <mergeCell ref="AL618:AM618"/>
    <mergeCell ref="AN618:AO618"/>
    <mergeCell ref="AP618:AQ618"/>
    <mergeCell ref="AR618:AS618"/>
    <mergeCell ref="AT618:AU618"/>
    <mergeCell ref="AV618:AW618"/>
    <mergeCell ref="B619:C619"/>
    <mergeCell ref="D619:E619"/>
    <mergeCell ref="F619:G619"/>
    <mergeCell ref="H619:I619"/>
    <mergeCell ref="J619:K619"/>
    <mergeCell ref="L619:M619"/>
    <mergeCell ref="P619:Q619"/>
    <mergeCell ref="R621:S621"/>
    <mergeCell ref="T621:U621"/>
    <mergeCell ref="V621:W621"/>
    <mergeCell ref="X621:AA621"/>
    <mergeCell ref="AB621:AE621"/>
    <mergeCell ref="AF621:AG621"/>
    <mergeCell ref="AH621:AI621"/>
    <mergeCell ref="B621:C621"/>
    <mergeCell ref="D621:E621"/>
    <mergeCell ref="F621:G621"/>
    <mergeCell ref="H621:I621"/>
    <mergeCell ref="J621:K621"/>
    <mergeCell ref="L621:M621"/>
    <mergeCell ref="P621:Q621"/>
    <mergeCell ref="R620:S620"/>
    <mergeCell ref="T620:U620"/>
    <mergeCell ref="V620:W620"/>
    <mergeCell ref="X620:AA620"/>
    <mergeCell ref="AB620:AE620"/>
    <mergeCell ref="AF620:AG620"/>
    <mergeCell ref="AH620:AI620"/>
    <mergeCell ref="AX620:AZ620"/>
    <mergeCell ref="BA620:BB620"/>
    <mergeCell ref="BD620:BE620"/>
    <mergeCell ref="BF620:BI620"/>
    <mergeCell ref="BJ620:BM620"/>
    <mergeCell ref="BN620:BV620"/>
    <mergeCell ref="AJ620:AK620"/>
    <mergeCell ref="AL620:AM620"/>
    <mergeCell ref="AN620:AO620"/>
    <mergeCell ref="AP620:AQ620"/>
    <mergeCell ref="AR620:AS620"/>
    <mergeCell ref="AT620:AU620"/>
    <mergeCell ref="AV620:AW620"/>
    <mergeCell ref="B620:C620"/>
    <mergeCell ref="D620:E620"/>
    <mergeCell ref="F620:G620"/>
    <mergeCell ref="AL625:AM625"/>
    <mergeCell ref="AN625:AO625"/>
    <mergeCell ref="AP625:AQ625"/>
    <mergeCell ref="AR625:AS625"/>
    <mergeCell ref="AT625:AU625"/>
    <mergeCell ref="AV625:AW625"/>
    <mergeCell ref="BD619:BE619"/>
    <mergeCell ref="BF619:BI619"/>
    <mergeCell ref="AN619:AO619"/>
    <mergeCell ref="AP619:AQ619"/>
    <mergeCell ref="AR619:AS619"/>
    <mergeCell ref="AT619:AU619"/>
    <mergeCell ref="AV619:AW619"/>
    <mergeCell ref="AX619:AZ619"/>
    <mergeCell ref="BA619:BB619"/>
    <mergeCell ref="BD626:BE626"/>
    <mergeCell ref="BF626:BI626"/>
    <mergeCell ref="AN626:AO626"/>
    <mergeCell ref="AP626:AQ626"/>
    <mergeCell ref="AR626:AS626"/>
    <mergeCell ref="AT626:AU626"/>
    <mergeCell ref="AV626:AW626"/>
    <mergeCell ref="AX626:AZ626"/>
    <mergeCell ref="BA626:BB626"/>
    <mergeCell ref="AJ624:AK624"/>
    <mergeCell ref="AL624:AM624"/>
    <mergeCell ref="R624:S624"/>
    <mergeCell ref="T624:U624"/>
    <mergeCell ref="V624:W624"/>
    <mergeCell ref="X624:AA624"/>
    <mergeCell ref="AB624:AE624"/>
    <mergeCell ref="AF624:AG624"/>
    <mergeCell ref="AH624:AI624"/>
    <mergeCell ref="R625:S625"/>
    <mergeCell ref="T625:U625"/>
    <mergeCell ref="V625:W625"/>
    <mergeCell ref="X625:AA625"/>
    <mergeCell ref="AB625:AE625"/>
    <mergeCell ref="AF625:AG625"/>
    <mergeCell ref="AH625:AI625"/>
    <mergeCell ref="AX625:AZ625"/>
    <mergeCell ref="BA625:BB625"/>
    <mergeCell ref="BD625:BE625"/>
    <mergeCell ref="BF625:BI625"/>
    <mergeCell ref="AJ626:AK626"/>
    <mergeCell ref="AL626:AM626"/>
    <mergeCell ref="R626:S626"/>
    <mergeCell ref="T626:U626"/>
    <mergeCell ref="V626:W626"/>
    <mergeCell ref="X626:AA626"/>
    <mergeCell ref="AB626:AE626"/>
    <mergeCell ref="AF626:AG626"/>
    <mergeCell ref="AH626:AI626"/>
    <mergeCell ref="X617:AA617"/>
    <mergeCell ref="AB617:AE617"/>
    <mergeCell ref="AF617:AG617"/>
    <mergeCell ref="AH617:AI617"/>
    <mergeCell ref="R618:S618"/>
    <mergeCell ref="T618:U618"/>
    <mergeCell ref="V618:W618"/>
    <mergeCell ref="X618:AA618"/>
    <mergeCell ref="AB618:AE618"/>
    <mergeCell ref="AF618:AG618"/>
    <mergeCell ref="AH618:AI618"/>
    <mergeCell ref="AX618:AZ618"/>
    <mergeCell ref="BA618:BB618"/>
    <mergeCell ref="BD618:BE618"/>
    <mergeCell ref="BF618:BI618"/>
    <mergeCell ref="BD622:BE622"/>
    <mergeCell ref="BF622:BI622"/>
    <mergeCell ref="AN622:AO622"/>
    <mergeCell ref="AP622:AQ622"/>
    <mergeCell ref="AR622:AS622"/>
    <mergeCell ref="AT622:AU622"/>
    <mergeCell ref="AV622:AW622"/>
    <mergeCell ref="AX622:AZ622"/>
    <mergeCell ref="BA622:BB622"/>
    <mergeCell ref="AX621:AZ621"/>
    <mergeCell ref="BA621:BB621"/>
    <mergeCell ref="BD621:BE621"/>
    <mergeCell ref="BF621:BI621"/>
    <mergeCell ref="AJ619:AK619"/>
    <mergeCell ref="AL619:AM619"/>
    <mergeCell ref="H620:I620"/>
    <mergeCell ref="J620:K620"/>
    <mergeCell ref="L620:M620"/>
    <mergeCell ref="P620:Q620"/>
    <mergeCell ref="BJ625:BM625"/>
    <mergeCell ref="BN625:BV625"/>
    <mergeCell ref="BJ626:BM626"/>
    <mergeCell ref="BN626:BV626"/>
    <mergeCell ref="AJ622:AK622"/>
    <mergeCell ref="AL622:AM622"/>
    <mergeCell ref="R622:S622"/>
    <mergeCell ref="T622:U622"/>
    <mergeCell ref="V622:W622"/>
    <mergeCell ref="X622:AA622"/>
    <mergeCell ref="AB622:AE622"/>
    <mergeCell ref="AF622:AG622"/>
    <mergeCell ref="AH622:AI622"/>
    <mergeCell ref="R623:S623"/>
    <mergeCell ref="T623:U623"/>
    <mergeCell ref="V623:W623"/>
    <mergeCell ref="X623:AA623"/>
    <mergeCell ref="AB623:AE623"/>
    <mergeCell ref="AF623:AG623"/>
    <mergeCell ref="AH623:AI623"/>
    <mergeCell ref="AX623:AZ623"/>
    <mergeCell ref="BA623:BB623"/>
    <mergeCell ref="BD623:BE623"/>
    <mergeCell ref="BF623:BI623"/>
    <mergeCell ref="BJ623:BM623"/>
    <mergeCell ref="BN623:BV623"/>
    <mergeCell ref="BJ624:BM624"/>
    <mergeCell ref="BN624:BV624"/>
    <mergeCell ref="B623:C623"/>
    <mergeCell ref="D623:E623"/>
    <mergeCell ref="F623:G623"/>
    <mergeCell ref="H623:I623"/>
    <mergeCell ref="J623:K623"/>
    <mergeCell ref="L623:M623"/>
    <mergeCell ref="P623:Q623"/>
    <mergeCell ref="B624:C624"/>
    <mergeCell ref="D624:E624"/>
    <mergeCell ref="F624:G624"/>
    <mergeCell ref="H624:I624"/>
    <mergeCell ref="J624:K624"/>
    <mergeCell ref="L624:M624"/>
    <mergeCell ref="P624:Q624"/>
    <mergeCell ref="AJ623:AK623"/>
    <mergeCell ref="AL623:AM623"/>
    <mergeCell ref="AN623:AO623"/>
    <mergeCell ref="AP623:AQ623"/>
    <mergeCell ref="AR623:AS623"/>
    <mergeCell ref="AT623:AU623"/>
    <mergeCell ref="AV623:AW623"/>
    <mergeCell ref="B625:C625"/>
    <mergeCell ref="D625:E625"/>
    <mergeCell ref="F625:G625"/>
    <mergeCell ref="H625:I625"/>
    <mergeCell ref="J625:K625"/>
    <mergeCell ref="L625:M625"/>
    <mergeCell ref="P625:Q625"/>
    <mergeCell ref="B626:C626"/>
    <mergeCell ref="D626:E626"/>
    <mergeCell ref="F626:G626"/>
    <mergeCell ref="H626:I626"/>
    <mergeCell ref="J626:K626"/>
    <mergeCell ref="L626:M626"/>
    <mergeCell ref="P626:Q626"/>
    <mergeCell ref="AJ625:AK625"/>
    <mergeCell ref="V592:W592"/>
    <mergeCell ref="X592:AA592"/>
    <mergeCell ref="AB592:AE592"/>
    <mergeCell ref="AF592:AG592"/>
    <mergeCell ref="AH592:AI592"/>
    <mergeCell ref="AJ592:AK592"/>
    <mergeCell ref="AL592:AM592"/>
    <mergeCell ref="BD592:BE592"/>
    <mergeCell ref="BF592:BI592"/>
    <mergeCell ref="BJ592:BM592"/>
    <mergeCell ref="BN592:BV592"/>
    <mergeCell ref="AN592:AO592"/>
    <mergeCell ref="AP592:AQ592"/>
    <mergeCell ref="AR592:AS592"/>
    <mergeCell ref="AT592:AU592"/>
    <mergeCell ref="AV592:AW592"/>
    <mergeCell ref="AX592:AZ592"/>
    <mergeCell ref="BA592:BB592"/>
    <mergeCell ref="B592:C592"/>
    <mergeCell ref="D592:E592"/>
    <mergeCell ref="F592:G592"/>
    <mergeCell ref="H592:I592"/>
    <mergeCell ref="P592:Q592"/>
    <mergeCell ref="R592:S592"/>
    <mergeCell ref="T592:U592"/>
    <mergeCell ref="AJ591:AK591"/>
    <mergeCell ref="AL591:AM591"/>
    <mergeCell ref="B589:C589"/>
    <mergeCell ref="D589:E589"/>
    <mergeCell ref="F589:G589"/>
    <mergeCell ref="H589:I589"/>
    <mergeCell ref="J589:K589"/>
    <mergeCell ref="L589:M589"/>
    <mergeCell ref="P589:Q589"/>
    <mergeCell ref="AX589:AZ589"/>
    <mergeCell ref="BA589:BB589"/>
    <mergeCell ref="BD589:BE589"/>
    <mergeCell ref="V590:W590"/>
    <mergeCell ref="X590:AA590"/>
    <mergeCell ref="AB590:AE590"/>
    <mergeCell ref="AF590:AG590"/>
    <mergeCell ref="AH590:AI590"/>
    <mergeCell ref="AJ590:AK590"/>
    <mergeCell ref="AL590:AM590"/>
    <mergeCell ref="BD590:BE590"/>
    <mergeCell ref="BF590:BI590"/>
    <mergeCell ref="BJ590:BM590"/>
    <mergeCell ref="BN590:BV590"/>
    <mergeCell ref="AN590:AO590"/>
    <mergeCell ref="AP590:AQ590"/>
    <mergeCell ref="AR590:AS590"/>
    <mergeCell ref="AT590:AU590"/>
    <mergeCell ref="AV590:AW590"/>
    <mergeCell ref="AX590:AZ590"/>
    <mergeCell ref="BA590:BB590"/>
    <mergeCell ref="B591:C591"/>
    <mergeCell ref="D591:E591"/>
    <mergeCell ref="F591:G591"/>
    <mergeCell ref="H591:I591"/>
    <mergeCell ref="J591:K591"/>
    <mergeCell ref="L591:M591"/>
    <mergeCell ref="P591:Q591"/>
    <mergeCell ref="AX591:AZ591"/>
    <mergeCell ref="BA591:BB591"/>
    <mergeCell ref="BD591:BE591"/>
    <mergeCell ref="BF591:BI591"/>
    <mergeCell ref="BJ591:BM591"/>
    <mergeCell ref="BN591:BV591"/>
    <mergeCell ref="AJ589:AK589"/>
    <mergeCell ref="AL589:AM589"/>
    <mergeCell ref="AN591:AO591"/>
    <mergeCell ref="AP591:AQ591"/>
    <mergeCell ref="AR591:AS591"/>
    <mergeCell ref="AT591:AU591"/>
    <mergeCell ref="AV591:AW591"/>
    <mergeCell ref="R591:S591"/>
    <mergeCell ref="T591:U591"/>
    <mergeCell ref="V591:W591"/>
    <mergeCell ref="X591:AA591"/>
    <mergeCell ref="AB591:AE591"/>
    <mergeCell ref="AF591:AG591"/>
    <mergeCell ref="AH591:AI591"/>
    <mergeCell ref="AT588:AU588"/>
    <mergeCell ref="AV588:AW588"/>
    <mergeCell ref="AX588:AZ588"/>
    <mergeCell ref="BA588:BB588"/>
    <mergeCell ref="B588:C588"/>
    <mergeCell ref="D588:E588"/>
    <mergeCell ref="F588:G588"/>
    <mergeCell ref="H588:I588"/>
    <mergeCell ref="P588:Q588"/>
    <mergeCell ref="R588:S588"/>
    <mergeCell ref="T588:U588"/>
    <mergeCell ref="B585:C585"/>
    <mergeCell ref="D585:E585"/>
    <mergeCell ref="F585:G585"/>
    <mergeCell ref="H585:I585"/>
    <mergeCell ref="J585:K585"/>
    <mergeCell ref="BF589:BI589"/>
    <mergeCell ref="BJ589:BM589"/>
    <mergeCell ref="BN589:BV589"/>
    <mergeCell ref="AJ587:AK587"/>
    <mergeCell ref="AL587:AM587"/>
    <mergeCell ref="AN589:AO589"/>
    <mergeCell ref="AP589:AQ589"/>
    <mergeCell ref="AR589:AS589"/>
    <mergeCell ref="AT589:AU589"/>
    <mergeCell ref="AV589:AW589"/>
    <mergeCell ref="R589:S589"/>
    <mergeCell ref="T589:U589"/>
    <mergeCell ref="V589:W589"/>
    <mergeCell ref="X589:AA589"/>
    <mergeCell ref="AB589:AE589"/>
    <mergeCell ref="AF589:AG589"/>
    <mergeCell ref="AH589:AI589"/>
    <mergeCell ref="V586:W586"/>
    <mergeCell ref="X586:AA586"/>
    <mergeCell ref="AB586:AE586"/>
    <mergeCell ref="AF586:AG586"/>
    <mergeCell ref="AH586:AI586"/>
    <mergeCell ref="AJ586:AK586"/>
    <mergeCell ref="AL586:AM586"/>
    <mergeCell ref="BD586:BE586"/>
    <mergeCell ref="BF586:BI586"/>
    <mergeCell ref="BJ586:BM586"/>
    <mergeCell ref="BN586:BV586"/>
    <mergeCell ref="AN586:AO586"/>
    <mergeCell ref="AP586:AQ586"/>
    <mergeCell ref="AR586:AS586"/>
    <mergeCell ref="AT586:AU586"/>
    <mergeCell ref="AV586:AW586"/>
    <mergeCell ref="AX586:AZ586"/>
    <mergeCell ref="BA586:BB586"/>
    <mergeCell ref="B590:C590"/>
    <mergeCell ref="D590:E590"/>
    <mergeCell ref="F590:G590"/>
    <mergeCell ref="H590:I590"/>
    <mergeCell ref="P590:Q590"/>
    <mergeCell ref="R590:S590"/>
    <mergeCell ref="T590:U590"/>
    <mergeCell ref="B587:C587"/>
    <mergeCell ref="D587:E587"/>
    <mergeCell ref="F587:G587"/>
    <mergeCell ref="H587:I587"/>
    <mergeCell ref="J587:K587"/>
    <mergeCell ref="L587:M587"/>
    <mergeCell ref="P587:Q587"/>
    <mergeCell ref="AX587:AZ587"/>
    <mergeCell ref="BA587:BB587"/>
    <mergeCell ref="BD587:BE587"/>
    <mergeCell ref="BF587:BI587"/>
    <mergeCell ref="BJ587:BM587"/>
    <mergeCell ref="BN587:BV587"/>
    <mergeCell ref="AN587:AO587"/>
    <mergeCell ref="AP587:AQ587"/>
    <mergeCell ref="AR587:AS587"/>
    <mergeCell ref="AT587:AU587"/>
    <mergeCell ref="AV587:AW587"/>
    <mergeCell ref="R587:S587"/>
    <mergeCell ref="T587:U587"/>
    <mergeCell ref="V587:W587"/>
    <mergeCell ref="X587:AA587"/>
    <mergeCell ref="AB587:AE587"/>
    <mergeCell ref="AF587:AG587"/>
    <mergeCell ref="AH587:AI587"/>
    <mergeCell ref="V588:W588"/>
    <mergeCell ref="X588:AA588"/>
    <mergeCell ref="AB588:AE588"/>
    <mergeCell ref="AF588:AG588"/>
    <mergeCell ref="AH588:AI588"/>
    <mergeCell ref="AJ588:AK588"/>
    <mergeCell ref="AL588:AM588"/>
    <mergeCell ref="BD588:BE588"/>
    <mergeCell ref="BF588:BI588"/>
    <mergeCell ref="BJ588:BM588"/>
    <mergeCell ref="BN588:BV588"/>
    <mergeCell ref="AN588:AO588"/>
    <mergeCell ref="AP588:AQ588"/>
    <mergeCell ref="AR588:AS588"/>
    <mergeCell ref="AT584:AU584"/>
    <mergeCell ref="AV584:AW584"/>
    <mergeCell ref="AX584:AZ584"/>
    <mergeCell ref="BA584:BB584"/>
    <mergeCell ref="B584:C584"/>
    <mergeCell ref="D584:E584"/>
    <mergeCell ref="F584:G584"/>
    <mergeCell ref="H584:I584"/>
    <mergeCell ref="P584:Q584"/>
    <mergeCell ref="R584:S584"/>
    <mergeCell ref="T584:U584"/>
    <mergeCell ref="B581:C581"/>
    <mergeCell ref="D581:E581"/>
    <mergeCell ref="F581:G581"/>
    <mergeCell ref="H581:I581"/>
    <mergeCell ref="J581:K581"/>
    <mergeCell ref="L585:M585"/>
    <mergeCell ref="P585:Q585"/>
    <mergeCell ref="AX585:AZ585"/>
    <mergeCell ref="BA585:BB585"/>
    <mergeCell ref="BD585:BE585"/>
    <mergeCell ref="BF585:BI585"/>
    <mergeCell ref="BJ585:BM585"/>
    <mergeCell ref="BN585:BV585"/>
    <mergeCell ref="AJ583:AK583"/>
    <mergeCell ref="AL583:AM583"/>
    <mergeCell ref="AN585:AO585"/>
    <mergeCell ref="AP585:AQ585"/>
    <mergeCell ref="AR585:AS585"/>
    <mergeCell ref="AT585:AU585"/>
    <mergeCell ref="AV585:AW585"/>
    <mergeCell ref="R585:S585"/>
    <mergeCell ref="T585:U585"/>
    <mergeCell ref="V585:W585"/>
    <mergeCell ref="X585:AA585"/>
    <mergeCell ref="AB585:AE585"/>
    <mergeCell ref="AF585:AG585"/>
    <mergeCell ref="AH585:AI585"/>
    <mergeCell ref="AJ585:AK585"/>
    <mergeCell ref="AL585:AM585"/>
    <mergeCell ref="V582:W582"/>
    <mergeCell ref="X582:AA582"/>
    <mergeCell ref="AB582:AE582"/>
    <mergeCell ref="AF582:AG582"/>
    <mergeCell ref="AH582:AI582"/>
    <mergeCell ref="AJ582:AK582"/>
    <mergeCell ref="AL582:AM582"/>
    <mergeCell ref="BD582:BE582"/>
    <mergeCell ref="BF582:BI582"/>
    <mergeCell ref="BJ582:BM582"/>
    <mergeCell ref="BN582:BV582"/>
    <mergeCell ref="AN582:AO582"/>
    <mergeCell ref="AP582:AQ582"/>
    <mergeCell ref="AR582:AS582"/>
    <mergeCell ref="AT582:AU582"/>
    <mergeCell ref="AV582:AW582"/>
    <mergeCell ref="AX582:AZ582"/>
    <mergeCell ref="BA582:BB582"/>
    <mergeCell ref="B586:C586"/>
    <mergeCell ref="D586:E586"/>
    <mergeCell ref="F586:G586"/>
    <mergeCell ref="H586:I586"/>
    <mergeCell ref="P586:Q586"/>
    <mergeCell ref="R586:S586"/>
    <mergeCell ref="T586:U586"/>
    <mergeCell ref="B583:C583"/>
    <mergeCell ref="D583:E583"/>
    <mergeCell ref="F583:G583"/>
    <mergeCell ref="H583:I583"/>
    <mergeCell ref="J583:K583"/>
    <mergeCell ref="L583:M583"/>
    <mergeCell ref="P583:Q583"/>
    <mergeCell ref="AX583:AZ583"/>
    <mergeCell ref="BA583:BB583"/>
    <mergeCell ref="BD583:BE583"/>
    <mergeCell ref="BF583:BI583"/>
    <mergeCell ref="BJ583:BM583"/>
    <mergeCell ref="BN583:BV583"/>
    <mergeCell ref="AN583:AO583"/>
    <mergeCell ref="AP583:AQ583"/>
    <mergeCell ref="AR583:AS583"/>
    <mergeCell ref="AT583:AU583"/>
    <mergeCell ref="AV583:AW583"/>
    <mergeCell ref="R583:S583"/>
    <mergeCell ref="T583:U583"/>
    <mergeCell ref="V583:W583"/>
    <mergeCell ref="X583:AA583"/>
    <mergeCell ref="AB583:AE583"/>
    <mergeCell ref="AF583:AG583"/>
    <mergeCell ref="AH583:AI583"/>
    <mergeCell ref="V584:W584"/>
    <mergeCell ref="X584:AA584"/>
    <mergeCell ref="AB584:AE584"/>
    <mergeCell ref="AF584:AG584"/>
    <mergeCell ref="AH584:AI584"/>
    <mergeCell ref="AJ584:AK584"/>
    <mergeCell ref="AL584:AM584"/>
    <mergeCell ref="BD584:BE584"/>
    <mergeCell ref="BF584:BI584"/>
    <mergeCell ref="BJ584:BM584"/>
    <mergeCell ref="BN584:BV584"/>
    <mergeCell ref="AN584:AO584"/>
    <mergeCell ref="AP584:AQ584"/>
    <mergeCell ref="AR584:AS584"/>
    <mergeCell ref="AT580:AU580"/>
    <mergeCell ref="AV580:AW580"/>
    <mergeCell ref="AX580:AZ580"/>
    <mergeCell ref="BA580:BB580"/>
    <mergeCell ref="B580:C580"/>
    <mergeCell ref="D580:E580"/>
    <mergeCell ref="F580:G580"/>
    <mergeCell ref="H580:I580"/>
    <mergeCell ref="P580:Q580"/>
    <mergeCell ref="R580:S580"/>
    <mergeCell ref="T580:U580"/>
    <mergeCell ref="B577:C577"/>
    <mergeCell ref="D577:E577"/>
    <mergeCell ref="F577:G577"/>
    <mergeCell ref="H577:I577"/>
    <mergeCell ref="J577:K577"/>
    <mergeCell ref="L581:M581"/>
    <mergeCell ref="P581:Q581"/>
    <mergeCell ref="AX581:AZ581"/>
    <mergeCell ref="BA581:BB581"/>
    <mergeCell ref="BD581:BE581"/>
    <mergeCell ref="BF581:BI581"/>
    <mergeCell ref="BJ581:BM581"/>
    <mergeCell ref="BN581:BV581"/>
    <mergeCell ref="AJ579:AK579"/>
    <mergeCell ref="AL579:AM579"/>
    <mergeCell ref="AN581:AO581"/>
    <mergeCell ref="AP581:AQ581"/>
    <mergeCell ref="AR581:AS581"/>
    <mergeCell ref="AT581:AU581"/>
    <mergeCell ref="AV581:AW581"/>
    <mergeCell ref="R581:S581"/>
    <mergeCell ref="T581:U581"/>
    <mergeCell ref="V581:W581"/>
    <mergeCell ref="X581:AA581"/>
    <mergeCell ref="AB581:AE581"/>
    <mergeCell ref="AF581:AG581"/>
    <mergeCell ref="AH581:AI581"/>
    <mergeCell ref="AJ581:AK581"/>
    <mergeCell ref="AL581:AM581"/>
    <mergeCell ref="V578:W578"/>
    <mergeCell ref="X578:AA578"/>
    <mergeCell ref="AB578:AE578"/>
    <mergeCell ref="AF578:AG578"/>
    <mergeCell ref="AH578:AI578"/>
    <mergeCell ref="AJ578:AK578"/>
    <mergeCell ref="AL578:AM578"/>
    <mergeCell ref="BD578:BE578"/>
    <mergeCell ref="BF578:BI578"/>
    <mergeCell ref="BJ578:BM578"/>
    <mergeCell ref="BN578:BV578"/>
    <mergeCell ref="AN578:AO578"/>
    <mergeCell ref="AP578:AQ578"/>
    <mergeCell ref="AR578:AS578"/>
    <mergeCell ref="AT578:AU578"/>
    <mergeCell ref="AV578:AW578"/>
    <mergeCell ref="AX578:AZ578"/>
    <mergeCell ref="BA578:BB578"/>
    <mergeCell ref="B582:C582"/>
    <mergeCell ref="D582:E582"/>
    <mergeCell ref="F582:G582"/>
    <mergeCell ref="H582:I582"/>
    <mergeCell ref="P582:Q582"/>
    <mergeCell ref="R582:S582"/>
    <mergeCell ref="T582:U582"/>
    <mergeCell ref="B579:C579"/>
    <mergeCell ref="D579:E579"/>
    <mergeCell ref="F579:G579"/>
    <mergeCell ref="H579:I579"/>
    <mergeCell ref="J579:K579"/>
    <mergeCell ref="L579:M579"/>
    <mergeCell ref="P579:Q579"/>
    <mergeCell ref="AX579:AZ579"/>
    <mergeCell ref="BA579:BB579"/>
    <mergeCell ref="BD579:BE579"/>
    <mergeCell ref="BF579:BI579"/>
    <mergeCell ref="BJ579:BM579"/>
    <mergeCell ref="BN579:BV579"/>
    <mergeCell ref="AN579:AO579"/>
    <mergeCell ref="AP579:AQ579"/>
    <mergeCell ref="AR579:AS579"/>
    <mergeCell ref="AT579:AU579"/>
    <mergeCell ref="AV579:AW579"/>
    <mergeCell ref="R579:S579"/>
    <mergeCell ref="T579:U579"/>
    <mergeCell ref="V579:W579"/>
    <mergeCell ref="X579:AA579"/>
    <mergeCell ref="AB579:AE579"/>
    <mergeCell ref="AF579:AG579"/>
    <mergeCell ref="AH579:AI579"/>
    <mergeCell ref="V580:W580"/>
    <mergeCell ref="X580:AA580"/>
    <mergeCell ref="AB580:AE580"/>
    <mergeCell ref="AF580:AG580"/>
    <mergeCell ref="AH580:AI580"/>
    <mergeCell ref="AJ580:AK580"/>
    <mergeCell ref="AL580:AM580"/>
    <mergeCell ref="BD580:BE580"/>
    <mergeCell ref="BF580:BI580"/>
    <mergeCell ref="BJ580:BM580"/>
    <mergeCell ref="BN580:BV580"/>
    <mergeCell ref="AN580:AO580"/>
    <mergeCell ref="AP580:AQ580"/>
    <mergeCell ref="AR580:AS580"/>
    <mergeCell ref="AT576:AU576"/>
    <mergeCell ref="AV576:AW576"/>
    <mergeCell ref="AX576:AZ576"/>
    <mergeCell ref="BA576:BB576"/>
    <mergeCell ref="B576:C576"/>
    <mergeCell ref="D576:E576"/>
    <mergeCell ref="F576:G576"/>
    <mergeCell ref="H576:I576"/>
    <mergeCell ref="P576:Q576"/>
    <mergeCell ref="R576:S576"/>
    <mergeCell ref="T576:U576"/>
    <mergeCell ref="B573:C573"/>
    <mergeCell ref="D573:E573"/>
    <mergeCell ref="F573:G573"/>
    <mergeCell ref="H573:I573"/>
    <mergeCell ref="J573:K573"/>
    <mergeCell ref="L577:M577"/>
    <mergeCell ref="P577:Q577"/>
    <mergeCell ref="AX577:AZ577"/>
    <mergeCell ref="BA577:BB577"/>
    <mergeCell ref="BD577:BE577"/>
    <mergeCell ref="BF577:BI577"/>
    <mergeCell ref="BJ577:BM577"/>
    <mergeCell ref="BN577:BV577"/>
    <mergeCell ref="AJ575:AK575"/>
    <mergeCell ref="AL575:AM575"/>
    <mergeCell ref="AN577:AO577"/>
    <mergeCell ref="AP577:AQ577"/>
    <mergeCell ref="AR577:AS577"/>
    <mergeCell ref="AT577:AU577"/>
    <mergeCell ref="AV577:AW577"/>
    <mergeCell ref="R577:S577"/>
    <mergeCell ref="T577:U577"/>
    <mergeCell ref="V577:W577"/>
    <mergeCell ref="X577:AA577"/>
    <mergeCell ref="AB577:AE577"/>
    <mergeCell ref="AF577:AG577"/>
    <mergeCell ref="AH577:AI577"/>
    <mergeCell ref="AJ577:AK577"/>
    <mergeCell ref="AL577:AM577"/>
    <mergeCell ref="V574:W574"/>
    <mergeCell ref="X574:AA574"/>
    <mergeCell ref="AB574:AE574"/>
    <mergeCell ref="AF574:AG574"/>
    <mergeCell ref="AH574:AI574"/>
    <mergeCell ref="AJ574:AK574"/>
    <mergeCell ref="AL574:AM574"/>
    <mergeCell ref="BD574:BE574"/>
    <mergeCell ref="BF574:BI574"/>
    <mergeCell ref="BJ574:BM574"/>
    <mergeCell ref="BN574:BV574"/>
    <mergeCell ref="AN574:AO574"/>
    <mergeCell ref="AP574:AQ574"/>
    <mergeCell ref="AR574:AS574"/>
    <mergeCell ref="AT574:AU574"/>
    <mergeCell ref="AV574:AW574"/>
    <mergeCell ref="AX574:AZ574"/>
    <mergeCell ref="BA574:BB574"/>
    <mergeCell ref="B578:C578"/>
    <mergeCell ref="D578:E578"/>
    <mergeCell ref="F578:G578"/>
    <mergeCell ref="H578:I578"/>
    <mergeCell ref="P578:Q578"/>
    <mergeCell ref="R578:S578"/>
    <mergeCell ref="T578:U578"/>
    <mergeCell ref="B575:C575"/>
    <mergeCell ref="D575:E575"/>
    <mergeCell ref="F575:G575"/>
    <mergeCell ref="H575:I575"/>
    <mergeCell ref="J575:K575"/>
    <mergeCell ref="L575:M575"/>
    <mergeCell ref="P575:Q575"/>
    <mergeCell ref="AX575:AZ575"/>
    <mergeCell ref="BA575:BB575"/>
    <mergeCell ref="BD575:BE575"/>
    <mergeCell ref="BF575:BI575"/>
    <mergeCell ref="BJ575:BM575"/>
    <mergeCell ref="BN575:BV575"/>
    <mergeCell ref="AN575:AO575"/>
    <mergeCell ref="AP575:AQ575"/>
    <mergeCell ref="AR575:AS575"/>
    <mergeCell ref="AT575:AU575"/>
    <mergeCell ref="AV575:AW575"/>
    <mergeCell ref="R575:S575"/>
    <mergeCell ref="T575:U575"/>
    <mergeCell ref="V575:W575"/>
    <mergeCell ref="X575:AA575"/>
    <mergeCell ref="AB575:AE575"/>
    <mergeCell ref="AF575:AG575"/>
    <mergeCell ref="AH575:AI575"/>
    <mergeCell ref="V576:W576"/>
    <mergeCell ref="X576:AA576"/>
    <mergeCell ref="AB576:AE576"/>
    <mergeCell ref="AF576:AG576"/>
    <mergeCell ref="AH576:AI576"/>
    <mergeCell ref="AJ576:AK576"/>
    <mergeCell ref="AL576:AM576"/>
    <mergeCell ref="BD576:BE576"/>
    <mergeCell ref="BF576:BI576"/>
    <mergeCell ref="BJ576:BM576"/>
    <mergeCell ref="BN576:BV576"/>
    <mergeCell ref="AN576:AO576"/>
    <mergeCell ref="AP576:AQ576"/>
    <mergeCell ref="AR576:AS576"/>
    <mergeCell ref="AT572:AU572"/>
    <mergeCell ref="AV572:AW572"/>
    <mergeCell ref="AX572:AZ572"/>
    <mergeCell ref="BA572:BB572"/>
    <mergeCell ref="B572:C572"/>
    <mergeCell ref="D572:E572"/>
    <mergeCell ref="F572:G572"/>
    <mergeCell ref="H572:I572"/>
    <mergeCell ref="P572:Q572"/>
    <mergeCell ref="R572:S572"/>
    <mergeCell ref="T572:U572"/>
    <mergeCell ref="B569:C569"/>
    <mergeCell ref="D569:E569"/>
    <mergeCell ref="F569:G569"/>
    <mergeCell ref="H569:I569"/>
    <mergeCell ref="J569:K569"/>
    <mergeCell ref="L573:M573"/>
    <mergeCell ref="P573:Q573"/>
    <mergeCell ref="AX573:AZ573"/>
    <mergeCell ref="BA573:BB573"/>
    <mergeCell ref="BD573:BE573"/>
    <mergeCell ref="BF573:BI573"/>
    <mergeCell ref="BJ573:BM573"/>
    <mergeCell ref="BN573:BV573"/>
    <mergeCell ref="AJ571:AK571"/>
    <mergeCell ref="AL571:AM571"/>
    <mergeCell ref="AN573:AO573"/>
    <mergeCell ref="AP573:AQ573"/>
    <mergeCell ref="AR573:AS573"/>
    <mergeCell ref="AT573:AU573"/>
    <mergeCell ref="AV573:AW573"/>
    <mergeCell ref="R573:S573"/>
    <mergeCell ref="T573:U573"/>
    <mergeCell ref="V573:W573"/>
    <mergeCell ref="X573:AA573"/>
    <mergeCell ref="AB573:AE573"/>
    <mergeCell ref="AF573:AG573"/>
    <mergeCell ref="AH573:AI573"/>
    <mergeCell ref="AJ573:AK573"/>
    <mergeCell ref="AL573:AM573"/>
    <mergeCell ref="V570:W570"/>
    <mergeCell ref="X570:AA570"/>
    <mergeCell ref="AB570:AE570"/>
    <mergeCell ref="AF570:AG570"/>
    <mergeCell ref="AH570:AI570"/>
    <mergeCell ref="AJ570:AK570"/>
    <mergeCell ref="AL570:AM570"/>
    <mergeCell ref="BD570:BE570"/>
    <mergeCell ref="BF570:BI570"/>
    <mergeCell ref="BJ570:BM570"/>
    <mergeCell ref="BN570:BV570"/>
    <mergeCell ref="AN570:AO570"/>
    <mergeCell ref="AP570:AQ570"/>
    <mergeCell ref="AR570:AS570"/>
    <mergeCell ref="AT570:AU570"/>
    <mergeCell ref="AV570:AW570"/>
    <mergeCell ref="AX570:AZ570"/>
    <mergeCell ref="BA570:BB570"/>
    <mergeCell ref="B574:C574"/>
    <mergeCell ref="D574:E574"/>
    <mergeCell ref="F574:G574"/>
    <mergeCell ref="H574:I574"/>
    <mergeCell ref="P574:Q574"/>
    <mergeCell ref="R574:S574"/>
    <mergeCell ref="T574:U574"/>
    <mergeCell ref="B571:C571"/>
    <mergeCell ref="D571:E571"/>
    <mergeCell ref="F571:G571"/>
    <mergeCell ref="H571:I571"/>
    <mergeCell ref="J571:K571"/>
    <mergeCell ref="L571:M571"/>
    <mergeCell ref="P571:Q571"/>
    <mergeCell ref="AX571:AZ571"/>
    <mergeCell ref="BA571:BB571"/>
    <mergeCell ref="BD571:BE571"/>
    <mergeCell ref="BF571:BI571"/>
    <mergeCell ref="BJ571:BM571"/>
    <mergeCell ref="BN571:BV571"/>
    <mergeCell ref="AN571:AO571"/>
    <mergeCell ref="AP571:AQ571"/>
    <mergeCell ref="AR571:AS571"/>
    <mergeCell ref="AT571:AU571"/>
    <mergeCell ref="AV571:AW571"/>
    <mergeCell ref="R571:S571"/>
    <mergeCell ref="T571:U571"/>
    <mergeCell ref="V571:W571"/>
    <mergeCell ref="X571:AA571"/>
    <mergeCell ref="AB571:AE571"/>
    <mergeCell ref="AF571:AG571"/>
    <mergeCell ref="AH571:AI571"/>
    <mergeCell ref="V572:W572"/>
    <mergeCell ref="X572:AA572"/>
    <mergeCell ref="AB572:AE572"/>
    <mergeCell ref="AF572:AG572"/>
    <mergeCell ref="AH572:AI572"/>
    <mergeCell ref="AJ572:AK572"/>
    <mergeCell ref="AL572:AM572"/>
    <mergeCell ref="BD572:BE572"/>
    <mergeCell ref="BF572:BI572"/>
    <mergeCell ref="BJ572:BM572"/>
    <mergeCell ref="BN572:BV572"/>
    <mergeCell ref="AN572:AO572"/>
    <mergeCell ref="AP572:AQ572"/>
    <mergeCell ref="AR572:AS572"/>
    <mergeCell ref="AT568:AU568"/>
    <mergeCell ref="AV568:AW568"/>
    <mergeCell ref="AX568:AZ568"/>
    <mergeCell ref="BA568:BB568"/>
    <mergeCell ref="B568:C568"/>
    <mergeCell ref="D568:E568"/>
    <mergeCell ref="F568:G568"/>
    <mergeCell ref="H568:I568"/>
    <mergeCell ref="P568:Q568"/>
    <mergeCell ref="R568:S568"/>
    <mergeCell ref="T568:U568"/>
    <mergeCell ref="B565:C565"/>
    <mergeCell ref="D565:E565"/>
    <mergeCell ref="F565:G565"/>
    <mergeCell ref="H565:I565"/>
    <mergeCell ref="J565:K565"/>
    <mergeCell ref="L569:M569"/>
    <mergeCell ref="P569:Q569"/>
    <mergeCell ref="AX569:AZ569"/>
    <mergeCell ref="BA569:BB569"/>
    <mergeCell ref="BD569:BE569"/>
    <mergeCell ref="BF569:BI569"/>
    <mergeCell ref="BJ569:BM569"/>
    <mergeCell ref="BN569:BV569"/>
    <mergeCell ref="AJ567:AK567"/>
    <mergeCell ref="AL567:AM567"/>
    <mergeCell ref="AN569:AO569"/>
    <mergeCell ref="AP569:AQ569"/>
    <mergeCell ref="AR569:AS569"/>
    <mergeCell ref="AT569:AU569"/>
    <mergeCell ref="AV569:AW569"/>
    <mergeCell ref="R569:S569"/>
    <mergeCell ref="T569:U569"/>
    <mergeCell ref="V569:W569"/>
    <mergeCell ref="X569:AA569"/>
    <mergeCell ref="AB569:AE569"/>
    <mergeCell ref="AF569:AG569"/>
    <mergeCell ref="AH569:AI569"/>
    <mergeCell ref="AJ569:AK569"/>
    <mergeCell ref="AL569:AM569"/>
    <mergeCell ref="V566:W566"/>
    <mergeCell ref="X566:AA566"/>
    <mergeCell ref="AB566:AE566"/>
    <mergeCell ref="AF566:AG566"/>
    <mergeCell ref="AH566:AI566"/>
    <mergeCell ref="AJ566:AK566"/>
    <mergeCell ref="AL566:AM566"/>
    <mergeCell ref="BD566:BE566"/>
    <mergeCell ref="BF566:BI566"/>
    <mergeCell ref="BJ566:BM566"/>
    <mergeCell ref="BN566:BV566"/>
    <mergeCell ref="AN566:AO566"/>
    <mergeCell ref="AP566:AQ566"/>
    <mergeCell ref="AR566:AS566"/>
    <mergeCell ref="AT566:AU566"/>
    <mergeCell ref="AV566:AW566"/>
    <mergeCell ref="AX566:AZ566"/>
    <mergeCell ref="BA566:BB566"/>
    <mergeCell ref="B570:C570"/>
    <mergeCell ref="D570:E570"/>
    <mergeCell ref="F570:G570"/>
    <mergeCell ref="H570:I570"/>
    <mergeCell ref="P570:Q570"/>
    <mergeCell ref="R570:S570"/>
    <mergeCell ref="T570:U570"/>
    <mergeCell ref="B567:C567"/>
    <mergeCell ref="D567:E567"/>
    <mergeCell ref="F567:G567"/>
    <mergeCell ref="H567:I567"/>
    <mergeCell ref="J567:K567"/>
    <mergeCell ref="L567:M567"/>
    <mergeCell ref="P567:Q567"/>
    <mergeCell ref="AX567:AZ567"/>
    <mergeCell ref="BA567:BB567"/>
    <mergeCell ref="BD567:BE567"/>
    <mergeCell ref="BF567:BI567"/>
    <mergeCell ref="BJ567:BM567"/>
    <mergeCell ref="BN567:BV567"/>
    <mergeCell ref="AN567:AO567"/>
    <mergeCell ref="AP567:AQ567"/>
    <mergeCell ref="AR567:AS567"/>
    <mergeCell ref="AT567:AU567"/>
    <mergeCell ref="AV567:AW567"/>
    <mergeCell ref="R567:S567"/>
    <mergeCell ref="T567:U567"/>
    <mergeCell ref="V567:W567"/>
    <mergeCell ref="X567:AA567"/>
    <mergeCell ref="AB567:AE567"/>
    <mergeCell ref="AF567:AG567"/>
    <mergeCell ref="AH567:AI567"/>
    <mergeCell ref="V568:W568"/>
    <mergeCell ref="X568:AA568"/>
    <mergeCell ref="AB568:AE568"/>
    <mergeCell ref="AF568:AG568"/>
    <mergeCell ref="AH568:AI568"/>
    <mergeCell ref="AJ568:AK568"/>
    <mergeCell ref="AL568:AM568"/>
    <mergeCell ref="BD568:BE568"/>
    <mergeCell ref="BF568:BI568"/>
    <mergeCell ref="BJ568:BM568"/>
    <mergeCell ref="BN568:BV568"/>
    <mergeCell ref="AN568:AO568"/>
    <mergeCell ref="AP568:AQ568"/>
    <mergeCell ref="AR568:AS568"/>
    <mergeCell ref="AT564:AU564"/>
    <mergeCell ref="AV564:AW564"/>
    <mergeCell ref="AX564:AZ564"/>
    <mergeCell ref="BA564:BB564"/>
    <mergeCell ref="B564:C564"/>
    <mergeCell ref="D564:E564"/>
    <mergeCell ref="F564:G564"/>
    <mergeCell ref="H564:I564"/>
    <mergeCell ref="P564:Q564"/>
    <mergeCell ref="R564:S564"/>
    <mergeCell ref="T564:U564"/>
    <mergeCell ref="B561:C561"/>
    <mergeCell ref="D561:E561"/>
    <mergeCell ref="F561:G561"/>
    <mergeCell ref="H561:I561"/>
    <mergeCell ref="J561:K561"/>
    <mergeCell ref="L565:M565"/>
    <mergeCell ref="P565:Q565"/>
    <mergeCell ref="AX565:AZ565"/>
    <mergeCell ref="BA565:BB565"/>
    <mergeCell ref="BD565:BE565"/>
    <mergeCell ref="BF565:BI565"/>
    <mergeCell ref="BJ565:BM565"/>
    <mergeCell ref="BN565:BV565"/>
    <mergeCell ref="AJ563:AK563"/>
    <mergeCell ref="AL563:AM563"/>
    <mergeCell ref="AN565:AO565"/>
    <mergeCell ref="AP565:AQ565"/>
    <mergeCell ref="AR565:AS565"/>
    <mergeCell ref="AT565:AU565"/>
    <mergeCell ref="AV565:AW565"/>
    <mergeCell ref="R565:S565"/>
    <mergeCell ref="T565:U565"/>
    <mergeCell ref="V565:W565"/>
    <mergeCell ref="X565:AA565"/>
    <mergeCell ref="AB565:AE565"/>
    <mergeCell ref="AF565:AG565"/>
    <mergeCell ref="AH565:AI565"/>
    <mergeCell ref="AJ565:AK565"/>
    <mergeCell ref="AL565:AM565"/>
    <mergeCell ref="V562:W562"/>
    <mergeCell ref="X562:AA562"/>
    <mergeCell ref="AB562:AE562"/>
    <mergeCell ref="AF562:AG562"/>
    <mergeCell ref="AH562:AI562"/>
    <mergeCell ref="AJ562:AK562"/>
    <mergeCell ref="AL562:AM562"/>
    <mergeCell ref="BD562:BE562"/>
    <mergeCell ref="BF562:BI562"/>
    <mergeCell ref="BJ562:BM562"/>
    <mergeCell ref="BN562:BV562"/>
    <mergeCell ref="AN562:AO562"/>
    <mergeCell ref="AP562:AQ562"/>
    <mergeCell ref="AR562:AS562"/>
    <mergeCell ref="AT562:AU562"/>
    <mergeCell ref="AV562:AW562"/>
    <mergeCell ref="AX562:AZ562"/>
    <mergeCell ref="BA562:BB562"/>
    <mergeCell ref="B566:C566"/>
    <mergeCell ref="D566:E566"/>
    <mergeCell ref="F566:G566"/>
    <mergeCell ref="H566:I566"/>
    <mergeCell ref="P566:Q566"/>
    <mergeCell ref="R566:S566"/>
    <mergeCell ref="T566:U566"/>
    <mergeCell ref="B563:C563"/>
    <mergeCell ref="D563:E563"/>
    <mergeCell ref="F563:G563"/>
    <mergeCell ref="H563:I563"/>
    <mergeCell ref="J563:K563"/>
    <mergeCell ref="L563:M563"/>
    <mergeCell ref="P563:Q563"/>
    <mergeCell ref="AX563:AZ563"/>
    <mergeCell ref="BA563:BB563"/>
    <mergeCell ref="BD563:BE563"/>
    <mergeCell ref="BF563:BI563"/>
    <mergeCell ref="BJ563:BM563"/>
    <mergeCell ref="BN563:BV563"/>
    <mergeCell ref="AN563:AO563"/>
    <mergeCell ref="AP563:AQ563"/>
    <mergeCell ref="AR563:AS563"/>
    <mergeCell ref="AT563:AU563"/>
    <mergeCell ref="AV563:AW563"/>
    <mergeCell ref="R563:S563"/>
    <mergeCell ref="T563:U563"/>
    <mergeCell ref="V563:W563"/>
    <mergeCell ref="X563:AA563"/>
    <mergeCell ref="AB563:AE563"/>
    <mergeCell ref="AF563:AG563"/>
    <mergeCell ref="AH563:AI563"/>
    <mergeCell ref="V564:W564"/>
    <mergeCell ref="X564:AA564"/>
    <mergeCell ref="AB564:AE564"/>
    <mergeCell ref="AF564:AG564"/>
    <mergeCell ref="AH564:AI564"/>
    <mergeCell ref="AJ564:AK564"/>
    <mergeCell ref="AL564:AM564"/>
    <mergeCell ref="BD564:BE564"/>
    <mergeCell ref="BF564:BI564"/>
    <mergeCell ref="BJ564:BM564"/>
    <mergeCell ref="BN564:BV564"/>
    <mergeCell ref="AN564:AO564"/>
    <mergeCell ref="AP564:AQ564"/>
    <mergeCell ref="AR564:AS564"/>
    <mergeCell ref="AT560:AU560"/>
    <mergeCell ref="AV560:AW560"/>
    <mergeCell ref="AX560:AZ560"/>
    <mergeCell ref="BA560:BB560"/>
    <mergeCell ref="B560:C560"/>
    <mergeCell ref="D560:E560"/>
    <mergeCell ref="F560:G560"/>
    <mergeCell ref="H560:I560"/>
    <mergeCell ref="P560:Q560"/>
    <mergeCell ref="R560:S560"/>
    <mergeCell ref="T560:U560"/>
    <mergeCell ref="B557:C557"/>
    <mergeCell ref="D557:E557"/>
    <mergeCell ref="F557:G557"/>
    <mergeCell ref="H557:I557"/>
    <mergeCell ref="J557:K557"/>
    <mergeCell ref="L561:M561"/>
    <mergeCell ref="P561:Q561"/>
    <mergeCell ref="AX561:AZ561"/>
    <mergeCell ref="BA561:BB561"/>
    <mergeCell ref="BD561:BE561"/>
    <mergeCell ref="BF561:BI561"/>
    <mergeCell ref="BJ561:BM561"/>
    <mergeCell ref="BN561:BV561"/>
    <mergeCell ref="AJ559:AK559"/>
    <mergeCell ref="AL559:AM559"/>
    <mergeCell ref="AN561:AO561"/>
    <mergeCell ref="AP561:AQ561"/>
    <mergeCell ref="AR561:AS561"/>
    <mergeCell ref="AT561:AU561"/>
    <mergeCell ref="AV561:AW561"/>
    <mergeCell ref="R561:S561"/>
    <mergeCell ref="T561:U561"/>
    <mergeCell ref="V561:W561"/>
    <mergeCell ref="X561:AA561"/>
    <mergeCell ref="AB561:AE561"/>
    <mergeCell ref="AF561:AG561"/>
    <mergeCell ref="AH561:AI561"/>
    <mergeCell ref="AJ561:AK561"/>
    <mergeCell ref="AL561:AM561"/>
    <mergeCell ref="V558:W558"/>
    <mergeCell ref="X558:AA558"/>
    <mergeCell ref="AB558:AE558"/>
    <mergeCell ref="AF558:AG558"/>
    <mergeCell ref="AH558:AI558"/>
    <mergeCell ref="AJ558:AK558"/>
    <mergeCell ref="AL558:AM558"/>
    <mergeCell ref="BD558:BE558"/>
    <mergeCell ref="BF558:BI558"/>
    <mergeCell ref="BJ558:BM558"/>
    <mergeCell ref="BN558:BV558"/>
    <mergeCell ref="AN558:AO558"/>
    <mergeCell ref="AP558:AQ558"/>
    <mergeCell ref="AR558:AS558"/>
    <mergeCell ref="AT558:AU558"/>
    <mergeCell ref="AV558:AW558"/>
    <mergeCell ref="AX558:AZ558"/>
    <mergeCell ref="BA558:BB558"/>
    <mergeCell ref="B562:C562"/>
    <mergeCell ref="D562:E562"/>
    <mergeCell ref="F562:G562"/>
    <mergeCell ref="H562:I562"/>
    <mergeCell ref="P562:Q562"/>
    <mergeCell ref="R562:S562"/>
    <mergeCell ref="T562:U562"/>
    <mergeCell ref="B559:C559"/>
    <mergeCell ref="D559:E559"/>
    <mergeCell ref="F559:G559"/>
    <mergeCell ref="H559:I559"/>
    <mergeCell ref="J559:K559"/>
    <mergeCell ref="L559:M559"/>
    <mergeCell ref="P559:Q559"/>
    <mergeCell ref="AX559:AZ559"/>
    <mergeCell ref="BA559:BB559"/>
    <mergeCell ref="BD559:BE559"/>
    <mergeCell ref="BF559:BI559"/>
    <mergeCell ref="BJ559:BM559"/>
    <mergeCell ref="BN559:BV559"/>
    <mergeCell ref="AN559:AO559"/>
    <mergeCell ref="AP559:AQ559"/>
    <mergeCell ref="AR559:AS559"/>
    <mergeCell ref="AT559:AU559"/>
    <mergeCell ref="AV559:AW559"/>
    <mergeCell ref="R559:S559"/>
    <mergeCell ref="T559:U559"/>
    <mergeCell ref="V559:W559"/>
    <mergeCell ref="X559:AA559"/>
    <mergeCell ref="AB559:AE559"/>
    <mergeCell ref="AF559:AG559"/>
    <mergeCell ref="AH559:AI559"/>
    <mergeCell ref="V560:W560"/>
    <mergeCell ref="X560:AA560"/>
    <mergeCell ref="AB560:AE560"/>
    <mergeCell ref="AF560:AG560"/>
    <mergeCell ref="AH560:AI560"/>
    <mergeCell ref="AJ560:AK560"/>
    <mergeCell ref="AL560:AM560"/>
    <mergeCell ref="BD560:BE560"/>
    <mergeCell ref="BF560:BI560"/>
    <mergeCell ref="BJ560:BM560"/>
    <mergeCell ref="BN560:BV560"/>
    <mergeCell ref="AN560:AO560"/>
    <mergeCell ref="AP560:AQ560"/>
    <mergeCell ref="AR560:AS560"/>
    <mergeCell ref="AT556:AU556"/>
    <mergeCell ref="AV556:AW556"/>
    <mergeCell ref="AX556:AZ556"/>
    <mergeCell ref="BA556:BB556"/>
    <mergeCell ref="B556:C556"/>
    <mergeCell ref="D556:E556"/>
    <mergeCell ref="F556:G556"/>
    <mergeCell ref="H556:I556"/>
    <mergeCell ref="P556:Q556"/>
    <mergeCell ref="R556:S556"/>
    <mergeCell ref="T556:U556"/>
    <mergeCell ref="B553:C553"/>
    <mergeCell ref="D553:E553"/>
    <mergeCell ref="F553:G553"/>
    <mergeCell ref="H553:I553"/>
    <mergeCell ref="J553:K553"/>
    <mergeCell ref="L557:M557"/>
    <mergeCell ref="P557:Q557"/>
    <mergeCell ref="AX557:AZ557"/>
    <mergeCell ref="BA557:BB557"/>
    <mergeCell ref="BD557:BE557"/>
    <mergeCell ref="BF557:BI557"/>
    <mergeCell ref="BJ557:BM557"/>
    <mergeCell ref="BN557:BV557"/>
    <mergeCell ref="AJ555:AK555"/>
    <mergeCell ref="AL555:AM555"/>
    <mergeCell ref="AN557:AO557"/>
    <mergeCell ref="AP557:AQ557"/>
    <mergeCell ref="AR557:AS557"/>
    <mergeCell ref="AT557:AU557"/>
    <mergeCell ref="AV557:AW557"/>
    <mergeCell ref="R557:S557"/>
    <mergeCell ref="T557:U557"/>
    <mergeCell ref="V557:W557"/>
    <mergeCell ref="X557:AA557"/>
    <mergeCell ref="AB557:AE557"/>
    <mergeCell ref="AF557:AG557"/>
    <mergeCell ref="AH557:AI557"/>
    <mergeCell ref="AJ557:AK557"/>
    <mergeCell ref="AL557:AM557"/>
    <mergeCell ref="V554:W554"/>
    <mergeCell ref="X554:AA554"/>
    <mergeCell ref="AB554:AE554"/>
    <mergeCell ref="AF554:AG554"/>
    <mergeCell ref="AH554:AI554"/>
    <mergeCell ref="AJ554:AK554"/>
    <mergeCell ref="AL554:AM554"/>
    <mergeCell ref="BD554:BE554"/>
    <mergeCell ref="BF554:BI554"/>
    <mergeCell ref="BJ554:BM554"/>
    <mergeCell ref="BN554:BV554"/>
    <mergeCell ref="AN554:AO554"/>
    <mergeCell ref="AP554:AQ554"/>
    <mergeCell ref="AR554:AS554"/>
    <mergeCell ref="AT554:AU554"/>
    <mergeCell ref="AV554:AW554"/>
    <mergeCell ref="AX554:AZ554"/>
    <mergeCell ref="BA554:BB554"/>
    <mergeCell ref="B558:C558"/>
    <mergeCell ref="D558:E558"/>
    <mergeCell ref="F558:G558"/>
    <mergeCell ref="H558:I558"/>
    <mergeCell ref="P558:Q558"/>
    <mergeCell ref="R558:S558"/>
    <mergeCell ref="T558:U558"/>
    <mergeCell ref="B555:C555"/>
    <mergeCell ref="D555:E555"/>
    <mergeCell ref="F555:G555"/>
    <mergeCell ref="H555:I555"/>
    <mergeCell ref="J555:K555"/>
    <mergeCell ref="L555:M555"/>
    <mergeCell ref="P555:Q555"/>
    <mergeCell ref="AX555:AZ555"/>
    <mergeCell ref="BA555:BB555"/>
    <mergeCell ref="BD555:BE555"/>
    <mergeCell ref="BF555:BI555"/>
    <mergeCell ref="BJ555:BM555"/>
    <mergeCell ref="BN555:BV555"/>
    <mergeCell ref="AN555:AO555"/>
    <mergeCell ref="AP555:AQ555"/>
    <mergeCell ref="AR555:AS555"/>
    <mergeCell ref="AT555:AU555"/>
    <mergeCell ref="AV555:AW555"/>
    <mergeCell ref="R555:S555"/>
    <mergeCell ref="T555:U555"/>
    <mergeCell ref="V555:W555"/>
    <mergeCell ref="X555:AA555"/>
    <mergeCell ref="AB555:AE555"/>
    <mergeCell ref="AF555:AG555"/>
    <mergeCell ref="AH555:AI555"/>
    <mergeCell ref="V556:W556"/>
    <mergeCell ref="X556:AA556"/>
    <mergeCell ref="AB556:AE556"/>
    <mergeCell ref="AF556:AG556"/>
    <mergeCell ref="AH556:AI556"/>
    <mergeCell ref="AJ556:AK556"/>
    <mergeCell ref="AL556:AM556"/>
    <mergeCell ref="BD556:BE556"/>
    <mergeCell ref="BF556:BI556"/>
    <mergeCell ref="BJ556:BM556"/>
    <mergeCell ref="BN556:BV556"/>
    <mergeCell ref="AN556:AO556"/>
    <mergeCell ref="AP556:AQ556"/>
    <mergeCell ref="AR556:AS556"/>
    <mergeCell ref="AT552:AU552"/>
    <mergeCell ref="AV552:AW552"/>
    <mergeCell ref="AX552:AZ552"/>
    <mergeCell ref="BA552:BB552"/>
    <mergeCell ref="B552:C552"/>
    <mergeCell ref="D552:E552"/>
    <mergeCell ref="F552:G552"/>
    <mergeCell ref="H552:I552"/>
    <mergeCell ref="P552:Q552"/>
    <mergeCell ref="R552:S552"/>
    <mergeCell ref="T552:U552"/>
    <mergeCell ref="B549:C549"/>
    <mergeCell ref="D549:E549"/>
    <mergeCell ref="F549:G549"/>
    <mergeCell ref="H549:I549"/>
    <mergeCell ref="J549:K549"/>
    <mergeCell ref="L553:M553"/>
    <mergeCell ref="P553:Q553"/>
    <mergeCell ref="AX553:AZ553"/>
    <mergeCell ref="BA553:BB553"/>
    <mergeCell ref="BD553:BE553"/>
    <mergeCell ref="BF553:BI553"/>
    <mergeCell ref="BJ553:BM553"/>
    <mergeCell ref="BN553:BV553"/>
    <mergeCell ref="AJ551:AK551"/>
    <mergeCell ref="AL551:AM551"/>
    <mergeCell ref="AN553:AO553"/>
    <mergeCell ref="AP553:AQ553"/>
    <mergeCell ref="AR553:AS553"/>
    <mergeCell ref="AT553:AU553"/>
    <mergeCell ref="AV553:AW553"/>
    <mergeCell ref="R553:S553"/>
    <mergeCell ref="T553:U553"/>
    <mergeCell ref="V553:W553"/>
    <mergeCell ref="X553:AA553"/>
    <mergeCell ref="AB553:AE553"/>
    <mergeCell ref="AF553:AG553"/>
    <mergeCell ref="AH553:AI553"/>
    <mergeCell ref="AJ553:AK553"/>
    <mergeCell ref="AL553:AM553"/>
    <mergeCell ref="V550:W550"/>
    <mergeCell ref="X550:AA550"/>
    <mergeCell ref="AB550:AE550"/>
    <mergeCell ref="AF550:AG550"/>
    <mergeCell ref="AH550:AI550"/>
    <mergeCell ref="AJ550:AK550"/>
    <mergeCell ref="AL550:AM550"/>
    <mergeCell ref="BD550:BE550"/>
    <mergeCell ref="BF550:BI550"/>
    <mergeCell ref="BJ550:BM550"/>
    <mergeCell ref="BN550:BV550"/>
    <mergeCell ref="AN550:AO550"/>
    <mergeCell ref="AP550:AQ550"/>
    <mergeCell ref="AR550:AS550"/>
    <mergeCell ref="AT550:AU550"/>
    <mergeCell ref="AV550:AW550"/>
    <mergeCell ref="AX550:AZ550"/>
    <mergeCell ref="BA550:BB550"/>
    <mergeCell ref="B554:C554"/>
    <mergeCell ref="D554:E554"/>
    <mergeCell ref="F554:G554"/>
    <mergeCell ref="H554:I554"/>
    <mergeCell ref="P554:Q554"/>
    <mergeCell ref="R554:S554"/>
    <mergeCell ref="T554:U554"/>
    <mergeCell ref="B551:C551"/>
    <mergeCell ref="D551:E551"/>
    <mergeCell ref="F551:G551"/>
    <mergeCell ref="H551:I551"/>
    <mergeCell ref="J551:K551"/>
    <mergeCell ref="L551:M551"/>
    <mergeCell ref="P551:Q551"/>
    <mergeCell ref="AX551:AZ551"/>
    <mergeCell ref="BA551:BB551"/>
    <mergeCell ref="BD551:BE551"/>
    <mergeCell ref="BF551:BI551"/>
    <mergeCell ref="BJ551:BM551"/>
    <mergeCell ref="BN551:BV551"/>
    <mergeCell ref="AN551:AO551"/>
    <mergeCell ref="AP551:AQ551"/>
    <mergeCell ref="AR551:AS551"/>
    <mergeCell ref="AT551:AU551"/>
    <mergeCell ref="AV551:AW551"/>
    <mergeCell ref="R551:S551"/>
    <mergeCell ref="T551:U551"/>
    <mergeCell ref="V551:W551"/>
    <mergeCell ref="X551:AA551"/>
    <mergeCell ref="AB551:AE551"/>
    <mergeCell ref="AF551:AG551"/>
    <mergeCell ref="AH551:AI551"/>
    <mergeCell ref="V552:W552"/>
    <mergeCell ref="X552:AA552"/>
    <mergeCell ref="AB552:AE552"/>
    <mergeCell ref="AF552:AG552"/>
    <mergeCell ref="AH552:AI552"/>
    <mergeCell ref="AJ552:AK552"/>
    <mergeCell ref="AL552:AM552"/>
    <mergeCell ref="BD552:BE552"/>
    <mergeCell ref="BF552:BI552"/>
    <mergeCell ref="BJ552:BM552"/>
    <mergeCell ref="BN552:BV552"/>
    <mergeCell ref="AN552:AO552"/>
    <mergeCell ref="AP552:AQ552"/>
    <mergeCell ref="AR552:AS552"/>
    <mergeCell ref="B548:C548"/>
    <mergeCell ref="D548:E548"/>
    <mergeCell ref="F548:G548"/>
    <mergeCell ref="H548:I548"/>
    <mergeCell ref="P548:Q548"/>
    <mergeCell ref="R548:S548"/>
    <mergeCell ref="T548:U548"/>
    <mergeCell ref="B545:C545"/>
    <mergeCell ref="D545:E545"/>
    <mergeCell ref="F545:G545"/>
    <mergeCell ref="H545:I545"/>
    <mergeCell ref="J545:K545"/>
    <mergeCell ref="L549:M549"/>
    <mergeCell ref="P549:Q549"/>
    <mergeCell ref="AX549:AZ549"/>
    <mergeCell ref="BA549:BB549"/>
    <mergeCell ref="BD549:BE549"/>
    <mergeCell ref="BF549:BI549"/>
    <mergeCell ref="BJ549:BM549"/>
    <mergeCell ref="BN549:BV549"/>
    <mergeCell ref="AJ547:AK547"/>
    <mergeCell ref="AL547:AM547"/>
    <mergeCell ref="AN549:AO549"/>
    <mergeCell ref="AP549:AQ549"/>
    <mergeCell ref="AR549:AS549"/>
    <mergeCell ref="AT549:AU549"/>
    <mergeCell ref="AV549:AW549"/>
    <mergeCell ref="R549:S549"/>
    <mergeCell ref="T549:U549"/>
    <mergeCell ref="V549:W549"/>
    <mergeCell ref="X549:AA549"/>
    <mergeCell ref="AB549:AE549"/>
    <mergeCell ref="AF549:AG549"/>
    <mergeCell ref="AH549:AI549"/>
    <mergeCell ref="AJ549:AK549"/>
    <mergeCell ref="AL549:AM549"/>
    <mergeCell ref="AL546:AM546"/>
    <mergeCell ref="BD546:BE546"/>
    <mergeCell ref="BF546:BI546"/>
    <mergeCell ref="BJ546:BM546"/>
    <mergeCell ref="BN546:BV546"/>
    <mergeCell ref="AN546:AO546"/>
    <mergeCell ref="AP546:AQ546"/>
    <mergeCell ref="AR546:AS546"/>
    <mergeCell ref="AT546:AU546"/>
    <mergeCell ref="AV546:AW546"/>
    <mergeCell ref="AX546:AZ546"/>
    <mergeCell ref="BA546:BB546"/>
    <mergeCell ref="B550:C550"/>
    <mergeCell ref="D550:E550"/>
    <mergeCell ref="F550:G550"/>
    <mergeCell ref="H550:I550"/>
    <mergeCell ref="P550:Q550"/>
    <mergeCell ref="R550:S550"/>
    <mergeCell ref="T550:U550"/>
    <mergeCell ref="B547:C547"/>
    <mergeCell ref="D547:E547"/>
    <mergeCell ref="F547:G547"/>
    <mergeCell ref="H547:I547"/>
    <mergeCell ref="J547:K547"/>
    <mergeCell ref="L547:M547"/>
    <mergeCell ref="P547:Q547"/>
    <mergeCell ref="AX547:AZ547"/>
    <mergeCell ref="BA547:BB547"/>
    <mergeCell ref="BD547:BE547"/>
    <mergeCell ref="BF547:BI547"/>
    <mergeCell ref="BJ547:BM547"/>
    <mergeCell ref="BN547:BV547"/>
    <mergeCell ref="AJ545:AK545"/>
    <mergeCell ref="AL545:AM545"/>
    <mergeCell ref="AN547:AO547"/>
    <mergeCell ref="AP547:AQ547"/>
    <mergeCell ref="AR547:AS547"/>
    <mergeCell ref="AT547:AU547"/>
    <mergeCell ref="AV547:AW547"/>
    <mergeCell ref="R547:S547"/>
    <mergeCell ref="T547:U547"/>
    <mergeCell ref="V547:W547"/>
    <mergeCell ref="X547:AA547"/>
    <mergeCell ref="AB547:AE547"/>
    <mergeCell ref="AF547:AG547"/>
    <mergeCell ref="AH547:AI547"/>
    <mergeCell ref="V548:W548"/>
    <mergeCell ref="X548:AA548"/>
    <mergeCell ref="AB548:AE548"/>
    <mergeCell ref="AF548:AG548"/>
    <mergeCell ref="AH548:AI548"/>
    <mergeCell ref="AJ548:AK548"/>
    <mergeCell ref="AL548:AM548"/>
    <mergeCell ref="BD548:BE548"/>
    <mergeCell ref="BF548:BI548"/>
    <mergeCell ref="BJ548:BM548"/>
    <mergeCell ref="BN548:BV548"/>
    <mergeCell ref="AN548:AO548"/>
    <mergeCell ref="AP548:AQ548"/>
    <mergeCell ref="AR548:AS548"/>
    <mergeCell ref="AT548:AU548"/>
    <mergeCell ref="AV548:AW548"/>
    <mergeCell ref="AX548:AZ548"/>
    <mergeCell ref="BA548:BB548"/>
    <mergeCell ref="AJ541:AK541"/>
    <mergeCell ref="AL541:AM541"/>
    <mergeCell ref="AN543:AO543"/>
    <mergeCell ref="AP543:AQ543"/>
    <mergeCell ref="AR543:AS543"/>
    <mergeCell ref="AT543:AU543"/>
    <mergeCell ref="AV543:AW543"/>
    <mergeCell ref="R543:S543"/>
    <mergeCell ref="T543:U543"/>
    <mergeCell ref="V543:W543"/>
    <mergeCell ref="X543:AA543"/>
    <mergeCell ref="AB543:AE543"/>
    <mergeCell ref="AF543:AG543"/>
    <mergeCell ref="AH543:AI543"/>
    <mergeCell ref="V544:W544"/>
    <mergeCell ref="X544:AA544"/>
    <mergeCell ref="AB544:AE544"/>
    <mergeCell ref="AF544:AG544"/>
    <mergeCell ref="AH544:AI544"/>
    <mergeCell ref="AJ544:AK544"/>
    <mergeCell ref="AL544:AM544"/>
    <mergeCell ref="BD544:BE544"/>
    <mergeCell ref="BF544:BI544"/>
    <mergeCell ref="BJ544:BM544"/>
    <mergeCell ref="BN544:BV544"/>
    <mergeCell ref="AN544:AO544"/>
    <mergeCell ref="AP544:AQ544"/>
    <mergeCell ref="AR544:AS544"/>
    <mergeCell ref="AT544:AU544"/>
    <mergeCell ref="AV544:AW544"/>
    <mergeCell ref="AX544:AZ544"/>
    <mergeCell ref="BA544:BB544"/>
    <mergeCell ref="B544:C544"/>
    <mergeCell ref="D544:E544"/>
    <mergeCell ref="F544:G544"/>
    <mergeCell ref="H544:I544"/>
    <mergeCell ref="P544:Q544"/>
    <mergeCell ref="R544:S544"/>
    <mergeCell ref="T544:U544"/>
    <mergeCell ref="B541:C541"/>
    <mergeCell ref="D541:E541"/>
    <mergeCell ref="F541:G541"/>
    <mergeCell ref="H541:I541"/>
    <mergeCell ref="J541:K541"/>
    <mergeCell ref="AJ543:AK543"/>
    <mergeCell ref="AL543:AM543"/>
    <mergeCell ref="V542:W542"/>
    <mergeCell ref="X542:AA542"/>
    <mergeCell ref="AB542:AE542"/>
    <mergeCell ref="AF542:AG542"/>
    <mergeCell ref="AH542:AI542"/>
    <mergeCell ref="AJ542:AK542"/>
    <mergeCell ref="AL542:AM542"/>
    <mergeCell ref="BD542:BE542"/>
    <mergeCell ref="BF542:BI542"/>
    <mergeCell ref="BJ542:BM542"/>
    <mergeCell ref="BN542:BV542"/>
    <mergeCell ref="AN542:AO542"/>
    <mergeCell ref="AP542:AQ542"/>
    <mergeCell ref="AR542:AS542"/>
    <mergeCell ref="AT542:AU542"/>
    <mergeCell ref="AV542:AW542"/>
    <mergeCell ref="AX542:AZ542"/>
    <mergeCell ref="BA542:BB542"/>
    <mergeCell ref="B546:C546"/>
    <mergeCell ref="D546:E546"/>
    <mergeCell ref="F546:G546"/>
    <mergeCell ref="H546:I546"/>
    <mergeCell ref="P546:Q546"/>
    <mergeCell ref="R546:S546"/>
    <mergeCell ref="T546:U546"/>
    <mergeCell ref="B543:C543"/>
    <mergeCell ref="D543:E543"/>
    <mergeCell ref="F543:G543"/>
    <mergeCell ref="H543:I543"/>
    <mergeCell ref="J543:K543"/>
    <mergeCell ref="L543:M543"/>
    <mergeCell ref="P543:Q543"/>
    <mergeCell ref="AX543:AZ543"/>
    <mergeCell ref="BA543:BB543"/>
    <mergeCell ref="BD543:BE543"/>
    <mergeCell ref="BF543:BI543"/>
    <mergeCell ref="BJ543:BM543"/>
    <mergeCell ref="BN543:BV543"/>
    <mergeCell ref="L545:M545"/>
    <mergeCell ref="P545:Q545"/>
    <mergeCell ref="AX545:AZ545"/>
    <mergeCell ref="BA545:BB545"/>
    <mergeCell ref="BD545:BE545"/>
    <mergeCell ref="BF545:BI545"/>
    <mergeCell ref="BJ545:BM545"/>
    <mergeCell ref="BN545:BV545"/>
    <mergeCell ref="AN545:AO545"/>
    <mergeCell ref="AP545:AQ545"/>
    <mergeCell ref="AR545:AS545"/>
    <mergeCell ref="AT545:AU545"/>
    <mergeCell ref="AV545:AW545"/>
    <mergeCell ref="R545:S545"/>
    <mergeCell ref="T545:U545"/>
    <mergeCell ref="V545:W545"/>
    <mergeCell ref="X545:AA545"/>
    <mergeCell ref="AB545:AE545"/>
    <mergeCell ref="AF545:AG545"/>
    <mergeCell ref="AH545:AI545"/>
    <mergeCell ref="V546:W546"/>
    <mergeCell ref="X546:AA546"/>
    <mergeCell ref="AB546:AE546"/>
    <mergeCell ref="AF546:AG546"/>
    <mergeCell ref="AH546:AI546"/>
    <mergeCell ref="AJ546:AK546"/>
    <mergeCell ref="B542:C542"/>
    <mergeCell ref="D542:E542"/>
    <mergeCell ref="F542:G542"/>
    <mergeCell ref="H542:I542"/>
    <mergeCell ref="P542:Q542"/>
    <mergeCell ref="R542:S542"/>
    <mergeCell ref="T542:U542"/>
    <mergeCell ref="AR539:AS539"/>
    <mergeCell ref="AT539:AU539"/>
    <mergeCell ref="AV539:AW539"/>
    <mergeCell ref="R539:S539"/>
    <mergeCell ref="T539:U539"/>
    <mergeCell ref="V539:W539"/>
    <mergeCell ref="X539:AA539"/>
    <mergeCell ref="AB539:AE539"/>
    <mergeCell ref="AF539:AG539"/>
    <mergeCell ref="AH539:AI539"/>
    <mergeCell ref="V540:W540"/>
    <mergeCell ref="X540:AA540"/>
    <mergeCell ref="AB540:AE540"/>
    <mergeCell ref="AF540:AG540"/>
    <mergeCell ref="AH540:AI540"/>
    <mergeCell ref="AJ540:AK540"/>
    <mergeCell ref="AL540:AM540"/>
    <mergeCell ref="BD540:BE540"/>
    <mergeCell ref="BF540:BI540"/>
    <mergeCell ref="BJ540:BM540"/>
    <mergeCell ref="BN540:BV540"/>
    <mergeCell ref="AN540:AO540"/>
    <mergeCell ref="AP540:AQ540"/>
    <mergeCell ref="AR540:AS540"/>
    <mergeCell ref="AT540:AU540"/>
    <mergeCell ref="AV540:AW540"/>
    <mergeCell ref="AX540:AZ540"/>
    <mergeCell ref="BA540:BB540"/>
    <mergeCell ref="B540:C540"/>
    <mergeCell ref="D540:E540"/>
    <mergeCell ref="F540:G540"/>
    <mergeCell ref="H540:I540"/>
    <mergeCell ref="P540:Q540"/>
    <mergeCell ref="R540:S540"/>
    <mergeCell ref="T540:U540"/>
    <mergeCell ref="L541:M541"/>
    <mergeCell ref="P541:Q541"/>
    <mergeCell ref="AX541:AZ541"/>
    <mergeCell ref="BA541:BB541"/>
    <mergeCell ref="BD541:BE541"/>
    <mergeCell ref="BF541:BI541"/>
    <mergeCell ref="BJ541:BM541"/>
    <mergeCell ref="BN541:BV541"/>
    <mergeCell ref="AJ539:AK539"/>
    <mergeCell ref="AL539:AM539"/>
    <mergeCell ref="AN541:AO541"/>
    <mergeCell ref="AP541:AQ541"/>
    <mergeCell ref="AR541:AS541"/>
    <mergeCell ref="AT541:AU541"/>
    <mergeCell ref="AV541:AW541"/>
    <mergeCell ref="R541:S541"/>
    <mergeCell ref="T541:U541"/>
    <mergeCell ref="V541:W541"/>
    <mergeCell ref="X541:AA541"/>
    <mergeCell ref="AB541:AE541"/>
    <mergeCell ref="AF541:AG541"/>
    <mergeCell ref="AH541:AI541"/>
    <mergeCell ref="P663:Q663"/>
    <mergeCell ref="B664:C664"/>
    <mergeCell ref="D664:E664"/>
    <mergeCell ref="F664:G664"/>
    <mergeCell ref="H664:I664"/>
    <mergeCell ref="J664:K664"/>
    <mergeCell ref="L664:M664"/>
    <mergeCell ref="P664:Q664"/>
    <mergeCell ref="AJ663:AK663"/>
    <mergeCell ref="AL663:AM663"/>
    <mergeCell ref="AN663:AO663"/>
    <mergeCell ref="AP663:AQ663"/>
    <mergeCell ref="AR663:AS663"/>
    <mergeCell ref="AT663:AU663"/>
    <mergeCell ref="AV663:AW663"/>
    <mergeCell ref="R537:S537"/>
    <mergeCell ref="T537:U537"/>
    <mergeCell ref="V537:W537"/>
    <mergeCell ref="X537:AA537"/>
    <mergeCell ref="AB537:AE537"/>
    <mergeCell ref="AF537:AG537"/>
    <mergeCell ref="AH537:AI537"/>
    <mergeCell ref="V538:W538"/>
    <mergeCell ref="X538:AA538"/>
    <mergeCell ref="AB538:AE538"/>
    <mergeCell ref="AF538:AG538"/>
    <mergeCell ref="AH538:AI538"/>
    <mergeCell ref="AJ538:AK538"/>
    <mergeCell ref="AL538:AM538"/>
    <mergeCell ref="BD538:BE538"/>
    <mergeCell ref="BF538:BI538"/>
    <mergeCell ref="BJ538:BM538"/>
    <mergeCell ref="BN538:BV538"/>
    <mergeCell ref="AN538:AO538"/>
    <mergeCell ref="AP538:AQ538"/>
    <mergeCell ref="AR538:AS538"/>
    <mergeCell ref="AT538:AU538"/>
    <mergeCell ref="AV538:AW538"/>
    <mergeCell ref="AX538:AZ538"/>
    <mergeCell ref="BA538:BB538"/>
    <mergeCell ref="B538:C538"/>
    <mergeCell ref="D538:E538"/>
    <mergeCell ref="F538:G538"/>
    <mergeCell ref="H538:I538"/>
    <mergeCell ref="P538:Q538"/>
    <mergeCell ref="R538:S538"/>
    <mergeCell ref="T538:U538"/>
    <mergeCell ref="B539:C539"/>
    <mergeCell ref="D539:E539"/>
    <mergeCell ref="F539:G539"/>
    <mergeCell ref="H539:I539"/>
    <mergeCell ref="J539:K539"/>
    <mergeCell ref="L539:M539"/>
    <mergeCell ref="P539:Q539"/>
    <mergeCell ref="AX539:AZ539"/>
    <mergeCell ref="BA539:BB539"/>
    <mergeCell ref="BD539:BE539"/>
    <mergeCell ref="BF539:BI539"/>
    <mergeCell ref="BJ539:BM539"/>
    <mergeCell ref="BN539:BV539"/>
    <mergeCell ref="AJ537:AK537"/>
    <mergeCell ref="AL537:AM537"/>
    <mergeCell ref="AN539:AO539"/>
    <mergeCell ref="AP539:AQ539"/>
    <mergeCell ref="BJ616:BM616"/>
    <mergeCell ref="BN616:BV616"/>
    <mergeCell ref="BJ617:BM617"/>
    <mergeCell ref="BN617:BV617"/>
    <mergeCell ref="B616:C616"/>
    <mergeCell ref="D616:E616"/>
    <mergeCell ref="F616:G616"/>
    <mergeCell ref="H616:I616"/>
    <mergeCell ref="J616:K616"/>
    <mergeCell ref="L616:M616"/>
    <mergeCell ref="P616:Q616"/>
    <mergeCell ref="B617:C617"/>
    <mergeCell ref="D617:E617"/>
    <mergeCell ref="F617:G617"/>
    <mergeCell ref="H617:I617"/>
    <mergeCell ref="J617:K617"/>
    <mergeCell ref="L617:M617"/>
    <mergeCell ref="P617:Q617"/>
    <mergeCell ref="AJ616:AK616"/>
    <mergeCell ref="AL616:AM616"/>
    <mergeCell ref="AN616:AO616"/>
    <mergeCell ref="AP616:AQ616"/>
    <mergeCell ref="AR616:AS616"/>
    <mergeCell ref="AT616:AU616"/>
    <mergeCell ref="AV616:AW616"/>
    <mergeCell ref="BD664:BE664"/>
    <mergeCell ref="BF664:BI664"/>
    <mergeCell ref="AN664:AO664"/>
    <mergeCell ref="AP664:AQ664"/>
    <mergeCell ref="AR664:AS664"/>
    <mergeCell ref="AT664:AU664"/>
    <mergeCell ref="AV664:AW664"/>
    <mergeCell ref="AX664:AZ664"/>
    <mergeCell ref="BA664:BB664"/>
    <mergeCell ref="AJ662:AK662"/>
    <mergeCell ref="AL662:AM662"/>
    <mergeCell ref="R662:S662"/>
    <mergeCell ref="T662:U662"/>
    <mergeCell ref="V662:W662"/>
    <mergeCell ref="X662:AA662"/>
    <mergeCell ref="AB662:AE662"/>
    <mergeCell ref="AF662:AG662"/>
    <mergeCell ref="AH662:AI662"/>
    <mergeCell ref="R663:S663"/>
    <mergeCell ref="T663:U663"/>
    <mergeCell ref="V663:W663"/>
    <mergeCell ref="X663:AA663"/>
    <mergeCell ref="AB663:AE663"/>
    <mergeCell ref="AF663:AG663"/>
    <mergeCell ref="AH663:AI663"/>
    <mergeCell ref="AX663:AZ663"/>
    <mergeCell ref="BA663:BB663"/>
    <mergeCell ref="BD663:BE663"/>
    <mergeCell ref="BF663:BI663"/>
    <mergeCell ref="BJ663:BM663"/>
    <mergeCell ref="BN663:BV663"/>
    <mergeCell ref="BJ664:BM664"/>
    <mergeCell ref="BN664:BV664"/>
    <mergeCell ref="B663:C663"/>
    <mergeCell ref="D663:E663"/>
    <mergeCell ref="F663:G663"/>
    <mergeCell ref="H663:I663"/>
    <mergeCell ref="J663:K663"/>
    <mergeCell ref="L663:M663"/>
    <mergeCell ref="B614:C614"/>
    <mergeCell ref="D614:E614"/>
    <mergeCell ref="F614:G614"/>
    <mergeCell ref="H614:I614"/>
    <mergeCell ref="J614:K614"/>
    <mergeCell ref="L614:M614"/>
    <mergeCell ref="P614:Q614"/>
    <mergeCell ref="B615:C615"/>
    <mergeCell ref="D615:E615"/>
    <mergeCell ref="F615:G615"/>
    <mergeCell ref="H615:I615"/>
    <mergeCell ref="J615:K615"/>
    <mergeCell ref="L615:M615"/>
    <mergeCell ref="P615:Q615"/>
    <mergeCell ref="AJ614:AK614"/>
    <mergeCell ref="AL614:AM614"/>
    <mergeCell ref="AN614:AO614"/>
    <mergeCell ref="AP614:AQ614"/>
    <mergeCell ref="AR614:AS614"/>
    <mergeCell ref="AT614:AU614"/>
    <mergeCell ref="AV614:AW614"/>
    <mergeCell ref="BD617:BE617"/>
    <mergeCell ref="BF617:BI617"/>
    <mergeCell ref="AN617:AO617"/>
    <mergeCell ref="AP617:AQ617"/>
    <mergeCell ref="AR617:AS617"/>
    <mergeCell ref="AT617:AU617"/>
    <mergeCell ref="AV617:AW617"/>
    <mergeCell ref="AX617:AZ617"/>
    <mergeCell ref="BA617:BB617"/>
    <mergeCell ref="AJ615:AK615"/>
    <mergeCell ref="AL615:AM615"/>
    <mergeCell ref="R615:S615"/>
    <mergeCell ref="T615:U615"/>
    <mergeCell ref="V615:W615"/>
    <mergeCell ref="X615:AA615"/>
    <mergeCell ref="AB615:AE615"/>
    <mergeCell ref="AF615:AG615"/>
    <mergeCell ref="AH615:AI615"/>
    <mergeCell ref="R616:S616"/>
    <mergeCell ref="T616:U616"/>
    <mergeCell ref="V616:W616"/>
    <mergeCell ref="X616:AA616"/>
    <mergeCell ref="AB616:AE616"/>
    <mergeCell ref="AF616:AG616"/>
    <mergeCell ref="AH616:AI616"/>
    <mergeCell ref="AX616:AZ616"/>
    <mergeCell ref="BA616:BB616"/>
    <mergeCell ref="BD616:BE616"/>
    <mergeCell ref="BF616:BI616"/>
    <mergeCell ref="BD615:BE615"/>
    <mergeCell ref="BF615:BI615"/>
    <mergeCell ref="AN615:AO615"/>
    <mergeCell ref="AP615:AQ615"/>
    <mergeCell ref="AR615:AS615"/>
    <mergeCell ref="AT615:AU615"/>
    <mergeCell ref="AV615:AW615"/>
    <mergeCell ref="AX615:AZ615"/>
    <mergeCell ref="BA615:BB615"/>
    <mergeCell ref="AJ617:AK617"/>
    <mergeCell ref="AL617:AM617"/>
    <mergeCell ref="R617:S617"/>
    <mergeCell ref="T617:U617"/>
    <mergeCell ref="V617:W617"/>
    <mergeCell ref="R614:S614"/>
    <mergeCell ref="T614:U614"/>
    <mergeCell ref="V614:W614"/>
    <mergeCell ref="X614:AA614"/>
    <mergeCell ref="AB614:AE614"/>
    <mergeCell ref="AF614:AG614"/>
    <mergeCell ref="AH614:AI614"/>
    <mergeCell ref="AX614:AZ614"/>
    <mergeCell ref="BA614:BB614"/>
    <mergeCell ref="BD614:BE614"/>
    <mergeCell ref="BF614:BI614"/>
    <mergeCell ref="BJ614:BM614"/>
    <mergeCell ref="BN614:BV614"/>
    <mergeCell ref="BJ615:BM615"/>
    <mergeCell ref="BN615:BV615"/>
    <mergeCell ref="V608:W608"/>
    <mergeCell ref="X608:AA608"/>
    <mergeCell ref="AB608:AE608"/>
    <mergeCell ref="AF608:AG608"/>
    <mergeCell ref="AH608:AI608"/>
    <mergeCell ref="AJ608:AK608"/>
    <mergeCell ref="AL608:AM608"/>
    <mergeCell ref="BD608:BE608"/>
    <mergeCell ref="BF608:BI608"/>
    <mergeCell ref="BJ608:BM608"/>
    <mergeCell ref="BN608:BV608"/>
    <mergeCell ref="AN608:AO608"/>
    <mergeCell ref="AP608:AQ608"/>
    <mergeCell ref="AR608:AS608"/>
    <mergeCell ref="AT608:AU608"/>
    <mergeCell ref="AV608:AW608"/>
    <mergeCell ref="AX608:AZ608"/>
    <mergeCell ref="BA608:BB608"/>
    <mergeCell ref="AN613:AO613"/>
    <mergeCell ref="AP613:AQ613"/>
    <mergeCell ref="AR613:AS613"/>
    <mergeCell ref="AT613:AU613"/>
    <mergeCell ref="AV613:AW613"/>
    <mergeCell ref="AX613:AZ613"/>
    <mergeCell ref="BA613:BB613"/>
    <mergeCell ref="AJ611:AK611"/>
    <mergeCell ref="AL611:AM611"/>
    <mergeCell ref="R611:S611"/>
    <mergeCell ref="T611:U611"/>
    <mergeCell ref="V611:W611"/>
    <mergeCell ref="X611:AA611"/>
    <mergeCell ref="AB611:AE611"/>
    <mergeCell ref="AF611:AG611"/>
    <mergeCell ref="AH611:AI611"/>
    <mergeCell ref="R612:S612"/>
    <mergeCell ref="T612:U612"/>
    <mergeCell ref="V612:W612"/>
    <mergeCell ref="X612:AA612"/>
    <mergeCell ref="AB612:AE612"/>
    <mergeCell ref="AF612:AG612"/>
    <mergeCell ref="B608:C608"/>
    <mergeCell ref="D608:E608"/>
    <mergeCell ref="F608:G608"/>
    <mergeCell ref="H608:I608"/>
    <mergeCell ref="P608:Q608"/>
    <mergeCell ref="R608:S608"/>
    <mergeCell ref="T608:U608"/>
    <mergeCell ref="B609:C609"/>
    <mergeCell ref="D609:E609"/>
    <mergeCell ref="F609:G609"/>
    <mergeCell ref="H609:I609"/>
    <mergeCell ref="J609:K609"/>
    <mergeCell ref="L609:M609"/>
    <mergeCell ref="P609:Q609"/>
    <mergeCell ref="AX609:AZ609"/>
    <mergeCell ref="BA609:BB609"/>
    <mergeCell ref="BD609:BE609"/>
    <mergeCell ref="BF609:BI609"/>
    <mergeCell ref="BJ609:BM609"/>
    <mergeCell ref="BN609:BV609"/>
    <mergeCell ref="AN609:AO609"/>
    <mergeCell ref="AP609:AQ609"/>
    <mergeCell ref="AR609:AS609"/>
    <mergeCell ref="AT609:AU609"/>
    <mergeCell ref="AV609:AW609"/>
    <mergeCell ref="V606:W606"/>
    <mergeCell ref="X606:AA606"/>
    <mergeCell ref="AB606:AE606"/>
    <mergeCell ref="AF606:AG606"/>
    <mergeCell ref="AH606:AI606"/>
    <mergeCell ref="AJ606:AK606"/>
    <mergeCell ref="AL606:AM606"/>
    <mergeCell ref="BD606:BE606"/>
    <mergeCell ref="BF606:BI606"/>
    <mergeCell ref="BJ606:BM606"/>
    <mergeCell ref="BN606:BV606"/>
    <mergeCell ref="AN606:AO606"/>
    <mergeCell ref="AP606:AQ606"/>
    <mergeCell ref="AR606:AS606"/>
    <mergeCell ref="AT606:AU606"/>
    <mergeCell ref="AV606:AW606"/>
    <mergeCell ref="AX606:AZ606"/>
    <mergeCell ref="BA606:BB606"/>
    <mergeCell ref="B606:C606"/>
    <mergeCell ref="D606:E606"/>
    <mergeCell ref="F606:G606"/>
    <mergeCell ref="H606:I606"/>
    <mergeCell ref="P606:Q606"/>
    <mergeCell ref="R606:S606"/>
    <mergeCell ref="T606:U606"/>
    <mergeCell ref="B607:C607"/>
    <mergeCell ref="D607:E607"/>
    <mergeCell ref="F607:G607"/>
    <mergeCell ref="H607:I607"/>
    <mergeCell ref="J607:K607"/>
    <mergeCell ref="L607:M607"/>
    <mergeCell ref="P607:Q607"/>
    <mergeCell ref="AX607:AZ607"/>
    <mergeCell ref="BA607:BB607"/>
    <mergeCell ref="BD607:BE607"/>
    <mergeCell ref="BF607:BI607"/>
    <mergeCell ref="BJ607:BM607"/>
    <mergeCell ref="BN607:BV607"/>
    <mergeCell ref="AN607:AO607"/>
    <mergeCell ref="AP607:AQ607"/>
    <mergeCell ref="AR607:AS607"/>
    <mergeCell ref="AT607:AU607"/>
    <mergeCell ref="AV607:AW607"/>
    <mergeCell ref="R607:S607"/>
    <mergeCell ref="T607:U607"/>
    <mergeCell ref="V607:W607"/>
    <mergeCell ref="X607:AA607"/>
    <mergeCell ref="AB607:AE607"/>
    <mergeCell ref="AF607:AG607"/>
    <mergeCell ref="AH607:AI607"/>
    <mergeCell ref="AJ607:AK607"/>
    <mergeCell ref="AL607:AM607"/>
    <mergeCell ref="V604:W604"/>
    <mergeCell ref="X604:AA604"/>
    <mergeCell ref="AB604:AE604"/>
    <mergeCell ref="AF604:AG604"/>
    <mergeCell ref="AH604:AI604"/>
    <mergeCell ref="AJ604:AK604"/>
    <mergeCell ref="AL604:AM604"/>
    <mergeCell ref="BD604:BE604"/>
    <mergeCell ref="BF604:BI604"/>
    <mergeCell ref="BJ604:BM604"/>
    <mergeCell ref="BN604:BV604"/>
    <mergeCell ref="AN604:AO604"/>
    <mergeCell ref="AP604:AQ604"/>
    <mergeCell ref="AR604:AS604"/>
    <mergeCell ref="AT604:AU604"/>
    <mergeCell ref="AV604:AW604"/>
    <mergeCell ref="AX604:AZ604"/>
    <mergeCell ref="BA604:BB604"/>
    <mergeCell ref="B604:C604"/>
    <mergeCell ref="D604:E604"/>
    <mergeCell ref="F604:G604"/>
    <mergeCell ref="H604:I604"/>
    <mergeCell ref="P604:Q604"/>
    <mergeCell ref="R604:S604"/>
    <mergeCell ref="T604:U604"/>
    <mergeCell ref="B605:C605"/>
    <mergeCell ref="D605:E605"/>
    <mergeCell ref="F605:G605"/>
    <mergeCell ref="H605:I605"/>
    <mergeCell ref="J605:K605"/>
    <mergeCell ref="L605:M605"/>
    <mergeCell ref="P605:Q605"/>
    <mergeCell ref="AX605:AZ605"/>
    <mergeCell ref="BA605:BB605"/>
    <mergeCell ref="BD605:BE605"/>
    <mergeCell ref="BF605:BI605"/>
    <mergeCell ref="BJ605:BM605"/>
    <mergeCell ref="BN605:BV605"/>
    <mergeCell ref="AN605:AO605"/>
    <mergeCell ref="AP605:AQ605"/>
    <mergeCell ref="AR605:AS605"/>
    <mergeCell ref="AT605:AU605"/>
    <mergeCell ref="AV605:AW605"/>
    <mergeCell ref="R605:S605"/>
    <mergeCell ref="T605:U605"/>
    <mergeCell ref="V605:W605"/>
    <mergeCell ref="X605:AA605"/>
    <mergeCell ref="AB605:AE605"/>
    <mergeCell ref="AF605:AG605"/>
    <mergeCell ref="AH605:AI605"/>
    <mergeCell ref="AJ605:AK605"/>
    <mergeCell ref="AL605:AM605"/>
    <mergeCell ref="V602:W602"/>
    <mergeCell ref="X602:AA602"/>
    <mergeCell ref="AB602:AE602"/>
    <mergeCell ref="AF602:AG602"/>
    <mergeCell ref="AH602:AI602"/>
    <mergeCell ref="AJ602:AK602"/>
    <mergeCell ref="AL602:AM602"/>
    <mergeCell ref="BD602:BE602"/>
    <mergeCell ref="BF602:BI602"/>
    <mergeCell ref="BJ602:BM602"/>
    <mergeCell ref="BN602:BV602"/>
    <mergeCell ref="AN602:AO602"/>
    <mergeCell ref="AP602:AQ602"/>
    <mergeCell ref="AR602:AS602"/>
    <mergeCell ref="AT602:AU602"/>
    <mergeCell ref="AV602:AW602"/>
    <mergeCell ref="AX602:AZ602"/>
    <mergeCell ref="BA602:BB602"/>
    <mergeCell ref="B602:C602"/>
    <mergeCell ref="D602:E602"/>
    <mergeCell ref="F602:G602"/>
    <mergeCell ref="H602:I602"/>
    <mergeCell ref="P602:Q602"/>
    <mergeCell ref="R602:S602"/>
    <mergeCell ref="T602:U602"/>
    <mergeCell ref="B603:C603"/>
    <mergeCell ref="D603:E603"/>
    <mergeCell ref="F603:G603"/>
    <mergeCell ref="H603:I603"/>
    <mergeCell ref="J603:K603"/>
    <mergeCell ref="L603:M603"/>
    <mergeCell ref="P603:Q603"/>
    <mergeCell ref="AX603:AZ603"/>
    <mergeCell ref="BA603:BB603"/>
    <mergeCell ref="BD603:BE603"/>
    <mergeCell ref="BF603:BI603"/>
    <mergeCell ref="BJ603:BM603"/>
    <mergeCell ref="BN603:BV603"/>
    <mergeCell ref="AN603:AO603"/>
    <mergeCell ref="AP603:AQ603"/>
    <mergeCell ref="AR603:AS603"/>
    <mergeCell ref="AT603:AU603"/>
    <mergeCell ref="AV603:AW603"/>
    <mergeCell ref="R603:S603"/>
    <mergeCell ref="T603:U603"/>
    <mergeCell ref="V603:W603"/>
    <mergeCell ref="X603:AA603"/>
    <mergeCell ref="AB603:AE603"/>
    <mergeCell ref="AF603:AG603"/>
    <mergeCell ref="AH603:AI603"/>
    <mergeCell ref="AJ603:AK603"/>
    <mergeCell ref="AL603:AM603"/>
    <mergeCell ref="V600:W600"/>
    <mergeCell ref="X600:AA600"/>
    <mergeCell ref="AB600:AE600"/>
    <mergeCell ref="AF600:AG600"/>
    <mergeCell ref="AH600:AI600"/>
    <mergeCell ref="AJ600:AK600"/>
    <mergeCell ref="AL600:AM600"/>
    <mergeCell ref="BD600:BE600"/>
    <mergeCell ref="BF600:BI600"/>
    <mergeCell ref="BJ600:BM600"/>
    <mergeCell ref="BN600:BV600"/>
    <mergeCell ref="AN600:AO600"/>
    <mergeCell ref="AP600:AQ600"/>
    <mergeCell ref="AR600:AS600"/>
    <mergeCell ref="AT600:AU600"/>
    <mergeCell ref="AV600:AW600"/>
    <mergeCell ref="AX600:AZ600"/>
    <mergeCell ref="BA600:BB600"/>
    <mergeCell ref="B600:C600"/>
    <mergeCell ref="D600:E600"/>
    <mergeCell ref="F600:G600"/>
    <mergeCell ref="H600:I600"/>
    <mergeCell ref="P600:Q600"/>
    <mergeCell ref="R600:S600"/>
    <mergeCell ref="T600:U600"/>
    <mergeCell ref="B601:C601"/>
    <mergeCell ref="D601:E601"/>
    <mergeCell ref="F601:G601"/>
    <mergeCell ref="H601:I601"/>
    <mergeCell ref="J601:K601"/>
    <mergeCell ref="L601:M601"/>
    <mergeCell ref="P601:Q601"/>
    <mergeCell ref="AX601:AZ601"/>
    <mergeCell ref="BA601:BB601"/>
    <mergeCell ref="BD601:BE601"/>
    <mergeCell ref="BF601:BI601"/>
    <mergeCell ref="BJ601:BM601"/>
    <mergeCell ref="BN601:BV601"/>
    <mergeCell ref="AN601:AO601"/>
    <mergeCell ref="AP601:AQ601"/>
    <mergeCell ref="AR601:AS601"/>
    <mergeCell ref="AT601:AU601"/>
    <mergeCell ref="AV601:AW601"/>
    <mergeCell ref="R601:S601"/>
    <mergeCell ref="T601:U601"/>
    <mergeCell ref="V601:W601"/>
    <mergeCell ref="X601:AA601"/>
    <mergeCell ref="AB601:AE601"/>
    <mergeCell ref="AF601:AG601"/>
    <mergeCell ref="AH601:AI601"/>
    <mergeCell ref="AJ601:AK601"/>
    <mergeCell ref="AL601:AM601"/>
    <mergeCell ref="BN598:BV598"/>
    <mergeCell ref="AN598:AO598"/>
    <mergeCell ref="AP598:AQ598"/>
    <mergeCell ref="AR598:AS598"/>
    <mergeCell ref="AT598:AU598"/>
    <mergeCell ref="AV598:AW598"/>
    <mergeCell ref="AX598:AZ598"/>
    <mergeCell ref="BA598:BB598"/>
    <mergeCell ref="B598:C598"/>
    <mergeCell ref="D598:E598"/>
    <mergeCell ref="F598:G598"/>
    <mergeCell ref="H598:I598"/>
    <mergeCell ref="P598:Q598"/>
    <mergeCell ref="R598:S598"/>
    <mergeCell ref="T598:U598"/>
    <mergeCell ref="B599:C599"/>
    <mergeCell ref="D599:E599"/>
    <mergeCell ref="F599:G599"/>
    <mergeCell ref="H599:I599"/>
    <mergeCell ref="J599:K599"/>
    <mergeCell ref="L599:M599"/>
    <mergeCell ref="P599:Q599"/>
    <mergeCell ref="AX599:AZ599"/>
    <mergeCell ref="BA599:BB599"/>
    <mergeCell ref="BD599:BE599"/>
    <mergeCell ref="BF599:BI599"/>
    <mergeCell ref="BJ599:BM599"/>
    <mergeCell ref="BN599:BV599"/>
    <mergeCell ref="AJ597:AK597"/>
    <mergeCell ref="AL597:AM597"/>
    <mergeCell ref="AN599:AO599"/>
    <mergeCell ref="AP599:AQ599"/>
    <mergeCell ref="AR599:AS599"/>
    <mergeCell ref="AT599:AU599"/>
    <mergeCell ref="AV599:AW599"/>
    <mergeCell ref="R599:S599"/>
    <mergeCell ref="T599:U599"/>
    <mergeCell ref="V599:W599"/>
    <mergeCell ref="X599:AA599"/>
    <mergeCell ref="AB599:AE599"/>
    <mergeCell ref="AF599:AG599"/>
    <mergeCell ref="AH599:AI599"/>
    <mergeCell ref="AJ599:AK599"/>
    <mergeCell ref="AL599:AM599"/>
    <mergeCell ref="B596:C596"/>
    <mergeCell ref="D596:E596"/>
    <mergeCell ref="F596:G596"/>
    <mergeCell ref="H596:I596"/>
    <mergeCell ref="P596:Q596"/>
    <mergeCell ref="R596:S596"/>
    <mergeCell ref="T596:U596"/>
    <mergeCell ref="B597:C597"/>
    <mergeCell ref="D597:E597"/>
    <mergeCell ref="F597:G597"/>
    <mergeCell ref="H597:I597"/>
    <mergeCell ref="J597:K597"/>
    <mergeCell ref="L597:M597"/>
    <mergeCell ref="P597:Q597"/>
    <mergeCell ref="AX597:AZ597"/>
    <mergeCell ref="BA597:BB597"/>
    <mergeCell ref="BD597:BE597"/>
    <mergeCell ref="BF597:BI597"/>
    <mergeCell ref="BJ597:BM597"/>
    <mergeCell ref="BN597:BV597"/>
    <mergeCell ref="AJ595:AK595"/>
    <mergeCell ref="AL595:AM595"/>
    <mergeCell ref="AN597:AO597"/>
    <mergeCell ref="AP597:AQ597"/>
    <mergeCell ref="AR597:AS597"/>
    <mergeCell ref="AT597:AU597"/>
    <mergeCell ref="AV597:AW597"/>
    <mergeCell ref="R597:S597"/>
    <mergeCell ref="T597:U597"/>
    <mergeCell ref="V597:W597"/>
    <mergeCell ref="X597:AA597"/>
    <mergeCell ref="AB597:AE597"/>
    <mergeCell ref="AF597:AG597"/>
    <mergeCell ref="AH597:AI597"/>
    <mergeCell ref="B594:C594"/>
    <mergeCell ref="D594:E594"/>
    <mergeCell ref="F594:G594"/>
    <mergeCell ref="H594:I594"/>
    <mergeCell ref="P594:Q594"/>
    <mergeCell ref="R594:S594"/>
    <mergeCell ref="T594:U594"/>
    <mergeCell ref="B595:C595"/>
    <mergeCell ref="D595:E595"/>
    <mergeCell ref="F595:G595"/>
    <mergeCell ref="H595:I595"/>
    <mergeCell ref="J595:K595"/>
    <mergeCell ref="L595:M595"/>
    <mergeCell ref="P595:Q595"/>
    <mergeCell ref="AX595:AZ595"/>
    <mergeCell ref="BA595:BB595"/>
    <mergeCell ref="BD595:BE595"/>
    <mergeCell ref="BF595:BI595"/>
    <mergeCell ref="BJ595:BM595"/>
    <mergeCell ref="BN595:BV595"/>
    <mergeCell ref="AJ593:AK593"/>
    <mergeCell ref="AL593:AM593"/>
    <mergeCell ref="AN595:AO595"/>
    <mergeCell ref="AP595:AQ595"/>
    <mergeCell ref="AR595:AS595"/>
    <mergeCell ref="AT595:AU595"/>
    <mergeCell ref="AV595:AW595"/>
    <mergeCell ref="R595:S595"/>
    <mergeCell ref="T595:U595"/>
    <mergeCell ref="V595:W595"/>
    <mergeCell ref="X595:AA595"/>
    <mergeCell ref="AB595:AE595"/>
    <mergeCell ref="AF595:AG595"/>
    <mergeCell ref="AH595:AI595"/>
    <mergeCell ref="B593:C593"/>
    <mergeCell ref="D593:E593"/>
    <mergeCell ref="F593:G593"/>
    <mergeCell ref="H593:I593"/>
    <mergeCell ref="J593:K593"/>
    <mergeCell ref="L593:M593"/>
    <mergeCell ref="P593:Q593"/>
    <mergeCell ref="AX593:AZ593"/>
    <mergeCell ref="BA593:BB593"/>
    <mergeCell ref="BD593:BE593"/>
    <mergeCell ref="BF593:BI593"/>
    <mergeCell ref="BJ593:BM593"/>
    <mergeCell ref="BN593:BV593"/>
    <mergeCell ref="AN593:AO593"/>
    <mergeCell ref="AP593:AQ593"/>
    <mergeCell ref="AR593:AS593"/>
    <mergeCell ref="AT593:AU593"/>
    <mergeCell ref="AV593:AW593"/>
    <mergeCell ref="BJ619:BM619"/>
    <mergeCell ref="BN619:BV619"/>
    <mergeCell ref="R619:S619"/>
    <mergeCell ref="T619:U619"/>
    <mergeCell ref="V619:W619"/>
    <mergeCell ref="X619:AA619"/>
    <mergeCell ref="AB619:AE619"/>
    <mergeCell ref="AF619:AG619"/>
    <mergeCell ref="AH619:AI619"/>
    <mergeCell ref="R593:S593"/>
    <mergeCell ref="T593:U593"/>
    <mergeCell ref="V593:W593"/>
    <mergeCell ref="X593:AA593"/>
    <mergeCell ref="AB593:AE593"/>
    <mergeCell ref="AF593:AG593"/>
    <mergeCell ref="AH593:AI593"/>
    <mergeCell ref="V594:W594"/>
    <mergeCell ref="X594:AA594"/>
    <mergeCell ref="AB594:AE594"/>
    <mergeCell ref="AF594:AG594"/>
    <mergeCell ref="AH594:AI594"/>
    <mergeCell ref="AJ594:AK594"/>
    <mergeCell ref="AL594:AM594"/>
    <mergeCell ref="BD594:BE594"/>
    <mergeCell ref="BF594:BI594"/>
    <mergeCell ref="BJ594:BM594"/>
    <mergeCell ref="BN594:BV594"/>
    <mergeCell ref="AN594:AO594"/>
    <mergeCell ref="AP594:AQ594"/>
    <mergeCell ref="AR594:AS594"/>
    <mergeCell ref="AT594:AU594"/>
    <mergeCell ref="AV594:AW594"/>
    <mergeCell ref="AX594:AZ594"/>
    <mergeCell ref="BA594:BB594"/>
    <mergeCell ref="V596:W596"/>
    <mergeCell ref="X596:AA596"/>
    <mergeCell ref="AB596:AE596"/>
    <mergeCell ref="AF596:AG596"/>
    <mergeCell ref="AH596:AI596"/>
    <mergeCell ref="AJ596:AK596"/>
    <mergeCell ref="AL596:AM596"/>
    <mergeCell ref="BD596:BE596"/>
    <mergeCell ref="BF596:BI596"/>
    <mergeCell ref="BJ596:BM596"/>
    <mergeCell ref="BN596:BV596"/>
    <mergeCell ref="AN596:AO596"/>
    <mergeCell ref="AP596:AQ596"/>
    <mergeCell ref="AR596:AS596"/>
    <mergeCell ref="AT596:AU596"/>
    <mergeCell ref="AV596:AW596"/>
    <mergeCell ref="AX596:AZ596"/>
    <mergeCell ref="BA596:BB596"/>
    <mergeCell ref="V598:W598"/>
    <mergeCell ref="X598:AA598"/>
    <mergeCell ref="AB598:AE598"/>
    <mergeCell ref="AF598:AG598"/>
    <mergeCell ref="AH598:AI598"/>
    <mergeCell ref="AJ598:AK598"/>
    <mergeCell ref="AL598:AM598"/>
    <mergeCell ref="BD598:BE598"/>
    <mergeCell ref="BF598:BI598"/>
    <mergeCell ref="BJ598:BM598"/>
    <mergeCell ref="BD613:BE613"/>
    <mergeCell ref="BF613:BI613"/>
    <mergeCell ref="AX505:AZ505"/>
    <mergeCell ref="BA505:BB505"/>
    <mergeCell ref="R503:S503"/>
    <mergeCell ref="T503:U503"/>
    <mergeCell ref="V503:W503"/>
    <mergeCell ref="X503:AA503"/>
    <mergeCell ref="AB503:AE503"/>
    <mergeCell ref="AF503:AG503"/>
    <mergeCell ref="AH503:AI503"/>
    <mergeCell ref="AX503:AZ503"/>
    <mergeCell ref="BA503:BB503"/>
    <mergeCell ref="BD503:BE503"/>
    <mergeCell ref="BF503:BI503"/>
    <mergeCell ref="BJ503:BM503"/>
    <mergeCell ref="BN503:BV503"/>
    <mergeCell ref="AJ503:AK503"/>
    <mergeCell ref="AL503:AM503"/>
    <mergeCell ref="AN503:AO503"/>
    <mergeCell ref="AP503:AQ503"/>
    <mergeCell ref="AR503:AS503"/>
    <mergeCell ref="AT503:AU503"/>
    <mergeCell ref="AV503:AW503"/>
    <mergeCell ref="B503:C503"/>
    <mergeCell ref="D503:E503"/>
    <mergeCell ref="F503:G503"/>
    <mergeCell ref="H503:I503"/>
    <mergeCell ref="J503:K503"/>
    <mergeCell ref="L503:M503"/>
    <mergeCell ref="P503:Q503"/>
    <mergeCell ref="AX504:AZ504"/>
    <mergeCell ref="BA504:BB504"/>
    <mergeCell ref="BD504:BE504"/>
    <mergeCell ref="BF504:BI504"/>
    <mergeCell ref="BJ504:BM504"/>
    <mergeCell ref="BN504:BV504"/>
    <mergeCell ref="BJ505:BM505"/>
    <mergeCell ref="BN505:BV505"/>
    <mergeCell ref="B505:C505"/>
    <mergeCell ref="D505:E505"/>
    <mergeCell ref="F505:G505"/>
    <mergeCell ref="H505:I505"/>
    <mergeCell ref="J505:K505"/>
    <mergeCell ref="L505:M505"/>
    <mergeCell ref="P505:Q505"/>
    <mergeCell ref="AJ504:AK504"/>
    <mergeCell ref="AL504:AM504"/>
    <mergeCell ref="AN504:AO504"/>
    <mergeCell ref="AP504:AQ504"/>
    <mergeCell ref="AR504:AS504"/>
    <mergeCell ref="AT504:AU504"/>
    <mergeCell ref="AV504:AW504"/>
    <mergeCell ref="B612:C612"/>
    <mergeCell ref="D612:E612"/>
    <mergeCell ref="F612:G612"/>
    <mergeCell ref="H612:I612"/>
    <mergeCell ref="J612:K612"/>
    <mergeCell ref="L612:M612"/>
    <mergeCell ref="P612:Q612"/>
    <mergeCell ref="B613:C613"/>
    <mergeCell ref="D613:E613"/>
    <mergeCell ref="F613:G613"/>
    <mergeCell ref="H613:I613"/>
    <mergeCell ref="J613:K613"/>
    <mergeCell ref="L613:M613"/>
    <mergeCell ref="P613:Q613"/>
    <mergeCell ref="AJ612:AK612"/>
    <mergeCell ref="AL612:AM612"/>
    <mergeCell ref="AN612:AO612"/>
    <mergeCell ref="AP612:AQ612"/>
    <mergeCell ref="AR612:AS612"/>
    <mergeCell ref="AT612:AU612"/>
    <mergeCell ref="AV612:AW612"/>
    <mergeCell ref="BD502:BE502"/>
    <mergeCell ref="BF502:BI502"/>
    <mergeCell ref="AN502:AO502"/>
    <mergeCell ref="AP502:AQ502"/>
    <mergeCell ref="AR502:AS502"/>
    <mergeCell ref="AT502:AU502"/>
    <mergeCell ref="AV502:AW502"/>
    <mergeCell ref="AX502:AZ502"/>
    <mergeCell ref="BA502:BB502"/>
    <mergeCell ref="AJ500:AK500"/>
    <mergeCell ref="AL500:AM500"/>
    <mergeCell ref="R500:S500"/>
    <mergeCell ref="T500:U500"/>
    <mergeCell ref="V500:W500"/>
    <mergeCell ref="X500:AA500"/>
    <mergeCell ref="AB500:AE500"/>
    <mergeCell ref="AF500:AG500"/>
    <mergeCell ref="AH500:AI500"/>
    <mergeCell ref="R501:S501"/>
    <mergeCell ref="T501:U501"/>
    <mergeCell ref="V501:W501"/>
    <mergeCell ref="X501:AA501"/>
    <mergeCell ref="AB501:AE501"/>
    <mergeCell ref="AF501:AG501"/>
    <mergeCell ref="AH501:AI501"/>
    <mergeCell ref="AX501:AZ501"/>
    <mergeCell ref="BA501:BB501"/>
    <mergeCell ref="BD501:BE501"/>
    <mergeCell ref="BF501:BI501"/>
    <mergeCell ref="B501:C501"/>
    <mergeCell ref="D501:E501"/>
    <mergeCell ref="F501:G501"/>
    <mergeCell ref="H501:I501"/>
    <mergeCell ref="J501:K501"/>
    <mergeCell ref="L501:M501"/>
    <mergeCell ref="P501:Q501"/>
    <mergeCell ref="AJ501:AK501"/>
    <mergeCell ref="AL501:AM501"/>
    <mergeCell ref="AN501:AO501"/>
    <mergeCell ref="AP501:AQ501"/>
    <mergeCell ref="AR501:AS501"/>
    <mergeCell ref="AT501:AU501"/>
    <mergeCell ref="AV501:AW501"/>
    <mergeCell ref="AH612:AI612"/>
    <mergeCell ref="AX612:AZ612"/>
    <mergeCell ref="BA612:BB612"/>
    <mergeCell ref="BD612:BE612"/>
    <mergeCell ref="BF612:BI612"/>
    <mergeCell ref="BJ612:BM612"/>
    <mergeCell ref="BN612:BV612"/>
    <mergeCell ref="BJ613:BM613"/>
    <mergeCell ref="BN613:BV613"/>
    <mergeCell ref="R609:S609"/>
    <mergeCell ref="T609:U609"/>
    <mergeCell ref="V609:W609"/>
    <mergeCell ref="X609:AA609"/>
    <mergeCell ref="AB609:AE609"/>
    <mergeCell ref="AF609:AG609"/>
    <mergeCell ref="AH609:AI609"/>
    <mergeCell ref="V610:W610"/>
    <mergeCell ref="X610:AA610"/>
    <mergeCell ref="AB610:AE610"/>
    <mergeCell ref="AF610:AG610"/>
    <mergeCell ref="AH610:AI610"/>
    <mergeCell ref="AJ610:AK610"/>
    <mergeCell ref="AL610:AM610"/>
    <mergeCell ref="BD610:BE610"/>
    <mergeCell ref="BF610:BI610"/>
    <mergeCell ref="BJ610:BM610"/>
    <mergeCell ref="BN610:BV610"/>
    <mergeCell ref="AN610:AO610"/>
    <mergeCell ref="AP610:AQ610"/>
    <mergeCell ref="AR610:AS610"/>
    <mergeCell ref="AT610:AU610"/>
    <mergeCell ref="AV610:AW610"/>
    <mergeCell ref="AX610:AZ610"/>
    <mergeCell ref="BA610:BB610"/>
    <mergeCell ref="AJ613:AK613"/>
    <mergeCell ref="AL613:AM613"/>
    <mergeCell ref="R613:S613"/>
    <mergeCell ref="T613:U613"/>
    <mergeCell ref="V613:W613"/>
    <mergeCell ref="X613:AA613"/>
    <mergeCell ref="AB613:AE613"/>
    <mergeCell ref="AF613:AG613"/>
    <mergeCell ref="AH613:AI613"/>
    <mergeCell ref="B610:C610"/>
    <mergeCell ref="D610:E610"/>
    <mergeCell ref="F610:G610"/>
    <mergeCell ref="H610:I610"/>
    <mergeCell ref="P610:Q610"/>
    <mergeCell ref="R610:S610"/>
    <mergeCell ref="T610:U610"/>
    <mergeCell ref="B611:C611"/>
    <mergeCell ref="D611:E611"/>
    <mergeCell ref="F611:G611"/>
    <mergeCell ref="H611:I611"/>
    <mergeCell ref="J611:K611"/>
    <mergeCell ref="L611:M611"/>
    <mergeCell ref="P611:Q611"/>
    <mergeCell ref="AX611:AZ611"/>
    <mergeCell ref="BA611:BB611"/>
    <mergeCell ref="BD611:BE611"/>
    <mergeCell ref="BF611:BI611"/>
    <mergeCell ref="BJ611:BM611"/>
    <mergeCell ref="BN611:BV611"/>
    <mergeCell ref="AJ609:AK609"/>
    <mergeCell ref="AL609:AM609"/>
    <mergeCell ref="AN611:AO611"/>
    <mergeCell ref="AP611:AQ611"/>
    <mergeCell ref="AR611:AS611"/>
    <mergeCell ref="AT611:AU611"/>
    <mergeCell ref="AV611:AW611"/>
    <mergeCell ref="BJ1073:BM1073"/>
    <mergeCell ref="BN1073:BV1073"/>
    <mergeCell ref="BJ1074:BM1074"/>
    <mergeCell ref="BN1074:BV1074"/>
    <mergeCell ref="B1074:C1074"/>
    <mergeCell ref="D1074:E1074"/>
    <mergeCell ref="F1074:G1074"/>
    <mergeCell ref="H1074:I1074"/>
    <mergeCell ref="J1074:K1074"/>
    <mergeCell ref="L1074:M1074"/>
    <mergeCell ref="P1074:Q1074"/>
    <mergeCell ref="AJ1073:AK1073"/>
    <mergeCell ref="AL1073:AM1073"/>
    <mergeCell ref="AN1073:AO1073"/>
    <mergeCell ref="AP1073:AQ1073"/>
    <mergeCell ref="AR1073:AS1073"/>
    <mergeCell ref="AT1073:AU1073"/>
    <mergeCell ref="AV1073:AW1073"/>
    <mergeCell ref="R1072:S1072"/>
    <mergeCell ref="T1072:U1072"/>
    <mergeCell ref="V1072:W1072"/>
    <mergeCell ref="X1072:AA1072"/>
    <mergeCell ref="AB1072:AE1072"/>
    <mergeCell ref="AF1072:AG1072"/>
    <mergeCell ref="AH1072:AI1072"/>
    <mergeCell ref="AX1072:AZ1072"/>
    <mergeCell ref="BA1072:BB1072"/>
    <mergeCell ref="BD1072:BE1072"/>
    <mergeCell ref="BF1072:BI1072"/>
    <mergeCell ref="BJ1072:BM1072"/>
    <mergeCell ref="BN1072:BV1072"/>
    <mergeCell ref="AJ1072:AK1072"/>
    <mergeCell ref="AL1072:AM1072"/>
    <mergeCell ref="AN1072:AO1072"/>
    <mergeCell ref="AP1072:AQ1072"/>
    <mergeCell ref="AR1072:AS1072"/>
    <mergeCell ref="AT1072:AU1072"/>
    <mergeCell ref="AJ1080:AK1080"/>
    <mergeCell ref="AL1080:AM1080"/>
    <mergeCell ref="BJ1080:BM1080"/>
    <mergeCell ref="BN1080:BV1080"/>
    <mergeCell ref="R1080:S1080"/>
    <mergeCell ref="T1080:U1080"/>
    <mergeCell ref="V1080:W1080"/>
    <mergeCell ref="X1080:AA1080"/>
    <mergeCell ref="AB1080:AE1080"/>
    <mergeCell ref="AF1080:AG1080"/>
    <mergeCell ref="AH1080:AI1080"/>
    <mergeCell ref="B1079:C1079"/>
    <mergeCell ref="D1079:E1079"/>
    <mergeCell ref="F1079:G1079"/>
    <mergeCell ref="H1079:I1079"/>
    <mergeCell ref="J1079:K1079"/>
    <mergeCell ref="L1079:M1079"/>
    <mergeCell ref="P1079:Q1079"/>
    <mergeCell ref="BJ1070:BM1070"/>
    <mergeCell ref="BN1070:BV1070"/>
    <mergeCell ref="B1070:C1070"/>
    <mergeCell ref="D1070:E1070"/>
    <mergeCell ref="F1070:G1070"/>
    <mergeCell ref="H1070:I1070"/>
    <mergeCell ref="J1070:K1070"/>
    <mergeCell ref="L1070:M1070"/>
    <mergeCell ref="P1070:Q1070"/>
    <mergeCell ref="AJ1070:AK1070"/>
    <mergeCell ref="AL1070:AM1070"/>
    <mergeCell ref="AN1070:AO1070"/>
    <mergeCell ref="AP1070:AQ1070"/>
    <mergeCell ref="AR1070:AS1070"/>
    <mergeCell ref="AT1070:AU1070"/>
    <mergeCell ref="AV1070:AW1070"/>
    <mergeCell ref="B1071:C1071"/>
    <mergeCell ref="D1071:E1071"/>
    <mergeCell ref="F1071:G1071"/>
    <mergeCell ref="H1071:I1071"/>
    <mergeCell ref="J1071:K1071"/>
    <mergeCell ref="L1071:M1071"/>
    <mergeCell ref="P1071:Q1071"/>
    <mergeCell ref="R1073:S1073"/>
    <mergeCell ref="T1073:U1073"/>
    <mergeCell ref="V1073:W1073"/>
    <mergeCell ref="X1073:AA1073"/>
    <mergeCell ref="AB1073:AE1073"/>
    <mergeCell ref="AF1073:AG1073"/>
    <mergeCell ref="AH1073:AI1073"/>
    <mergeCell ref="B1073:C1073"/>
    <mergeCell ref="D1073:E1073"/>
    <mergeCell ref="F1073:G1073"/>
    <mergeCell ref="H1073:I1073"/>
    <mergeCell ref="J1073:K1073"/>
    <mergeCell ref="L1073:M1073"/>
    <mergeCell ref="P1073:Q1073"/>
    <mergeCell ref="AL1071:AM1071"/>
    <mergeCell ref="BJ1071:BM1071"/>
    <mergeCell ref="BN1071:BV1071"/>
    <mergeCell ref="R1071:S1071"/>
    <mergeCell ref="T1071:U1071"/>
    <mergeCell ref="V1071:W1071"/>
    <mergeCell ref="X1071:AA1071"/>
    <mergeCell ref="AB1071:AE1071"/>
    <mergeCell ref="AF1071:AG1071"/>
    <mergeCell ref="B1072:C1072"/>
    <mergeCell ref="D1072:E1072"/>
    <mergeCell ref="F1072:G1072"/>
    <mergeCell ref="H1072:I1072"/>
    <mergeCell ref="J1072:K1072"/>
    <mergeCell ref="L1072:M1072"/>
    <mergeCell ref="P1072:Q1072"/>
    <mergeCell ref="B1077:C1077"/>
    <mergeCell ref="D1077:E1077"/>
    <mergeCell ref="F1077:G1077"/>
    <mergeCell ref="H1077:I1077"/>
    <mergeCell ref="J1077:K1077"/>
    <mergeCell ref="L1077:M1077"/>
    <mergeCell ref="P1077:Q1077"/>
    <mergeCell ref="B1078:C1078"/>
    <mergeCell ref="D1078:E1078"/>
    <mergeCell ref="F1078:G1078"/>
    <mergeCell ref="H1078:I1078"/>
    <mergeCell ref="J1078:K1078"/>
    <mergeCell ref="L1078:M1078"/>
    <mergeCell ref="P1078:Q1078"/>
    <mergeCell ref="AJ1077:AK1077"/>
    <mergeCell ref="AL1077:AM1077"/>
    <mergeCell ref="AN1077:AO1077"/>
    <mergeCell ref="AP1077:AQ1077"/>
    <mergeCell ref="AR1077:AS1077"/>
    <mergeCell ref="AT1077:AU1077"/>
    <mergeCell ref="AV1077:AW1077"/>
    <mergeCell ref="BD1071:BE1071"/>
    <mergeCell ref="BF1071:BI1071"/>
    <mergeCell ref="AN1071:AO1071"/>
    <mergeCell ref="AP1071:AQ1071"/>
    <mergeCell ref="AR1071:AS1071"/>
    <mergeCell ref="AT1071:AU1071"/>
    <mergeCell ref="AV1071:AW1071"/>
    <mergeCell ref="AX1071:AZ1071"/>
    <mergeCell ref="BA1071:BB1071"/>
    <mergeCell ref="BD1076:BE1076"/>
    <mergeCell ref="BF1076:BI1076"/>
    <mergeCell ref="AN1076:AO1076"/>
    <mergeCell ref="AP1076:AQ1076"/>
    <mergeCell ref="AR1076:AS1076"/>
    <mergeCell ref="AT1076:AU1076"/>
    <mergeCell ref="AV1076:AW1076"/>
    <mergeCell ref="AX1076:AZ1076"/>
    <mergeCell ref="BA1076:BB1076"/>
    <mergeCell ref="AH1071:AI1071"/>
    <mergeCell ref="R1070:S1070"/>
    <mergeCell ref="T1070:U1070"/>
    <mergeCell ref="V1070:W1070"/>
    <mergeCell ref="X1070:AA1070"/>
    <mergeCell ref="AB1070:AE1070"/>
    <mergeCell ref="AF1070:AG1070"/>
    <mergeCell ref="AH1070:AI1070"/>
    <mergeCell ref="AX1070:AZ1070"/>
    <mergeCell ref="BA1070:BB1070"/>
    <mergeCell ref="BD1070:BE1070"/>
    <mergeCell ref="BF1070:BI1070"/>
    <mergeCell ref="BD1074:BE1074"/>
    <mergeCell ref="BF1074:BI1074"/>
    <mergeCell ref="AN1074:AO1074"/>
    <mergeCell ref="AP1074:AQ1074"/>
    <mergeCell ref="AR1074:AS1074"/>
    <mergeCell ref="AT1074:AU1074"/>
    <mergeCell ref="AV1074:AW1074"/>
    <mergeCell ref="AX1074:AZ1074"/>
    <mergeCell ref="BA1074:BB1074"/>
    <mergeCell ref="AX1073:AZ1073"/>
    <mergeCell ref="BA1073:BB1073"/>
    <mergeCell ref="BD1073:BE1073"/>
    <mergeCell ref="BF1073:BI1073"/>
    <mergeCell ref="AJ1071:AK1071"/>
    <mergeCell ref="BD1078:BE1078"/>
    <mergeCell ref="BF1078:BI1078"/>
    <mergeCell ref="AN1078:AO1078"/>
    <mergeCell ref="AP1078:AQ1078"/>
    <mergeCell ref="AR1078:AS1078"/>
    <mergeCell ref="AT1078:AU1078"/>
    <mergeCell ref="AV1078:AW1078"/>
    <mergeCell ref="AX1078:AZ1078"/>
    <mergeCell ref="BA1078:BB1078"/>
    <mergeCell ref="AJ1076:AK1076"/>
    <mergeCell ref="AL1076:AM1076"/>
    <mergeCell ref="R1076:S1076"/>
    <mergeCell ref="T1076:U1076"/>
    <mergeCell ref="V1076:W1076"/>
    <mergeCell ref="X1076:AA1076"/>
    <mergeCell ref="AB1076:AE1076"/>
    <mergeCell ref="AF1076:AG1076"/>
    <mergeCell ref="AH1076:AI1076"/>
    <mergeCell ref="R1077:S1077"/>
    <mergeCell ref="T1077:U1077"/>
    <mergeCell ref="V1077:W1077"/>
    <mergeCell ref="X1077:AA1077"/>
    <mergeCell ref="AB1077:AE1077"/>
    <mergeCell ref="AF1077:AG1077"/>
    <mergeCell ref="AH1077:AI1077"/>
    <mergeCell ref="AX1077:AZ1077"/>
    <mergeCell ref="BA1077:BB1077"/>
    <mergeCell ref="BD1077:BE1077"/>
    <mergeCell ref="BF1077:BI1077"/>
    <mergeCell ref="AV1072:AW1072"/>
    <mergeCell ref="BJ1077:BM1077"/>
    <mergeCell ref="BN1077:BV1077"/>
    <mergeCell ref="BJ1078:BM1078"/>
    <mergeCell ref="BN1078:BV1078"/>
    <mergeCell ref="AJ1074:AK1074"/>
    <mergeCell ref="AL1074:AM1074"/>
    <mergeCell ref="R1074:S1074"/>
    <mergeCell ref="T1074:U1074"/>
    <mergeCell ref="V1074:W1074"/>
    <mergeCell ref="X1074:AA1074"/>
    <mergeCell ref="AB1074:AE1074"/>
    <mergeCell ref="AF1074:AG1074"/>
    <mergeCell ref="AH1074:AI1074"/>
    <mergeCell ref="R1075:S1075"/>
    <mergeCell ref="T1075:U1075"/>
    <mergeCell ref="V1075:W1075"/>
    <mergeCell ref="X1075:AA1075"/>
    <mergeCell ref="AB1075:AE1075"/>
    <mergeCell ref="AF1075:AG1075"/>
    <mergeCell ref="AH1075:AI1075"/>
    <mergeCell ref="AX1075:AZ1075"/>
    <mergeCell ref="BA1075:BB1075"/>
    <mergeCell ref="BD1075:BE1075"/>
    <mergeCell ref="BF1075:BI1075"/>
    <mergeCell ref="BJ1075:BM1075"/>
    <mergeCell ref="BN1075:BV1075"/>
    <mergeCell ref="BJ1076:BM1076"/>
    <mergeCell ref="BN1076:BV1076"/>
    <mergeCell ref="B1075:C1075"/>
    <mergeCell ref="D1075:E1075"/>
    <mergeCell ref="F1075:G1075"/>
    <mergeCell ref="H1075:I1075"/>
    <mergeCell ref="J1075:K1075"/>
    <mergeCell ref="L1075:M1075"/>
    <mergeCell ref="P1075:Q1075"/>
    <mergeCell ref="B1076:C1076"/>
    <mergeCell ref="D1076:E1076"/>
    <mergeCell ref="F1076:G1076"/>
    <mergeCell ref="H1076:I1076"/>
    <mergeCell ref="J1076:K1076"/>
    <mergeCell ref="L1076:M1076"/>
    <mergeCell ref="P1076:Q1076"/>
    <mergeCell ref="AJ1075:AK1075"/>
    <mergeCell ref="AL1075:AM1075"/>
    <mergeCell ref="AN1075:AO1075"/>
    <mergeCell ref="AP1075:AQ1075"/>
    <mergeCell ref="AR1075:AS1075"/>
    <mergeCell ref="AT1075:AU1075"/>
    <mergeCell ref="AV1075:AW1075"/>
    <mergeCell ref="B950:C950"/>
    <mergeCell ref="D950:E950"/>
    <mergeCell ref="F950:G950"/>
    <mergeCell ref="H950:I950"/>
    <mergeCell ref="J950:K950"/>
    <mergeCell ref="L950:M950"/>
    <mergeCell ref="P950:Q950"/>
    <mergeCell ref="AJ949:AK949"/>
    <mergeCell ref="AL949:AM949"/>
    <mergeCell ref="AN949:AO949"/>
    <mergeCell ref="AP949:AQ949"/>
    <mergeCell ref="AR949:AS949"/>
    <mergeCell ref="AT949:AU949"/>
    <mergeCell ref="AV949:AW949"/>
    <mergeCell ref="BD952:BE952"/>
    <mergeCell ref="BF952:BI952"/>
    <mergeCell ref="AN952:AO952"/>
    <mergeCell ref="AP952:AQ952"/>
    <mergeCell ref="AR952:AS952"/>
    <mergeCell ref="AT952:AU952"/>
    <mergeCell ref="AV952:AW952"/>
    <mergeCell ref="AX952:AZ952"/>
    <mergeCell ref="BA952:BB952"/>
    <mergeCell ref="AJ956:AK956"/>
    <mergeCell ref="AL956:AM956"/>
    <mergeCell ref="BJ956:BM956"/>
    <mergeCell ref="BN956:BV956"/>
    <mergeCell ref="R956:S956"/>
    <mergeCell ref="T956:U956"/>
    <mergeCell ref="V956:W956"/>
    <mergeCell ref="X956:AA956"/>
    <mergeCell ref="AB956:AE956"/>
    <mergeCell ref="AF956:AG956"/>
    <mergeCell ref="AH956:AI956"/>
    <mergeCell ref="BD956:BE956"/>
    <mergeCell ref="BF956:BI956"/>
    <mergeCell ref="AN956:AO956"/>
    <mergeCell ref="AP956:AQ956"/>
    <mergeCell ref="AR956:AS956"/>
    <mergeCell ref="AT956:AU956"/>
    <mergeCell ref="AV956:AW956"/>
    <mergeCell ref="AX956:AZ956"/>
    <mergeCell ref="BA956:BB956"/>
    <mergeCell ref="AJ954:AK954"/>
    <mergeCell ref="AL954:AM954"/>
    <mergeCell ref="R954:S954"/>
    <mergeCell ref="T954:U954"/>
    <mergeCell ref="V954:W954"/>
    <mergeCell ref="X954:AA954"/>
    <mergeCell ref="AB954:AE954"/>
    <mergeCell ref="AF954:AG954"/>
    <mergeCell ref="AH954:AI954"/>
    <mergeCell ref="R955:S955"/>
    <mergeCell ref="T955:U955"/>
    <mergeCell ref="V955:W955"/>
    <mergeCell ref="X955:AA955"/>
    <mergeCell ref="AB955:AE955"/>
    <mergeCell ref="AF955:AG955"/>
    <mergeCell ref="AH955:AI955"/>
    <mergeCell ref="AX955:AZ955"/>
    <mergeCell ref="BA955:BB955"/>
    <mergeCell ref="BD955:BE955"/>
    <mergeCell ref="BF955:BI955"/>
    <mergeCell ref="BJ955:BM955"/>
    <mergeCell ref="BJ946:BM946"/>
    <mergeCell ref="BN946:BV946"/>
    <mergeCell ref="B946:C946"/>
    <mergeCell ref="D946:E946"/>
    <mergeCell ref="F946:G946"/>
    <mergeCell ref="H946:I946"/>
    <mergeCell ref="J946:K946"/>
    <mergeCell ref="L946:M946"/>
    <mergeCell ref="P946:Q946"/>
    <mergeCell ref="AJ946:AK946"/>
    <mergeCell ref="AL946:AM946"/>
    <mergeCell ref="AN946:AO946"/>
    <mergeCell ref="AP946:AQ946"/>
    <mergeCell ref="AR946:AS946"/>
    <mergeCell ref="AT946:AU946"/>
    <mergeCell ref="AV946:AW946"/>
    <mergeCell ref="B947:C947"/>
    <mergeCell ref="D947:E947"/>
    <mergeCell ref="F947:G947"/>
    <mergeCell ref="H947:I947"/>
    <mergeCell ref="J947:K947"/>
    <mergeCell ref="L947:M947"/>
    <mergeCell ref="P947:Q947"/>
    <mergeCell ref="R949:S949"/>
    <mergeCell ref="T949:U949"/>
    <mergeCell ref="V949:W949"/>
    <mergeCell ref="X949:AA949"/>
    <mergeCell ref="AB949:AE949"/>
    <mergeCell ref="AF949:AG949"/>
    <mergeCell ref="AH949:AI949"/>
    <mergeCell ref="B949:C949"/>
    <mergeCell ref="D949:E949"/>
    <mergeCell ref="F949:G949"/>
    <mergeCell ref="H949:I949"/>
    <mergeCell ref="J949:K949"/>
    <mergeCell ref="L949:M949"/>
    <mergeCell ref="P949:Q949"/>
    <mergeCell ref="R948:S948"/>
    <mergeCell ref="T948:U948"/>
    <mergeCell ref="V948:W948"/>
    <mergeCell ref="X948:AA948"/>
    <mergeCell ref="AB948:AE948"/>
    <mergeCell ref="AF948:AG948"/>
    <mergeCell ref="AH948:AI948"/>
    <mergeCell ref="AX948:AZ948"/>
    <mergeCell ref="BA948:BB948"/>
    <mergeCell ref="BD948:BE948"/>
    <mergeCell ref="BF948:BI948"/>
    <mergeCell ref="BJ948:BM948"/>
    <mergeCell ref="BN948:BV948"/>
    <mergeCell ref="AJ948:AK948"/>
    <mergeCell ref="AL948:AM948"/>
    <mergeCell ref="AN948:AO948"/>
    <mergeCell ref="AP948:AQ948"/>
    <mergeCell ref="AR948:AS948"/>
    <mergeCell ref="AT948:AU948"/>
    <mergeCell ref="AV948:AW948"/>
    <mergeCell ref="B948:C948"/>
    <mergeCell ref="D948:E948"/>
    <mergeCell ref="F948:G948"/>
    <mergeCell ref="H948:I948"/>
    <mergeCell ref="J948:K948"/>
    <mergeCell ref="L948:M948"/>
    <mergeCell ref="P948:Q948"/>
    <mergeCell ref="D954:E954"/>
    <mergeCell ref="F954:G954"/>
    <mergeCell ref="H954:I954"/>
    <mergeCell ref="J954:K954"/>
    <mergeCell ref="L954:M954"/>
    <mergeCell ref="P954:Q954"/>
    <mergeCell ref="AJ953:AK953"/>
    <mergeCell ref="AL953:AM953"/>
    <mergeCell ref="AN953:AO953"/>
    <mergeCell ref="AP953:AQ953"/>
    <mergeCell ref="AR953:AS953"/>
    <mergeCell ref="AT953:AU953"/>
    <mergeCell ref="AV953:AW953"/>
    <mergeCell ref="BD947:BE947"/>
    <mergeCell ref="BF947:BI947"/>
    <mergeCell ref="AN947:AO947"/>
    <mergeCell ref="AP947:AQ947"/>
    <mergeCell ref="AR947:AS947"/>
    <mergeCell ref="AT947:AU947"/>
    <mergeCell ref="AV947:AW947"/>
    <mergeCell ref="AX947:AZ947"/>
    <mergeCell ref="BA947:BB947"/>
    <mergeCell ref="AJ945:AK945"/>
    <mergeCell ref="AL945:AM945"/>
    <mergeCell ref="R945:S945"/>
    <mergeCell ref="T945:U945"/>
    <mergeCell ref="V945:W945"/>
    <mergeCell ref="X945:AA945"/>
    <mergeCell ref="AB945:AE945"/>
    <mergeCell ref="AF945:AG945"/>
    <mergeCell ref="AH945:AI945"/>
    <mergeCell ref="R946:S946"/>
    <mergeCell ref="T946:U946"/>
    <mergeCell ref="V946:W946"/>
    <mergeCell ref="X946:AA946"/>
    <mergeCell ref="AB946:AE946"/>
    <mergeCell ref="AF946:AG946"/>
    <mergeCell ref="AH946:AI946"/>
    <mergeCell ref="AX946:AZ946"/>
    <mergeCell ref="BA946:BB946"/>
    <mergeCell ref="BD946:BE946"/>
    <mergeCell ref="BF946:BI946"/>
    <mergeCell ref="BD950:BE950"/>
    <mergeCell ref="BF950:BI950"/>
    <mergeCell ref="AN950:AO950"/>
    <mergeCell ref="AP950:AQ950"/>
    <mergeCell ref="AR950:AS950"/>
    <mergeCell ref="AT950:AU950"/>
    <mergeCell ref="AV950:AW950"/>
    <mergeCell ref="AX950:AZ950"/>
    <mergeCell ref="BA950:BB950"/>
    <mergeCell ref="AX949:AZ949"/>
    <mergeCell ref="BA949:BB949"/>
    <mergeCell ref="BD949:BE949"/>
    <mergeCell ref="BF949:BI949"/>
    <mergeCell ref="AJ947:AK947"/>
    <mergeCell ref="AL947:AM947"/>
    <mergeCell ref="BJ952:BM952"/>
    <mergeCell ref="BN952:BV952"/>
    <mergeCell ref="B951:C951"/>
    <mergeCell ref="D951:E951"/>
    <mergeCell ref="F951:G951"/>
    <mergeCell ref="H951:I951"/>
    <mergeCell ref="J951:K951"/>
    <mergeCell ref="L951:M951"/>
    <mergeCell ref="P951:Q951"/>
    <mergeCell ref="B952:C952"/>
    <mergeCell ref="D952:E952"/>
    <mergeCell ref="F952:G952"/>
    <mergeCell ref="H952:I952"/>
    <mergeCell ref="J952:K952"/>
    <mergeCell ref="L952:M952"/>
    <mergeCell ref="P952:Q952"/>
    <mergeCell ref="AJ951:AK951"/>
    <mergeCell ref="AL951:AM951"/>
    <mergeCell ref="AN951:AO951"/>
    <mergeCell ref="AP951:AQ951"/>
    <mergeCell ref="AR951:AS951"/>
    <mergeCell ref="AT951:AU951"/>
    <mergeCell ref="AV951:AW951"/>
    <mergeCell ref="BD954:BE954"/>
    <mergeCell ref="BF954:BI954"/>
    <mergeCell ref="AN954:AO954"/>
    <mergeCell ref="AP954:AQ954"/>
    <mergeCell ref="AR954:AS954"/>
    <mergeCell ref="AT954:AU954"/>
    <mergeCell ref="AV954:AW954"/>
    <mergeCell ref="AX954:AZ954"/>
    <mergeCell ref="BA954:BB954"/>
    <mergeCell ref="AJ952:AK952"/>
    <mergeCell ref="AL952:AM952"/>
    <mergeCell ref="R952:S952"/>
    <mergeCell ref="T952:U952"/>
    <mergeCell ref="V952:W952"/>
    <mergeCell ref="X952:AA952"/>
    <mergeCell ref="AB952:AE952"/>
    <mergeCell ref="AF952:AG952"/>
    <mergeCell ref="AH952:AI952"/>
    <mergeCell ref="R953:S953"/>
    <mergeCell ref="T953:U953"/>
    <mergeCell ref="V953:W953"/>
    <mergeCell ref="X953:AA953"/>
    <mergeCell ref="AB953:AE953"/>
    <mergeCell ref="AF953:AG953"/>
    <mergeCell ref="AH953:AI953"/>
    <mergeCell ref="AX953:AZ953"/>
    <mergeCell ref="BA953:BB953"/>
    <mergeCell ref="BD953:BE953"/>
    <mergeCell ref="BF953:BI953"/>
    <mergeCell ref="BJ953:BM953"/>
    <mergeCell ref="BN953:BV953"/>
    <mergeCell ref="BJ954:BM954"/>
    <mergeCell ref="BN954:BV954"/>
    <mergeCell ref="B953:C953"/>
    <mergeCell ref="D953:E953"/>
    <mergeCell ref="F953:G953"/>
    <mergeCell ref="H953:I953"/>
    <mergeCell ref="J953:K953"/>
    <mergeCell ref="L953:M953"/>
    <mergeCell ref="P953:Q953"/>
    <mergeCell ref="B954:C954"/>
    <mergeCell ref="BJ947:BM947"/>
    <mergeCell ref="BN947:BV947"/>
    <mergeCell ref="R947:S947"/>
    <mergeCell ref="T947:U947"/>
    <mergeCell ref="V947:W947"/>
    <mergeCell ref="X947:AA947"/>
    <mergeCell ref="AB947:AE947"/>
    <mergeCell ref="AF947:AG947"/>
    <mergeCell ref="AH947:AI947"/>
    <mergeCell ref="AJ950:AK950"/>
    <mergeCell ref="AL950:AM950"/>
    <mergeCell ref="R950:S950"/>
    <mergeCell ref="T950:U950"/>
    <mergeCell ref="V950:W950"/>
    <mergeCell ref="X950:AA950"/>
    <mergeCell ref="AB950:AE950"/>
    <mergeCell ref="AF950:AG950"/>
    <mergeCell ref="AH950:AI950"/>
    <mergeCell ref="R951:S951"/>
    <mergeCell ref="T951:U951"/>
    <mergeCell ref="V951:W951"/>
    <mergeCell ref="X951:AA951"/>
    <mergeCell ref="AB951:AE951"/>
    <mergeCell ref="AF951:AG951"/>
    <mergeCell ref="AH951:AI951"/>
    <mergeCell ref="AX951:AZ951"/>
    <mergeCell ref="BA951:BB951"/>
    <mergeCell ref="BD951:BE951"/>
    <mergeCell ref="BF951:BI951"/>
    <mergeCell ref="BJ951:BM951"/>
    <mergeCell ref="BN951:BV951"/>
    <mergeCell ref="BJ949:BM949"/>
    <mergeCell ref="BN949:BV949"/>
    <mergeCell ref="BJ950:BM950"/>
    <mergeCell ref="BN950:BV950"/>
    <mergeCell ref="BJ939:BM939"/>
    <mergeCell ref="BN939:BV939"/>
    <mergeCell ref="AJ939:AK939"/>
    <mergeCell ref="AL939:AM939"/>
    <mergeCell ref="AN939:AO939"/>
    <mergeCell ref="AP939:AQ939"/>
    <mergeCell ref="AR939:AS939"/>
    <mergeCell ref="AT939:AU939"/>
    <mergeCell ref="AV939:AW939"/>
    <mergeCell ref="B939:C939"/>
    <mergeCell ref="D939:E939"/>
    <mergeCell ref="F939:G939"/>
    <mergeCell ref="H939:I939"/>
    <mergeCell ref="J939:K939"/>
    <mergeCell ref="L939:M939"/>
    <mergeCell ref="P939:Q939"/>
    <mergeCell ref="AX940:AZ940"/>
    <mergeCell ref="BA940:BB940"/>
    <mergeCell ref="BD940:BE940"/>
    <mergeCell ref="BF940:BI940"/>
    <mergeCell ref="BJ940:BM940"/>
    <mergeCell ref="BN940:BV940"/>
    <mergeCell ref="BJ941:BM941"/>
    <mergeCell ref="BN941:BV941"/>
    <mergeCell ref="B941:C941"/>
    <mergeCell ref="D941:E941"/>
    <mergeCell ref="F941:G941"/>
    <mergeCell ref="H941:I941"/>
    <mergeCell ref="J941:K941"/>
    <mergeCell ref="L941:M941"/>
    <mergeCell ref="P941:Q941"/>
    <mergeCell ref="AJ940:AK940"/>
    <mergeCell ref="AL940:AM940"/>
    <mergeCell ref="AN940:AO940"/>
    <mergeCell ref="AP940:AQ940"/>
    <mergeCell ref="AR940:AS940"/>
    <mergeCell ref="AT940:AU940"/>
    <mergeCell ref="AV940:AW940"/>
    <mergeCell ref="R940:S940"/>
    <mergeCell ref="T940:U940"/>
    <mergeCell ref="V940:W940"/>
    <mergeCell ref="X940:AA940"/>
    <mergeCell ref="AB940:AE940"/>
    <mergeCell ref="AF940:AG940"/>
    <mergeCell ref="AH940:AI940"/>
    <mergeCell ref="B940:C940"/>
    <mergeCell ref="D940:E940"/>
    <mergeCell ref="F940:G940"/>
    <mergeCell ref="H940:I940"/>
    <mergeCell ref="J940:K940"/>
    <mergeCell ref="L940:M940"/>
    <mergeCell ref="P940:Q940"/>
    <mergeCell ref="BD941:BE941"/>
    <mergeCell ref="BF941:BI941"/>
    <mergeCell ref="AN941:AO941"/>
    <mergeCell ref="AP941:AQ941"/>
    <mergeCell ref="AR941:AS941"/>
    <mergeCell ref="AT941:AU941"/>
    <mergeCell ref="AV941:AW941"/>
    <mergeCell ref="AX941:AZ941"/>
    <mergeCell ref="BA941:BB941"/>
    <mergeCell ref="R939:S939"/>
    <mergeCell ref="T939:U939"/>
    <mergeCell ref="V939:W939"/>
    <mergeCell ref="B945:C945"/>
    <mergeCell ref="D945:E945"/>
    <mergeCell ref="F945:G945"/>
    <mergeCell ref="H945:I945"/>
    <mergeCell ref="J945:K945"/>
    <mergeCell ref="L945:M945"/>
    <mergeCell ref="P945:Q945"/>
    <mergeCell ref="AJ944:AK944"/>
    <mergeCell ref="AL944:AM944"/>
    <mergeCell ref="AN944:AO944"/>
    <mergeCell ref="AP944:AQ944"/>
    <mergeCell ref="AR944:AS944"/>
    <mergeCell ref="AT944:AU944"/>
    <mergeCell ref="AV944:AW944"/>
    <mergeCell ref="BD938:BE938"/>
    <mergeCell ref="BF938:BI938"/>
    <mergeCell ref="AN938:AO938"/>
    <mergeCell ref="AP938:AQ938"/>
    <mergeCell ref="AR938:AS938"/>
    <mergeCell ref="AT938:AU938"/>
    <mergeCell ref="AV938:AW938"/>
    <mergeCell ref="AX938:AZ938"/>
    <mergeCell ref="BA938:BB938"/>
    <mergeCell ref="BD945:BE945"/>
    <mergeCell ref="BF945:BI945"/>
    <mergeCell ref="AN945:AO945"/>
    <mergeCell ref="AP945:AQ945"/>
    <mergeCell ref="AR945:AS945"/>
    <mergeCell ref="AT945:AU945"/>
    <mergeCell ref="AV945:AW945"/>
    <mergeCell ref="AX945:AZ945"/>
    <mergeCell ref="BA945:BB945"/>
    <mergeCell ref="AJ943:AK943"/>
    <mergeCell ref="AL943:AM943"/>
    <mergeCell ref="R943:S943"/>
    <mergeCell ref="T943:U943"/>
    <mergeCell ref="V943:W943"/>
    <mergeCell ref="X943:AA943"/>
    <mergeCell ref="AB943:AE943"/>
    <mergeCell ref="AF943:AG943"/>
    <mergeCell ref="AH943:AI943"/>
    <mergeCell ref="R944:S944"/>
    <mergeCell ref="T944:U944"/>
    <mergeCell ref="V944:W944"/>
    <mergeCell ref="X944:AA944"/>
    <mergeCell ref="AB944:AE944"/>
    <mergeCell ref="AF944:AG944"/>
    <mergeCell ref="AH944:AI944"/>
    <mergeCell ref="AX944:AZ944"/>
    <mergeCell ref="AH937:AI937"/>
    <mergeCell ref="AX937:AZ937"/>
    <mergeCell ref="BA937:BB937"/>
    <mergeCell ref="BD937:BE937"/>
    <mergeCell ref="BF937:BI937"/>
    <mergeCell ref="B937:C937"/>
    <mergeCell ref="D937:E937"/>
    <mergeCell ref="F937:G937"/>
    <mergeCell ref="H937:I937"/>
    <mergeCell ref="J937:K937"/>
    <mergeCell ref="L937:M937"/>
    <mergeCell ref="P937:Q937"/>
    <mergeCell ref="AJ937:AK937"/>
    <mergeCell ref="AL937:AM937"/>
    <mergeCell ref="AN937:AO937"/>
    <mergeCell ref="AP937:AQ937"/>
    <mergeCell ref="AR937:AS937"/>
    <mergeCell ref="AT937:AU937"/>
    <mergeCell ref="AV937:AW937"/>
    <mergeCell ref="BF936:BI936"/>
    <mergeCell ref="AX936:AZ936"/>
    <mergeCell ref="BA936:BB936"/>
    <mergeCell ref="X939:AA939"/>
    <mergeCell ref="AB939:AE939"/>
    <mergeCell ref="AF939:AG939"/>
    <mergeCell ref="AH939:AI939"/>
    <mergeCell ref="AX939:AZ939"/>
    <mergeCell ref="BA939:BB939"/>
    <mergeCell ref="BD939:BE939"/>
    <mergeCell ref="BF939:BI939"/>
    <mergeCell ref="B944:C944"/>
    <mergeCell ref="D944:E944"/>
    <mergeCell ref="F944:G944"/>
    <mergeCell ref="H944:I944"/>
    <mergeCell ref="J944:K944"/>
    <mergeCell ref="L944:M944"/>
    <mergeCell ref="P944:Q944"/>
    <mergeCell ref="BA944:BB944"/>
    <mergeCell ref="BD944:BE944"/>
    <mergeCell ref="BF944:BI944"/>
    <mergeCell ref="BJ944:BM944"/>
    <mergeCell ref="BN944:BV944"/>
    <mergeCell ref="BJ945:BM945"/>
    <mergeCell ref="BN945:BV945"/>
    <mergeCell ref="BD943:BE943"/>
    <mergeCell ref="BF943:BI943"/>
    <mergeCell ref="AN943:AO943"/>
    <mergeCell ref="AP943:AQ943"/>
    <mergeCell ref="AR943:AS943"/>
    <mergeCell ref="AT943:AU943"/>
    <mergeCell ref="AV943:AW943"/>
    <mergeCell ref="AX943:AZ943"/>
    <mergeCell ref="BA943:BB943"/>
    <mergeCell ref="AJ941:AK941"/>
    <mergeCell ref="AL941:AM941"/>
    <mergeCell ref="R941:S941"/>
    <mergeCell ref="T941:U941"/>
    <mergeCell ref="V941:W941"/>
    <mergeCell ref="X941:AA941"/>
    <mergeCell ref="AB941:AE941"/>
    <mergeCell ref="AF941:AG941"/>
    <mergeCell ref="AH941:AI941"/>
    <mergeCell ref="R942:S942"/>
    <mergeCell ref="T942:U942"/>
    <mergeCell ref="V942:W942"/>
    <mergeCell ref="X942:AA942"/>
    <mergeCell ref="AB942:AE942"/>
    <mergeCell ref="AF942:AG942"/>
    <mergeCell ref="AH942:AI942"/>
    <mergeCell ref="AX942:AZ942"/>
    <mergeCell ref="BA942:BB942"/>
    <mergeCell ref="BD942:BE942"/>
    <mergeCell ref="BF942:BI942"/>
    <mergeCell ref="BJ942:BM942"/>
    <mergeCell ref="BN942:BV942"/>
    <mergeCell ref="BJ943:BM943"/>
    <mergeCell ref="BN943:BV943"/>
    <mergeCell ref="B942:C942"/>
    <mergeCell ref="D942:E942"/>
    <mergeCell ref="F942:G942"/>
    <mergeCell ref="H942:I942"/>
    <mergeCell ref="J942:K942"/>
    <mergeCell ref="L942:M942"/>
    <mergeCell ref="P942:Q942"/>
    <mergeCell ref="B943:C943"/>
    <mergeCell ref="D943:E943"/>
    <mergeCell ref="F943:G943"/>
    <mergeCell ref="H943:I943"/>
    <mergeCell ref="J943:K943"/>
    <mergeCell ref="L943:M943"/>
    <mergeCell ref="P943:Q943"/>
    <mergeCell ref="AJ942:AK942"/>
    <mergeCell ref="AL942:AM942"/>
    <mergeCell ref="AN942:AO942"/>
    <mergeCell ref="AP942:AQ942"/>
    <mergeCell ref="AR942:AS942"/>
    <mergeCell ref="AT942:AU942"/>
    <mergeCell ref="AV942:AW942"/>
    <mergeCell ref="B932:C932"/>
    <mergeCell ref="D932:E932"/>
    <mergeCell ref="F932:G932"/>
    <mergeCell ref="H932:I932"/>
    <mergeCell ref="J932:K932"/>
    <mergeCell ref="L932:M932"/>
    <mergeCell ref="P932:Q932"/>
    <mergeCell ref="AJ931:AK931"/>
    <mergeCell ref="AL931:AM931"/>
    <mergeCell ref="AN931:AO931"/>
    <mergeCell ref="AP931:AQ931"/>
    <mergeCell ref="AR931:AS931"/>
    <mergeCell ref="AT931:AU931"/>
    <mergeCell ref="AV931:AW931"/>
    <mergeCell ref="L931:M931"/>
    <mergeCell ref="P931:Q931"/>
    <mergeCell ref="AN936:AO936"/>
    <mergeCell ref="AP936:AQ936"/>
    <mergeCell ref="AR936:AS936"/>
    <mergeCell ref="AT936:AU936"/>
    <mergeCell ref="AV936:AW936"/>
    <mergeCell ref="AJ934:AK934"/>
    <mergeCell ref="AL934:AM934"/>
    <mergeCell ref="R934:S934"/>
    <mergeCell ref="T934:U934"/>
    <mergeCell ref="V934:W934"/>
    <mergeCell ref="X934:AA934"/>
    <mergeCell ref="AB934:AE934"/>
    <mergeCell ref="AF934:AG934"/>
    <mergeCell ref="AH934:AI934"/>
    <mergeCell ref="R935:S935"/>
    <mergeCell ref="T935:U935"/>
    <mergeCell ref="V935:W935"/>
    <mergeCell ref="X935:AA935"/>
    <mergeCell ref="AB935:AE935"/>
    <mergeCell ref="AF935:AG935"/>
    <mergeCell ref="AH935:AI935"/>
    <mergeCell ref="AJ936:AK936"/>
    <mergeCell ref="AL936:AM936"/>
    <mergeCell ref="R936:S936"/>
    <mergeCell ref="T936:U936"/>
    <mergeCell ref="V936:W936"/>
    <mergeCell ref="X936:AA936"/>
    <mergeCell ref="AJ938:AK938"/>
    <mergeCell ref="AL938:AM938"/>
    <mergeCell ref="BJ938:BM938"/>
    <mergeCell ref="BN938:BV938"/>
    <mergeCell ref="R938:S938"/>
    <mergeCell ref="T938:U938"/>
    <mergeCell ref="V938:W938"/>
    <mergeCell ref="X938:AA938"/>
    <mergeCell ref="AB938:AE938"/>
    <mergeCell ref="AF938:AG938"/>
    <mergeCell ref="AH938:AI938"/>
    <mergeCell ref="BJ937:BM937"/>
    <mergeCell ref="BN937:BV937"/>
    <mergeCell ref="B938:C938"/>
    <mergeCell ref="D938:E938"/>
    <mergeCell ref="F938:G938"/>
    <mergeCell ref="H938:I938"/>
    <mergeCell ref="J938:K938"/>
    <mergeCell ref="L938:M938"/>
    <mergeCell ref="P938:Q938"/>
    <mergeCell ref="BJ928:BM928"/>
    <mergeCell ref="BN928:BV928"/>
    <mergeCell ref="B928:C928"/>
    <mergeCell ref="D928:E928"/>
    <mergeCell ref="F928:G928"/>
    <mergeCell ref="H928:I928"/>
    <mergeCell ref="J928:K928"/>
    <mergeCell ref="L928:M928"/>
    <mergeCell ref="P928:Q928"/>
    <mergeCell ref="AJ928:AK928"/>
    <mergeCell ref="AL928:AM928"/>
    <mergeCell ref="AN928:AO928"/>
    <mergeCell ref="AP928:AQ928"/>
    <mergeCell ref="AR928:AS928"/>
    <mergeCell ref="AT928:AU928"/>
    <mergeCell ref="AV928:AW928"/>
    <mergeCell ref="B929:C929"/>
    <mergeCell ref="D929:E929"/>
    <mergeCell ref="F929:G929"/>
    <mergeCell ref="H929:I929"/>
    <mergeCell ref="J929:K929"/>
    <mergeCell ref="L929:M929"/>
    <mergeCell ref="P929:Q929"/>
    <mergeCell ref="R931:S931"/>
    <mergeCell ref="T931:U931"/>
    <mergeCell ref="V931:W931"/>
    <mergeCell ref="X931:AA931"/>
    <mergeCell ref="AB931:AE931"/>
    <mergeCell ref="AF931:AG931"/>
    <mergeCell ref="AH931:AI931"/>
    <mergeCell ref="B931:C931"/>
    <mergeCell ref="D931:E931"/>
    <mergeCell ref="F931:G931"/>
    <mergeCell ref="H931:I931"/>
    <mergeCell ref="J931:K931"/>
    <mergeCell ref="AB936:AE936"/>
    <mergeCell ref="AF936:AG936"/>
    <mergeCell ref="AH936:AI936"/>
    <mergeCell ref="R937:S937"/>
    <mergeCell ref="T937:U937"/>
    <mergeCell ref="V937:W937"/>
    <mergeCell ref="X937:AA937"/>
    <mergeCell ref="AB937:AE937"/>
    <mergeCell ref="AF937:AG937"/>
    <mergeCell ref="B930:C930"/>
    <mergeCell ref="D930:E930"/>
    <mergeCell ref="F930:G930"/>
    <mergeCell ref="H930:I930"/>
    <mergeCell ref="J930:K930"/>
    <mergeCell ref="L930:M930"/>
    <mergeCell ref="P930:Q930"/>
    <mergeCell ref="D936:E936"/>
    <mergeCell ref="F936:G936"/>
    <mergeCell ref="H936:I936"/>
    <mergeCell ref="J936:K936"/>
    <mergeCell ref="L936:M936"/>
    <mergeCell ref="P936:Q936"/>
    <mergeCell ref="AJ935:AK935"/>
    <mergeCell ref="AL935:AM935"/>
    <mergeCell ref="AN935:AO935"/>
    <mergeCell ref="AP935:AQ935"/>
    <mergeCell ref="AR935:AS935"/>
    <mergeCell ref="AT935:AU935"/>
    <mergeCell ref="AV935:AW935"/>
    <mergeCell ref="BJ934:BM934"/>
    <mergeCell ref="BN934:BV934"/>
    <mergeCell ref="B933:C933"/>
    <mergeCell ref="D933:E933"/>
    <mergeCell ref="F933:G933"/>
    <mergeCell ref="H933:I933"/>
    <mergeCell ref="J933:K933"/>
    <mergeCell ref="L933:M933"/>
    <mergeCell ref="P933:Q933"/>
    <mergeCell ref="B934:C934"/>
    <mergeCell ref="D934:E934"/>
    <mergeCell ref="F934:G934"/>
    <mergeCell ref="H934:I934"/>
    <mergeCell ref="J934:K934"/>
    <mergeCell ref="L934:M934"/>
    <mergeCell ref="P934:Q934"/>
    <mergeCell ref="AJ933:AK933"/>
    <mergeCell ref="AL933:AM933"/>
    <mergeCell ref="AN933:AO933"/>
    <mergeCell ref="AP933:AQ933"/>
    <mergeCell ref="AR933:AS933"/>
    <mergeCell ref="AT933:AU933"/>
    <mergeCell ref="AV933:AW933"/>
    <mergeCell ref="BD936:BE936"/>
    <mergeCell ref="BD934:BE934"/>
    <mergeCell ref="BF934:BI934"/>
    <mergeCell ref="AN934:AO934"/>
    <mergeCell ref="AP934:AQ934"/>
    <mergeCell ref="AR934:AS934"/>
    <mergeCell ref="AT934:AU934"/>
    <mergeCell ref="AV934:AW934"/>
    <mergeCell ref="AX934:AZ934"/>
    <mergeCell ref="BA934:BB934"/>
    <mergeCell ref="R928:S928"/>
    <mergeCell ref="T928:U928"/>
    <mergeCell ref="V928:W928"/>
    <mergeCell ref="X928:AA928"/>
    <mergeCell ref="AB928:AE928"/>
    <mergeCell ref="AF928:AG928"/>
    <mergeCell ref="AH928:AI928"/>
    <mergeCell ref="AX928:AZ928"/>
    <mergeCell ref="BA928:BB928"/>
    <mergeCell ref="BD928:BE928"/>
    <mergeCell ref="BF928:BI928"/>
    <mergeCell ref="BD932:BE932"/>
    <mergeCell ref="BF932:BI932"/>
    <mergeCell ref="AN932:AO932"/>
    <mergeCell ref="AP932:AQ932"/>
    <mergeCell ref="AR932:AS932"/>
    <mergeCell ref="AT932:AU932"/>
    <mergeCell ref="AV932:AW932"/>
    <mergeCell ref="AX932:AZ932"/>
    <mergeCell ref="BA932:BB932"/>
    <mergeCell ref="AX931:AZ931"/>
    <mergeCell ref="BA931:BB931"/>
    <mergeCell ref="BD931:BE931"/>
    <mergeCell ref="BF931:BI931"/>
    <mergeCell ref="R930:S930"/>
    <mergeCell ref="T930:U930"/>
    <mergeCell ref="V930:W930"/>
    <mergeCell ref="X930:AA930"/>
    <mergeCell ref="AB930:AE930"/>
    <mergeCell ref="AF930:AG930"/>
    <mergeCell ref="AH930:AI930"/>
    <mergeCell ref="AX930:AZ930"/>
    <mergeCell ref="BA930:BB930"/>
    <mergeCell ref="BD930:BE930"/>
    <mergeCell ref="BF930:BI930"/>
    <mergeCell ref="AJ930:AK930"/>
    <mergeCell ref="AL930:AM930"/>
    <mergeCell ref="AN930:AO930"/>
    <mergeCell ref="AP930:AQ930"/>
    <mergeCell ref="AR930:AS930"/>
    <mergeCell ref="AT930:AU930"/>
    <mergeCell ref="AV930:AW930"/>
    <mergeCell ref="AX935:AZ935"/>
    <mergeCell ref="BA935:BB935"/>
    <mergeCell ref="BD935:BE935"/>
    <mergeCell ref="BF935:BI935"/>
    <mergeCell ref="BJ935:BM935"/>
    <mergeCell ref="BN935:BV935"/>
    <mergeCell ref="BJ936:BM936"/>
    <mergeCell ref="BN936:BV936"/>
    <mergeCell ref="B935:C935"/>
    <mergeCell ref="D935:E935"/>
    <mergeCell ref="F935:G935"/>
    <mergeCell ref="H935:I935"/>
    <mergeCell ref="J935:K935"/>
    <mergeCell ref="L935:M935"/>
    <mergeCell ref="P935:Q935"/>
    <mergeCell ref="B936:C936"/>
    <mergeCell ref="AJ929:AK929"/>
    <mergeCell ref="AL929:AM929"/>
    <mergeCell ref="BJ929:BM929"/>
    <mergeCell ref="BN929:BV929"/>
    <mergeCell ref="R929:S929"/>
    <mergeCell ref="T929:U929"/>
    <mergeCell ref="V929:W929"/>
    <mergeCell ref="X929:AA929"/>
    <mergeCell ref="AB929:AE929"/>
    <mergeCell ref="AF929:AG929"/>
    <mergeCell ref="AH929:AI929"/>
    <mergeCell ref="AJ932:AK932"/>
    <mergeCell ref="AL932:AM932"/>
    <mergeCell ref="R932:S932"/>
    <mergeCell ref="T932:U932"/>
    <mergeCell ref="V932:W932"/>
    <mergeCell ref="X932:AA932"/>
    <mergeCell ref="AB932:AE932"/>
    <mergeCell ref="AF932:AG932"/>
    <mergeCell ref="AH932:AI932"/>
    <mergeCell ref="R933:S933"/>
    <mergeCell ref="T933:U933"/>
    <mergeCell ref="V933:W933"/>
    <mergeCell ref="X933:AA933"/>
    <mergeCell ref="AB933:AE933"/>
    <mergeCell ref="AF933:AG933"/>
    <mergeCell ref="AH933:AI933"/>
    <mergeCell ref="AX933:AZ933"/>
    <mergeCell ref="BA933:BB933"/>
    <mergeCell ref="BD933:BE933"/>
    <mergeCell ref="BF933:BI933"/>
    <mergeCell ref="BJ933:BM933"/>
    <mergeCell ref="BN933:BV933"/>
    <mergeCell ref="BJ931:BM931"/>
    <mergeCell ref="BN931:BV931"/>
    <mergeCell ref="BJ932:BM932"/>
    <mergeCell ref="BN932:BV932"/>
    <mergeCell ref="BD929:BE929"/>
    <mergeCell ref="BF929:BI929"/>
    <mergeCell ref="AN929:AO929"/>
    <mergeCell ref="AP929:AQ929"/>
    <mergeCell ref="AR929:AS929"/>
    <mergeCell ref="AT929:AU929"/>
    <mergeCell ref="AV929:AW929"/>
    <mergeCell ref="AX929:AZ929"/>
    <mergeCell ref="BA929:BB929"/>
    <mergeCell ref="BJ930:BM930"/>
    <mergeCell ref="BN930:BV930"/>
    <mergeCell ref="BJ921:BM921"/>
    <mergeCell ref="BN921:BV921"/>
    <mergeCell ref="AJ921:AK921"/>
    <mergeCell ref="AL921:AM921"/>
    <mergeCell ref="AN921:AO921"/>
    <mergeCell ref="AP921:AQ921"/>
    <mergeCell ref="AR921:AS921"/>
    <mergeCell ref="AT921:AU921"/>
    <mergeCell ref="AV921:AW921"/>
    <mergeCell ref="B921:C921"/>
    <mergeCell ref="D921:E921"/>
    <mergeCell ref="F921:G921"/>
    <mergeCell ref="H921:I921"/>
    <mergeCell ref="J921:K921"/>
    <mergeCell ref="L921:M921"/>
    <mergeCell ref="P921:Q921"/>
    <mergeCell ref="AX922:AZ922"/>
    <mergeCell ref="BA922:BB922"/>
    <mergeCell ref="BD922:BE922"/>
    <mergeCell ref="BF922:BI922"/>
    <mergeCell ref="BJ922:BM922"/>
    <mergeCell ref="BN922:BV922"/>
    <mergeCell ref="BJ923:BM923"/>
    <mergeCell ref="BN923:BV923"/>
    <mergeCell ref="B923:C923"/>
    <mergeCell ref="D923:E923"/>
    <mergeCell ref="F923:G923"/>
    <mergeCell ref="H923:I923"/>
    <mergeCell ref="J923:K923"/>
    <mergeCell ref="L923:M923"/>
    <mergeCell ref="P923:Q923"/>
    <mergeCell ref="AJ922:AK922"/>
    <mergeCell ref="AL922:AM922"/>
    <mergeCell ref="AN922:AO922"/>
    <mergeCell ref="AP922:AQ922"/>
    <mergeCell ref="AR922:AS922"/>
    <mergeCell ref="AT922:AU922"/>
    <mergeCell ref="AV922:AW922"/>
    <mergeCell ref="R922:S922"/>
    <mergeCell ref="T922:U922"/>
    <mergeCell ref="V922:W922"/>
    <mergeCell ref="X922:AA922"/>
    <mergeCell ref="AB922:AE922"/>
    <mergeCell ref="AF922:AG922"/>
    <mergeCell ref="AH922:AI922"/>
    <mergeCell ref="B922:C922"/>
    <mergeCell ref="D922:E922"/>
    <mergeCell ref="F922:G922"/>
    <mergeCell ref="H922:I922"/>
    <mergeCell ref="J922:K922"/>
    <mergeCell ref="L922:M922"/>
    <mergeCell ref="P922:Q922"/>
    <mergeCell ref="BD923:BE923"/>
    <mergeCell ref="BF923:BI923"/>
    <mergeCell ref="AN923:AO923"/>
    <mergeCell ref="AP923:AQ923"/>
    <mergeCell ref="AR923:AS923"/>
    <mergeCell ref="AT923:AU923"/>
    <mergeCell ref="AV923:AW923"/>
    <mergeCell ref="AX923:AZ923"/>
    <mergeCell ref="BA923:BB923"/>
    <mergeCell ref="R921:S921"/>
    <mergeCell ref="T921:U921"/>
    <mergeCell ref="V921:W921"/>
    <mergeCell ref="B926:C926"/>
    <mergeCell ref="D926:E926"/>
    <mergeCell ref="F926:G926"/>
    <mergeCell ref="H926:I926"/>
    <mergeCell ref="J926:K926"/>
    <mergeCell ref="L926:M926"/>
    <mergeCell ref="P926:Q926"/>
    <mergeCell ref="B927:C927"/>
    <mergeCell ref="D927:E927"/>
    <mergeCell ref="F927:G927"/>
    <mergeCell ref="H927:I927"/>
    <mergeCell ref="J927:K927"/>
    <mergeCell ref="L927:M927"/>
    <mergeCell ref="P927:Q927"/>
    <mergeCell ref="AJ926:AK926"/>
    <mergeCell ref="AL926:AM926"/>
    <mergeCell ref="AN926:AO926"/>
    <mergeCell ref="AP926:AQ926"/>
    <mergeCell ref="AR926:AS926"/>
    <mergeCell ref="AT926:AU926"/>
    <mergeCell ref="AV926:AW926"/>
    <mergeCell ref="BD920:BE920"/>
    <mergeCell ref="BF920:BI920"/>
    <mergeCell ref="AN920:AO920"/>
    <mergeCell ref="AP920:AQ920"/>
    <mergeCell ref="AR920:AS920"/>
    <mergeCell ref="AT920:AU920"/>
    <mergeCell ref="AV920:AW920"/>
    <mergeCell ref="AX920:AZ920"/>
    <mergeCell ref="BA920:BB920"/>
    <mergeCell ref="BD927:BE927"/>
    <mergeCell ref="BF927:BI927"/>
    <mergeCell ref="AN927:AO927"/>
    <mergeCell ref="AP927:AQ927"/>
    <mergeCell ref="AR927:AS927"/>
    <mergeCell ref="AT927:AU927"/>
    <mergeCell ref="AV927:AW927"/>
    <mergeCell ref="AX927:AZ927"/>
    <mergeCell ref="BA927:BB927"/>
    <mergeCell ref="AJ925:AK925"/>
    <mergeCell ref="AL925:AM925"/>
    <mergeCell ref="R925:S925"/>
    <mergeCell ref="T925:U925"/>
    <mergeCell ref="V925:W925"/>
    <mergeCell ref="X925:AA925"/>
    <mergeCell ref="AB925:AE925"/>
    <mergeCell ref="AF925:AG925"/>
    <mergeCell ref="AH925:AI925"/>
    <mergeCell ref="R926:S926"/>
    <mergeCell ref="T926:U926"/>
    <mergeCell ref="V926:W926"/>
    <mergeCell ref="X926:AA926"/>
    <mergeCell ref="AB926:AE926"/>
    <mergeCell ref="AF926:AG926"/>
    <mergeCell ref="AH926:AI926"/>
    <mergeCell ref="AX926:AZ926"/>
    <mergeCell ref="AJ927:AK927"/>
    <mergeCell ref="AL927:AM927"/>
    <mergeCell ref="R927:S927"/>
    <mergeCell ref="T927:U927"/>
    <mergeCell ref="V927:W927"/>
    <mergeCell ref="X927:AA927"/>
    <mergeCell ref="AB927:AE927"/>
    <mergeCell ref="AF927:AG927"/>
    <mergeCell ref="R919:S919"/>
    <mergeCell ref="T919:U919"/>
    <mergeCell ref="V919:W919"/>
    <mergeCell ref="X919:AA919"/>
    <mergeCell ref="AB919:AE919"/>
    <mergeCell ref="AF919:AG919"/>
    <mergeCell ref="AH919:AI919"/>
    <mergeCell ref="AX919:AZ919"/>
    <mergeCell ref="BA919:BB919"/>
    <mergeCell ref="BD919:BE919"/>
    <mergeCell ref="BF919:BI919"/>
    <mergeCell ref="B919:C919"/>
    <mergeCell ref="D919:E919"/>
    <mergeCell ref="F919:G919"/>
    <mergeCell ref="H919:I919"/>
    <mergeCell ref="J919:K919"/>
    <mergeCell ref="L919:M919"/>
    <mergeCell ref="P919:Q919"/>
    <mergeCell ref="AJ919:AK919"/>
    <mergeCell ref="AL919:AM919"/>
    <mergeCell ref="AN919:AO919"/>
    <mergeCell ref="AP919:AQ919"/>
    <mergeCell ref="AR919:AS919"/>
    <mergeCell ref="AT919:AU919"/>
    <mergeCell ref="AV919:AW919"/>
    <mergeCell ref="X921:AA921"/>
    <mergeCell ref="AB921:AE921"/>
    <mergeCell ref="AF921:AG921"/>
    <mergeCell ref="AH921:AI921"/>
    <mergeCell ref="AX921:AZ921"/>
    <mergeCell ref="BA921:BB921"/>
    <mergeCell ref="BD921:BE921"/>
    <mergeCell ref="BF921:BI921"/>
    <mergeCell ref="BA926:BB926"/>
    <mergeCell ref="BD926:BE926"/>
    <mergeCell ref="BF926:BI926"/>
    <mergeCell ref="BJ926:BM926"/>
    <mergeCell ref="BN926:BV926"/>
    <mergeCell ref="BJ927:BM927"/>
    <mergeCell ref="BN927:BV927"/>
    <mergeCell ref="BD925:BE925"/>
    <mergeCell ref="BF925:BI925"/>
    <mergeCell ref="AN925:AO925"/>
    <mergeCell ref="AP925:AQ925"/>
    <mergeCell ref="AR925:AS925"/>
    <mergeCell ref="AT925:AU925"/>
    <mergeCell ref="AV925:AW925"/>
    <mergeCell ref="AX925:AZ925"/>
    <mergeCell ref="BA925:BB925"/>
    <mergeCell ref="AJ923:AK923"/>
    <mergeCell ref="AL923:AM923"/>
    <mergeCell ref="R923:S923"/>
    <mergeCell ref="T923:U923"/>
    <mergeCell ref="V923:W923"/>
    <mergeCell ref="X923:AA923"/>
    <mergeCell ref="AB923:AE923"/>
    <mergeCell ref="AF923:AG923"/>
    <mergeCell ref="AH923:AI923"/>
    <mergeCell ref="R924:S924"/>
    <mergeCell ref="T924:U924"/>
    <mergeCell ref="V924:W924"/>
    <mergeCell ref="X924:AA924"/>
    <mergeCell ref="AB924:AE924"/>
    <mergeCell ref="AF924:AG924"/>
    <mergeCell ref="AH924:AI924"/>
    <mergeCell ref="AX924:AZ924"/>
    <mergeCell ref="BA924:BB924"/>
    <mergeCell ref="BD924:BE924"/>
    <mergeCell ref="BF924:BI924"/>
    <mergeCell ref="BJ924:BM924"/>
    <mergeCell ref="BN924:BV924"/>
    <mergeCell ref="BJ925:BM925"/>
    <mergeCell ref="BN925:BV925"/>
    <mergeCell ref="AH927:AI927"/>
    <mergeCell ref="B924:C924"/>
    <mergeCell ref="D924:E924"/>
    <mergeCell ref="F924:G924"/>
    <mergeCell ref="H924:I924"/>
    <mergeCell ref="J924:K924"/>
    <mergeCell ref="L924:M924"/>
    <mergeCell ref="P924:Q924"/>
    <mergeCell ref="B925:C925"/>
    <mergeCell ref="D925:E925"/>
    <mergeCell ref="F925:G925"/>
    <mergeCell ref="H925:I925"/>
    <mergeCell ref="J925:K925"/>
    <mergeCell ref="L925:M925"/>
    <mergeCell ref="P925:Q925"/>
    <mergeCell ref="AJ924:AK924"/>
    <mergeCell ref="AL924:AM924"/>
    <mergeCell ref="AN924:AO924"/>
    <mergeCell ref="AP924:AQ924"/>
    <mergeCell ref="AR924:AS924"/>
    <mergeCell ref="AT924:AU924"/>
    <mergeCell ref="AV924:AW924"/>
    <mergeCell ref="BJ913:BM913"/>
    <mergeCell ref="BN913:BV913"/>
    <mergeCell ref="BJ914:BM914"/>
    <mergeCell ref="BN914:BV914"/>
    <mergeCell ref="B914:C914"/>
    <mergeCell ref="D914:E914"/>
    <mergeCell ref="F914:G914"/>
    <mergeCell ref="H914:I914"/>
    <mergeCell ref="J914:K914"/>
    <mergeCell ref="L914:M914"/>
    <mergeCell ref="P914:Q914"/>
    <mergeCell ref="AJ913:AK913"/>
    <mergeCell ref="AL913:AM913"/>
    <mergeCell ref="AN913:AO913"/>
    <mergeCell ref="AP913:AQ913"/>
    <mergeCell ref="AR913:AS913"/>
    <mergeCell ref="AT913:AU913"/>
    <mergeCell ref="AV913:AW913"/>
    <mergeCell ref="BD916:BE916"/>
    <mergeCell ref="BF916:BI916"/>
    <mergeCell ref="AN916:AO916"/>
    <mergeCell ref="AP916:AQ916"/>
    <mergeCell ref="AR916:AS916"/>
    <mergeCell ref="AT916:AU916"/>
    <mergeCell ref="AV916:AW916"/>
    <mergeCell ref="AX916:AZ916"/>
    <mergeCell ref="BA916:BB916"/>
    <mergeCell ref="AJ920:AK920"/>
    <mergeCell ref="AL920:AM920"/>
    <mergeCell ref="BJ920:BM920"/>
    <mergeCell ref="BN920:BV920"/>
    <mergeCell ref="R920:S920"/>
    <mergeCell ref="T920:U920"/>
    <mergeCell ref="V920:W920"/>
    <mergeCell ref="X920:AA920"/>
    <mergeCell ref="AB920:AE920"/>
    <mergeCell ref="AF920:AG920"/>
    <mergeCell ref="AH920:AI920"/>
    <mergeCell ref="BJ919:BM919"/>
    <mergeCell ref="BN919:BV919"/>
    <mergeCell ref="B920:C920"/>
    <mergeCell ref="D920:E920"/>
    <mergeCell ref="F920:G920"/>
    <mergeCell ref="H920:I920"/>
    <mergeCell ref="J920:K920"/>
    <mergeCell ref="L920:M920"/>
    <mergeCell ref="P920:Q920"/>
    <mergeCell ref="BJ910:BM910"/>
    <mergeCell ref="BN910:BV910"/>
    <mergeCell ref="B910:C910"/>
    <mergeCell ref="D910:E910"/>
    <mergeCell ref="F910:G910"/>
    <mergeCell ref="H910:I910"/>
    <mergeCell ref="J910:K910"/>
    <mergeCell ref="L910:M910"/>
    <mergeCell ref="P910:Q910"/>
    <mergeCell ref="AJ910:AK910"/>
    <mergeCell ref="AL910:AM910"/>
    <mergeCell ref="AN910:AO910"/>
    <mergeCell ref="AP910:AQ910"/>
    <mergeCell ref="AR910:AS910"/>
    <mergeCell ref="AT910:AU910"/>
    <mergeCell ref="AV910:AW910"/>
    <mergeCell ref="B911:C911"/>
    <mergeCell ref="D911:E911"/>
    <mergeCell ref="F911:G911"/>
    <mergeCell ref="H911:I911"/>
    <mergeCell ref="J911:K911"/>
    <mergeCell ref="L911:M911"/>
    <mergeCell ref="P911:Q911"/>
    <mergeCell ref="R913:S913"/>
    <mergeCell ref="T913:U913"/>
    <mergeCell ref="V913:W913"/>
    <mergeCell ref="X913:AA913"/>
    <mergeCell ref="AB913:AE913"/>
    <mergeCell ref="AF913:AG913"/>
    <mergeCell ref="AH913:AI913"/>
    <mergeCell ref="B913:C913"/>
    <mergeCell ref="D913:E913"/>
    <mergeCell ref="F913:G913"/>
    <mergeCell ref="H913:I913"/>
    <mergeCell ref="J913:K913"/>
    <mergeCell ref="L913:M913"/>
    <mergeCell ref="P913:Q913"/>
    <mergeCell ref="R912:S912"/>
    <mergeCell ref="T912:U912"/>
    <mergeCell ref="V912:W912"/>
    <mergeCell ref="X912:AA912"/>
    <mergeCell ref="AB912:AE912"/>
    <mergeCell ref="AF912:AG912"/>
    <mergeCell ref="AH912:AI912"/>
    <mergeCell ref="AX912:AZ912"/>
    <mergeCell ref="BA912:BB912"/>
    <mergeCell ref="BD912:BE912"/>
    <mergeCell ref="BF912:BI912"/>
    <mergeCell ref="BJ912:BM912"/>
    <mergeCell ref="BN912:BV912"/>
    <mergeCell ref="AJ912:AK912"/>
    <mergeCell ref="AL912:AM912"/>
    <mergeCell ref="AN912:AO912"/>
    <mergeCell ref="AP912:AQ912"/>
    <mergeCell ref="AR912:AS912"/>
    <mergeCell ref="AT912:AU912"/>
    <mergeCell ref="AV912:AW912"/>
    <mergeCell ref="B912:C912"/>
    <mergeCell ref="D912:E912"/>
    <mergeCell ref="F912:G912"/>
    <mergeCell ref="H912:I912"/>
    <mergeCell ref="J912:K912"/>
    <mergeCell ref="L912:M912"/>
    <mergeCell ref="P912:Q912"/>
    <mergeCell ref="B917:C917"/>
    <mergeCell ref="D917:E917"/>
    <mergeCell ref="F917:G917"/>
    <mergeCell ref="H917:I917"/>
    <mergeCell ref="J917:K917"/>
    <mergeCell ref="L917:M917"/>
    <mergeCell ref="P917:Q917"/>
    <mergeCell ref="B918:C918"/>
    <mergeCell ref="D918:E918"/>
    <mergeCell ref="F918:G918"/>
    <mergeCell ref="H918:I918"/>
    <mergeCell ref="J918:K918"/>
    <mergeCell ref="L918:M918"/>
    <mergeCell ref="P918:Q918"/>
    <mergeCell ref="AJ917:AK917"/>
    <mergeCell ref="AL917:AM917"/>
    <mergeCell ref="AN917:AO917"/>
    <mergeCell ref="AP917:AQ917"/>
    <mergeCell ref="AR917:AS917"/>
    <mergeCell ref="AT917:AU917"/>
    <mergeCell ref="AV917:AW917"/>
    <mergeCell ref="BD911:BE911"/>
    <mergeCell ref="BF911:BI911"/>
    <mergeCell ref="AN911:AO911"/>
    <mergeCell ref="AP911:AQ911"/>
    <mergeCell ref="AR911:AS911"/>
    <mergeCell ref="AT911:AU911"/>
    <mergeCell ref="AV911:AW911"/>
    <mergeCell ref="AX911:AZ911"/>
    <mergeCell ref="BA911:BB911"/>
    <mergeCell ref="BD918:BE918"/>
    <mergeCell ref="BF918:BI918"/>
    <mergeCell ref="AN918:AO918"/>
    <mergeCell ref="AP918:AQ918"/>
    <mergeCell ref="AR918:AS918"/>
    <mergeCell ref="AT918:AU918"/>
    <mergeCell ref="AV918:AW918"/>
    <mergeCell ref="AX918:AZ918"/>
    <mergeCell ref="BA918:BB918"/>
    <mergeCell ref="AJ916:AK916"/>
    <mergeCell ref="AL916:AM916"/>
    <mergeCell ref="R916:S916"/>
    <mergeCell ref="T916:U916"/>
    <mergeCell ref="V916:W916"/>
    <mergeCell ref="X916:AA916"/>
    <mergeCell ref="AB916:AE916"/>
    <mergeCell ref="AF916:AG916"/>
    <mergeCell ref="AH916:AI916"/>
    <mergeCell ref="R917:S917"/>
    <mergeCell ref="T917:U917"/>
    <mergeCell ref="V917:W917"/>
    <mergeCell ref="X917:AA917"/>
    <mergeCell ref="AB917:AE917"/>
    <mergeCell ref="AF917:AG917"/>
    <mergeCell ref="AH917:AI917"/>
    <mergeCell ref="AX917:AZ917"/>
    <mergeCell ref="BA917:BB917"/>
    <mergeCell ref="BD917:BE917"/>
    <mergeCell ref="BF917:BI917"/>
    <mergeCell ref="AJ918:AK918"/>
    <mergeCell ref="AJ909:AK909"/>
    <mergeCell ref="AL909:AM909"/>
    <mergeCell ref="R909:S909"/>
    <mergeCell ref="T909:U909"/>
    <mergeCell ref="V909:W909"/>
    <mergeCell ref="X909:AA909"/>
    <mergeCell ref="AB909:AE909"/>
    <mergeCell ref="AF909:AG909"/>
    <mergeCell ref="AH909:AI909"/>
    <mergeCell ref="R910:S910"/>
    <mergeCell ref="T910:U910"/>
    <mergeCell ref="V910:W910"/>
    <mergeCell ref="X910:AA910"/>
    <mergeCell ref="AB910:AE910"/>
    <mergeCell ref="AF910:AG910"/>
    <mergeCell ref="AH910:AI910"/>
    <mergeCell ref="AX910:AZ910"/>
    <mergeCell ref="BA910:BB910"/>
    <mergeCell ref="BD910:BE910"/>
    <mergeCell ref="BF910:BI910"/>
    <mergeCell ref="BD914:BE914"/>
    <mergeCell ref="BF914:BI914"/>
    <mergeCell ref="AN914:AO914"/>
    <mergeCell ref="AP914:AQ914"/>
    <mergeCell ref="AR914:AS914"/>
    <mergeCell ref="AT914:AU914"/>
    <mergeCell ref="AV914:AW914"/>
    <mergeCell ref="AX914:AZ914"/>
    <mergeCell ref="BA914:BB914"/>
    <mergeCell ref="AX913:AZ913"/>
    <mergeCell ref="BA913:BB913"/>
    <mergeCell ref="BD913:BE913"/>
    <mergeCell ref="BF913:BI913"/>
    <mergeCell ref="AJ911:AK911"/>
    <mergeCell ref="AL911:AM911"/>
    <mergeCell ref="BJ917:BM917"/>
    <mergeCell ref="BN917:BV917"/>
    <mergeCell ref="BJ918:BM918"/>
    <mergeCell ref="BN918:BV918"/>
    <mergeCell ref="AJ914:AK914"/>
    <mergeCell ref="AL914:AM914"/>
    <mergeCell ref="R914:S914"/>
    <mergeCell ref="T914:U914"/>
    <mergeCell ref="V914:W914"/>
    <mergeCell ref="X914:AA914"/>
    <mergeCell ref="AB914:AE914"/>
    <mergeCell ref="AF914:AG914"/>
    <mergeCell ref="AH914:AI914"/>
    <mergeCell ref="R915:S915"/>
    <mergeCell ref="T915:U915"/>
    <mergeCell ref="V915:W915"/>
    <mergeCell ref="X915:AA915"/>
    <mergeCell ref="AB915:AE915"/>
    <mergeCell ref="AF915:AG915"/>
    <mergeCell ref="AH915:AI915"/>
    <mergeCell ref="AX915:AZ915"/>
    <mergeCell ref="BA915:BB915"/>
    <mergeCell ref="BD915:BE915"/>
    <mergeCell ref="BF915:BI915"/>
    <mergeCell ref="BJ915:BM915"/>
    <mergeCell ref="BN915:BV915"/>
    <mergeCell ref="BJ916:BM916"/>
    <mergeCell ref="BN916:BV916"/>
    <mergeCell ref="B915:C915"/>
    <mergeCell ref="D915:E915"/>
    <mergeCell ref="F915:G915"/>
    <mergeCell ref="H915:I915"/>
    <mergeCell ref="J915:K915"/>
    <mergeCell ref="L915:M915"/>
    <mergeCell ref="P915:Q915"/>
    <mergeCell ref="B916:C916"/>
    <mergeCell ref="D916:E916"/>
    <mergeCell ref="F916:G916"/>
    <mergeCell ref="H916:I916"/>
    <mergeCell ref="J916:K916"/>
    <mergeCell ref="L916:M916"/>
    <mergeCell ref="P916:Q916"/>
    <mergeCell ref="AJ915:AK915"/>
    <mergeCell ref="AL915:AM915"/>
    <mergeCell ref="AN915:AO915"/>
    <mergeCell ref="AP915:AQ915"/>
    <mergeCell ref="AR915:AS915"/>
    <mergeCell ref="AT915:AU915"/>
    <mergeCell ref="AV915:AW915"/>
    <mergeCell ref="AL918:AM918"/>
    <mergeCell ref="R918:S918"/>
    <mergeCell ref="T918:U918"/>
    <mergeCell ref="V918:W918"/>
    <mergeCell ref="X918:AA918"/>
    <mergeCell ref="AB918:AE918"/>
    <mergeCell ref="AF918:AG918"/>
    <mergeCell ref="AH918:AI918"/>
    <mergeCell ref="V880:W880"/>
    <mergeCell ref="X880:AA880"/>
    <mergeCell ref="AB880:AE880"/>
    <mergeCell ref="AF880:AG880"/>
    <mergeCell ref="AH880:AI880"/>
    <mergeCell ref="AJ880:AK880"/>
    <mergeCell ref="AL880:AM880"/>
    <mergeCell ref="BD880:BE880"/>
    <mergeCell ref="BF880:BI880"/>
    <mergeCell ref="BJ880:BM880"/>
    <mergeCell ref="BN880:BV880"/>
    <mergeCell ref="AN880:AO880"/>
    <mergeCell ref="AP880:AQ880"/>
    <mergeCell ref="AR880:AS880"/>
    <mergeCell ref="AT880:AU880"/>
    <mergeCell ref="AV880:AW880"/>
    <mergeCell ref="AX880:AZ880"/>
    <mergeCell ref="BA880:BB880"/>
    <mergeCell ref="B880:C880"/>
    <mergeCell ref="D880:E880"/>
    <mergeCell ref="F880:G880"/>
    <mergeCell ref="H880:I880"/>
    <mergeCell ref="P880:Q880"/>
    <mergeCell ref="R880:S880"/>
    <mergeCell ref="T880:U880"/>
    <mergeCell ref="B881:C881"/>
    <mergeCell ref="D881:E881"/>
    <mergeCell ref="F881:G881"/>
    <mergeCell ref="H881:I881"/>
    <mergeCell ref="J881:K881"/>
    <mergeCell ref="L881:M881"/>
    <mergeCell ref="P881:Q881"/>
    <mergeCell ref="AX881:AZ881"/>
    <mergeCell ref="BA881:BB881"/>
    <mergeCell ref="BD881:BE881"/>
    <mergeCell ref="BF881:BI881"/>
    <mergeCell ref="BJ881:BM881"/>
    <mergeCell ref="BN881:BV881"/>
    <mergeCell ref="AN881:AO881"/>
    <mergeCell ref="AP881:AQ881"/>
    <mergeCell ref="AR881:AS881"/>
    <mergeCell ref="AT881:AU881"/>
    <mergeCell ref="AV881:AW881"/>
    <mergeCell ref="V878:W878"/>
    <mergeCell ref="X878:AA878"/>
    <mergeCell ref="AB878:AE878"/>
    <mergeCell ref="AF878:AG878"/>
    <mergeCell ref="AH878:AI878"/>
    <mergeCell ref="AJ878:AK878"/>
    <mergeCell ref="AL878:AM878"/>
    <mergeCell ref="BD878:BE878"/>
    <mergeCell ref="BF878:BI878"/>
    <mergeCell ref="BJ878:BM878"/>
    <mergeCell ref="BN878:BV878"/>
    <mergeCell ref="AN878:AO878"/>
    <mergeCell ref="AP878:AQ878"/>
    <mergeCell ref="AR878:AS878"/>
    <mergeCell ref="AT878:AU878"/>
    <mergeCell ref="AV878:AW878"/>
    <mergeCell ref="AX878:AZ878"/>
    <mergeCell ref="BA878:BB878"/>
    <mergeCell ref="B878:C878"/>
    <mergeCell ref="D878:E878"/>
    <mergeCell ref="F878:G878"/>
    <mergeCell ref="H878:I878"/>
    <mergeCell ref="P878:Q878"/>
    <mergeCell ref="R878:S878"/>
    <mergeCell ref="T878:U878"/>
    <mergeCell ref="B879:C879"/>
    <mergeCell ref="D879:E879"/>
    <mergeCell ref="F879:G879"/>
    <mergeCell ref="H879:I879"/>
    <mergeCell ref="J879:K879"/>
    <mergeCell ref="L879:M879"/>
    <mergeCell ref="P879:Q879"/>
    <mergeCell ref="AX879:AZ879"/>
    <mergeCell ref="BA879:BB879"/>
    <mergeCell ref="BD879:BE879"/>
    <mergeCell ref="BF879:BI879"/>
    <mergeCell ref="BJ879:BM879"/>
    <mergeCell ref="BN879:BV879"/>
    <mergeCell ref="AN879:AO879"/>
    <mergeCell ref="AP879:AQ879"/>
    <mergeCell ref="AR879:AS879"/>
    <mergeCell ref="AT879:AU879"/>
    <mergeCell ref="AV879:AW879"/>
    <mergeCell ref="R879:S879"/>
    <mergeCell ref="T879:U879"/>
    <mergeCell ref="V879:W879"/>
    <mergeCell ref="X879:AA879"/>
    <mergeCell ref="AB879:AE879"/>
    <mergeCell ref="AF879:AG879"/>
    <mergeCell ref="AH879:AI879"/>
    <mergeCell ref="AJ879:AK879"/>
    <mergeCell ref="AL879:AM879"/>
    <mergeCell ref="V876:W876"/>
    <mergeCell ref="X876:AA876"/>
    <mergeCell ref="AB876:AE876"/>
    <mergeCell ref="AF876:AG876"/>
    <mergeCell ref="AH876:AI876"/>
    <mergeCell ref="AJ876:AK876"/>
    <mergeCell ref="AL876:AM876"/>
    <mergeCell ref="BD876:BE876"/>
    <mergeCell ref="BF876:BI876"/>
    <mergeCell ref="BJ876:BM876"/>
    <mergeCell ref="BN876:BV876"/>
    <mergeCell ref="AN876:AO876"/>
    <mergeCell ref="AP876:AQ876"/>
    <mergeCell ref="AR876:AS876"/>
    <mergeCell ref="AT876:AU876"/>
    <mergeCell ref="AV876:AW876"/>
    <mergeCell ref="AX876:AZ876"/>
    <mergeCell ref="BA876:BB876"/>
    <mergeCell ref="B876:C876"/>
    <mergeCell ref="D876:E876"/>
    <mergeCell ref="F876:G876"/>
    <mergeCell ref="H876:I876"/>
    <mergeCell ref="P876:Q876"/>
    <mergeCell ref="R876:S876"/>
    <mergeCell ref="T876:U876"/>
    <mergeCell ref="B877:C877"/>
    <mergeCell ref="D877:E877"/>
    <mergeCell ref="F877:G877"/>
    <mergeCell ref="H877:I877"/>
    <mergeCell ref="J877:K877"/>
    <mergeCell ref="L877:M877"/>
    <mergeCell ref="P877:Q877"/>
    <mergeCell ref="AX877:AZ877"/>
    <mergeCell ref="BA877:BB877"/>
    <mergeCell ref="BD877:BE877"/>
    <mergeCell ref="BF877:BI877"/>
    <mergeCell ref="BJ877:BM877"/>
    <mergeCell ref="BN877:BV877"/>
    <mergeCell ref="AN877:AO877"/>
    <mergeCell ref="AP877:AQ877"/>
    <mergeCell ref="AR877:AS877"/>
    <mergeCell ref="AT877:AU877"/>
    <mergeCell ref="AV877:AW877"/>
    <mergeCell ref="R877:S877"/>
    <mergeCell ref="T877:U877"/>
    <mergeCell ref="V877:W877"/>
    <mergeCell ref="X877:AA877"/>
    <mergeCell ref="AB877:AE877"/>
    <mergeCell ref="AF877:AG877"/>
    <mergeCell ref="AH877:AI877"/>
    <mergeCell ref="AJ877:AK877"/>
    <mergeCell ref="AL877:AM877"/>
    <mergeCell ref="V874:W874"/>
    <mergeCell ref="X874:AA874"/>
    <mergeCell ref="AB874:AE874"/>
    <mergeCell ref="AF874:AG874"/>
    <mergeCell ref="AH874:AI874"/>
    <mergeCell ref="AJ874:AK874"/>
    <mergeCell ref="AL874:AM874"/>
    <mergeCell ref="BD874:BE874"/>
    <mergeCell ref="BF874:BI874"/>
    <mergeCell ref="BJ874:BM874"/>
    <mergeCell ref="BN874:BV874"/>
    <mergeCell ref="AN874:AO874"/>
    <mergeCell ref="AP874:AQ874"/>
    <mergeCell ref="AR874:AS874"/>
    <mergeCell ref="AT874:AU874"/>
    <mergeCell ref="AV874:AW874"/>
    <mergeCell ref="AX874:AZ874"/>
    <mergeCell ref="BA874:BB874"/>
    <mergeCell ref="B874:C874"/>
    <mergeCell ref="D874:E874"/>
    <mergeCell ref="F874:G874"/>
    <mergeCell ref="H874:I874"/>
    <mergeCell ref="P874:Q874"/>
    <mergeCell ref="R874:S874"/>
    <mergeCell ref="T874:U874"/>
    <mergeCell ref="B875:C875"/>
    <mergeCell ref="D875:E875"/>
    <mergeCell ref="F875:G875"/>
    <mergeCell ref="H875:I875"/>
    <mergeCell ref="J875:K875"/>
    <mergeCell ref="L875:M875"/>
    <mergeCell ref="P875:Q875"/>
    <mergeCell ref="AX875:AZ875"/>
    <mergeCell ref="BA875:BB875"/>
    <mergeCell ref="BD875:BE875"/>
    <mergeCell ref="BF875:BI875"/>
    <mergeCell ref="BJ875:BM875"/>
    <mergeCell ref="BN875:BV875"/>
    <mergeCell ref="AN875:AO875"/>
    <mergeCell ref="AP875:AQ875"/>
    <mergeCell ref="AR875:AS875"/>
    <mergeCell ref="AT875:AU875"/>
    <mergeCell ref="AV875:AW875"/>
    <mergeCell ref="R875:S875"/>
    <mergeCell ref="T875:U875"/>
    <mergeCell ref="V875:W875"/>
    <mergeCell ref="X875:AA875"/>
    <mergeCell ref="AB875:AE875"/>
    <mergeCell ref="AF875:AG875"/>
    <mergeCell ref="AH875:AI875"/>
    <mergeCell ref="AJ875:AK875"/>
    <mergeCell ref="AL875:AM875"/>
    <mergeCell ref="V872:W872"/>
    <mergeCell ref="X872:AA872"/>
    <mergeCell ref="AB872:AE872"/>
    <mergeCell ref="AF872:AG872"/>
    <mergeCell ref="AH872:AI872"/>
    <mergeCell ref="AJ872:AK872"/>
    <mergeCell ref="AL872:AM872"/>
    <mergeCell ref="BD872:BE872"/>
    <mergeCell ref="BF872:BI872"/>
    <mergeCell ref="BJ872:BM872"/>
    <mergeCell ref="BN872:BV872"/>
    <mergeCell ref="AN872:AO872"/>
    <mergeCell ref="AP872:AQ872"/>
    <mergeCell ref="AR872:AS872"/>
    <mergeCell ref="AT872:AU872"/>
    <mergeCell ref="AV872:AW872"/>
    <mergeCell ref="AX872:AZ872"/>
    <mergeCell ref="BA872:BB872"/>
    <mergeCell ref="B872:C872"/>
    <mergeCell ref="D872:E872"/>
    <mergeCell ref="F872:G872"/>
    <mergeCell ref="H872:I872"/>
    <mergeCell ref="P872:Q872"/>
    <mergeCell ref="R872:S872"/>
    <mergeCell ref="T872:U872"/>
    <mergeCell ref="B873:C873"/>
    <mergeCell ref="D873:E873"/>
    <mergeCell ref="F873:G873"/>
    <mergeCell ref="H873:I873"/>
    <mergeCell ref="J873:K873"/>
    <mergeCell ref="L873:M873"/>
    <mergeCell ref="P873:Q873"/>
    <mergeCell ref="AX873:AZ873"/>
    <mergeCell ref="BA873:BB873"/>
    <mergeCell ref="BD873:BE873"/>
    <mergeCell ref="BF873:BI873"/>
    <mergeCell ref="BJ873:BM873"/>
    <mergeCell ref="BN873:BV873"/>
    <mergeCell ref="AN873:AO873"/>
    <mergeCell ref="AP873:AQ873"/>
    <mergeCell ref="AR873:AS873"/>
    <mergeCell ref="AT873:AU873"/>
    <mergeCell ref="AV873:AW873"/>
    <mergeCell ref="R873:S873"/>
    <mergeCell ref="T873:U873"/>
    <mergeCell ref="V873:W873"/>
    <mergeCell ref="X873:AA873"/>
    <mergeCell ref="AB873:AE873"/>
    <mergeCell ref="AF873:AG873"/>
    <mergeCell ref="AH873:AI873"/>
    <mergeCell ref="AJ873:AK873"/>
    <mergeCell ref="AL873:AM873"/>
    <mergeCell ref="V870:W870"/>
    <mergeCell ref="X870:AA870"/>
    <mergeCell ref="AB870:AE870"/>
    <mergeCell ref="AF870:AG870"/>
    <mergeCell ref="AH870:AI870"/>
    <mergeCell ref="AJ870:AK870"/>
    <mergeCell ref="AL870:AM870"/>
    <mergeCell ref="BD870:BE870"/>
    <mergeCell ref="BF870:BI870"/>
    <mergeCell ref="BJ870:BM870"/>
    <mergeCell ref="BN870:BV870"/>
    <mergeCell ref="AN870:AO870"/>
    <mergeCell ref="AP870:AQ870"/>
    <mergeCell ref="AR870:AS870"/>
    <mergeCell ref="AT870:AU870"/>
    <mergeCell ref="AV870:AW870"/>
    <mergeCell ref="AX870:AZ870"/>
    <mergeCell ref="BA870:BB870"/>
    <mergeCell ref="B870:C870"/>
    <mergeCell ref="D870:E870"/>
    <mergeCell ref="F870:G870"/>
    <mergeCell ref="H870:I870"/>
    <mergeCell ref="P870:Q870"/>
    <mergeCell ref="R870:S870"/>
    <mergeCell ref="T870:U870"/>
    <mergeCell ref="B871:C871"/>
    <mergeCell ref="D871:E871"/>
    <mergeCell ref="F871:G871"/>
    <mergeCell ref="H871:I871"/>
    <mergeCell ref="J871:K871"/>
    <mergeCell ref="L871:M871"/>
    <mergeCell ref="P871:Q871"/>
    <mergeCell ref="AX871:AZ871"/>
    <mergeCell ref="BA871:BB871"/>
    <mergeCell ref="BD871:BE871"/>
    <mergeCell ref="BF871:BI871"/>
    <mergeCell ref="BJ871:BM871"/>
    <mergeCell ref="BN871:BV871"/>
    <mergeCell ref="AN871:AO871"/>
    <mergeCell ref="AP871:AQ871"/>
    <mergeCell ref="AR871:AS871"/>
    <mergeCell ref="AT871:AU871"/>
    <mergeCell ref="AV871:AW871"/>
    <mergeCell ref="R871:S871"/>
    <mergeCell ref="T871:U871"/>
    <mergeCell ref="V871:W871"/>
    <mergeCell ref="X871:AA871"/>
    <mergeCell ref="AB871:AE871"/>
    <mergeCell ref="AF871:AG871"/>
    <mergeCell ref="AH871:AI871"/>
    <mergeCell ref="AJ871:AK871"/>
    <mergeCell ref="AL871:AM871"/>
    <mergeCell ref="V868:W868"/>
    <mergeCell ref="X868:AA868"/>
    <mergeCell ref="AB868:AE868"/>
    <mergeCell ref="AF868:AG868"/>
    <mergeCell ref="AH868:AI868"/>
    <mergeCell ref="AJ868:AK868"/>
    <mergeCell ref="AL868:AM868"/>
    <mergeCell ref="BD868:BE868"/>
    <mergeCell ref="BF868:BI868"/>
    <mergeCell ref="BJ868:BM868"/>
    <mergeCell ref="BN868:BV868"/>
    <mergeCell ref="AN868:AO868"/>
    <mergeCell ref="AP868:AQ868"/>
    <mergeCell ref="AR868:AS868"/>
    <mergeCell ref="AT868:AU868"/>
    <mergeCell ref="AV868:AW868"/>
    <mergeCell ref="AX868:AZ868"/>
    <mergeCell ref="BA868:BB868"/>
    <mergeCell ref="B868:C868"/>
    <mergeCell ref="D868:E868"/>
    <mergeCell ref="F868:G868"/>
    <mergeCell ref="H868:I868"/>
    <mergeCell ref="P868:Q868"/>
    <mergeCell ref="R868:S868"/>
    <mergeCell ref="T868:U868"/>
    <mergeCell ref="B869:C869"/>
    <mergeCell ref="D869:E869"/>
    <mergeCell ref="F869:G869"/>
    <mergeCell ref="H869:I869"/>
    <mergeCell ref="J869:K869"/>
    <mergeCell ref="L869:M869"/>
    <mergeCell ref="P869:Q869"/>
    <mergeCell ref="AX869:AZ869"/>
    <mergeCell ref="BA869:BB869"/>
    <mergeCell ref="BD869:BE869"/>
    <mergeCell ref="BF869:BI869"/>
    <mergeCell ref="BJ869:BM869"/>
    <mergeCell ref="BN869:BV869"/>
    <mergeCell ref="AN869:AO869"/>
    <mergeCell ref="AP869:AQ869"/>
    <mergeCell ref="AR869:AS869"/>
    <mergeCell ref="AT869:AU869"/>
    <mergeCell ref="AV869:AW869"/>
    <mergeCell ref="R869:S869"/>
    <mergeCell ref="T869:U869"/>
    <mergeCell ref="V869:W869"/>
    <mergeCell ref="X869:AA869"/>
    <mergeCell ref="AB869:AE869"/>
    <mergeCell ref="AF869:AG869"/>
    <mergeCell ref="AH869:AI869"/>
    <mergeCell ref="AJ869:AK869"/>
    <mergeCell ref="AL869:AM869"/>
    <mergeCell ref="V866:W866"/>
    <mergeCell ref="X866:AA866"/>
    <mergeCell ref="AB866:AE866"/>
    <mergeCell ref="AF866:AG866"/>
    <mergeCell ref="AH866:AI866"/>
    <mergeCell ref="AJ866:AK866"/>
    <mergeCell ref="AL866:AM866"/>
    <mergeCell ref="BD866:BE866"/>
    <mergeCell ref="BF866:BI866"/>
    <mergeCell ref="BJ866:BM866"/>
    <mergeCell ref="BN866:BV866"/>
    <mergeCell ref="AN866:AO866"/>
    <mergeCell ref="AP866:AQ866"/>
    <mergeCell ref="AR866:AS866"/>
    <mergeCell ref="AT866:AU866"/>
    <mergeCell ref="AV866:AW866"/>
    <mergeCell ref="AX866:AZ866"/>
    <mergeCell ref="BA866:BB866"/>
    <mergeCell ref="B866:C866"/>
    <mergeCell ref="D866:E866"/>
    <mergeCell ref="F866:G866"/>
    <mergeCell ref="H866:I866"/>
    <mergeCell ref="P866:Q866"/>
    <mergeCell ref="R866:S866"/>
    <mergeCell ref="T866:U866"/>
    <mergeCell ref="B867:C867"/>
    <mergeCell ref="D867:E867"/>
    <mergeCell ref="F867:G867"/>
    <mergeCell ref="H867:I867"/>
    <mergeCell ref="J867:K867"/>
    <mergeCell ref="L867:M867"/>
    <mergeCell ref="P867:Q867"/>
    <mergeCell ref="AX867:AZ867"/>
    <mergeCell ref="BA867:BB867"/>
    <mergeCell ref="BD867:BE867"/>
    <mergeCell ref="BF867:BI867"/>
    <mergeCell ref="BJ867:BM867"/>
    <mergeCell ref="BN867:BV867"/>
    <mergeCell ref="AN867:AO867"/>
    <mergeCell ref="AP867:AQ867"/>
    <mergeCell ref="AR867:AS867"/>
    <mergeCell ref="AT867:AU867"/>
    <mergeCell ref="AV867:AW867"/>
    <mergeCell ref="R867:S867"/>
    <mergeCell ref="T867:U867"/>
    <mergeCell ref="V867:W867"/>
    <mergeCell ref="X867:AA867"/>
    <mergeCell ref="AB867:AE867"/>
    <mergeCell ref="AF867:AG867"/>
    <mergeCell ref="AH867:AI867"/>
    <mergeCell ref="AJ867:AK867"/>
    <mergeCell ref="AL867:AM867"/>
    <mergeCell ref="X864:AA864"/>
    <mergeCell ref="AB864:AE864"/>
    <mergeCell ref="AF864:AG864"/>
    <mergeCell ref="AH864:AI864"/>
    <mergeCell ref="AJ864:AK864"/>
    <mergeCell ref="AL864:AM864"/>
    <mergeCell ref="BD864:BE864"/>
    <mergeCell ref="BF864:BI864"/>
    <mergeCell ref="BJ864:BM864"/>
    <mergeCell ref="BN864:BV864"/>
    <mergeCell ref="AN864:AO864"/>
    <mergeCell ref="AP864:AQ864"/>
    <mergeCell ref="AR864:AS864"/>
    <mergeCell ref="AT864:AU864"/>
    <mergeCell ref="AV864:AW864"/>
    <mergeCell ref="AX864:AZ864"/>
    <mergeCell ref="BA864:BB864"/>
    <mergeCell ref="B864:C864"/>
    <mergeCell ref="D864:E864"/>
    <mergeCell ref="F864:G864"/>
    <mergeCell ref="H864:I864"/>
    <mergeCell ref="P864:Q864"/>
    <mergeCell ref="R864:S864"/>
    <mergeCell ref="T864:U864"/>
    <mergeCell ref="B865:C865"/>
    <mergeCell ref="D865:E865"/>
    <mergeCell ref="F865:G865"/>
    <mergeCell ref="H865:I865"/>
    <mergeCell ref="J865:K865"/>
    <mergeCell ref="L865:M865"/>
    <mergeCell ref="P865:Q865"/>
    <mergeCell ref="AX865:AZ865"/>
    <mergeCell ref="BA865:BB865"/>
    <mergeCell ref="BD865:BE865"/>
    <mergeCell ref="BF865:BI865"/>
    <mergeCell ref="BJ865:BM865"/>
    <mergeCell ref="BN865:BV865"/>
    <mergeCell ref="AN865:AO865"/>
    <mergeCell ref="AP865:AQ865"/>
    <mergeCell ref="AR865:AS865"/>
    <mergeCell ref="AT865:AU865"/>
    <mergeCell ref="AV865:AW865"/>
    <mergeCell ref="R865:S865"/>
    <mergeCell ref="T865:U865"/>
    <mergeCell ref="V865:W865"/>
    <mergeCell ref="X865:AA865"/>
    <mergeCell ref="AB865:AE865"/>
    <mergeCell ref="AF865:AG865"/>
    <mergeCell ref="AH865:AI865"/>
    <mergeCell ref="AJ865:AK865"/>
    <mergeCell ref="AL865:AM865"/>
    <mergeCell ref="BD862:BE862"/>
    <mergeCell ref="BF862:BI862"/>
    <mergeCell ref="BJ862:BM862"/>
    <mergeCell ref="BN862:BV862"/>
    <mergeCell ref="AN862:AO862"/>
    <mergeCell ref="AP862:AQ862"/>
    <mergeCell ref="AR862:AS862"/>
    <mergeCell ref="AT862:AU862"/>
    <mergeCell ref="AV862:AW862"/>
    <mergeCell ref="AX862:AZ862"/>
    <mergeCell ref="BA862:BB862"/>
    <mergeCell ref="B862:C862"/>
    <mergeCell ref="D862:E862"/>
    <mergeCell ref="F862:G862"/>
    <mergeCell ref="H862:I862"/>
    <mergeCell ref="P862:Q862"/>
    <mergeCell ref="R862:S862"/>
    <mergeCell ref="T862:U862"/>
    <mergeCell ref="B863:C863"/>
    <mergeCell ref="D863:E863"/>
    <mergeCell ref="F863:G863"/>
    <mergeCell ref="H863:I863"/>
    <mergeCell ref="J863:K863"/>
    <mergeCell ref="L863:M863"/>
    <mergeCell ref="P863:Q863"/>
    <mergeCell ref="AX863:AZ863"/>
    <mergeCell ref="BA863:BB863"/>
    <mergeCell ref="BD863:BE863"/>
    <mergeCell ref="BF863:BI863"/>
    <mergeCell ref="BJ863:BM863"/>
    <mergeCell ref="BN863:BV863"/>
    <mergeCell ref="AJ861:AK861"/>
    <mergeCell ref="AL861:AM861"/>
    <mergeCell ref="AN863:AO863"/>
    <mergeCell ref="AP863:AQ863"/>
    <mergeCell ref="AR863:AS863"/>
    <mergeCell ref="AT863:AU863"/>
    <mergeCell ref="AV863:AW863"/>
    <mergeCell ref="R863:S863"/>
    <mergeCell ref="T863:U863"/>
    <mergeCell ref="V863:W863"/>
    <mergeCell ref="X863:AA863"/>
    <mergeCell ref="AB863:AE863"/>
    <mergeCell ref="AF863:AG863"/>
    <mergeCell ref="AH863:AI863"/>
    <mergeCell ref="AJ863:AK863"/>
    <mergeCell ref="AL863:AM863"/>
    <mergeCell ref="BD860:BE860"/>
    <mergeCell ref="BF860:BI860"/>
    <mergeCell ref="BJ860:BM860"/>
    <mergeCell ref="BN860:BV860"/>
    <mergeCell ref="AN860:AO860"/>
    <mergeCell ref="AP860:AQ860"/>
    <mergeCell ref="AR860:AS860"/>
    <mergeCell ref="AT860:AU860"/>
    <mergeCell ref="AV860:AW860"/>
    <mergeCell ref="AX860:AZ860"/>
    <mergeCell ref="BA860:BB860"/>
    <mergeCell ref="B860:C860"/>
    <mergeCell ref="D860:E860"/>
    <mergeCell ref="F860:G860"/>
    <mergeCell ref="H860:I860"/>
    <mergeCell ref="P860:Q860"/>
    <mergeCell ref="R860:S860"/>
    <mergeCell ref="T860:U860"/>
    <mergeCell ref="B861:C861"/>
    <mergeCell ref="D861:E861"/>
    <mergeCell ref="F861:G861"/>
    <mergeCell ref="H861:I861"/>
    <mergeCell ref="J861:K861"/>
    <mergeCell ref="L861:M861"/>
    <mergeCell ref="P861:Q861"/>
    <mergeCell ref="AX861:AZ861"/>
    <mergeCell ref="BA861:BB861"/>
    <mergeCell ref="BD861:BE861"/>
    <mergeCell ref="BF861:BI861"/>
    <mergeCell ref="BJ861:BM861"/>
    <mergeCell ref="BN861:BV861"/>
    <mergeCell ref="AJ859:AK859"/>
    <mergeCell ref="AL859:AM859"/>
    <mergeCell ref="AN861:AO861"/>
    <mergeCell ref="AP861:AQ861"/>
    <mergeCell ref="AR861:AS861"/>
    <mergeCell ref="AT861:AU861"/>
    <mergeCell ref="AV861:AW861"/>
    <mergeCell ref="R861:S861"/>
    <mergeCell ref="T861:U861"/>
    <mergeCell ref="V861:W861"/>
    <mergeCell ref="X861:AA861"/>
    <mergeCell ref="AB861:AE861"/>
    <mergeCell ref="AF861:AG861"/>
    <mergeCell ref="AH861:AI861"/>
    <mergeCell ref="BD858:BE858"/>
    <mergeCell ref="BF858:BI858"/>
    <mergeCell ref="BJ858:BM858"/>
    <mergeCell ref="BN858:BV858"/>
    <mergeCell ref="AN858:AO858"/>
    <mergeCell ref="AP858:AQ858"/>
    <mergeCell ref="AR858:AS858"/>
    <mergeCell ref="AT858:AU858"/>
    <mergeCell ref="AV858:AW858"/>
    <mergeCell ref="AX858:AZ858"/>
    <mergeCell ref="BA858:BB858"/>
    <mergeCell ref="B858:C858"/>
    <mergeCell ref="D858:E858"/>
    <mergeCell ref="F858:G858"/>
    <mergeCell ref="H858:I858"/>
    <mergeCell ref="P858:Q858"/>
    <mergeCell ref="R858:S858"/>
    <mergeCell ref="T858:U858"/>
    <mergeCell ref="B859:C859"/>
    <mergeCell ref="D859:E859"/>
    <mergeCell ref="F859:G859"/>
    <mergeCell ref="H859:I859"/>
    <mergeCell ref="J859:K859"/>
    <mergeCell ref="L859:M859"/>
    <mergeCell ref="P859:Q859"/>
    <mergeCell ref="AX859:AZ859"/>
    <mergeCell ref="BA859:BB859"/>
    <mergeCell ref="BD859:BE859"/>
    <mergeCell ref="BF859:BI859"/>
    <mergeCell ref="BJ859:BM859"/>
    <mergeCell ref="BN859:BV859"/>
    <mergeCell ref="AJ857:AK857"/>
    <mergeCell ref="AL857:AM857"/>
    <mergeCell ref="AN859:AO859"/>
    <mergeCell ref="AP859:AQ859"/>
    <mergeCell ref="AR859:AS859"/>
    <mergeCell ref="AT859:AU859"/>
    <mergeCell ref="AV859:AW859"/>
    <mergeCell ref="R859:S859"/>
    <mergeCell ref="T859:U859"/>
    <mergeCell ref="V859:W859"/>
    <mergeCell ref="X859:AA859"/>
    <mergeCell ref="AB859:AE859"/>
    <mergeCell ref="AF859:AG859"/>
    <mergeCell ref="AH859:AI859"/>
    <mergeCell ref="BD856:BE856"/>
    <mergeCell ref="BF856:BI856"/>
    <mergeCell ref="BJ856:BM856"/>
    <mergeCell ref="BN856:BV856"/>
    <mergeCell ref="AN856:AO856"/>
    <mergeCell ref="AP856:AQ856"/>
    <mergeCell ref="AR856:AS856"/>
    <mergeCell ref="AT856:AU856"/>
    <mergeCell ref="AV856:AW856"/>
    <mergeCell ref="AX856:AZ856"/>
    <mergeCell ref="BA856:BB856"/>
    <mergeCell ref="B856:C856"/>
    <mergeCell ref="D856:E856"/>
    <mergeCell ref="F856:G856"/>
    <mergeCell ref="H856:I856"/>
    <mergeCell ref="P856:Q856"/>
    <mergeCell ref="R856:S856"/>
    <mergeCell ref="T856:U856"/>
    <mergeCell ref="B857:C857"/>
    <mergeCell ref="D857:E857"/>
    <mergeCell ref="F857:G857"/>
    <mergeCell ref="H857:I857"/>
    <mergeCell ref="J857:K857"/>
    <mergeCell ref="L857:M857"/>
    <mergeCell ref="P857:Q857"/>
    <mergeCell ref="AX857:AZ857"/>
    <mergeCell ref="BA857:BB857"/>
    <mergeCell ref="BD857:BE857"/>
    <mergeCell ref="BF857:BI857"/>
    <mergeCell ref="BJ857:BM857"/>
    <mergeCell ref="BN857:BV857"/>
    <mergeCell ref="AJ855:AK855"/>
    <mergeCell ref="AL855:AM855"/>
    <mergeCell ref="AN857:AO857"/>
    <mergeCell ref="AP857:AQ857"/>
    <mergeCell ref="AR857:AS857"/>
    <mergeCell ref="AT857:AU857"/>
    <mergeCell ref="AV857:AW857"/>
    <mergeCell ref="R857:S857"/>
    <mergeCell ref="T857:U857"/>
    <mergeCell ref="V857:W857"/>
    <mergeCell ref="X857:AA857"/>
    <mergeCell ref="AB857:AE857"/>
    <mergeCell ref="AF857:AG857"/>
    <mergeCell ref="AH857:AI857"/>
    <mergeCell ref="BD854:BE854"/>
    <mergeCell ref="BF854:BI854"/>
    <mergeCell ref="BJ854:BM854"/>
    <mergeCell ref="BN854:BV854"/>
    <mergeCell ref="AN854:AO854"/>
    <mergeCell ref="AP854:AQ854"/>
    <mergeCell ref="AR854:AS854"/>
    <mergeCell ref="AT854:AU854"/>
    <mergeCell ref="AV854:AW854"/>
    <mergeCell ref="AX854:AZ854"/>
    <mergeCell ref="BA854:BB854"/>
    <mergeCell ref="B854:C854"/>
    <mergeCell ref="D854:E854"/>
    <mergeCell ref="F854:G854"/>
    <mergeCell ref="H854:I854"/>
    <mergeCell ref="P854:Q854"/>
    <mergeCell ref="R854:S854"/>
    <mergeCell ref="T854:U854"/>
    <mergeCell ref="B855:C855"/>
    <mergeCell ref="D855:E855"/>
    <mergeCell ref="F855:G855"/>
    <mergeCell ref="H855:I855"/>
    <mergeCell ref="J855:K855"/>
    <mergeCell ref="L855:M855"/>
    <mergeCell ref="P855:Q855"/>
    <mergeCell ref="AX855:AZ855"/>
    <mergeCell ref="BA855:BB855"/>
    <mergeCell ref="BD855:BE855"/>
    <mergeCell ref="BF855:BI855"/>
    <mergeCell ref="BJ855:BM855"/>
    <mergeCell ref="BN855:BV855"/>
    <mergeCell ref="AJ853:AK853"/>
    <mergeCell ref="AL853:AM853"/>
    <mergeCell ref="AN855:AO855"/>
    <mergeCell ref="AP855:AQ855"/>
    <mergeCell ref="AR855:AS855"/>
    <mergeCell ref="AT855:AU855"/>
    <mergeCell ref="AV855:AW855"/>
    <mergeCell ref="R855:S855"/>
    <mergeCell ref="T855:U855"/>
    <mergeCell ref="V855:W855"/>
    <mergeCell ref="X855:AA855"/>
    <mergeCell ref="AB855:AE855"/>
    <mergeCell ref="AF855:AG855"/>
    <mergeCell ref="AH855:AI855"/>
    <mergeCell ref="B964:C964"/>
    <mergeCell ref="D964:E964"/>
    <mergeCell ref="F964:G964"/>
    <mergeCell ref="H964:I964"/>
    <mergeCell ref="J964:K964"/>
    <mergeCell ref="L964:M964"/>
    <mergeCell ref="P964:Q964"/>
    <mergeCell ref="B965:C965"/>
    <mergeCell ref="D965:E965"/>
    <mergeCell ref="F965:G965"/>
    <mergeCell ref="H965:I965"/>
    <mergeCell ref="J965:K965"/>
    <mergeCell ref="L965:M965"/>
    <mergeCell ref="P965:Q965"/>
    <mergeCell ref="AJ964:AK964"/>
    <mergeCell ref="AL964:AM964"/>
    <mergeCell ref="AN964:AO964"/>
    <mergeCell ref="AP964:AQ964"/>
    <mergeCell ref="AR964:AS964"/>
    <mergeCell ref="AT964:AU964"/>
    <mergeCell ref="AV964:AW964"/>
    <mergeCell ref="R853:S853"/>
    <mergeCell ref="T853:U853"/>
    <mergeCell ref="V853:W853"/>
    <mergeCell ref="X853:AA853"/>
    <mergeCell ref="AB853:AE853"/>
    <mergeCell ref="AF853:AG853"/>
    <mergeCell ref="AH853:AI853"/>
    <mergeCell ref="V854:W854"/>
    <mergeCell ref="X854:AA854"/>
    <mergeCell ref="AB854:AE854"/>
    <mergeCell ref="AF854:AG854"/>
    <mergeCell ref="AH854:AI854"/>
    <mergeCell ref="AJ854:AK854"/>
    <mergeCell ref="AL854:AM854"/>
    <mergeCell ref="V856:W856"/>
    <mergeCell ref="X856:AA856"/>
    <mergeCell ref="AB856:AE856"/>
    <mergeCell ref="AF856:AG856"/>
    <mergeCell ref="AH856:AI856"/>
    <mergeCell ref="AJ856:AK856"/>
    <mergeCell ref="AL856:AM856"/>
    <mergeCell ref="V858:W858"/>
    <mergeCell ref="X858:AA858"/>
    <mergeCell ref="AB858:AE858"/>
    <mergeCell ref="AF858:AG858"/>
    <mergeCell ref="AH858:AI858"/>
    <mergeCell ref="AJ858:AK858"/>
    <mergeCell ref="AL858:AM858"/>
    <mergeCell ref="V860:W860"/>
    <mergeCell ref="X860:AA860"/>
    <mergeCell ref="AB860:AE860"/>
    <mergeCell ref="AF860:AG860"/>
    <mergeCell ref="AH860:AI860"/>
    <mergeCell ref="AJ860:AK860"/>
    <mergeCell ref="AL860:AM860"/>
    <mergeCell ref="V862:W862"/>
    <mergeCell ref="X862:AA862"/>
    <mergeCell ref="AB862:AE862"/>
    <mergeCell ref="AF862:AG862"/>
    <mergeCell ref="AH862:AI862"/>
    <mergeCell ref="AJ862:AK862"/>
    <mergeCell ref="AL862:AM862"/>
    <mergeCell ref="V864:W864"/>
    <mergeCell ref="BD965:BE965"/>
    <mergeCell ref="BF965:BI965"/>
    <mergeCell ref="AN965:AO965"/>
    <mergeCell ref="AP965:AQ965"/>
    <mergeCell ref="AR965:AS965"/>
    <mergeCell ref="AT965:AU965"/>
    <mergeCell ref="AV965:AW965"/>
    <mergeCell ref="AX965:AZ965"/>
    <mergeCell ref="BA965:BB965"/>
    <mergeCell ref="AJ963:AK963"/>
    <mergeCell ref="AL963:AM963"/>
    <mergeCell ref="R963:S963"/>
    <mergeCell ref="T963:U963"/>
    <mergeCell ref="V963:W963"/>
    <mergeCell ref="X963:AA963"/>
    <mergeCell ref="AB963:AE963"/>
    <mergeCell ref="AF963:AG963"/>
    <mergeCell ref="AH963:AI963"/>
    <mergeCell ref="R964:S964"/>
    <mergeCell ref="T964:U964"/>
    <mergeCell ref="V964:W964"/>
    <mergeCell ref="X964:AA964"/>
    <mergeCell ref="AB964:AE964"/>
    <mergeCell ref="AF964:AG964"/>
    <mergeCell ref="AH964:AI964"/>
    <mergeCell ref="AX964:AZ964"/>
    <mergeCell ref="BA964:BB964"/>
    <mergeCell ref="BD964:BE964"/>
    <mergeCell ref="BF964:BI964"/>
    <mergeCell ref="BJ964:BM964"/>
    <mergeCell ref="BN964:BV964"/>
    <mergeCell ref="BJ965:BM965"/>
    <mergeCell ref="BN965:BV965"/>
    <mergeCell ref="BD963:BE963"/>
    <mergeCell ref="BF963:BI963"/>
    <mergeCell ref="AN963:AO963"/>
    <mergeCell ref="AP963:AQ963"/>
    <mergeCell ref="AR963:AS963"/>
    <mergeCell ref="AT963:AU963"/>
    <mergeCell ref="AV963:AW963"/>
    <mergeCell ref="AX963:AZ963"/>
    <mergeCell ref="BA963:BB963"/>
    <mergeCell ref="V904:W904"/>
    <mergeCell ref="X904:AA904"/>
    <mergeCell ref="AB904:AE904"/>
    <mergeCell ref="AF904:AG904"/>
    <mergeCell ref="AH904:AI904"/>
    <mergeCell ref="AJ904:AK904"/>
    <mergeCell ref="AL904:AM904"/>
    <mergeCell ref="BD904:BE904"/>
    <mergeCell ref="BF904:BI904"/>
    <mergeCell ref="BJ904:BM904"/>
    <mergeCell ref="BN904:BV904"/>
    <mergeCell ref="AN904:AO904"/>
    <mergeCell ref="AP904:AQ904"/>
    <mergeCell ref="AR904:AS904"/>
    <mergeCell ref="AT904:AU904"/>
    <mergeCell ref="AV904:AW904"/>
    <mergeCell ref="AX904:AZ904"/>
    <mergeCell ref="BA904:BB904"/>
    <mergeCell ref="B904:C904"/>
    <mergeCell ref="D904:E904"/>
    <mergeCell ref="F904:G904"/>
    <mergeCell ref="H904:I904"/>
    <mergeCell ref="P904:Q904"/>
    <mergeCell ref="R904:S904"/>
    <mergeCell ref="T904:U904"/>
    <mergeCell ref="B905:C905"/>
    <mergeCell ref="D905:E905"/>
    <mergeCell ref="F905:G905"/>
    <mergeCell ref="H905:I905"/>
    <mergeCell ref="J905:K905"/>
    <mergeCell ref="L905:M905"/>
    <mergeCell ref="P905:Q905"/>
    <mergeCell ref="AX905:AZ905"/>
    <mergeCell ref="BA905:BB905"/>
    <mergeCell ref="BD905:BE905"/>
    <mergeCell ref="BF905:BI905"/>
    <mergeCell ref="BJ905:BM905"/>
    <mergeCell ref="BN905:BV905"/>
    <mergeCell ref="AN905:AO905"/>
    <mergeCell ref="AP905:AQ905"/>
    <mergeCell ref="AR905:AS905"/>
    <mergeCell ref="AT905:AU905"/>
    <mergeCell ref="AV905:AW905"/>
    <mergeCell ref="V902:W902"/>
    <mergeCell ref="X902:AA902"/>
    <mergeCell ref="AB902:AE902"/>
    <mergeCell ref="AF902:AG902"/>
    <mergeCell ref="AH902:AI902"/>
    <mergeCell ref="AJ902:AK902"/>
    <mergeCell ref="AL902:AM902"/>
    <mergeCell ref="BD902:BE902"/>
    <mergeCell ref="BF902:BI902"/>
    <mergeCell ref="BJ902:BM902"/>
    <mergeCell ref="BN902:BV902"/>
    <mergeCell ref="AN902:AO902"/>
    <mergeCell ref="AP902:AQ902"/>
    <mergeCell ref="AR902:AS902"/>
    <mergeCell ref="AT902:AU902"/>
    <mergeCell ref="AV902:AW902"/>
    <mergeCell ref="AX902:AZ902"/>
    <mergeCell ref="BA902:BB902"/>
    <mergeCell ref="B902:C902"/>
    <mergeCell ref="D902:E902"/>
    <mergeCell ref="F902:G902"/>
    <mergeCell ref="H902:I902"/>
    <mergeCell ref="P902:Q902"/>
    <mergeCell ref="R902:S902"/>
    <mergeCell ref="T902:U902"/>
    <mergeCell ref="B903:C903"/>
    <mergeCell ref="D903:E903"/>
    <mergeCell ref="F903:G903"/>
    <mergeCell ref="H903:I903"/>
    <mergeCell ref="J903:K903"/>
    <mergeCell ref="L903:M903"/>
    <mergeCell ref="P903:Q903"/>
    <mergeCell ref="AX903:AZ903"/>
    <mergeCell ref="BA903:BB903"/>
    <mergeCell ref="BD903:BE903"/>
    <mergeCell ref="BF903:BI903"/>
    <mergeCell ref="BJ903:BM903"/>
    <mergeCell ref="BN903:BV903"/>
    <mergeCell ref="AN903:AO903"/>
    <mergeCell ref="AP903:AQ903"/>
    <mergeCell ref="AR903:AS903"/>
    <mergeCell ref="AT903:AU903"/>
    <mergeCell ref="AV903:AW903"/>
    <mergeCell ref="R903:S903"/>
    <mergeCell ref="T903:U903"/>
    <mergeCell ref="V903:W903"/>
    <mergeCell ref="X903:AA903"/>
    <mergeCell ref="AB903:AE903"/>
    <mergeCell ref="AF903:AG903"/>
    <mergeCell ref="AH903:AI903"/>
    <mergeCell ref="AJ903:AK903"/>
    <mergeCell ref="AL903:AM903"/>
    <mergeCell ref="V900:W900"/>
    <mergeCell ref="X900:AA900"/>
    <mergeCell ref="AB900:AE900"/>
    <mergeCell ref="AF900:AG900"/>
    <mergeCell ref="AH900:AI900"/>
    <mergeCell ref="AJ900:AK900"/>
    <mergeCell ref="AL900:AM900"/>
    <mergeCell ref="BD900:BE900"/>
    <mergeCell ref="BF900:BI900"/>
    <mergeCell ref="BJ900:BM900"/>
    <mergeCell ref="BN900:BV900"/>
    <mergeCell ref="AN900:AO900"/>
    <mergeCell ref="AP900:AQ900"/>
    <mergeCell ref="AR900:AS900"/>
    <mergeCell ref="AT900:AU900"/>
    <mergeCell ref="AV900:AW900"/>
    <mergeCell ref="AX900:AZ900"/>
    <mergeCell ref="BA900:BB900"/>
    <mergeCell ref="B900:C900"/>
    <mergeCell ref="D900:E900"/>
    <mergeCell ref="F900:G900"/>
    <mergeCell ref="H900:I900"/>
    <mergeCell ref="P900:Q900"/>
    <mergeCell ref="R900:S900"/>
    <mergeCell ref="T900:U900"/>
    <mergeCell ref="B901:C901"/>
    <mergeCell ref="D901:E901"/>
    <mergeCell ref="F901:G901"/>
    <mergeCell ref="H901:I901"/>
    <mergeCell ref="J901:K901"/>
    <mergeCell ref="L901:M901"/>
    <mergeCell ref="P901:Q901"/>
    <mergeCell ref="AX901:AZ901"/>
    <mergeCell ref="BA901:BB901"/>
    <mergeCell ref="BD901:BE901"/>
    <mergeCell ref="BF901:BI901"/>
    <mergeCell ref="BJ901:BM901"/>
    <mergeCell ref="BN901:BV901"/>
    <mergeCell ref="AN901:AO901"/>
    <mergeCell ref="AP901:AQ901"/>
    <mergeCell ref="AR901:AS901"/>
    <mergeCell ref="AT901:AU901"/>
    <mergeCell ref="AV901:AW901"/>
    <mergeCell ref="R901:S901"/>
    <mergeCell ref="T901:U901"/>
    <mergeCell ref="V901:W901"/>
    <mergeCell ref="X901:AA901"/>
    <mergeCell ref="AB901:AE901"/>
    <mergeCell ref="AF901:AG901"/>
    <mergeCell ref="AH901:AI901"/>
    <mergeCell ref="AJ901:AK901"/>
    <mergeCell ref="AL901:AM901"/>
    <mergeCell ref="V898:W898"/>
    <mergeCell ref="X898:AA898"/>
    <mergeCell ref="AB898:AE898"/>
    <mergeCell ref="AF898:AG898"/>
    <mergeCell ref="AH898:AI898"/>
    <mergeCell ref="AJ898:AK898"/>
    <mergeCell ref="AL898:AM898"/>
    <mergeCell ref="BD898:BE898"/>
    <mergeCell ref="BF898:BI898"/>
    <mergeCell ref="BJ898:BM898"/>
    <mergeCell ref="BN898:BV898"/>
    <mergeCell ref="AN898:AO898"/>
    <mergeCell ref="AP898:AQ898"/>
    <mergeCell ref="AR898:AS898"/>
    <mergeCell ref="AT898:AU898"/>
    <mergeCell ref="AV898:AW898"/>
    <mergeCell ref="AX898:AZ898"/>
    <mergeCell ref="BA898:BB898"/>
    <mergeCell ref="B898:C898"/>
    <mergeCell ref="D898:E898"/>
    <mergeCell ref="F898:G898"/>
    <mergeCell ref="H898:I898"/>
    <mergeCell ref="P898:Q898"/>
    <mergeCell ref="R898:S898"/>
    <mergeCell ref="T898:U898"/>
    <mergeCell ref="B899:C899"/>
    <mergeCell ref="D899:E899"/>
    <mergeCell ref="F899:G899"/>
    <mergeCell ref="H899:I899"/>
    <mergeCell ref="J899:K899"/>
    <mergeCell ref="L899:M899"/>
    <mergeCell ref="P899:Q899"/>
    <mergeCell ref="AX899:AZ899"/>
    <mergeCell ref="BA899:BB899"/>
    <mergeCell ref="BD899:BE899"/>
    <mergeCell ref="BF899:BI899"/>
    <mergeCell ref="BJ899:BM899"/>
    <mergeCell ref="BN899:BV899"/>
    <mergeCell ref="AN899:AO899"/>
    <mergeCell ref="AP899:AQ899"/>
    <mergeCell ref="AR899:AS899"/>
    <mergeCell ref="AT899:AU899"/>
    <mergeCell ref="AV899:AW899"/>
    <mergeCell ref="R899:S899"/>
    <mergeCell ref="T899:U899"/>
    <mergeCell ref="V899:W899"/>
    <mergeCell ref="X899:AA899"/>
    <mergeCell ref="AB899:AE899"/>
    <mergeCell ref="AF899:AG899"/>
    <mergeCell ref="AH899:AI899"/>
    <mergeCell ref="AJ899:AK899"/>
    <mergeCell ref="AL899:AM899"/>
    <mergeCell ref="V896:W896"/>
    <mergeCell ref="X896:AA896"/>
    <mergeCell ref="AB896:AE896"/>
    <mergeCell ref="AF896:AG896"/>
    <mergeCell ref="AH896:AI896"/>
    <mergeCell ref="AJ896:AK896"/>
    <mergeCell ref="AL896:AM896"/>
    <mergeCell ref="BD896:BE896"/>
    <mergeCell ref="BF896:BI896"/>
    <mergeCell ref="BJ896:BM896"/>
    <mergeCell ref="BN896:BV896"/>
    <mergeCell ref="AN896:AO896"/>
    <mergeCell ref="AP896:AQ896"/>
    <mergeCell ref="AR896:AS896"/>
    <mergeCell ref="AT896:AU896"/>
    <mergeCell ref="AV896:AW896"/>
    <mergeCell ref="AX896:AZ896"/>
    <mergeCell ref="BA896:BB896"/>
    <mergeCell ref="B896:C896"/>
    <mergeCell ref="D896:E896"/>
    <mergeCell ref="F896:G896"/>
    <mergeCell ref="H896:I896"/>
    <mergeCell ref="P896:Q896"/>
    <mergeCell ref="R896:S896"/>
    <mergeCell ref="T896:U896"/>
    <mergeCell ref="B897:C897"/>
    <mergeCell ref="D897:E897"/>
    <mergeCell ref="F897:G897"/>
    <mergeCell ref="H897:I897"/>
    <mergeCell ref="J897:K897"/>
    <mergeCell ref="L897:M897"/>
    <mergeCell ref="P897:Q897"/>
    <mergeCell ref="AX897:AZ897"/>
    <mergeCell ref="BA897:BB897"/>
    <mergeCell ref="BD897:BE897"/>
    <mergeCell ref="BF897:BI897"/>
    <mergeCell ref="BJ897:BM897"/>
    <mergeCell ref="BN897:BV897"/>
    <mergeCell ref="AN897:AO897"/>
    <mergeCell ref="AP897:AQ897"/>
    <mergeCell ref="AR897:AS897"/>
    <mergeCell ref="AT897:AU897"/>
    <mergeCell ref="AV897:AW897"/>
    <mergeCell ref="R897:S897"/>
    <mergeCell ref="T897:U897"/>
    <mergeCell ref="V897:W897"/>
    <mergeCell ref="X897:AA897"/>
    <mergeCell ref="AB897:AE897"/>
    <mergeCell ref="AF897:AG897"/>
    <mergeCell ref="AH897:AI897"/>
    <mergeCell ref="AJ897:AK897"/>
    <mergeCell ref="AL897:AM897"/>
    <mergeCell ref="V894:W894"/>
    <mergeCell ref="X894:AA894"/>
    <mergeCell ref="AB894:AE894"/>
    <mergeCell ref="AF894:AG894"/>
    <mergeCell ref="AH894:AI894"/>
    <mergeCell ref="AJ894:AK894"/>
    <mergeCell ref="AL894:AM894"/>
    <mergeCell ref="BD894:BE894"/>
    <mergeCell ref="BF894:BI894"/>
    <mergeCell ref="BJ894:BM894"/>
    <mergeCell ref="BN894:BV894"/>
    <mergeCell ref="AN894:AO894"/>
    <mergeCell ref="AP894:AQ894"/>
    <mergeCell ref="AR894:AS894"/>
    <mergeCell ref="AT894:AU894"/>
    <mergeCell ref="AV894:AW894"/>
    <mergeCell ref="AX894:AZ894"/>
    <mergeCell ref="BA894:BB894"/>
    <mergeCell ref="B894:C894"/>
    <mergeCell ref="D894:E894"/>
    <mergeCell ref="F894:G894"/>
    <mergeCell ref="H894:I894"/>
    <mergeCell ref="P894:Q894"/>
    <mergeCell ref="R894:S894"/>
    <mergeCell ref="T894:U894"/>
    <mergeCell ref="B895:C895"/>
    <mergeCell ref="D895:E895"/>
    <mergeCell ref="F895:G895"/>
    <mergeCell ref="H895:I895"/>
    <mergeCell ref="J895:K895"/>
    <mergeCell ref="L895:M895"/>
    <mergeCell ref="P895:Q895"/>
    <mergeCell ref="AX895:AZ895"/>
    <mergeCell ref="BA895:BB895"/>
    <mergeCell ref="BD895:BE895"/>
    <mergeCell ref="BF895:BI895"/>
    <mergeCell ref="BJ895:BM895"/>
    <mergeCell ref="BN895:BV895"/>
    <mergeCell ref="AN895:AO895"/>
    <mergeCell ref="AP895:AQ895"/>
    <mergeCell ref="AR895:AS895"/>
    <mergeCell ref="AT895:AU895"/>
    <mergeCell ref="AV895:AW895"/>
    <mergeCell ref="R895:S895"/>
    <mergeCell ref="T895:U895"/>
    <mergeCell ref="V895:W895"/>
    <mergeCell ref="X895:AA895"/>
    <mergeCell ref="AB895:AE895"/>
    <mergeCell ref="AF895:AG895"/>
    <mergeCell ref="AH895:AI895"/>
    <mergeCell ref="AJ895:AK895"/>
    <mergeCell ref="AL895:AM895"/>
    <mergeCell ref="V892:W892"/>
    <mergeCell ref="X892:AA892"/>
    <mergeCell ref="AB892:AE892"/>
    <mergeCell ref="AF892:AG892"/>
    <mergeCell ref="AH892:AI892"/>
    <mergeCell ref="AJ892:AK892"/>
    <mergeCell ref="AL892:AM892"/>
    <mergeCell ref="BD892:BE892"/>
    <mergeCell ref="BF892:BI892"/>
    <mergeCell ref="BJ892:BM892"/>
    <mergeCell ref="BN892:BV892"/>
    <mergeCell ref="AN892:AO892"/>
    <mergeCell ref="AP892:AQ892"/>
    <mergeCell ref="AR892:AS892"/>
    <mergeCell ref="AT892:AU892"/>
    <mergeCell ref="AV892:AW892"/>
    <mergeCell ref="AX892:AZ892"/>
    <mergeCell ref="BA892:BB892"/>
    <mergeCell ref="B892:C892"/>
    <mergeCell ref="D892:E892"/>
    <mergeCell ref="F892:G892"/>
    <mergeCell ref="H892:I892"/>
    <mergeCell ref="P892:Q892"/>
    <mergeCell ref="R892:S892"/>
    <mergeCell ref="T892:U892"/>
    <mergeCell ref="B893:C893"/>
    <mergeCell ref="D893:E893"/>
    <mergeCell ref="F893:G893"/>
    <mergeCell ref="H893:I893"/>
    <mergeCell ref="J893:K893"/>
    <mergeCell ref="L893:M893"/>
    <mergeCell ref="P893:Q893"/>
    <mergeCell ref="AX893:AZ893"/>
    <mergeCell ref="BA893:BB893"/>
    <mergeCell ref="BD893:BE893"/>
    <mergeCell ref="BF893:BI893"/>
    <mergeCell ref="BJ893:BM893"/>
    <mergeCell ref="BN893:BV893"/>
    <mergeCell ref="AN893:AO893"/>
    <mergeCell ref="AP893:AQ893"/>
    <mergeCell ref="AR893:AS893"/>
    <mergeCell ref="AT893:AU893"/>
    <mergeCell ref="AV893:AW893"/>
    <mergeCell ref="R893:S893"/>
    <mergeCell ref="T893:U893"/>
    <mergeCell ref="V893:W893"/>
    <mergeCell ref="X893:AA893"/>
    <mergeCell ref="AB893:AE893"/>
    <mergeCell ref="AF893:AG893"/>
    <mergeCell ref="AH893:AI893"/>
    <mergeCell ref="AJ893:AK893"/>
    <mergeCell ref="AL893:AM893"/>
    <mergeCell ref="V890:W890"/>
    <mergeCell ref="X890:AA890"/>
    <mergeCell ref="AB890:AE890"/>
    <mergeCell ref="AF890:AG890"/>
    <mergeCell ref="AH890:AI890"/>
    <mergeCell ref="AJ890:AK890"/>
    <mergeCell ref="AL890:AM890"/>
    <mergeCell ref="BD890:BE890"/>
    <mergeCell ref="BF890:BI890"/>
    <mergeCell ref="BJ890:BM890"/>
    <mergeCell ref="BN890:BV890"/>
    <mergeCell ref="AN890:AO890"/>
    <mergeCell ref="AP890:AQ890"/>
    <mergeCell ref="AR890:AS890"/>
    <mergeCell ref="AT890:AU890"/>
    <mergeCell ref="AV890:AW890"/>
    <mergeCell ref="AX890:AZ890"/>
    <mergeCell ref="BA890:BB890"/>
    <mergeCell ref="B890:C890"/>
    <mergeCell ref="D890:E890"/>
    <mergeCell ref="F890:G890"/>
    <mergeCell ref="H890:I890"/>
    <mergeCell ref="P890:Q890"/>
    <mergeCell ref="R890:S890"/>
    <mergeCell ref="T890:U890"/>
    <mergeCell ref="B891:C891"/>
    <mergeCell ref="D891:E891"/>
    <mergeCell ref="F891:G891"/>
    <mergeCell ref="H891:I891"/>
    <mergeCell ref="J891:K891"/>
    <mergeCell ref="L891:M891"/>
    <mergeCell ref="P891:Q891"/>
    <mergeCell ref="AX891:AZ891"/>
    <mergeCell ref="BA891:BB891"/>
    <mergeCell ref="BD891:BE891"/>
    <mergeCell ref="BF891:BI891"/>
    <mergeCell ref="BJ891:BM891"/>
    <mergeCell ref="BN891:BV891"/>
    <mergeCell ref="AN891:AO891"/>
    <mergeCell ref="AP891:AQ891"/>
    <mergeCell ref="AR891:AS891"/>
    <mergeCell ref="AT891:AU891"/>
    <mergeCell ref="AV891:AW891"/>
    <mergeCell ref="R891:S891"/>
    <mergeCell ref="T891:U891"/>
    <mergeCell ref="V891:W891"/>
    <mergeCell ref="X891:AA891"/>
    <mergeCell ref="AB891:AE891"/>
    <mergeCell ref="AF891:AG891"/>
    <mergeCell ref="AH891:AI891"/>
    <mergeCell ref="AJ891:AK891"/>
    <mergeCell ref="AL891:AM891"/>
    <mergeCell ref="V888:W888"/>
    <mergeCell ref="X888:AA888"/>
    <mergeCell ref="AB888:AE888"/>
    <mergeCell ref="AF888:AG888"/>
    <mergeCell ref="AH888:AI888"/>
    <mergeCell ref="AJ888:AK888"/>
    <mergeCell ref="AL888:AM888"/>
    <mergeCell ref="BD888:BE888"/>
    <mergeCell ref="BF888:BI888"/>
    <mergeCell ref="BJ888:BM888"/>
    <mergeCell ref="BN888:BV888"/>
    <mergeCell ref="AN888:AO888"/>
    <mergeCell ref="AP888:AQ888"/>
    <mergeCell ref="AR888:AS888"/>
    <mergeCell ref="AT888:AU888"/>
    <mergeCell ref="AV888:AW888"/>
    <mergeCell ref="AX888:AZ888"/>
    <mergeCell ref="BA888:BB888"/>
    <mergeCell ref="B888:C888"/>
    <mergeCell ref="D888:E888"/>
    <mergeCell ref="F888:G888"/>
    <mergeCell ref="H888:I888"/>
    <mergeCell ref="P888:Q888"/>
    <mergeCell ref="R888:S888"/>
    <mergeCell ref="T888:U888"/>
    <mergeCell ref="B889:C889"/>
    <mergeCell ref="D889:E889"/>
    <mergeCell ref="F889:G889"/>
    <mergeCell ref="H889:I889"/>
    <mergeCell ref="J889:K889"/>
    <mergeCell ref="L889:M889"/>
    <mergeCell ref="P889:Q889"/>
    <mergeCell ref="AX889:AZ889"/>
    <mergeCell ref="BA889:BB889"/>
    <mergeCell ref="BD889:BE889"/>
    <mergeCell ref="BF889:BI889"/>
    <mergeCell ref="BJ889:BM889"/>
    <mergeCell ref="BN889:BV889"/>
    <mergeCell ref="AN889:AO889"/>
    <mergeCell ref="AP889:AQ889"/>
    <mergeCell ref="AR889:AS889"/>
    <mergeCell ref="AT889:AU889"/>
    <mergeCell ref="AV889:AW889"/>
    <mergeCell ref="R889:S889"/>
    <mergeCell ref="T889:U889"/>
    <mergeCell ref="V889:W889"/>
    <mergeCell ref="X889:AA889"/>
    <mergeCell ref="AB889:AE889"/>
    <mergeCell ref="AF889:AG889"/>
    <mergeCell ref="AH889:AI889"/>
    <mergeCell ref="AJ889:AK889"/>
    <mergeCell ref="AL889:AM889"/>
    <mergeCell ref="AP886:AQ886"/>
    <mergeCell ref="AR886:AS886"/>
    <mergeCell ref="AT886:AU886"/>
    <mergeCell ref="AV886:AW886"/>
    <mergeCell ref="AX886:AZ886"/>
    <mergeCell ref="BA886:BB886"/>
    <mergeCell ref="B886:C886"/>
    <mergeCell ref="D886:E886"/>
    <mergeCell ref="F886:G886"/>
    <mergeCell ref="H886:I886"/>
    <mergeCell ref="P886:Q886"/>
    <mergeCell ref="R886:S886"/>
    <mergeCell ref="T886:U886"/>
    <mergeCell ref="B887:C887"/>
    <mergeCell ref="D887:E887"/>
    <mergeCell ref="F887:G887"/>
    <mergeCell ref="H887:I887"/>
    <mergeCell ref="J887:K887"/>
    <mergeCell ref="L887:M887"/>
    <mergeCell ref="P887:Q887"/>
    <mergeCell ref="AX887:AZ887"/>
    <mergeCell ref="BA887:BB887"/>
    <mergeCell ref="BD887:BE887"/>
    <mergeCell ref="BF887:BI887"/>
    <mergeCell ref="BJ887:BM887"/>
    <mergeCell ref="BN887:BV887"/>
    <mergeCell ref="AJ885:AK885"/>
    <mergeCell ref="AL885:AM885"/>
    <mergeCell ref="AN887:AO887"/>
    <mergeCell ref="AP887:AQ887"/>
    <mergeCell ref="AR887:AS887"/>
    <mergeCell ref="AT887:AU887"/>
    <mergeCell ref="AV887:AW887"/>
    <mergeCell ref="R887:S887"/>
    <mergeCell ref="T887:U887"/>
    <mergeCell ref="V887:W887"/>
    <mergeCell ref="X887:AA887"/>
    <mergeCell ref="AB887:AE887"/>
    <mergeCell ref="AF887:AG887"/>
    <mergeCell ref="AH887:AI887"/>
    <mergeCell ref="AJ887:AK887"/>
    <mergeCell ref="AL887:AM887"/>
    <mergeCell ref="B884:C884"/>
    <mergeCell ref="D884:E884"/>
    <mergeCell ref="F884:G884"/>
    <mergeCell ref="H884:I884"/>
    <mergeCell ref="P884:Q884"/>
    <mergeCell ref="R884:S884"/>
    <mergeCell ref="T884:U884"/>
    <mergeCell ref="B885:C885"/>
    <mergeCell ref="D885:E885"/>
    <mergeCell ref="F885:G885"/>
    <mergeCell ref="H885:I885"/>
    <mergeCell ref="J885:K885"/>
    <mergeCell ref="L885:M885"/>
    <mergeCell ref="P885:Q885"/>
    <mergeCell ref="AX885:AZ885"/>
    <mergeCell ref="BA885:BB885"/>
    <mergeCell ref="BD885:BE885"/>
    <mergeCell ref="BF885:BI885"/>
    <mergeCell ref="BJ885:BM885"/>
    <mergeCell ref="BN885:BV885"/>
    <mergeCell ref="AJ883:AK883"/>
    <mergeCell ref="AL883:AM883"/>
    <mergeCell ref="AN885:AO885"/>
    <mergeCell ref="AP885:AQ885"/>
    <mergeCell ref="AR885:AS885"/>
    <mergeCell ref="AT885:AU885"/>
    <mergeCell ref="AV885:AW885"/>
    <mergeCell ref="R885:S885"/>
    <mergeCell ref="T885:U885"/>
    <mergeCell ref="V885:W885"/>
    <mergeCell ref="X885:AA885"/>
    <mergeCell ref="AB885:AE885"/>
    <mergeCell ref="AF885:AG885"/>
    <mergeCell ref="AH885:AI885"/>
    <mergeCell ref="B882:C882"/>
    <mergeCell ref="D882:E882"/>
    <mergeCell ref="F882:G882"/>
    <mergeCell ref="H882:I882"/>
    <mergeCell ref="P882:Q882"/>
    <mergeCell ref="R882:S882"/>
    <mergeCell ref="T882:U882"/>
    <mergeCell ref="B883:C883"/>
    <mergeCell ref="D883:E883"/>
    <mergeCell ref="F883:G883"/>
    <mergeCell ref="H883:I883"/>
    <mergeCell ref="J883:K883"/>
    <mergeCell ref="L883:M883"/>
    <mergeCell ref="P883:Q883"/>
    <mergeCell ref="AX883:AZ883"/>
    <mergeCell ref="BA883:BB883"/>
    <mergeCell ref="BD883:BE883"/>
    <mergeCell ref="BF883:BI883"/>
    <mergeCell ref="BJ883:BM883"/>
    <mergeCell ref="BN883:BV883"/>
    <mergeCell ref="AJ881:AK881"/>
    <mergeCell ref="AL881:AM881"/>
    <mergeCell ref="AN883:AO883"/>
    <mergeCell ref="AP883:AQ883"/>
    <mergeCell ref="AR883:AS883"/>
    <mergeCell ref="AT883:AU883"/>
    <mergeCell ref="AV883:AW883"/>
    <mergeCell ref="R883:S883"/>
    <mergeCell ref="T883:U883"/>
    <mergeCell ref="V883:W883"/>
    <mergeCell ref="X883:AA883"/>
    <mergeCell ref="AB883:AE883"/>
    <mergeCell ref="AF883:AG883"/>
    <mergeCell ref="AH883:AI883"/>
    <mergeCell ref="BJ911:BM911"/>
    <mergeCell ref="BN911:BV911"/>
    <mergeCell ref="R911:S911"/>
    <mergeCell ref="T911:U911"/>
    <mergeCell ref="V911:W911"/>
    <mergeCell ref="X911:AA911"/>
    <mergeCell ref="AB911:AE911"/>
    <mergeCell ref="AF911:AG911"/>
    <mergeCell ref="AH911:AI911"/>
    <mergeCell ref="R881:S881"/>
    <mergeCell ref="T881:U881"/>
    <mergeCell ref="V881:W881"/>
    <mergeCell ref="X881:AA881"/>
    <mergeCell ref="AB881:AE881"/>
    <mergeCell ref="AF881:AG881"/>
    <mergeCell ref="AH881:AI881"/>
    <mergeCell ref="V882:W882"/>
    <mergeCell ref="X882:AA882"/>
    <mergeCell ref="AB882:AE882"/>
    <mergeCell ref="AF882:AG882"/>
    <mergeCell ref="AH882:AI882"/>
    <mergeCell ref="AJ882:AK882"/>
    <mergeCell ref="AL882:AM882"/>
    <mergeCell ref="BD882:BE882"/>
    <mergeCell ref="BF882:BI882"/>
    <mergeCell ref="BJ882:BM882"/>
    <mergeCell ref="BN882:BV882"/>
    <mergeCell ref="AN882:AO882"/>
    <mergeCell ref="AP882:AQ882"/>
    <mergeCell ref="AR882:AS882"/>
    <mergeCell ref="AT882:AU882"/>
    <mergeCell ref="AV882:AW882"/>
    <mergeCell ref="AX882:AZ882"/>
    <mergeCell ref="BA882:BB882"/>
    <mergeCell ref="V884:W884"/>
    <mergeCell ref="X884:AA884"/>
    <mergeCell ref="AB884:AE884"/>
    <mergeCell ref="AF884:AG884"/>
    <mergeCell ref="AH884:AI884"/>
    <mergeCell ref="AJ884:AK884"/>
    <mergeCell ref="AL884:AM884"/>
    <mergeCell ref="BD884:BE884"/>
    <mergeCell ref="BF884:BI884"/>
    <mergeCell ref="BJ884:BM884"/>
    <mergeCell ref="BN884:BV884"/>
    <mergeCell ref="AN884:AO884"/>
    <mergeCell ref="AP884:AQ884"/>
    <mergeCell ref="AR884:AS884"/>
    <mergeCell ref="AT884:AU884"/>
    <mergeCell ref="AV884:AW884"/>
    <mergeCell ref="AX884:AZ884"/>
    <mergeCell ref="BA884:BB884"/>
    <mergeCell ref="V886:W886"/>
    <mergeCell ref="X886:AA886"/>
    <mergeCell ref="AB886:AE886"/>
    <mergeCell ref="AF886:AG886"/>
    <mergeCell ref="AH886:AI886"/>
    <mergeCell ref="AJ886:AK886"/>
    <mergeCell ref="AL886:AM886"/>
    <mergeCell ref="BD886:BE886"/>
    <mergeCell ref="BF886:BI886"/>
    <mergeCell ref="BJ886:BM886"/>
    <mergeCell ref="BN886:BV886"/>
    <mergeCell ref="AN886:AO886"/>
    <mergeCell ref="V820:W820"/>
    <mergeCell ref="X820:AA820"/>
    <mergeCell ref="AB820:AE820"/>
    <mergeCell ref="AF820:AG820"/>
    <mergeCell ref="AH820:AI820"/>
    <mergeCell ref="AJ820:AK820"/>
    <mergeCell ref="AL820:AM820"/>
    <mergeCell ref="BD820:BE820"/>
    <mergeCell ref="BF820:BI820"/>
    <mergeCell ref="BJ820:BM820"/>
    <mergeCell ref="BN820:BV820"/>
    <mergeCell ref="AN820:AO820"/>
    <mergeCell ref="AP820:AQ820"/>
    <mergeCell ref="AR820:AS820"/>
    <mergeCell ref="AT820:AU820"/>
    <mergeCell ref="AV820:AW820"/>
    <mergeCell ref="AX820:AZ820"/>
    <mergeCell ref="BA820:BB820"/>
    <mergeCell ref="B820:C820"/>
    <mergeCell ref="D820:E820"/>
    <mergeCell ref="F820:G820"/>
    <mergeCell ref="H820:I820"/>
    <mergeCell ref="P820:Q820"/>
    <mergeCell ref="R820:S820"/>
    <mergeCell ref="T820:U820"/>
    <mergeCell ref="B821:C821"/>
    <mergeCell ref="D821:E821"/>
    <mergeCell ref="F821:G821"/>
    <mergeCell ref="H821:I821"/>
    <mergeCell ref="J821:K821"/>
    <mergeCell ref="L821:M821"/>
    <mergeCell ref="P821:Q821"/>
    <mergeCell ref="AX821:AZ821"/>
    <mergeCell ref="BA821:BB821"/>
    <mergeCell ref="BD821:BE821"/>
    <mergeCell ref="BF821:BI821"/>
    <mergeCell ref="BJ821:BM821"/>
    <mergeCell ref="BN821:BV821"/>
    <mergeCell ref="AN821:AO821"/>
    <mergeCell ref="AP821:AQ821"/>
    <mergeCell ref="AR821:AS821"/>
    <mergeCell ref="AT821:AU821"/>
    <mergeCell ref="AV821:AW821"/>
    <mergeCell ref="R821:S821"/>
    <mergeCell ref="T821:U821"/>
    <mergeCell ref="V821:W821"/>
    <mergeCell ref="X821:AA821"/>
    <mergeCell ref="AB821:AE821"/>
    <mergeCell ref="AF821:AG821"/>
    <mergeCell ref="AH821:AI821"/>
    <mergeCell ref="AJ821:AK821"/>
    <mergeCell ref="AL821:AM821"/>
    <mergeCell ref="BD817:BE817"/>
    <mergeCell ref="BF817:BI817"/>
    <mergeCell ref="BJ817:BM817"/>
    <mergeCell ref="BN817:BV817"/>
    <mergeCell ref="AJ817:AK817"/>
    <mergeCell ref="AL817:AM817"/>
    <mergeCell ref="AN817:AO817"/>
    <mergeCell ref="AP817:AQ817"/>
    <mergeCell ref="AR817:AS817"/>
    <mergeCell ref="AT817:AU817"/>
    <mergeCell ref="AV817:AW817"/>
    <mergeCell ref="B817:C817"/>
    <mergeCell ref="D817:E817"/>
    <mergeCell ref="F817:G817"/>
    <mergeCell ref="H817:I817"/>
    <mergeCell ref="J817:K817"/>
    <mergeCell ref="L817:M817"/>
    <mergeCell ref="P817:Q817"/>
    <mergeCell ref="BD818:BE818"/>
    <mergeCell ref="BF818:BI818"/>
    <mergeCell ref="BJ818:BM818"/>
    <mergeCell ref="BN818:BV818"/>
    <mergeCell ref="B819:C819"/>
    <mergeCell ref="D819:E819"/>
    <mergeCell ref="F819:G819"/>
    <mergeCell ref="H819:I819"/>
    <mergeCell ref="J819:K819"/>
    <mergeCell ref="L819:M819"/>
    <mergeCell ref="P819:Q819"/>
    <mergeCell ref="BD819:BE819"/>
    <mergeCell ref="BF819:BI819"/>
    <mergeCell ref="BJ819:BM819"/>
    <mergeCell ref="BN819:BV819"/>
    <mergeCell ref="R819:S819"/>
    <mergeCell ref="T819:U819"/>
    <mergeCell ref="V819:W819"/>
    <mergeCell ref="X819:AA819"/>
    <mergeCell ref="AB819:AE819"/>
    <mergeCell ref="AF819:AG819"/>
    <mergeCell ref="AH819:AI819"/>
    <mergeCell ref="AJ819:AK819"/>
    <mergeCell ref="AL819:AM819"/>
    <mergeCell ref="V818:W818"/>
    <mergeCell ref="X818:AA818"/>
    <mergeCell ref="AB818:AE818"/>
    <mergeCell ref="AF818:AG818"/>
    <mergeCell ref="AH818:AI818"/>
    <mergeCell ref="AJ818:AK818"/>
    <mergeCell ref="AL818:AM818"/>
    <mergeCell ref="B818:C818"/>
    <mergeCell ref="D818:E818"/>
    <mergeCell ref="F818:G818"/>
    <mergeCell ref="H818:I818"/>
    <mergeCell ref="P818:Q818"/>
    <mergeCell ref="R818:S818"/>
    <mergeCell ref="T818:U818"/>
    <mergeCell ref="AN818:AO818"/>
    <mergeCell ref="AP818:AQ818"/>
    <mergeCell ref="AR818:AS818"/>
    <mergeCell ref="AT818:AU818"/>
    <mergeCell ref="AV818:AW818"/>
    <mergeCell ref="AX818:AZ818"/>
    <mergeCell ref="BA818:BB818"/>
    <mergeCell ref="AN819:AO819"/>
    <mergeCell ref="AP819:AQ819"/>
    <mergeCell ref="AR819:AS819"/>
    <mergeCell ref="AT819:AU819"/>
    <mergeCell ref="AV819:AW819"/>
    <mergeCell ref="AX819:AZ819"/>
    <mergeCell ref="BA819:BB819"/>
    <mergeCell ref="R817:S817"/>
    <mergeCell ref="T817:U817"/>
    <mergeCell ref="V817:W817"/>
    <mergeCell ref="X817:AA817"/>
    <mergeCell ref="AB817:AE817"/>
    <mergeCell ref="AF817:AG817"/>
    <mergeCell ref="AH817:AI817"/>
    <mergeCell ref="AX817:AZ817"/>
    <mergeCell ref="BA817:BB817"/>
    <mergeCell ref="BJ816:BM816"/>
    <mergeCell ref="BN816:BV816"/>
    <mergeCell ref="AR816:AS816"/>
    <mergeCell ref="AT816:AU816"/>
    <mergeCell ref="AV816:AW816"/>
    <mergeCell ref="AX816:AZ816"/>
    <mergeCell ref="BA816:BB816"/>
    <mergeCell ref="BD816:BE816"/>
    <mergeCell ref="BF816:BI816"/>
    <mergeCell ref="AN814:AO814"/>
    <mergeCell ref="AP814:AQ814"/>
    <mergeCell ref="V814:W814"/>
    <mergeCell ref="X814:AA814"/>
    <mergeCell ref="AB814:AE814"/>
    <mergeCell ref="AF814:AG814"/>
    <mergeCell ref="AH814:AI814"/>
    <mergeCell ref="AJ814:AK814"/>
    <mergeCell ref="AL814:AM814"/>
    <mergeCell ref="R815:S815"/>
    <mergeCell ref="T815:U815"/>
    <mergeCell ref="V815:W815"/>
    <mergeCell ref="X815:AA815"/>
    <mergeCell ref="AB815:AE815"/>
    <mergeCell ref="AF815:AG815"/>
    <mergeCell ref="AH815:AI815"/>
    <mergeCell ref="AX815:AZ815"/>
    <mergeCell ref="BA815:BB815"/>
    <mergeCell ref="BD815:BE815"/>
    <mergeCell ref="BF815:BI815"/>
    <mergeCell ref="BJ815:BM815"/>
    <mergeCell ref="BN815:BV815"/>
    <mergeCell ref="BJ814:BM814"/>
    <mergeCell ref="BN814:BV814"/>
    <mergeCell ref="AR814:AS814"/>
    <mergeCell ref="AT814:AU814"/>
    <mergeCell ref="AV814:AW814"/>
    <mergeCell ref="AX814:AZ814"/>
    <mergeCell ref="BA814:BB814"/>
    <mergeCell ref="BD814:BE814"/>
    <mergeCell ref="BF814:BI814"/>
    <mergeCell ref="AN816:AO816"/>
    <mergeCell ref="AP816:AQ816"/>
    <mergeCell ref="V816:W816"/>
    <mergeCell ref="X816:AA816"/>
    <mergeCell ref="AB816:AE816"/>
    <mergeCell ref="AF816:AG816"/>
    <mergeCell ref="AH816:AI816"/>
    <mergeCell ref="AJ816:AK816"/>
    <mergeCell ref="AL816:AM816"/>
    <mergeCell ref="B815:C815"/>
    <mergeCell ref="D815:E815"/>
    <mergeCell ref="F815:G815"/>
    <mergeCell ref="H815:I815"/>
    <mergeCell ref="J815:K815"/>
    <mergeCell ref="L815:M815"/>
    <mergeCell ref="P815:Q815"/>
    <mergeCell ref="AJ815:AK815"/>
    <mergeCell ref="AL815:AM815"/>
    <mergeCell ref="AN815:AO815"/>
    <mergeCell ref="AP815:AQ815"/>
    <mergeCell ref="AR815:AS815"/>
    <mergeCell ref="AT815:AU815"/>
    <mergeCell ref="AV815:AW815"/>
    <mergeCell ref="B816:C816"/>
    <mergeCell ref="D816:E816"/>
    <mergeCell ref="F816:G816"/>
    <mergeCell ref="H816:I816"/>
    <mergeCell ref="P816:Q816"/>
    <mergeCell ref="R816:S816"/>
    <mergeCell ref="T816:U816"/>
    <mergeCell ref="V908:W908"/>
    <mergeCell ref="X908:AA908"/>
    <mergeCell ref="AB908:AE908"/>
    <mergeCell ref="AF908:AG908"/>
    <mergeCell ref="AH908:AI908"/>
    <mergeCell ref="AJ908:AK908"/>
    <mergeCell ref="AL908:AM908"/>
    <mergeCell ref="BD908:BE908"/>
    <mergeCell ref="BF908:BI908"/>
    <mergeCell ref="BJ908:BM908"/>
    <mergeCell ref="BN908:BV908"/>
    <mergeCell ref="AN908:AO908"/>
    <mergeCell ref="AP908:AQ908"/>
    <mergeCell ref="AR908:AS908"/>
    <mergeCell ref="AT908:AU908"/>
    <mergeCell ref="AV908:AW908"/>
    <mergeCell ref="AX908:AZ908"/>
    <mergeCell ref="BA908:BB908"/>
    <mergeCell ref="B908:C908"/>
    <mergeCell ref="D908:E908"/>
    <mergeCell ref="F908:G908"/>
    <mergeCell ref="H908:I908"/>
    <mergeCell ref="P908:Q908"/>
    <mergeCell ref="R908:S908"/>
    <mergeCell ref="T908:U908"/>
    <mergeCell ref="AL905:AM905"/>
    <mergeCell ref="AN907:AO907"/>
    <mergeCell ref="AP907:AQ907"/>
    <mergeCell ref="AR907:AS907"/>
    <mergeCell ref="AT907:AU907"/>
    <mergeCell ref="AV907:AW907"/>
    <mergeCell ref="R907:S907"/>
    <mergeCell ref="T907:U907"/>
    <mergeCell ref="V907:W907"/>
    <mergeCell ref="X907:AA907"/>
    <mergeCell ref="AB907:AE907"/>
    <mergeCell ref="AF907:AG907"/>
    <mergeCell ref="AH907:AI907"/>
    <mergeCell ref="AJ907:AK907"/>
    <mergeCell ref="AL907:AM907"/>
    <mergeCell ref="V824:W824"/>
    <mergeCell ref="X824:AA824"/>
    <mergeCell ref="AB824:AE824"/>
    <mergeCell ref="B909:C909"/>
    <mergeCell ref="D909:E909"/>
    <mergeCell ref="F909:G909"/>
    <mergeCell ref="H909:I909"/>
    <mergeCell ref="J909:K909"/>
    <mergeCell ref="L909:M909"/>
    <mergeCell ref="P909:Q909"/>
    <mergeCell ref="AX909:AZ909"/>
    <mergeCell ref="BA909:BB909"/>
    <mergeCell ref="BD909:BE909"/>
    <mergeCell ref="BF909:BI909"/>
    <mergeCell ref="BJ909:BM909"/>
    <mergeCell ref="BN909:BV909"/>
    <mergeCell ref="AN909:AO909"/>
    <mergeCell ref="AP909:AQ909"/>
    <mergeCell ref="AR909:AS909"/>
    <mergeCell ref="AT909:AU909"/>
    <mergeCell ref="AV909:AW909"/>
    <mergeCell ref="R905:S905"/>
    <mergeCell ref="T905:U905"/>
    <mergeCell ref="V905:W905"/>
    <mergeCell ref="X905:AA905"/>
    <mergeCell ref="AB905:AE905"/>
    <mergeCell ref="AF905:AG905"/>
    <mergeCell ref="AH905:AI905"/>
    <mergeCell ref="V906:W906"/>
    <mergeCell ref="X906:AA906"/>
    <mergeCell ref="AB906:AE906"/>
    <mergeCell ref="AF906:AG906"/>
    <mergeCell ref="AH906:AI906"/>
    <mergeCell ref="AJ906:AK906"/>
    <mergeCell ref="AL906:AM906"/>
    <mergeCell ref="BD906:BE906"/>
    <mergeCell ref="BF906:BI906"/>
    <mergeCell ref="BJ906:BM906"/>
    <mergeCell ref="BN906:BV906"/>
    <mergeCell ref="AN906:AO906"/>
    <mergeCell ref="AP906:AQ906"/>
    <mergeCell ref="AR906:AS906"/>
    <mergeCell ref="AT906:AU906"/>
    <mergeCell ref="AV906:AW906"/>
    <mergeCell ref="AX906:AZ906"/>
    <mergeCell ref="BA906:BB906"/>
    <mergeCell ref="B906:C906"/>
    <mergeCell ref="D906:E906"/>
    <mergeCell ref="F906:G906"/>
    <mergeCell ref="H906:I906"/>
    <mergeCell ref="P906:Q906"/>
    <mergeCell ref="R906:S906"/>
    <mergeCell ref="T906:U906"/>
    <mergeCell ref="B907:C907"/>
    <mergeCell ref="D907:E907"/>
    <mergeCell ref="F907:G907"/>
    <mergeCell ref="H907:I907"/>
    <mergeCell ref="J907:K907"/>
    <mergeCell ref="L907:M907"/>
    <mergeCell ref="P907:Q907"/>
    <mergeCell ref="AX907:AZ907"/>
    <mergeCell ref="BA907:BB907"/>
    <mergeCell ref="BD907:BE907"/>
    <mergeCell ref="BF907:BI907"/>
    <mergeCell ref="BJ907:BM907"/>
    <mergeCell ref="BN907:BV907"/>
    <mergeCell ref="AJ905:AK905"/>
    <mergeCell ref="AF824:AG824"/>
    <mergeCell ref="AH824:AI824"/>
    <mergeCell ref="AJ824:AK824"/>
    <mergeCell ref="AL824:AM824"/>
    <mergeCell ref="BD824:BE824"/>
    <mergeCell ref="BF824:BI824"/>
    <mergeCell ref="BJ824:BM824"/>
    <mergeCell ref="BN824:BV824"/>
    <mergeCell ref="AN824:AO824"/>
    <mergeCell ref="AP824:AQ824"/>
    <mergeCell ref="AR824:AS824"/>
    <mergeCell ref="AT824:AU824"/>
    <mergeCell ref="AV824:AW824"/>
    <mergeCell ref="AX824:AZ824"/>
    <mergeCell ref="BA824:BB824"/>
    <mergeCell ref="B824:C824"/>
    <mergeCell ref="D824:E824"/>
    <mergeCell ref="F824:G824"/>
    <mergeCell ref="H824:I824"/>
    <mergeCell ref="P824:Q824"/>
    <mergeCell ref="R824:S824"/>
    <mergeCell ref="T824:U824"/>
    <mergeCell ref="B825:C825"/>
    <mergeCell ref="D825:E825"/>
    <mergeCell ref="F825:G825"/>
    <mergeCell ref="H825:I825"/>
    <mergeCell ref="J825:K825"/>
    <mergeCell ref="L825:M825"/>
    <mergeCell ref="P825:Q825"/>
    <mergeCell ref="AX825:AZ825"/>
    <mergeCell ref="BA825:BB825"/>
    <mergeCell ref="BD825:BE825"/>
    <mergeCell ref="BF825:BI825"/>
    <mergeCell ref="BJ825:BM825"/>
    <mergeCell ref="BN825:BV825"/>
    <mergeCell ref="AN825:AO825"/>
    <mergeCell ref="AP825:AQ825"/>
    <mergeCell ref="AR825:AS825"/>
    <mergeCell ref="AT825:AU825"/>
    <mergeCell ref="AV825:AW825"/>
    <mergeCell ref="R825:S825"/>
    <mergeCell ref="T825:U825"/>
    <mergeCell ref="V825:W825"/>
    <mergeCell ref="X825:AA825"/>
    <mergeCell ref="AB825:AE825"/>
    <mergeCell ref="AF825:AG825"/>
    <mergeCell ref="AH825:AI825"/>
    <mergeCell ref="AJ825:AK825"/>
    <mergeCell ref="AL825:AM825"/>
    <mergeCell ref="V822:W822"/>
    <mergeCell ref="X822:AA822"/>
    <mergeCell ref="AB822:AE822"/>
    <mergeCell ref="AF822:AG822"/>
    <mergeCell ref="AH822:AI822"/>
    <mergeCell ref="AJ822:AK822"/>
    <mergeCell ref="AL822:AM822"/>
    <mergeCell ref="BD822:BE822"/>
    <mergeCell ref="BF822:BI822"/>
    <mergeCell ref="BJ822:BM822"/>
    <mergeCell ref="BN822:BV822"/>
    <mergeCell ref="AN822:AO822"/>
    <mergeCell ref="AP822:AQ822"/>
    <mergeCell ref="AR822:AS822"/>
    <mergeCell ref="AT822:AU822"/>
    <mergeCell ref="AV822:AW822"/>
    <mergeCell ref="AX822:AZ822"/>
    <mergeCell ref="BA822:BB822"/>
    <mergeCell ref="B822:C822"/>
    <mergeCell ref="D822:E822"/>
    <mergeCell ref="F822:G822"/>
    <mergeCell ref="H822:I822"/>
    <mergeCell ref="P822:Q822"/>
    <mergeCell ref="R822:S822"/>
    <mergeCell ref="T822:U822"/>
    <mergeCell ref="B823:C823"/>
    <mergeCell ref="D823:E823"/>
    <mergeCell ref="F823:G823"/>
    <mergeCell ref="H823:I823"/>
    <mergeCell ref="J823:K823"/>
    <mergeCell ref="L823:M823"/>
    <mergeCell ref="P823:Q823"/>
    <mergeCell ref="AX823:AZ823"/>
    <mergeCell ref="BA823:BB823"/>
    <mergeCell ref="BD823:BE823"/>
    <mergeCell ref="BF823:BI823"/>
    <mergeCell ref="BJ823:BM823"/>
    <mergeCell ref="BN823:BV823"/>
    <mergeCell ref="AN823:AO823"/>
    <mergeCell ref="AP823:AQ823"/>
    <mergeCell ref="AR823:AS823"/>
    <mergeCell ref="AT823:AU823"/>
    <mergeCell ref="AV823:AW823"/>
    <mergeCell ref="R823:S823"/>
    <mergeCell ref="T823:U823"/>
    <mergeCell ref="V823:W823"/>
    <mergeCell ref="X823:AA823"/>
    <mergeCell ref="AB823:AE823"/>
    <mergeCell ref="AF823:AG823"/>
    <mergeCell ref="AH823:AI823"/>
    <mergeCell ref="AJ823:AK823"/>
    <mergeCell ref="AL823:AM823"/>
    <mergeCell ref="R813:S813"/>
    <mergeCell ref="T813:U813"/>
    <mergeCell ref="V813:W813"/>
    <mergeCell ref="X813:AA813"/>
    <mergeCell ref="AB813:AE813"/>
    <mergeCell ref="AF813:AG813"/>
    <mergeCell ref="AH813:AI813"/>
    <mergeCell ref="AX813:AZ813"/>
    <mergeCell ref="BA813:BB813"/>
    <mergeCell ref="BD813:BE813"/>
    <mergeCell ref="BF813:BI813"/>
    <mergeCell ref="BJ813:BM813"/>
    <mergeCell ref="BN813:BV813"/>
    <mergeCell ref="B813:C813"/>
    <mergeCell ref="D813:E813"/>
    <mergeCell ref="F813:G813"/>
    <mergeCell ref="H813:I813"/>
    <mergeCell ref="J813:K813"/>
    <mergeCell ref="L813:M813"/>
    <mergeCell ref="P813:Q813"/>
    <mergeCell ref="B814:C814"/>
    <mergeCell ref="D814:E814"/>
    <mergeCell ref="F814:G814"/>
    <mergeCell ref="H814:I814"/>
    <mergeCell ref="P814:Q814"/>
    <mergeCell ref="R814:S814"/>
    <mergeCell ref="T814:U814"/>
    <mergeCell ref="AJ813:AK813"/>
    <mergeCell ref="AL813:AM813"/>
    <mergeCell ref="AN813:AO813"/>
    <mergeCell ref="AP813:AQ813"/>
    <mergeCell ref="AR813:AS813"/>
    <mergeCell ref="AT813:AU813"/>
    <mergeCell ref="AV813:AW813"/>
    <mergeCell ref="R811:S811"/>
    <mergeCell ref="T811:U811"/>
    <mergeCell ref="V811:W811"/>
    <mergeCell ref="X811:AA811"/>
    <mergeCell ref="AB811:AE811"/>
    <mergeCell ref="AF811:AG811"/>
    <mergeCell ref="AH811:AI811"/>
    <mergeCell ref="AX811:AZ811"/>
    <mergeCell ref="BA811:BB811"/>
    <mergeCell ref="BD811:BE811"/>
    <mergeCell ref="BF811:BI811"/>
    <mergeCell ref="BJ811:BM811"/>
    <mergeCell ref="BN811:BV811"/>
    <mergeCell ref="B811:C811"/>
    <mergeCell ref="D811:E811"/>
    <mergeCell ref="F811:G811"/>
    <mergeCell ref="H811:I811"/>
    <mergeCell ref="J811:K811"/>
    <mergeCell ref="L811:M811"/>
    <mergeCell ref="P811:Q811"/>
    <mergeCell ref="B812:C812"/>
    <mergeCell ref="D812:E812"/>
    <mergeCell ref="F812:G812"/>
    <mergeCell ref="H812:I812"/>
    <mergeCell ref="P812:Q812"/>
    <mergeCell ref="R812:S812"/>
    <mergeCell ref="T812:U812"/>
    <mergeCell ref="AJ811:AK811"/>
    <mergeCell ref="AL811:AM811"/>
    <mergeCell ref="AN811:AO811"/>
    <mergeCell ref="AP811:AQ811"/>
    <mergeCell ref="AR811:AS811"/>
    <mergeCell ref="AT811:AU811"/>
    <mergeCell ref="AV811:AW811"/>
    <mergeCell ref="AN812:AO812"/>
    <mergeCell ref="AP812:AQ812"/>
    <mergeCell ref="V812:W812"/>
    <mergeCell ref="X812:AA812"/>
    <mergeCell ref="AB812:AE812"/>
    <mergeCell ref="AF812:AG812"/>
    <mergeCell ref="AH812:AI812"/>
    <mergeCell ref="AJ812:AK812"/>
    <mergeCell ref="AL812:AM812"/>
    <mergeCell ref="BJ812:BM812"/>
    <mergeCell ref="BN812:BV812"/>
    <mergeCell ref="AR812:AS812"/>
    <mergeCell ref="AT812:AU812"/>
    <mergeCell ref="AV812:AW812"/>
    <mergeCell ref="AX812:AZ812"/>
    <mergeCell ref="BA812:BB812"/>
    <mergeCell ref="BD812:BE812"/>
    <mergeCell ref="BF812:BI812"/>
    <mergeCell ref="B807:C807"/>
    <mergeCell ref="D807:E807"/>
    <mergeCell ref="F807:G807"/>
    <mergeCell ref="H807:I807"/>
    <mergeCell ref="J807:K807"/>
    <mergeCell ref="L807:M807"/>
    <mergeCell ref="P807:Q807"/>
    <mergeCell ref="B808:C808"/>
    <mergeCell ref="D808:E808"/>
    <mergeCell ref="F808:G808"/>
    <mergeCell ref="H808:I808"/>
    <mergeCell ref="P808:Q808"/>
    <mergeCell ref="R808:S808"/>
    <mergeCell ref="T808:U808"/>
    <mergeCell ref="AJ807:AK807"/>
    <mergeCell ref="AL807:AM807"/>
    <mergeCell ref="AN807:AO807"/>
    <mergeCell ref="AP807:AQ807"/>
    <mergeCell ref="AR807:AS807"/>
    <mergeCell ref="AT807:AU807"/>
    <mergeCell ref="AV807:AW807"/>
    <mergeCell ref="BJ810:BM810"/>
    <mergeCell ref="BN810:BV810"/>
    <mergeCell ref="AR810:AS810"/>
    <mergeCell ref="AT810:AU810"/>
    <mergeCell ref="AV810:AW810"/>
    <mergeCell ref="AX810:AZ810"/>
    <mergeCell ref="BA810:BB810"/>
    <mergeCell ref="BD810:BE810"/>
    <mergeCell ref="BF810:BI810"/>
    <mergeCell ref="AN808:AO808"/>
    <mergeCell ref="AP808:AQ808"/>
    <mergeCell ref="V808:W808"/>
    <mergeCell ref="X808:AA808"/>
    <mergeCell ref="AB808:AE808"/>
    <mergeCell ref="AF808:AG808"/>
    <mergeCell ref="AH808:AI808"/>
    <mergeCell ref="AJ808:AK808"/>
    <mergeCell ref="AL808:AM808"/>
    <mergeCell ref="R809:S809"/>
    <mergeCell ref="T809:U809"/>
    <mergeCell ref="V809:W809"/>
    <mergeCell ref="X809:AA809"/>
    <mergeCell ref="AB809:AE809"/>
    <mergeCell ref="AF809:AG809"/>
    <mergeCell ref="AH809:AI809"/>
    <mergeCell ref="AX809:AZ809"/>
    <mergeCell ref="BA809:BB809"/>
    <mergeCell ref="BD809:BE809"/>
    <mergeCell ref="BF809:BI809"/>
    <mergeCell ref="BJ809:BM809"/>
    <mergeCell ref="BN809:BV809"/>
    <mergeCell ref="B809:C809"/>
    <mergeCell ref="D809:E809"/>
    <mergeCell ref="F809:G809"/>
    <mergeCell ref="H809:I809"/>
    <mergeCell ref="J809:K809"/>
    <mergeCell ref="L809:M809"/>
    <mergeCell ref="P809:Q809"/>
    <mergeCell ref="B810:C810"/>
    <mergeCell ref="D810:E810"/>
    <mergeCell ref="F810:G810"/>
    <mergeCell ref="H810:I810"/>
    <mergeCell ref="P810:Q810"/>
    <mergeCell ref="D806:E806"/>
    <mergeCell ref="F806:G806"/>
    <mergeCell ref="H806:I806"/>
    <mergeCell ref="P806:Q806"/>
    <mergeCell ref="R806:S806"/>
    <mergeCell ref="T806:U806"/>
    <mergeCell ref="AJ805:AK805"/>
    <mergeCell ref="AL805:AM805"/>
    <mergeCell ref="AN805:AO805"/>
    <mergeCell ref="AP805:AQ805"/>
    <mergeCell ref="AR805:AS805"/>
    <mergeCell ref="AT805:AU805"/>
    <mergeCell ref="AV805:AW805"/>
    <mergeCell ref="BJ808:BM808"/>
    <mergeCell ref="BN808:BV808"/>
    <mergeCell ref="AR808:AS808"/>
    <mergeCell ref="AT808:AU808"/>
    <mergeCell ref="AV808:AW808"/>
    <mergeCell ref="AX808:AZ808"/>
    <mergeCell ref="BA808:BB808"/>
    <mergeCell ref="BD808:BE808"/>
    <mergeCell ref="BF808:BI808"/>
    <mergeCell ref="AN806:AO806"/>
    <mergeCell ref="AP806:AQ806"/>
    <mergeCell ref="V806:W806"/>
    <mergeCell ref="X806:AA806"/>
    <mergeCell ref="AB806:AE806"/>
    <mergeCell ref="AF806:AG806"/>
    <mergeCell ref="AH806:AI806"/>
    <mergeCell ref="AJ806:AK806"/>
    <mergeCell ref="AL806:AM806"/>
    <mergeCell ref="R807:S807"/>
    <mergeCell ref="T807:U807"/>
    <mergeCell ref="V807:W807"/>
    <mergeCell ref="X807:AA807"/>
    <mergeCell ref="AB807:AE807"/>
    <mergeCell ref="AF807:AG807"/>
    <mergeCell ref="AH807:AI807"/>
    <mergeCell ref="AX807:AZ807"/>
    <mergeCell ref="BA807:BB807"/>
    <mergeCell ref="BD807:BE807"/>
    <mergeCell ref="BF807:BI807"/>
    <mergeCell ref="BJ807:BM807"/>
    <mergeCell ref="BN807:BV807"/>
    <mergeCell ref="BJ803:BM803"/>
    <mergeCell ref="BN803:BV803"/>
    <mergeCell ref="BJ804:BM804"/>
    <mergeCell ref="BN804:BV804"/>
    <mergeCell ref="B803:C803"/>
    <mergeCell ref="D803:E803"/>
    <mergeCell ref="F803:G803"/>
    <mergeCell ref="H803:I803"/>
    <mergeCell ref="J803:K803"/>
    <mergeCell ref="L803:M803"/>
    <mergeCell ref="P803:Q803"/>
    <mergeCell ref="B804:C804"/>
    <mergeCell ref="D804:E804"/>
    <mergeCell ref="F804:G804"/>
    <mergeCell ref="H804:I804"/>
    <mergeCell ref="J804:K804"/>
    <mergeCell ref="L804:M804"/>
    <mergeCell ref="P804:Q804"/>
    <mergeCell ref="AJ803:AK803"/>
    <mergeCell ref="AL803:AM803"/>
    <mergeCell ref="AN803:AO803"/>
    <mergeCell ref="AP803:AQ803"/>
    <mergeCell ref="AR803:AS803"/>
    <mergeCell ref="AT803:AU803"/>
    <mergeCell ref="AV803:AW803"/>
    <mergeCell ref="BJ806:BM806"/>
    <mergeCell ref="BN806:BV806"/>
    <mergeCell ref="AR806:AS806"/>
    <mergeCell ref="AT806:AU806"/>
    <mergeCell ref="AV806:AW806"/>
    <mergeCell ref="AX806:AZ806"/>
    <mergeCell ref="BA806:BB806"/>
    <mergeCell ref="BD806:BE806"/>
    <mergeCell ref="BF806:BI806"/>
    <mergeCell ref="AJ804:AK804"/>
    <mergeCell ref="AL804:AM804"/>
    <mergeCell ref="R804:S804"/>
    <mergeCell ref="T804:U804"/>
    <mergeCell ref="V804:W804"/>
    <mergeCell ref="X804:AA804"/>
    <mergeCell ref="AB804:AE804"/>
    <mergeCell ref="AF804:AG804"/>
    <mergeCell ref="AH804:AI804"/>
    <mergeCell ref="R805:S805"/>
    <mergeCell ref="T805:U805"/>
    <mergeCell ref="V805:W805"/>
    <mergeCell ref="X805:AA805"/>
    <mergeCell ref="AB805:AE805"/>
    <mergeCell ref="AF805:AG805"/>
    <mergeCell ref="AH805:AI805"/>
    <mergeCell ref="AX805:AZ805"/>
    <mergeCell ref="BA805:BB805"/>
    <mergeCell ref="BD805:BE805"/>
    <mergeCell ref="BF805:BI805"/>
    <mergeCell ref="BJ805:BM805"/>
    <mergeCell ref="BN805:BV805"/>
    <mergeCell ref="B805:C805"/>
    <mergeCell ref="D805:E805"/>
    <mergeCell ref="F805:G805"/>
    <mergeCell ref="H805:I805"/>
    <mergeCell ref="J805:K805"/>
    <mergeCell ref="L805:M805"/>
    <mergeCell ref="P805:Q805"/>
    <mergeCell ref="B806:C806"/>
    <mergeCell ref="BD804:BE804"/>
    <mergeCell ref="BF804:BI804"/>
    <mergeCell ref="AN804:AO804"/>
    <mergeCell ref="AP804:AQ804"/>
    <mergeCell ref="AR804:AS804"/>
    <mergeCell ref="AT804:AU804"/>
    <mergeCell ref="AV804:AW804"/>
    <mergeCell ref="AX804:AZ804"/>
    <mergeCell ref="BA804:BB804"/>
    <mergeCell ref="AJ802:AK802"/>
    <mergeCell ref="AL802:AM802"/>
    <mergeCell ref="R802:S802"/>
    <mergeCell ref="T802:U802"/>
    <mergeCell ref="V802:W802"/>
    <mergeCell ref="X802:AA802"/>
    <mergeCell ref="AB802:AE802"/>
    <mergeCell ref="AF802:AG802"/>
    <mergeCell ref="AH802:AI802"/>
    <mergeCell ref="R803:S803"/>
    <mergeCell ref="T803:U803"/>
    <mergeCell ref="V803:W803"/>
    <mergeCell ref="X803:AA803"/>
    <mergeCell ref="AB803:AE803"/>
    <mergeCell ref="AF803:AG803"/>
    <mergeCell ref="AH803:AI803"/>
    <mergeCell ref="AX803:AZ803"/>
    <mergeCell ref="BA803:BB803"/>
    <mergeCell ref="BD803:BE803"/>
    <mergeCell ref="BF803:BI803"/>
    <mergeCell ref="R810:S810"/>
    <mergeCell ref="T810:U810"/>
    <mergeCell ref="AJ809:AK809"/>
    <mergeCell ref="AL809:AM809"/>
    <mergeCell ref="AN809:AO809"/>
    <mergeCell ref="AP809:AQ809"/>
    <mergeCell ref="AR809:AS809"/>
    <mergeCell ref="AT809:AU809"/>
    <mergeCell ref="AV809:AW809"/>
    <mergeCell ref="AN810:AO810"/>
    <mergeCell ref="AP810:AQ810"/>
    <mergeCell ref="V810:W810"/>
    <mergeCell ref="X810:AA810"/>
    <mergeCell ref="AB810:AE810"/>
    <mergeCell ref="AF810:AG810"/>
    <mergeCell ref="AH810:AI810"/>
    <mergeCell ref="AJ810:AK810"/>
    <mergeCell ref="AL810:AM810"/>
    <mergeCell ref="B794:C794"/>
    <mergeCell ref="D794:E794"/>
    <mergeCell ref="F794:G794"/>
    <mergeCell ref="H794:I794"/>
    <mergeCell ref="J794:K794"/>
    <mergeCell ref="L794:M794"/>
    <mergeCell ref="P794:Q794"/>
    <mergeCell ref="AX795:AZ795"/>
    <mergeCell ref="BA795:BB795"/>
    <mergeCell ref="BD795:BE795"/>
    <mergeCell ref="BF795:BI795"/>
    <mergeCell ref="BJ795:BM795"/>
    <mergeCell ref="BN795:BV795"/>
    <mergeCell ref="BJ796:BM796"/>
    <mergeCell ref="BN796:BV796"/>
    <mergeCell ref="B796:C796"/>
    <mergeCell ref="D796:E796"/>
    <mergeCell ref="F796:G796"/>
    <mergeCell ref="H796:I796"/>
    <mergeCell ref="J796:K796"/>
    <mergeCell ref="L796:M796"/>
    <mergeCell ref="P796:Q796"/>
    <mergeCell ref="AJ795:AK795"/>
    <mergeCell ref="AL795:AM795"/>
    <mergeCell ref="AN795:AO795"/>
    <mergeCell ref="AP795:AQ795"/>
    <mergeCell ref="AR795:AS795"/>
    <mergeCell ref="AT795:AU795"/>
    <mergeCell ref="AV795:AW795"/>
    <mergeCell ref="R795:S795"/>
    <mergeCell ref="T795:U795"/>
    <mergeCell ref="V795:W795"/>
    <mergeCell ref="X795:AA795"/>
    <mergeCell ref="AB795:AE795"/>
    <mergeCell ref="AF795:AG795"/>
    <mergeCell ref="AH795:AI795"/>
    <mergeCell ref="B795:C795"/>
    <mergeCell ref="D795:E795"/>
    <mergeCell ref="F795:G795"/>
    <mergeCell ref="H795:I795"/>
    <mergeCell ref="J795:K795"/>
    <mergeCell ref="L795:M795"/>
    <mergeCell ref="P795:Q795"/>
    <mergeCell ref="BD796:BE796"/>
    <mergeCell ref="BF796:BI796"/>
    <mergeCell ref="AN796:AO796"/>
    <mergeCell ref="AP796:AQ796"/>
    <mergeCell ref="AR796:AS796"/>
    <mergeCell ref="AT796:AU796"/>
    <mergeCell ref="AV796:AW796"/>
    <mergeCell ref="AX796:AZ796"/>
    <mergeCell ref="BA796:BB796"/>
    <mergeCell ref="R794:S794"/>
    <mergeCell ref="T794:U794"/>
    <mergeCell ref="V794:W794"/>
    <mergeCell ref="AF799:AG799"/>
    <mergeCell ref="AH799:AI799"/>
    <mergeCell ref="AX799:AZ799"/>
    <mergeCell ref="BA799:BB799"/>
    <mergeCell ref="BD799:BE799"/>
    <mergeCell ref="BF799:BI799"/>
    <mergeCell ref="BJ799:BM799"/>
    <mergeCell ref="BN799:BV799"/>
    <mergeCell ref="X794:AA794"/>
    <mergeCell ref="AB794:AE794"/>
    <mergeCell ref="AF794:AG794"/>
    <mergeCell ref="AH794:AI794"/>
    <mergeCell ref="AX794:AZ794"/>
    <mergeCell ref="BA794:BB794"/>
    <mergeCell ref="BD794:BE794"/>
    <mergeCell ref="BF794:BI794"/>
    <mergeCell ref="BD793:BE793"/>
    <mergeCell ref="BF793:BI793"/>
    <mergeCell ref="AN793:AO793"/>
    <mergeCell ref="AP793:AQ793"/>
    <mergeCell ref="AR793:AS793"/>
    <mergeCell ref="AT793:AU793"/>
    <mergeCell ref="AV793:AW793"/>
    <mergeCell ref="AX793:AZ793"/>
    <mergeCell ref="BA793:BB793"/>
    <mergeCell ref="AJ791:AK791"/>
    <mergeCell ref="AL791:AM791"/>
    <mergeCell ref="R791:S791"/>
    <mergeCell ref="T791:U791"/>
    <mergeCell ref="V791:W791"/>
    <mergeCell ref="X791:AA791"/>
    <mergeCell ref="AB791:AE791"/>
    <mergeCell ref="AF791:AG791"/>
    <mergeCell ref="AH791:AI791"/>
    <mergeCell ref="R792:S792"/>
    <mergeCell ref="T792:U792"/>
    <mergeCell ref="V792:W792"/>
    <mergeCell ref="X792:AA792"/>
    <mergeCell ref="AB792:AE792"/>
    <mergeCell ref="AF792:AG792"/>
    <mergeCell ref="AH792:AI792"/>
    <mergeCell ref="AX792:AZ792"/>
    <mergeCell ref="BA792:BB792"/>
    <mergeCell ref="BD792:BE792"/>
    <mergeCell ref="BF792:BI792"/>
    <mergeCell ref="BJ794:BM794"/>
    <mergeCell ref="BN794:BV794"/>
    <mergeCell ref="AJ794:AK794"/>
    <mergeCell ref="AL794:AM794"/>
    <mergeCell ref="AN794:AO794"/>
    <mergeCell ref="AP794:AQ794"/>
    <mergeCell ref="AR794:AS794"/>
    <mergeCell ref="AT794:AU794"/>
    <mergeCell ref="AV794:AW794"/>
    <mergeCell ref="B799:C799"/>
    <mergeCell ref="D799:E799"/>
    <mergeCell ref="F799:G799"/>
    <mergeCell ref="H799:I799"/>
    <mergeCell ref="J799:K799"/>
    <mergeCell ref="L799:M799"/>
    <mergeCell ref="P799:Q799"/>
    <mergeCell ref="B800:C800"/>
    <mergeCell ref="D800:E800"/>
    <mergeCell ref="F800:G800"/>
    <mergeCell ref="H800:I800"/>
    <mergeCell ref="J800:K800"/>
    <mergeCell ref="L800:M800"/>
    <mergeCell ref="P800:Q800"/>
    <mergeCell ref="AJ799:AK799"/>
    <mergeCell ref="AL799:AM799"/>
    <mergeCell ref="AN799:AO799"/>
    <mergeCell ref="AP799:AQ799"/>
    <mergeCell ref="AR799:AS799"/>
    <mergeCell ref="AT799:AU799"/>
    <mergeCell ref="AV799:AW799"/>
    <mergeCell ref="BD798:BE798"/>
    <mergeCell ref="BF798:BI798"/>
    <mergeCell ref="AN798:AO798"/>
    <mergeCell ref="AP798:AQ798"/>
    <mergeCell ref="AR798:AS798"/>
    <mergeCell ref="AT798:AU798"/>
    <mergeCell ref="AV798:AW798"/>
    <mergeCell ref="AX798:AZ798"/>
    <mergeCell ref="BA798:BB798"/>
    <mergeCell ref="BJ801:BM801"/>
    <mergeCell ref="BN801:BV801"/>
    <mergeCell ref="BJ792:BM792"/>
    <mergeCell ref="BN792:BV792"/>
    <mergeCell ref="B792:C792"/>
    <mergeCell ref="D792:E792"/>
    <mergeCell ref="F792:G792"/>
    <mergeCell ref="H792:I792"/>
    <mergeCell ref="J792:K792"/>
    <mergeCell ref="L792:M792"/>
    <mergeCell ref="P792:Q792"/>
    <mergeCell ref="AJ792:AK792"/>
    <mergeCell ref="AL792:AM792"/>
    <mergeCell ref="AN792:AO792"/>
    <mergeCell ref="AP792:AQ792"/>
    <mergeCell ref="AR792:AS792"/>
    <mergeCell ref="AT792:AU792"/>
    <mergeCell ref="AV792:AW792"/>
    <mergeCell ref="B793:C793"/>
    <mergeCell ref="D793:E793"/>
    <mergeCell ref="F793:G793"/>
    <mergeCell ref="H793:I793"/>
    <mergeCell ref="J793:K793"/>
    <mergeCell ref="L793:M793"/>
    <mergeCell ref="P793:Q793"/>
    <mergeCell ref="X798:AA798"/>
    <mergeCell ref="AB798:AE798"/>
    <mergeCell ref="AF798:AG798"/>
    <mergeCell ref="AH798:AI798"/>
    <mergeCell ref="R799:S799"/>
    <mergeCell ref="T799:U799"/>
    <mergeCell ref="V799:W799"/>
    <mergeCell ref="X799:AA799"/>
    <mergeCell ref="AB799:AE799"/>
    <mergeCell ref="BJ802:BM802"/>
    <mergeCell ref="BN802:BV802"/>
    <mergeCell ref="B801:C801"/>
    <mergeCell ref="D801:E801"/>
    <mergeCell ref="F801:G801"/>
    <mergeCell ref="H801:I801"/>
    <mergeCell ref="J801:K801"/>
    <mergeCell ref="L801:M801"/>
    <mergeCell ref="P801:Q801"/>
    <mergeCell ref="B802:C802"/>
    <mergeCell ref="D802:E802"/>
    <mergeCell ref="F802:G802"/>
    <mergeCell ref="H802:I802"/>
    <mergeCell ref="J802:K802"/>
    <mergeCell ref="L802:M802"/>
    <mergeCell ref="P802:Q802"/>
    <mergeCell ref="AJ801:AK801"/>
    <mergeCell ref="AL801:AM801"/>
    <mergeCell ref="AN801:AO801"/>
    <mergeCell ref="AP801:AQ801"/>
    <mergeCell ref="AR801:AS801"/>
    <mergeCell ref="AT801:AU801"/>
    <mergeCell ref="AV801:AW801"/>
    <mergeCell ref="AJ796:AK796"/>
    <mergeCell ref="AL796:AM796"/>
    <mergeCell ref="R796:S796"/>
    <mergeCell ref="T796:U796"/>
    <mergeCell ref="V796:W796"/>
    <mergeCell ref="X796:AA796"/>
    <mergeCell ref="AB796:AE796"/>
    <mergeCell ref="AF796:AG796"/>
    <mergeCell ref="AH796:AI796"/>
    <mergeCell ref="R797:S797"/>
    <mergeCell ref="T797:U797"/>
    <mergeCell ref="V797:W797"/>
    <mergeCell ref="X797:AA797"/>
    <mergeCell ref="AB797:AE797"/>
    <mergeCell ref="AF797:AG797"/>
    <mergeCell ref="AH797:AI797"/>
    <mergeCell ref="AX797:AZ797"/>
    <mergeCell ref="BA797:BB797"/>
    <mergeCell ref="BD797:BE797"/>
    <mergeCell ref="BF797:BI797"/>
    <mergeCell ref="BJ797:BM797"/>
    <mergeCell ref="BN797:BV797"/>
    <mergeCell ref="BJ798:BM798"/>
    <mergeCell ref="BN798:BV798"/>
    <mergeCell ref="B797:C797"/>
    <mergeCell ref="D797:E797"/>
    <mergeCell ref="F797:G797"/>
    <mergeCell ref="H797:I797"/>
    <mergeCell ref="J797:K797"/>
    <mergeCell ref="L797:M797"/>
    <mergeCell ref="P797:Q797"/>
    <mergeCell ref="B798:C798"/>
    <mergeCell ref="D798:E798"/>
    <mergeCell ref="F798:G798"/>
    <mergeCell ref="H798:I798"/>
    <mergeCell ref="J798:K798"/>
    <mergeCell ref="L798:M798"/>
    <mergeCell ref="P798:Q798"/>
    <mergeCell ref="AJ797:AK797"/>
    <mergeCell ref="BJ800:BM800"/>
    <mergeCell ref="BN800:BV800"/>
    <mergeCell ref="P790:Q790"/>
    <mergeCell ref="B791:C791"/>
    <mergeCell ref="D791:E791"/>
    <mergeCell ref="F791:G791"/>
    <mergeCell ref="H791:I791"/>
    <mergeCell ref="J791:K791"/>
    <mergeCell ref="L791:M791"/>
    <mergeCell ref="P791:Q791"/>
    <mergeCell ref="AJ790:AK790"/>
    <mergeCell ref="AL790:AM790"/>
    <mergeCell ref="AN790:AO790"/>
    <mergeCell ref="AP790:AQ790"/>
    <mergeCell ref="AR790:AS790"/>
    <mergeCell ref="AT790:AU790"/>
    <mergeCell ref="AV790:AW790"/>
    <mergeCell ref="BD802:BE802"/>
    <mergeCell ref="BF802:BI802"/>
    <mergeCell ref="AN802:AO802"/>
    <mergeCell ref="AP802:AQ802"/>
    <mergeCell ref="AR802:AS802"/>
    <mergeCell ref="AT802:AU802"/>
    <mergeCell ref="AV802:AW802"/>
    <mergeCell ref="AX802:AZ802"/>
    <mergeCell ref="BA802:BB802"/>
    <mergeCell ref="AJ800:AK800"/>
    <mergeCell ref="AL800:AM800"/>
    <mergeCell ref="R800:S800"/>
    <mergeCell ref="T800:U800"/>
    <mergeCell ref="V800:W800"/>
    <mergeCell ref="X800:AA800"/>
    <mergeCell ref="AB800:AE800"/>
    <mergeCell ref="AF800:AG800"/>
    <mergeCell ref="AH800:AI800"/>
    <mergeCell ref="R801:S801"/>
    <mergeCell ref="T801:U801"/>
    <mergeCell ref="V801:W801"/>
    <mergeCell ref="X801:AA801"/>
    <mergeCell ref="AB801:AE801"/>
    <mergeCell ref="AF801:AG801"/>
    <mergeCell ref="AH801:AI801"/>
    <mergeCell ref="AX801:AZ801"/>
    <mergeCell ref="BA801:BB801"/>
    <mergeCell ref="BD801:BE801"/>
    <mergeCell ref="BF801:BI801"/>
    <mergeCell ref="AL797:AM797"/>
    <mergeCell ref="AN797:AO797"/>
    <mergeCell ref="AP797:AQ797"/>
    <mergeCell ref="AR797:AS797"/>
    <mergeCell ref="AT797:AU797"/>
    <mergeCell ref="AV797:AW797"/>
    <mergeCell ref="BD800:BE800"/>
    <mergeCell ref="BF800:BI800"/>
    <mergeCell ref="AN800:AO800"/>
    <mergeCell ref="AP800:AQ800"/>
    <mergeCell ref="AR800:AS800"/>
    <mergeCell ref="AT800:AU800"/>
    <mergeCell ref="AV800:AW800"/>
    <mergeCell ref="AX800:AZ800"/>
    <mergeCell ref="BA800:BB800"/>
    <mergeCell ref="AJ798:AK798"/>
    <mergeCell ref="AL798:AM798"/>
    <mergeCell ref="R798:S798"/>
    <mergeCell ref="T798:U798"/>
    <mergeCell ref="V798:W798"/>
    <mergeCell ref="BJ788:BM788"/>
    <mergeCell ref="BN788:BV788"/>
    <mergeCell ref="BJ789:BM789"/>
    <mergeCell ref="BN789:BV789"/>
    <mergeCell ref="B788:C788"/>
    <mergeCell ref="D788:E788"/>
    <mergeCell ref="F788:G788"/>
    <mergeCell ref="H788:I788"/>
    <mergeCell ref="J788:K788"/>
    <mergeCell ref="L788:M788"/>
    <mergeCell ref="P788:Q788"/>
    <mergeCell ref="B789:C789"/>
    <mergeCell ref="D789:E789"/>
    <mergeCell ref="F789:G789"/>
    <mergeCell ref="H789:I789"/>
    <mergeCell ref="J789:K789"/>
    <mergeCell ref="L789:M789"/>
    <mergeCell ref="P789:Q789"/>
    <mergeCell ref="AJ788:AK788"/>
    <mergeCell ref="AL788:AM788"/>
    <mergeCell ref="AN788:AO788"/>
    <mergeCell ref="AP788:AQ788"/>
    <mergeCell ref="AR788:AS788"/>
    <mergeCell ref="AT788:AU788"/>
    <mergeCell ref="AV788:AW788"/>
    <mergeCell ref="BD791:BE791"/>
    <mergeCell ref="BF791:BI791"/>
    <mergeCell ref="AN791:AO791"/>
    <mergeCell ref="AP791:AQ791"/>
    <mergeCell ref="AR791:AS791"/>
    <mergeCell ref="AT791:AU791"/>
    <mergeCell ref="AV791:AW791"/>
    <mergeCell ref="AX791:AZ791"/>
    <mergeCell ref="BA791:BB791"/>
    <mergeCell ref="AJ789:AK789"/>
    <mergeCell ref="AL789:AM789"/>
    <mergeCell ref="R789:S789"/>
    <mergeCell ref="T789:U789"/>
    <mergeCell ref="V789:W789"/>
    <mergeCell ref="X789:AA789"/>
    <mergeCell ref="AB789:AE789"/>
    <mergeCell ref="AF789:AG789"/>
    <mergeCell ref="AH789:AI789"/>
    <mergeCell ref="R790:S790"/>
    <mergeCell ref="T790:U790"/>
    <mergeCell ref="V790:W790"/>
    <mergeCell ref="X790:AA790"/>
    <mergeCell ref="AB790:AE790"/>
    <mergeCell ref="AF790:AG790"/>
    <mergeCell ref="AH790:AI790"/>
    <mergeCell ref="AX790:AZ790"/>
    <mergeCell ref="BA790:BB790"/>
    <mergeCell ref="BD790:BE790"/>
    <mergeCell ref="BF790:BI790"/>
    <mergeCell ref="BJ790:BM790"/>
    <mergeCell ref="BN790:BV790"/>
    <mergeCell ref="BJ791:BM791"/>
    <mergeCell ref="BN791:BV791"/>
    <mergeCell ref="B790:C790"/>
    <mergeCell ref="D790:E790"/>
    <mergeCell ref="F790:G790"/>
    <mergeCell ref="H790:I790"/>
    <mergeCell ref="J790:K790"/>
    <mergeCell ref="L790:M790"/>
    <mergeCell ref="B786:C786"/>
    <mergeCell ref="D786:E786"/>
    <mergeCell ref="F786:G786"/>
    <mergeCell ref="H786:I786"/>
    <mergeCell ref="J786:K786"/>
    <mergeCell ref="L786:M786"/>
    <mergeCell ref="P786:Q786"/>
    <mergeCell ref="B787:C787"/>
    <mergeCell ref="D787:E787"/>
    <mergeCell ref="F787:G787"/>
    <mergeCell ref="H787:I787"/>
    <mergeCell ref="J787:K787"/>
    <mergeCell ref="L787:M787"/>
    <mergeCell ref="P787:Q787"/>
    <mergeCell ref="AJ786:AK786"/>
    <mergeCell ref="AL786:AM786"/>
    <mergeCell ref="AN786:AO786"/>
    <mergeCell ref="AP786:AQ786"/>
    <mergeCell ref="AR786:AS786"/>
    <mergeCell ref="AT786:AU786"/>
    <mergeCell ref="AV786:AW786"/>
    <mergeCell ref="BD789:BE789"/>
    <mergeCell ref="BF789:BI789"/>
    <mergeCell ref="AN789:AO789"/>
    <mergeCell ref="AP789:AQ789"/>
    <mergeCell ref="AR789:AS789"/>
    <mergeCell ref="AT789:AU789"/>
    <mergeCell ref="AV789:AW789"/>
    <mergeCell ref="AX789:AZ789"/>
    <mergeCell ref="BA789:BB789"/>
    <mergeCell ref="AJ787:AK787"/>
    <mergeCell ref="AL787:AM787"/>
    <mergeCell ref="R787:S787"/>
    <mergeCell ref="T787:U787"/>
    <mergeCell ref="V787:W787"/>
    <mergeCell ref="X787:AA787"/>
    <mergeCell ref="AB787:AE787"/>
    <mergeCell ref="AF787:AG787"/>
    <mergeCell ref="AH787:AI787"/>
    <mergeCell ref="R788:S788"/>
    <mergeCell ref="T788:U788"/>
    <mergeCell ref="V788:W788"/>
    <mergeCell ref="X788:AA788"/>
    <mergeCell ref="AB788:AE788"/>
    <mergeCell ref="AF788:AG788"/>
    <mergeCell ref="AH788:AI788"/>
    <mergeCell ref="AX788:AZ788"/>
    <mergeCell ref="BA788:BB788"/>
    <mergeCell ref="BD788:BE788"/>
    <mergeCell ref="BF788:BI788"/>
    <mergeCell ref="BD787:BE787"/>
    <mergeCell ref="BF787:BI787"/>
    <mergeCell ref="AN787:AO787"/>
    <mergeCell ref="AP787:AQ787"/>
    <mergeCell ref="AR787:AS787"/>
    <mergeCell ref="AT787:AU787"/>
    <mergeCell ref="AV787:AW787"/>
    <mergeCell ref="AX787:AZ787"/>
    <mergeCell ref="BA787:BB787"/>
    <mergeCell ref="AB781:AE781"/>
    <mergeCell ref="AF781:AG781"/>
    <mergeCell ref="AH781:AI781"/>
    <mergeCell ref="R782:S782"/>
    <mergeCell ref="T782:U782"/>
    <mergeCell ref="V782:W782"/>
    <mergeCell ref="X782:AA782"/>
    <mergeCell ref="AB782:AE782"/>
    <mergeCell ref="AF782:AG782"/>
    <mergeCell ref="AH782:AI782"/>
    <mergeCell ref="AJ785:AK785"/>
    <mergeCell ref="AL785:AM785"/>
    <mergeCell ref="R785:S785"/>
    <mergeCell ref="T785:U785"/>
    <mergeCell ref="V785:W785"/>
    <mergeCell ref="X785:AA785"/>
    <mergeCell ref="AB785:AE785"/>
    <mergeCell ref="AF785:AG785"/>
    <mergeCell ref="AH785:AI785"/>
    <mergeCell ref="R786:S786"/>
    <mergeCell ref="T786:U786"/>
    <mergeCell ref="V786:W786"/>
    <mergeCell ref="X786:AA786"/>
    <mergeCell ref="AB786:AE786"/>
    <mergeCell ref="AF786:AG786"/>
    <mergeCell ref="AH786:AI786"/>
    <mergeCell ref="AX786:AZ786"/>
    <mergeCell ref="BA786:BB786"/>
    <mergeCell ref="BD786:BE786"/>
    <mergeCell ref="BF786:BI786"/>
    <mergeCell ref="BJ786:BM786"/>
    <mergeCell ref="BN786:BV786"/>
    <mergeCell ref="BJ787:BM787"/>
    <mergeCell ref="BN787:BV787"/>
    <mergeCell ref="AJ783:AK783"/>
    <mergeCell ref="AL783:AM783"/>
    <mergeCell ref="R783:S783"/>
    <mergeCell ref="T783:U783"/>
    <mergeCell ref="V783:W783"/>
    <mergeCell ref="X783:AA783"/>
    <mergeCell ref="AB783:AE783"/>
    <mergeCell ref="AF783:AG783"/>
    <mergeCell ref="AH783:AI783"/>
    <mergeCell ref="R784:S784"/>
    <mergeCell ref="T784:U784"/>
    <mergeCell ref="V784:W784"/>
    <mergeCell ref="X784:AA784"/>
    <mergeCell ref="AB784:AE784"/>
    <mergeCell ref="AF784:AG784"/>
    <mergeCell ref="AH784:AI784"/>
    <mergeCell ref="AX784:AZ784"/>
    <mergeCell ref="BA784:BB784"/>
    <mergeCell ref="BD784:BE784"/>
    <mergeCell ref="BF784:BI784"/>
    <mergeCell ref="BJ784:BM784"/>
    <mergeCell ref="BN784:BV784"/>
    <mergeCell ref="BJ785:BM785"/>
    <mergeCell ref="BN785:BV785"/>
    <mergeCell ref="BD783:BE783"/>
    <mergeCell ref="BF783:BI783"/>
    <mergeCell ref="AX783:AZ783"/>
    <mergeCell ref="BA783:BB783"/>
    <mergeCell ref="AJ793:AK793"/>
    <mergeCell ref="AL793:AM793"/>
    <mergeCell ref="BJ793:BM793"/>
    <mergeCell ref="BN793:BV793"/>
    <mergeCell ref="R793:S793"/>
    <mergeCell ref="T793:U793"/>
    <mergeCell ref="V793:W793"/>
    <mergeCell ref="X793:AA793"/>
    <mergeCell ref="AB793:AE793"/>
    <mergeCell ref="AF793:AG793"/>
    <mergeCell ref="AH793:AI793"/>
    <mergeCell ref="BD781:BE781"/>
    <mergeCell ref="BF781:BI781"/>
    <mergeCell ref="AN781:AO781"/>
    <mergeCell ref="AP781:AQ781"/>
    <mergeCell ref="AR781:AS781"/>
    <mergeCell ref="AT781:AU781"/>
    <mergeCell ref="AV781:AW781"/>
    <mergeCell ref="AX781:AZ781"/>
    <mergeCell ref="BA781:BB781"/>
    <mergeCell ref="BD785:BE785"/>
    <mergeCell ref="BF785:BI785"/>
    <mergeCell ref="AN785:AO785"/>
    <mergeCell ref="AP785:AQ785"/>
    <mergeCell ref="AR785:AS785"/>
    <mergeCell ref="AT785:AU785"/>
    <mergeCell ref="AV785:AW785"/>
    <mergeCell ref="AX785:AZ785"/>
    <mergeCell ref="BA785:BB785"/>
    <mergeCell ref="B784:C784"/>
    <mergeCell ref="D784:E784"/>
    <mergeCell ref="F784:G784"/>
    <mergeCell ref="H784:I784"/>
    <mergeCell ref="J784:K784"/>
    <mergeCell ref="L784:M784"/>
    <mergeCell ref="P784:Q784"/>
    <mergeCell ref="B785:C785"/>
    <mergeCell ref="D785:E785"/>
    <mergeCell ref="F785:G785"/>
    <mergeCell ref="H785:I785"/>
    <mergeCell ref="J785:K785"/>
    <mergeCell ref="L785:M785"/>
    <mergeCell ref="P785:Q785"/>
    <mergeCell ref="AJ784:AK784"/>
    <mergeCell ref="AL784:AM784"/>
    <mergeCell ref="AN784:AO784"/>
    <mergeCell ref="AP784:AQ784"/>
    <mergeCell ref="AR784:AS784"/>
    <mergeCell ref="AT784:AU784"/>
    <mergeCell ref="AV784:AW784"/>
    <mergeCell ref="B781:C781"/>
    <mergeCell ref="D781:E781"/>
    <mergeCell ref="F781:G781"/>
    <mergeCell ref="H781:I781"/>
    <mergeCell ref="J781:K781"/>
    <mergeCell ref="L781:M781"/>
    <mergeCell ref="P781:Q781"/>
    <mergeCell ref="AN783:AO783"/>
    <mergeCell ref="AP783:AQ783"/>
    <mergeCell ref="AR783:AS783"/>
    <mergeCell ref="AT783:AU783"/>
    <mergeCell ref="AV783:AW783"/>
    <mergeCell ref="AJ781:AK781"/>
    <mergeCell ref="AL781:AM781"/>
    <mergeCell ref="R780:S780"/>
    <mergeCell ref="T780:U780"/>
    <mergeCell ref="V780:W780"/>
    <mergeCell ref="X780:AA780"/>
    <mergeCell ref="AB780:AE780"/>
    <mergeCell ref="AF780:AG780"/>
    <mergeCell ref="AH780:AI780"/>
    <mergeCell ref="AX780:AZ780"/>
    <mergeCell ref="BA780:BB780"/>
    <mergeCell ref="BD780:BE780"/>
    <mergeCell ref="BF780:BI780"/>
    <mergeCell ref="BJ780:BM780"/>
    <mergeCell ref="BN780:BV780"/>
    <mergeCell ref="BJ781:BM781"/>
    <mergeCell ref="BN781:BV781"/>
    <mergeCell ref="BJ782:BM782"/>
    <mergeCell ref="BN782:BV782"/>
    <mergeCell ref="BJ783:BM783"/>
    <mergeCell ref="BN783:BV783"/>
    <mergeCell ref="AJ782:AK782"/>
    <mergeCell ref="AL782:AM782"/>
    <mergeCell ref="AN782:AO782"/>
    <mergeCell ref="AP782:AQ782"/>
    <mergeCell ref="AR782:AS782"/>
    <mergeCell ref="AT782:AU782"/>
    <mergeCell ref="AV782:AW782"/>
    <mergeCell ref="BJ779:BM779"/>
    <mergeCell ref="BN779:BV779"/>
    <mergeCell ref="AX782:AZ782"/>
    <mergeCell ref="BA782:BB782"/>
    <mergeCell ref="BD782:BE782"/>
    <mergeCell ref="BF782:BI782"/>
    <mergeCell ref="B782:C782"/>
    <mergeCell ref="D782:E782"/>
    <mergeCell ref="F782:G782"/>
    <mergeCell ref="H782:I782"/>
    <mergeCell ref="J782:K782"/>
    <mergeCell ref="L782:M782"/>
    <mergeCell ref="P782:Q782"/>
    <mergeCell ref="B783:C783"/>
    <mergeCell ref="D783:E783"/>
    <mergeCell ref="F783:G783"/>
    <mergeCell ref="H783:I783"/>
    <mergeCell ref="J783:K783"/>
    <mergeCell ref="L783:M783"/>
    <mergeCell ref="P783:Q783"/>
    <mergeCell ref="B780:C780"/>
    <mergeCell ref="D780:E780"/>
    <mergeCell ref="F780:G780"/>
    <mergeCell ref="H780:I780"/>
    <mergeCell ref="J780:K780"/>
    <mergeCell ref="L780:M780"/>
    <mergeCell ref="P780:Q780"/>
    <mergeCell ref="AJ780:AK780"/>
    <mergeCell ref="AL780:AM780"/>
    <mergeCell ref="AN780:AO780"/>
    <mergeCell ref="AP780:AQ780"/>
    <mergeCell ref="AR780:AS780"/>
    <mergeCell ref="AT780:AU780"/>
    <mergeCell ref="AV780:AW780"/>
    <mergeCell ref="R781:S781"/>
    <mergeCell ref="T781:U781"/>
    <mergeCell ref="V781:W781"/>
    <mergeCell ref="X781:AA781"/>
    <mergeCell ref="BJ772:BM772"/>
    <mergeCell ref="BN772:BV772"/>
    <mergeCell ref="BJ773:BM773"/>
    <mergeCell ref="BN773:BV773"/>
    <mergeCell ref="B773:C773"/>
    <mergeCell ref="D773:E773"/>
    <mergeCell ref="F773:G773"/>
    <mergeCell ref="H773:I773"/>
    <mergeCell ref="J773:K773"/>
    <mergeCell ref="L773:M773"/>
    <mergeCell ref="P773:Q773"/>
    <mergeCell ref="AJ772:AK772"/>
    <mergeCell ref="AL772:AM772"/>
    <mergeCell ref="AN772:AO772"/>
    <mergeCell ref="AP772:AQ772"/>
    <mergeCell ref="AR772:AS772"/>
    <mergeCell ref="AT772:AU772"/>
    <mergeCell ref="AV772:AW772"/>
    <mergeCell ref="R772:S772"/>
    <mergeCell ref="T772:U772"/>
    <mergeCell ref="V772:W772"/>
    <mergeCell ref="X772:AA772"/>
    <mergeCell ref="AB772:AE772"/>
    <mergeCell ref="AF772:AG772"/>
    <mergeCell ref="AH772:AI772"/>
    <mergeCell ref="B772:C772"/>
    <mergeCell ref="D772:E772"/>
    <mergeCell ref="F772:G772"/>
    <mergeCell ref="H772:I772"/>
    <mergeCell ref="J772:K772"/>
    <mergeCell ref="L772:M772"/>
    <mergeCell ref="P772:Q772"/>
    <mergeCell ref="BD773:BE773"/>
    <mergeCell ref="BF773:BI773"/>
    <mergeCell ref="AN773:AO773"/>
    <mergeCell ref="AP773:AQ773"/>
    <mergeCell ref="AR773:AS773"/>
    <mergeCell ref="AT773:AU773"/>
    <mergeCell ref="AV773:AW773"/>
    <mergeCell ref="AX773:AZ773"/>
    <mergeCell ref="BA773:BB773"/>
    <mergeCell ref="AJ768:AK768"/>
    <mergeCell ref="AL768:AM768"/>
    <mergeCell ref="R768:S768"/>
    <mergeCell ref="T768:U768"/>
    <mergeCell ref="V768:W768"/>
    <mergeCell ref="X768:AA768"/>
    <mergeCell ref="AB768:AE768"/>
    <mergeCell ref="AF768:AG768"/>
    <mergeCell ref="AH768:AI768"/>
    <mergeCell ref="R769:S769"/>
    <mergeCell ref="T769:U769"/>
    <mergeCell ref="V769:W769"/>
    <mergeCell ref="X769:AA769"/>
    <mergeCell ref="AB769:AE769"/>
    <mergeCell ref="AF769:AG769"/>
    <mergeCell ref="AH769:AI769"/>
    <mergeCell ref="AX769:AZ769"/>
    <mergeCell ref="BA769:BB769"/>
    <mergeCell ref="BD769:BE769"/>
    <mergeCell ref="BF769:BI769"/>
    <mergeCell ref="BJ771:BM771"/>
    <mergeCell ref="BN771:BV771"/>
    <mergeCell ref="AJ771:AK771"/>
    <mergeCell ref="AL771:AM771"/>
    <mergeCell ref="AN771:AO771"/>
    <mergeCell ref="AP771:AQ771"/>
    <mergeCell ref="AR771:AS771"/>
    <mergeCell ref="AT771:AU771"/>
    <mergeCell ref="AV771:AW771"/>
    <mergeCell ref="B771:C771"/>
    <mergeCell ref="D771:E771"/>
    <mergeCell ref="F771:G771"/>
    <mergeCell ref="H771:I771"/>
    <mergeCell ref="J771:K771"/>
    <mergeCell ref="L771:M771"/>
    <mergeCell ref="P771:Q771"/>
    <mergeCell ref="R771:S771"/>
    <mergeCell ref="T771:U771"/>
    <mergeCell ref="V771:W771"/>
    <mergeCell ref="BJ769:BM769"/>
    <mergeCell ref="BN769:BV769"/>
    <mergeCell ref="B769:C769"/>
    <mergeCell ref="D769:E769"/>
    <mergeCell ref="F769:G769"/>
    <mergeCell ref="H769:I769"/>
    <mergeCell ref="J769:K769"/>
    <mergeCell ref="L769:M769"/>
    <mergeCell ref="P769:Q769"/>
    <mergeCell ref="AJ769:AK769"/>
    <mergeCell ref="AL769:AM769"/>
    <mergeCell ref="AN769:AO769"/>
    <mergeCell ref="AP769:AQ769"/>
    <mergeCell ref="AR769:AS769"/>
    <mergeCell ref="AT769:AU769"/>
    <mergeCell ref="AV769:AW769"/>
    <mergeCell ref="B770:C770"/>
    <mergeCell ref="D770:E770"/>
    <mergeCell ref="F770:G770"/>
    <mergeCell ref="H770:I770"/>
    <mergeCell ref="J770:K770"/>
    <mergeCell ref="L770:M770"/>
    <mergeCell ref="P770:Q770"/>
    <mergeCell ref="X775:AA775"/>
    <mergeCell ref="AB775:AE775"/>
    <mergeCell ref="AF775:AG775"/>
    <mergeCell ref="AH775:AI775"/>
    <mergeCell ref="R776:S776"/>
    <mergeCell ref="T776:U776"/>
    <mergeCell ref="V776:W776"/>
    <mergeCell ref="X776:AA776"/>
    <mergeCell ref="AB776:AE776"/>
    <mergeCell ref="AF776:AG776"/>
    <mergeCell ref="AH776:AI776"/>
    <mergeCell ref="AX776:AZ776"/>
    <mergeCell ref="BA776:BB776"/>
    <mergeCell ref="BD776:BE776"/>
    <mergeCell ref="BF776:BI776"/>
    <mergeCell ref="BJ776:BM776"/>
    <mergeCell ref="BN776:BV776"/>
    <mergeCell ref="BF774:BI774"/>
    <mergeCell ref="BJ774:BM774"/>
    <mergeCell ref="BN774:BV774"/>
    <mergeCell ref="X771:AA771"/>
    <mergeCell ref="AB771:AE771"/>
    <mergeCell ref="AF771:AG771"/>
    <mergeCell ref="AH771:AI771"/>
    <mergeCell ref="AX771:AZ771"/>
    <mergeCell ref="BA771:BB771"/>
    <mergeCell ref="BD771:BE771"/>
    <mergeCell ref="BF771:BI771"/>
    <mergeCell ref="BD770:BE770"/>
    <mergeCell ref="BF770:BI770"/>
    <mergeCell ref="AN770:AO770"/>
    <mergeCell ref="AP770:AQ770"/>
    <mergeCell ref="AR770:AS770"/>
    <mergeCell ref="AT770:AU770"/>
    <mergeCell ref="AV770:AW770"/>
    <mergeCell ref="AX770:AZ770"/>
    <mergeCell ref="BA770:BB770"/>
    <mergeCell ref="AX772:AZ772"/>
    <mergeCell ref="BA772:BB772"/>
    <mergeCell ref="BD772:BE772"/>
    <mergeCell ref="BF772:BI772"/>
    <mergeCell ref="BJ777:BM777"/>
    <mergeCell ref="BN777:BV777"/>
    <mergeCell ref="B776:C776"/>
    <mergeCell ref="D776:E776"/>
    <mergeCell ref="F776:G776"/>
    <mergeCell ref="H776:I776"/>
    <mergeCell ref="J776:K776"/>
    <mergeCell ref="L776:M776"/>
    <mergeCell ref="P776:Q776"/>
    <mergeCell ref="B777:C777"/>
    <mergeCell ref="D777:E777"/>
    <mergeCell ref="F777:G777"/>
    <mergeCell ref="H777:I777"/>
    <mergeCell ref="J777:K777"/>
    <mergeCell ref="L777:M777"/>
    <mergeCell ref="P777:Q777"/>
    <mergeCell ref="AJ776:AK776"/>
    <mergeCell ref="AL776:AM776"/>
    <mergeCell ref="AN776:AO776"/>
    <mergeCell ref="AP776:AQ776"/>
    <mergeCell ref="AR776:AS776"/>
    <mergeCell ref="AT776:AU776"/>
    <mergeCell ref="AV776:AW776"/>
    <mergeCell ref="BD775:BE775"/>
    <mergeCell ref="BF775:BI775"/>
    <mergeCell ref="AN775:AO775"/>
    <mergeCell ref="AP775:AQ775"/>
    <mergeCell ref="AR775:AS775"/>
    <mergeCell ref="AT775:AU775"/>
    <mergeCell ref="AV775:AW775"/>
    <mergeCell ref="AX775:AZ775"/>
    <mergeCell ref="BA775:BB775"/>
    <mergeCell ref="BJ778:BM778"/>
    <mergeCell ref="BN778:BV778"/>
    <mergeCell ref="B778:C778"/>
    <mergeCell ref="D778:E778"/>
    <mergeCell ref="F778:G778"/>
    <mergeCell ref="H778:I778"/>
    <mergeCell ref="J778:K778"/>
    <mergeCell ref="L778:M778"/>
    <mergeCell ref="P778:Q778"/>
    <mergeCell ref="BJ775:BM775"/>
    <mergeCell ref="BN775:BV775"/>
    <mergeCell ref="B779:C779"/>
    <mergeCell ref="D779:E779"/>
    <mergeCell ref="F779:G779"/>
    <mergeCell ref="H779:I779"/>
    <mergeCell ref="J779:K779"/>
    <mergeCell ref="L779:M779"/>
    <mergeCell ref="P779:Q779"/>
    <mergeCell ref="AJ778:AK778"/>
    <mergeCell ref="AL778:AM778"/>
    <mergeCell ref="AN778:AO778"/>
    <mergeCell ref="AP778:AQ778"/>
    <mergeCell ref="AR778:AS778"/>
    <mergeCell ref="AT778:AU778"/>
    <mergeCell ref="AV778:AW778"/>
    <mergeCell ref="AJ773:AK773"/>
    <mergeCell ref="AL773:AM773"/>
    <mergeCell ref="R773:S773"/>
    <mergeCell ref="T773:U773"/>
    <mergeCell ref="V773:W773"/>
    <mergeCell ref="X773:AA773"/>
    <mergeCell ref="AB773:AE773"/>
    <mergeCell ref="AF773:AG773"/>
    <mergeCell ref="AH773:AI773"/>
    <mergeCell ref="R774:S774"/>
    <mergeCell ref="T774:U774"/>
    <mergeCell ref="V774:W774"/>
    <mergeCell ref="X774:AA774"/>
    <mergeCell ref="AB774:AE774"/>
    <mergeCell ref="AF774:AG774"/>
    <mergeCell ref="AH774:AI774"/>
    <mergeCell ref="AX774:AZ774"/>
    <mergeCell ref="BA774:BB774"/>
    <mergeCell ref="BD774:BE774"/>
    <mergeCell ref="B774:C774"/>
    <mergeCell ref="D774:E774"/>
    <mergeCell ref="F774:G774"/>
    <mergeCell ref="H774:I774"/>
    <mergeCell ref="J774:K774"/>
    <mergeCell ref="L774:M774"/>
    <mergeCell ref="P774:Q774"/>
    <mergeCell ref="B775:C775"/>
    <mergeCell ref="D775:E775"/>
    <mergeCell ref="F775:G775"/>
    <mergeCell ref="H775:I775"/>
    <mergeCell ref="J775:K775"/>
    <mergeCell ref="L775:M775"/>
    <mergeCell ref="P775:Q775"/>
    <mergeCell ref="AJ774:AK774"/>
    <mergeCell ref="AJ779:AK779"/>
    <mergeCell ref="AL779:AM779"/>
    <mergeCell ref="R779:S779"/>
    <mergeCell ref="T779:U779"/>
    <mergeCell ref="V779:W779"/>
    <mergeCell ref="X779:AA779"/>
    <mergeCell ref="AB779:AE779"/>
    <mergeCell ref="AF779:AG779"/>
    <mergeCell ref="AH779:AI779"/>
    <mergeCell ref="P767:Q767"/>
    <mergeCell ref="B768:C768"/>
    <mergeCell ref="D768:E768"/>
    <mergeCell ref="F768:G768"/>
    <mergeCell ref="H768:I768"/>
    <mergeCell ref="J768:K768"/>
    <mergeCell ref="L768:M768"/>
    <mergeCell ref="P768:Q768"/>
    <mergeCell ref="AJ767:AK767"/>
    <mergeCell ref="AL767:AM767"/>
    <mergeCell ref="AN767:AO767"/>
    <mergeCell ref="AP767:AQ767"/>
    <mergeCell ref="AR767:AS767"/>
    <mergeCell ref="AT767:AU767"/>
    <mergeCell ref="AV767:AW767"/>
    <mergeCell ref="BD779:BE779"/>
    <mergeCell ref="BF779:BI779"/>
    <mergeCell ref="AN779:AO779"/>
    <mergeCell ref="AP779:AQ779"/>
    <mergeCell ref="AR779:AS779"/>
    <mergeCell ref="AT779:AU779"/>
    <mergeCell ref="AV779:AW779"/>
    <mergeCell ref="AX779:AZ779"/>
    <mergeCell ref="BA779:BB779"/>
    <mergeCell ref="AJ777:AK777"/>
    <mergeCell ref="AL777:AM777"/>
    <mergeCell ref="R777:S777"/>
    <mergeCell ref="T777:U777"/>
    <mergeCell ref="V777:W777"/>
    <mergeCell ref="X777:AA777"/>
    <mergeCell ref="AB777:AE777"/>
    <mergeCell ref="AF777:AG777"/>
    <mergeCell ref="AH777:AI777"/>
    <mergeCell ref="R778:S778"/>
    <mergeCell ref="T778:U778"/>
    <mergeCell ref="V778:W778"/>
    <mergeCell ref="X778:AA778"/>
    <mergeCell ref="AB778:AE778"/>
    <mergeCell ref="AF778:AG778"/>
    <mergeCell ref="AH778:AI778"/>
    <mergeCell ref="AX778:AZ778"/>
    <mergeCell ref="BA778:BB778"/>
    <mergeCell ref="BD778:BE778"/>
    <mergeCell ref="BF778:BI778"/>
    <mergeCell ref="AL774:AM774"/>
    <mergeCell ref="AN774:AO774"/>
    <mergeCell ref="AP774:AQ774"/>
    <mergeCell ref="AR774:AS774"/>
    <mergeCell ref="AT774:AU774"/>
    <mergeCell ref="AV774:AW774"/>
    <mergeCell ref="BD777:BE777"/>
    <mergeCell ref="BF777:BI777"/>
    <mergeCell ref="AN777:AO777"/>
    <mergeCell ref="AP777:AQ777"/>
    <mergeCell ref="AR777:AS777"/>
    <mergeCell ref="AT777:AU777"/>
    <mergeCell ref="AV777:AW777"/>
    <mergeCell ref="AX777:AZ777"/>
    <mergeCell ref="BA777:BB777"/>
    <mergeCell ref="AJ775:AK775"/>
    <mergeCell ref="AL775:AM775"/>
    <mergeCell ref="R775:S775"/>
    <mergeCell ref="T775:U775"/>
    <mergeCell ref="V775:W775"/>
    <mergeCell ref="BJ765:BM765"/>
    <mergeCell ref="BN765:BV765"/>
    <mergeCell ref="BJ766:BM766"/>
    <mergeCell ref="BN766:BV766"/>
    <mergeCell ref="B765:C765"/>
    <mergeCell ref="D765:E765"/>
    <mergeCell ref="F765:G765"/>
    <mergeCell ref="H765:I765"/>
    <mergeCell ref="J765:K765"/>
    <mergeCell ref="L765:M765"/>
    <mergeCell ref="P765:Q765"/>
    <mergeCell ref="B766:C766"/>
    <mergeCell ref="D766:E766"/>
    <mergeCell ref="F766:G766"/>
    <mergeCell ref="H766:I766"/>
    <mergeCell ref="J766:K766"/>
    <mergeCell ref="L766:M766"/>
    <mergeCell ref="P766:Q766"/>
    <mergeCell ref="AJ765:AK765"/>
    <mergeCell ref="AL765:AM765"/>
    <mergeCell ref="AN765:AO765"/>
    <mergeCell ref="AP765:AQ765"/>
    <mergeCell ref="AR765:AS765"/>
    <mergeCell ref="AT765:AU765"/>
    <mergeCell ref="AV765:AW765"/>
    <mergeCell ref="BD768:BE768"/>
    <mergeCell ref="BF768:BI768"/>
    <mergeCell ref="AN768:AO768"/>
    <mergeCell ref="AP768:AQ768"/>
    <mergeCell ref="AR768:AS768"/>
    <mergeCell ref="AT768:AU768"/>
    <mergeCell ref="AV768:AW768"/>
    <mergeCell ref="AX768:AZ768"/>
    <mergeCell ref="BA768:BB768"/>
    <mergeCell ref="AJ766:AK766"/>
    <mergeCell ref="AL766:AM766"/>
    <mergeCell ref="R766:S766"/>
    <mergeCell ref="T766:U766"/>
    <mergeCell ref="V766:W766"/>
    <mergeCell ref="X766:AA766"/>
    <mergeCell ref="AB766:AE766"/>
    <mergeCell ref="AF766:AG766"/>
    <mergeCell ref="AH766:AI766"/>
    <mergeCell ref="R767:S767"/>
    <mergeCell ref="T767:U767"/>
    <mergeCell ref="V767:W767"/>
    <mergeCell ref="X767:AA767"/>
    <mergeCell ref="AB767:AE767"/>
    <mergeCell ref="AF767:AG767"/>
    <mergeCell ref="AH767:AI767"/>
    <mergeCell ref="AX767:AZ767"/>
    <mergeCell ref="BA767:BB767"/>
    <mergeCell ref="BD767:BE767"/>
    <mergeCell ref="BF767:BI767"/>
    <mergeCell ref="BJ767:BM767"/>
    <mergeCell ref="BN767:BV767"/>
    <mergeCell ref="BJ768:BM768"/>
    <mergeCell ref="BN768:BV768"/>
    <mergeCell ref="B767:C767"/>
    <mergeCell ref="D767:E767"/>
    <mergeCell ref="F767:G767"/>
    <mergeCell ref="H767:I767"/>
    <mergeCell ref="J767:K767"/>
    <mergeCell ref="L767:M767"/>
    <mergeCell ref="B763:C763"/>
    <mergeCell ref="D763:E763"/>
    <mergeCell ref="F763:G763"/>
    <mergeCell ref="H763:I763"/>
    <mergeCell ref="J763:K763"/>
    <mergeCell ref="L763:M763"/>
    <mergeCell ref="P763:Q763"/>
    <mergeCell ref="B764:C764"/>
    <mergeCell ref="D764:E764"/>
    <mergeCell ref="F764:G764"/>
    <mergeCell ref="H764:I764"/>
    <mergeCell ref="J764:K764"/>
    <mergeCell ref="L764:M764"/>
    <mergeCell ref="P764:Q764"/>
    <mergeCell ref="AJ763:AK763"/>
    <mergeCell ref="AL763:AM763"/>
    <mergeCell ref="AN763:AO763"/>
    <mergeCell ref="AP763:AQ763"/>
    <mergeCell ref="AR763:AS763"/>
    <mergeCell ref="AT763:AU763"/>
    <mergeCell ref="AV763:AW763"/>
    <mergeCell ref="BD766:BE766"/>
    <mergeCell ref="BF766:BI766"/>
    <mergeCell ref="AN766:AO766"/>
    <mergeCell ref="AP766:AQ766"/>
    <mergeCell ref="AR766:AS766"/>
    <mergeCell ref="AT766:AU766"/>
    <mergeCell ref="AV766:AW766"/>
    <mergeCell ref="AX766:AZ766"/>
    <mergeCell ref="BA766:BB766"/>
    <mergeCell ref="AJ764:AK764"/>
    <mergeCell ref="AL764:AM764"/>
    <mergeCell ref="R764:S764"/>
    <mergeCell ref="T764:U764"/>
    <mergeCell ref="V764:W764"/>
    <mergeCell ref="X764:AA764"/>
    <mergeCell ref="AB764:AE764"/>
    <mergeCell ref="AF764:AG764"/>
    <mergeCell ref="AH764:AI764"/>
    <mergeCell ref="R765:S765"/>
    <mergeCell ref="T765:U765"/>
    <mergeCell ref="V765:W765"/>
    <mergeCell ref="X765:AA765"/>
    <mergeCell ref="AB765:AE765"/>
    <mergeCell ref="AF765:AG765"/>
    <mergeCell ref="AH765:AI765"/>
    <mergeCell ref="AX765:AZ765"/>
    <mergeCell ref="BA765:BB765"/>
    <mergeCell ref="BD765:BE765"/>
    <mergeCell ref="BF765:BI765"/>
    <mergeCell ref="BD764:BE764"/>
    <mergeCell ref="BF764:BI764"/>
    <mergeCell ref="AN764:AO764"/>
    <mergeCell ref="AP764:AQ764"/>
    <mergeCell ref="AR764:AS764"/>
    <mergeCell ref="AT764:AU764"/>
    <mergeCell ref="AV764:AW764"/>
    <mergeCell ref="AX764:AZ764"/>
    <mergeCell ref="BA764:BB764"/>
    <mergeCell ref="AB758:AE758"/>
    <mergeCell ref="AF758:AG758"/>
    <mergeCell ref="AH758:AI758"/>
    <mergeCell ref="R759:S759"/>
    <mergeCell ref="T759:U759"/>
    <mergeCell ref="V759:W759"/>
    <mergeCell ref="X759:AA759"/>
    <mergeCell ref="AB759:AE759"/>
    <mergeCell ref="AF759:AG759"/>
    <mergeCell ref="AH759:AI759"/>
    <mergeCell ref="AJ762:AK762"/>
    <mergeCell ref="AL762:AM762"/>
    <mergeCell ref="R762:S762"/>
    <mergeCell ref="T762:U762"/>
    <mergeCell ref="V762:W762"/>
    <mergeCell ref="X762:AA762"/>
    <mergeCell ref="AB762:AE762"/>
    <mergeCell ref="AF762:AG762"/>
    <mergeCell ref="AH762:AI762"/>
    <mergeCell ref="R763:S763"/>
    <mergeCell ref="T763:U763"/>
    <mergeCell ref="V763:W763"/>
    <mergeCell ref="X763:AA763"/>
    <mergeCell ref="AB763:AE763"/>
    <mergeCell ref="AF763:AG763"/>
    <mergeCell ref="AH763:AI763"/>
    <mergeCell ref="AX763:AZ763"/>
    <mergeCell ref="BA763:BB763"/>
    <mergeCell ref="BD763:BE763"/>
    <mergeCell ref="BF763:BI763"/>
    <mergeCell ref="BJ763:BM763"/>
    <mergeCell ref="BN763:BV763"/>
    <mergeCell ref="BJ764:BM764"/>
    <mergeCell ref="BN764:BV764"/>
    <mergeCell ref="AJ760:AK760"/>
    <mergeCell ref="AL760:AM760"/>
    <mergeCell ref="R760:S760"/>
    <mergeCell ref="T760:U760"/>
    <mergeCell ref="V760:W760"/>
    <mergeCell ref="X760:AA760"/>
    <mergeCell ref="AB760:AE760"/>
    <mergeCell ref="AF760:AG760"/>
    <mergeCell ref="AH760:AI760"/>
    <mergeCell ref="R761:S761"/>
    <mergeCell ref="T761:U761"/>
    <mergeCell ref="V761:W761"/>
    <mergeCell ref="X761:AA761"/>
    <mergeCell ref="AB761:AE761"/>
    <mergeCell ref="AF761:AG761"/>
    <mergeCell ref="AH761:AI761"/>
    <mergeCell ref="AX761:AZ761"/>
    <mergeCell ref="BA761:BB761"/>
    <mergeCell ref="BD761:BE761"/>
    <mergeCell ref="BF761:BI761"/>
    <mergeCell ref="BJ761:BM761"/>
    <mergeCell ref="BN761:BV761"/>
    <mergeCell ref="BJ762:BM762"/>
    <mergeCell ref="BN762:BV762"/>
    <mergeCell ref="BD760:BE760"/>
    <mergeCell ref="BF760:BI760"/>
    <mergeCell ref="AX760:AZ760"/>
    <mergeCell ref="BA760:BB760"/>
    <mergeCell ref="AJ770:AK770"/>
    <mergeCell ref="AL770:AM770"/>
    <mergeCell ref="BJ770:BM770"/>
    <mergeCell ref="BN770:BV770"/>
    <mergeCell ref="R770:S770"/>
    <mergeCell ref="T770:U770"/>
    <mergeCell ref="V770:W770"/>
    <mergeCell ref="X770:AA770"/>
    <mergeCell ref="AB770:AE770"/>
    <mergeCell ref="AF770:AG770"/>
    <mergeCell ref="AH770:AI770"/>
    <mergeCell ref="BD758:BE758"/>
    <mergeCell ref="BF758:BI758"/>
    <mergeCell ref="AN758:AO758"/>
    <mergeCell ref="AP758:AQ758"/>
    <mergeCell ref="AR758:AS758"/>
    <mergeCell ref="AT758:AU758"/>
    <mergeCell ref="AV758:AW758"/>
    <mergeCell ref="AX758:AZ758"/>
    <mergeCell ref="BA758:BB758"/>
    <mergeCell ref="BD762:BE762"/>
    <mergeCell ref="BF762:BI762"/>
    <mergeCell ref="AN762:AO762"/>
    <mergeCell ref="AP762:AQ762"/>
    <mergeCell ref="AR762:AS762"/>
    <mergeCell ref="AT762:AU762"/>
    <mergeCell ref="AV762:AW762"/>
    <mergeCell ref="AX762:AZ762"/>
    <mergeCell ref="BA762:BB762"/>
    <mergeCell ref="B761:C761"/>
    <mergeCell ref="D761:E761"/>
    <mergeCell ref="F761:G761"/>
    <mergeCell ref="H761:I761"/>
    <mergeCell ref="J761:K761"/>
    <mergeCell ref="L761:M761"/>
    <mergeCell ref="P761:Q761"/>
    <mergeCell ref="B762:C762"/>
    <mergeCell ref="D762:E762"/>
    <mergeCell ref="F762:G762"/>
    <mergeCell ref="H762:I762"/>
    <mergeCell ref="J762:K762"/>
    <mergeCell ref="L762:M762"/>
    <mergeCell ref="P762:Q762"/>
    <mergeCell ref="AJ761:AK761"/>
    <mergeCell ref="AL761:AM761"/>
    <mergeCell ref="AN761:AO761"/>
    <mergeCell ref="AP761:AQ761"/>
    <mergeCell ref="AR761:AS761"/>
    <mergeCell ref="AT761:AU761"/>
    <mergeCell ref="AV761:AW761"/>
    <mergeCell ref="B758:C758"/>
    <mergeCell ref="D758:E758"/>
    <mergeCell ref="F758:G758"/>
    <mergeCell ref="H758:I758"/>
    <mergeCell ref="J758:K758"/>
    <mergeCell ref="L758:M758"/>
    <mergeCell ref="P758:Q758"/>
    <mergeCell ref="AN760:AO760"/>
    <mergeCell ref="AP760:AQ760"/>
    <mergeCell ref="AR760:AS760"/>
    <mergeCell ref="AT760:AU760"/>
    <mergeCell ref="AV760:AW760"/>
    <mergeCell ref="AJ758:AK758"/>
    <mergeCell ref="AL758:AM758"/>
    <mergeCell ref="R757:S757"/>
    <mergeCell ref="T757:U757"/>
    <mergeCell ref="V757:W757"/>
    <mergeCell ref="X757:AA757"/>
    <mergeCell ref="AB757:AE757"/>
    <mergeCell ref="AF757:AG757"/>
    <mergeCell ref="AH757:AI757"/>
    <mergeCell ref="AX757:AZ757"/>
    <mergeCell ref="BA757:BB757"/>
    <mergeCell ref="BD757:BE757"/>
    <mergeCell ref="BF757:BI757"/>
    <mergeCell ref="BJ757:BM757"/>
    <mergeCell ref="BN757:BV757"/>
    <mergeCell ref="BJ758:BM758"/>
    <mergeCell ref="BN758:BV758"/>
    <mergeCell ref="BJ759:BM759"/>
    <mergeCell ref="BN759:BV759"/>
    <mergeCell ref="BJ760:BM760"/>
    <mergeCell ref="BN760:BV760"/>
    <mergeCell ref="AJ759:AK759"/>
    <mergeCell ref="AL759:AM759"/>
    <mergeCell ref="AN759:AO759"/>
    <mergeCell ref="AP759:AQ759"/>
    <mergeCell ref="AR759:AS759"/>
    <mergeCell ref="AT759:AU759"/>
    <mergeCell ref="AV759:AW759"/>
    <mergeCell ref="BJ756:BM756"/>
    <mergeCell ref="BN756:BV756"/>
    <mergeCell ref="AX759:AZ759"/>
    <mergeCell ref="BA759:BB759"/>
    <mergeCell ref="BD759:BE759"/>
    <mergeCell ref="BF759:BI759"/>
    <mergeCell ref="B759:C759"/>
    <mergeCell ref="D759:E759"/>
    <mergeCell ref="F759:G759"/>
    <mergeCell ref="H759:I759"/>
    <mergeCell ref="J759:K759"/>
    <mergeCell ref="L759:M759"/>
    <mergeCell ref="P759:Q759"/>
    <mergeCell ref="B760:C760"/>
    <mergeCell ref="D760:E760"/>
    <mergeCell ref="F760:G760"/>
    <mergeCell ref="H760:I760"/>
    <mergeCell ref="J760:K760"/>
    <mergeCell ref="L760:M760"/>
    <mergeCell ref="P760:Q760"/>
    <mergeCell ref="B757:C757"/>
    <mergeCell ref="D757:E757"/>
    <mergeCell ref="F757:G757"/>
    <mergeCell ref="H757:I757"/>
    <mergeCell ref="J757:K757"/>
    <mergeCell ref="L757:M757"/>
    <mergeCell ref="P757:Q757"/>
    <mergeCell ref="AJ757:AK757"/>
    <mergeCell ref="AL757:AM757"/>
    <mergeCell ref="AN757:AO757"/>
    <mergeCell ref="AP757:AQ757"/>
    <mergeCell ref="AR757:AS757"/>
    <mergeCell ref="AT757:AU757"/>
    <mergeCell ref="AV757:AW757"/>
    <mergeCell ref="R758:S758"/>
    <mergeCell ref="T758:U758"/>
    <mergeCell ref="V758:W758"/>
    <mergeCell ref="X758:AA758"/>
    <mergeCell ref="BJ749:BM749"/>
    <mergeCell ref="BN749:BV749"/>
    <mergeCell ref="BJ750:BM750"/>
    <mergeCell ref="BN750:BV750"/>
    <mergeCell ref="B750:C750"/>
    <mergeCell ref="D750:E750"/>
    <mergeCell ref="F750:G750"/>
    <mergeCell ref="H750:I750"/>
    <mergeCell ref="J750:K750"/>
    <mergeCell ref="L750:M750"/>
    <mergeCell ref="P750:Q750"/>
    <mergeCell ref="AJ749:AK749"/>
    <mergeCell ref="AL749:AM749"/>
    <mergeCell ref="AN749:AO749"/>
    <mergeCell ref="AP749:AQ749"/>
    <mergeCell ref="AR749:AS749"/>
    <mergeCell ref="AT749:AU749"/>
    <mergeCell ref="AV749:AW749"/>
    <mergeCell ref="R749:S749"/>
    <mergeCell ref="T749:U749"/>
    <mergeCell ref="V749:W749"/>
    <mergeCell ref="X749:AA749"/>
    <mergeCell ref="AB749:AE749"/>
    <mergeCell ref="AF749:AG749"/>
    <mergeCell ref="AH749:AI749"/>
    <mergeCell ref="B749:C749"/>
    <mergeCell ref="D749:E749"/>
    <mergeCell ref="F749:G749"/>
    <mergeCell ref="H749:I749"/>
    <mergeCell ref="J749:K749"/>
    <mergeCell ref="L749:M749"/>
    <mergeCell ref="P749:Q749"/>
    <mergeCell ref="BD750:BE750"/>
    <mergeCell ref="BF750:BI750"/>
    <mergeCell ref="AN750:AO750"/>
    <mergeCell ref="AP750:AQ750"/>
    <mergeCell ref="AR750:AS750"/>
    <mergeCell ref="AT750:AU750"/>
    <mergeCell ref="AV750:AW750"/>
    <mergeCell ref="AX750:AZ750"/>
    <mergeCell ref="BA750:BB750"/>
    <mergeCell ref="AJ745:AK745"/>
    <mergeCell ref="AL745:AM745"/>
    <mergeCell ref="R745:S745"/>
    <mergeCell ref="T745:U745"/>
    <mergeCell ref="V745:W745"/>
    <mergeCell ref="X745:AA745"/>
    <mergeCell ref="AB745:AE745"/>
    <mergeCell ref="AF745:AG745"/>
    <mergeCell ref="AH745:AI745"/>
    <mergeCell ref="R746:S746"/>
    <mergeCell ref="T746:U746"/>
    <mergeCell ref="V746:W746"/>
    <mergeCell ref="X746:AA746"/>
    <mergeCell ref="AB746:AE746"/>
    <mergeCell ref="AF746:AG746"/>
    <mergeCell ref="AH746:AI746"/>
    <mergeCell ref="AX746:AZ746"/>
    <mergeCell ref="BA746:BB746"/>
    <mergeCell ref="BD746:BE746"/>
    <mergeCell ref="BF746:BI746"/>
    <mergeCell ref="BJ748:BM748"/>
    <mergeCell ref="BN748:BV748"/>
    <mergeCell ref="AJ748:AK748"/>
    <mergeCell ref="AL748:AM748"/>
    <mergeCell ref="AN748:AO748"/>
    <mergeCell ref="AP748:AQ748"/>
    <mergeCell ref="AR748:AS748"/>
    <mergeCell ref="AT748:AU748"/>
    <mergeCell ref="AV748:AW748"/>
    <mergeCell ref="B748:C748"/>
    <mergeCell ref="D748:E748"/>
    <mergeCell ref="F748:G748"/>
    <mergeCell ref="H748:I748"/>
    <mergeCell ref="J748:K748"/>
    <mergeCell ref="L748:M748"/>
    <mergeCell ref="P748:Q748"/>
    <mergeCell ref="R748:S748"/>
    <mergeCell ref="T748:U748"/>
    <mergeCell ref="V748:W748"/>
    <mergeCell ref="BJ746:BM746"/>
    <mergeCell ref="BN746:BV746"/>
    <mergeCell ref="B746:C746"/>
    <mergeCell ref="D746:E746"/>
    <mergeCell ref="F746:G746"/>
    <mergeCell ref="H746:I746"/>
    <mergeCell ref="J746:K746"/>
    <mergeCell ref="L746:M746"/>
    <mergeCell ref="P746:Q746"/>
    <mergeCell ref="AJ746:AK746"/>
    <mergeCell ref="AL746:AM746"/>
    <mergeCell ref="AN746:AO746"/>
    <mergeCell ref="AP746:AQ746"/>
    <mergeCell ref="AR746:AS746"/>
    <mergeCell ref="AT746:AU746"/>
    <mergeCell ref="AV746:AW746"/>
    <mergeCell ref="B747:C747"/>
    <mergeCell ref="D747:E747"/>
    <mergeCell ref="F747:G747"/>
    <mergeCell ref="H747:I747"/>
    <mergeCell ref="J747:K747"/>
    <mergeCell ref="L747:M747"/>
    <mergeCell ref="P747:Q747"/>
    <mergeCell ref="X752:AA752"/>
    <mergeCell ref="AB752:AE752"/>
    <mergeCell ref="AF752:AG752"/>
    <mergeCell ref="AH752:AI752"/>
    <mergeCell ref="R753:S753"/>
    <mergeCell ref="T753:U753"/>
    <mergeCell ref="V753:W753"/>
    <mergeCell ref="X753:AA753"/>
    <mergeCell ref="AB753:AE753"/>
    <mergeCell ref="AF753:AG753"/>
    <mergeCell ref="AH753:AI753"/>
    <mergeCell ref="AX753:AZ753"/>
    <mergeCell ref="BA753:BB753"/>
    <mergeCell ref="BD753:BE753"/>
    <mergeCell ref="BF753:BI753"/>
    <mergeCell ref="BJ753:BM753"/>
    <mergeCell ref="BN753:BV753"/>
    <mergeCell ref="BF751:BI751"/>
    <mergeCell ref="BJ751:BM751"/>
    <mergeCell ref="BN751:BV751"/>
    <mergeCell ref="X748:AA748"/>
    <mergeCell ref="AB748:AE748"/>
    <mergeCell ref="AF748:AG748"/>
    <mergeCell ref="AH748:AI748"/>
    <mergeCell ref="AX748:AZ748"/>
    <mergeCell ref="BA748:BB748"/>
    <mergeCell ref="BD748:BE748"/>
    <mergeCell ref="BF748:BI748"/>
    <mergeCell ref="BD747:BE747"/>
    <mergeCell ref="BF747:BI747"/>
    <mergeCell ref="AN747:AO747"/>
    <mergeCell ref="AP747:AQ747"/>
    <mergeCell ref="AR747:AS747"/>
    <mergeCell ref="AT747:AU747"/>
    <mergeCell ref="AV747:AW747"/>
    <mergeCell ref="AX747:AZ747"/>
    <mergeCell ref="BA747:BB747"/>
    <mergeCell ref="AX749:AZ749"/>
    <mergeCell ref="BA749:BB749"/>
    <mergeCell ref="BD749:BE749"/>
    <mergeCell ref="BF749:BI749"/>
    <mergeCell ref="BJ754:BM754"/>
    <mergeCell ref="BN754:BV754"/>
    <mergeCell ref="B753:C753"/>
    <mergeCell ref="D753:E753"/>
    <mergeCell ref="F753:G753"/>
    <mergeCell ref="H753:I753"/>
    <mergeCell ref="J753:K753"/>
    <mergeCell ref="L753:M753"/>
    <mergeCell ref="P753:Q753"/>
    <mergeCell ref="B754:C754"/>
    <mergeCell ref="D754:E754"/>
    <mergeCell ref="F754:G754"/>
    <mergeCell ref="H754:I754"/>
    <mergeCell ref="J754:K754"/>
    <mergeCell ref="L754:M754"/>
    <mergeCell ref="P754:Q754"/>
    <mergeCell ref="AJ753:AK753"/>
    <mergeCell ref="AL753:AM753"/>
    <mergeCell ref="AN753:AO753"/>
    <mergeCell ref="AP753:AQ753"/>
    <mergeCell ref="AR753:AS753"/>
    <mergeCell ref="AT753:AU753"/>
    <mergeCell ref="AV753:AW753"/>
    <mergeCell ref="BD752:BE752"/>
    <mergeCell ref="BF752:BI752"/>
    <mergeCell ref="AN752:AO752"/>
    <mergeCell ref="AP752:AQ752"/>
    <mergeCell ref="AR752:AS752"/>
    <mergeCell ref="AT752:AU752"/>
    <mergeCell ref="AV752:AW752"/>
    <mergeCell ref="AX752:AZ752"/>
    <mergeCell ref="BA752:BB752"/>
    <mergeCell ref="BJ755:BM755"/>
    <mergeCell ref="BN755:BV755"/>
    <mergeCell ref="B755:C755"/>
    <mergeCell ref="D755:E755"/>
    <mergeCell ref="F755:G755"/>
    <mergeCell ref="H755:I755"/>
    <mergeCell ref="J755:K755"/>
    <mergeCell ref="L755:M755"/>
    <mergeCell ref="P755:Q755"/>
    <mergeCell ref="BJ752:BM752"/>
    <mergeCell ref="BN752:BV752"/>
    <mergeCell ref="B756:C756"/>
    <mergeCell ref="D756:E756"/>
    <mergeCell ref="F756:G756"/>
    <mergeCell ref="H756:I756"/>
    <mergeCell ref="J756:K756"/>
    <mergeCell ref="L756:M756"/>
    <mergeCell ref="P756:Q756"/>
    <mergeCell ref="AJ755:AK755"/>
    <mergeCell ref="AL755:AM755"/>
    <mergeCell ref="AN755:AO755"/>
    <mergeCell ref="AP755:AQ755"/>
    <mergeCell ref="AR755:AS755"/>
    <mergeCell ref="AT755:AU755"/>
    <mergeCell ref="AV755:AW755"/>
    <mergeCell ref="AJ750:AK750"/>
    <mergeCell ref="AL750:AM750"/>
    <mergeCell ref="R750:S750"/>
    <mergeCell ref="T750:U750"/>
    <mergeCell ref="V750:W750"/>
    <mergeCell ref="X750:AA750"/>
    <mergeCell ref="AB750:AE750"/>
    <mergeCell ref="AF750:AG750"/>
    <mergeCell ref="AH750:AI750"/>
    <mergeCell ref="R751:S751"/>
    <mergeCell ref="T751:U751"/>
    <mergeCell ref="V751:W751"/>
    <mergeCell ref="X751:AA751"/>
    <mergeCell ref="AB751:AE751"/>
    <mergeCell ref="AF751:AG751"/>
    <mergeCell ref="AH751:AI751"/>
    <mergeCell ref="AX751:AZ751"/>
    <mergeCell ref="BA751:BB751"/>
    <mergeCell ref="BD751:BE751"/>
    <mergeCell ref="B751:C751"/>
    <mergeCell ref="D751:E751"/>
    <mergeCell ref="F751:G751"/>
    <mergeCell ref="H751:I751"/>
    <mergeCell ref="J751:K751"/>
    <mergeCell ref="L751:M751"/>
    <mergeCell ref="P751:Q751"/>
    <mergeCell ref="B752:C752"/>
    <mergeCell ref="D752:E752"/>
    <mergeCell ref="F752:G752"/>
    <mergeCell ref="H752:I752"/>
    <mergeCell ref="J752:K752"/>
    <mergeCell ref="L752:M752"/>
    <mergeCell ref="P752:Q752"/>
    <mergeCell ref="AJ751:AK751"/>
    <mergeCell ref="AJ756:AK756"/>
    <mergeCell ref="AL756:AM756"/>
    <mergeCell ref="R756:S756"/>
    <mergeCell ref="T756:U756"/>
    <mergeCell ref="V756:W756"/>
    <mergeCell ref="X756:AA756"/>
    <mergeCell ref="AB756:AE756"/>
    <mergeCell ref="AF756:AG756"/>
    <mergeCell ref="AH756:AI756"/>
    <mergeCell ref="P744:Q744"/>
    <mergeCell ref="B745:C745"/>
    <mergeCell ref="D745:E745"/>
    <mergeCell ref="F745:G745"/>
    <mergeCell ref="H745:I745"/>
    <mergeCell ref="J745:K745"/>
    <mergeCell ref="L745:M745"/>
    <mergeCell ref="P745:Q745"/>
    <mergeCell ref="AJ744:AK744"/>
    <mergeCell ref="AL744:AM744"/>
    <mergeCell ref="AN744:AO744"/>
    <mergeCell ref="AP744:AQ744"/>
    <mergeCell ref="AR744:AS744"/>
    <mergeCell ref="AT744:AU744"/>
    <mergeCell ref="AV744:AW744"/>
    <mergeCell ref="BD756:BE756"/>
    <mergeCell ref="BF756:BI756"/>
    <mergeCell ref="AN756:AO756"/>
    <mergeCell ref="AP756:AQ756"/>
    <mergeCell ref="AR756:AS756"/>
    <mergeCell ref="AT756:AU756"/>
    <mergeCell ref="AV756:AW756"/>
    <mergeCell ref="AX756:AZ756"/>
    <mergeCell ref="BA756:BB756"/>
    <mergeCell ref="AJ754:AK754"/>
    <mergeCell ref="AL754:AM754"/>
    <mergeCell ref="R754:S754"/>
    <mergeCell ref="T754:U754"/>
    <mergeCell ref="V754:W754"/>
    <mergeCell ref="X754:AA754"/>
    <mergeCell ref="AB754:AE754"/>
    <mergeCell ref="AF754:AG754"/>
    <mergeCell ref="AH754:AI754"/>
    <mergeCell ref="R755:S755"/>
    <mergeCell ref="T755:U755"/>
    <mergeCell ref="V755:W755"/>
    <mergeCell ref="X755:AA755"/>
    <mergeCell ref="AB755:AE755"/>
    <mergeCell ref="AF755:AG755"/>
    <mergeCell ref="AH755:AI755"/>
    <mergeCell ref="AX755:AZ755"/>
    <mergeCell ref="BA755:BB755"/>
    <mergeCell ref="BD755:BE755"/>
    <mergeCell ref="BF755:BI755"/>
    <mergeCell ref="AL751:AM751"/>
    <mergeCell ref="AN751:AO751"/>
    <mergeCell ref="AP751:AQ751"/>
    <mergeCell ref="AR751:AS751"/>
    <mergeCell ref="AT751:AU751"/>
    <mergeCell ref="AV751:AW751"/>
    <mergeCell ref="BD754:BE754"/>
    <mergeCell ref="BF754:BI754"/>
    <mergeCell ref="AN754:AO754"/>
    <mergeCell ref="AP754:AQ754"/>
    <mergeCell ref="AR754:AS754"/>
    <mergeCell ref="AT754:AU754"/>
    <mergeCell ref="AV754:AW754"/>
    <mergeCell ref="AX754:AZ754"/>
    <mergeCell ref="BA754:BB754"/>
    <mergeCell ref="AJ752:AK752"/>
    <mergeCell ref="AL752:AM752"/>
    <mergeCell ref="R752:S752"/>
    <mergeCell ref="T752:U752"/>
    <mergeCell ref="V752:W752"/>
    <mergeCell ref="BJ742:BM742"/>
    <mergeCell ref="BN742:BV742"/>
    <mergeCell ref="BJ743:BM743"/>
    <mergeCell ref="BN743:BV743"/>
    <mergeCell ref="B742:C742"/>
    <mergeCell ref="D742:E742"/>
    <mergeCell ref="F742:G742"/>
    <mergeCell ref="H742:I742"/>
    <mergeCell ref="J742:K742"/>
    <mergeCell ref="L742:M742"/>
    <mergeCell ref="P742:Q742"/>
    <mergeCell ref="B743:C743"/>
    <mergeCell ref="D743:E743"/>
    <mergeCell ref="F743:G743"/>
    <mergeCell ref="H743:I743"/>
    <mergeCell ref="J743:K743"/>
    <mergeCell ref="L743:M743"/>
    <mergeCell ref="P743:Q743"/>
    <mergeCell ref="AJ742:AK742"/>
    <mergeCell ref="AL742:AM742"/>
    <mergeCell ref="AN742:AO742"/>
    <mergeCell ref="AP742:AQ742"/>
    <mergeCell ref="AR742:AS742"/>
    <mergeCell ref="AT742:AU742"/>
    <mergeCell ref="AV742:AW742"/>
    <mergeCell ref="BD745:BE745"/>
    <mergeCell ref="BF745:BI745"/>
    <mergeCell ref="AN745:AO745"/>
    <mergeCell ref="AP745:AQ745"/>
    <mergeCell ref="AR745:AS745"/>
    <mergeCell ref="AT745:AU745"/>
    <mergeCell ref="AV745:AW745"/>
    <mergeCell ref="AX745:AZ745"/>
    <mergeCell ref="BA745:BB745"/>
    <mergeCell ref="AJ743:AK743"/>
    <mergeCell ref="AL743:AM743"/>
    <mergeCell ref="R743:S743"/>
    <mergeCell ref="T743:U743"/>
    <mergeCell ref="V743:W743"/>
    <mergeCell ref="X743:AA743"/>
    <mergeCell ref="AB743:AE743"/>
    <mergeCell ref="AF743:AG743"/>
    <mergeCell ref="AH743:AI743"/>
    <mergeCell ref="R744:S744"/>
    <mergeCell ref="T744:U744"/>
    <mergeCell ref="V744:W744"/>
    <mergeCell ref="X744:AA744"/>
    <mergeCell ref="AB744:AE744"/>
    <mergeCell ref="AF744:AG744"/>
    <mergeCell ref="AH744:AI744"/>
    <mergeCell ref="AX744:AZ744"/>
    <mergeCell ref="BA744:BB744"/>
    <mergeCell ref="BD744:BE744"/>
    <mergeCell ref="BF744:BI744"/>
    <mergeCell ref="BJ744:BM744"/>
    <mergeCell ref="BN744:BV744"/>
    <mergeCell ref="BJ745:BM745"/>
    <mergeCell ref="BN745:BV745"/>
    <mergeCell ref="B744:C744"/>
    <mergeCell ref="D744:E744"/>
    <mergeCell ref="F744:G744"/>
    <mergeCell ref="H744:I744"/>
    <mergeCell ref="J744:K744"/>
    <mergeCell ref="L744:M744"/>
    <mergeCell ref="B740:C740"/>
    <mergeCell ref="D740:E740"/>
    <mergeCell ref="F740:G740"/>
    <mergeCell ref="H740:I740"/>
    <mergeCell ref="J740:K740"/>
    <mergeCell ref="L740:M740"/>
    <mergeCell ref="P740:Q740"/>
    <mergeCell ref="B741:C741"/>
    <mergeCell ref="D741:E741"/>
    <mergeCell ref="F741:G741"/>
    <mergeCell ref="H741:I741"/>
    <mergeCell ref="J741:K741"/>
    <mergeCell ref="L741:M741"/>
    <mergeCell ref="P741:Q741"/>
    <mergeCell ref="AJ740:AK740"/>
    <mergeCell ref="AL740:AM740"/>
    <mergeCell ref="AN740:AO740"/>
    <mergeCell ref="AP740:AQ740"/>
    <mergeCell ref="AR740:AS740"/>
    <mergeCell ref="AT740:AU740"/>
    <mergeCell ref="AV740:AW740"/>
    <mergeCell ref="BD743:BE743"/>
    <mergeCell ref="BF743:BI743"/>
    <mergeCell ref="AN743:AO743"/>
    <mergeCell ref="AP743:AQ743"/>
    <mergeCell ref="AR743:AS743"/>
    <mergeCell ref="AT743:AU743"/>
    <mergeCell ref="AV743:AW743"/>
    <mergeCell ref="AX743:AZ743"/>
    <mergeCell ref="BA743:BB743"/>
    <mergeCell ref="AJ741:AK741"/>
    <mergeCell ref="AL741:AM741"/>
    <mergeCell ref="R741:S741"/>
    <mergeCell ref="T741:U741"/>
    <mergeCell ref="V741:W741"/>
    <mergeCell ref="X741:AA741"/>
    <mergeCell ref="AB741:AE741"/>
    <mergeCell ref="AF741:AG741"/>
    <mergeCell ref="AH741:AI741"/>
    <mergeCell ref="R742:S742"/>
    <mergeCell ref="T742:U742"/>
    <mergeCell ref="V742:W742"/>
    <mergeCell ref="X742:AA742"/>
    <mergeCell ref="AB742:AE742"/>
    <mergeCell ref="AF742:AG742"/>
    <mergeCell ref="AH742:AI742"/>
    <mergeCell ref="AX742:AZ742"/>
    <mergeCell ref="BA742:BB742"/>
    <mergeCell ref="BD742:BE742"/>
    <mergeCell ref="BF742:BI742"/>
    <mergeCell ref="BD741:BE741"/>
    <mergeCell ref="BF741:BI741"/>
    <mergeCell ref="AN741:AO741"/>
    <mergeCell ref="AP741:AQ741"/>
    <mergeCell ref="AR741:AS741"/>
    <mergeCell ref="AT741:AU741"/>
    <mergeCell ref="AV741:AW741"/>
    <mergeCell ref="AX741:AZ741"/>
    <mergeCell ref="BA741:BB741"/>
    <mergeCell ref="AB735:AE735"/>
    <mergeCell ref="AF735:AG735"/>
    <mergeCell ref="AH735:AI735"/>
    <mergeCell ref="R736:S736"/>
    <mergeCell ref="T736:U736"/>
    <mergeCell ref="V736:W736"/>
    <mergeCell ref="X736:AA736"/>
    <mergeCell ref="AB736:AE736"/>
    <mergeCell ref="AF736:AG736"/>
    <mergeCell ref="AH736:AI736"/>
    <mergeCell ref="AJ739:AK739"/>
    <mergeCell ref="AL739:AM739"/>
    <mergeCell ref="R739:S739"/>
    <mergeCell ref="T739:U739"/>
    <mergeCell ref="V739:W739"/>
    <mergeCell ref="X739:AA739"/>
    <mergeCell ref="AB739:AE739"/>
    <mergeCell ref="AF739:AG739"/>
    <mergeCell ref="AH739:AI739"/>
    <mergeCell ref="R740:S740"/>
    <mergeCell ref="T740:U740"/>
    <mergeCell ref="V740:W740"/>
    <mergeCell ref="X740:AA740"/>
    <mergeCell ref="AB740:AE740"/>
    <mergeCell ref="AF740:AG740"/>
    <mergeCell ref="AH740:AI740"/>
    <mergeCell ref="AX740:AZ740"/>
    <mergeCell ref="BA740:BB740"/>
    <mergeCell ref="BD740:BE740"/>
    <mergeCell ref="BF740:BI740"/>
    <mergeCell ref="BJ740:BM740"/>
    <mergeCell ref="BN740:BV740"/>
    <mergeCell ref="BJ741:BM741"/>
    <mergeCell ref="BN741:BV741"/>
    <mergeCell ref="AJ737:AK737"/>
    <mergeCell ref="AL737:AM737"/>
    <mergeCell ref="R737:S737"/>
    <mergeCell ref="T737:U737"/>
    <mergeCell ref="V737:W737"/>
    <mergeCell ref="X737:AA737"/>
    <mergeCell ref="AB737:AE737"/>
    <mergeCell ref="AF737:AG737"/>
    <mergeCell ref="AH737:AI737"/>
    <mergeCell ref="R738:S738"/>
    <mergeCell ref="T738:U738"/>
    <mergeCell ref="V738:W738"/>
    <mergeCell ref="X738:AA738"/>
    <mergeCell ref="AB738:AE738"/>
    <mergeCell ref="AF738:AG738"/>
    <mergeCell ref="AH738:AI738"/>
    <mergeCell ref="AX738:AZ738"/>
    <mergeCell ref="BA738:BB738"/>
    <mergeCell ref="BD738:BE738"/>
    <mergeCell ref="BF738:BI738"/>
    <mergeCell ref="BJ738:BM738"/>
    <mergeCell ref="BN738:BV738"/>
    <mergeCell ref="BJ739:BM739"/>
    <mergeCell ref="BN739:BV739"/>
    <mergeCell ref="BD737:BE737"/>
    <mergeCell ref="BF737:BI737"/>
    <mergeCell ref="AX737:AZ737"/>
    <mergeCell ref="BA737:BB737"/>
    <mergeCell ref="AJ747:AK747"/>
    <mergeCell ref="AL747:AM747"/>
    <mergeCell ref="BJ747:BM747"/>
    <mergeCell ref="BN747:BV747"/>
    <mergeCell ref="R747:S747"/>
    <mergeCell ref="T747:U747"/>
    <mergeCell ref="V747:W747"/>
    <mergeCell ref="X747:AA747"/>
    <mergeCell ref="AB747:AE747"/>
    <mergeCell ref="AF747:AG747"/>
    <mergeCell ref="AH747:AI747"/>
    <mergeCell ref="BD735:BE735"/>
    <mergeCell ref="BF735:BI735"/>
    <mergeCell ref="AN735:AO735"/>
    <mergeCell ref="AP735:AQ735"/>
    <mergeCell ref="AR735:AS735"/>
    <mergeCell ref="AT735:AU735"/>
    <mergeCell ref="AV735:AW735"/>
    <mergeCell ref="AX735:AZ735"/>
    <mergeCell ref="BA735:BB735"/>
    <mergeCell ref="BD739:BE739"/>
    <mergeCell ref="BF739:BI739"/>
    <mergeCell ref="AN739:AO739"/>
    <mergeCell ref="AP739:AQ739"/>
    <mergeCell ref="AR739:AS739"/>
    <mergeCell ref="AT739:AU739"/>
    <mergeCell ref="AV739:AW739"/>
    <mergeCell ref="AX739:AZ739"/>
    <mergeCell ref="BA739:BB739"/>
    <mergeCell ref="B738:C738"/>
    <mergeCell ref="D738:E738"/>
    <mergeCell ref="F738:G738"/>
    <mergeCell ref="H738:I738"/>
    <mergeCell ref="J738:K738"/>
    <mergeCell ref="L738:M738"/>
    <mergeCell ref="P738:Q738"/>
    <mergeCell ref="B739:C739"/>
    <mergeCell ref="D739:E739"/>
    <mergeCell ref="F739:G739"/>
    <mergeCell ref="H739:I739"/>
    <mergeCell ref="J739:K739"/>
    <mergeCell ref="L739:M739"/>
    <mergeCell ref="P739:Q739"/>
    <mergeCell ref="AJ738:AK738"/>
    <mergeCell ref="AL738:AM738"/>
    <mergeCell ref="AN738:AO738"/>
    <mergeCell ref="AP738:AQ738"/>
    <mergeCell ref="AR738:AS738"/>
    <mergeCell ref="AT738:AU738"/>
    <mergeCell ref="AV738:AW738"/>
    <mergeCell ref="B735:C735"/>
    <mergeCell ref="D735:E735"/>
    <mergeCell ref="F735:G735"/>
    <mergeCell ref="H735:I735"/>
    <mergeCell ref="J735:K735"/>
    <mergeCell ref="L735:M735"/>
    <mergeCell ref="P735:Q735"/>
    <mergeCell ref="AN737:AO737"/>
    <mergeCell ref="AP737:AQ737"/>
    <mergeCell ref="AR737:AS737"/>
    <mergeCell ref="AT737:AU737"/>
    <mergeCell ref="AV737:AW737"/>
    <mergeCell ref="AJ735:AK735"/>
    <mergeCell ref="AL735:AM735"/>
    <mergeCell ref="R734:S734"/>
    <mergeCell ref="T734:U734"/>
    <mergeCell ref="V734:W734"/>
    <mergeCell ref="X734:AA734"/>
    <mergeCell ref="AB734:AE734"/>
    <mergeCell ref="AF734:AG734"/>
    <mergeCell ref="AH734:AI734"/>
    <mergeCell ref="AX734:AZ734"/>
    <mergeCell ref="BA734:BB734"/>
    <mergeCell ref="BD734:BE734"/>
    <mergeCell ref="BF734:BI734"/>
    <mergeCell ref="BJ734:BM734"/>
    <mergeCell ref="BN734:BV734"/>
    <mergeCell ref="BJ735:BM735"/>
    <mergeCell ref="BN735:BV735"/>
    <mergeCell ref="BJ736:BM736"/>
    <mergeCell ref="BN736:BV736"/>
    <mergeCell ref="BJ737:BM737"/>
    <mergeCell ref="BN737:BV737"/>
    <mergeCell ref="AJ736:AK736"/>
    <mergeCell ref="AL736:AM736"/>
    <mergeCell ref="AN736:AO736"/>
    <mergeCell ref="AP736:AQ736"/>
    <mergeCell ref="AR736:AS736"/>
    <mergeCell ref="AT736:AU736"/>
    <mergeCell ref="AV736:AW736"/>
    <mergeCell ref="BJ733:BM733"/>
    <mergeCell ref="BN733:BV733"/>
    <mergeCell ref="AX736:AZ736"/>
    <mergeCell ref="BA736:BB736"/>
    <mergeCell ref="BD736:BE736"/>
    <mergeCell ref="BF736:BI736"/>
    <mergeCell ref="B736:C736"/>
    <mergeCell ref="D736:E736"/>
    <mergeCell ref="F736:G736"/>
    <mergeCell ref="H736:I736"/>
    <mergeCell ref="J736:K736"/>
    <mergeCell ref="L736:M736"/>
    <mergeCell ref="P736:Q736"/>
    <mergeCell ref="B737:C737"/>
    <mergeCell ref="D737:E737"/>
    <mergeCell ref="F737:G737"/>
    <mergeCell ref="H737:I737"/>
    <mergeCell ref="J737:K737"/>
    <mergeCell ref="L737:M737"/>
    <mergeCell ref="P737:Q737"/>
    <mergeCell ref="B734:C734"/>
    <mergeCell ref="D734:E734"/>
    <mergeCell ref="F734:G734"/>
    <mergeCell ref="H734:I734"/>
    <mergeCell ref="J734:K734"/>
    <mergeCell ref="L734:M734"/>
    <mergeCell ref="P734:Q734"/>
    <mergeCell ref="AJ734:AK734"/>
    <mergeCell ref="AL734:AM734"/>
    <mergeCell ref="AN734:AO734"/>
    <mergeCell ref="AP734:AQ734"/>
    <mergeCell ref="AR734:AS734"/>
    <mergeCell ref="AT734:AU734"/>
    <mergeCell ref="AV734:AW734"/>
    <mergeCell ref="R735:S735"/>
    <mergeCell ref="T735:U735"/>
    <mergeCell ref="V735:W735"/>
    <mergeCell ref="X735:AA735"/>
    <mergeCell ref="BJ726:BM726"/>
    <mergeCell ref="BN726:BV726"/>
    <mergeCell ref="BJ727:BM727"/>
    <mergeCell ref="BN727:BV727"/>
    <mergeCell ref="B727:C727"/>
    <mergeCell ref="D727:E727"/>
    <mergeCell ref="F727:G727"/>
    <mergeCell ref="H727:I727"/>
    <mergeCell ref="J727:K727"/>
    <mergeCell ref="L727:M727"/>
    <mergeCell ref="P727:Q727"/>
    <mergeCell ref="AJ726:AK726"/>
    <mergeCell ref="AL726:AM726"/>
    <mergeCell ref="AN726:AO726"/>
    <mergeCell ref="AP726:AQ726"/>
    <mergeCell ref="AR726:AS726"/>
    <mergeCell ref="AT726:AU726"/>
    <mergeCell ref="AV726:AW726"/>
    <mergeCell ref="R726:S726"/>
    <mergeCell ref="T726:U726"/>
    <mergeCell ref="V726:W726"/>
    <mergeCell ref="X726:AA726"/>
    <mergeCell ref="AB726:AE726"/>
    <mergeCell ref="AF726:AG726"/>
    <mergeCell ref="AH726:AI726"/>
    <mergeCell ref="B726:C726"/>
    <mergeCell ref="D726:E726"/>
    <mergeCell ref="F726:G726"/>
    <mergeCell ref="H726:I726"/>
    <mergeCell ref="J726:K726"/>
    <mergeCell ref="L726:M726"/>
    <mergeCell ref="P726:Q726"/>
    <mergeCell ref="BD727:BE727"/>
    <mergeCell ref="BF727:BI727"/>
    <mergeCell ref="AN727:AO727"/>
    <mergeCell ref="AP727:AQ727"/>
    <mergeCell ref="AR727:AS727"/>
    <mergeCell ref="AT727:AU727"/>
    <mergeCell ref="AV727:AW727"/>
    <mergeCell ref="AX727:AZ727"/>
    <mergeCell ref="BA727:BB727"/>
    <mergeCell ref="AJ722:AK722"/>
    <mergeCell ref="AL722:AM722"/>
    <mergeCell ref="R722:S722"/>
    <mergeCell ref="T722:U722"/>
    <mergeCell ref="V722:W722"/>
    <mergeCell ref="X722:AA722"/>
    <mergeCell ref="AB722:AE722"/>
    <mergeCell ref="AF722:AG722"/>
    <mergeCell ref="AH722:AI722"/>
    <mergeCell ref="R723:S723"/>
    <mergeCell ref="T723:U723"/>
    <mergeCell ref="V723:W723"/>
    <mergeCell ref="X723:AA723"/>
    <mergeCell ref="AB723:AE723"/>
    <mergeCell ref="AF723:AG723"/>
    <mergeCell ref="AH723:AI723"/>
    <mergeCell ref="AX723:AZ723"/>
    <mergeCell ref="BA723:BB723"/>
    <mergeCell ref="BD723:BE723"/>
    <mergeCell ref="BF723:BI723"/>
    <mergeCell ref="BJ725:BM725"/>
    <mergeCell ref="BN725:BV725"/>
    <mergeCell ref="AJ725:AK725"/>
    <mergeCell ref="AL725:AM725"/>
    <mergeCell ref="AN725:AO725"/>
    <mergeCell ref="AP725:AQ725"/>
    <mergeCell ref="AR725:AS725"/>
    <mergeCell ref="AT725:AU725"/>
    <mergeCell ref="AV725:AW725"/>
    <mergeCell ref="B725:C725"/>
    <mergeCell ref="D725:E725"/>
    <mergeCell ref="F725:G725"/>
    <mergeCell ref="H725:I725"/>
    <mergeCell ref="J725:K725"/>
    <mergeCell ref="L725:M725"/>
    <mergeCell ref="P725:Q725"/>
    <mergeCell ref="R725:S725"/>
    <mergeCell ref="T725:U725"/>
    <mergeCell ref="V725:W725"/>
    <mergeCell ref="BJ723:BM723"/>
    <mergeCell ref="BN723:BV723"/>
    <mergeCell ref="B723:C723"/>
    <mergeCell ref="D723:E723"/>
    <mergeCell ref="F723:G723"/>
    <mergeCell ref="H723:I723"/>
    <mergeCell ref="J723:K723"/>
    <mergeCell ref="L723:M723"/>
    <mergeCell ref="P723:Q723"/>
    <mergeCell ref="AJ723:AK723"/>
    <mergeCell ref="AL723:AM723"/>
    <mergeCell ref="AN723:AO723"/>
    <mergeCell ref="AP723:AQ723"/>
    <mergeCell ref="AR723:AS723"/>
    <mergeCell ref="AT723:AU723"/>
    <mergeCell ref="AV723:AW723"/>
    <mergeCell ref="B724:C724"/>
    <mergeCell ref="D724:E724"/>
    <mergeCell ref="F724:G724"/>
    <mergeCell ref="H724:I724"/>
    <mergeCell ref="J724:K724"/>
    <mergeCell ref="L724:M724"/>
    <mergeCell ref="P724:Q724"/>
    <mergeCell ref="X729:AA729"/>
    <mergeCell ref="AB729:AE729"/>
    <mergeCell ref="AF729:AG729"/>
    <mergeCell ref="AH729:AI729"/>
    <mergeCell ref="R730:S730"/>
    <mergeCell ref="T730:U730"/>
    <mergeCell ref="V730:W730"/>
    <mergeCell ref="X730:AA730"/>
    <mergeCell ref="AB730:AE730"/>
    <mergeCell ref="AF730:AG730"/>
    <mergeCell ref="AH730:AI730"/>
    <mergeCell ref="AX730:AZ730"/>
    <mergeCell ref="BA730:BB730"/>
    <mergeCell ref="BD730:BE730"/>
    <mergeCell ref="BF730:BI730"/>
    <mergeCell ref="BJ730:BM730"/>
    <mergeCell ref="BN730:BV730"/>
    <mergeCell ref="BF728:BI728"/>
    <mergeCell ref="BJ728:BM728"/>
    <mergeCell ref="BN728:BV728"/>
    <mergeCell ref="X725:AA725"/>
    <mergeCell ref="AB725:AE725"/>
    <mergeCell ref="AF725:AG725"/>
    <mergeCell ref="AH725:AI725"/>
    <mergeCell ref="AX725:AZ725"/>
    <mergeCell ref="BA725:BB725"/>
    <mergeCell ref="BD725:BE725"/>
    <mergeCell ref="BF725:BI725"/>
    <mergeCell ref="BD724:BE724"/>
    <mergeCell ref="BF724:BI724"/>
    <mergeCell ref="AN724:AO724"/>
    <mergeCell ref="AP724:AQ724"/>
    <mergeCell ref="AR724:AS724"/>
    <mergeCell ref="AT724:AU724"/>
    <mergeCell ref="AV724:AW724"/>
    <mergeCell ref="AX724:AZ724"/>
    <mergeCell ref="BA724:BB724"/>
    <mergeCell ref="AX726:AZ726"/>
    <mergeCell ref="BA726:BB726"/>
    <mergeCell ref="BD726:BE726"/>
    <mergeCell ref="BF726:BI726"/>
    <mergeCell ref="BJ731:BM731"/>
    <mergeCell ref="BN731:BV731"/>
    <mergeCell ref="B730:C730"/>
    <mergeCell ref="D730:E730"/>
    <mergeCell ref="F730:G730"/>
    <mergeCell ref="H730:I730"/>
    <mergeCell ref="J730:K730"/>
    <mergeCell ref="L730:M730"/>
    <mergeCell ref="P730:Q730"/>
    <mergeCell ref="B731:C731"/>
    <mergeCell ref="D731:E731"/>
    <mergeCell ref="F731:G731"/>
    <mergeCell ref="H731:I731"/>
    <mergeCell ref="J731:K731"/>
    <mergeCell ref="L731:M731"/>
    <mergeCell ref="P731:Q731"/>
    <mergeCell ref="AJ730:AK730"/>
    <mergeCell ref="AL730:AM730"/>
    <mergeCell ref="AN730:AO730"/>
    <mergeCell ref="AP730:AQ730"/>
    <mergeCell ref="AR730:AS730"/>
    <mergeCell ref="AT730:AU730"/>
    <mergeCell ref="AV730:AW730"/>
    <mergeCell ref="BD729:BE729"/>
    <mergeCell ref="BF729:BI729"/>
    <mergeCell ref="AN729:AO729"/>
    <mergeCell ref="AP729:AQ729"/>
    <mergeCell ref="AR729:AS729"/>
    <mergeCell ref="AT729:AU729"/>
    <mergeCell ref="AV729:AW729"/>
    <mergeCell ref="AX729:AZ729"/>
    <mergeCell ref="BA729:BB729"/>
    <mergeCell ref="BJ732:BM732"/>
    <mergeCell ref="BN732:BV732"/>
    <mergeCell ref="B732:C732"/>
    <mergeCell ref="D732:E732"/>
    <mergeCell ref="F732:G732"/>
    <mergeCell ref="H732:I732"/>
    <mergeCell ref="J732:K732"/>
    <mergeCell ref="L732:M732"/>
    <mergeCell ref="P732:Q732"/>
    <mergeCell ref="BJ729:BM729"/>
    <mergeCell ref="BN729:BV729"/>
    <mergeCell ref="B733:C733"/>
    <mergeCell ref="D733:E733"/>
    <mergeCell ref="F733:G733"/>
    <mergeCell ref="H733:I733"/>
    <mergeCell ref="J733:K733"/>
    <mergeCell ref="L733:M733"/>
    <mergeCell ref="P733:Q733"/>
    <mergeCell ref="AJ732:AK732"/>
    <mergeCell ref="AL732:AM732"/>
    <mergeCell ref="AN732:AO732"/>
    <mergeCell ref="AP732:AQ732"/>
    <mergeCell ref="AR732:AS732"/>
    <mergeCell ref="AT732:AU732"/>
    <mergeCell ref="AV732:AW732"/>
    <mergeCell ref="AJ727:AK727"/>
    <mergeCell ref="AL727:AM727"/>
    <mergeCell ref="R727:S727"/>
    <mergeCell ref="T727:U727"/>
    <mergeCell ref="V727:W727"/>
    <mergeCell ref="X727:AA727"/>
    <mergeCell ref="AB727:AE727"/>
    <mergeCell ref="AF727:AG727"/>
    <mergeCell ref="AH727:AI727"/>
    <mergeCell ref="R728:S728"/>
    <mergeCell ref="T728:U728"/>
    <mergeCell ref="V728:W728"/>
    <mergeCell ref="X728:AA728"/>
    <mergeCell ref="AB728:AE728"/>
    <mergeCell ref="AF728:AG728"/>
    <mergeCell ref="AH728:AI728"/>
    <mergeCell ref="AX728:AZ728"/>
    <mergeCell ref="BA728:BB728"/>
    <mergeCell ref="BD728:BE728"/>
    <mergeCell ref="B728:C728"/>
    <mergeCell ref="D728:E728"/>
    <mergeCell ref="F728:G728"/>
    <mergeCell ref="H728:I728"/>
    <mergeCell ref="J728:K728"/>
    <mergeCell ref="L728:M728"/>
    <mergeCell ref="P728:Q728"/>
    <mergeCell ref="B729:C729"/>
    <mergeCell ref="D729:E729"/>
    <mergeCell ref="F729:G729"/>
    <mergeCell ref="H729:I729"/>
    <mergeCell ref="J729:K729"/>
    <mergeCell ref="L729:M729"/>
    <mergeCell ref="P729:Q729"/>
    <mergeCell ref="AJ728:AK728"/>
    <mergeCell ref="AJ733:AK733"/>
    <mergeCell ref="AL733:AM733"/>
    <mergeCell ref="R733:S733"/>
    <mergeCell ref="T733:U733"/>
    <mergeCell ref="V733:W733"/>
    <mergeCell ref="X733:AA733"/>
    <mergeCell ref="AB733:AE733"/>
    <mergeCell ref="AF733:AG733"/>
    <mergeCell ref="AH733:AI733"/>
    <mergeCell ref="P721:Q721"/>
    <mergeCell ref="B722:C722"/>
    <mergeCell ref="D722:E722"/>
    <mergeCell ref="F722:G722"/>
    <mergeCell ref="H722:I722"/>
    <mergeCell ref="J722:K722"/>
    <mergeCell ref="L722:M722"/>
    <mergeCell ref="P722:Q722"/>
    <mergeCell ref="AJ721:AK721"/>
    <mergeCell ref="AL721:AM721"/>
    <mergeCell ref="AN721:AO721"/>
    <mergeCell ref="AP721:AQ721"/>
    <mergeCell ref="AR721:AS721"/>
    <mergeCell ref="AT721:AU721"/>
    <mergeCell ref="AV721:AW721"/>
    <mergeCell ref="BD733:BE733"/>
    <mergeCell ref="BF733:BI733"/>
    <mergeCell ref="AN733:AO733"/>
    <mergeCell ref="AP733:AQ733"/>
    <mergeCell ref="AR733:AS733"/>
    <mergeCell ref="AT733:AU733"/>
    <mergeCell ref="AV733:AW733"/>
    <mergeCell ref="AX733:AZ733"/>
    <mergeCell ref="BA733:BB733"/>
    <mergeCell ref="AJ731:AK731"/>
    <mergeCell ref="AL731:AM731"/>
    <mergeCell ref="R731:S731"/>
    <mergeCell ref="T731:U731"/>
    <mergeCell ref="V731:W731"/>
    <mergeCell ref="X731:AA731"/>
    <mergeCell ref="AB731:AE731"/>
    <mergeCell ref="AF731:AG731"/>
    <mergeCell ref="AH731:AI731"/>
    <mergeCell ref="R732:S732"/>
    <mergeCell ref="T732:U732"/>
    <mergeCell ref="V732:W732"/>
    <mergeCell ref="X732:AA732"/>
    <mergeCell ref="AB732:AE732"/>
    <mergeCell ref="AF732:AG732"/>
    <mergeCell ref="AH732:AI732"/>
    <mergeCell ref="AX732:AZ732"/>
    <mergeCell ref="BA732:BB732"/>
    <mergeCell ref="BD732:BE732"/>
    <mergeCell ref="BF732:BI732"/>
    <mergeCell ref="AL728:AM728"/>
    <mergeCell ref="AN728:AO728"/>
    <mergeCell ref="AP728:AQ728"/>
    <mergeCell ref="AR728:AS728"/>
    <mergeCell ref="AT728:AU728"/>
    <mergeCell ref="AV728:AW728"/>
    <mergeCell ref="BD731:BE731"/>
    <mergeCell ref="BF731:BI731"/>
    <mergeCell ref="AN731:AO731"/>
    <mergeCell ref="AP731:AQ731"/>
    <mergeCell ref="AR731:AS731"/>
    <mergeCell ref="AT731:AU731"/>
    <mergeCell ref="AV731:AW731"/>
    <mergeCell ref="AX731:AZ731"/>
    <mergeCell ref="BA731:BB731"/>
    <mergeCell ref="AJ729:AK729"/>
    <mergeCell ref="AL729:AM729"/>
    <mergeCell ref="R729:S729"/>
    <mergeCell ref="T729:U729"/>
    <mergeCell ref="V729:W729"/>
    <mergeCell ref="BJ719:BM719"/>
    <mergeCell ref="BN719:BV719"/>
    <mergeCell ref="BJ720:BM720"/>
    <mergeCell ref="BN720:BV720"/>
    <mergeCell ref="B719:C719"/>
    <mergeCell ref="D719:E719"/>
    <mergeCell ref="F719:G719"/>
    <mergeCell ref="H719:I719"/>
    <mergeCell ref="J719:K719"/>
    <mergeCell ref="L719:M719"/>
    <mergeCell ref="P719:Q719"/>
    <mergeCell ref="B720:C720"/>
    <mergeCell ref="D720:E720"/>
    <mergeCell ref="F720:G720"/>
    <mergeCell ref="H720:I720"/>
    <mergeCell ref="J720:K720"/>
    <mergeCell ref="L720:M720"/>
    <mergeCell ref="P720:Q720"/>
    <mergeCell ref="AJ719:AK719"/>
    <mergeCell ref="AL719:AM719"/>
    <mergeCell ref="AN719:AO719"/>
    <mergeCell ref="AP719:AQ719"/>
    <mergeCell ref="AR719:AS719"/>
    <mergeCell ref="AT719:AU719"/>
    <mergeCell ref="AV719:AW719"/>
    <mergeCell ref="BD722:BE722"/>
    <mergeCell ref="BF722:BI722"/>
    <mergeCell ref="AN722:AO722"/>
    <mergeCell ref="AP722:AQ722"/>
    <mergeCell ref="AR722:AS722"/>
    <mergeCell ref="AT722:AU722"/>
    <mergeCell ref="AV722:AW722"/>
    <mergeCell ref="AX722:AZ722"/>
    <mergeCell ref="BA722:BB722"/>
    <mergeCell ref="AJ720:AK720"/>
    <mergeCell ref="AL720:AM720"/>
    <mergeCell ref="R720:S720"/>
    <mergeCell ref="T720:U720"/>
    <mergeCell ref="V720:W720"/>
    <mergeCell ref="X720:AA720"/>
    <mergeCell ref="AB720:AE720"/>
    <mergeCell ref="AF720:AG720"/>
    <mergeCell ref="AH720:AI720"/>
    <mergeCell ref="R721:S721"/>
    <mergeCell ref="T721:U721"/>
    <mergeCell ref="V721:W721"/>
    <mergeCell ref="X721:AA721"/>
    <mergeCell ref="AB721:AE721"/>
    <mergeCell ref="AF721:AG721"/>
    <mergeCell ref="AH721:AI721"/>
    <mergeCell ref="AX721:AZ721"/>
    <mergeCell ref="BA721:BB721"/>
    <mergeCell ref="BD721:BE721"/>
    <mergeCell ref="BF721:BI721"/>
    <mergeCell ref="BJ721:BM721"/>
    <mergeCell ref="BN721:BV721"/>
    <mergeCell ref="BJ722:BM722"/>
    <mergeCell ref="BN722:BV722"/>
    <mergeCell ref="B721:C721"/>
    <mergeCell ref="D721:E721"/>
    <mergeCell ref="F721:G721"/>
    <mergeCell ref="H721:I721"/>
    <mergeCell ref="J721:K721"/>
    <mergeCell ref="L721:M721"/>
    <mergeCell ref="B717:C717"/>
    <mergeCell ref="D717:E717"/>
    <mergeCell ref="F717:G717"/>
    <mergeCell ref="H717:I717"/>
    <mergeCell ref="J717:K717"/>
    <mergeCell ref="L717:M717"/>
    <mergeCell ref="P717:Q717"/>
    <mergeCell ref="B718:C718"/>
    <mergeCell ref="D718:E718"/>
    <mergeCell ref="F718:G718"/>
    <mergeCell ref="H718:I718"/>
    <mergeCell ref="J718:K718"/>
    <mergeCell ref="L718:M718"/>
    <mergeCell ref="P718:Q718"/>
    <mergeCell ref="AJ717:AK717"/>
    <mergeCell ref="AL717:AM717"/>
    <mergeCell ref="AN717:AO717"/>
    <mergeCell ref="AP717:AQ717"/>
    <mergeCell ref="AR717:AS717"/>
    <mergeCell ref="AT717:AU717"/>
    <mergeCell ref="AV717:AW717"/>
    <mergeCell ref="BD720:BE720"/>
    <mergeCell ref="BF720:BI720"/>
    <mergeCell ref="AN720:AO720"/>
    <mergeCell ref="AP720:AQ720"/>
    <mergeCell ref="AR720:AS720"/>
    <mergeCell ref="AT720:AU720"/>
    <mergeCell ref="AV720:AW720"/>
    <mergeCell ref="AX720:AZ720"/>
    <mergeCell ref="BA720:BB720"/>
    <mergeCell ref="AJ718:AK718"/>
    <mergeCell ref="AL718:AM718"/>
    <mergeCell ref="R718:S718"/>
    <mergeCell ref="T718:U718"/>
    <mergeCell ref="V718:W718"/>
    <mergeCell ref="X718:AA718"/>
    <mergeCell ref="AB718:AE718"/>
    <mergeCell ref="AF718:AG718"/>
    <mergeCell ref="AH718:AI718"/>
    <mergeCell ref="R719:S719"/>
    <mergeCell ref="T719:U719"/>
    <mergeCell ref="V719:W719"/>
    <mergeCell ref="X719:AA719"/>
    <mergeCell ref="AB719:AE719"/>
    <mergeCell ref="AF719:AG719"/>
    <mergeCell ref="AH719:AI719"/>
    <mergeCell ref="AX719:AZ719"/>
    <mergeCell ref="BA719:BB719"/>
    <mergeCell ref="BD719:BE719"/>
    <mergeCell ref="BF719:BI719"/>
    <mergeCell ref="BD718:BE718"/>
    <mergeCell ref="BF718:BI718"/>
    <mergeCell ref="AN718:AO718"/>
    <mergeCell ref="AP718:AQ718"/>
    <mergeCell ref="AR718:AS718"/>
    <mergeCell ref="AT718:AU718"/>
    <mergeCell ref="AV718:AW718"/>
    <mergeCell ref="AX718:AZ718"/>
    <mergeCell ref="BA718:BB718"/>
    <mergeCell ref="AB712:AE712"/>
    <mergeCell ref="AF712:AG712"/>
    <mergeCell ref="AH712:AI712"/>
    <mergeCell ref="R713:S713"/>
    <mergeCell ref="T713:U713"/>
    <mergeCell ref="V713:W713"/>
    <mergeCell ref="X713:AA713"/>
    <mergeCell ref="AB713:AE713"/>
    <mergeCell ref="AF713:AG713"/>
    <mergeCell ref="AH713:AI713"/>
    <mergeCell ref="AJ716:AK716"/>
    <mergeCell ref="AL716:AM716"/>
    <mergeCell ref="R716:S716"/>
    <mergeCell ref="T716:U716"/>
    <mergeCell ref="V716:W716"/>
    <mergeCell ref="X716:AA716"/>
    <mergeCell ref="AB716:AE716"/>
    <mergeCell ref="AF716:AG716"/>
    <mergeCell ref="AH716:AI716"/>
    <mergeCell ref="R717:S717"/>
    <mergeCell ref="T717:U717"/>
    <mergeCell ref="V717:W717"/>
    <mergeCell ref="X717:AA717"/>
    <mergeCell ref="AB717:AE717"/>
    <mergeCell ref="AF717:AG717"/>
    <mergeCell ref="AH717:AI717"/>
    <mergeCell ref="AX717:AZ717"/>
    <mergeCell ref="BA717:BB717"/>
    <mergeCell ref="BD717:BE717"/>
    <mergeCell ref="BF717:BI717"/>
    <mergeCell ref="BJ717:BM717"/>
    <mergeCell ref="BN717:BV717"/>
    <mergeCell ref="BJ718:BM718"/>
    <mergeCell ref="BN718:BV718"/>
    <mergeCell ref="AJ714:AK714"/>
    <mergeCell ref="AL714:AM714"/>
    <mergeCell ref="R714:S714"/>
    <mergeCell ref="T714:U714"/>
    <mergeCell ref="V714:W714"/>
    <mergeCell ref="X714:AA714"/>
    <mergeCell ref="AB714:AE714"/>
    <mergeCell ref="AF714:AG714"/>
    <mergeCell ref="AH714:AI714"/>
    <mergeCell ref="R715:S715"/>
    <mergeCell ref="T715:U715"/>
    <mergeCell ref="V715:W715"/>
    <mergeCell ref="X715:AA715"/>
    <mergeCell ref="AB715:AE715"/>
    <mergeCell ref="AF715:AG715"/>
    <mergeCell ref="AH715:AI715"/>
    <mergeCell ref="AX715:AZ715"/>
    <mergeCell ref="BA715:BB715"/>
    <mergeCell ref="BD715:BE715"/>
    <mergeCell ref="BF715:BI715"/>
    <mergeCell ref="BJ715:BM715"/>
    <mergeCell ref="BN715:BV715"/>
    <mergeCell ref="BJ716:BM716"/>
    <mergeCell ref="BN716:BV716"/>
    <mergeCell ref="BD714:BE714"/>
    <mergeCell ref="BF714:BI714"/>
    <mergeCell ref="AX714:AZ714"/>
    <mergeCell ref="BA714:BB714"/>
    <mergeCell ref="AJ724:AK724"/>
    <mergeCell ref="AL724:AM724"/>
    <mergeCell ref="BJ724:BM724"/>
    <mergeCell ref="BN724:BV724"/>
    <mergeCell ref="R724:S724"/>
    <mergeCell ref="T724:U724"/>
    <mergeCell ref="V724:W724"/>
    <mergeCell ref="X724:AA724"/>
    <mergeCell ref="AB724:AE724"/>
    <mergeCell ref="AF724:AG724"/>
    <mergeCell ref="AH724:AI724"/>
    <mergeCell ref="BD712:BE712"/>
    <mergeCell ref="BF712:BI712"/>
    <mergeCell ref="AN712:AO712"/>
    <mergeCell ref="AP712:AQ712"/>
    <mergeCell ref="AR712:AS712"/>
    <mergeCell ref="AT712:AU712"/>
    <mergeCell ref="AV712:AW712"/>
    <mergeCell ref="AX712:AZ712"/>
    <mergeCell ref="BA712:BB712"/>
    <mergeCell ref="BD716:BE716"/>
    <mergeCell ref="BF716:BI716"/>
    <mergeCell ref="AN716:AO716"/>
    <mergeCell ref="AP716:AQ716"/>
    <mergeCell ref="AR716:AS716"/>
    <mergeCell ref="AT716:AU716"/>
    <mergeCell ref="AV716:AW716"/>
    <mergeCell ref="AX716:AZ716"/>
    <mergeCell ref="BA716:BB716"/>
    <mergeCell ref="B715:C715"/>
    <mergeCell ref="D715:E715"/>
    <mergeCell ref="F715:G715"/>
    <mergeCell ref="H715:I715"/>
    <mergeCell ref="J715:K715"/>
    <mergeCell ref="L715:M715"/>
    <mergeCell ref="P715:Q715"/>
    <mergeCell ref="B716:C716"/>
    <mergeCell ref="D716:E716"/>
    <mergeCell ref="F716:G716"/>
    <mergeCell ref="H716:I716"/>
    <mergeCell ref="J716:K716"/>
    <mergeCell ref="L716:M716"/>
    <mergeCell ref="P716:Q716"/>
    <mergeCell ref="AJ715:AK715"/>
    <mergeCell ref="AL715:AM715"/>
    <mergeCell ref="AN715:AO715"/>
    <mergeCell ref="AP715:AQ715"/>
    <mergeCell ref="AR715:AS715"/>
    <mergeCell ref="AT715:AU715"/>
    <mergeCell ref="AV715:AW715"/>
    <mergeCell ref="B712:C712"/>
    <mergeCell ref="D712:E712"/>
    <mergeCell ref="F712:G712"/>
    <mergeCell ref="H712:I712"/>
    <mergeCell ref="J712:K712"/>
    <mergeCell ref="L712:M712"/>
    <mergeCell ref="P712:Q712"/>
    <mergeCell ref="AN714:AO714"/>
    <mergeCell ref="AP714:AQ714"/>
    <mergeCell ref="AR714:AS714"/>
    <mergeCell ref="AT714:AU714"/>
    <mergeCell ref="AV714:AW714"/>
    <mergeCell ref="AJ712:AK712"/>
    <mergeCell ref="AL712:AM712"/>
    <mergeCell ref="R711:S711"/>
    <mergeCell ref="T711:U711"/>
    <mergeCell ref="V711:W711"/>
    <mergeCell ref="X711:AA711"/>
    <mergeCell ref="AB711:AE711"/>
    <mergeCell ref="AF711:AG711"/>
    <mergeCell ref="AH711:AI711"/>
    <mergeCell ref="AX711:AZ711"/>
    <mergeCell ref="BA711:BB711"/>
    <mergeCell ref="BD711:BE711"/>
    <mergeCell ref="BF711:BI711"/>
    <mergeCell ref="BJ711:BM711"/>
    <mergeCell ref="BN711:BV711"/>
    <mergeCell ref="BJ712:BM712"/>
    <mergeCell ref="BN712:BV712"/>
    <mergeCell ref="BJ713:BM713"/>
    <mergeCell ref="BN713:BV713"/>
    <mergeCell ref="BJ714:BM714"/>
    <mergeCell ref="BN714:BV714"/>
    <mergeCell ref="AJ713:AK713"/>
    <mergeCell ref="AL713:AM713"/>
    <mergeCell ref="AN713:AO713"/>
    <mergeCell ref="AP713:AQ713"/>
    <mergeCell ref="AR713:AS713"/>
    <mergeCell ref="AT713:AU713"/>
    <mergeCell ref="AV713:AW713"/>
    <mergeCell ref="BJ710:BM710"/>
    <mergeCell ref="BN710:BV710"/>
    <mergeCell ref="AX713:AZ713"/>
    <mergeCell ref="BA713:BB713"/>
    <mergeCell ref="BD713:BE713"/>
    <mergeCell ref="BF713:BI713"/>
    <mergeCell ref="B713:C713"/>
    <mergeCell ref="D713:E713"/>
    <mergeCell ref="F713:G713"/>
    <mergeCell ref="H713:I713"/>
    <mergeCell ref="J713:K713"/>
    <mergeCell ref="L713:M713"/>
    <mergeCell ref="P713:Q713"/>
    <mergeCell ref="B714:C714"/>
    <mergeCell ref="D714:E714"/>
    <mergeCell ref="F714:G714"/>
    <mergeCell ref="H714:I714"/>
    <mergeCell ref="J714:K714"/>
    <mergeCell ref="L714:M714"/>
    <mergeCell ref="P714:Q714"/>
    <mergeCell ref="B711:C711"/>
    <mergeCell ref="D711:E711"/>
    <mergeCell ref="F711:G711"/>
    <mergeCell ref="H711:I711"/>
    <mergeCell ref="J711:K711"/>
    <mergeCell ref="L711:M711"/>
    <mergeCell ref="P711:Q711"/>
    <mergeCell ref="AJ711:AK711"/>
    <mergeCell ref="AL711:AM711"/>
    <mergeCell ref="AN711:AO711"/>
    <mergeCell ref="AP711:AQ711"/>
    <mergeCell ref="AR711:AS711"/>
    <mergeCell ref="AT711:AU711"/>
    <mergeCell ref="AV711:AW711"/>
    <mergeCell ref="R712:S712"/>
    <mergeCell ref="T712:U712"/>
    <mergeCell ref="V712:W712"/>
    <mergeCell ref="X712:AA712"/>
    <mergeCell ref="BJ703:BM703"/>
    <mergeCell ref="BN703:BV703"/>
    <mergeCell ref="BJ704:BM704"/>
    <mergeCell ref="BN704:BV704"/>
    <mergeCell ref="B704:C704"/>
    <mergeCell ref="D704:E704"/>
    <mergeCell ref="F704:G704"/>
    <mergeCell ref="H704:I704"/>
    <mergeCell ref="J704:K704"/>
    <mergeCell ref="L704:M704"/>
    <mergeCell ref="P704:Q704"/>
    <mergeCell ref="AJ703:AK703"/>
    <mergeCell ref="AL703:AM703"/>
    <mergeCell ref="AN703:AO703"/>
    <mergeCell ref="AP703:AQ703"/>
    <mergeCell ref="AR703:AS703"/>
    <mergeCell ref="AT703:AU703"/>
    <mergeCell ref="AV703:AW703"/>
    <mergeCell ref="R703:S703"/>
    <mergeCell ref="T703:U703"/>
    <mergeCell ref="V703:W703"/>
    <mergeCell ref="X703:AA703"/>
    <mergeCell ref="AB703:AE703"/>
    <mergeCell ref="AF703:AG703"/>
    <mergeCell ref="AH703:AI703"/>
    <mergeCell ref="B703:C703"/>
    <mergeCell ref="D703:E703"/>
    <mergeCell ref="F703:G703"/>
    <mergeCell ref="H703:I703"/>
    <mergeCell ref="J703:K703"/>
    <mergeCell ref="L703:M703"/>
    <mergeCell ref="P703:Q703"/>
    <mergeCell ref="BD704:BE704"/>
    <mergeCell ref="BF704:BI704"/>
    <mergeCell ref="AN704:AO704"/>
    <mergeCell ref="AP704:AQ704"/>
    <mergeCell ref="AR704:AS704"/>
    <mergeCell ref="AT704:AU704"/>
    <mergeCell ref="AV704:AW704"/>
    <mergeCell ref="AX704:AZ704"/>
    <mergeCell ref="BA704:BB704"/>
    <mergeCell ref="AJ699:AK699"/>
    <mergeCell ref="AL699:AM699"/>
    <mergeCell ref="R699:S699"/>
    <mergeCell ref="T699:U699"/>
    <mergeCell ref="V699:W699"/>
    <mergeCell ref="X699:AA699"/>
    <mergeCell ref="AB699:AE699"/>
    <mergeCell ref="AF699:AG699"/>
    <mergeCell ref="AH699:AI699"/>
    <mergeCell ref="R700:S700"/>
    <mergeCell ref="T700:U700"/>
    <mergeCell ref="V700:W700"/>
    <mergeCell ref="X700:AA700"/>
    <mergeCell ref="AB700:AE700"/>
    <mergeCell ref="AF700:AG700"/>
    <mergeCell ref="AH700:AI700"/>
    <mergeCell ref="AX700:AZ700"/>
    <mergeCell ref="BA700:BB700"/>
    <mergeCell ref="BD700:BE700"/>
    <mergeCell ref="BF700:BI700"/>
    <mergeCell ref="BJ702:BM702"/>
    <mergeCell ref="BN702:BV702"/>
    <mergeCell ref="AJ702:AK702"/>
    <mergeCell ref="AL702:AM702"/>
    <mergeCell ref="AN702:AO702"/>
    <mergeCell ref="AP702:AQ702"/>
    <mergeCell ref="AR702:AS702"/>
    <mergeCell ref="AT702:AU702"/>
    <mergeCell ref="AV702:AW702"/>
    <mergeCell ref="B702:C702"/>
    <mergeCell ref="D702:E702"/>
    <mergeCell ref="F702:G702"/>
    <mergeCell ref="H702:I702"/>
    <mergeCell ref="J702:K702"/>
    <mergeCell ref="L702:M702"/>
    <mergeCell ref="P702:Q702"/>
    <mergeCell ref="R702:S702"/>
    <mergeCell ref="T702:U702"/>
    <mergeCell ref="V702:W702"/>
    <mergeCell ref="BJ700:BM700"/>
    <mergeCell ref="BN700:BV700"/>
    <mergeCell ref="B700:C700"/>
    <mergeCell ref="D700:E700"/>
    <mergeCell ref="F700:G700"/>
    <mergeCell ref="H700:I700"/>
    <mergeCell ref="J700:K700"/>
    <mergeCell ref="L700:M700"/>
    <mergeCell ref="P700:Q700"/>
    <mergeCell ref="AJ700:AK700"/>
    <mergeCell ref="AL700:AM700"/>
    <mergeCell ref="AN700:AO700"/>
    <mergeCell ref="AP700:AQ700"/>
    <mergeCell ref="AR700:AS700"/>
    <mergeCell ref="AT700:AU700"/>
    <mergeCell ref="AV700:AW700"/>
    <mergeCell ref="B701:C701"/>
    <mergeCell ref="D701:E701"/>
    <mergeCell ref="F701:G701"/>
    <mergeCell ref="H701:I701"/>
    <mergeCell ref="J701:K701"/>
    <mergeCell ref="L701:M701"/>
    <mergeCell ref="P701:Q701"/>
    <mergeCell ref="X706:AA706"/>
    <mergeCell ref="AB706:AE706"/>
    <mergeCell ref="AF706:AG706"/>
    <mergeCell ref="AH706:AI706"/>
    <mergeCell ref="R707:S707"/>
    <mergeCell ref="T707:U707"/>
    <mergeCell ref="V707:W707"/>
    <mergeCell ref="X707:AA707"/>
    <mergeCell ref="AB707:AE707"/>
    <mergeCell ref="AF707:AG707"/>
    <mergeCell ref="AH707:AI707"/>
    <mergeCell ref="AX707:AZ707"/>
    <mergeCell ref="BA707:BB707"/>
    <mergeCell ref="BD707:BE707"/>
    <mergeCell ref="BF707:BI707"/>
    <mergeCell ref="BJ707:BM707"/>
    <mergeCell ref="BN707:BV707"/>
    <mergeCell ref="BF705:BI705"/>
    <mergeCell ref="BJ705:BM705"/>
    <mergeCell ref="BN705:BV705"/>
    <mergeCell ref="X702:AA702"/>
    <mergeCell ref="AB702:AE702"/>
    <mergeCell ref="AF702:AG702"/>
    <mergeCell ref="AH702:AI702"/>
    <mergeCell ref="AX702:AZ702"/>
    <mergeCell ref="BA702:BB702"/>
    <mergeCell ref="BD702:BE702"/>
    <mergeCell ref="BF702:BI702"/>
    <mergeCell ref="BD701:BE701"/>
    <mergeCell ref="BF701:BI701"/>
    <mergeCell ref="AN701:AO701"/>
    <mergeCell ref="AP701:AQ701"/>
    <mergeCell ref="AR701:AS701"/>
    <mergeCell ref="AT701:AU701"/>
    <mergeCell ref="AV701:AW701"/>
    <mergeCell ref="AX701:AZ701"/>
    <mergeCell ref="BA701:BB701"/>
    <mergeCell ref="AX703:AZ703"/>
    <mergeCell ref="BA703:BB703"/>
    <mergeCell ref="BD703:BE703"/>
    <mergeCell ref="BF703:BI703"/>
    <mergeCell ref="BJ708:BM708"/>
    <mergeCell ref="BN708:BV708"/>
    <mergeCell ref="B707:C707"/>
    <mergeCell ref="D707:E707"/>
    <mergeCell ref="F707:G707"/>
    <mergeCell ref="H707:I707"/>
    <mergeCell ref="J707:K707"/>
    <mergeCell ref="L707:M707"/>
    <mergeCell ref="P707:Q707"/>
    <mergeCell ref="B708:C708"/>
    <mergeCell ref="D708:E708"/>
    <mergeCell ref="F708:G708"/>
    <mergeCell ref="H708:I708"/>
    <mergeCell ref="J708:K708"/>
    <mergeCell ref="L708:M708"/>
    <mergeCell ref="P708:Q708"/>
    <mergeCell ref="AJ707:AK707"/>
    <mergeCell ref="AL707:AM707"/>
    <mergeCell ref="AN707:AO707"/>
    <mergeCell ref="AP707:AQ707"/>
    <mergeCell ref="AR707:AS707"/>
    <mergeCell ref="AT707:AU707"/>
    <mergeCell ref="AV707:AW707"/>
    <mergeCell ref="BD706:BE706"/>
    <mergeCell ref="BF706:BI706"/>
    <mergeCell ref="AN706:AO706"/>
    <mergeCell ref="AP706:AQ706"/>
    <mergeCell ref="AR706:AS706"/>
    <mergeCell ref="AT706:AU706"/>
    <mergeCell ref="AV706:AW706"/>
    <mergeCell ref="AX706:AZ706"/>
    <mergeCell ref="BA706:BB706"/>
    <mergeCell ref="BJ709:BM709"/>
    <mergeCell ref="BN709:BV709"/>
    <mergeCell ref="B709:C709"/>
    <mergeCell ref="D709:E709"/>
    <mergeCell ref="F709:G709"/>
    <mergeCell ref="H709:I709"/>
    <mergeCell ref="J709:K709"/>
    <mergeCell ref="L709:M709"/>
    <mergeCell ref="P709:Q709"/>
    <mergeCell ref="BJ706:BM706"/>
    <mergeCell ref="BN706:BV706"/>
    <mergeCell ref="B710:C710"/>
    <mergeCell ref="D710:E710"/>
    <mergeCell ref="F710:G710"/>
    <mergeCell ref="H710:I710"/>
    <mergeCell ref="J710:K710"/>
    <mergeCell ref="L710:M710"/>
    <mergeCell ref="P710:Q710"/>
    <mergeCell ref="AJ709:AK709"/>
    <mergeCell ref="AL709:AM709"/>
    <mergeCell ref="AN709:AO709"/>
    <mergeCell ref="AP709:AQ709"/>
    <mergeCell ref="AR709:AS709"/>
    <mergeCell ref="AT709:AU709"/>
    <mergeCell ref="AV709:AW709"/>
    <mergeCell ref="AJ704:AK704"/>
    <mergeCell ref="AL704:AM704"/>
    <mergeCell ref="R704:S704"/>
    <mergeCell ref="T704:U704"/>
    <mergeCell ref="V704:W704"/>
    <mergeCell ref="X704:AA704"/>
    <mergeCell ref="AB704:AE704"/>
    <mergeCell ref="AF704:AG704"/>
    <mergeCell ref="AH704:AI704"/>
    <mergeCell ref="R705:S705"/>
    <mergeCell ref="T705:U705"/>
    <mergeCell ref="V705:W705"/>
    <mergeCell ref="X705:AA705"/>
    <mergeCell ref="AB705:AE705"/>
    <mergeCell ref="AF705:AG705"/>
    <mergeCell ref="AH705:AI705"/>
    <mergeCell ref="AX705:AZ705"/>
    <mergeCell ref="BA705:BB705"/>
    <mergeCell ref="BD705:BE705"/>
    <mergeCell ref="B705:C705"/>
    <mergeCell ref="D705:E705"/>
    <mergeCell ref="F705:G705"/>
    <mergeCell ref="H705:I705"/>
    <mergeCell ref="J705:K705"/>
    <mergeCell ref="L705:M705"/>
    <mergeCell ref="P705:Q705"/>
    <mergeCell ref="B706:C706"/>
    <mergeCell ref="D706:E706"/>
    <mergeCell ref="F706:G706"/>
    <mergeCell ref="H706:I706"/>
    <mergeCell ref="J706:K706"/>
    <mergeCell ref="L706:M706"/>
    <mergeCell ref="P706:Q706"/>
    <mergeCell ref="AJ705:AK705"/>
    <mergeCell ref="AJ710:AK710"/>
    <mergeCell ref="AL710:AM710"/>
    <mergeCell ref="R710:S710"/>
    <mergeCell ref="T710:U710"/>
    <mergeCell ref="V710:W710"/>
    <mergeCell ref="X710:AA710"/>
    <mergeCell ref="AB710:AE710"/>
    <mergeCell ref="AF710:AG710"/>
    <mergeCell ref="AH710:AI710"/>
    <mergeCell ref="P698:Q698"/>
    <mergeCell ref="B699:C699"/>
    <mergeCell ref="D699:E699"/>
    <mergeCell ref="F699:G699"/>
    <mergeCell ref="H699:I699"/>
    <mergeCell ref="J699:K699"/>
    <mergeCell ref="L699:M699"/>
    <mergeCell ref="P699:Q699"/>
    <mergeCell ref="AJ698:AK698"/>
    <mergeCell ref="AL698:AM698"/>
    <mergeCell ref="AN698:AO698"/>
    <mergeCell ref="AP698:AQ698"/>
    <mergeCell ref="AR698:AS698"/>
    <mergeCell ref="AT698:AU698"/>
    <mergeCell ref="AV698:AW698"/>
    <mergeCell ref="BD710:BE710"/>
    <mergeCell ref="BF710:BI710"/>
    <mergeCell ref="AN710:AO710"/>
    <mergeCell ref="AP710:AQ710"/>
    <mergeCell ref="AR710:AS710"/>
    <mergeCell ref="AT710:AU710"/>
    <mergeCell ref="AV710:AW710"/>
    <mergeCell ref="AX710:AZ710"/>
    <mergeCell ref="BA710:BB710"/>
    <mergeCell ref="AJ708:AK708"/>
    <mergeCell ref="AL708:AM708"/>
    <mergeCell ref="R708:S708"/>
    <mergeCell ref="T708:U708"/>
    <mergeCell ref="V708:W708"/>
    <mergeCell ref="X708:AA708"/>
    <mergeCell ref="AB708:AE708"/>
    <mergeCell ref="AF708:AG708"/>
    <mergeCell ref="AH708:AI708"/>
    <mergeCell ref="R709:S709"/>
    <mergeCell ref="T709:U709"/>
    <mergeCell ref="V709:W709"/>
    <mergeCell ref="X709:AA709"/>
    <mergeCell ref="AB709:AE709"/>
    <mergeCell ref="AF709:AG709"/>
    <mergeCell ref="AH709:AI709"/>
    <mergeCell ref="AX709:AZ709"/>
    <mergeCell ref="BA709:BB709"/>
    <mergeCell ref="BD709:BE709"/>
    <mergeCell ref="BF709:BI709"/>
    <mergeCell ref="AL705:AM705"/>
    <mergeCell ref="AN705:AO705"/>
    <mergeCell ref="AP705:AQ705"/>
    <mergeCell ref="AR705:AS705"/>
    <mergeCell ref="AT705:AU705"/>
    <mergeCell ref="AV705:AW705"/>
    <mergeCell ref="BD708:BE708"/>
    <mergeCell ref="BF708:BI708"/>
    <mergeCell ref="AN708:AO708"/>
    <mergeCell ref="AP708:AQ708"/>
    <mergeCell ref="AR708:AS708"/>
    <mergeCell ref="AT708:AU708"/>
    <mergeCell ref="AV708:AW708"/>
    <mergeCell ref="AX708:AZ708"/>
    <mergeCell ref="BA708:BB708"/>
    <mergeCell ref="AJ706:AK706"/>
    <mergeCell ref="AL706:AM706"/>
    <mergeCell ref="R706:S706"/>
    <mergeCell ref="T706:U706"/>
    <mergeCell ref="V706:W706"/>
    <mergeCell ref="BJ696:BM696"/>
    <mergeCell ref="BN696:BV696"/>
    <mergeCell ref="BJ697:BM697"/>
    <mergeCell ref="BN697:BV697"/>
    <mergeCell ref="B696:C696"/>
    <mergeCell ref="D696:E696"/>
    <mergeCell ref="F696:G696"/>
    <mergeCell ref="H696:I696"/>
    <mergeCell ref="J696:K696"/>
    <mergeCell ref="L696:M696"/>
    <mergeCell ref="P696:Q696"/>
    <mergeCell ref="B697:C697"/>
    <mergeCell ref="D697:E697"/>
    <mergeCell ref="F697:G697"/>
    <mergeCell ref="H697:I697"/>
    <mergeCell ref="J697:K697"/>
    <mergeCell ref="L697:M697"/>
    <mergeCell ref="P697:Q697"/>
    <mergeCell ref="AJ696:AK696"/>
    <mergeCell ref="AL696:AM696"/>
    <mergeCell ref="AN696:AO696"/>
    <mergeCell ref="AP696:AQ696"/>
    <mergeCell ref="AR696:AS696"/>
    <mergeCell ref="AT696:AU696"/>
    <mergeCell ref="AV696:AW696"/>
    <mergeCell ref="BD699:BE699"/>
    <mergeCell ref="BF699:BI699"/>
    <mergeCell ref="AN699:AO699"/>
    <mergeCell ref="AP699:AQ699"/>
    <mergeCell ref="AR699:AS699"/>
    <mergeCell ref="AT699:AU699"/>
    <mergeCell ref="AV699:AW699"/>
    <mergeCell ref="AX699:AZ699"/>
    <mergeCell ref="BA699:BB699"/>
    <mergeCell ref="AJ697:AK697"/>
    <mergeCell ref="AL697:AM697"/>
    <mergeCell ref="R697:S697"/>
    <mergeCell ref="T697:U697"/>
    <mergeCell ref="V697:W697"/>
    <mergeCell ref="X697:AA697"/>
    <mergeCell ref="AB697:AE697"/>
    <mergeCell ref="AF697:AG697"/>
    <mergeCell ref="AH697:AI697"/>
    <mergeCell ref="R698:S698"/>
    <mergeCell ref="T698:U698"/>
    <mergeCell ref="V698:W698"/>
    <mergeCell ref="X698:AA698"/>
    <mergeCell ref="AB698:AE698"/>
    <mergeCell ref="AF698:AG698"/>
    <mergeCell ref="AH698:AI698"/>
    <mergeCell ref="AX698:AZ698"/>
    <mergeCell ref="BA698:BB698"/>
    <mergeCell ref="BD698:BE698"/>
    <mergeCell ref="BF698:BI698"/>
    <mergeCell ref="BJ698:BM698"/>
    <mergeCell ref="BN698:BV698"/>
    <mergeCell ref="BJ699:BM699"/>
    <mergeCell ref="BN699:BV699"/>
    <mergeCell ref="B698:C698"/>
    <mergeCell ref="D698:E698"/>
    <mergeCell ref="F698:G698"/>
    <mergeCell ref="H698:I698"/>
    <mergeCell ref="J698:K698"/>
    <mergeCell ref="L698:M698"/>
    <mergeCell ref="B694:C694"/>
    <mergeCell ref="D694:E694"/>
    <mergeCell ref="F694:G694"/>
    <mergeCell ref="H694:I694"/>
    <mergeCell ref="J694:K694"/>
    <mergeCell ref="L694:M694"/>
    <mergeCell ref="P694:Q694"/>
    <mergeCell ref="B695:C695"/>
    <mergeCell ref="D695:E695"/>
    <mergeCell ref="F695:G695"/>
    <mergeCell ref="H695:I695"/>
    <mergeCell ref="J695:K695"/>
    <mergeCell ref="L695:M695"/>
    <mergeCell ref="P695:Q695"/>
    <mergeCell ref="AJ694:AK694"/>
    <mergeCell ref="AL694:AM694"/>
    <mergeCell ref="AN694:AO694"/>
    <mergeCell ref="AP694:AQ694"/>
    <mergeCell ref="AR694:AS694"/>
    <mergeCell ref="AT694:AU694"/>
    <mergeCell ref="AV694:AW694"/>
    <mergeCell ref="BD697:BE697"/>
    <mergeCell ref="BF697:BI697"/>
    <mergeCell ref="AN697:AO697"/>
    <mergeCell ref="AP697:AQ697"/>
    <mergeCell ref="AR697:AS697"/>
    <mergeCell ref="AT697:AU697"/>
    <mergeCell ref="AV697:AW697"/>
    <mergeCell ref="AX697:AZ697"/>
    <mergeCell ref="BA697:BB697"/>
    <mergeCell ref="AJ695:AK695"/>
    <mergeCell ref="AL695:AM695"/>
    <mergeCell ref="R695:S695"/>
    <mergeCell ref="T695:U695"/>
    <mergeCell ref="V695:W695"/>
    <mergeCell ref="X695:AA695"/>
    <mergeCell ref="AB695:AE695"/>
    <mergeCell ref="AF695:AG695"/>
    <mergeCell ref="AH695:AI695"/>
    <mergeCell ref="R696:S696"/>
    <mergeCell ref="T696:U696"/>
    <mergeCell ref="V696:W696"/>
    <mergeCell ref="X696:AA696"/>
    <mergeCell ref="AB696:AE696"/>
    <mergeCell ref="AF696:AG696"/>
    <mergeCell ref="AH696:AI696"/>
    <mergeCell ref="AX696:AZ696"/>
    <mergeCell ref="BA696:BB696"/>
    <mergeCell ref="BD696:BE696"/>
    <mergeCell ref="BF696:BI696"/>
    <mergeCell ref="BD695:BE695"/>
    <mergeCell ref="BF695:BI695"/>
    <mergeCell ref="AN695:AO695"/>
    <mergeCell ref="AP695:AQ695"/>
    <mergeCell ref="AR695:AS695"/>
    <mergeCell ref="AT695:AU695"/>
    <mergeCell ref="AV695:AW695"/>
    <mergeCell ref="AX695:AZ695"/>
    <mergeCell ref="BA695:BB695"/>
    <mergeCell ref="AB689:AE689"/>
    <mergeCell ref="AF689:AG689"/>
    <mergeCell ref="AH689:AI689"/>
    <mergeCell ref="R690:S690"/>
    <mergeCell ref="T690:U690"/>
    <mergeCell ref="V690:W690"/>
    <mergeCell ref="X690:AA690"/>
    <mergeCell ref="AB690:AE690"/>
    <mergeCell ref="AF690:AG690"/>
    <mergeCell ref="AH690:AI690"/>
    <mergeCell ref="AJ693:AK693"/>
    <mergeCell ref="AL693:AM693"/>
    <mergeCell ref="R693:S693"/>
    <mergeCell ref="T693:U693"/>
    <mergeCell ref="V693:W693"/>
    <mergeCell ref="X693:AA693"/>
    <mergeCell ref="AB693:AE693"/>
    <mergeCell ref="AF693:AG693"/>
    <mergeCell ref="AH693:AI693"/>
    <mergeCell ref="R694:S694"/>
    <mergeCell ref="T694:U694"/>
    <mergeCell ref="V694:W694"/>
    <mergeCell ref="X694:AA694"/>
    <mergeCell ref="AB694:AE694"/>
    <mergeCell ref="AF694:AG694"/>
    <mergeCell ref="AH694:AI694"/>
    <mergeCell ref="AX694:AZ694"/>
    <mergeCell ref="BA694:BB694"/>
    <mergeCell ref="BD694:BE694"/>
    <mergeCell ref="BF694:BI694"/>
    <mergeCell ref="BJ694:BM694"/>
    <mergeCell ref="BN694:BV694"/>
    <mergeCell ref="BJ695:BM695"/>
    <mergeCell ref="BN695:BV695"/>
    <mergeCell ref="AJ691:AK691"/>
    <mergeCell ref="AL691:AM691"/>
    <mergeCell ref="R691:S691"/>
    <mergeCell ref="T691:U691"/>
    <mergeCell ref="V691:W691"/>
    <mergeCell ref="X691:AA691"/>
    <mergeCell ref="AB691:AE691"/>
    <mergeCell ref="AF691:AG691"/>
    <mergeCell ref="AH691:AI691"/>
    <mergeCell ref="R692:S692"/>
    <mergeCell ref="T692:U692"/>
    <mergeCell ref="V692:W692"/>
    <mergeCell ref="X692:AA692"/>
    <mergeCell ref="AB692:AE692"/>
    <mergeCell ref="AF692:AG692"/>
    <mergeCell ref="AH692:AI692"/>
    <mergeCell ref="AX692:AZ692"/>
    <mergeCell ref="BA692:BB692"/>
    <mergeCell ref="BD692:BE692"/>
    <mergeCell ref="BF692:BI692"/>
    <mergeCell ref="BJ692:BM692"/>
    <mergeCell ref="BN692:BV692"/>
    <mergeCell ref="BJ693:BM693"/>
    <mergeCell ref="BN693:BV693"/>
    <mergeCell ref="BD691:BE691"/>
    <mergeCell ref="BF691:BI691"/>
    <mergeCell ref="AX691:AZ691"/>
    <mergeCell ref="BA691:BB691"/>
    <mergeCell ref="AJ701:AK701"/>
    <mergeCell ref="AL701:AM701"/>
    <mergeCell ref="BJ701:BM701"/>
    <mergeCell ref="BN701:BV701"/>
    <mergeCell ref="R701:S701"/>
    <mergeCell ref="T701:U701"/>
    <mergeCell ref="V701:W701"/>
    <mergeCell ref="X701:AA701"/>
    <mergeCell ref="AB701:AE701"/>
    <mergeCell ref="AF701:AG701"/>
    <mergeCell ref="AH701:AI701"/>
    <mergeCell ref="BD689:BE689"/>
    <mergeCell ref="BF689:BI689"/>
    <mergeCell ref="AN689:AO689"/>
    <mergeCell ref="AP689:AQ689"/>
    <mergeCell ref="AR689:AS689"/>
    <mergeCell ref="AT689:AU689"/>
    <mergeCell ref="AV689:AW689"/>
    <mergeCell ref="AX689:AZ689"/>
    <mergeCell ref="BA689:BB689"/>
    <mergeCell ref="BD693:BE693"/>
    <mergeCell ref="BF693:BI693"/>
    <mergeCell ref="AN693:AO693"/>
    <mergeCell ref="AP693:AQ693"/>
    <mergeCell ref="AR693:AS693"/>
    <mergeCell ref="AT693:AU693"/>
    <mergeCell ref="AV693:AW693"/>
    <mergeCell ref="AX693:AZ693"/>
    <mergeCell ref="BA693:BB693"/>
    <mergeCell ref="B692:C692"/>
    <mergeCell ref="D692:E692"/>
    <mergeCell ref="F692:G692"/>
    <mergeCell ref="H692:I692"/>
    <mergeCell ref="J692:K692"/>
    <mergeCell ref="L692:M692"/>
    <mergeCell ref="P692:Q692"/>
    <mergeCell ref="B693:C693"/>
    <mergeCell ref="D693:E693"/>
    <mergeCell ref="F693:G693"/>
    <mergeCell ref="H693:I693"/>
    <mergeCell ref="J693:K693"/>
    <mergeCell ref="L693:M693"/>
    <mergeCell ref="P693:Q693"/>
    <mergeCell ref="AJ692:AK692"/>
    <mergeCell ref="AL692:AM692"/>
    <mergeCell ref="AN692:AO692"/>
    <mergeCell ref="AP692:AQ692"/>
    <mergeCell ref="AR692:AS692"/>
    <mergeCell ref="AT692:AU692"/>
    <mergeCell ref="AV692:AW692"/>
    <mergeCell ref="B689:C689"/>
    <mergeCell ref="D689:E689"/>
    <mergeCell ref="F689:G689"/>
    <mergeCell ref="H689:I689"/>
    <mergeCell ref="J689:K689"/>
    <mergeCell ref="L689:M689"/>
    <mergeCell ref="P689:Q689"/>
    <mergeCell ref="AN691:AO691"/>
    <mergeCell ref="AP691:AQ691"/>
    <mergeCell ref="AR691:AS691"/>
    <mergeCell ref="AT691:AU691"/>
    <mergeCell ref="AV691:AW691"/>
    <mergeCell ref="AJ689:AK689"/>
    <mergeCell ref="AL689:AM689"/>
    <mergeCell ref="R688:S688"/>
    <mergeCell ref="T688:U688"/>
    <mergeCell ref="V688:W688"/>
    <mergeCell ref="X688:AA688"/>
    <mergeCell ref="AB688:AE688"/>
    <mergeCell ref="AF688:AG688"/>
    <mergeCell ref="AH688:AI688"/>
    <mergeCell ref="AX688:AZ688"/>
    <mergeCell ref="BA688:BB688"/>
    <mergeCell ref="BD688:BE688"/>
    <mergeCell ref="BF688:BI688"/>
    <mergeCell ref="BJ688:BM688"/>
    <mergeCell ref="BN688:BV688"/>
    <mergeCell ref="BJ689:BM689"/>
    <mergeCell ref="BN689:BV689"/>
    <mergeCell ref="BJ690:BM690"/>
    <mergeCell ref="BN690:BV690"/>
    <mergeCell ref="BJ691:BM691"/>
    <mergeCell ref="BN691:BV691"/>
    <mergeCell ref="AJ690:AK690"/>
    <mergeCell ref="AL690:AM690"/>
    <mergeCell ref="AN690:AO690"/>
    <mergeCell ref="AP690:AQ690"/>
    <mergeCell ref="AR690:AS690"/>
    <mergeCell ref="AT690:AU690"/>
    <mergeCell ref="AV690:AW690"/>
    <mergeCell ref="BJ687:BM687"/>
    <mergeCell ref="BN687:BV687"/>
    <mergeCell ref="AX690:AZ690"/>
    <mergeCell ref="BA690:BB690"/>
    <mergeCell ref="BD690:BE690"/>
    <mergeCell ref="BF690:BI690"/>
    <mergeCell ref="B690:C690"/>
    <mergeCell ref="D690:E690"/>
    <mergeCell ref="F690:G690"/>
    <mergeCell ref="H690:I690"/>
    <mergeCell ref="J690:K690"/>
    <mergeCell ref="L690:M690"/>
    <mergeCell ref="P690:Q690"/>
    <mergeCell ref="B691:C691"/>
    <mergeCell ref="D691:E691"/>
    <mergeCell ref="F691:G691"/>
    <mergeCell ref="H691:I691"/>
    <mergeCell ref="J691:K691"/>
    <mergeCell ref="L691:M691"/>
    <mergeCell ref="P691:Q691"/>
    <mergeCell ref="B688:C688"/>
    <mergeCell ref="D688:E688"/>
    <mergeCell ref="F688:G688"/>
    <mergeCell ref="H688:I688"/>
    <mergeCell ref="J688:K688"/>
    <mergeCell ref="L688:M688"/>
    <mergeCell ref="P688:Q688"/>
    <mergeCell ref="AJ688:AK688"/>
    <mergeCell ref="AL688:AM688"/>
    <mergeCell ref="AN688:AO688"/>
    <mergeCell ref="AP688:AQ688"/>
    <mergeCell ref="AR688:AS688"/>
    <mergeCell ref="AT688:AU688"/>
    <mergeCell ref="AV688:AW688"/>
    <mergeCell ref="R689:S689"/>
    <mergeCell ref="T689:U689"/>
    <mergeCell ref="V689:W689"/>
    <mergeCell ref="X689:AA689"/>
    <mergeCell ref="BJ680:BM680"/>
    <mergeCell ref="BN680:BV680"/>
    <mergeCell ref="BJ681:BM681"/>
    <mergeCell ref="BN681:BV681"/>
    <mergeCell ref="B681:C681"/>
    <mergeCell ref="D681:E681"/>
    <mergeCell ref="F681:G681"/>
    <mergeCell ref="H681:I681"/>
    <mergeCell ref="J681:K681"/>
    <mergeCell ref="L681:M681"/>
    <mergeCell ref="P681:Q681"/>
    <mergeCell ref="AJ680:AK680"/>
    <mergeCell ref="AL680:AM680"/>
    <mergeCell ref="AN680:AO680"/>
    <mergeCell ref="AP680:AQ680"/>
    <mergeCell ref="AR680:AS680"/>
    <mergeCell ref="AT680:AU680"/>
    <mergeCell ref="AV680:AW680"/>
    <mergeCell ref="R680:S680"/>
    <mergeCell ref="T680:U680"/>
    <mergeCell ref="V680:W680"/>
    <mergeCell ref="X680:AA680"/>
    <mergeCell ref="AB680:AE680"/>
    <mergeCell ref="AF680:AG680"/>
    <mergeCell ref="AH680:AI680"/>
    <mergeCell ref="B680:C680"/>
    <mergeCell ref="D680:E680"/>
    <mergeCell ref="F680:G680"/>
    <mergeCell ref="H680:I680"/>
    <mergeCell ref="J680:K680"/>
    <mergeCell ref="L680:M680"/>
    <mergeCell ref="P680:Q680"/>
    <mergeCell ref="BD681:BE681"/>
    <mergeCell ref="BF681:BI681"/>
    <mergeCell ref="AN681:AO681"/>
    <mergeCell ref="AP681:AQ681"/>
    <mergeCell ref="AR681:AS681"/>
    <mergeCell ref="AT681:AU681"/>
    <mergeCell ref="AV681:AW681"/>
    <mergeCell ref="AX681:AZ681"/>
    <mergeCell ref="BA681:BB681"/>
    <mergeCell ref="AJ676:AK676"/>
    <mergeCell ref="AL676:AM676"/>
    <mergeCell ref="R676:S676"/>
    <mergeCell ref="T676:U676"/>
    <mergeCell ref="V676:W676"/>
    <mergeCell ref="X676:AA676"/>
    <mergeCell ref="AB676:AE676"/>
    <mergeCell ref="AF676:AG676"/>
    <mergeCell ref="AH676:AI676"/>
    <mergeCell ref="R677:S677"/>
    <mergeCell ref="T677:U677"/>
    <mergeCell ref="V677:W677"/>
    <mergeCell ref="X677:AA677"/>
    <mergeCell ref="AB677:AE677"/>
    <mergeCell ref="AF677:AG677"/>
    <mergeCell ref="AH677:AI677"/>
    <mergeCell ref="AX677:AZ677"/>
    <mergeCell ref="BA677:BB677"/>
    <mergeCell ref="BD677:BE677"/>
    <mergeCell ref="BF677:BI677"/>
    <mergeCell ref="BJ679:BM679"/>
    <mergeCell ref="BN679:BV679"/>
    <mergeCell ref="AJ679:AK679"/>
    <mergeCell ref="AL679:AM679"/>
    <mergeCell ref="AN679:AO679"/>
    <mergeCell ref="AP679:AQ679"/>
    <mergeCell ref="AR679:AS679"/>
    <mergeCell ref="AT679:AU679"/>
    <mergeCell ref="AV679:AW679"/>
    <mergeCell ref="B679:C679"/>
    <mergeCell ref="D679:E679"/>
    <mergeCell ref="F679:G679"/>
    <mergeCell ref="H679:I679"/>
    <mergeCell ref="J679:K679"/>
    <mergeCell ref="L679:M679"/>
    <mergeCell ref="P679:Q679"/>
    <mergeCell ref="R679:S679"/>
    <mergeCell ref="T679:U679"/>
    <mergeCell ref="V679:W679"/>
    <mergeCell ref="BJ677:BM677"/>
    <mergeCell ref="BN677:BV677"/>
    <mergeCell ref="B677:C677"/>
    <mergeCell ref="D677:E677"/>
    <mergeCell ref="F677:G677"/>
    <mergeCell ref="H677:I677"/>
    <mergeCell ref="J677:K677"/>
    <mergeCell ref="L677:M677"/>
    <mergeCell ref="P677:Q677"/>
    <mergeCell ref="AJ677:AK677"/>
    <mergeCell ref="AL677:AM677"/>
    <mergeCell ref="AN677:AO677"/>
    <mergeCell ref="AP677:AQ677"/>
    <mergeCell ref="AR677:AS677"/>
    <mergeCell ref="AT677:AU677"/>
    <mergeCell ref="AV677:AW677"/>
    <mergeCell ref="B678:C678"/>
    <mergeCell ref="D678:E678"/>
    <mergeCell ref="F678:G678"/>
    <mergeCell ref="H678:I678"/>
    <mergeCell ref="J678:K678"/>
    <mergeCell ref="L678:M678"/>
    <mergeCell ref="P678:Q678"/>
    <mergeCell ref="X683:AA683"/>
    <mergeCell ref="AB683:AE683"/>
    <mergeCell ref="AF683:AG683"/>
    <mergeCell ref="AH683:AI683"/>
    <mergeCell ref="R684:S684"/>
    <mergeCell ref="T684:U684"/>
    <mergeCell ref="V684:W684"/>
    <mergeCell ref="X684:AA684"/>
    <mergeCell ref="AB684:AE684"/>
    <mergeCell ref="AF684:AG684"/>
    <mergeCell ref="AH684:AI684"/>
    <mergeCell ref="AX684:AZ684"/>
    <mergeCell ref="BA684:BB684"/>
    <mergeCell ref="BD684:BE684"/>
    <mergeCell ref="BF684:BI684"/>
    <mergeCell ref="BJ684:BM684"/>
    <mergeCell ref="BN684:BV684"/>
    <mergeCell ref="BF682:BI682"/>
    <mergeCell ref="BJ682:BM682"/>
    <mergeCell ref="BN682:BV682"/>
    <mergeCell ref="X679:AA679"/>
    <mergeCell ref="AB679:AE679"/>
    <mergeCell ref="AF679:AG679"/>
    <mergeCell ref="AH679:AI679"/>
    <mergeCell ref="AX679:AZ679"/>
    <mergeCell ref="BA679:BB679"/>
    <mergeCell ref="BD679:BE679"/>
    <mergeCell ref="BF679:BI679"/>
    <mergeCell ref="BD678:BE678"/>
    <mergeCell ref="BF678:BI678"/>
    <mergeCell ref="AN678:AO678"/>
    <mergeCell ref="AP678:AQ678"/>
    <mergeCell ref="AR678:AS678"/>
    <mergeCell ref="AT678:AU678"/>
    <mergeCell ref="AV678:AW678"/>
    <mergeCell ref="AX678:AZ678"/>
    <mergeCell ref="BA678:BB678"/>
    <mergeCell ref="AX680:AZ680"/>
    <mergeCell ref="BA680:BB680"/>
    <mergeCell ref="BD680:BE680"/>
    <mergeCell ref="BF680:BI680"/>
    <mergeCell ref="BJ685:BM685"/>
    <mergeCell ref="BN685:BV685"/>
    <mergeCell ref="B684:C684"/>
    <mergeCell ref="D684:E684"/>
    <mergeCell ref="F684:G684"/>
    <mergeCell ref="H684:I684"/>
    <mergeCell ref="J684:K684"/>
    <mergeCell ref="L684:M684"/>
    <mergeCell ref="P684:Q684"/>
    <mergeCell ref="B685:C685"/>
    <mergeCell ref="D685:E685"/>
    <mergeCell ref="F685:G685"/>
    <mergeCell ref="H685:I685"/>
    <mergeCell ref="J685:K685"/>
    <mergeCell ref="L685:M685"/>
    <mergeCell ref="P685:Q685"/>
    <mergeCell ref="AJ684:AK684"/>
    <mergeCell ref="AL684:AM684"/>
    <mergeCell ref="AN684:AO684"/>
    <mergeCell ref="AP684:AQ684"/>
    <mergeCell ref="AR684:AS684"/>
    <mergeCell ref="AT684:AU684"/>
    <mergeCell ref="AV684:AW684"/>
    <mergeCell ref="BD683:BE683"/>
    <mergeCell ref="BF683:BI683"/>
    <mergeCell ref="AN683:AO683"/>
    <mergeCell ref="AP683:AQ683"/>
    <mergeCell ref="AR683:AS683"/>
    <mergeCell ref="AT683:AU683"/>
    <mergeCell ref="AV683:AW683"/>
    <mergeCell ref="AX683:AZ683"/>
    <mergeCell ref="BA683:BB683"/>
    <mergeCell ref="BJ686:BM686"/>
    <mergeCell ref="BN686:BV686"/>
    <mergeCell ref="B686:C686"/>
    <mergeCell ref="D686:E686"/>
    <mergeCell ref="F686:G686"/>
    <mergeCell ref="H686:I686"/>
    <mergeCell ref="J686:K686"/>
    <mergeCell ref="L686:M686"/>
    <mergeCell ref="P686:Q686"/>
    <mergeCell ref="BJ683:BM683"/>
    <mergeCell ref="BN683:BV683"/>
    <mergeCell ref="B687:C687"/>
    <mergeCell ref="D687:E687"/>
    <mergeCell ref="F687:G687"/>
    <mergeCell ref="H687:I687"/>
    <mergeCell ref="J687:K687"/>
    <mergeCell ref="L687:M687"/>
    <mergeCell ref="P687:Q687"/>
    <mergeCell ref="AJ686:AK686"/>
    <mergeCell ref="AL686:AM686"/>
    <mergeCell ref="AN686:AO686"/>
    <mergeCell ref="AP686:AQ686"/>
    <mergeCell ref="AR686:AS686"/>
    <mergeCell ref="AT686:AU686"/>
    <mergeCell ref="AV686:AW686"/>
    <mergeCell ref="AJ681:AK681"/>
    <mergeCell ref="AL681:AM681"/>
    <mergeCell ref="R681:S681"/>
    <mergeCell ref="T681:U681"/>
    <mergeCell ref="V681:W681"/>
    <mergeCell ref="X681:AA681"/>
    <mergeCell ref="AB681:AE681"/>
    <mergeCell ref="AF681:AG681"/>
    <mergeCell ref="AH681:AI681"/>
    <mergeCell ref="R682:S682"/>
    <mergeCell ref="T682:U682"/>
    <mergeCell ref="V682:W682"/>
    <mergeCell ref="X682:AA682"/>
    <mergeCell ref="AB682:AE682"/>
    <mergeCell ref="AF682:AG682"/>
    <mergeCell ref="AH682:AI682"/>
    <mergeCell ref="AX682:AZ682"/>
    <mergeCell ref="BA682:BB682"/>
    <mergeCell ref="BD682:BE682"/>
    <mergeCell ref="B682:C682"/>
    <mergeCell ref="D682:E682"/>
    <mergeCell ref="F682:G682"/>
    <mergeCell ref="H682:I682"/>
    <mergeCell ref="J682:K682"/>
    <mergeCell ref="L682:M682"/>
    <mergeCell ref="P682:Q682"/>
    <mergeCell ref="B683:C683"/>
    <mergeCell ref="D683:E683"/>
    <mergeCell ref="F683:G683"/>
    <mergeCell ref="H683:I683"/>
    <mergeCell ref="J683:K683"/>
    <mergeCell ref="L683:M683"/>
    <mergeCell ref="P683:Q683"/>
    <mergeCell ref="AJ682:AK682"/>
    <mergeCell ref="AJ687:AK687"/>
    <mergeCell ref="AL687:AM687"/>
    <mergeCell ref="R687:S687"/>
    <mergeCell ref="T687:U687"/>
    <mergeCell ref="V687:W687"/>
    <mergeCell ref="X687:AA687"/>
    <mergeCell ref="AB687:AE687"/>
    <mergeCell ref="AF687:AG687"/>
    <mergeCell ref="AH687:AI687"/>
    <mergeCell ref="P675:Q675"/>
    <mergeCell ref="B676:C676"/>
    <mergeCell ref="D676:E676"/>
    <mergeCell ref="F676:G676"/>
    <mergeCell ref="H676:I676"/>
    <mergeCell ref="J676:K676"/>
    <mergeCell ref="L676:M676"/>
    <mergeCell ref="P676:Q676"/>
    <mergeCell ref="AJ675:AK675"/>
    <mergeCell ref="AL675:AM675"/>
    <mergeCell ref="AN675:AO675"/>
    <mergeCell ref="AP675:AQ675"/>
    <mergeCell ref="AR675:AS675"/>
    <mergeCell ref="AT675:AU675"/>
    <mergeCell ref="AV675:AW675"/>
    <mergeCell ref="BD687:BE687"/>
    <mergeCell ref="BF687:BI687"/>
    <mergeCell ref="AN687:AO687"/>
    <mergeCell ref="AP687:AQ687"/>
    <mergeCell ref="AR687:AS687"/>
    <mergeCell ref="AT687:AU687"/>
    <mergeCell ref="AV687:AW687"/>
    <mergeCell ref="AX687:AZ687"/>
    <mergeCell ref="BA687:BB687"/>
    <mergeCell ref="AJ685:AK685"/>
    <mergeCell ref="AL685:AM685"/>
    <mergeCell ref="R685:S685"/>
    <mergeCell ref="T685:U685"/>
    <mergeCell ref="V685:W685"/>
    <mergeCell ref="X685:AA685"/>
    <mergeCell ref="AB685:AE685"/>
    <mergeCell ref="AF685:AG685"/>
    <mergeCell ref="AH685:AI685"/>
    <mergeCell ref="R686:S686"/>
    <mergeCell ref="T686:U686"/>
    <mergeCell ref="V686:W686"/>
    <mergeCell ref="X686:AA686"/>
    <mergeCell ref="AB686:AE686"/>
    <mergeCell ref="AF686:AG686"/>
    <mergeCell ref="AH686:AI686"/>
    <mergeCell ref="AX686:AZ686"/>
    <mergeCell ref="BA686:BB686"/>
    <mergeCell ref="BD686:BE686"/>
    <mergeCell ref="BF686:BI686"/>
    <mergeCell ref="AL682:AM682"/>
    <mergeCell ref="AN682:AO682"/>
    <mergeCell ref="AP682:AQ682"/>
    <mergeCell ref="AR682:AS682"/>
    <mergeCell ref="AT682:AU682"/>
    <mergeCell ref="AV682:AW682"/>
    <mergeCell ref="BD685:BE685"/>
    <mergeCell ref="BF685:BI685"/>
    <mergeCell ref="AN685:AO685"/>
    <mergeCell ref="AP685:AQ685"/>
    <mergeCell ref="AR685:AS685"/>
    <mergeCell ref="AT685:AU685"/>
    <mergeCell ref="AV685:AW685"/>
    <mergeCell ref="AX685:AZ685"/>
    <mergeCell ref="BA685:BB685"/>
    <mergeCell ref="AJ683:AK683"/>
    <mergeCell ref="AL683:AM683"/>
    <mergeCell ref="R683:S683"/>
    <mergeCell ref="T683:U683"/>
    <mergeCell ref="V683:W683"/>
    <mergeCell ref="BJ673:BM673"/>
    <mergeCell ref="BN673:BV673"/>
    <mergeCell ref="BJ674:BM674"/>
    <mergeCell ref="BN674:BV674"/>
    <mergeCell ref="B673:C673"/>
    <mergeCell ref="D673:E673"/>
    <mergeCell ref="F673:G673"/>
    <mergeCell ref="H673:I673"/>
    <mergeCell ref="J673:K673"/>
    <mergeCell ref="L673:M673"/>
    <mergeCell ref="P673:Q673"/>
    <mergeCell ref="B674:C674"/>
    <mergeCell ref="D674:E674"/>
    <mergeCell ref="F674:G674"/>
    <mergeCell ref="H674:I674"/>
    <mergeCell ref="J674:K674"/>
    <mergeCell ref="L674:M674"/>
    <mergeCell ref="P674:Q674"/>
    <mergeCell ref="AJ673:AK673"/>
    <mergeCell ref="AL673:AM673"/>
    <mergeCell ref="AN673:AO673"/>
    <mergeCell ref="AP673:AQ673"/>
    <mergeCell ref="AR673:AS673"/>
    <mergeCell ref="AT673:AU673"/>
    <mergeCell ref="AV673:AW673"/>
    <mergeCell ref="BD676:BE676"/>
    <mergeCell ref="BF676:BI676"/>
    <mergeCell ref="AN676:AO676"/>
    <mergeCell ref="AP676:AQ676"/>
    <mergeCell ref="AR676:AS676"/>
    <mergeCell ref="AT676:AU676"/>
    <mergeCell ref="AV676:AW676"/>
    <mergeCell ref="AX676:AZ676"/>
    <mergeCell ref="BA676:BB676"/>
    <mergeCell ref="AJ674:AK674"/>
    <mergeCell ref="AL674:AM674"/>
    <mergeCell ref="R674:S674"/>
    <mergeCell ref="T674:U674"/>
    <mergeCell ref="V674:W674"/>
    <mergeCell ref="X674:AA674"/>
    <mergeCell ref="AB674:AE674"/>
    <mergeCell ref="AF674:AG674"/>
    <mergeCell ref="AH674:AI674"/>
    <mergeCell ref="R675:S675"/>
    <mergeCell ref="T675:U675"/>
    <mergeCell ref="V675:W675"/>
    <mergeCell ref="X675:AA675"/>
    <mergeCell ref="AB675:AE675"/>
    <mergeCell ref="AF675:AG675"/>
    <mergeCell ref="AH675:AI675"/>
    <mergeCell ref="AX675:AZ675"/>
    <mergeCell ref="BA675:BB675"/>
    <mergeCell ref="BD675:BE675"/>
    <mergeCell ref="BF675:BI675"/>
    <mergeCell ref="BJ675:BM675"/>
    <mergeCell ref="BN675:BV675"/>
    <mergeCell ref="BJ676:BM676"/>
    <mergeCell ref="BN676:BV676"/>
    <mergeCell ref="B675:C675"/>
    <mergeCell ref="D675:E675"/>
    <mergeCell ref="F675:G675"/>
    <mergeCell ref="H675:I675"/>
    <mergeCell ref="J675:K675"/>
    <mergeCell ref="L675:M675"/>
    <mergeCell ref="P671:Q671"/>
    <mergeCell ref="B672:C672"/>
    <mergeCell ref="D672:E672"/>
    <mergeCell ref="F672:G672"/>
    <mergeCell ref="H672:I672"/>
    <mergeCell ref="J672:K672"/>
    <mergeCell ref="L672:M672"/>
    <mergeCell ref="P672:Q672"/>
    <mergeCell ref="AJ671:AK671"/>
    <mergeCell ref="AL671:AM671"/>
    <mergeCell ref="AN671:AO671"/>
    <mergeCell ref="AP671:AQ671"/>
    <mergeCell ref="AR671:AS671"/>
    <mergeCell ref="AT671:AU671"/>
    <mergeCell ref="AV671:AW671"/>
    <mergeCell ref="BD674:BE674"/>
    <mergeCell ref="BF674:BI674"/>
    <mergeCell ref="AN674:AO674"/>
    <mergeCell ref="AP674:AQ674"/>
    <mergeCell ref="AR674:AS674"/>
    <mergeCell ref="AT674:AU674"/>
    <mergeCell ref="AV674:AW674"/>
    <mergeCell ref="AX674:AZ674"/>
    <mergeCell ref="BA674:BB674"/>
    <mergeCell ref="AJ672:AK672"/>
    <mergeCell ref="AL672:AM672"/>
    <mergeCell ref="R672:S672"/>
    <mergeCell ref="T672:U672"/>
    <mergeCell ref="V672:W672"/>
    <mergeCell ref="X672:AA672"/>
    <mergeCell ref="AB672:AE672"/>
    <mergeCell ref="AF672:AG672"/>
    <mergeCell ref="AH672:AI672"/>
    <mergeCell ref="R673:S673"/>
    <mergeCell ref="T673:U673"/>
    <mergeCell ref="V673:W673"/>
    <mergeCell ref="X673:AA673"/>
    <mergeCell ref="AB673:AE673"/>
    <mergeCell ref="AF673:AG673"/>
    <mergeCell ref="AH673:AI673"/>
    <mergeCell ref="AX673:AZ673"/>
    <mergeCell ref="BA673:BB673"/>
    <mergeCell ref="BD673:BE673"/>
    <mergeCell ref="BF673:BI673"/>
    <mergeCell ref="BJ669:BM669"/>
    <mergeCell ref="BN669:BV669"/>
    <mergeCell ref="BJ670:BM670"/>
    <mergeCell ref="BN670:BV670"/>
    <mergeCell ref="B669:C669"/>
    <mergeCell ref="D669:E669"/>
    <mergeCell ref="F669:G669"/>
    <mergeCell ref="H669:I669"/>
    <mergeCell ref="J669:K669"/>
    <mergeCell ref="L669:M669"/>
    <mergeCell ref="P669:Q669"/>
    <mergeCell ref="B670:C670"/>
    <mergeCell ref="D670:E670"/>
    <mergeCell ref="F670:G670"/>
    <mergeCell ref="H670:I670"/>
    <mergeCell ref="J670:K670"/>
    <mergeCell ref="L670:M670"/>
    <mergeCell ref="P670:Q670"/>
    <mergeCell ref="AJ669:AK669"/>
    <mergeCell ref="AL669:AM669"/>
    <mergeCell ref="AN669:AO669"/>
    <mergeCell ref="AP669:AQ669"/>
    <mergeCell ref="AR669:AS669"/>
    <mergeCell ref="AT669:AU669"/>
    <mergeCell ref="AV669:AW669"/>
    <mergeCell ref="BD672:BE672"/>
    <mergeCell ref="BF672:BI672"/>
    <mergeCell ref="AN672:AO672"/>
    <mergeCell ref="AP672:AQ672"/>
    <mergeCell ref="AR672:AS672"/>
    <mergeCell ref="AT672:AU672"/>
    <mergeCell ref="AV672:AW672"/>
    <mergeCell ref="AX672:AZ672"/>
    <mergeCell ref="BA672:BB672"/>
    <mergeCell ref="AJ670:AK670"/>
    <mergeCell ref="AL670:AM670"/>
    <mergeCell ref="R670:S670"/>
    <mergeCell ref="T670:U670"/>
    <mergeCell ref="V670:W670"/>
    <mergeCell ref="X670:AA670"/>
    <mergeCell ref="AB670:AE670"/>
    <mergeCell ref="AF670:AG670"/>
    <mergeCell ref="AH670:AI670"/>
    <mergeCell ref="R671:S671"/>
    <mergeCell ref="T671:U671"/>
    <mergeCell ref="V671:W671"/>
    <mergeCell ref="X671:AA671"/>
    <mergeCell ref="AB671:AE671"/>
    <mergeCell ref="AF671:AG671"/>
    <mergeCell ref="AH671:AI671"/>
    <mergeCell ref="AX671:AZ671"/>
    <mergeCell ref="BA671:BB671"/>
    <mergeCell ref="BD671:BE671"/>
    <mergeCell ref="BF671:BI671"/>
    <mergeCell ref="BJ671:BM671"/>
    <mergeCell ref="BN671:BV671"/>
    <mergeCell ref="BJ672:BM672"/>
    <mergeCell ref="BN672:BV672"/>
    <mergeCell ref="B671:C671"/>
    <mergeCell ref="D671:E671"/>
    <mergeCell ref="F671:G671"/>
    <mergeCell ref="H671:I671"/>
    <mergeCell ref="J671:K671"/>
    <mergeCell ref="L671:M671"/>
    <mergeCell ref="H667:I667"/>
    <mergeCell ref="J667:K667"/>
    <mergeCell ref="L667:M667"/>
    <mergeCell ref="P667:Q667"/>
    <mergeCell ref="B668:C668"/>
    <mergeCell ref="D668:E668"/>
    <mergeCell ref="F668:G668"/>
    <mergeCell ref="H668:I668"/>
    <mergeCell ref="J668:K668"/>
    <mergeCell ref="L668:M668"/>
    <mergeCell ref="P668:Q668"/>
    <mergeCell ref="AJ667:AK667"/>
    <mergeCell ref="AL667:AM667"/>
    <mergeCell ref="AN667:AO667"/>
    <mergeCell ref="AP667:AQ667"/>
    <mergeCell ref="AR667:AS667"/>
    <mergeCell ref="AT667:AU667"/>
    <mergeCell ref="AV667:AW667"/>
    <mergeCell ref="BD670:BE670"/>
    <mergeCell ref="BF670:BI670"/>
    <mergeCell ref="AN670:AO670"/>
    <mergeCell ref="AP670:AQ670"/>
    <mergeCell ref="AR670:AS670"/>
    <mergeCell ref="AT670:AU670"/>
    <mergeCell ref="AV670:AW670"/>
    <mergeCell ref="AX670:AZ670"/>
    <mergeCell ref="BA670:BB670"/>
    <mergeCell ref="AJ668:AK668"/>
    <mergeCell ref="AL668:AM668"/>
    <mergeCell ref="R668:S668"/>
    <mergeCell ref="T668:U668"/>
    <mergeCell ref="V668:W668"/>
    <mergeCell ref="X668:AA668"/>
    <mergeCell ref="AB668:AE668"/>
    <mergeCell ref="AF668:AG668"/>
    <mergeCell ref="AH668:AI668"/>
    <mergeCell ref="R669:S669"/>
    <mergeCell ref="T669:U669"/>
    <mergeCell ref="V669:W669"/>
    <mergeCell ref="X669:AA669"/>
    <mergeCell ref="AB669:AE669"/>
    <mergeCell ref="AF669:AG669"/>
    <mergeCell ref="AH669:AI669"/>
    <mergeCell ref="AX669:AZ669"/>
    <mergeCell ref="BA669:BB669"/>
    <mergeCell ref="BD669:BE669"/>
    <mergeCell ref="BF669:BI669"/>
    <mergeCell ref="BA665:BB665"/>
    <mergeCell ref="BD665:BE665"/>
    <mergeCell ref="BF665:BI665"/>
    <mergeCell ref="BJ665:BM665"/>
    <mergeCell ref="BN665:BV665"/>
    <mergeCell ref="BJ666:BM666"/>
    <mergeCell ref="BN666:BV666"/>
    <mergeCell ref="B665:C665"/>
    <mergeCell ref="D665:E665"/>
    <mergeCell ref="F665:G665"/>
    <mergeCell ref="H665:I665"/>
    <mergeCell ref="J665:K665"/>
    <mergeCell ref="L665:M665"/>
    <mergeCell ref="P665:Q665"/>
    <mergeCell ref="B666:C666"/>
    <mergeCell ref="D666:E666"/>
    <mergeCell ref="F666:G666"/>
    <mergeCell ref="H666:I666"/>
    <mergeCell ref="J666:K666"/>
    <mergeCell ref="L666:M666"/>
    <mergeCell ref="P666:Q666"/>
    <mergeCell ref="AJ665:AK665"/>
    <mergeCell ref="AL665:AM665"/>
    <mergeCell ref="AN665:AO665"/>
    <mergeCell ref="AP665:AQ665"/>
    <mergeCell ref="AR665:AS665"/>
    <mergeCell ref="AT665:AU665"/>
    <mergeCell ref="AV665:AW665"/>
    <mergeCell ref="BD668:BE668"/>
    <mergeCell ref="BF668:BI668"/>
    <mergeCell ref="AN668:AO668"/>
    <mergeCell ref="AP668:AQ668"/>
    <mergeCell ref="AR668:AS668"/>
    <mergeCell ref="AT668:AU668"/>
    <mergeCell ref="AV668:AW668"/>
    <mergeCell ref="AX668:AZ668"/>
    <mergeCell ref="BA668:BB668"/>
    <mergeCell ref="AJ666:AK666"/>
    <mergeCell ref="AL666:AM666"/>
    <mergeCell ref="R666:S666"/>
    <mergeCell ref="T666:U666"/>
    <mergeCell ref="V666:W666"/>
    <mergeCell ref="X666:AA666"/>
    <mergeCell ref="AB666:AE666"/>
    <mergeCell ref="AF666:AG666"/>
    <mergeCell ref="AH666:AI666"/>
    <mergeCell ref="R667:S667"/>
    <mergeCell ref="T667:U667"/>
    <mergeCell ref="V667:W667"/>
    <mergeCell ref="X667:AA667"/>
    <mergeCell ref="AB667:AE667"/>
    <mergeCell ref="AF667:AG667"/>
    <mergeCell ref="AH667:AI667"/>
    <mergeCell ref="AX667:AZ667"/>
    <mergeCell ref="BA667:BB667"/>
    <mergeCell ref="BD667:BE667"/>
    <mergeCell ref="BF667:BI667"/>
    <mergeCell ref="BJ667:BM667"/>
    <mergeCell ref="BN667:BV667"/>
    <mergeCell ref="BJ668:BM668"/>
    <mergeCell ref="BN668:BV668"/>
    <mergeCell ref="B667:C667"/>
    <mergeCell ref="D667:E667"/>
    <mergeCell ref="F667:G667"/>
    <mergeCell ref="BJ657:BM657"/>
    <mergeCell ref="BN657:BV657"/>
    <mergeCell ref="BJ658:BM658"/>
    <mergeCell ref="BN658:BV658"/>
    <mergeCell ref="B658:C658"/>
    <mergeCell ref="D658:E658"/>
    <mergeCell ref="F658:G658"/>
    <mergeCell ref="H658:I658"/>
    <mergeCell ref="J658:K658"/>
    <mergeCell ref="L658:M658"/>
    <mergeCell ref="P658:Q658"/>
    <mergeCell ref="AJ657:AK657"/>
    <mergeCell ref="AL657:AM657"/>
    <mergeCell ref="AN657:AO657"/>
    <mergeCell ref="AP657:AQ657"/>
    <mergeCell ref="AR657:AS657"/>
    <mergeCell ref="AT657:AU657"/>
    <mergeCell ref="AV657:AW657"/>
    <mergeCell ref="BD660:BE660"/>
    <mergeCell ref="BF660:BI660"/>
    <mergeCell ref="AN660:AO660"/>
    <mergeCell ref="AP660:AQ660"/>
    <mergeCell ref="AR660:AS660"/>
    <mergeCell ref="AT660:AU660"/>
    <mergeCell ref="AV660:AW660"/>
    <mergeCell ref="AX660:AZ660"/>
    <mergeCell ref="BA660:BB660"/>
    <mergeCell ref="AJ678:AK678"/>
    <mergeCell ref="AL678:AM678"/>
    <mergeCell ref="BJ678:BM678"/>
    <mergeCell ref="BN678:BV678"/>
    <mergeCell ref="R678:S678"/>
    <mergeCell ref="T678:U678"/>
    <mergeCell ref="V678:W678"/>
    <mergeCell ref="X678:AA678"/>
    <mergeCell ref="AB678:AE678"/>
    <mergeCell ref="AF678:AG678"/>
    <mergeCell ref="AH678:AI678"/>
    <mergeCell ref="BD666:BE666"/>
    <mergeCell ref="BF666:BI666"/>
    <mergeCell ref="AN666:AO666"/>
    <mergeCell ref="AP666:AQ666"/>
    <mergeCell ref="AR666:AS666"/>
    <mergeCell ref="AT666:AU666"/>
    <mergeCell ref="AV666:AW666"/>
    <mergeCell ref="AX666:AZ666"/>
    <mergeCell ref="BA666:BB666"/>
    <mergeCell ref="AJ664:AK664"/>
    <mergeCell ref="AL664:AM664"/>
    <mergeCell ref="R664:S664"/>
    <mergeCell ref="T664:U664"/>
    <mergeCell ref="V664:W664"/>
    <mergeCell ref="X664:AA664"/>
    <mergeCell ref="AB664:AE664"/>
    <mergeCell ref="AF664:AG664"/>
    <mergeCell ref="AH664:AI664"/>
    <mergeCell ref="R665:S665"/>
    <mergeCell ref="T665:U665"/>
    <mergeCell ref="V665:W665"/>
    <mergeCell ref="X665:AA665"/>
    <mergeCell ref="AB665:AE665"/>
    <mergeCell ref="AF665:AG665"/>
    <mergeCell ref="AH665:AI665"/>
    <mergeCell ref="AX665:AZ665"/>
    <mergeCell ref="BJ654:BM654"/>
    <mergeCell ref="BN654:BV654"/>
    <mergeCell ref="B654:C654"/>
    <mergeCell ref="D654:E654"/>
    <mergeCell ref="F654:G654"/>
    <mergeCell ref="H654:I654"/>
    <mergeCell ref="J654:K654"/>
    <mergeCell ref="L654:M654"/>
    <mergeCell ref="P654:Q654"/>
    <mergeCell ref="AJ654:AK654"/>
    <mergeCell ref="AL654:AM654"/>
    <mergeCell ref="AN654:AO654"/>
    <mergeCell ref="AP654:AQ654"/>
    <mergeCell ref="AR654:AS654"/>
    <mergeCell ref="AT654:AU654"/>
    <mergeCell ref="AV654:AW654"/>
    <mergeCell ref="B655:C655"/>
    <mergeCell ref="D655:E655"/>
    <mergeCell ref="F655:G655"/>
    <mergeCell ref="H655:I655"/>
    <mergeCell ref="J655:K655"/>
    <mergeCell ref="L655:M655"/>
    <mergeCell ref="P655:Q655"/>
    <mergeCell ref="R657:S657"/>
    <mergeCell ref="T657:U657"/>
    <mergeCell ref="V657:W657"/>
    <mergeCell ref="X657:AA657"/>
    <mergeCell ref="AB657:AE657"/>
    <mergeCell ref="AF657:AG657"/>
    <mergeCell ref="AH657:AI657"/>
    <mergeCell ref="B657:C657"/>
    <mergeCell ref="D657:E657"/>
    <mergeCell ref="F657:G657"/>
    <mergeCell ref="H657:I657"/>
    <mergeCell ref="J657:K657"/>
    <mergeCell ref="L657:M657"/>
    <mergeCell ref="P657:Q657"/>
    <mergeCell ref="R656:S656"/>
    <mergeCell ref="T656:U656"/>
    <mergeCell ref="V656:W656"/>
    <mergeCell ref="X656:AA656"/>
    <mergeCell ref="AB656:AE656"/>
    <mergeCell ref="AF656:AG656"/>
    <mergeCell ref="AH656:AI656"/>
    <mergeCell ref="AX656:AZ656"/>
    <mergeCell ref="BA656:BB656"/>
    <mergeCell ref="BD656:BE656"/>
    <mergeCell ref="BF656:BI656"/>
    <mergeCell ref="BJ656:BM656"/>
    <mergeCell ref="BN656:BV656"/>
    <mergeCell ref="AJ656:AK656"/>
    <mergeCell ref="AL656:AM656"/>
    <mergeCell ref="AN656:AO656"/>
    <mergeCell ref="AP656:AQ656"/>
    <mergeCell ref="AR656:AS656"/>
    <mergeCell ref="AT656:AU656"/>
    <mergeCell ref="AV656:AW656"/>
    <mergeCell ref="B656:C656"/>
    <mergeCell ref="D656:E656"/>
    <mergeCell ref="F656:G656"/>
    <mergeCell ref="H656:I656"/>
    <mergeCell ref="J656:K656"/>
    <mergeCell ref="L656:M656"/>
    <mergeCell ref="P656:Q656"/>
    <mergeCell ref="B661:C661"/>
    <mergeCell ref="D661:E661"/>
    <mergeCell ref="F661:G661"/>
    <mergeCell ref="H661:I661"/>
    <mergeCell ref="J661:K661"/>
    <mergeCell ref="L661:M661"/>
    <mergeCell ref="P661:Q661"/>
    <mergeCell ref="B662:C662"/>
    <mergeCell ref="D662:E662"/>
    <mergeCell ref="F662:G662"/>
    <mergeCell ref="H662:I662"/>
    <mergeCell ref="J662:K662"/>
    <mergeCell ref="L662:M662"/>
    <mergeCell ref="P662:Q662"/>
    <mergeCell ref="AJ661:AK661"/>
    <mergeCell ref="AL661:AM661"/>
    <mergeCell ref="AN661:AO661"/>
    <mergeCell ref="AP661:AQ661"/>
    <mergeCell ref="AR661:AS661"/>
    <mergeCell ref="AT661:AU661"/>
    <mergeCell ref="AV661:AW661"/>
    <mergeCell ref="BD655:BE655"/>
    <mergeCell ref="BF655:BI655"/>
    <mergeCell ref="AN655:AO655"/>
    <mergeCell ref="AP655:AQ655"/>
    <mergeCell ref="AR655:AS655"/>
    <mergeCell ref="AT655:AU655"/>
    <mergeCell ref="AV655:AW655"/>
    <mergeCell ref="AX655:AZ655"/>
    <mergeCell ref="BA655:BB655"/>
    <mergeCell ref="AJ653:AK653"/>
    <mergeCell ref="AL653:AM653"/>
    <mergeCell ref="R653:S653"/>
    <mergeCell ref="T653:U653"/>
    <mergeCell ref="V653:W653"/>
    <mergeCell ref="X653:AA653"/>
    <mergeCell ref="AB653:AE653"/>
    <mergeCell ref="AF653:AG653"/>
    <mergeCell ref="AH653:AI653"/>
    <mergeCell ref="R654:S654"/>
    <mergeCell ref="T654:U654"/>
    <mergeCell ref="V654:W654"/>
    <mergeCell ref="X654:AA654"/>
    <mergeCell ref="AB654:AE654"/>
    <mergeCell ref="AF654:AG654"/>
    <mergeCell ref="AH654:AI654"/>
    <mergeCell ref="AX654:AZ654"/>
    <mergeCell ref="BA654:BB654"/>
    <mergeCell ref="BD654:BE654"/>
    <mergeCell ref="BF654:BI654"/>
    <mergeCell ref="BD658:BE658"/>
    <mergeCell ref="BF658:BI658"/>
    <mergeCell ref="AN658:AO658"/>
    <mergeCell ref="AP658:AQ658"/>
    <mergeCell ref="AR658:AS658"/>
    <mergeCell ref="AT658:AU658"/>
    <mergeCell ref="AV658:AW658"/>
    <mergeCell ref="AX658:AZ658"/>
    <mergeCell ref="BA658:BB658"/>
    <mergeCell ref="AX657:AZ657"/>
    <mergeCell ref="BA657:BB657"/>
    <mergeCell ref="BD657:BE657"/>
    <mergeCell ref="BF657:BI657"/>
    <mergeCell ref="BD653:BE653"/>
    <mergeCell ref="BD662:BE662"/>
    <mergeCell ref="BF662:BI662"/>
    <mergeCell ref="AN662:AO662"/>
    <mergeCell ref="AP662:AQ662"/>
    <mergeCell ref="AR662:AS662"/>
    <mergeCell ref="AT662:AU662"/>
    <mergeCell ref="AV662:AW662"/>
    <mergeCell ref="AX662:AZ662"/>
    <mergeCell ref="BA662:BB662"/>
    <mergeCell ref="AJ660:AK660"/>
    <mergeCell ref="AL660:AM660"/>
    <mergeCell ref="R660:S660"/>
    <mergeCell ref="T660:U660"/>
    <mergeCell ref="V660:W660"/>
    <mergeCell ref="X660:AA660"/>
    <mergeCell ref="AB660:AE660"/>
    <mergeCell ref="AF660:AG660"/>
    <mergeCell ref="AH660:AI660"/>
    <mergeCell ref="R661:S661"/>
    <mergeCell ref="T661:U661"/>
    <mergeCell ref="V661:W661"/>
    <mergeCell ref="X661:AA661"/>
    <mergeCell ref="AB661:AE661"/>
    <mergeCell ref="AF661:AG661"/>
    <mergeCell ref="AH661:AI661"/>
    <mergeCell ref="AX661:AZ661"/>
    <mergeCell ref="BA661:BB661"/>
    <mergeCell ref="BD661:BE661"/>
    <mergeCell ref="BF661:BI661"/>
    <mergeCell ref="BJ661:BM661"/>
    <mergeCell ref="BN661:BV661"/>
    <mergeCell ref="BJ662:BM662"/>
    <mergeCell ref="BN662:BV662"/>
    <mergeCell ref="AJ658:AK658"/>
    <mergeCell ref="AL658:AM658"/>
    <mergeCell ref="R658:S658"/>
    <mergeCell ref="T658:U658"/>
    <mergeCell ref="V658:W658"/>
    <mergeCell ref="X658:AA658"/>
    <mergeCell ref="AB658:AE658"/>
    <mergeCell ref="AF658:AG658"/>
    <mergeCell ref="AH658:AI658"/>
    <mergeCell ref="R659:S659"/>
    <mergeCell ref="T659:U659"/>
    <mergeCell ref="V659:W659"/>
    <mergeCell ref="X659:AA659"/>
    <mergeCell ref="AB659:AE659"/>
    <mergeCell ref="AF659:AG659"/>
    <mergeCell ref="AH659:AI659"/>
    <mergeCell ref="AX659:AZ659"/>
    <mergeCell ref="BA659:BB659"/>
    <mergeCell ref="BD659:BE659"/>
    <mergeCell ref="BF659:BI659"/>
    <mergeCell ref="BJ659:BM659"/>
    <mergeCell ref="BN659:BV659"/>
    <mergeCell ref="BJ660:BM660"/>
    <mergeCell ref="BN660:BV660"/>
    <mergeCell ref="B659:C659"/>
    <mergeCell ref="D659:E659"/>
    <mergeCell ref="F659:G659"/>
    <mergeCell ref="H659:I659"/>
    <mergeCell ref="J659:K659"/>
    <mergeCell ref="L659:M659"/>
    <mergeCell ref="P659:Q659"/>
    <mergeCell ref="B660:C660"/>
    <mergeCell ref="D660:E660"/>
    <mergeCell ref="F660:G660"/>
    <mergeCell ref="H660:I660"/>
    <mergeCell ref="J660:K660"/>
    <mergeCell ref="L660:M660"/>
    <mergeCell ref="P660:Q660"/>
    <mergeCell ref="AJ659:AK659"/>
    <mergeCell ref="AL659:AM659"/>
    <mergeCell ref="AN659:AO659"/>
    <mergeCell ref="AP659:AQ659"/>
    <mergeCell ref="AR659:AS659"/>
    <mergeCell ref="AT659:AU659"/>
    <mergeCell ref="AV659:AW659"/>
    <mergeCell ref="V536:W536"/>
    <mergeCell ref="X536:AA536"/>
    <mergeCell ref="AB536:AE536"/>
    <mergeCell ref="AF536:AG536"/>
    <mergeCell ref="AH536:AI536"/>
    <mergeCell ref="AJ536:AK536"/>
    <mergeCell ref="AL536:AM536"/>
    <mergeCell ref="BD536:BE536"/>
    <mergeCell ref="BF536:BI536"/>
    <mergeCell ref="BJ536:BM536"/>
    <mergeCell ref="BN536:BV536"/>
    <mergeCell ref="AN536:AO536"/>
    <mergeCell ref="AP536:AQ536"/>
    <mergeCell ref="AR536:AS536"/>
    <mergeCell ref="AT536:AU536"/>
    <mergeCell ref="AV536:AW536"/>
    <mergeCell ref="AX536:AZ536"/>
    <mergeCell ref="BA536:BB536"/>
    <mergeCell ref="B536:C536"/>
    <mergeCell ref="D536:E536"/>
    <mergeCell ref="F536:G536"/>
    <mergeCell ref="H536:I536"/>
    <mergeCell ref="P536:Q536"/>
    <mergeCell ref="R536:S536"/>
    <mergeCell ref="T536:U536"/>
    <mergeCell ref="B537:C537"/>
    <mergeCell ref="D537:E537"/>
    <mergeCell ref="F537:G537"/>
    <mergeCell ref="H537:I537"/>
    <mergeCell ref="J537:K537"/>
    <mergeCell ref="L537:M537"/>
    <mergeCell ref="P537:Q537"/>
    <mergeCell ref="AX537:AZ537"/>
    <mergeCell ref="BA537:BB537"/>
    <mergeCell ref="BD537:BE537"/>
    <mergeCell ref="BF537:BI537"/>
    <mergeCell ref="BJ537:BM537"/>
    <mergeCell ref="BN537:BV537"/>
    <mergeCell ref="AN537:AO537"/>
    <mergeCell ref="AP537:AQ537"/>
    <mergeCell ref="AR537:AS537"/>
    <mergeCell ref="AT537:AU537"/>
    <mergeCell ref="AV537:AW537"/>
    <mergeCell ref="V534:W534"/>
    <mergeCell ref="X534:AA534"/>
    <mergeCell ref="AB534:AE534"/>
    <mergeCell ref="AF534:AG534"/>
    <mergeCell ref="AH534:AI534"/>
    <mergeCell ref="AJ534:AK534"/>
    <mergeCell ref="AL534:AM534"/>
    <mergeCell ref="BD534:BE534"/>
    <mergeCell ref="BF534:BI534"/>
    <mergeCell ref="BJ534:BM534"/>
    <mergeCell ref="BN534:BV534"/>
    <mergeCell ref="AN534:AO534"/>
    <mergeCell ref="AP534:AQ534"/>
    <mergeCell ref="AR534:AS534"/>
    <mergeCell ref="AT534:AU534"/>
    <mergeCell ref="AV534:AW534"/>
    <mergeCell ref="AX534:AZ534"/>
    <mergeCell ref="BA534:BB534"/>
    <mergeCell ref="B534:C534"/>
    <mergeCell ref="D534:E534"/>
    <mergeCell ref="F534:G534"/>
    <mergeCell ref="H534:I534"/>
    <mergeCell ref="P534:Q534"/>
    <mergeCell ref="R534:S534"/>
    <mergeCell ref="T534:U534"/>
    <mergeCell ref="B535:C535"/>
    <mergeCell ref="D535:E535"/>
    <mergeCell ref="F535:G535"/>
    <mergeCell ref="H535:I535"/>
    <mergeCell ref="J535:K535"/>
    <mergeCell ref="L535:M535"/>
    <mergeCell ref="P535:Q535"/>
    <mergeCell ref="AX535:AZ535"/>
    <mergeCell ref="BA535:BB535"/>
    <mergeCell ref="BD535:BE535"/>
    <mergeCell ref="BF535:BI535"/>
    <mergeCell ref="BJ535:BM535"/>
    <mergeCell ref="BN535:BV535"/>
    <mergeCell ref="AN535:AO535"/>
    <mergeCell ref="AP535:AQ535"/>
    <mergeCell ref="AR535:AS535"/>
    <mergeCell ref="AT535:AU535"/>
    <mergeCell ref="AV535:AW535"/>
    <mergeCell ref="R535:S535"/>
    <mergeCell ref="T535:U535"/>
    <mergeCell ref="V535:W535"/>
    <mergeCell ref="X535:AA535"/>
    <mergeCell ref="AB535:AE535"/>
    <mergeCell ref="AF535:AG535"/>
    <mergeCell ref="AH535:AI535"/>
    <mergeCell ref="AJ535:AK535"/>
    <mergeCell ref="AL535:AM535"/>
    <mergeCell ref="V532:W532"/>
    <mergeCell ref="X532:AA532"/>
    <mergeCell ref="AB532:AE532"/>
    <mergeCell ref="AF532:AG532"/>
    <mergeCell ref="AH532:AI532"/>
    <mergeCell ref="AJ532:AK532"/>
    <mergeCell ref="AL532:AM532"/>
    <mergeCell ref="BD532:BE532"/>
    <mergeCell ref="BF532:BI532"/>
    <mergeCell ref="BJ532:BM532"/>
    <mergeCell ref="BN532:BV532"/>
    <mergeCell ref="AN532:AO532"/>
    <mergeCell ref="AP532:AQ532"/>
    <mergeCell ref="AR532:AS532"/>
    <mergeCell ref="AT532:AU532"/>
    <mergeCell ref="AV532:AW532"/>
    <mergeCell ref="AX532:AZ532"/>
    <mergeCell ref="BA532:BB532"/>
    <mergeCell ref="B532:C532"/>
    <mergeCell ref="D532:E532"/>
    <mergeCell ref="F532:G532"/>
    <mergeCell ref="H532:I532"/>
    <mergeCell ref="P532:Q532"/>
    <mergeCell ref="R532:S532"/>
    <mergeCell ref="T532:U532"/>
    <mergeCell ref="B533:C533"/>
    <mergeCell ref="D533:E533"/>
    <mergeCell ref="F533:G533"/>
    <mergeCell ref="H533:I533"/>
    <mergeCell ref="J533:K533"/>
    <mergeCell ref="L533:M533"/>
    <mergeCell ref="P533:Q533"/>
    <mergeCell ref="AX533:AZ533"/>
    <mergeCell ref="BA533:BB533"/>
    <mergeCell ref="BD533:BE533"/>
    <mergeCell ref="BF533:BI533"/>
    <mergeCell ref="BJ533:BM533"/>
    <mergeCell ref="BN533:BV533"/>
    <mergeCell ref="AN533:AO533"/>
    <mergeCell ref="AP533:AQ533"/>
    <mergeCell ref="AR533:AS533"/>
    <mergeCell ref="AT533:AU533"/>
    <mergeCell ref="AV533:AW533"/>
    <mergeCell ref="R533:S533"/>
    <mergeCell ref="T533:U533"/>
    <mergeCell ref="V533:W533"/>
    <mergeCell ref="X533:AA533"/>
    <mergeCell ref="AB533:AE533"/>
    <mergeCell ref="AF533:AG533"/>
    <mergeCell ref="AH533:AI533"/>
    <mergeCell ref="AJ533:AK533"/>
    <mergeCell ref="AL533:AM533"/>
    <mergeCell ref="V530:W530"/>
    <mergeCell ref="X530:AA530"/>
    <mergeCell ref="AB530:AE530"/>
    <mergeCell ref="AF530:AG530"/>
    <mergeCell ref="AH530:AI530"/>
    <mergeCell ref="AJ530:AK530"/>
    <mergeCell ref="AL530:AM530"/>
    <mergeCell ref="BD530:BE530"/>
    <mergeCell ref="BF530:BI530"/>
    <mergeCell ref="BJ530:BM530"/>
    <mergeCell ref="BN530:BV530"/>
    <mergeCell ref="AN530:AO530"/>
    <mergeCell ref="AP530:AQ530"/>
    <mergeCell ref="AR530:AS530"/>
    <mergeCell ref="AT530:AU530"/>
    <mergeCell ref="AV530:AW530"/>
    <mergeCell ref="AX530:AZ530"/>
    <mergeCell ref="BA530:BB530"/>
    <mergeCell ref="B530:C530"/>
    <mergeCell ref="D530:E530"/>
    <mergeCell ref="F530:G530"/>
    <mergeCell ref="H530:I530"/>
    <mergeCell ref="P530:Q530"/>
    <mergeCell ref="R530:S530"/>
    <mergeCell ref="T530:U530"/>
    <mergeCell ref="B531:C531"/>
    <mergeCell ref="D531:E531"/>
    <mergeCell ref="F531:G531"/>
    <mergeCell ref="H531:I531"/>
    <mergeCell ref="J531:K531"/>
    <mergeCell ref="L531:M531"/>
    <mergeCell ref="P531:Q531"/>
    <mergeCell ref="AX531:AZ531"/>
    <mergeCell ref="BA531:BB531"/>
    <mergeCell ref="BD531:BE531"/>
    <mergeCell ref="BF531:BI531"/>
    <mergeCell ref="BJ531:BM531"/>
    <mergeCell ref="BN531:BV531"/>
    <mergeCell ref="AN531:AO531"/>
    <mergeCell ref="AP531:AQ531"/>
    <mergeCell ref="AR531:AS531"/>
    <mergeCell ref="AT531:AU531"/>
    <mergeCell ref="AV531:AW531"/>
    <mergeCell ref="R531:S531"/>
    <mergeCell ref="T531:U531"/>
    <mergeCell ref="V531:W531"/>
    <mergeCell ref="X531:AA531"/>
    <mergeCell ref="AB531:AE531"/>
    <mergeCell ref="AF531:AG531"/>
    <mergeCell ref="AH531:AI531"/>
    <mergeCell ref="AJ531:AK531"/>
    <mergeCell ref="AL531:AM531"/>
    <mergeCell ref="V528:W528"/>
    <mergeCell ref="X528:AA528"/>
    <mergeCell ref="AB528:AE528"/>
    <mergeCell ref="AF528:AG528"/>
    <mergeCell ref="AH528:AI528"/>
    <mergeCell ref="AJ528:AK528"/>
    <mergeCell ref="AL528:AM528"/>
    <mergeCell ref="BD528:BE528"/>
    <mergeCell ref="BF528:BI528"/>
    <mergeCell ref="BJ528:BM528"/>
    <mergeCell ref="BN528:BV528"/>
    <mergeCell ref="AN528:AO528"/>
    <mergeCell ref="AP528:AQ528"/>
    <mergeCell ref="AR528:AS528"/>
    <mergeCell ref="AT528:AU528"/>
    <mergeCell ref="AV528:AW528"/>
    <mergeCell ref="AX528:AZ528"/>
    <mergeCell ref="BA528:BB528"/>
    <mergeCell ref="B528:C528"/>
    <mergeCell ref="D528:E528"/>
    <mergeCell ref="F528:G528"/>
    <mergeCell ref="H528:I528"/>
    <mergeCell ref="P528:Q528"/>
    <mergeCell ref="R528:S528"/>
    <mergeCell ref="T528:U528"/>
    <mergeCell ref="B529:C529"/>
    <mergeCell ref="D529:E529"/>
    <mergeCell ref="F529:G529"/>
    <mergeCell ref="H529:I529"/>
    <mergeCell ref="J529:K529"/>
    <mergeCell ref="L529:M529"/>
    <mergeCell ref="P529:Q529"/>
    <mergeCell ref="AX529:AZ529"/>
    <mergeCell ref="BA529:BB529"/>
    <mergeCell ref="BD529:BE529"/>
    <mergeCell ref="BF529:BI529"/>
    <mergeCell ref="BJ529:BM529"/>
    <mergeCell ref="BN529:BV529"/>
    <mergeCell ref="AN529:AO529"/>
    <mergeCell ref="AP529:AQ529"/>
    <mergeCell ref="AR529:AS529"/>
    <mergeCell ref="AT529:AU529"/>
    <mergeCell ref="AV529:AW529"/>
    <mergeCell ref="R529:S529"/>
    <mergeCell ref="T529:U529"/>
    <mergeCell ref="V529:W529"/>
    <mergeCell ref="X529:AA529"/>
    <mergeCell ref="AB529:AE529"/>
    <mergeCell ref="AF529:AG529"/>
    <mergeCell ref="AH529:AI529"/>
    <mergeCell ref="AJ529:AK529"/>
    <mergeCell ref="AL529:AM529"/>
    <mergeCell ref="V526:W526"/>
    <mergeCell ref="X526:AA526"/>
    <mergeCell ref="AB526:AE526"/>
    <mergeCell ref="AF526:AG526"/>
    <mergeCell ref="AH526:AI526"/>
    <mergeCell ref="AJ526:AK526"/>
    <mergeCell ref="AL526:AM526"/>
    <mergeCell ref="BD526:BE526"/>
    <mergeCell ref="BF526:BI526"/>
    <mergeCell ref="BJ526:BM526"/>
    <mergeCell ref="BN526:BV526"/>
    <mergeCell ref="AN526:AO526"/>
    <mergeCell ref="AP526:AQ526"/>
    <mergeCell ref="AR526:AS526"/>
    <mergeCell ref="AT526:AU526"/>
    <mergeCell ref="AV526:AW526"/>
    <mergeCell ref="AX526:AZ526"/>
    <mergeCell ref="BA526:BB526"/>
    <mergeCell ref="B526:C526"/>
    <mergeCell ref="D526:E526"/>
    <mergeCell ref="F526:G526"/>
    <mergeCell ref="H526:I526"/>
    <mergeCell ref="P526:Q526"/>
    <mergeCell ref="R526:S526"/>
    <mergeCell ref="T526:U526"/>
    <mergeCell ref="B527:C527"/>
    <mergeCell ref="D527:E527"/>
    <mergeCell ref="F527:G527"/>
    <mergeCell ref="H527:I527"/>
    <mergeCell ref="J527:K527"/>
    <mergeCell ref="L527:M527"/>
    <mergeCell ref="P527:Q527"/>
    <mergeCell ref="AX527:AZ527"/>
    <mergeCell ref="BA527:BB527"/>
    <mergeCell ref="BD527:BE527"/>
    <mergeCell ref="BF527:BI527"/>
    <mergeCell ref="BJ527:BM527"/>
    <mergeCell ref="BN527:BV527"/>
    <mergeCell ref="AN527:AO527"/>
    <mergeCell ref="AP527:AQ527"/>
    <mergeCell ref="AR527:AS527"/>
    <mergeCell ref="AT527:AU527"/>
    <mergeCell ref="AV527:AW527"/>
    <mergeCell ref="R527:S527"/>
    <mergeCell ref="T527:U527"/>
    <mergeCell ref="V527:W527"/>
    <mergeCell ref="X527:AA527"/>
    <mergeCell ref="AB527:AE527"/>
    <mergeCell ref="AF527:AG527"/>
    <mergeCell ref="AH527:AI527"/>
    <mergeCell ref="AJ527:AK527"/>
    <mergeCell ref="AL527:AM527"/>
    <mergeCell ref="V524:W524"/>
    <mergeCell ref="X524:AA524"/>
    <mergeCell ref="AB524:AE524"/>
    <mergeCell ref="AF524:AG524"/>
    <mergeCell ref="AH524:AI524"/>
    <mergeCell ref="AJ524:AK524"/>
    <mergeCell ref="AL524:AM524"/>
    <mergeCell ref="BD524:BE524"/>
    <mergeCell ref="BF524:BI524"/>
    <mergeCell ref="BJ524:BM524"/>
    <mergeCell ref="BN524:BV524"/>
    <mergeCell ref="AN524:AO524"/>
    <mergeCell ref="AP524:AQ524"/>
    <mergeCell ref="AR524:AS524"/>
    <mergeCell ref="AT524:AU524"/>
    <mergeCell ref="AV524:AW524"/>
    <mergeCell ref="AX524:AZ524"/>
    <mergeCell ref="BA524:BB524"/>
    <mergeCell ref="B524:C524"/>
    <mergeCell ref="D524:E524"/>
    <mergeCell ref="F524:G524"/>
    <mergeCell ref="H524:I524"/>
    <mergeCell ref="P524:Q524"/>
    <mergeCell ref="R524:S524"/>
    <mergeCell ref="T524:U524"/>
    <mergeCell ref="B525:C525"/>
    <mergeCell ref="D525:E525"/>
    <mergeCell ref="F525:G525"/>
    <mergeCell ref="H525:I525"/>
    <mergeCell ref="J525:K525"/>
    <mergeCell ref="L525:M525"/>
    <mergeCell ref="P525:Q525"/>
    <mergeCell ref="AX525:AZ525"/>
    <mergeCell ref="BA525:BB525"/>
    <mergeCell ref="BD525:BE525"/>
    <mergeCell ref="BF525:BI525"/>
    <mergeCell ref="BJ525:BM525"/>
    <mergeCell ref="BN525:BV525"/>
    <mergeCell ref="AN525:AO525"/>
    <mergeCell ref="AP525:AQ525"/>
    <mergeCell ref="AR525:AS525"/>
    <mergeCell ref="AT525:AU525"/>
    <mergeCell ref="AV525:AW525"/>
    <mergeCell ref="R525:S525"/>
    <mergeCell ref="T525:U525"/>
    <mergeCell ref="V525:W525"/>
    <mergeCell ref="X525:AA525"/>
    <mergeCell ref="AB525:AE525"/>
    <mergeCell ref="AF525:AG525"/>
    <mergeCell ref="AH525:AI525"/>
    <mergeCell ref="AJ525:AK525"/>
    <mergeCell ref="AL525:AM525"/>
    <mergeCell ref="V522:W522"/>
    <mergeCell ref="X522:AA522"/>
    <mergeCell ref="AB522:AE522"/>
    <mergeCell ref="AF522:AG522"/>
    <mergeCell ref="AH522:AI522"/>
    <mergeCell ref="AJ522:AK522"/>
    <mergeCell ref="AL522:AM522"/>
    <mergeCell ref="BD522:BE522"/>
    <mergeCell ref="BF522:BI522"/>
    <mergeCell ref="BJ522:BM522"/>
    <mergeCell ref="BN522:BV522"/>
    <mergeCell ref="AN522:AO522"/>
    <mergeCell ref="AP522:AQ522"/>
    <mergeCell ref="AR522:AS522"/>
    <mergeCell ref="AT522:AU522"/>
    <mergeCell ref="AV522:AW522"/>
    <mergeCell ref="AX522:AZ522"/>
    <mergeCell ref="BA522:BB522"/>
    <mergeCell ref="B522:C522"/>
    <mergeCell ref="D522:E522"/>
    <mergeCell ref="F522:G522"/>
    <mergeCell ref="H522:I522"/>
    <mergeCell ref="P522:Q522"/>
    <mergeCell ref="R522:S522"/>
    <mergeCell ref="T522:U522"/>
    <mergeCell ref="B523:C523"/>
    <mergeCell ref="D523:E523"/>
    <mergeCell ref="F523:G523"/>
    <mergeCell ref="H523:I523"/>
    <mergeCell ref="J523:K523"/>
    <mergeCell ref="L523:M523"/>
    <mergeCell ref="P523:Q523"/>
    <mergeCell ref="AX523:AZ523"/>
    <mergeCell ref="BA523:BB523"/>
    <mergeCell ref="BD523:BE523"/>
    <mergeCell ref="BF523:BI523"/>
    <mergeCell ref="BJ523:BM523"/>
    <mergeCell ref="BN523:BV523"/>
    <mergeCell ref="AN523:AO523"/>
    <mergeCell ref="AP523:AQ523"/>
    <mergeCell ref="AR523:AS523"/>
    <mergeCell ref="AT523:AU523"/>
    <mergeCell ref="AV523:AW523"/>
    <mergeCell ref="R523:S523"/>
    <mergeCell ref="T523:U523"/>
    <mergeCell ref="V523:W523"/>
    <mergeCell ref="X523:AA523"/>
    <mergeCell ref="AB523:AE523"/>
    <mergeCell ref="AF523:AG523"/>
    <mergeCell ref="AH523:AI523"/>
    <mergeCell ref="AJ523:AK523"/>
    <mergeCell ref="AL523:AM523"/>
    <mergeCell ref="V520:W520"/>
    <mergeCell ref="X520:AA520"/>
    <mergeCell ref="AB520:AE520"/>
    <mergeCell ref="AF520:AG520"/>
    <mergeCell ref="AH520:AI520"/>
    <mergeCell ref="AJ520:AK520"/>
    <mergeCell ref="AL520:AM520"/>
    <mergeCell ref="BD520:BE520"/>
    <mergeCell ref="BF520:BI520"/>
    <mergeCell ref="BJ520:BM520"/>
    <mergeCell ref="BN520:BV520"/>
    <mergeCell ref="AN520:AO520"/>
    <mergeCell ref="AP520:AQ520"/>
    <mergeCell ref="AR520:AS520"/>
    <mergeCell ref="AT520:AU520"/>
    <mergeCell ref="AV520:AW520"/>
    <mergeCell ref="AX520:AZ520"/>
    <mergeCell ref="BA520:BB520"/>
    <mergeCell ref="B520:C520"/>
    <mergeCell ref="D520:E520"/>
    <mergeCell ref="F520:G520"/>
    <mergeCell ref="H520:I520"/>
    <mergeCell ref="P520:Q520"/>
    <mergeCell ref="R520:S520"/>
    <mergeCell ref="T520:U520"/>
    <mergeCell ref="B521:C521"/>
    <mergeCell ref="D521:E521"/>
    <mergeCell ref="F521:G521"/>
    <mergeCell ref="H521:I521"/>
    <mergeCell ref="J521:K521"/>
    <mergeCell ref="L521:M521"/>
    <mergeCell ref="P521:Q521"/>
    <mergeCell ref="AX521:AZ521"/>
    <mergeCell ref="BA521:BB521"/>
    <mergeCell ref="BD521:BE521"/>
    <mergeCell ref="BF521:BI521"/>
    <mergeCell ref="BJ521:BM521"/>
    <mergeCell ref="BN521:BV521"/>
    <mergeCell ref="AN521:AO521"/>
    <mergeCell ref="AP521:AQ521"/>
    <mergeCell ref="AR521:AS521"/>
    <mergeCell ref="AT521:AU521"/>
    <mergeCell ref="AV521:AW521"/>
    <mergeCell ref="R521:S521"/>
    <mergeCell ref="T521:U521"/>
    <mergeCell ref="V521:W521"/>
    <mergeCell ref="X521:AA521"/>
    <mergeCell ref="AB521:AE521"/>
    <mergeCell ref="AF521:AG521"/>
    <mergeCell ref="AH521:AI521"/>
    <mergeCell ref="AJ521:AK521"/>
    <mergeCell ref="AL521:AM521"/>
    <mergeCell ref="V518:W518"/>
    <mergeCell ref="X518:AA518"/>
    <mergeCell ref="AB518:AE518"/>
    <mergeCell ref="AF518:AG518"/>
    <mergeCell ref="AH518:AI518"/>
    <mergeCell ref="AJ518:AK518"/>
    <mergeCell ref="AL518:AM518"/>
    <mergeCell ref="BD518:BE518"/>
    <mergeCell ref="BF518:BI518"/>
    <mergeCell ref="BJ518:BM518"/>
    <mergeCell ref="BN518:BV518"/>
    <mergeCell ref="AN518:AO518"/>
    <mergeCell ref="AP518:AQ518"/>
    <mergeCell ref="AR518:AS518"/>
    <mergeCell ref="AT518:AU518"/>
    <mergeCell ref="AV518:AW518"/>
    <mergeCell ref="AX518:AZ518"/>
    <mergeCell ref="BA518:BB518"/>
    <mergeCell ref="B518:C518"/>
    <mergeCell ref="D518:E518"/>
    <mergeCell ref="F518:G518"/>
    <mergeCell ref="H518:I518"/>
    <mergeCell ref="P518:Q518"/>
    <mergeCell ref="R518:S518"/>
    <mergeCell ref="T518:U518"/>
    <mergeCell ref="B519:C519"/>
    <mergeCell ref="D519:E519"/>
    <mergeCell ref="F519:G519"/>
    <mergeCell ref="H519:I519"/>
    <mergeCell ref="J519:K519"/>
    <mergeCell ref="L519:M519"/>
    <mergeCell ref="P519:Q519"/>
    <mergeCell ref="AX519:AZ519"/>
    <mergeCell ref="BA519:BB519"/>
    <mergeCell ref="BD519:BE519"/>
    <mergeCell ref="BF519:BI519"/>
    <mergeCell ref="BJ519:BM519"/>
    <mergeCell ref="BN519:BV519"/>
    <mergeCell ref="AN519:AO519"/>
    <mergeCell ref="AP519:AQ519"/>
    <mergeCell ref="AR519:AS519"/>
    <mergeCell ref="AT519:AU519"/>
    <mergeCell ref="AV519:AW519"/>
    <mergeCell ref="R519:S519"/>
    <mergeCell ref="T519:U519"/>
    <mergeCell ref="V519:W519"/>
    <mergeCell ref="X519:AA519"/>
    <mergeCell ref="AB519:AE519"/>
    <mergeCell ref="AF519:AG519"/>
    <mergeCell ref="AH519:AI519"/>
    <mergeCell ref="AJ519:AK519"/>
    <mergeCell ref="AL519:AM519"/>
    <mergeCell ref="V516:W516"/>
    <mergeCell ref="X516:AA516"/>
    <mergeCell ref="AB516:AE516"/>
    <mergeCell ref="AF516:AG516"/>
    <mergeCell ref="AH516:AI516"/>
    <mergeCell ref="AJ516:AK516"/>
    <mergeCell ref="AL516:AM516"/>
    <mergeCell ref="BD516:BE516"/>
    <mergeCell ref="BF516:BI516"/>
    <mergeCell ref="BJ516:BM516"/>
    <mergeCell ref="BN516:BV516"/>
    <mergeCell ref="AN516:AO516"/>
    <mergeCell ref="AP516:AQ516"/>
    <mergeCell ref="AR516:AS516"/>
    <mergeCell ref="AT516:AU516"/>
    <mergeCell ref="AV516:AW516"/>
    <mergeCell ref="AX516:AZ516"/>
    <mergeCell ref="BA516:BB516"/>
    <mergeCell ref="B516:C516"/>
    <mergeCell ref="D516:E516"/>
    <mergeCell ref="F516:G516"/>
    <mergeCell ref="H516:I516"/>
    <mergeCell ref="P516:Q516"/>
    <mergeCell ref="R516:S516"/>
    <mergeCell ref="T516:U516"/>
    <mergeCell ref="B517:C517"/>
    <mergeCell ref="D517:E517"/>
    <mergeCell ref="F517:G517"/>
    <mergeCell ref="H517:I517"/>
    <mergeCell ref="J517:K517"/>
    <mergeCell ref="L517:M517"/>
    <mergeCell ref="P517:Q517"/>
    <mergeCell ref="AX517:AZ517"/>
    <mergeCell ref="BA517:BB517"/>
    <mergeCell ref="BD517:BE517"/>
    <mergeCell ref="BF517:BI517"/>
    <mergeCell ref="BJ517:BM517"/>
    <mergeCell ref="BN517:BV517"/>
    <mergeCell ref="AN517:AO517"/>
    <mergeCell ref="AP517:AQ517"/>
    <mergeCell ref="AR517:AS517"/>
    <mergeCell ref="AT517:AU517"/>
    <mergeCell ref="AV517:AW517"/>
    <mergeCell ref="R517:S517"/>
    <mergeCell ref="T517:U517"/>
    <mergeCell ref="V517:W517"/>
    <mergeCell ref="X517:AA517"/>
    <mergeCell ref="AB517:AE517"/>
    <mergeCell ref="AF517:AG517"/>
    <mergeCell ref="AH517:AI517"/>
    <mergeCell ref="AJ517:AK517"/>
    <mergeCell ref="AL517:AM517"/>
    <mergeCell ref="V514:W514"/>
    <mergeCell ref="X514:AA514"/>
    <mergeCell ref="AB514:AE514"/>
    <mergeCell ref="AF514:AG514"/>
    <mergeCell ref="AH514:AI514"/>
    <mergeCell ref="AJ514:AK514"/>
    <mergeCell ref="AL514:AM514"/>
    <mergeCell ref="BD514:BE514"/>
    <mergeCell ref="BF514:BI514"/>
    <mergeCell ref="BJ514:BM514"/>
    <mergeCell ref="BN514:BV514"/>
    <mergeCell ref="AN514:AO514"/>
    <mergeCell ref="AP514:AQ514"/>
    <mergeCell ref="AR514:AS514"/>
    <mergeCell ref="AT514:AU514"/>
    <mergeCell ref="AV514:AW514"/>
    <mergeCell ref="AX514:AZ514"/>
    <mergeCell ref="BA514:BB514"/>
    <mergeCell ref="B514:C514"/>
    <mergeCell ref="D514:E514"/>
    <mergeCell ref="F514:G514"/>
    <mergeCell ref="H514:I514"/>
    <mergeCell ref="P514:Q514"/>
    <mergeCell ref="R514:S514"/>
    <mergeCell ref="T514:U514"/>
    <mergeCell ref="B515:C515"/>
    <mergeCell ref="D515:E515"/>
    <mergeCell ref="F515:G515"/>
    <mergeCell ref="H515:I515"/>
    <mergeCell ref="J515:K515"/>
    <mergeCell ref="L515:M515"/>
    <mergeCell ref="P515:Q515"/>
    <mergeCell ref="AX515:AZ515"/>
    <mergeCell ref="BA515:BB515"/>
    <mergeCell ref="BD515:BE515"/>
    <mergeCell ref="BF515:BI515"/>
    <mergeCell ref="BJ515:BM515"/>
    <mergeCell ref="BN515:BV515"/>
    <mergeCell ref="AN515:AO515"/>
    <mergeCell ref="AP515:AQ515"/>
    <mergeCell ref="AR515:AS515"/>
    <mergeCell ref="AT515:AU515"/>
    <mergeCell ref="AV515:AW515"/>
    <mergeCell ref="R515:S515"/>
    <mergeCell ref="T515:U515"/>
    <mergeCell ref="V515:W515"/>
    <mergeCell ref="X515:AA515"/>
    <mergeCell ref="AB515:AE515"/>
    <mergeCell ref="AF515:AG515"/>
    <mergeCell ref="AH515:AI515"/>
    <mergeCell ref="AJ515:AK515"/>
    <mergeCell ref="AL515:AM515"/>
    <mergeCell ref="V512:W512"/>
    <mergeCell ref="X512:AA512"/>
    <mergeCell ref="AB512:AE512"/>
    <mergeCell ref="AF512:AG512"/>
    <mergeCell ref="AH512:AI512"/>
    <mergeCell ref="AJ512:AK512"/>
    <mergeCell ref="AL512:AM512"/>
    <mergeCell ref="BD512:BE512"/>
    <mergeCell ref="BF512:BI512"/>
    <mergeCell ref="BJ512:BM512"/>
    <mergeCell ref="BN512:BV512"/>
    <mergeCell ref="AN512:AO512"/>
    <mergeCell ref="AP512:AQ512"/>
    <mergeCell ref="AR512:AS512"/>
    <mergeCell ref="AT512:AU512"/>
    <mergeCell ref="AV512:AW512"/>
    <mergeCell ref="AX512:AZ512"/>
    <mergeCell ref="BA512:BB512"/>
    <mergeCell ref="B512:C512"/>
    <mergeCell ref="D512:E512"/>
    <mergeCell ref="F512:G512"/>
    <mergeCell ref="H512:I512"/>
    <mergeCell ref="P512:Q512"/>
    <mergeCell ref="R512:S512"/>
    <mergeCell ref="T512:U512"/>
    <mergeCell ref="B513:C513"/>
    <mergeCell ref="D513:E513"/>
    <mergeCell ref="F513:G513"/>
    <mergeCell ref="H513:I513"/>
    <mergeCell ref="J513:K513"/>
    <mergeCell ref="L513:M513"/>
    <mergeCell ref="P513:Q513"/>
    <mergeCell ref="AX513:AZ513"/>
    <mergeCell ref="BA513:BB513"/>
    <mergeCell ref="BD513:BE513"/>
    <mergeCell ref="BF513:BI513"/>
    <mergeCell ref="BJ513:BM513"/>
    <mergeCell ref="BN513:BV513"/>
    <mergeCell ref="AN513:AO513"/>
    <mergeCell ref="AP513:AQ513"/>
    <mergeCell ref="AR513:AS513"/>
    <mergeCell ref="AT513:AU513"/>
    <mergeCell ref="AV513:AW513"/>
    <mergeCell ref="R513:S513"/>
    <mergeCell ref="T513:U513"/>
    <mergeCell ref="V513:W513"/>
    <mergeCell ref="X513:AA513"/>
    <mergeCell ref="AB513:AE513"/>
    <mergeCell ref="AF513:AG513"/>
    <mergeCell ref="AH513:AI513"/>
    <mergeCell ref="AJ513:AK513"/>
    <mergeCell ref="AL513:AM513"/>
    <mergeCell ref="V510:W510"/>
    <mergeCell ref="X510:AA510"/>
    <mergeCell ref="AB510:AE510"/>
    <mergeCell ref="AF510:AG510"/>
    <mergeCell ref="AH510:AI510"/>
    <mergeCell ref="AJ510:AK510"/>
    <mergeCell ref="AL510:AM510"/>
    <mergeCell ref="BD510:BE510"/>
    <mergeCell ref="BF510:BI510"/>
    <mergeCell ref="BJ510:BM510"/>
    <mergeCell ref="BN510:BV510"/>
    <mergeCell ref="AN510:AO510"/>
    <mergeCell ref="AP510:AQ510"/>
    <mergeCell ref="AR510:AS510"/>
    <mergeCell ref="AT510:AU510"/>
    <mergeCell ref="AV510:AW510"/>
    <mergeCell ref="AX510:AZ510"/>
    <mergeCell ref="BA510:BB510"/>
    <mergeCell ref="B510:C510"/>
    <mergeCell ref="D510:E510"/>
    <mergeCell ref="F510:G510"/>
    <mergeCell ref="H510:I510"/>
    <mergeCell ref="P510:Q510"/>
    <mergeCell ref="R510:S510"/>
    <mergeCell ref="T510:U510"/>
    <mergeCell ref="B511:C511"/>
    <mergeCell ref="D511:E511"/>
    <mergeCell ref="F511:G511"/>
    <mergeCell ref="H511:I511"/>
    <mergeCell ref="J511:K511"/>
    <mergeCell ref="L511:M511"/>
    <mergeCell ref="P511:Q511"/>
    <mergeCell ref="AX511:AZ511"/>
    <mergeCell ref="BA511:BB511"/>
    <mergeCell ref="BD511:BE511"/>
    <mergeCell ref="BF511:BI511"/>
    <mergeCell ref="BJ511:BM511"/>
    <mergeCell ref="BN511:BV511"/>
    <mergeCell ref="AN511:AO511"/>
    <mergeCell ref="AP511:AQ511"/>
    <mergeCell ref="AR511:AS511"/>
    <mergeCell ref="AT511:AU511"/>
    <mergeCell ref="AV511:AW511"/>
    <mergeCell ref="R511:S511"/>
    <mergeCell ref="T511:U511"/>
    <mergeCell ref="V511:W511"/>
    <mergeCell ref="X511:AA511"/>
    <mergeCell ref="AB511:AE511"/>
    <mergeCell ref="AF511:AG511"/>
    <mergeCell ref="AH511:AI511"/>
    <mergeCell ref="AJ511:AK511"/>
    <mergeCell ref="AL511:AM511"/>
    <mergeCell ref="B358:C358"/>
    <mergeCell ref="D358:E358"/>
    <mergeCell ref="F358:G358"/>
    <mergeCell ref="H358:I358"/>
    <mergeCell ref="J358:K358"/>
    <mergeCell ref="L358:M358"/>
    <mergeCell ref="P358:Q358"/>
    <mergeCell ref="AJ357:AK357"/>
    <mergeCell ref="AL357:AM357"/>
    <mergeCell ref="AN357:AO357"/>
    <mergeCell ref="AP357:AQ357"/>
    <mergeCell ref="AR357:AS357"/>
    <mergeCell ref="AT357:AU357"/>
    <mergeCell ref="AV357:AW357"/>
    <mergeCell ref="BD360:BE360"/>
    <mergeCell ref="BF360:BI360"/>
    <mergeCell ref="AN360:AO360"/>
    <mergeCell ref="AP360:AQ360"/>
    <mergeCell ref="AR360:AS360"/>
    <mergeCell ref="AT360:AU360"/>
    <mergeCell ref="AV360:AW360"/>
    <mergeCell ref="AX360:AZ360"/>
    <mergeCell ref="BA360:BB360"/>
    <mergeCell ref="AJ364:AK364"/>
    <mergeCell ref="AL364:AM364"/>
    <mergeCell ref="BJ364:BM364"/>
    <mergeCell ref="BN364:BV364"/>
    <mergeCell ref="R364:S364"/>
    <mergeCell ref="T364:U364"/>
    <mergeCell ref="V364:W364"/>
    <mergeCell ref="X364:AA364"/>
    <mergeCell ref="AB364:AE364"/>
    <mergeCell ref="AF364:AG364"/>
    <mergeCell ref="AH364:AI364"/>
    <mergeCell ref="F362:G362"/>
    <mergeCell ref="H362:I362"/>
    <mergeCell ref="J362:K362"/>
    <mergeCell ref="L362:M362"/>
    <mergeCell ref="P362:Q362"/>
    <mergeCell ref="AJ361:AK361"/>
    <mergeCell ref="AL361:AM361"/>
    <mergeCell ref="AN361:AO361"/>
    <mergeCell ref="AP361:AQ361"/>
    <mergeCell ref="AR361:AS361"/>
    <mergeCell ref="AT361:AU361"/>
    <mergeCell ref="AV361:AW361"/>
    <mergeCell ref="BJ360:BM360"/>
    <mergeCell ref="BN360:BV360"/>
    <mergeCell ref="B359:C359"/>
    <mergeCell ref="D359:E359"/>
    <mergeCell ref="F359:G359"/>
    <mergeCell ref="H359:I359"/>
    <mergeCell ref="J359:K359"/>
    <mergeCell ref="L359:M359"/>
    <mergeCell ref="P359:Q359"/>
    <mergeCell ref="B360:C360"/>
    <mergeCell ref="D360:E360"/>
    <mergeCell ref="F360:G360"/>
    <mergeCell ref="H360:I360"/>
    <mergeCell ref="J360:K360"/>
    <mergeCell ref="L360:M360"/>
    <mergeCell ref="P360:Q360"/>
    <mergeCell ref="AJ359:AK359"/>
    <mergeCell ref="AL359:AM359"/>
    <mergeCell ref="BJ354:BM354"/>
    <mergeCell ref="BN354:BV354"/>
    <mergeCell ref="B354:C354"/>
    <mergeCell ref="D354:E354"/>
    <mergeCell ref="F354:G354"/>
    <mergeCell ref="H354:I354"/>
    <mergeCell ref="J354:K354"/>
    <mergeCell ref="L354:M354"/>
    <mergeCell ref="P354:Q354"/>
    <mergeCell ref="AJ354:AK354"/>
    <mergeCell ref="AL354:AM354"/>
    <mergeCell ref="AN354:AO354"/>
    <mergeCell ref="AP354:AQ354"/>
    <mergeCell ref="AR354:AS354"/>
    <mergeCell ref="AT354:AU354"/>
    <mergeCell ref="AV354:AW354"/>
    <mergeCell ref="B355:C355"/>
    <mergeCell ref="D355:E355"/>
    <mergeCell ref="F355:G355"/>
    <mergeCell ref="H355:I355"/>
    <mergeCell ref="J355:K355"/>
    <mergeCell ref="L355:M355"/>
    <mergeCell ref="P355:Q355"/>
    <mergeCell ref="R357:S357"/>
    <mergeCell ref="T357:U357"/>
    <mergeCell ref="V357:W357"/>
    <mergeCell ref="X357:AA357"/>
    <mergeCell ref="AB357:AE357"/>
    <mergeCell ref="AF357:AG357"/>
    <mergeCell ref="AH357:AI357"/>
    <mergeCell ref="B357:C357"/>
    <mergeCell ref="D357:E357"/>
    <mergeCell ref="F357:G357"/>
    <mergeCell ref="H357:I357"/>
    <mergeCell ref="J357:K357"/>
    <mergeCell ref="L357:M357"/>
    <mergeCell ref="P357:Q357"/>
    <mergeCell ref="R356:S356"/>
    <mergeCell ref="T356:U356"/>
    <mergeCell ref="V356:W356"/>
    <mergeCell ref="X356:AA356"/>
    <mergeCell ref="AB356:AE356"/>
    <mergeCell ref="AF356:AG356"/>
    <mergeCell ref="AH356:AI356"/>
    <mergeCell ref="AX356:AZ356"/>
    <mergeCell ref="BA356:BB356"/>
    <mergeCell ref="BD356:BE356"/>
    <mergeCell ref="BF356:BI356"/>
    <mergeCell ref="BJ356:BM356"/>
    <mergeCell ref="BN356:BV356"/>
    <mergeCell ref="AJ356:AK356"/>
    <mergeCell ref="AL356:AM356"/>
    <mergeCell ref="AN356:AO356"/>
    <mergeCell ref="AP356:AQ356"/>
    <mergeCell ref="AR356:AS356"/>
    <mergeCell ref="AT356:AU356"/>
    <mergeCell ref="AV356:AW356"/>
    <mergeCell ref="B356:C356"/>
    <mergeCell ref="D356:E356"/>
    <mergeCell ref="F356:G356"/>
    <mergeCell ref="H356:I356"/>
    <mergeCell ref="J356:K356"/>
    <mergeCell ref="L356:M356"/>
    <mergeCell ref="P356:Q356"/>
    <mergeCell ref="AL360:AM360"/>
    <mergeCell ref="R360:S360"/>
    <mergeCell ref="T360:U360"/>
    <mergeCell ref="V360:W360"/>
    <mergeCell ref="X360:AA360"/>
    <mergeCell ref="AB360:AE360"/>
    <mergeCell ref="AF360:AG360"/>
    <mergeCell ref="AH360:AI360"/>
    <mergeCell ref="R361:S361"/>
    <mergeCell ref="T361:U361"/>
    <mergeCell ref="V361:W361"/>
    <mergeCell ref="X361:AA361"/>
    <mergeCell ref="AB361:AE361"/>
    <mergeCell ref="AF361:AG361"/>
    <mergeCell ref="AH361:AI361"/>
    <mergeCell ref="AX361:AZ361"/>
    <mergeCell ref="BA361:BB361"/>
    <mergeCell ref="BD361:BE361"/>
    <mergeCell ref="BF361:BI361"/>
    <mergeCell ref="BD355:BE355"/>
    <mergeCell ref="BF355:BI355"/>
    <mergeCell ref="AN355:AO355"/>
    <mergeCell ref="AP355:AQ355"/>
    <mergeCell ref="AR355:AS355"/>
    <mergeCell ref="AT355:AU355"/>
    <mergeCell ref="AV355:AW355"/>
    <mergeCell ref="AX355:AZ355"/>
    <mergeCell ref="BA355:BB355"/>
    <mergeCell ref="AJ353:AK353"/>
    <mergeCell ref="AL353:AM353"/>
    <mergeCell ref="R353:S353"/>
    <mergeCell ref="T353:U353"/>
    <mergeCell ref="V353:W353"/>
    <mergeCell ref="X353:AA353"/>
    <mergeCell ref="AB353:AE353"/>
    <mergeCell ref="AF353:AG353"/>
    <mergeCell ref="AH353:AI353"/>
    <mergeCell ref="R354:S354"/>
    <mergeCell ref="T354:U354"/>
    <mergeCell ref="V354:W354"/>
    <mergeCell ref="X354:AA354"/>
    <mergeCell ref="AB354:AE354"/>
    <mergeCell ref="AF354:AG354"/>
    <mergeCell ref="AH354:AI354"/>
    <mergeCell ref="AX354:AZ354"/>
    <mergeCell ref="BA354:BB354"/>
    <mergeCell ref="BD354:BE354"/>
    <mergeCell ref="BF354:BI354"/>
    <mergeCell ref="BD358:BE358"/>
    <mergeCell ref="BF358:BI358"/>
    <mergeCell ref="AN358:AO358"/>
    <mergeCell ref="AP358:AQ358"/>
    <mergeCell ref="AR358:AS358"/>
    <mergeCell ref="AT358:AU358"/>
    <mergeCell ref="AV358:AW358"/>
    <mergeCell ref="AX358:AZ358"/>
    <mergeCell ref="BA358:BB358"/>
    <mergeCell ref="AX357:AZ357"/>
    <mergeCell ref="BA357:BB357"/>
    <mergeCell ref="BD357:BE357"/>
    <mergeCell ref="BF357:BI357"/>
    <mergeCell ref="BJ361:BM361"/>
    <mergeCell ref="BN361:BV361"/>
    <mergeCell ref="BJ362:BM362"/>
    <mergeCell ref="BN362:BV362"/>
    <mergeCell ref="B361:C361"/>
    <mergeCell ref="D361:E361"/>
    <mergeCell ref="F361:G361"/>
    <mergeCell ref="H361:I361"/>
    <mergeCell ref="J361:K361"/>
    <mergeCell ref="L361:M361"/>
    <mergeCell ref="P361:Q361"/>
    <mergeCell ref="B362:C362"/>
    <mergeCell ref="AJ355:AK355"/>
    <mergeCell ref="AL355:AM355"/>
    <mergeCell ref="BJ355:BM355"/>
    <mergeCell ref="BN355:BV355"/>
    <mergeCell ref="R355:S355"/>
    <mergeCell ref="T355:U355"/>
    <mergeCell ref="V355:W355"/>
    <mergeCell ref="X355:AA355"/>
    <mergeCell ref="AB355:AE355"/>
    <mergeCell ref="AF355:AG355"/>
    <mergeCell ref="AH355:AI355"/>
    <mergeCell ref="AJ358:AK358"/>
    <mergeCell ref="AL358:AM358"/>
    <mergeCell ref="R358:S358"/>
    <mergeCell ref="T358:U358"/>
    <mergeCell ref="V358:W358"/>
    <mergeCell ref="X358:AA358"/>
    <mergeCell ref="AB358:AE358"/>
    <mergeCell ref="AF358:AG358"/>
    <mergeCell ref="AH358:AI358"/>
    <mergeCell ref="R359:S359"/>
    <mergeCell ref="T359:U359"/>
    <mergeCell ref="V359:W359"/>
    <mergeCell ref="X359:AA359"/>
    <mergeCell ref="AB359:AE359"/>
    <mergeCell ref="AF359:AG359"/>
    <mergeCell ref="AH359:AI359"/>
    <mergeCell ref="AX359:AZ359"/>
    <mergeCell ref="BA359:BB359"/>
    <mergeCell ref="BD359:BE359"/>
    <mergeCell ref="BF359:BI359"/>
    <mergeCell ref="BJ359:BM359"/>
    <mergeCell ref="BN359:BV359"/>
    <mergeCell ref="BJ357:BM357"/>
    <mergeCell ref="BN357:BV357"/>
    <mergeCell ref="BJ358:BM358"/>
    <mergeCell ref="BN358:BV358"/>
    <mergeCell ref="AN359:AO359"/>
    <mergeCell ref="AP359:AQ359"/>
    <mergeCell ref="AR359:AS359"/>
    <mergeCell ref="AT359:AU359"/>
    <mergeCell ref="AV359:AW359"/>
    <mergeCell ref="BD362:BE362"/>
    <mergeCell ref="BF362:BI362"/>
    <mergeCell ref="AN362:AO362"/>
    <mergeCell ref="AP362:AQ362"/>
    <mergeCell ref="AR362:AS362"/>
    <mergeCell ref="AT362:AU362"/>
    <mergeCell ref="AV362:AW362"/>
    <mergeCell ref="AX362:AZ362"/>
    <mergeCell ref="BA362:BB362"/>
    <mergeCell ref="AJ360:AK360"/>
    <mergeCell ref="BJ347:BM347"/>
    <mergeCell ref="BN347:BV347"/>
    <mergeCell ref="AJ347:AK347"/>
    <mergeCell ref="AL347:AM347"/>
    <mergeCell ref="AN347:AO347"/>
    <mergeCell ref="AP347:AQ347"/>
    <mergeCell ref="AR347:AS347"/>
    <mergeCell ref="AT347:AU347"/>
    <mergeCell ref="AV347:AW347"/>
    <mergeCell ref="B347:C347"/>
    <mergeCell ref="D347:E347"/>
    <mergeCell ref="F347:G347"/>
    <mergeCell ref="H347:I347"/>
    <mergeCell ref="J347:K347"/>
    <mergeCell ref="L347:M347"/>
    <mergeCell ref="P347:Q347"/>
    <mergeCell ref="AX348:AZ348"/>
    <mergeCell ref="BA348:BB348"/>
    <mergeCell ref="BD348:BE348"/>
    <mergeCell ref="BF348:BI348"/>
    <mergeCell ref="BJ348:BM348"/>
    <mergeCell ref="BN348:BV348"/>
    <mergeCell ref="BJ349:BM349"/>
    <mergeCell ref="BN349:BV349"/>
    <mergeCell ref="B349:C349"/>
    <mergeCell ref="D349:E349"/>
    <mergeCell ref="F349:G349"/>
    <mergeCell ref="H349:I349"/>
    <mergeCell ref="J349:K349"/>
    <mergeCell ref="L349:M349"/>
    <mergeCell ref="P349:Q349"/>
    <mergeCell ref="AJ348:AK348"/>
    <mergeCell ref="AL348:AM348"/>
    <mergeCell ref="AN348:AO348"/>
    <mergeCell ref="AP348:AQ348"/>
    <mergeCell ref="AR348:AS348"/>
    <mergeCell ref="AT348:AU348"/>
    <mergeCell ref="AV348:AW348"/>
    <mergeCell ref="R348:S348"/>
    <mergeCell ref="T348:U348"/>
    <mergeCell ref="V348:W348"/>
    <mergeCell ref="X348:AA348"/>
    <mergeCell ref="AB348:AE348"/>
    <mergeCell ref="AF348:AG348"/>
    <mergeCell ref="AH348:AI348"/>
    <mergeCell ref="B348:C348"/>
    <mergeCell ref="D348:E348"/>
    <mergeCell ref="F348:G348"/>
    <mergeCell ref="H348:I348"/>
    <mergeCell ref="J348:K348"/>
    <mergeCell ref="L348:M348"/>
    <mergeCell ref="P348:Q348"/>
    <mergeCell ref="BD349:BE349"/>
    <mergeCell ref="BF349:BI349"/>
    <mergeCell ref="AN349:AO349"/>
    <mergeCell ref="AP349:AQ349"/>
    <mergeCell ref="AR349:AS349"/>
    <mergeCell ref="AT349:AU349"/>
    <mergeCell ref="AV349:AW349"/>
    <mergeCell ref="AX349:AZ349"/>
    <mergeCell ref="BA349:BB349"/>
    <mergeCell ref="R347:S347"/>
    <mergeCell ref="T347:U347"/>
    <mergeCell ref="V347:W347"/>
    <mergeCell ref="B353:C353"/>
    <mergeCell ref="D353:E353"/>
    <mergeCell ref="F353:G353"/>
    <mergeCell ref="H353:I353"/>
    <mergeCell ref="J353:K353"/>
    <mergeCell ref="L353:M353"/>
    <mergeCell ref="P353:Q353"/>
    <mergeCell ref="AJ352:AK352"/>
    <mergeCell ref="AL352:AM352"/>
    <mergeCell ref="AN352:AO352"/>
    <mergeCell ref="AP352:AQ352"/>
    <mergeCell ref="AR352:AS352"/>
    <mergeCell ref="AT352:AU352"/>
    <mergeCell ref="AV352:AW352"/>
    <mergeCell ref="BD346:BE346"/>
    <mergeCell ref="BF346:BI346"/>
    <mergeCell ref="AN346:AO346"/>
    <mergeCell ref="AP346:AQ346"/>
    <mergeCell ref="AR346:AS346"/>
    <mergeCell ref="AT346:AU346"/>
    <mergeCell ref="AV346:AW346"/>
    <mergeCell ref="AX346:AZ346"/>
    <mergeCell ref="BA346:BB346"/>
    <mergeCell ref="BD353:BE353"/>
    <mergeCell ref="BF353:BI353"/>
    <mergeCell ref="AN353:AO353"/>
    <mergeCell ref="AP353:AQ353"/>
    <mergeCell ref="AR353:AS353"/>
    <mergeCell ref="AT353:AU353"/>
    <mergeCell ref="AV353:AW353"/>
    <mergeCell ref="AX353:AZ353"/>
    <mergeCell ref="BA353:BB353"/>
    <mergeCell ref="AJ351:AK351"/>
    <mergeCell ref="AL351:AM351"/>
    <mergeCell ref="R351:S351"/>
    <mergeCell ref="T351:U351"/>
    <mergeCell ref="V351:W351"/>
    <mergeCell ref="X351:AA351"/>
    <mergeCell ref="AB351:AE351"/>
    <mergeCell ref="AF351:AG351"/>
    <mergeCell ref="AH351:AI351"/>
    <mergeCell ref="R352:S352"/>
    <mergeCell ref="T352:U352"/>
    <mergeCell ref="V352:W352"/>
    <mergeCell ref="X352:AA352"/>
    <mergeCell ref="AB352:AE352"/>
    <mergeCell ref="AF352:AG352"/>
    <mergeCell ref="AH352:AI352"/>
    <mergeCell ref="AX352:AZ352"/>
    <mergeCell ref="AH345:AI345"/>
    <mergeCell ref="AX345:AZ345"/>
    <mergeCell ref="BA345:BB345"/>
    <mergeCell ref="BD345:BE345"/>
    <mergeCell ref="BF345:BI345"/>
    <mergeCell ref="B345:C345"/>
    <mergeCell ref="D345:E345"/>
    <mergeCell ref="F345:G345"/>
    <mergeCell ref="H345:I345"/>
    <mergeCell ref="J345:K345"/>
    <mergeCell ref="L345:M345"/>
    <mergeCell ref="P345:Q345"/>
    <mergeCell ref="AJ345:AK345"/>
    <mergeCell ref="AL345:AM345"/>
    <mergeCell ref="AN345:AO345"/>
    <mergeCell ref="AP345:AQ345"/>
    <mergeCell ref="AR345:AS345"/>
    <mergeCell ref="AT345:AU345"/>
    <mergeCell ref="AV345:AW345"/>
    <mergeCell ref="BF344:BI344"/>
    <mergeCell ref="AX344:AZ344"/>
    <mergeCell ref="BA344:BB344"/>
    <mergeCell ref="X347:AA347"/>
    <mergeCell ref="AB347:AE347"/>
    <mergeCell ref="AF347:AG347"/>
    <mergeCell ref="AH347:AI347"/>
    <mergeCell ref="AX347:AZ347"/>
    <mergeCell ref="BA347:BB347"/>
    <mergeCell ref="BD347:BE347"/>
    <mergeCell ref="BF347:BI347"/>
    <mergeCell ref="B352:C352"/>
    <mergeCell ref="D352:E352"/>
    <mergeCell ref="F352:G352"/>
    <mergeCell ref="H352:I352"/>
    <mergeCell ref="J352:K352"/>
    <mergeCell ref="L352:M352"/>
    <mergeCell ref="P352:Q352"/>
    <mergeCell ref="BA352:BB352"/>
    <mergeCell ref="BD352:BE352"/>
    <mergeCell ref="BF352:BI352"/>
    <mergeCell ref="BJ352:BM352"/>
    <mergeCell ref="BN352:BV352"/>
    <mergeCell ref="BJ353:BM353"/>
    <mergeCell ref="BN353:BV353"/>
    <mergeCell ref="BD351:BE351"/>
    <mergeCell ref="BF351:BI351"/>
    <mergeCell ref="AN351:AO351"/>
    <mergeCell ref="AP351:AQ351"/>
    <mergeCell ref="AR351:AS351"/>
    <mergeCell ref="AT351:AU351"/>
    <mergeCell ref="AV351:AW351"/>
    <mergeCell ref="AX351:AZ351"/>
    <mergeCell ref="BA351:BB351"/>
    <mergeCell ref="AJ349:AK349"/>
    <mergeCell ref="AL349:AM349"/>
    <mergeCell ref="R349:S349"/>
    <mergeCell ref="T349:U349"/>
    <mergeCell ref="V349:W349"/>
    <mergeCell ref="X349:AA349"/>
    <mergeCell ref="AB349:AE349"/>
    <mergeCell ref="AF349:AG349"/>
    <mergeCell ref="AH349:AI349"/>
    <mergeCell ref="R350:S350"/>
    <mergeCell ref="T350:U350"/>
    <mergeCell ref="V350:W350"/>
    <mergeCell ref="X350:AA350"/>
    <mergeCell ref="AB350:AE350"/>
    <mergeCell ref="AF350:AG350"/>
    <mergeCell ref="AH350:AI350"/>
    <mergeCell ref="AX350:AZ350"/>
    <mergeCell ref="BA350:BB350"/>
    <mergeCell ref="BD350:BE350"/>
    <mergeCell ref="BF350:BI350"/>
    <mergeCell ref="BJ350:BM350"/>
    <mergeCell ref="BN350:BV350"/>
    <mergeCell ref="BJ351:BM351"/>
    <mergeCell ref="BN351:BV351"/>
    <mergeCell ref="B350:C350"/>
    <mergeCell ref="D350:E350"/>
    <mergeCell ref="F350:G350"/>
    <mergeCell ref="H350:I350"/>
    <mergeCell ref="J350:K350"/>
    <mergeCell ref="L350:M350"/>
    <mergeCell ref="P350:Q350"/>
    <mergeCell ref="B351:C351"/>
    <mergeCell ref="D351:E351"/>
    <mergeCell ref="F351:G351"/>
    <mergeCell ref="H351:I351"/>
    <mergeCell ref="J351:K351"/>
    <mergeCell ref="L351:M351"/>
    <mergeCell ref="P351:Q351"/>
    <mergeCell ref="AJ350:AK350"/>
    <mergeCell ref="AL350:AM350"/>
    <mergeCell ref="AN350:AO350"/>
    <mergeCell ref="AP350:AQ350"/>
    <mergeCell ref="AR350:AS350"/>
    <mergeCell ref="AT350:AU350"/>
    <mergeCell ref="AV350:AW350"/>
    <mergeCell ref="B340:C340"/>
    <mergeCell ref="D340:E340"/>
    <mergeCell ref="F340:G340"/>
    <mergeCell ref="H340:I340"/>
    <mergeCell ref="J340:K340"/>
    <mergeCell ref="L340:M340"/>
    <mergeCell ref="P340:Q340"/>
    <mergeCell ref="AJ339:AK339"/>
    <mergeCell ref="AL339:AM339"/>
    <mergeCell ref="AN339:AO339"/>
    <mergeCell ref="AP339:AQ339"/>
    <mergeCell ref="AR339:AS339"/>
    <mergeCell ref="AT339:AU339"/>
    <mergeCell ref="AV339:AW339"/>
    <mergeCell ref="L339:M339"/>
    <mergeCell ref="P339:Q339"/>
    <mergeCell ref="AN344:AO344"/>
    <mergeCell ref="AP344:AQ344"/>
    <mergeCell ref="AR344:AS344"/>
    <mergeCell ref="AT344:AU344"/>
    <mergeCell ref="AV344:AW344"/>
    <mergeCell ref="AJ342:AK342"/>
    <mergeCell ref="AL342:AM342"/>
    <mergeCell ref="R342:S342"/>
    <mergeCell ref="T342:U342"/>
    <mergeCell ref="V342:W342"/>
    <mergeCell ref="X342:AA342"/>
    <mergeCell ref="AB342:AE342"/>
    <mergeCell ref="AF342:AG342"/>
    <mergeCell ref="AH342:AI342"/>
    <mergeCell ref="R343:S343"/>
    <mergeCell ref="T343:U343"/>
    <mergeCell ref="V343:W343"/>
    <mergeCell ref="X343:AA343"/>
    <mergeCell ref="AB343:AE343"/>
    <mergeCell ref="AF343:AG343"/>
    <mergeCell ref="AH343:AI343"/>
    <mergeCell ref="AJ344:AK344"/>
    <mergeCell ref="AL344:AM344"/>
    <mergeCell ref="R344:S344"/>
    <mergeCell ref="T344:U344"/>
    <mergeCell ref="V344:W344"/>
    <mergeCell ref="X344:AA344"/>
    <mergeCell ref="AJ346:AK346"/>
    <mergeCell ref="AL346:AM346"/>
    <mergeCell ref="BJ346:BM346"/>
    <mergeCell ref="BN346:BV346"/>
    <mergeCell ref="R346:S346"/>
    <mergeCell ref="T346:U346"/>
    <mergeCell ref="V346:W346"/>
    <mergeCell ref="X346:AA346"/>
    <mergeCell ref="AB346:AE346"/>
    <mergeCell ref="AF346:AG346"/>
    <mergeCell ref="AH346:AI346"/>
    <mergeCell ref="BJ345:BM345"/>
    <mergeCell ref="BN345:BV345"/>
    <mergeCell ref="B346:C346"/>
    <mergeCell ref="D346:E346"/>
    <mergeCell ref="F346:G346"/>
    <mergeCell ref="H346:I346"/>
    <mergeCell ref="J346:K346"/>
    <mergeCell ref="L346:M346"/>
    <mergeCell ref="P346:Q346"/>
    <mergeCell ref="BJ336:BM336"/>
    <mergeCell ref="BN336:BV336"/>
    <mergeCell ref="B336:C336"/>
    <mergeCell ref="D336:E336"/>
    <mergeCell ref="F336:G336"/>
    <mergeCell ref="H336:I336"/>
    <mergeCell ref="J336:K336"/>
    <mergeCell ref="L336:M336"/>
    <mergeCell ref="P336:Q336"/>
    <mergeCell ref="AJ336:AK336"/>
    <mergeCell ref="AL336:AM336"/>
    <mergeCell ref="AN336:AO336"/>
    <mergeCell ref="AP336:AQ336"/>
    <mergeCell ref="AR336:AS336"/>
    <mergeCell ref="AT336:AU336"/>
    <mergeCell ref="AV336:AW336"/>
    <mergeCell ref="B337:C337"/>
    <mergeCell ref="D337:E337"/>
    <mergeCell ref="F337:G337"/>
    <mergeCell ref="H337:I337"/>
    <mergeCell ref="J337:K337"/>
    <mergeCell ref="L337:M337"/>
    <mergeCell ref="P337:Q337"/>
    <mergeCell ref="R339:S339"/>
    <mergeCell ref="T339:U339"/>
    <mergeCell ref="V339:W339"/>
    <mergeCell ref="X339:AA339"/>
    <mergeCell ref="AB339:AE339"/>
    <mergeCell ref="AF339:AG339"/>
    <mergeCell ref="AH339:AI339"/>
    <mergeCell ref="B339:C339"/>
    <mergeCell ref="D339:E339"/>
    <mergeCell ref="F339:G339"/>
    <mergeCell ref="H339:I339"/>
    <mergeCell ref="J339:K339"/>
    <mergeCell ref="AB344:AE344"/>
    <mergeCell ref="AF344:AG344"/>
    <mergeCell ref="AH344:AI344"/>
    <mergeCell ref="R345:S345"/>
    <mergeCell ref="T345:U345"/>
    <mergeCell ref="V345:W345"/>
    <mergeCell ref="X345:AA345"/>
    <mergeCell ref="AB345:AE345"/>
    <mergeCell ref="AF345:AG345"/>
    <mergeCell ref="B338:C338"/>
    <mergeCell ref="D338:E338"/>
    <mergeCell ref="F338:G338"/>
    <mergeCell ref="H338:I338"/>
    <mergeCell ref="J338:K338"/>
    <mergeCell ref="L338:M338"/>
    <mergeCell ref="P338:Q338"/>
    <mergeCell ref="D344:E344"/>
    <mergeCell ref="F344:G344"/>
    <mergeCell ref="H344:I344"/>
    <mergeCell ref="J344:K344"/>
    <mergeCell ref="L344:M344"/>
    <mergeCell ref="P344:Q344"/>
    <mergeCell ref="AJ343:AK343"/>
    <mergeCell ref="AL343:AM343"/>
    <mergeCell ref="AN343:AO343"/>
    <mergeCell ref="AP343:AQ343"/>
    <mergeCell ref="AR343:AS343"/>
    <mergeCell ref="AT343:AU343"/>
    <mergeCell ref="AV343:AW343"/>
    <mergeCell ref="BJ342:BM342"/>
    <mergeCell ref="BN342:BV342"/>
    <mergeCell ref="B341:C341"/>
    <mergeCell ref="D341:E341"/>
    <mergeCell ref="F341:G341"/>
    <mergeCell ref="H341:I341"/>
    <mergeCell ref="J341:K341"/>
    <mergeCell ref="L341:M341"/>
    <mergeCell ref="P341:Q341"/>
    <mergeCell ref="B342:C342"/>
    <mergeCell ref="D342:E342"/>
    <mergeCell ref="F342:G342"/>
    <mergeCell ref="H342:I342"/>
    <mergeCell ref="J342:K342"/>
    <mergeCell ref="L342:M342"/>
    <mergeCell ref="P342:Q342"/>
    <mergeCell ref="AJ341:AK341"/>
    <mergeCell ref="AL341:AM341"/>
    <mergeCell ref="AN341:AO341"/>
    <mergeCell ref="AP341:AQ341"/>
    <mergeCell ref="AR341:AS341"/>
    <mergeCell ref="AT341:AU341"/>
    <mergeCell ref="AV341:AW341"/>
    <mergeCell ref="BD344:BE344"/>
    <mergeCell ref="BD342:BE342"/>
    <mergeCell ref="BF342:BI342"/>
    <mergeCell ref="AN342:AO342"/>
    <mergeCell ref="AP342:AQ342"/>
    <mergeCell ref="AR342:AS342"/>
    <mergeCell ref="AT342:AU342"/>
    <mergeCell ref="AV342:AW342"/>
    <mergeCell ref="AX342:AZ342"/>
    <mergeCell ref="BA342:BB342"/>
    <mergeCell ref="R336:S336"/>
    <mergeCell ref="T336:U336"/>
    <mergeCell ref="V336:W336"/>
    <mergeCell ref="X336:AA336"/>
    <mergeCell ref="AB336:AE336"/>
    <mergeCell ref="AF336:AG336"/>
    <mergeCell ref="AH336:AI336"/>
    <mergeCell ref="AX336:AZ336"/>
    <mergeCell ref="BA336:BB336"/>
    <mergeCell ref="BD336:BE336"/>
    <mergeCell ref="BF336:BI336"/>
    <mergeCell ref="BD340:BE340"/>
    <mergeCell ref="BF340:BI340"/>
    <mergeCell ref="AN340:AO340"/>
    <mergeCell ref="AP340:AQ340"/>
    <mergeCell ref="AR340:AS340"/>
    <mergeCell ref="AT340:AU340"/>
    <mergeCell ref="AV340:AW340"/>
    <mergeCell ref="AX340:AZ340"/>
    <mergeCell ref="BA340:BB340"/>
    <mergeCell ref="AX339:AZ339"/>
    <mergeCell ref="BA339:BB339"/>
    <mergeCell ref="BD339:BE339"/>
    <mergeCell ref="BF339:BI339"/>
    <mergeCell ref="R338:S338"/>
    <mergeCell ref="T338:U338"/>
    <mergeCell ref="V338:W338"/>
    <mergeCell ref="X338:AA338"/>
    <mergeCell ref="AB338:AE338"/>
    <mergeCell ref="AF338:AG338"/>
    <mergeCell ref="AH338:AI338"/>
    <mergeCell ref="AX338:AZ338"/>
    <mergeCell ref="BA338:BB338"/>
    <mergeCell ref="BD338:BE338"/>
    <mergeCell ref="BF338:BI338"/>
    <mergeCell ref="AJ338:AK338"/>
    <mergeCell ref="AL338:AM338"/>
    <mergeCell ref="AN338:AO338"/>
    <mergeCell ref="AP338:AQ338"/>
    <mergeCell ref="AR338:AS338"/>
    <mergeCell ref="AT338:AU338"/>
    <mergeCell ref="AV338:AW338"/>
    <mergeCell ref="AX343:AZ343"/>
    <mergeCell ref="BA343:BB343"/>
    <mergeCell ref="BD343:BE343"/>
    <mergeCell ref="BF343:BI343"/>
    <mergeCell ref="BJ343:BM343"/>
    <mergeCell ref="BN343:BV343"/>
    <mergeCell ref="BJ344:BM344"/>
    <mergeCell ref="BN344:BV344"/>
    <mergeCell ref="B343:C343"/>
    <mergeCell ref="D343:E343"/>
    <mergeCell ref="F343:G343"/>
    <mergeCell ref="H343:I343"/>
    <mergeCell ref="J343:K343"/>
    <mergeCell ref="L343:M343"/>
    <mergeCell ref="P343:Q343"/>
    <mergeCell ref="B344:C344"/>
    <mergeCell ref="AJ337:AK337"/>
    <mergeCell ref="AL337:AM337"/>
    <mergeCell ref="BJ337:BM337"/>
    <mergeCell ref="BN337:BV337"/>
    <mergeCell ref="R337:S337"/>
    <mergeCell ref="T337:U337"/>
    <mergeCell ref="V337:W337"/>
    <mergeCell ref="X337:AA337"/>
    <mergeCell ref="AB337:AE337"/>
    <mergeCell ref="AF337:AG337"/>
    <mergeCell ref="AH337:AI337"/>
    <mergeCell ref="AJ340:AK340"/>
    <mergeCell ref="AL340:AM340"/>
    <mergeCell ref="R340:S340"/>
    <mergeCell ref="T340:U340"/>
    <mergeCell ref="V340:W340"/>
    <mergeCell ref="X340:AA340"/>
    <mergeCell ref="AB340:AE340"/>
    <mergeCell ref="AF340:AG340"/>
    <mergeCell ref="AH340:AI340"/>
    <mergeCell ref="R341:S341"/>
    <mergeCell ref="T341:U341"/>
    <mergeCell ref="V341:W341"/>
    <mergeCell ref="X341:AA341"/>
    <mergeCell ref="AB341:AE341"/>
    <mergeCell ref="AF341:AG341"/>
    <mergeCell ref="AH341:AI341"/>
    <mergeCell ref="AX341:AZ341"/>
    <mergeCell ref="BA341:BB341"/>
    <mergeCell ref="BD341:BE341"/>
    <mergeCell ref="BF341:BI341"/>
    <mergeCell ref="BJ341:BM341"/>
    <mergeCell ref="BN341:BV341"/>
    <mergeCell ref="BJ339:BM339"/>
    <mergeCell ref="BN339:BV339"/>
    <mergeCell ref="BJ340:BM340"/>
    <mergeCell ref="BN340:BV340"/>
    <mergeCell ref="BD337:BE337"/>
    <mergeCell ref="BF337:BI337"/>
    <mergeCell ref="AN337:AO337"/>
    <mergeCell ref="AP337:AQ337"/>
    <mergeCell ref="AR337:AS337"/>
    <mergeCell ref="AT337:AU337"/>
    <mergeCell ref="AV337:AW337"/>
    <mergeCell ref="AX337:AZ337"/>
    <mergeCell ref="BA337:BB337"/>
    <mergeCell ref="BJ338:BM338"/>
    <mergeCell ref="BN338:BV338"/>
    <mergeCell ref="BJ329:BM329"/>
    <mergeCell ref="BN329:BV329"/>
    <mergeCell ref="AJ329:AK329"/>
    <mergeCell ref="AL329:AM329"/>
    <mergeCell ref="AN329:AO329"/>
    <mergeCell ref="AP329:AQ329"/>
    <mergeCell ref="AR329:AS329"/>
    <mergeCell ref="AT329:AU329"/>
    <mergeCell ref="AV329:AW329"/>
    <mergeCell ref="B329:C329"/>
    <mergeCell ref="D329:E329"/>
    <mergeCell ref="F329:G329"/>
    <mergeCell ref="H329:I329"/>
    <mergeCell ref="J329:K329"/>
    <mergeCell ref="L329:M329"/>
    <mergeCell ref="P329:Q329"/>
    <mergeCell ref="AX330:AZ330"/>
    <mergeCell ref="BA330:BB330"/>
    <mergeCell ref="BD330:BE330"/>
    <mergeCell ref="BF330:BI330"/>
    <mergeCell ref="BJ330:BM330"/>
    <mergeCell ref="BN330:BV330"/>
    <mergeCell ref="BJ331:BM331"/>
    <mergeCell ref="BN331:BV331"/>
    <mergeCell ref="B331:C331"/>
    <mergeCell ref="D331:E331"/>
    <mergeCell ref="F331:G331"/>
    <mergeCell ref="H331:I331"/>
    <mergeCell ref="J331:K331"/>
    <mergeCell ref="L331:M331"/>
    <mergeCell ref="P331:Q331"/>
    <mergeCell ref="AJ330:AK330"/>
    <mergeCell ref="AL330:AM330"/>
    <mergeCell ref="AN330:AO330"/>
    <mergeCell ref="AP330:AQ330"/>
    <mergeCell ref="AR330:AS330"/>
    <mergeCell ref="AT330:AU330"/>
    <mergeCell ref="AV330:AW330"/>
    <mergeCell ref="R330:S330"/>
    <mergeCell ref="T330:U330"/>
    <mergeCell ref="V330:W330"/>
    <mergeCell ref="X330:AA330"/>
    <mergeCell ref="AB330:AE330"/>
    <mergeCell ref="AF330:AG330"/>
    <mergeCell ref="AH330:AI330"/>
    <mergeCell ref="B330:C330"/>
    <mergeCell ref="D330:E330"/>
    <mergeCell ref="F330:G330"/>
    <mergeCell ref="H330:I330"/>
    <mergeCell ref="J330:K330"/>
    <mergeCell ref="L330:M330"/>
    <mergeCell ref="P330:Q330"/>
    <mergeCell ref="BD331:BE331"/>
    <mergeCell ref="BF331:BI331"/>
    <mergeCell ref="AN331:AO331"/>
    <mergeCell ref="AP331:AQ331"/>
    <mergeCell ref="AR331:AS331"/>
    <mergeCell ref="AT331:AU331"/>
    <mergeCell ref="AV331:AW331"/>
    <mergeCell ref="AX331:AZ331"/>
    <mergeCell ref="BA331:BB331"/>
    <mergeCell ref="R329:S329"/>
    <mergeCell ref="T329:U329"/>
    <mergeCell ref="V329:W329"/>
    <mergeCell ref="B334:C334"/>
    <mergeCell ref="D334:E334"/>
    <mergeCell ref="F334:G334"/>
    <mergeCell ref="H334:I334"/>
    <mergeCell ref="J334:K334"/>
    <mergeCell ref="L334:M334"/>
    <mergeCell ref="P334:Q334"/>
    <mergeCell ref="B335:C335"/>
    <mergeCell ref="D335:E335"/>
    <mergeCell ref="F335:G335"/>
    <mergeCell ref="H335:I335"/>
    <mergeCell ref="J335:K335"/>
    <mergeCell ref="L335:M335"/>
    <mergeCell ref="P335:Q335"/>
    <mergeCell ref="AJ334:AK334"/>
    <mergeCell ref="AL334:AM334"/>
    <mergeCell ref="AN334:AO334"/>
    <mergeCell ref="AP334:AQ334"/>
    <mergeCell ref="AR334:AS334"/>
    <mergeCell ref="AT334:AU334"/>
    <mergeCell ref="AV334:AW334"/>
    <mergeCell ref="BD328:BE328"/>
    <mergeCell ref="BF328:BI328"/>
    <mergeCell ref="AN328:AO328"/>
    <mergeCell ref="AP328:AQ328"/>
    <mergeCell ref="AR328:AS328"/>
    <mergeCell ref="AT328:AU328"/>
    <mergeCell ref="AV328:AW328"/>
    <mergeCell ref="AX328:AZ328"/>
    <mergeCell ref="BA328:BB328"/>
    <mergeCell ref="BD335:BE335"/>
    <mergeCell ref="BF335:BI335"/>
    <mergeCell ref="AN335:AO335"/>
    <mergeCell ref="AP335:AQ335"/>
    <mergeCell ref="AR335:AS335"/>
    <mergeCell ref="AT335:AU335"/>
    <mergeCell ref="AV335:AW335"/>
    <mergeCell ref="AX335:AZ335"/>
    <mergeCell ref="BA335:BB335"/>
    <mergeCell ref="AJ333:AK333"/>
    <mergeCell ref="AL333:AM333"/>
    <mergeCell ref="R333:S333"/>
    <mergeCell ref="T333:U333"/>
    <mergeCell ref="V333:W333"/>
    <mergeCell ref="X333:AA333"/>
    <mergeCell ref="AB333:AE333"/>
    <mergeCell ref="AF333:AG333"/>
    <mergeCell ref="AH333:AI333"/>
    <mergeCell ref="R334:S334"/>
    <mergeCell ref="T334:U334"/>
    <mergeCell ref="V334:W334"/>
    <mergeCell ref="X334:AA334"/>
    <mergeCell ref="AB334:AE334"/>
    <mergeCell ref="AF334:AG334"/>
    <mergeCell ref="AH334:AI334"/>
    <mergeCell ref="AX334:AZ334"/>
    <mergeCell ref="AJ335:AK335"/>
    <mergeCell ref="AL335:AM335"/>
    <mergeCell ref="R335:S335"/>
    <mergeCell ref="T335:U335"/>
    <mergeCell ref="V335:W335"/>
    <mergeCell ref="X335:AA335"/>
    <mergeCell ref="AB335:AE335"/>
    <mergeCell ref="AF335:AG335"/>
    <mergeCell ref="R327:S327"/>
    <mergeCell ref="T327:U327"/>
    <mergeCell ref="V327:W327"/>
    <mergeCell ref="X327:AA327"/>
    <mergeCell ref="AB327:AE327"/>
    <mergeCell ref="AF327:AG327"/>
    <mergeCell ref="AH327:AI327"/>
    <mergeCell ref="AX327:AZ327"/>
    <mergeCell ref="BA327:BB327"/>
    <mergeCell ref="BD327:BE327"/>
    <mergeCell ref="BF327:BI327"/>
    <mergeCell ref="B327:C327"/>
    <mergeCell ref="D327:E327"/>
    <mergeCell ref="F327:G327"/>
    <mergeCell ref="H327:I327"/>
    <mergeCell ref="J327:K327"/>
    <mergeCell ref="L327:M327"/>
    <mergeCell ref="P327:Q327"/>
    <mergeCell ref="AJ327:AK327"/>
    <mergeCell ref="AL327:AM327"/>
    <mergeCell ref="AN327:AO327"/>
    <mergeCell ref="AP327:AQ327"/>
    <mergeCell ref="AR327:AS327"/>
    <mergeCell ref="AT327:AU327"/>
    <mergeCell ref="AV327:AW327"/>
    <mergeCell ref="X329:AA329"/>
    <mergeCell ref="AB329:AE329"/>
    <mergeCell ref="AF329:AG329"/>
    <mergeCell ref="AH329:AI329"/>
    <mergeCell ref="AX329:AZ329"/>
    <mergeCell ref="BA329:BB329"/>
    <mergeCell ref="BD329:BE329"/>
    <mergeCell ref="BF329:BI329"/>
    <mergeCell ref="BA334:BB334"/>
    <mergeCell ref="BD334:BE334"/>
    <mergeCell ref="BF334:BI334"/>
    <mergeCell ref="BJ334:BM334"/>
    <mergeCell ref="BN334:BV334"/>
    <mergeCell ref="BJ335:BM335"/>
    <mergeCell ref="BN335:BV335"/>
    <mergeCell ref="BD333:BE333"/>
    <mergeCell ref="BF333:BI333"/>
    <mergeCell ref="AN333:AO333"/>
    <mergeCell ref="AP333:AQ333"/>
    <mergeCell ref="AR333:AS333"/>
    <mergeCell ref="AT333:AU333"/>
    <mergeCell ref="AV333:AW333"/>
    <mergeCell ref="AX333:AZ333"/>
    <mergeCell ref="BA333:BB333"/>
    <mergeCell ref="AJ331:AK331"/>
    <mergeCell ref="AL331:AM331"/>
    <mergeCell ref="R331:S331"/>
    <mergeCell ref="T331:U331"/>
    <mergeCell ref="V331:W331"/>
    <mergeCell ref="X331:AA331"/>
    <mergeCell ref="AB331:AE331"/>
    <mergeCell ref="AF331:AG331"/>
    <mergeCell ref="AH331:AI331"/>
    <mergeCell ref="R332:S332"/>
    <mergeCell ref="T332:U332"/>
    <mergeCell ref="V332:W332"/>
    <mergeCell ref="X332:AA332"/>
    <mergeCell ref="AB332:AE332"/>
    <mergeCell ref="AF332:AG332"/>
    <mergeCell ref="AH332:AI332"/>
    <mergeCell ref="AX332:AZ332"/>
    <mergeCell ref="BA332:BB332"/>
    <mergeCell ref="BD332:BE332"/>
    <mergeCell ref="BF332:BI332"/>
    <mergeCell ref="BJ332:BM332"/>
    <mergeCell ref="BN332:BV332"/>
    <mergeCell ref="BJ333:BM333"/>
    <mergeCell ref="BN333:BV333"/>
    <mergeCell ref="AH335:AI335"/>
    <mergeCell ref="B332:C332"/>
    <mergeCell ref="D332:E332"/>
    <mergeCell ref="F332:G332"/>
    <mergeCell ref="H332:I332"/>
    <mergeCell ref="J332:K332"/>
    <mergeCell ref="L332:M332"/>
    <mergeCell ref="P332:Q332"/>
    <mergeCell ref="B333:C333"/>
    <mergeCell ref="D333:E333"/>
    <mergeCell ref="F333:G333"/>
    <mergeCell ref="H333:I333"/>
    <mergeCell ref="J333:K333"/>
    <mergeCell ref="L333:M333"/>
    <mergeCell ref="P333:Q333"/>
    <mergeCell ref="AJ332:AK332"/>
    <mergeCell ref="AL332:AM332"/>
    <mergeCell ref="AN332:AO332"/>
    <mergeCell ref="AP332:AQ332"/>
    <mergeCell ref="AR332:AS332"/>
    <mergeCell ref="AT332:AU332"/>
    <mergeCell ref="AV332:AW332"/>
    <mergeCell ref="BJ321:BM321"/>
    <mergeCell ref="BN321:BV321"/>
    <mergeCell ref="BJ322:BM322"/>
    <mergeCell ref="BN322:BV322"/>
    <mergeCell ref="B322:C322"/>
    <mergeCell ref="D322:E322"/>
    <mergeCell ref="F322:G322"/>
    <mergeCell ref="H322:I322"/>
    <mergeCell ref="J322:K322"/>
    <mergeCell ref="L322:M322"/>
    <mergeCell ref="P322:Q322"/>
    <mergeCell ref="AJ321:AK321"/>
    <mergeCell ref="AL321:AM321"/>
    <mergeCell ref="AN321:AO321"/>
    <mergeCell ref="AP321:AQ321"/>
    <mergeCell ref="AR321:AS321"/>
    <mergeCell ref="AT321:AU321"/>
    <mergeCell ref="AV321:AW321"/>
    <mergeCell ref="BD324:BE324"/>
    <mergeCell ref="BF324:BI324"/>
    <mergeCell ref="AN324:AO324"/>
    <mergeCell ref="AP324:AQ324"/>
    <mergeCell ref="AR324:AS324"/>
    <mergeCell ref="AT324:AU324"/>
    <mergeCell ref="AV324:AW324"/>
    <mergeCell ref="AX324:AZ324"/>
    <mergeCell ref="BA324:BB324"/>
    <mergeCell ref="AJ328:AK328"/>
    <mergeCell ref="AL328:AM328"/>
    <mergeCell ref="BJ328:BM328"/>
    <mergeCell ref="BN328:BV328"/>
    <mergeCell ref="R328:S328"/>
    <mergeCell ref="T328:U328"/>
    <mergeCell ref="V328:W328"/>
    <mergeCell ref="X328:AA328"/>
    <mergeCell ref="AB328:AE328"/>
    <mergeCell ref="AF328:AG328"/>
    <mergeCell ref="AH328:AI328"/>
    <mergeCell ref="BJ327:BM327"/>
    <mergeCell ref="BN327:BV327"/>
    <mergeCell ref="B328:C328"/>
    <mergeCell ref="D328:E328"/>
    <mergeCell ref="F328:G328"/>
    <mergeCell ref="H328:I328"/>
    <mergeCell ref="J328:K328"/>
    <mergeCell ref="L328:M328"/>
    <mergeCell ref="P328:Q328"/>
    <mergeCell ref="BJ318:BM318"/>
    <mergeCell ref="BN318:BV318"/>
    <mergeCell ref="B318:C318"/>
    <mergeCell ref="D318:E318"/>
    <mergeCell ref="F318:G318"/>
    <mergeCell ref="H318:I318"/>
    <mergeCell ref="J318:K318"/>
    <mergeCell ref="L318:M318"/>
    <mergeCell ref="P318:Q318"/>
    <mergeCell ref="AJ318:AK318"/>
    <mergeCell ref="AL318:AM318"/>
    <mergeCell ref="AN318:AO318"/>
    <mergeCell ref="AP318:AQ318"/>
    <mergeCell ref="AR318:AS318"/>
    <mergeCell ref="AT318:AU318"/>
    <mergeCell ref="AV318:AW318"/>
    <mergeCell ref="B319:C319"/>
    <mergeCell ref="D319:E319"/>
    <mergeCell ref="F319:G319"/>
    <mergeCell ref="H319:I319"/>
    <mergeCell ref="J319:K319"/>
    <mergeCell ref="L319:M319"/>
    <mergeCell ref="P319:Q319"/>
    <mergeCell ref="R321:S321"/>
    <mergeCell ref="T321:U321"/>
    <mergeCell ref="V321:W321"/>
    <mergeCell ref="X321:AA321"/>
    <mergeCell ref="AB321:AE321"/>
    <mergeCell ref="AF321:AG321"/>
    <mergeCell ref="AH321:AI321"/>
    <mergeCell ref="B321:C321"/>
    <mergeCell ref="D321:E321"/>
    <mergeCell ref="F321:G321"/>
    <mergeCell ref="H321:I321"/>
    <mergeCell ref="J321:K321"/>
    <mergeCell ref="L321:M321"/>
    <mergeCell ref="P321:Q321"/>
    <mergeCell ref="R320:S320"/>
    <mergeCell ref="T320:U320"/>
    <mergeCell ref="V320:W320"/>
    <mergeCell ref="X320:AA320"/>
    <mergeCell ref="AB320:AE320"/>
    <mergeCell ref="AF320:AG320"/>
    <mergeCell ref="AH320:AI320"/>
    <mergeCell ref="AX320:AZ320"/>
    <mergeCell ref="BA320:BB320"/>
    <mergeCell ref="BD320:BE320"/>
    <mergeCell ref="BF320:BI320"/>
    <mergeCell ref="BJ320:BM320"/>
    <mergeCell ref="BN320:BV320"/>
    <mergeCell ref="AJ320:AK320"/>
    <mergeCell ref="AL320:AM320"/>
    <mergeCell ref="AN320:AO320"/>
    <mergeCell ref="AP320:AQ320"/>
    <mergeCell ref="AR320:AS320"/>
    <mergeCell ref="AT320:AU320"/>
    <mergeCell ref="AV320:AW320"/>
    <mergeCell ref="B320:C320"/>
    <mergeCell ref="D320:E320"/>
    <mergeCell ref="F320:G320"/>
    <mergeCell ref="AL325:AM325"/>
    <mergeCell ref="AN325:AO325"/>
    <mergeCell ref="AP325:AQ325"/>
    <mergeCell ref="AR325:AS325"/>
    <mergeCell ref="AT325:AU325"/>
    <mergeCell ref="AV325:AW325"/>
    <mergeCell ref="BD319:BE319"/>
    <mergeCell ref="BF319:BI319"/>
    <mergeCell ref="AN319:AO319"/>
    <mergeCell ref="AP319:AQ319"/>
    <mergeCell ref="AR319:AS319"/>
    <mergeCell ref="AT319:AU319"/>
    <mergeCell ref="AV319:AW319"/>
    <mergeCell ref="AX319:AZ319"/>
    <mergeCell ref="BA319:BB319"/>
    <mergeCell ref="BD326:BE326"/>
    <mergeCell ref="BF326:BI326"/>
    <mergeCell ref="AN326:AO326"/>
    <mergeCell ref="AP326:AQ326"/>
    <mergeCell ref="AR326:AS326"/>
    <mergeCell ref="AT326:AU326"/>
    <mergeCell ref="AV326:AW326"/>
    <mergeCell ref="AX326:AZ326"/>
    <mergeCell ref="BA326:BB326"/>
    <mergeCell ref="AJ324:AK324"/>
    <mergeCell ref="AL324:AM324"/>
    <mergeCell ref="R324:S324"/>
    <mergeCell ref="T324:U324"/>
    <mergeCell ref="V324:W324"/>
    <mergeCell ref="X324:AA324"/>
    <mergeCell ref="AB324:AE324"/>
    <mergeCell ref="AF324:AG324"/>
    <mergeCell ref="AH324:AI324"/>
    <mergeCell ref="R325:S325"/>
    <mergeCell ref="T325:U325"/>
    <mergeCell ref="V325:W325"/>
    <mergeCell ref="X325:AA325"/>
    <mergeCell ref="AB325:AE325"/>
    <mergeCell ref="AF325:AG325"/>
    <mergeCell ref="AH325:AI325"/>
    <mergeCell ref="AX325:AZ325"/>
    <mergeCell ref="BA325:BB325"/>
    <mergeCell ref="BD325:BE325"/>
    <mergeCell ref="BF325:BI325"/>
    <mergeCell ref="AJ326:AK326"/>
    <mergeCell ref="AL326:AM326"/>
    <mergeCell ref="R326:S326"/>
    <mergeCell ref="T326:U326"/>
    <mergeCell ref="V326:W326"/>
    <mergeCell ref="X326:AA326"/>
    <mergeCell ref="AB326:AE326"/>
    <mergeCell ref="AF326:AG326"/>
    <mergeCell ref="AH326:AI326"/>
    <mergeCell ref="X317:AA317"/>
    <mergeCell ref="AB317:AE317"/>
    <mergeCell ref="AF317:AG317"/>
    <mergeCell ref="AH317:AI317"/>
    <mergeCell ref="R318:S318"/>
    <mergeCell ref="T318:U318"/>
    <mergeCell ref="V318:W318"/>
    <mergeCell ref="X318:AA318"/>
    <mergeCell ref="AB318:AE318"/>
    <mergeCell ref="AF318:AG318"/>
    <mergeCell ref="AH318:AI318"/>
    <mergeCell ref="AX318:AZ318"/>
    <mergeCell ref="BA318:BB318"/>
    <mergeCell ref="BD318:BE318"/>
    <mergeCell ref="BF318:BI318"/>
    <mergeCell ref="BD322:BE322"/>
    <mergeCell ref="BF322:BI322"/>
    <mergeCell ref="AN322:AO322"/>
    <mergeCell ref="AP322:AQ322"/>
    <mergeCell ref="AR322:AS322"/>
    <mergeCell ref="AT322:AU322"/>
    <mergeCell ref="AV322:AW322"/>
    <mergeCell ref="AX322:AZ322"/>
    <mergeCell ref="BA322:BB322"/>
    <mergeCell ref="AX321:AZ321"/>
    <mergeCell ref="BA321:BB321"/>
    <mergeCell ref="BD321:BE321"/>
    <mergeCell ref="BF321:BI321"/>
    <mergeCell ref="AJ319:AK319"/>
    <mergeCell ref="AL319:AM319"/>
    <mergeCell ref="H320:I320"/>
    <mergeCell ref="J320:K320"/>
    <mergeCell ref="L320:M320"/>
    <mergeCell ref="P320:Q320"/>
    <mergeCell ref="BJ325:BM325"/>
    <mergeCell ref="BN325:BV325"/>
    <mergeCell ref="BJ326:BM326"/>
    <mergeCell ref="BN326:BV326"/>
    <mergeCell ref="AJ322:AK322"/>
    <mergeCell ref="AL322:AM322"/>
    <mergeCell ref="R322:S322"/>
    <mergeCell ref="T322:U322"/>
    <mergeCell ref="V322:W322"/>
    <mergeCell ref="X322:AA322"/>
    <mergeCell ref="AB322:AE322"/>
    <mergeCell ref="AF322:AG322"/>
    <mergeCell ref="AH322:AI322"/>
    <mergeCell ref="R323:S323"/>
    <mergeCell ref="T323:U323"/>
    <mergeCell ref="V323:W323"/>
    <mergeCell ref="X323:AA323"/>
    <mergeCell ref="AB323:AE323"/>
    <mergeCell ref="AF323:AG323"/>
    <mergeCell ref="AH323:AI323"/>
    <mergeCell ref="AX323:AZ323"/>
    <mergeCell ref="BA323:BB323"/>
    <mergeCell ref="BD323:BE323"/>
    <mergeCell ref="BF323:BI323"/>
    <mergeCell ref="BJ323:BM323"/>
    <mergeCell ref="BN323:BV323"/>
    <mergeCell ref="BJ324:BM324"/>
    <mergeCell ref="BN324:BV324"/>
    <mergeCell ref="B323:C323"/>
    <mergeCell ref="D323:E323"/>
    <mergeCell ref="F323:G323"/>
    <mergeCell ref="H323:I323"/>
    <mergeCell ref="J323:K323"/>
    <mergeCell ref="L323:M323"/>
    <mergeCell ref="P323:Q323"/>
    <mergeCell ref="B324:C324"/>
    <mergeCell ref="D324:E324"/>
    <mergeCell ref="F324:G324"/>
    <mergeCell ref="H324:I324"/>
    <mergeCell ref="J324:K324"/>
    <mergeCell ref="L324:M324"/>
    <mergeCell ref="P324:Q324"/>
    <mergeCell ref="AJ323:AK323"/>
    <mergeCell ref="AL323:AM323"/>
    <mergeCell ref="AN323:AO323"/>
    <mergeCell ref="AP323:AQ323"/>
    <mergeCell ref="AR323:AS323"/>
    <mergeCell ref="AT323:AU323"/>
    <mergeCell ref="AV323:AW323"/>
    <mergeCell ref="B325:C325"/>
    <mergeCell ref="D325:E325"/>
    <mergeCell ref="F325:G325"/>
    <mergeCell ref="H325:I325"/>
    <mergeCell ref="J325:K325"/>
    <mergeCell ref="L325:M325"/>
    <mergeCell ref="P325:Q325"/>
    <mergeCell ref="B326:C326"/>
    <mergeCell ref="D326:E326"/>
    <mergeCell ref="F326:G326"/>
    <mergeCell ref="H326:I326"/>
    <mergeCell ref="J326:K326"/>
    <mergeCell ref="L326:M326"/>
    <mergeCell ref="P326:Q326"/>
    <mergeCell ref="AJ325:AK325"/>
    <mergeCell ref="V292:W292"/>
    <mergeCell ref="X292:AA292"/>
    <mergeCell ref="AB292:AE292"/>
    <mergeCell ref="AF292:AG292"/>
    <mergeCell ref="AH292:AI292"/>
    <mergeCell ref="AJ292:AK292"/>
    <mergeCell ref="AL292:AM292"/>
    <mergeCell ref="BD292:BE292"/>
    <mergeCell ref="BF292:BI292"/>
    <mergeCell ref="BJ292:BM292"/>
    <mergeCell ref="BN292:BV292"/>
    <mergeCell ref="AN292:AO292"/>
    <mergeCell ref="AP292:AQ292"/>
    <mergeCell ref="AR292:AS292"/>
    <mergeCell ref="AT292:AU292"/>
    <mergeCell ref="AV292:AW292"/>
    <mergeCell ref="AX292:AZ292"/>
    <mergeCell ref="BA292:BB292"/>
    <mergeCell ref="B292:C292"/>
    <mergeCell ref="D292:E292"/>
    <mergeCell ref="F292:G292"/>
    <mergeCell ref="H292:I292"/>
    <mergeCell ref="P292:Q292"/>
    <mergeCell ref="R292:S292"/>
    <mergeCell ref="T292:U292"/>
    <mergeCell ref="B293:C293"/>
    <mergeCell ref="D293:E293"/>
    <mergeCell ref="F293:G293"/>
    <mergeCell ref="H293:I293"/>
    <mergeCell ref="J293:K293"/>
    <mergeCell ref="L293:M293"/>
    <mergeCell ref="P293:Q293"/>
    <mergeCell ref="AX293:AZ293"/>
    <mergeCell ref="BA293:BB293"/>
    <mergeCell ref="BD293:BE293"/>
    <mergeCell ref="BF293:BI293"/>
    <mergeCell ref="BJ293:BM293"/>
    <mergeCell ref="BN293:BV293"/>
    <mergeCell ref="AN293:AO293"/>
    <mergeCell ref="AP293:AQ293"/>
    <mergeCell ref="AR293:AS293"/>
    <mergeCell ref="AT293:AU293"/>
    <mergeCell ref="AV293:AW293"/>
    <mergeCell ref="V290:W290"/>
    <mergeCell ref="X290:AA290"/>
    <mergeCell ref="AB290:AE290"/>
    <mergeCell ref="AF290:AG290"/>
    <mergeCell ref="AH290:AI290"/>
    <mergeCell ref="AJ290:AK290"/>
    <mergeCell ref="AL290:AM290"/>
    <mergeCell ref="BD290:BE290"/>
    <mergeCell ref="BF290:BI290"/>
    <mergeCell ref="BJ290:BM290"/>
    <mergeCell ref="BN290:BV290"/>
    <mergeCell ref="AN290:AO290"/>
    <mergeCell ref="AP290:AQ290"/>
    <mergeCell ref="AR290:AS290"/>
    <mergeCell ref="AT290:AU290"/>
    <mergeCell ref="AV290:AW290"/>
    <mergeCell ref="AX290:AZ290"/>
    <mergeCell ref="BA290:BB290"/>
    <mergeCell ref="B290:C290"/>
    <mergeCell ref="D290:E290"/>
    <mergeCell ref="F290:G290"/>
    <mergeCell ref="H290:I290"/>
    <mergeCell ref="P290:Q290"/>
    <mergeCell ref="R290:S290"/>
    <mergeCell ref="T290:U290"/>
    <mergeCell ref="B291:C291"/>
    <mergeCell ref="D291:E291"/>
    <mergeCell ref="F291:G291"/>
    <mergeCell ref="H291:I291"/>
    <mergeCell ref="J291:K291"/>
    <mergeCell ref="L291:M291"/>
    <mergeCell ref="P291:Q291"/>
    <mergeCell ref="AX291:AZ291"/>
    <mergeCell ref="BA291:BB291"/>
    <mergeCell ref="BD291:BE291"/>
    <mergeCell ref="BF291:BI291"/>
    <mergeCell ref="BJ291:BM291"/>
    <mergeCell ref="BN291:BV291"/>
    <mergeCell ref="AN291:AO291"/>
    <mergeCell ref="AP291:AQ291"/>
    <mergeCell ref="AR291:AS291"/>
    <mergeCell ref="AT291:AU291"/>
    <mergeCell ref="AV291:AW291"/>
    <mergeCell ref="R291:S291"/>
    <mergeCell ref="T291:U291"/>
    <mergeCell ref="V291:W291"/>
    <mergeCell ref="X291:AA291"/>
    <mergeCell ref="AB291:AE291"/>
    <mergeCell ref="AF291:AG291"/>
    <mergeCell ref="AH291:AI291"/>
    <mergeCell ref="AJ291:AK291"/>
    <mergeCell ref="AL291:AM291"/>
    <mergeCell ref="V288:W288"/>
    <mergeCell ref="X288:AA288"/>
    <mergeCell ref="AB288:AE288"/>
    <mergeCell ref="AF288:AG288"/>
    <mergeCell ref="AH288:AI288"/>
    <mergeCell ref="AJ288:AK288"/>
    <mergeCell ref="AL288:AM288"/>
    <mergeCell ref="BD288:BE288"/>
    <mergeCell ref="BF288:BI288"/>
    <mergeCell ref="BJ288:BM288"/>
    <mergeCell ref="BN288:BV288"/>
    <mergeCell ref="AN288:AO288"/>
    <mergeCell ref="AP288:AQ288"/>
    <mergeCell ref="AR288:AS288"/>
    <mergeCell ref="AT288:AU288"/>
    <mergeCell ref="AV288:AW288"/>
    <mergeCell ref="AX288:AZ288"/>
    <mergeCell ref="BA288:BB288"/>
    <mergeCell ref="B288:C288"/>
    <mergeCell ref="D288:E288"/>
    <mergeCell ref="F288:G288"/>
    <mergeCell ref="H288:I288"/>
    <mergeCell ref="P288:Q288"/>
    <mergeCell ref="R288:S288"/>
    <mergeCell ref="T288:U288"/>
    <mergeCell ref="B289:C289"/>
    <mergeCell ref="D289:E289"/>
    <mergeCell ref="F289:G289"/>
    <mergeCell ref="H289:I289"/>
    <mergeCell ref="J289:K289"/>
    <mergeCell ref="L289:M289"/>
    <mergeCell ref="P289:Q289"/>
    <mergeCell ref="AX289:AZ289"/>
    <mergeCell ref="BA289:BB289"/>
    <mergeCell ref="BD289:BE289"/>
    <mergeCell ref="BF289:BI289"/>
    <mergeCell ref="BJ289:BM289"/>
    <mergeCell ref="BN289:BV289"/>
    <mergeCell ref="AN289:AO289"/>
    <mergeCell ref="AP289:AQ289"/>
    <mergeCell ref="AR289:AS289"/>
    <mergeCell ref="AT289:AU289"/>
    <mergeCell ref="AV289:AW289"/>
    <mergeCell ref="R289:S289"/>
    <mergeCell ref="T289:U289"/>
    <mergeCell ref="V289:W289"/>
    <mergeCell ref="X289:AA289"/>
    <mergeCell ref="AB289:AE289"/>
    <mergeCell ref="AF289:AG289"/>
    <mergeCell ref="AH289:AI289"/>
    <mergeCell ref="AJ289:AK289"/>
    <mergeCell ref="AL289:AM289"/>
    <mergeCell ref="V286:W286"/>
    <mergeCell ref="X286:AA286"/>
    <mergeCell ref="AB286:AE286"/>
    <mergeCell ref="AF286:AG286"/>
    <mergeCell ref="AH286:AI286"/>
    <mergeCell ref="AJ286:AK286"/>
    <mergeCell ref="AL286:AM286"/>
    <mergeCell ref="BD286:BE286"/>
    <mergeCell ref="BF286:BI286"/>
    <mergeCell ref="BJ286:BM286"/>
    <mergeCell ref="BN286:BV286"/>
    <mergeCell ref="AN286:AO286"/>
    <mergeCell ref="AP286:AQ286"/>
    <mergeCell ref="AR286:AS286"/>
    <mergeCell ref="AT286:AU286"/>
    <mergeCell ref="AV286:AW286"/>
    <mergeCell ref="AX286:AZ286"/>
    <mergeCell ref="BA286:BB286"/>
    <mergeCell ref="B286:C286"/>
    <mergeCell ref="D286:E286"/>
    <mergeCell ref="F286:G286"/>
    <mergeCell ref="H286:I286"/>
    <mergeCell ref="P286:Q286"/>
    <mergeCell ref="R286:S286"/>
    <mergeCell ref="T286:U286"/>
    <mergeCell ref="B287:C287"/>
    <mergeCell ref="D287:E287"/>
    <mergeCell ref="F287:G287"/>
    <mergeCell ref="H287:I287"/>
    <mergeCell ref="J287:K287"/>
    <mergeCell ref="L287:M287"/>
    <mergeCell ref="P287:Q287"/>
    <mergeCell ref="AX287:AZ287"/>
    <mergeCell ref="BA287:BB287"/>
    <mergeCell ref="BD287:BE287"/>
    <mergeCell ref="BF287:BI287"/>
    <mergeCell ref="BJ287:BM287"/>
    <mergeCell ref="BN287:BV287"/>
    <mergeCell ref="AN287:AO287"/>
    <mergeCell ref="AP287:AQ287"/>
    <mergeCell ref="AR287:AS287"/>
    <mergeCell ref="AT287:AU287"/>
    <mergeCell ref="AV287:AW287"/>
    <mergeCell ref="R287:S287"/>
    <mergeCell ref="T287:U287"/>
    <mergeCell ref="V287:W287"/>
    <mergeCell ref="X287:AA287"/>
    <mergeCell ref="AB287:AE287"/>
    <mergeCell ref="AF287:AG287"/>
    <mergeCell ref="AH287:AI287"/>
    <mergeCell ref="AJ287:AK287"/>
    <mergeCell ref="AL287:AM287"/>
    <mergeCell ref="V284:W284"/>
    <mergeCell ref="X284:AA284"/>
    <mergeCell ref="AB284:AE284"/>
    <mergeCell ref="AF284:AG284"/>
    <mergeCell ref="AH284:AI284"/>
    <mergeCell ref="AJ284:AK284"/>
    <mergeCell ref="AL284:AM284"/>
    <mergeCell ref="BD284:BE284"/>
    <mergeCell ref="BF284:BI284"/>
    <mergeCell ref="BJ284:BM284"/>
    <mergeCell ref="BN284:BV284"/>
    <mergeCell ref="AN284:AO284"/>
    <mergeCell ref="AP284:AQ284"/>
    <mergeCell ref="AR284:AS284"/>
    <mergeCell ref="AT284:AU284"/>
    <mergeCell ref="AV284:AW284"/>
    <mergeCell ref="AX284:AZ284"/>
    <mergeCell ref="BA284:BB284"/>
    <mergeCell ref="B284:C284"/>
    <mergeCell ref="D284:E284"/>
    <mergeCell ref="F284:G284"/>
    <mergeCell ref="H284:I284"/>
    <mergeCell ref="P284:Q284"/>
    <mergeCell ref="R284:S284"/>
    <mergeCell ref="T284:U284"/>
    <mergeCell ref="B285:C285"/>
    <mergeCell ref="D285:E285"/>
    <mergeCell ref="F285:G285"/>
    <mergeCell ref="H285:I285"/>
    <mergeCell ref="J285:K285"/>
    <mergeCell ref="L285:M285"/>
    <mergeCell ref="P285:Q285"/>
    <mergeCell ref="AX285:AZ285"/>
    <mergeCell ref="BA285:BB285"/>
    <mergeCell ref="BD285:BE285"/>
    <mergeCell ref="BF285:BI285"/>
    <mergeCell ref="BJ285:BM285"/>
    <mergeCell ref="BN285:BV285"/>
    <mergeCell ref="AN285:AO285"/>
    <mergeCell ref="AP285:AQ285"/>
    <mergeCell ref="AR285:AS285"/>
    <mergeCell ref="AT285:AU285"/>
    <mergeCell ref="AV285:AW285"/>
    <mergeCell ref="R285:S285"/>
    <mergeCell ref="T285:U285"/>
    <mergeCell ref="V285:W285"/>
    <mergeCell ref="X285:AA285"/>
    <mergeCell ref="AB285:AE285"/>
    <mergeCell ref="AF285:AG285"/>
    <mergeCell ref="AH285:AI285"/>
    <mergeCell ref="AJ285:AK285"/>
    <mergeCell ref="AL285:AM285"/>
    <mergeCell ref="V282:W282"/>
    <mergeCell ref="X282:AA282"/>
    <mergeCell ref="AB282:AE282"/>
    <mergeCell ref="AF282:AG282"/>
    <mergeCell ref="AH282:AI282"/>
    <mergeCell ref="AJ282:AK282"/>
    <mergeCell ref="AL282:AM282"/>
    <mergeCell ref="BD282:BE282"/>
    <mergeCell ref="BF282:BI282"/>
    <mergeCell ref="BJ282:BM282"/>
    <mergeCell ref="BN282:BV282"/>
    <mergeCell ref="AN282:AO282"/>
    <mergeCell ref="AP282:AQ282"/>
    <mergeCell ref="AR282:AS282"/>
    <mergeCell ref="AT282:AU282"/>
    <mergeCell ref="AV282:AW282"/>
    <mergeCell ref="AX282:AZ282"/>
    <mergeCell ref="BA282:BB282"/>
    <mergeCell ref="B282:C282"/>
    <mergeCell ref="D282:E282"/>
    <mergeCell ref="F282:G282"/>
    <mergeCell ref="H282:I282"/>
    <mergeCell ref="P282:Q282"/>
    <mergeCell ref="R282:S282"/>
    <mergeCell ref="T282:U282"/>
    <mergeCell ref="B283:C283"/>
    <mergeCell ref="D283:E283"/>
    <mergeCell ref="F283:G283"/>
    <mergeCell ref="H283:I283"/>
    <mergeCell ref="J283:K283"/>
    <mergeCell ref="L283:M283"/>
    <mergeCell ref="P283:Q283"/>
    <mergeCell ref="AX283:AZ283"/>
    <mergeCell ref="BA283:BB283"/>
    <mergeCell ref="BD283:BE283"/>
    <mergeCell ref="BF283:BI283"/>
    <mergeCell ref="BJ283:BM283"/>
    <mergeCell ref="BN283:BV283"/>
    <mergeCell ref="AN283:AO283"/>
    <mergeCell ref="AP283:AQ283"/>
    <mergeCell ref="AR283:AS283"/>
    <mergeCell ref="AT283:AU283"/>
    <mergeCell ref="AV283:AW283"/>
    <mergeCell ref="R283:S283"/>
    <mergeCell ref="T283:U283"/>
    <mergeCell ref="V283:W283"/>
    <mergeCell ref="X283:AA283"/>
    <mergeCell ref="AB283:AE283"/>
    <mergeCell ref="AF283:AG283"/>
    <mergeCell ref="AH283:AI283"/>
    <mergeCell ref="AJ283:AK283"/>
    <mergeCell ref="AL283:AM283"/>
    <mergeCell ref="V280:W280"/>
    <mergeCell ref="X280:AA280"/>
    <mergeCell ref="AB280:AE280"/>
    <mergeCell ref="AF280:AG280"/>
    <mergeCell ref="AH280:AI280"/>
    <mergeCell ref="AJ280:AK280"/>
    <mergeCell ref="AL280:AM280"/>
    <mergeCell ref="BD280:BE280"/>
    <mergeCell ref="BF280:BI280"/>
    <mergeCell ref="BJ280:BM280"/>
    <mergeCell ref="BN280:BV280"/>
    <mergeCell ref="AN280:AO280"/>
    <mergeCell ref="AP280:AQ280"/>
    <mergeCell ref="AR280:AS280"/>
    <mergeCell ref="AT280:AU280"/>
    <mergeCell ref="AV280:AW280"/>
    <mergeCell ref="AX280:AZ280"/>
    <mergeCell ref="BA280:BB280"/>
    <mergeCell ref="B280:C280"/>
    <mergeCell ref="D280:E280"/>
    <mergeCell ref="F280:G280"/>
    <mergeCell ref="H280:I280"/>
    <mergeCell ref="P280:Q280"/>
    <mergeCell ref="R280:S280"/>
    <mergeCell ref="T280:U280"/>
    <mergeCell ref="B281:C281"/>
    <mergeCell ref="D281:E281"/>
    <mergeCell ref="F281:G281"/>
    <mergeCell ref="H281:I281"/>
    <mergeCell ref="J281:K281"/>
    <mergeCell ref="L281:M281"/>
    <mergeCell ref="P281:Q281"/>
    <mergeCell ref="AX281:AZ281"/>
    <mergeCell ref="BA281:BB281"/>
    <mergeCell ref="BD281:BE281"/>
    <mergeCell ref="BF281:BI281"/>
    <mergeCell ref="BJ281:BM281"/>
    <mergeCell ref="BN281:BV281"/>
    <mergeCell ref="AN281:AO281"/>
    <mergeCell ref="AP281:AQ281"/>
    <mergeCell ref="AR281:AS281"/>
    <mergeCell ref="AT281:AU281"/>
    <mergeCell ref="AV281:AW281"/>
    <mergeCell ref="R281:S281"/>
    <mergeCell ref="T281:U281"/>
    <mergeCell ref="V281:W281"/>
    <mergeCell ref="X281:AA281"/>
    <mergeCell ref="AB281:AE281"/>
    <mergeCell ref="AF281:AG281"/>
    <mergeCell ref="AH281:AI281"/>
    <mergeCell ref="AJ281:AK281"/>
    <mergeCell ref="AL281:AM281"/>
    <mergeCell ref="V278:W278"/>
    <mergeCell ref="X278:AA278"/>
    <mergeCell ref="AB278:AE278"/>
    <mergeCell ref="AF278:AG278"/>
    <mergeCell ref="AH278:AI278"/>
    <mergeCell ref="AJ278:AK278"/>
    <mergeCell ref="AL278:AM278"/>
    <mergeCell ref="BD278:BE278"/>
    <mergeCell ref="BF278:BI278"/>
    <mergeCell ref="BJ278:BM278"/>
    <mergeCell ref="BN278:BV278"/>
    <mergeCell ref="AN278:AO278"/>
    <mergeCell ref="AP278:AQ278"/>
    <mergeCell ref="AR278:AS278"/>
    <mergeCell ref="AT278:AU278"/>
    <mergeCell ref="AV278:AW278"/>
    <mergeCell ref="AX278:AZ278"/>
    <mergeCell ref="BA278:BB278"/>
    <mergeCell ref="B278:C278"/>
    <mergeCell ref="D278:E278"/>
    <mergeCell ref="F278:G278"/>
    <mergeCell ref="H278:I278"/>
    <mergeCell ref="P278:Q278"/>
    <mergeCell ref="R278:S278"/>
    <mergeCell ref="T278:U278"/>
    <mergeCell ref="B279:C279"/>
    <mergeCell ref="D279:E279"/>
    <mergeCell ref="F279:G279"/>
    <mergeCell ref="H279:I279"/>
    <mergeCell ref="J279:K279"/>
    <mergeCell ref="L279:M279"/>
    <mergeCell ref="P279:Q279"/>
    <mergeCell ref="AX279:AZ279"/>
    <mergeCell ref="BA279:BB279"/>
    <mergeCell ref="BD279:BE279"/>
    <mergeCell ref="BF279:BI279"/>
    <mergeCell ref="BJ279:BM279"/>
    <mergeCell ref="BN279:BV279"/>
    <mergeCell ref="AN279:AO279"/>
    <mergeCell ref="AP279:AQ279"/>
    <mergeCell ref="AR279:AS279"/>
    <mergeCell ref="AT279:AU279"/>
    <mergeCell ref="AV279:AW279"/>
    <mergeCell ref="R279:S279"/>
    <mergeCell ref="T279:U279"/>
    <mergeCell ref="V279:W279"/>
    <mergeCell ref="X279:AA279"/>
    <mergeCell ref="AB279:AE279"/>
    <mergeCell ref="AF279:AG279"/>
    <mergeCell ref="AH279:AI279"/>
    <mergeCell ref="AJ279:AK279"/>
    <mergeCell ref="AL279:AM279"/>
    <mergeCell ref="V276:W276"/>
    <mergeCell ref="X276:AA276"/>
    <mergeCell ref="AB276:AE276"/>
    <mergeCell ref="AF276:AG276"/>
    <mergeCell ref="AH276:AI276"/>
    <mergeCell ref="AJ276:AK276"/>
    <mergeCell ref="AL276:AM276"/>
    <mergeCell ref="BD276:BE276"/>
    <mergeCell ref="BF276:BI276"/>
    <mergeCell ref="BJ276:BM276"/>
    <mergeCell ref="BN276:BV276"/>
    <mergeCell ref="AN276:AO276"/>
    <mergeCell ref="AP276:AQ276"/>
    <mergeCell ref="AR276:AS276"/>
    <mergeCell ref="AT276:AU276"/>
    <mergeCell ref="AV276:AW276"/>
    <mergeCell ref="AX276:AZ276"/>
    <mergeCell ref="BA276:BB276"/>
    <mergeCell ref="B276:C276"/>
    <mergeCell ref="D276:E276"/>
    <mergeCell ref="F276:G276"/>
    <mergeCell ref="H276:I276"/>
    <mergeCell ref="P276:Q276"/>
    <mergeCell ref="R276:S276"/>
    <mergeCell ref="T276:U276"/>
    <mergeCell ref="B277:C277"/>
    <mergeCell ref="D277:E277"/>
    <mergeCell ref="F277:G277"/>
    <mergeCell ref="H277:I277"/>
    <mergeCell ref="J277:K277"/>
    <mergeCell ref="L277:M277"/>
    <mergeCell ref="P277:Q277"/>
    <mergeCell ref="AX277:AZ277"/>
    <mergeCell ref="BA277:BB277"/>
    <mergeCell ref="BD277:BE277"/>
    <mergeCell ref="BF277:BI277"/>
    <mergeCell ref="BJ277:BM277"/>
    <mergeCell ref="BN277:BV277"/>
    <mergeCell ref="AN277:AO277"/>
    <mergeCell ref="AP277:AQ277"/>
    <mergeCell ref="AR277:AS277"/>
    <mergeCell ref="AT277:AU277"/>
    <mergeCell ref="AV277:AW277"/>
    <mergeCell ref="R277:S277"/>
    <mergeCell ref="T277:U277"/>
    <mergeCell ref="V277:W277"/>
    <mergeCell ref="X277:AA277"/>
    <mergeCell ref="AB277:AE277"/>
    <mergeCell ref="AF277:AG277"/>
    <mergeCell ref="AH277:AI277"/>
    <mergeCell ref="AJ277:AK277"/>
    <mergeCell ref="AL277:AM277"/>
    <mergeCell ref="V274:W274"/>
    <mergeCell ref="X274:AA274"/>
    <mergeCell ref="AB274:AE274"/>
    <mergeCell ref="AF274:AG274"/>
    <mergeCell ref="AH274:AI274"/>
    <mergeCell ref="AJ274:AK274"/>
    <mergeCell ref="AL274:AM274"/>
    <mergeCell ref="BD274:BE274"/>
    <mergeCell ref="BF274:BI274"/>
    <mergeCell ref="BJ274:BM274"/>
    <mergeCell ref="BN274:BV274"/>
    <mergeCell ref="AN274:AO274"/>
    <mergeCell ref="AP274:AQ274"/>
    <mergeCell ref="AR274:AS274"/>
    <mergeCell ref="AT274:AU274"/>
    <mergeCell ref="AV274:AW274"/>
    <mergeCell ref="AX274:AZ274"/>
    <mergeCell ref="BA274:BB274"/>
    <mergeCell ref="B274:C274"/>
    <mergeCell ref="D274:E274"/>
    <mergeCell ref="F274:G274"/>
    <mergeCell ref="H274:I274"/>
    <mergeCell ref="P274:Q274"/>
    <mergeCell ref="R274:S274"/>
    <mergeCell ref="T274:U274"/>
    <mergeCell ref="B275:C275"/>
    <mergeCell ref="D275:E275"/>
    <mergeCell ref="F275:G275"/>
    <mergeCell ref="H275:I275"/>
    <mergeCell ref="J275:K275"/>
    <mergeCell ref="L275:M275"/>
    <mergeCell ref="P275:Q275"/>
    <mergeCell ref="AX275:AZ275"/>
    <mergeCell ref="BA275:BB275"/>
    <mergeCell ref="BD275:BE275"/>
    <mergeCell ref="BF275:BI275"/>
    <mergeCell ref="BJ275:BM275"/>
    <mergeCell ref="BN275:BV275"/>
    <mergeCell ref="AN275:AO275"/>
    <mergeCell ref="AP275:AQ275"/>
    <mergeCell ref="AR275:AS275"/>
    <mergeCell ref="AT275:AU275"/>
    <mergeCell ref="AV275:AW275"/>
    <mergeCell ref="R275:S275"/>
    <mergeCell ref="T275:U275"/>
    <mergeCell ref="V275:W275"/>
    <mergeCell ref="X275:AA275"/>
    <mergeCell ref="AB275:AE275"/>
    <mergeCell ref="AF275:AG275"/>
    <mergeCell ref="AH275:AI275"/>
    <mergeCell ref="AJ275:AK275"/>
    <mergeCell ref="AL275:AM275"/>
    <mergeCell ref="V272:W272"/>
    <mergeCell ref="X272:AA272"/>
    <mergeCell ref="AB272:AE272"/>
    <mergeCell ref="AF272:AG272"/>
    <mergeCell ref="AH272:AI272"/>
    <mergeCell ref="AJ272:AK272"/>
    <mergeCell ref="AL272:AM272"/>
    <mergeCell ref="BD272:BE272"/>
    <mergeCell ref="BF272:BI272"/>
    <mergeCell ref="BJ272:BM272"/>
    <mergeCell ref="BN272:BV272"/>
    <mergeCell ref="AN272:AO272"/>
    <mergeCell ref="AP272:AQ272"/>
    <mergeCell ref="AR272:AS272"/>
    <mergeCell ref="AT272:AU272"/>
    <mergeCell ref="AV272:AW272"/>
    <mergeCell ref="AX272:AZ272"/>
    <mergeCell ref="BA272:BB272"/>
    <mergeCell ref="B272:C272"/>
    <mergeCell ref="D272:E272"/>
    <mergeCell ref="F272:G272"/>
    <mergeCell ref="H272:I272"/>
    <mergeCell ref="P272:Q272"/>
    <mergeCell ref="R272:S272"/>
    <mergeCell ref="T272:U272"/>
    <mergeCell ref="B273:C273"/>
    <mergeCell ref="D273:E273"/>
    <mergeCell ref="F273:G273"/>
    <mergeCell ref="H273:I273"/>
    <mergeCell ref="J273:K273"/>
    <mergeCell ref="L273:M273"/>
    <mergeCell ref="P273:Q273"/>
    <mergeCell ref="AX273:AZ273"/>
    <mergeCell ref="BA273:BB273"/>
    <mergeCell ref="BD273:BE273"/>
    <mergeCell ref="BF273:BI273"/>
    <mergeCell ref="BJ273:BM273"/>
    <mergeCell ref="BN273:BV273"/>
    <mergeCell ref="AN273:AO273"/>
    <mergeCell ref="AP273:AQ273"/>
    <mergeCell ref="AR273:AS273"/>
    <mergeCell ref="AT273:AU273"/>
    <mergeCell ref="AV273:AW273"/>
    <mergeCell ref="R273:S273"/>
    <mergeCell ref="T273:U273"/>
    <mergeCell ref="V273:W273"/>
    <mergeCell ref="X273:AA273"/>
    <mergeCell ref="AB273:AE273"/>
    <mergeCell ref="AF273:AG273"/>
    <mergeCell ref="AH273:AI273"/>
    <mergeCell ref="AJ273:AK273"/>
    <mergeCell ref="AL273:AM273"/>
    <mergeCell ref="V270:W270"/>
    <mergeCell ref="X270:AA270"/>
    <mergeCell ref="AB270:AE270"/>
    <mergeCell ref="AF270:AG270"/>
    <mergeCell ref="AH270:AI270"/>
    <mergeCell ref="AJ270:AK270"/>
    <mergeCell ref="AL270:AM270"/>
    <mergeCell ref="BD270:BE270"/>
    <mergeCell ref="BF270:BI270"/>
    <mergeCell ref="BJ270:BM270"/>
    <mergeCell ref="BN270:BV270"/>
    <mergeCell ref="AN270:AO270"/>
    <mergeCell ref="AP270:AQ270"/>
    <mergeCell ref="AR270:AS270"/>
    <mergeCell ref="AT270:AU270"/>
    <mergeCell ref="AV270:AW270"/>
    <mergeCell ref="AX270:AZ270"/>
    <mergeCell ref="BA270:BB270"/>
    <mergeCell ref="B270:C270"/>
    <mergeCell ref="D270:E270"/>
    <mergeCell ref="F270:G270"/>
    <mergeCell ref="H270:I270"/>
    <mergeCell ref="P270:Q270"/>
    <mergeCell ref="R270:S270"/>
    <mergeCell ref="T270:U270"/>
    <mergeCell ref="B271:C271"/>
    <mergeCell ref="D271:E271"/>
    <mergeCell ref="F271:G271"/>
    <mergeCell ref="H271:I271"/>
    <mergeCell ref="J271:K271"/>
    <mergeCell ref="L271:M271"/>
    <mergeCell ref="P271:Q271"/>
    <mergeCell ref="AX271:AZ271"/>
    <mergeCell ref="BA271:BB271"/>
    <mergeCell ref="BD271:BE271"/>
    <mergeCell ref="BF271:BI271"/>
    <mergeCell ref="BJ271:BM271"/>
    <mergeCell ref="BN271:BV271"/>
    <mergeCell ref="AN271:AO271"/>
    <mergeCell ref="AP271:AQ271"/>
    <mergeCell ref="AR271:AS271"/>
    <mergeCell ref="AT271:AU271"/>
    <mergeCell ref="AV271:AW271"/>
    <mergeCell ref="R271:S271"/>
    <mergeCell ref="T271:U271"/>
    <mergeCell ref="V271:W271"/>
    <mergeCell ref="X271:AA271"/>
    <mergeCell ref="AB271:AE271"/>
    <mergeCell ref="AF271:AG271"/>
    <mergeCell ref="AH271:AI271"/>
    <mergeCell ref="AJ271:AK271"/>
    <mergeCell ref="AL271:AM271"/>
    <mergeCell ref="V268:W268"/>
    <mergeCell ref="X268:AA268"/>
    <mergeCell ref="AB268:AE268"/>
    <mergeCell ref="AF268:AG268"/>
    <mergeCell ref="AH268:AI268"/>
    <mergeCell ref="AJ268:AK268"/>
    <mergeCell ref="AL268:AM268"/>
    <mergeCell ref="BD268:BE268"/>
    <mergeCell ref="BF268:BI268"/>
    <mergeCell ref="BJ268:BM268"/>
    <mergeCell ref="BN268:BV268"/>
    <mergeCell ref="AN268:AO268"/>
    <mergeCell ref="AP268:AQ268"/>
    <mergeCell ref="AR268:AS268"/>
    <mergeCell ref="AT268:AU268"/>
    <mergeCell ref="AV268:AW268"/>
    <mergeCell ref="AX268:AZ268"/>
    <mergeCell ref="BA268:BB268"/>
    <mergeCell ref="B268:C268"/>
    <mergeCell ref="D268:E268"/>
    <mergeCell ref="F268:G268"/>
    <mergeCell ref="H268:I268"/>
    <mergeCell ref="P268:Q268"/>
    <mergeCell ref="R268:S268"/>
    <mergeCell ref="T268:U268"/>
    <mergeCell ref="B269:C269"/>
    <mergeCell ref="D269:E269"/>
    <mergeCell ref="F269:G269"/>
    <mergeCell ref="H269:I269"/>
    <mergeCell ref="J269:K269"/>
    <mergeCell ref="L269:M269"/>
    <mergeCell ref="P269:Q269"/>
    <mergeCell ref="AX269:AZ269"/>
    <mergeCell ref="BA269:BB269"/>
    <mergeCell ref="BD269:BE269"/>
    <mergeCell ref="BF269:BI269"/>
    <mergeCell ref="BJ269:BM269"/>
    <mergeCell ref="BN269:BV269"/>
    <mergeCell ref="AN269:AO269"/>
    <mergeCell ref="AP269:AQ269"/>
    <mergeCell ref="AR269:AS269"/>
    <mergeCell ref="AT269:AU269"/>
    <mergeCell ref="AV269:AW269"/>
    <mergeCell ref="R269:S269"/>
    <mergeCell ref="T269:U269"/>
    <mergeCell ref="V269:W269"/>
    <mergeCell ref="X269:AA269"/>
    <mergeCell ref="AB269:AE269"/>
    <mergeCell ref="AF269:AG269"/>
    <mergeCell ref="AH269:AI269"/>
    <mergeCell ref="AJ269:AK269"/>
    <mergeCell ref="AL269:AM269"/>
    <mergeCell ref="V266:W266"/>
    <mergeCell ref="X266:AA266"/>
    <mergeCell ref="AB266:AE266"/>
    <mergeCell ref="AF266:AG266"/>
    <mergeCell ref="AH266:AI266"/>
    <mergeCell ref="AJ266:AK266"/>
    <mergeCell ref="AL266:AM266"/>
    <mergeCell ref="BD266:BE266"/>
    <mergeCell ref="BF266:BI266"/>
    <mergeCell ref="BJ266:BM266"/>
    <mergeCell ref="BN266:BV266"/>
    <mergeCell ref="AN266:AO266"/>
    <mergeCell ref="AP266:AQ266"/>
    <mergeCell ref="AR266:AS266"/>
    <mergeCell ref="AT266:AU266"/>
    <mergeCell ref="AV266:AW266"/>
    <mergeCell ref="AX266:AZ266"/>
    <mergeCell ref="BA266:BB266"/>
    <mergeCell ref="B266:C266"/>
    <mergeCell ref="D266:E266"/>
    <mergeCell ref="F266:G266"/>
    <mergeCell ref="H266:I266"/>
    <mergeCell ref="P266:Q266"/>
    <mergeCell ref="R266:S266"/>
    <mergeCell ref="T266:U266"/>
    <mergeCell ref="B267:C267"/>
    <mergeCell ref="D267:E267"/>
    <mergeCell ref="F267:G267"/>
    <mergeCell ref="H267:I267"/>
    <mergeCell ref="J267:K267"/>
    <mergeCell ref="L267:M267"/>
    <mergeCell ref="P267:Q267"/>
    <mergeCell ref="AX267:AZ267"/>
    <mergeCell ref="BA267:BB267"/>
    <mergeCell ref="BD267:BE267"/>
    <mergeCell ref="BF267:BI267"/>
    <mergeCell ref="BJ267:BM267"/>
    <mergeCell ref="BN267:BV267"/>
    <mergeCell ref="AN267:AO267"/>
    <mergeCell ref="AP267:AQ267"/>
    <mergeCell ref="AR267:AS267"/>
    <mergeCell ref="AT267:AU267"/>
    <mergeCell ref="AV267:AW267"/>
    <mergeCell ref="R267:S267"/>
    <mergeCell ref="T267:U267"/>
    <mergeCell ref="V267:W267"/>
    <mergeCell ref="X267:AA267"/>
    <mergeCell ref="AB267:AE267"/>
    <mergeCell ref="AF267:AG267"/>
    <mergeCell ref="AH267:AI267"/>
    <mergeCell ref="AJ267:AK267"/>
    <mergeCell ref="AL267:AM267"/>
    <mergeCell ref="V508:W508"/>
    <mergeCell ref="X508:AA508"/>
    <mergeCell ref="AB508:AE508"/>
    <mergeCell ref="AF508:AG508"/>
    <mergeCell ref="AH508:AI508"/>
    <mergeCell ref="AJ508:AK508"/>
    <mergeCell ref="AL508:AM508"/>
    <mergeCell ref="BD508:BE508"/>
    <mergeCell ref="BF508:BI508"/>
    <mergeCell ref="BJ508:BM508"/>
    <mergeCell ref="BN508:BV508"/>
    <mergeCell ref="AN508:AO508"/>
    <mergeCell ref="AP508:AQ508"/>
    <mergeCell ref="AR508:AS508"/>
    <mergeCell ref="AT508:AU508"/>
    <mergeCell ref="AV508:AW508"/>
    <mergeCell ref="AX508:AZ508"/>
    <mergeCell ref="BA508:BB508"/>
    <mergeCell ref="B508:C508"/>
    <mergeCell ref="D508:E508"/>
    <mergeCell ref="F508:G508"/>
    <mergeCell ref="H508:I508"/>
    <mergeCell ref="P508:Q508"/>
    <mergeCell ref="R508:S508"/>
    <mergeCell ref="T508:U508"/>
    <mergeCell ref="B509:C509"/>
    <mergeCell ref="D509:E509"/>
    <mergeCell ref="F509:G509"/>
    <mergeCell ref="H509:I509"/>
    <mergeCell ref="J509:K509"/>
    <mergeCell ref="L509:M509"/>
    <mergeCell ref="P509:Q509"/>
    <mergeCell ref="AX509:AZ509"/>
    <mergeCell ref="BA509:BB509"/>
    <mergeCell ref="BD509:BE509"/>
    <mergeCell ref="BF509:BI509"/>
    <mergeCell ref="BJ509:BM509"/>
    <mergeCell ref="BN509:BV509"/>
    <mergeCell ref="AN509:AO509"/>
    <mergeCell ref="AP509:AQ509"/>
    <mergeCell ref="AR509:AS509"/>
    <mergeCell ref="AT509:AU509"/>
    <mergeCell ref="AV509:AW509"/>
    <mergeCell ref="R509:S509"/>
    <mergeCell ref="T509:U509"/>
    <mergeCell ref="V509:W509"/>
    <mergeCell ref="X509:AA509"/>
    <mergeCell ref="AB509:AE509"/>
    <mergeCell ref="AF509:AG509"/>
    <mergeCell ref="AH509:AI509"/>
    <mergeCell ref="AJ509:AK509"/>
    <mergeCell ref="AL509:AM509"/>
    <mergeCell ref="R506:S506"/>
    <mergeCell ref="T506:U506"/>
    <mergeCell ref="V506:W506"/>
    <mergeCell ref="X506:AA506"/>
    <mergeCell ref="AB506:AE506"/>
    <mergeCell ref="AF506:AG506"/>
    <mergeCell ref="AH506:AI506"/>
    <mergeCell ref="AX506:AZ506"/>
    <mergeCell ref="BA506:BB506"/>
    <mergeCell ref="BD506:BE506"/>
    <mergeCell ref="BF506:BI506"/>
    <mergeCell ref="BJ506:BM506"/>
    <mergeCell ref="BN506:BV506"/>
    <mergeCell ref="BJ507:BM507"/>
    <mergeCell ref="BN507:BV507"/>
    <mergeCell ref="B506:C506"/>
    <mergeCell ref="D506:E506"/>
    <mergeCell ref="F506:G506"/>
    <mergeCell ref="H506:I506"/>
    <mergeCell ref="J506:K506"/>
    <mergeCell ref="L506:M506"/>
    <mergeCell ref="P506:Q506"/>
    <mergeCell ref="B507:C507"/>
    <mergeCell ref="D507:E507"/>
    <mergeCell ref="F507:G507"/>
    <mergeCell ref="H507:I507"/>
    <mergeCell ref="J507:K507"/>
    <mergeCell ref="L507:M507"/>
    <mergeCell ref="P507:Q507"/>
    <mergeCell ref="AJ506:AK506"/>
    <mergeCell ref="AL506:AM506"/>
    <mergeCell ref="AN506:AO506"/>
    <mergeCell ref="AP506:AQ506"/>
    <mergeCell ref="AR506:AS506"/>
    <mergeCell ref="AT506:AU506"/>
    <mergeCell ref="AV506:AW506"/>
    <mergeCell ref="R507:S507"/>
    <mergeCell ref="T507:U507"/>
    <mergeCell ref="V507:W507"/>
    <mergeCell ref="X507:AA507"/>
    <mergeCell ref="AB507:AE507"/>
    <mergeCell ref="AF507:AG507"/>
    <mergeCell ref="AH507:AI507"/>
    <mergeCell ref="AJ507:AK507"/>
    <mergeCell ref="AL507:AM507"/>
    <mergeCell ref="BD507:BE507"/>
    <mergeCell ref="BF507:BI507"/>
    <mergeCell ref="AN507:AO507"/>
    <mergeCell ref="AP507:AQ507"/>
    <mergeCell ref="AR507:AS507"/>
    <mergeCell ref="AT507:AU507"/>
    <mergeCell ref="AV507:AW507"/>
    <mergeCell ref="AX507:AZ507"/>
    <mergeCell ref="BA507:BB507"/>
    <mergeCell ref="BJ499:BM499"/>
    <mergeCell ref="BN499:BV499"/>
    <mergeCell ref="BJ500:BM500"/>
    <mergeCell ref="BN500:BV500"/>
    <mergeCell ref="B499:C499"/>
    <mergeCell ref="D499:E499"/>
    <mergeCell ref="F499:G499"/>
    <mergeCell ref="H499:I499"/>
    <mergeCell ref="J499:K499"/>
    <mergeCell ref="L499:M499"/>
    <mergeCell ref="P499:Q499"/>
    <mergeCell ref="B500:C500"/>
    <mergeCell ref="D500:E500"/>
    <mergeCell ref="F500:G500"/>
    <mergeCell ref="H500:I500"/>
    <mergeCell ref="J500:K500"/>
    <mergeCell ref="L500:M500"/>
    <mergeCell ref="P500:Q500"/>
    <mergeCell ref="AJ499:AK499"/>
    <mergeCell ref="AL499:AM499"/>
    <mergeCell ref="AN499:AO499"/>
    <mergeCell ref="AP499:AQ499"/>
    <mergeCell ref="AR499:AS499"/>
    <mergeCell ref="AT499:AU499"/>
    <mergeCell ref="AV499:AW499"/>
    <mergeCell ref="AJ505:AK505"/>
    <mergeCell ref="AL505:AM505"/>
    <mergeCell ref="R505:S505"/>
    <mergeCell ref="T505:U505"/>
    <mergeCell ref="V505:W505"/>
    <mergeCell ref="X505:AA505"/>
    <mergeCell ref="AB505:AE505"/>
    <mergeCell ref="AF505:AG505"/>
    <mergeCell ref="AH505:AI505"/>
    <mergeCell ref="BJ501:BM501"/>
    <mergeCell ref="BN501:BV501"/>
    <mergeCell ref="B502:C502"/>
    <mergeCell ref="D502:E502"/>
    <mergeCell ref="F502:G502"/>
    <mergeCell ref="H502:I502"/>
    <mergeCell ref="J502:K502"/>
    <mergeCell ref="L502:M502"/>
    <mergeCell ref="P502:Q502"/>
    <mergeCell ref="R504:S504"/>
    <mergeCell ref="T504:U504"/>
    <mergeCell ref="V504:W504"/>
    <mergeCell ref="X504:AA504"/>
    <mergeCell ref="AB504:AE504"/>
    <mergeCell ref="AF504:AG504"/>
    <mergeCell ref="AH504:AI504"/>
    <mergeCell ref="B504:C504"/>
    <mergeCell ref="D504:E504"/>
    <mergeCell ref="F504:G504"/>
    <mergeCell ref="H504:I504"/>
    <mergeCell ref="J504:K504"/>
    <mergeCell ref="L504:M504"/>
    <mergeCell ref="P504:Q504"/>
    <mergeCell ref="BD505:BE505"/>
    <mergeCell ref="BF505:BI505"/>
    <mergeCell ref="AN505:AO505"/>
    <mergeCell ref="AP505:AQ505"/>
    <mergeCell ref="AR505:AS505"/>
    <mergeCell ref="AT505:AU505"/>
    <mergeCell ref="AV505:AW505"/>
    <mergeCell ref="P497:Q497"/>
    <mergeCell ref="B498:C498"/>
    <mergeCell ref="D498:E498"/>
    <mergeCell ref="F498:G498"/>
    <mergeCell ref="H498:I498"/>
    <mergeCell ref="J498:K498"/>
    <mergeCell ref="L498:M498"/>
    <mergeCell ref="P498:Q498"/>
    <mergeCell ref="AJ497:AK497"/>
    <mergeCell ref="AL497:AM497"/>
    <mergeCell ref="AN497:AO497"/>
    <mergeCell ref="AP497:AQ497"/>
    <mergeCell ref="AR497:AS497"/>
    <mergeCell ref="AT497:AU497"/>
    <mergeCell ref="AV497:AW497"/>
    <mergeCell ref="BD500:BE500"/>
    <mergeCell ref="BF500:BI500"/>
    <mergeCell ref="AN500:AO500"/>
    <mergeCell ref="AP500:AQ500"/>
    <mergeCell ref="AR500:AS500"/>
    <mergeCell ref="AT500:AU500"/>
    <mergeCell ref="AV500:AW500"/>
    <mergeCell ref="AX500:AZ500"/>
    <mergeCell ref="BA500:BB500"/>
    <mergeCell ref="AJ498:AK498"/>
    <mergeCell ref="AL498:AM498"/>
    <mergeCell ref="R498:S498"/>
    <mergeCell ref="T498:U498"/>
    <mergeCell ref="V498:W498"/>
    <mergeCell ref="X498:AA498"/>
    <mergeCell ref="AB498:AE498"/>
    <mergeCell ref="AF498:AG498"/>
    <mergeCell ref="AH498:AI498"/>
    <mergeCell ref="R499:S499"/>
    <mergeCell ref="T499:U499"/>
    <mergeCell ref="V499:W499"/>
    <mergeCell ref="X499:AA499"/>
    <mergeCell ref="AB499:AE499"/>
    <mergeCell ref="AF499:AG499"/>
    <mergeCell ref="AH499:AI499"/>
    <mergeCell ref="AX499:AZ499"/>
    <mergeCell ref="BA499:BB499"/>
    <mergeCell ref="BD499:BE499"/>
    <mergeCell ref="BF499:BI499"/>
    <mergeCell ref="BJ495:BM495"/>
    <mergeCell ref="BN495:BV495"/>
    <mergeCell ref="BJ496:BM496"/>
    <mergeCell ref="BN496:BV496"/>
    <mergeCell ref="B495:C495"/>
    <mergeCell ref="D495:E495"/>
    <mergeCell ref="F495:G495"/>
    <mergeCell ref="H495:I495"/>
    <mergeCell ref="J495:K495"/>
    <mergeCell ref="L495:M495"/>
    <mergeCell ref="P495:Q495"/>
    <mergeCell ref="B496:C496"/>
    <mergeCell ref="D496:E496"/>
    <mergeCell ref="F496:G496"/>
    <mergeCell ref="H496:I496"/>
    <mergeCell ref="J496:K496"/>
    <mergeCell ref="L496:M496"/>
    <mergeCell ref="P496:Q496"/>
    <mergeCell ref="AJ495:AK495"/>
    <mergeCell ref="AL495:AM495"/>
    <mergeCell ref="AN495:AO495"/>
    <mergeCell ref="AP495:AQ495"/>
    <mergeCell ref="AR495:AS495"/>
    <mergeCell ref="AT495:AU495"/>
    <mergeCell ref="AV495:AW495"/>
    <mergeCell ref="BD498:BE498"/>
    <mergeCell ref="BF498:BI498"/>
    <mergeCell ref="AN498:AO498"/>
    <mergeCell ref="AP498:AQ498"/>
    <mergeCell ref="AR498:AS498"/>
    <mergeCell ref="AT498:AU498"/>
    <mergeCell ref="AV498:AW498"/>
    <mergeCell ref="AX498:AZ498"/>
    <mergeCell ref="BA498:BB498"/>
    <mergeCell ref="AJ496:AK496"/>
    <mergeCell ref="AL496:AM496"/>
    <mergeCell ref="R496:S496"/>
    <mergeCell ref="T496:U496"/>
    <mergeCell ref="V496:W496"/>
    <mergeCell ref="X496:AA496"/>
    <mergeCell ref="AB496:AE496"/>
    <mergeCell ref="AF496:AG496"/>
    <mergeCell ref="AH496:AI496"/>
    <mergeCell ref="R497:S497"/>
    <mergeCell ref="T497:U497"/>
    <mergeCell ref="V497:W497"/>
    <mergeCell ref="X497:AA497"/>
    <mergeCell ref="AB497:AE497"/>
    <mergeCell ref="AF497:AG497"/>
    <mergeCell ref="AH497:AI497"/>
    <mergeCell ref="AX497:AZ497"/>
    <mergeCell ref="BA497:BB497"/>
    <mergeCell ref="BD497:BE497"/>
    <mergeCell ref="BF497:BI497"/>
    <mergeCell ref="BJ497:BM497"/>
    <mergeCell ref="BN497:BV497"/>
    <mergeCell ref="BJ498:BM498"/>
    <mergeCell ref="BN498:BV498"/>
    <mergeCell ref="B497:C497"/>
    <mergeCell ref="D497:E497"/>
    <mergeCell ref="F497:G497"/>
    <mergeCell ref="H497:I497"/>
    <mergeCell ref="J497:K497"/>
    <mergeCell ref="L497:M497"/>
    <mergeCell ref="F494:G494"/>
    <mergeCell ref="H494:I494"/>
    <mergeCell ref="J494:K494"/>
    <mergeCell ref="L494:M494"/>
    <mergeCell ref="P494:Q494"/>
    <mergeCell ref="AJ493:AK493"/>
    <mergeCell ref="AL493:AM493"/>
    <mergeCell ref="AN493:AO493"/>
    <mergeCell ref="AP493:AQ493"/>
    <mergeCell ref="AR493:AS493"/>
    <mergeCell ref="AT493:AU493"/>
    <mergeCell ref="AV493:AW493"/>
    <mergeCell ref="BD496:BE496"/>
    <mergeCell ref="BF496:BI496"/>
    <mergeCell ref="AN496:AO496"/>
    <mergeCell ref="AP496:AQ496"/>
    <mergeCell ref="AR496:AS496"/>
    <mergeCell ref="AT496:AU496"/>
    <mergeCell ref="AV496:AW496"/>
    <mergeCell ref="AX496:AZ496"/>
    <mergeCell ref="BA496:BB496"/>
    <mergeCell ref="AJ494:AK494"/>
    <mergeCell ref="AL494:AM494"/>
    <mergeCell ref="R494:S494"/>
    <mergeCell ref="T494:U494"/>
    <mergeCell ref="V494:W494"/>
    <mergeCell ref="X494:AA494"/>
    <mergeCell ref="AB494:AE494"/>
    <mergeCell ref="AF494:AG494"/>
    <mergeCell ref="AH494:AI494"/>
    <mergeCell ref="R495:S495"/>
    <mergeCell ref="T495:U495"/>
    <mergeCell ref="V495:W495"/>
    <mergeCell ref="X495:AA495"/>
    <mergeCell ref="AB495:AE495"/>
    <mergeCell ref="AF495:AG495"/>
    <mergeCell ref="AH495:AI495"/>
    <mergeCell ref="AX495:AZ495"/>
    <mergeCell ref="BA495:BB495"/>
    <mergeCell ref="BD495:BE495"/>
    <mergeCell ref="BF495:BI495"/>
    <mergeCell ref="BD494:BE494"/>
    <mergeCell ref="BF494:BI494"/>
    <mergeCell ref="AN494:AO494"/>
    <mergeCell ref="AP494:AQ494"/>
    <mergeCell ref="AR494:AS494"/>
    <mergeCell ref="AT494:AU494"/>
    <mergeCell ref="AV494:AW494"/>
    <mergeCell ref="AX494:AZ494"/>
    <mergeCell ref="BA494:BB494"/>
    <mergeCell ref="R493:S493"/>
    <mergeCell ref="T493:U493"/>
    <mergeCell ref="V493:W493"/>
    <mergeCell ref="X493:AA493"/>
    <mergeCell ref="AB493:AE493"/>
    <mergeCell ref="AF493:AG493"/>
    <mergeCell ref="AH493:AI493"/>
    <mergeCell ref="AX493:AZ493"/>
    <mergeCell ref="BA493:BB493"/>
    <mergeCell ref="BD493:BE493"/>
    <mergeCell ref="BF493:BI493"/>
    <mergeCell ref="BJ493:BM493"/>
    <mergeCell ref="BN493:BV493"/>
    <mergeCell ref="BJ494:BM494"/>
    <mergeCell ref="BN494:BV494"/>
    <mergeCell ref="B489:C489"/>
    <mergeCell ref="D489:E489"/>
    <mergeCell ref="F489:G489"/>
    <mergeCell ref="H489:I489"/>
    <mergeCell ref="J489:K489"/>
    <mergeCell ref="L489:M489"/>
    <mergeCell ref="P489:Q489"/>
    <mergeCell ref="B490:C490"/>
    <mergeCell ref="D490:E490"/>
    <mergeCell ref="F490:G490"/>
    <mergeCell ref="H490:I490"/>
    <mergeCell ref="J490:K490"/>
    <mergeCell ref="L490:M490"/>
    <mergeCell ref="P490:Q490"/>
    <mergeCell ref="AJ489:AK489"/>
    <mergeCell ref="AL489:AM489"/>
    <mergeCell ref="AN489:AO489"/>
    <mergeCell ref="AP489:AQ489"/>
    <mergeCell ref="AR489:AS489"/>
    <mergeCell ref="AT489:AU489"/>
    <mergeCell ref="AV489:AW489"/>
    <mergeCell ref="BD492:BE492"/>
    <mergeCell ref="BF492:BI492"/>
    <mergeCell ref="AN492:AO492"/>
    <mergeCell ref="AP492:AQ492"/>
    <mergeCell ref="AR492:AS492"/>
    <mergeCell ref="AT492:AU492"/>
    <mergeCell ref="AV492:AW492"/>
    <mergeCell ref="AX492:AZ492"/>
    <mergeCell ref="BA492:BB492"/>
    <mergeCell ref="AJ490:AK490"/>
    <mergeCell ref="AL490:AM490"/>
    <mergeCell ref="R490:S490"/>
    <mergeCell ref="T490:U490"/>
    <mergeCell ref="V490:W490"/>
    <mergeCell ref="X490:AA490"/>
    <mergeCell ref="AB490:AE490"/>
    <mergeCell ref="AF490:AG490"/>
    <mergeCell ref="AH490:AI490"/>
    <mergeCell ref="R491:S491"/>
    <mergeCell ref="B493:C493"/>
    <mergeCell ref="D493:E493"/>
    <mergeCell ref="F493:G493"/>
    <mergeCell ref="H493:I493"/>
    <mergeCell ref="J493:K493"/>
    <mergeCell ref="L493:M493"/>
    <mergeCell ref="P493:Q493"/>
    <mergeCell ref="B494:C494"/>
    <mergeCell ref="D494:E494"/>
    <mergeCell ref="BF491:BI491"/>
    <mergeCell ref="B491:C491"/>
    <mergeCell ref="D491:E491"/>
    <mergeCell ref="F491:G491"/>
    <mergeCell ref="H491:I491"/>
    <mergeCell ref="J491:K491"/>
    <mergeCell ref="L491:M491"/>
    <mergeCell ref="P491:Q491"/>
    <mergeCell ref="B492:C492"/>
    <mergeCell ref="D492:E492"/>
    <mergeCell ref="F492:G492"/>
    <mergeCell ref="H492:I492"/>
    <mergeCell ref="J492:K492"/>
    <mergeCell ref="L492:M492"/>
    <mergeCell ref="P492:Q492"/>
    <mergeCell ref="BD484:BE484"/>
    <mergeCell ref="BF484:BI484"/>
    <mergeCell ref="AN484:AO484"/>
    <mergeCell ref="AP484:AQ484"/>
    <mergeCell ref="AR484:AS484"/>
    <mergeCell ref="AT484:AU484"/>
    <mergeCell ref="AV484:AW484"/>
    <mergeCell ref="AX484:AZ484"/>
    <mergeCell ref="BA484:BB484"/>
    <mergeCell ref="BD486:BE486"/>
    <mergeCell ref="BF486:BI486"/>
    <mergeCell ref="AN486:AO486"/>
    <mergeCell ref="AP486:AQ486"/>
    <mergeCell ref="AR486:AS486"/>
    <mergeCell ref="AT486:AU486"/>
    <mergeCell ref="AV486:AW486"/>
    <mergeCell ref="AX486:AZ486"/>
    <mergeCell ref="BA486:BB486"/>
    <mergeCell ref="R485:S485"/>
    <mergeCell ref="T485:U485"/>
    <mergeCell ref="V485:W485"/>
    <mergeCell ref="X485:AA485"/>
    <mergeCell ref="AB485:AE485"/>
    <mergeCell ref="AF485:AG485"/>
    <mergeCell ref="AH485:AI485"/>
    <mergeCell ref="AX485:AZ485"/>
    <mergeCell ref="BA485:BB485"/>
    <mergeCell ref="BD485:BE485"/>
    <mergeCell ref="BF485:BI485"/>
    <mergeCell ref="AJ492:AK492"/>
    <mergeCell ref="AL492:AM492"/>
    <mergeCell ref="R492:S492"/>
    <mergeCell ref="T492:U492"/>
    <mergeCell ref="V492:W492"/>
    <mergeCell ref="X492:AA492"/>
    <mergeCell ref="AB492:AE492"/>
    <mergeCell ref="AF492:AG492"/>
    <mergeCell ref="AH492:AI492"/>
    <mergeCell ref="AJ502:AK502"/>
    <mergeCell ref="AL502:AM502"/>
    <mergeCell ref="BJ502:BM502"/>
    <mergeCell ref="BN502:BV502"/>
    <mergeCell ref="R502:S502"/>
    <mergeCell ref="T502:U502"/>
    <mergeCell ref="V502:W502"/>
    <mergeCell ref="X502:AA502"/>
    <mergeCell ref="AB502:AE502"/>
    <mergeCell ref="AF502:AG502"/>
    <mergeCell ref="AH502:AI502"/>
    <mergeCell ref="BD490:BE490"/>
    <mergeCell ref="BF490:BI490"/>
    <mergeCell ref="AN490:AO490"/>
    <mergeCell ref="AP490:AQ490"/>
    <mergeCell ref="AR490:AS490"/>
    <mergeCell ref="AT490:AU490"/>
    <mergeCell ref="AV490:AW490"/>
    <mergeCell ref="AX490:AZ490"/>
    <mergeCell ref="BA490:BB490"/>
    <mergeCell ref="AJ488:AK488"/>
    <mergeCell ref="AL488:AM488"/>
    <mergeCell ref="R488:S488"/>
    <mergeCell ref="T488:U488"/>
    <mergeCell ref="V488:W488"/>
    <mergeCell ref="X488:AA488"/>
    <mergeCell ref="AB488:AE488"/>
    <mergeCell ref="AF488:AG488"/>
    <mergeCell ref="AH488:AI488"/>
    <mergeCell ref="R489:S489"/>
    <mergeCell ref="T489:U489"/>
    <mergeCell ref="V489:W489"/>
    <mergeCell ref="X489:AA489"/>
    <mergeCell ref="AB489:AE489"/>
    <mergeCell ref="AF489:AG489"/>
    <mergeCell ref="AH489:AI489"/>
    <mergeCell ref="AX489:AZ489"/>
    <mergeCell ref="BA489:BB489"/>
    <mergeCell ref="BD489:BE489"/>
    <mergeCell ref="BF489:BI489"/>
    <mergeCell ref="BJ489:BM489"/>
    <mergeCell ref="BN489:BV489"/>
    <mergeCell ref="BJ490:BM490"/>
    <mergeCell ref="BN490:BV490"/>
    <mergeCell ref="BJ491:BM491"/>
    <mergeCell ref="BN491:BV491"/>
    <mergeCell ref="BJ492:BM492"/>
    <mergeCell ref="BN492:BV492"/>
    <mergeCell ref="AJ491:AK491"/>
    <mergeCell ref="AL491:AM491"/>
    <mergeCell ref="AN491:AO491"/>
    <mergeCell ref="AP491:AQ491"/>
    <mergeCell ref="AR491:AS491"/>
    <mergeCell ref="AT491:AU491"/>
    <mergeCell ref="AV491:AW491"/>
    <mergeCell ref="T491:U491"/>
    <mergeCell ref="V491:W491"/>
    <mergeCell ref="X491:AA491"/>
    <mergeCell ref="AB491:AE491"/>
    <mergeCell ref="AF491:AG491"/>
    <mergeCell ref="AH491:AI491"/>
    <mergeCell ref="AX491:AZ491"/>
    <mergeCell ref="BA491:BB491"/>
    <mergeCell ref="BD491:BE491"/>
    <mergeCell ref="BJ480:BM480"/>
    <mergeCell ref="BN480:BV480"/>
    <mergeCell ref="AJ480:AK480"/>
    <mergeCell ref="AL480:AM480"/>
    <mergeCell ref="AN480:AO480"/>
    <mergeCell ref="AP480:AQ480"/>
    <mergeCell ref="AR480:AS480"/>
    <mergeCell ref="AT480:AU480"/>
    <mergeCell ref="AV480:AW480"/>
    <mergeCell ref="B480:C480"/>
    <mergeCell ref="D480:E480"/>
    <mergeCell ref="F480:G480"/>
    <mergeCell ref="H480:I480"/>
    <mergeCell ref="J480:K480"/>
    <mergeCell ref="L480:M480"/>
    <mergeCell ref="P480:Q480"/>
    <mergeCell ref="AX481:AZ481"/>
    <mergeCell ref="BA481:BB481"/>
    <mergeCell ref="BD481:BE481"/>
    <mergeCell ref="BF481:BI481"/>
    <mergeCell ref="BJ481:BM481"/>
    <mergeCell ref="BN481:BV481"/>
    <mergeCell ref="BJ482:BM482"/>
    <mergeCell ref="BN482:BV482"/>
    <mergeCell ref="B482:C482"/>
    <mergeCell ref="D482:E482"/>
    <mergeCell ref="F482:G482"/>
    <mergeCell ref="H482:I482"/>
    <mergeCell ref="J482:K482"/>
    <mergeCell ref="L482:M482"/>
    <mergeCell ref="P482:Q482"/>
    <mergeCell ref="AJ481:AK481"/>
    <mergeCell ref="AL481:AM481"/>
    <mergeCell ref="AN481:AO481"/>
    <mergeCell ref="AP481:AQ481"/>
    <mergeCell ref="AR481:AS481"/>
    <mergeCell ref="AT481:AU481"/>
    <mergeCell ref="AV481:AW481"/>
    <mergeCell ref="R481:S481"/>
    <mergeCell ref="T481:U481"/>
    <mergeCell ref="V481:W481"/>
    <mergeCell ref="X481:AA481"/>
    <mergeCell ref="AB481:AE481"/>
    <mergeCell ref="AF481:AG481"/>
    <mergeCell ref="AH481:AI481"/>
    <mergeCell ref="B481:C481"/>
    <mergeCell ref="D481:E481"/>
    <mergeCell ref="F481:G481"/>
    <mergeCell ref="H481:I481"/>
    <mergeCell ref="J481:K481"/>
    <mergeCell ref="L481:M481"/>
    <mergeCell ref="P481:Q481"/>
    <mergeCell ref="BD482:BE482"/>
    <mergeCell ref="BF482:BI482"/>
    <mergeCell ref="AN482:AO482"/>
    <mergeCell ref="AP482:AQ482"/>
    <mergeCell ref="AR482:AS482"/>
    <mergeCell ref="AT482:AU482"/>
    <mergeCell ref="AV482:AW482"/>
    <mergeCell ref="AX482:AZ482"/>
    <mergeCell ref="BA482:BB482"/>
    <mergeCell ref="R480:S480"/>
    <mergeCell ref="T480:U480"/>
    <mergeCell ref="V480:W480"/>
    <mergeCell ref="X480:AA480"/>
    <mergeCell ref="AB480:AE480"/>
    <mergeCell ref="AF480:AG480"/>
    <mergeCell ref="AH480:AI480"/>
    <mergeCell ref="AX480:AZ480"/>
    <mergeCell ref="BA480:BB480"/>
    <mergeCell ref="BD480:BE480"/>
    <mergeCell ref="BF480:BI480"/>
    <mergeCell ref="BD479:BE479"/>
    <mergeCell ref="BF479:BI479"/>
    <mergeCell ref="AN479:AO479"/>
    <mergeCell ref="AP479:AQ479"/>
    <mergeCell ref="AR479:AS479"/>
    <mergeCell ref="AT479:AU479"/>
    <mergeCell ref="AV479:AW479"/>
    <mergeCell ref="AX479:AZ479"/>
    <mergeCell ref="BA479:BB479"/>
    <mergeCell ref="AJ477:AK477"/>
    <mergeCell ref="AL477:AM477"/>
    <mergeCell ref="R477:S477"/>
    <mergeCell ref="T477:U477"/>
    <mergeCell ref="V477:W477"/>
    <mergeCell ref="X477:AA477"/>
    <mergeCell ref="AB477:AE477"/>
    <mergeCell ref="AF477:AG477"/>
    <mergeCell ref="AH477:AI477"/>
    <mergeCell ref="R478:S478"/>
    <mergeCell ref="T478:U478"/>
    <mergeCell ref="V478:W478"/>
    <mergeCell ref="X478:AA478"/>
    <mergeCell ref="AB478:AE478"/>
    <mergeCell ref="AF478:AG478"/>
    <mergeCell ref="AH478:AI478"/>
    <mergeCell ref="AX478:AZ478"/>
    <mergeCell ref="BA478:BB478"/>
    <mergeCell ref="BD478:BE478"/>
    <mergeCell ref="BF478:BI478"/>
    <mergeCell ref="T479:U479"/>
    <mergeCell ref="V479:W479"/>
    <mergeCell ref="X479:AA479"/>
    <mergeCell ref="AB479:AE479"/>
    <mergeCell ref="AF479:AG479"/>
    <mergeCell ref="AH479:AI479"/>
    <mergeCell ref="BJ478:BM478"/>
    <mergeCell ref="BN478:BV478"/>
    <mergeCell ref="B478:C478"/>
    <mergeCell ref="D478:E478"/>
    <mergeCell ref="F478:G478"/>
    <mergeCell ref="H478:I478"/>
    <mergeCell ref="J478:K478"/>
    <mergeCell ref="L478:M478"/>
    <mergeCell ref="P478:Q478"/>
    <mergeCell ref="AJ478:AK478"/>
    <mergeCell ref="AL478:AM478"/>
    <mergeCell ref="AN478:AO478"/>
    <mergeCell ref="AP478:AQ478"/>
    <mergeCell ref="AR478:AS478"/>
    <mergeCell ref="AT478:AU478"/>
    <mergeCell ref="AV478:AW478"/>
    <mergeCell ref="B479:C479"/>
    <mergeCell ref="D479:E479"/>
    <mergeCell ref="F479:G479"/>
    <mergeCell ref="H479:I479"/>
    <mergeCell ref="J479:K479"/>
    <mergeCell ref="L479:M479"/>
    <mergeCell ref="P479:Q479"/>
    <mergeCell ref="BD483:BE483"/>
    <mergeCell ref="BF483:BI483"/>
    <mergeCell ref="BJ483:BM483"/>
    <mergeCell ref="BN483:BV483"/>
    <mergeCell ref="BJ484:BM484"/>
    <mergeCell ref="BN484:BV484"/>
    <mergeCell ref="B483:C483"/>
    <mergeCell ref="D483:E483"/>
    <mergeCell ref="F483:G483"/>
    <mergeCell ref="H483:I483"/>
    <mergeCell ref="J483:K483"/>
    <mergeCell ref="L483:M483"/>
    <mergeCell ref="P483:Q483"/>
    <mergeCell ref="B484:C484"/>
    <mergeCell ref="D484:E484"/>
    <mergeCell ref="F484:G484"/>
    <mergeCell ref="H484:I484"/>
    <mergeCell ref="J484:K484"/>
    <mergeCell ref="L484:M484"/>
    <mergeCell ref="P484:Q484"/>
    <mergeCell ref="AJ483:AK483"/>
    <mergeCell ref="AL483:AM483"/>
    <mergeCell ref="AN483:AO483"/>
    <mergeCell ref="AP483:AQ483"/>
    <mergeCell ref="AR483:AS483"/>
    <mergeCell ref="AT483:AU483"/>
    <mergeCell ref="AV483:AW483"/>
    <mergeCell ref="AJ484:AK484"/>
    <mergeCell ref="AL484:AM484"/>
    <mergeCell ref="R484:S484"/>
    <mergeCell ref="T484:U484"/>
    <mergeCell ref="V484:W484"/>
    <mergeCell ref="X484:AA484"/>
    <mergeCell ref="AB484:AE484"/>
    <mergeCell ref="AF484:AG484"/>
    <mergeCell ref="AH484:AI484"/>
    <mergeCell ref="AJ479:AK479"/>
    <mergeCell ref="AL479:AM479"/>
    <mergeCell ref="BJ479:BM479"/>
    <mergeCell ref="BN479:BV479"/>
    <mergeCell ref="R479:S479"/>
    <mergeCell ref="BJ485:BM485"/>
    <mergeCell ref="BN485:BV485"/>
    <mergeCell ref="BJ486:BM486"/>
    <mergeCell ref="BN486:BV486"/>
    <mergeCell ref="B485:C485"/>
    <mergeCell ref="D485:E485"/>
    <mergeCell ref="F485:G485"/>
    <mergeCell ref="H485:I485"/>
    <mergeCell ref="P487:Q487"/>
    <mergeCell ref="B488:C488"/>
    <mergeCell ref="D488:E488"/>
    <mergeCell ref="F488:G488"/>
    <mergeCell ref="H488:I488"/>
    <mergeCell ref="J488:K488"/>
    <mergeCell ref="L488:M488"/>
    <mergeCell ref="P488:Q488"/>
    <mergeCell ref="AJ487:AK487"/>
    <mergeCell ref="AL487:AM487"/>
    <mergeCell ref="AN487:AO487"/>
    <mergeCell ref="AP487:AQ487"/>
    <mergeCell ref="AR487:AS487"/>
    <mergeCell ref="AT487:AU487"/>
    <mergeCell ref="AV487:AW487"/>
    <mergeCell ref="AJ482:AK482"/>
    <mergeCell ref="AL482:AM482"/>
    <mergeCell ref="R482:S482"/>
    <mergeCell ref="T482:U482"/>
    <mergeCell ref="V482:W482"/>
    <mergeCell ref="X482:AA482"/>
    <mergeCell ref="AB482:AE482"/>
    <mergeCell ref="AF482:AG482"/>
    <mergeCell ref="AH482:AI482"/>
    <mergeCell ref="R483:S483"/>
    <mergeCell ref="T483:U483"/>
    <mergeCell ref="V483:W483"/>
    <mergeCell ref="X483:AA483"/>
    <mergeCell ref="AB483:AE483"/>
    <mergeCell ref="AF483:AG483"/>
    <mergeCell ref="AH483:AI483"/>
    <mergeCell ref="AX483:AZ483"/>
    <mergeCell ref="BA483:BB483"/>
    <mergeCell ref="J485:K485"/>
    <mergeCell ref="L485:M485"/>
    <mergeCell ref="P485:Q485"/>
    <mergeCell ref="B486:C486"/>
    <mergeCell ref="D486:E486"/>
    <mergeCell ref="F486:G486"/>
    <mergeCell ref="H486:I486"/>
    <mergeCell ref="J486:K486"/>
    <mergeCell ref="L486:M486"/>
    <mergeCell ref="P486:Q486"/>
    <mergeCell ref="AJ485:AK485"/>
    <mergeCell ref="AL485:AM485"/>
    <mergeCell ref="AN485:AO485"/>
    <mergeCell ref="AP485:AQ485"/>
    <mergeCell ref="AR485:AS485"/>
    <mergeCell ref="AT485:AU485"/>
    <mergeCell ref="AV485:AW485"/>
    <mergeCell ref="BJ476:BM476"/>
    <mergeCell ref="BN476:BV476"/>
    <mergeCell ref="BJ477:BM477"/>
    <mergeCell ref="BN477:BV477"/>
    <mergeCell ref="B476:C476"/>
    <mergeCell ref="D476:E476"/>
    <mergeCell ref="F476:G476"/>
    <mergeCell ref="H476:I476"/>
    <mergeCell ref="J476:K476"/>
    <mergeCell ref="L476:M476"/>
    <mergeCell ref="P476:Q476"/>
    <mergeCell ref="B477:C477"/>
    <mergeCell ref="D477:E477"/>
    <mergeCell ref="F477:G477"/>
    <mergeCell ref="H477:I477"/>
    <mergeCell ref="J477:K477"/>
    <mergeCell ref="L477:M477"/>
    <mergeCell ref="P477:Q477"/>
    <mergeCell ref="AJ476:AK476"/>
    <mergeCell ref="AL476:AM476"/>
    <mergeCell ref="AN476:AO476"/>
    <mergeCell ref="AP476:AQ476"/>
    <mergeCell ref="AR476:AS476"/>
    <mergeCell ref="AT476:AU476"/>
    <mergeCell ref="AV476:AW476"/>
    <mergeCell ref="BD488:BE488"/>
    <mergeCell ref="BF488:BI488"/>
    <mergeCell ref="AN488:AO488"/>
    <mergeCell ref="AP488:AQ488"/>
    <mergeCell ref="AR488:AS488"/>
    <mergeCell ref="AT488:AU488"/>
    <mergeCell ref="AV488:AW488"/>
    <mergeCell ref="AX488:AZ488"/>
    <mergeCell ref="BA488:BB488"/>
    <mergeCell ref="AJ486:AK486"/>
    <mergeCell ref="AL486:AM486"/>
    <mergeCell ref="R486:S486"/>
    <mergeCell ref="T486:U486"/>
    <mergeCell ref="V486:W486"/>
    <mergeCell ref="X486:AA486"/>
    <mergeCell ref="AB486:AE486"/>
    <mergeCell ref="AF486:AG486"/>
    <mergeCell ref="AH486:AI486"/>
    <mergeCell ref="R487:S487"/>
    <mergeCell ref="T487:U487"/>
    <mergeCell ref="V487:W487"/>
    <mergeCell ref="X487:AA487"/>
    <mergeCell ref="AB487:AE487"/>
    <mergeCell ref="AF487:AG487"/>
    <mergeCell ref="AH487:AI487"/>
    <mergeCell ref="AX487:AZ487"/>
    <mergeCell ref="BA487:BB487"/>
    <mergeCell ref="BD487:BE487"/>
    <mergeCell ref="BF487:BI487"/>
    <mergeCell ref="BJ487:BM487"/>
    <mergeCell ref="BN487:BV487"/>
    <mergeCell ref="BJ488:BM488"/>
    <mergeCell ref="BN488:BV488"/>
    <mergeCell ref="B487:C487"/>
    <mergeCell ref="D487:E487"/>
    <mergeCell ref="F487:G487"/>
    <mergeCell ref="H487:I487"/>
    <mergeCell ref="J487:K487"/>
    <mergeCell ref="L487:M487"/>
    <mergeCell ref="P474:Q474"/>
    <mergeCell ref="B475:C475"/>
    <mergeCell ref="D475:E475"/>
    <mergeCell ref="F475:G475"/>
    <mergeCell ref="H475:I475"/>
    <mergeCell ref="J475:K475"/>
    <mergeCell ref="L475:M475"/>
    <mergeCell ref="P475:Q475"/>
    <mergeCell ref="AJ474:AK474"/>
    <mergeCell ref="AL474:AM474"/>
    <mergeCell ref="AN474:AO474"/>
    <mergeCell ref="AP474:AQ474"/>
    <mergeCell ref="AR474:AS474"/>
    <mergeCell ref="AT474:AU474"/>
    <mergeCell ref="AV474:AW474"/>
    <mergeCell ref="BD477:BE477"/>
    <mergeCell ref="BF477:BI477"/>
    <mergeCell ref="AN477:AO477"/>
    <mergeCell ref="AP477:AQ477"/>
    <mergeCell ref="AR477:AS477"/>
    <mergeCell ref="AT477:AU477"/>
    <mergeCell ref="AV477:AW477"/>
    <mergeCell ref="AX477:AZ477"/>
    <mergeCell ref="BA477:BB477"/>
    <mergeCell ref="AJ475:AK475"/>
    <mergeCell ref="AL475:AM475"/>
    <mergeCell ref="R475:S475"/>
    <mergeCell ref="T475:U475"/>
    <mergeCell ref="V475:W475"/>
    <mergeCell ref="X475:AA475"/>
    <mergeCell ref="AB475:AE475"/>
    <mergeCell ref="AF475:AG475"/>
    <mergeCell ref="AH475:AI475"/>
    <mergeCell ref="R476:S476"/>
    <mergeCell ref="T476:U476"/>
    <mergeCell ref="V476:W476"/>
    <mergeCell ref="X476:AA476"/>
    <mergeCell ref="AB476:AE476"/>
    <mergeCell ref="AF476:AG476"/>
    <mergeCell ref="AH476:AI476"/>
    <mergeCell ref="AX476:AZ476"/>
    <mergeCell ref="BA476:BB476"/>
    <mergeCell ref="BD476:BE476"/>
    <mergeCell ref="BF476:BI476"/>
    <mergeCell ref="BJ472:BM472"/>
    <mergeCell ref="BN472:BV472"/>
    <mergeCell ref="BJ473:BM473"/>
    <mergeCell ref="BN473:BV473"/>
    <mergeCell ref="B472:C472"/>
    <mergeCell ref="D472:E472"/>
    <mergeCell ref="F472:G472"/>
    <mergeCell ref="H472:I472"/>
    <mergeCell ref="J472:K472"/>
    <mergeCell ref="L472:M472"/>
    <mergeCell ref="P472:Q472"/>
    <mergeCell ref="B473:C473"/>
    <mergeCell ref="D473:E473"/>
    <mergeCell ref="F473:G473"/>
    <mergeCell ref="H473:I473"/>
    <mergeCell ref="J473:K473"/>
    <mergeCell ref="L473:M473"/>
    <mergeCell ref="P473:Q473"/>
    <mergeCell ref="AJ472:AK472"/>
    <mergeCell ref="AL472:AM472"/>
    <mergeCell ref="AN472:AO472"/>
    <mergeCell ref="AP472:AQ472"/>
    <mergeCell ref="AR472:AS472"/>
    <mergeCell ref="AT472:AU472"/>
    <mergeCell ref="AV472:AW472"/>
    <mergeCell ref="BD475:BE475"/>
    <mergeCell ref="BF475:BI475"/>
    <mergeCell ref="AN475:AO475"/>
    <mergeCell ref="AP475:AQ475"/>
    <mergeCell ref="AR475:AS475"/>
    <mergeCell ref="AT475:AU475"/>
    <mergeCell ref="AV475:AW475"/>
    <mergeCell ref="AX475:AZ475"/>
    <mergeCell ref="BA475:BB475"/>
    <mergeCell ref="AJ473:AK473"/>
    <mergeCell ref="AL473:AM473"/>
    <mergeCell ref="R473:S473"/>
    <mergeCell ref="T473:U473"/>
    <mergeCell ref="V473:W473"/>
    <mergeCell ref="X473:AA473"/>
    <mergeCell ref="AB473:AE473"/>
    <mergeCell ref="AF473:AG473"/>
    <mergeCell ref="AH473:AI473"/>
    <mergeCell ref="R474:S474"/>
    <mergeCell ref="T474:U474"/>
    <mergeCell ref="V474:W474"/>
    <mergeCell ref="X474:AA474"/>
    <mergeCell ref="AB474:AE474"/>
    <mergeCell ref="AF474:AG474"/>
    <mergeCell ref="AH474:AI474"/>
    <mergeCell ref="AX474:AZ474"/>
    <mergeCell ref="BA474:BB474"/>
    <mergeCell ref="BD474:BE474"/>
    <mergeCell ref="BF474:BI474"/>
    <mergeCell ref="BJ474:BM474"/>
    <mergeCell ref="BN474:BV474"/>
    <mergeCell ref="BJ475:BM475"/>
    <mergeCell ref="BN475:BV475"/>
    <mergeCell ref="B474:C474"/>
    <mergeCell ref="D474:E474"/>
    <mergeCell ref="F474:G474"/>
    <mergeCell ref="H474:I474"/>
    <mergeCell ref="J474:K474"/>
    <mergeCell ref="L474:M474"/>
    <mergeCell ref="F471:G471"/>
    <mergeCell ref="H471:I471"/>
    <mergeCell ref="J471:K471"/>
    <mergeCell ref="L471:M471"/>
    <mergeCell ref="P471:Q471"/>
    <mergeCell ref="AJ470:AK470"/>
    <mergeCell ref="AL470:AM470"/>
    <mergeCell ref="AN470:AO470"/>
    <mergeCell ref="AP470:AQ470"/>
    <mergeCell ref="AR470:AS470"/>
    <mergeCell ref="AT470:AU470"/>
    <mergeCell ref="AV470:AW470"/>
    <mergeCell ref="BD473:BE473"/>
    <mergeCell ref="BF473:BI473"/>
    <mergeCell ref="AN473:AO473"/>
    <mergeCell ref="AP473:AQ473"/>
    <mergeCell ref="AR473:AS473"/>
    <mergeCell ref="AT473:AU473"/>
    <mergeCell ref="AV473:AW473"/>
    <mergeCell ref="AX473:AZ473"/>
    <mergeCell ref="BA473:BB473"/>
    <mergeCell ref="AJ471:AK471"/>
    <mergeCell ref="AL471:AM471"/>
    <mergeCell ref="R471:S471"/>
    <mergeCell ref="T471:U471"/>
    <mergeCell ref="V471:W471"/>
    <mergeCell ref="X471:AA471"/>
    <mergeCell ref="AB471:AE471"/>
    <mergeCell ref="AF471:AG471"/>
    <mergeCell ref="AH471:AI471"/>
    <mergeCell ref="R472:S472"/>
    <mergeCell ref="T472:U472"/>
    <mergeCell ref="V472:W472"/>
    <mergeCell ref="X472:AA472"/>
    <mergeCell ref="AB472:AE472"/>
    <mergeCell ref="AF472:AG472"/>
    <mergeCell ref="AH472:AI472"/>
    <mergeCell ref="AX472:AZ472"/>
    <mergeCell ref="BA472:BB472"/>
    <mergeCell ref="BD472:BE472"/>
    <mergeCell ref="BF472:BI472"/>
    <mergeCell ref="BD471:BE471"/>
    <mergeCell ref="BF471:BI471"/>
    <mergeCell ref="AN471:AO471"/>
    <mergeCell ref="AP471:AQ471"/>
    <mergeCell ref="AR471:AS471"/>
    <mergeCell ref="AT471:AU471"/>
    <mergeCell ref="AV471:AW471"/>
    <mergeCell ref="AX471:AZ471"/>
    <mergeCell ref="BA471:BB471"/>
    <mergeCell ref="R470:S470"/>
    <mergeCell ref="T470:U470"/>
    <mergeCell ref="V470:W470"/>
    <mergeCell ref="X470:AA470"/>
    <mergeCell ref="AB470:AE470"/>
    <mergeCell ref="AF470:AG470"/>
    <mergeCell ref="AH470:AI470"/>
    <mergeCell ref="AX470:AZ470"/>
    <mergeCell ref="BA470:BB470"/>
    <mergeCell ref="BD470:BE470"/>
    <mergeCell ref="BF470:BI470"/>
    <mergeCell ref="BJ470:BM470"/>
    <mergeCell ref="BN470:BV470"/>
    <mergeCell ref="BJ471:BM471"/>
    <mergeCell ref="BN471:BV471"/>
    <mergeCell ref="B466:C466"/>
    <mergeCell ref="D466:E466"/>
    <mergeCell ref="F466:G466"/>
    <mergeCell ref="H466:I466"/>
    <mergeCell ref="J466:K466"/>
    <mergeCell ref="L466:M466"/>
    <mergeCell ref="P466:Q466"/>
    <mergeCell ref="B467:C467"/>
    <mergeCell ref="D467:E467"/>
    <mergeCell ref="F467:G467"/>
    <mergeCell ref="H467:I467"/>
    <mergeCell ref="J467:K467"/>
    <mergeCell ref="L467:M467"/>
    <mergeCell ref="P467:Q467"/>
    <mergeCell ref="AJ466:AK466"/>
    <mergeCell ref="AL466:AM466"/>
    <mergeCell ref="AN466:AO466"/>
    <mergeCell ref="AP466:AQ466"/>
    <mergeCell ref="AR466:AS466"/>
    <mergeCell ref="AT466:AU466"/>
    <mergeCell ref="AV466:AW466"/>
    <mergeCell ref="BD469:BE469"/>
    <mergeCell ref="BF469:BI469"/>
    <mergeCell ref="AN469:AO469"/>
    <mergeCell ref="AP469:AQ469"/>
    <mergeCell ref="AR469:AS469"/>
    <mergeCell ref="AT469:AU469"/>
    <mergeCell ref="AV469:AW469"/>
    <mergeCell ref="AX469:AZ469"/>
    <mergeCell ref="BA469:BB469"/>
    <mergeCell ref="AJ467:AK467"/>
    <mergeCell ref="AL467:AM467"/>
    <mergeCell ref="R467:S467"/>
    <mergeCell ref="T467:U467"/>
    <mergeCell ref="V467:W467"/>
    <mergeCell ref="X467:AA467"/>
    <mergeCell ref="AB467:AE467"/>
    <mergeCell ref="AF467:AG467"/>
    <mergeCell ref="AH467:AI467"/>
    <mergeCell ref="R468:S468"/>
    <mergeCell ref="B470:C470"/>
    <mergeCell ref="D470:E470"/>
    <mergeCell ref="F470:G470"/>
    <mergeCell ref="H470:I470"/>
    <mergeCell ref="J470:K470"/>
    <mergeCell ref="L470:M470"/>
    <mergeCell ref="P470:Q470"/>
    <mergeCell ref="B471:C471"/>
    <mergeCell ref="D471:E471"/>
    <mergeCell ref="B468:C468"/>
    <mergeCell ref="D468:E468"/>
    <mergeCell ref="F468:G468"/>
    <mergeCell ref="H468:I468"/>
    <mergeCell ref="J468:K468"/>
    <mergeCell ref="L468:M468"/>
    <mergeCell ref="P468:Q468"/>
    <mergeCell ref="B469:C469"/>
    <mergeCell ref="D469:E469"/>
    <mergeCell ref="F469:G469"/>
    <mergeCell ref="H469:I469"/>
    <mergeCell ref="J469:K469"/>
    <mergeCell ref="L469:M469"/>
    <mergeCell ref="P469:Q469"/>
    <mergeCell ref="BD461:BE461"/>
    <mergeCell ref="BF461:BI461"/>
    <mergeCell ref="AN461:AO461"/>
    <mergeCell ref="AP461:AQ461"/>
    <mergeCell ref="AR461:AS461"/>
    <mergeCell ref="AT461:AU461"/>
    <mergeCell ref="AV461:AW461"/>
    <mergeCell ref="AX461:AZ461"/>
    <mergeCell ref="BA461:BB461"/>
    <mergeCell ref="BD467:BE467"/>
    <mergeCell ref="BF467:BI467"/>
    <mergeCell ref="AN467:AO467"/>
    <mergeCell ref="AP467:AQ467"/>
    <mergeCell ref="AR467:AS467"/>
    <mergeCell ref="AT467:AU467"/>
    <mergeCell ref="AV467:AW467"/>
    <mergeCell ref="AX467:AZ467"/>
    <mergeCell ref="BA467:BB467"/>
    <mergeCell ref="AJ465:AK465"/>
    <mergeCell ref="AL465:AM465"/>
    <mergeCell ref="R465:S465"/>
    <mergeCell ref="T465:U465"/>
    <mergeCell ref="V465:W465"/>
    <mergeCell ref="X465:AA465"/>
    <mergeCell ref="AB465:AE465"/>
    <mergeCell ref="AF465:AG465"/>
    <mergeCell ref="AH465:AI465"/>
    <mergeCell ref="R466:S466"/>
    <mergeCell ref="T466:U466"/>
    <mergeCell ref="V466:W466"/>
    <mergeCell ref="X466:AA466"/>
    <mergeCell ref="AB466:AE466"/>
    <mergeCell ref="AF466:AG466"/>
    <mergeCell ref="AH466:AI466"/>
    <mergeCell ref="AX466:AZ466"/>
    <mergeCell ref="BA466:BB466"/>
    <mergeCell ref="BD466:BE466"/>
    <mergeCell ref="BF466:BI466"/>
    <mergeCell ref="BD463:BE463"/>
    <mergeCell ref="BF463:BI463"/>
    <mergeCell ref="AJ469:AK469"/>
    <mergeCell ref="AL469:AM469"/>
    <mergeCell ref="R469:S469"/>
    <mergeCell ref="T469:U469"/>
    <mergeCell ref="V469:W469"/>
    <mergeCell ref="X469:AA469"/>
    <mergeCell ref="AB469:AE469"/>
    <mergeCell ref="AF469:AG469"/>
    <mergeCell ref="AH469:AI469"/>
    <mergeCell ref="B457:C457"/>
    <mergeCell ref="D457:E457"/>
    <mergeCell ref="F457:G457"/>
    <mergeCell ref="H457:I457"/>
    <mergeCell ref="J457:K457"/>
    <mergeCell ref="L457:M457"/>
    <mergeCell ref="P457:Q457"/>
    <mergeCell ref="AX458:AZ458"/>
    <mergeCell ref="BA458:BB458"/>
    <mergeCell ref="BD458:BE458"/>
    <mergeCell ref="BF458:BI458"/>
    <mergeCell ref="BJ458:BM458"/>
    <mergeCell ref="BN458:BV458"/>
    <mergeCell ref="BJ459:BM459"/>
    <mergeCell ref="BN459:BV459"/>
    <mergeCell ref="B459:C459"/>
    <mergeCell ref="D459:E459"/>
    <mergeCell ref="F459:G459"/>
    <mergeCell ref="H459:I459"/>
    <mergeCell ref="J459:K459"/>
    <mergeCell ref="L459:M459"/>
    <mergeCell ref="P459:Q459"/>
    <mergeCell ref="AJ458:AK458"/>
    <mergeCell ref="AL458:AM458"/>
    <mergeCell ref="AN458:AO458"/>
    <mergeCell ref="AP458:AQ458"/>
    <mergeCell ref="AR458:AS458"/>
    <mergeCell ref="AT458:AU458"/>
    <mergeCell ref="AV458:AW458"/>
    <mergeCell ref="R458:S458"/>
    <mergeCell ref="T458:U458"/>
    <mergeCell ref="V458:W458"/>
    <mergeCell ref="X458:AA458"/>
    <mergeCell ref="AB458:AE458"/>
    <mergeCell ref="AF458:AG458"/>
    <mergeCell ref="AH458:AI458"/>
    <mergeCell ref="B458:C458"/>
    <mergeCell ref="D458:E458"/>
    <mergeCell ref="F458:G458"/>
    <mergeCell ref="H458:I458"/>
    <mergeCell ref="R455:S455"/>
    <mergeCell ref="T455:U455"/>
    <mergeCell ref="V455:W455"/>
    <mergeCell ref="X455:AA455"/>
    <mergeCell ref="AB455:AE455"/>
    <mergeCell ref="AF455:AG455"/>
    <mergeCell ref="AH455:AI455"/>
    <mergeCell ref="AX455:AZ455"/>
    <mergeCell ref="BA455:BB455"/>
    <mergeCell ref="BD455:BE455"/>
    <mergeCell ref="BF455:BI455"/>
    <mergeCell ref="BJ466:BM466"/>
    <mergeCell ref="BN466:BV466"/>
    <mergeCell ref="BJ467:BM467"/>
    <mergeCell ref="BN467:BV467"/>
    <mergeCell ref="BJ468:BM468"/>
    <mergeCell ref="BN468:BV468"/>
    <mergeCell ref="BJ469:BM469"/>
    <mergeCell ref="BN469:BV469"/>
    <mergeCell ref="AJ468:AK468"/>
    <mergeCell ref="AL468:AM468"/>
    <mergeCell ref="AN468:AO468"/>
    <mergeCell ref="AP468:AQ468"/>
    <mergeCell ref="AR468:AS468"/>
    <mergeCell ref="AT468:AU468"/>
    <mergeCell ref="AV468:AW468"/>
    <mergeCell ref="BJ457:BM457"/>
    <mergeCell ref="BN457:BV457"/>
    <mergeCell ref="AJ457:AK457"/>
    <mergeCell ref="AL457:AM457"/>
    <mergeCell ref="AN457:AO457"/>
    <mergeCell ref="AP457:AQ457"/>
    <mergeCell ref="AR457:AS457"/>
    <mergeCell ref="AT457:AU457"/>
    <mergeCell ref="AV457:AW457"/>
    <mergeCell ref="T468:U468"/>
    <mergeCell ref="V468:W468"/>
    <mergeCell ref="X468:AA468"/>
    <mergeCell ref="AB468:AE468"/>
    <mergeCell ref="AF468:AG468"/>
    <mergeCell ref="AH468:AI468"/>
    <mergeCell ref="AX468:AZ468"/>
    <mergeCell ref="BA468:BB468"/>
    <mergeCell ref="BD468:BE468"/>
    <mergeCell ref="BF468:BI468"/>
    <mergeCell ref="AJ460:AK460"/>
    <mergeCell ref="AL460:AM460"/>
    <mergeCell ref="AN460:AO460"/>
    <mergeCell ref="AP460:AQ460"/>
    <mergeCell ref="AR460:AS460"/>
    <mergeCell ref="AT460:AU460"/>
    <mergeCell ref="AV460:AW460"/>
    <mergeCell ref="AJ456:AK456"/>
    <mergeCell ref="AL456:AM456"/>
    <mergeCell ref="BJ456:BM456"/>
    <mergeCell ref="BN456:BV456"/>
    <mergeCell ref="R456:S456"/>
    <mergeCell ref="T456:U456"/>
    <mergeCell ref="V456:W456"/>
    <mergeCell ref="X456:AA456"/>
    <mergeCell ref="AB456:AE456"/>
    <mergeCell ref="AF456:AG456"/>
    <mergeCell ref="AH456:AI456"/>
    <mergeCell ref="J458:K458"/>
    <mergeCell ref="L458:M458"/>
    <mergeCell ref="P458:Q458"/>
    <mergeCell ref="BD459:BE459"/>
    <mergeCell ref="BF459:BI459"/>
    <mergeCell ref="AN459:AO459"/>
    <mergeCell ref="AP459:AQ459"/>
    <mergeCell ref="AR459:AS459"/>
    <mergeCell ref="AT459:AU459"/>
    <mergeCell ref="AV459:AW459"/>
    <mergeCell ref="AX459:AZ459"/>
    <mergeCell ref="BA459:BB459"/>
    <mergeCell ref="R457:S457"/>
    <mergeCell ref="T457:U457"/>
    <mergeCell ref="V457:W457"/>
    <mergeCell ref="X457:AA457"/>
    <mergeCell ref="AB457:AE457"/>
    <mergeCell ref="AF457:AG457"/>
    <mergeCell ref="AH457:AI457"/>
    <mergeCell ref="AX457:AZ457"/>
    <mergeCell ref="BA457:BB457"/>
    <mergeCell ref="BD457:BE457"/>
    <mergeCell ref="BF457:BI457"/>
    <mergeCell ref="BD456:BE456"/>
    <mergeCell ref="BF456:BI456"/>
    <mergeCell ref="AN456:AO456"/>
    <mergeCell ref="AP456:AQ456"/>
    <mergeCell ref="AR456:AS456"/>
    <mergeCell ref="AT456:AU456"/>
    <mergeCell ref="AV456:AW456"/>
    <mergeCell ref="AX456:AZ456"/>
    <mergeCell ref="BA456:BB456"/>
    <mergeCell ref="AF461:AG461"/>
    <mergeCell ref="AH461:AI461"/>
    <mergeCell ref="R462:S462"/>
    <mergeCell ref="T462:U462"/>
    <mergeCell ref="V462:W462"/>
    <mergeCell ref="X462:AA462"/>
    <mergeCell ref="AB462:AE462"/>
    <mergeCell ref="AF462:AG462"/>
    <mergeCell ref="AH462:AI462"/>
    <mergeCell ref="AX462:AZ462"/>
    <mergeCell ref="BA462:BB462"/>
    <mergeCell ref="BD462:BE462"/>
    <mergeCell ref="BF462:BI462"/>
    <mergeCell ref="BJ462:BM462"/>
    <mergeCell ref="BN462:BV462"/>
    <mergeCell ref="BJ463:BM463"/>
    <mergeCell ref="BN463:BV463"/>
    <mergeCell ref="B462:C462"/>
    <mergeCell ref="D462:E462"/>
    <mergeCell ref="F462:G462"/>
    <mergeCell ref="H462:I462"/>
    <mergeCell ref="BJ455:BM455"/>
    <mergeCell ref="BN455:BV455"/>
    <mergeCell ref="B455:C455"/>
    <mergeCell ref="D455:E455"/>
    <mergeCell ref="F455:G455"/>
    <mergeCell ref="H455:I455"/>
    <mergeCell ref="J455:K455"/>
    <mergeCell ref="L455:M455"/>
    <mergeCell ref="P455:Q455"/>
    <mergeCell ref="AJ455:AK455"/>
    <mergeCell ref="AL455:AM455"/>
    <mergeCell ref="AN455:AO455"/>
    <mergeCell ref="AP455:AQ455"/>
    <mergeCell ref="AR455:AS455"/>
    <mergeCell ref="AT455:AU455"/>
    <mergeCell ref="AV455:AW455"/>
    <mergeCell ref="B456:C456"/>
    <mergeCell ref="D456:E456"/>
    <mergeCell ref="F456:G456"/>
    <mergeCell ref="H456:I456"/>
    <mergeCell ref="J456:K456"/>
    <mergeCell ref="L456:M456"/>
    <mergeCell ref="P456:Q456"/>
    <mergeCell ref="BD460:BE460"/>
    <mergeCell ref="BF460:BI460"/>
    <mergeCell ref="BJ460:BM460"/>
    <mergeCell ref="BN460:BV460"/>
    <mergeCell ref="BJ461:BM461"/>
    <mergeCell ref="BN461:BV461"/>
    <mergeCell ref="B460:C460"/>
    <mergeCell ref="D460:E460"/>
    <mergeCell ref="F460:G460"/>
    <mergeCell ref="H460:I460"/>
    <mergeCell ref="J460:K460"/>
    <mergeCell ref="L460:M460"/>
    <mergeCell ref="P460:Q460"/>
    <mergeCell ref="B461:C461"/>
    <mergeCell ref="D461:E461"/>
    <mergeCell ref="F461:G461"/>
    <mergeCell ref="H461:I461"/>
    <mergeCell ref="J461:K461"/>
    <mergeCell ref="L461:M461"/>
    <mergeCell ref="P461:Q461"/>
    <mergeCell ref="P464:Q464"/>
    <mergeCell ref="B465:C465"/>
    <mergeCell ref="D465:E465"/>
    <mergeCell ref="F465:G465"/>
    <mergeCell ref="H465:I465"/>
    <mergeCell ref="J465:K465"/>
    <mergeCell ref="L465:M465"/>
    <mergeCell ref="P465:Q465"/>
    <mergeCell ref="AJ464:AK464"/>
    <mergeCell ref="AL464:AM464"/>
    <mergeCell ref="AN464:AO464"/>
    <mergeCell ref="AP464:AQ464"/>
    <mergeCell ref="AR464:AS464"/>
    <mergeCell ref="AT464:AU464"/>
    <mergeCell ref="AV464:AW464"/>
    <mergeCell ref="AJ459:AK459"/>
    <mergeCell ref="AL459:AM459"/>
    <mergeCell ref="R459:S459"/>
    <mergeCell ref="T459:U459"/>
    <mergeCell ref="V459:W459"/>
    <mergeCell ref="X459:AA459"/>
    <mergeCell ref="AB459:AE459"/>
    <mergeCell ref="AF459:AG459"/>
    <mergeCell ref="AH459:AI459"/>
    <mergeCell ref="R460:S460"/>
    <mergeCell ref="T460:U460"/>
    <mergeCell ref="V460:W460"/>
    <mergeCell ref="X460:AA460"/>
    <mergeCell ref="AB460:AE460"/>
    <mergeCell ref="AF460:AG460"/>
    <mergeCell ref="AH460:AI460"/>
    <mergeCell ref="AX460:AZ460"/>
    <mergeCell ref="BA460:BB460"/>
    <mergeCell ref="J462:K462"/>
    <mergeCell ref="L462:M462"/>
    <mergeCell ref="P462:Q462"/>
    <mergeCell ref="B463:C463"/>
    <mergeCell ref="D463:E463"/>
    <mergeCell ref="F463:G463"/>
    <mergeCell ref="H463:I463"/>
    <mergeCell ref="J463:K463"/>
    <mergeCell ref="L463:M463"/>
    <mergeCell ref="P463:Q463"/>
    <mergeCell ref="AJ462:AK462"/>
    <mergeCell ref="AL462:AM462"/>
    <mergeCell ref="AN462:AO462"/>
    <mergeCell ref="AP462:AQ462"/>
    <mergeCell ref="AR462:AS462"/>
    <mergeCell ref="AT462:AU462"/>
    <mergeCell ref="AV462:AW462"/>
    <mergeCell ref="AN463:AO463"/>
    <mergeCell ref="AP463:AQ463"/>
    <mergeCell ref="AR463:AS463"/>
    <mergeCell ref="AT463:AU463"/>
    <mergeCell ref="AV463:AW463"/>
    <mergeCell ref="AX463:AZ463"/>
    <mergeCell ref="BA463:BB463"/>
    <mergeCell ref="AJ461:AK461"/>
    <mergeCell ref="AL461:AM461"/>
    <mergeCell ref="R461:S461"/>
    <mergeCell ref="T461:U461"/>
    <mergeCell ref="V461:W461"/>
    <mergeCell ref="X461:AA461"/>
    <mergeCell ref="AB461:AE461"/>
    <mergeCell ref="BJ453:BM453"/>
    <mergeCell ref="BN453:BV453"/>
    <mergeCell ref="BJ454:BM454"/>
    <mergeCell ref="BN454:BV454"/>
    <mergeCell ref="B453:C453"/>
    <mergeCell ref="D453:E453"/>
    <mergeCell ref="F453:G453"/>
    <mergeCell ref="H453:I453"/>
    <mergeCell ref="J453:K453"/>
    <mergeCell ref="L453:M453"/>
    <mergeCell ref="P453:Q453"/>
    <mergeCell ref="B454:C454"/>
    <mergeCell ref="D454:E454"/>
    <mergeCell ref="F454:G454"/>
    <mergeCell ref="H454:I454"/>
    <mergeCell ref="J454:K454"/>
    <mergeCell ref="L454:M454"/>
    <mergeCell ref="P454:Q454"/>
    <mergeCell ref="AJ453:AK453"/>
    <mergeCell ref="AL453:AM453"/>
    <mergeCell ref="AN453:AO453"/>
    <mergeCell ref="AP453:AQ453"/>
    <mergeCell ref="AR453:AS453"/>
    <mergeCell ref="AT453:AU453"/>
    <mergeCell ref="AV453:AW453"/>
    <mergeCell ref="BD465:BE465"/>
    <mergeCell ref="BF465:BI465"/>
    <mergeCell ref="AN465:AO465"/>
    <mergeCell ref="AP465:AQ465"/>
    <mergeCell ref="AR465:AS465"/>
    <mergeCell ref="AT465:AU465"/>
    <mergeCell ref="AV465:AW465"/>
    <mergeCell ref="AX465:AZ465"/>
    <mergeCell ref="BA465:BB465"/>
    <mergeCell ref="AJ463:AK463"/>
    <mergeCell ref="AL463:AM463"/>
    <mergeCell ref="R463:S463"/>
    <mergeCell ref="T463:U463"/>
    <mergeCell ref="V463:W463"/>
    <mergeCell ref="X463:AA463"/>
    <mergeCell ref="AB463:AE463"/>
    <mergeCell ref="AF463:AG463"/>
    <mergeCell ref="AH463:AI463"/>
    <mergeCell ref="R464:S464"/>
    <mergeCell ref="T464:U464"/>
    <mergeCell ref="V464:W464"/>
    <mergeCell ref="X464:AA464"/>
    <mergeCell ref="AB464:AE464"/>
    <mergeCell ref="AF464:AG464"/>
    <mergeCell ref="AH464:AI464"/>
    <mergeCell ref="AX464:AZ464"/>
    <mergeCell ref="BA464:BB464"/>
    <mergeCell ref="BD464:BE464"/>
    <mergeCell ref="BF464:BI464"/>
    <mergeCell ref="BJ464:BM464"/>
    <mergeCell ref="BN464:BV464"/>
    <mergeCell ref="BJ465:BM465"/>
    <mergeCell ref="BN465:BV465"/>
    <mergeCell ref="B464:C464"/>
    <mergeCell ref="D464:E464"/>
    <mergeCell ref="F464:G464"/>
    <mergeCell ref="H464:I464"/>
    <mergeCell ref="J464:K464"/>
    <mergeCell ref="L464:M464"/>
    <mergeCell ref="P451:Q451"/>
    <mergeCell ref="B452:C452"/>
    <mergeCell ref="D452:E452"/>
    <mergeCell ref="F452:G452"/>
    <mergeCell ref="H452:I452"/>
    <mergeCell ref="J452:K452"/>
    <mergeCell ref="L452:M452"/>
    <mergeCell ref="P452:Q452"/>
    <mergeCell ref="AJ451:AK451"/>
    <mergeCell ref="AL451:AM451"/>
    <mergeCell ref="AN451:AO451"/>
    <mergeCell ref="AP451:AQ451"/>
    <mergeCell ref="AR451:AS451"/>
    <mergeCell ref="AT451:AU451"/>
    <mergeCell ref="AV451:AW451"/>
    <mergeCell ref="BD454:BE454"/>
    <mergeCell ref="BF454:BI454"/>
    <mergeCell ref="AN454:AO454"/>
    <mergeCell ref="AP454:AQ454"/>
    <mergeCell ref="AR454:AS454"/>
    <mergeCell ref="AT454:AU454"/>
    <mergeCell ref="AV454:AW454"/>
    <mergeCell ref="AX454:AZ454"/>
    <mergeCell ref="BA454:BB454"/>
    <mergeCell ref="AJ452:AK452"/>
    <mergeCell ref="AL452:AM452"/>
    <mergeCell ref="R452:S452"/>
    <mergeCell ref="T452:U452"/>
    <mergeCell ref="V452:W452"/>
    <mergeCell ref="X452:AA452"/>
    <mergeCell ref="AB452:AE452"/>
    <mergeCell ref="AF452:AG452"/>
    <mergeCell ref="AH452:AI452"/>
    <mergeCell ref="R453:S453"/>
    <mergeCell ref="T453:U453"/>
    <mergeCell ref="V453:W453"/>
    <mergeCell ref="X453:AA453"/>
    <mergeCell ref="AB453:AE453"/>
    <mergeCell ref="AF453:AG453"/>
    <mergeCell ref="AH453:AI453"/>
    <mergeCell ref="AX453:AZ453"/>
    <mergeCell ref="BA453:BB453"/>
    <mergeCell ref="BD453:BE453"/>
    <mergeCell ref="BF453:BI453"/>
    <mergeCell ref="AJ454:AK454"/>
    <mergeCell ref="AL454:AM454"/>
    <mergeCell ref="R454:S454"/>
    <mergeCell ref="T454:U454"/>
    <mergeCell ref="V454:W454"/>
    <mergeCell ref="X454:AA454"/>
    <mergeCell ref="AB454:AE454"/>
    <mergeCell ref="AF454:AG454"/>
    <mergeCell ref="AH454:AI454"/>
    <mergeCell ref="BJ449:BM449"/>
    <mergeCell ref="BN449:BV449"/>
    <mergeCell ref="BJ450:BM450"/>
    <mergeCell ref="BN450:BV450"/>
    <mergeCell ref="B449:C449"/>
    <mergeCell ref="D449:E449"/>
    <mergeCell ref="F449:G449"/>
    <mergeCell ref="H449:I449"/>
    <mergeCell ref="J449:K449"/>
    <mergeCell ref="L449:M449"/>
    <mergeCell ref="P449:Q449"/>
    <mergeCell ref="B450:C450"/>
    <mergeCell ref="D450:E450"/>
    <mergeCell ref="F450:G450"/>
    <mergeCell ref="H450:I450"/>
    <mergeCell ref="J450:K450"/>
    <mergeCell ref="L450:M450"/>
    <mergeCell ref="P450:Q450"/>
    <mergeCell ref="AJ449:AK449"/>
    <mergeCell ref="AL449:AM449"/>
    <mergeCell ref="AN449:AO449"/>
    <mergeCell ref="AP449:AQ449"/>
    <mergeCell ref="AR449:AS449"/>
    <mergeCell ref="AT449:AU449"/>
    <mergeCell ref="AV449:AW449"/>
    <mergeCell ref="BD452:BE452"/>
    <mergeCell ref="BF452:BI452"/>
    <mergeCell ref="AN452:AO452"/>
    <mergeCell ref="AP452:AQ452"/>
    <mergeCell ref="AR452:AS452"/>
    <mergeCell ref="AT452:AU452"/>
    <mergeCell ref="AV452:AW452"/>
    <mergeCell ref="AX452:AZ452"/>
    <mergeCell ref="BA452:BB452"/>
    <mergeCell ref="AJ450:AK450"/>
    <mergeCell ref="AL450:AM450"/>
    <mergeCell ref="R450:S450"/>
    <mergeCell ref="T450:U450"/>
    <mergeCell ref="V450:W450"/>
    <mergeCell ref="X450:AA450"/>
    <mergeCell ref="AB450:AE450"/>
    <mergeCell ref="AF450:AG450"/>
    <mergeCell ref="AH450:AI450"/>
    <mergeCell ref="R451:S451"/>
    <mergeCell ref="T451:U451"/>
    <mergeCell ref="V451:W451"/>
    <mergeCell ref="X451:AA451"/>
    <mergeCell ref="AB451:AE451"/>
    <mergeCell ref="AF451:AG451"/>
    <mergeCell ref="AH451:AI451"/>
    <mergeCell ref="AX451:AZ451"/>
    <mergeCell ref="BA451:BB451"/>
    <mergeCell ref="BD451:BE451"/>
    <mergeCell ref="BF451:BI451"/>
    <mergeCell ref="BJ451:BM451"/>
    <mergeCell ref="BN451:BV451"/>
    <mergeCell ref="BJ452:BM452"/>
    <mergeCell ref="BN452:BV452"/>
    <mergeCell ref="B451:C451"/>
    <mergeCell ref="D451:E451"/>
    <mergeCell ref="F451:G451"/>
    <mergeCell ref="H451:I451"/>
    <mergeCell ref="J451:K451"/>
    <mergeCell ref="L451:M451"/>
    <mergeCell ref="F448:G448"/>
    <mergeCell ref="H448:I448"/>
    <mergeCell ref="J448:K448"/>
    <mergeCell ref="L448:M448"/>
    <mergeCell ref="P448:Q448"/>
    <mergeCell ref="AJ447:AK447"/>
    <mergeCell ref="AL447:AM447"/>
    <mergeCell ref="AN447:AO447"/>
    <mergeCell ref="AP447:AQ447"/>
    <mergeCell ref="AR447:AS447"/>
    <mergeCell ref="AT447:AU447"/>
    <mergeCell ref="AV447:AW447"/>
    <mergeCell ref="BD450:BE450"/>
    <mergeCell ref="BF450:BI450"/>
    <mergeCell ref="AN450:AO450"/>
    <mergeCell ref="AP450:AQ450"/>
    <mergeCell ref="AR450:AS450"/>
    <mergeCell ref="AT450:AU450"/>
    <mergeCell ref="AV450:AW450"/>
    <mergeCell ref="AX450:AZ450"/>
    <mergeCell ref="BA450:BB450"/>
    <mergeCell ref="AJ448:AK448"/>
    <mergeCell ref="AL448:AM448"/>
    <mergeCell ref="R448:S448"/>
    <mergeCell ref="T448:U448"/>
    <mergeCell ref="V448:W448"/>
    <mergeCell ref="X448:AA448"/>
    <mergeCell ref="AB448:AE448"/>
    <mergeCell ref="AF448:AG448"/>
    <mergeCell ref="AH448:AI448"/>
    <mergeCell ref="R449:S449"/>
    <mergeCell ref="T449:U449"/>
    <mergeCell ref="V449:W449"/>
    <mergeCell ref="X449:AA449"/>
    <mergeCell ref="AB449:AE449"/>
    <mergeCell ref="AF449:AG449"/>
    <mergeCell ref="AH449:AI449"/>
    <mergeCell ref="AX449:AZ449"/>
    <mergeCell ref="BA449:BB449"/>
    <mergeCell ref="BD449:BE449"/>
    <mergeCell ref="BF449:BI449"/>
    <mergeCell ref="BD448:BE448"/>
    <mergeCell ref="BF448:BI448"/>
    <mergeCell ref="AN448:AO448"/>
    <mergeCell ref="AP448:AQ448"/>
    <mergeCell ref="AR448:AS448"/>
    <mergeCell ref="AT448:AU448"/>
    <mergeCell ref="AV448:AW448"/>
    <mergeCell ref="AX448:AZ448"/>
    <mergeCell ref="BA448:BB448"/>
    <mergeCell ref="R447:S447"/>
    <mergeCell ref="T447:U447"/>
    <mergeCell ref="V447:W447"/>
    <mergeCell ref="X447:AA447"/>
    <mergeCell ref="AB447:AE447"/>
    <mergeCell ref="AF447:AG447"/>
    <mergeCell ref="AH447:AI447"/>
    <mergeCell ref="AX447:AZ447"/>
    <mergeCell ref="BA447:BB447"/>
    <mergeCell ref="BD447:BE447"/>
    <mergeCell ref="BF447:BI447"/>
    <mergeCell ref="BJ447:BM447"/>
    <mergeCell ref="BN447:BV447"/>
    <mergeCell ref="BJ448:BM448"/>
    <mergeCell ref="BN448:BV448"/>
    <mergeCell ref="B443:C443"/>
    <mergeCell ref="D443:E443"/>
    <mergeCell ref="F443:G443"/>
    <mergeCell ref="H443:I443"/>
    <mergeCell ref="J443:K443"/>
    <mergeCell ref="L443:M443"/>
    <mergeCell ref="P443:Q443"/>
    <mergeCell ref="B444:C444"/>
    <mergeCell ref="D444:E444"/>
    <mergeCell ref="F444:G444"/>
    <mergeCell ref="H444:I444"/>
    <mergeCell ref="J444:K444"/>
    <mergeCell ref="L444:M444"/>
    <mergeCell ref="P444:Q444"/>
    <mergeCell ref="AJ443:AK443"/>
    <mergeCell ref="AL443:AM443"/>
    <mergeCell ref="AN443:AO443"/>
    <mergeCell ref="AP443:AQ443"/>
    <mergeCell ref="AR443:AS443"/>
    <mergeCell ref="AT443:AU443"/>
    <mergeCell ref="AV443:AW443"/>
    <mergeCell ref="BD446:BE446"/>
    <mergeCell ref="BF446:BI446"/>
    <mergeCell ref="AN446:AO446"/>
    <mergeCell ref="AP446:AQ446"/>
    <mergeCell ref="AR446:AS446"/>
    <mergeCell ref="AT446:AU446"/>
    <mergeCell ref="AV446:AW446"/>
    <mergeCell ref="AX446:AZ446"/>
    <mergeCell ref="BA446:BB446"/>
    <mergeCell ref="AJ444:AK444"/>
    <mergeCell ref="AL444:AM444"/>
    <mergeCell ref="R444:S444"/>
    <mergeCell ref="T444:U444"/>
    <mergeCell ref="V444:W444"/>
    <mergeCell ref="X444:AA444"/>
    <mergeCell ref="AB444:AE444"/>
    <mergeCell ref="AF444:AG444"/>
    <mergeCell ref="AH444:AI444"/>
    <mergeCell ref="R445:S445"/>
    <mergeCell ref="B447:C447"/>
    <mergeCell ref="D447:E447"/>
    <mergeCell ref="F447:G447"/>
    <mergeCell ref="H447:I447"/>
    <mergeCell ref="J447:K447"/>
    <mergeCell ref="L447:M447"/>
    <mergeCell ref="P447:Q447"/>
    <mergeCell ref="B448:C448"/>
    <mergeCell ref="D448:E448"/>
    <mergeCell ref="B445:C445"/>
    <mergeCell ref="D445:E445"/>
    <mergeCell ref="F445:G445"/>
    <mergeCell ref="H445:I445"/>
    <mergeCell ref="J445:K445"/>
    <mergeCell ref="L445:M445"/>
    <mergeCell ref="P445:Q445"/>
    <mergeCell ref="B446:C446"/>
    <mergeCell ref="D446:E446"/>
    <mergeCell ref="F446:G446"/>
    <mergeCell ref="H446:I446"/>
    <mergeCell ref="J446:K446"/>
    <mergeCell ref="L446:M446"/>
    <mergeCell ref="P446:Q446"/>
    <mergeCell ref="BD438:BE438"/>
    <mergeCell ref="BF438:BI438"/>
    <mergeCell ref="AN438:AO438"/>
    <mergeCell ref="AP438:AQ438"/>
    <mergeCell ref="AR438:AS438"/>
    <mergeCell ref="AT438:AU438"/>
    <mergeCell ref="AV438:AW438"/>
    <mergeCell ref="AX438:AZ438"/>
    <mergeCell ref="BA438:BB438"/>
    <mergeCell ref="BD444:BE444"/>
    <mergeCell ref="BF444:BI444"/>
    <mergeCell ref="AN444:AO444"/>
    <mergeCell ref="AP444:AQ444"/>
    <mergeCell ref="AR444:AS444"/>
    <mergeCell ref="AT444:AU444"/>
    <mergeCell ref="AV444:AW444"/>
    <mergeCell ref="AX444:AZ444"/>
    <mergeCell ref="BA444:BB444"/>
    <mergeCell ref="AJ442:AK442"/>
    <mergeCell ref="AL442:AM442"/>
    <mergeCell ref="R442:S442"/>
    <mergeCell ref="T442:U442"/>
    <mergeCell ref="V442:W442"/>
    <mergeCell ref="X442:AA442"/>
    <mergeCell ref="AB442:AE442"/>
    <mergeCell ref="AF442:AG442"/>
    <mergeCell ref="AH442:AI442"/>
    <mergeCell ref="R443:S443"/>
    <mergeCell ref="T443:U443"/>
    <mergeCell ref="V443:W443"/>
    <mergeCell ref="X443:AA443"/>
    <mergeCell ref="AB443:AE443"/>
    <mergeCell ref="AF443:AG443"/>
    <mergeCell ref="AH443:AI443"/>
    <mergeCell ref="AX443:AZ443"/>
    <mergeCell ref="BA443:BB443"/>
    <mergeCell ref="BD443:BE443"/>
    <mergeCell ref="BF443:BI443"/>
    <mergeCell ref="BD440:BE440"/>
    <mergeCell ref="BF440:BI440"/>
    <mergeCell ref="AJ446:AK446"/>
    <mergeCell ref="AL446:AM446"/>
    <mergeCell ref="R446:S446"/>
    <mergeCell ref="T446:U446"/>
    <mergeCell ref="V446:W446"/>
    <mergeCell ref="X446:AA446"/>
    <mergeCell ref="AB446:AE446"/>
    <mergeCell ref="AF446:AG446"/>
    <mergeCell ref="AH446:AI446"/>
    <mergeCell ref="B434:C434"/>
    <mergeCell ref="D434:E434"/>
    <mergeCell ref="F434:G434"/>
    <mergeCell ref="H434:I434"/>
    <mergeCell ref="J434:K434"/>
    <mergeCell ref="L434:M434"/>
    <mergeCell ref="P434:Q434"/>
    <mergeCell ref="AX435:AZ435"/>
    <mergeCell ref="BA435:BB435"/>
    <mergeCell ref="BD435:BE435"/>
    <mergeCell ref="BF435:BI435"/>
    <mergeCell ref="BJ435:BM435"/>
    <mergeCell ref="BN435:BV435"/>
    <mergeCell ref="BJ436:BM436"/>
    <mergeCell ref="BN436:BV436"/>
    <mergeCell ref="B436:C436"/>
    <mergeCell ref="D436:E436"/>
    <mergeCell ref="F436:G436"/>
    <mergeCell ref="H436:I436"/>
    <mergeCell ref="J436:K436"/>
    <mergeCell ref="L436:M436"/>
    <mergeCell ref="P436:Q436"/>
    <mergeCell ref="AJ435:AK435"/>
    <mergeCell ref="AL435:AM435"/>
    <mergeCell ref="AN435:AO435"/>
    <mergeCell ref="AP435:AQ435"/>
    <mergeCell ref="AR435:AS435"/>
    <mergeCell ref="AT435:AU435"/>
    <mergeCell ref="AV435:AW435"/>
    <mergeCell ref="R435:S435"/>
    <mergeCell ref="T435:U435"/>
    <mergeCell ref="V435:W435"/>
    <mergeCell ref="X435:AA435"/>
    <mergeCell ref="AB435:AE435"/>
    <mergeCell ref="AF435:AG435"/>
    <mergeCell ref="AH435:AI435"/>
    <mergeCell ref="B435:C435"/>
    <mergeCell ref="D435:E435"/>
    <mergeCell ref="F435:G435"/>
    <mergeCell ref="H435:I435"/>
    <mergeCell ref="R432:S432"/>
    <mergeCell ref="T432:U432"/>
    <mergeCell ref="V432:W432"/>
    <mergeCell ref="X432:AA432"/>
    <mergeCell ref="AB432:AE432"/>
    <mergeCell ref="AF432:AG432"/>
    <mergeCell ref="AH432:AI432"/>
    <mergeCell ref="AX432:AZ432"/>
    <mergeCell ref="BA432:BB432"/>
    <mergeCell ref="BD432:BE432"/>
    <mergeCell ref="BF432:BI432"/>
    <mergeCell ref="BJ443:BM443"/>
    <mergeCell ref="BN443:BV443"/>
    <mergeCell ref="BJ444:BM444"/>
    <mergeCell ref="BN444:BV444"/>
    <mergeCell ref="BJ445:BM445"/>
    <mergeCell ref="BN445:BV445"/>
    <mergeCell ref="BJ446:BM446"/>
    <mergeCell ref="BN446:BV446"/>
    <mergeCell ref="AJ445:AK445"/>
    <mergeCell ref="AL445:AM445"/>
    <mergeCell ref="AN445:AO445"/>
    <mergeCell ref="AP445:AQ445"/>
    <mergeCell ref="AR445:AS445"/>
    <mergeCell ref="AT445:AU445"/>
    <mergeCell ref="AV445:AW445"/>
    <mergeCell ref="BJ434:BM434"/>
    <mergeCell ref="BN434:BV434"/>
    <mergeCell ref="AJ434:AK434"/>
    <mergeCell ref="AL434:AM434"/>
    <mergeCell ref="AN434:AO434"/>
    <mergeCell ref="AP434:AQ434"/>
    <mergeCell ref="AR434:AS434"/>
    <mergeCell ref="AT434:AU434"/>
    <mergeCell ref="AV434:AW434"/>
    <mergeCell ref="T445:U445"/>
    <mergeCell ref="V445:W445"/>
    <mergeCell ref="X445:AA445"/>
    <mergeCell ref="AB445:AE445"/>
    <mergeCell ref="AF445:AG445"/>
    <mergeCell ref="AH445:AI445"/>
    <mergeCell ref="AX445:AZ445"/>
    <mergeCell ref="BA445:BB445"/>
    <mergeCell ref="BD445:BE445"/>
    <mergeCell ref="BF445:BI445"/>
    <mergeCell ref="AJ437:AK437"/>
    <mergeCell ref="AL437:AM437"/>
    <mergeCell ref="AN437:AO437"/>
    <mergeCell ref="AP437:AQ437"/>
    <mergeCell ref="AR437:AS437"/>
    <mergeCell ref="AT437:AU437"/>
    <mergeCell ref="AV437:AW437"/>
    <mergeCell ref="AJ433:AK433"/>
    <mergeCell ref="AL433:AM433"/>
    <mergeCell ref="BJ433:BM433"/>
    <mergeCell ref="BN433:BV433"/>
    <mergeCell ref="R433:S433"/>
    <mergeCell ref="T433:U433"/>
    <mergeCell ref="V433:W433"/>
    <mergeCell ref="X433:AA433"/>
    <mergeCell ref="AB433:AE433"/>
    <mergeCell ref="AF433:AG433"/>
    <mergeCell ref="AH433:AI433"/>
    <mergeCell ref="J435:K435"/>
    <mergeCell ref="L435:M435"/>
    <mergeCell ref="P435:Q435"/>
    <mergeCell ref="BD436:BE436"/>
    <mergeCell ref="BF436:BI436"/>
    <mergeCell ref="AN436:AO436"/>
    <mergeCell ref="AP436:AQ436"/>
    <mergeCell ref="AR436:AS436"/>
    <mergeCell ref="AT436:AU436"/>
    <mergeCell ref="AV436:AW436"/>
    <mergeCell ref="AX436:AZ436"/>
    <mergeCell ref="BA436:BB436"/>
    <mergeCell ref="R434:S434"/>
    <mergeCell ref="T434:U434"/>
    <mergeCell ref="V434:W434"/>
    <mergeCell ref="X434:AA434"/>
    <mergeCell ref="AB434:AE434"/>
    <mergeCell ref="AF434:AG434"/>
    <mergeCell ref="AH434:AI434"/>
    <mergeCell ref="AX434:AZ434"/>
    <mergeCell ref="BA434:BB434"/>
    <mergeCell ref="BD434:BE434"/>
    <mergeCell ref="BF434:BI434"/>
    <mergeCell ref="BD433:BE433"/>
    <mergeCell ref="BF433:BI433"/>
    <mergeCell ref="AN433:AO433"/>
    <mergeCell ref="AP433:AQ433"/>
    <mergeCell ref="AR433:AS433"/>
    <mergeCell ref="AT433:AU433"/>
    <mergeCell ref="AV433:AW433"/>
    <mergeCell ref="AX433:AZ433"/>
    <mergeCell ref="BA433:BB433"/>
    <mergeCell ref="AF438:AG438"/>
    <mergeCell ref="AH438:AI438"/>
    <mergeCell ref="R439:S439"/>
    <mergeCell ref="T439:U439"/>
    <mergeCell ref="V439:W439"/>
    <mergeCell ref="X439:AA439"/>
    <mergeCell ref="AB439:AE439"/>
    <mergeCell ref="AF439:AG439"/>
    <mergeCell ref="AH439:AI439"/>
    <mergeCell ref="AX439:AZ439"/>
    <mergeCell ref="BA439:BB439"/>
    <mergeCell ref="BD439:BE439"/>
    <mergeCell ref="BF439:BI439"/>
    <mergeCell ref="BJ439:BM439"/>
    <mergeCell ref="BN439:BV439"/>
    <mergeCell ref="BJ440:BM440"/>
    <mergeCell ref="BN440:BV440"/>
    <mergeCell ref="B439:C439"/>
    <mergeCell ref="D439:E439"/>
    <mergeCell ref="F439:G439"/>
    <mergeCell ref="H439:I439"/>
    <mergeCell ref="BJ432:BM432"/>
    <mergeCell ref="BN432:BV432"/>
    <mergeCell ref="B432:C432"/>
    <mergeCell ref="D432:E432"/>
    <mergeCell ref="F432:G432"/>
    <mergeCell ref="H432:I432"/>
    <mergeCell ref="J432:K432"/>
    <mergeCell ref="L432:M432"/>
    <mergeCell ref="P432:Q432"/>
    <mergeCell ref="AJ432:AK432"/>
    <mergeCell ref="AL432:AM432"/>
    <mergeCell ref="AN432:AO432"/>
    <mergeCell ref="AP432:AQ432"/>
    <mergeCell ref="AR432:AS432"/>
    <mergeCell ref="AT432:AU432"/>
    <mergeCell ref="AV432:AW432"/>
    <mergeCell ref="B433:C433"/>
    <mergeCell ref="D433:E433"/>
    <mergeCell ref="F433:G433"/>
    <mergeCell ref="H433:I433"/>
    <mergeCell ref="J433:K433"/>
    <mergeCell ref="L433:M433"/>
    <mergeCell ref="P433:Q433"/>
    <mergeCell ref="BD437:BE437"/>
    <mergeCell ref="BF437:BI437"/>
    <mergeCell ref="BJ437:BM437"/>
    <mergeCell ref="BN437:BV437"/>
    <mergeCell ref="BJ438:BM438"/>
    <mergeCell ref="BN438:BV438"/>
    <mergeCell ref="B437:C437"/>
    <mergeCell ref="D437:E437"/>
    <mergeCell ref="F437:G437"/>
    <mergeCell ref="H437:I437"/>
    <mergeCell ref="J437:K437"/>
    <mergeCell ref="L437:M437"/>
    <mergeCell ref="P437:Q437"/>
    <mergeCell ref="B438:C438"/>
    <mergeCell ref="D438:E438"/>
    <mergeCell ref="F438:G438"/>
    <mergeCell ref="H438:I438"/>
    <mergeCell ref="J438:K438"/>
    <mergeCell ref="L438:M438"/>
    <mergeCell ref="P438:Q438"/>
    <mergeCell ref="P441:Q441"/>
    <mergeCell ref="B442:C442"/>
    <mergeCell ref="D442:E442"/>
    <mergeCell ref="F442:G442"/>
    <mergeCell ref="H442:I442"/>
    <mergeCell ref="J442:K442"/>
    <mergeCell ref="L442:M442"/>
    <mergeCell ref="P442:Q442"/>
    <mergeCell ref="AJ441:AK441"/>
    <mergeCell ref="AL441:AM441"/>
    <mergeCell ref="AN441:AO441"/>
    <mergeCell ref="AP441:AQ441"/>
    <mergeCell ref="AR441:AS441"/>
    <mergeCell ref="AT441:AU441"/>
    <mergeCell ref="AV441:AW441"/>
    <mergeCell ref="AJ436:AK436"/>
    <mergeCell ref="AL436:AM436"/>
    <mergeCell ref="R436:S436"/>
    <mergeCell ref="T436:U436"/>
    <mergeCell ref="V436:W436"/>
    <mergeCell ref="X436:AA436"/>
    <mergeCell ref="AB436:AE436"/>
    <mergeCell ref="AF436:AG436"/>
    <mergeCell ref="AH436:AI436"/>
    <mergeCell ref="R437:S437"/>
    <mergeCell ref="T437:U437"/>
    <mergeCell ref="V437:W437"/>
    <mergeCell ref="X437:AA437"/>
    <mergeCell ref="AB437:AE437"/>
    <mergeCell ref="AF437:AG437"/>
    <mergeCell ref="AH437:AI437"/>
    <mergeCell ref="AX437:AZ437"/>
    <mergeCell ref="BA437:BB437"/>
    <mergeCell ref="J439:K439"/>
    <mergeCell ref="L439:M439"/>
    <mergeCell ref="P439:Q439"/>
    <mergeCell ref="B440:C440"/>
    <mergeCell ref="D440:E440"/>
    <mergeCell ref="F440:G440"/>
    <mergeCell ref="H440:I440"/>
    <mergeCell ref="J440:K440"/>
    <mergeCell ref="L440:M440"/>
    <mergeCell ref="P440:Q440"/>
    <mergeCell ref="AJ439:AK439"/>
    <mergeCell ref="AL439:AM439"/>
    <mergeCell ref="AN439:AO439"/>
    <mergeCell ref="AP439:AQ439"/>
    <mergeCell ref="AR439:AS439"/>
    <mergeCell ref="AT439:AU439"/>
    <mergeCell ref="AV439:AW439"/>
    <mergeCell ref="AN440:AO440"/>
    <mergeCell ref="AP440:AQ440"/>
    <mergeCell ref="AR440:AS440"/>
    <mergeCell ref="AT440:AU440"/>
    <mergeCell ref="AV440:AW440"/>
    <mergeCell ref="AX440:AZ440"/>
    <mergeCell ref="BA440:BB440"/>
    <mergeCell ref="AJ438:AK438"/>
    <mergeCell ref="AL438:AM438"/>
    <mergeCell ref="R438:S438"/>
    <mergeCell ref="T438:U438"/>
    <mergeCell ref="V438:W438"/>
    <mergeCell ref="X438:AA438"/>
    <mergeCell ref="AB438:AE438"/>
    <mergeCell ref="BJ430:BM430"/>
    <mergeCell ref="BN430:BV430"/>
    <mergeCell ref="BJ431:BM431"/>
    <mergeCell ref="BN431:BV431"/>
    <mergeCell ref="B430:C430"/>
    <mergeCell ref="D430:E430"/>
    <mergeCell ref="F430:G430"/>
    <mergeCell ref="H430:I430"/>
    <mergeCell ref="J430:K430"/>
    <mergeCell ref="L430:M430"/>
    <mergeCell ref="P430:Q430"/>
    <mergeCell ref="B431:C431"/>
    <mergeCell ref="D431:E431"/>
    <mergeCell ref="F431:G431"/>
    <mergeCell ref="H431:I431"/>
    <mergeCell ref="J431:K431"/>
    <mergeCell ref="L431:M431"/>
    <mergeCell ref="P431:Q431"/>
    <mergeCell ref="AJ430:AK430"/>
    <mergeCell ref="AL430:AM430"/>
    <mergeCell ref="AN430:AO430"/>
    <mergeCell ref="AP430:AQ430"/>
    <mergeCell ref="AR430:AS430"/>
    <mergeCell ref="AT430:AU430"/>
    <mergeCell ref="AV430:AW430"/>
    <mergeCell ref="BD442:BE442"/>
    <mergeCell ref="BF442:BI442"/>
    <mergeCell ref="AN442:AO442"/>
    <mergeCell ref="AP442:AQ442"/>
    <mergeCell ref="AR442:AS442"/>
    <mergeCell ref="AT442:AU442"/>
    <mergeCell ref="AV442:AW442"/>
    <mergeCell ref="AX442:AZ442"/>
    <mergeCell ref="BA442:BB442"/>
    <mergeCell ref="AJ440:AK440"/>
    <mergeCell ref="AL440:AM440"/>
    <mergeCell ref="R440:S440"/>
    <mergeCell ref="T440:U440"/>
    <mergeCell ref="V440:W440"/>
    <mergeCell ref="X440:AA440"/>
    <mergeCell ref="AB440:AE440"/>
    <mergeCell ref="AF440:AG440"/>
    <mergeCell ref="AH440:AI440"/>
    <mergeCell ref="R441:S441"/>
    <mergeCell ref="T441:U441"/>
    <mergeCell ref="V441:W441"/>
    <mergeCell ref="X441:AA441"/>
    <mergeCell ref="AB441:AE441"/>
    <mergeCell ref="AF441:AG441"/>
    <mergeCell ref="AH441:AI441"/>
    <mergeCell ref="AX441:AZ441"/>
    <mergeCell ref="BA441:BB441"/>
    <mergeCell ref="BD441:BE441"/>
    <mergeCell ref="BF441:BI441"/>
    <mergeCell ref="BJ441:BM441"/>
    <mergeCell ref="BN441:BV441"/>
    <mergeCell ref="BJ442:BM442"/>
    <mergeCell ref="BN442:BV442"/>
    <mergeCell ref="B441:C441"/>
    <mergeCell ref="D441:E441"/>
    <mergeCell ref="F441:G441"/>
    <mergeCell ref="H441:I441"/>
    <mergeCell ref="J441:K441"/>
    <mergeCell ref="L441:M441"/>
    <mergeCell ref="P428:Q428"/>
    <mergeCell ref="B429:C429"/>
    <mergeCell ref="D429:E429"/>
    <mergeCell ref="F429:G429"/>
    <mergeCell ref="H429:I429"/>
    <mergeCell ref="J429:K429"/>
    <mergeCell ref="L429:M429"/>
    <mergeCell ref="P429:Q429"/>
    <mergeCell ref="AJ428:AK428"/>
    <mergeCell ref="AL428:AM428"/>
    <mergeCell ref="AN428:AO428"/>
    <mergeCell ref="AP428:AQ428"/>
    <mergeCell ref="AR428:AS428"/>
    <mergeCell ref="AT428:AU428"/>
    <mergeCell ref="AV428:AW428"/>
    <mergeCell ref="BD431:BE431"/>
    <mergeCell ref="BF431:BI431"/>
    <mergeCell ref="AN431:AO431"/>
    <mergeCell ref="AP431:AQ431"/>
    <mergeCell ref="AR431:AS431"/>
    <mergeCell ref="AT431:AU431"/>
    <mergeCell ref="AV431:AW431"/>
    <mergeCell ref="AX431:AZ431"/>
    <mergeCell ref="BA431:BB431"/>
    <mergeCell ref="AJ429:AK429"/>
    <mergeCell ref="AL429:AM429"/>
    <mergeCell ref="R429:S429"/>
    <mergeCell ref="T429:U429"/>
    <mergeCell ref="V429:W429"/>
    <mergeCell ref="X429:AA429"/>
    <mergeCell ref="AB429:AE429"/>
    <mergeCell ref="AF429:AG429"/>
    <mergeCell ref="AH429:AI429"/>
    <mergeCell ref="R430:S430"/>
    <mergeCell ref="T430:U430"/>
    <mergeCell ref="V430:W430"/>
    <mergeCell ref="X430:AA430"/>
    <mergeCell ref="AB430:AE430"/>
    <mergeCell ref="AF430:AG430"/>
    <mergeCell ref="AH430:AI430"/>
    <mergeCell ref="AX430:AZ430"/>
    <mergeCell ref="BA430:BB430"/>
    <mergeCell ref="BD430:BE430"/>
    <mergeCell ref="BF430:BI430"/>
    <mergeCell ref="AJ431:AK431"/>
    <mergeCell ref="AL431:AM431"/>
    <mergeCell ref="R431:S431"/>
    <mergeCell ref="T431:U431"/>
    <mergeCell ref="V431:W431"/>
    <mergeCell ref="X431:AA431"/>
    <mergeCell ref="AB431:AE431"/>
    <mergeCell ref="AF431:AG431"/>
    <mergeCell ref="AH431:AI431"/>
    <mergeCell ref="BJ426:BM426"/>
    <mergeCell ref="BN426:BV426"/>
    <mergeCell ref="BJ427:BM427"/>
    <mergeCell ref="BN427:BV427"/>
    <mergeCell ref="B426:C426"/>
    <mergeCell ref="D426:E426"/>
    <mergeCell ref="F426:G426"/>
    <mergeCell ref="H426:I426"/>
    <mergeCell ref="J426:K426"/>
    <mergeCell ref="L426:M426"/>
    <mergeCell ref="P426:Q426"/>
    <mergeCell ref="B427:C427"/>
    <mergeCell ref="D427:E427"/>
    <mergeCell ref="F427:G427"/>
    <mergeCell ref="H427:I427"/>
    <mergeCell ref="J427:K427"/>
    <mergeCell ref="L427:M427"/>
    <mergeCell ref="P427:Q427"/>
    <mergeCell ref="AJ426:AK426"/>
    <mergeCell ref="AL426:AM426"/>
    <mergeCell ref="AN426:AO426"/>
    <mergeCell ref="AP426:AQ426"/>
    <mergeCell ref="AR426:AS426"/>
    <mergeCell ref="AT426:AU426"/>
    <mergeCell ref="AV426:AW426"/>
    <mergeCell ref="BD429:BE429"/>
    <mergeCell ref="BF429:BI429"/>
    <mergeCell ref="AN429:AO429"/>
    <mergeCell ref="AP429:AQ429"/>
    <mergeCell ref="AR429:AS429"/>
    <mergeCell ref="AT429:AU429"/>
    <mergeCell ref="AV429:AW429"/>
    <mergeCell ref="AX429:AZ429"/>
    <mergeCell ref="BA429:BB429"/>
    <mergeCell ref="AJ427:AK427"/>
    <mergeCell ref="AL427:AM427"/>
    <mergeCell ref="R427:S427"/>
    <mergeCell ref="T427:U427"/>
    <mergeCell ref="V427:W427"/>
    <mergeCell ref="X427:AA427"/>
    <mergeCell ref="AB427:AE427"/>
    <mergeCell ref="AF427:AG427"/>
    <mergeCell ref="AH427:AI427"/>
    <mergeCell ref="R428:S428"/>
    <mergeCell ref="T428:U428"/>
    <mergeCell ref="V428:W428"/>
    <mergeCell ref="X428:AA428"/>
    <mergeCell ref="AB428:AE428"/>
    <mergeCell ref="AF428:AG428"/>
    <mergeCell ref="AH428:AI428"/>
    <mergeCell ref="AX428:AZ428"/>
    <mergeCell ref="BA428:BB428"/>
    <mergeCell ref="BD428:BE428"/>
    <mergeCell ref="BF428:BI428"/>
    <mergeCell ref="BJ428:BM428"/>
    <mergeCell ref="BN428:BV428"/>
    <mergeCell ref="BJ429:BM429"/>
    <mergeCell ref="BN429:BV429"/>
    <mergeCell ref="B428:C428"/>
    <mergeCell ref="D428:E428"/>
    <mergeCell ref="F428:G428"/>
    <mergeCell ref="H428:I428"/>
    <mergeCell ref="J428:K428"/>
    <mergeCell ref="L428:M428"/>
    <mergeCell ref="B424:C424"/>
    <mergeCell ref="D424:E424"/>
    <mergeCell ref="F424:G424"/>
    <mergeCell ref="H424:I424"/>
    <mergeCell ref="J424:K424"/>
    <mergeCell ref="L424:M424"/>
    <mergeCell ref="P424:Q424"/>
    <mergeCell ref="B425:C425"/>
    <mergeCell ref="D425:E425"/>
    <mergeCell ref="F425:G425"/>
    <mergeCell ref="H425:I425"/>
    <mergeCell ref="J425:K425"/>
    <mergeCell ref="L425:M425"/>
    <mergeCell ref="P425:Q425"/>
    <mergeCell ref="AJ424:AK424"/>
    <mergeCell ref="AL424:AM424"/>
    <mergeCell ref="AN424:AO424"/>
    <mergeCell ref="AP424:AQ424"/>
    <mergeCell ref="AR424:AS424"/>
    <mergeCell ref="AT424:AU424"/>
    <mergeCell ref="AV424:AW424"/>
    <mergeCell ref="BD427:BE427"/>
    <mergeCell ref="BF427:BI427"/>
    <mergeCell ref="AN427:AO427"/>
    <mergeCell ref="AP427:AQ427"/>
    <mergeCell ref="AR427:AS427"/>
    <mergeCell ref="AT427:AU427"/>
    <mergeCell ref="AV427:AW427"/>
    <mergeCell ref="AX427:AZ427"/>
    <mergeCell ref="BA427:BB427"/>
    <mergeCell ref="AJ425:AK425"/>
    <mergeCell ref="AL425:AM425"/>
    <mergeCell ref="R425:S425"/>
    <mergeCell ref="T425:U425"/>
    <mergeCell ref="V425:W425"/>
    <mergeCell ref="X425:AA425"/>
    <mergeCell ref="AB425:AE425"/>
    <mergeCell ref="AF425:AG425"/>
    <mergeCell ref="AH425:AI425"/>
    <mergeCell ref="R426:S426"/>
    <mergeCell ref="T426:U426"/>
    <mergeCell ref="V426:W426"/>
    <mergeCell ref="X426:AA426"/>
    <mergeCell ref="AB426:AE426"/>
    <mergeCell ref="AF426:AG426"/>
    <mergeCell ref="AH426:AI426"/>
    <mergeCell ref="AX426:AZ426"/>
    <mergeCell ref="BA426:BB426"/>
    <mergeCell ref="BD426:BE426"/>
    <mergeCell ref="BF426:BI426"/>
    <mergeCell ref="BD425:BE425"/>
    <mergeCell ref="BF425:BI425"/>
    <mergeCell ref="AN425:AO425"/>
    <mergeCell ref="AP425:AQ425"/>
    <mergeCell ref="AR425:AS425"/>
    <mergeCell ref="AT425:AU425"/>
    <mergeCell ref="AV425:AW425"/>
    <mergeCell ref="AX425:AZ425"/>
    <mergeCell ref="BA425:BB425"/>
    <mergeCell ref="AJ423:AK423"/>
    <mergeCell ref="AL423:AM423"/>
    <mergeCell ref="R423:S423"/>
    <mergeCell ref="T423:U423"/>
    <mergeCell ref="V423:W423"/>
    <mergeCell ref="X423:AA423"/>
    <mergeCell ref="AB423:AE423"/>
    <mergeCell ref="AF423:AG423"/>
    <mergeCell ref="AH423:AI423"/>
    <mergeCell ref="R424:S424"/>
    <mergeCell ref="T424:U424"/>
    <mergeCell ref="V424:W424"/>
    <mergeCell ref="X424:AA424"/>
    <mergeCell ref="AB424:AE424"/>
    <mergeCell ref="AF424:AG424"/>
    <mergeCell ref="AH424:AI424"/>
    <mergeCell ref="AX424:AZ424"/>
    <mergeCell ref="BA424:BB424"/>
    <mergeCell ref="BD424:BE424"/>
    <mergeCell ref="BF424:BI424"/>
    <mergeCell ref="BJ424:BM424"/>
    <mergeCell ref="BN424:BV424"/>
    <mergeCell ref="BJ425:BM425"/>
    <mergeCell ref="BN425:BV425"/>
    <mergeCell ref="B420:C420"/>
    <mergeCell ref="D420:E420"/>
    <mergeCell ref="F420:G420"/>
    <mergeCell ref="H420:I420"/>
    <mergeCell ref="J420:K420"/>
    <mergeCell ref="L420:M420"/>
    <mergeCell ref="P420:Q420"/>
    <mergeCell ref="B421:C421"/>
    <mergeCell ref="D421:E421"/>
    <mergeCell ref="F421:G421"/>
    <mergeCell ref="H421:I421"/>
    <mergeCell ref="J421:K421"/>
    <mergeCell ref="L421:M421"/>
    <mergeCell ref="P421:Q421"/>
    <mergeCell ref="AJ420:AK420"/>
    <mergeCell ref="AL420:AM420"/>
    <mergeCell ref="AN420:AO420"/>
    <mergeCell ref="AP420:AQ420"/>
    <mergeCell ref="AR420:AS420"/>
    <mergeCell ref="AT420:AU420"/>
    <mergeCell ref="AV420:AW420"/>
    <mergeCell ref="BD423:BE423"/>
    <mergeCell ref="BF423:BI423"/>
    <mergeCell ref="AN423:AO423"/>
    <mergeCell ref="AP423:AQ423"/>
    <mergeCell ref="AR423:AS423"/>
    <mergeCell ref="AT423:AU423"/>
    <mergeCell ref="AV423:AW423"/>
    <mergeCell ref="AX423:AZ423"/>
    <mergeCell ref="BA423:BB423"/>
    <mergeCell ref="AJ421:AK421"/>
    <mergeCell ref="AL421:AM421"/>
    <mergeCell ref="R421:S421"/>
    <mergeCell ref="T421:U421"/>
    <mergeCell ref="V421:W421"/>
    <mergeCell ref="X421:AA421"/>
    <mergeCell ref="AB421:AE421"/>
    <mergeCell ref="AF421:AG421"/>
    <mergeCell ref="AH421:AI421"/>
    <mergeCell ref="R422:S422"/>
    <mergeCell ref="T422:U422"/>
    <mergeCell ref="V422:W422"/>
    <mergeCell ref="X422:AA422"/>
    <mergeCell ref="AB422:AE422"/>
    <mergeCell ref="AF422:AG422"/>
    <mergeCell ref="AH422:AI422"/>
    <mergeCell ref="AX422:AZ422"/>
    <mergeCell ref="BA422:BB422"/>
    <mergeCell ref="BD422:BE422"/>
    <mergeCell ref="BF422:BI422"/>
    <mergeCell ref="B422:C422"/>
    <mergeCell ref="D422:E422"/>
    <mergeCell ref="F422:G422"/>
    <mergeCell ref="H422:I422"/>
    <mergeCell ref="J422:K422"/>
    <mergeCell ref="L422:M422"/>
    <mergeCell ref="P422:Q422"/>
    <mergeCell ref="B423:C423"/>
    <mergeCell ref="D423:E423"/>
    <mergeCell ref="F423:G423"/>
    <mergeCell ref="H423:I423"/>
    <mergeCell ref="J423:K423"/>
    <mergeCell ref="L423:M423"/>
    <mergeCell ref="P423:Q423"/>
    <mergeCell ref="BD415:BE415"/>
    <mergeCell ref="BF415:BI415"/>
    <mergeCell ref="AN415:AO415"/>
    <mergeCell ref="AP415:AQ415"/>
    <mergeCell ref="AR415:AS415"/>
    <mergeCell ref="AT415:AU415"/>
    <mergeCell ref="AV415:AW415"/>
    <mergeCell ref="AX415:AZ415"/>
    <mergeCell ref="BA415:BB415"/>
    <mergeCell ref="BD421:BE421"/>
    <mergeCell ref="BF421:BI421"/>
    <mergeCell ref="AN421:AO421"/>
    <mergeCell ref="AP421:AQ421"/>
    <mergeCell ref="AR421:AS421"/>
    <mergeCell ref="AT421:AU421"/>
    <mergeCell ref="AV421:AW421"/>
    <mergeCell ref="AX421:AZ421"/>
    <mergeCell ref="BA421:BB421"/>
    <mergeCell ref="AJ419:AK419"/>
    <mergeCell ref="AL419:AM419"/>
    <mergeCell ref="R419:S419"/>
    <mergeCell ref="T419:U419"/>
    <mergeCell ref="V419:W419"/>
    <mergeCell ref="X419:AA419"/>
    <mergeCell ref="AB419:AE419"/>
    <mergeCell ref="AF419:AG419"/>
    <mergeCell ref="AH419:AI419"/>
    <mergeCell ref="R420:S420"/>
    <mergeCell ref="T420:U420"/>
    <mergeCell ref="V420:W420"/>
    <mergeCell ref="X420:AA420"/>
    <mergeCell ref="AB420:AE420"/>
    <mergeCell ref="AF420:AG420"/>
    <mergeCell ref="AH420:AI420"/>
    <mergeCell ref="AX420:AZ420"/>
    <mergeCell ref="BA420:BB420"/>
    <mergeCell ref="BD420:BE420"/>
    <mergeCell ref="BF420:BI420"/>
    <mergeCell ref="BD417:BE417"/>
    <mergeCell ref="BF417:BI417"/>
    <mergeCell ref="BJ420:BM420"/>
    <mergeCell ref="BN420:BV420"/>
    <mergeCell ref="BJ421:BM421"/>
    <mergeCell ref="BN421:BV421"/>
    <mergeCell ref="BJ422:BM422"/>
    <mergeCell ref="BN422:BV422"/>
    <mergeCell ref="BJ423:BM423"/>
    <mergeCell ref="BN423:BV423"/>
    <mergeCell ref="AJ422:AK422"/>
    <mergeCell ref="AL422:AM422"/>
    <mergeCell ref="AN422:AO422"/>
    <mergeCell ref="AP422:AQ422"/>
    <mergeCell ref="AR422:AS422"/>
    <mergeCell ref="AT422:AU422"/>
    <mergeCell ref="AV422:AW422"/>
    <mergeCell ref="BJ411:BM411"/>
    <mergeCell ref="BN411:BV411"/>
    <mergeCell ref="AJ411:AK411"/>
    <mergeCell ref="AL411:AM411"/>
    <mergeCell ref="AN411:AO411"/>
    <mergeCell ref="AP411:AQ411"/>
    <mergeCell ref="AR411:AS411"/>
    <mergeCell ref="AT411:AU411"/>
    <mergeCell ref="AV411:AW411"/>
    <mergeCell ref="B411:C411"/>
    <mergeCell ref="D411:E411"/>
    <mergeCell ref="F411:G411"/>
    <mergeCell ref="H411:I411"/>
    <mergeCell ref="J411:K411"/>
    <mergeCell ref="L411:M411"/>
    <mergeCell ref="P411:Q411"/>
    <mergeCell ref="AX412:AZ412"/>
    <mergeCell ref="BA412:BB412"/>
    <mergeCell ref="BD412:BE412"/>
    <mergeCell ref="BF412:BI412"/>
    <mergeCell ref="BJ412:BM412"/>
    <mergeCell ref="BN412:BV412"/>
    <mergeCell ref="BJ413:BM413"/>
    <mergeCell ref="BN413:BV413"/>
    <mergeCell ref="B413:C413"/>
    <mergeCell ref="D413:E413"/>
    <mergeCell ref="F413:G413"/>
    <mergeCell ref="H413:I413"/>
    <mergeCell ref="J413:K413"/>
    <mergeCell ref="L413:M413"/>
    <mergeCell ref="P413:Q413"/>
    <mergeCell ref="AJ412:AK412"/>
    <mergeCell ref="AL412:AM412"/>
    <mergeCell ref="AN412:AO412"/>
    <mergeCell ref="AP412:AQ412"/>
    <mergeCell ref="AR412:AS412"/>
    <mergeCell ref="AT412:AU412"/>
    <mergeCell ref="AV412:AW412"/>
    <mergeCell ref="R412:S412"/>
    <mergeCell ref="T412:U412"/>
    <mergeCell ref="V412:W412"/>
    <mergeCell ref="X412:AA412"/>
    <mergeCell ref="AB412:AE412"/>
    <mergeCell ref="AF412:AG412"/>
    <mergeCell ref="AH412:AI412"/>
    <mergeCell ref="B412:C412"/>
    <mergeCell ref="D412:E412"/>
    <mergeCell ref="F412:G412"/>
    <mergeCell ref="H412:I412"/>
    <mergeCell ref="BD413:BE413"/>
    <mergeCell ref="BF413:BI413"/>
    <mergeCell ref="AN413:AO413"/>
    <mergeCell ref="AP413:AQ413"/>
    <mergeCell ref="AR413:AS413"/>
    <mergeCell ref="AT413:AU413"/>
    <mergeCell ref="AV413:AW413"/>
    <mergeCell ref="AX413:AZ413"/>
    <mergeCell ref="BA413:BB413"/>
    <mergeCell ref="R411:S411"/>
    <mergeCell ref="T411:U411"/>
    <mergeCell ref="V411:W411"/>
    <mergeCell ref="X411:AA411"/>
    <mergeCell ref="AB411:AE411"/>
    <mergeCell ref="AF411:AG411"/>
    <mergeCell ref="AH411:AI411"/>
    <mergeCell ref="AX411:AZ411"/>
    <mergeCell ref="BA411:BB411"/>
    <mergeCell ref="BD411:BE411"/>
    <mergeCell ref="BF411:BI411"/>
    <mergeCell ref="BD410:BE410"/>
    <mergeCell ref="BF410:BI410"/>
    <mergeCell ref="AN410:AO410"/>
    <mergeCell ref="AP410:AQ410"/>
    <mergeCell ref="AR410:AS410"/>
    <mergeCell ref="AT410:AU410"/>
    <mergeCell ref="AV410:AW410"/>
    <mergeCell ref="AX410:AZ410"/>
    <mergeCell ref="BA410:BB410"/>
    <mergeCell ref="AJ408:AK408"/>
    <mergeCell ref="AL408:AM408"/>
    <mergeCell ref="R408:S408"/>
    <mergeCell ref="T408:U408"/>
    <mergeCell ref="V408:W408"/>
    <mergeCell ref="X408:AA408"/>
    <mergeCell ref="AB408:AE408"/>
    <mergeCell ref="AF408:AG408"/>
    <mergeCell ref="AH408:AI408"/>
    <mergeCell ref="R409:S409"/>
    <mergeCell ref="T409:U409"/>
    <mergeCell ref="V409:W409"/>
    <mergeCell ref="X409:AA409"/>
    <mergeCell ref="AB409:AE409"/>
    <mergeCell ref="AF409:AG409"/>
    <mergeCell ref="AH409:AI409"/>
    <mergeCell ref="AX409:AZ409"/>
    <mergeCell ref="BA409:BB409"/>
    <mergeCell ref="BD409:BE409"/>
    <mergeCell ref="BF409:BI409"/>
    <mergeCell ref="BA416:BB416"/>
    <mergeCell ref="BD416:BE416"/>
    <mergeCell ref="BF416:BI416"/>
    <mergeCell ref="BJ416:BM416"/>
    <mergeCell ref="BN416:BV416"/>
    <mergeCell ref="BJ417:BM417"/>
    <mergeCell ref="BN417:BV417"/>
    <mergeCell ref="B416:C416"/>
    <mergeCell ref="D416:E416"/>
    <mergeCell ref="F416:G416"/>
    <mergeCell ref="H416:I416"/>
    <mergeCell ref="BJ409:BM409"/>
    <mergeCell ref="BN409:BV409"/>
    <mergeCell ref="B409:C409"/>
    <mergeCell ref="D409:E409"/>
    <mergeCell ref="F409:G409"/>
    <mergeCell ref="H409:I409"/>
    <mergeCell ref="J409:K409"/>
    <mergeCell ref="L409:M409"/>
    <mergeCell ref="P409:Q409"/>
    <mergeCell ref="AJ409:AK409"/>
    <mergeCell ref="AL409:AM409"/>
    <mergeCell ref="AN409:AO409"/>
    <mergeCell ref="AP409:AQ409"/>
    <mergeCell ref="AR409:AS409"/>
    <mergeCell ref="AT409:AU409"/>
    <mergeCell ref="AV409:AW409"/>
    <mergeCell ref="B410:C410"/>
    <mergeCell ref="D410:E410"/>
    <mergeCell ref="F410:G410"/>
    <mergeCell ref="H410:I410"/>
    <mergeCell ref="J410:K410"/>
    <mergeCell ref="L410:M410"/>
    <mergeCell ref="P410:Q410"/>
    <mergeCell ref="BD414:BE414"/>
    <mergeCell ref="BF414:BI414"/>
    <mergeCell ref="BJ414:BM414"/>
    <mergeCell ref="BN414:BV414"/>
    <mergeCell ref="BJ415:BM415"/>
    <mergeCell ref="BN415:BV415"/>
    <mergeCell ref="B414:C414"/>
    <mergeCell ref="D414:E414"/>
    <mergeCell ref="F414:G414"/>
    <mergeCell ref="H414:I414"/>
    <mergeCell ref="J414:K414"/>
    <mergeCell ref="L414:M414"/>
    <mergeCell ref="P414:Q414"/>
    <mergeCell ref="B415:C415"/>
    <mergeCell ref="D415:E415"/>
    <mergeCell ref="F415:G415"/>
    <mergeCell ref="H415:I415"/>
    <mergeCell ref="J415:K415"/>
    <mergeCell ref="L415:M415"/>
    <mergeCell ref="P415:Q415"/>
    <mergeCell ref="AJ414:AK414"/>
    <mergeCell ref="AL414:AM414"/>
    <mergeCell ref="AN414:AO414"/>
    <mergeCell ref="AP414:AQ414"/>
    <mergeCell ref="AR414:AS414"/>
    <mergeCell ref="AT414:AU414"/>
    <mergeCell ref="AV414:AW414"/>
    <mergeCell ref="J412:K412"/>
    <mergeCell ref="L412:M412"/>
    <mergeCell ref="P412:Q412"/>
    <mergeCell ref="BJ418:BM418"/>
    <mergeCell ref="BN418:BV418"/>
    <mergeCell ref="BJ419:BM419"/>
    <mergeCell ref="BN419:BV419"/>
    <mergeCell ref="B418:C418"/>
    <mergeCell ref="D418:E418"/>
    <mergeCell ref="F418:G418"/>
    <mergeCell ref="H418:I418"/>
    <mergeCell ref="J418:K418"/>
    <mergeCell ref="L418:M418"/>
    <mergeCell ref="P418:Q418"/>
    <mergeCell ref="B419:C419"/>
    <mergeCell ref="D419:E419"/>
    <mergeCell ref="F419:G419"/>
    <mergeCell ref="H419:I419"/>
    <mergeCell ref="J419:K419"/>
    <mergeCell ref="L419:M419"/>
    <mergeCell ref="P419:Q419"/>
    <mergeCell ref="AJ418:AK418"/>
    <mergeCell ref="AL418:AM418"/>
    <mergeCell ref="AN418:AO418"/>
    <mergeCell ref="AP418:AQ418"/>
    <mergeCell ref="AR418:AS418"/>
    <mergeCell ref="AT418:AU418"/>
    <mergeCell ref="AV418:AW418"/>
    <mergeCell ref="AJ413:AK413"/>
    <mergeCell ref="AL413:AM413"/>
    <mergeCell ref="R413:S413"/>
    <mergeCell ref="T413:U413"/>
    <mergeCell ref="V413:W413"/>
    <mergeCell ref="X413:AA413"/>
    <mergeCell ref="AB413:AE413"/>
    <mergeCell ref="AF413:AG413"/>
    <mergeCell ref="AH413:AI413"/>
    <mergeCell ref="R414:S414"/>
    <mergeCell ref="T414:U414"/>
    <mergeCell ref="V414:W414"/>
    <mergeCell ref="X414:AA414"/>
    <mergeCell ref="AB414:AE414"/>
    <mergeCell ref="AF414:AG414"/>
    <mergeCell ref="AH414:AI414"/>
    <mergeCell ref="AX414:AZ414"/>
    <mergeCell ref="BA414:BB414"/>
    <mergeCell ref="J416:K416"/>
    <mergeCell ref="L416:M416"/>
    <mergeCell ref="P416:Q416"/>
    <mergeCell ref="B417:C417"/>
    <mergeCell ref="D417:E417"/>
    <mergeCell ref="F417:G417"/>
    <mergeCell ref="H417:I417"/>
    <mergeCell ref="J417:K417"/>
    <mergeCell ref="L417:M417"/>
    <mergeCell ref="P417:Q417"/>
    <mergeCell ref="AJ416:AK416"/>
    <mergeCell ref="AL416:AM416"/>
    <mergeCell ref="AN416:AO416"/>
    <mergeCell ref="AP416:AQ416"/>
    <mergeCell ref="AR416:AS416"/>
    <mergeCell ref="AT416:AU416"/>
    <mergeCell ref="AV416:AW416"/>
    <mergeCell ref="AN417:AO417"/>
    <mergeCell ref="AP417:AQ417"/>
    <mergeCell ref="AR417:AS417"/>
    <mergeCell ref="AT417:AU417"/>
    <mergeCell ref="P407:Q407"/>
    <mergeCell ref="B408:C408"/>
    <mergeCell ref="D408:E408"/>
    <mergeCell ref="F408:G408"/>
    <mergeCell ref="H408:I408"/>
    <mergeCell ref="J408:K408"/>
    <mergeCell ref="L408:M408"/>
    <mergeCell ref="P408:Q408"/>
    <mergeCell ref="AJ407:AK407"/>
    <mergeCell ref="AL407:AM407"/>
    <mergeCell ref="AN407:AO407"/>
    <mergeCell ref="AP407:AQ407"/>
    <mergeCell ref="AR407:AS407"/>
    <mergeCell ref="AT407:AU407"/>
    <mergeCell ref="AV407:AW407"/>
    <mergeCell ref="BD419:BE419"/>
    <mergeCell ref="BF419:BI419"/>
    <mergeCell ref="AN419:AO419"/>
    <mergeCell ref="AP419:AQ419"/>
    <mergeCell ref="AR419:AS419"/>
    <mergeCell ref="AT419:AU419"/>
    <mergeCell ref="AV419:AW419"/>
    <mergeCell ref="AX419:AZ419"/>
    <mergeCell ref="BA419:BB419"/>
    <mergeCell ref="AJ417:AK417"/>
    <mergeCell ref="AL417:AM417"/>
    <mergeCell ref="R417:S417"/>
    <mergeCell ref="T417:U417"/>
    <mergeCell ref="V417:W417"/>
    <mergeCell ref="X417:AA417"/>
    <mergeCell ref="AB417:AE417"/>
    <mergeCell ref="AF417:AG417"/>
    <mergeCell ref="AH417:AI417"/>
    <mergeCell ref="R418:S418"/>
    <mergeCell ref="T418:U418"/>
    <mergeCell ref="V418:W418"/>
    <mergeCell ref="X418:AA418"/>
    <mergeCell ref="AB418:AE418"/>
    <mergeCell ref="AF418:AG418"/>
    <mergeCell ref="AH418:AI418"/>
    <mergeCell ref="AX418:AZ418"/>
    <mergeCell ref="BA418:BB418"/>
    <mergeCell ref="BD418:BE418"/>
    <mergeCell ref="BF418:BI418"/>
    <mergeCell ref="AV417:AW417"/>
    <mergeCell ref="AX417:AZ417"/>
    <mergeCell ref="BA417:BB417"/>
    <mergeCell ref="AJ415:AK415"/>
    <mergeCell ref="AL415:AM415"/>
    <mergeCell ref="R415:S415"/>
    <mergeCell ref="T415:U415"/>
    <mergeCell ref="V415:W415"/>
    <mergeCell ref="X415:AA415"/>
    <mergeCell ref="AB415:AE415"/>
    <mergeCell ref="AF415:AG415"/>
    <mergeCell ref="AH415:AI415"/>
    <mergeCell ref="R416:S416"/>
    <mergeCell ref="T416:U416"/>
    <mergeCell ref="V416:W416"/>
    <mergeCell ref="X416:AA416"/>
    <mergeCell ref="AB416:AE416"/>
    <mergeCell ref="AF416:AG416"/>
    <mergeCell ref="AH416:AI416"/>
    <mergeCell ref="AX416:AZ416"/>
    <mergeCell ref="BJ405:BM405"/>
    <mergeCell ref="BN405:BV405"/>
    <mergeCell ref="BJ406:BM406"/>
    <mergeCell ref="BN406:BV406"/>
    <mergeCell ref="B405:C405"/>
    <mergeCell ref="D405:E405"/>
    <mergeCell ref="F405:G405"/>
    <mergeCell ref="H405:I405"/>
    <mergeCell ref="J405:K405"/>
    <mergeCell ref="L405:M405"/>
    <mergeCell ref="P405:Q405"/>
    <mergeCell ref="B406:C406"/>
    <mergeCell ref="D406:E406"/>
    <mergeCell ref="F406:G406"/>
    <mergeCell ref="H406:I406"/>
    <mergeCell ref="J406:K406"/>
    <mergeCell ref="L406:M406"/>
    <mergeCell ref="P406:Q406"/>
    <mergeCell ref="AJ405:AK405"/>
    <mergeCell ref="AL405:AM405"/>
    <mergeCell ref="AN405:AO405"/>
    <mergeCell ref="AP405:AQ405"/>
    <mergeCell ref="AR405:AS405"/>
    <mergeCell ref="AT405:AU405"/>
    <mergeCell ref="AV405:AW405"/>
    <mergeCell ref="BD408:BE408"/>
    <mergeCell ref="BF408:BI408"/>
    <mergeCell ref="AN408:AO408"/>
    <mergeCell ref="AP408:AQ408"/>
    <mergeCell ref="AR408:AS408"/>
    <mergeCell ref="AT408:AU408"/>
    <mergeCell ref="AV408:AW408"/>
    <mergeCell ref="AX408:AZ408"/>
    <mergeCell ref="BA408:BB408"/>
    <mergeCell ref="AJ406:AK406"/>
    <mergeCell ref="AL406:AM406"/>
    <mergeCell ref="R406:S406"/>
    <mergeCell ref="T406:U406"/>
    <mergeCell ref="V406:W406"/>
    <mergeCell ref="X406:AA406"/>
    <mergeCell ref="AB406:AE406"/>
    <mergeCell ref="AF406:AG406"/>
    <mergeCell ref="AH406:AI406"/>
    <mergeCell ref="R407:S407"/>
    <mergeCell ref="T407:U407"/>
    <mergeCell ref="V407:W407"/>
    <mergeCell ref="X407:AA407"/>
    <mergeCell ref="AB407:AE407"/>
    <mergeCell ref="AF407:AG407"/>
    <mergeCell ref="AH407:AI407"/>
    <mergeCell ref="AX407:AZ407"/>
    <mergeCell ref="BA407:BB407"/>
    <mergeCell ref="BD407:BE407"/>
    <mergeCell ref="BF407:BI407"/>
    <mergeCell ref="BJ407:BM407"/>
    <mergeCell ref="BN407:BV407"/>
    <mergeCell ref="BJ408:BM408"/>
    <mergeCell ref="BN408:BV408"/>
    <mergeCell ref="B407:C407"/>
    <mergeCell ref="D407:E407"/>
    <mergeCell ref="F407:G407"/>
    <mergeCell ref="H407:I407"/>
    <mergeCell ref="J407:K407"/>
    <mergeCell ref="L407:M407"/>
    <mergeCell ref="P403:Q403"/>
    <mergeCell ref="B404:C404"/>
    <mergeCell ref="D404:E404"/>
    <mergeCell ref="F404:G404"/>
    <mergeCell ref="H404:I404"/>
    <mergeCell ref="J404:K404"/>
    <mergeCell ref="L404:M404"/>
    <mergeCell ref="P404:Q404"/>
    <mergeCell ref="AJ403:AK403"/>
    <mergeCell ref="AL403:AM403"/>
    <mergeCell ref="AN403:AO403"/>
    <mergeCell ref="AP403:AQ403"/>
    <mergeCell ref="AR403:AS403"/>
    <mergeCell ref="AT403:AU403"/>
    <mergeCell ref="AV403:AW403"/>
    <mergeCell ref="BD406:BE406"/>
    <mergeCell ref="BF406:BI406"/>
    <mergeCell ref="AN406:AO406"/>
    <mergeCell ref="AP406:AQ406"/>
    <mergeCell ref="AR406:AS406"/>
    <mergeCell ref="AT406:AU406"/>
    <mergeCell ref="AV406:AW406"/>
    <mergeCell ref="AX406:AZ406"/>
    <mergeCell ref="BA406:BB406"/>
    <mergeCell ref="AJ404:AK404"/>
    <mergeCell ref="AL404:AM404"/>
    <mergeCell ref="R404:S404"/>
    <mergeCell ref="T404:U404"/>
    <mergeCell ref="V404:W404"/>
    <mergeCell ref="X404:AA404"/>
    <mergeCell ref="AB404:AE404"/>
    <mergeCell ref="AF404:AG404"/>
    <mergeCell ref="AH404:AI404"/>
    <mergeCell ref="R405:S405"/>
    <mergeCell ref="T405:U405"/>
    <mergeCell ref="V405:W405"/>
    <mergeCell ref="X405:AA405"/>
    <mergeCell ref="AB405:AE405"/>
    <mergeCell ref="AF405:AG405"/>
    <mergeCell ref="AH405:AI405"/>
    <mergeCell ref="AX405:AZ405"/>
    <mergeCell ref="BA405:BB405"/>
    <mergeCell ref="BD405:BE405"/>
    <mergeCell ref="BF405:BI405"/>
    <mergeCell ref="BJ401:BM401"/>
    <mergeCell ref="BN401:BV401"/>
    <mergeCell ref="BJ402:BM402"/>
    <mergeCell ref="BN402:BV402"/>
    <mergeCell ref="B401:C401"/>
    <mergeCell ref="D401:E401"/>
    <mergeCell ref="F401:G401"/>
    <mergeCell ref="H401:I401"/>
    <mergeCell ref="J401:K401"/>
    <mergeCell ref="L401:M401"/>
    <mergeCell ref="P401:Q401"/>
    <mergeCell ref="B402:C402"/>
    <mergeCell ref="D402:E402"/>
    <mergeCell ref="F402:G402"/>
    <mergeCell ref="H402:I402"/>
    <mergeCell ref="J402:K402"/>
    <mergeCell ref="L402:M402"/>
    <mergeCell ref="P402:Q402"/>
    <mergeCell ref="AJ401:AK401"/>
    <mergeCell ref="AL401:AM401"/>
    <mergeCell ref="AN401:AO401"/>
    <mergeCell ref="AP401:AQ401"/>
    <mergeCell ref="AR401:AS401"/>
    <mergeCell ref="AT401:AU401"/>
    <mergeCell ref="AV401:AW401"/>
    <mergeCell ref="BD404:BE404"/>
    <mergeCell ref="BF404:BI404"/>
    <mergeCell ref="AN404:AO404"/>
    <mergeCell ref="AP404:AQ404"/>
    <mergeCell ref="AR404:AS404"/>
    <mergeCell ref="AT404:AU404"/>
    <mergeCell ref="AV404:AW404"/>
    <mergeCell ref="AX404:AZ404"/>
    <mergeCell ref="BA404:BB404"/>
    <mergeCell ref="AJ402:AK402"/>
    <mergeCell ref="AL402:AM402"/>
    <mergeCell ref="R402:S402"/>
    <mergeCell ref="T402:U402"/>
    <mergeCell ref="V402:W402"/>
    <mergeCell ref="X402:AA402"/>
    <mergeCell ref="AB402:AE402"/>
    <mergeCell ref="AF402:AG402"/>
    <mergeCell ref="AH402:AI402"/>
    <mergeCell ref="R403:S403"/>
    <mergeCell ref="T403:U403"/>
    <mergeCell ref="V403:W403"/>
    <mergeCell ref="X403:AA403"/>
    <mergeCell ref="AB403:AE403"/>
    <mergeCell ref="AF403:AG403"/>
    <mergeCell ref="AH403:AI403"/>
    <mergeCell ref="AX403:AZ403"/>
    <mergeCell ref="BA403:BB403"/>
    <mergeCell ref="BD403:BE403"/>
    <mergeCell ref="BF403:BI403"/>
    <mergeCell ref="BJ403:BM403"/>
    <mergeCell ref="BN403:BV403"/>
    <mergeCell ref="BJ404:BM404"/>
    <mergeCell ref="BN404:BV404"/>
    <mergeCell ref="B403:C403"/>
    <mergeCell ref="D403:E403"/>
    <mergeCell ref="F403:G403"/>
    <mergeCell ref="H403:I403"/>
    <mergeCell ref="J403:K403"/>
    <mergeCell ref="L403:M403"/>
    <mergeCell ref="AX399:AZ399"/>
    <mergeCell ref="BA399:BB399"/>
    <mergeCell ref="BD399:BE399"/>
    <mergeCell ref="BF399:BI399"/>
    <mergeCell ref="B399:C399"/>
    <mergeCell ref="D399:E399"/>
    <mergeCell ref="F399:G399"/>
    <mergeCell ref="H399:I399"/>
    <mergeCell ref="J399:K399"/>
    <mergeCell ref="L399:M399"/>
    <mergeCell ref="P399:Q399"/>
    <mergeCell ref="B400:C400"/>
    <mergeCell ref="D400:E400"/>
    <mergeCell ref="F400:G400"/>
    <mergeCell ref="H400:I400"/>
    <mergeCell ref="J400:K400"/>
    <mergeCell ref="L400:M400"/>
    <mergeCell ref="P400:Q400"/>
    <mergeCell ref="AT399:AU399"/>
    <mergeCell ref="AV399:AW399"/>
    <mergeCell ref="BD402:BE402"/>
    <mergeCell ref="BF402:BI402"/>
    <mergeCell ref="AN402:AO402"/>
    <mergeCell ref="AP402:AQ402"/>
    <mergeCell ref="AR402:AS402"/>
    <mergeCell ref="AT402:AU402"/>
    <mergeCell ref="AV402:AW402"/>
    <mergeCell ref="AX402:AZ402"/>
    <mergeCell ref="BA402:BB402"/>
    <mergeCell ref="AJ400:AK400"/>
    <mergeCell ref="AL400:AM400"/>
    <mergeCell ref="R400:S400"/>
    <mergeCell ref="T400:U400"/>
    <mergeCell ref="V400:W400"/>
    <mergeCell ref="X400:AA400"/>
    <mergeCell ref="AB400:AE400"/>
    <mergeCell ref="AF400:AG400"/>
    <mergeCell ref="AH400:AI400"/>
    <mergeCell ref="R401:S401"/>
    <mergeCell ref="T401:U401"/>
    <mergeCell ref="V401:W401"/>
    <mergeCell ref="X401:AA401"/>
    <mergeCell ref="AB401:AE401"/>
    <mergeCell ref="AF401:AG401"/>
    <mergeCell ref="AH401:AI401"/>
    <mergeCell ref="AX401:AZ401"/>
    <mergeCell ref="BA401:BB401"/>
    <mergeCell ref="BD401:BE401"/>
    <mergeCell ref="BF401:BI401"/>
    <mergeCell ref="AH397:AI397"/>
    <mergeCell ref="AX397:AZ397"/>
    <mergeCell ref="BA397:BB397"/>
    <mergeCell ref="BD397:BE397"/>
    <mergeCell ref="BF397:BI397"/>
    <mergeCell ref="BJ397:BM397"/>
    <mergeCell ref="BN397:BV397"/>
    <mergeCell ref="BJ398:BM398"/>
    <mergeCell ref="BN398:BV398"/>
    <mergeCell ref="BJ399:BM399"/>
    <mergeCell ref="BN399:BV399"/>
    <mergeCell ref="BJ400:BM400"/>
    <mergeCell ref="BN400:BV400"/>
    <mergeCell ref="AJ399:AK399"/>
    <mergeCell ref="AL399:AM399"/>
    <mergeCell ref="AN399:AO399"/>
    <mergeCell ref="AP399:AQ399"/>
    <mergeCell ref="AR399:AS399"/>
    <mergeCell ref="B397:C397"/>
    <mergeCell ref="D397:E397"/>
    <mergeCell ref="F397:G397"/>
    <mergeCell ref="H397:I397"/>
    <mergeCell ref="J397:K397"/>
    <mergeCell ref="L397:M397"/>
    <mergeCell ref="P397:Q397"/>
    <mergeCell ref="B398:C398"/>
    <mergeCell ref="D398:E398"/>
    <mergeCell ref="F398:G398"/>
    <mergeCell ref="H398:I398"/>
    <mergeCell ref="J398:K398"/>
    <mergeCell ref="L398:M398"/>
    <mergeCell ref="P398:Q398"/>
    <mergeCell ref="AJ397:AK397"/>
    <mergeCell ref="AL397:AM397"/>
    <mergeCell ref="AN397:AO397"/>
    <mergeCell ref="AP397:AQ397"/>
    <mergeCell ref="AR397:AS397"/>
    <mergeCell ref="AT397:AU397"/>
    <mergeCell ref="AV397:AW397"/>
    <mergeCell ref="BD400:BE400"/>
    <mergeCell ref="BF400:BI400"/>
    <mergeCell ref="AN400:AO400"/>
    <mergeCell ref="AP400:AQ400"/>
    <mergeCell ref="AR400:AS400"/>
    <mergeCell ref="AT400:AU400"/>
    <mergeCell ref="AV400:AW400"/>
    <mergeCell ref="AX400:AZ400"/>
    <mergeCell ref="BA400:BB400"/>
    <mergeCell ref="AJ398:AK398"/>
    <mergeCell ref="AL398:AM398"/>
    <mergeCell ref="R398:S398"/>
    <mergeCell ref="T398:U398"/>
    <mergeCell ref="V398:W398"/>
    <mergeCell ref="X398:AA398"/>
    <mergeCell ref="AB398:AE398"/>
    <mergeCell ref="AF398:AG398"/>
    <mergeCell ref="AH398:AI398"/>
    <mergeCell ref="R399:S399"/>
    <mergeCell ref="T399:U399"/>
    <mergeCell ref="V399:W399"/>
    <mergeCell ref="X399:AA399"/>
    <mergeCell ref="AB399:AE399"/>
    <mergeCell ref="AF399:AG399"/>
    <mergeCell ref="AH399:AI399"/>
    <mergeCell ref="BJ389:BM389"/>
    <mergeCell ref="BN389:BV389"/>
    <mergeCell ref="BJ390:BM390"/>
    <mergeCell ref="BN390:BV390"/>
    <mergeCell ref="B390:C390"/>
    <mergeCell ref="D390:E390"/>
    <mergeCell ref="F390:G390"/>
    <mergeCell ref="H390:I390"/>
    <mergeCell ref="J390:K390"/>
    <mergeCell ref="L390:M390"/>
    <mergeCell ref="P390:Q390"/>
    <mergeCell ref="AJ389:AK389"/>
    <mergeCell ref="AL389:AM389"/>
    <mergeCell ref="AN389:AO389"/>
    <mergeCell ref="AP389:AQ389"/>
    <mergeCell ref="AR389:AS389"/>
    <mergeCell ref="AT389:AU389"/>
    <mergeCell ref="AV389:AW389"/>
    <mergeCell ref="BD392:BE392"/>
    <mergeCell ref="BF392:BI392"/>
    <mergeCell ref="AN392:AO392"/>
    <mergeCell ref="AP392:AQ392"/>
    <mergeCell ref="AR392:AS392"/>
    <mergeCell ref="AT392:AU392"/>
    <mergeCell ref="AV392:AW392"/>
    <mergeCell ref="AX392:AZ392"/>
    <mergeCell ref="BA392:BB392"/>
    <mergeCell ref="AJ410:AK410"/>
    <mergeCell ref="AL410:AM410"/>
    <mergeCell ref="BJ410:BM410"/>
    <mergeCell ref="BN410:BV410"/>
    <mergeCell ref="R410:S410"/>
    <mergeCell ref="T410:U410"/>
    <mergeCell ref="V410:W410"/>
    <mergeCell ref="X410:AA410"/>
    <mergeCell ref="AB410:AE410"/>
    <mergeCell ref="AF410:AG410"/>
    <mergeCell ref="AH410:AI410"/>
    <mergeCell ref="BD398:BE398"/>
    <mergeCell ref="BF398:BI398"/>
    <mergeCell ref="AN398:AO398"/>
    <mergeCell ref="AP398:AQ398"/>
    <mergeCell ref="AR398:AS398"/>
    <mergeCell ref="AT398:AU398"/>
    <mergeCell ref="AV398:AW398"/>
    <mergeCell ref="AX398:AZ398"/>
    <mergeCell ref="BA398:BB398"/>
    <mergeCell ref="AJ396:AK396"/>
    <mergeCell ref="AL396:AM396"/>
    <mergeCell ref="BJ396:BM396"/>
    <mergeCell ref="BN396:BV396"/>
    <mergeCell ref="R396:S396"/>
    <mergeCell ref="T396:U396"/>
    <mergeCell ref="V396:W396"/>
    <mergeCell ref="X396:AA396"/>
    <mergeCell ref="AB396:AE396"/>
    <mergeCell ref="AF396:AG396"/>
    <mergeCell ref="AH396:AI396"/>
    <mergeCell ref="R397:S397"/>
    <mergeCell ref="T397:U397"/>
    <mergeCell ref="V397:W397"/>
    <mergeCell ref="X397:AA397"/>
    <mergeCell ref="AB397:AE397"/>
    <mergeCell ref="AF397:AG397"/>
    <mergeCell ref="BF386:BI386"/>
    <mergeCell ref="BJ386:BM386"/>
    <mergeCell ref="BN386:BV386"/>
    <mergeCell ref="B386:C386"/>
    <mergeCell ref="D386:E386"/>
    <mergeCell ref="F386:G386"/>
    <mergeCell ref="H386:I386"/>
    <mergeCell ref="J386:K386"/>
    <mergeCell ref="L386:M386"/>
    <mergeCell ref="P386:Q386"/>
    <mergeCell ref="AJ386:AK386"/>
    <mergeCell ref="AL386:AM386"/>
    <mergeCell ref="AN386:AO386"/>
    <mergeCell ref="AP386:AQ386"/>
    <mergeCell ref="AR386:AS386"/>
    <mergeCell ref="AT386:AU386"/>
    <mergeCell ref="AV386:AW386"/>
    <mergeCell ref="B387:C387"/>
    <mergeCell ref="D387:E387"/>
    <mergeCell ref="F387:G387"/>
    <mergeCell ref="H387:I387"/>
    <mergeCell ref="J387:K387"/>
    <mergeCell ref="L387:M387"/>
    <mergeCell ref="P387:Q387"/>
    <mergeCell ref="R389:S389"/>
    <mergeCell ref="T389:U389"/>
    <mergeCell ref="V389:W389"/>
    <mergeCell ref="X389:AA389"/>
    <mergeCell ref="AB389:AE389"/>
    <mergeCell ref="AF389:AG389"/>
    <mergeCell ref="AH389:AI389"/>
    <mergeCell ref="B389:C389"/>
    <mergeCell ref="D389:E389"/>
    <mergeCell ref="F389:G389"/>
    <mergeCell ref="H389:I389"/>
    <mergeCell ref="J389:K389"/>
    <mergeCell ref="L389:M389"/>
    <mergeCell ref="P389:Q389"/>
    <mergeCell ref="BD386:BE386"/>
    <mergeCell ref="R388:S388"/>
    <mergeCell ref="T388:U388"/>
    <mergeCell ref="V388:W388"/>
    <mergeCell ref="X388:AA388"/>
    <mergeCell ref="AB388:AE388"/>
    <mergeCell ref="AF388:AG388"/>
    <mergeCell ref="AH388:AI388"/>
    <mergeCell ref="AX388:AZ388"/>
    <mergeCell ref="BA388:BB388"/>
    <mergeCell ref="BD388:BE388"/>
    <mergeCell ref="BF388:BI388"/>
    <mergeCell ref="BJ388:BM388"/>
    <mergeCell ref="BN388:BV388"/>
    <mergeCell ref="AJ388:AK388"/>
    <mergeCell ref="AL388:AM388"/>
    <mergeCell ref="AN388:AO388"/>
    <mergeCell ref="AP388:AQ388"/>
    <mergeCell ref="AR388:AS388"/>
    <mergeCell ref="AT388:AU388"/>
    <mergeCell ref="AV388:AW388"/>
    <mergeCell ref="B388:C388"/>
    <mergeCell ref="D388:E388"/>
    <mergeCell ref="F388:G388"/>
    <mergeCell ref="H388:I388"/>
    <mergeCell ref="J388:K388"/>
    <mergeCell ref="BJ391:BM391"/>
    <mergeCell ref="BN391:BV391"/>
    <mergeCell ref="BJ392:BM392"/>
    <mergeCell ref="BN392:BV392"/>
    <mergeCell ref="B391:C391"/>
    <mergeCell ref="D391:E391"/>
    <mergeCell ref="F391:G391"/>
    <mergeCell ref="H391:I391"/>
    <mergeCell ref="J391:K391"/>
    <mergeCell ref="L391:M391"/>
    <mergeCell ref="P391:Q391"/>
    <mergeCell ref="B392:C392"/>
    <mergeCell ref="D392:E392"/>
    <mergeCell ref="F392:G392"/>
    <mergeCell ref="H392:I392"/>
    <mergeCell ref="J392:K392"/>
    <mergeCell ref="L392:M392"/>
    <mergeCell ref="P392:Q392"/>
    <mergeCell ref="AJ391:AK391"/>
    <mergeCell ref="AL391:AM391"/>
    <mergeCell ref="AN391:AO391"/>
    <mergeCell ref="AP391:AQ391"/>
    <mergeCell ref="AR391:AS391"/>
    <mergeCell ref="AT391:AU391"/>
    <mergeCell ref="AV391:AW391"/>
    <mergeCell ref="BD394:BE394"/>
    <mergeCell ref="BF394:BI394"/>
    <mergeCell ref="AN394:AO394"/>
    <mergeCell ref="AP394:AQ394"/>
    <mergeCell ref="AR394:AS394"/>
    <mergeCell ref="AT394:AU394"/>
    <mergeCell ref="AV394:AW394"/>
    <mergeCell ref="AX394:AZ394"/>
    <mergeCell ref="BA394:BB394"/>
    <mergeCell ref="AJ392:AK392"/>
    <mergeCell ref="AL392:AM392"/>
    <mergeCell ref="R392:S392"/>
    <mergeCell ref="T392:U392"/>
    <mergeCell ref="V392:W392"/>
    <mergeCell ref="X392:AA392"/>
    <mergeCell ref="AB392:AE392"/>
    <mergeCell ref="AF392:AG392"/>
    <mergeCell ref="AH392:AI392"/>
    <mergeCell ref="R393:S393"/>
    <mergeCell ref="T393:U393"/>
    <mergeCell ref="V393:W393"/>
    <mergeCell ref="X393:AA393"/>
    <mergeCell ref="AB393:AE393"/>
    <mergeCell ref="AF393:AG393"/>
    <mergeCell ref="AH393:AI393"/>
    <mergeCell ref="AX393:AZ393"/>
    <mergeCell ref="BA393:BB393"/>
    <mergeCell ref="BD393:BE393"/>
    <mergeCell ref="BF393:BI393"/>
    <mergeCell ref="BJ393:BM393"/>
    <mergeCell ref="BN393:BV393"/>
    <mergeCell ref="BJ394:BM394"/>
    <mergeCell ref="BN394:BV394"/>
    <mergeCell ref="B393:C393"/>
    <mergeCell ref="D393:E393"/>
    <mergeCell ref="F393:G393"/>
    <mergeCell ref="H393:I393"/>
    <mergeCell ref="J393:K393"/>
    <mergeCell ref="L393:M393"/>
    <mergeCell ref="P372:Q372"/>
    <mergeCell ref="B373:C373"/>
    <mergeCell ref="D373:E373"/>
    <mergeCell ref="F373:G373"/>
    <mergeCell ref="H373:I373"/>
    <mergeCell ref="J373:K373"/>
    <mergeCell ref="L373:M373"/>
    <mergeCell ref="P373:Q373"/>
    <mergeCell ref="AJ372:AK372"/>
    <mergeCell ref="AL372:AM372"/>
    <mergeCell ref="AN372:AO372"/>
    <mergeCell ref="AP372:AQ372"/>
    <mergeCell ref="AR372:AS372"/>
    <mergeCell ref="AT372:AU372"/>
    <mergeCell ref="AV372:AW372"/>
    <mergeCell ref="AJ390:AK390"/>
    <mergeCell ref="AL390:AM390"/>
    <mergeCell ref="R390:S390"/>
    <mergeCell ref="T390:U390"/>
    <mergeCell ref="V390:W390"/>
    <mergeCell ref="X390:AA390"/>
    <mergeCell ref="AB390:AE390"/>
    <mergeCell ref="AF390:AG390"/>
    <mergeCell ref="AH390:AI390"/>
    <mergeCell ref="R391:S391"/>
    <mergeCell ref="T391:U391"/>
    <mergeCell ref="V391:W391"/>
    <mergeCell ref="X391:AA391"/>
    <mergeCell ref="AB391:AE391"/>
    <mergeCell ref="AF391:AG391"/>
    <mergeCell ref="AH391:AI391"/>
    <mergeCell ref="AX391:AZ391"/>
    <mergeCell ref="BA391:BB391"/>
    <mergeCell ref="AN387:AO387"/>
    <mergeCell ref="AP387:AQ387"/>
    <mergeCell ref="AR387:AS387"/>
    <mergeCell ref="AT387:AU387"/>
    <mergeCell ref="AV387:AW387"/>
    <mergeCell ref="AX387:AZ387"/>
    <mergeCell ref="BA387:BB387"/>
    <mergeCell ref="AJ385:AK385"/>
    <mergeCell ref="AL385:AM385"/>
    <mergeCell ref="R385:S385"/>
    <mergeCell ref="T385:U385"/>
    <mergeCell ref="V385:W385"/>
    <mergeCell ref="X385:AA385"/>
    <mergeCell ref="AB385:AE385"/>
    <mergeCell ref="AF385:AG385"/>
    <mergeCell ref="AH385:AI385"/>
    <mergeCell ref="R386:S386"/>
    <mergeCell ref="T386:U386"/>
    <mergeCell ref="V386:W386"/>
    <mergeCell ref="X386:AA386"/>
    <mergeCell ref="AB386:AE386"/>
    <mergeCell ref="AF386:AG386"/>
    <mergeCell ref="AH386:AI386"/>
    <mergeCell ref="AX386:AZ386"/>
    <mergeCell ref="BA386:BB386"/>
    <mergeCell ref="P380:Q380"/>
    <mergeCell ref="B381:C381"/>
    <mergeCell ref="D381:E381"/>
    <mergeCell ref="F381:G381"/>
    <mergeCell ref="H381:I381"/>
    <mergeCell ref="J381:K381"/>
    <mergeCell ref="BJ316:BM316"/>
    <mergeCell ref="BN316:BV316"/>
    <mergeCell ref="BJ317:BM317"/>
    <mergeCell ref="BN317:BV317"/>
    <mergeCell ref="B316:C316"/>
    <mergeCell ref="D316:E316"/>
    <mergeCell ref="F316:G316"/>
    <mergeCell ref="H316:I316"/>
    <mergeCell ref="J316:K316"/>
    <mergeCell ref="L316:M316"/>
    <mergeCell ref="P316:Q316"/>
    <mergeCell ref="B317:C317"/>
    <mergeCell ref="D317:E317"/>
    <mergeCell ref="F317:G317"/>
    <mergeCell ref="H317:I317"/>
    <mergeCell ref="J317:K317"/>
    <mergeCell ref="L317:M317"/>
    <mergeCell ref="P317:Q317"/>
    <mergeCell ref="AJ316:AK316"/>
    <mergeCell ref="AL316:AM316"/>
    <mergeCell ref="AN316:AO316"/>
    <mergeCell ref="AP316:AQ316"/>
    <mergeCell ref="AR316:AS316"/>
    <mergeCell ref="AT316:AU316"/>
    <mergeCell ref="AV316:AW316"/>
    <mergeCell ref="BD373:BE373"/>
    <mergeCell ref="BF373:BI373"/>
    <mergeCell ref="AN373:AO373"/>
    <mergeCell ref="AP373:AQ373"/>
    <mergeCell ref="AR373:AS373"/>
    <mergeCell ref="AT373:AU373"/>
    <mergeCell ref="AV373:AW373"/>
    <mergeCell ref="AX373:AZ373"/>
    <mergeCell ref="BA373:BB373"/>
    <mergeCell ref="AJ371:AK371"/>
    <mergeCell ref="AL371:AM371"/>
    <mergeCell ref="R371:S371"/>
    <mergeCell ref="T371:U371"/>
    <mergeCell ref="V371:W371"/>
    <mergeCell ref="X371:AA371"/>
    <mergeCell ref="AB371:AE371"/>
    <mergeCell ref="AF371:AG371"/>
    <mergeCell ref="AH371:AI371"/>
    <mergeCell ref="R372:S372"/>
    <mergeCell ref="T372:U372"/>
    <mergeCell ref="V372:W372"/>
    <mergeCell ref="X372:AA372"/>
    <mergeCell ref="AB372:AE372"/>
    <mergeCell ref="AF372:AG372"/>
    <mergeCell ref="AH372:AI372"/>
    <mergeCell ref="AX372:AZ372"/>
    <mergeCell ref="BA372:BB372"/>
    <mergeCell ref="BD372:BE372"/>
    <mergeCell ref="BF372:BI372"/>
    <mergeCell ref="BJ372:BM372"/>
    <mergeCell ref="BN372:BV372"/>
    <mergeCell ref="BJ373:BM373"/>
    <mergeCell ref="BN373:BV373"/>
    <mergeCell ref="B372:C372"/>
    <mergeCell ref="D372:E372"/>
    <mergeCell ref="F372:G372"/>
    <mergeCell ref="H372:I372"/>
    <mergeCell ref="J372:K372"/>
    <mergeCell ref="L372:M372"/>
    <mergeCell ref="B314:C314"/>
    <mergeCell ref="D314:E314"/>
    <mergeCell ref="F314:G314"/>
    <mergeCell ref="H314:I314"/>
    <mergeCell ref="J314:K314"/>
    <mergeCell ref="L314:M314"/>
    <mergeCell ref="P314:Q314"/>
    <mergeCell ref="B315:C315"/>
    <mergeCell ref="D315:E315"/>
    <mergeCell ref="F315:G315"/>
    <mergeCell ref="H315:I315"/>
    <mergeCell ref="J315:K315"/>
    <mergeCell ref="L315:M315"/>
    <mergeCell ref="P315:Q315"/>
    <mergeCell ref="AJ314:AK314"/>
    <mergeCell ref="AL314:AM314"/>
    <mergeCell ref="AN314:AO314"/>
    <mergeCell ref="AP314:AQ314"/>
    <mergeCell ref="AR314:AS314"/>
    <mergeCell ref="AT314:AU314"/>
    <mergeCell ref="AV314:AW314"/>
    <mergeCell ref="BD317:BE317"/>
    <mergeCell ref="BF317:BI317"/>
    <mergeCell ref="AN317:AO317"/>
    <mergeCell ref="AP317:AQ317"/>
    <mergeCell ref="AR317:AS317"/>
    <mergeCell ref="AT317:AU317"/>
    <mergeCell ref="AV317:AW317"/>
    <mergeCell ref="AX317:AZ317"/>
    <mergeCell ref="BA317:BB317"/>
    <mergeCell ref="AJ315:AK315"/>
    <mergeCell ref="AL315:AM315"/>
    <mergeCell ref="R315:S315"/>
    <mergeCell ref="T315:U315"/>
    <mergeCell ref="V315:W315"/>
    <mergeCell ref="X315:AA315"/>
    <mergeCell ref="AB315:AE315"/>
    <mergeCell ref="AF315:AG315"/>
    <mergeCell ref="AH315:AI315"/>
    <mergeCell ref="R316:S316"/>
    <mergeCell ref="T316:U316"/>
    <mergeCell ref="V316:W316"/>
    <mergeCell ref="X316:AA316"/>
    <mergeCell ref="AB316:AE316"/>
    <mergeCell ref="AF316:AG316"/>
    <mergeCell ref="AH316:AI316"/>
    <mergeCell ref="AX316:AZ316"/>
    <mergeCell ref="BA316:BB316"/>
    <mergeCell ref="BD316:BE316"/>
    <mergeCell ref="BF316:BI316"/>
    <mergeCell ref="BD315:BE315"/>
    <mergeCell ref="BF315:BI315"/>
    <mergeCell ref="AN315:AO315"/>
    <mergeCell ref="AP315:AQ315"/>
    <mergeCell ref="AR315:AS315"/>
    <mergeCell ref="AT315:AU315"/>
    <mergeCell ref="AV315:AW315"/>
    <mergeCell ref="AX315:AZ315"/>
    <mergeCell ref="BA315:BB315"/>
    <mergeCell ref="AJ317:AK317"/>
    <mergeCell ref="AL317:AM317"/>
    <mergeCell ref="R317:S317"/>
    <mergeCell ref="T317:U317"/>
    <mergeCell ref="V317:W317"/>
    <mergeCell ref="AJ313:AK313"/>
    <mergeCell ref="AL313:AM313"/>
    <mergeCell ref="R313:S313"/>
    <mergeCell ref="T313:U313"/>
    <mergeCell ref="V313:W313"/>
    <mergeCell ref="X313:AA313"/>
    <mergeCell ref="AB313:AE313"/>
    <mergeCell ref="AF313:AG313"/>
    <mergeCell ref="AH313:AI313"/>
    <mergeCell ref="R314:S314"/>
    <mergeCell ref="T314:U314"/>
    <mergeCell ref="V314:W314"/>
    <mergeCell ref="X314:AA314"/>
    <mergeCell ref="AB314:AE314"/>
    <mergeCell ref="AF314:AG314"/>
    <mergeCell ref="AH314:AI314"/>
    <mergeCell ref="AX314:AZ314"/>
    <mergeCell ref="BA314:BB314"/>
    <mergeCell ref="BD314:BE314"/>
    <mergeCell ref="BF314:BI314"/>
    <mergeCell ref="BJ314:BM314"/>
    <mergeCell ref="BN314:BV314"/>
    <mergeCell ref="BJ315:BM315"/>
    <mergeCell ref="BN315:BV315"/>
    <mergeCell ref="V308:W308"/>
    <mergeCell ref="X308:AA308"/>
    <mergeCell ref="AB308:AE308"/>
    <mergeCell ref="AF308:AG308"/>
    <mergeCell ref="AH308:AI308"/>
    <mergeCell ref="AJ308:AK308"/>
    <mergeCell ref="AL308:AM308"/>
    <mergeCell ref="BD308:BE308"/>
    <mergeCell ref="BF308:BI308"/>
    <mergeCell ref="BJ308:BM308"/>
    <mergeCell ref="BN308:BV308"/>
    <mergeCell ref="AN308:AO308"/>
    <mergeCell ref="AP308:AQ308"/>
    <mergeCell ref="AR308:AS308"/>
    <mergeCell ref="AT308:AU308"/>
    <mergeCell ref="AV308:AW308"/>
    <mergeCell ref="AX308:AZ308"/>
    <mergeCell ref="BA308:BB308"/>
    <mergeCell ref="BJ311:BM311"/>
    <mergeCell ref="BN311:BV311"/>
    <mergeCell ref="AJ309:AK309"/>
    <mergeCell ref="AL309:AM309"/>
    <mergeCell ref="AN311:AO311"/>
    <mergeCell ref="AP311:AQ311"/>
    <mergeCell ref="AR311:AS311"/>
    <mergeCell ref="AT311:AU311"/>
    <mergeCell ref="AV311:AW311"/>
    <mergeCell ref="R311:S311"/>
    <mergeCell ref="T311:U311"/>
    <mergeCell ref="V311:W311"/>
    <mergeCell ref="X311:AA311"/>
    <mergeCell ref="AB311:AE311"/>
    <mergeCell ref="AF311:AG311"/>
    <mergeCell ref="AH311:AI311"/>
    <mergeCell ref="V312:W312"/>
    <mergeCell ref="X312:AA312"/>
    <mergeCell ref="AB312:AE312"/>
    <mergeCell ref="AF312:AG312"/>
    <mergeCell ref="AH312:AI312"/>
    <mergeCell ref="AJ312:AK312"/>
    <mergeCell ref="B308:C308"/>
    <mergeCell ref="D308:E308"/>
    <mergeCell ref="F308:G308"/>
    <mergeCell ref="H308:I308"/>
    <mergeCell ref="P308:Q308"/>
    <mergeCell ref="R308:S308"/>
    <mergeCell ref="T308:U308"/>
    <mergeCell ref="B309:C309"/>
    <mergeCell ref="D309:E309"/>
    <mergeCell ref="F309:G309"/>
    <mergeCell ref="H309:I309"/>
    <mergeCell ref="J309:K309"/>
    <mergeCell ref="L309:M309"/>
    <mergeCell ref="P309:Q309"/>
    <mergeCell ref="AX309:AZ309"/>
    <mergeCell ref="BA309:BB309"/>
    <mergeCell ref="BD309:BE309"/>
    <mergeCell ref="BF309:BI309"/>
    <mergeCell ref="BJ309:BM309"/>
    <mergeCell ref="BN309:BV309"/>
    <mergeCell ref="AN309:AO309"/>
    <mergeCell ref="AP309:AQ309"/>
    <mergeCell ref="AR309:AS309"/>
    <mergeCell ref="AT309:AU309"/>
    <mergeCell ref="AV309:AW309"/>
    <mergeCell ref="V306:W306"/>
    <mergeCell ref="X306:AA306"/>
    <mergeCell ref="AB306:AE306"/>
    <mergeCell ref="AF306:AG306"/>
    <mergeCell ref="AH306:AI306"/>
    <mergeCell ref="AJ306:AK306"/>
    <mergeCell ref="AL306:AM306"/>
    <mergeCell ref="BD306:BE306"/>
    <mergeCell ref="BF306:BI306"/>
    <mergeCell ref="BJ306:BM306"/>
    <mergeCell ref="BN306:BV306"/>
    <mergeCell ref="AN306:AO306"/>
    <mergeCell ref="AP306:AQ306"/>
    <mergeCell ref="AR306:AS306"/>
    <mergeCell ref="AT306:AU306"/>
    <mergeCell ref="AV306:AW306"/>
    <mergeCell ref="AX306:AZ306"/>
    <mergeCell ref="BA306:BB306"/>
    <mergeCell ref="B306:C306"/>
    <mergeCell ref="D306:E306"/>
    <mergeCell ref="F306:G306"/>
    <mergeCell ref="H306:I306"/>
    <mergeCell ref="P306:Q306"/>
    <mergeCell ref="R306:S306"/>
    <mergeCell ref="T306:U306"/>
    <mergeCell ref="B307:C307"/>
    <mergeCell ref="D307:E307"/>
    <mergeCell ref="F307:G307"/>
    <mergeCell ref="H307:I307"/>
    <mergeCell ref="J307:K307"/>
    <mergeCell ref="L307:M307"/>
    <mergeCell ref="P307:Q307"/>
    <mergeCell ref="AX307:AZ307"/>
    <mergeCell ref="BA307:BB307"/>
    <mergeCell ref="BD307:BE307"/>
    <mergeCell ref="BF307:BI307"/>
    <mergeCell ref="BJ307:BM307"/>
    <mergeCell ref="BN307:BV307"/>
    <mergeCell ref="AN307:AO307"/>
    <mergeCell ref="AP307:AQ307"/>
    <mergeCell ref="AR307:AS307"/>
    <mergeCell ref="AT307:AU307"/>
    <mergeCell ref="AV307:AW307"/>
    <mergeCell ref="R307:S307"/>
    <mergeCell ref="T307:U307"/>
    <mergeCell ref="V307:W307"/>
    <mergeCell ref="X307:AA307"/>
    <mergeCell ref="AB307:AE307"/>
    <mergeCell ref="AF307:AG307"/>
    <mergeCell ref="AH307:AI307"/>
    <mergeCell ref="AJ307:AK307"/>
    <mergeCell ref="AL307:AM307"/>
    <mergeCell ref="V304:W304"/>
    <mergeCell ref="X304:AA304"/>
    <mergeCell ref="AB304:AE304"/>
    <mergeCell ref="AF304:AG304"/>
    <mergeCell ref="AH304:AI304"/>
    <mergeCell ref="AJ304:AK304"/>
    <mergeCell ref="AL304:AM304"/>
    <mergeCell ref="BD304:BE304"/>
    <mergeCell ref="BF304:BI304"/>
    <mergeCell ref="BJ304:BM304"/>
    <mergeCell ref="BN304:BV304"/>
    <mergeCell ref="AN304:AO304"/>
    <mergeCell ref="AP304:AQ304"/>
    <mergeCell ref="AR304:AS304"/>
    <mergeCell ref="AT304:AU304"/>
    <mergeCell ref="AV304:AW304"/>
    <mergeCell ref="AX304:AZ304"/>
    <mergeCell ref="BA304:BB304"/>
    <mergeCell ref="B304:C304"/>
    <mergeCell ref="D304:E304"/>
    <mergeCell ref="F304:G304"/>
    <mergeCell ref="H304:I304"/>
    <mergeCell ref="P304:Q304"/>
    <mergeCell ref="R304:S304"/>
    <mergeCell ref="T304:U304"/>
    <mergeCell ref="B305:C305"/>
    <mergeCell ref="D305:E305"/>
    <mergeCell ref="F305:G305"/>
    <mergeCell ref="H305:I305"/>
    <mergeCell ref="J305:K305"/>
    <mergeCell ref="L305:M305"/>
    <mergeCell ref="P305:Q305"/>
    <mergeCell ref="AX305:AZ305"/>
    <mergeCell ref="BA305:BB305"/>
    <mergeCell ref="BD305:BE305"/>
    <mergeCell ref="BF305:BI305"/>
    <mergeCell ref="BJ305:BM305"/>
    <mergeCell ref="BN305:BV305"/>
    <mergeCell ref="AN305:AO305"/>
    <mergeCell ref="AP305:AQ305"/>
    <mergeCell ref="AR305:AS305"/>
    <mergeCell ref="AT305:AU305"/>
    <mergeCell ref="AV305:AW305"/>
    <mergeCell ref="R305:S305"/>
    <mergeCell ref="T305:U305"/>
    <mergeCell ref="V305:W305"/>
    <mergeCell ref="X305:AA305"/>
    <mergeCell ref="AB305:AE305"/>
    <mergeCell ref="AF305:AG305"/>
    <mergeCell ref="AH305:AI305"/>
    <mergeCell ref="AJ305:AK305"/>
    <mergeCell ref="AL305:AM305"/>
    <mergeCell ref="V302:W302"/>
    <mergeCell ref="X302:AA302"/>
    <mergeCell ref="AB302:AE302"/>
    <mergeCell ref="AF302:AG302"/>
    <mergeCell ref="AH302:AI302"/>
    <mergeCell ref="AJ302:AK302"/>
    <mergeCell ref="AL302:AM302"/>
    <mergeCell ref="BD302:BE302"/>
    <mergeCell ref="BF302:BI302"/>
    <mergeCell ref="BJ302:BM302"/>
    <mergeCell ref="BN302:BV302"/>
    <mergeCell ref="AN302:AO302"/>
    <mergeCell ref="AP302:AQ302"/>
    <mergeCell ref="AR302:AS302"/>
    <mergeCell ref="AT302:AU302"/>
    <mergeCell ref="AV302:AW302"/>
    <mergeCell ref="AX302:AZ302"/>
    <mergeCell ref="BA302:BB302"/>
    <mergeCell ref="B302:C302"/>
    <mergeCell ref="D302:E302"/>
    <mergeCell ref="F302:G302"/>
    <mergeCell ref="H302:I302"/>
    <mergeCell ref="P302:Q302"/>
    <mergeCell ref="R302:S302"/>
    <mergeCell ref="T302:U302"/>
    <mergeCell ref="B303:C303"/>
    <mergeCell ref="D303:E303"/>
    <mergeCell ref="F303:G303"/>
    <mergeCell ref="H303:I303"/>
    <mergeCell ref="J303:K303"/>
    <mergeCell ref="L303:M303"/>
    <mergeCell ref="P303:Q303"/>
    <mergeCell ref="AX303:AZ303"/>
    <mergeCell ref="BA303:BB303"/>
    <mergeCell ref="BD303:BE303"/>
    <mergeCell ref="BF303:BI303"/>
    <mergeCell ref="BJ303:BM303"/>
    <mergeCell ref="BN303:BV303"/>
    <mergeCell ref="AN303:AO303"/>
    <mergeCell ref="AP303:AQ303"/>
    <mergeCell ref="AR303:AS303"/>
    <mergeCell ref="AT303:AU303"/>
    <mergeCell ref="AV303:AW303"/>
    <mergeCell ref="R303:S303"/>
    <mergeCell ref="T303:U303"/>
    <mergeCell ref="V303:W303"/>
    <mergeCell ref="X303:AA303"/>
    <mergeCell ref="AB303:AE303"/>
    <mergeCell ref="AF303:AG303"/>
    <mergeCell ref="AH303:AI303"/>
    <mergeCell ref="AJ303:AK303"/>
    <mergeCell ref="AL303:AM303"/>
    <mergeCell ref="V300:W300"/>
    <mergeCell ref="X300:AA300"/>
    <mergeCell ref="AB300:AE300"/>
    <mergeCell ref="AF300:AG300"/>
    <mergeCell ref="AH300:AI300"/>
    <mergeCell ref="AJ300:AK300"/>
    <mergeCell ref="AL300:AM300"/>
    <mergeCell ref="BD300:BE300"/>
    <mergeCell ref="BF300:BI300"/>
    <mergeCell ref="BJ300:BM300"/>
    <mergeCell ref="BN300:BV300"/>
    <mergeCell ref="AN300:AO300"/>
    <mergeCell ref="AP300:AQ300"/>
    <mergeCell ref="AR300:AS300"/>
    <mergeCell ref="AT300:AU300"/>
    <mergeCell ref="AV300:AW300"/>
    <mergeCell ref="AX300:AZ300"/>
    <mergeCell ref="BA300:BB300"/>
    <mergeCell ref="B300:C300"/>
    <mergeCell ref="D300:E300"/>
    <mergeCell ref="F300:G300"/>
    <mergeCell ref="H300:I300"/>
    <mergeCell ref="P300:Q300"/>
    <mergeCell ref="R300:S300"/>
    <mergeCell ref="T300:U300"/>
    <mergeCell ref="B301:C301"/>
    <mergeCell ref="D301:E301"/>
    <mergeCell ref="F301:G301"/>
    <mergeCell ref="H301:I301"/>
    <mergeCell ref="J301:K301"/>
    <mergeCell ref="L301:M301"/>
    <mergeCell ref="P301:Q301"/>
    <mergeCell ref="AX301:AZ301"/>
    <mergeCell ref="BA301:BB301"/>
    <mergeCell ref="BD301:BE301"/>
    <mergeCell ref="BF301:BI301"/>
    <mergeCell ref="BJ301:BM301"/>
    <mergeCell ref="BN301:BV301"/>
    <mergeCell ref="AN301:AO301"/>
    <mergeCell ref="AP301:AQ301"/>
    <mergeCell ref="AR301:AS301"/>
    <mergeCell ref="AT301:AU301"/>
    <mergeCell ref="AV301:AW301"/>
    <mergeCell ref="R301:S301"/>
    <mergeCell ref="T301:U301"/>
    <mergeCell ref="V301:W301"/>
    <mergeCell ref="X301:AA301"/>
    <mergeCell ref="AB301:AE301"/>
    <mergeCell ref="AF301:AG301"/>
    <mergeCell ref="AH301:AI301"/>
    <mergeCell ref="AJ301:AK301"/>
    <mergeCell ref="AL301:AM301"/>
    <mergeCell ref="BN298:BV298"/>
    <mergeCell ref="AN298:AO298"/>
    <mergeCell ref="AP298:AQ298"/>
    <mergeCell ref="AR298:AS298"/>
    <mergeCell ref="AT298:AU298"/>
    <mergeCell ref="AV298:AW298"/>
    <mergeCell ref="AX298:AZ298"/>
    <mergeCell ref="BA298:BB298"/>
    <mergeCell ref="B298:C298"/>
    <mergeCell ref="D298:E298"/>
    <mergeCell ref="F298:G298"/>
    <mergeCell ref="H298:I298"/>
    <mergeCell ref="P298:Q298"/>
    <mergeCell ref="R298:S298"/>
    <mergeCell ref="T298:U298"/>
    <mergeCell ref="B299:C299"/>
    <mergeCell ref="D299:E299"/>
    <mergeCell ref="F299:G299"/>
    <mergeCell ref="H299:I299"/>
    <mergeCell ref="J299:K299"/>
    <mergeCell ref="L299:M299"/>
    <mergeCell ref="P299:Q299"/>
    <mergeCell ref="AX299:AZ299"/>
    <mergeCell ref="BA299:BB299"/>
    <mergeCell ref="BD299:BE299"/>
    <mergeCell ref="BF299:BI299"/>
    <mergeCell ref="BJ299:BM299"/>
    <mergeCell ref="BN299:BV299"/>
    <mergeCell ref="AJ297:AK297"/>
    <mergeCell ref="AL297:AM297"/>
    <mergeCell ref="AN299:AO299"/>
    <mergeCell ref="AP299:AQ299"/>
    <mergeCell ref="AR299:AS299"/>
    <mergeCell ref="AT299:AU299"/>
    <mergeCell ref="AV299:AW299"/>
    <mergeCell ref="R299:S299"/>
    <mergeCell ref="T299:U299"/>
    <mergeCell ref="V299:W299"/>
    <mergeCell ref="X299:AA299"/>
    <mergeCell ref="AB299:AE299"/>
    <mergeCell ref="AF299:AG299"/>
    <mergeCell ref="AH299:AI299"/>
    <mergeCell ref="AJ299:AK299"/>
    <mergeCell ref="AL299:AM299"/>
    <mergeCell ref="B296:C296"/>
    <mergeCell ref="D296:E296"/>
    <mergeCell ref="F296:G296"/>
    <mergeCell ref="H296:I296"/>
    <mergeCell ref="P296:Q296"/>
    <mergeCell ref="R296:S296"/>
    <mergeCell ref="T296:U296"/>
    <mergeCell ref="B297:C297"/>
    <mergeCell ref="D297:E297"/>
    <mergeCell ref="F297:G297"/>
    <mergeCell ref="H297:I297"/>
    <mergeCell ref="J297:K297"/>
    <mergeCell ref="L297:M297"/>
    <mergeCell ref="P297:Q297"/>
    <mergeCell ref="AX297:AZ297"/>
    <mergeCell ref="BA297:BB297"/>
    <mergeCell ref="BD297:BE297"/>
    <mergeCell ref="BF297:BI297"/>
    <mergeCell ref="BJ297:BM297"/>
    <mergeCell ref="BN297:BV297"/>
    <mergeCell ref="AJ295:AK295"/>
    <mergeCell ref="AL295:AM295"/>
    <mergeCell ref="AN297:AO297"/>
    <mergeCell ref="AP297:AQ297"/>
    <mergeCell ref="AR297:AS297"/>
    <mergeCell ref="AT297:AU297"/>
    <mergeCell ref="AV297:AW297"/>
    <mergeCell ref="R297:S297"/>
    <mergeCell ref="T297:U297"/>
    <mergeCell ref="V297:W297"/>
    <mergeCell ref="X297:AA297"/>
    <mergeCell ref="AB297:AE297"/>
    <mergeCell ref="AF297:AG297"/>
    <mergeCell ref="AH297:AI297"/>
    <mergeCell ref="B294:C294"/>
    <mergeCell ref="D294:E294"/>
    <mergeCell ref="F294:G294"/>
    <mergeCell ref="H294:I294"/>
    <mergeCell ref="P294:Q294"/>
    <mergeCell ref="R294:S294"/>
    <mergeCell ref="T294:U294"/>
    <mergeCell ref="B295:C295"/>
    <mergeCell ref="D295:E295"/>
    <mergeCell ref="F295:G295"/>
    <mergeCell ref="H295:I295"/>
    <mergeCell ref="J295:K295"/>
    <mergeCell ref="L295:M295"/>
    <mergeCell ref="P295:Q295"/>
    <mergeCell ref="AX295:AZ295"/>
    <mergeCell ref="BA295:BB295"/>
    <mergeCell ref="BD295:BE295"/>
    <mergeCell ref="BF295:BI295"/>
    <mergeCell ref="BJ295:BM295"/>
    <mergeCell ref="BN295:BV295"/>
    <mergeCell ref="AJ293:AK293"/>
    <mergeCell ref="AL293:AM293"/>
    <mergeCell ref="AN295:AO295"/>
    <mergeCell ref="AP295:AQ295"/>
    <mergeCell ref="AR295:AS295"/>
    <mergeCell ref="AT295:AU295"/>
    <mergeCell ref="AV295:AW295"/>
    <mergeCell ref="R295:S295"/>
    <mergeCell ref="T295:U295"/>
    <mergeCell ref="V295:W295"/>
    <mergeCell ref="X295:AA295"/>
    <mergeCell ref="AB295:AE295"/>
    <mergeCell ref="AF295:AG295"/>
    <mergeCell ref="AH295:AI295"/>
    <mergeCell ref="BJ319:BM319"/>
    <mergeCell ref="BN319:BV319"/>
    <mergeCell ref="R319:S319"/>
    <mergeCell ref="T319:U319"/>
    <mergeCell ref="V319:W319"/>
    <mergeCell ref="X319:AA319"/>
    <mergeCell ref="AB319:AE319"/>
    <mergeCell ref="AF319:AG319"/>
    <mergeCell ref="AH319:AI319"/>
    <mergeCell ref="R293:S293"/>
    <mergeCell ref="T293:U293"/>
    <mergeCell ref="V293:W293"/>
    <mergeCell ref="X293:AA293"/>
    <mergeCell ref="AB293:AE293"/>
    <mergeCell ref="AF293:AG293"/>
    <mergeCell ref="AH293:AI293"/>
    <mergeCell ref="V294:W294"/>
    <mergeCell ref="X294:AA294"/>
    <mergeCell ref="AB294:AE294"/>
    <mergeCell ref="AF294:AG294"/>
    <mergeCell ref="AH294:AI294"/>
    <mergeCell ref="AJ294:AK294"/>
    <mergeCell ref="AL294:AM294"/>
    <mergeCell ref="BD294:BE294"/>
    <mergeCell ref="BF294:BI294"/>
    <mergeCell ref="BJ294:BM294"/>
    <mergeCell ref="BN294:BV294"/>
    <mergeCell ref="AN294:AO294"/>
    <mergeCell ref="AP294:AQ294"/>
    <mergeCell ref="AR294:AS294"/>
    <mergeCell ref="AT294:AU294"/>
    <mergeCell ref="AV294:AW294"/>
    <mergeCell ref="AX294:AZ294"/>
    <mergeCell ref="BA294:BB294"/>
    <mergeCell ref="V296:W296"/>
    <mergeCell ref="X296:AA296"/>
    <mergeCell ref="AB296:AE296"/>
    <mergeCell ref="AF296:AG296"/>
    <mergeCell ref="AH296:AI296"/>
    <mergeCell ref="AJ296:AK296"/>
    <mergeCell ref="AL296:AM296"/>
    <mergeCell ref="BD296:BE296"/>
    <mergeCell ref="BF296:BI296"/>
    <mergeCell ref="BJ296:BM296"/>
    <mergeCell ref="BN296:BV296"/>
    <mergeCell ref="AN296:AO296"/>
    <mergeCell ref="AP296:AQ296"/>
    <mergeCell ref="AR296:AS296"/>
    <mergeCell ref="AT296:AU296"/>
    <mergeCell ref="AV296:AW296"/>
    <mergeCell ref="AX296:AZ296"/>
    <mergeCell ref="BA296:BB296"/>
    <mergeCell ref="V298:W298"/>
    <mergeCell ref="X298:AA298"/>
    <mergeCell ref="AB298:AE298"/>
    <mergeCell ref="AF298:AG298"/>
    <mergeCell ref="AH298:AI298"/>
    <mergeCell ref="AJ298:AK298"/>
    <mergeCell ref="AL298:AM298"/>
    <mergeCell ref="BD298:BE298"/>
    <mergeCell ref="BF298:BI298"/>
    <mergeCell ref="BJ298:BM298"/>
    <mergeCell ref="BD311:BE311"/>
    <mergeCell ref="BF311:BI311"/>
    <mergeCell ref="V232:W232"/>
    <mergeCell ref="X232:AA232"/>
    <mergeCell ref="AB232:AE232"/>
    <mergeCell ref="AF232:AG232"/>
    <mergeCell ref="AH232:AI232"/>
    <mergeCell ref="AJ232:AK232"/>
    <mergeCell ref="AL232:AM232"/>
    <mergeCell ref="BD232:BE232"/>
    <mergeCell ref="BF232:BI232"/>
    <mergeCell ref="BJ232:BM232"/>
    <mergeCell ref="BN232:BV232"/>
    <mergeCell ref="AN232:AO232"/>
    <mergeCell ref="AP232:AQ232"/>
    <mergeCell ref="AR232:AS232"/>
    <mergeCell ref="AT232:AU232"/>
    <mergeCell ref="AV232:AW232"/>
    <mergeCell ref="AX232:AZ232"/>
    <mergeCell ref="BA232:BB232"/>
    <mergeCell ref="B232:C232"/>
    <mergeCell ref="D232:E232"/>
    <mergeCell ref="F232:G232"/>
    <mergeCell ref="H232:I232"/>
    <mergeCell ref="P232:Q232"/>
    <mergeCell ref="R232:S232"/>
    <mergeCell ref="T232:U232"/>
    <mergeCell ref="B233:C233"/>
    <mergeCell ref="D233:E233"/>
    <mergeCell ref="F233:G233"/>
    <mergeCell ref="H233:I233"/>
    <mergeCell ref="J233:K233"/>
    <mergeCell ref="L233:M233"/>
    <mergeCell ref="P233:Q233"/>
    <mergeCell ref="AX233:AZ233"/>
    <mergeCell ref="BA233:BB233"/>
    <mergeCell ref="BD233:BE233"/>
    <mergeCell ref="BF233:BI233"/>
    <mergeCell ref="BJ233:BM233"/>
    <mergeCell ref="BN233:BV233"/>
    <mergeCell ref="AN233:AO233"/>
    <mergeCell ref="AP233:AQ233"/>
    <mergeCell ref="AR233:AS233"/>
    <mergeCell ref="AT233:AU233"/>
    <mergeCell ref="AV233:AW233"/>
    <mergeCell ref="R233:S233"/>
    <mergeCell ref="T233:U233"/>
    <mergeCell ref="V233:W233"/>
    <mergeCell ref="X233:AA233"/>
    <mergeCell ref="AB233:AE233"/>
    <mergeCell ref="AF233:AG233"/>
    <mergeCell ref="AH233:AI233"/>
    <mergeCell ref="AJ233:AK233"/>
    <mergeCell ref="AL233:AM233"/>
    <mergeCell ref="R229:S229"/>
    <mergeCell ref="T229:U229"/>
    <mergeCell ref="V229:W229"/>
    <mergeCell ref="X229:AA229"/>
    <mergeCell ref="AB229:AE229"/>
    <mergeCell ref="AF229:AG229"/>
    <mergeCell ref="AH229:AI229"/>
    <mergeCell ref="AX229:AZ229"/>
    <mergeCell ref="BA229:BB229"/>
    <mergeCell ref="BD229:BE229"/>
    <mergeCell ref="BF229:BI229"/>
    <mergeCell ref="BJ229:BM229"/>
    <mergeCell ref="BN229:BV229"/>
    <mergeCell ref="AJ229:AK229"/>
    <mergeCell ref="AL229:AM229"/>
    <mergeCell ref="AN229:AO229"/>
    <mergeCell ref="AP229:AQ229"/>
    <mergeCell ref="AR229:AS229"/>
    <mergeCell ref="AT229:AU229"/>
    <mergeCell ref="AV229:AW229"/>
    <mergeCell ref="B229:C229"/>
    <mergeCell ref="D229:E229"/>
    <mergeCell ref="F229:G229"/>
    <mergeCell ref="H229:I229"/>
    <mergeCell ref="J229:K229"/>
    <mergeCell ref="L229:M229"/>
    <mergeCell ref="P229:Q229"/>
    <mergeCell ref="BD230:BE230"/>
    <mergeCell ref="BF230:BI230"/>
    <mergeCell ref="BJ230:BM230"/>
    <mergeCell ref="BN230:BV230"/>
    <mergeCell ref="B231:C231"/>
    <mergeCell ref="D231:E231"/>
    <mergeCell ref="F231:G231"/>
    <mergeCell ref="H231:I231"/>
    <mergeCell ref="J231:K231"/>
    <mergeCell ref="L231:M231"/>
    <mergeCell ref="P231:Q231"/>
    <mergeCell ref="BD231:BE231"/>
    <mergeCell ref="BF231:BI231"/>
    <mergeCell ref="BJ231:BM231"/>
    <mergeCell ref="BN231:BV231"/>
    <mergeCell ref="R231:S231"/>
    <mergeCell ref="T231:U231"/>
    <mergeCell ref="V231:W231"/>
    <mergeCell ref="X231:AA231"/>
    <mergeCell ref="AB231:AE231"/>
    <mergeCell ref="AF231:AG231"/>
    <mergeCell ref="AH231:AI231"/>
    <mergeCell ref="AJ231:AK231"/>
    <mergeCell ref="AL231:AM231"/>
    <mergeCell ref="R227:S227"/>
    <mergeCell ref="T227:U227"/>
    <mergeCell ref="V227:W227"/>
    <mergeCell ref="X227:AA227"/>
    <mergeCell ref="AB227:AE227"/>
    <mergeCell ref="AF227:AG227"/>
    <mergeCell ref="AH227:AI227"/>
    <mergeCell ref="AX227:AZ227"/>
    <mergeCell ref="BA227:BB227"/>
    <mergeCell ref="BD227:BE227"/>
    <mergeCell ref="BF227:BI227"/>
    <mergeCell ref="BJ227:BM227"/>
    <mergeCell ref="BN227:BV227"/>
    <mergeCell ref="B227:C227"/>
    <mergeCell ref="D227:E227"/>
    <mergeCell ref="F227:G227"/>
    <mergeCell ref="H227:I227"/>
    <mergeCell ref="J227:K227"/>
    <mergeCell ref="L227:M227"/>
    <mergeCell ref="P227:Q227"/>
    <mergeCell ref="AJ227:AK227"/>
    <mergeCell ref="AL227:AM227"/>
    <mergeCell ref="AN227:AO227"/>
    <mergeCell ref="AP227:AQ227"/>
    <mergeCell ref="AR227:AS227"/>
    <mergeCell ref="AT227:AU227"/>
    <mergeCell ref="AV227:AW227"/>
    <mergeCell ref="B228:C228"/>
    <mergeCell ref="D228:E228"/>
    <mergeCell ref="F228:G228"/>
    <mergeCell ref="H228:I228"/>
    <mergeCell ref="P228:Q228"/>
    <mergeCell ref="R228:S228"/>
    <mergeCell ref="T228:U228"/>
    <mergeCell ref="B312:C312"/>
    <mergeCell ref="D312:E312"/>
    <mergeCell ref="F312:G312"/>
    <mergeCell ref="H312:I312"/>
    <mergeCell ref="P312:Q312"/>
    <mergeCell ref="R312:S312"/>
    <mergeCell ref="T312:U312"/>
    <mergeCell ref="B313:C313"/>
    <mergeCell ref="D313:E313"/>
    <mergeCell ref="F313:G313"/>
    <mergeCell ref="H313:I313"/>
    <mergeCell ref="J313:K313"/>
    <mergeCell ref="L313:M313"/>
    <mergeCell ref="P313:Q313"/>
    <mergeCell ref="AX313:AZ313"/>
    <mergeCell ref="BA313:BB313"/>
    <mergeCell ref="BD313:BE313"/>
    <mergeCell ref="BF313:BI313"/>
    <mergeCell ref="BJ313:BM313"/>
    <mergeCell ref="BN313:BV313"/>
    <mergeCell ref="AJ311:AK311"/>
    <mergeCell ref="AL311:AM311"/>
    <mergeCell ref="AN313:AO313"/>
    <mergeCell ref="AP313:AQ313"/>
    <mergeCell ref="AR313:AS313"/>
    <mergeCell ref="AT313:AU313"/>
    <mergeCell ref="AV313:AW313"/>
    <mergeCell ref="BJ228:BM228"/>
    <mergeCell ref="BN228:BV228"/>
    <mergeCell ref="AR228:AS228"/>
    <mergeCell ref="AT228:AU228"/>
    <mergeCell ref="AV228:AW228"/>
    <mergeCell ref="AX228:AZ228"/>
    <mergeCell ref="BA228:BB228"/>
    <mergeCell ref="BD228:BE228"/>
    <mergeCell ref="BF228:BI228"/>
    <mergeCell ref="V230:W230"/>
    <mergeCell ref="X230:AA230"/>
    <mergeCell ref="AB230:AE230"/>
    <mergeCell ref="AF230:AG230"/>
    <mergeCell ref="AH230:AI230"/>
    <mergeCell ref="AJ230:AK230"/>
    <mergeCell ref="AL230:AM230"/>
    <mergeCell ref="B230:C230"/>
    <mergeCell ref="D230:E230"/>
    <mergeCell ref="F230:G230"/>
    <mergeCell ref="H230:I230"/>
    <mergeCell ref="P230:Q230"/>
    <mergeCell ref="R230:S230"/>
    <mergeCell ref="T230:U230"/>
    <mergeCell ref="AN230:AO230"/>
    <mergeCell ref="AP230:AQ230"/>
    <mergeCell ref="AR230:AS230"/>
    <mergeCell ref="AT230:AU230"/>
    <mergeCell ref="AV230:AW230"/>
    <mergeCell ref="AX230:AZ230"/>
    <mergeCell ref="BA230:BB230"/>
    <mergeCell ref="AN231:AO231"/>
    <mergeCell ref="AP231:AQ231"/>
    <mergeCell ref="AR231:AS231"/>
    <mergeCell ref="AT231:AU231"/>
    <mergeCell ref="AV231:AW231"/>
    <mergeCell ref="AX231:AZ231"/>
    <mergeCell ref="BA231:BB231"/>
    <mergeCell ref="AL312:AM312"/>
    <mergeCell ref="BD312:BE312"/>
    <mergeCell ref="BF312:BI312"/>
    <mergeCell ref="BJ312:BM312"/>
    <mergeCell ref="BN312:BV312"/>
    <mergeCell ref="AN312:AO312"/>
    <mergeCell ref="AP312:AQ312"/>
    <mergeCell ref="AR312:AS312"/>
    <mergeCell ref="AT312:AU312"/>
    <mergeCell ref="AV312:AW312"/>
    <mergeCell ref="AX312:AZ312"/>
    <mergeCell ref="BA312:BB312"/>
    <mergeCell ref="BJ395:BM395"/>
    <mergeCell ref="BN395:BV395"/>
    <mergeCell ref="B395:C395"/>
    <mergeCell ref="D395:E395"/>
    <mergeCell ref="F395:G395"/>
    <mergeCell ref="H395:I395"/>
    <mergeCell ref="J395:K395"/>
    <mergeCell ref="L395:M395"/>
    <mergeCell ref="P395:Q395"/>
    <mergeCell ref="B396:C396"/>
    <mergeCell ref="D396:E396"/>
    <mergeCell ref="F396:G396"/>
    <mergeCell ref="H396:I396"/>
    <mergeCell ref="J396:K396"/>
    <mergeCell ref="L396:M396"/>
    <mergeCell ref="P396:Q396"/>
    <mergeCell ref="AJ395:AK395"/>
    <mergeCell ref="AL395:AM395"/>
    <mergeCell ref="AN395:AO395"/>
    <mergeCell ref="AP395:AQ395"/>
    <mergeCell ref="AR395:AS395"/>
    <mergeCell ref="AT395:AU395"/>
    <mergeCell ref="AV395:AW395"/>
    <mergeCell ref="P384:Q384"/>
    <mergeCell ref="B385:C385"/>
    <mergeCell ref="D385:E385"/>
    <mergeCell ref="F385:G385"/>
    <mergeCell ref="H385:I385"/>
    <mergeCell ref="J385:K385"/>
    <mergeCell ref="L385:M385"/>
    <mergeCell ref="P385:Q385"/>
    <mergeCell ref="AJ384:AK384"/>
    <mergeCell ref="AL384:AM384"/>
    <mergeCell ref="AN384:AO384"/>
    <mergeCell ref="AP384:AQ384"/>
    <mergeCell ref="AR384:AS384"/>
    <mergeCell ref="AT384:AU384"/>
    <mergeCell ref="AV384:AW384"/>
    <mergeCell ref="BD396:BE396"/>
    <mergeCell ref="BF396:BI396"/>
    <mergeCell ref="AN396:AO396"/>
    <mergeCell ref="AP396:AQ396"/>
    <mergeCell ref="AR396:AS396"/>
    <mergeCell ref="AT396:AU396"/>
    <mergeCell ref="AV396:AW396"/>
    <mergeCell ref="AX396:AZ396"/>
    <mergeCell ref="BA396:BB396"/>
    <mergeCell ref="AJ394:AK394"/>
    <mergeCell ref="AL394:AM394"/>
    <mergeCell ref="R394:S394"/>
    <mergeCell ref="T394:U394"/>
    <mergeCell ref="V394:W394"/>
    <mergeCell ref="R309:S309"/>
    <mergeCell ref="T309:U309"/>
    <mergeCell ref="V309:W309"/>
    <mergeCell ref="X309:AA309"/>
    <mergeCell ref="AB309:AE309"/>
    <mergeCell ref="AF309:AG309"/>
    <mergeCell ref="AH309:AI309"/>
    <mergeCell ref="V310:W310"/>
    <mergeCell ref="X310:AA310"/>
    <mergeCell ref="AB310:AE310"/>
    <mergeCell ref="AF310:AG310"/>
    <mergeCell ref="AH310:AI310"/>
    <mergeCell ref="AJ310:AK310"/>
    <mergeCell ref="AL310:AM310"/>
    <mergeCell ref="BD310:BE310"/>
    <mergeCell ref="BF310:BI310"/>
    <mergeCell ref="BJ310:BM310"/>
    <mergeCell ref="BN310:BV310"/>
    <mergeCell ref="AN310:AO310"/>
    <mergeCell ref="AP310:AQ310"/>
    <mergeCell ref="AR310:AS310"/>
    <mergeCell ref="AT310:AU310"/>
    <mergeCell ref="AV310:AW310"/>
    <mergeCell ref="AX310:AZ310"/>
    <mergeCell ref="BA310:BB310"/>
    <mergeCell ref="B310:C310"/>
    <mergeCell ref="D310:E310"/>
    <mergeCell ref="F310:G310"/>
    <mergeCell ref="H310:I310"/>
    <mergeCell ref="P310:Q310"/>
    <mergeCell ref="R310:S310"/>
    <mergeCell ref="T310:U310"/>
    <mergeCell ref="B311:C311"/>
    <mergeCell ref="D311:E311"/>
    <mergeCell ref="F311:G311"/>
    <mergeCell ref="H311:I311"/>
    <mergeCell ref="J311:K311"/>
    <mergeCell ref="L311:M311"/>
    <mergeCell ref="P311:Q311"/>
    <mergeCell ref="AX311:AZ311"/>
    <mergeCell ref="BA311:BB311"/>
    <mergeCell ref="X394:AA394"/>
    <mergeCell ref="AB394:AE394"/>
    <mergeCell ref="AF394:AG394"/>
    <mergeCell ref="AH394:AI394"/>
    <mergeCell ref="R395:S395"/>
    <mergeCell ref="T395:U395"/>
    <mergeCell ref="V395:W395"/>
    <mergeCell ref="X395:AA395"/>
    <mergeCell ref="AB395:AE395"/>
    <mergeCell ref="AF395:AG395"/>
    <mergeCell ref="AH395:AI395"/>
    <mergeCell ref="AX395:AZ395"/>
    <mergeCell ref="BA395:BB395"/>
    <mergeCell ref="BD395:BE395"/>
    <mergeCell ref="BF395:BI395"/>
    <mergeCell ref="BD391:BE391"/>
    <mergeCell ref="BF391:BI391"/>
    <mergeCell ref="P393:Q393"/>
    <mergeCell ref="B394:C394"/>
    <mergeCell ref="D394:E394"/>
    <mergeCell ref="F394:G394"/>
    <mergeCell ref="H394:I394"/>
    <mergeCell ref="J394:K394"/>
    <mergeCell ref="L394:M394"/>
    <mergeCell ref="P394:Q394"/>
    <mergeCell ref="AJ393:AK393"/>
    <mergeCell ref="AL393:AM393"/>
    <mergeCell ref="AN393:AO393"/>
    <mergeCell ref="AP393:AQ393"/>
    <mergeCell ref="AR393:AS393"/>
    <mergeCell ref="AT393:AU393"/>
    <mergeCell ref="AV393:AW393"/>
    <mergeCell ref="BD387:BE387"/>
    <mergeCell ref="BF387:BI387"/>
    <mergeCell ref="BD390:BE390"/>
    <mergeCell ref="BF390:BI390"/>
    <mergeCell ref="AN390:AO390"/>
    <mergeCell ref="AP390:AQ390"/>
    <mergeCell ref="AR390:AS390"/>
    <mergeCell ref="AT390:AU390"/>
    <mergeCell ref="AV390:AW390"/>
    <mergeCell ref="AX390:AZ390"/>
    <mergeCell ref="BA390:BB390"/>
    <mergeCell ref="L388:M388"/>
    <mergeCell ref="P388:Q388"/>
    <mergeCell ref="AX389:AZ389"/>
    <mergeCell ref="BA389:BB389"/>
    <mergeCell ref="BD389:BE389"/>
    <mergeCell ref="BF389:BI389"/>
    <mergeCell ref="BJ382:BM382"/>
    <mergeCell ref="BN382:BV382"/>
    <mergeCell ref="BJ383:BM383"/>
    <mergeCell ref="BN383:BV383"/>
    <mergeCell ref="B382:C382"/>
    <mergeCell ref="D382:E382"/>
    <mergeCell ref="F382:G382"/>
    <mergeCell ref="H382:I382"/>
    <mergeCell ref="J382:K382"/>
    <mergeCell ref="L382:M382"/>
    <mergeCell ref="P382:Q382"/>
    <mergeCell ref="B383:C383"/>
    <mergeCell ref="D383:E383"/>
    <mergeCell ref="F383:G383"/>
    <mergeCell ref="H383:I383"/>
    <mergeCell ref="J383:K383"/>
    <mergeCell ref="L383:M383"/>
    <mergeCell ref="P383:Q383"/>
    <mergeCell ref="AJ382:AK382"/>
    <mergeCell ref="AL382:AM382"/>
    <mergeCell ref="AN382:AO382"/>
    <mergeCell ref="AP382:AQ382"/>
    <mergeCell ref="AR382:AS382"/>
    <mergeCell ref="AT382:AU382"/>
    <mergeCell ref="AV382:AW382"/>
    <mergeCell ref="BD385:BE385"/>
    <mergeCell ref="BF385:BI385"/>
    <mergeCell ref="AN385:AO385"/>
    <mergeCell ref="AP385:AQ385"/>
    <mergeCell ref="AR385:AS385"/>
    <mergeCell ref="AT385:AU385"/>
    <mergeCell ref="AV385:AW385"/>
    <mergeCell ref="AX385:AZ385"/>
    <mergeCell ref="BA385:BB385"/>
    <mergeCell ref="AJ383:AK383"/>
    <mergeCell ref="AL383:AM383"/>
    <mergeCell ref="R383:S383"/>
    <mergeCell ref="T383:U383"/>
    <mergeCell ref="V383:W383"/>
    <mergeCell ref="X383:AA383"/>
    <mergeCell ref="AB383:AE383"/>
    <mergeCell ref="AF383:AG383"/>
    <mergeCell ref="AH383:AI383"/>
    <mergeCell ref="R384:S384"/>
    <mergeCell ref="T384:U384"/>
    <mergeCell ref="V384:W384"/>
    <mergeCell ref="X384:AA384"/>
    <mergeCell ref="AB384:AE384"/>
    <mergeCell ref="AF384:AG384"/>
    <mergeCell ref="AH384:AI384"/>
    <mergeCell ref="AX384:AZ384"/>
    <mergeCell ref="BA384:BB384"/>
    <mergeCell ref="BD384:BE384"/>
    <mergeCell ref="BF384:BI384"/>
    <mergeCell ref="BJ384:BM384"/>
    <mergeCell ref="BN384:BV384"/>
    <mergeCell ref="BJ385:BM385"/>
    <mergeCell ref="BN385:BV385"/>
    <mergeCell ref="B384:C384"/>
    <mergeCell ref="D384:E384"/>
    <mergeCell ref="F384:G384"/>
    <mergeCell ref="H384:I384"/>
    <mergeCell ref="J384:K384"/>
    <mergeCell ref="L384:M384"/>
    <mergeCell ref="L381:M381"/>
    <mergeCell ref="P381:Q381"/>
    <mergeCell ref="AJ380:AK380"/>
    <mergeCell ref="AL380:AM380"/>
    <mergeCell ref="AN380:AO380"/>
    <mergeCell ref="AP380:AQ380"/>
    <mergeCell ref="AR380:AS380"/>
    <mergeCell ref="AT380:AU380"/>
    <mergeCell ref="AV380:AW380"/>
    <mergeCell ref="BD383:BE383"/>
    <mergeCell ref="BF383:BI383"/>
    <mergeCell ref="AN383:AO383"/>
    <mergeCell ref="AP383:AQ383"/>
    <mergeCell ref="AR383:AS383"/>
    <mergeCell ref="AT383:AU383"/>
    <mergeCell ref="AV383:AW383"/>
    <mergeCell ref="AX383:AZ383"/>
    <mergeCell ref="BA383:BB383"/>
    <mergeCell ref="AJ381:AK381"/>
    <mergeCell ref="AL381:AM381"/>
    <mergeCell ref="R381:S381"/>
    <mergeCell ref="T381:U381"/>
    <mergeCell ref="V381:W381"/>
    <mergeCell ref="X381:AA381"/>
    <mergeCell ref="AB381:AE381"/>
    <mergeCell ref="AF381:AG381"/>
    <mergeCell ref="AH381:AI381"/>
    <mergeCell ref="R382:S382"/>
    <mergeCell ref="T382:U382"/>
    <mergeCell ref="V382:W382"/>
    <mergeCell ref="X382:AA382"/>
    <mergeCell ref="AB382:AE382"/>
    <mergeCell ref="AF382:AG382"/>
    <mergeCell ref="AH382:AI382"/>
    <mergeCell ref="AX382:AZ382"/>
    <mergeCell ref="BA382:BB382"/>
    <mergeCell ref="BD382:BE382"/>
    <mergeCell ref="BF382:BI382"/>
    <mergeCell ref="BJ378:BM378"/>
    <mergeCell ref="BN378:BV378"/>
    <mergeCell ref="BJ379:BM379"/>
    <mergeCell ref="BN379:BV379"/>
    <mergeCell ref="B378:C378"/>
    <mergeCell ref="D378:E378"/>
    <mergeCell ref="F378:G378"/>
    <mergeCell ref="H378:I378"/>
    <mergeCell ref="J378:K378"/>
    <mergeCell ref="L378:M378"/>
    <mergeCell ref="P378:Q378"/>
    <mergeCell ref="B379:C379"/>
    <mergeCell ref="D379:E379"/>
    <mergeCell ref="F379:G379"/>
    <mergeCell ref="H379:I379"/>
    <mergeCell ref="J379:K379"/>
    <mergeCell ref="L379:M379"/>
    <mergeCell ref="P379:Q379"/>
    <mergeCell ref="AJ378:AK378"/>
    <mergeCell ref="AL378:AM378"/>
    <mergeCell ref="AN378:AO378"/>
    <mergeCell ref="AP378:AQ378"/>
    <mergeCell ref="AR378:AS378"/>
    <mergeCell ref="AT378:AU378"/>
    <mergeCell ref="AV378:AW378"/>
    <mergeCell ref="BD381:BE381"/>
    <mergeCell ref="BF381:BI381"/>
    <mergeCell ref="AN381:AO381"/>
    <mergeCell ref="AP381:AQ381"/>
    <mergeCell ref="AR381:AS381"/>
    <mergeCell ref="AT381:AU381"/>
    <mergeCell ref="AV381:AW381"/>
    <mergeCell ref="AX381:AZ381"/>
    <mergeCell ref="BA381:BB381"/>
    <mergeCell ref="AJ379:AK379"/>
    <mergeCell ref="AL379:AM379"/>
    <mergeCell ref="R379:S379"/>
    <mergeCell ref="T379:U379"/>
    <mergeCell ref="V379:W379"/>
    <mergeCell ref="X379:AA379"/>
    <mergeCell ref="AB379:AE379"/>
    <mergeCell ref="AF379:AG379"/>
    <mergeCell ref="AH379:AI379"/>
    <mergeCell ref="R380:S380"/>
    <mergeCell ref="T380:U380"/>
    <mergeCell ref="V380:W380"/>
    <mergeCell ref="X380:AA380"/>
    <mergeCell ref="AB380:AE380"/>
    <mergeCell ref="AF380:AG380"/>
    <mergeCell ref="AH380:AI380"/>
    <mergeCell ref="AX380:AZ380"/>
    <mergeCell ref="BA380:BB380"/>
    <mergeCell ref="BD380:BE380"/>
    <mergeCell ref="BF380:BI380"/>
    <mergeCell ref="BJ380:BM380"/>
    <mergeCell ref="BN380:BV380"/>
    <mergeCell ref="BJ381:BM381"/>
    <mergeCell ref="BN381:BV381"/>
    <mergeCell ref="B380:C380"/>
    <mergeCell ref="D380:E380"/>
    <mergeCell ref="F380:G380"/>
    <mergeCell ref="H380:I380"/>
    <mergeCell ref="J380:K380"/>
    <mergeCell ref="L380:M380"/>
    <mergeCell ref="H376:I376"/>
    <mergeCell ref="J376:K376"/>
    <mergeCell ref="L376:M376"/>
    <mergeCell ref="P376:Q376"/>
    <mergeCell ref="B377:C377"/>
    <mergeCell ref="D377:E377"/>
    <mergeCell ref="F377:G377"/>
    <mergeCell ref="H377:I377"/>
    <mergeCell ref="J377:K377"/>
    <mergeCell ref="L377:M377"/>
    <mergeCell ref="P377:Q377"/>
    <mergeCell ref="AJ376:AK376"/>
    <mergeCell ref="AL376:AM376"/>
    <mergeCell ref="AN376:AO376"/>
    <mergeCell ref="AP376:AQ376"/>
    <mergeCell ref="AR376:AS376"/>
    <mergeCell ref="AT376:AU376"/>
    <mergeCell ref="AV376:AW376"/>
    <mergeCell ref="BD379:BE379"/>
    <mergeCell ref="BF379:BI379"/>
    <mergeCell ref="AN379:AO379"/>
    <mergeCell ref="AP379:AQ379"/>
    <mergeCell ref="AR379:AS379"/>
    <mergeCell ref="AT379:AU379"/>
    <mergeCell ref="AV379:AW379"/>
    <mergeCell ref="AX379:AZ379"/>
    <mergeCell ref="BA379:BB379"/>
    <mergeCell ref="AJ377:AK377"/>
    <mergeCell ref="AL377:AM377"/>
    <mergeCell ref="R377:S377"/>
    <mergeCell ref="T377:U377"/>
    <mergeCell ref="V377:W377"/>
    <mergeCell ref="X377:AA377"/>
    <mergeCell ref="AB377:AE377"/>
    <mergeCell ref="AF377:AG377"/>
    <mergeCell ref="AH377:AI377"/>
    <mergeCell ref="R378:S378"/>
    <mergeCell ref="T378:U378"/>
    <mergeCell ref="V378:W378"/>
    <mergeCell ref="X378:AA378"/>
    <mergeCell ref="AB378:AE378"/>
    <mergeCell ref="AF378:AG378"/>
    <mergeCell ref="AH378:AI378"/>
    <mergeCell ref="AX378:AZ378"/>
    <mergeCell ref="BA378:BB378"/>
    <mergeCell ref="BD378:BE378"/>
    <mergeCell ref="BF378:BI378"/>
    <mergeCell ref="BA374:BB374"/>
    <mergeCell ref="BD374:BE374"/>
    <mergeCell ref="BF374:BI374"/>
    <mergeCell ref="BJ374:BM374"/>
    <mergeCell ref="BN374:BV374"/>
    <mergeCell ref="BJ375:BM375"/>
    <mergeCell ref="BN375:BV375"/>
    <mergeCell ref="B374:C374"/>
    <mergeCell ref="D374:E374"/>
    <mergeCell ref="F374:G374"/>
    <mergeCell ref="H374:I374"/>
    <mergeCell ref="J374:K374"/>
    <mergeCell ref="L374:M374"/>
    <mergeCell ref="P374:Q374"/>
    <mergeCell ref="B375:C375"/>
    <mergeCell ref="D375:E375"/>
    <mergeCell ref="F375:G375"/>
    <mergeCell ref="H375:I375"/>
    <mergeCell ref="J375:K375"/>
    <mergeCell ref="L375:M375"/>
    <mergeCell ref="P375:Q375"/>
    <mergeCell ref="AJ374:AK374"/>
    <mergeCell ref="AL374:AM374"/>
    <mergeCell ref="AN374:AO374"/>
    <mergeCell ref="AP374:AQ374"/>
    <mergeCell ref="AR374:AS374"/>
    <mergeCell ref="AT374:AU374"/>
    <mergeCell ref="AV374:AW374"/>
    <mergeCell ref="BD377:BE377"/>
    <mergeCell ref="BF377:BI377"/>
    <mergeCell ref="AN377:AO377"/>
    <mergeCell ref="AP377:AQ377"/>
    <mergeCell ref="AR377:AS377"/>
    <mergeCell ref="AT377:AU377"/>
    <mergeCell ref="AV377:AW377"/>
    <mergeCell ref="AX377:AZ377"/>
    <mergeCell ref="BA377:BB377"/>
    <mergeCell ref="AJ375:AK375"/>
    <mergeCell ref="AL375:AM375"/>
    <mergeCell ref="R375:S375"/>
    <mergeCell ref="T375:U375"/>
    <mergeCell ref="V375:W375"/>
    <mergeCell ref="X375:AA375"/>
    <mergeCell ref="AB375:AE375"/>
    <mergeCell ref="AF375:AG375"/>
    <mergeCell ref="AH375:AI375"/>
    <mergeCell ref="R376:S376"/>
    <mergeCell ref="T376:U376"/>
    <mergeCell ref="V376:W376"/>
    <mergeCell ref="X376:AA376"/>
    <mergeCell ref="AB376:AE376"/>
    <mergeCell ref="AF376:AG376"/>
    <mergeCell ref="AH376:AI376"/>
    <mergeCell ref="AX376:AZ376"/>
    <mergeCell ref="BA376:BB376"/>
    <mergeCell ref="BD376:BE376"/>
    <mergeCell ref="BF376:BI376"/>
    <mergeCell ref="BJ376:BM376"/>
    <mergeCell ref="BN376:BV376"/>
    <mergeCell ref="BJ377:BM377"/>
    <mergeCell ref="BN377:BV377"/>
    <mergeCell ref="B376:C376"/>
    <mergeCell ref="D376:E376"/>
    <mergeCell ref="F376:G376"/>
    <mergeCell ref="BJ366:BM366"/>
    <mergeCell ref="BN366:BV366"/>
    <mergeCell ref="BJ367:BM367"/>
    <mergeCell ref="BN367:BV367"/>
    <mergeCell ref="B367:C367"/>
    <mergeCell ref="D367:E367"/>
    <mergeCell ref="F367:G367"/>
    <mergeCell ref="H367:I367"/>
    <mergeCell ref="J367:K367"/>
    <mergeCell ref="L367:M367"/>
    <mergeCell ref="P367:Q367"/>
    <mergeCell ref="AJ366:AK366"/>
    <mergeCell ref="AL366:AM366"/>
    <mergeCell ref="AN366:AO366"/>
    <mergeCell ref="AP366:AQ366"/>
    <mergeCell ref="AR366:AS366"/>
    <mergeCell ref="AT366:AU366"/>
    <mergeCell ref="AV366:AW366"/>
    <mergeCell ref="BD369:BE369"/>
    <mergeCell ref="BF369:BI369"/>
    <mergeCell ref="AN369:AO369"/>
    <mergeCell ref="AP369:AQ369"/>
    <mergeCell ref="AR369:AS369"/>
    <mergeCell ref="AT369:AU369"/>
    <mergeCell ref="AV369:AW369"/>
    <mergeCell ref="AX369:AZ369"/>
    <mergeCell ref="BA369:BB369"/>
    <mergeCell ref="AJ387:AK387"/>
    <mergeCell ref="AL387:AM387"/>
    <mergeCell ref="BJ387:BM387"/>
    <mergeCell ref="BN387:BV387"/>
    <mergeCell ref="R387:S387"/>
    <mergeCell ref="T387:U387"/>
    <mergeCell ref="V387:W387"/>
    <mergeCell ref="X387:AA387"/>
    <mergeCell ref="AB387:AE387"/>
    <mergeCell ref="AF387:AG387"/>
    <mergeCell ref="AH387:AI387"/>
    <mergeCell ref="BD375:BE375"/>
    <mergeCell ref="BF375:BI375"/>
    <mergeCell ref="AN375:AO375"/>
    <mergeCell ref="AP375:AQ375"/>
    <mergeCell ref="AR375:AS375"/>
    <mergeCell ref="AT375:AU375"/>
    <mergeCell ref="AV375:AW375"/>
    <mergeCell ref="AX375:AZ375"/>
    <mergeCell ref="BA375:BB375"/>
    <mergeCell ref="AJ373:AK373"/>
    <mergeCell ref="AL373:AM373"/>
    <mergeCell ref="R373:S373"/>
    <mergeCell ref="T373:U373"/>
    <mergeCell ref="V373:W373"/>
    <mergeCell ref="X373:AA373"/>
    <mergeCell ref="AB373:AE373"/>
    <mergeCell ref="AF373:AG373"/>
    <mergeCell ref="AH373:AI373"/>
    <mergeCell ref="R374:S374"/>
    <mergeCell ref="T374:U374"/>
    <mergeCell ref="V374:W374"/>
    <mergeCell ref="X374:AA374"/>
    <mergeCell ref="AB374:AE374"/>
    <mergeCell ref="AF374:AG374"/>
    <mergeCell ref="AH374:AI374"/>
    <mergeCell ref="AX374:AZ374"/>
    <mergeCell ref="BJ363:BM363"/>
    <mergeCell ref="BN363:BV363"/>
    <mergeCell ref="B363:C363"/>
    <mergeCell ref="D363:E363"/>
    <mergeCell ref="F363:G363"/>
    <mergeCell ref="H363:I363"/>
    <mergeCell ref="J363:K363"/>
    <mergeCell ref="L363:M363"/>
    <mergeCell ref="P363:Q363"/>
    <mergeCell ref="AJ363:AK363"/>
    <mergeCell ref="AL363:AM363"/>
    <mergeCell ref="AN363:AO363"/>
    <mergeCell ref="AP363:AQ363"/>
    <mergeCell ref="AR363:AS363"/>
    <mergeCell ref="AT363:AU363"/>
    <mergeCell ref="AV363:AW363"/>
    <mergeCell ref="B364:C364"/>
    <mergeCell ref="D364:E364"/>
    <mergeCell ref="F364:G364"/>
    <mergeCell ref="H364:I364"/>
    <mergeCell ref="J364:K364"/>
    <mergeCell ref="L364:M364"/>
    <mergeCell ref="P364:Q364"/>
    <mergeCell ref="R366:S366"/>
    <mergeCell ref="T366:U366"/>
    <mergeCell ref="V366:W366"/>
    <mergeCell ref="X366:AA366"/>
    <mergeCell ref="AB366:AE366"/>
    <mergeCell ref="AF366:AG366"/>
    <mergeCell ref="AH366:AI366"/>
    <mergeCell ref="B366:C366"/>
    <mergeCell ref="D366:E366"/>
    <mergeCell ref="F366:G366"/>
    <mergeCell ref="H366:I366"/>
    <mergeCell ref="J366:K366"/>
    <mergeCell ref="L366:M366"/>
    <mergeCell ref="P366:Q366"/>
    <mergeCell ref="R365:S365"/>
    <mergeCell ref="T365:U365"/>
    <mergeCell ref="V365:W365"/>
    <mergeCell ref="X365:AA365"/>
    <mergeCell ref="AB365:AE365"/>
    <mergeCell ref="AF365:AG365"/>
    <mergeCell ref="AH365:AI365"/>
    <mergeCell ref="AX365:AZ365"/>
    <mergeCell ref="BA365:BB365"/>
    <mergeCell ref="BD365:BE365"/>
    <mergeCell ref="BF365:BI365"/>
    <mergeCell ref="BJ365:BM365"/>
    <mergeCell ref="BN365:BV365"/>
    <mergeCell ref="AJ365:AK365"/>
    <mergeCell ref="AL365:AM365"/>
    <mergeCell ref="AN365:AO365"/>
    <mergeCell ref="AP365:AQ365"/>
    <mergeCell ref="AR365:AS365"/>
    <mergeCell ref="AT365:AU365"/>
    <mergeCell ref="AV365:AW365"/>
    <mergeCell ref="B365:C365"/>
    <mergeCell ref="D365:E365"/>
    <mergeCell ref="F365:G365"/>
    <mergeCell ref="H365:I365"/>
    <mergeCell ref="J365:K365"/>
    <mergeCell ref="L365:M365"/>
    <mergeCell ref="P365:Q365"/>
    <mergeCell ref="B370:C370"/>
    <mergeCell ref="D370:E370"/>
    <mergeCell ref="F370:G370"/>
    <mergeCell ref="H370:I370"/>
    <mergeCell ref="J370:K370"/>
    <mergeCell ref="L370:M370"/>
    <mergeCell ref="P370:Q370"/>
    <mergeCell ref="B371:C371"/>
    <mergeCell ref="D371:E371"/>
    <mergeCell ref="F371:G371"/>
    <mergeCell ref="H371:I371"/>
    <mergeCell ref="J371:K371"/>
    <mergeCell ref="L371:M371"/>
    <mergeCell ref="P371:Q371"/>
    <mergeCell ref="AJ370:AK370"/>
    <mergeCell ref="AL370:AM370"/>
    <mergeCell ref="AN370:AO370"/>
    <mergeCell ref="AP370:AQ370"/>
    <mergeCell ref="AR370:AS370"/>
    <mergeCell ref="AT370:AU370"/>
    <mergeCell ref="AV370:AW370"/>
    <mergeCell ref="BD364:BE364"/>
    <mergeCell ref="BF364:BI364"/>
    <mergeCell ref="AN364:AO364"/>
    <mergeCell ref="AP364:AQ364"/>
    <mergeCell ref="AR364:AS364"/>
    <mergeCell ref="AT364:AU364"/>
    <mergeCell ref="AV364:AW364"/>
    <mergeCell ref="AX364:AZ364"/>
    <mergeCell ref="BA364:BB364"/>
    <mergeCell ref="AJ362:AK362"/>
    <mergeCell ref="AL362:AM362"/>
    <mergeCell ref="R362:S362"/>
    <mergeCell ref="T362:U362"/>
    <mergeCell ref="V362:W362"/>
    <mergeCell ref="X362:AA362"/>
    <mergeCell ref="AB362:AE362"/>
    <mergeCell ref="AF362:AG362"/>
    <mergeCell ref="AH362:AI362"/>
    <mergeCell ref="R363:S363"/>
    <mergeCell ref="T363:U363"/>
    <mergeCell ref="V363:W363"/>
    <mergeCell ref="X363:AA363"/>
    <mergeCell ref="AB363:AE363"/>
    <mergeCell ref="AF363:AG363"/>
    <mergeCell ref="AH363:AI363"/>
    <mergeCell ref="AX363:AZ363"/>
    <mergeCell ref="BA363:BB363"/>
    <mergeCell ref="BD363:BE363"/>
    <mergeCell ref="BF363:BI363"/>
    <mergeCell ref="BD367:BE367"/>
    <mergeCell ref="BF367:BI367"/>
    <mergeCell ref="AN367:AO367"/>
    <mergeCell ref="AP367:AQ367"/>
    <mergeCell ref="AR367:AS367"/>
    <mergeCell ref="AT367:AU367"/>
    <mergeCell ref="AV367:AW367"/>
    <mergeCell ref="AX367:AZ367"/>
    <mergeCell ref="BA367:BB367"/>
    <mergeCell ref="AX366:AZ366"/>
    <mergeCell ref="BA366:BB366"/>
    <mergeCell ref="BD366:BE366"/>
    <mergeCell ref="BF366:BI366"/>
    <mergeCell ref="D362:E362"/>
    <mergeCell ref="BD371:BE371"/>
    <mergeCell ref="BF371:BI371"/>
    <mergeCell ref="AN371:AO371"/>
    <mergeCell ref="AP371:AQ371"/>
    <mergeCell ref="AR371:AS371"/>
    <mergeCell ref="AT371:AU371"/>
    <mergeCell ref="AV371:AW371"/>
    <mergeCell ref="AX371:AZ371"/>
    <mergeCell ref="BA371:BB371"/>
    <mergeCell ref="AJ369:AK369"/>
    <mergeCell ref="AL369:AM369"/>
    <mergeCell ref="R369:S369"/>
    <mergeCell ref="T369:U369"/>
    <mergeCell ref="V369:W369"/>
    <mergeCell ref="X369:AA369"/>
    <mergeCell ref="AB369:AE369"/>
    <mergeCell ref="AF369:AG369"/>
    <mergeCell ref="AH369:AI369"/>
    <mergeCell ref="R370:S370"/>
    <mergeCell ref="T370:U370"/>
    <mergeCell ref="V370:W370"/>
    <mergeCell ref="X370:AA370"/>
    <mergeCell ref="AB370:AE370"/>
    <mergeCell ref="AF370:AG370"/>
    <mergeCell ref="AH370:AI370"/>
    <mergeCell ref="AX370:AZ370"/>
    <mergeCell ref="BA370:BB370"/>
    <mergeCell ref="BD370:BE370"/>
    <mergeCell ref="BF370:BI370"/>
    <mergeCell ref="BJ370:BM370"/>
    <mergeCell ref="BN370:BV370"/>
    <mergeCell ref="BJ371:BM371"/>
    <mergeCell ref="BN371:BV371"/>
    <mergeCell ref="AJ367:AK367"/>
    <mergeCell ref="AL367:AM367"/>
    <mergeCell ref="R367:S367"/>
    <mergeCell ref="T367:U367"/>
    <mergeCell ref="V367:W367"/>
    <mergeCell ref="X367:AA367"/>
    <mergeCell ref="AB367:AE367"/>
    <mergeCell ref="AF367:AG367"/>
    <mergeCell ref="AH367:AI367"/>
    <mergeCell ref="R368:S368"/>
    <mergeCell ref="T368:U368"/>
    <mergeCell ref="V368:W368"/>
    <mergeCell ref="X368:AA368"/>
    <mergeCell ref="AB368:AE368"/>
    <mergeCell ref="AF368:AG368"/>
    <mergeCell ref="AH368:AI368"/>
    <mergeCell ref="AX368:AZ368"/>
    <mergeCell ref="BA368:BB368"/>
    <mergeCell ref="BD368:BE368"/>
    <mergeCell ref="BF368:BI368"/>
    <mergeCell ref="BJ368:BM368"/>
    <mergeCell ref="BN368:BV368"/>
    <mergeCell ref="BJ369:BM369"/>
    <mergeCell ref="BN369:BV369"/>
    <mergeCell ref="B368:C368"/>
    <mergeCell ref="D368:E368"/>
    <mergeCell ref="F368:G368"/>
    <mergeCell ref="H368:I368"/>
    <mergeCell ref="J368:K368"/>
    <mergeCell ref="L368:M368"/>
    <mergeCell ref="P368:Q368"/>
    <mergeCell ref="B369:C369"/>
    <mergeCell ref="D369:E369"/>
    <mergeCell ref="F369:G369"/>
    <mergeCell ref="H369:I369"/>
    <mergeCell ref="J369:K369"/>
    <mergeCell ref="L369:M369"/>
    <mergeCell ref="P369:Q369"/>
    <mergeCell ref="AJ368:AK368"/>
    <mergeCell ref="AL368:AM368"/>
    <mergeCell ref="AN368:AO368"/>
    <mergeCell ref="AP368:AQ368"/>
    <mergeCell ref="AR368:AS368"/>
    <mergeCell ref="AT368:AU368"/>
    <mergeCell ref="AV368:AW368"/>
    <mergeCell ref="V264:W264"/>
    <mergeCell ref="X264:AA264"/>
    <mergeCell ref="AB264:AE264"/>
    <mergeCell ref="AF264:AG264"/>
    <mergeCell ref="AH264:AI264"/>
    <mergeCell ref="AJ264:AK264"/>
    <mergeCell ref="AL264:AM264"/>
    <mergeCell ref="BD264:BE264"/>
    <mergeCell ref="BF264:BI264"/>
    <mergeCell ref="BJ264:BM264"/>
    <mergeCell ref="BN264:BV264"/>
    <mergeCell ref="AN264:AO264"/>
    <mergeCell ref="AP264:AQ264"/>
    <mergeCell ref="AR264:AS264"/>
    <mergeCell ref="AT264:AU264"/>
    <mergeCell ref="AV264:AW264"/>
    <mergeCell ref="AX264:AZ264"/>
    <mergeCell ref="BA264:BB264"/>
    <mergeCell ref="B264:C264"/>
    <mergeCell ref="D264:E264"/>
    <mergeCell ref="F264:G264"/>
    <mergeCell ref="H264:I264"/>
    <mergeCell ref="P264:Q264"/>
    <mergeCell ref="R264:S264"/>
    <mergeCell ref="T264:U264"/>
    <mergeCell ref="B265:C265"/>
    <mergeCell ref="D265:E265"/>
    <mergeCell ref="F265:G265"/>
    <mergeCell ref="H265:I265"/>
    <mergeCell ref="J265:K265"/>
    <mergeCell ref="L265:M265"/>
    <mergeCell ref="P265:Q265"/>
    <mergeCell ref="AX265:AZ265"/>
    <mergeCell ref="BA265:BB265"/>
    <mergeCell ref="BD265:BE265"/>
    <mergeCell ref="BF265:BI265"/>
    <mergeCell ref="BJ265:BM265"/>
    <mergeCell ref="BN265:BV265"/>
    <mergeCell ref="AN265:AO265"/>
    <mergeCell ref="AP265:AQ265"/>
    <mergeCell ref="AR265:AS265"/>
    <mergeCell ref="AT265:AU265"/>
    <mergeCell ref="AV265:AW265"/>
    <mergeCell ref="R265:S265"/>
    <mergeCell ref="T265:U265"/>
    <mergeCell ref="V265:W265"/>
    <mergeCell ref="X265:AA265"/>
    <mergeCell ref="AB265:AE265"/>
    <mergeCell ref="AF265:AG265"/>
    <mergeCell ref="AH265:AI265"/>
    <mergeCell ref="AJ265:AK265"/>
    <mergeCell ref="AL265:AM265"/>
    <mergeCell ref="V262:W262"/>
    <mergeCell ref="X262:AA262"/>
    <mergeCell ref="AB262:AE262"/>
    <mergeCell ref="AF262:AG262"/>
    <mergeCell ref="AH262:AI262"/>
    <mergeCell ref="AJ262:AK262"/>
    <mergeCell ref="AL262:AM262"/>
    <mergeCell ref="BD262:BE262"/>
    <mergeCell ref="BF262:BI262"/>
    <mergeCell ref="BJ262:BM262"/>
    <mergeCell ref="BN262:BV262"/>
    <mergeCell ref="AN262:AO262"/>
    <mergeCell ref="AP262:AQ262"/>
    <mergeCell ref="AR262:AS262"/>
    <mergeCell ref="AT262:AU262"/>
    <mergeCell ref="AV262:AW262"/>
    <mergeCell ref="AX262:AZ262"/>
    <mergeCell ref="BA262:BB262"/>
    <mergeCell ref="B262:C262"/>
    <mergeCell ref="D262:E262"/>
    <mergeCell ref="F262:G262"/>
    <mergeCell ref="H262:I262"/>
    <mergeCell ref="P262:Q262"/>
    <mergeCell ref="R262:S262"/>
    <mergeCell ref="T262:U262"/>
    <mergeCell ref="B263:C263"/>
    <mergeCell ref="D263:E263"/>
    <mergeCell ref="F263:G263"/>
    <mergeCell ref="H263:I263"/>
    <mergeCell ref="J263:K263"/>
    <mergeCell ref="L263:M263"/>
    <mergeCell ref="P263:Q263"/>
    <mergeCell ref="AX263:AZ263"/>
    <mergeCell ref="BA263:BB263"/>
    <mergeCell ref="BD263:BE263"/>
    <mergeCell ref="BF263:BI263"/>
    <mergeCell ref="BJ263:BM263"/>
    <mergeCell ref="BN263:BV263"/>
    <mergeCell ref="AN263:AO263"/>
    <mergeCell ref="AP263:AQ263"/>
    <mergeCell ref="AR263:AS263"/>
    <mergeCell ref="AT263:AU263"/>
    <mergeCell ref="AV263:AW263"/>
    <mergeCell ref="R263:S263"/>
    <mergeCell ref="T263:U263"/>
    <mergeCell ref="V263:W263"/>
    <mergeCell ref="X263:AA263"/>
    <mergeCell ref="AB263:AE263"/>
    <mergeCell ref="AF263:AG263"/>
    <mergeCell ref="AH263:AI263"/>
    <mergeCell ref="AJ263:AK263"/>
    <mergeCell ref="AL263:AM263"/>
    <mergeCell ref="V260:W260"/>
    <mergeCell ref="X260:AA260"/>
    <mergeCell ref="AB260:AE260"/>
    <mergeCell ref="AF260:AG260"/>
    <mergeCell ref="AH260:AI260"/>
    <mergeCell ref="AJ260:AK260"/>
    <mergeCell ref="AL260:AM260"/>
    <mergeCell ref="BD260:BE260"/>
    <mergeCell ref="BF260:BI260"/>
    <mergeCell ref="BJ260:BM260"/>
    <mergeCell ref="BN260:BV260"/>
    <mergeCell ref="AN260:AO260"/>
    <mergeCell ref="AP260:AQ260"/>
    <mergeCell ref="AR260:AS260"/>
    <mergeCell ref="AT260:AU260"/>
    <mergeCell ref="AV260:AW260"/>
    <mergeCell ref="AX260:AZ260"/>
    <mergeCell ref="BA260:BB260"/>
    <mergeCell ref="B260:C260"/>
    <mergeCell ref="D260:E260"/>
    <mergeCell ref="F260:G260"/>
    <mergeCell ref="H260:I260"/>
    <mergeCell ref="P260:Q260"/>
    <mergeCell ref="R260:S260"/>
    <mergeCell ref="T260:U260"/>
    <mergeCell ref="B261:C261"/>
    <mergeCell ref="D261:E261"/>
    <mergeCell ref="F261:G261"/>
    <mergeCell ref="H261:I261"/>
    <mergeCell ref="J261:K261"/>
    <mergeCell ref="L261:M261"/>
    <mergeCell ref="P261:Q261"/>
    <mergeCell ref="AX261:AZ261"/>
    <mergeCell ref="BA261:BB261"/>
    <mergeCell ref="BD261:BE261"/>
    <mergeCell ref="BF261:BI261"/>
    <mergeCell ref="BJ261:BM261"/>
    <mergeCell ref="BN261:BV261"/>
    <mergeCell ref="AN261:AO261"/>
    <mergeCell ref="AP261:AQ261"/>
    <mergeCell ref="AR261:AS261"/>
    <mergeCell ref="AT261:AU261"/>
    <mergeCell ref="AV261:AW261"/>
    <mergeCell ref="R261:S261"/>
    <mergeCell ref="T261:U261"/>
    <mergeCell ref="V261:W261"/>
    <mergeCell ref="X261:AA261"/>
    <mergeCell ref="AB261:AE261"/>
    <mergeCell ref="AF261:AG261"/>
    <mergeCell ref="AH261:AI261"/>
    <mergeCell ref="AJ261:AK261"/>
    <mergeCell ref="AL261:AM261"/>
    <mergeCell ref="V258:W258"/>
    <mergeCell ref="X258:AA258"/>
    <mergeCell ref="AB258:AE258"/>
    <mergeCell ref="AF258:AG258"/>
    <mergeCell ref="AH258:AI258"/>
    <mergeCell ref="AJ258:AK258"/>
    <mergeCell ref="AL258:AM258"/>
    <mergeCell ref="BD258:BE258"/>
    <mergeCell ref="BF258:BI258"/>
    <mergeCell ref="BJ258:BM258"/>
    <mergeCell ref="BN258:BV258"/>
    <mergeCell ref="AN258:AO258"/>
    <mergeCell ref="AP258:AQ258"/>
    <mergeCell ref="AR258:AS258"/>
    <mergeCell ref="AT258:AU258"/>
    <mergeCell ref="AV258:AW258"/>
    <mergeCell ref="AX258:AZ258"/>
    <mergeCell ref="BA258:BB258"/>
    <mergeCell ref="B258:C258"/>
    <mergeCell ref="D258:E258"/>
    <mergeCell ref="F258:G258"/>
    <mergeCell ref="H258:I258"/>
    <mergeCell ref="P258:Q258"/>
    <mergeCell ref="R258:S258"/>
    <mergeCell ref="T258:U258"/>
    <mergeCell ref="B259:C259"/>
    <mergeCell ref="D259:E259"/>
    <mergeCell ref="F259:G259"/>
    <mergeCell ref="H259:I259"/>
    <mergeCell ref="J259:K259"/>
    <mergeCell ref="L259:M259"/>
    <mergeCell ref="P259:Q259"/>
    <mergeCell ref="AX259:AZ259"/>
    <mergeCell ref="BA259:BB259"/>
    <mergeCell ref="BD259:BE259"/>
    <mergeCell ref="BF259:BI259"/>
    <mergeCell ref="BJ259:BM259"/>
    <mergeCell ref="BN259:BV259"/>
    <mergeCell ref="AN259:AO259"/>
    <mergeCell ref="AP259:AQ259"/>
    <mergeCell ref="AR259:AS259"/>
    <mergeCell ref="AT259:AU259"/>
    <mergeCell ref="AV259:AW259"/>
    <mergeCell ref="R259:S259"/>
    <mergeCell ref="T259:U259"/>
    <mergeCell ref="V259:W259"/>
    <mergeCell ref="X259:AA259"/>
    <mergeCell ref="AB259:AE259"/>
    <mergeCell ref="AF259:AG259"/>
    <mergeCell ref="AH259:AI259"/>
    <mergeCell ref="AJ259:AK259"/>
    <mergeCell ref="AL259:AM259"/>
    <mergeCell ref="V256:W256"/>
    <mergeCell ref="X256:AA256"/>
    <mergeCell ref="AB256:AE256"/>
    <mergeCell ref="AF256:AG256"/>
    <mergeCell ref="AH256:AI256"/>
    <mergeCell ref="AJ256:AK256"/>
    <mergeCell ref="AL256:AM256"/>
    <mergeCell ref="BD256:BE256"/>
    <mergeCell ref="BF256:BI256"/>
    <mergeCell ref="BJ256:BM256"/>
    <mergeCell ref="BN256:BV256"/>
    <mergeCell ref="AN256:AO256"/>
    <mergeCell ref="AP256:AQ256"/>
    <mergeCell ref="AR256:AS256"/>
    <mergeCell ref="AT256:AU256"/>
    <mergeCell ref="AV256:AW256"/>
    <mergeCell ref="AX256:AZ256"/>
    <mergeCell ref="BA256:BB256"/>
    <mergeCell ref="B256:C256"/>
    <mergeCell ref="D256:E256"/>
    <mergeCell ref="F256:G256"/>
    <mergeCell ref="H256:I256"/>
    <mergeCell ref="P256:Q256"/>
    <mergeCell ref="R256:S256"/>
    <mergeCell ref="T256:U256"/>
    <mergeCell ref="B257:C257"/>
    <mergeCell ref="D257:E257"/>
    <mergeCell ref="F257:G257"/>
    <mergeCell ref="H257:I257"/>
    <mergeCell ref="J257:K257"/>
    <mergeCell ref="L257:M257"/>
    <mergeCell ref="P257:Q257"/>
    <mergeCell ref="AX257:AZ257"/>
    <mergeCell ref="BA257:BB257"/>
    <mergeCell ref="BD257:BE257"/>
    <mergeCell ref="BF257:BI257"/>
    <mergeCell ref="BJ257:BM257"/>
    <mergeCell ref="BN257:BV257"/>
    <mergeCell ref="AN257:AO257"/>
    <mergeCell ref="AP257:AQ257"/>
    <mergeCell ref="AR257:AS257"/>
    <mergeCell ref="AT257:AU257"/>
    <mergeCell ref="AV257:AW257"/>
    <mergeCell ref="R257:S257"/>
    <mergeCell ref="T257:U257"/>
    <mergeCell ref="V257:W257"/>
    <mergeCell ref="X257:AA257"/>
    <mergeCell ref="AB257:AE257"/>
    <mergeCell ref="AF257:AG257"/>
    <mergeCell ref="AH257:AI257"/>
    <mergeCell ref="AJ257:AK257"/>
    <mergeCell ref="AL257:AM257"/>
    <mergeCell ref="V254:W254"/>
    <mergeCell ref="X254:AA254"/>
    <mergeCell ref="AB254:AE254"/>
    <mergeCell ref="AF254:AG254"/>
    <mergeCell ref="AH254:AI254"/>
    <mergeCell ref="AJ254:AK254"/>
    <mergeCell ref="AL254:AM254"/>
    <mergeCell ref="BD254:BE254"/>
    <mergeCell ref="BF254:BI254"/>
    <mergeCell ref="BJ254:BM254"/>
    <mergeCell ref="BN254:BV254"/>
    <mergeCell ref="AN254:AO254"/>
    <mergeCell ref="AP254:AQ254"/>
    <mergeCell ref="AR254:AS254"/>
    <mergeCell ref="AT254:AU254"/>
    <mergeCell ref="AV254:AW254"/>
    <mergeCell ref="AX254:AZ254"/>
    <mergeCell ref="BA254:BB254"/>
    <mergeCell ref="B254:C254"/>
    <mergeCell ref="D254:E254"/>
    <mergeCell ref="F254:G254"/>
    <mergeCell ref="H254:I254"/>
    <mergeCell ref="P254:Q254"/>
    <mergeCell ref="R254:S254"/>
    <mergeCell ref="T254:U254"/>
    <mergeCell ref="B255:C255"/>
    <mergeCell ref="D255:E255"/>
    <mergeCell ref="F255:G255"/>
    <mergeCell ref="H255:I255"/>
    <mergeCell ref="J255:K255"/>
    <mergeCell ref="L255:M255"/>
    <mergeCell ref="P255:Q255"/>
    <mergeCell ref="AX255:AZ255"/>
    <mergeCell ref="BA255:BB255"/>
    <mergeCell ref="BD255:BE255"/>
    <mergeCell ref="BF255:BI255"/>
    <mergeCell ref="BJ255:BM255"/>
    <mergeCell ref="BN255:BV255"/>
    <mergeCell ref="AN255:AO255"/>
    <mergeCell ref="AP255:AQ255"/>
    <mergeCell ref="AR255:AS255"/>
    <mergeCell ref="AT255:AU255"/>
    <mergeCell ref="AV255:AW255"/>
    <mergeCell ref="R255:S255"/>
    <mergeCell ref="T255:U255"/>
    <mergeCell ref="V255:W255"/>
    <mergeCell ref="X255:AA255"/>
    <mergeCell ref="AB255:AE255"/>
    <mergeCell ref="AF255:AG255"/>
    <mergeCell ref="AH255:AI255"/>
    <mergeCell ref="AJ255:AK255"/>
    <mergeCell ref="AL255:AM255"/>
    <mergeCell ref="V252:W252"/>
    <mergeCell ref="X252:AA252"/>
    <mergeCell ref="AB252:AE252"/>
    <mergeCell ref="AF252:AG252"/>
    <mergeCell ref="AH252:AI252"/>
    <mergeCell ref="AJ252:AK252"/>
    <mergeCell ref="AL252:AM252"/>
    <mergeCell ref="BD252:BE252"/>
    <mergeCell ref="BF252:BI252"/>
    <mergeCell ref="BJ252:BM252"/>
    <mergeCell ref="BN252:BV252"/>
    <mergeCell ref="AN252:AO252"/>
    <mergeCell ref="AP252:AQ252"/>
    <mergeCell ref="AR252:AS252"/>
    <mergeCell ref="AT252:AU252"/>
    <mergeCell ref="AV252:AW252"/>
    <mergeCell ref="AX252:AZ252"/>
    <mergeCell ref="BA252:BB252"/>
    <mergeCell ref="B252:C252"/>
    <mergeCell ref="D252:E252"/>
    <mergeCell ref="F252:G252"/>
    <mergeCell ref="H252:I252"/>
    <mergeCell ref="P252:Q252"/>
    <mergeCell ref="R252:S252"/>
    <mergeCell ref="T252:U252"/>
    <mergeCell ref="B253:C253"/>
    <mergeCell ref="D253:E253"/>
    <mergeCell ref="F253:G253"/>
    <mergeCell ref="H253:I253"/>
    <mergeCell ref="J253:K253"/>
    <mergeCell ref="L253:M253"/>
    <mergeCell ref="P253:Q253"/>
    <mergeCell ref="AX253:AZ253"/>
    <mergeCell ref="BA253:BB253"/>
    <mergeCell ref="BD253:BE253"/>
    <mergeCell ref="BF253:BI253"/>
    <mergeCell ref="BJ253:BM253"/>
    <mergeCell ref="BN253:BV253"/>
    <mergeCell ref="AN253:AO253"/>
    <mergeCell ref="AP253:AQ253"/>
    <mergeCell ref="AR253:AS253"/>
    <mergeCell ref="AT253:AU253"/>
    <mergeCell ref="AV253:AW253"/>
    <mergeCell ref="R253:S253"/>
    <mergeCell ref="T253:U253"/>
    <mergeCell ref="V253:W253"/>
    <mergeCell ref="X253:AA253"/>
    <mergeCell ref="AB253:AE253"/>
    <mergeCell ref="AF253:AG253"/>
    <mergeCell ref="AH253:AI253"/>
    <mergeCell ref="AJ253:AK253"/>
    <mergeCell ref="AL253:AM253"/>
    <mergeCell ref="V250:W250"/>
    <mergeCell ref="X250:AA250"/>
    <mergeCell ref="AB250:AE250"/>
    <mergeCell ref="AF250:AG250"/>
    <mergeCell ref="AH250:AI250"/>
    <mergeCell ref="AJ250:AK250"/>
    <mergeCell ref="AL250:AM250"/>
    <mergeCell ref="BD250:BE250"/>
    <mergeCell ref="BF250:BI250"/>
    <mergeCell ref="BJ250:BM250"/>
    <mergeCell ref="BN250:BV250"/>
    <mergeCell ref="AN250:AO250"/>
    <mergeCell ref="AP250:AQ250"/>
    <mergeCell ref="AR250:AS250"/>
    <mergeCell ref="AT250:AU250"/>
    <mergeCell ref="AV250:AW250"/>
    <mergeCell ref="AX250:AZ250"/>
    <mergeCell ref="BA250:BB250"/>
    <mergeCell ref="B250:C250"/>
    <mergeCell ref="D250:E250"/>
    <mergeCell ref="F250:G250"/>
    <mergeCell ref="H250:I250"/>
    <mergeCell ref="P250:Q250"/>
    <mergeCell ref="R250:S250"/>
    <mergeCell ref="T250:U250"/>
    <mergeCell ref="B251:C251"/>
    <mergeCell ref="D251:E251"/>
    <mergeCell ref="F251:G251"/>
    <mergeCell ref="H251:I251"/>
    <mergeCell ref="J251:K251"/>
    <mergeCell ref="L251:M251"/>
    <mergeCell ref="P251:Q251"/>
    <mergeCell ref="AX251:AZ251"/>
    <mergeCell ref="BA251:BB251"/>
    <mergeCell ref="BD251:BE251"/>
    <mergeCell ref="BF251:BI251"/>
    <mergeCell ref="BJ251:BM251"/>
    <mergeCell ref="BN251:BV251"/>
    <mergeCell ref="AN251:AO251"/>
    <mergeCell ref="AP251:AQ251"/>
    <mergeCell ref="AR251:AS251"/>
    <mergeCell ref="AT251:AU251"/>
    <mergeCell ref="AV251:AW251"/>
    <mergeCell ref="R251:S251"/>
    <mergeCell ref="T251:U251"/>
    <mergeCell ref="V251:W251"/>
    <mergeCell ref="X251:AA251"/>
    <mergeCell ref="AB251:AE251"/>
    <mergeCell ref="AF251:AG251"/>
    <mergeCell ref="AH251:AI251"/>
    <mergeCell ref="AJ251:AK251"/>
    <mergeCell ref="AL251:AM251"/>
    <mergeCell ref="V248:W248"/>
    <mergeCell ref="X248:AA248"/>
    <mergeCell ref="AB248:AE248"/>
    <mergeCell ref="AF248:AG248"/>
    <mergeCell ref="AH248:AI248"/>
    <mergeCell ref="AJ248:AK248"/>
    <mergeCell ref="AL248:AM248"/>
    <mergeCell ref="BD248:BE248"/>
    <mergeCell ref="BF248:BI248"/>
    <mergeCell ref="BJ248:BM248"/>
    <mergeCell ref="BN248:BV248"/>
    <mergeCell ref="AN248:AO248"/>
    <mergeCell ref="AP248:AQ248"/>
    <mergeCell ref="AR248:AS248"/>
    <mergeCell ref="AT248:AU248"/>
    <mergeCell ref="AV248:AW248"/>
    <mergeCell ref="AX248:AZ248"/>
    <mergeCell ref="BA248:BB248"/>
    <mergeCell ref="B248:C248"/>
    <mergeCell ref="D248:E248"/>
    <mergeCell ref="F248:G248"/>
    <mergeCell ref="H248:I248"/>
    <mergeCell ref="P248:Q248"/>
    <mergeCell ref="R248:S248"/>
    <mergeCell ref="T248:U248"/>
    <mergeCell ref="B249:C249"/>
    <mergeCell ref="D249:E249"/>
    <mergeCell ref="F249:G249"/>
    <mergeCell ref="H249:I249"/>
    <mergeCell ref="J249:K249"/>
    <mergeCell ref="L249:M249"/>
    <mergeCell ref="P249:Q249"/>
    <mergeCell ref="AX249:AZ249"/>
    <mergeCell ref="BA249:BB249"/>
    <mergeCell ref="BD249:BE249"/>
    <mergeCell ref="BF249:BI249"/>
    <mergeCell ref="BJ249:BM249"/>
    <mergeCell ref="BN249:BV249"/>
    <mergeCell ref="AN249:AO249"/>
    <mergeCell ref="AP249:AQ249"/>
    <mergeCell ref="AR249:AS249"/>
    <mergeCell ref="AT249:AU249"/>
    <mergeCell ref="AV249:AW249"/>
    <mergeCell ref="R249:S249"/>
    <mergeCell ref="T249:U249"/>
    <mergeCell ref="V249:W249"/>
    <mergeCell ref="X249:AA249"/>
    <mergeCell ref="AB249:AE249"/>
    <mergeCell ref="AF249:AG249"/>
    <mergeCell ref="AH249:AI249"/>
    <mergeCell ref="AJ249:AK249"/>
    <mergeCell ref="AL249:AM249"/>
    <mergeCell ref="V246:W246"/>
    <mergeCell ref="X246:AA246"/>
    <mergeCell ref="AB246:AE246"/>
    <mergeCell ref="AF246:AG246"/>
    <mergeCell ref="AH246:AI246"/>
    <mergeCell ref="AJ246:AK246"/>
    <mergeCell ref="AL246:AM246"/>
    <mergeCell ref="BD246:BE246"/>
    <mergeCell ref="BF246:BI246"/>
    <mergeCell ref="BJ246:BM246"/>
    <mergeCell ref="BN246:BV246"/>
    <mergeCell ref="AN246:AO246"/>
    <mergeCell ref="AP246:AQ246"/>
    <mergeCell ref="AR246:AS246"/>
    <mergeCell ref="AT246:AU246"/>
    <mergeCell ref="AV246:AW246"/>
    <mergeCell ref="AX246:AZ246"/>
    <mergeCell ref="BA246:BB246"/>
    <mergeCell ref="B246:C246"/>
    <mergeCell ref="D246:E246"/>
    <mergeCell ref="F246:G246"/>
    <mergeCell ref="H246:I246"/>
    <mergeCell ref="P246:Q246"/>
    <mergeCell ref="R246:S246"/>
    <mergeCell ref="T246:U246"/>
    <mergeCell ref="B247:C247"/>
    <mergeCell ref="D247:E247"/>
    <mergeCell ref="F247:G247"/>
    <mergeCell ref="H247:I247"/>
    <mergeCell ref="J247:K247"/>
    <mergeCell ref="L247:M247"/>
    <mergeCell ref="P247:Q247"/>
    <mergeCell ref="AX247:AZ247"/>
    <mergeCell ref="BA247:BB247"/>
    <mergeCell ref="BD247:BE247"/>
    <mergeCell ref="BF247:BI247"/>
    <mergeCell ref="BJ247:BM247"/>
    <mergeCell ref="BN247:BV247"/>
    <mergeCell ref="AN247:AO247"/>
    <mergeCell ref="AP247:AQ247"/>
    <mergeCell ref="AR247:AS247"/>
    <mergeCell ref="AT247:AU247"/>
    <mergeCell ref="AV247:AW247"/>
    <mergeCell ref="R247:S247"/>
    <mergeCell ref="T247:U247"/>
    <mergeCell ref="V247:W247"/>
    <mergeCell ref="X247:AA247"/>
    <mergeCell ref="AB247:AE247"/>
    <mergeCell ref="AF247:AG247"/>
    <mergeCell ref="AH247:AI247"/>
    <mergeCell ref="AJ247:AK247"/>
    <mergeCell ref="AL247:AM247"/>
    <mergeCell ref="V244:W244"/>
    <mergeCell ref="X244:AA244"/>
    <mergeCell ref="AB244:AE244"/>
    <mergeCell ref="AF244:AG244"/>
    <mergeCell ref="AH244:AI244"/>
    <mergeCell ref="AJ244:AK244"/>
    <mergeCell ref="AL244:AM244"/>
    <mergeCell ref="BD244:BE244"/>
    <mergeCell ref="BF244:BI244"/>
    <mergeCell ref="BJ244:BM244"/>
    <mergeCell ref="BN244:BV244"/>
    <mergeCell ref="AN244:AO244"/>
    <mergeCell ref="AP244:AQ244"/>
    <mergeCell ref="AR244:AS244"/>
    <mergeCell ref="AT244:AU244"/>
    <mergeCell ref="AV244:AW244"/>
    <mergeCell ref="AX244:AZ244"/>
    <mergeCell ref="BA244:BB244"/>
    <mergeCell ref="B244:C244"/>
    <mergeCell ref="D244:E244"/>
    <mergeCell ref="F244:G244"/>
    <mergeCell ref="H244:I244"/>
    <mergeCell ref="P244:Q244"/>
    <mergeCell ref="R244:S244"/>
    <mergeCell ref="T244:U244"/>
    <mergeCell ref="B245:C245"/>
    <mergeCell ref="D245:E245"/>
    <mergeCell ref="F245:G245"/>
    <mergeCell ref="H245:I245"/>
    <mergeCell ref="J245:K245"/>
    <mergeCell ref="L245:M245"/>
    <mergeCell ref="P245:Q245"/>
    <mergeCell ref="AX245:AZ245"/>
    <mergeCell ref="BA245:BB245"/>
    <mergeCell ref="BD245:BE245"/>
    <mergeCell ref="BF245:BI245"/>
    <mergeCell ref="BJ245:BM245"/>
    <mergeCell ref="BN245:BV245"/>
    <mergeCell ref="AN245:AO245"/>
    <mergeCell ref="AP245:AQ245"/>
    <mergeCell ref="AR245:AS245"/>
    <mergeCell ref="AT245:AU245"/>
    <mergeCell ref="AV245:AW245"/>
    <mergeCell ref="R245:S245"/>
    <mergeCell ref="T245:U245"/>
    <mergeCell ref="V245:W245"/>
    <mergeCell ref="X245:AA245"/>
    <mergeCell ref="AB245:AE245"/>
    <mergeCell ref="AF245:AG245"/>
    <mergeCell ref="AH245:AI245"/>
    <mergeCell ref="AJ245:AK245"/>
    <mergeCell ref="AL245:AM245"/>
    <mergeCell ref="V242:W242"/>
    <mergeCell ref="X242:AA242"/>
    <mergeCell ref="AB242:AE242"/>
    <mergeCell ref="AF242:AG242"/>
    <mergeCell ref="AH242:AI242"/>
    <mergeCell ref="AJ242:AK242"/>
    <mergeCell ref="AL242:AM242"/>
    <mergeCell ref="BD242:BE242"/>
    <mergeCell ref="BF242:BI242"/>
    <mergeCell ref="BJ242:BM242"/>
    <mergeCell ref="BN242:BV242"/>
    <mergeCell ref="AN242:AO242"/>
    <mergeCell ref="AP242:AQ242"/>
    <mergeCell ref="AR242:AS242"/>
    <mergeCell ref="AT242:AU242"/>
    <mergeCell ref="AV242:AW242"/>
    <mergeCell ref="AX242:AZ242"/>
    <mergeCell ref="BA242:BB242"/>
    <mergeCell ref="B242:C242"/>
    <mergeCell ref="D242:E242"/>
    <mergeCell ref="F242:G242"/>
    <mergeCell ref="H242:I242"/>
    <mergeCell ref="P242:Q242"/>
    <mergeCell ref="R242:S242"/>
    <mergeCell ref="T242:U242"/>
    <mergeCell ref="B243:C243"/>
    <mergeCell ref="D243:E243"/>
    <mergeCell ref="F243:G243"/>
    <mergeCell ref="H243:I243"/>
    <mergeCell ref="J243:K243"/>
    <mergeCell ref="L243:M243"/>
    <mergeCell ref="P243:Q243"/>
    <mergeCell ref="AX243:AZ243"/>
    <mergeCell ref="BA243:BB243"/>
    <mergeCell ref="BD243:BE243"/>
    <mergeCell ref="BF243:BI243"/>
    <mergeCell ref="BJ243:BM243"/>
    <mergeCell ref="BN243:BV243"/>
    <mergeCell ref="AN243:AO243"/>
    <mergeCell ref="AP243:AQ243"/>
    <mergeCell ref="AR243:AS243"/>
    <mergeCell ref="AT243:AU243"/>
    <mergeCell ref="AV243:AW243"/>
    <mergeCell ref="R243:S243"/>
    <mergeCell ref="T243:U243"/>
    <mergeCell ref="V243:W243"/>
    <mergeCell ref="X243:AA243"/>
    <mergeCell ref="AB243:AE243"/>
    <mergeCell ref="AF243:AG243"/>
    <mergeCell ref="AH243:AI243"/>
    <mergeCell ref="AJ243:AK243"/>
    <mergeCell ref="AL243:AM243"/>
    <mergeCell ref="V240:W240"/>
    <mergeCell ref="X240:AA240"/>
    <mergeCell ref="AB240:AE240"/>
    <mergeCell ref="AF240:AG240"/>
    <mergeCell ref="AH240:AI240"/>
    <mergeCell ref="AJ240:AK240"/>
    <mergeCell ref="AL240:AM240"/>
    <mergeCell ref="BD240:BE240"/>
    <mergeCell ref="BF240:BI240"/>
    <mergeCell ref="BJ240:BM240"/>
    <mergeCell ref="BN240:BV240"/>
    <mergeCell ref="AN240:AO240"/>
    <mergeCell ref="AP240:AQ240"/>
    <mergeCell ref="AR240:AS240"/>
    <mergeCell ref="AT240:AU240"/>
    <mergeCell ref="AV240:AW240"/>
    <mergeCell ref="AX240:AZ240"/>
    <mergeCell ref="BA240:BB240"/>
    <mergeCell ref="B240:C240"/>
    <mergeCell ref="D240:E240"/>
    <mergeCell ref="F240:G240"/>
    <mergeCell ref="H240:I240"/>
    <mergeCell ref="P240:Q240"/>
    <mergeCell ref="R240:S240"/>
    <mergeCell ref="T240:U240"/>
    <mergeCell ref="B241:C241"/>
    <mergeCell ref="D241:E241"/>
    <mergeCell ref="F241:G241"/>
    <mergeCell ref="H241:I241"/>
    <mergeCell ref="J241:K241"/>
    <mergeCell ref="L241:M241"/>
    <mergeCell ref="P241:Q241"/>
    <mergeCell ref="AX241:AZ241"/>
    <mergeCell ref="BA241:BB241"/>
    <mergeCell ref="BD241:BE241"/>
    <mergeCell ref="BF241:BI241"/>
    <mergeCell ref="BJ241:BM241"/>
    <mergeCell ref="BN241:BV241"/>
    <mergeCell ref="AN241:AO241"/>
    <mergeCell ref="AP241:AQ241"/>
    <mergeCell ref="AR241:AS241"/>
    <mergeCell ref="AT241:AU241"/>
    <mergeCell ref="AV241:AW241"/>
    <mergeCell ref="R241:S241"/>
    <mergeCell ref="T241:U241"/>
    <mergeCell ref="V241:W241"/>
    <mergeCell ref="X241:AA241"/>
    <mergeCell ref="AB241:AE241"/>
    <mergeCell ref="AF241:AG241"/>
    <mergeCell ref="AH241:AI241"/>
    <mergeCell ref="AJ241:AK241"/>
    <mergeCell ref="AL241:AM241"/>
    <mergeCell ref="V238:W238"/>
    <mergeCell ref="X238:AA238"/>
    <mergeCell ref="AB238:AE238"/>
    <mergeCell ref="AF238:AG238"/>
    <mergeCell ref="AH238:AI238"/>
    <mergeCell ref="AJ238:AK238"/>
    <mergeCell ref="AL238:AM238"/>
    <mergeCell ref="BD238:BE238"/>
    <mergeCell ref="BF238:BI238"/>
    <mergeCell ref="BJ238:BM238"/>
    <mergeCell ref="BN238:BV238"/>
    <mergeCell ref="AN238:AO238"/>
    <mergeCell ref="AP238:AQ238"/>
    <mergeCell ref="AR238:AS238"/>
    <mergeCell ref="AT238:AU238"/>
    <mergeCell ref="AV238:AW238"/>
    <mergeCell ref="AX238:AZ238"/>
    <mergeCell ref="BA238:BB238"/>
    <mergeCell ref="B238:C238"/>
    <mergeCell ref="D238:E238"/>
    <mergeCell ref="F238:G238"/>
    <mergeCell ref="H238:I238"/>
    <mergeCell ref="P238:Q238"/>
    <mergeCell ref="R238:S238"/>
    <mergeCell ref="T238:U238"/>
    <mergeCell ref="B239:C239"/>
    <mergeCell ref="D239:E239"/>
    <mergeCell ref="F239:G239"/>
    <mergeCell ref="H239:I239"/>
    <mergeCell ref="J239:K239"/>
    <mergeCell ref="L239:M239"/>
    <mergeCell ref="P239:Q239"/>
    <mergeCell ref="AX239:AZ239"/>
    <mergeCell ref="BA239:BB239"/>
    <mergeCell ref="BD239:BE239"/>
    <mergeCell ref="BF239:BI239"/>
    <mergeCell ref="BJ239:BM239"/>
    <mergeCell ref="BN239:BV239"/>
    <mergeCell ref="AN239:AO239"/>
    <mergeCell ref="AP239:AQ239"/>
    <mergeCell ref="AR239:AS239"/>
    <mergeCell ref="AT239:AU239"/>
    <mergeCell ref="AV239:AW239"/>
    <mergeCell ref="R239:S239"/>
    <mergeCell ref="T239:U239"/>
    <mergeCell ref="V239:W239"/>
    <mergeCell ref="X239:AA239"/>
    <mergeCell ref="AB239:AE239"/>
    <mergeCell ref="AF239:AG239"/>
    <mergeCell ref="AH239:AI239"/>
    <mergeCell ref="AJ239:AK239"/>
    <mergeCell ref="AL239:AM239"/>
    <mergeCell ref="BA152:BB152"/>
    <mergeCell ref="BD152:BE152"/>
    <mergeCell ref="BF152:BI152"/>
    <mergeCell ref="BJ152:BM152"/>
    <mergeCell ref="BN152:BV152"/>
    <mergeCell ref="BJ153:BM153"/>
    <mergeCell ref="BN153:BV153"/>
    <mergeCell ref="B153:C153"/>
    <mergeCell ref="D153:E153"/>
    <mergeCell ref="F153:G153"/>
    <mergeCell ref="H153:I153"/>
    <mergeCell ref="J153:K153"/>
    <mergeCell ref="L153:M153"/>
    <mergeCell ref="P153:Q153"/>
    <mergeCell ref="AJ152:AK152"/>
    <mergeCell ref="AL152:AM152"/>
    <mergeCell ref="AN152:AO152"/>
    <mergeCell ref="AP152:AQ152"/>
    <mergeCell ref="AR152:AS152"/>
    <mergeCell ref="AT152:AU152"/>
    <mergeCell ref="AV152:AW152"/>
    <mergeCell ref="BD155:BE155"/>
    <mergeCell ref="BF155:BI155"/>
    <mergeCell ref="AN155:AO155"/>
    <mergeCell ref="AP155:AQ155"/>
    <mergeCell ref="AR155:AS155"/>
    <mergeCell ref="AT155:AU155"/>
    <mergeCell ref="AV155:AW155"/>
    <mergeCell ref="AX155:AZ155"/>
    <mergeCell ref="BA155:BB155"/>
    <mergeCell ref="AJ159:AK159"/>
    <mergeCell ref="AL159:AM159"/>
    <mergeCell ref="BJ159:BM159"/>
    <mergeCell ref="BN159:BV159"/>
    <mergeCell ref="R159:S159"/>
    <mergeCell ref="T159:U159"/>
    <mergeCell ref="V159:W159"/>
    <mergeCell ref="X159:AA159"/>
    <mergeCell ref="AB159:AE159"/>
    <mergeCell ref="AF159:AG159"/>
    <mergeCell ref="AH159:AI159"/>
    <mergeCell ref="R156:S156"/>
    <mergeCell ref="T156:U156"/>
    <mergeCell ref="V156:W156"/>
    <mergeCell ref="X156:AA156"/>
    <mergeCell ref="AB156:AE156"/>
    <mergeCell ref="AF156:AG156"/>
    <mergeCell ref="AH156:AI156"/>
    <mergeCell ref="AX156:AZ156"/>
    <mergeCell ref="BA156:BB156"/>
    <mergeCell ref="BD156:BE156"/>
    <mergeCell ref="BF156:BI156"/>
    <mergeCell ref="BJ156:BM156"/>
    <mergeCell ref="BN156:BV156"/>
    <mergeCell ref="BJ157:BM157"/>
    <mergeCell ref="BN157:BV157"/>
    <mergeCell ref="B156:C156"/>
    <mergeCell ref="D156:E156"/>
    <mergeCell ref="F156:G156"/>
    <mergeCell ref="H156:I156"/>
    <mergeCell ref="J156:K156"/>
    <mergeCell ref="L156:M156"/>
    <mergeCell ref="P156:Q156"/>
    <mergeCell ref="B157:C157"/>
    <mergeCell ref="BN149:BV149"/>
    <mergeCell ref="B149:C149"/>
    <mergeCell ref="D149:E149"/>
    <mergeCell ref="F149:G149"/>
    <mergeCell ref="H149:I149"/>
    <mergeCell ref="J149:K149"/>
    <mergeCell ref="L149:M149"/>
    <mergeCell ref="P149:Q149"/>
    <mergeCell ref="AJ149:AK149"/>
    <mergeCell ref="AL149:AM149"/>
    <mergeCell ref="AN149:AO149"/>
    <mergeCell ref="AP149:AQ149"/>
    <mergeCell ref="AR149:AS149"/>
    <mergeCell ref="AT149:AU149"/>
    <mergeCell ref="AV149:AW149"/>
    <mergeCell ref="B150:C150"/>
    <mergeCell ref="D150:E150"/>
    <mergeCell ref="F150:G150"/>
    <mergeCell ref="H150:I150"/>
    <mergeCell ref="J150:K150"/>
    <mergeCell ref="L150:M150"/>
    <mergeCell ref="P150:Q150"/>
    <mergeCell ref="R152:S152"/>
    <mergeCell ref="T152:U152"/>
    <mergeCell ref="V152:W152"/>
    <mergeCell ref="X152:AA152"/>
    <mergeCell ref="AB152:AE152"/>
    <mergeCell ref="AF152:AG152"/>
    <mergeCell ref="AH152:AI152"/>
    <mergeCell ref="B152:C152"/>
    <mergeCell ref="D152:E152"/>
    <mergeCell ref="F152:G152"/>
    <mergeCell ref="H152:I152"/>
    <mergeCell ref="J152:K152"/>
    <mergeCell ref="L152:M152"/>
    <mergeCell ref="P152:Q152"/>
    <mergeCell ref="R151:S151"/>
    <mergeCell ref="T151:U151"/>
    <mergeCell ref="V151:W151"/>
    <mergeCell ref="X151:AA151"/>
    <mergeCell ref="AB151:AE151"/>
    <mergeCell ref="AF151:AG151"/>
    <mergeCell ref="AH151:AI151"/>
    <mergeCell ref="AX151:AZ151"/>
    <mergeCell ref="BA151:BB151"/>
    <mergeCell ref="BD151:BE151"/>
    <mergeCell ref="BF151:BI151"/>
    <mergeCell ref="BJ151:BM151"/>
    <mergeCell ref="BN151:BV151"/>
    <mergeCell ref="AJ151:AK151"/>
    <mergeCell ref="AL151:AM151"/>
    <mergeCell ref="AN151:AO151"/>
    <mergeCell ref="AP151:AQ151"/>
    <mergeCell ref="AR151:AS151"/>
    <mergeCell ref="AT151:AU151"/>
    <mergeCell ref="AV151:AW151"/>
    <mergeCell ref="B151:C151"/>
    <mergeCell ref="D151:E151"/>
    <mergeCell ref="F151:G151"/>
    <mergeCell ref="H151:I151"/>
    <mergeCell ref="J151:K151"/>
    <mergeCell ref="L151:M151"/>
    <mergeCell ref="P151:Q151"/>
    <mergeCell ref="AX152:AZ152"/>
    <mergeCell ref="D157:E157"/>
    <mergeCell ref="F157:G157"/>
    <mergeCell ref="H157:I157"/>
    <mergeCell ref="J157:K157"/>
    <mergeCell ref="L157:M157"/>
    <mergeCell ref="P157:Q157"/>
    <mergeCell ref="AJ156:AK156"/>
    <mergeCell ref="AL156:AM156"/>
    <mergeCell ref="AN156:AO156"/>
    <mergeCell ref="AP156:AQ156"/>
    <mergeCell ref="AR156:AS156"/>
    <mergeCell ref="AT156:AU156"/>
    <mergeCell ref="AV156:AW156"/>
    <mergeCell ref="AJ153:AK153"/>
    <mergeCell ref="AL153:AM153"/>
    <mergeCell ref="R153:S153"/>
    <mergeCell ref="T153:U153"/>
    <mergeCell ref="V153:W153"/>
    <mergeCell ref="X153:AA153"/>
    <mergeCell ref="AB153:AE153"/>
    <mergeCell ref="AF153:AG153"/>
    <mergeCell ref="AH153:AI153"/>
    <mergeCell ref="R154:S154"/>
    <mergeCell ref="T154:U154"/>
    <mergeCell ref="V154:W154"/>
    <mergeCell ref="X154:AA154"/>
    <mergeCell ref="AB154:AE154"/>
    <mergeCell ref="AF154:AG154"/>
    <mergeCell ref="AH154:AI154"/>
    <mergeCell ref="AX154:AZ154"/>
    <mergeCell ref="BA154:BB154"/>
    <mergeCell ref="BD154:BE154"/>
    <mergeCell ref="BF154:BI154"/>
    <mergeCell ref="BD153:BE153"/>
    <mergeCell ref="BF153:BI153"/>
    <mergeCell ref="AN153:AO153"/>
    <mergeCell ref="AP153:AQ153"/>
    <mergeCell ref="AR153:AS153"/>
    <mergeCell ref="AT153:AU153"/>
    <mergeCell ref="AV153:AW153"/>
    <mergeCell ref="AX153:AZ153"/>
    <mergeCell ref="BA153:BB153"/>
    <mergeCell ref="BJ154:BM154"/>
    <mergeCell ref="BN154:BV154"/>
    <mergeCell ref="BJ155:BM155"/>
    <mergeCell ref="BN155:BV155"/>
    <mergeCell ref="B154:C154"/>
    <mergeCell ref="D154:E154"/>
    <mergeCell ref="F154:G154"/>
    <mergeCell ref="H154:I154"/>
    <mergeCell ref="J154:K154"/>
    <mergeCell ref="L154:M154"/>
    <mergeCell ref="P154:Q154"/>
    <mergeCell ref="B155:C155"/>
    <mergeCell ref="D155:E155"/>
    <mergeCell ref="F155:G155"/>
    <mergeCell ref="H155:I155"/>
    <mergeCell ref="J155:K155"/>
    <mergeCell ref="L155:M155"/>
    <mergeCell ref="P155:Q155"/>
    <mergeCell ref="AJ154:AK154"/>
    <mergeCell ref="AL154:AM154"/>
    <mergeCell ref="AN154:AO154"/>
    <mergeCell ref="AP154:AQ154"/>
    <mergeCell ref="AR154:AS154"/>
    <mergeCell ref="AT154:AU154"/>
    <mergeCell ref="AV154:AW154"/>
    <mergeCell ref="AJ155:AK155"/>
    <mergeCell ref="AL155:AM155"/>
    <mergeCell ref="R155:S155"/>
    <mergeCell ref="T155:U155"/>
    <mergeCell ref="V155:W155"/>
    <mergeCell ref="X155:AA155"/>
    <mergeCell ref="AB155:AE155"/>
    <mergeCell ref="AF155:AG155"/>
    <mergeCell ref="AH155:AI155"/>
    <mergeCell ref="B144:C144"/>
    <mergeCell ref="D144:E144"/>
    <mergeCell ref="F144:G144"/>
    <mergeCell ref="H144:I144"/>
    <mergeCell ref="J144:K144"/>
    <mergeCell ref="L144:M144"/>
    <mergeCell ref="P144:Q144"/>
    <mergeCell ref="AJ143:AK143"/>
    <mergeCell ref="AL143:AM143"/>
    <mergeCell ref="AN143:AO143"/>
    <mergeCell ref="AP143:AQ143"/>
    <mergeCell ref="AR143:AS143"/>
    <mergeCell ref="AT143:AU143"/>
    <mergeCell ref="AV143:AW143"/>
    <mergeCell ref="BD146:BE146"/>
    <mergeCell ref="BF146:BI146"/>
    <mergeCell ref="AN146:AO146"/>
    <mergeCell ref="AP146:AQ146"/>
    <mergeCell ref="AR146:AS146"/>
    <mergeCell ref="AT146:AU146"/>
    <mergeCell ref="AV146:AW146"/>
    <mergeCell ref="AX146:AZ146"/>
    <mergeCell ref="BA146:BB146"/>
    <mergeCell ref="AJ150:AK150"/>
    <mergeCell ref="AL150:AM150"/>
    <mergeCell ref="BJ150:BM150"/>
    <mergeCell ref="BN150:BV150"/>
    <mergeCell ref="R150:S150"/>
    <mergeCell ref="T150:U150"/>
    <mergeCell ref="V150:W150"/>
    <mergeCell ref="X150:AA150"/>
    <mergeCell ref="AB150:AE150"/>
    <mergeCell ref="AF150:AG150"/>
    <mergeCell ref="AH150:AI150"/>
    <mergeCell ref="BD150:BE150"/>
    <mergeCell ref="BF150:BI150"/>
    <mergeCell ref="AN150:AO150"/>
    <mergeCell ref="AP150:AQ150"/>
    <mergeCell ref="AR150:AS150"/>
    <mergeCell ref="AT150:AU150"/>
    <mergeCell ref="AV150:AW150"/>
    <mergeCell ref="AX150:AZ150"/>
    <mergeCell ref="BA150:BB150"/>
    <mergeCell ref="AJ148:AK148"/>
    <mergeCell ref="AL148:AM148"/>
    <mergeCell ref="R148:S148"/>
    <mergeCell ref="T148:U148"/>
    <mergeCell ref="V148:W148"/>
    <mergeCell ref="X148:AA148"/>
    <mergeCell ref="AB148:AE148"/>
    <mergeCell ref="AF148:AG148"/>
    <mergeCell ref="AH148:AI148"/>
    <mergeCell ref="R149:S149"/>
    <mergeCell ref="T149:U149"/>
    <mergeCell ref="V149:W149"/>
    <mergeCell ref="X149:AA149"/>
    <mergeCell ref="AB149:AE149"/>
    <mergeCell ref="AF149:AG149"/>
    <mergeCell ref="AH149:AI149"/>
    <mergeCell ref="AX149:AZ149"/>
    <mergeCell ref="BA149:BB149"/>
    <mergeCell ref="BD149:BE149"/>
    <mergeCell ref="BF149:BI149"/>
    <mergeCell ref="BJ149:BM149"/>
    <mergeCell ref="BJ140:BM140"/>
    <mergeCell ref="BN140:BV140"/>
    <mergeCell ref="B140:C140"/>
    <mergeCell ref="D140:E140"/>
    <mergeCell ref="F140:G140"/>
    <mergeCell ref="H140:I140"/>
    <mergeCell ref="J140:K140"/>
    <mergeCell ref="L140:M140"/>
    <mergeCell ref="P140:Q140"/>
    <mergeCell ref="AJ140:AK140"/>
    <mergeCell ref="AL140:AM140"/>
    <mergeCell ref="AN140:AO140"/>
    <mergeCell ref="AP140:AQ140"/>
    <mergeCell ref="AR140:AS140"/>
    <mergeCell ref="AT140:AU140"/>
    <mergeCell ref="AV140:AW140"/>
    <mergeCell ref="B141:C141"/>
    <mergeCell ref="D141:E141"/>
    <mergeCell ref="F141:G141"/>
    <mergeCell ref="H141:I141"/>
    <mergeCell ref="J141:K141"/>
    <mergeCell ref="L141:M141"/>
    <mergeCell ref="P141:Q141"/>
    <mergeCell ref="R143:S143"/>
    <mergeCell ref="T143:U143"/>
    <mergeCell ref="V143:W143"/>
    <mergeCell ref="X143:AA143"/>
    <mergeCell ref="AB143:AE143"/>
    <mergeCell ref="AF143:AG143"/>
    <mergeCell ref="AH143:AI143"/>
    <mergeCell ref="B143:C143"/>
    <mergeCell ref="D143:E143"/>
    <mergeCell ref="F143:G143"/>
    <mergeCell ref="H143:I143"/>
    <mergeCell ref="J143:K143"/>
    <mergeCell ref="L143:M143"/>
    <mergeCell ref="P143:Q143"/>
    <mergeCell ref="R142:S142"/>
    <mergeCell ref="T142:U142"/>
    <mergeCell ref="V142:W142"/>
    <mergeCell ref="X142:AA142"/>
    <mergeCell ref="AB142:AE142"/>
    <mergeCell ref="AF142:AG142"/>
    <mergeCell ref="AH142:AI142"/>
    <mergeCell ref="AX142:AZ142"/>
    <mergeCell ref="BA142:BB142"/>
    <mergeCell ref="BD142:BE142"/>
    <mergeCell ref="BF142:BI142"/>
    <mergeCell ref="BJ142:BM142"/>
    <mergeCell ref="BN142:BV142"/>
    <mergeCell ref="AJ142:AK142"/>
    <mergeCell ref="AL142:AM142"/>
    <mergeCell ref="AN142:AO142"/>
    <mergeCell ref="AP142:AQ142"/>
    <mergeCell ref="AR142:AS142"/>
    <mergeCell ref="AT142:AU142"/>
    <mergeCell ref="AV142:AW142"/>
    <mergeCell ref="B142:C142"/>
    <mergeCell ref="D142:E142"/>
    <mergeCell ref="F142:G142"/>
    <mergeCell ref="H142:I142"/>
    <mergeCell ref="J142:K142"/>
    <mergeCell ref="L142:M142"/>
    <mergeCell ref="P142:Q142"/>
    <mergeCell ref="D148:E148"/>
    <mergeCell ref="F148:G148"/>
    <mergeCell ref="H148:I148"/>
    <mergeCell ref="J148:K148"/>
    <mergeCell ref="L148:M148"/>
    <mergeCell ref="P148:Q148"/>
    <mergeCell ref="AJ147:AK147"/>
    <mergeCell ref="AL147:AM147"/>
    <mergeCell ref="AN147:AO147"/>
    <mergeCell ref="AP147:AQ147"/>
    <mergeCell ref="AR147:AS147"/>
    <mergeCell ref="AT147:AU147"/>
    <mergeCell ref="AV147:AW147"/>
    <mergeCell ref="BD141:BE141"/>
    <mergeCell ref="BF141:BI141"/>
    <mergeCell ref="AN141:AO141"/>
    <mergeCell ref="AP141:AQ141"/>
    <mergeCell ref="AR141:AS141"/>
    <mergeCell ref="AT141:AU141"/>
    <mergeCell ref="AV141:AW141"/>
    <mergeCell ref="AX141:AZ141"/>
    <mergeCell ref="BA141:BB141"/>
    <mergeCell ref="AJ139:AK139"/>
    <mergeCell ref="AL139:AM139"/>
    <mergeCell ref="R139:S139"/>
    <mergeCell ref="T139:U139"/>
    <mergeCell ref="V139:W139"/>
    <mergeCell ref="X139:AA139"/>
    <mergeCell ref="AB139:AE139"/>
    <mergeCell ref="AF139:AG139"/>
    <mergeCell ref="AH139:AI139"/>
    <mergeCell ref="R140:S140"/>
    <mergeCell ref="T140:U140"/>
    <mergeCell ref="V140:W140"/>
    <mergeCell ref="X140:AA140"/>
    <mergeCell ref="AB140:AE140"/>
    <mergeCell ref="AF140:AG140"/>
    <mergeCell ref="AH140:AI140"/>
    <mergeCell ref="AX140:AZ140"/>
    <mergeCell ref="BA140:BB140"/>
    <mergeCell ref="BD140:BE140"/>
    <mergeCell ref="BF140:BI140"/>
    <mergeCell ref="BD144:BE144"/>
    <mergeCell ref="BF144:BI144"/>
    <mergeCell ref="AN144:AO144"/>
    <mergeCell ref="AP144:AQ144"/>
    <mergeCell ref="AR144:AS144"/>
    <mergeCell ref="AT144:AU144"/>
    <mergeCell ref="AV144:AW144"/>
    <mergeCell ref="AX144:AZ144"/>
    <mergeCell ref="BA144:BB144"/>
    <mergeCell ref="AX143:AZ143"/>
    <mergeCell ref="BA143:BB143"/>
    <mergeCell ref="BD143:BE143"/>
    <mergeCell ref="BF143:BI143"/>
    <mergeCell ref="AJ141:AK141"/>
    <mergeCell ref="AL141:AM141"/>
    <mergeCell ref="BJ146:BM146"/>
    <mergeCell ref="BN146:BV146"/>
    <mergeCell ref="B145:C145"/>
    <mergeCell ref="D145:E145"/>
    <mergeCell ref="F145:G145"/>
    <mergeCell ref="H145:I145"/>
    <mergeCell ref="J145:K145"/>
    <mergeCell ref="L145:M145"/>
    <mergeCell ref="P145:Q145"/>
    <mergeCell ref="B146:C146"/>
    <mergeCell ref="D146:E146"/>
    <mergeCell ref="F146:G146"/>
    <mergeCell ref="H146:I146"/>
    <mergeCell ref="J146:K146"/>
    <mergeCell ref="L146:M146"/>
    <mergeCell ref="P146:Q146"/>
    <mergeCell ref="AJ145:AK145"/>
    <mergeCell ref="AL145:AM145"/>
    <mergeCell ref="AN145:AO145"/>
    <mergeCell ref="AP145:AQ145"/>
    <mergeCell ref="AR145:AS145"/>
    <mergeCell ref="AT145:AU145"/>
    <mergeCell ref="AV145:AW145"/>
    <mergeCell ref="BD148:BE148"/>
    <mergeCell ref="BF148:BI148"/>
    <mergeCell ref="AN148:AO148"/>
    <mergeCell ref="AP148:AQ148"/>
    <mergeCell ref="AR148:AS148"/>
    <mergeCell ref="AT148:AU148"/>
    <mergeCell ref="AV148:AW148"/>
    <mergeCell ref="AX148:AZ148"/>
    <mergeCell ref="BA148:BB148"/>
    <mergeCell ref="AJ146:AK146"/>
    <mergeCell ref="AL146:AM146"/>
    <mergeCell ref="R146:S146"/>
    <mergeCell ref="T146:U146"/>
    <mergeCell ref="V146:W146"/>
    <mergeCell ref="X146:AA146"/>
    <mergeCell ref="AB146:AE146"/>
    <mergeCell ref="AF146:AG146"/>
    <mergeCell ref="AH146:AI146"/>
    <mergeCell ref="R147:S147"/>
    <mergeCell ref="T147:U147"/>
    <mergeCell ref="V147:W147"/>
    <mergeCell ref="X147:AA147"/>
    <mergeCell ref="AB147:AE147"/>
    <mergeCell ref="AF147:AG147"/>
    <mergeCell ref="AH147:AI147"/>
    <mergeCell ref="AX147:AZ147"/>
    <mergeCell ref="BA147:BB147"/>
    <mergeCell ref="BD147:BE147"/>
    <mergeCell ref="BF147:BI147"/>
    <mergeCell ref="BJ147:BM147"/>
    <mergeCell ref="BN147:BV147"/>
    <mergeCell ref="BJ148:BM148"/>
    <mergeCell ref="BN148:BV148"/>
    <mergeCell ref="B147:C147"/>
    <mergeCell ref="D147:E147"/>
    <mergeCell ref="F147:G147"/>
    <mergeCell ref="H147:I147"/>
    <mergeCell ref="J147:K147"/>
    <mergeCell ref="L147:M147"/>
    <mergeCell ref="P147:Q147"/>
    <mergeCell ref="B148:C148"/>
    <mergeCell ref="BJ141:BM141"/>
    <mergeCell ref="BN141:BV141"/>
    <mergeCell ref="R141:S141"/>
    <mergeCell ref="T141:U141"/>
    <mergeCell ref="V141:W141"/>
    <mergeCell ref="X141:AA141"/>
    <mergeCell ref="AB141:AE141"/>
    <mergeCell ref="AF141:AG141"/>
    <mergeCell ref="AH141:AI141"/>
    <mergeCell ref="AJ144:AK144"/>
    <mergeCell ref="AL144:AM144"/>
    <mergeCell ref="R144:S144"/>
    <mergeCell ref="T144:U144"/>
    <mergeCell ref="V144:W144"/>
    <mergeCell ref="X144:AA144"/>
    <mergeCell ref="AB144:AE144"/>
    <mergeCell ref="AF144:AG144"/>
    <mergeCell ref="AH144:AI144"/>
    <mergeCell ref="R145:S145"/>
    <mergeCell ref="T145:U145"/>
    <mergeCell ref="V145:W145"/>
    <mergeCell ref="X145:AA145"/>
    <mergeCell ref="AB145:AE145"/>
    <mergeCell ref="AF145:AG145"/>
    <mergeCell ref="AH145:AI145"/>
    <mergeCell ref="AX145:AZ145"/>
    <mergeCell ref="BA145:BB145"/>
    <mergeCell ref="BD145:BE145"/>
    <mergeCell ref="BF145:BI145"/>
    <mergeCell ref="BJ145:BM145"/>
    <mergeCell ref="BN145:BV145"/>
    <mergeCell ref="BJ143:BM143"/>
    <mergeCell ref="BN143:BV143"/>
    <mergeCell ref="BJ144:BM144"/>
    <mergeCell ref="BN144:BV144"/>
    <mergeCell ref="BJ133:BM133"/>
    <mergeCell ref="BN133:BV133"/>
    <mergeCell ref="AJ133:AK133"/>
    <mergeCell ref="AL133:AM133"/>
    <mergeCell ref="AN133:AO133"/>
    <mergeCell ref="AP133:AQ133"/>
    <mergeCell ref="AR133:AS133"/>
    <mergeCell ref="AT133:AU133"/>
    <mergeCell ref="AV133:AW133"/>
    <mergeCell ref="B133:C133"/>
    <mergeCell ref="D133:E133"/>
    <mergeCell ref="F133:G133"/>
    <mergeCell ref="H133:I133"/>
    <mergeCell ref="J133:K133"/>
    <mergeCell ref="L133:M133"/>
    <mergeCell ref="P133:Q133"/>
    <mergeCell ref="AX134:AZ134"/>
    <mergeCell ref="BA134:BB134"/>
    <mergeCell ref="BD134:BE134"/>
    <mergeCell ref="BF134:BI134"/>
    <mergeCell ref="BJ134:BM134"/>
    <mergeCell ref="BN134:BV134"/>
    <mergeCell ref="BJ135:BM135"/>
    <mergeCell ref="BN135:BV135"/>
    <mergeCell ref="B135:C135"/>
    <mergeCell ref="D135:E135"/>
    <mergeCell ref="F135:G135"/>
    <mergeCell ref="H135:I135"/>
    <mergeCell ref="J135:K135"/>
    <mergeCell ref="L135:M135"/>
    <mergeCell ref="P135:Q135"/>
    <mergeCell ref="AJ134:AK134"/>
    <mergeCell ref="AL134:AM134"/>
    <mergeCell ref="AN134:AO134"/>
    <mergeCell ref="AP134:AQ134"/>
    <mergeCell ref="AR134:AS134"/>
    <mergeCell ref="AT134:AU134"/>
    <mergeCell ref="AV134:AW134"/>
    <mergeCell ref="R134:S134"/>
    <mergeCell ref="T134:U134"/>
    <mergeCell ref="V134:W134"/>
    <mergeCell ref="X134:AA134"/>
    <mergeCell ref="AB134:AE134"/>
    <mergeCell ref="AF134:AG134"/>
    <mergeCell ref="AH134:AI134"/>
    <mergeCell ref="B134:C134"/>
    <mergeCell ref="D134:E134"/>
    <mergeCell ref="F134:G134"/>
    <mergeCell ref="H134:I134"/>
    <mergeCell ref="J134:K134"/>
    <mergeCell ref="L134:M134"/>
    <mergeCell ref="P134:Q134"/>
    <mergeCell ref="BD135:BE135"/>
    <mergeCell ref="BF135:BI135"/>
    <mergeCell ref="AN135:AO135"/>
    <mergeCell ref="AP135:AQ135"/>
    <mergeCell ref="AR135:AS135"/>
    <mergeCell ref="AT135:AU135"/>
    <mergeCell ref="AV135:AW135"/>
    <mergeCell ref="AX135:AZ135"/>
    <mergeCell ref="BA135:BB135"/>
    <mergeCell ref="R133:S133"/>
    <mergeCell ref="T133:U133"/>
    <mergeCell ref="V133:W133"/>
    <mergeCell ref="B139:C139"/>
    <mergeCell ref="D139:E139"/>
    <mergeCell ref="F139:G139"/>
    <mergeCell ref="H139:I139"/>
    <mergeCell ref="J139:K139"/>
    <mergeCell ref="L139:M139"/>
    <mergeCell ref="P139:Q139"/>
    <mergeCell ref="AJ138:AK138"/>
    <mergeCell ref="AL138:AM138"/>
    <mergeCell ref="AN138:AO138"/>
    <mergeCell ref="AP138:AQ138"/>
    <mergeCell ref="AR138:AS138"/>
    <mergeCell ref="AT138:AU138"/>
    <mergeCell ref="AV138:AW138"/>
    <mergeCell ref="BD132:BE132"/>
    <mergeCell ref="BF132:BI132"/>
    <mergeCell ref="AN132:AO132"/>
    <mergeCell ref="AP132:AQ132"/>
    <mergeCell ref="AR132:AS132"/>
    <mergeCell ref="AT132:AU132"/>
    <mergeCell ref="AV132:AW132"/>
    <mergeCell ref="AX132:AZ132"/>
    <mergeCell ref="BA132:BB132"/>
    <mergeCell ref="BD139:BE139"/>
    <mergeCell ref="BF139:BI139"/>
    <mergeCell ref="AN139:AO139"/>
    <mergeCell ref="AP139:AQ139"/>
    <mergeCell ref="AR139:AS139"/>
    <mergeCell ref="AT139:AU139"/>
    <mergeCell ref="AV139:AW139"/>
    <mergeCell ref="AX139:AZ139"/>
    <mergeCell ref="BA139:BB139"/>
    <mergeCell ref="AJ137:AK137"/>
    <mergeCell ref="AL137:AM137"/>
    <mergeCell ref="R137:S137"/>
    <mergeCell ref="T137:U137"/>
    <mergeCell ref="V137:W137"/>
    <mergeCell ref="X137:AA137"/>
    <mergeCell ref="AB137:AE137"/>
    <mergeCell ref="AF137:AG137"/>
    <mergeCell ref="AH137:AI137"/>
    <mergeCell ref="R138:S138"/>
    <mergeCell ref="T138:U138"/>
    <mergeCell ref="V138:W138"/>
    <mergeCell ref="X138:AA138"/>
    <mergeCell ref="AB138:AE138"/>
    <mergeCell ref="AF138:AG138"/>
    <mergeCell ref="AH138:AI138"/>
    <mergeCell ref="AX138:AZ138"/>
    <mergeCell ref="AH131:AI131"/>
    <mergeCell ref="AX131:AZ131"/>
    <mergeCell ref="BA131:BB131"/>
    <mergeCell ref="BD131:BE131"/>
    <mergeCell ref="BF131:BI131"/>
    <mergeCell ref="B131:C131"/>
    <mergeCell ref="D131:E131"/>
    <mergeCell ref="F131:G131"/>
    <mergeCell ref="H131:I131"/>
    <mergeCell ref="J131:K131"/>
    <mergeCell ref="L131:M131"/>
    <mergeCell ref="P131:Q131"/>
    <mergeCell ref="AJ131:AK131"/>
    <mergeCell ref="AL131:AM131"/>
    <mergeCell ref="AN131:AO131"/>
    <mergeCell ref="AP131:AQ131"/>
    <mergeCell ref="AR131:AS131"/>
    <mergeCell ref="AT131:AU131"/>
    <mergeCell ref="AV131:AW131"/>
    <mergeCell ref="BF130:BI130"/>
    <mergeCell ref="AX130:AZ130"/>
    <mergeCell ref="BA130:BB130"/>
    <mergeCell ref="X133:AA133"/>
    <mergeCell ref="AB133:AE133"/>
    <mergeCell ref="AF133:AG133"/>
    <mergeCell ref="AH133:AI133"/>
    <mergeCell ref="AX133:AZ133"/>
    <mergeCell ref="BA133:BB133"/>
    <mergeCell ref="BD133:BE133"/>
    <mergeCell ref="BF133:BI133"/>
    <mergeCell ref="B138:C138"/>
    <mergeCell ref="D138:E138"/>
    <mergeCell ref="F138:G138"/>
    <mergeCell ref="H138:I138"/>
    <mergeCell ref="J138:K138"/>
    <mergeCell ref="L138:M138"/>
    <mergeCell ref="P138:Q138"/>
    <mergeCell ref="BA138:BB138"/>
    <mergeCell ref="BD138:BE138"/>
    <mergeCell ref="BF138:BI138"/>
    <mergeCell ref="BJ138:BM138"/>
    <mergeCell ref="BN138:BV138"/>
    <mergeCell ref="BJ139:BM139"/>
    <mergeCell ref="BN139:BV139"/>
    <mergeCell ref="BD137:BE137"/>
    <mergeCell ref="BF137:BI137"/>
    <mergeCell ref="AN137:AO137"/>
    <mergeCell ref="AP137:AQ137"/>
    <mergeCell ref="AR137:AS137"/>
    <mergeCell ref="AT137:AU137"/>
    <mergeCell ref="AV137:AW137"/>
    <mergeCell ref="AX137:AZ137"/>
    <mergeCell ref="BA137:BB137"/>
    <mergeCell ref="AJ135:AK135"/>
    <mergeCell ref="AL135:AM135"/>
    <mergeCell ref="R135:S135"/>
    <mergeCell ref="T135:U135"/>
    <mergeCell ref="V135:W135"/>
    <mergeCell ref="X135:AA135"/>
    <mergeCell ref="AB135:AE135"/>
    <mergeCell ref="AF135:AG135"/>
    <mergeCell ref="AH135:AI135"/>
    <mergeCell ref="R136:S136"/>
    <mergeCell ref="T136:U136"/>
    <mergeCell ref="V136:W136"/>
    <mergeCell ref="X136:AA136"/>
    <mergeCell ref="AB136:AE136"/>
    <mergeCell ref="AF136:AG136"/>
    <mergeCell ref="AH136:AI136"/>
    <mergeCell ref="AX136:AZ136"/>
    <mergeCell ref="BA136:BB136"/>
    <mergeCell ref="BD136:BE136"/>
    <mergeCell ref="BF136:BI136"/>
    <mergeCell ref="BJ136:BM136"/>
    <mergeCell ref="BN136:BV136"/>
    <mergeCell ref="BJ137:BM137"/>
    <mergeCell ref="BN137:BV137"/>
    <mergeCell ref="B136:C136"/>
    <mergeCell ref="D136:E136"/>
    <mergeCell ref="F136:G136"/>
    <mergeCell ref="H136:I136"/>
    <mergeCell ref="J136:K136"/>
    <mergeCell ref="L136:M136"/>
    <mergeCell ref="P136:Q136"/>
    <mergeCell ref="B137:C137"/>
    <mergeCell ref="D137:E137"/>
    <mergeCell ref="F137:G137"/>
    <mergeCell ref="H137:I137"/>
    <mergeCell ref="J137:K137"/>
    <mergeCell ref="L137:M137"/>
    <mergeCell ref="P137:Q137"/>
    <mergeCell ref="AJ136:AK136"/>
    <mergeCell ref="AL136:AM136"/>
    <mergeCell ref="AN136:AO136"/>
    <mergeCell ref="AP136:AQ136"/>
    <mergeCell ref="AR136:AS136"/>
    <mergeCell ref="AT136:AU136"/>
    <mergeCell ref="AV136:AW136"/>
    <mergeCell ref="B126:C126"/>
    <mergeCell ref="D126:E126"/>
    <mergeCell ref="F126:G126"/>
    <mergeCell ref="H126:I126"/>
    <mergeCell ref="J126:K126"/>
    <mergeCell ref="L126:M126"/>
    <mergeCell ref="P126:Q126"/>
    <mergeCell ref="AJ125:AK125"/>
    <mergeCell ref="AL125:AM125"/>
    <mergeCell ref="AN125:AO125"/>
    <mergeCell ref="AP125:AQ125"/>
    <mergeCell ref="AR125:AS125"/>
    <mergeCell ref="AT125:AU125"/>
    <mergeCell ref="AV125:AW125"/>
    <mergeCell ref="L125:M125"/>
    <mergeCell ref="P125:Q125"/>
    <mergeCell ref="AN130:AO130"/>
    <mergeCell ref="AP130:AQ130"/>
    <mergeCell ref="AR130:AS130"/>
    <mergeCell ref="AT130:AU130"/>
    <mergeCell ref="AV130:AW130"/>
    <mergeCell ref="AJ128:AK128"/>
    <mergeCell ref="AL128:AM128"/>
    <mergeCell ref="R128:S128"/>
    <mergeCell ref="T128:U128"/>
    <mergeCell ref="V128:W128"/>
    <mergeCell ref="X128:AA128"/>
    <mergeCell ref="AB128:AE128"/>
    <mergeCell ref="AF128:AG128"/>
    <mergeCell ref="AH128:AI128"/>
    <mergeCell ref="R129:S129"/>
    <mergeCell ref="T129:U129"/>
    <mergeCell ref="V129:W129"/>
    <mergeCell ref="X129:AA129"/>
    <mergeCell ref="AB129:AE129"/>
    <mergeCell ref="AF129:AG129"/>
    <mergeCell ref="AH129:AI129"/>
    <mergeCell ref="AJ130:AK130"/>
    <mergeCell ref="AL130:AM130"/>
    <mergeCell ref="R130:S130"/>
    <mergeCell ref="T130:U130"/>
    <mergeCell ref="V130:W130"/>
    <mergeCell ref="X130:AA130"/>
    <mergeCell ref="AJ132:AK132"/>
    <mergeCell ref="AL132:AM132"/>
    <mergeCell ref="BJ132:BM132"/>
    <mergeCell ref="BN132:BV132"/>
    <mergeCell ref="R132:S132"/>
    <mergeCell ref="T132:U132"/>
    <mergeCell ref="V132:W132"/>
    <mergeCell ref="X132:AA132"/>
    <mergeCell ref="AB132:AE132"/>
    <mergeCell ref="AF132:AG132"/>
    <mergeCell ref="AH132:AI132"/>
    <mergeCell ref="BJ131:BM131"/>
    <mergeCell ref="BN131:BV131"/>
    <mergeCell ref="B132:C132"/>
    <mergeCell ref="D132:E132"/>
    <mergeCell ref="F132:G132"/>
    <mergeCell ref="H132:I132"/>
    <mergeCell ref="J132:K132"/>
    <mergeCell ref="L132:M132"/>
    <mergeCell ref="P132:Q132"/>
    <mergeCell ref="BJ122:BM122"/>
    <mergeCell ref="BN122:BV122"/>
    <mergeCell ref="B122:C122"/>
    <mergeCell ref="D122:E122"/>
    <mergeCell ref="F122:G122"/>
    <mergeCell ref="H122:I122"/>
    <mergeCell ref="J122:K122"/>
    <mergeCell ref="L122:M122"/>
    <mergeCell ref="P122:Q122"/>
    <mergeCell ref="AJ122:AK122"/>
    <mergeCell ref="AL122:AM122"/>
    <mergeCell ref="AN122:AO122"/>
    <mergeCell ref="AP122:AQ122"/>
    <mergeCell ref="AR122:AS122"/>
    <mergeCell ref="AT122:AU122"/>
    <mergeCell ref="AV122:AW122"/>
    <mergeCell ref="B123:C123"/>
    <mergeCell ref="D123:E123"/>
    <mergeCell ref="F123:G123"/>
    <mergeCell ref="H123:I123"/>
    <mergeCell ref="J123:K123"/>
    <mergeCell ref="L123:M123"/>
    <mergeCell ref="P123:Q123"/>
    <mergeCell ref="R125:S125"/>
    <mergeCell ref="T125:U125"/>
    <mergeCell ref="V125:W125"/>
    <mergeCell ref="X125:AA125"/>
    <mergeCell ref="AB125:AE125"/>
    <mergeCell ref="AF125:AG125"/>
    <mergeCell ref="AH125:AI125"/>
    <mergeCell ref="B125:C125"/>
    <mergeCell ref="D125:E125"/>
    <mergeCell ref="F125:G125"/>
    <mergeCell ref="H125:I125"/>
    <mergeCell ref="J125:K125"/>
    <mergeCell ref="AB130:AE130"/>
    <mergeCell ref="AF130:AG130"/>
    <mergeCell ref="AH130:AI130"/>
    <mergeCell ref="R131:S131"/>
    <mergeCell ref="T131:U131"/>
    <mergeCell ref="V131:W131"/>
    <mergeCell ref="X131:AA131"/>
    <mergeCell ref="AB131:AE131"/>
    <mergeCell ref="AF131:AG131"/>
    <mergeCell ref="B124:C124"/>
    <mergeCell ref="D124:E124"/>
    <mergeCell ref="F124:G124"/>
    <mergeCell ref="H124:I124"/>
    <mergeCell ref="J124:K124"/>
    <mergeCell ref="L124:M124"/>
    <mergeCell ref="P124:Q124"/>
    <mergeCell ref="D130:E130"/>
    <mergeCell ref="F130:G130"/>
    <mergeCell ref="H130:I130"/>
    <mergeCell ref="J130:K130"/>
    <mergeCell ref="L130:M130"/>
    <mergeCell ref="P130:Q130"/>
    <mergeCell ref="AJ129:AK129"/>
    <mergeCell ref="AL129:AM129"/>
    <mergeCell ref="AN129:AO129"/>
    <mergeCell ref="AP129:AQ129"/>
    <mergeCell ref="AR129:AS129"/>
    <mergeCell ref="AT129:AU129"/>
    <mergeCell ref="AV129:AW129"/>
    <mergeCell ref="BJ128:BM128"/>
    <mergeCell ref="BN128:BV128"/>
    <mergeCell ref="B127:C127"/>
    <mergeCell ref="D127:E127"/>
    <mergeCell ref="F127:G127"/>
    <mergeCell ref="H127:I127"/>
    <mergeCell ref="J127:K127"/>
    <mergeCell ref="L127:M127"/>
    <mergeCell ref="P127:Q127"/>
    <mergeCell ref="B128:C128"/>
    <mergeCell ref="D128:E128"/>
    <mergeCell ref="F128:G128"/>
    <mergeCell ref="H128:I128"/>
    <mergeCell ref="J128:K128"/>
    <mergeCell ref="L128:M128"/>
    <mergeCell ref="P128:Q128"/>
    <mergeCell ref="AJ127:AK127"/>
    <mergeCell ref="AL127:AM127"/>
    <mergeCell ref="AN127:AO127"/>
    <mergeCell ref="AP127:AQ127"/>
    <mergeCell ref="AR127:AS127"/>
    <mergeCell ref="AT127:AU127"/>
    <mergeCell ref="AV127:AW127"/>
    <mergeCell ref="BD130:BE130"/>
    <mergeCell ref="BD128:BE128"/>
    <mergeCell ref="BF128:BI128"/>
    <mergeCell ref="AN128:AO128"/>
    <mergeCell ref="AP128:AQ128"/>
    <mergeCell ref="AR128:AS128"/>
    <mergeCell ref="AT128:AU128"/>
    <mergeCell ref="AV128:AW128"/>
    <mergeCell ref="AX128:AZ128"/>
    <mergeCell ref="BA128:BB128"/>
    <mergeCell ref="R122:S122"/>
    <mergeCell ref="T122:U122"/>
    <mergeCell ref="V122:W122"/>
    <mergeCell ref="X122:AA122"/>
    <mergeCell ref="AB122:AE122"/>
    <mergeCell ref="AF122:AG122"/>
    <mergeCell ref="AH122:AI122"/>
    <mergeCell ref="AX122:AZ122"/>
    <mergeCell ref="BA122:BB122"/>
    <mergeCell ref="BD122:BE122"/>
    <mergeCell ref="BF122:BI122"/>
    <mergeCell ref="BD126:BE126"/>
    <mergeCell ref="BF126:BI126"/>
    <mergeCell ref="AN126:AO126"/>
    <mergeCell ref="AP126:AQ126"/>
    <mergeCell ref="AR126:AS126"/>
    <mergeCell ref="AT126:AU126"/>
    <mergeCell ref="AV126:AW126"/>
    <mergeCell ref="AX126:AZ126"/>
    <mergeCell ref="BA126:BB126"/>
    <mergeCell ref="AX125:AZ125"/>
    <mergeCell ref="BA125:BB125"/>
    <mergeCell ref="BD125:BE125"/>
    <mergeCell ref="BF125:BI125"/>
    <mergeCell ref="R124:S124"/>
    <mergeCell ref="T124:U124"/>
    <mergeCell ref="V124:W124"/>
    <mergeCell ref="X124:AA124"/>
    <mergeCell ref="AB124:AE124"/>
    <mergeCell ref="AF124:AG124"/>
    <mergeCell ref="AH124:AI124"/>
    <mergeCell ref="AX124:AZ124"/>
    <mergeCell ref="BA124:BB124"/>
    <mergeCell ref="BD124:BE124"/>
    <mergeCell ref="BF124:BI124"/>
    <mergeCell ref="AJ124:AK124"/>
    <mergeCell ref="AL124:AM124"/>
    <mergeCell ref="AN124:AO124"/>
    <mergeCell ref="AP124:AQ124"/>
    <mergeCell ref="AR124:AS124"/>
    <mergeCell ref="AT124:AU124"/>
    <mergeCell ref="AV124:AW124"/>
    <mergeCell ref="AX129:AZ129"/>
    <mergeCell ref="BA129:BB129"/>
    <mergeCell ref="BD129:BE129"/>
    <mergeCell ref="BF129:BI129"/>
    <mergeCell ref="BJ129:BM129"/>
    <mergeCell ref="BN129:BV129"/>
    <mergeCell ref="BJ130:BM130"/>
    <mergeCell ref="BN130:BV130"/>
    <mergeCell ref="B129:C129"/>
    <mergeCell ref="D129:E129"/>
    <mergeCell ref="F129:G129"/>
    <mergeCell ref="H129:I129"/>
    <mergeCell ref="J129:K129"/>
    <mergeCell ref="L129:M129"/>
    <mergeCell ref="P129:Q129"/>
    <mergeCell ref="B130:C130"/>
    <mergeCell ref="AJ123:AK123"/>
    <mergeCell ref="AL123:AM123"/>
    <mergeCell ref="BJ123:BM123"/>
    <mergeCell ref="BN123:BV123"/>
    <mergeCell ref="R123:S123"/>
    <mergeCell ref="T123:U123"/>
    <mergeCell ref="V123:W123"/>
    <mergeCell ref="X123:AA123"/>
    <mergeCell ref="AB123:AE123"/>
    <mergeCell ref="AF123:AG123"/>
    <mergeCell ref="AH123:AI123"/>
    <mergeCell ref="AJ126:AK126"/>
    <mergeCell ref="AL126:AM126"/>
    <mergeCell ref="R126:S126"/>
    <mergeCell ref="T126:U126"/>
    <mergeCell ref="V126:W126"/>
    <mergeCell ref="X126:AA126"/>
    <mergeCell ref="AB126:AE126"/>
    <mergeCell ref="AF126:AG126"/>
    <mergeCell ref="AH126:AI126"/>
    <mergeCell ref="R127:S127"/>
    <mergeCell ref="T127:U127"/>
    <mergeCell ref="V127:W127"/>
    <mergeCell ref="X127:AA127"/>
    <mergeCell ref="AB127:AE127"/>
    <mergeCell ref="AF127:AG127"/>
    <mergeCell ref="AH127:AI127"/>
    <mergeCell ref="AX127:AZ127"/>
    <mergeCell ref="BA127:BB127"/>
    <mergeCell ref="BD127:BE127"/>
    <mergeCell ref="BF127:BI127"/>
    <mergeCell ref="BJ127:BM127"/>
    <mergeCell ref="BN127:BV127"/>
    <mergeCell ref="BJ125:BM125"/>
    <mergeCell ref="BN125:BV125"/>
    <mergeCell ref="BJ126:BM126"/>
    <mergeCell ref="BN126:BV126"/>
    <mergeCell ref="BD123:BE123"/>
    <mergeCell ref="BF123:BI123"/>
    <mergeCell ref="AN123:AO123"/>
    <mergeCell ref="AP123:AQ123"/>
    <mergeCell ref="AR123:AS123"/>
    <mergeCell ref="AT123:AU123"/>
    <mergeCell ref="AV123:AW123"/>
    <mergeCell ref="AX123:AZ123"/>
    <mergeCell ref="BA123:BB123"/>
    <mergeCell ref="BJ124:BM124"/>
    <mergeCell ref="BN124:BV124"/>
    <mergeCell ref="BJ115:BM115"/>
    <mergeCell ref="BN115:BV115"/>
    <mergeCell ref="AJ115:AK115"/>
    <mergeCell ref="AL115:AM115"/>
    <mergeCell ref="AN115:AO115"/>
    <mergeCell ref="AP115:AQ115"/>
    <mergeCell ref="AR115:AS115"/>
    <mergeCell ref="AT115:AU115"/>
    <mergeCell ref="AV115:AW115"/>
    <mergeCell ref="B115:C115"/>
    <mergeCell ref="D115:E115"/>
    <mergeCell ref="F115:G115"/>
    <mergeCell ref="H115:I115"/>
    <mergeCell ref="J115:K115"/>
    <mergeCell ref="L115:M115"/>
    <mergeCell ref="P115:Q115"/>
    <mergeCell ref="AX116:AZ116"/>
    <mergeCell ref="BA116:BB116"/>
    <mergeCell ref="BD116:BE116"/>
    <mergeCell ref="BF116:BI116"/>
    <mergeCell ref="BJ116:BM116"/>
    <mergeCell ref="BN116:BV116"/>
    <mergeCell ref="BJ117:BM117"/>
    <mergeCell ref="BN117:BV117"/>
    <mergeCell ref="B117:C117"/>
    <mergeCell ref="D117:E117"/>
    <mergeCell ref="F117:G117"/>
    <mergeCell ref="H117:I117"/>
    <mergeCell ref="J117:K117"/>
    <mergeCell ref="L117:M117"/>
    <mergeCell ref="P117:Q117"/>
    <mergeCell ref="AJ116:AK116"/>
    <mergeCell ref="AL116:AM116"/>
    <mergeCell ref="AN116:AO116"/>
    <mergeCell ref="AP116:AQ116"/>
    <mergeCell ref="AR116:AS116"/>
    <mergeCell ref="AT116:AU116"/>
    <mergeCell ref="AV116:AW116"/>
    <mergeCell ref="R116:S116"/>
    <mergeCell ref="T116:U116"/>
    <mergeCell ref="V116:W116"/>
    <mergeCell ref="X116:AA116"/>
    <mergeCell ref="AB116:AE116"/>
    <mergeCell ref="AF116:AG116"/>
    <mergeCell ref="AH116:AI116"/>
    <mergeCell ref="B116:C116"/>
    <mergeCell ref="D116:E116"/>
    <mergeCell ref="F116:G116"/>
    <mergeCell ref="H116:I116"/>
    <mergeCell ref="J116:K116"/>
    <mergeCell ref="L116:M116"/>
    <mergeCell ref="P116:Q116"/>
    <mergeCell ref="BD117:BE117"/>
    <mergeCell ref="BF117:BI117"/>
    <mergeCell ref="AN117:AO117"/>
    <mergeCell ref="AP117:AQ117"/>
    <mergeCell ref="AR117:AS117"/>
    <mergeCell ref="AT117:AU117"/>
    <mergeCell ref="AV117:AW117"/>
    <mergeCell ref="AX117:AZ117"/>
    <mergeCell ref="BA117:BB117"/>
    <mergeCell ref="R115:S115"/>
    <mergeCell ref="T115:U115"/>
    <mergeCell ref="V115:W115"/>
    <mergeCell ref="B120:C120"/>
    <mergeCell ref="D120:E120"/>
    <mergeCell ref="F120:G120"/>
    <mergeCell ref="H120:I120"/>
    <mergeCell ref="J120:K120"/>
    <mergeCell ref="L120:M120"/>
    <mergeCell ref="P120:Q120"/>
    <mergeCell ref="B121:C121"/>
    <mergeCell ref="D121:E121"/>
    <mergeCell ref="F121:G121"/>
    <mergeCell ref="H121:I121"/>
    <mergeCell ref="J121:K121"/>
    <mergeCell ref="L121:M121"/>
    <mergeCell ref="P121:Q121"/>
    <mergeCell ref="AJ120:AK120"/>
    <mergeCell ref="AL120:AM120"/>
    <mergeCell ref="AN120:AO120"/>
    <mergeCell ref="AP120:AQ120"/>
    <mergeCell ref="AR120:AS120"/>
    <mergeCell ref="AT120:AU120"/>
    <mergeCell ref="AV120:AW120"/>
    <mergeCell ref="BD114:BE114"/>
    <mergeCell ref="BF114:BI114"/>
    <mergeCell ref="AN114:AO114"/>
    <mergeCell ref="AP114:AQ114"/>
    <mergeCell ref="AR114:AS114"/>
    <mergeCell ref="AT114:AU114"/>
    <mergeCell ref="AV114:AW114"/>
    <mergeCell ref="AX114:AZ114"/>
    <mergeCell ref="BA114:BB114"/>
    <mergeCell ref="BD121:BE121"/>
    <mergeCell ref="BF121:BI121"/>
    <mergeCell ref="AN121:AO121"/>
    <mergeCell ref="AP121:AQ121"/>
    <mergeCell ref="AR121:AS121"/>
    <mergeCell ref="AT121:AU121"/>
    <mergeCell ref="AV121:AW121"/>
    <mergeCell ref="AX121:AZ121"/>
    <mergeCell ref="BA121:BB121"/>
    <mergeCell ref="AJ119:AK119"/>
    <mergeCell ref="AL119:AM119"/>
    <mergeCell ref="R119:S119"/>
    <mergeCell ref="T119:U119"/>
    <mergeCell ref="V119:W119"/>
    <mergeCell ref="X119:AA119"/>
    <mergeCell ref="AB119:AE119"/>
    <mergeCell ref="AF119:AG119"/>
    <mergeCell ref="AH119:AI119"/>
    <mergeCell ref="R120:S120"/>
    <mergeCell ref="T120:U120"/>
    <mergeCell ref="V120:W120"/>
    <mergeCell ref="X120:AA120"/>
    <mergeCell ref="AB120:AE120"/>
    <mergeCell ref="AF120:AG120"/>
    <mergeCell ref="AH120:AI120"/>
    <mergeCell ref="AX120:AZ120"/>
    <mergeCell ref="AJ121:AK121"/>
    <mergeCell ref="AL121:AM121"/>
    <mergeCell ref="R121:S121"/>
    <mergeCell ref="T121:U121"/>
    <mergeCell ref="V121:W121"/>
    <mergeCell ref="X121:AA121"/>
    <mergeCell ref="AB121:AE121"/>
    <mergeCell ref="AF121:AG121"/>
    <mergeCell ref="R113:S113"/>
    <mergeCell ref="T113:U113"/>
    <mergeCell ref="V113:W113"/>
    <mergeCell ref="X113:AA113"/>
    <mergeCell ref="AB113:AE113"/>
    <mergeCell ref="AF113:AG113"/>
    <mergeCell ref="AH113:AI113"/>
    <mergeCell ref="AX113:AZ113"/>
    <mergeCell ref="BA113:BB113"/>
    <mergeCell ref="BD113:BE113"/>
    <mergeCell ref="BF113:BI113"/>
    <mergeCell ref="B113:C113"/>
    <mergeCell ref="D113:E113"/>
    <mergeCell ref="F113:G113"/>
    <mergeCell ref="H113:I113"/>
    <mergeCell ref="J113:K113"/>
    <mergeCell ref="L113:M113"/>
    <mergeCell ref="P113:Q113"/>
    <mergeCell ref="AJ113:AK113"/>
    <mergeCell ref="AL113:AM113"/>
    <mergeCell ref="AN113:AO113"/>
    <mergeCell ref="AP113:AQ113"/>
    <mergeCell ref="AR113:AS113"/>
    <mergeCell ref="AT113:AU113"/>
    <mergeCell ref="AV113:AW113"/>
    <mergeCell ref="X115:AA115"/>
    <mergeCell ref="AB115:AE115"/>
    <mergeCell ref="AF115:AG115"/>
    <mergeCell ref="AH115:AI115"/>
    <mergeCell ref="AX115:AZ115"/>
    <mergeCell ref="BA115:BB115"/>
    <mergeCell ref="BD115:BE115"/>
    <mergeCell ref="BF115:BI115"/>
    <mergeCell ref="BA120:BB120"/>
    <mergeCell ref="BD120:BE120"/>
    <mergeCell ref="BF120:BI120"/>
    <mergeCell ref="BJ120:BM120"/>
    <mergeCell ref="BN120:BV120"/>
    <mergeCell ref="BJ121:BM121"/>
    <mergeCell ref="BN121:BV121"/>
    <mergeCell ref="BD119:BE119"/>
    <mergeCell ref="BF119:BI119"/>
    <mergeCell ref="AN119:AO119"/>
    <mergeCell ref="AP119:AQ119"/>
    <mergeCell ref="AR119:AS119"/>
    <mergeCell ref="AT119:AU119"/>
    <mergeCell ref="AV119:AW119"/>
    <mergeCell ref="AX119:AZ119"/>
    <mergeCell ref="BA119:BB119"/>
    <mergeCell ref="AJ117:AK117"/>
    <mergeCell ref="AL117:AM117"/>
    <mergeCell ref="R117:S117"/>
    <mergeCell ref="T117:U117"/>
    <mergeCell ref="V117:W117"/>
    <mergeCell ref="X117:AA117"/>
    <mergeCell ref="AB117:AE117"/>
    <mergeCell ref="AF117:AG117"/>
    <mergeCell ref="AH117:AI117"/>
    <mergeCell ref="R118:S118"/>
    <mergeCell ref="T118:U118"/>
    <mergeCell ref="V118:W118"/>
    <mergeCell ref="X118:AA118"/>
    <mergeCell ref="AB118:AE118"/>
    <mergeCell ref="AF118:AG118"/>
    <mergeCell ref="AH118:AI118"/>
    <mergeCell ref="AX118:AZ118"/>
    <mergeCell ref="BA118:BB118"/>
    <mergeCell ref="BD118:BE118"/>
    <mergeCell ref="BF118:BI118"/>
    <mergeCell ref="BJ118:BM118"/>
    <mergeCell ref="BN118:BV118"/>
    <mergeCell ref="BJ119:BM119"/>
    <mergeCell ref="BN119:BV119"/>
    <mergeCell ref="AH121:AI121"/>
    <mergeCell ref="B118:C118"/>
    <mergeCell ref="D118:E118"/>
    <mergeCell ref="F118:G118"/>
    <mergeCell ref="H118:I118"/>
    <mergeCell ref="J118:K118"/>
    <mergeCell ref="L118:M118"/>
    <mergeCell ref="P118:Q118"/>
    <mergeCell ref="B119:C119"/>
    <mergeCell ref="D119:E119"/>
    <mergeCell ref="F119:G119"/>
    <mergeCell ref="H119:I119"/>
    <mergeCell ref="J119:K119"/>
    <mergeCell ref="L119:M119"/>
    <mergeCell ref="P119:Q119"/>
    <mergeCell ref="AJ118:AK118"/>
    <mergeCell ref="AL118:AM118"/>
    <mergeCell ref="AN118:AO118"/>
    <mergeCell ref="AP118:AQ118"/>
    <mergeCell ref="AR118:AS118"/>
    <mergeCell ref="AT118:AU118"/>
    <mergeCell ref="AV118:AW118"/>
    <mergeCell ref="BF107:BI107"/>
    <mergeCell ref="BJ107:BM107"/>
    <mergeCell ref="BN107:BV107"/>
    <mergeCell ref="BJ108:BM108"/>
    <mergeCell ref="BN108:BV108"/>
    <mergeCell ref="B108:C108"/>
    <mergeCell ref="D108:E108"/>
    <mergeCell ref="F108:G108"/>
    <mergeCell ref="H108:I108"/>
    <mergeCell ref="J108:K108"/>
    <mergeCell ref="L108:M108"/>
    <mergeCell ref="P108:Q108"/>
    <mergeCell ref="AJ107:AK107"/>
    <mergeCell ref="AL107:AM107"/>
    <mergeCell ref="AN107:AO107"/>
    <mergeCell ref="AP107:AQ107"/>
    <mergeCell ref="AR107:AS107"/>
    <mergeCell ref="AT107:AU107"/>
    <mergeCell ref="AV107:AW107"/>
    <mergeCell ref="BD110:BE110"/>
    <mergeCell ref="BF110:BI110"/>
    <mergeCell ref="AN110:AO110"/>
    <mergeCell ref="AP110:AQ110"/>
    <mergeCell ref="AR110:AS110"/>
    <mergeCell ref="AT110:AU110"/>
    <mergeCell ref="AV110:AW110"/>
    <mergeCell ref="AX110:AZ110"/>
    <mergeCell ref="BA110:BB110"/>
    <mergeCell ref="AJ114:AK114"/>
    <mergeCell ref="AL114:AM114"/>
    <mergeCell ref="BJ114:BM114"/>
    <mergeCell ref="BN114:BV114"/>
    <mergeCell ref="R114:S114"/>
    <mergeCell ref="T114:U114"/>
    <mergeCell ref="V114:W114"/>
    <mergeCell ref="X114:AA114"/>
    <mergeCell ref="AB114:AE114"/>
    <mergeCell ref="AF114:AG114"/>
    <mergeCell ref="AH114:AI114"/>
    <mergeCell ref="BJ113:BM113"/>
    <mergeCell ref="BN113:BV113"/>
    <mergeCell ref="B114:C114"/>
    <mergeCell ref="D114:E114"/>
    <mergeCell ref="F114:G114"/>
    <mergeCell ref="H114:I114"/>
    <mergeCell ref="J114:K114"/>
    <mergeCell ref="L114:M114"/>
    <mergeCell ref="P114:Q114"/>
    <mergeCell ref="BJ104:BM104"/>
    <mergeCell ref="BN104:BV104"/>
    <mergeCell ref="BJ105:BM105"/>
    <mergeCell ref="BN105:BV105"/>
    <mergeCell ref="B104:C104"/>
    <mergeCell ref="D104:E104"/>
    <mergeCell ref="F104:G104"/>
    <mergeCell ref="H104:I104"/>
    <mergeCell ref="J104:K104"/>
    <mergeCell ref="L104:M104"/>
    <mergeCell ref="P104:Q104"/>
    <mergeCell ref="AJ104:AK104"/>
    <mergeCell ref="AL104:AM104"/>
    <mergeCell ref="AN104:AO104"/>
    <mergeCell ref="AP104:AQ104"/>
    <mergeCell ref="AR104:AS104"/>
    <mergeCell ref="AT104:AU104"/>
    <mergeCell ref="AV104:AW104"/>
    <mergeCell ref="B105:C105"/>
    <mergeCell ref="D105:E105"/>
    <mergeCell ref="F105:G105"/>
    <mergeCell ref="H105:I105"/>
    <mergeCell ref="J105:K105"/>
    <mergeCell ref="L105:M105"/>
    <mergeCell ref="P105:Q105"/>
    <mergeCell ref="R107:S107"/>
    <mergeCell ref="T107:U107"/>
    <mergeCell ref="V107:W107"/>
    <mergeCell ref="X107:AA107"/>
    <mergeCell ref="AB107:AE107"/>
    <mergeCell ref="AF107:AG107"/>
    <mergeCell ref="AH107:AI107"/>
    <mergeCell ref="B107:C107"/>
    <mergeCell ref="D107:E107"/>
    <mergeCell ref="F107:G107"/>
    <mergeCell ref="H107:I107"/>
    <mergeCell ref="J107:K107"/>
    <mergeCell ref="L107:M107"/>
    <mergeCell ref="P107:Q107"/>
    <mergeCell ref="R106:S106"/>
    <mergeCell ref="T106:U106"/>
    <mergeCell ref="V106:W106"/>
    <mergeCell ref="X106:AA106"/>
    <mergeCell ref="AB106:AE106"/>
    <mergeCell ref="AF106:AG106"/>
    <mergeCell ref="AH106:AI106"/>
    <mergeCell ref="AX106:AZ106"/>
    <mergeCell ref="BA106:BB106"/>
    <mergeCell ref="BD106:BE106"/>
    <mergeCell ref="BF106:BI106"/>
    <mergeCell ref="BJ106:BM106"/>
    <mergeCell ref="BN106:BV106"/>
    <mergeCell ref="AJ106:AK106"/>
    <mergeCell ref="AL106:AM106"/>
    <mergeCell ref="AN106:AO106"/>
    <mergeCell ref="AP106:AQ106"/>
    <mergeCell ref="AR106:AS106"/>
    <mergeCell ref="AT106:AU106"/>
    <mergeCell ref="AV106:AW106"/>
    <mergeCell ref="B106:C106"/>
    <mergeCell ref="D106:E106"/>
    <mergeCell ref="F106:G106"/>
    <mergeCell ref="H106:I106"/>
    <mergeCell ref="J106:K106"/>
    <mergeCell ref="B111:C111"/>
    <mergeCell ref="D111:E111"/>
    <mergeCell ref="F111:G111"/>
    <mergeCell ref="H111:I111"/>
    <mergeCell ref="J111:K111"/>
    <mergeCell ref="L111:M111"/>
    <mergeCell ref="P111:Q111"/>
    <mergeCell ref="B112:C112"/>
    <mergeCell ref="D112:E112"/>
    <mergeCell ref="F112:G112"/>
    <mergeCell ref="H112:I112"/>
    <mergeCell ref="J112:K112"/>
    <mergeCell ref="L112:M112"/>
    <mergeCell ref="P112:Q112"/>
    <mergeCell ref="AJ111:AK111"/>
    <mergeCell ref="AL111:AM111"/>
    <mergeCell ref="AN111:AO111"/>
    <mergeCell ref="AP111:AQ111"/>
    <mergeCell ref="AR111:AS111"/>
    <mergeCell ref="AT111:AU111"/>
    <mergeCell ref="AV111:AW111"/>
    <mergeCell ref="BD105:BE105"/>
    <mergeCell ref="BF105:BI105"/>
    <mergeCell ref="AN105:AO105"/>
    <mergeCell ref="AP105:AQ105"/>
    <mergeCell ref="AR105:AS105"/>
    <mergeCell ref="AT105:AU105"/>
    <mergeCell ref="AV105:AW105"/>
    <mergeCell ref="AX105:AZ105"/>
    <mergeCell ref="BA105:BB105"/>
    <mergeCell ref="BD112:BE112"/>
    <mergeCell ref="BF112:BI112"/>
    <mergeCell ref="AN112:AO112"/>
    <mergeCell ref="AP112:AQ112"/>
    <mergeCell ref="AR112:AS112"/>
    <mergeCell ref="AT112:AU112"/>
    <mergeCell ref="AV112:AW112"/>
    <mergeCell ref="AX112:AZ112"/>
    <mergeCell ref="BA112:BB112"/>
    <mergeCell ref="AJ110:AK110"/>
    <mergeCell ref="AL110:AM110"/>
    <mergeCell ref="R110:S110"/>
    <mergeCell ref="T110:U110"/>
    <mergeCell ref="V110:W110"/>
    <mergeCell ref="X110:AA110"/>
    <mergeCell ref="AB110:AE110"/>
    <mergeCell ref="AF110:AG110"/>
    <mergeCell ref="AH110:AI110"/>
    <mergeCell ref="R111:S111"/>
    <mergeCell ref="T111:U111"/>
    <mergeCell ref="V111:W111"/>
    <mergeCell ref="X111:AA111"/>
    <mergeCell ref="AB111:AE111"/>
    <mergeCell ref="AF111:AG111"/>
    <mergeCell ref="AH111:AI111"/>
    <mergeCell ref="AX111:AZ111"/>
    <mergeCell ref="BA111:BB111"/>
    <mergeCell ref="BD111:BE111"/>
    <mergeCell ref="BF111:BI111"/>
    <mergeCell ref="R104:S104"/>
    <mergeCell ref="T104:U104"/>
    <mergeCell ref="V104:W104"/>
    <mergeCell ref="X104:AA104"/>
    <mergeCell ref="AB104:AE104"/>
    <mergeCell ref="AF104:AG104"/>
    <mergeCell ref="AH104:AI104"/>
    <mergeCell ref="AX104:AZ104"/>
    <mergeCell ref="BA104:BB104"/>
    <mergeCell ref="BD104:BE104"/>
    <mergeCell ref="BF104:BI104"/>
    <mergeCell ref="BD108:BE108"/>
    <mergeCell ref="BF108:BI108"/>
    <mergeCell ref="AN108:AO108"/>
    <mergeCell ref="AP108:AQ108"/>
    <mergeCell ref="AR108:AS108"/>
    <mergeCell ref="AT108:AU108"/>
    <mergeCell ref="AV108:AW108"/>
    <mergeCell ref="AX108:AZ108"/>
    <mergeCell ref="BA108:BB108"/>
    <mergeCell ref="L106:M106"/>
    <mergeCell ref="P106:Q106"/>
    <mergeCell ref="AX107:AZ107"/>
    <mergeCell ref="BA107:BB107"/>
    <mergeCell ref="BD107:BE107"/>
    <mergeCell ref="AJ105:AK105"/>
    <mergeCell ref="AL105:AM105"/>
    <mergeCell ref="R105:S105"/>
    <mergeCell ref="T105:U105"/>
    <mergeCell ref="V105:W105"/>
    <mergeCell ref="X105:AA105"/>
    <mergeCell ref="AB105:AE105"/>
    <mergeCell ref="AF105:AG105"/>
    <mergeCell ref="AH105:AI105"/>
    <mergeCell ref="BJ111:BM111"/>
    <mergeCell ref="BN111:BV111"/>
    <mergeCell ref="BJ112:BM112"/>
    <mergeCell ref="BN112:BV112"/>
    <mergeCell ref="AJ108:AK108"/>
    <mergeCell ref="AL108:AM108"/>
    <mergeCell ref="R108:S108"/>
    <mergeCell ref="T108:U108"/>
    <mergeCell ref="V108:W108"/>
    <mergeCell ref="X108:AA108"/>
    <mergeCell ref="AB108:AE108"/>
    <mergeCell ref="AF108:AG108"/>
    <mergeCell ref="AH108:AI108"/>
    <mergeCell ref="R109:S109"/>
    <mergeCell ref="T109:U109"/>
    <mergeCell ref="V109:W109"/>
    <mergeCell ref="X109:AA109"/>
    <mergeCell ref="AB109:AE109"/>
    <mergeCell ref="AF109:AG109"/>
    <mergeCell ref="AH109:AI109"/>
    <mergeCell ref="AX109:AZ109"/>
    <mergeCell ref="BA109:BB109"/>
    <mergeCell ref="BD109:BE109"/>
    <mergeCell ref="BF109:BI109"/>
    <mergeCell ref="BJ109:BM109"/>
    <mergeCell ref="BN109:BV109"/>
    <mergeCell ref="BJ110:BM110"/>
    <mergeCell ref="BN110:BV110"/>
    <mergeCell ref="B109:C109"/>
    <mergeCell ref="D109:E109"/>
    <mergeCell ref="F109:G109"/>
    <mergeCell ref="H109:I109"/>
    <mergeCell ref="J109:K109"/>
    <mergeCell ref="L109:M109"/>
    <mergeCell ref="P109:Q109"/>
    <mergeCell ref="B110:C110"/>
    <mergeCell ref="D110:E110"/>
    <mergeCell ref="F110:G110"/>
    <mergeCell ref="H110:I110"/>
    <mergeCell ref="J110:K110"/>
    <mergeCell ref="L110:M110"/>
    <mergeCell ref="P110:Q110"/>
    <mergeCell ref="AJ109:AK109"/>
    <mergeCell ref="AL109:AM109"/>
    <mergeCell ref="AN109:AO109"/>
    <mergeCell ref="AP109:AQ109"/>
    <mergeCell ref="AR109:AS109"/>
    <mergeCell ref="AT109:AU109"/>
    <mergeCell ref="AV109:AW109"/>
    <mergeCell ref="AJ112:AK112"/>
    <mergeCell ref="AL112:AM112"/>
    <mergeCell ref="R112:S112"/>
    <mergeCell ref="T112:U112"/>
    <mergeCell ref="V112:W112"/>
    <mergeCell ref="X112:AA112"/>
    <mergeCell ref="AB112:AE112"/>
    <mergeCell ref="AF112:AG112"/>
    <mergeCell ref="AH112:AI112"/>
    <mergeCell ref="V236:W236"/>
    <mergeCell ref="X236:AA236"/>
    <mergeCell ref="AB236:AE236"/>
    <mergeCell ref="AF236:AG236"/>
    <mergeCell ref="AH236:AI236"/>
    <mergeCell ref="AJ236:AK236"/>
    <mergeCell ref="AL236:AM236"/>
    <mergeCell ref="BD236:BE236"/>
    <mergeCell ref="BF236:BI236"/>
    <mergeCell ref="BJ236:BM236"/>
    <mergeCell ref="BN236:BV236"/>
    <mergeCell ref="AN236:AO236"/>
    <mergeCell ref="AP236:AQ236"/>
    <mergeCell ref="AR236:AS236"/>
    <mergeCell ref="AT236:AU236"/>
    <mergeCell ref="AV236:AW236"/>
    <mergeCell ref="AX236:AZ236"/>
    <mergeCell ref="BA236:BB236"/>
    <mergeCell ref="B236:C236"/>
    <mergeCell ref="D236:E236"/>
    <mergeCell ref="F236:G236"/>
    <mergeCell ref="H236:I236"/>
    <mergeCell ref="P236:Q236"/>
    <mergeCell ref="R236:S236"/>
    <mergeCell ref="T236:U236"/>
    <mergeCell ref="B237:C237"/>
    <mergeCell ref="D237:E237"/>
    <mergeCell ref="F237:G237"/>
    <mergeCell ref="H237:I237"/>
    <mergeCell ref="J237:K237"/>
    <mergeCell ref="L237:M237"/>
    <mergeCell ref="P237:Q237"/>
    <mergeCell ref="AX237:AZ237"/>
    <mergeCell ref="BA237:BB237"/>
    <mergeCell ref="BD237:BE237"/>
    <mergeCell ref="BF237:BI237"/>
    <mergeCell ref="BJ237:BM237"/>
    <mergeCell ref="BN237:BV237"/>
    <mergeCell ref="AN237:AO237"/>
    <mergeCell ref="AP237:AQ237"/>
    <mergeCell ref="AR237:AS237"/>
    <mergeCell ref="AT237:AU237"/>
    <mergeCell ref="AV237:AW237"/>
    <mergeCell ref="R237:S237"/>
    <mergeCell ref="T237:U237"/>
    <mergeCell ref="V237:W237"/>
    <mergeCell ref="X237:AA237"/>
    <mergeCell ref="AB237:AE237"/>
    <mergeCell ref="AF237:AG237"/>
    <mergeCell ref="AH237:AI237"/>
    <mergeCell ref="AJ237:AK237"/>
    <mergeCell ref="AL237:AM237"/>
    <mergeCell ref="V234:W234"/>
    <mergeCell ref="X234:AA234"/>
    <mergeCell ref="AB234:AE234"/>
    <mergeCell ref="AF234:AG234"/>
    <mergeCell ref="AH234:AI234"/>
    <mergeCell ref="AJ234:AK234"/>
    <mergeCell ref="AL234:AM234"/>
    <mergeCell ref="BD234:BE234"/>
    <mergeCell ref="BF234:BI234"/>
    <mergeCell ref="BJ234:BM234"/>
    <mergeCell ref="BN234:BV234"/>
    <mergeCell ref="AN234:AO234"/>
    <mergeCell ref="AP234:AQ234"/>
    <mergeCell ref="AR234:AS234"/>
    <mergeCell ref="AT234:AU234"/>
    <mergeCell ref="AV234:AW234"/>
    <mergeCell ref="AX234:AZ234"/>
    <mergeCell ref="BA234:BB234"/>
    <mergeCell ref="B234:C234"/>
    <mergeCell ref="D234:E234"/>
    <mergeCell ref="F234:G234"/>
    <mergeCell ref="H234:I234"/>
    <mergeCell ref="P234:Q234"/>
    <mergeCell ref="R234:S234"/>
    <mergeCell ref="T234:U234"/>
    <mergeCell ref="B235:C235"/>
    <mergeCell ref="D235:E235"/>
    <mergeCell ref="F235:G235"/>
    <mergeCell ref="H235:I235"/>
    <mergeCell ref="J235:K235"/>
    <mergeCell ref="L235:M235"/>
    <mergeCell ref="P235:Q235"/>
    <mergeCell ref="AX235:AZ235"/>
    <mergeCell ref="BA235:BB235"/>
    <mergeCell ref="BD235:BE235"/>
    <mergeCell ref="BF235:BI235"/>
    <mergeCell ref="BJ235:BM235"/>
    <mergeCell ref="BN235:BV235"/>
    <mergeCell ref="AN235:AO235"/>
    <mergeCell ref="AP235:AQ235"/>
    <mergeCell ref="AR235:AS235"/>
    <mergeCell ref="AT235:AU235"/>
    <mergeCell ref="AV235:AW235"/>
    <mergeCell ref="R235:S235"/>
    <mergeCell ref="T235:U235"/>
    <mergeCell ref="V235:W235"/>
    <mergeCell ref="X235:AA235"/>
    <mergeCell ref="AB235:AE235"/>
    <mergeCell ref="AF235:AG235"/>
    <mergeCell ref="AH235:AI235"/>
    <mergeCell ref="AJ235:AK235"/>
    <mergeCell ref="AL235:AM235"/>
    <mergeCell ref="AV226:AW226"/>
    <mergeCell ref="AX226:AZ226"/>
    <mergeCell ref="BA226:BB226"/>
    <mergeCell ref="BD226:BE226"/>
    <mergeCell ref="BF226:BI226"/>
    <mergeCell ref="AN224:AO224"/>
    <mergeCell ref="AP224:AQ224"/>
    <mergeCell ref="V224:W224"/>
    <mergeCell ref="X224:AA224"/>
    <mergeCell ref="AB224:AE224"/>
    <mergeCell ref="AF224:AG224"/>
    <mergeCell ref="AH224:AI224"/>
    <mergeCell ref="AJ224:AK224"/>
    <mergeCell ref="AL224:AM224"/>
    <mergeCell ref="R225:S225"/>
    <mergeCell ref="T225:U225"/>
    <mergeCell ref="V225:W225"/>
    <mergeCell ref="X225:AA225"/>
    <mergeCell ref="AB225:AE225"/>
    <mergeCell ref="AF225:AG225"/>
    <mergeCell ref="AH225:AI225"/>
    <mergeCell ref="AX225:AZ225"/>
    <mergeCell ref="BA225:BB225"/>
    <mergeCell ref="BD225:BE225"/>
    <mergeCell ref="BF225:BI225"/>
    <mergeCell ref="BJ225:BM225"/>
    <mergeCell ref="BN225:BV225"/>
    <mergeCell ref="B225:C225"/>
    <mergeCell ref="D225:E225"/>
    <mergeCell ref="F225:G225"/>
    <mergeCell ref="H225:I225"/>
    <mergeCell ref="J225:K225"/>
    <mergeCell ref="L225:M225"/>
    <mergeCell ref="P225:Q225"/>
    <mergeCell ref="B226:C226"/>
    <mergeCell ref="D226:E226"/>
    <mergeCell ref="F226:G226"/>
    <mergeCell ref="H226:I226"/>
    <mergeCell ref="P226:Q226"/>
    <mergeCell ref="R226:S226"/>
    <mergeCell ref="T226:U226"/>
    <mergeCell ref="AJ225:AK225"/>
    <mergeCell ref="AL225:AM225"/>
    <mergeCell ref="AN225:AO225"/>
    <mergeCell ref="AP225:AQ225"/>
    <mergeCell ref="AR225:AS225"/>
    <mergeCell ref="AT225:AU225"/>
    <mergeCell ref="AV225:AW225"/>
    <mergeCell ref="AN226:AO226"/>
    <mergeCell ref="AP226:AQ226"/>
    <mergeCell ref="V226:W226"/>
    <mergeCell ref="X226:AA226"/>
    <mergeCell ref="AB226:AE226"/>
    <mergeCell ref="AF226:AG226"/>
    <mergeCell ref="AH226:AI226"/>
    <mergeCell ref="AJ226:AK226"/>
    <mergeCell ref="AL226:AM226"/>
    <mergeCell ref="BN224:BV224"/>
    <mergeCell ref="AR224:AS224"/>
    <mergeCell ref="AT224:AU224"/>
    <mergeCell ref="R223:S223"/>
    <mergeCell ref="T223:U223"/>
    <mergeCell ref="V223:W223"/>
    <mergeCell ref="X223:AA223"/>
    <mergeCell ref="AB223:AE223"/>
    <mergeCell ref="AF223:AG223"/>
    <mergeCell ref="AH223:AI223"/>
    <mergeCell ref="AX223:AZ223"/>
    <mergeCell ref="BA223:BB223"/>
    <mergeCell ref="BD223:BE223"/>
    <mergeCell ref="BF223:BI223"/>
    <mergeCell ref="BJ223:BM223"/>
    <mergeCell ref="BN223:BV223"/>
    <mergeCell ref="B223:C223"/>
    <mergeCell ref="D223:E223"/>
    <mergeCell ref="F223:G223"/>
    <mergeCell ref="H223:I223"/>
    <mergeCell ref="J223:K223"/>
    <mergeCell ref="L223:M223"/>
    <mergeCell ref="P223:Q223"/>
    <mergeCell ref="B224:C224"/>
    <mergeCell ref="D224:E224"/>
    <mergeCell ref="F224:G224"/>
    <mergeCell ref="H224:I224"/>
    <mergeCell ref="P224:Q224"/>
    <mergeCell ref="R224:S224"/>
    <mergeCell ref="T224:U224"/>
    <mergeCell ref="AJ223:AK223"/>
    <mergeCell ref="AL223:AM223"/>
    <mergeCell ref="AN223:AO223"/>
    <mergeCell ref="AP223:AQ223"/>
    <mergeCell ref="AR223:AS223"/>
    <mergeCell ref="AT223:AU223"/>
    <mergeCell ref="AV223:AW223"/>
    <mergeCell ref="R221:S221"/>
    <mergeCell ref="T221:U221"/>
    <mergeCell ref="V221:W221"/>
    <mergeCell ref="X221:AA221"/>
    <mergeCell ref="AB221:AE221"/>
    <mergeCell ref="AF221:AG221"/>
    <mergeCell ref="AH221:AI221"/>
    <mergeCell ref="AX221:AZ221"/>
    <mergeCell ref="BA221:BB221"/>
    <mergeCell ref="BD221:BE221"/>
    <mergeCell ref="BF221:BI221"/>
    <mergeCell ref="BJ221:BM221"/>
    <mergeCell ref="BN221:BV221"/>
    <mergeCell ref="B221:C221"/>
    <mergeCell ref="D221:E221"/>
    <mergeCell ref="F221:G221"/>
    <mergeCell ref="H221:I221"/>
    <mergeCell ref="J221:K221"/>
    <mergeCell ref="L221:M221"/>
    <mergeCell ref="P221:Q221"/>
    <mergeCell ref="B222:C222"/>
    <mergeCell ref="D222:E222"/>
    <mergeCell ref="F222:G222"/>
    <mergeCell ref="H222:I222"/>
    <mergeCell ref="P222:Q222"/>
    <mergeCell ref="R222:S222"/>
    <mergeCell ref="T222:U222"/>
    <mergeCell ref="AJ221:AK221"/>
    <mergeCell ref="AL221:AM221"/>
    <mergeCell ref="AN221:AO221"/>
    <mergeCell ref="AP221:AQ221"/>
    <mergeCell ref="AR221:AS221"/>
    <mergeCell ref="AT221:AU221"/>
    <mergeCell ref="AV221:AW221"/>
    <mergeCell ref="AN222:AO222"/>
    <mergeCell ref="AP222:AQ222"/>
    <mergeCell ref="V222:W222"/>
    <mergeCell ref="X222:AA222"/>
    <mergeCell ref="AB222:AE222"/>
    <mergeCell ref="AF222:AG222"/>
    <mergeCell ref="AH222:AI222"/>
    <mergeCell ref="AJ222:AK222"/>
    <mergeCell ref="AL222:AM222"/>
    <mergeCell ref="R219:S219"/>
    <mergeCell ref="T219:U219"/>
    <mergeCell ref="V219:W219"/>
    <mergeCell ref="X219:AA219"/>
    <mergeCell ref="AB219:AE219"/>
    <mergeCell ref="AF219:AG219"/>
    <mergeCell ref="AH219:AI219"/>
    <mergeCell ref="AX219:AZ219"/>
    <mergeCell ref="BA219:BB219"/>
    <mergeCell ref="BD219:BE219"/>
    <mergeCell ref="BF219:BI219"/>
    <mergeCell ref="BJ219:BM219"/>
    <mergeCell ref="BN219:BV219"/>
    <mergeCell ref="B219:C219"/>
    <mergeCell ref="D219:E219"/>
    <mergeCell ref="F219:G219"/>
    <mergeCell ref="H219:I219"/>
    <mergeCell ref="J219:K219"/>
    <mergeCell ref="L219:M219"/>
    <mergeCell ref="P219:Q219"/>
    <mergeCell ref="B220:C220"/>
    <mergeCell ref="D220:E220"/>
    <mergeCell ref="F220:G220"/>
    <mergeCell ref="H220:I220"/>
    <mergeCell ref="P220:Q220"/>
    <mergeCell ref="R220:S220"/>
    <mergeCell ref="T220:U220"/>
    <mergeCell ref="AJ219:AK219"/>
    <mergeCell ref="AL219:AM219"/>
    <mergeCell ref="AN219:AO219"/>
    <mergeCell ref="AP219:AQ219"/>
    <mergeCell ref="AR219:AS219"/>
    <mergeCell ref="AT219:AU219"/>
    <mergeCell ref="AV219:AW219"/>
    <mergeCell ref="AN220:AO220"/>
    <mergeCell ref="AP220:AQ220"/>
    <mergeCell ref="V220:W220"/>
    <mergeCell ref="X220:AA220"/>
    <mergeCell ref="AB220:AE220"/>
    <mergeCell ref="AF220:AG220"/>
    <mergeCell ref="AH220:AI220"/>
    <mergeCell ref="AJ220:AK220"/>
    <mergeCell ref="AL220:AM220"/>
    <mergeCell ref="R217:S217"/>
    <mergeCell ref="T217:U217"/>
    <mergeCell ref="V217:W217"/>
    <mergeCell ref="X217:AA217"/>
    <mergeCell ref="AB217:AE217"/>
    <mergeCell ref="AF217:AG217"/>
    <mergeCell ref="AH217:AI217"/>
    <mergeCell ref="AX217:AZ217"/>
    <mergeCell ref="BA217:BB217"/>
    <mergeCell ref="BD217:BE217"/>
    <mergeCell ref="BF217:BI217"/>
    <mergeCell ref="BJ217:BM217"/>
    <mergeCell ref="BN217:BV217"/>
    <mergeCell ref="B217:C217"/>
    <mergeCell ref="D217:E217"/>
    <mergeCell ref="F217:G217"/>
    <mergeCell ref="H217:I217"/>
    <mergeCell ref="J217:K217"/>
    <mergeCell ref="L217:M217"/>
    <mergeCell ref="P217:Q217"/>
    <mergeCell ref="B218:C218"/>
    <mergeCell ref="D218:E218"/>
    <mergeCell ref="F218:G218"/>
    <mergeCell ref="H218:I218"/>
    <mergeCell ref="P218:Q218"/>
    <mergeCell ref="R218:S218"/>
    <mergeCell ref="T218:U218"/>
    <mergeCell ref="AJ217:AK217"/>
    <mergeCell ref="AL217:AM217"/>
    <mergeCell ref="AN217:AO217"/>
    <mergeCell ref="AP217:AQ217"/>
    <mergeCell ref="AR217:AS217"/>
    <mergeCell ref="AT217:AU217"/>
    <mergeCell ref="AV217:AW217"/>
    <mergeCell ref="AN218:AO218"/>
    <mergeCell ref="AP218:AQ218"/>
    <mergeCell ref="V218:W218"/>
    <mergeCell ref="X218:AA218"/>
    <mergeCell ref="AB218:AE218"/>
    <mergeCell ref="AF218:AG218"/>
    <mergeCell ref="AH218:AI218"/>
    <mergeCell ref="AJ218:AK218"/>
    <mergeCell ref="AL218:AM218"/>
    <mergeCell ref="R215:S215"/>
    <mergeCell ref="T215:U215"/>
    <mergeCell ref="V215:W215"/>
    <mergeCell ref="X215:AA215"/>
    <mergeCell ref="AB215:AE215"/>
    <mergeCell ref="AF215:AG215"/>
    <mergeCell ref="AH215:AI215"/>
    <mergeCell ref="AX215:AZ215"/>
    <mergeCell ref="BA215:BB215"/>
    <mergeCell ref="BD215:BE215"/>
    <mergeCell ref="BF215:BI215"/>
    <mergeCell ref="BJ215:BM215"/>
    <mergeCell ref="BN215:BV215"/>
    <mergeCell ref="B215:C215"/>
    <mergeCell ref="D215:E215"/>
    <mergeCell ref="F215:G215"/>
    <mergeCell ref="H215:I215"/>
    <mergeCell ref="J215:K215"/>
    <mergeCell ref="L215:M215"/>
    <mergeCell ref="P215:Q215"/>
    <mergeCell ref="B216:C216"/>
    <mergeCell ref="D216:E216"/>
    <mergeCell ref="F216:G216"/>
    <mergeCell ref="H216:I216"/>
    <mergeCell ref="P216:Q216"/>
    <mergeCell ref="R216:S216"/>
    <mergeCell ref="T216:U216"/>
    <mergeCell ref="AJ215:AK215"/>
    <mergeCell ref="AL215:AM215"/>
    <mergeCell ref="AN215:AO215"/>
    <mergeCell ref="AP215:AQ215"/>
    <mergeCell ref="AR215:AS215"/>
    <mergeCell ref="AT215:AU215"/>
    <mergeCell ref="AV215:AW215"/>
    <mergeCell ref="AN216:AO216"/>
    <mergeCell ref="AP216:AQ216"/>
    <mergeCell ref="V216:W216"/>
    <mergeCell ref="X216:AA216"/>
    <mergeCell ref="AB216:AE216"/>
    <mergeCell ref="AF216:AG216"/>
    <mergeCell ref="AH216:AI216"/>
    <mergeCell ref="AJ216:AK216"/>
    <mergeCell ref="AL216:AM216"/>
    <mergeCell ref="AN228:AO228"/>
    <mergeCell ref="AP228:AQ228"/>
    <mergeCell ref="V228:W228"/>
    <mergeCell ref="X228:AA228"/>
    <mergeCell ref="AB228:AE228"/>
    <mergeCell ref="AF228:AG228"/>
    <mergeCell ref="AH228:AI228"/>
    <mergeCell ref="AJ228:AK228"/>
    <mergeCell ref="AL228:AM228"/>
    <mergeCell ref="BJ216:BM216"/>
    <mergeCell ref="BN216:BV216"/>
    <mergeCell ref="AR216:AS216"/>
    <mergeCell ref="AT216:AU216"/>
    <mergeCell ref="AV216:AW216"/>
    <mergeCell ref="AX216:AZ216"/>
    <mergeCell ref="BA216:BB216"/>
    <mergeCell ref="BD216:BE216"/>
    <mergeCell ref="BF216:BI216"/>
    <mergeCell ref="AN214:AO214"/>
    <mergeCell ref="AP214:AQ214"/>
    <mergeCell ref="V214:W214"/>
    <mergeCell ref="X214:AA214"/>
    <mergeCell ref="AB214:AE214"/>
    <mergeCell ref="AF214:AG214"/>
    <mergeCell ref="AH214:AI214"/>
    <mergeCell ref="AJ214:AK214"/>
    <mergeCell ref="AL214:AM214"/>
    <mergeCell ref="BJ218:BM218"/>
    <mergeCell ref="BN218:BV218"/>
    <mergeCell ref="AR218:AS218"/>
    <mergeCell ref="AT218:AU218"/>
    <mergeCell ref="AV218:AW218"/>
    <mergeCell ref="AX218:AZ218"/>
    <mergeCell ref="BA218:BB218"/>
    <mergeCell ref="BD218:BE218"/>
    <mergeCell ref="BF218:BI218"/>
    <mergeCell ref="BJ220:BM220"/>
    <mergeCell ref="BN220:BV220"/>
    <mergeCell ref="AR220:AS220"/>
    <mergeCell ref="AT220:AU220"/>
    <mergeCell ref="AV220:AW220"/>
    <mergeCell ref="AX220:AZ220"/>
    <mergeCell ref="BA220:BB220"/>
    <mergeCell ref="BD220:BE220"/>
    <mergeCell ref="BF220:BI220"/>
    <mergeCell ref="BJ222:BM222"/>
    <mergeCell ref="BN222:BV222"/>
    <mergeCell ref="AR222:AS222"/>
    <mergeCell ref="AT222:AU222"/>
    <mergeCell ref="AV222:AW222"/>
    <mergeCell ref="AX222:AZ222"/>
    <mergeCell ref="BA222:BB222"/>
    <mergeCell ref="BD222:BE222"/>
    <mergeCell ref="BF222:BI222"/>
    <mergeCell ref="BJ224:BM224"/>
    <mergeCell ref="AV224:AW224"/>
    <mergeCell ref="AX224:AZ224"/>
    <mergeCell ref="BA224:BB224"/>
    <mergeCell ref="BD224:BE224"/>
    <mergeCell ref="BF224:BI224"/>
    <mergeCell ref="BJ226:BM226"/>
    <mergeCell ref="BN226:BV226"/>
    <mergeCell ref="AR226:AS226"/>
    <mergeCell ref="AT226:AU226"/>
    <mergeCell ref="B206:C206"/>
    <mergeCell ref="D206:E206"/>
    <mergeCell ref="F206:G206"/>
    <mergeCell ref="H206:I206"/>
    <mergeCell ref="J206:K206"/>
    <mergeCell ref="L206:M206"/>
    <mergeCell ref="P206:Q206"/>
    <mergeCell ref="AX207:AZ207"/>
    <mergeCell ref="BA207:BB207"/>
    <mergeCell ref="BD207:BE207"/>
    <mergeCell ref="BF207:BI207"/>
    <mergeCell ref="BJ207:BM207"/>
    <mergeCell ref="BN207:BV207"/>
    <mergeCell ref="BJ208:BM208"/>
    <mergeCell ref="BN208:BV208"/>
    <mergeCell ref="B208:C208"/>
    <mergeCell ref="D208:E208"/>
    <mergeCell ref="F208:G208"/>
    <mergeCell ref="H208:I208"/>
    <mergeCell ref="J208:K208"/>
    <mergeCell ref="L208:M208"/>
    <mergeCell ref="P208:Q208"/>
    <mergeCell ref="AJ207:AK207"/>
    <mergeCell ref="AL207:AM207"/>
    <mergeCell ref="AN207:AO207"/>
    <mergeCell ref="AP207:AQ207"/>
    <mergeCell ref="AR207:AS207"/>
    <mergeCell ref="AT207:AU207"/>
    <mergeCell ref="AV207:AW207"/>
    <mergeCell ref="R207:S207"/>
    <mergeCell ref="T207:U207"/>
    <mergeCell ref="V207:W207"/>
    <mergeCell ref="X207:AA207"/>
    <mergeCell ref="AB207:AE207"/>
    <mergeCell ref="AF207:AG207"/>
    <mergeCell ref="AH207:AI207"/>
    <mergeCell ref="B207:C207"/>
    <mergeCell ref="D207:E207"/>
    <mergeCell ref="F207:G207"/>
    <mergeCell ref="H207:I207"/>
    <mergeCell ref="J207:K207"/>
    <mergeCell ref="L207:M207"/>
    <mergeCell ref="P207:Q207"/>
    <mergeCell ref="BD208:BE208"/>
    <mergeCell ref="BF208:BI208"/>
    <mergeCell ref="AN208:AO208"/>
    <mergeCell ref="AP208:AQ208"/>
    <mergeCell ref="AR208:AS208"/>
    <mergeCell ref="AT208:AU208"/>
    <mergeCell ref="AV208:AW208"/>
    <mergeCell ref="AX208:AZ208"/>
    <mergeCell ref="BA208:BB208"/>
    <mergeCell ref="R206:S206"/>
    <mergeCell ref="T206:U206"/>
    <mergeCell ref="V206:W206"/>
    <mergeCell ref="BF206:BI206"/>
    <mergeCell ref="BD205:BE205"/>
    <mergeCell ref="BF205:BI205"/>
    <mergeCell ref="AN205:AO205"/>
    <mergeCell ref="AP205:AQ205"/>
    <mergeCell ref="AR205:AS205"/>
    <mergeCell ref="AT205:AU205"/>
    <mergeCell ref="AV205:AW205"/>
    <mergeCell ref="AX205:AZ205"/>
    <mergeCell ref="BA205:BB205"/>
    <mergeCell ref="AJ203:AK203"/>
    <mergeCell ref="AL203:AM203"/>
    <mergeCell ref="R203:S203"/>
    <mergeCell ref="T203:U203"/>
    <mergeCell ref="V203:W203"/>
    <mergeCell ref="X203:AA203"/>
    <mergeCell ref="AB203:AE203"/>
    <mergeCell ref="AF203:AG203"/>
    <mergeCell ref="AH203:AI203"/>
    <mergeCell ref="R204:S204"/>
    <mergeCell ref="T204:U204"/>
    <mergeCell ref="V204:W204"/>
    <mergeCell ref="X204:AA204"/>
    <mergeCell ref="AB204:AE204"/>
    <mergeCell ref="AF204:AG204"/>
    <mergeCell ref="AH204:AI204"/>
    <mergeCell ref="AX204:AZ204"/>
    <mergeCell ref="BA204:BB204"/>
    <mergeCell ref="BD204:BE204"/>
    <mergeCell ref="BF204:BI204"/>
    <mergeCell ref="BJ206:BM206"/>
    <mergeCell ref="BN206:BV206"/>
    <mergeCell ref="AJ206:AK206"/>
    <mergeCell ref="AL206:AM206"/>
    <mergeCell ref="AN206:AO206"/>
    <mergeCell ref="AP206:AQ206"/>
    <mergeCell ref="AR206:AS206"/>
    <mergeCell ref="AT206:AU206"/>
    <mergeCell ref="AV206:AW206"/>
    <mergeCell ref="BJ204:BM204"/>
    <mergeCell ref="BN204:BV204"/>
    <mergeCell ref="B204:C204"/>
    <mergeCell ref="D204:E204"/>
    <mergeCell ref="F204:G204"/>
    <mergeCell ref="H204:I204"/>
    <mergeCell ref="J204:K204"/>
    <mergeCell ref="L204:M204"/>
    <mergeCell ref="P204:Q204"/>
    <mergeCell ref="AJ204:AK204"/>
    <mergeCell ref="AL204:AM204"/>
    <mergeCell ref="AN204:AO204"/>
    <mergeCell ref="AP204:AQ204"/>
    <mergeCell ref="AR204:AS204"/>
    <mergeCell ref="AT204:AU204"/>
    <mergeCell ref="AV204:AW204"/>
    <mergeCell ref="B205:C205"/>
    <mergeCell ref="D205:E205"/>
    <mergeCell ref="F205:G205"/>
    <mergeCell ref="H205:I205"/>
    <mergeCell ref="J205:K205"/>
    <mergeCell ref="L205:M205"/>
    <mergeCell ref="P205:Q205"/>
    <mergeCell ref="BJ209:BM209"/>
    <mergeCell ref="BN209:BV209"/>
    <mergeCell ref="B209:C209"/>
    <mergeCell ref="D209:E209"/>
    <mergeCell ref="F209:G209"/>
    <mergeCell ref="H209:I209"/>
    <mergeCell ref="J209:K209"/>
    <mergeCell ref="L209:M209"/>
    <mergeCell ref="P209:Q209"/>
    <mergeCell ref="B210:C210"/>
    <mergeCell ref="D210:E210"/>
    <mergeCell ref="F210:G210"/>
    <mergeCell ref="H210:I210"/>
    <mergeCell ref="P210:Q210"/>
    <mergeCell ref="R210:S210"/>
    <mergeCell ref="T210:U210"/>
    <mergeCell ref="AJ209:AK209"/>
    <mergeCell ref="AL209:AM209"/>
    <mergeCell ref="AN209:AO209"/>
    <mergeCell ref="AP209:AQ209"/>
    <mergeCell ref="AR209:AS209"/>
    <mergeCell ref="AT209:AU209"/>
    <mergeCell ref="AV209:AW209"/>
    <mergeCell ref="AJ205:AK205"/>
    <mergeCell ref="AL205:AM205"/>
    <mergeCell ref="BJ205:BM205"/>
    <mergeCell ref="BN205:BV205"/>
    <mergeCell ref="R205:S205"/>
    <mergeCell ref="T205:U205"/>
    <mergeCell ref="V205:W205"/>
    <mergeCell ref="X205:AA205"/>
    <mergeCell ref="AB205:AE205"/>
    <mergeCell ref="AF205:AG205"/>
    <mergeCell ref="AH205:AI205"/>
    <mergeCell ref="X206:AA206"/>
    <mergeCell ref="AB206:AE206"/>
    <mergeCell ref="AF206:AG206"/>
    <mergeCell ref="AH206:AI206"/>
    <mergeCell ref="AX206:AZ206"/>
    <mergeCell ref="BA206:BB206"/>
    <mergeCell ref="BD206:BE206"/>
    <mergeCell ref="BJ212:BM212"/>
    <mergeCell ref="BN212:BV212"/>
    <mergeCell ref="AR212:AS212"/>
    <mergeCell ref="AT212:AU212"/>
    <mergeCell ref="AV212:AW212"/>
    <mergeCell ref="AX212:AZ212"/>
    <mergeCell ref="BA212:BB212"/>
    <mergeCell ref="BD212:BE212"/>
    <mergeCell ref="BF212:BI212"/>
    <mergeCell ref="AN210:AO210"/>
    <mergeCell ref="AP210:AQ210"/>
    <mergeCell ref="V210:W210"/>
    <mergeCell ref="X210:AA210"/>
    <mergeCell ref="AB210:AE210"/>
    <mergeCell ref="AF210:AG210"/>
    <mergeCell ref="AH210:AI210"/>
    <mergeCell ref="AJ210:AK210"/>
    <mergeCell ref="AL210:AM210"/>
    <mergeCell ref="R211:S211"/>
    <mergeCell ref="T211:U211"/>
    <mergeCell ref="V211:W211"/>
    <mergeCell ref="X211:AA211"/>
    <mergeCell ref="AB211:AE211"/>
    <mergeCell ref="AF211:AG211"/>
    <mergeCell ref="AH211:AI211"/>
    <mergeCell ref="AX211:AZ211"/>
    <mergeCell ref="BA211:BB211"/>
    <mergeCell ref="BD211:BE211"/>
    <mergeCell ref="BF211:BI211"/>
    <mergeCell ref="BJ211:BM211"/>
    <mergeCell ref="BN211:BV211"/>
    <mergeCell ref="B211:C211"/>
    <mergeCell ref="D211:E211"/>
    <mergeCell ref="F211:G211"/>
    <mergeCell ref="H211:I211"/>
    <mergeCell ref="J211:K211"/>
    <mergeCell ref="L211:M211"/>
    <mergeCell ref="P211:Q211"/>
    <mergeCell ref="B212:C212"/>
    <mergeCell ref="D212:E212"/>
    <mergeCell ref="F212:G212"/>
    <mergeCell ref="BJ210:BM210"/>
    <mergeCell ref="BN210:BV210"/>
    <mergeCell ref="AR210:AS210"/>
    <mergeCell ref="AT210:AU210"/>
    <mergeCell ref="AV210:AW210"/>
    <mergeCell ref="AX210:AZ210"/>
    <mergeCell ref="BA210:BB210"/>
    <mergeCell ref="BD210:BE210"/>
    <mergeCell ref="BF210:BI210"/>
    <mergeCell ref="D214:E214"/>
    <mergeCell ref="F214:G214"/>
    <mergeCell ref="H214:I214"/>
    <mergeCell ref="P214:Q214"/>
    <mergeCell ref="R214:S214"/>
    <mergeCell ref="T214:U214"/>
    <mergeCell ref="AJ213:AK213"/>
    <mergeCell ref="AL213:AM213"/>
    <mergeCell ref="AN213:AO213"/>
    <mergeCell ref="AP213:AQ213"/>
    <mergeCell ref="AR213:AS213"/>
    <mergeCell ref="AT213:AU213"/>
    <mergeCell ref="AV213:AW213"/>
    <mergeCell ref="AJ208:AK208"/>
    <mergeCell ref="AL208:AM208"/>
    <mergeCell ref="R208:S208"/>
    <mergeCell ref="T208:U208"/>
    <mergeCell ref="V208:W208"/>
    <mergeCell ref="X208:AA208"/>
    <mergeCell ref="AB208:AE208"/>
    <mergeCell ref="AF208:AG208"/>
    <mergeCell ref="AH208:AI208"/>
    <mergeCell ref="R209:S209"/>
    <mergeCell ref="T209:U209"/>
    <mergeCell ref="V209:W209"/>
    <mergeCell ref="X209:AA209"/>
    <mergeCell ref="AB209:AE209"/>
    <mergeCell ref="AF209:AG209"/>
    <mergeCell ref="AH209:AI209"/>
    <mergeCell ref="AX209:AZ209"/>
    <mergeCell ref="BA209:BB209"/>
    <mergeCell ref="BD209:BE209"/>
    <mergeCell ref="BF209:BI209"/>
    <mergeCell ref="H212:I212"/>
    <mergeCell ref="P212:Q212"/>
    <mergeCell ref="R212:S212"/>
    <mergeCell ref="T212:U212"/>
    <mergeCell ref="AJ211:AK211"/>
    <mergeCell ref="AL211:AM211"/>
    <mergeCell ref="AN211:AO211"/>
    <mergeCell ref="AP211:AQ211"/>
    <mergeCell ref="AR211:AS211"/>
    <mergeCell ref="AT211:AU211"/>
    <mergeCell ref="AV211:AW211"/>
    <mergeCell ref="BJ202:BM202"/>
    <mergeCell ref="BN202:BV202"/>
    <mergeCell ref="BJ203:BM203"/>
    <mergeCell ref="BN203:BV203"/>
    <mergeCell ref="B202:C202"/>
    <mergeCell ref="D202:E202"/>
    <mergeCell ref="F202:G202"/>
    <mergeCell ref="H202:I202"/>
    <mergeCell ref="J202:K202"/>
    <mergeCell ref="L202:M202"/>
    <mergeCell ref="P202:Q202"/>
    <mergeCell ref="B203:C203"/>
    <mergeCell ref="D203:E203"/>
    <mergeCell ref="F203:G203"/>
    <mergeCell ref="H203:I203"/>
    <mergeCell ref="J203:K203"/>
    <mergeCell ref="L203:M203"/>
    <mergeCell ref="P203:Q203"/>
    <mergeCell ref="AJ202:AK202"/>
    <mergeCell ref="AL202:AM202"/>
    <mergeCell ref="AN202:AO202"/>
    <mergeCell ref="AP202:AQ202"/>
    <mergeCell ref="AR202:AS202"/>
    <mergeCell ref="AT202:AU202"/>
    <mergeCell ref="AV202:AW202"/>
    <mergeCell ref="BJ214:BM214"/>
    <mergeCell ref="BN214:BV214"/>
    <mergeCell ref="AR214:AS214"/>
    <mergeCell ref="AT214:AU214"/>
    <mergeCell ref="AV214:AW214"/>
    <mergeCell ref="AX214:AZ214"/>
    <mergeCell ref="BA214:BB214"/>
    <mergeCell ref="BD214:BE214"/>
    <mergeCell ref="BF214:BI214"/>
    <mergeCell ref="AN212:AO212"/>
    <mergeCell ref="AP212:AQ212"/>
    <mergeCell ref="V212:W212"/>
    <mergeCell ref="X212:AA212"/>
    <mergeCell ref="AB212:AE212"/>
    <mergeCell ref="AF212:AG212"/>
    <mergeCell ref="AH212:AI212"/>
    <mergeCell ref="AJ212:AK212"/>
    <mergeCell ref="AL212:AM212"/>
    <mergeCell ref="R213:S213"/>
    <mergeCell ref="T213:U213"/>
    <mergeCell ref="V213:W213"/>
    <mergeCell ref="X213:AA213"/>
    <mergeCell ref="AB213:AE213"/>
    <mergeCell ref="AF213:AG213"/>
    <mergeCell ref="AH213:AI213"/>
    <mergeCell ref="AX213:AZ213"/>
    <mergeCell ref="BA213:BB213"/>
    <mergeCell ref="BD213:BE213"/>
    <mergeCell ref="BF213:BI213"/>
    <mergeCell ref="BJ213:BM213"/>
    <mergeCell ref="BN213:BV213"/>
    <mergeCell ref="B213:C213"/>
    <mergeCell ref="D213:E213"/>
    <mergeCell ref="F213:G213"/>
    <mergeCell ref="H213:I213"/>
    <mergeCell ref="J213:K213"/>
    <mergeCell ref="L213:M213"/>
    <mergeCell ref="P213:Q213"/>
    <mergeCell ref="B214:C214"/>
    <mergeCell ref="P200:Q200"/>
    <mergeCell ref="B201:C201"/>
    <mergeCell ref="D201:E201"/>
    <mergeCell ref="F201:G201"/>
    <mergeCell ref="H201:I201"/>
    <mergeCell ref="J201:K201"/>
    <mergeCell ref="L201:M201"/>
    <mergeCell ref="P201:Q201"/>
    <mergeCell ref="AJ200:AK200"/>
    <mergeCell ref="AL200:AM200"/>
    <mergeCell ref="AN200:AO200"/>
    <mergeCell ref="AP200:AQ200"/>
    <mergeCell ref="AR200:AS200"/>
    <mergeCell ref="AT200:AU200"/>
    <mergeCell ref="AV200:AW200"/>
    <mergeCell ref="BD203:BE203"/>
    <mergeCell ref="BF203:BI203"/>
    <mergeCell ref="AN203:AO203"/>
    <mergeCell ref="AP203:AQ203"/>
    <mergeCell ref="AR203:AS203"/>
    <mergeCell ref="AT203:AU203"/>
    <mergeCell ref="AV203:AW203"/>
    <mergeCell ref="AX203:AZ203"/>
    <mergeCell ref="BA203:BB203"/>
    <mergeCell ref="AJ201:AK201"/>
    <mergeCell ref="AL201:AM201"/>
    <mergeCell ref="R201:S201"/>
    <mergeCell ref="T201:U201"/>
    <mergeCell ref="V201:W201"/>
    <mergeCell ref="X201:AA201"/>
    <mergeCell ref="AB201:AE201"/>
    <mergeCell ref="AF201:AG201"/>
    <mergeCell ref="AH201:AI201"/>
    <mergeCell ref="R202:S202"/>
    <mergeCell ref="T202:U202"/>
    <mergeCell ref="V202:W202"/>
    <mergeCell ref="X202:AA202"/>
    <mergeCell ref="AB202:AE202"/>
    <mergeCell ref="AF202:AG202"/>
    <mergeCell ref="AH202:AI202"/>
    <mergeCell ref="AX202:AZ202"/>
    <mergeCell ref="BA202:BB202"/>
    <mergeCell ref="BD202:BE202"/>
    <mergeCell ref="BF202:BI202"/>
    <mergeCell ref="BJ198:BM198"/>
    <mergeCell ref="BN198:BV198"/>
    <mergeCell ref="BJ199:BM199"/>
    <mergeCell ref="BN199:BV199"/>
    <mergeCell ref="B198:C198"/>
    <mergeCell ref="D198:E198"/>
    <mergeCell ref="F198:G198"/>
    <mergeCell ref="H198:I198"/>
    <mergeCell ref="J198:K198"/>
    <mergeCell ref="L198:M198"/>
    <mergeCell ref="P198:Q198"/>
    <mergeCell ref="B199:C199"/>
    <mergeCell ref="D199:E199"/>
    <mergeCell ref="F199:G199"/>
    <mergeCell ref="H199:I199"/>
    <mergeCell ref="J199:K199"/>
    <mergeCell ref="L199:M199"/>
    <mergeCell ref="P199:Q199"/>
    <mergeCell ref="AJ198:AK198"/>
    <mergeCell ref="AL198:AM198"/>
    <mergeCell ref="AN198:AO198"/>
    <mergeCell ref="AP198:AQ198"/>
    <mergeCell ref="AR198:AS198"/>
    <mergeCell ref="AT198:AU198"/>
    <mergeCell ref="AV198:AW198"/>
    <mergeCell ref="BD201:BE201"/>
    <mergeCell ref="BF201:BI201"/>
    <mergeCell ref="AN201:AO201"/>
    <mergeCell ref="AP201:AQ201"/>
    <mergeCell ref="AR201:AS201"/>
    <mergeCell ref="AT201:AU201"/>
    <mergeCell ref="AV201:AW201"/>
    <mergeCell ref="AX201:AZ201"/>
    <mergeCell ref="BA201:BB201"/>
    <mergeCell ref="AJ199:AK199"/>
    <mergeCell ref="AL199:AM199"/>
    <mergeCell ref="R199:S199"/>
    <mergeCell ref="T199:U199"/>
    <mergeCell ref="V199:W199"/>
    <mergeCell ref="X199:AA199"/>
    <mergeCell ref="AB199:AE199"/>
    <mergeCell ref="AF199:AG199"/>
    <mergeCell ref="AH199:AI199"/>
    <mergeCell ref="R200:S200"/>
    <mergeCell ref="T200:U200"/>
    <mergeCell ref="V200:W200"/>
    <mergeCell ref="X200:AA200"/>
    <mergeCell ref="AB200:AE200"/>
    <mergeCell ref="AF200:AG200"/>
    <mergeCell ref="AH200:AI200"/>
    <mergeCell ref="AX200:AZ200"/>
    <mergeCell ref="BA200:BB200"/>
    <mergeCell ref="BD200:BE200"/>
    <mergeCell ref="BF200:BI200"/>
    <mergeCell ref="BJ200:BM200"/>
    <mergeCell ref="BN200:BV200"/>
    <mergeCell ref="BJ201:BM201"/>
    <mergeCell ref="BN201:BV201"/>
    <mergeCell ref="B200:C200"/>
    <mergeCell ref="D200:E200"/>
    <mergeCell ref="F200:G200"/>
    <mergeCell ref="H200:I200"/>
    <mergeCell ref="J200:K200"/>
    <mergeCell ref="L200:M200"/>
    <mergeCell ref="F197:G197"/>
    <mergeCell ref="H197:I197"/>
    <mergeCell ref="J197:K197"/>
    <mergeCell ref="L197:M197"/>
    <mergeCell ref="P197:Q197"/>
    <mergeCell ref="AJ196:AK196"/>
    <mergeCell ref="AL196:AM196"/>
    <mergeCell ref="AN196:AO196"/>
    <mergeCell ref="AP196:AQ196"/>
    <mergeCell ref="AR196:AS196"/>
    <mergeCell ref="AT196:AU196"/>
    <mergeCell ref="AV196:AW196"/>
    <mergeCell ref="BD199:BE199"/>
    <mergeCell ref="BF199:BI199"/>
    <mergeCell ref="AN199:AO199"/>
    <mergeCell ref="AP199:AQ199"/>
    <mergeCell ref="AR199:AS199"/>
    <mergeCell ref="AT199:AU199"/>
    <mergeCell ref="AV199:AW199"/>
    <mergeCell ref="AX199:AZ199"/>
    <mergeCell ref="BA199:BB199"/>
    <mergeCell ref="AJ197:AK197"/>
    <mergeCell ref="AL197:AM197"/>
    <mergeCell ref="R197:S197"/>
    <mergeCell ref="T197:U197"/>
    <mergeCell ref="V197:W197"/>
    <mergeCell ref="X197:AA197"/>
    <mergeCell ref="AB197:AE197"/>
    <mergeCell ref="AF197:AG197"/>
    <mergeCell ref="AH197:AI197"/>
    <mergeCell ref="R198:S198"/>
    <mergeCell ref="T198:U198"/>
    <mergeCell ref="V198:W198"/>
    <mergeCell ref="X198:AA198"/>
    <mergeCell ref="AB198:AE198"/>
    <mergeCell ref="AF198:AG198"/>
    <mergeCell ref="AH198:AI198"/>
    <mergeCell ref="AX198:AZ198"/>
    <mergeCell ref="BA198:BB198"/>
    <mergeCell ref="BD198:BE198"/>
    <mergeCell ref="BF198:BI198"/>
    <mergeCell ref="BD197:BE197"/>
    <mergeCell ref="BF197:BI197"/>
    <mergeCell ref="AN197:AO197"/>
    <mergeCell ref="AP197:AQ197"/>
    <mergeCell ref="AR197:AS197"/>
    <mergeCell ref="AT197:AU197"/>
    <mergeCell ref="AV197:AW197"/>
    <mergeCell ref="AX197:AZ197"/>
    <mergeCell ref="BA197:BB197"/>
    <mergeCell ref="R196:S196"/>
    <mergeCell ref="T196:U196"/>
    <mergeCell ref="V196:W196"/>
    <mergeCell ref="X196:AA196"/>
    <mergeCell ref="AB196:AE196"/>
    <mergeCell ref="AF196:AG196"/>
    <mergeCell ref="AH196:AI196"/>
    <mergeCell ref="AX196:AZ196"/>
    <mergeCell ref="BA196:BB196"/>
    <mergeCell ref="BD196:BE196"/>
    <mergeCell ref="BF196:BI196"/>
    <mergeCell ref="BJ196:BM196"/>
    <mergeCell ref="BN196:BV196"/>
    <mergeCell ref="BJ197:BM197"/>
    <mergeCell ref="BN197:BV197"/>
    <mergeCell ref="B192:C192"/>
    <mergeCell ref="D192:E192"/>
    <mergeCell ref="F192:G192"/>
    <mergeCell ref="H192:I192"/>
    <mergeCell ref="J192:K192"/>
    <mergeCell ref="L192:M192"/>
    <mergeCell ref="P192:Q192"/>
    <mergeCell ref="B193:C193"/>
    <mergeCell ref="D193:E193"/>
    <mergeCell ref="F193:G193"/>
    <mergeCell ref="H193:I193"/>
    <mergeCell ref="J193:K193"/>
    <mergeCell ref="L193:M193"/>
    <mergeCell ref="P193:Q193"/>
    <mergeCell ref="AJ192:AK192"/>
    <mergeCell ref="AL192:AM192"/>
    <mergeCell ref="AN192:AO192"/>
    <mergeCell ref="AP192:AQ192"/>
    <mergeCell ref="AR192:AS192"/>
    <mergeCell ref="AT192:AU192"/>
    <mergeCell ref="AV192:AW192"/>
    <mergeCell ref="BD195:BE195"/>
    <mergeCell ref="BF195:BI195"/>
    <mergeCell ref="AN195:AO195"/>
    <mergeCell ref="AP195:AQ195"/>
    <mergeCell ref="AR195:AS195"/>
    <mergeCell ref="AT195:AU195"/>
    <mergeCell ref="AV195:AW195"/>
    <mergeCell ref="AX195:AZ195"/>
    <mergeCell ref="BA195:BB195"/>
    <mergeCell ref="AJ193:AK193"/>
    <mergeCell ref="AL193:AM193"/>
    <mergeCell ref="R193:S193"/>
    <mergeCell ref="T193:U193"/>
    <mergeCell ref="V193:W193"/>
    <mergeCell ref="X193:AA193"/>
    <mergeCell ref="AB193:AE193"/>
    <mergeCell ref="AF193:AG193"/>
    <mergeCell ref="AH193:AI193"/>
    <mergeCell ref="R194:S194"/>
    <mergeCell ref="B196:C196"/>
    <mergeCell ref="D196:E196"/>
    <mergeCell ref="F196:G196"/>
    <mergeCell ref="H196:I196"/>
    <mergeCell ref="J196:K196"/>
    <mergeCell ref="L196:M196"/>
    <mergeCell ref="P196:Q196"/>
    <mergeCell ref="B197:C197"/>
    <mergeCell ref="D197:E197"/>
    <mergeCell ref="B194:C194"/>
    <mergeCell ref="D194:E194"/>
    <mergeCell ref="F194:G194"/>
    <mergeCell ref="H194:I194"/>
    <mergeCell ref="J194:K194"/>
    <mergeCell ref="L194:M194"/>
    <mergeCell ref="P194:Q194"/>
    <mergeCell ref="B195:C195"/>
    <mergeCell ref="D195:E195"/>
    <mergeCell ref="F195:G195"/>
    <mergeCell ref="H195:I195"/>
    <mergeCell ref="J195:K195"/>
    <mergeCell ref="L195:M195"/>
    <mergeCell ref="P195:Q195"/>
    <mergeCell ref="BD187:BE187"/>
    <mergeCell ref="BF187:BI187"/>
    <mergeCell ref="AN187:AO187"/>
    <mergeCell ref="AP187:AQ187"/>
    <mergeCell ref="AR187:AS187"/>
    <mergeCell ref="AT187:AU187"/>
    <mergeCell ref="AV187:AW187"/>
    <mergeCell ref="AX187:AZ187"/>
    <mergeCell ref="BA187:BB187"/>
    <mergeCell ref="BD193:BE193"/>
    <mergeCell ref="BF193:BI193"/>
    <mergeCell ref="AN193:AO193"/>
    <mergeCell ref="AP193:AQ193"/>
    <mergeCell ref="AR193:AS193"/>
    <mergeCell ref="AT193:AU193"/>
    <mergeCell ref="AV193:AW193"/>
    <mergeCell ref="AX193:AZ193"/>
    <mergeCell ref="BA193:BB193"/>
    <mergeCell ref="AJ191:AK191"/>
    <mergeCell ref="AL191:AM191"/>
    <mergeCell ref="R191:S191"/>
    <mergeCell ref="T191:U191"/>
    <mergeCell ref="V191:W191"/>
    <mergeCell ref="X191:AA191"/>
    <mergeCell ref="AB191:AE191"/>
    <mergeCell ref="AF191:AG191"/>
    <mergeCell ref="AH191:AI191"/>
    <mergeCell ref="R192:S192"/>
    <mergeCell ref="T192:U192"/>
    <mergeCell ref="V192:W192"/>
    <mergeCell ref="X192:AA192"/>
    <mergeCell ref="AB192:AE192"/>
    <mergeCell ref="AF192:AG192"/>
    <mergeCell ref="AH192:AI192"/>
    <mergeCell ref="AX192:AZ192"/>
    <mergeCell ref="BA192:BB192"/>
    <mergeCell ref="BD192:BE192"/>
    <mergeCell ref="BF192:BI192"/>
    <mergeCell ref="BD189:BE189"/>
    <mergeCell ref="BF189:BI189"/>
    <mergeCell ref="AJ195:AK195"/>
    <mergeCell ref="AL195:AM195"/>
    <mergeCell ref="R195:S195"/>
    <mergeCell ref="T195:U195"/>
    <mergeCell ref="V195:W195"/>
    <mergeCell ref="X195:AA195"/>
    <mergeCell ref="AB195:AE195"/>
    <mergeCell ref="AF195:AG195"/>
    <mergeCell ref="AH195:AI195"/>
    <mergeCell ref="B183:C183"/>
    <mergeCell ref="D183:E183"/>
    <mergeCell ref="F183:G183"/>
    <mergeCell ref="H183:I183"/>
    <mergeCell ref="J183:K183"/>
    <mergeCell ref="L183:M183"/>
    <mergeCell ref="P183:Q183"/>
    <mergeCell ref="AX184:AZ184"/>
    <mergeCell ref="BA184:BB184"/>
    <mergeCell ref="BD184:BE184"/>
    <mergeCell ref="BF184:BI184"/>
    <mergeCell ref="BJ184:BM184"/>
    <mergeCell ref="BN184:BV184"/>
    <mergeCell ref="BJ185:BM185"/>
    <mergeCell ref="BN185:BV185"/>
    <mergeCell ref="B185:C185"/>
    <mergeCell ref="D185:E185"/>
    <mergeCell ref="F185:G185"/>
    <mergeCell ref="H185:I185"/>
    <mergeCell ref="J185:K185"/>
    <mergeCell ref="L185:M185"/>
    <mergeCell ref="P185:Q185"/>
    <mergeCell ref="AJ184:AK184"/>
    <mergeCell ref="AL184:AM184"/>
    <mergeCell ref="AN184:AO184"/>
    <mergeCell ref="AP184:AQ184"/>
    <mergeCell ref="AR184:AS184"/>
    <mergeCell ref="AT184:AU184"/>
    <mergeCell ref="AV184:AW184"/>
    <mergeCell ref="R184:S184"/>
    <mergeCell ref="T184:U184"/>
    <mergeCell ref="V184:W184"/>
    <mergeCell ref="X184:AA184"/>
    <mergeCell ref="AB184:AE184"/>
    <mergeCell ref="AF184:AG184"/>
    <mergeCell ref="AH184:AI184"/>
    <mergeCell ref="B184:C184"/>
    <mergeCell ref="D184:E184"/>
    <mergeCell ref="F184:G184"/>
    <mergeCell ref="H184:I184"/>
    <mergeCell ref="R181:S181"/>
    <mergeCell ref="T181:U181"/>
    <mergeCell ref="V181:W181"/>
    <mergeCell ref="X181:AA181"/>
    <mergeCell ref="AB181:AE181"/>
    <mergeCell ref="AF181:AG181"/>
    <mergeCell ref="AH181:AI181"/>
    <mergeCell ref="AX181:AZ181"/>
    <mergeCell ref="BA181:BB181"/>
    <mergeCell ref="BD181:BE181"/>
    <mergeCell ref="BF181:BI181"/>
    <mergeCell ref="BJ192:BM192"/>
    <mergeCell ref="BN192:BV192"/>
    <mergeCell ref="BJ193:BM193"/>
    <mergeCell ref="BN193:BV193"/>
    <mergeCell ref="BJ194:BM194"/>
    <mergeCell ref="BN194:BV194"/>
    <mergeCell ref="BJ195:BM195"/>
    <mergeCell ref="BN195:BV195"/>
    <mergeCell ref="AJ194:AK194"/>
    <mergeCell ref="AL194:AM194"/>
    <mergeCell ref="AN194:AO194"/>
    <mergeCell ref="AP194:AQ194"/>
    <mergeCell ref="AR194:AS194"/>
    <mergeCell ref="AT194:AU194"/>
    <mergeCell ref="AV194:AW194"/>
    <mergeCell ref="BJ183:BM183"/>
    <mergeCell ref="BN183:BV183"/>
    <mergeCell ref="AJ183:AK183"/>
    <mergeCell ref="AL183:AM183"/>
    <mergeCell ref="AN183:AO183"/>
    <mergeCell ref="AP183:AQ183"/>
    <mergeCell ref="AR183:AS183"/>
    <mergeCell ref="AT183:AU183"/>
    <mergeCell ref="AV183:AW183"/>
    <mergeCell ref="T194:U194"/>
    <mergeCell ref="V194:W194"/>
    <mergeCell ref="X194:AA194"/>
    <mergeCell ref="AB194:AE194"/>
    <mergeCell ref="AF194:AG194"/>
    <mergeCell ref="AH194:AI194"/>
    <mergeCell ref="AX194:AZ194"/>
    <mergeCell ref="BA194:BB194"/>
    <mergeCell ref="BD194:BE194"/>
    <mergeCell ref="BF194:BI194"/>
    <mergeCell ref="AJ186:AK186"/>
    <mergeCell ref="AL186:AM186"/>
    <mergeCell ref="AN186:AO186"/>
    <mergeCell ref="AP186:AQ186"/>
    <mergeCell ref="AR186:AS186"/>
    <mergeCell ref="AT186:AU186"/>
    <mergeCell ref="AV186:AW186"/>
    <mergeCell ref="AJ182:AK182"/>
    <mergeCell ref="AL182:AM182"/>
    <mergeCell ref="BJ182:BM182"/>
    <mergeCell ref="BN182:BV182"/>
    <mergeCell ref="R182:S182"/>
    <mergeCell ref="T182:U182"/>
    <mergeCell ref="V182:W182"/>
    <mergeCell ref="X182:AA182"/>
    <mergeCell ref="AB182:AE182"/>
    <mergeCell ref="AF182:AG182"/>
    <mergeCell ref="AH182:AI182"/>
    <mergeCell ref="J184:K184"/>
    <mergeCell ref="L184:M184"/>
    <mergeCell ref="P184:Q184"/>
    <mergeCell ref="BD185:BE185"/>
    <mergeCell ref="BF185:BI185"/>
    <mergeCell ref="AN185:AO185"/>
    <mergeCell ref="AP185:AQ185"/>
    <mergeCell ref="AR185:AS185"/>
    <mergeCell ref="AT185:AU185"/>
    <mergeCell ref="AV185:AW185"/>
    <mergeCell ref="AX185:AZ185"/>
    <mergeCell ref="BA185:BB185"/>
    <mergeCell ref="R183:S183"/>
    <mergeCell ref="T183:U183"/>
    <mergeCell ref="V183:W183"/>
    <mergeCell ref="X183:AA183"/>
    <mergeCell ref="AB183:AE183"/>
    <mergeCell ref="AF183:AG183"/>
    <mergeCell ref="AH183:AI183"/>
    <mergeCell ref="AX183:AZ183"/>
    <mergeCell ref="BA183:BB183"/>
    <mergeCell ref="BD183:BE183"/>
    <mergeCell ref="BF183:BI183"/>
    <mergeCell ref="BD182:BE182"/>
    <mergeCell ref="BF182:BI182"/>
    <mergeCell ref="AN182:AO182"/>
    <mergeCell ref="AP182:AQ182"/>
    <mergeCell ref="AR182:AS182"/>
    <mergeCell ref="AT182:AU182"/>
    <mergeCell ref="AV182:AW182"/>
    <mergeCell ref="AX182:AZ182"/>
    <mergeCell ref="BA182:BB182"/>
    <mergeCell ref="AF187:AG187"/>
    <mergeCell ref="AH187:AI187"/>
    <mergeCell ref="R188:S188"/>
    <mergeCell ref="T188:U188"/>
    <mergeCell ref="V188:W188"/>
    <mergeCell ref="X188:AA188"/>
    <mergeCell ref="AB188:AE188"/>
    <mergeCell ref="AF188:AG188"/>
    <mergeCell ref="AH188:AI188"/>
    <mergeCell ref="AX188:AZ188"/>
    <mergeCell ref="BA188:BB188"/>
    <mergeCell ref="BD188:BE188"/>
    <mergeCell ref="BF188:BI188"/>
    <mergeCell ref="BJ188:BM188"/>
    <mergeCell ref="BN188:BV188"/>
    <mergeCell ref="BJ189:BM189"/>
    <mergeCell ref="BN189:BV189"/>
    <mergeCell ref="B188:C188"/>
    <mergeCell ref="D188:E188"/>
    <mergeCell ref="F188:G188"/>
    <mergeCell ref="H188:I188"/>
    <mergeCell ref="BJ181:BM181"/>
    <mergeCell ref="BN181:BV181"/>
    <mergeCell ref="B181:C181"/>
    <mergeCell ref="D181:E181"/>
    <mergeCell ref="F181:G181"/>
    <mergeCell ref="H181:I181"/>
    <mergeCell ref="J181:K181"/>
    <mergeCell ref="L181:M181"/>
    <mergeCell ref="P181:Q181"/>
    <mergeCell ref="AJ181:AK181"/>
    <mergeCell ref="AL181:AM181"/>
    <mergeCell ref="AN181:AO181"/>
    <mergeCell ref="AP181:AQ181"/>
    <mergeCell ref="AR181:AS181"/>
    <mergeCell ref="AT181:AU181"/>
    <mergeCell ref="AV181:AW181"/>
    <mergeCell ref="B182:C182"/>
    <mergeCell ref="D182:E182"/>
    <mergeCell ref="F182:G182"/>
    <mergeCell ref="H182:I182"/>
    <mergeCell ref="J182:K182"/>
    <mergeCell ref="L182:M182"/>
    <mergeCell ref="P182:Q182"/>
    <mergeCell ref="BD186:BE186"/>
    <mergeCell ref="BF186:BI186"/>
    <mergeCell ref="BJ186:BM186"/>
    <mergeCell ref="BN186:BV186"/>
    <mergeCell ref="BJ187:BM187"/>
    <mergeCell ref="BN187:BV187"/>
    <mergeCell ref="B186:C186"/>
    <mergeCell ref="D186:E186"/>
    <mergeCell ref="F186:G186"/>
    <mergeCell ref="H186:I186"/>
    <mergeCell ref="J186:K186"/>
    <mergeCell ref="L186:M186"/>
    <mergeCell ref="P186:Q186"/>
    <mergeCell ref="B187:C187"/>
    <mergeCell ref="D187:E187"/>
    <mergeCell ref="F187:G187"/>
    <mergeCell ref="H187:I187"/>
    <mergeCell ref="J187:K187"/>
    <mergeCell ref="L187:M187"/>
    <mergeCell ref="P187:Q187"/>
    <mergeCell ref="P190:Q190"/>
    <mergeCell ref="B191:C191"/>
    <mergeCell ref="D191:E191"/>
    <mergeCell ref="F191:G191"/>
    <mergeCell ref="H191:I191"/>
    <mergeCell ref="J191:K191"/>
    <mergeCell ref="L191:M191"/>
    <mergeCell ref="P191:Q191"/>
    <mergeCell ref="AJ190:AK190"/>
    <mergeCell ref="AL190:AM190"/>
    <mergeCell ref="AN190:AO190"/>
    <mergeCell ref="AP190:AQ190"/>
    <mergeCell ref="AR190:AS190"/>
    <mergeCell ref="AT190:AU190"/>
    <mergeCell ref="AV190:AW190"/>
    <mergeCell ref="AJ185:AK185"/>
    <mergeCell ref="AL185:AM185"/>
    <mergeCell ref="R185:S185"/>
    <mergeCell ref="T185:U185"/>
    <mergeCell ref="V185:W185"/>
    <mergeCell ref="X185:AA185"/>
    <mergeCell ref="AB185:AE185"/>
    <mergeCell ref="AF185:AG185"/>
    <mergeCell ref="AH185:AI185"/>
    <mergeCell ref="R186:S186"/>
    <mergeCell ref="T186:U186"/>
    <mergeCell ref="V186:W186"/>
    <mergeCell ref="X186:AA186"/>
    <mergeCell ref="AB186:AE186"/>
    <mergeCell ref="AF186:AG186"/>
    <mergeCell ref="AH186:AI186"/>
    <mergeCell ref="AX186:AZ186"/>
    <mergeCell ref="BA186:BB186"/>
    <mergeCell ref="J188:K188"/>
    <mergeCell ref="L188:M188"/>
    <mergeCell ref="P188:Q188"/>
    <mergeCell ref="B189:C189"/>
    <mergeCell ref="D189:E189"/>
    <mergeCell ref="F189:G189"/>
    <mergeCell ref="H189:I189"/>
    <mergeCell ref="J189:K189"/>
    <mergeCell ref="L189:M189"/>
    <mergeCell ref="P189:Q189"/>
    <mergeCell ref="AJ188:AK188"/>
    <mergeCell ref="AL188:AM188"/>
    <mergeCell ref="AN188:AO188"/>
    <mergeCell ref="AP188:AQ188"/>
    <mergeCell ref="AR188:AS188"/>
    <mergeCell ref="AT188:AU188"/>
    <mergeCell ref="AV188:AW188"/>
    <mergeCell ref="AN189:AO189"/>
    <mergeCell ref="AP189:AQ189"/>
    <mergeCell ref="AR189:AS189"/>
    <mergeCell ref="AT189:AU189"/>
    <mergeCell ref="AV189:AW189"/>
    <mergeCell ref="AX189:AZ189"/>
    <mergeCell ref="BA189:BB189"/>
    <mergeCell ref="AJ187:AK187"/>
    <mergeCell ref="AL187:AM187"/>
    <mergeCell ref="R187:S187"/>
    <mergeCell ref="T187:U187"/>
    <mergeCell ref="V187:W187"/>
    <mergeCell ref="X187:AA187"/>
    <mergeCell ref="AB187:AE187"/>
    <mergeCell ref="BJ179:BM179"/>
    <mergeCell ref="BN179:BV179"/>
    <mergeCell ref="BJ180:BM180"/>
    <mergeCell ref="BN180:BV180"/>
    <mergeCell ref="B179:C179"/>
    <mergeCell ref="D179:E179"/>
    <mergeCell ref="F179:G179"/>
    <mergeCell ref="H179:I179"/>
    <mergeCell ref="J179:K179"/>
    <mergeCell ref="L179:M179"/>
    <mergeCell ref="P179:Q179"/>
    <mergeCell ref="B180:C180"/>
    <mergeCell ref="D180:E180"/>
    <mergeCell ref="F180:G180"/>
    <mergeCell ref="H180:I180"/>
    <mergeCell ref="J180:K180"/>
    <mergeCell ref="L180:M180"/>
    <mergeCell ref="P180:Q180"/>
    <mergeCell ref="AJ179:AK179"/>
    <mergeCell ref="AL179:AM179"/>
    <mergeCell ref="AN179:AO179"/>
    <mergeCell ref="AP179:AQ179"/>
    <mergeCell ref="AR179:AS179"/>
    <mergeCell ref="AT179:AU179"/>
    <mergeCell ref="AV179:AW179"/>
    <mergeCell ref="BD191:BE191"/>
    <mergeCell ref="BF191:BI191"/>
    <mergeCell ref="AN191:AO191"/>
    <mergeCell ref="AP191:AQ191"/>
    <mergeCell ref="AR191:AS191"/>
    <mergeCell ref="AT191:AU191"/>
    <mergeCell ref="AV191:AW191"/>
    <mergeCell ref="AX191:AZ191"/>
    <mergeCell ref="BA191:BB191"/>
    <mergeCell ref="AJ189:AK189"/>
    <mergeCell ref="AL189:AM189"/>
    <mergeCell ref="R189:S189"/>
    <mergeCell ref="T189:U189"/>
    <mergeCell ref="V189:W189"/>
    <mergeCell ref="X189:AA189"/>
    <mergeCell ref="AB189:AE189"/>
    <mergeCell ref="AF189:AG189"/>
    <mergeCell ref="AH189:AI189"/>
    <mergeCell ref="R190:S190"/>
    <mergeCell ref="T190:U190"/>
    <mergeCell ref="V190:W190"/>
    <mergeCell ref="X190:AA190"/>
    <mergeCell ref="AB190:AE190"/>
    <mergeCell ref="AF190:AG190"/>
    <mergeCell ref="AH190:AI190"/>
    <mergeCell ref="AX190:AZ190"/>
    <mergeCell ref="BA190:BB190"/>
    <mergeCell ref="BD190:BE190"/>
    <mergeCell ref="BF190:BI190"/>
    <mergeCell ref="BJ190:BM190"/>
    <mergeCell ref="BN190:BV190"/>
    <mergeCell ref="BJ191:BM191"/>
    <mergeCell ref="BN191:BV191"/>
    <mergeCell ref="B190:C190"/>
    <mergeCell ref="D190:E190"/>
    <mergeCell ref="F190:G190"/>
    <mergeCell ref="H190:I190"/>
    <mergeCell ref="J190:K190"/>
    <mergeCell ref="L190:M190"/>
    <mergeCell ref="P177:Q177"/>
    <mergeCell ref="B178:C178"/>
    <mergeCell ref="D178:E178"/>
    <mergeCell ref="F178:G178"/>
    <mergeCell ref="H178:I178"/>
    <mergeCell ref="J178:K178"/>
    <mergeCell ref="L178:M178"/>
    <mergeCell ref="P178:Q178"/>
    <mergeCell ref="AJ177:AK177"/>
    <mergeCell ref="AL177:AM177"/>
    <mergeCell ref="AN177:AO177"/>
    <mergeCell ref="AP177:AQ177"/>
    <mergeCell ref="AR177:AS177"/>
    <mergeCell ref="AT177:AU177"/>
    <mergeCell ref="AV177:AW177"/>
    <mergeCell ref="BD180:BE180"/>
    <mergeCell ref="BF180:BI180"/>
    <mergeCell ref="AN180:AO180"/>
    <mergeCell ref="AP180:AQ180"/>
    <mergeCell ref="AR180:AS180"/>
    <mergeCell ref="AT180:AU180"/>
    <mergeCell ref="AV180:AW180"/>
    <mergeCell ref="AX180:AZ180"/>
    <mergeCell ref="BA180:BB180"/>
    <mergeCell ref="AJ178:AK178"/>
    <mergeCell ref="AL178:AM178"/>
    <mergeCell ref="R178:S178"/>
    <mergeCell ref="T178:U178"/>
    <mergeCell ref="V178:W178"/>
    <mergeCell ref="X178:AA178"/>
    <mergeCell ref="AB178:AE178"/>
    <mergeCell ref="AF178:AG178"/>
    <mergeCell ref="AH178:AI178"/>
    <mergeCell ref="R179:S179"/>
    <mergeCell ref="T179:U179"/>
    <mergeCell ref="V179:W179"/>
    <mergeCell ref="X179:AA179"/>
    <mergeCell ref="AB179:AE179"/>
    <mergeCell ref="AF179:AG179"/>
    <mergeCell ref="AH179:AI179"/>
    <mergeCell ref="AX179:AZ179"/>
    <mergeCell ref="BA179:BB179"/>
    <mergeCell ref="BD179:BE179"/>
    <mergeCell ref="BF179:BI179"/>
    <mergeCell ref="AJ180:AK180"/>
    <mergeCell ref="AL180:AM180"/>
    <mergeCell ref="R180:S180"/>
    <mergeCell ref="T180:U180"/>
    <mergeCell ref="V180:W180"/>
    <mergeCell ref="X180:AA180"/>
    <mergeCell ref="AB180:AE180"/>
    <mergeCell ref="AF180:AG180"/>
    <mergeCell ref="AH180:AI180"/>
    <mergeCell ref="BJ175:BM175"/>
    <mergeCell ref="BN175:BV175"/>
    <mergeCell ref="BJ176:BM176"/>
    <mergeCell ref="BN176:BV176"/>
    <mergeCell ref="B175:C175"/>
    <mergeCell ref="D175:E175"/>
    <mergeCell ref="F175:G175"/>
    <mergeCell ref="H175:I175"/>
    <mergeCell ref="J175:K175"/>
    <mergeCell ref="L175:M175"/>
    <mergeCell ref="P175:Q175"/>
    <mergeCell ref="B176:C176"/>
    <mergeCell ref="D176:E176"/>
    <mergeCell ref="F176:G176"/>
    <mergeCell ref="H176:I176"/>
    <mergeCell ref="J176:K176"/>
    <mergeCell ref="L176:M176"/>
    <mergeCell ref="P176:Q176"/>
    <mergeCell ref="AJ175:AK175"/>
    <mergeCell ref="AL175:AM175"/>
    <mergeCell ref="AN175:AO175"/>
    <mergeCell ref="AP175:AQ175"/>
    <mergeCell ref="AR175:AS175"/>
    <mergeCell ref="AT175:AU175"/>
    <mergeCell ref="AV175:AW175"/>
    <mergeCell ref="BD178:BE178"/>
    <mergeCell ref="BF178:BI178"/>
    <mergeCell ref="AN178:AO178"/>
    <mergeCell ref="AP178:AQ178"/>
    <mergeCell ref="AR178:AS178"/>
    <mergeCell ref="AT178:AU178"/>
    <mergeCell ref="AV178:AW178"/>
    <mergeCell ref="AX178:AZ178"/>
    <mergeCell ref="BA178:BB178"/>
    <mergeCell ref="AJ176:AK176"/>
    <mergeCell ref="AL176:AM176"/>
    <mergeCell ref="R176:S176"/>
    <mergeCell ref="T176:U176"/>
    <mergeCell ref="V176:W176"/>
    <mergeCell ref="X176:AA176"/>
    <mergeCell ref="AB176:AE176"/>
    <mergeCell ref="AF176:AG176"/>
    <mergeCell ref="AH176:AI176"/>
    <mergeCell ref="R177:S177"/>
    <mergeCell ref="T177:U177"/>
    <mergeCell ref="V177:W177"/>
    <mergeCell ref="X177:AA177"/>
    <mergeCell ref="AB177:AE177"/>
    <mergeCell ref="AF177:AG177"/>
    <mergeCell ref="AH177:AI177"/>
    <mergeCell ref="AX177:AZ177"/>
    <mergeCell ref="BA177:BB177"/>
    <mergeCell ref="BD177:BE177"/>
    <mergeCell ref="BF177:BI177"/>
    <mergeCell ref="BJ177:BM177"/>
    <mergeCell ref="BN177:BV177"/>
    <mergeCell ref="BJ178:BM178"/>
    <mergeCell ref="BN178:BV178"/>
    <mergeCell ref="B177:C177"/>
    <mergeCell ref="D177:E177"/>
    <mergeCell ref="F177:G177"/>
    <mergeCell ref="H177:I177"/>
    <mergeCell ref="J177:K177"/>
    <mergeCell ref="L177:M177"/>
    <mergeCell ref="F174:G174"/>
    <mergeCell ref="H174:I174"/>
    <mergeCell ref="J174:K174"/>
    <mergeCell ref="L174:M174"/>
    <mergeCell ref="P174:Q174"/>
    <mergeCell ref="AJ173:AK173"/>
    <mergeCell ref="AL173:AM173"/>
    <mergeCell ref="AN173:AO173"/>
    <mergeCell ref="AP173:AQ173"/>
    <mergeCell ref="AR173:AS173"/>
    <mergeCell ref="AT173:AU173"/>
    <mergeCell ref="AV173:AW173"/>
    <mergeCell ref="BD176:BE176"/>
    <mergeCell ref="BF176:BI176"/>
    <mergeCell ref="AN176:AO176"/>
    <mergeCell ref="AP176:AQ176"/>
    <mergeCell ref="AR176:AS176"/>
    <mergeCell ref="AT176:AU176"/>
    <mergeCell ref="AV176:AW176"/>
    <mergeCell ref="AX176:AZ176"/>
    <mergeCell ref="BA176:BB176"/>
    <mergeCell ref="AJ174:AK174"/>
    <mergeCell ref="AL174:AM174"/>
    <mergeCell ref="R174:S174"/>
    <mergeCell ref="T174:U174"/>
    <mergeCell ref="V174:W174"/>
    <mergeCell ref="X174:AA174"/>
    <mergeCell ref="AB174:AE174"/>
    <mergeCell ref="AF174:AG174"/>
    <mergeCell ref="AH174:AI174"/>
    <mergeCell ref="R175:S175"/>
    <mergeCell ref="T175:U175"/>
    <mergeCell ref="V175:W175"/>
    <mergeCell ref="X175:AA175"/>
    <mergeCell ref="AB175:AE175"/>
    <mergeCell ref="AF175:AG175"/>
    <mergeCell ref="AH175:AI175"/>
    <mergeCell ref="AX175:AZ175"/>
    <mergeCell ref="BA175:BB175"/>
    <mergeCell ref="BD175:BE175"/>
    <mergeCell ref="BF175:BI175"/>
    <mergeCell ref="BD174:BE174"/>
    <mergeCell ref="BF174:BI174"/>
    <mergeCell ref="AN174:AO174"/>
    <mergeCell ref="AP174:AQ174"/>
    <mergeCell ref="AR174:AS174"/>
    <mergeCell ref="AT174:AU174"/>
    <mergeCell ref="AV174:AW174"/>
    <mergeCell ref="AX174:AZ174"/>
    <mergeCell ref="BA174:BB174"/>
    <mergeCell ref="R173:S173"/>
    <mergeCell ref="T173:U173"/>
    <mergeCell ref="V173:W173"/>
    <mergeCell ref="X173:AA173"/>
    <mergeCell ref="AB173:AE173"/>
    <mergeCell ref="AF173:AG173"/>
    <mergeCell ref="AH173:AI173"/>
    <mergeCell ref="AX173:AZ173"/>
    <mergeCell ref="BA173:BB173"/>
    <mergeCell ref="BD173:BE173"/>
    <mergeCell ref="BF173:BI173"/>
    <mergeCell ref="BJ173:BM173"/>
    <mergeCell ref="BN173:BV173"/>
    <mergeCell ref="BJ174:BM174"/>
    <mergeCell ref="BN174:BV174"/>
    <mergeCell ref="B169:C169"/>
    <mergeCell ref="D169:E169"/>
    <mergeCell ref="F169:G169"/>
    <mergeCell ref="H169:I169"/>
    <mergeCell ref="J169:K169"/>
    <mergeCell ref="L169:M169"/>
    <mergeCell ref="P169:Q169"/>
    <mergeCell ref="B170:C170"/>
    <mergeCell ref="D170:E170"/>
    <mergeCell ref="F170:G170"/>
    <mergeCell ref="H170:I170"/>
    <mergeCell ref="J170:K170"/>
    <mergeCell ref="L170:M170"/>
    <mergeCell ref="P170:Q170"/>
    <mergeCell ref="AJ169:AK169"/>
    <mergeCell ref="AL169:AM169"/>
    <mergeCell ref="AN169:AO169"/>
    <mergeCell ref="AP169:AQ169"/>
    <mergeCell ref="AR169:AS169"/>
    <mergeCell ref="AT169:AU169"/>
    <mergeCell ref="AV169:AW169"/>
    <mergeCell ref="BD172:BE172"/>
    <mergeCell ref="BF172:BI172"/>
    <mergeCell ref="AN172:AO172"/>
    <mergeCell ref="AP172:AQ172"/>
    <mergeCell ref="AR172:AS172"/>
    <mergeCell ref="AT172:AU172"/>
    <mergeCell ref="AV172:AW172"/>
    <mergeCell ref="AX172:AZ172"/>
    <mergeCell ref="BA172:BB172"/>
    <mergeCell ref="AJ170:AK170"/>
    <mergeCell ref="AL170:AM170"/>
    <mergeCell ref="R170:S170"/>
    <mergeCell ref="T170:U170"/>
    <mergeCell ref="V170:W170"/>
    <mergeCell ref="X170:AA170"/>
    <mergeCell ref="AB170:AE170"/>
    <mergeCell ref="AF170:AG170"/>
    <mergeCell ref="AH170:AI170"/>
    <mergeCell ref="R171:S171"/>
    <mergeCell ref="B173:C173"/>
    <mergeCell ref="D173:E173"/>
    <mergeCell ref="F173:G173"/>
    <mergeCell ref="H173:I173"/>
    <mergeCell ref="J173:K173"/>
    <mergeCell ref="L173:M173"/>
    <mergeCell ref="P173:Q173"/>
    <mergeCell ref="B174:C174"/>
    <mergeCell ref="D174:E174"/>
    <mergeCell ref="B171:C171"/>
    <mergeCell ref="D171:E171"/>
    <mergeCell ref="F171:G171"/>
    <mergeCell ref="H171:I171"/>
    <mergeCell ref="J171:K171"/>
    <mergeCell ref="L171:M171"/>
    <mergeCell ref="P171:Q171"/>
    <mergeCell ref="B172:C172"/>
    <mergeCell ref="D172:E172"/>
    <mergeCell ref="F172:G172"/>
    <mergeCell ref="H172:I172"/>
    <mergeCell ref="J172:K172"/>
    <mergeCell ref="L172:M172"/>
    <mergeCell ref="P172:Q172"/>
    <mergeCell ref="BD164:BE164"/>
    <mergeCell ref="BF164:BI164"/>
    <mergeCell ref="AN164:AO164"/>
    <mergeCell ref="AP164:AQ164"/>
    <mergeCell ref="AR164:AS164"/>
    <mergeCell ref="AT164:AU164"/>
    <mergeCell ref="AV164:AW164"/>
    <mergeCell ref="AX164:AZ164"/>
    <mergeCell ref="BA164:BB164"/>
    <mergeCell ref="BD170:BE170"/>
    <mergeCell ref="BF170:BI170"/>
    <mergeCell ref="AN170:AO170"/>
    <mergeCell ref="AP170:AQ170"/>
    <mergeCell ref="AR170:AS170"/>
    <mergeCell ref="AT170:AU170"/>
    <mergeCell ref="AV170:AW170"/>
    <mergeCell ref="AX170:AZ170"/>
    <mergeCell ref="BA170:BB170"/>
    <mergeCell ref="AJ168:AK168"/>
    <mergeCell ref="AL168:AM168"/>
    <mergeCell ref="R168:S168"/>
    <mergeCell ref="T168:U168"/>
    <mergeCell ref="V168:W168"/>
    <mergeCell ref="X168:AA168"/>
    <mergeCell ref="AB168:AE168"/>
    <mergeCell ref="AF168:AG168"/>
    <mergeCell ref="AH168:AI168"/>
    <mergeCell ref="R169:S169"/>
    <mergeCell ref="T169:U169"/>
    <mergeCell ref="V169:W169"/>
    <mergeCell ref="X169:AA169"/>
    <mergeCell ref="AB169:AE169"/>
    <mergeCell ref="AF169:AG169"/>
    <mergeCell ref="AH169:AI169"/>
    <mergeCell ref="AX169:AZ169"/>
    <mergeCell ref="BA169:BB169"/>
    <mergeCell ref="BD169:BE169"/>
    <mergeCell ref="BF169:BI169"/>
    <mergeCell ref="P167:Q167"/>
    <mergeCell ref="B168:C168"/>
    <mergeCell ref="AJ172:AK172"/>
    <mergeCell ref="AL172:AM172"/>
    <mergeCell ref="R172:S172"/>
    <mergeCell ref="T172:U172"/>
    <mergeCell ref="V172:W172"/>
    <mergeCell ref="X172:AA172"/>
    <mergeCell ref="AB172:AE172"/>
    <mergeCell ref="AF172:AG172"/>
    <mergeCell ref="AH172:AI172"/>
    <mergeCell ref="B160:C160"/>
    <mergeCell ref="D160:E160"/>
    <mergeCell ref="F160:G160"/>
    <mergeCell ref="H160:I160"/>
    <mergeCell ref="J160:K160"/>
    <mergeCell ref="L160:M160"/>
    <mergeCell ref="P160:Q160"/>
    <mergeCell ref="AX161:AZ161"/>
    <mergeCell ref="BA161:BB161"/>
    <mergeCell ref="BD161:BE161"/>
    <mergeCell ref="BF161:BI161"/>
    <mergeCell ref="BJ161:BM161"/>
    <mergeCell ref="BN161:BV161"/>
    <mergeCell ref="BJ162:BM162"/>
    <mergeCell ref="BN162:BV162"/>
    <mergeCell ref="B162:C162"/>
    <mergeCell ref="D162:E162"/>
    <mergeCell ref="F162:G162"/>
    <mergeCell ref="H162:I162"/>
    <mergeCell ref="J162:K162"/>
    <mergeCell ref="L162:M162"/>
    <mergeCell ref="P162:Q162"/>
    <mergeCell ref="AJ161:AK161"/>
    <mergeCell ref="AL161:AM161"/>
    <mergeCell ref="AN161:AO161"/>
    <mergeCell ref="AP161:AQ161"/>
    <mergeCell ref="AR161:AS161"/>
    <mergeCell ref="AT161:AU161"/>
    <mergeCell ref="AV161:AW161"/>
    <mergeCell ref="R161:S161"/>
    <mergeCell ref="T161:U161"/>
    <mergeCell ref="V161:W161"/>
    <mergeCell ref="X161:AA161"/>
    <mergeCell ref="AB161:AE161"/>
    <mergeCell ref="AF161:AG161"/>
    <mergeCell ref="AH161:AI161"/>
    <mergeCell ref="B161:C161"/>
    <mergeCell ref="D161:E161"/>
    <mergeCell ref="F161:G161"/>
    <mergeCell ref="H161:I161"/>
    <mergeCell ref="AT159:AU159"/>
    <mergeCell ref="AV159:AW159"/>
    <mergeCell ref="AX159:AZ159"/>
    <mergeCell ref="BA159:BB159"/>
    <mergeCell ref="AJ157:AK157"/>
    <mergeCell ref="AL157:AM157"/>
    <mergeCell ref="R157:S157"/>
    <mergeCell ref="T157:U157"/>
    <mergeCell ref="V157:W157"/>
    <mergeCell ref="X157:AA157"/>
    <mergeCell ref="AB157:AE157"/>
    <mergeCell ref="AF157:AG157"/>
    <mergeCell ref="AH157:AI157"/>
    <mergeCell ref="R158:S158"/>
    <mergeCell ref="T158:U158"/>
    <mergeCell ref="V158:W158"/>
    <mergeCell ref="X158:AA158"/>
    <mergeCell ref="AB158:AE158"/>
    <mergeCell ref="AF158:AG158"/>
    <mergeCell ref="AH158:AI158"/>
    <mergeCell ref="AX158:AZ158"/>
    <mergeCell ref="BA158:BB158"/>
    <mergeCell ref="BD158:BE158"/>
    <mergeCell ref="BF158:BI158"/>
    <mergeCell ref="BJ169:BM169"/>
    <mergeCell ref="BN169:BV169"/>
    <mergeCell ref="BJ170:BM170"/>
    <mergeCell ref="BN170:BV170"/>
    <mergeCell ref="BJ171:BM171"/>
    <mergeCell ref="BN171:BV171"/>
    <mergeCell ref="BJ172:BM172"/>
    <mergeCell ref="BN172:BV172"/>
    <mergeCell ref="AJ171:AK171"/>
    <mergeCell ref="AL171:AM171"/>
    <mergeCell ref="AN171:AO171"/>
    <mergeCell ref="AP171:AQ171"/>
    <mergeCell ref="AR171:AS171"/>
    <mergeCell ref="AT171:AU171"/>
    <mergeCell ref="AV171:AW171"/>
    <mergeCell ref="BJ160:BM160"/>
    <mergeCell ref="BN160:BV160"/>
    <mergeCell ref="AJ160:AK160"/>
    <mergeCell ref="AL160:AM160"/>
    <mergeCell ref="AN160:AO160"/>
    <mergeCell ref="AP160:AQ160"/>
    <mergeCell ref="AR160:AS160"/>
    <mergeCell ref="AT160:AU160"/>
    <mergeCell ref="AV160:AW160"/>
    <mergeCell ref="T171:U171"/>
    <mergeCell ref="V171:W171"/>
    <mergeCell ref="X171:AA171"/>
    <mergeCell ref="AB171:AE171"/>
    <mergeCell ref="AF171:AG171"/>
    <mergeCell ref="AH171:AI171"/>
    <mergeCell ref="AX171:AZ171"/>
    <mergeCell ref="BA171:BB171"/>
    <mergeCell ref="BD171:BE171"/>
    <mergeCell ref="BF171:BI171"/>
    <mergeCell ref="BJ158:BM158"/>
    <mergeCell ref="BN158:BV158"/>
    <mergeCell ref="B158:C158"/>
    <mergeCell ref="D158:E158"/>
    <mergeCell ref="F158:G158"/>
    <mergeCell ref="H158:I158"/>
    <mergeCell ref="J158:K158"/>
    <mergeCell ref="L158:M158"/>
    <mergeCell ref="P158:Q158"/>
    <mergeCell ref="AJ158:AK158"/>
    <mergeCell ref="AL158:AM158"/>
    <mergeCell ref="AN158:AO158"/>
    <mergeCell ref="AP158:AQ158"/>
    <mergeCell ref="AR158:AS158"/>
    <mergeCell ref="AT158:AU158"/>
    <mergeCell ref="AV158:AW158"/>
    <mergeCell ref="B159:C159"/>
    <mergeCell ref="D159:E159"/>
    <mergeCell ref="F159:G159"/>
    <mergeCell ref="H159:I159"/>
    <mergeCell ref="J159:K159"/>
    <mergeCell ref="L159:M159"/>
    <mergeCell ref="P159:Q159"/>
    <mergeCell ref="BD157:BE157"/>
    <mergeCell ref="BF157:BI157"/>
    <mergeCell ref="AN157:AO157"/>
    <mergeCell ref="AP157:AQ157"/>
    <mergeCell ref="AR157:AS157"/>
    <mergeCell ref="AT157:AU157"/>
    <mergeCell ref="AV157:AW157"/>
    <mergeCell ref="AX157:AZ157"/>
    <mergeCell ref="BA157:BB157"/>
    <mergeCell ref="BD163:BE163"/>
    <mergeCell ref="BF163:BI163"/>
    <mergeCell ref="BJ163:BM163"/>
    <mergeCell ref="BN163:BV163"/>
    <mergeCell ref="J161:K161"/>
    <mergeCell ref="L161:M161"/>
    <mergeCell ref="P161:Q161"/>
    <mergeCell ref="BD162:BE162"/>
    <mergeCell ref="BF162:BI162"/>
    <mergeCell ref="AN162:AO162"/>
    <mergeCell ref="AP162:AQ162"/>
    <mergeCell ref="AR162:AS162"/>
    <mergeCell ref="AT162:AU162"/>
    <mergeCell ref="AV162:AW162"/>
    <mergeCell ref="AX162:AZ162"/>
    <mergeCell ref="BA162:BB162"/>
    <mergeCell ref="R160:S160"/>
    <mergeCell ref="T160:U160"/>
    <mergeCell ref="V160:W160"/>
    <mergeCell ref="X160:AA160"/>
    <mergeCell ref="AB160:AE160"/>
    <mergeCell ref="AF160:AG160"/>
    <mergeCell ref="AH160:AI160"/>
    <mergeCell ref="AX160:AZ160"/>
    <mergeCell ref="BA160:BB160"/>
    <mergeCell ref="BD160:BE160"/>
    <mergeCell ref="BF160:BI160"/>
    <mergeCell ref="BD159:BE159"/>
    <mergeCell ref="BF159:BI159"/>
    <mergeCell ref="AN159:AO159"/>
    <mergeCell ref="AP159:AQ159"/>
    <mergeCell ref="AR159:AS159"/>
    <mergeCell ref="BJ164:BM164"/>
    <mergeCell ref="BN164:BV164"/>
    <mergeCell ref="B163:C163"/>
    <mergeCell ref="D163:E163"/>
    <mergeCell ref="F163:G163"/>
    <mergeCell ref="H163:I163"/>
    <mergeCell ref="J163:K163"/>
    <mergeCell ref="L163:M163"/>
    <mergeCell ref="P163:Q163"/>
    <mergeCell ref="B164:C164"/>
    <mergeCell ref="D164:E164"/>
    <mergeCell ref="F164:G164"/>
    <mergeCell ref="H164:I164"/>
    <mergeCell ref="J164:K164"/>
    <mergeCell ref="L164:M164"/>
    <mergeCell ref="P164:Q164"/>
    <mergeCell ref="AJ163:AK163"/>
    <mergeCell ref="AL163:AM163"/>
    <mergeCell ref="AN163:AO163"/>
    <mergeCell ref="AP163:AQ163"/>
    <mergeCell ref="AR163:AS163"/>
    <mergeCell ref="AT163:AU163"/>
    <mergeCell ref="AV163:AW163"/>
    <mergeCell ref="BD166:BE166"/>
    <mergeCell ref="BF166:BI166"/>
    <mergeCell ref="AN166:AO166"/>
    <mergeCell ref="AP166:AQ166"/>
    <mergeCell ref="AR166:AS166"/>
    <mergeCell ref="AT166:AU166"/>
    <mergeCell ref="AV166:AW166"/>
    <mergeCell ref="AX166:AZ166"/>
    <mergeCell ref="BA166:BB166"/>
    <mergeCell ref="AJ164:AK164"/>
    <mergeCell ref="AL164:AM164"/>
    <mergeCell ref="R164:S164"/>
    <mergeCell ref="T164:U164"/>
    <mergeCell ref="V164:W164"/>
    <mergeCell ref="X164:AA164"/>
    <mergeCell ref="AB164:AE164"/>
    <mergeCell ref="AF164:AG164"/>
    <mergeCell ref="AH164:AI164"/>
    <mergeCell ref="R165:S165"/>
    <mergeCell ref="T165:U165"/>
    <mergeCell ref="V165:W165"/>
    <mergeCell ref="X165:AA165"/>
    <mergeCell ref="AB165:AE165"/>
    <mergeCell ref="AF165:AG165"/>
    <mergeCell ref="AH165:AI165"/>
    <mergeCell ref="AX165:AZ165"/>
    <mergeCell ref="BA165:BB165"/>
    <mergeCell ref="BD165:BE165"/>
    <mergeCell ref="BF165:BI165"/>
    <mergeCell ref="BJ165:BM165"/>
    <mergeCell ref="BN165:BV165"/>
    <mergeCell ref="BJ166:BM166"/>
    <mergeCell ref="BN166:BV166"/>
    <mergeCell ref="B165:C165"/>
    <mergeCell ref="D165:E165"/>
    <mergeCell ref="F165:G165"/>
    <mergeCell ref="H165:I165"/>
    <mergeCell ref="B166:C166"/>
    <mergeCell ref="D168:E168"/>
    <mergeCell ref="F168:G168"/>
    <mergeCell ref="H168:I168"/>
    <mergeCell ref="J168:K168"/>
    <mergeCell ref="L168:M168"/>
    <mergeCell ref="P168:Q168"/>
    <mergeCell ref="AJ167:AK167"/>
    <mergeCell ref="AL167:AM167"/>
    <mergeCell ref="AN167:AO167"/>
    <mergeCell ref="AP167:AQ167"/>
    <mergeCell ref="AR167:AS167"/>
    <mergeCell ref="AT167:AU167"/>
    <mergeCell ref="AV167:AW167"/>
    <mergeCell ref="AJ162:AK162"/>
    <mergeCell ref="AL162:AM162"/>
    <mergeCell ref="R162:S162"/>
    <mergeCell ref="T162:U162"/>
    <mergeCell ref="V162:W162"/>
    <mergeCell ref="X162:AA162"/>
    <mergeCell ref="AB162:AE162"/>
    <mergeCell ref="AF162:AG162"/>
    <mergeCell ref="AH162:AI162"/>
    <mergeCell ref="R163:S163"/>
    <mergeCell ref="T163:U163"/>
    <mergeCell ref="V163:W163"/>
    <mergeCell ref="X163:AA163"/>
    <mergeCell ref="AB163:AE163"/>
    <mergeCell ref="AF163:AG163"/>
    <mergeCell ref="AH163:AI163"/>
    <mergeCell ref="AX163:AZ163"/>
    <mergeCell ref="BA163:BB163"/>
    <mergeCell ref="J165:K165"/>
    <mergeCell ref="L165:M165"/>
    <mergeCell ref="P165:Q165"/>
    <mergeCell ref="D166:E166"/>
    <mergeCell ref="F166:G166"/>
    <mergeCell ref="H166:I166"/>
    <mergeCell ref="J166:K166"/>
    <mergeCell ref="L166:M166"/>
    <mergeCell ref="P166:Q166"/>
    <mergeCell ref="AJ165:AK165"/>
    <mergeCell ref="AL165:AM165"/>
    <mergeCell ref="AN165:AO165"/>
    <mergeCell ref="AP165:AQ165"/>
    <mergeCell ref="AR165:AS165"/>
    <mergeCell ref="AT165:AU165"/>
    <mergeCell ref="AV165:AW165"/>
    <mergeCell ref="BJ48:BM48"/>
    <mergeCell ref="BN48:BV48"/>
    <mergeCell ref="BJ49:BM49"/>
    <mergeCell ref="BN49:BV49"/>
    <mergeCell ref="B48:C48"/>
    <mergeCell ref="D48:E48"/>
    <mergeCell ref="F48:G48"/>
    <mergeCell ref="H48:I48"/>
    <mergeCell ref="J48:K48"/>
    <mergeCell ref="L48:M48"/>
    <mergeCell ref="P48:Q48"/>
    <mergeCell ref="B49:C49"/>
    <mergeCell ref="D49:E49"/>
    <mergeCell ref="F49:G49"/>
    <mergeCell ref="H49:I49"/>
    <mergeCell ref="J49:K49"/>
    <mergeCell ref="L49:M49"/>
    <mergeCell ref="P49:Q49"/>
    <mergeCell ref="AJ48:AK48"/>
    <mergeCell ref="AL48:AM48"/>
    <mergeCell ref="AN48:AO48"/>
    <mergeCell ref="AP48:AQ48"/>
    <mergeCell ref="AR48:AS48"/>
    <mergeCell ref="AT48:AU48"/>
    <mergeCell ref="AV48:AW48"/>
    <mergeCell ref="BD168:BE168"/>
    <mergeCell ref="BF168:BI168"/>
    <mergeCell ref="AN168:AO168"/>
    <mergeCell ref="AP168:AQ168"/>
    <mergeCell ref="AR168:AS168"/>
    <mergeCell ref="AT168:AU168"/>
    <mergeCell ref="AV168:AW168"/>
    <mergeCell ref="AX168:AZ168"/>
    <mergeCell ref="BA168:BB168"/>
    <mergeCell ref="AJ166:AK166"/>
    <mergeCell ref="AL166:AM166"/>
    <mergeCell ref="R166:S166"/>
    <mergeCell ref="T166:U166"/>
    <mergeCell ref="V166:W166"/>
    <mergeCell ref="X166:AA166"/>
    <mergeCell ref="AB166:AE166"/>
    <mergeCell ref="AF166:AG166"/>
    <mergeCell ref="AH166:AI166"/>
    <mergeCell ref="R167:S167"/>
    <mergeCell ref="T167:U167"/>
    <mergeCell ref="V167:W167"/>
    <mergeCell ref="X167:AA167"/>
    <mergeCell ref="AB167:AE167"/>
    <mergeCell ref="AF167:AG167"/>
    <mergeCell ref="AH167:AI167"/>
    <mergeCell ref="AX167:AZ167"/>
    <mergeCell ref="BA167:BB167"/>
    <mergeCell ref="BD167:BE167"/>
    <mergeCell ref="BF167:BI167"/>
    <mergeCell ref="BJ167:BM167"/>
    <mergeCell ref="BN167:BV167"/>
    <mergeCell ref="BJ168:BM168"/>
    <mergeCell ref="BN168:BV168"/>
    <mergeCell ref="B167:C167"/>
    <mergeCell ref="D167:E167"/>
    <mergeCell ref="F167:G167"/>
    <mergeCell ref="H167:I167"/>
    <mergeCell ref="J167:K167"/>
    <mergeCell ref="L167:M167"/>
    <mergeCell ref="P46:Q46"/>
    <mergeCell ref="B47:C47"/>
    <mergeCell ref="D47:E47"/>
    <mergeCell ref="F47:G47"/>
    <mergeCell ref="H47:I47"/>
    <mergeCell ref="J47:K47"/>
    <mergeCell ref="L47:M47"/>
    <mergeCell ref="P47:Q47"/>
    <mergeCell ref="AJ46:AK46"/>
    <mergeCell ref="AL46:AM46"/>
    <mergeCell ref="AN46:AO46"/>
    <mergeCell ref="AP46:AQ46"/>
    <mergeCell ref="AR46:AS46"/>
    <mergeCell ref="AT46:AU46"/>
    <mergeCell ref="AV46:AW46"/>
    <mergeCell ref="BD49:BE49"/>
    <mergeCell ref="BF49:BI49"/>
    <mergeCell ref="AN49:AO49"/>
    <mergeCell ref="AP49:AQ49"/>
    <mergeCell ref="AR49:AS49"/>
    <mergeCell ref="AT49:AU49"/>
    <mergeCell ref="AV49:AW49"/>
    <mergeCell ref="AX49:AZ49"/>
    <mergeCell ref="BA49:BB49"/>
    <mergeCell ref="AJ47:AK47"/>
    <mergeCell ref="AL47:AM47"/>
    <mergeCell ref="R47:S47"/>
    <mergeCell ref="T47:U47"/>
    <mergeCell ref="V47:W47"/>
    <mergeCell ref="X47:AA47"/>
    <mergeCell ref="AB47:AE47"/>
    <mergeCell ref="AF47:AG47"/>
    <mergeCell ref="AH47:AI47"/>
    <mergeCell ref="R48:S48"/>
    <mergeCell ref="T48:U48"/>
    <mergeCell ref="V48:W48"/>
    <mergeCell ref="X48:AA48"/>
    <mergeCell ref="AB48:AE48"/>
    <mergeCell ref="AF48:AG48"/>
    <mergeCell ref="AH48:AI48"/>
    <mergeCell ref="AX48:AZ48"/>
    <mergeCell ref="BA48:BB48"/>
    <mergeCell ref="BD48:BE48"/>
    <mergeCell ref="BF48:BI48"/>
    <mergeCell ref="BJ44:BM44"/>
    <mergeCell ref="BN44:BV44"/>
    <mergeCell ref="BJ45:BM45"/>
    <mergeCell ref="BN45:BV45"/>
    <mergeCell ref="B44:C44"/>
    <mergeCell ref="D44:E44"/>
    <mergeCell ref="F44:G44"/>
    <mergeCell ref="H44:I44"/>
    <mergeCell ref="J44:K44"/>
    <mergeCell ref="L44:M44"/>
    <mergeCell ref="P44:Q44"/>
    <mergeCell ref="B45:C45"/>
    <mergeCell ref="D45:E45"/>
    <mergeCell ref="F45:G45"/>
    <mergeCell ref="H45:I45"/>
    <mergeCell ref="J45:K45"/>
    <mergeCell ref="L45:M45"/>
    <mergeCell ref="P45:Q45"/>
    <mergeCell ref="AJ44:AK44"/>
    <mergeCell ref="AL44:AM44"/>
    <mergeCell ref="AN44:AO44"/>
    <mergeCell ref="AP44:AQ44"/>
    <mergeCell ref="AR44:AS44"/>
    <mergeCell ref="AT44:AU44"/>
    <mergeCell ref="AV44:AW44"/>
    <mergeCell ref="BD47:BE47"/>
    <mergeCell ref="BF47:BI47"/>
    <mergeCell ref="AN47:AO47"/>
    <mergeCell ref="AP47:AQ47"/>
    <mergeCell ref="AR47:AS47"/>
    <mergeCell ref="AT47:AU47"/>
    <mergeCell ref="AV47:AW47"/>
    <mergeCell ref="AX47:AZ47"/>
    <mergeCell ref="BA47:BB47"/>
    <mergeCell ref="AJ45:AK45"/>
    <mergeCell ref="AL45:AM45"/>
    <mergeCell ref="R45:S45"/>
    <mergeCell ref="T45:U45"/>
    <mergeCell ref="V45:W45"/>
    <mergeCell ref="X45:AA45"/>
    <mergeCell ref="AB45:AE45"/>
    <mergeCell ref="AF45:AG45"/>
    <mergeCell ref="AH45:AI45"/>
    <mergeCell ref="R46:S46"/>
    <mergeCell ref="T46:U46"/>
    <mergeCell ref="V46:W46"/>
    <mergeCell ref="X46:AA46"/>
    <mergeCell ref="AB46:AE46"/>
    <mergeCell ref="AF46:AG46"/>
    <mergeCell ref="AH46:AI46"/>
    <mergeCell ref="AX46:AZ46"/>
    <mergeCell ref="BA46:BB46"/>
    <mergeCell ref="BD46:BE46"/>
    <mergeCell ref="BF46:BI46"/>
    <mergeCell ref="BJ46:BM46"/>
    <mergeCell ref="BN46:BV46"/>
    <mergeCell ref="BJ47:BM47"/>
    <mergeCell ref="BN47:BV47"/>
    <mergeCell ref="B46:C46"/>
    <mergeCell ref="D46:E46"/>
    <mergeCell ref="F46:G46"/>
    <mergeCell ref="H46:I46"/>
    <mergeCell ref="J46:K46"/>
    <mergeCell ref="L46:M46"/>
    <mergeCell ref="P42:Q42"/>
    <mergeCell ref="B43:C43"/>
    <mergeCell ref="D43:E43"/>
    <mergeCell ref="F43:G43"/>
    <mergeCell ref="H43:I43"/>
    <mergeCell ref="J43:K43"/>
    <mergeCell ref="L43:M43"/>
    <mergeCell ref="P43:Q43"/>
    <mergeCell ref="AJ42:AK42"/>
    <mergeCell ref="AL42:AM42"/>
    <mergeCell ref="AN42:AO42"/>
    <mergeCell ref="AP42:AQ42"/>
    <mergeCell ref="AR42:AS42"/>
    <mergeCell ref="AT42:AU42"/>
    <mergeCell ref="AV42:AW42"/>
    <mergeCell ref="BD45:BE45"/>
    <mergeCell ref="BF45:BI45"/>
    <mergeCell ref="AN45:AO45"/>
    <mergeCell ref="AP45:AQ45"/>
    <mergeCell ref="AR45:AS45"/>
    <mergeCell ref="AT45:AU45"/>
    <mergeCell ref="AV45:AW45"/>
    <mergeCell ref="AX45:AZ45"/>
    <mergeCell ref="BA45:BB45"/>
    <mergeCell ref="AJ43:AK43"/>
    <mergeCell ref="AL43:AM43"/>
    <mergeCell ref="R43:S43"/>
    <mergeCell ref="T43:U43"/>
    <mergeCell ref="V43:W43"/>
    <mergeCell ref="X43:AA43"/>
    <mergeCell ref="AB43:AE43"/>
    <mergeCell ref="AF43:AG43"/>
    <mergeCell ref="AH43:AI43"/>
    <mergeCell ref="R44:S44"/>
    <mergeCell ref="T44:U44"/>
    <mergeCell ref="V44:W44"/>
    <mergeCell ref="X44:AA44"/>
    <mergeCell ref="AB44:AE44"/>
    <mergeCell ref="AF44:AG44"/>
    <mergeCell ref="AH44:AI44"/>
    <mergeCell ref="AX44:AZ44"/>
    <mergeCell ref="BA44:BB44"/>
    <mergeCell ref="BD44:BE44"/>
    <mergeCell ref="BF44:BI44"/>
    <mergeCell ref="BJ40:BM40"/>
    <mergeCell ref="BN40:BV40"/>
    <mergeCell ref="BJ41:BM41"/>
    <mergeCell ref="BN41:BV41"/>
    <mergeCell ref="B40:C40"/>
    <mergeCell ref="D40:E40"/>
    <mergeCell ref="F40:G40"/>
    <mergeCell ref="H40:I40"/>
    <mergeCell ref="J40:K40"/>
    <mergeCell ref="L40:M40"/>
    <mergeCell ref="P40:Q40"/>
    <mergeCell ref="B41:C41"/>
    <mergeCell ref="D41:E41"/>
    <mergeCell ref="F41:G41"/>
    <mergeCell ref="H41:I41"/>
    <mergeCell ref="J41:K41"/>
    <mergeCell ref="L41:M41"/>
    <mergeCell ref="P41:Q41"/>
    <mergeCell ref="AJ40:AK40"/>
    <mergeCell ref="AL40:AM40"/>
    <mergeCell ref="AN40:AO40"/>
    <mergeCell ref="AP40:AQ40"/>
    <mergeCell ref="AR40:AS40"/>
    <mergeCell ref="AT40:AU40"/>
    <mergeCell ref="AV40:AW40"/>
    <mergeCell ref="BD43:BE43"/>
    <mergeCell ref="BF43:BI43"/>
    <mergeCell ref="AN43:AO43"/>
    <mergeCell ref="AP43:AQ43"/>
    <mergeCell ref="AR43:AS43"/>
    <mergeCell ref="AT43:AU43"/>
    <mergeCell ref="AV43:AW43"/>
    <mergeCell ref="AX43:AZ43"/>
    <mergeCell ref="BA43:BB43"/>
    <mergeCell ref="AJ41:AK41"/>
    <mergeCell ref="AL41:AM41"/>
    <mergeCell ref="R41:S41"/>
    <mergeCell ref="T41:U41"/>
    <mergeCell ref="V41:W41"/>
    <mergeCell ref="X41:AA41"/>
    <mergeCell ref="AB41:AE41"/>
    <mergeCell ref="AF41:AG41"/>
    <mergeCell ref="AH41:AI41"/>
    <mergeCell ref="R42:S42"/>
    <mergeCell ref="T42:U42"/>
    <mergeCell ref="V42:W42"/>
    <mergeCell ref="X42:AA42"/>
    <mergeCell ref="AB42:AE42"/>
    <mergeCell ref="AF42:AG42"/>
    <mergeCell ref="AH42:AI42"/>
    <mergeCell ref="AX42:AZ42"/>
    <mergeCell ref="BA42:BB42"/>
    <mergeCell ref="BD42:BE42"/>
    <mergeCell ref="BF42:BI42"/>
    <mergeCell ref="BJ42:BM42"/>
    <mergeCell ref="BN42:BV42"/>
    <mergeCell ref="BJ43:BM43"/>
    <mergeCell ref="BN43:BV43"/>
    <mergeCell ref="B42:C42"/>
    <mergeCell ref="D42:E42"/>
    <mergeCell ref="F42:G42"/>
    <mergeCell ref="H42:I42"/>
    <mergeCell ref="J42:K42"/>
    <mergeCell ref="L42:M42"/>
    <mergeCell ref="BJ37:BM37"/>
    <mergeCell ref="BN37:BV37"/>
    <mergeCell ref="R37:S37"/>
    <mergeCell ref="T37:U37"/>
    <mergeCell ref="V37:W37"/>
    <mergeCell ref="X37:AA37"/>
    <mergeCell ref="AB37:AE37"/>
    <mergeCell ref="AF37:AG37"/>
    <mergeCell ref="AH37:AI37"/>
    <mergeCell ref="R38:S38"/>
    <mergeCell ref="T38:U38"/>
    <mergeCell ref="V38:W38"/>
    <mergeCell ref="X38:AA38"/>
    <mergeCell ref="AB38:AE38"/>
    <mergeCell ref="AF38:AG38"/>
    <mergeCell ref="AH38:AI38"/>
    <mergeCell ref="AX38:AZ38"/>
    <mergeCell ref="BA38:BB38"/>
    <mergeCell ref="BD38:BE38"/>
    <mergeCell ref="BF38:BI38"/>
    <mergeCell ref="BJ38:BM38"/>
    <mergeCell ref="BN38:BV38"/>
    <mergeCell ref="BJ39:BM39"/>
    <mergeCell ref="BN39:BV39"/>
    <mergeCell ref="B38:C38"/>
    <mergeCell ref="D38:E38"/>
    <mergeCell ref="F38:G38"/>
    <mergeCell ref="H38:I38"/>
    <mergeCell ref="J38:K38"/>
    <mergeCell ref="L38:M38"/>
    <mergeCell ref="P38:Q38"/>
    <mergeCell ref="B39:C39"/>
    <mergeCell ref="D39:E39"/>
    <mergeCell ref="F39:G39"/>
    <mergeCell ref="H39:I39"/>
    <mergeCell ref="J39:K39"/>
    <mergeCell ref="L39:M39"/>
    <mergeCell ref="P39:Q39"/>
    <mergeCell ref="AJ38:AK38"/>
    <mergeCell ref="AL38:AM38"/>
    <mergeCell ref="AN38:AO38"/>
    <mergeCell ref="AP38:AQ38"/>
    <mergeCell ref="AR38:AS38"/>
    <mergeCell ref="AT38:AU38"/>
    <mergeCell ref="AV38:AW38"/>
    <mergeCell ref="AJ39:AK39"/>
    <mergeCell ref="AL39:AM39"/>
    <mergeCell ref="R39:S39"/>
    <mergeCell ref="T39:U39"/>
    <mergeCell ref="V39:W39"/>
    <mergeCell ref="X39:AA39"/>
    <mergeCell ref="AB39:AE39"/>
    <mergeCell ref="AF39:AG39"/>
    <mergeCell ref="AH39:AI39"/>
    <mergeCell ref="D37:E37"/>
    <mergeCell ref="F37:G37"/>
    <mergeCell ref="H37:I37"/>
    <mergeCell ref="J37:K37"/>
    <mergeCell ref="L37:M37"/>
    <mergeCell ref="P37:Q37"/>
    <mergeCell ref="BJ20:BM20"/>
    <mergeCell ref="BN20:BV20"/>
    <mergeCell ref="BJ21:BM21"/>
    <mergeCell ref="BN21:BV21"/>
    <mergeCell ref="B21:C21"/>
    <mergeCell ref="D21:E21"/>
    <mergeCell ref="F21:G21"/>
    <mergeCell ref="H21:I21"/>
    <mergeCell ref="J21:K21"/>
    <mergeCell ref="L21:M21"/>
    <mergeCell ref="P21:Q21"/>
    <mergeCell ref="AJ20:AK20"/>
    <mergeCell ref="AL20:AM20"/>
    <mergeCell ref="AN20:AO20"/>
    <mergeCell ref="AP20:AQ20"/>
    <mergeCell ref="AR20:AS20"/>
    <mergeCell ref="AT20:AU20"/>
    <mergeCell ref="AV20:AW20"/>
    <mergeCell ref="BD23:BE23"/>
    <mergeCell ref="BF23:BI23"/>
    <mergeCell ref="AN23:AO23"/>
    <mergeCell ref="AP23:AQ23"/>
    <mergeCell ref="AR23:AS23"/>
    <mergeCell ref="AT23:AU23"/>
    <mergeCell ref="AV23:AW23"/>
    <mergeCell ref="AX23:AZ23"/>
    <mergeCell ref="BA23:BB23"/>
    <mergeCell ref="B22:C22"/>
    <mergeCell ref="D22:E22"/>
    <mergeCell ref="F22:G22"/>
    <mergeCell ref="H22:I22"/>
    <mergeCell ref="J22:K22"/>
    <mergeCell ref="L22:M22"/>
    <mergeCell ref="P22:Q22"/>
    <mergeCell ref="B23:C23"/>
    <mergeCell ref="D23:E23"/>
    <mergeCell ref="F23:G23"/>
    <mergeCell ref="H23:I23"/>
    <mergeCell ref="J23:K23"/>
    <mergeCell ref="L23:M23"/>
    <mergeCell ref="P23:Q23"/>
    <mergeCell ref="AJ22:AK22"/>
    <mergeCell ref="AL22:AM22"/>
    <mergeCell ref="AN22:AO22"/>
    <mergeCell ref="AP22:AQ22"/>
    <mergeCell ref="AR22:AS22"/>
    <mergeCell ref="AT22:AU22"/>
    <mergeCell ref="AV22:AW22"/>
    <mergeCell ref="AJ21:AK21"/>
    <mergeCell ref="AL21:AM21"/>
    <mergeCell ref="R21:S21"/>
    <mergeCell ref="T21:U21"/>
    <mergeCell ref="V21:W21"/>
    <mergeCell ref="X21:AA21"/>
    <mergeCell ref="AB21:AE21"/>
    <mergeCell ref="BJ17:BM17"/>
    <mergeCell ref="BN17:BV17"/>
    <mergeCell ref="BJ18:BM18"/>
    <mergeCell ref="BN18:BV18"/>
    <mergeCell ref="B17:C17"/>
    <mergeCell ref="D17:E17"/>
    <mergeCell ref="F17:G17"/>
    <mergeCell ref="H17:I17"/>
    <mergeCell ref="J17:K17"/>
    <mergeCell ref="L17:M17"/>
    <mergeCell ref="P17:Q17"/>
    <mergeCell ref="AJ17:AK17"/>
    <mergeCell ref="AL17:AM17"/>
    <mergeCell ref="AN17:AO17"/>
    <mergeCell ref="AP17:AQ17"/>
    <mergeCell ref="AR17:AS17"/>
    <mergeCell ref="AT17:AU17"/>
    <mergeCell ref="AV17:AW17"/>
    <mergeCell ref="B18:C18"/>
    <mergeCell ref="D18:E18"/>
    <mergeCell ref="F18:G18"/>
    <mergeCell ref="H18:I18"/>
    <mergeCell ref="J18:K18"/>
    <mergeCell ref="L18:M18"/>
    <mergeCell ref="P18:Q18"/>
    <mergeCell ref="R20:S20"/>
    <mergeCell ref="T20:U20"/>
    <mergeCell ref="V20:W20"/>
    <mergeCell ref="X20:AA20"/>
    <mergeCell ref="AB20:AE20"/>
    <mergeCell ref="AF20:AG20"/>
    <mergeCell ref="AH20:AI20"/>
    <mergeCell ref="B20:C20"/>
    <mergeCell ref="D20:E20"/>
    <mergeCell ref="F20:G20"/>
    <mergeCell ref="H20:I20"/>
    <mergeCell ref="J20:K20"/>
    <mergeCell ref="L20:M20"/>
    <mergeCell ref="P20:Q20"/>
    <mergeCell ref="R19:S19"/>
    <mergeCell ref="T19:U19"/>
    <mergeCell ref="V19:W19"/>
    <mergeCell ref="X19:AA19"/>
    <mergeCell ref="AB19:AE19"/>
    <mergeCell ref="AF19:AG19"/>
    <mergeCell ref="AH19:AI19"/>
    <mergeCell ref="AX19:AZ19"/>
    <mergeCell ref="BA19:BB19"/>
    <mergeCell ref="BD19:BE19"/>
    <mergeCell ref="BF19:BI19"/>
    <mergeCell ref="BJ19:BM19"/>
    <mergeCell ref="BN19:BV19"/>
    <mergeCell ref="AJ19:AK19"/>
    <mergeCell ref="AL19:AM19"/>
    <mergeCell ref="AN19:AO19"/>
    <mergeCell ref="AP19:AQ19"/>
    <mergeCell ref="AR19:AS19"/>
    <mergeCell ref="AT19:AU19"/>
    <mergeCell ref="AV19:AW19"/>
    <mergeCell ref="B19:C19"/>
    <mergeCell ref="D19:E19"/>
    <mergeCell ref="F19:G19"/>
    <mergeCell ref="H19:I19"/>
    <mergeCell ref="J19:K19"/>
    <mergeCell ref="BJ15:BM15"/>
    <mergeCell ref="BN15:BV15"/>
    <mergeCell ref="BJ16:BM16"/>
    <mergeCell ref="BN16:BV16"/>
    <mergeCell ref="B15:C15"/>
    <mergeCell ref="D15:E15"/>
    <mergeCell ref="F15:G15"/>
    <mergeCell ref="H15:I15"/>
    <mergeCell ref="J15:K15"/>
    <mergeCell ref="L15:M15"/>
    <mergeCell ref="P15:Q15"/>
    <mergeCell ref="B16:C16"/>
    <mergeCell ref="D16:E16"/>
    <mergeCell ref="F16:G16"/>
    <mergeCell ref="H16:I16"/>
    <mergeCell ref="J16:K16"/>
    <mergeCell ref="L16:M16"/>
    <mergeCell ref="P16:Q16"/>
    <mergeCell ref="AJ15:AK15"/>
    <mergeCell ref="AL15:AM15"/>
    <mergeCell ref="AN15:AO15"/>
    <mergeCell ref="AP15:AQ15"/>
    <mergeCell ref="AR15:AS15"/>
    <mergeCell ref="AT15:AU15"/>
    <mergeCell ref="AV15:AW15"/>
    <mergeCell ref="AJ16:AK16"/>
    <mergeCell ref="AL16:AM16"/>
    <mergeCell ref="R16:S16"/>
    <mergeCell ref="T16:U16"/>
    <mergeCell ref="V16:W16"/>
    <mergeCell ref="X16:AA16"/>
    <mergeCell ref="AB16:AE16"/>
    <mergeCell ref="AF16:AG16"/>
    <mergeCell ref="AH16:AI16"/>
    <mergeCell ref="BD16:BE16"/>
    <mergeCell ref="BF16:BI16"/>
    <mergeCell ref="AN16:AO16"/>
    <mergeCell ref="AP16:AQ16"/>
    <mergeCell ref="AR16:AS16"/>
    <mergeCell ref="AT16:AU16"/>
    <mergeCell ref="AV16:AW16"/>
    <mergeCell ref="AX16:AZ16"/>
    <mergeCell ref="BA16:BB16"/>
    <mergeCell ref="AB23:AE23"/>
    <mergeCell ref="AF23:AG23"/>
    <mergeCell ref="AH23:AI23"/>
    <mergeCell ref="R24:S24"/>
    <mergeCell ref="T24:U24"/>
    <mergeCell ref="V24:W24"/>
    <mergeCell ref="X24:AA24"/>
    <mergeCell ref="AB24:AE24"/>
    <mergeCell ref="AF24:AG24"/>
    <mergeCell ref="AH24:AI24"/>
    <mergeCell ref="AX24:AZ24"/>
    <mergeCell ref="BA24:BB24"/>
    <mergeCell ref="BD24:BE24"/>
    <mergeCell ref="BF24:BI24"/>
    <mergeCell ref="B24:C24"/>
    <mergeCell ref="D24:E24"/>
    <mergeCell ref="F24:G24"/>
    <mergeCell ref="H24:I24"/>
    <mergeCell ref="J24:K24"/>
    <mergeCell ref="L24:M24"/>
    <mergeCell ref="P24:Q24"/>
    <mergeCell ref="B25:C25"/>
    <mergeCell ref="D25:E25"/>
    <mergeCell ref="F25:G25"/>
    <mergeCell ref="H25:I25"/>
    <mergeCell ref="J25:K25"/>
    <mergeCell ref="L25:M25"/>
    <mergeCell ref="P25:Q25"/>
    <mergeCell ref="R15:S15"/>
    <mergeCell ref="T15:U15"/>
    <mergeCell ref="V15:W15"/>
    <mergeCell ref="X15:AA15"/>
    <mergeCell ref="AB15:AE15"/>
    <mergeCell ref="AF15:AG15"/>
    <mergeCell ref="AH15:AI15"/>
    <mergeCell ref="AX15:AZ15"/>
    <mergeCell ref="BA15:BB15"/>
    <mergeCell ref="BD15:BE15"/>
    <mergeCell ref="BF15:BI15"/>
    <mergeCell ref="BA17:BB17"/>
    <mergeCell ref="BD17:BE17"/>
    <mergeCell ref="BF17:BI17"/>
    <mergeCell ref="L19:M19"/>
    <mergeCell ref="P19:Q19"/>
    <mergeCell ref="AX20:AZ20"/>
    <mergeCell ref="BA20:BB20"/>
    <mergeCell ref="BD20:BE20"/>
    <mergeCell ref="BF20:BI20"/>
    <mergeCell ref="BJ22:BM22"/>
    <mergeCell ref="BN22:BV22"/>
    <mergeCell ref="BJ23:BM23"/>
    <mergeCell ref="BN23:BV23"/>
    <mergeCell ref="BJ24:BM24"/>
    <mergeCell ref="BN24:BV24"/>
    <mergeCell ref="BJ25:BM25"/>
    <mergeCell ref="BN25:BV25"/>
    <mergeCell ref="AJ24:AK24"/>
    <mergeCell ref="AL24:AM24"/>
    <mergeCell ref="AN24:AO24"/>
    <mergeCell ref="AP24:AQ24"/>
    <mergeCell ref="AR24:AS24"/>
    <mergeCell ref="AT24:AU24"/>
    <mergeCell ref="AV24:AW24"/>
    <mergeCell ref="BD21:BE21"/>
    <mergeCell ref="BF21:BI21"/>
    <mergeCell ref="AN21:AO21"/>
    <mergeCell ref="AP21:AQ21"/>
    <mergeCell ref="AR21:AS21"/>
    <mergeCell ref="AT21:AU21"/>
    <mergeCell ref="AV21:AW21"/>
    <mergeCell ref="AX21:AZ21"/>
    <mergeCell ref="BA21:BB21"/>
    <mergeCell ref="BD25:BE25"/>
    <mergeCell ref="BF25:BI25"/>
    <mergeCell ref="AN25:AO25"/>
    <mergeCell ref="AP25:AQ25"/>
    <mergeCell ref="AR25:AS25"/>
    <mergeCell ref="AT25:AU25"/>
    <mergeCell ref="AV25:AW25"/>
    <mergeCell ref="AX25:AZ25"/>
    <mergeCell ref="BA25:BB25"/>
    <mergeCell ref="AJ23:AK23"/>
    <mergeCell ref="AL23:AM23"/>
    <mergeCell ref="BJ51:BM51"/>
    <mergeCell ref="BN51:BV51"/>
    <mergeCell ref="R51:S51"/>
    <mergeCell ref="T51:U51"/>
    <mergeCell ref="V51:W51"/>
    <mergeCell ref="X51:AA51"/>
    <mergeCell ref="AB51:AE51"/>
    <mergeCell ref="AF51:AG51"/>
    <mergeCell ref="AH51:AI51"/>
    <mergeCell ref="BJ97:BM97"/>
    <mergeCell ref="BN97:BV97"/>
    <mergeCell ref="AJ97:AK97"/>
    <mergeCell ref="AL97:AM97"/>
    <mergeCell ref="AN97:AO97"/>
    <mergeCell ref="AP97:AQ97"/>
    <mergeCell ref="AR97:AS97"/>
    <mergeCell ref="AT97:AU97"/>
    <mergeCell ref="AV97:AW97"/>
    <mergeCell ref="B97:C97"/>
    <mergeCell ref="D97:E97"/>
    <mergeCell ref="F97:G97"/>
    <mergeCell ref="H97:I97"/>
    <mergeCell ref="J97:K97"/>
    <mergeCell ref="L97:M97"/>
    <mergeCell ref="P97:Q97"/>
    <mergeCell ref="AX98:AZ98"/>
    <mergeCell ref="BA98:BB98"/>
    <mergeCell ref="BD98:BE98"/>
    <mergeCell ref="BF98:BI98"/>
    <mergeCell ref="BJ98:BM98"/>
    <mergeCell ref="BN98:BV98"/>
    <mergeCell ref="R97:S97"/>
    <mergeCell ref="T97:U97"/>
    <mergeCell ref="V97:W97"/>
    <mergeCell ref="X97:AA97"/>
    <mergeCell ref="AB97:AE97"/>
    <mergeCell ref="AF97:AG97"/>
    <mergeCell ref="AH97:AI97"/>
    <mergeCell ref="AX97:AZ97"/>
    <mergeCell ref="BA97:BB97"/>
    <mergeCell ref="BD97:BE97"/>
    <mergeCell ref="BF97:BI97"/>
    <mergeCell ref="B90:C90"/>
    <mergeCell ref="D90:E90"/>
    <mergeCell ref="F90:G90"/>
    <mergeCell ref="H90:I90"/>
    <mergeCell ref="J90:K90"/>
    <mergeCell ref="L90:M90"/>
    <mergeCell ref="P90:Q90"/>
    <mergeCell ref="AJ89:AK89"/>
    <mergeCell ref="AL89:AM89"/>
    <mergeCell ref="AN89:AO89"/>
    <mergeCell ref="AP89:AQ89"/>
    <mergeCell ref="AR89:AS89"/>
    <mergeCell ref="AT89:AU89"/>
    <mergeCell ref="AV89:AW89"/>
    <mergeCell ref="BD92:BE92"/>
    <mergeCell ref="BF92:BI92"/>
    <mergeCell ref="AN92:AO92"/>
    <mergeCell ref="AP92:AQ92"/>
    <mergeCell ref="AR92:AS92"/>
    <mergeCell ref="AT92:AU92"/>
    <mergeCell ref="BJ99:BM99"/>
    <mergeCell ref="BN99:BV99"/>
    <mergeCell ref="B99:C99"/>
    <mergeCell ref="D99:E99"/>
    <mergeCell ref="F99:G99"/>
    <mergeCell ref="H99:I99"/>
    <mergeCell ref="J99:K99"/>
    <mergeCell ref="L99:M99"/>
    <mergeCell ref="P99:Q99"/>
    <mergeCell ref="AJ98:AK98"/>
    <mergeCell ref="AL98:AM98"/>
    <mergeCell ref="AN98:AO98"/>
    <mergeCell ref="AP98:AQ98"/>
    <mergeCell ref="AR98:AS98"/>
    <mergeCell ref="AT98:AU98"/>
    <mergeCell ref="AV98:AW98"/>
    <mergeCell ref="R98:S98"/>
    <mergeCell ref="T98:U98"/>
    <mergeCell ref="V98:W98"/>
    <mergeCell ref="X98:AA98"/>
    <mergeCell ref="AB98:AE98"/>
    <mergeCell ref="AF98:AG98"/>
    <mergeCell ref="AH98:AI98"/>
    <mergeCell ref="B98:C98"/>
    <mergeCell ref="D98:E98"/>
    <mergeCell ref="F98:G98"/>
    <mergeCell ref="H98:I98"/>
    <mergeCell ref="J98:K98"/>
    <mergeCell ref="L98:M98"/>
    <mergeCell ref="P98:Q98"/>
    <mergeCell ref="BD99:BE99"/>
    <mergeCell ref="BF99:BI99"/>
    <mergeCell ref="AN99:AO99"/>
    <mergeCell ref="AP99:AQ99"/>
    <mergeCell ref="AR99:AS99"/>
    <mergeCell ref="AT99:AU99"/>
    <mergeCell ref="AV99:AW99"/>
    <mergeCell ref="AX99:AZ99"/>
    <mergeCell ref="BA99:BB99"/>
    <mergeCell ref="AJ99:AK99"/>
    <mergeCell ref="AL99:AM99"/>
    <mergeCell ref="R99:S99"/>
    <mergeCell ref="T99:U99"/>
    <mergeCell ref="V99:W99"/>
    <mergeCell ref="X99:AA99"/>
    <mergeCell ref="AB99:AE99"/>
    <mergeCell ref="AF99:AG99"/>
    <mergeCell ref="AH99:AI99"/>
    <mergeCell ref="AP96:AQ96"/>
    <mergeCell ref="AR96:AS96"/>
    <mergeCell ref="AT96:AU96"/>
    <mergeCell ref="AV96:AW96"/>
    <mergeCell ref="AX96:AZ96"/>
    <mergeCell ref="BA96:BB96"/>
    <mergeCell ref="AJ94:AK94"/>
    <mergeCell ref="AL94:AM94"/>
    <mergeCell ref="R94:S94"/>
    <mergeCell ref="T94:U94"/>
    <mergeCell ref="V94:W94"/>
    <mergeCell ref="X94:AA94"/>
    <mergeCell ref="AB94:AE94"/>
    <mergeCell ref="AF94:AG94"/>
    <mergeCell ref="AH94:AI94"/>
    <mergeCell ref="R95:S95"/>
    <mergeCell ref="T95:U95"/>
    <mergeCell ref="V95:W95"/>
    <mergeCell ref="X95:AA95"/>
    <mergeCell ref="AB95:AE95"/>
    <mergeCell ref="AF95:AG95"/>
    <mergeCell ref="AH95:AI95"/>
    <mergeCell ref="AX95:AZ95"/>
    <mergeCell ref="BA95:BB95"/>
    <mergeCell ref="BD95:BE95"/>
    <mergeCell ref="BF95:BI95"/>
    <mergeCell ref="B95:C95"/>
    <mergeCell ref="D95:E95"/>
    <mergeCell ref="F95:G95"/>
    <mergeCell ref="H95:I95"/>
    <mergeCell ref="J95:K95"/>
    <mergeCell ref="L95:M95"/>
    <mergeCell ref="P95:Q95"/>
    <mergeCell ref="AJ95:AK95"/>
    <mergeCell ref="AL95:AM95"/>
    <mergeCell ref="AN95:AO95"/>
    <mergeCell ref="AP95:AQ95"/>
    <mergeCell ref="AR95:AS95"/>
    <mergeCell ref="AT95:AU95"/>
    <mergeCell ref="AV95:AW95"/>
    <mergeCell ref="R102:S102"/>
    <mergeCell ref="T102:U102"/>
    <mergeCell ref="V102:W102"/>
    <mergeCell ref="X102:AA102"/>
    <mergeCell ref="AB102:AE102"/>
    <mergeCell ref="AF102:AG102"/>
    <mergeCell ref="AH102:AI102"/>
    <mergeCell ref="AX102:AZ102"/>
    <mergeCell ref="BA102:BB102"/>
    <mergeCell ref="BD102:BE102"/>
    <mergeCell ref="BF102:BI102"/>
    <mergeCell ref="BJ102:BM102"/>
    <mergeCell ref="BN102:BV102"/>
    <mergeCell ref="BJ103:BM103"/>
    <mergeCell ref="BN103:BV103"/>
    <mergeCell ref="BD101:BE101"/>
    <mergeCell ref="BF101:BI101"/>
    <mergeCell ref="AN101:AO101"/>
    <mergeCell ref="AP101:AQ101"/>
    <mergeCell ref="AR101:AS101"/>
    <mergeCell ref="AT101:AU101"/>
    <mergeCell ref="AV101:AW101"/>
    <mergeCell ref="AX101:AZ101"/>
    <mergeCell ref="BA101:BB101"/>
    <mergeCell ref="B102:C102"/>
    <mergeCell ref="D102:E102"/>
    <mergeCell ref="F102:G102"/>
    <mergeCell ref="H102:I102"/>
    <mergeCell ref="J102:K102"/>
    <mergeCell ref="L102:M102"/>
    <mergeCell ref="P102:Q102"/>
    <mergeCell ref="B103:C103"/>
    <mergeCell ref="D103:E103"/>
    <mergeCell ref="F103:G103"/>
    <mergeCell ref="H103:I103"/>
    <mergeCell ref="J103:K103"/>
    <mergeCell ref="L103:M103"/>
    <mergeCell ref="P103:Q103"/>
    <mergeCell ref="AJ102:AK102"/>
    <mergeCell ref="AL102:AM102"/>
    <mergeCell ref="AN102:AO102"/>
    <mergeCell ref="AP102:AQ102"/>
    <mergeCell ref="AR102:AS102"/>
    <mergeCell ref="AT102:AU102"/>
    <mergeCell ref="AV102:AW102"/>
    <mergeCell ref="AJ103:AK103"/>
    <mergeCell ref="AL103:AM103"/>
    <mergeCell ref="R103:S103"/>
    <mergeCell ref="T103:U103"/>
    <mergeCell ref="V103:W103"/>
    <mergeCell ref="X103:AA103"/>
    <mergeCell ref="AB103:AE103"/>
    <mergeCell ref="AF103:AG103"/>
    <mergeCell ref="AH103:AI103"/>
    <mergeCell ref="BD103:BE103"/>
    <mergeCell ref="BF103:BI103"/>
    <mergeCell ref="AN103:AO103"/>
    <mergeCell ref="AP103:AQ103"/>
    <mergeCell ref="AR103:AS103"/>
    <mergeCell ref="AT103:AU103"/>
    <mergeCell ref="AV103:AW103"/>
    <mergeCell ref="AX103:AZ103"/>
    <mergeCell ref="BA103:BB103"/>
    <mergeCell ref="R100:S100"/>
    <mergeCell ref="T100:U100"/>
    <mergeCell ref="V100:W100"/>
    <mergeCell ref="X100:AA100"/>
    <mergeCell ref="AB100:AE100"/>
    <mergeCell ref="AF100:AG100"/>
    <mergeCell ref="AH100:AI100"/>
    <mergeCell ref="AX100:AZ100"/>
    <mergeCell ref="BA100:BB100"/>
    <mergeCell ref="BD100:BE100"/>
    <mergeCell ref="BF100:BI100"/>
    <mergeCell ref="BJ100:BM100"/>
    <mergeCell ref="BN100:BV100"/>
    <mergeCell ref="BJ101:BM101"/>
    <mergeCell ref="BN101:BV101"/>
    <mergeCell ref="B100:C100"/>
    <mergeCell ref="D100:E100"/>
    <mergeCell ref="F100:G100"/>
    <mergeCell ref="H100:I100"/>
    <mergeCell ref="J100:K100"/>
    <mergeCell ref="L100:M100"/>
    <mergeCell ref="P100:Q100"/>
    <mergeCell ref="B101:C101"/>
    <mergeCell ref="D101:E101"/>
    <mergeCell ref="F101:G101"/>
    <mergeCell ref="H101:I101"/>
    <mergeCell ref="J101:K101"/>
    <mergeCell ref="L101:M101"/>
    <mergeCell ref="P101:Q101"/>
    <mergeCell ref="AJ100:AK100"/>
    <mergeCell ref="AL100:AM100"/>
    <mergeCell ref="AN100:AO100"/>
    <mergeCell ref="AP100:AQ100"/>
    <mergeCell ref="AR100:AS100"/>
    <mergeCell ref="AT100:AU100"/>
    <mergeCell ref="AV100:AW100"/>
    <mergeCell ref="AJ101:AK101"/>
    <mergeCell ref="AL101:AM101"/>
    <mergeCell ref="R101:S101"/>
    <mergeCell ref="T101:U101"/>
    <mergeCell ref="V101:W101"/>
    <mergeCell ref="X101:AA101"/>
    <mergeCell ref="AB101:AE101"/>
    <mergeCell ref="AF101:AG101"/>
    <mergeCell ref="AH101:AI101"/>
    <mergeCell ref="AJ96:AK96"/>
    <mergeCell ref="AL96:AM96"/>
    <mergeCell ref="BJ96:BM96"/>
    <mergeCell ref="BN96:BV96"/>
    <mergeCell ref="R96:S96"/>
    <mergeCell ref="T96:U96"/>
    <mergeCell ref="V96:W96"/>
    <mergeCell ref="X96:AA96"/>
    <mergeCell ref="AB96:AE96"/>
    <mergeCell ref="AF96:AG96"/>
    <mergeCell ref="AH96:AI96"/>
    <mergeCell ref="BJ95:BM95"/>
    <mergeCell ref="BN95:BV95"/>
    <mergeCell ref="B96:C96"/>
    <mergeCell ref="D96:E96"/>
    <mergeCell ref="F96:G96"/>
    <mergeCell ref="H96:I96"/>
    <mergeCell ref="J96:K96"/>
    <mergeCell ref="L96:M96"/>
    <mergeCell ref="P96:Q96"/>
    <mergeCell ref="BJ86:BM86"/>
    <mergeCell ref="BN86:BV86"/>
    <mergeCell ref="B86:C86"/>
    <mergeCell ref="D86:E86"/>
    <mergeCell ref="F86:G86"/>
    <mergeCell ref="H86:I86"/>
    <mergeCell ref="J86:K86"/>
    <mergeCell ref="L86:M86"/>
    <mergeCell ref="P86:Q86"/>
    <mergeCell ref="AJ86:AK86"/>
    <mergeCell ref="AL86:AM86"/>
    <mergeCell ref="AN86:AO86"/>
    <mergeCell ref="AP86:AQ86"/>
    <mergeCell ref="AR86:AS86"/>
    <mergeCell ref="AT86:AU86"/>
    <mergeCell ref="AV86:AW86"/>
    <mergeCell ref="B87:C87"/>
    <mergeCell ref="D87:E87"/>
    <mergeCell ref="F87:G87"/>
    <mergeCell ref="H87:I87"/>
    <mergeCell ref="J87:K87"/>
    <mergeCell ref="L87:M87"/>
    <mergeCell ref="P87:Q87"/>
    <mergeCell ref="R89:S89"/>
    <mergeCell ref="T89:U89"/>
    <mergeCell ref="V89:W89"/>
    <mergeCell ref="X89:AA89"/>
    <mergeCell ref="AB89:AE89"/>
    <mergeCell ref="AF89:AG89"/>
    <mergeCell ref="AH89:AI89"/>
    <mergeCell ref="B89:C89"/>
    <mergeCell ref="D89:E89"/>
    <mergeCell ref="F89:G89"/>
    <mergeCell ref="H89:I89"/>
    <mergeCell ref="J89:K89"/>
    <mergeCell ref="L89:M89"/>
    <mergeCell ref="P89:Q89"/>
    <mergeCell ref="R88:S88"/>
    <mergeCell ref="T88:U88"/>
    <mergeCell ref="V88:W88"/>
    <mergeCell ref="X88:AA88"/>
    <mergeCell ref="BD96:BE96"/>
    <mergeCell ref="BF96:BI96"/>
    <mergeCell ref="AN96:AO96"/>
    <mergeCell ref="B88:C88"/>
    <mergeCell ref="D88:E88"/>
    <mergeCell ref="F88:G88"/>
    <mergeCell ref="H88:I88"/>
    <mergeCell ref="J88:K88"/>
    <mergeCell ref="L88:M88"/>
    <mergeCell ref="P88:Q88"/>
    <mergeCell ref="D94:E94"/>
    <mergeCell ref="F94:G94"/>
    <mergeCell ref="H94:I94"/>
    <mergeCell ref="J94:K94"/>
    <mergeCell ref="L94:M94"/>
    <mergeCell ref="P94:Q94"/>
    <mergeCell ref="AJ93:AK93"/>
    <mergeCell ref="AL93:AM93"/>
    <mergeCell ref="AN93:AO93"/>
    <mergeCell ref="AP93:AQ93"/>
    <mergeCell ref="AR93:AS93"/>
    <mergeCell ref="AT93:AU93"/>
    <mergeCell ref="AV93:AW93"/>
    <mergeCell ref="BJ92:BM92"/>
    <mergeCell ref="BN92:BV92"/>
    <mergeCell ref="B91:C91"/>
    <mergeCell ref="D91:E91"/>
    <mergeCell ref="F91:G91"/>
    <mergeCell ref="H91:I91"/>
    <mergeCell ref="J91:K91"/>
    <mergeCell ref="L91:M91"/>
    <mergeCell ref="P91:Q91"/>
    <mergeCell ref="B92:C92"/>
    <mergeCell ref="D92:E92"/>
    <mergeCell ref="F92:G92"/>
    <mergeCell ref="H92:I92"/>
    <mergeCell ref="J92:K92"/>
    <mergeCell ref="L92:M92"/>
    <mergeCell ref="P92:Q92"/>
    <mergeCell ref="AJ91:AK91"/>
    <mergeCell ref="AL91:AM91"/>
    <mergeCell ref="AN91:AO91"/>
    <mergeCell ref="AP91:AQ91"/>
    <mergeCell ref="AR91:AS91"/>
    <mergeCell ref="AT91:AU91"/>
    <mergeCell ref="AV91:AW91"/>
    <mergeCell ref="BD94:BE94"/>
    <mergeCell ref="BF94:BI94"/>
    <mergeCell ref="AN94:AO94"/>
    <mergeCell ref="AP94:AQ94"/>
    <mergeCell ref="AR94:AS94"/>
    <mergeCell ref="AV92:AW92"/>
    <mergeCell ref="AX92:AZ92"/>
    <mergeCell ref="BA92:BB92"/>
    <mergeCell ref="R86:S86"/>
    <mergeCell ref="T86:U86"/>
    <mergeCell ref="V86:W86"/>
    <mergeCell ref="X86:AA86"/>
    <mergeCell ref="AB86:AE86"/>
    <mergeCell ref="AF86:AG86"/>
    <mergeCell ref="AH86:AI86"/>
    <mergeCell ref="AX86:AZ86"/>
    <mergeCell ref="BA86:BB86"/>
    <mergeCell ref="BD86:BE86"/>
    <mergeCell ref="BF86:BI86"/>
    <mergeCell ref="BD90:BE90"/>
    <mergeCell ref="BF90:BI90"/>
    <mergeCell ref="AN90:AO90"/>
    <mergeCell ref="AP90:AQ90"/>
    <mergeCell ref="AR90:AS90"/>
    <mergeCell ref="AT90:AU90"/>
    <mergeCell ref="AV90:AW90"/>
    <mergeCell ref="AX90:AZ90"/>
    <mergeCell ref="BA90:BB90"/>
    <mergeCell ref="AX89:AZ89"/>
    <mergeCell ref="BA89:BB89"/>
    <mergeCell ref="BD89:BE89"/>
    <mergeCell ref="BF89:BI89"/>
    <mergeCell ref="AJ87:AK87"/>
    <mergeCell ref="AL87:AM87"/>
    <mergeCell ref="AB88:AE88"/>
    <mergeCell ref="AF88:AG88"/>
    <mergeCell ref="AH88:AI88"/>
    <mergeCell ref="AX88:AZ88"/>
    <mergeCell ref="BA88:BB88"/>
    <mergeCell ref="BD88:BE88"/>
    <mergeCell ref="BF88:BI88"/>
    <mergeCell ref="AJ88:AK88"/>
    <mergeCell ref="AL88:AM88"/>
    <mergeCell ref="AN88:AO88"/>
    <mergeCell ref="AP88:AQ88"/>
    <mergeCell ref="AR88:AS88"/>
    <mergeCell ref="AT88:AU88"/>
    <mergeCell ref="AV88:AW88"/>
    <mergeCell ref="AT94:AU94"/>
    <mergeCell ref="AV94:AW94"/>
    <mergeCell ref="AX94:AZ94"/>
    <mergeCell ref="BA94:BB94"/>
    <mergeCell ref="AJ92:AK92"/>
    <mergeCell ref="AL92:AM92"/>
    <mergeCell ref="R92:S92"/>
    <mergeCell ref="T92:U92"/>
    <mergeCell ref="V92:W92"/>
    <mergeCell ref="X92:AA92"/>
    <mergeCell ref="AB92:AE92"/>
    <mergeCell ref="AF92:AG92"/>
    <mergeCell ref="AH92:AI92"/>
    <mergeCell ref="R93:S93"/>
    <mergeCell ref="T93:U93"/>
    <mergeCell ref="V93:W93"/>
    <mergeCell ref="X93:AA93"/>
    <mergeCell ref="AB93:AE93"/>
    <mergeCell ref="AF93:AG93"/>
    <mergeCell ref="AH93:AI93"/>
    <mergeCell ref="AX93:AZ93"/>
    <mergeCell ref="BA93:BB93"/>
    <mergeCell ref="BD93:BE93"/>
    <mergeCell ref="BF93:BI93"/>
    <mergeCell ref="BJ93:BM93"/>
    <mergeCell ref="BN93:BV93"/>
    <mergeCell ref="BJ94:BM94"/>
    <mergeCell ref="BN94:BV94"/>
    <mergeCell ref="B93:C93"/>
    <mergeCell ref="D93:E93"/>
    <mergeCell ref="F93:G93"/>
    <mergeCell ref="H93:I93"/>
    <mergeCell ref="J93:K93"/>
    <mergeCell ref="L93:M93"/>
    <mergeCell ref="P93:Q93"/>
    <mergeCell ref="B94:C94"/>
    <mergeCell ref="BJ87:BM87"/>
    <mergeCell ref="BN87:BV87"/>
    <mergeCell ref="R87:S87"/>
    <mergeCell ref="T87:U87"/>
    <mergeCell ref="V87:W87"/>
    <mergeCell ref="X87:AA87"/>
    <mergeCell ref="AB87:AE87"/>
    <mergeCell ref="AF87:AG87"/>
    <mergeCell ref="AH87:AI87"/>
    <mergeCell ref="AJ90:AK90"/>
    <mergeCell ref="AL90:AM90"/>
    <mergeCell ref="R90:S90"/>
    <mergeCell ref="T90:U90"/>
    <mergeCell ref="V90:W90"/>
    <mergeCell ref="X90:AA90"/>
    <mergeCell ref="AB90:AE90"/>
    <mergeCell ref="AF90:AG90"/>
    <mergeCell ref="AH90:AI90"/>
    <mergeCell ref="R91:S91"/>
    <mergeCell ref="T91:U91"/>
    <mergeCell ref="V91:W91"/>
    <mergeCell ref="X91:AA91"/>
    <mergeCell ref="AB91:AE91"/>
    <mergeCell ref="AF91:AG91"/>
    <mergeCell ref="AH91:AI91"/>
    <mergeCell ref="AX91:AZ91"/>
    <mergeCell ref="BA91:BB91"/>
    <mergeCell ref="BD91:BE91"/>
    <mergeCell ref="BF91:BI91"/>
    <mergeCell ref="BJ91:BM91"/>
    <mergeCell ref="BN91:BV91"/>
    <mergeCell ref="BJ89:BM89"/>
    <mergeCell ref="BN89:BV89"/>
    <mergeCell ref="BJ90:BM90"/>
    <mergeCell ref="BN90:BV90"/>
    <mergeCell ref="BD87:BE87"/>
    <mergeCell ref="BF87:BI87"/>
    <mergeCell ref="AN87:AO87"/>
    <mergeCell ref="AP87:AQ87"/>
    <mergeCell ref="AR87:AS87"/>
    <mergeCell ref="AT87:AU87"/>
    <mergeCell ref="AV87:AW87"/>
    <mergeCell ref="AX87:AZ87"/>
    <mergeCell ref="BA87:BB87"/>
    <mergeCell ref="BJ88:BM88"/>
    <mergeCell ref="BN88:BV88"/>
    <mergeCell ref="BJ79:BM79"/>
    <mergeCell ref="BN79:BV79"/>
    <mergeCell ref="AJ79:AK79"/>
    <mergeCell ref="AL79:AM79"/>
    <mergeCell ref="AN79:AO79"/>
    <mergeCell ref="AP79:AQ79"/>
    <mergeCell ref="AR79:AS79"/>
    <mergeCell ref="AT79:AU79"/>
    <mergeCell ref="AV79:AW79"/>
    <mergeCell ref="B79:C79"/>
    <mergeCell ref="D79:E79"/>
    <mergeCell ref="F79:G79"/>
    <mergeCell ref="H79:I79"/>
    <mergeCell ref="J79:K79"/>
    <mergeCell ref="L79:M79"/>
    <mergeCell ref="P79:Q79"/>
    <mergeCell ref="AX80:AZ80"/>
    <mergeCell ref="BA80:BB80"/>
    <mergeCell ref="BD80:BE80"/>
    <mergeCell ref="BF80:BI80"/>
    <mergeCell ref="BJ80:BM80"/>
    <mergeCell ref="BN80:BV80"/>
    <mergeCell ref="BJ81:BM81"/>
    <mergeCell ref="BN81:BV81"/>
    <mergeCell ref="B81:C81"/>
    <mergeCell ref="D81:E81"/>
    <mergeCell ref="F81:G81"/>
    <mergeCell ref="H81:I81"/>
    <mergeCell ref="J81:K81"/>
    <mergeCell ref="L81:M81"/>
    <mergeCell ref="P81:Q81"/>
    <mergeCell ref="AJ80:AK80"/>
    <mergeCell ref="AL80:AM80"/>
    <mergeCell ref="AN80:AO80"/>
    <mergeCell ref="AP80:AQ80"/>
    <mergeCell ref="AR80:AS80"/>
    <mergeCell ref="AT80:AU80"/>
    <mergeCell ref="AV80:AW80"/>
    <mergeCell ref="R80:S80"/>
    <mergeCell ref="T80:U80"/>
    <mergeCell ref="V80:W80"/>
    <mergeCell ref="X80:AA80"/>
    <mergeCell ref="AB80:AE80"/>
    <mergeCell ref="AF80:AG80"/>
    <mergeCell ref="AH80:AI80"/>
    <mergeCell ref="B80:C80"/>
    <mergeCell ref="D80:E80"/>
    <mergeCell ref="F80:G80"/>
    <mergeCell ref="H80:I80"/>
    <mergeCell ref="J80:K80"/>
    <mergeCell ref="L80:M80"/>
    <mergeCell ref="P80:Q80"/>
    <mergeCell ref="BD81:BE81"/>
    <mergeCell ref="BF81:BI81"/>
    <mergeCell ref="AN81:AO81"/>
    <mergeCell ref="AP81:AQ81"/>
    <mergeCell ref="AR81:AS81"/>
    <mergeCell ref="AT81:AU81"/>
    <mergeCell ref="AV81:AW81"/>
    <mergeCell ref="AX81:AZ81"/>
    <mergeCell ref="BA81:BB81"/>
    <mergeCell ref="R79:S79"/>
    <mergeCell ref="T79:U79"/>
    <mergeCell ref="V79:W79"/>
    <mergeCell ref="B85:C85"/>
    <mergeCell ref="D85:E85"/>
    <mergeCell ref="F85:G85"/>
    <mergeCell ref="H85:I85"/>
    <mergeCell ref="J85:K85"/>
    <mergeCell ref="L85:M85"/>
    <mergeCell ref="P85:Q85"/>
    <mergeCell ref="AJ84:AK84"/>
    <mergeCell ref="AL84:AM84"/>
    <mergeCell ref="AN84:AO84"/>
    <mergeCell ref="AP84:AQ84"/>
    <mergeCell ref="AR84:AS84"/>
    <mergeCell ref="AT84:AU84"/>
    <mergeCell ref="AV84:AW84"/>
    <mergeCell ref="BD78:BE78"/>
    <mergeCell ref="BF78:BI78"/>
    <mergeCell ref="AN78:AO78"/>
    <mergeCell ref="AP78:AQ78"/>
    <mergeCell ref="AR78:AS78"/>
    <mergeCell ref="AT78:AU78"/>
    <mergeCell ref="AV78:AW78"/>
    <mergeCell ref="AX78:AZ78"/>
    <mergeCell ref="BA78:BB78"/>
    <mergeCell ref="BD85:BE85"/>
    <mergeCell ref="BF85:BI85"/>
    <mergeCell ref="AN85:AO85"/>
    <mergeCell ref="AP85:AQ85"/>
    <mergeCell ref="AR85:AS85"/>
    <mergeCell ref="AT85:AU85"/>
    <mergeCell ref="AV85:AW85"/>
    <mergeCell ref="AX85:AZ85"/>
    <mergeCell ref="BA85:BB85"/>
    <mergeCell ref="AJ83:AK83"/>
    <mergeCell ref="AL83:AM83"/>
    <mergeCell ref="R83:S83"/>
    <mergeCell ref="T83:U83"/>
    <mergeCell ref="V83:W83"/>
    <mergeCell ref="X83:AA83"/>
    <mergeCell ref="AB83:AE83"/>
    <mergeCell ref="AF83:AG83"/>
    <mergeCell ref="AH83:AI83"/>
    <mergeCell ref="R84:S84"/>
    <mergeCell ref="T84:U84"/>
    <mergeCell ref="V84:W84"/>
    <mergeCell ref="X84:AA84"/>
    <mergeCell ref="AB84:AE84"/>
    <mergeCell ref="AF84:AG84"/>
    <mergeCell ref="AH84:AI84"/>
    <mergeCell ref="AX84:AZ84"/>
    <mergeCell ref="AJ85:AK85"/>
    <mergeCell ref="AL85:AM85"/>
    <mergeCell ref="R85:S85"/>
    <mergeCell ref="T85:U85"/>
    <mergeCell ref="V85:W85"/>
    <mergeCell ref="X85:AA85"/>
    <mergeCell ref="AB85:AE85"/>
    <mergeCell ref="AF85:AG85"/>
    <mergeCell ref="AH85:AI85"/>
    <mergeCell ref="AH77:AI77"/>
    <mergeCell ref="AX77:AZ77"/>
    <mergeCell ref="BA77:BB77"/>
    <mergeCell ref="BD77:BE77"/>
    <mergeCell ref="BF77:BI77"/>
    <mergeCell ref="B77:C77"/>
    <mergeCell ref="D77:E77"/>
    <mergeCell ref="F77:G77"/>
    <mergeCell ref="H77:I77"/>
    <mergeCell ref="J77:K77"/>
    <mergeCell ref="L77:M77"/>
    <mergeCell ref="P77:Q77"/>
    <mergeCell ref="AJ77:AK77"/>
    <mergeCell ref="AL77:AM77"/>
    <mergeCell ref="AN77:AO77"/>
    <mergeCell ref="AP77:AQ77"/>
    <mergeCell ref="AR77:AS77"/>
    <mergeCell ref="AT77:AU77"/>
    <mergeCell ref="AV77:AW77"/>
    <mergeCell ref="BF76:BI76"/>
    <mergeCell ref="AX76:AZ76"/>
    <mergeCell ref="BA76:BB76"/>
    <mergeCell ref="X79:AA79"/>
    <mergeCell ref="AB79:AE79"/>
    <mergeCell ref="AF79:AG79"/>
    <mergeCell ref="AH79:AI79"/>
    <mergeCell ref="AX79:AZ79"/>
    <mergeCell ref="BA79:BB79"/>
    <mergeCell ref="BD79:BE79"/>
    <mergeCell ref="BF79:BI79"/>
    <mergeCell ref="B84:C84"/>
    <mergeCell ref="D84:E84"/>
    <mergeCell ref="F84:G84"/>
    <mergeCell ref="H84:I84"/>
    <mergeCell ref="J84:K84"/>
    <mergeCell ref="L84:M84"/>
    <mergeCell ref="P84:Q84"/>
    <mergeCell ref="BA84:BB84"/>
    <mergeCell ref="BD84:BE84"/>
    <mergeCell ref="BF84:BI84"/>
    <mergeCell ref="BJ84:BM84"/>
    <mergeCell ref="BN84:BV84"/>
    <mergeCell ref="BJ85:BM85"/>
    <mergeCell ref="BN85:BV85"/>
    <mergeCell ref="BD83:BE83"/>
    <mergeCell ref="BF83:BI83"/>
    <mergeCell ref="AN83:AO83"/>
    <mergeCell ref="AP83:AQ83"/>
    <mergeCell ref="AR83:AS83"/>
    <mergeCell ref="AT83:AU83"/>
    <mergeCell ref="AV83:AW83"/>
    <mergeCell ref="AX83:AZ83"/>
    <mergeCell ref="BA83:BB83"/>
    <mergeCell ref="AJ81:AK81"/>
    <mergeCell ref="AL81:AM81"/>
    <mergeCell ref="R81:S81"/>
    <mergeCell ref="T81:U81"/>
    <mergeCell ref="V81:W81"/>
    <mergeCell ref="X81:AA81"/>
    <mergeCell ref="AB81:AE81"/>
    <mergeCell ref="AF81:AG81"/>
    <mergeCell ref="AH81:AI81"/>
    <mergeCell ref="R82:S82"/>
    <mergeCell ref="T82:U82"/>
    <mergeCell ref="V82:W82"/>
    <mergeCell ref="X82:AA82"/>
    <mergeCell ref="AB82:AE82"/>
    <mergeCell ref="AF82:AG82"/>
    <mergeCell ref="AH82:AI82"/>
    <mergeCell ref="AX82:AZ82"/>
    <mergeCell ref="BA82:BB82"/>
    <mergeCell ref="BD82:BE82"/>
    <mergeCell ref="BF82:BI82"/>
    <mergeCell ref="BJ82:BM82"/>
    <mergeCell ref="BN82:BV82"/>
    <mergeCell ref="BJ83:BM83"/>
    <mergeCell ref="BN83:BV83"/>
    <mergeCell ref="B82:C82"/>
    <mergeCell ref="D82:E82"/>
    <mergeCell ref="F82:G82"/>
    <mergeCell ref="H82:I82"/>
    <mergeCell ref="J82:K82"/>
    <mergeCell ref="L82:M82"/>
    <mergeCell ref="P82:Q82"/>
    <mergeCell ref="B83:C83"/>
    <mergeCell ref="D83:E83"/>
    <mergeCell ref="F83:G83"/>
    <mergeCell ref="H83:I83"/>
    <mergeCell ref="J83:K83"/>
    <mergeCell ref="L83:M83"/>
    <mergeCell ref="P83:Q83"/>
    <mergeCell ref="AJ82:AK82"/>
    <mergeCell ref="AL82:AM82"/>
    <mergeCell ref="AN82:AO82"/>
    <mergeCell ref="AP82:AQ82"/>
    <mergeCell ref="AR82:AS82"/>
    <mergeCell ref="AT82:AU82"/>
    <mergeCell ref="AV82:AW82"/>
    <mergeCell ref="B72:C72"/>
    <mergeCell ref="D72:E72"/>
    <mergeCell ref="F72:G72"/>
    <mergeCell ref="H72:I72"/>
    <mergeCell ref="J72:K72"/>
    <mergeCell ref="L72:M72"/>
    <mergeCell ref="P72:Q72"/>
    <mergeCell ref="AJ71:AK71"/>
    <mergeCell ref="AL71:AM71"/>
    <mergeCell ref="AN71:AO71"/>
    <mergeCell ref="AP71:AQ71"/>
    <mergeCell ref="AR71:AS71"/>
    <mergeCell ref="AT71:AU71"/>
    <mergeCell ref="AV71:AW71"/>
    <mergeCell ref="L71:M71"/>
    <mergeCell ref="P71:Q71"/>
    <mergeCell ref="AN76:AO76"/>
    <mergeCell ref="AP76:AQ76"/>
    <mergeCell ref="AR76:AS76"/>
    <mergeCell ref="AT76:AU76"/>
    <mergeCell ref="AV76:AW76"/>
    <mergeCell ref="AJ74:AK74"/>
    <mergeCell ref="AL74:AM74"/>
    <mergeCell ref="R74:S74"/>
    <mergeCell ref="T74:U74"/>
    <mergeCell ref="V74:W74"/>
    <mergeCell ref="X74:AA74"/>
    <mergeCell ref="AB74:AE74"/>
    <mergeCell ref="AF74:AG74"/>
    <mergeCell ref="AH74:AI74"/>
    <mergeCell ref="R75:S75"/>
    <mergeCell ref="T75:U75"/>
    <mergeCell ref="V75:W75"/>
    <mergeCell ref="X75:AA75"/>
    <mergeCell ref="AB75:AE75"/>
    <mergeCell ref="AF75:AG75"/>
    <mergeCell ref="AH75:AI75"/>
    <mergeCell ref="AJ76:AK76"/>
    <mergeCell ref="AL76:AM76"/>
    <mergeCell ref="R76:S76"/>
    <mergeCell ref="T76:U76"/>
    <mergeCell ref="V76:W76"/>
    <mergeCell ref="X76:AA76"/>
    <mergeCell ref="AJ78:AK78"/>
    <mergeCell ref="AL78:AM78"/>
    <mergeCell ref="BJ78:BM78"/>
    <mergeCell ref="BN78:BV78"/>
    <mergeCell ref="R78:S78"/>
    <mergeCell ref="T78:U78"/>
    <mergeCell ref="V78:W78"/>
    <mergeCell ref="X78:AA78"/>
    <mergeCell ref="AB78:AE78"/>
    <mergeCell ref="AF78:AG78"/>
    <mergeCell ref="AH78:AI78"/>
    <mergeCell ref="BJ77:BM77"/>
    <mergeCell ref="BN77:BV77"/>
    <mergeCell ref="B78:C78"/>
    <mergeCell ref="D78:E78"/>
    <mergeCell ref="F78:G78"/>
    <mergeCell ref="H78:I78"/>
    <mergeCell ref="J78:K78"/>
    <mergeCell ref="L78:M78"/>
    <mergeCell ref="P78:Q78"/>
    <mergeCell ref="BJ68:BM68"/>
    <mergeCell ref="BN68:BV68"/>
    <mergeCell ref="B68:C68"/>
    <mergeCell ref="D68:E68"/>
    <mergeCell ref="F68:G68"/>
    <mergeCell ref="H68:I68"/>
    <mergeCell ref="J68:K68"/>
    <mergeCell ref="L68:M68"/>
    <mergeCell ref="P68:Q68"/>
    <mergeCell ref="AJ68:AK68"/>
    <mergeCell ref="AL68:AM68"/>
    <mergeCell ref="AN68:AO68"/>
    <mergeCell ref="AP68:AQ68"/>
    <mergeCell ref="AR68:AS68"/>
    <mergeCell ref="AT68:AU68"/>
    <mergeCell ref="AV68:AW68"/>
    <mergeCell ref="B69:C69"/>
    <mergeCell ref="D69:E69"/>
    <mergeCell ref="F69:G69"/>
    <mergeCell ref="H69:I69"/>
    <mergeCell ref="J69:K69"/>
    <mergeCell ref="L69:M69"/>
    <mergeCell ref="P69:Q69"/>
    <mergeCell ref="R71:S71"/>
    <mergeCell ref="T71:U71"/>
    <mergeCell ref="V71:W71"/>
    <mergeCell ref="X71:AA71"/>
    <mergeCell ref="AB71:AE71"/>
    <mergeCell ref="AF71:AG71"/>
    <mergeCell ref="AH71:AI71"/>
    <mergeCell ref="B71:C71"/>
    <mergeCell ref="D71:E71"/>
    <mergeCell ref="F71:G71"/>
    <mergeCell ref="H71:I71"/>
    <mergeCell ref="J71:K71"/>
    <mergeCell ref="AB76:AE76"/>
    <mergeCell ref="AF76:AG76"/>
    <mergeCell ref="AH76:AI76"/>
    <mergeCell ref="R77:S77"/>
    <mergeCell ref="T77:U77"/>
    <mergeCell ref="V77:W77"/>
    <mergeCell ref="X77:AA77"/>
    <mergeCell ref="AB77:AE77"/>
    <mergeCell ref="AF77:AG77"/>
    <mergeCell ref="B70:C70"/>
    <mergeCell ref="D70:E70"/>
    <mergeCell ref="F70:G70"/>
    <mergeCell ref="H70:I70"/>
    <mergeCell ref="J70:K70"/>
    <mergeCell ref="L70:M70"/>
    <mergeCell ref="P70:Q70"/>
    <mergeCell ref="D76:E76"/>
    <mergeCell ref="F76:G76"/>
    <mergeCell ref="H76:I76"/>
    <mergeCell ref="J76:K76"/>
    <mergeCell ref="L76:M76"/>
    <mergeCell ref="P76:Q76"/>
    <mergeCell ref="AJ75:AK75"/>
    <mergeCell ref="AL75:AM75"/>
    <mergeCell ref="AN75:AO75"/>
    <mergeCell ref="AP75:AQ75"/>
    <mergeCell ref="AR75:AS75"/>
    <mergeCell ref="AT75:AU75"/>
    <mergeCell ref="AV75:AW75"/>
    <mergeCell ref="BJ74:BM74"/>
    <mergeCell ref="BN74:BV74"/>
    <mergeCell ref="B73:C73"/>
    <mergeCell ref="D73:E73"/>
    <mergeCell ref="F73:G73"/>
    <mergeCell ref="H73:I73"/>
    <mergeCell ref="J73:K73"/>
    <mergeCell ref="L73:M73"/>
    <mergeCell ref="P73:Q73"/>
    <mergeCell ref="B74:C74"/>
    <mergeCell ref="D74:E74"/>
    <mergeCell ref="F74:G74"/>
    <mergeCell ref="H74:I74"/>
    <mergeCell ref="J74:K74"/>
    <mergeCell ref="L74:M74"/>
    <mergeCell ref="P74:Q74"/>
    <mergeCell ref="AJ73:AK73"/>
    <mergeCell ref="AL73:AM73"/>
    <mergeCell ref="AN73:AO73"/>
    <mergeCell ref="AP73:AQ73"/>
    <mergeCell ref="AR73:AS73"/>
    <mergeCell ref="AT73:AU73"/>
    <mergeCell ref="AV73:AW73"/>
    <mergeCell ref="BD76:BE76"/>
    <mergeCell ref="BD74:BE74"/>
    <mergeCell ref="BF74:BI74"/>
    <mergeCell ref="AN74:AO74"/>
    <mergeCell ref="AP74:AQ74"/>
    <mergeCell ref="AR74:AS74"/>
    <mergeCell ref="AT74:AU74"/>
    <mergeCell ref="AV74:AW74"/>
    <mergeCell ref="AX74:AZ74"/>
    <mergeCell ref="BA74:BB74"/>
    <mergeCell ref="R68:S68"/>
    <mergeCell ref="T68:U68"/>
    <mergeCell ref="V68:W68"/>
    <mergeCell ref="X68:AA68"/>
    <mergeCell ref="AB68:AE68"/>
    <mergeCell ref="AF68:AG68"/>
    <mergeCell ref="AH68:AI68"/>
    <mergeCell ref="AX68:AZ68"/>
    <mergeCell ref="BA68:BB68"/>
    <mergeCell ref="BD68:BE68"/>
    <mergeCell ref="BF68:BI68"/>
    <mergeCell ref="BD72:BE72"/>
    <mergeCell ref="BF72:BI72"/>
    <mergeCell ref="AN72:AO72"/>
    <mergeCell ref="AP72:AQ72"/>
    <mergeCell ref="AR72:AS72"/>
    <mergeCell ref="AT72:AU72"/>
    <mergeCell ref="AV72:AW72"/>
    <mergeCell ref="AX72:AZ72"/>
    <mergeCell ref="BA72:BB72"/>
    <mergeCell ref="AX71:AZ71"/>
    <mergeCell ref="BA71:BB71"/>
    <mergeCell ref="BD71:BE71"/>
    <mergeCell ref="BF71:BI71"/>
    <mergeCell ref="R70:S70"/>
    <mergeCell ref="T70:U70"/>
    <mergeCell ref="V70:W70"/>
    <mergeCell ref="X70:AA70"/>
    <mergeCell ref="AB70:AE70"/>
    <mergeCell ref="AF70:AG70"/>
    <mergeCell ref="AH70:AI70"/>
    <mergeCell ref="AX70:AZ70"/>
    <mergeCell ref="BA70:BB70"/>
    <mergeCell ref="BD70:BE70"/>
    <mergeCell ref="BF70:BI70"/>
    <mergeCell ref="AJ70:AK70"/>
    <mergeCell ref="AL70:AM70"/>
    <mergeCell ref="AN70:AO70"/>
    <mergeCell ref="AP70:AQ70"/>
    <mergeCell ref="AR70:AS70"/>
    <mergeCell ref="AT70:AU70"/>
    <mergeCell ref="AV70:AW70"/>
    <mergeCell ref="AX75:AZ75"/>
    <mergeCell ref="BA75:BB75"/>
    <mergeCell ref="BD75:BE75"/>
    <mergeCell ref="BF75:BI75"/>
    <mergeCell ref="BJ75:BM75"/>
    <mergeCell ref="BN75:BV75"/>
    <mergeCell ref="BJ76:BM76"/>
    <mergeCell ref="BN76:BV76"/>
    <mergeCell ref="B75:C75"/>
    <mergeCell ref="D75:E75"/>
    <mergeCell ref="F75:G75"/>
    <mergeCell ref="H75:I75"/>
    <mergeCell ref="J75:K75"/>
    <mergeCell ref="L75:M75"/>
    <mergeCell ref="P75:Q75"/>
    <mergeCell ref="B76:C76"/>
    <mergeCell ref="AJ69:AK69"/>
    <mergeCell ref="AL69:AM69"/>
    <mergeCell ref="BJ69:BM69"/>
    <mergeCell ref="BN69:BV69"/>
    <mergeCell ref="R69:S69"/>
    <mergeCell ref="T69:U69"/>
    <mergeCell ref="V69:W69"/>
    <mergeCell ref="X69:AA69"/>
    <mergeCell ref="AB69:AE69"/>
    <mergeCell ref="AF69:AG69"/>
    <mergeCell ref="AH69:AI69"/>
    <mergeCell ref="AJ72:AK72"/>
    <mergeCell ref="AL72:AM72"/>
    <mergeCell ref="R72:S72"/>
    <mergeCell ref="T72:U72"/>
    <mergeCell ref="V72:W72"/>
    <mergeCell ref="X72:AA72"/>
    <mergeCell ref="AB72:AE72"/>
    <mergeCell ref="AF72:AG72"/>
    <mergeCell ref="AH72:AI72"/>
    <mergeCell ref="R73:S73"/>
    <mergeCell ref="T73:U73"/>
    <mergeCell ref="V73:W73"/>
    <mergeCell ref="X73:AA73"/>
    <mergeCell ref="AB73:AE73"/>
    <mergeCell ref="AF73:AG73"/>
    <mergeCell ref="AH73:AI73"/>
    <mergeCell ref="AX73:AZ73"/>
    <mergeCell ref="BA73:BB73"/>
    <mergeCell ref="BD73:BE73"/>
    <mergeCell ref="BF73:BI73"/>
    <mergeCell ref="BJ73:BM73"/>
    <mergeCell ref="BN73:BV73"/>
    <mergeCell ref="BJ71:BM71"/>
    <mergeCell ref="BN71:BV71"/>
    <mergeCell ref="BJ72:BM72"/>
    <mergeCell ref="BN72:BV72"/>
    <mergeCell ref="BD69:BE69"/>
    <mergeCell ref="BF69:BI69"/>
    <mergeCell ref="AN69:AO69"/>
    <mergeCell ref="AP69:AQ69"/>
    <mergeCell ref="AR69:AS69"/>
    <mergeCell ref="AT69:AU69"/>
    <mergeCell ref="AV69:AW69"/>
    <mergeCell ref="AX69:AZ69"/>
    <mergeCell ref="BA69:BB69"/>
    <mergeCell ref="BJ70:BM70"/>
    <mergeCell ref="BN70:BV70"/>
    <mergeCell ref="BJ61:BM61"/>
    <mergeCell ref="BN61:BV61"/>
    <mergeCell ref="AJ61:AK61"/>
    <mergeCell ref="AL61:AM61"/>
    <mergeCell ref="AN61:AO61"/>
    <mergeCell ref="AP61:AQ61"/>
    <mergeCell ref="AR61:AS61"/>
    <mergeCell ref="AT61:AU61"/>
    <mergeCell ref="AV61:AW61"/>
    <mergeCell ref="B61:C61"/>
    <mergeCell ref="D61:E61"/>
    <mergeCell ref="F61:G61"/>
    <mergeCell ref="H61:I61"/>
    <mergeCell ref="J61:K61"/>
    <mergeCell ref="L61:M61"/>
    <mergeCell ref="P61:Q61"/>
    <mergeCell ref="AX62:AZ62"/>
    <mergeCell ref="BA62:BB62"/>
    <mergeCell ref="BD62:BE62"/>
    <mergeCell ref="BF62:BI62"/>
    <mergeCell ref="BJ62:BM62"/>
    <mergeCell ref="BN62:BV62"/>
    <mergeCell ref="BJ63:BM63"/>
    <mergeCell ref="BN63:BV63"/>
    <mergeCell ref="B63:C63"/>
    <mergeCell ref="D63:E63"/>
    <mergeCell ref="F63:G63"/>
    <mergeCell ref="H63:I63"/>
    <mergeCell ref="J63:K63"/>
    <mergeCell ref="L63:M63"/>
    <mergeCell ref="P63:Q63"/>
    <mergeCell ref="AJ62:AK62"/>
    <mergeCell ref="AL62:AM62"/>
    <mergeCell ref="AN62:AO62"/>
    <mergeCell ref="AP62:AQ62"/>
    <mergeCell ref="AR62:AS62"/>
    <mergeCell ref="AT62:AU62"/>
    <mergeCell ref="AV62:AW62"/>
    <mergeCell ref="R62:S62"/>
    <mergeCell ref="T62:U62"/>
    <mergeCell ref="V62:W62"/>
    <mergeCell ref="X62:AA62"/>
    <mergeCell ref="AB62:AE62"/>
    <mergeCell ref="AF62:AG62"/>
    <mergeCell ref="AH62:AI62"/>
    <mergeCell ref="B62:C62"/>
    <mergeCell ref="D62:E62"/>
    <mergeCell ref="F62:G62"/>
    <mergeCell ref="H62:I62"/>
    <mergeCell ref="J62:K62"/>
    <mergeCell ref="L62:M62"/>
    <mergeCell ref="P62:Q62"/>
    <mergeCell ref="BD63:BE63"/>
    <mergeCell ref="BF63:BI63"/>
    <mergeCell ref="AN63:AO63"/>
    <mergeCell ref="AP63:AQ63"/>
    <mergeCell ref="AR63:AS63"/>
    <mergeCell ref="AT63:AU63"/>
    <mergeCell ref="AV63:AW63"/>
    <mergeCell ref="AX63:AZ63"/>
    <mergeCell ref="BA63:BB63"/>
    <mergeCell ref="R61:S61"/>
    <mergeCell ref="T61:U61"/>
    <mergeCell ref="V61:W61"/>
    <mergeCell ref="B66:C66"/>
    <mergeCell ref="D66:E66"/>
    <mergeCell ref="F66:G66"/>
    <mergeCell ref="H66:I66"/>
    <mergeCell ref="J66:K66"/>
    <mergeCell ref="L66:M66"/>
    <mergeCell ref="P66:Q66"/>
    <mergeCell ref="B67:C67"/>
    <mergeCell ref="D67:E67"/>
    <mergeCell ref="F67:G67"/>
    <mergeCell ref="H67:I67"/>
    <mergeCell ref="J67:K67"/>
    <mergeCell ref="L67:M67"/>
    <mergeCell ref="P67:Q67"/>
    <mergeCell ref="AJ66:AK66"/>
    <mergeCell ref="AL66:AM66"/>
    <mergeCell ref="AN66:AO66"/>
    <mergeCell ref="AP66:AQ66"/>
    <mergeCell ref="AR66:AS66"/>
    <mergeCell ref="AT66:AU66"/>
    <mergeCell ref="AV66:AW66"/>
    <mergeCell ref="BD60:BE60"/>
    <mergeCell ref="BF60:BI60"/>
    <mergeCell ref="AN60:AO60"/>
    <mergeCell ref="AP60:AQ60"/>
    <mergeCell ref="AR60:AS60"/>
    <mergeCell ref="AT60:AU60"/>
    <mergeCell ref="AV60:AW60"/>
    <mergeCell ref="AX60:AZ60"/>
    <mergeCell ref="BA60:BB60"/>
    <mergeCell ref="BD67:BE67"/>
    <mergeCell ref="BF67:BI67"/>
    <mergeCell ref="AN67:AO67"/>
    <mergeCell ref="AP67:AQ67"/>
    <mergeCell ref="AR67:AS67"/>
    <mergeCell ref="AT67:AU67"/>
    <mergeCell ref="AV67:AW67"/>
    <mergeCell ref="AX67:AZ67"/>
    <mergeCell ref="BA67:BB67"/>
    <mergeCell ref="AJ65:AK65"/>
    <mergeCell ref="AL65:AM65"/>
    <mergeCell ref="R65:S65"/>
    <mergeCell ref="T65:U65"/>
    <mergeCell ref="V65:W65"/>
    <mergeCell ref="X65:AA65"/>
    <mergeCell ref="AB65:AE65"/>
    <mergeCell ref="AF65:AG65"/>
    <mergeCell ref="AH65:AI65"/>
    <mergeCell ref="R66:S66"/>
    <mergeCell ref="T66:U66"/>
    <mergeCell ref="V66:W66"/>
    <mergeCell ref="X66:AA66"/>
    <mergeCell ref="AB66:AE66"/>
    <mergeCell ref="AF66:AG66"/>
    <mergeCell ref="AH66:AI66"/>
    <mergeCell ref="AX66:AZ66"/>
    <mergeCell ref="AJ67:AK67"/>
    <mergeCell ref="AL67:AM67"/>
    <mergeCell ref="R67:S67"/>
    <mergeCell ref="T67:U67"/>
    <mergeCell ref="V67:W67"/>
    <mergeCell ref="X67:AA67"/>
    <mergeCell ref="AB67:AE67"/>
    <mergeCell ref="AF67:AG67"/>
    <mergeCell ref="T58:U58"/>
    <mergeCell ref="V58:W58"/>
    <mergeCell ref="X58:AA58"/>
    <mergeCell ref="AB58:AE58"/>
    <mergeCell ref="AF58:AG58"/>
    <mergeCell ref="AH58:AI58"/>
    <mergeCell ref="R59:S59"/>
    <mergeCell ref="T59:U59"/>
    <mergeCell ref="V59:W59"/>
    <mergeCell ref="X59:AA59"/>
    <mergeCell ref="AB59:AE59"/>
    <mergeCell ref="AF59:AG59"/>
    <mergeCell ref="AH59:AI59"/>
    <mergeCell ref="AX59:AZ59"/>
    <mergeCell ref="BA59:BB59"/>
    <mergeCell ref="BD59:BE59"/>
    <mergeCell ref="BF59:BI59"/>
    <mergeCell ref="B59:C59"/>
    <mergeCell ref="D59:E59"/>
    <mergeCell ref="F59:G59"/>
    <mergeCell ref="H59:I59"/>
    <mergeCell ref="J59:K59"/>
    <mergeCell ref="L59:M59"/>
    <mergeCell ref="P59:Q59"/>
    <mergeCell ref="AJ59:AK59"/>
    <mergeCell ref="AL59:AM59"/>
    <mergeCell ref="AN59:AO59"/>
    <mergeCell ref="AP59:AQ59"/>
    <mergeCell ref="AR59:AS59"/>
    <mergeCell ref="AT59:AU59"/>
    <mergeCell ref="AV59:AW59"/>
    <mergeCell ref="X61:AA61"/>
    <mergeCell ref="AB61:AE61"/>
    <mergeCell ref="AF61:AG61"/>
    <mergeCell ref="AH61:AI61"/>
    <mergeCell ref="AX61:AZ61"/>
    <mergeCell ref="BA61:BB61"/>
    <mergeCell ref="BD61:BE61"/>
    <mergeCell ref="BF61:BI61"/>
    <mergeCell ref="BA66:BB66"/>
    <mergeCell ref="BD66:BE66"/>
    <mergeCell ref="BF66:BI66"/>
    <mergeCell ref="BJ66:BM66"/>
    <mergeCell ref="BN66:BV66"/>
    <mergeCell ref="BJ67:BM67"/>
    <mergeCell ref="BN67:BV67"/>
    <mergeCell ref="BD65:BE65"/>
    <mergeCell ref="BF65:BI65"/>
    <mergeCell ref="AN65:AO65"/>
    <mergeCell ref="AP65:AQ65"/>
    <mergeCell ref="AR65:AS65"/>
    <mergeCell ref="AT65:AU65"/>
    <mergeCell ref="AV65:AW65"/>
    <mergeCell ref="AX65:AZ65"/>
    <mergeCell ref="BA65:BB65"/>
    <mergeCell ref="AJ63:AK63"/>
    <mergeCell ref="AL63:AM63"/>
    <mergeCell ref="R63:S63"/>
    <mergeCell ref="T63:U63"/>
    <mergeCell ref="V63:W63"/>
    <mergeCell ref="X63:AA63"/>
    <mergeCell ref="AB63:AE63"/>
    <mergeCell ref="AF63:AG63"/>
    <mergeCell ref="AH63:AI63"/>
    <mergeCell ref="R64:S64"/>
    <mergeCell ref="T64:U64"/>
    <mergeCell ref="V64:W64"/>
    <mergeCell ref="X64:AA64"/>
    <mergeCell ref="AB64:AE64"/>
    <mergeCell ref="AF64:AG64"/>
    <mergeCell ref="AH64:AI64"/>
    <mergeCell ref="AX64:AZ64"/>
    <mergeCell ref="BA64:BB64"/>
    <mergeCell ref="BD64:BE64"/>
    <mergeCell ref="BF64:BI64"/>
    <mergeCell ref="BJ64:BM64"/>
    <mergeCell ref="BN64:BV64"/>
    <mergeCell ref="BJ65:BM65"/>
    <mergeCell ref="BN65:BV65"/>
    <mergeCell ref="AH67:AI67"/>
    <mergeCell ref="B64:C64"/>
    <mergeCell ref="D64:E64"/>
    <mergeCell ref="F64:G64"/>
    <mergeCell ref="H64:I64"/>
    <mergeCell ref="J64:K64"/>
    <mergeCell ref="L64:M64"/>
    <mergeCell ref="P64:Q64"/>
    <mergeCell ref="B65:C65"/>
    <mergeCell ref="D65:E65"/>
    <mergeCell ref="F65:G65"/>
    <mergeCell ref="H65:I65"/>
    <mergeCell ref="J65:K65"/>
    <mergeCell ref="L65:M65"/>
    <mergeCell ref="P65:Q65"/>
    <mergeCell ref="AJ64:AK64"/>
    <mergeCell ref="AL64:AM64"/>
    <mergeCell ref="AN64:AO64"/>
    <mergeCell ref="AP64:AQ64"/>
    <mergeCell ref="AR64:AS64"/>
    <mergeCell ref="AT64:AU64"/>
    <mergeCell ref="AV64:AW64"/>
    <mergeCell ref="BJ53:BM53"/>
    <mergeCell ref="BN53:BV53"/>
    <mergeCell ref="BJ54:BM54"/>
    <mergeCell ref="BN54:BV54"/>
    <mergeCell ref="B54:C54"/>
    <mergeCell ref="D54:E54"/>
    <mergeCell ref="F54:G54"/>
    <mergeCell ref="H54:I54"/>
    <mergeCell ref="J54:K54"/>
    <mergeCell ref="L54:M54"/>
    <mergeCell ref="P54:Q54"/>
    <mergeCell ref="AJ53:AK53"/>
    <mergeCell ref="AL53:AM53"/>
    <mergeCell ref="AN53:AO53"/>
    <mergeCell ref="AP53:AQ53"/>
    <mergeCell ref="AR53:AS53"/>
    <mergeCell ref="AT53:AU53"/>
    <mergeCell ref="AV53:AW53"/>
    <mergeCell ref="BD56:BE56"/>
    <mergeCell ref="BF56:BI56"/>
    <mergeCell ref="AN56:AO56"/>
    <mergeCell ref="AP56:AQ56"/>
    <mergeCell ref="AR56:AS56"/>
    <mergeCell ref="AT56:AU56"/>
    <mergeCell ref="AV56:AW56"/>
    <mergeCell ref="AX56:AZ56"/>
    <mergeCell ref="BA56:BB56"/>
    <mergeCell ref="AJ60:AK60"/>
    <mergeCell ref="AL60:AM60"/>
    <mergeCell ref="BJ60:BM60"/>
    <mergeCell ref="BN60:BV60"/>
    <mergeCell ref="R60:S60"/>
    <mergeCell ref="T60:U60"/>
    <mergeCell ref="V60:W60"/>
    <mergeCell ref="X60:AA60"/>
    <mergeCell ref="AB60:AE60"/>
    <mergeCell ref="AF60:AG60"/>
    <mergeCell ref="AH60:AI60"/>
    <mergeCell ref="BJ59:BM59"/>
    <mergeCell ref="BN59:BV59"/>
    <mergeCell ref="B60:C60"/>
    <mergeCell ref="D60:E60"/>
    <mergeCell ref="F60:G60"/>
    <mergeCell ref="H60:I60"/>
    <mergeCell ref="J60:K60"/>
    <mergeCell ref="L60:M60"/>
    <mergeCell ref="P60:Q60"/>
    <mergeCell ref="BJ50:BM50"/>
    <mergeCell ref="BN50:BV50"/>
    <mergeCell ref="B50:C50"/>
    <mergeCell ref="D50:E50"/>
    <mergeCell ref="F50:G50"/>
    <mergeCell ref="H50:I50"/>
    <mergeCell ref="J50:K50"/>
    <mergeCell ref="L50:M50"/>
    <mergeCell ref="P50:Q50"/>
    <mergeCell ref="AJ50:AK50"/>
    <mergeCell ref="AL50:AM50"/>
    <mergeCell ref="AN50:AO50"/>
    <mergeCell ref="AP50:AQ50"/>
    <mergeCell ref="AR50:AS50"/>
    <mergeCell ref="AT50:AU50"/>
    <mergeCell ref="AV50:AW50"/>
    <mergeCell ref="B51:C51"/>
    <mergeCell ref="D51:E51"/>
    <mergeCell ref="F51:G51"/>
    <mergeCell ref="H51:I51"/>
    <mergeCell ref="J51:K51"/>
    <mergeCell ref="L51:M51"/>
    <mergeCell ref="P51:Q51"/>
    <mergeCell ref="R53:S53"/>
    <mergeCell ref="T53:U53"/>
    <mergeCell ref="V53:W53"/>
    <mergeCell ref="X53:AA53"/>
    <mergeCell ref="AB53:AE53"/>
    <mergeCell ref="AF53:AG53"/>
    <mergeCell ref="AH53:AI53"/>
    <mergeCell ref="B53:C53"/>
    <mergeCell ref="D53:E53"/>
    <mergeCell ref="F53:G53"/>
    <mergeCell ref="H53:I53"/>
    <mergeCell ref="J53:K53"/>
    <mergeCell ref="L53:M53"/>
    <mergeCell ref="P53:Q53"/>
    <mergeCell ref="R52:S52"/>
    <mergeCell ref="T52:U52"/>
    <mergeCell ref="V52:W52"/>
    <mergeCell ref="X52:AA52"/>
    <mergeCell ref="AB52:AE52"/>
    <mergeCell ref="AF52:AG52"/>
    <mergeCell ref="AH52:AI52"/>
    <mergeCell ref="AX52:AZ52"/>
    <mergeCell ref="BA52:BB52"/>
    <mergeCell ref="BD52:BE52"/>
    <mergeCell ref="BF52:BI52"/>
    <mergeCell ref="BJ52:BM52"/>
    <mergeCell ref="BN52:BV52"/>
    <mergeCell ref="AJ52:AK52"/>
    <mergeCell ref="AL52:AM52"/>
    <mergeCell ref="AN52:AO52"/>
    <mergeCell ref="AP52:AQ52"/>
    <mergeCell ref="AR52:AS52"/>
    <mergeCell ref="AT52:AU52"/>
    <mergeCell ref="AV52:AW52"/>
    <mergeCell ref="B52:C52"/>
    <mergeCell ref="D52:E52"/>
    <mergeCell ref="F52:G52"/>
    <mergeCell ref="H52:I52"/>
    <mergeCell ref="J52:K52"/>
    <mergeCell ref="L52:M52"/>
    <mergeCell ref="P52:Q52"/>
    <mergeCell ref="P57:Q57"/>
    <mergeCell ref="B58:C58"/>
    <mergeCell ref="D58:E58"/>
    <mergeCell ref="F58:G58"/>
    <mergeCell ref="H58:I58"/>
    <mergeCell ref="J58:K58"/>
    <mergeCell ref="L58:M58"/>
    <mergeCell ref="P58:Q58"/>
    <mergeCell ref="AJ57:AK57"/>
    <mergeCell ref="AL57:AM57"/>
    <mergeCell ref="AN57:AO57"/>
    <mergeCell ref="AP57:AQ57"/>
    <mergeCell ref="AR57:AS57"/>
    <mergeCell ref="AT57:AU57"/>
    <mergeCell ref="AV57:AW57"/>
    <mergeCell ref="BD51:BE51"/>
    <mergeCell ref="BF51:BI51"/>
    <mergeCell ref="AN51:AO51"/>
    <mergeCell ref="AP51:AQ51"/>
    <mergeCell ref="AR51:AS51"/>
    <mergeCell ref="AT51:AU51"/>
    <mergeCell ref="AV51:AW51"/>
    <mergeCell ref="AX51:AZ51"/>
    <mergeCell ref="BA51:BB51"/>
    <mergeCell ref="AJ49:AK49"/>
    <mergeCell ref="AL49:AM49"/>
    <mergeCell ref="R49:S49"/>
    <mergeCell ref="T49:U49"/>
    <mergeCell ref="V49:W49"/>
    <mergeCell ref="X49:AA49"/>
    <mergeCell ref="AB49:AE49"/>
    <mergeCell ref="AF49:AG49"/>
    <mergeCell ref="AH49:AI49"/>
    <mergeCell ref="R50:S50"/>
    <mergeCell ref="T50:U50"/>
    <mergeCell ref="V50:W50"/>
    <mergeCell ref="X50:AA50"/>
    <mergeCell ref="AB50:AE50"/>
    <mergeCell ref="AF50:AG50"/>
    <mergeCell ref="AH50:AI50"/>
    <mergeCell ref="AX50:AZ50"/>
    <mergeCell ref="BA50:BB50"/>
    <mergeCell ref="BD50:BE50"/>
    <mergeCell ref="BF50:BI50"/>
    <mergeCell ref="BD54:BE54"/>
    <mergeCell ref="BF54:BI54"/>
    <mergeCell ref="AN54:AO54"/>
    <mergeCell ref="AP54:AQ54"/>
    <mergeCell ref="AR54:AS54"/>
    <mergeCell ref="AT54:AU54"/>
    <mergeCell ref="AV54:AW54"/>
    <mergeCell ref="AX54:AZ54"/>
    <mergeCell ref="BA54:BB54"/>
    <mergeCell ref="AX53:AZ53"/>
    <mergeCell ref="BA53:BB53"/>
    <mergeCell ref="BD53:BE53"/>
    <mergeCell ref="BF53:BI53"/>
    <mergeCell ref="AJ58:AK58"/>
    <mergeCell ref="AL58:AM58"/>
    <mergeCell ref="R58:S58"/>
    <mergeCell ref="BJ55:BM55"/>
    <mergeCell ref="BN55:BV55"/>
    <mergeCell ref="BJ56:BM56"/>
    <mergeCell ref="BN56:BV56"/>
    <mergeCell ref="B55:C55"/>
    <mergeCell ref="D55:E55"/>
    <mergeCell ref="F55:G55"/>
    <mergeCell ref="H55:I55"/>
    <mergeCell ref="J55:K55"/>
    <mergeCell ref="L55:M55"/>
    <mergeCell ref="P55:Q55"/>
    <mergeCell ref="B56:C56"/>
    <mergeCell ref="D56:E56"/>
    <mergeCell ref="F56:G56"/>
    <mergeCell ref="H56:I56"/>
    <mergeCell ref="J56:K56"/>
    <mergeCell ref="L56:M56"/>
    <mergeCell ref="P56:Q56"/>
    <mergeCell ref="AJ55:AK55"/>
    <mergeCell ref="AL55:AM55"/>
    <mergeCell ref="AN55:AO55"/>
    <mergeCell ref="AP55:AQ55"/>
    <mergeCell ref="AR55:AS55"/>
    <mergeCell ref="AT55:AU55"/>
    <mergeCell ref="AV55:AW55"/>
    <mergeCell ref="BD58:BE58"/>
    <mergeCell ref="BF58:BI58"/>
    <mergeCell ref="AN58:AO58"/>
    <mergeCell ref="AP58:AQ58"/>
    <mergeCell ref="AR58:AS58"/>
    <mergeCell ref="AT58:AU58"/>
    <mergeCell ref="AV58:AW58"/>
    <mergeCell ref="AX58:AZ58"/>
    <mergeCell ref="BA58:BB58"/>
    <mergeCell ref="AJ56:AK56"/>
    <mergeCell ref="AL56:AM56"/>
    <mergeCell ref="R56:S56"/>
    <mergeCell ref="T56:U56"/>
    <mergeCell ref="V56:W56"/>
    <mergeCell ref="X56:AA56"/>
    <mergeCell ref="AB56:AE56"/>
    <mergeCell ref="AF56:AG56"/>
    <mergeCell ref="AH56:AI56"/>
    <mergeCell ref="R57:S57"/>
    <mergeCell ref="T57:U57"/>
    <mergeCell ref="V57:W57"/>
    <mergeCell ref="X57:AA57"/>
    <mergeCell ref="AB57:AE57"/>
    <mergeCell ref="AF57:AG57"/>
    <mergeCell ref="AH57:AI57"/>
    <mergeCell ref="AX57:AZ57"/>
    <mergeCell ref="BA57:BB57"/>
    <mergeCell ref="BD57:BE57"/>
    <mergeCell ref="BF57:BI57"/>
    <mergeCell ref="BJ57:BM57"/>
    <mergeCell ref="BN57:BV57"/>
    <mergeCell ref="BJ58:BM58"/>
    <mergeCell ref="BN58:BV58"/>
    <mergeCell ref="B57:C57"/>
    <mergeCell ref="D57:E57"/>
    <mergeCell ref="F57:G57"/>
    <mergeCell ref="H57:I57"/>
    <mergeCell ref="J57:K57"/>
    <mergeCell ref="L57:M57"/>
    <mergeCell ref="AJ36:AK36"/>
    <mergeCell ref="AL36:AM36"/>
    <mergeCell ref="AN36:AO36"/>
    <mergeCell ref="AP36:AQ36"/>
    <mergeCell ref="AR36:AS36"/>
    <mergeCell ref="AT36:AU36"/>
    <mergeCell ref="AV36:AW36"/>
    <mergeCell ref="AJ54:AK54"/>
    <mergeCell ref="AL54:AM54"/>
    <mergeCell ref="R54:S54"/>
    <mergeCell ref="T54:U54"/>
    <mergeCell ref="V54:W54"/>
    <mergeCell ref="X54:AA54"/>
    <mergeCell ref="AB54:AE54"/>
    <mergeCell ref="AF54:AG54"/>
    <mergeCell ref="AH54:AI54"/>
    <mergeCell ref="R55:S55"/>
    <mergeCell ref="T55:U55"/>
    <mergeCell ref="V55:W55"/>
    <mergeCell ref="X55:AA55"/>
    <mergeCell ref="AB55:AE55"/>
    <mergeCell ref="AF55:AG55"/>
    <mergeCell ref="AH55:AI55"/>
    <mergeCell ref="AX55:AZ55"/>
    <mergeCell ref="BA55:BB55"/>
    <mergeCell ref="BD55:BE55"/>
    <mergeCell ref="BF55:BI55"/>
    <mergeCell ref="BD39:BE39"/>
    <mergeCell ref="BF39:BI39"/>
    <mergeCell ref="AN39:AO39"/>
    <mergeCell ref="AP39:AQ39"/>
    <mergeCell ref="AR39:AS39"/>
    <mergeCell ref="AT39:AU39"/>
    <mergeCell ref="AV39:AW39"/>
    <mergeCell ref="AX39:AZ39"/>
    <mergeCell ref="BA39:BB39"/>
    <mergeCell ref="AJ37:AK37"/>
    <mergeCell ref="AL37:AM37"/>
    <mergeCell ref="BD41:BE41"/>
    <mergeCell ref="BF41:BI41"/>
    <mergeCell ref="AN41:AO41"/>
    <mergeCell ref="AP41:AQ41"/>
    <mergeCell ref="AR41:AS41"/>
    <mergeCell ref="AT41:AU41"/>
    <mergeCell ref="AV41:AW41"/>
    <mergeCell ref="AX41:AZ41"/>
    <mergeCell ref="BA41:BB41"/>
    <mergeCell ref="R40:S40"/>
    <mergeCell ref="T40:U40"/>
    <mergeCell ref="V40:W40"/>
    <mergeCell ref="X40:AA40"/>
    <mergeCell ref="AB40:AE40"/>
    <mergeCell ref="AF40:AG40"/>
    <mergeCell ref="AH40:AI40"/>
    <mergeCell ref="AX40:AZ40"/>
    <mergeCell ref="BA40:BB40"/>
    <mergeCell ref="BD40:BE40"/>
    <mergeCell ref="BF40:BI40"/>
    <mergeCell ref="AJ51:AK51"/>
    <mergeCell ref="AL51:AM51"/>
    <mergeCell ref="BJ34:BM34"/>
    <mergeCell ref="BN34:BV34"/>
    <mergeCell ref="BJ35:BM35"/>
    <mergeCell ref="BN35:BV35"/>
    <mergeCell ref="B34:C34"/>
    <mergeCell ref="D34:E34"/>
    <mergeCell ref="F34:G34"/>
    <mergeCell ref="H34:I34"/>
    <mergeCell ref="J34:K34"/>
    <mergeCell ref="L34:M34"/>
    <mergeCell ref="P34:Q34"/>
    <mergeCell ref="B35:C35"/>
    <mergeCell ref="D35:E35"/>
    <mergeCell ref="F35:G35"/>
    <mergeCell ref="H35:I35"/>
    <mergeCell ref="J35:K35"/>
    <mergeCell ref="L35:M35"/>
    <mergeCell ref="P35:Q35"/>
    <mergeCell ref="AJ34:AK34"/>
    <mergeCell ref="AL34:AM34"/>
    <mergeCell ref="AN34:AO34"/>
    <mergeCell ref="AP34:AQ34"/>
    <mergeCell ref="AR34:AS34"/>
    <mergeCell ref="AT34:AU34"/>
    <mergeCell ref="AV34:AW34"/>
    <mergeCell ref="BD37:BE37"/>
    <mergeCell ref="BF37:BI37"/>
    <mergeCell ref="AN37:AO37"/>
    <mergeCell ref="AP37:AQ37"/>
    <mergeCell ref="AR37:AS37"/>
    <mergeCell ref="AT37:AU37"/>
    <mergeCell ref="AV37:AW37"/>
    <mergeCell ref="AX37:AZ37"/>
    <mergeCell ref="BA37:BB37"/>
    <mergeCell ref="AJ35:AK35"/>
    <mergeCell ref="AL35:AM35"/>
    <mergeCell ref="R35:S35"/>
    <mergeCell ref="T35:U35"/>
    <mergeCell ref="V35:W35"/>
    <mergeCell ref="X35:AA35"/>
    <mergeCell ref="AB35:AE35"/>
    <mergeCell ref="AF35:AG35"/>
    <mergeCell ref="AH35:AI35"/>
    <mergeCell ref="R36:S36"/>
    <mergeCell ref="T36:U36"/>
    <mergeCell ref="V36:W36"/>
    <mergeCell ref="X36:AA36"/>
    <mergeCell ref="AB36:AE36"/>
    <mergeCell ref="AF36:AG36"/>
    <mergeCell ref="AH36:AI36"/>
    <mergeCell ref="AX36:AZ36"/>
    <mergeCell ref="BA36:BB36"/>
    <mergeCell ref="BD36:BE36"/>
    <mergeCell ref="BF36:BI36"/>
    <mergeCell ref="BJ36:BM36"/>
    <mergeCell ref="BN36:BV36"/>
    <mergeCell ref="B36:C36"/>
    <mergeCell ref="D36:E36"/>
    <mergeCell ref="F36:G36"/>
    <mergeCell ref="H36:I36"/>
    <mergeCell ref="J36:K36"/>
    <mergeCell ref="L36:M36"/>
    <mergeCell ref="P36:Q36"/>
    <mergeCell ref="B37:C37"/>
    <mergeCell ref="P32:Q32"/>
    <mergeCell ref="B33:C33"/>
    <mergeCell ref="D33:E33"/>
    <mergeCell ref="F33:G33"/>
    <mergeCell ref="H33:I33"/>
    <mergeCell ref="J33:K33"/>
    <mergeCell ref="L33:M33"/>
    <mergeCell ref="P33:Q33"/>
    <mergeCell ref="AJ32:AK32"/>
    <mergeCell ref="AL32:AM32"/>
    <mergeCell ref="AN32:AO32"/>
    <mergeCell ref="AP32:AQ32"/>
    <mergeCell ref="AR32:AS32"/>
    <mergeCell ref="AT32:AU32"/>
    <mergeCell ref="AV32:AW32"/>
    <mergeCell ref="BD35:BE35"/>
    <mergeCell ref="BF35:BI35"/>
    <mergeCell ref="AN35:AO35"/>
    <mergeCell ref="AP35:AQ35"/>
    <mergeCell ref="AR35:AS35"/>
    <mergeCell ref="AT35:AU35"/>
    <mergeCell ref="AV35:AW35"/>
    <mergeCell ref="AX35:AZ35"/>
    <mergeCell ref="BA35:BB35"/>
    <mergeCell ref="AJ33:AK33"/>
    <mergeCell ref="AL33:AM33"/>
    <mergeCell ref="R33:S33"/>
    <mergeCell ref="T33:U33"/>
    <mergeCell ref="V33:W33"/>
    <mergeCell ref="X33:AA33"/>
    <mergeCell ref="AB33:AE33"/>
    <mergeCell ref="AF33:AG33"/>
    <mergeCell ref="AH33:AI33"/>
    <mergeCell ref="R34:S34"/>
    <mergeCell ref="T34:U34"/>
    <mergeCell ref="V34:W34"/>
    <mergeCell ref="X34:AA34"/>
    <mergeCell ref="AB34:AE34"/>
    <mergeCell ref="AF34:AG34"/>
    <mergeCell ref="AH34:AI34"/>
    <mergeCell ref="AX34:AZ34"/>
    <mergeCell ref="BA34:BB34"/>
    <mergeCell ref="BD34:BE34"/>
    <mergeCell ref="BF34:BI34"/>
    <mergeCell ref="BJ30:BM30"/>
    <mergeCell ref="BN30:BV30"/>
    <mergeCell ref="BJ31:BM31"/>
    <mergeCell ref="BN31:BV31"/>
    <mergeCell ref="B30:C30"/>
    <mergeCell ref="D30:E30"/>
    <mergeCell ref="F30:G30"/>
    <mergeCell ref="H30:I30"/>
    <mergeCell ref="J30:K30"/>
    <mergeCell ref="L30:M30"/>
    <mergeCell ref="P30:Q30"/>
    <mergeCell ref="B31:C31"/>
    <mergeCell ref="D31:E31"/>
    <mergeCell ref="F31:G31"/>
    <mergeCell ref="H31:I31"/>
    <mergeCell ref="J31:K31"/>
    <mergeCell ref="L31:M31"/>
    <mergeCell ref="P31:Q31"/>
    <mergeCell ref="AJ30:AK30"/>
    <mergeCell ref="AL30:AM30"/>
    <mergeCell ref="AN30:AO30"/>
    <mergeCell ref="AP30:AQ30"/>
    <mergeCell ref="AR30:AS30"/>
    <mergeCell ref="AT30:AU30"/>
    <mergeCell ref="AV30:AW30"/>
    <mergeCell ref="BD33:BE33"/>
    <mergeCell ref="BF33:BI33"/>
    <mergeCell ref="AN33:AO33"/>
    <mergeCell ref="AP33:AQ33"/>
    <mergeCell ref="AR33:AS33"/>
    <mergeCell ref="AT33:AU33"/>
    <mergeCell ref="AV33:AW33"/>
    <mergeCell ref="AX33:AZ33"/>
    <mergeCell ref="BA33:BB33"/>
    <mergeCell ref="AJ31:AK31"/>
    <mergeCell ref="AL31:AM31"/>
    <mergeCell ref="R31:S31"/>
    <mergeCell ref="T31:U31"/>
    <mergeCell ref="V31:W31"/>
    <mergeCell ref="X31:AA31"/>
    <mergeCell ref="AB31:AE31"/>
    <mergeCell ref="AF31:AG31"/>
    <mergeCell ref="AH31:AI31"/>
    <mergeCell ref="R32:S32"/>
    <mergeCell ref="T32:U32"/>
    <mergeCell ref="V32:W32"/>
    <mergeCell ref="X32:AA32"/>
    <mergeCell ref="AB32:AE32"/>
    <mergeCell ref="AF32:AG32"/>
    <mergeCell ref="AH32:AI32"/>
    <mergeCell ref="AX32:AZ32"/>
    <mergeCell ref="BA32:BB32"/>
    <mergeCell ref="BD32:BE32"/>
    <mergeCell ref="BF32:BI32"/>
    <mergeCell ref="BJ32:BM32"/>
    <mergeCell ref="BN32:BV32"/>
    <mergeCell ref="BJ33:BM33"/>
    <mergeCell ref="BN33:BV33"/>
    <mergeCell ref="B32:C32"/>
    <mergeCell ref="D32:E32"/>
    <mergeCell ref="F32:G32"/>
    <mergeCell ref="H32:I32"/>
    <mergeCell ref="J32:K32"/>
    <mergeCell ref="L32:M32"/>
    <mergeCell ref="P28:Q28"/>
    <mergeCell ref="B29:C29"/>
    <mergeCell ref="D29:E29"/>
    <mergeCell ref="F29:G29"/>
    <mergeCell ref="H29:I29"/>
    <mergeCell ref="J29:K29"/>
    <mergeCell ref="L29:M29"/>
    <mergeCell ref="P29:Q29"/>
    <mergeCell ref="AJ28:AK28"/>
    <mergeCell ref="AL28:AM28"/>
    <mergeCell ref="AN28:AO28"/>
    <mergeCell ref="AP28:AQ28"/>
    <mergeCell ref="AR28:AS28"/>
    <mergeCell ref="AT28:AU28"/>
    <mergeCell ref="AV28:AW28"/>
    <mergeCell ref="BD31:BE31"/>
    <mergeCell ref="BF31:BI31"/>
    <mergeCell ref="AN31:AO31"/>
    <mergeCell ref="AP31:AQ31"/>
    <mergeCell ref="AR31:AS31"/>
    <mergeCell ref="AT31:AU31"/>
    <mergeCell ref="AV31:AW31"/>
    <mergeCell ref="AX31:AZ31"/>
    <mergeCell ref="BA31:BB31"/>
    <mergeCell ref="AJ29:AK29"/>
    <mergeCell ref="AL29:AM29"/>
    <mergeCell ref="R29:S29"/>
    <mergeCell ref="T29:U29"/>
    <mergeCell ref="V29:W29"/>
    <mergeCell ref="X29:AA29"/>
    <mergeCell ref="AB29:AE29"/>
    <mergeCell ref="AF29:AG29"/>
    <mergeCell ref="AH29:AI29"/>
    <mergeCell ref="R30:S30"/>
    <mergeCell ref="T30:U30"/>
    <mergeCell ref="V30:W30"/>
    <mergeCell ref="X30:AA30"/>
    <mergeCell ref="AB30:AE30"/>
    <mergeCell ref="AF30:AG30"/>
    <mergeCell ref="AH30:AI30"/>
    <mergeCell ref="AX30:AZ30"/>
    <mergeCell ref="BA30:BB30"/>
    <mergeCell ref="BD30:BE30"/>
    <mergeCell ref="BF30:BI30"/>
    <mergeCell ref="BJ26:BM26"/>
    <mergeCell ref="BN26:BV26"/>
    <mergeCell ref="BJ27:BM27"/>
    <mergeCell ref="BN27:BV27"/>
    <mergeCell ref="B26:C26"/>
    <mergeCell ref="D26:E26"/>
    <mergeCell ref="F26:G26"/>
    <mergeCell ref="H26:I26"/>
    <mergeCell ref="J26:K26"/>
    <mergeCell ref="L26:M26"/>
    <mergeCell ref="P26:Q26"/>
    <mergeCell ref="B27:C27"/>
    <mergeCell ref="D27:E27"/>
    <mergeCell ref="F27:G27"/>
    <mergeCell ref="H27:I27"/>
    <mergeCell ref="J27:K27"/>
    <mergeCell ref="L27:M27"/>
    <mergeCell ref="P27:Q27"/>
    <mergeCell ref="AJ26:AK26"/>
    <mergeCell ref="AL26:AM26"/>
    <mergeCell ref="AN26:AO26"/>
    <mergeCell ref="AP26:AQ26"/>
    <mergeCell ref="AR26:AS26"/>
    <mergeCell ref="AT26:AU26"/>
    <mergeCell ref="AV26:AW26"/>
    <mergeCell ref="BD29:BE29"/>
    <mergeCell ref="BF29:BI29"/>
    <mergeCell ref="AN29:AO29"/>
    <mergeCell ref="AP29:AQ29"/>
    <mergeCell ref="AR29:AS29"/>
    <mergeCell ref="AT29:AU29"/>
    <mergeCell ref="AV29:AW29"/>
    <mergeCell ref="AX29:AZ29"/>
    <mergeCell ref="BA29:BB29"/>
    <mergeCell ref="AJ27:AK27"/>
    <mergeCell ref="AL27:AM27"/>
    <mergeCell ref="R27:S27"/>
    <mergeCell ref="T27:U27"/>
    <mergeCell ref="V27:W27"/>
    <mergeCell ref="X27:AA27"/>
    <mergeCell ref="AB27:AE27"/>
    <mergeCell ref="AF27:AG27"/>
    <mergeCell ref="AH27:AI27"/>
    <mergeCell ref="R28:S28"/>
    <mergeCell ref="T28:U28"/>
    <mergeCell ref="V28:W28"/>
    <mergeCell ref="X28:AA28"/>
    <mergeCell ref="AB28:AE28"/>
    <mergeCell ref="AF28:AG28"/>
    <mergeCell ref="AH28:AI28"/>
    <mergeCell ref="AX28:AZ28"/>
    <mergeCell ref="BA28:BB28"/>
    <mergeCell ref="BD28:BE28"/>
    <mergeCell ref="BF28:BI28"/>
    <mergeCell ref="BJ28:BM28"/>
    <mergeCell ref="BN28:BV28"/>
    <mergeCell ref="BJ29:BM29"/>
    <mergeCell ref="BN29:BV29"/>
    <mergeCell ref="B28:C28"/>
    <mergeCell ref="D28:E28"/>
    <mergeCell ref="F28:G28"/>
    <mergeCell ref="H28:I28"/>
    <mergeCell ref="J28:K28"/>
    <mergeCell ref="L28:M28"/>
    <mergeCell ref="AJ18:AK18"/>
    <mergeCell ref="AL18:AM18"/>
    <mergeCell ref="R18:S18"/>
    <mergeCell ref="T18:U18"/>
    <mergeCell ref="V18:W18"/>
    <mergeCell ref="X18:AA18"/>
    <mergeCell ref="AB18:AE18"/>
    <mergeCell ref="AF18:AG18"/>
    <mergeCell ref="AH18:AI18"/>
    <mergeCell ref="BD18:BE18"/>
    <mergeCell ref="BF18:BI18"/>
    <mergeCell ref="AN18:AO18"/>
    <mergeCell ref="AP18:AQ18"/>
    <mergeCell ref="AR18:AS18"/>
    <mergeCell ref="AT18:AU18"/>
    <mergeCell ref="AV18:AW18"/>
    <mergeCell ref="AX18:AZ18"/>
    <mergeCell ref="BA18:BB18"/>
    <mergeCell ref="BD27:BE27"/>
    <mergeCell ref="BF27:BI27"/>
    <mergeCell ref="AN27:AO27"/>
    <mergeCell ref="AP27:AQ27"/>
    <mergeCell ref="AR27:AS27"/>
    <mergeCell ref="AT27:AU27"/>
    <mergeCell ref="AV27:AW27"/>
    <mergeCell ref="AX27:AZ27"/>
    <mergeCell ref="BA27:BB27"/>
    <mergeCell ref="AJ25:AK25"/>
    <mergeCell ref="AL25:AM25"/>
    <mergeCell ref="R25:S25"/>
    <mergeCell ref="T25:U25"/>
    <mergeCell ref="V25:W25"/>
    <mergeCell ref="X25:AA25"/>
    <mergeCell ref="AB25:AE25"/>
    <mergeCell ref="AF25:AG25"/>
    <mergeCell ref="AH25:AI25"/>
    <mergeCell ref="R26:S26"/>
    <mergeCell ref="T26:U26"/>
    <mergeCell ref="V26:W26"/>
    <mergeCell ref="X26:AA26"/>
    <mergeCell ref="AB26:AE26"/>
    <mergeCell ref="AF26:AG26"/>
    <mergeCell ref="AH26:AI26"/>
    <mergeCell ref="AX26:AZ26"/>
    <mergeCell ref="BA26:BB26"/>
    <mergeCell ref="BD26:BE26"/>
    <mergeCell ref="BF26:BI26"/>
    <mergeCell ref="AF21:AG21"/>
    <mergeCell ref="AH21:AI21"/>
    <mergeCell ref="R22:S22"/>
    <mergeCell ref="T22:U22"/>
    <mergeCell ref="V22:W22"/>
    <mergeCell ref="X22:AA22"/>
    <mergeCell ref="AB22:AE22"/>
    <mergeCell ref="AF22:AG22"/>
    <mergeCell ref="AH22:AI22"/>
    <mergeCell ref="AX22:AZ22"/>
    <mergeCell ref="BA22:BB22"/>
    <mergeCell ref="BD22:BE22"/>
    <mergeCell ref="BF22:BI22"/>
    <mergeCell ref="R23:S23"/>
    <mergeCell ref="T23:U23"/>
    <mergeCell ref="V23:W23"/>
    <mergeCell ref="X23:AA23"/>
    <mergeCell ref="R17:S17"/>
    <mergeCell ref="T17:U17"/>
    <mergeCell ref="V17:W17"/>
    <mergeCell ref="X17:AA17"/>
    <mergeCell ref="AB17:AE17"/>
    <mergeCell ref="AF17:AG17"/>
    <mergeCell ref="AH17:AI17"/>
    <mergeCell ref="AX17:AZ17"/>
    <mergeCell ref="B1:C1"/>
    <mergeCell ref="D1:E1"/>
    <mergeCell ref="F1:G1"/>
    <mergeCell ref="H1:I1"/>
    <mergeCell ref="J1:K1"/>
    <mergeCell ref="L1:M1"/>
    <mergeCell ref="P1:Q1"/>
    <mergeCell ref="R1:S1"/>
    <mergeCell ref="T1:U1"/>
    <mergeCell ref="V1:W1"/>
    <mergeCell ref="X1:AA1"/>
    <mergeCell ref="AB1:AE1"/>
    <mergeCell ref="AF1:AG1"/>
    <mergeCell ref="AH1:AI1"/>
    <mergeCell ref="AJ1:AK1"/>
    <mergeCell ref="AL1:AM1"/>
    <mergeCell ref="AN1:AO1"/>
    <mergeCell ref="AP1:AQ1"/>
    <mergeCell ref="AR1:AS1"/>
    <mergeCell ref="AT1:AU1"/>
    <mergeCell ref="AV1:AW1"/>
    <mergeCell ref="AR5:BV12"/>
    <mergeCell ref="AX1:AZ1"/>
    <mergeCell ref="BA1:BB1"/>
    <mergeCell ref="BD1:BE1"/>
    <mergeCell ref="BF1:BI1"/>
    <mergeCell ref="BJ1:BM1"/>
    <mergeCell ref="BN1:BV1"/>
    <mergeCell ref="A2:BV2"/>
    <mergeCell ref="A3:BV3"/>
    <mergeCell ref="A5:AO5"/>
    <mergeCell ref="A6:G6"/>
    <mergeCell ref="H6:U6"/>
    <mergeCell ref="V6:AB6"/>
    <mergeCell ref="AC6:AQ6"/>
    <mergeCell ref="A7:G7"/>
    <mergeCell ref="AC7:AQ7"/>
    <mergeCell ref="V9:AB9"/>
    <mergeCell ref="AC9:AQ9"/>
    <mergeCell ref="H7:U7"/>
    <mergeCell ref="V7:AB7"/>
    <mergeCell ref="A8:G8"/>
    <mergeCell ref="H8:U9"/>
    <mergeCell ref="V8:AB8"/>
    <mergeCell ref="AC8:AQ8"/>
    <mergeCell ref="A9:G9"/>
    <mergeCell ref="A10:G10"/>
    <mergeCell ref="H10:Q10"/>
    <mergeCell ref="R10:U10"/>
    <mergeCell ref="V10:AB10"/>
    <mergeCell ref="AC10:AQ10"/>
    <mergeCell ref="A11:AE11"/>
    <mergeCell ref="A12:AP12"/>
    <mergeCell ref="AP13:BB13"/>
    <mergeCell ref="BC13:BM13"/>
    <mergeCell ref="BN13:BV13"/>
    <mergeCell ref="A13:E13"/>
    <mergeCell ref="F13:W13"/>
    <mergeCell ref="X13:AA13"/>
    <mergeCell ref="AB13:AE13"/>
    <mergeCell ref="AF13:AG13"/>
    <mergeCell ref="AH13:AI13"/>
    <mergeCell ref="AJ13:AO13"/>
    <mergeCell ref="BD14:BE14"/>
    <mergeCell ref="BF14:BI14"/>
    <mergeCell ref="AN14:AO14"/>
    <mergeCell ref="AP14:AQ14"/>
    <mergeCell ref="AR14:AS14"/>
    <mergeCell ref="AT14:AU14"/>
    <mergeCell ref="AV14:AW14"/>
    <mergeCell ref="AX14:AZ14"/>
    <mergeCell ref="BA14:BB14"/>
    <mergeCell ref="BJ14:BM14"/>
    <mergeCell ref="BN14:BV14"/>
    <mergeCell ref="B14:C14"/>
    <mergeCell ref="D14:E14"/>
    <mergeCell ref="F14:G14"/>
    <mergeCell ref="H14:I14"/>
    <mergeCell ref="J14:K14"/>
    <mergeCell ref="L14:M14"/>
    <mergeCell ref="P14:Q14"/>
    <mergeCell ref="AJ14:AK14"/>
    <mergeCell ref="AL14:AM14"/>
    <mergeCell ref="R14:S14"/>
    <mergeCell ref="T14:U14"/>
    <mergeCell ref="V14:W14"/>
    <mergeCell ref="X14:AA14"/>
    <mergeCell ref="AB14:AE14"/>
    <mergeCell ref="AF14:AG14"/>
    <mergeCell ref="AH14:AI14"/>
  </mergeCells>
  <conditionalFormatting sqref="A16:A1614">
    <cfRule type="expression" dxfId="18" priority="1">
      <formula>$BC16="YES"</formula>
    </cfRule>
  </conditionalFormatting>
  <conditionalFormatting sqref="A15:E15 L15:AF16 AV15:BV1609 B16:E114 AL1411:AU1609">
    <cfRule type="expression" dxfId="17" priority="2">
      <formula>$BC15="YES"</formula>
    </cfRule>
  </conditionalFormatting>
  <conditionalFormatting sqref="B313:E1504">
    <cfRule type="expression" dxfId="16" priority="3">
      <formula>$BC313="YES"</formula>
    </cfRule>
  </conditionalFormatting>
  <conditionalFormatting sqref="B115:F312">
    <cfRule type="expression" dxfId="15" priority="4">
      <formula>$BC115="YES"</formula>
    </cfRule>
  </conditionalFormatting>
  <conditionalFormatting sqref="B1505:F1614">
    <cfRule type="expression" dxfId="14" priority="5">
      <formula>$BC1505="YES"</formula>
    </cfRule>
  </conditionalFormatting>
  <conditionalFormatting sqref="F15:F114">
    <cfRule type="expression" dxfId="13" priority="6">
      <formula>$BC15="YES"</formula>
    </cfRule>
  </conditionalFormatting>
  <conditionalFormatting sqref="F208:F1609">
    <cfRule type="expression" dxfId="12" priority="7">
      <formula>$BC208="YES"</formula>
    </cfRule>
  </conditionalFormatting>
  <conditionalFormatting sqref="H15:K1614">
    <cfRule type="expression" dxfId="11" priority="8">
      <formula>$BC15="YES"</formula>
    </cfRule>
  </conditionalFormatting>
  <conditionalFormatting sqref="L17:M1504">
    <cfRule type="expression" dxfId="10" priority="9">
      <formula>$BC17="YES"</formula>
    </cfRule>
  </conditionalFormatting>
  <conditionalFormatting sqref="L1505:AF1614 AL1610:BV1614 F1612:F1614">
    <cfRule type="expression" dxfId="9" priority="10">
      <formula>$BC1505="YES"</formula>
    </cfRule>
  </conditionalFormatting>
  <conditionalFormatting sqref="N17:N621">
    <cfRule type="expression" dxfId="8" priority="11">
      <formula>$BC17="YES"</formula>
    </cfRule>
  </conditionalFormatting>
  <conditionalFormatting sqref="N622:O675">
    <cfRule type="expression" dxfId="7" priority="12">
      <formula>$BC622="YES"</formula>
    </cfRule>
  </conditionalFormatting>
  <conditionalFormatting sqref="N676:AF1504">
    <cfRule type="expression" dxfId="6" priority="13">
      <formula>$BC676="YES"</formula>
    </cfRule>
  </conditionalFormatting>
  <conditionalFormatting sqref="O612:O621">
    <cfRule type="expression" dxfId="5" priority="14">
      <formula>$BC612="YES"</formula>
    </cfRule>
  </conditionalFormatting>
  <conditionalFormatting sqref="O17:AF611">
    <cfRule type="expression" dxfId="4" priority="15">
      <formula>$BC17="YES"</formula>
    </cfRule>
  </conditionalFormatting>
  <conditionalFormatting sqref="P612:AF675">
    <cfRule type="expression" dxfId="3" priority="16">
      <formula>$BC612="YES"</formula>
    </cfRule>
  </conditionalFormatting>
  <conditionalFormatting sqref="AH15:AH518">
    <cfRule type="expression" dxfId="2" priority="17">
      <formula>$BC15="YES"</formula>
    </cfRule>
  </conditionalFormatting>
  <conditionalFormatting sqref="AJ1411:AK1614">
    <cfRule type="expression" dxfId="1" priority="18">
      <formula>$BC1411="YES"</formula>
    </cfRule>
  </conditionalFormatting>
  <conditionalFormatting sqref="AJ15:AU1410">
    <cfRule type="expression" dxfId="0" priority="19">
      <formula>$BC15="YES"</formula>
    </cfRule>
  </conditionalFormatting>
  <pageMargins left="0" right="0" top="0.75" bottom="0.75" header="0" footer="0"/>
  <pageSetup paperSize="3" orientation="landscape"/>
  <extLst>
    <ext xmlns:x14="http://schemas.microsoft.com/office/spreadsheetml/2009/9/main" uri="{CCE6A557-97BC-4b89-ADB6-D9C93CAAB3DF}">
      <x14:dataValidations xmlns:xm="http://schemas.microsoft.com/office/excel/2006/main" count="12">
        <x14:dataValidation type="list" allowBlank="1" showErrorMessage="1" xr:uid="{00000000-0002-0000-0300-000000000000}">
          <x14:formula1>
            <xm:f>'Drop-Down Boxes '!$H$3:$H$11</xm:f>
          </x14:formula1>
          <xm:sqref>R10</xm:sqref>
        </x14:dataValidation>
        <x14:dataValidation type="list" allowBlank="1" showErrorMessage="1" xr:uid="{00000000-0002-0000-0300-000001000000}">
          <x14:formula1>
            <xm:f>'Drop-Down Boxes '!$J$80:$J$84</xm:f>
          </x14:formula1>
          <xm:sqref>BF15:BF1614</xm:sqref>
        </x14:dataValidation>
        <x14:dataValidation type="list" allowBlank="1" showErrorMessage="1" xr:uid="{00000000-0002-0000-0300-000002000000}">
          <x14:formula1>
            <xm:f>'Drop-Down Boxes '!$A$79:$A$80</xm:f>
          </x14:formula1>
          <xm:sqref>J15:J1614 T15:T1614 AP15:AP1614 BC15:BC1614</xm:sqref>
        </x14:dataValidation>
        <x14:dataValidation type="list" allowBlank="1" showErrorMessage="1" xr:uid="{00000000-0002-0000-0300-000003000000}">
          <x14:formula1>
            <xm:f>'Drop-Down Boxes '!$D$3:$D$14</xm:f>
          </x14:formula1>
          <xm:sqref>H10</xm:sqref>
        </x14:dataValidation>
        <x14:dataValidation type="list" allowBlank="1" showErrorMessage="1" xr:uid="{00000000-0002-0000-0300-000004000000}">
          <x14:formula1>
            <xm:f>'Drop-Down Boxes '!$A$3:$A$9</xm:f>
          </x14:formula1>
          <xm:sqref>P15:P1614</xm:sqref>
        </x14:dataValidation>
        <x14:dataValidation type="list" allowBlank="1" showErrorMessage="1" xr:uid="{00000000-0002-0000-0300-000005000000}">
          <x14:formula1>
            <xm:f>'Drop-Down Boxes '!$A$17:$A$18</xm:f>
          </x14:formula1>
          <xm:sqref>O15:O1614</xm:sqref>
        </x14:dataValidation>
        <x14:dataValidation type="list" allowBlank="1" showErrorMessage="1" xr:uid="{00000000-0002-0000-0300-000006000000}">
          <x14:formula1>
            <xm:f>'Drop-Down Boxes '!$A$12:$A$14</xm:f>
          </x14:formula1>
          <xm:sqref>R15:R1614</xm:sqref>
        </x14:dataValidation>
        <x14:dataValidation type="list" allowBlank="1" showErrorMessage="1" xr:uid="{00000000-0002-0000-0300-000007000000}">
          <x14:formula1>
            <xm:f>'Drop-Down Boxes '!$K$91:$K$93</xm:f>
          </x14:formula1>
          <xm:sqref>AR15:AR1614</xm:sqref>
        </x14:dataValidation>
        <x14:dataValidation type="list" allowBlank="1" showErrorMessage="1" xr:uid="{00000000-0002-0000-0300-000008000000}">
          <x14:formula1>
            <xm:f>'Drop-Down Boxes '!$O$91:$O$93</xm:f>
          </x14:formula1>
          <xm:sqref>AT15:AT1614</xm:sqref>
        </x14:dataValidation>
        <x14:dataValidation type="list" allowBlank="1" showErrorMessage="1" xr:uid="{00000000-0002-0000-0300-000009000000}">
          <x14:formula1>
            <xm:f>'Drop-Down Boxes '!$H$89:$H$90</xm:f>
          </x14:formula1>
          <xm:sqref>AF15:AF1614 AH15:AH1614</xm:sqref>
        </x14:dataValidation>
        <x14:dataValidation type="list" allowBlank="1" showErrorMessage="1" xr:uid="{00000000-0002-0000-0300-00000A000000}">
          <x14:formula1>
            <xm:f>'Drop-Down Boxes '!$O$43:$O$50</xm:f>
          </x14:formula1>
          <xm:sqref>AX15:AX1614 BA15:BA1614</xm:sqref>
        </x14:dataValidation>
        <x14:dataValidation type="list" allowBlank="1" showErrorMessage="1" xr:uid="{00000000-0002-0000-0300-00000B000000}">
          <x14:formula1>
            <xm:f>'Drop-Down Boxes '!$D$86:$D$88</xm:f>
          </x14:formula1>
          <xm:sqref>V15:V1614 AJ15:AJ1614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B1613"/>
  <sheetViews>
    <sheetView workbookViewId="0">
      <pane ySplit="1" topLeftCell="A2" activePane="bottomLeft" state="frozen"/>
      <selection pane="bottomLeft" activeCell="A3" sqref="A3:AT3"/>
    </sheetView>
  </sheetViews>
  <sheetFormatPr defaultColWidth="14.42578125" defaultRowHeight="15" customHeight="1" x14ac:dyDescent="0.25"/>
  <cols>
    <col min="1" max="5" width="4.7109375" customWidth="1"/>
    <col min="6" max="6" width="5" customWidth="1"/>
    <col min="7" max="26" width="4.7109375" customWidth="1"/>
    <col min="27" max="27" width="6" customWidth="1"/>
    <col min="28" max="28" width="5.42578125" customWidth="1"/>
    <col min="29" max="44" width="4.7109375" customWidth="1"/>
    <col min="45" max="45" width="5.42578125" customWidth="1"/>
    <col min="46" max="50" width="4.7109375" customWidth="1"/>
    <col min="51" max="51" width="4" customWidth="1"/>
    <col min="52" max="52" width="5.85546875" customWidth="1"/>
    <col min="53" max="53" width="5.5703125" customWidth="1"/>
    <col min="54" max="54" width="4.7109375" customWidth="1"/>
  </cols>
  <sheetData>
    <row r="1" spans="1:54" ht="49.5" customHeight="1" x14ac:dyDescent="0.25">
      <c r="A1" s="11" t="s">
        <v>294</v>
      </c>
      <c r="B1" s="570" t="s">
        <v>319</v>
      </c>
      <c r="C1" s="327"/>
      <c r="D1" s="505" t="s">
        <v>400</v>
      </c>
      <c r="E1" s="327"/>
      <c r="F1" s="571" t="s">
        <v>401</v>
      </c>
      <c r="G1" s="327"/>
      <c r="H1" s="572" t="s">
        <v>402</v>
      </c>
      <c r="I1" s="327"/>
      <c r="J1" s="573" t="s">
        <v>403</v>
      </c>
      <c r="K1" s="327"/>
      <c r="L1" s="574" t="s">
        <v>404</v>
      </c>
      <c r="M1" s="327"/>
      <c r="N1" s="575" t="s">
        <v>405</v>
      </c>
      <c r="O1" s="327"/>
      <c r="P1" s="574" t="s">
        <v>406</v>
      </c>
      <c r="Q1" s="327"/>
      <c r="R1" s="575" t="s">
        <v>407</v>
      </c>
      <c r="S1" s="327"/>
      <c r="T1" s="574" t="s">
        <v>408</v>
      </c>
      <c r="U1" s="327"/>
      <c r="V1" s="579" t="s">
        <v>409</v>
      </c>
      <c r="W1" s="327"/>
      <c r="X1" s="580" t="s">
        <v>410</v>
      </c>
      <c r="Y1" s="327"/>
      <c r="Z1" s="581" t="s">
        <v>411</v>
      </c>
      <c r="AA1" s="327"/>
      <c r="AB1" s="577" t="s">
        <v>412</v>
      </c>
      <c r="AC1" s="327"/>
      <c r="AD1" s="576" t="s">
        <v>413</v>
      </c>
      <c r="AE1" s="327"/>
      <c r="AF1" s="577" t="s">
        <v>414</v>
      </c>
      <c r="AG1" s="327"/>
      <c r="AH1" s="576" t="s">
        <v>415</v>
      </c>
      <c r="AI1" s="327"/>
      <c r="AJ1" s="577" t="s">
        <v>416</v>
      </c>
      <c r="AK1" s="327"/>
      <c r="AL1" s="578" t="s">
        <v>324</v>
      </c>
      <c r="AM1" s="326"/>
      <c r="AN1" s="326"/>
      <c r="AO1" s="326"/>
      <c r="AP1" s="326"/>
      <c r="AQ1" s="326"/>
      <c r="AR1" s="326"/>
      <c r="AS1" s="326"/>
      <c r="AT1" s="326"/>
      <c r="AU1" s="326"/>
      <c r="AV1" s="326"/>
      <c r="AW1" s="326"/>
      <c r="AX1" s="326"/>
      <c r="AY1" s="326"/>
      <c r="AZ1" s="326"/>
      <c r="BA1" s="326"/>
      <c r="BB1" s="327"/>
    </row>
    <row r="2" spans="1:54" ht="18.75" x14ac:dyDescent="0.25">
      <c r="A2" s="432" t="str">
        <f>'GRANTEE SET UP INFO &amp; DATE '!A1</f>
        <v>WV Bureau for Behavioral Healh - Peer Recovery Support Services  V 20200110</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54"/>
      <c r="AU2" s="29"/>
      <c r="AV2" s="29"/>
      <c r="AW2" s="8"/>
      <c r="AX2" s="8"/>
      <c r="AY2" s="8"/>
      <c r="AZ2" s="8"/>
      <c r="BA2" s="8"/>
      <c r="BB2" s="8"/>
    </row>
    <row r="3" spans="1:54" ht="15.75" x14ac:dyDescent="0.25">
      <c r="A3" s="582" t="str">
        <f>'GRANTEE SET UP INFO &amp; DATE '!A2</f>
        <v>Program reports need to be submitted electronically, via e-mail to BBHReporting@wv.gov within 25 calendar days of the end of each month.</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2"/>
      <c r="AU3" s="15"/>
      <c r="AV3" s="15"/>
      <c r="AW3" s="8"/>
      <c r="AX3" s="8"/>
      <c r="AY3" s="8"/>
      <c r="AZ3" s="8"/>
      <c r="BA3" s="8"/>
      <c r="BB3" s="8"/>
    </row>
    <row r="4" spans="1:54" ht="19.5" customHeight="1" x14ac:dyDescent="0.25">
      <c r="A4" s="459" t="s">
        <v>417</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54"/>
    </row>
    <row r="5" spans="1:54" ht="15" customHeight="1" x14ac:dyDescent="0.25">
      <c r="A5" s="325" t="s">
        <v>418</v>
      </c>
      <c r="B5" s="326"/>
      <c r="C5" s="326"/>
      <c r="D5" s="326"/>
      <c r="E5" s="326"/>
      <c r="F5" s="326"/>
      <c r="G5" s="326"/>
      <c r="H5" s="326"/>
      <c r="I5" s="326"/>
      <c r="J5" s="327"/>
      <c r="K5" s="9"/>
      <c r="L5" s="583" t="str">
        <f>'GRANTEE SET UP INFO &amp; DATE '!H4</f>
        <v xml:space="preserve">SA Peer Recovery Support Specialist </v>
      </c>
      <c r="M5" s="338"/>
      <c r="N5" s="338"/>
      <c r="O5" s="338"/>
      <c r="P5" s="338"/>
      <c r="Q5" s="338"/>
      <c r="R5" s="338"/>
      <c r="S5" s="338"/>
      <c r="T5" s="338"/>
      <c r="U5" s="338"/>
      <c r="V5" s="338"/>
      <c r="W5" s="338"/>
      <c r="X5" s="338"/>
      <c r="Y5" s="338"/>
      <c r="Z5" s="338"/>
      <c r="AA5" s="338"/>
      <c r="AB5" s="338"/>
      <c r="AC5" s="338"/>
      <c r="AD5" s="339"/>
      <c r="AE5" s="5"/>
      <c r="AF5" s="409" t="s">
        <v>31</v>
      </c>
      <c r="AG5" s="326"/>
      <c r="AH5" s="326"/>
      <c r="AI5" s="326"/>
      <c r="AJ5" s="326"/>
      <c r="AK5" s="326"/>
      <c r="AL5" s="326"/>
      <c r="AM5" s="326"/>
      <c r="AN5" s="327"/>
      <c r="AO5" s="462" t="str">
        <f>'GRANTEE SET UP INFO &amp; DATE '!Z4</f>
        <v xml:space="preserve">Grantee formal Name (name on grant agreement) </v>
      </c>
      <c r="AP5" s="326"/>
      <c r="AQ5" s="326"/>
      <c r="AR5" s="326"/>
      <c r="AS5" s="326"/>
      <c r="AT5" s="326"/>
      <c r="AU5" s="326"/>
      <c r="AV5" s="326"/>
      <c r="AW5" s="326"/>
      <c r="AX5" s="326"/>
      <c r="AY5" s="326"/>
      <c r="AZ5" s="326"/>
      <c r="BA5" s="326"/>
      <c r="BB5" s="327"/>
    </row>
    <row r="6" spans="1:54" x14ac:dyDescent="0.25">
      <c r="A6" s="407" t="s">
        <v>419</v>
      </c>
      <c r="B6" s="326"/>
      <c r="C6" s="326"/>
      <c r="D6" s="326"/>
      <c r="E6" s="326"/>
      <c r="F6" s="326"/>
      <c r="G6" s="326"/>
      <c r="H6" s="326"/>
      <c r="I6" s="326"/>
      <c r="J6" s="327"/>
      <c r="K6" s="9"/>
      <c r="L6" s="584" t="str">
        <f>'GRANTEE SET UP INFO &amp; DATE '!H5</f>
        <v xml:space="preserve"> SA Peer Recovery Support Specialist </v>
      </c>
      <c r="M6" s="326"/>
      <c r="N6" s="326"/>
      <c r="O6" s="326"/>
      <c r="P6" s="326"/>
      <c r="Q6" s="326"/>
      <c r="R6" s="326"/>
      <c r="S6" s="326"/>
      <c r="T6" s="326"/>
      <c r="U6" s="326"/>
      <c r="V6" s="326"/>
      <c r="W6" s="326"/>
      <c r="X6" s="326"/>
      <c r="Y6" s="326"/>
      <c r="Z6" s="326"/>
      <c r="AA6" s="326"/>
      <c r="AB6" s="326"/>
      <c r="AC6" s="326"/>
      <c r="AD6" s="327"/>
      <c r="AE6" s="5"/>
      <c r="AF6" s="437" t="s">
        <v>35</v>
      </c>
      <c r="AG6" s="326"/>
      <c r="AH6" s="326"/>
      <c r="AI6" s="326"/>
      <c r="AJ6" s="326"/>
      <c r="AK6" s="326"/>
      <c r="AL6" s="326"/>
      <c r="AM6" s="326"/>
      <c r="AN6" s="327"/>
      <c r="AO6" s="382" t="str">
        <f>'GRANTEE SET UP INFO &amp; DATE '!Z5</f>
        <v>Names of Contact(s):</v>
      </c>
      <c r="AP6" s="326"/>
      <c r="AQ6" s="326"/>
      <c r="AR6" s="326"/>
      <c r="AS6" s="326"/>
      <c r="AT6" s="326"/>
      <c r="AU6" s="326"/>
      <c r="AV6" s="326"/>
      <c r="AW6" s="326"/>
      <c r="AX6" s="326"/>
      <c r="AY6" s="326"/>
      <c r="AZ6" s="326"/>
      <c r="BA6" s="326"/>
      <c r="BB6" s="327"/>
    </row>
    <row r="7" spans="1:54" ht="15" customHeight="1" x14ac:dyDescent="0.25">
      <c r="A7" s="442" t="s">
        <v>37</v>
      </c>
      <c r="B7" s="332"/>
      <c r="C7" s="332"/>
      <c r="D7" s="332"/>
      <c r="E7" s="332"/>
      <c r="F7" s="332"/>
      <c r="G7" s="332"/>
      <c r="H7" s="332"/>
      <c r="I7" s="332"/>
      <c r="J7" s="333"/>
      <c r="K7" s="9"/>
      <c r="L7" s="585" t="str">
        <f>'GRANTEE SET UP INFO &amp; DATE '!H6</f>
        <v>123 Any Street, Any City, WV 12345</v>
      </c>
      <c r="M7" s="332"/>
      <c r="N7" s="332"/>
      <c r="O7" s="332"/>
      <c r="P7" s="332"/>
      <c r="Q7" s="332"/>
      <c r="R7" s="332"/>
      <c r="S7" s="332"/>
      <c r="T7" s="332"/>
      <c r="U7" s="332"/>
      <c r="V7" s="332"/>
      <c r="W7" s="332"/>
      <c r="X7" s="332"/>
      <c r="Y7" s="332"/>
      <c r="Z7" s="332"/>
      <c r="AA7" s="332"/>
      <c r="AB7" s="332"/>
      <c r="AC7" s="332"/>
      <c r="AD7" s="333"/>
      <c r="AE7" s="5"/>
      <c r="AF7" s="407" t="s">
        <v>39</v>
      </c>
      <c r="AG7" s="326"/>
      <c r="AH7" s="326"/>
      <c r="AI7" s="326"/>
      <c r="AJ7" s="326"/>
      <c r="AK7" s="326"/>
      <c r="AL7" s="326"/>
      <c r="AM7" s="326"/>
      <c r="AN7" s="327"/>
      <c r="AO7" s="381" t="str">
        <f>'GRANTEE SET UP INFO &amp; DATE '!Z6</f>
        <v>Phone numbers for contacts</v>
      </c>
      <c r="AP7" s="326"/>
      <c r="AQ7" s="326"/>
      <c r="AR7" s="326"/>
      <c r="AS7" s="326"/>
      <c r="AT7" s="326"/>
      <c r="AU7" s="326"/>
      <c r="AV7" s="326"/>
      <c r="AW7" s="326"/>
      <c r="AX7" s="326"/>
      <c r="AY7" s="326"/>
      <c r="AZ7" s="326"/>
      <c r="BA7" s="326"/>
      <c r="BB7" s="327"/>
    </row>
    <row r="8" spans="1:54" x14ac:dyDescent="0.25">
      <c r="A8" s="337"/>
      <c r="B8" s="338"/>
      <c r="C8" s="338"/>
      <c r="D8" s="338"/>
      <c r="E8" s="338"/>
      <c r="F8" s="338"/>
      <c r="G8" s="338"/>
      <c r="H8" s="338"/>
      <c r="I8" s="338"/>
      <c r="J8" s="339"/>
      <c r="K8" s="9"/>
      <c r="L8" s="338"/>
      <c r="M8" s="338"/>
      <c r="N8" s="338"/>
      <c r="O8" s="338"/>
      <c r="P8" s="338"/>
      <c r="Q8" s="338"/>
      <c r="R8" s="338"/>
      <c r="S8" s="338"/>
      <c r="T8" s="338"/>
      <c r="U8" s="338"/>
      <c r="V8" s="338"/>
      <c r="W8" s="338"/>
      <c r="X8" s="338"/>
      <c r="Y8" s="338"/>
      <c r="Z8" s="338"/>
      <c r="AA8" s="338"/>
      <c r="AB8" s="338"/>
      <c r="AC8" s="338"/>
      <c r="AD8" s="339"/>
      <c r="AE8" s="5"/>
      <c r="AF8" s="407" t="s">
        <v>41</v>
      </c>
      <c r="AG8" s="326"/>
      <c r="AH8" s="326"/>
      <c r="AI8" s="326"/>
      <c r="AJ8" s="326"/>
      <c r="AK8" s="326"/>
      <c r="AL8" s="326"/>
      <c r="AM8" s="326"/>
      <c r="AN8" s="327"/>
      <c r="AO8" s="381" t="str">
        <f>'GRANTEE SET UP INFO &amp; DATE '!Z7</f>
        <v xml:space="preserve">number on grant agreement or TFB </v>
      </c>
      <c r="AP8" s="326"/>
      <c r="AQ8" s="326"/>
      <c r="AR8" s="326"/>
      <c r="AS8" s="326"/>
      <c r="AT8" s="326"/>
      <c r="AU8" s="326"/>
      <c r="AV8" s="326"/>
      <c r="AW8" s="326"/>
      <c r="AX8" s="326"/>
      <c r="AY8" s="326"/>
      <c r="AZ8" s="326"/>
      <c r="BA8" s="326"/>
      <c r="BB8" s="327"/>
    </row>
    <row r="9" spans="1:54" ht="15.75" customHeight="1" x14ac:dyDescent="0.25">
      <c r="A9" s="466" t="s">
        <v>420</v>
      </c>
      <c r="B9" s="326"/>
      <c r="C9" s="326"/>
      <c r="D9" s="326"/>
      <c r="E9" s="326"/>
      <c r="F9" s="326"/>
      <c r="G9" s="326"/>
      <c r="H9" s="326"/>
      <c r="I9" s="326"/>
      <c r="J9" s="327"/>
      <c r="K9" s="9"/>
      <c r="L9" s="586" t="str">
        <f>'GRANTEE SET UP INFO &amp; DATE '!H8</f>
        <v>October 1 - 31</v>
      </c>
      <c r="M9" s="326"/>
      <c r="N9" s="326"/>
      <c r="O9" s="326"/>
      <c r="P9" s="326"/>
      <c r="Q9" s="326"/>
      <c r="R9" s="326"/>
      <c r="S9" s="326"/>
      <c r="T9" s="327"/>
      <c r="U9" s="443">
        <f>'GRANTEE SET UP INFO &amp; DATE '!P8</f>
        <v>2026</v>
      </c>
      <c r="V9" s="326"/>
      <c r="W9" s="326"/>
      <c r="X9" s="326"/>
      <c r="Y9" s="326"/>
      <c r="Z9" s="326"/>
      <c r="AA9" s="326"/>
      <c r="AB9" s="326"/>
      <c r="AC9" s="326"/>
      <c r="AD9" s="327"/>
      <c r="AE9" s="5"/>
      <c r="AF9" s="436" t="s">
        <v>45</v>
      </c>
      <c r="AG9" s="326"/>
      <c r="AH9" s="326"/>
      <c r="AI9" s="326"/>
      <c r="AJ9" s="326"/>
      <c r="AK9" s="326"/>
      <c r="AL9" s="326"/>
      <c r="AM9" s="326"/>
      <c r="AN9" s="327"/>
      <c r="AO9" s="458" t="str">
        <f>'GRANTEE SET UP INFO &amp; DATE '!Z8</f>
        <v>program code can locate on SOW or  TFB</v>
      </c>
      <c r="AP9" s="326"/>
      <c r="AQ9" s="326"/>
      <c r="AR9" s="326"/>
      <c r="AS9" s="326"/>
      <c r="AT9" s="326"/>
      <c r="AU9" s="326"/>
      <c r="AV9" s="326"/>
      <c r="AW9" s="326"/>
      <c r="AX9" s="326"/>
      <c r="AY9" s="326"/>
      <c r="AZ9" s="326"/>
      <c r="BA9" s="326"/>
      <c r="BB9" s="327"/>
    </row>
    <row r="10" spans="1:54" ht="15" customHeight="1" x14ac:dyDescent="0.25">
      <c r="A10" s="469" t="s">
        <v>421</v>
      </c>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470"/>
    </row>
    <row r="11" spans="1:54" x14ac:dyDescent="0.25">
      <c r="A11" s="587"/>
      <c r="B11" s="588"/>
      <c r="C11" s="588"/>
      <c r="D11" s="588"/>
      <c r="E11" s="588"/>
      <c r="F11" s="588"/>
      <c r="G11" s="588"/>
      <c r="H11" s="588"/>
      <c r="I11" s="588"/>
      <c r="J11" s="588"/>
      <c r="K11" s="588"/>
      <c r="L11" s="588"/>
      <c r="M11" s="588"/>
      <c r="N11" s="588"/>
      <c r="O11" s="588"/>
      <c r="P11" s="588"/>
      <c r="Q11" s="588"/>
      <c r="R11" s="588"/>
      <c r="S11" s="588"/>
      <c r="T11" s="588"/>
      <c r="U11" s="588"/>
      <c r="V11" s="588"/>
      <c r="W11" s="588"/>
      <c r="X11" s="588"/>
      <c r="Y11" s="589"/>
      <c r="Z11" s="30"/>
      <c r="AA11" s="30"/>
      <c r="AB11" s="30"/>
      <c r="AC11" s="30"/>
      <c r="AD11" s="30"/>
      <c r="AE11" s="30"/>
      <c r="AF11" s="8"/>
      <c r="AG11" s="8"/>
      <c r="AH11" s="8"/>
      <c r="AI11" s="8"/>
      <c r="AJ11" s="8"/>
      <c r="AK11" s="8"/>
      <c r="AL11" s="8"/>
      <c r="AM11" s="8"/>
      <c r="AN11" s="8"/>
      <c r="AO11" s="8"/>
      <c r="AP11" s="8"/>
      <c r="AQ11" s="8"/>
      <c r="AR11" s="8"/>
      <c r="AS11" s="8"/>
      <c r="AT11" s="8"/>
      <c r="AU11" s="8"/>
      <c r="AV11" s="8"/>
      <c r="AW11" s="8"/>
      <c r="AX11" s="8"/>
      <c r="AY11" s="8"/>
      <c r="AZ11" s="8"/>
      <c r="BA11" s="8"/>
      <c r="BB11" s="8"/>
    </row>
    <row r="12" spans="1:54" ht="60" customHeight="1" x14ac:dyDescent="0.25">
      <c r="A12" s="590" t="s">
        <v>422</v>
      </c>
      <c r="B12" s="344"/>
      <c r="C12" s="344"/>
      <c r="D12" s="344"/>
      <c r="E12" s="345"/>
      <c r="F12" s="591" t="s">
        <v>423</v>
      </c>
      <c r="G12" s="347"/>
      <c r="H12" s="347"/>
      <c r="I12" s="347"/>
      <c r="J12" s="347"/>
      <c r="K12" s="347"/>
      <c r="L12" s="347"/>
      <c r="M12" s="347"/>
      <c r="N12" s="347"/>
      <c r="O12" s="347"/>
      <c r="P12" s="347"/>
      <c r="Q12" s="347"/>
      <c r="R12" s="347"/>
      <c r="S12" s="347"/>
      <c r="T12" s="347"/>
      <c r="U12" s="354"/>
      <c r="V12" s="592" t="s">
        <v>424</v>
      </c>
      <c r="W12" s="344"/>
      <c r="X12" s="344"/>
      <c r="Y12" s="344"/>
      <c r="Z12" s="344"/>
      <c r="AA12" s="344"/>
      <c r="AB12" s="344"/>
      <c r="AC12" s="344"/>
      <c r="AD12" s="344"/>
      <c r="AE12" s="344"/>
      <c r="AF12" s="344"/>
      <c r="AG12" s="344"/>
      <c r="AH12" s="344"/>
      <c r="AI12" s="344"/>
      <c r="AJ12" s="344"/>
      <c r="AK12" s="345"/>
      <c r="AL12" s="593" t="s">
        <v>324</v>
      </c>
      <c r="AM12" s="326"/>
      <c r="AN12" s="326"/>
      <c r="AO12" s="326"/>
      <c r="AP12" s="326"/>
      <c r="AQ12" s="326"/>
      <c r="AR12" s="326"/>
      <c r="AS12" s="326"/>
      <c r="AT12" s="326"/>
      <c r="AU12" s="326"/>
      <c r="AV12" s="326"/>
      <c r="AW12" s="326"/>
      <c r="AX12" s="326"/>
      <c r="AY12" s="326"/>
      <c r="AZ12" s="326"/>
      <c r="BA12" s="326"/>
      <c r="BB12" s="327"/>
    </row>
    <row r="13" spans="1:54" ht="78.75" customHeight="1" x14ac:dyDescent="0.25">
      <c r="A13" s="11" t="s">
        <v>294</v>
      </c>
      <c r="B13" s="570" t="s">
        <v>319</v>
      </c>
      <c r="C13" s="327"/>
      <c r="D13" s="505" t="s">
        <v>400</v>
      </c>
      <c r="E13" s="327"/>
      <c r="F13" s="571" t="s">
        <v>425</v>
      </c>
      <c r="G13" s="327"/>
      <c r="H13" s="572" t="s">
        <v>426</v>
      </c>
      <c r="I13" s="327"/>
      <c r="J13" s="573" t="s">
        <v>427</v>
      </c>
      <c r="K13" s="327"/>
      <c r="L13" s="574" t="s">
        <v>428</v>
      </c>
      <c r="M13" s="327"/>
      <c r="N13" s="575" t="s">
        <v>429</v>
      </c>
      <c r="O13" s="327"/>
      <c r="P13" s="574" t="s">
        <v>430</v>
      </c>
      <c r="Q13" s="327"/>
      <c r="R13" s="575" t="s">
        <v>431</v>
      </c>
      <c r="S13" s="327"/>
      <c r="T13" s="574" t="s">
        <v>432</v>
      </c>
      <c r="U13" s="327"/>
      <c r="V13" s="579" t="s">
        <v>433</v>
      </c>
      <c r="W13" s="327"/>
      <c r="X13" s="580" t="s">
        <v>434</v>
      </c>
      <c r="Y13" s="327"/>
      <c r="Z13" s="581" t="s">
        <v>435</v>
      </c>
      <c r="AA13" s="327"/>
      <c r="AB13" s="577" t="s">
        <v>436</v>
      </c>
      <c r="AC13" s="327"/>
      <c r="AD13" s="576" t="s">
        <v>437</v>
      </c>
      <c r="AE13" s="327"/>
      <c r="AF13" s="577" t="s">
        <v>438</v>
      </c>
      <c r="AG13" s="327"/>
      <c r="AH13" s="576" t="s">
        <v>439</v>
      </c>
      <c r="AI13" s="327"/>
      <c r="AJ13" s="577" t="s">
        <v>440</v>
      </c>
      <c r="AK13" s="327"/>
      <c r="AL13" s="578" t="s">
        <v>324</v>
      </c>
      <c r="AM13" s="326"/>
      <c r="AN13" s="326"/>
      <c r="AO13" s="326"/>
      <c r="AP13" s="326"/>
      <c r="AQ13" s="326"/>
      <c r="AR13" s="326"/>
      <c r="AS13" s="326"/>
      <c r="AT13" s="326"/>
      <c r="AU13" s="326"/>
      <c r="AV13" s="326"/>
      <c r="AW13" s="326"/>
      <c r="AX13" s="326"/>
      <c r="AY13" s="326"/>
      <c r="AZ13" s="326"/>
      <c r="BA13" s="326"/>
      <c r="BB13" s="327"/>
    </row>
    <row r="14" spans="1:54" ht="15" customHeight="1" x14ac:dyDescent="0.25">
      <c r="A14" s="11">
        <f t="shared" ref="A14:A268" si="0">ROW(A1)</f>
        <v>1</v>
      </c>
      <c r="B14" s="570" t="str">
        <f>'refer admin discharge'!B15</f>
        <v>x</v>
      </c>
      <c r="C14" s="327"/>
      <c r="D14" s="599" t="str">
        <f>'refer admin discharge'!D15</f>
        <v>xx</v>
      </c>
      <c r="E14" s="327"/>
      <c r="F14" s="600" t="str">
        <f>'refer admin discharge'!H15</f>
        <v>00/00/0000</v>
      </c>
      <c r="G14" s="327"/>
      <c r="H14" s="574"/>
      <c r="I14" s="327"/>
      <c r="J14" s="601"/>
      <c r="K14" s="327"/>
      <c r="L14" s="574"/>
      <c r="M14" s="327"/>
      <c r="N14" s="594"/>
      <c r="O14" s="327"/>
      <c r="P14" s="574"/>
      <c r="Q14" s="327"/>
      <c r="R14" s="594"/>
      <c r="S14" s="327"/>
      <c r="T14" s="574"/>
      <c r="U14" s="327"/>
      <c r="V14" s="595" t="str">
        <f>'refer admin discharge'!H15</f>
        <v>00/00/0000</v>
      </c>
      <c r="W14" s="327"/>
      <c r="X14" s="596"/>
      <c r="Y14" s="327"/>
      <c r="Z14" s="597"/>
      <c r="AA14" s="327"/>
      <c r="AB14" s="596"/>
      <c r="AC14" s="327"/>
      <c r="AD14" s="577"/>
      <c r="AE14" s="327"/>
      <c r="AF14" s="596"/>
      <c r="AG14" s="327"/>
      <c r="AH14" s="577"/>
      <c r="AI14" s="327"/>
      <c r="AJ14" s="596"/>
      <c r="AK14" s="327"/>
      <c r="AL14" s="598"/>
      <c r="AM14" s="326"/>
      <c r="AN14" s="326"/>
      <c r="AO14" s="326"/>
      <c r="AP14" s="326"/>
      <c r="AQ14" s="326"/>
      <c r="AR14" s="326"/>
      <c r="AS14" s="326"/>
      <c r="AT14" s="326"/>
      <c r="AU14" s="326"/>
      <c r="AV14" s="326"/>
      <c r="AW14" s="326"/>
      <c r="AX14" s="326"/>
      <c r="AY14" s="326"/>
      <c r="AZ14" s="326"/>
      <c r="BA14" s="326"/>
      <c r="BB14" s="327"/>
    </row>
    <row r="15" spans="1:54" x14ac:dyDescent="0.25">
      <c r="A15" s="11">
        <f t="shared" si="0"/>
        <v>2</v>
      </c>
      <c r="B15" s="504" t="str">
        <f>'refer admin discharge'!B16</f>
        <v>x</v>
      </c>
      <c r="C15" s="327"/>
      <c r="D15" s="505" t="str">
        <f>'refer admin discharge'!D16</f>
        <v>xx</v>
      </c>
      <c r="E15" s="327"/>
      <c r="F15" s="600" t="str">
        <f>'refer admin discharge'!H16</f>
        <v>00/00/0000</v>
      </c>
      <c r="G15" s="327"/>
      <c r="H15" s="594"/>
      <c r="I15" s="327"/>
      <c r="J15" s="605"/>
      <c r="K15" s="327"/>
      <c r="L15" s="594"/>
      <c r="M15" s="327"/>
      <c r="N15" s="575"/>
      <c r="O15" s="327"/>
      <c r="P15" s="594"/>
      <c r="Q15" s="327"/>
      <c r="R15" s="575"/>
      <c r="S15" s="327"/>
      <c r="T15" s="594"/>
      <c r="U15" s="327"/>
      <c r="V15" s="603" t="str">
        <f>'refer admin discharge'!H16</f>
        <v>00/00/0000</v>
      </c>
      <c r="W15" s="327"/>
      <c r="X15" s="577"/>
      <c r="Y15" s="327"/>
      <c r="Z15" s="604"/>
      <c r="AA15" s="327"/>
      <c r="AB15" s="577"/>
      <c r="AC15" s="327"/>
      <c r="AD15" s="576"/>
      <c r="AE15" s="327"/>
      <c r="AF15" s="577"/>
      <c r="AG15" s="327"/>
      <c r="AH15" s="576"/>
      <c r="AI15" s="327"/>
      <c r="AJ15" s="577"/>
      <c r="AK15" s="327"/>
      <c r="AL15" s="602"/>
      <c r="AM15" s="326"/>
      <c r="AN15" s="326"/>
      <c r="AO15" s="326"/>
      <c r="AP15" s="326"/>
      <c r="AQ15" s="326"/>
      <c r="AR15" s="326"/>
      <c r="AS15" s="326"/>
      <c r="AT15" s="326"/>
      <c r="AU15" s="326"/>
      <c r="AV15" s="326"/>
      <c r="AW15" s="326"/>
      <c r="AX15" s="326"/>
      <c r="AY15" s="326"/>
      <c r="AZ15" s="326"/>
      <c r="BA15" s="326"/>
      <c r="BB15" s="327"/>
    </row>
    <row r="16" spans="1:54" x14ac:dyDescent="0.25">
      <c r="A16" s="11">
        <f t="shared" si="0"/>
        <v>3</v>
      </c>
      <c r="B16" s="570" t="str">
        <f>'refer admin discharge'!B17</f>
        <v>x</v>
      </c>
      <c r="C16" s="327"/>
      <c r="D16" s="599" t="str">
        <f>'refer admin discharge'!D17</f>
        <v>xx</v>
      </c>
      <c r="E16" s="327"/>
      <c r="F16" s="600" t="str">
        <f>'refer admin discharge'!H17</f>
        <v>00/00/0000</v>
      </c>
      <c r="G16" s="327"/>
      <c r="H16" s="574"/>
      <c r="I16" s="327"/>
      <c r="J16" s="601"/>
      <c r="K16" s="327"/>
      <c r="L16" s="574"/>
      <c r="M16" s="327"/>
      <c r="N16" s="594"/>
      <c r="O16" s="327"/>
      <c r="P16" s="574"/>
      <c r="Q16" s="327"/>
      <c r="R16" s="594"/>
      <c r="S16" s="327"/>
      <c r="T16" s="574"/>
      <c r="U16" s="327"/>
      <c r="V16" s="595" t="str">
        <f>'refer admin discharge'!H17</f>
        <v>00/00/0000</v>
      </c>
      <c r="W16" s="327"/>
      <c r="X16" s="596"/>
      <c r="Y16" s="327"/>
      <c r="Z16" s="597"/>
      <c r="AA16" s="327"/>
      <c r="AB16" s="596"/>
      <c r="AC16" s="327"/>
      <c r="AD16" s="577"/>
      <c r="AE16" s="327"/>
      <c r="AF16" s="596"/>
      <c r="AG16" s="327"/>
      <c r="AH16" s="577"/>
      <c r="AI16" s="327"/>
      <c r="AJ16" s="596"/>
      <c r="AK16" s="327"/>
      <c r="AL16" s="598"/>
      <c r="AM16" s="326"/>
      <c r="AN16" s="326"/>
      <c r="AO16" s="326"/>
      <c r="AP16" s="326"/>
      <c r="AQ16" s="326"/>
      <c r="AR16" s="326"/>
      <c r="AS16" s="326"/>
      <c r="AT16" s="326"/>
      <c r="AU16" s="326"/>
      <c r="AV16" s="326"/>
      <c r="AW16" s="326"/>
      <c r="AX16" s="326"/>
      <c r="AY16" s="326"/>
      <c r="AZ16" s="326"/>
      <c r="BA16" s="326"/>
      <c r="BB16" s="327"/>
    </row>
    <row r="17" spans="1:54" x14ac:dyDescent="0.25">
      <c r="A17" s="11">
        <f t="shared" si="0"/>
        <v>4</v>
      </c>
      <c r="B17" s="504" t="str">
        <f>'refer admin discharge'!B18</f>
        <v>x</v>
      </c>
      <c r="C17" s="327"/>
      <c r="D17" s="505" t="str">
        <f>'refer admin discharge'!D18</f>
        <v>xx</v>
      </c>
      <c r="E17" s="327"/>
      <c r="F17" s="606" t="str">
        <f>'refer admin discharge'!H18</f>
        <v>00/00/0000</v>
      </c>
      <c r="G17" s="327"/>
      <c r="H17" s="594"/>
      <c r="I17" s="327"/>
      <c r="J17" s="605"/>
      <c r="K17" s="327"/>
      <c r="L17" s="594"/>
      <c r="M17" s="327"/>
      <c r="N17" s="575"/>
      <c r="O17" s="327"/>
      <c r="P17" s="594"/>
      <c r="Q17" s="327"/>
      <c r="R17" s="575"/>
      <c r="S17" s="327"/>
      <c r="T17" s="594"/>
      <c r="U17" s="327"/>
      <c r="V17" s="603" t="str">
        <f>'refer admin discharge'!H18</f>
        <v>00/00/0000</v>
      </c>
      <c r="W17" s="327"/>
      <c r="X17" s="577"/>
      <c r="Y17" s="327"/>
      <c r="Z17" s="604"/>
      <c r="AA17" s="327"/>
      <c r="AB17" s="577"/>
      <c r="AC17" s="327"/>
      <c r="AD17" s="576"/>
      <c r="AE17" s="327"/>
      <c r="AF17" s="577"/>
      <c r="AG17" s="327"/>
      <c r="AH17" s="576"/>
      <c r="AI17" s="327"/>
      <c r="AJ17" s="577"/>
      <c r="AK17" s="327"/>
      <c r="AL17" s="602"/>
      <c r="AM17" s="326"/>
      <c r="AN17" s="326"/>
      <c r="AO17" s="326"/>
      <c r="AP17" s="326"/>
      <c r="AQ17" s="326"/>
      <c r="AR17" s="326"/>
      <c r="AS17" s="326"/>
      <c r="AT17" s="326"/>
      <c r="AU17" s="326"/>
      <c r="AV17" s="326"/>
      <c r="AW17" s="326"/>
      <c r="AX17" s="326"/>
      <c r="AY17" s="326"/>
      <c r="AZ17" s="326"/>
      <c r="BA17" s="326"/>
      <c r="BB17" s="327"/>
    </row>
    <row r="18" spans="1:54" x14ac:dyDescent="0.25">
      <c r="A18" s="11">
        <f t="shared" si="0"/>
        <v>5</v>
      </c>
      <c r="B18" s="570" t="str">
        <f>'refer admin discharge'!B19</f>
        <v>x</v>
      </c>
      <c r="C18" s="327"/>
      <c r="D18" s="599" t="str">
        <f>'refer admin discharge'!D19</f>
        <v>xx</v>
      </c>
      <c r="E18" s="327"/>
      <c r="F18" s="600" t="str">
        <f>'refer admin discharge'!H19</f>
        <v>00/00/0000</v>
      </c>
      <c r="G18" s="327"/>
      <c r="H18" s="574"/>
      <c r="I18" s="327"/>
      <c r="J18" s="601"/>
      <c r="K18" s="327"/>
      <c r="L18" s="574"/>
      <c r="M18" s="327"/>
      <c r="N18" s="594"/>
      <c r="O18" s="327"/>
      <c r="P18" s="574"/>
      <c r="Q18" s="327"/>
      <c r="R18" s="594"/>
      <c r="S18" s="327"/>
      <c r="T18" s="574"/>
      <c r="U18" s="327"/>
      <c r="V18" s="595" t="str">
        <f>'refer admin discharge'!H19</f>
        <v>00/00/0000</v>
      </c>
      <c r="W18" s="327"/>
      <c r="X18" s="596"/>
      <c r="Y18" s="327"/>
      <c r="Z18" s="597"/>
      <c r="AA18" s="327"/>
      <c r="AB18" s="596"/>
      <c r="AC18" s="327"/>
      <c r="AD18" s="577"/>
      <c r="AE18" s="327"/>
      <c r="AF18" s="596"/>
      <c r="AG18" s="327"/>
      <c r="AH18" s="577"/>
      <c r="AI18" s="327"/>
      <c r="AJ18" s="596"/>
      <c r="AK18" s="327"/>
      <c r="AL18" s="598"/>
      <c r="AM18" s="326"/>
      <c r="AN18" s="326"/>
      <c r="AO18" s="326"/>
      <c r="AP18" s="326"/>
      <c r="AQ18" s="326"/>
      <c r="AR18" s="326"/>
      <c r="AS18" s="326"/>
      <c r="AT18" s="326"/>
      <c r="AU18" s="326"/>
      <c r="AV18" s="326"/>
      <c r="AW18" s="326"/>
      <c r="AX18" s="326"/>
      <c r="AY18" s="326"/>
      <c r="AZ18" s="326"/>
      <c r="BA18" s="326"/>
      <c r="BB18" s="327"/>
    </row>
    <row r="19" spans="1:54" x14ac:dyDescent="0.25">
      <c r="A19" s="11">
        <f t="shared" si="0"/>
        <v>6</v>
      </c>
      <c r="B19" s="504" t="str">
        <f>'refer admin discharge'!B20</f>
        <v>x</v>
      </c>
      <c r="C19" s="327"/>
      <c r="D19" s="505" t="str">
        <f>'refer admin discharge'!D20</f>
        <v>xx</v>
      </c>
      <c r="E19" s="327"/>
      <c r="F19" s="606" t="str">
        <f>'refer admin discharge'!H20</f>
        <v>00/00/0000</v>
      </c>
      <c r="G19" s="327"/>
      <c r="H19" s="594"/>
      <c r="I19" s="327"/>
      <c r="J19" s="605"/>
      <c r="K19" s="327"/>
      <c r="L19" s="594"/>
      <c r="M19" s="327"/>
      <c r="N19" s="575"/>
      <c r="O19" s="327"/>
      <c r="P19" s="594"/>
      <c r="Q19" s="327"/>
      <c r="R19" s="575"/>
      <c r="S19" s="327"/>
      <c r="T19" s="594"/>
      <c r="U19" s="327"/>
      <c r="V19" s="603" t="str">
        <f>'refer admin discharge'!H20</f>
        <v>00/00/0000</v>
      </c>
      <c r="W19" s="327"/>
      <c r="X19" s="577"/>
      <c r="Y19" s="327"/>
      <c r="Z19" s="604"/>
      <c r="AA19" s="327"/>
      <c r="AB19" s="577"/>
      <c r="AC19" s="327"/>
      <c r="AD19" s="576"/>
      <c r="AE19" s="327"/>
      <c r="AF19" s="577"/>
      <c r="AG19" s="327"/>
      <c r="AH19" s="576"/>
      <c r="AI19" s="327"/>
      <c r="AJ19" s="577"/>
      <c r="AK19" s="327"/>
      <c r="AL19" s="602"/>
      <c r="AM19" s="326"/>
      <c r="AN19" s="326"/>
      <c r="AO19" s="326"/>
      <c r="AP19" s="326"/>
      <c r="AQ19" s="326"/>
      <c r="AR19" s="326"/>
      <c r="AS19" s="326"/>
      <c r="AT19" s="326"/>
      <c r="AU19" s="326"/>
      <c r="AV19" s="326"/>
      <c r="AW19" s="326"/>
      <c r="AX19" s="326"/>
      <c r="AY19" s="326"/>
      <c r="AZ19" s="326"/>
      <c r="BA19" s="326"/>
      <c r="BB19" s="327"/>
    </row>
    <row r="20" spans="1:54" x14ac:dyDescent="0.25">
      <c r="A20" s="11">
        <f t="shared" si="0"/>
        <v>7</v>
      </c>
      <c r="B20" s="570" t="str">
        <f>'refer admin discharge'!B21</f>
        <v>x</v>
      </c>
      <c r="C20" s="327"/>
      <c r="D20" s="599" t="str">
        <f>'refer admin discharge'!D21</f>
        <v>xx</v>
      </c>
      <c r="E20" s="327"/>
      <c r="F20" s="600" t="str">
        <f>'refer admin discharge'!H21</f>
        <v>00/00/0000</v>
      </c>
      <c r="G20" s="327"/>
      <c r="H20" s="574"/>
      <c r="I20" s="327"/>
      <c r="J20" s="601"/>
      <c r="K20" s="327"/>
      <c r="L20" s="574"/>
      <c r="M20" s="327"/>
      <c r="N20" s="594"/>
      <c r="O20" s="327"/>
      <c r="P20" s="574"/>
      <c r="Q20" s="327"/>
      <c r="R20" s="594"/>
      <c r="S20" s="327"/>
      <c r="T20" s="574"/>
      <c r="U20" s="327"/>
      <c r="V20" s="595" t="str">
        <f>'refer admin discharge'!H21</f>
        <v>00/00/0000</v>
      </c>
      <c r="W20" s="327"/>
      <c r="X20" s="596"/>
      <c r="Y20" s="327"/>
      <c r="Z20" s="597"/>
      <c r="AA20" s="327"/>
      <c r="AB20" s="596"/>
      <c r="AC20" s="327"/>
      <c r="AD20" s="577"/>
      <c r="AE20" s="327"/>
      <c r="AF20" s="596"/>
      <c r="AG20" s="327"/>
      <c r="AH20" s="577"/>
      <c r="AI20" s="327"/>
      <c r="AJ20" s="596"/>
      <c r="AK20" s="327"/>
      <c r="AL20" s="598"/>
      <c r="AM20" s="326"/>
      <c r="AN20" s="326"/>
      <c r="AO20" s="326"/>
      <c r="AP20" s="326"/>
      <c r="AQ20" s="326"/>
      <c r="AR20" s="326"/>
      <c r="AS20" s="326"/>
      <c r="AT20" s="326"/>
      <c r="AU20" s="326"/>
      <c r="AV20" s="326"/>
      <c r="AW20" s="326"/>
      <c r="AX20" s="326"/>
      <c r="AY20" s="326"/>
      <c r="AZ20" s="326"/>
      <c r="BA20" s="326"/>
      <c r="BB20" s="327"/>
    </row>
    <row r="21" spans="1:54" ht="15.75" customHeight="1" x14ac:dyDescent="0.25">
      <c r="A21" s="11">
        <f t="shared" si="0"/>
        <v>8</v>
      </c>
      <c r="B21" s="504" t="str">
        <f>'refer admin discharge'!B22</f>
        <v>x</v>
      </c>
      <c r="C21" s="327"/>
      <c r="D21" s="505" t="str">
        <f>'refer admin discharge'!D22</f>
        <v>xx</v>
      </c>
      <c r="E21" s="327"/>
      <c r="F21" s="606" t="str">
        <f>'refer admin discharge'!H22</f>
        <v>00/00/0000</v>
      </c>
      <c r="G21" s="327"/>
      <c r="H21" s="594"/>
      <c r="I21" s="327"/>
      <c r="J21" s="605"/>
      <c r="K21" s="327"/>
      <c r="L21" s="594"/>
      <c r="M21" s="327"/>
      <c r="N21" s="575"/>
      <c r="O21" s="327"/>
      <c r="P21" s="594"/>
      <c r="Q21" s="327"/>
      <c r="R21" s="575"/>
      <c r="S21" s="327"/>
      <c r="T21" s="594"/>
      <c r="U21" s="327"/>
      <c r="V21" s="603" t="str">
        <f>'refer admin discharge'!H22</f>
        <v>00/00/0000</v>
      </c>
      <c r="W21" s="327"/>
      <c r="X21" s="577"/>
      <c r="Y21" s="327"/>
      <c r="Z21" s="604"/>
      <c r="AA21" s="327"/>
      <c r="AB21" s="577"/>
      <c r="AC21" s="327"/>
      <c r="AD21" s="576"/>
      <c r="AE21" s="327"/>
      <c r="AF21" s="577"/>
      <c r="AG21" s="327"/>
      <c r="AH21" s="576"/>
      <c r="AI21" s="327"/>
      <c r="AJ21" s="577"/>
      <c r="AK21" s="327"/>
      <c r="AL21" s="602"/>
      <c r="AM21" s="326"/>
      <c r="AN21" s="326"/>
      <c r="AO21" s="326"/>
      <c r="AP21" s="326"/>
      <c r="AQ21" s="326"/>
      <c r="AR21" s="326"/>
      <c r="AS21" s="326"/>
      <c r="AT21" s="326"/>
      <c r="AU21" s="326"/>
      <c r="AV21" s="326"/>
      <c r="AW21" s="326"/>
      <c r="AX21" s="326"/>
      <c r="AY21" s="326"/>
      <c r="AZ21" s="326"/>
      <c r="BA21" s="326"/>
      <c r="BB21" s="327"/>
    </row>
    <row r="22" spans="1:54" ht="15.75" customHeight="1" x14ac:dyDescent="0.25">
      <c r="A22" s="11">
        <f t="shared" si="0"/>
        <v>9</v>
      </c>
      <c r="B22" s="570" t="str">
        <f>'refer admin discharge'!B23</f>
        <v>x</v>
      </c>
      <c r="C22" s="327"/>
      <c r="D22" s="599" t="str">
        <f>'refer admin discharge'!D23</f>
        <v>xx</v>
      </c>
      <c r="E22" s="327"/>
      <c r="F22" s="600" t="str">
        <f>'refer admin discharge'!H23</f>
        <v>00/00/0000</v>
      </c>
      <c r="G22" s="327"/>
      <c r="H22" s="574"/>
      <c r="I22" s="327"/>
      <c r="J22" s="601"/>
      <c r="K22" s="327"/>
      <c r="L22" s="574"/>
      <c r="M22" s="327"/>
      <c r="N22" s="594"/>
      <c r="O22" s="327"/>
      <c r="P22" s="574"/>
      <c r="Q22" s="327"/>
      <c r="R22" s="594"/>
      <c r="S22" s="327"/>
      <c r="T22" s="574"/>
      <c r="U22" s="327"/>
      <c r="V22" s="595" t="str">
        <f>'refer admin discharge'!H23</f>
        <v>00/00/0000</v>
      </c>
      <c r="W22" s="327"/>
      <c r="X22" s="596"/>
      <c r="Y22" s="327"/>
      <c r="Z22" s="597"/>
      <c r="AA22" s="327"/>
      <c r="AB22" s="596"/>
      <c r="AC22" s="327"/>
      <c r="AD22" s="577"/>
      <c r="AE22" s="327"/>
      <c r="AF22" s="596"/>
      <c r="AG22" s="327"/>
      <c r="AH22" s="577"/>
      <c r="AI22" s="327"/>
      <c r="AJ22" s="596"/>
      <c r="AK22" s="327"/>
      <c r="AL22" s="598"/>
      <c r="AM22" s="326"/>
      <c r="AN22" s="326"/>
      <c r="AO22" s="326"/>
      <c r="AP22" s="326"/>
      <c r="AQ22" s="326"/>
      <c r="AR22" s="326"/>
      <c r="AS22" s="326"/>
      <c r="AT22" s="326"/>
      <c r="AU22" s="326"/>
      <c r="AV22" s="326"/>
      <c r="AW22" s="326"/>
      <c r="AX22" s="326"/>
      <c r="AY22" s="326"/>
      <c r="AZ22" s="326"/>
      <c r="BA22" s="326"/>
      <c r="BB22" s="327"/>
    </row>
    <row r="23" spans="1:54" ht="15.75" customHeight="1" x14ac:dyDescent="0.25">
      <c r="A23" s="11">
        <f t="shared" si="0"/>
        <v>10</v>
      </c>
      <c r="B23" s="504" t="str">
        <f>'refer admin discharge'!B24</f>
        <v>x</v>
      </c>
      <c r="C23" s="327"/>
      <c r="D23" s="505" t="str">
        <f>'refer admin discharge'!D24</f>
        <v>xx</v>
      </c>
      <c r="E23" s="327"/>
      <c r="F23" s="606" t="str">
        <f>'refer admin discharge'!H24</f>
        <v>00/00/0000</v>
      </c>
      <c r="G23" s="327"/>
      <c r="H23" s="594"/>
      <c r="I23" s="327"/>
      <c r="J23" s="605"/>
      <c r="K23" s="327"/>
      <c r="L23" s="594"/>
      <c r="M23" s="327"/>
      <c r="N23" s="575"/>
      <c r="O23" s="327"/>
      <c r="P23" s="594"/>
      <c r="Q23" s="327"/>
      <c r="R23" s="575"/>
      <c r="S23" s="327"/>
      <c r="T23" s="594"/>
      <c r="U23" s="327"/>
      <c r="V23" s="603" t="str">
        <f>'refer admin discharge'!H24</f>
        <v>00/00/0000</v>
      </c>
      <c r="W23" s="327"/>
      <c r="X23" s="577"/>
      <c r="Y23" s="327"/>
      <c r="Z23" s="604"/>
      <c r="AA23" s="327"/>
      <c r="AB23" s="577"/>
      <c r="AC23" s="327"/>
      <c r="AD23" s="576"/>
      <c r="AE23" s="327"/>
      <c r="AF23" s="577"/>
      <c r="AG23" s="327"/>
      <c r="AH23" s="576"/>
      <c r="AI23" s="327"/>
      <c r="AJ23" s="577"/>
      <c r="AK23" s="327"/>
      <c r="AL23" s="602"/>
      <c r="AM23" s="326"/>
      <c r="AN23" s="326"/>
      <c r="AO23" s="326"/>
      <c r="AP23" s="326"/>
      <c r="AQ23" s="326"/>
      <c r="AR23" s="326"/>
      <c r="AS23" s="326"/>
      <c r="AT23" s="326"/>
      <c r="AU23" s="326"/>
      <c r="AV23" s="326"/>
      <c r="AW23" s="326"/>
      <c r="AX23" s="326"/>
      <c r="AY23" s="326"/>
      <c r="AZ23" s="326"/>
      <c r="BA23" s="326"/>
      <c r="BB23" s="327"/>
    </row>
    <row r="24" spans="1:54" ht="15.75" customHeight="1" x14ac:dyDescent="0.25">
      <c r="A24" s="11">
        <f t="shared" si="0"/>
        <v>11</v>
      </c>
      <c r="B24" s="570" t="str">
        <f>'refer admin discharge'!B25</f>
        <v>x</v>
      </c>
      <c r="C24" s="327"/>
      <c r="D24" s="599" t="str">
        <f>'refer admin discharge'!D25</f>
        <v>xx</v>
      </c>
      <c r="E24" s="327"/>
      <c r="F24" s="600" t="str">
        <f>'refer admin discharge'!H25</f>
        <v>00/00/0000</v>
      </c>
      <c r="G24" s="327"/>
      <c r="H24" s="574"/>
      <c r="I24" s="327"/>
      <c r="J24" s="601"/>
      <c r="K24" s="327"/>
      <c r="L24" s="574"/>
      <c r="M24" s="327"/>
      <c r="N24" s="594"/>
      <c r="O24" s="327"/>
      <c r="P24" s="574"/>
      <c r="Q24" s="327"/>
      <c r="R24" s="594"/>
      <c r="S24" s="327"/>
      <c r="T24" s="574"/>
      <c r="U24" s="327"/>
      <c r="V24" s="595" t="str">
        <f>'refer admin discharge'!H25</f>
        <v>00/00/0000</v>
      </c>
      <c r="W24" s="327"/>
      <c r="X24" s="596"/>
      <c r="Y24" s="327"/>
      <c r="Z24" s="597"/>
      <c r="AA24" s="327"/>
      <c r="AB24" s="596"/>
      <c r="AC24" s="327"/>
      <c r="AD24" s="577"/>
      <c r="AE24" s="327"/>
      <c r="AF24" s="596"/>
      <c r="AG24" s="327"/>
      <c r="AH24" s="577"/>
      <c r="AI24" s="327"/>
      <c r="AJ24" s="596"/>
      <c r="AK24" s="327"/>
      <c r="AL24" s="598"/>
      <c r="AM24" s="326"/>
      <c r="AN24" s="326"/>
      <c r="AO24" s="326"/>
      <c r="AP24" s="326"/>
      <c r="AQ24" s="326"/>
      <c r="AR24" s="326"/>
      <c r="AS24" s="326"/>
      <c r="AT24" s="326"/>
      <c r="AU24" s="326"/>
      <c r="AV24" s="326"/>
      <c r="AW24" s="326"/>
      <c r="AX24" s="326"/>
      <c r="AY24" s="326"/>
      <c r="AZ24" s="326"/>
      <c r="BA24" s="326"/>
      <c r="BB24" s="327"/>
    </row>
    <row r="25" spans="1:54" ht="15.75" customHeight="1" x14ac:dyDescent="0.25">
      <c r="A25" s="11">
        <f t="shared" si="0"/>
        <v>12</v>
      </c>
      <c r="B25" s="504" t="str">
        <f>'refer admin discharge'!B26</f>
        <v>x</v>
      </c>
      <c r="C25" s="327"/>
      <c r="D25" s="505" t="str">
        <f>'refer admin discharge'!D26</f>
        <v>xx</v>
      </c>
      <c r="E25" s="327"/>
      <c r="F25" s="606" t="str">
        <f>'refer admin discharge'!H26</f>
        <v>00/00/0000</v>
      </c>
      <c r="G25" s="327"/>
      <c r="H25" s="594"/>
      <c r="I25" s="327"/>
      <c r="J25" s="605"/>
      <c r="K25" s="327"/>
      <c r="L25" s="594"/>
      <c r="M25" s="327"/>
      <c r="N25" s="575"/>
      <c r="O25" s="327"/>
      <c r="P25" s="594"/>
      <c r="Q25" s="327"/>
      <c r="R25" s="575"/>
      <c r="S25" s="327"/>
      <c r="T25" s="594"/>
      <c r="U25" s="327"/>
      <c r="V25" s="603" t="str">
        <f>'refer admin discharge'!H26</f>
        <v>00/00/0000</v>
      </c>
      <c r="W25" s="327"/>
      <c r="X25" s="577"/>
      <c r="Y25" s="327"/>
      <c r="Z25" s="604"/>
      <c r="AA25" s="327"/>
      <c r="AB25" s="577"/>
      <c r="AC25" s="327"/>
      <c r="AD25" s="576"/>
      <c r="AE25" s="327"/>
      <c r="AF25" s="577"/>
      <c r="AG25" s="327"/>
      <c r="AH25" s="576"/>
      <c r="AI25" s="327"/>
      <c r="AJ25" s="577"/>
      <c r="AK25" s="327"/>
      <c r="AL25" s="602"/>
      <c r="AM25" s="326"/>
      <c r="AN25" s="326"/>
      <c r="AO25" s="326"/>
      <c r="AP25" s="326"/>
      <c r="AQ25" s="326"/>
      <c r="AR25" s="326"/>
      <c r="AS25" s="326"/>
      <c r="AT25" s="326"/>
      <c r="AU25" s="326"/>
      <c r="AV25" s="326"/>
      <c r="AW25" s="326"/>
      <c r="AX25" s="326"/>
      <c r="AY25" s="326"/>
      <c r="AZ25" s="326"/>
      <c r="BA25" s="326"/>
      <c r="BB25" s="327"/>
    </row>
    <row r="26" spans="1:54" ht="15.75" customHeight="1" x14ac:dyDescent="0.25">
      <c r="A26" s="11">
        <f t="shared" si="0"/>
        <v>13</v>
      </c>
      <c r="B26" s="570" t="str">
        <f>'refer admin discharge'!B27</f>
        <v>x</v>
      </c>
      <c r="C26" s="327"/>
      <c r="D26" s="599" t="str">
        <f>'refer admin discharge'!D27</f>
        <v>xx</v>
      </c>
      <c r="E26" s="327"/>
      <c r="F26" s="600" t="str">
        <f>'refer admin discharge'!H27</f>
        <v>00/00/0000</v>
      </c>
      <c r="G26" s="327"/>
      <c r="H26" s="574"/>
      <c r="I26" s="327"/>
      <c r="J26" s="601"/>
      <c r="K26" s="327"/>
      <c r="L26" s="574"/>
      <c r="M26" s="327"/>
      <c r="N26" s="594"/>
      <c r="O26" s="327"/>
      <c r="P26" s="574"/>
      <c r="Q26" s="327"/>
      <c r="R26" s="594"/>
      <c r="S26" s="327"/>
      <c r="T26" s="574"/>
      <c r="U26" s="327"/>
      <c r="V26" s="595" t="str">
        <f>'refer admin discharge'!H27</f>
        <v>00/00/0000</v>
      </c>
      <c r="W26" s="327"/>
      <c r="X26" s="596"/>
      <c r="Y26" s="327"/>
      <c r="Z26" s="597"/>
      <c r="AA26" s="327"/>
      <c r="AB26" s="596"/>
      <c r="AC26" s="327"/>
      <c r="AD26" s="577"/>
      <c r="AE26" s="327"/>
      <c r="AF26" s="596"/>
      <c r="AG26" s="327"/>
      <c r="AH26" s="577"/>
      <c r="AI26" s="327"/>
      <c r="AJ26" s="596"/>
      <c r="AK26" s="327"/>
      <c r="AL26" s="598"/>
      <c r="AM26" s="326"/>
      <c r="AN26" s="326"/>
      <c r="AO26" s="326"/>
      <c r="AP26" s="326"/>
      <c r="AQ26" s="326"/>
      <c r="AR26" s="326"/>
      <c r="AS26" s="326"/>
      <c r="AT26" s="326"/>
      <c r="AU26" s="326"/>
      <c r="AV26" s="326"/>
      <c r="AW26" s="326"/>
      <c r="AX26" s="326"/>
      <c r="AY26" s="326"/>
      <c r="AZ26" s="326"/>
      <c r="BA26" s="326"/>
      <c r="BB26" s="327"/>
    </row>
    <row r="27" spans="1:54" ht="15.75" customHeight="1" x14ac:dyDescent="0.25">
      <c r="A27" s="11">
        <f t="shared" si="0"/>
        <v>14</v>
      </c>
      <c r="B27" s="504" t="str">
        <f>'refer admin discharge'!B28</f>
        <v>x</v>
      </c>
      <c r="C27" s="327"/>
      <c r="D27" s="505" t="str">
        <f>'refer admin discharge'!D28</f>
        <v>xx</v>
      </c>
      <c r="E27" s="327"/>
      <c r="F27" s="606" t="str">
        <f>'refer admin discharge'!H28</f>
        <v>00/00/0000</v>
      </c>
      <c r="G27" s="327"/>
      <c r="H27" s="594"/>
      <c r="I27" s="327"/>
      <c r="J27" s="605"/>
      <c r="K27" s="327"/>
      <c r="L27" s="594"/>
      <c r="M27" s="327"/>
      <c r="N27" s="575"/>
      <c r="O27" s="327"/>
      <c r="P27" s="594"/>
      <c r="Q27" s="327"/>
      <c r="R27" s="575"/>
      <c r="S27" s="327"/>
      <c r="T27" s="594"/>
      <c r="U27" s="327"/>
      <c r="V27" s="603" t="str">
        <f>'refer admin discharge'!H28</f>
        <v>00/00/0000</v>
      </c>
      <c r="W27" s="327"/>
      <c r="X27" s="577"/>
      <c r="Y27" s="327"/>
      <c r="Z27" s="604"/>
      <c r="AA27" s="327"/>
      <c r="AB27" s="577"/>
      <c r="AC27" s="327"/>
      <c r="AD27" s="576"/>
      <c r="AE27" s="327"/>
      <c r="AF27" s="577"/>
      <c r="AG27" s="327"/>
      <c r="AH27" s="576"/>
      <c r="AI27" s="327"/>
      <c r="AJ27" s="577"/>
      <c r="AK27" s="327"/>
      <c r="AL27" s="602"/>
      <c r="AM27" s="326"/>
      <c r="AN27" s="326"/>
      <c r="AO27" s="326"/>
      <c r="AP27" s="326"/>
      <c r="AQ27" s="326"/>
      <c r="AR27" s="326"/>
      <c r="AS27" s="326"/>
      <c r="AT27" s="326"/>
      <c r="AU27" s="326"/>
      <c r="AV27" s="326"/>
      <c r="AW27" s="326"/>
      <c r="AX27" s="326"/>
      <c r="AY27" s="326"/>
      <c r="AZ27" s="326"/>
      <c r="BA27" s="326"/>
      <c r="BB27" s="327"/>
    </row>
    <row r="28" spans="1:54" ht="15.75" customHeight="1" x14ac:dyDescent="0.25">
      <c r="A28" s="11">
        <f t="shared" si="0"/>
        <v>15</v>
      </c>
      <c r="B28" s="570" t="str">
        <f>'refer admin discharge'!B29</f>
        <v>x</v>
      </c>
      <c r="C28" s="327"/>
      <c r="D28" s="599" t="str">
        <f>'refer admin discharge'!D29</f>
        <v>xx</v>
      </c>
      <c r="E28" s="327"/>
      <c r="F28" s="600" t="str">
        <f>'refer admin discharge'!H29</f>
        <v>00/00/0000</v>
      </c>
      <c r="G28" s="327"/>
      <c r="H28" s="574"/>
      <c r="I28" s="327"/>
      <c r="J28" s="601"/>
      <c r="K28" s="327"/>
      <c r="L28" s="574"/>
      <c r="M28" s="327"/>
      <c r="N28" s="594"/>
      <c r="O28" s="327"/>
      <c r="P28" s="574"/>
      <c r="Q28" s="327"/>
      <c r="R28" s="594"/>
      <c r="S28" s="327"/>
      <c r="T28" s="574"/>
      <c r="U28" s="327"/>
      <c r="V28" s="595" t="str">
        <f>'refer admin discharge'!H29</f>
        <v>00/00/0000</v>
      </c>
      <c r="W28" s="327"/>
      <c r="X28" s="596"/>
      <c r="Y28" s="327"/>
      <c r="Z28" s="597"/>
      <c r="AA28" s="327"/>
      <c r="AB28" s="596"/>
      <c r="AC28" s="327"/>
      <c r="AD28" s="577"/>
      <c r="AE28" s="327"/>
      <c r="AF28" s="596"/>
      <c r="AG28" s="327"/>
      <c r="AH28" s="577"/>
      <c r="AI28" s="327"/>
      <c r="AJ28" s="596"/>
      <c r="AK28" s="327"/>
      <c r="AL28" s="598"/>
      <c r="AM28" s="326"/>
      <c r="AN28" s="326"/>
      <c r="AO28" s="326"/>
      <c r="AP28" s="326"/>
      <c r="AQ28" s="326"/>
      <c r="AR28" s="326"/>
      <c r="AS28" s="326"/>
      <c r="AT28" s="326"/>
      <c r="AU28" s="326"/>
      <c r="AV28" s="326"/>
      <c r="AW28" s="326"/>
      <c r="AX28" s="326"/>
      <c r="AY28" s="326"/>
      <c r="AZ28" s="326"/>
      <c r="BA28" s="326"/>
      <c r="BB28" s="327"/>
    </row>
    <row r="29" spans="1:54" ht="15.75" customHeight="1" x14ac:dyDescent="0.25">
      <c r="A29" s="11">
        <f t="shared" si="0"/>
        <v>16</v>
      </c>
      <c r="B29" s="504" t="str">
        <f>'refer admin discharge'!B30</f>
        <v>x</v>
      </c>
      <c r="C29" s="327"/>
      <c r="D29" s="505" t="str">
        <f>'refer admin discharge'!D30</f>
        <v>xx</v>
      </c>
      <c r="E29" s="327"/>
      <c r="F29" s="606" t="str">
        <f>'refer admin discharge'!H30</f>
        <v>00/00/0000</v>
      </c>
      <c r="G29" s="327"/>
      <c r="H29" s="594"/>
      <c r="I29" s="327"/>
      <c r="J29" s="605"/>
      <c r="K29" s="327"/>
      <c r="L29" s="594"/>
      <c r="M29" s="327"/>
      <c r="N29" s="575"/>
      <c r="O29" s="327"/>
      <c r="P29" s="594"/>
      <c r="Q29" s="327"/>
      <c r="R29" s="575"/>
      <c r="S29" s="327"/>
      <c r="T29" s="594"/>
      <c r="U29" s="327"/>
      <c r="V29" s="603" t="str">
        <f>'refer admin discharge'!H30</f>
        <v>00/00/0000</v>
      </c>
      <c r="W29" s="327"/>
      <c r="X29" s="577"/>
      <c r="Y29" s="327"/>
      <c r="Z29" s="604"/>
      <c r="AA29" s="327"/>
      <c r="AB29" s="577"/>
      <c r="AC29" s="327"/>
      <c r="AD29" s="576"/>
      <c r="AE29" s="327"/>
      <c r="AF29" s="577"/>
      <c r="AG29" s="327"/>
      <c r="AH29" s="576"/>
      <c r="AI29" s="327"/>
      <c r="AJ29" s="577"/>
      <c r="AK29" s="327"/>
      <c r="AL29" s="602"/>
      <c r="AM29" s="326"/>
      <c r="AN29" s="326"/>
      <c r="AO29" s="326"/>
      <c r="AP29" s="326"/>
      <c r="AQ29" s="326"/>
      <c r="AR29" s="326"/>
      <c r="AS29" s="326"/>
      <c r="AT29" s="326"/>
      <c r="AU29" s="326"/>
      <c r="AV29" s="326"/>
      <c r="AW29" s="326"/>
      <c r="AX29" s="326"/>
      <c r="AY29" s="326"/>
      <c r="AZ29" s="326"/>
      <c r="BA29" s="326"/>
      <c r="BB29" s="327"/>
    </row>
    <row r="30" spans="1:54" ht="15.75" customHeight="1" x14ac:dyDescent="0.25">
      <c r="A30" s="11">
        <f t="shared" si="0"/>
        <v>17</v>
      </c>
      <c r="B30" s="570" t="str">
        <f>'refer admin discharge'!B31</f>
        <v>x</v>
      </c>
      <c r="C30" s="327"/>
      <c r="D30" s="599" t="str">
        <f>'refer admin discharge'!D31</f>
        <v>xx</v>
      </c>
      <c r="E30" s="327"/>
      <c r="F30" s="600" t="str">
        <f>'refer admin discharge'!H31</f>
        <v>00/00/0000</v>
      </c>
      <c r="G30" s="327"/>
      <c r="H30" s="574"/>
      <c r="I30" s="327"/>
      <c r="J30" s="601"/>
      <c r="K30" s="327"/>
      <c r="L30" s="574"/>
      <c r="M30" s="327"/>
      <c r="N30" s="594"/>
      <c r="O30" s="327"/>
      <c r="P30" s="574"/>
      <c r="Q30" s="327"/>
      <c r="R30" s="594"/>
      <c r="S30" s="327"/>
      <c r="T30" s="574"/>
      <c r="U30" s="327"/>
      <c r="V30" s="595" t="str">
        <f>'refer admin discharge'!H31</f>
        <v>00/00/0000</v>
      </c>
      <c r="W30" s="327"/>
      <c r="X30" s="596"/>
      <c r="Y30" s="327"/>
      <c r="Z30" s="597"/>
      <c r="AA30" s="327"/>
      <c r="AB30" s="596"/>
      <c r="AC30" s="327"/>
      <c r="AD30" s="577"/>
      <c r="AE30" s="327"/>
      <c r="AF30" s="596"/>
      <c r="AG30" s="327"/>
      <c r="AH30" s="577"/>
      <c r="AI30" s="327"/>
      <c r="AJ30" s="596"/>
      <c r="AK30" s="327"/>
      <c r="AL30" s="598"/>
      <c r="AM30" s="326"/>
      <c r="AN30" s="326"/>
      <c r="AO30" s="326"/>
      <c r="AP30" s="326"/>
      <c r="AQ30" s="326"/>
      <c r="AR30" s="326"/>
      <c r="AS30" s="326"/>
      <c r="AT30" s="326"/>
      <c r="AU30" s="326"/>
      <c r="AV30" s="326"/>
      <c r="AW30" s="326"/>
      <c r="AX30" s="326"/>
      <c r="AY30" s="326"/>
      <c r="AZ30" s="326"/>
      <c r="BA30" s="326"/>
      <c r="BB30" s="327"/>
    </row>
    <row r="31" spans="1:54" ht="15.75" customHeight="1" x14ac:dyDescent="0.25">
      <c r="A31" s="11">
        <f t="shared" si="0"/>
        <v>18</v>
      </c>
      <c r="B31" s="504" t="str">
        <f>'refer admin discharge'!B32</f>
        <v>x</v>
      </c>
      <c r="C31" s="327"/>
      <c r="D31" s="505" t="str">
        <f>'refer admin discharge'!D32</f>
        <v>xx</v>
      </c>
      <c r="E31" s="327"/>
      <c r="F31" s="606" t="str">
        <f>'refer admin discharge'!H32</f>
        <v>00/00/0000</v>
      </c>
      <c r="G31" s="327"/>
      <c r="H31" s="594"/>
      <c r="I31" s="327"/>
      <c r="J31" s="605"/>
      <c r="K31" s="327"/>
      <c r="L31" s="594"/>
      <c r="M31" s="327"/>
      <c r="N31" s="575"/>
      <c r="O31" s="327"/>
      <c r="P31" s="594"/>
      <c r="Q31" s="327"/>
      <c r="R31" s="575"/>
      <c r="S31" s="327"/>
      <c r="T31" s="594"/>
      <c r="U31" s="327"/>
      <c r="V31" s="603" t="str">
        <f>'refer admin discharge'!H32</f>
        <v>00/00/0000</v>
      </c>
      <c r="W31" s="327"/>
      <c r="X31" s="577"/>
      <c r="Y31" s="327"/>
      <c r="Z31" s="604"/>
      <c r="AA31" s="327"/>
      <c r="AB31" s="577"/>
      <c r="AC31" s="327"/>
      <c r="AD31" s="576"/>
      <c r="AE31" s="327"/>
      <c r="AF31" s="577"/>
      <c r="AG31" s="327"/>
      <c r="AH31" s="576"/>
      <c r="AI31" s="327"/>
      <c r="AJ31" s="577"/>
      <c r="AK31" s="327"/>
      <c r="AL31" s="602"/>
      <c r="AM31" s="326"/>
      <c r="AN31" s="326"/>
      <c r="AO31" s="326"/>
      <c r="AP31" s="326"/>
      <c r="AQ31" s="326"/>
      <c r="AR31" s="326"/>
      <c r="AS31" s="326"/>
      <c r="AT31" s="326"/>
      <c r="AU31" s="326"/>
      <c r="AV31" s="326"/>
      <c r="AW31" s="326"/>
      <c r="AX31" s="326"/>
      <c r="AY31" s="326"/>
      <c r="AZ31" s="326"/>
      <c r="BA31" s="326"/>
      <c r="BB31" s="327"/>
    </row>
    <row r="32" spans="1:54" ht="15.75" customHeight="1" x14ac:dyDescent="0.25">
      <c r="A32" s="11">
        <f t="shared" si="0"/>
        <v>19</v>
      </c>
      <c r="B32" s="570" t="str">
        <f>'refer admin discharge'!B33</f>
        <v>x</v>
      </c>
      <c r="C32" s="327"/>
      <c r="D32" s="599" t="str">
        <f>'refer admin discharge'!D33</f>
        <v>xx</v>
      </c>
      <c r="E32" s="327"/>
      <c r="F32" s="600" t="str">
        <f>'refer admin discharge'!H33</f>
        <v>00/00/0000</v>
      </c>
      <c r="G32" s="327"/>
      <c r="H32" s="574"/>
      <c r="I32" s="327"/>
      <c r="J32" s="601"/>
      <c r="K32" s="327"/>
      <c r="L32" s="574"/>
      <c r="M32" s="327"/>
      <c r="N32" s="594"/>
      <c r="O32" s="327"/>
      <c r="P32" s="574"/>
      <c r="Q32" s="327"/>
      <c r="R32" s="594"/>
      <c r="S32" s="327"/>
      <c r="T32" s="574"/>
      <c r="U32" s="327"/>
      <c r="V32" s="595" t="str">
        <f>'refer admin discharge'!H33</f>
        <v>00/00/0000</v>
      </c>
      <c r="W32" s="327"/>
      <c r="X32" s="596"/>
      <c r="Y32" s="327"/>
      <c r="Z32" s="597"/>
      <c r="AA32" s="327"/>
      <c r="AB32" s="596"/>
      <c r="AC32" s="327"/>
      <c r="AD32" s="577"/>
      <c r="AE32" s="327"/>
      <c r="AF32" s="596"/>
      <c r="AG32" s="327"/>
      <c r="AH32" s="577"/>
      <c r="AI32" s="327"/>
      <c r="AJ32" s="596"/>
      <c r="AK32" s="327"/>
      <c r="AL32" s="598"/>
      <c r="AM32" s="326"/>
      <c r="AN32" s="326"/>
      <c r="AO32" s="326"/>
      <c r="AP32" s="326"/>
      <c r="AQ32" s="326"/>
      <c r="AR32" s="326"/>
      <c r="AS32" s="326"/>
      <c r="AT32" s="326"/>
      <c r="AU32" s="326"/>
      <c r="AV32" s="326"/>
      <c r="AW32" s="326"/>
      <c r="AX32" s="326"/>
      <c r="AY32" s="326"/>
      <c r="AZ32" s="326"/>
      <c r="BA32" s="326"/>
      <c r="BB32" s="327"/>
    </row>
    <row r="33" spans="1:54" ht="15.75" customHeight="1" x14ac:dyDescent="0.25">
      <c r="A33" s="11">
        <f t="shared" si="0"/>
        <v>20</v>
      </c>
      <c r="B33" s="504" t="str">
        <f>'refer admin discharge'!B34</f>
        <v>x</v>
      </c>
      <c r="C33" s="327"/>
      <c r="D33" s="505" t="str">
        <f>'refer admin discharge'!D34</f>
        <v>xx</v>
      </c>
      <c r="E33" s="327"/>
      <c r="F33" s="606" t="str">
        <f>'refer admin discharge'!H34</f>
        <v>00/00/0000</v>
      </c>
      <c r="G33" s="327"/>
      <c r="H33" s="594"/>
      <c r="I33" s="327"/>
      <c r="J33" s="605"/>
      <c r="K33" s="327"/>
      <c r="L33" s="594"/>
      <c r="M33" s="327"/>
      <c r="N33" s="575"/>
      <c r="O33" s="327"/>
      <c r="P33" s="594"/>
      <c r="Q33" s="327"/>
      <c r="R33" s="575"/>
      <c r="S33" s="327"/>
      <c r="T33" s="594"/>
      <c r="U33" s="327"/>
      <c r="V33" s="603" t="str">
        <f>'refer admin discharge'!H34</f>
        <v>00/00/0000</v>
      </c>
      <c r="W33" s="327"/>
      <c r="X33" s="577"/>
      <c r="Y33" s="327"/>
      <c r="Z33" s="604"/>
      <c r="AA33" s="327"/>
      <c r="AB33" s="577"/>
      <c r="AC33" s="327"/>
      <c r="AD33" s="576"/>
      <c r="AE33" s="327"/>
      <c r="AF33" s="577"/>
      <c r="AG33" s="327"/>
      <c r="AH33" s="576"/>
      <c r="AI33" s="327"/>
      <c r="AJ33" s="577"/>
      <c r="AK33" s="327"/>
      <c r="AL33" s="602"/>
      <c r="AM33" s="326"/>
      <c r="AN33" s="326"/>
      <c r="AO33" s="326"/>
      <c r="AP33" s="326"/>
      <c r="AQ33" s="326"/>
      <c r="AR33" s="326"/>
      <c r="AS33" s="326"/>
      <c r="AT33" s="326"/>
      <c r="AU33" s="326"/>
      <c r="AV33" s="326"/>
      <c r="AW33" s="326"/>
      <c r="AX33" s="326"/>
      <c r="AY33" s="326"/>
      <c r="AZ33" s="326"/>
      <c r="BA33" s="326"/>
      <c r="BB33" s="327"/>
    </row>
    <row r="34" spans="1:54" ht="15.75" customHeight="1" x14ac:dyDescent="0.25">
      <c r="A34" s="11">
        <f t="shared" si="0"/>
        <v>21</v>
      </c>
      <c r="B34" s="570" t="str">
        <f>'refer admin discharge'!B35</f>
        <v>x</v>
      </c>
      <c r="C34" s="327"/>
      <c r="D34" s="599" t="str">
        <f>'refer admin discharge'!D35</f>
        <v>xx</v>
      </c>
      <c r="E34" s="327"/>
      <c r="F34" s="600" t="str">
        <f>'refer admin discharge'!H35</f>
        <v>00/00/0000</v>
      </c>
      <c r="G34" s="327"/>
      <c r="H34" s="574"/>
      <c r="I34" s="327"/>
      <c r="J34" s="601"/>
      <c r="K34" s="327"/>
      <c r="L34" s="574"/>
      <c r="M34" s="327"/>
      <c r="N34" s="594"/>
      <c r="O34" s="327"/>
      <c r="P34" s="574"/>
      <c r="Q34" s="327"/>
      <c r="R34" s="594"/>
      <c r="S34" s="327"/>
      <c r="T34" s="574"/>
      <c r="U34" s="327"/>
      <c r="V34" s="595" t="str">
        <f>'refer admin discharge'!H35</f>
        <v>00/00/0000</v>
      </c>
      <c r="W34" s="327"/>
      <c r="X34" s="596"/>
      <c r="Y34" s="327"/>
      <c r="Z34" s="597"/>
      <c r="AA34" s="327"/>
      <c r="AB34" s="596"/>
      <c r="AC34" s="327"/>
      <c r="AD34" s="577"/>
      <c r="AE34" s="327"/>
      <c r="AF34" s="596"/>
      <c r="AG34" s="327"/>
      <c r="AH34" s="577"/>
      <c r="AI34" s="327"/>
      <c r="AJ34" s="596"/>
      <c r="AK34" s="327"/>
      <c r="AL34" s="598"/>
      <c r="AM34" s="326"/>
      <c r="AN34" s="326"/>
      <c r="AO34" s="326"/>
      <c r="AP34" s="326"/>
      <c r="AQ34" s="326"/>
      <c r="AR34" s="326"/>
      <c r="AS34" s="326"/>
      <c r="AT34" s="326"/>
      <c r="AU34" s="326"/>
      <c r="AV34" s="326"/>
      <c r="AW34" s="326"/>
      <c r="AX34" s="326"/>
      <c r="AY34" s="326"/>
      <c r="AZ34" s="326"/>
      <c r="BA34" s="326"/>
      <c r="BB34" s="327"/>
    </row>
    <row r="35" spans="1:54" ht="15.75" customHeight="1" x14ac:dyDescent="0.25">
      <c r="A35" s="11">
        <f t="shared" si="0"/>
        <v>22</v>
      </c>
      <c r="B35" s="504" t="str">
        <f>'refer admin discharge'!B36</f>
        <v>x</v>
      </c>
      <c r="C35" s="327"/>
      <c r="D35" s="505" t="str">
        <f>'refer admin discharge'!D36</f>
        <v>xx</v>
      </c>
      <c r="E35" s="327"/>
      <c r="F35" s="606" t="str">
        <f>'refer admin discharge'!H36</f>
        <v>00/00/0000</v>
      </c>
      <c r="G35" s="327"/>
      <c r="H35" s="594"/>
      <c r="I35" s="327"/>
      <c r="J35" s="605"/>
      <c r="K35" s="327"/>
      <c r="L35" s="594"/>
      <c r="M35" s="327"/>
      <c r="N35" s="575"/>
      <c r="O35" s="327"/>
      <c r="P35" s="594"/>
      <c r="Q35" s="327"/>
      <c r="R35" s="575"/>
      <c r="S35" s="327"/>
      <c r="T35" s="594"/>
      <c r="U35" s="327"/>
      <c r="V35" s="603" t="str">
        <f>'refer admin discharge'!H36</f>
        <v>00/00/0000</v>
      </c>
      <c r="W35" s="327"/>
      <c r="X35" s="577"/>
      <c r="Y35" s="327"/>
      <c r="Z35" s="604"/>
      <c r="AA35" s="327"/>
      <c r="AB35" s="577"/>
      <c r="AC35" s="327"/>
      <c r="AD35" s="576"/>
      <c r="AE35" s="327"/>
      <c r="AF35" s="577"/>
      <c r="AG35" s="327"/>
      <c r="AH35" s="576"/>
      <c r="AI35" s="327"/>
      <c r="AJ35" s="577"/>
      <c r="AK35" s="327"/>
      <c r="AL35" s="602"/>
      <c r="AM35" s="326"/>
      <c r="AN35" s="326"/>
      <c r="AO35" s="326"/>
      <c r="AP35" s="326"/>
      <c r="AQ35" s="326"/>
      <c r="AR35" s="326"/>
      <c r="AS35" s="326"/>
      <c r="AT35" s="326"/>
      <c r="AU35" s="326"/>
      <c r="AV35" s="326"/>
      <c r="AW35" s="326"/>
      <c r="AX35" s="326"/>
      <c r="AY35" s="326"/>
      <c r="AZ35" s="326"/>
      <c r="BA35" s="326"/>
      <c r="BB35" s="327"/>
    </row>
    <row r="36" spans="1:54" ht="15.75" customHeight="1" x14ac:dyDescent="0.25">
      <c r="A36" s="11">
        <f t="shared" si="0"/>
        <v>23</v>
      </c>
      <c r="B36" s="570" t="str">
        <f>'refer admin discharge'!B37</f>
        <v>x</v>
      </c>
      <c r="C36" s="327"/>
      <c r="D36" s="599" t="str">
        <f>'refer admin discharge'!D37</f>
        <v>xx</v>
      </c>
      <c r="E36" s="327"/>
      <c r="F36" s="600" t="str">
        <f>'refer admin discharge'!H37</f>
        <v>00/00/0000</v>
      </c>
      <c r="G36" s="327"/>
      <c r="H36" s="574"/>
      <c r="I36" s="327"/>
      <c r="J36" s="601"/>
      <c r="K36" s="327"/>
      <c r="L36" s="574"/>
      <c r="M36" s="327"/>
      <c r="N36" s="594"/>
      <c r="O36" s="327"/>
      <c r="P36" s="574"/>
      <c r="Q36" s="327"/>
      <c r="R36" s="594"/>
      <c r="S36" s="327"/>
      <c r="T36" s="574"/>
      <c r="U36" s="327"/>
      <c r="V36" s="595" t="str">
        <f>'refer admin discharge'!H37</f>
        <v>00/00/0000</v>
      </c>
      <c r="W36" s="327"/>
      <c r="X36" s="596"/>
      <c r="Y36" s="327"/>
      <c r="Z36" s="597"/>
      <c r="AA36" s="327"/>
      <c r="AB36" s="596"/>
      <c r="AC36" s="327"/>
      <c r="AD36" s="577"/>
      <c r="AE36" s="327"/>
      <c r="AF36" s="596"/>
      <c r="AG36" s="327"/>
      <c r="AH36" s="577"/>
      <c r="AI36" s="327"/>
      <c r="AJ36" s="596"/>
      <c r="AK36" s="327"/>
      <c r="AL36" s="598"/>
      <c r="AM36" s="326"/>
      <c r="AN36" s="326"/>
      <c r="AO36" s="326"/>
      <c r="AP36" s="326"/>
      <c r="AQ36" s="326"/>
      <c r="AR36" s="326"/>
      <c r="AS36" s="326"/>
      <c r="AT36" s="326"/>
      <c r="AU36" s="326"/>
      <c r="AV36" s="326"/>
      <c r="AW36" s="326"/>
      <c r="AX36" s="326"/>
      <c r="AY36" s="326"/>
      <c r="AZ36" s="326"/>
      <c r="BA36" s="326"/>
      <c r="BB36" s="327"/>
    </row>
    <row r="37" spans="1:54" ht="15.75" customHeight="1" x14ac:dyDescent="0.25">
      <c r="A37" s="11">
        <f t="shared" si="0"/>
        <v>24</v>
      </c>
      <c r="B37" s="504" t="str">
        <f>'refer admin discharge'!B38</f>
        <v>x</v>
      </c>
      <c r="C37" s="327"/>
      <c r="D37" s="505" t="str">
        <f>'refer admin discharge'!D38</f>
        <v>xx</v>
      </c>
      <c r="E37" s="327"/>
      <c r="F37" s="606" t="str">
        <f>'refer admin discharge'!H38</f>
        <v>00/00/0000</v>
      </c>
      <c r="G37" s="327"/>
      <c r="H37" s="594"/>
      <c r="I37" s="327"/>
      <c r="J37" s="605"/>
      <c r="K37" s="327"/>
      <c r="L37" s="594"/>
      <c r="M37" s="327"/>
      <c r="N37" s="575"/>
      <c r="O37" s="327"/>
      <c r="P37" s="594"/>
      <c r="Q37" s="327"/>
      <c r="R37" s="575"/>
      <c r="S37" s="327"/>
      <c r="T37" s="594"/>
      <c r="U37" s="327"/>
      <c r="V37" s="603" t="str">
        <f>'refer admin discharge'!H38</f>
        <v>00/00/0000</v>
      </c>
      <c r="W37" s="327"/>
      <c r="X37" s="577"/>
      <c r="Y37" s="327"/>
      <c r="Z37" s="604"/>
      <c r="AA37" s="327"/>
      <c r="AB37" s="577"/>
      <c r="AC37" s="327"/>
      <c r="AD37" s="576"/>
      <c r="AE37" s="327"/>
      <c r="AF37" s="577"/>
      <c r="AG37" s="327"/>
      <c r="AH37" s="576"/>
      <c r="AI37" s="327"/>
      <c r="AJ37" s="577"/>
      <c r="AK37" s="327"/>
      <c r="AL37" s="602"/>
      <c r="AM37" s="326"/>
      <c r="AN37" s="326"/>
      <c r="AO37" s="326"/>
      <c r="AP37" s="326"/>
      <c r="AQ37" s="326"/>
      <c r="AR37" s="326"/>
      <c r="AS37" s="326"/>
      <c r="AT37" s="326"/>
      <c r="AU37" s="326"/>
      <c r="AV37" s="326"/>
      <c r="AW37" s="326"/>
      <c r="AX37" s="326"/>
      <c r="AY37" s="326"/>
      <c r="AZ37" s="326"/>
      <c r="BA37" s="326"/>
      <c r="BB37" s="327"/>
    </row>
    <row r="38" spans="1:54" ht="15.75" customHeight="1" x14ac:dyDescent="0.25">
      <c r="A38" s="11">
        <f t="shared" si="0"/>
        <v>25</v>
      </c>
      <c r="B38" s="570" t="str">
        <f>'refer admin discharge'!B39</f>
        <v>x</v>
      </c>
      <c r="C38" s="327"/>
      <c r="D38" s="599" t="str">
        <f>'refer admin discharge'!D39</f>
        <v>xx</v>
      </c>
      <c r="E38" s="327"/>
      <c r="F38" s="600" t="str">
        <f>'refer admin discharge'!H39</f>
        <v>00/00/0000</v>
      </c>
      <c r="G38" s="327"/>
      <c r="H38" s="574"/>
      <c r="I38" s="327"/>
      <c r="J38" s="601"/>
      <c r="K38" s="327"/>
      <c r="L38" s="574"/>
      <c r="M38" s="327"/>
      <c r="N38" s="594"/>
      <c r="O38" s="327"/>
      <c r="P38" s="574"/>
      <c r="Q38" s="327"/>
      <c r="R38" s="594"/>
      <c r="S38" s="327"/>
      <c r="T38" s="574"/>
      <c r="U38" s="327"/>
      <c r="V38" s="595" t="str">
        <f>'refer admin discharge'!H39</f>
        <v>00/00/0000</v>
      </c>
      <c r="W38" s="327"/>
      <c r="X38" s="596"/>
      <c r="Y38" s="327"/>
      <c r="Z38" s="597"/>
      <c r="AA38" s="327"/>
      <c r="AB38" s="596"/>
      <c r="AC38" s="327"/>
      <c r="AD38" s="577"/>
      <c r="AE38" s="327"/>
      <c r="AF38" s="596"/>
      <c r="AG38" s="327"/>
      <c r="AH38" s="577"/>
      <c r="AI38" s="327"/>
      <c r="AJ38" s="596"/>
      <c r="AK38" s="327"/>
      <c r="AL38" s="598"/>
      <c r="AM38" s="326"/>
      <c r="AN38" s="326"/>
      <c r="AO38" s="326"/>
      <c r="AP38" s="326"/>
      <c r="AQ38" s="326"/>
      <c r="AR38" s="326"/>
      <c r="AS38" s="326"/>
      <c r="AT38" s="326"/>
      <c r="AU38" s="326"/>
      <c r="AV38" s="326"/>
      <c r="AW38" s="326"/>
      <c r="AX38" s="326"/>
      <c r="AY38" s="326"/>
      <c r="AZ38" s="326"/>
      <c r="BA38" s="326"/>
      <c r="BB38" s="327"/>
    </row>
    <row r="39" spans="1:54" ht="15.75" customHeight="1" x14ac:dyDescent="0.25">
      <c r="A39" s="11">
        <f t="shared" si="0"/>
        <v>26</v>
      </c>
      <c r="B39" s="504" t="str">
        <f>'refer admin discharge'!B40</f>
        <v>x</v>
      </c>
      <c r="C39" s="327"/>
      <c r="D39" s="505" t="str">
        <f>'refer admin discharge'!D40</f>
        <v>xx</v>
      </c>
      <c r="E39" s="327"/>
      <c r="F39" s="606" t="str">
        <f>'refer admin discharge'!H40</f>
        <v>00/00/0000</v>
      </c>
      <c r="G39" s="327"/>
      <c r="H39" s="594"/>
      <c r="I39" s="327"/>
      <c r="J39" s="605"/>
      <c r="K39" s="327"/>
      <c r="L39" s="594"/>
      <c r="M39" s="327"/>
      <c r="N39" s="575"/>
      <c r="O39" s="327"/>
      <c r="P39" s="594"/>
      <c r="Q39" s="327"/>
      <c r="R39" s="575"/>
      <c r="S39" s="327"/>
      <c r="T39" s="594"/>
      <c r="U39" s="327"/>
      <c r="V39" s="603" t="str">
        <f>'refer admin discharge'!H40</f>
        <v>00/00/0000</v>
      </c>
      <c r="W39" s="327"/>
      <c r="X39" s="577"/>
      <c r="Y39" s="327"/>
      <c r="Z39" s="604"/>
      <c r="AA39" s="327"/>
      <c r="AB39" s="577"/>
      <c r="AC39" s="327"/>
      <c r="AD39" s="576"/>
      <c r="AE39" s="327"/>
      <c r="AF39" s="577"/>
      <c r="AG39" s="327"/>
      <c r="AH39" s="576"/>
      <c r="AI39" s="327"/>
      <c r="AJ39" s="577"/>
      <c r="AK39" s="327"/>
      <c r="AL39" s="602"/>
      <c r="AM39" s="326"/>
      <c r="AN39" s="326"/>
      <c r="AO39" s="326"/>
      <c r="AP39" s="326"/>
      <c r="AQ39" s="326"/>
      <c r="AR39" s="326"/>
      <c r="AS39" s="326"/>
      <c r="AT39" s="326"/>
      <c r="AU39" s="326"/>
      <c r="AV39" s="326"/>
      <c r="AW39" s="326"/>
      <c r="AX39" s="326"/>
      <c r="AY39" s="326"/>
      <c r="AZ39" s="326"/>
      <c r="BA39" s="326"/>
      <c r="BB39" s="327"/>
    </row>
    <row r="40" spans="1:54" ht="15.75" customHeight="1" x14ac:dyDescent="0.25">
      <c r="A40" s="11">
        <f t="shared" si="0"/>
        <v>27</v>
      </c>
      <c r="B40" s="570" t="str">
        <f>'refer admin discharge'!B41</f>
        <v>x</v>
      </c>
      <c r="C40" s="327"/>
      <c r="D40" s="599" t="str">
        <f>'refer admin discharge'!D41</f>
        <v>xx</v>
      </c>
      <c r="E40" s="327"/>
      <c r="F40" s="600" t="str">
        <f>'refer admin discharge'!H41</f>
        <v>00/00/0000</v>
      </c>
      <c r="G40" s="327"/>
      <c r="H40" s="574"/>
      <c r="I40" s="327"/>
      <c r="J40" s="601"/>
      <c r="K40" s="327"/>
      <c r="L40" s="574"/>
      <c r="M40" s="327"/>
      <c r="N40" s="594"/>
      <c r="O40" s="327"/>
      <c r="P40" s="574"/>
      <c r="Q40" s="327"/>
      <c r="R40" s="594"/>
      <c r="S40" s="327"/>
      <c r="T40" s="574"/>
      <c r="U40" s="327"/>
      <c r="V40" s="595" t="str">
        <f>'refer admin discharge'!H41</f>
        <v>00/00/0000</v>
      </c>
      <c r="W40" s="327"/>
      <c r="X40" s="596"/>
      <c r="Y40" s="327"/>
      <c r="Z40" s="597"/>
      <c r="AA40" s="327"/>
      <c r="AB40" s="596"/>
      <c r="AC40" s="327"/>
      <c r="AD40" s="577"/>
      <c r="AE40" s="327"/>
      <c r="AF40" s="596"/>
      <c r="AG40" s="327"/>
      <c r="AH40" s="577"/>
      <c r="AI40" s="327"/>
      <c r="AJ40" s="596"/>
      <c r="AK40" s="327"/>
      <c r="AL40" s="598"/>
      <c r="AM40" s="326"/>
      <c r="AN40" s="326"/>
      <c r="AO40" s="326"/>
      <c r="AP40" s="326"/>
      <c r="AQ40" s="326"/>
      <c r="AR40" s="326"/>
      <c r="AS40" s="326"/>
      <c r="AT40" s="326"/>
      <c r="AU40" s="326"/>
      <c r="AV40" s="326"/>
      <c r="AW40" s="326"/>
      <c r="AX40" s="326"/>
      <c r="AY40" s="326"/>
      <c r="AZ40" s="326"/>
      <c r="BA40" s="326"/>
      <c r="BB40" s="327"/>
    </row>
    <row r="41" spans="1:54" ht="15.75" customHeight="1" x14ac:dyDescent="0.25">
      <c r="A41" s="11">
        <f t="shared" si="0"/>
        <v>28</v>
      </c>
      <c r="B41" s="504" t="str">
        <f>'refer admin discharge'!B42</f>
        <v>x</v>
      </c>
      <c r="C41" s="327"/>
      <c r="D41" s="505" t="str">
        <f>'refer admin discharge'!D42</f>
        <v>xx</v>
      </c>
      <c r="E41" s="327"/>
      <c r="F41" s="606" t="str">
        <f>'refer admin discharge'!H42</f>
        <v>00/00/0000</v>
      </c>
      <c r="G41" s="327"/>
      <c r="H41" s="594"/>
      <c r="I41" s="327"/>
      <c r="J41" s="605"/>
      <c r="K41" s="327"/>
      <c r="L41" s="594"/>
      <c r="M41" s="327"/>
      <c r="N41" s="575"/>
      <c r="O41" s="327"/>
      <c r="P41" s="594"/>
      <c r="Q41" s="327"/>
      <c r="R41" s="575"/>
      <c r="S41" s="327"/>
      <c r="T41" s="594"/>
      <c r="U41" s="327"/>
      <c r="V41" s="603" t="str">
        <f>'refer admin discharge'!H42</f>
        <v>00/00/0000</v>
      </c>
      <c r="W41" s="327"/>
      <c r="X41" s="577"/>
      <c r="Y41" s="327"/>
      <c r="Z41" s="604"/>
      <c r="AA41" s="327"/>
      <c r="AB41" s="577"/>
      <c r="AC41" s="327"/>
      <c r="AD41" s="576"/>
      <c r="AE41" s="327"/>
      <c r="AF41" s="577"/>
      <c r="AG41" s="327"/>
      <c r="AH41" s="576"/>
      <c r="AI41" s="327"/>
      <c r="AJ41" s="577"/>
      <c r="AK41" s="327"/>
      <c r="AL41" s="602"/>
      <c r="AM41" s="326"/>
      <c r="AN41" s="326"/>
      <c r="AO41" s="326"/>
      <c r="AP41" s="326"/>
      <c r="AQ41" s="326"/>
      <c r="AR41" s="326"/>
      <c r="AS41" s="326"/>
      <c r="AT41" s="326"/>
      <c r="AU41" s="326"/>
      <c r="AV41" s="326"/>
      <c r="AW41" s="326"/>
      <c r="AX41" s="326"/>
      <c r="AY41" s="326"/>
      <c r="AZ41" s="326"/>
      <c r="BA41" s="326"/>
      <c r="BB41" s="327"/>
    </row>
    <row r="42" spans="1:54" ht="15.75" customHeight="1" x14ac:dyDescent="0.25">
      <c r="A42" s="11">
        <f t="shared" si="0"/>
        <v>29</v>
      </c>
      <c r="B42" s="570" t="str">
        <f>'refer admin discharge'!B43</f>
        <v>x</v>
      </c>
      <c r="C42" s="327"/>
      <c r="D42" s="599" t="str">
        <f>'refer admin discharge'!D43</f>
        <v>xx</v>
      </c>
      <c r="E42" s="327"/>
      <c r="F42" s="600" t="str">
        <f>'refer admin discharge'!H43</f>
        <v>00/00/0000</v>
      </c>
      <c r="G42" s="327"/>
      <c r="H42" s="574"/>
      <c r="I42" s="327"/>
      <c r="J42" s="601"/>
      <c r="K42" s="327"/>
      <c r="L42" s="574"/>
      <c r="M42" s="327"/>
      <c r="N42" s="594"/>
      <c r="O42" s="327"/>
      <c r="P42" s="574"/>
      <c r="Q42" s="327"/>
      <c r="R42" s="594"/>
      <c r="S42" s="327"/>
      <c r="T42" s="574"/>
      <c r="U42" s="327"/>
      <c r="V42" s="595" t="str">
        <f>'refer admin discharge'!H43</f>
        <v>00/00/0000</v>
      </c>
      <c r="W42" s="327"/>
      <c r="X42" s="596"/>
      <c r="Y42" s="327"/>
      <c r="Z42" s="597"/>
      <c r="AA42" s="327"/>
      <c r="AB42" s="596"/>
      <c r="AC42" s="327"/>
      <c r="AD42" s="577"/>
      <c r="AE42" s="327"/>
      <c r="AF42" s="596"/>
      <c r="AG42" s="327"/>
      <c r="AH42" s="577"/>
      <c r="AI42" s="327"/>
      <c r="AJ42" s="596"/>
      <c r="AK42" s="327"/>
      <c r="AL42" s="598"/>
      <c r="AM42" s="326"/>
      <c r="AN42" s="326"/>
      <c r="AO42" s="326"/>
      <c r="AP42" s="326"/>
      <c r="AQ42" s="326"/>
      <c r="AR42" s="326"/>
      <c r="AS42" s="326"/>
      <c r="AT42" s="326"/>
      <c r="AU42" s="326"/>
      <c r="AV42" s="326"/>
      <c r="AW42" s="326"/>
      <c r="AX42" s="326"/>
      <c r="AY42" s="326"/>
      <c r="AZ42" s="326"/>
      <c r="BA42" s="326"/>
      <c r="BB42" s="327"/>
    </row>
    <row r="43" spans="1:54" ht="15.75" customHeight="1" x14ac:dyDescent="0.25">
      <c r="A43" s="11">
        <f t="shared" si="0"/>
        <v>30</v>
      </c>
      <c r="B43" s="504" t="str">
        <f>'refer admin discharge'!B44</f>
        <v>x</v>
      </c>
      <c r="C43" s="327"/>
      <c r="D43" s="505" t="str">
        <f>'refer admin discharge'!D44</f>
        <v>xx</v>
      </c>
      <c r="E43" s="327"/>
      <c r="F43" s="606" t="str">
        <f>'refer admin discharge'!H44</f>
        <v>00/00/0000</v>
      </c>
      <c r="G43" s="327"/>
      <c r="H43" s="594"/>
      <c r="I43" s="327"/>
      <c r="J43" s="605"/>
      <c r="K43" s="327"/>
      <c r="L43" s="594"/>
      <c r="M43" s="327"/>
      <c r="N43" s="575"/>
      <c r="O43" s="327"/>
      <c r="P43" s="594"/>
      <c r="Q43" s="327"/>
      <c r="R43" s="575"/>
      <c r="S43" s="327"/>
      <c r="T43" s="594"/>
      <c r="U43" s="327"/>
      <c r="V43" s="603" t="str">
        <f>'refer admin discharge'!H44</f>
        <v>00/00/0000</v>
      </c>
      <c r="W43" s="327"/>
      <c r="X43" s="577"/>
      <c r="Y43" s="327"/>
      <c r="Z43" s="604"/>
      <c r="AA43" s="327"/>
      <c r="AB43" s="577"/>
      <c r="AC43" s="327"/>
      <c r="AD43" s="576"/>
      <c r="AE43" s="327"/>
      <c r="AF43" s="577"/>
      <c r="AG43" s="327"/>
      <c r="AH43" s="576"/>
      <c r="AI43" s="327"/>
      <c r="AJ43" s="577"/>
      <c r="AK43" s="327"/>
      <c r="AL43" s="602"/>
      <c r="AM43" s="326"/>
      <c r="AN43" s="326"/>
      <c r="AO43" s="326"/>
      <c r="AP43" s="326"/>
      <c r="AQ43" s="326"/>
      <c r="AR43" s="326"/>
      <c r="AS43" s="326"/>
      <c r="AT43" s="326"/>
      <c r="AU43" s="326"/>
      <c r="AV43" s="326"/>
      <c r="AW43" s="326"/>
      <c r="AX43" s="326"/>
      <c r="AY43" s="326"/>
      <c r="AZ43" s="326"/>
      <c r="BA43" s="326"/>
      <c r="BB43" s="327"/>
    </row>
    <row r="44" spans="1:54" ht="15.75" customHeight="1" x14ac:dyDescent="0.25">
      <c r="A44" s="11">
        <f t="shared" si="0"/>
        <v>31</v>
      </c>
      <c r="B44" s="570" t="str">
        <f>'refer admin discharge'!B45</f>
        <v>x</v>
      </c>
      <c r="C44" s="327"/>
      <c r="D44" s="599" t="str">
        <f>'refer admin discharge'!D45</f>
        <v>xx</v>
      </c>
      <c r="E44" s="327"/>
      <c r="F44" s="600" t="str">
        <f>'refer admin discharge'!H45</f>
        <v>00/00/0000</v>
      </c>
      <c r="G44" s="327"/>
      <c r="H44" s="574"/>
      <c r="I44" s="327"/>
      <c r="J44" s="601"/>
      <c r="K44" s="327"/>
      <c r="L44" s="574"/>
      <c r="M44" s="327"/>
      <c r="N44" s="594"/>
      <c r="O44" s="327"/>
      <c r="P44" s="574"/>
      <c r="Q44" s="327"/>
      <c r="R44" s="594"/>
      <c r="S44" s="327"/>
      <c r="T44" s="574"/>
      <c r="U44" s="327"/>
      <c r="V44" s="595" t="str">
        <f>'refer admin discharge'!H45</f>
        <v>00/00/0000</v>
      </c>
      <c r="W44" s="327"/>
      <c r="X44" s="596"/>
      <c r="Y44" s="327"/>
      <c r="Z44" s="597"/>
      <c r="AA44" s="327"/>
      <c r="AB44" s="596"/>
      <c r="AC44" s="327"/>
      <c r="AD44" s="577"/>
      <c r="AE44" s="327"/>
      <c r="AF44" s="596"/>
      <c r="AG44" s="327"/>
      <c r="AH44" s="577"/>
      <c r="AI44" s="327"/>
      <c r="AJ44" s="596"/>
      <c r="AK44" s="327"/>
      <c r="AL44" s="598"/>
      <c r="AM44" s="326"/>
      <c r="AN44" s="326"/>
      <c r="AO44" s="326"/>
      <c r="AP44" s="326"/>
      <c r="AQ44" s="326"/>
      <c r="AR44" s="326"/>
      <c r="AS44" s="326"/>
      <c r="AT44" s="326"/>
      <c r="AU44" s="326"/>
      <c r="AV44" s="326"/>
      <c r="AW44" s="326"/>
      <c r="AX44" s="326"/>
      <c r="AY44" s="326"/>
      <c r="AZ44" s="326"/>
      <c r="BA44" s="326"/>
      <c r="BB44" s="327"/>
    </row>
    <row r="45" spans="1:54" ht="15.75" customHeight="1" x14ac:dyDescent="0.25">
      <c r="A45" s="11">
        <f t="shared" si="0"/>
        <v>32</v>
      </c>
      <c r="B45" s="504" t="str">
        <f>'refer admin discharge'!B46</f>
        <v>x</v>
      </c>
      <c r="C45" s="327"/>
      <c r="D45" s="505" t="str">
        <f>'refer admin discharge'!D46</f>
        <v>xx</v>
      </c>
      <c r="E45" s="327"/>
      <c r="F45" s="606" t="str">
        <f>'refer admin discharge'!H46</f>
        <v>00/00/0000</v>
      </c>
      <c r="G45" s="327"/>
      <c r="H45" s="594"/>
      <c r="I45" s="327"/>
      <c r="J45" s="605"/>
      <c r="K45" s="327"/>
      <c r="L45" s="594"/>
      <c r="M45" s="327"/>
      <c r="N45" s="575"/>
      <c r="O45" s="327"/>
      <c r="P45" s="594"/>
      <c r="Q45" s="327"/>
      <c r="R45" s="575"/>
      <c r="S45" s="327"/>
      <c r="T45" s="594"/>
      <c r="U45" s="327"/>
      <c r="V45" s="603" t="str">
        <f>'refer admin discharge'!H46</f>
        <v>00/00/0000</v>
      </c>
      <c r="W45" s="327"/>
      <c r="X45" s="577"/>
      <c r="Y45" s="327"/>
      <c r="Z45" s="604"/>
      <c r="AA45" s="327"/>
      <c r="AB45" s="577"/>
      <c r="AC45" s="327"/>
      <c r="AD45" s="576"/>
      <c r="AE45" s="327"/>
      <c r="AF45" s="577"/>
      <c r="AG45" s="327"/>
      <c r="AH45" s="576"/>
      <c r="AI45" s="327"/>
      <c r="AJ45" s="577"/>
      <c r="AK45" s="327"/>
      <c r="AL45" s="602"/>
      <c r="AM45" s="326"/>
      <c r="AN45" s="326"/>
      <c r="AO45" s="326"/>
      <c r="AP45" s="326"/>
      <c r="AQ45" s="326"/>
      <c r="AR45" s="326"/>
      <c r="AS45" s="326"/>
      <c r="AT45" s="326"/>
      <c r="AU45" s="326"/>
      <c r="AV45" s="326"/>
      <c r="AW45" s="326"/>
      <c r="AX45" s="326"/>
      <c r="AY45" s="326"/>
      <c r="AZ45" s="326"/>
      <c r="BA45" s="326"/>
      <c r="BB45" s="327"/>
    </row>
    <row r="46" spans="1:54" ht="15.75" customHeight="1" x14ac:dyDescent="0.25">
      <c r="A46" s="11">
        <f t="shared" si="0"/>
        <v>33</v>
      </c>
      <c r="B46" s="570" t="str">
        <f>'refer admin discharge'!B47</f>
        <v>x</v>
      </c>
      <c r="C46" s="327"/>
      <c r="D46" s="599" t="str">
        <f>'refer admin discharge'!D47</f>
        <v>xx</v>
      </c>
      <c r="E46" s="327"/>
      <c r="F46" s="600" t="str">
        <f>'refer admin discharge'!H47</f>
        <v>00/00/0000</v>
      </c>
      <c r="G46" s="327"/>
      <c r="H46" s="574"/>
      <c r="I46" s="327"/>
      <c r="J46" s="601"/>
      <c r="K46" s="327"/>
      <c r="L46" s="574"/>
      <c r="M46" s="327"/>
      <c r="N46" s="594"/>
      <c r="O46" s="327"/>
      <c r="P46" s="574"/>
      <c r="Q46" s="327"/>
      <c r="R46" s="594"/>
      <c r="S46" s="327"/>
      <c r="T46" s="574"/>
      <c r="U46" s="327"/>
      <c r="V46" s="595" t="str">
        <f>'refer admin discharge'!H47</f>
        <v>00/00/0000</v>
      </c>
      <c r="W46" s="327"/>
      <c r="X46" s="596"/>
      <c r="Y46" s="327"/>
      <c r="Z46" s="597"/>
      <c r="AA46" s="327"/>
      <c r="AB46" s="596"/>
      <c r="AC46" s="327"/>
      <c r="AD46" s="577"/>
      <c r="AE46" s="327"/>
      <c r="AF46" s="596"/>
      <c r="AG46" s="327"/>
      <c r="AH46" s="577"/>
      <c r="AI46" s="327"/>
      <c r="AJ46" s="596"/>
      <c r="AK46" s="327"/>
      <c r="AL46" s="598"/>
      <c r="AM46" s="326"/>
      <c r="AN46" s="326"/>
      <c r="AO46" s="326"/>
      <c r="AP46" s="326"/>
      <c r="AQ46" s="326"/>
      <c r="AR46" s="326"/>
      <c r="AS46" s="326"/>
      <c r="AT46" s="326"/>
      <c r="AU46" s="326"/>
      <c r="AV46" s="326"/>
      <c r="AW46" s="326"/>
      <c r="AX46" s="326"/>
      <c r="AY46" s="326"/>
      <c r="AZ46" s="326"/>
      <c r="BA46" s="326"/>
      <c r="BB46" s="327"/>
    </row>
    <row r="47" spans="1:54" ht="15.75" customHeight="1" x14ac:dyDescent="0.25">
      <c r="A47" s="11">
        <f t="shared" si="0"/>
        <v>34</v>
      </c>
      <c r="B47" s="504" t="str">
        <f>'refer admin discharge'!B48</f>
        <v>x</v>
      </c>
      <c r="C47" s="327"/>
      <c r="D47" s="505" t="str">
        <f>'refer admin discharge'!D48</f>
        <v>xx</v>
      </c>
      <c r="E47" s="327"/>
      <c r="F47" s="606" t="str">
        <f>'refer admin discharge'!H48</f>
        <v>00/00/0000</v>
      </c>
      <c r="G47" s="327"/>
      <c r="H47" s="594"/>
      <c r="I47" s="327"/>
      <c r="J47" s="605"/>
      <c r="K47" s="327"/>
      <c r="L47" s="594"/>
      <c r="M47" s="327"/>
      <c r="N47" s="575"/>
      <c r="O47" s="327"/>
      <c r="P47" s="594"/>
      <c r="Q47" s="327"/>
      <c r="R47" s="575"/>
      <c r="S47" s="327"/>
      <c r="T47" s="594"/>
      <c r="U47" s="327"/>
      <c r="V47" s="603" t="str">
        <f>'refer admin discharge'!H48</f>
        <v>00/00/0000</v>
      </c>
      <c r="W47" s="327"/>
      <c r="X47" s="577"/>
      <c r="Y47" s="327"/>
      <c r="Z47" s="604"/>
      <c r="AA47" s="327"/>
      <c r="AB47" s="577"/>
      <c r="AC47" s="327"/>
      <c r="AD47" s="576"/>
      <c r="AE47" s="327"/>
      <c r="AF47" s="577"/>
      <c r="AG47" s="327"/>
      <c r="AH47" s="576"/>
      <c r="AI47" s="327"/>
      <c r="AJ47" s="577"/>
      <c r="AK47" s="327"/>
      <c r="AL47" s="602"/>
      <c r="AM47" s="326"/>
      <c r="AN47" s="326"/>
      <c r="AO47" s="326"/>
      <c r="AP47" s="326"/>
      <c r="AQ47" s="326"/>
      <c r="AR47" s="326"/>
      <c r="AS47" s="326"/>
      <c r="AT47" s="326"/>
      <c r="AU47" s="326"/>
      <c r="AV47" s="326"/>
      <c r="AW47" s="326"/>
      <c r="AX47" s="326"/>
      <c r="AY47" s="326"/>
      <c r="AZ47" s="326"/>
      <c r="BA47" s="326"/>
      <c r="BB47" s="327"/>
    </row>
    <row r="48" spans="1:54" ht="15.75" customHeight="1" x14ac:dyDescent="0.25">
      <c r="A48" s="11">
        <f t="shared" si="0"/>
        <v>35</v>
      </c>
      <c r="B48" s="570" t="str">
        <f>'refer admin discharge'!B49</f>
        <v>x</v>
      </c>
      <c r="C48" s="327"/>
      <c r="D48" s="599" t="str">
        <f>'refer admin discharge'!D49</f>
        <v>xx</v>
      </c>
      <c r="E48" s="327"/>
      <c r="F48" s="600" t="str">
        <f>'refer admin discharge'!H49</f>
        <v>00/00/0000</v>
      </c>
      <c r="G48" s="327"/>
      <c r="H48" s="574"/>
      <c r="I48" s="327"/>
      <c r="J48" s="601"/>
      <c r="K48" s="327"/>
      <c r="L48" s="574"/>
      <c r="M48" s="327"/>
      <c r="N48" s="594"/>
      <c r="O48" s="327"/>
      <c r="P48" s="574"/>
      <c r="Q48" s="327"/>
      <c r="R48" s="594"/>
      <c r="S48" s="327"/>
      <c r="T48" s="574"/>
      <c r="U48" s="327"/>
      <c r="V48" s="595" t="str">
        <f>'refer admin discharge'!H49</f>
        <v>00/00/0000</v>
      </c>
      <c r="W48" s="327"/>
      <c r="X48" s="596"/>
      <c r="Y48" s="327"/>
      <c r="Z48" s="597"/>
      <c r="AA48" s="327"/>
      <c r="AB48" s="596"/>
      <c r="AC48" s="327"/>
      <c r="AD48" s="577"/>
      <c r="AE48" s="327"/>
      <c r="AF48" s="596"/>
      <c r="AG48" s="327"/>
      <c r="AH48" s="577"/>
      <c r="AI48" s="327"/>
      <c r="AJ48" s="596"/>
      <c r="AK48" s="327"/>
      <c r="AL48" s="598"/>
      <c r="AM48" s="326"/>
      <c r="AN48" s="326"/>
      <c r="AO48" s="326"/>
      <c r="AP48" s="326"/>
      <c r="AQ48" s="326"/>
      <c r="AR48" s="326"/>
      <c r="AS48" s="326"/>
      <c r="AT48" s="326"/>
      <c r="AU48" s="326"/>
      <c r="AV48" s="326"/>
      <c r="AW48" s="326"/>
      <c r="AX48" s="326"/>
      <c r="AY48" s="326"/>
      <c r="AZ48" s="326"/>
      <c r="BA48" s="326"/>
      <c r="BB48" s="327"/>
    </row>
    <row r="49" spans="1:54" ht="15.75" customHeight="1" x14ac:dyDescent="0.25">
      <c r="A49" s="11">
        <f t="shared" si="0"/>
        <v>36</v>
      </c>
      <c r="B49" s="504" t="str">
        <f>'refer admin discharge'!B50</f>
        <v>x</v>
      </c>
      <c r="C49" s="327"/>
      <c r="D49" s="505" t="str">
        <f>'refer admin discharge'!D50</f>
        <v>xx</v>
      </c>
      <c r="E49" s="327"/>
      <c r="F49" s="606" t="str">
        <f>'refer admin discharge'!H50</f>
        <v>00/00/0000</v>
      </c>
      <c r="G49" s="327"/>
      <c r="H49" s="594"/>
      <c r="I49" s="327"/>
      <c r="J49" s="605"/>
      <c r="K49" s="327"/>
      <c r="L49" s="594"/>
      <c r="M49" s="327"/>
      <c r="N49" s="575"/>
      <c r="O49" s="327"/>
      <c r="P49" s="594"/>
      <c r="Q49" s="327"/>
      <c r="R49" s="575"/>
      <c r="S49" s="327"/>
      <c r="T49" s="594"/>
      <c r="U49" s="327"/>
      <c r="V49" s="603" t="str">
        <f>'refer admin discharge'!H50</f>
        <v>00/00/0000</v>
      </c>
      <c r="W49" s="327"/>
      <c r="X49" s="577"/>
      <c r="Y49" s="327"/>
      <c r="Z49" s="604"/>
      <c r="AA49" s="327"/>
      <c r="AB49" s="577"/>
      <c r="AC49" s="327"/>
      <c r="AD49" s="576"/>
      <c r="AE49" s="327"/>
      <c r="AF49" s="577"/>
      <c r="AG49" s="327"/>
      <c r="AH49" s="576"/>
      <c r="AI49" s="327"/>
      <c r="AJ49" s="577"/>
      <c r="AK49" s="327"/>
      <c r="AL49" s="602"/>
      <c r="AM49" s="326"/>
      <c r="AN49" s="326"/>
      <c r="AO49" s="326"/>
      <c r="AP49" s="326"/>
      <c r="AQ49" s="326"/>
      <c r="AR49" s="326"/>
      <c r="AS49" s="326"/>
      <c r="AT49" s="326"/>
      <c r="AU49" s="326"/>
      <c r="AV49" s="326"/>
      <c r="AW49" s="326"/>
      <c r="AX49" s="326"/>
      <c r="AY49" s="326"/>
      <c r="AZ49" s="326"/>
      <c r="BA49" s="326"/>
      <c r="BB49" s="327"/>
    </row>
    <row r="50" spans="1:54" ht="15.75" customHeight="1" x14ac:dyDescent="0.25">
      <c r="A50" s="11">
        <f t="shared" si="0"/>
        <v>37</v>
      </c>
      <c r="B50" s="570" t="str">
        <f>'refer admin discharge'!B51</f>
        <v>x</v>
      </c>
      <c r="C50" s="327"/>
      <c r="D50" s="599" t="str">
        <f>'refer admin discharge'!D51</f>
        <v>xx</v>
      </c>
      <c r="E50" s="327"/>
      <c r="F50" s="600" t="str">
        <f>'refer admin discharge'!H51</f>
        <v>00/00/0000</v>
      </c>
      <c r="G50" s="327"/>
      <c r="H50" s="574"/>
      <c r="I50" s="327"/>
      <c r="J50" s="601"/>
      <c r="K50" s="327"/>
      <c r="L50" s="574"/>
      <c r="M50" s="327"/>
      <c r="N50" s="594"/>
      <c r="O50" s="327"/>
      <c r="P50" s="574"/>
      <c r="Q50" s="327"/>
      <c r="R50" s="594"/>
      <c r="S50" s="327"/>
      <c r="T50" s="574"/>
      <c r="U50" s="327"/>
      <c r="V50" s="595" t="str">
        <f>'refer admin discharge'!H51</f>
        <v>00/00/0000</v>
      </c>
      <c r="W50" s="327"/>
      <c r="X50" s="596"/>
      <c r="Y50" s="327"/>
      <c r="Z50" s="597"/>
      <c r="AA50" s="327"/>
      <c r="AB50" s="596"/>
      <c r="AC50" s="327"/>
      <c r="AD50" s="577"/>
      <c r="AE50" s="327"/>
      <c r="AF50" s="596"/>
      <c r="AG50" s="327"/>
      <c r="AH50" s="577"/>
      <c r="AI50" s="327"/>
      <c r="AJ50" s="596"/>
      <c r="AK50" s="327"/>
      <c r="AL50" s="598"/>
      <c r="AM50" s="326"/>
      <c r="AN50" s="326"/>
      <c r="AO50" s="326"/>
      <c r="AP50" s="326"/>
      <c r="AQ50" s="326"/>
      <c r="AR50" s="326"/>
      <c r="AS50" s="326"/>
      <c r="AT50" s="326"/>
      <c r="AU50" s="326"/>
      <c r="AV50" s="326"/>
      <c r="AW50" s="326"/>
      <c r="AX50" s="326"/>
      <c r="AY50" s="326"/>
      <c r="AZ50" s="326"/>
      <c r="BA50" s="326"/>
      <c r="BB50" s="327"/>
    </row>
    <row r="51" spans="1:54" ht="15.75" customHeight="1" x14ac:dyDescent="0.25">
      <c r="A51" s="11">
        <f t="shared" si="0"/>
        <v>38</v>
      </c>
      <c r="B51" s="504" t="str">
        <f>'refer admin discharge'!B52</f>
        <v>x</v>
      </c>
      <c r="C51" s="327"/>
      <c r="D51" s="505" t="str">
        <f>'refer admin discharge'!D52</f>
        <v>xx</v>
      </c>
      <c r="E51" s="327"/>
      <c r="F51" s="606" t="str">
        <f>'refer admin discharge'!H52</f>
        <v>00/00/0000</v>
      </c>
      <c r="G51" s="327"/>
      <c r="H51" s="594"/>
      <c r="I51" s="327"/>
      <c r="J51" s="605"/>
      <c r="K51" s="327"/>
      <c r="L51" s="594"/>
      <c r="M51" s="327"/>
      <c r="N51" s="575"/>
      <c r="O51" s="327"/>
      <c r="P51" s="594"/>
      <c r="Q51" s="327"/>
      <c r="R51" s="575"/>
      <c r="S51" s="327"/>
      <c r="T51" s="594"/>
      <c r="U51" s="327"/>
      <c r="V51" s="603" t="str">
        <f>'refer admin discharge'!H52</f>
        <v>00/00/0000</v>
      </c>
      <c r="W51" s="327"/>
      <c r="X51" s="577"/>
      <c r="Y51" s="327"/>
      <c r="Z51" s="604"/>
      <c r="AA51" s="327"/>
      <c r="AB51" s="577"/>
      <c r="AC51" s="327"/>
      <c r="AD51" s="576"/>
      <c r="AE51" s="327"/>
      <c r="AF51" s="577"/>
      <c r="AG51" s="327"/>
      <c r="AH51" s="576"/>
      <c r="AI51" s="327"/>
      <c r="AJ51" s="577"/>
      <c r="AK51" s="327"/>
      <c r="AL51" s="602"/>
      <c r="AM51" s="326"/>
      <c r="AN51" s="326"/>
      <c r="AO51" s="326"/>
      <c r="AP51" s="326"/>
      <c r="AQ51" s="326"/>
      <c r="AR51" s="326"/>
      <c r="AS51" s="326"/>
      <c r="AT51" s="326"/>
      <c r="AU51" s="326"/>
      <c r="AV51" s="326"/>
      <c r="AW51" s="326"/>
      <c r="AX51" s="326"/>
      <c r="AY51" s="326"/>
      <c r="AZ51" s="326"/>
      <c r="BA51" s="326"/>
      <c r="BB51" s="327"/>
    </row>
    <row r="52" spans="1:54" ht="15.75" customHeight="1" x14ac:dyDescent="0.25">
      <c r="A52" s="11">
        <f t="shared" si="0"/>
        <v>39</v>
      </c>
      <c r="B52" s="570" t="str">
        <f>'refer admin discharge'!B53</f>
        <v>x</v>
      </c>
      <c r="C52" s="327"/>
      <c r="D52" s="599" t="str">
        <f>'refer admin discharge'!D53</f>
        <v>xx</v>
      </c>
      <c r="E52" s="327"/>
      <c r="F52" s="600" t="str">
        <f>'refer admin discharge'!H53</f>
        <v>00/00/0000</v>
      </c>
      <c r="G52" s="327"/>
      <c r="H52" s="574"/>
      <c r="I52" s="327"/>
      <c r="J52" s="601"/>
      <c r="K52" s="327"/>
      <c r="L52" s="574"/>
      <c r="M52" s="327"/>
      <c r="N52" s="594"/>
      <c r="O52" s="327"/>
      <c r="P52" s="574"/>
      <c r="Q52" s="327"/>
      <c r="R52" s="594"/>
      <c r="S52" s="327"/>
      <c r="T52" s="574"/>
      <c r="U52" s="327"/>
      <c r="V52" s="595" t="str">
        <f>'refer admin discharge'!H53</f>
        <v>00/00/0000</v>
      </c>
      <c r="W52" s="327"/>
      <c r="X52" s="596"/>
      <c r="Y52" s="327"/>
      <c r="Z52" s="597"/>
      <c r="AA52" s="327"/>
      <c r="AB52" s="596"/>
      <c r="AC52" s="327"/>
      <c r="AD52" s="577"/>
      <c r="AE52" s="327"/>
      <c r="AF52" s="596"/>
      <c r="AG52" s="327"/>
      <c r="AH52" s="577"/>
      <c r="AI52" s="327"/>
      <c r="AJ52" s="596"/>
      <c r="AK52" s="327"/>
      <c r="AL52" s="598"/>
      <c r="AM52" s="326"/>
      <c r="AN52" s="326"/>
      <c r="AO52" s="326"/>
      <c r="AP52" s="326"/>
      <c r="AQ52" s="326"/>
      <c r="AR52" s="326"/>
      <c r="AS52" s="326"/>
      <c r="AT52" s="326"/>
      <c r="AU52" s="326"/>
      <c r="AV52" s="326"/>
      <c r="AW52" s="326"/>
      <c r="AX52" s="326"/>
      <c r="AY52" s="326"/>
      <c r="AZ52" s="326"/>
      <c r="BA52" s="326"/>
      <c r="BB52" s="327"/>
    </row>
    <row r="53" spans="1:54" ht="15.75" customHeight="1" x14ac:dyDescent="0.25">
      <c r="A53" s="11">
        <f t="shared" si="0"/>
        <v>40</v>
      </c>
      <c r="B53" s="504" t="str">
        <f>'refer admin discharge'!B54</f>
        <v>x</v>
      </c>
      <c r="C53" s="327"/>
      <c r="D53" s="505" t="str">
        <f>'refer admin discharge'!D54</f>
        <v>xx</v>
      </c>
      <c r="E53" s="327"/>
      <c r="F53" s="606" t="str">
        <f>'refer admin discharge'!H54</f>
        <v>00/00/0000</v>
      </c>
      <c r="G53" s="327"/>
      <c r="H53" s="594"/>
      <c r="I53" s="327"/>
      <c r="J53" s="605"/>
      <c r="K53" s="327"/>
      <c r="L53" s="594"/>
      <c r="M53" s="327"/>
      <c r="N53" s="575"/>
      <c r="O53" s="327"/>
      <c r="P53" s="594"/>
      <c r="Q53" s="327"/>
      <c r="R53" s="575"/>
      <c r="S53" s="327"/>
      <c r="T53" s="594"/>
      <c r="U53" s="327"/>
      <c r="V53" s="603" t="str">
        <f>'refer admin discharge'!H54</f>
        <v>00/00/0000</v>
      </c>
      <c r="W53" s="327"/>
      <c r="X53" s="577"/>
      <c r="Y53" s="327"/>
      <c r="Z53" s="604"/>
      <c r="AA53" s="327"/>
      <c r="AB53" s="577"/>
      <c r="AC53" s="327"/>
      <c r="AD53" s="576"/>
      <c r="AE53" s="327"/>
      <c r="AF53" s="577"/>
      <c r="AG53" s="327"/>
      <c r="AH53" s="576"/>
      <c r="AI53" s="327"/>
      <c r="AJ53" s="577"/>
      <c r="AK53" s="327"/>
      <c r="AL53" s="602"/>
      <c r="AM53" s="326"/>
      <c r="AN53" s="326"/>
      <c r="AO53" s="326"/>
      <c r="AP53" s="326"/>
      <c r="AQ53" s="326"/>
      <c r="AR53" s="326"/>
      <c r="AS53" s="326"/>
      <c r="AT53" s="326"/>
      <c r="AU53" s="326"/>
      <c r="AV53" s="326"/>
      <c r="AW53" s="326"/>
      <c r="AX53" s="326"/>
      <c r="AY53" s="326"/>
      <c r="AZ53" s="326"/>
      <c r="BA53" s="326"/>
      <c r="BB53" s="327"/>
    </row>
    <row r="54" spans="1:54" ht="15.75" customHeight="1" x14ac:dyDescent="0.25">
      <c r="A54" s="11">
        <f t="shared" si="0"/>
        <v>41</v>
      </c>
      <c r="B54" s="570" t="str">
        <f>'refer admin discharge'!B55</f>
        <v>x</v>
      </c>
      <c r="C54" s="327"/>
      <c r="D54" s="599" t="str">
        <f>'refer admin discharge'!D55</f>
        <v>xx</v>
      </c>
      <c r="E54" s="327"/>
      <c r="F54" s="600" t="str">
        <f>'refer admin discharge'!H55</f>
        <v>00/00/0000</v>
      </c>
      <c r="G54" s="327"/>
      <c r="H54" s="574"/>
      <c r="I54" s="327"/>
      <c r="J54" s="601"/>
      <c r="K54" s="327"/>
      <c r="L54" s="574"/>
      <c r="M54" s="327"/>
      <c r="N54" s="594"/>
      <c r="O54" s="327"/>
      <c r="P54" s="574"/>
      <c r="Q54" s="327"/>
      <c r="R54" s="594"/>
      <c r="S54" s="327"/>
      <c r="T54" s="574"/>
      <c r="U54" s="327"/>
      <c r="V54" s="595" t="str">
        <f>'refer admin discharge'!H55</f>
        <v>00/00/0000</v>
      </c>
      <c r="W54" s="327"/>
      <c r="X54" s="596"/>
      <c r="Y54" s="327"/>
      <c r="Z54" s="597"/>
      <c r="AA54" s="327"/>
      <c r="AB54" s="596"/>
      <c r="AC54" s="327"/>
      <c r="AD54" s="577"/>
      <c r="AE54" s="327"/>
      <c r="AF54" s="596"/>
      <c r="AG54" s="327"/>
      <c r="AH54" s="577"/>
      <c r="AI54" s="327"/>
      <c r="AJ54" s="596"/>
      <c r="AK54" s="327"/>
      <c r="AL54" s="598"/>
      <c r="AM54" s="326"/>
      <c r="AN54" s="326"/>
      <c r="AO54" s="326"/>
      <c r="AP54" s="326"/>
      <c r="AQ54" s="326"/>
      <c r="AR54" s="326"/>
      <c r="AS54" s="326"/>
      <c r="AT54" s="326"/>
      <c r="AU54" s="326"/>
      <c r="AV54" s="326"/>
      <c r="AW54" s="326"/>
      <c r="AX54" s="326"/>
      <c r="AY54" s="326"/>
      <c r="AZ54" s="326"/>
      <c r="BA54" s="326"/>
      <c r="BB54" s="327"/>
    </row>
    <row r="55" spans="1:54" ht="15.75" customHeight="1" x14ac:dyDescent="0.25">
      <c r="A55" s="11">
        <f t="shared" si="0"/>
        <v>42</v>
      </c>
      <c r="B55" s="504" t="str">
        <f>'refer admin discharge'!B56</f>
        <v>x</v>
      </c>
      <c r="C55" s="327"/>
      <c r="D55" s="505" t="str">
        <f>'refer admin discharge'!D56</f>
        <v>xx</v>
      </c>
      <c r="E55" s="327"/>
      <c r="F55" s="606" t="str">
        <f>'refer admin discharge'!H56</f>
        <v>00/00/0000</v>
      </c>
      <c r="G55" s="327"/>
      <c r="H55" s="594"/>
      <c r="I55" s="327"/>
      <c r="J55" s="605"/>
      <c r="K55" s="327"/>
      <c r="L55" s="594"/>
      <c r="M55" s="327"/>
      <c r="N55" s="575"/>
      <c r="O55" s="327"/>
      <c r="P55" s="594"/>
      <c r="Q55" s="327"/>
      <c r="R55" s="575"/>
      <c r="S55" s="327"/>
      <c r="T55" s="594"/>
      <c r="U55" s="327"/>
      <c r="V55" s="603" t="str">
        <f>'refer admin discharge'!H56</f>
        <v>00/00/0000</v>
      </c>
      <c r="W55" s="327"/>
      <c r="X55" s="577"/>
      <c r="Y55" s="327"/>
      <c r="Z55" s="604"/>
      <c r="AA55" s="327"/>
      <c r="AB55" s="577"/>
      <c r="AC55" s="327"/>
      <c r="AD55" s="576"/>
      <c r="AE55" s="327"/>
      <c r="AF55" s="577"/>
      <c r="AG55" s="327"/>
      <c r="AH55" s="576"/>
      <c r="AI55" s="327"/>
      <c r="AJ55" s="577"/>
      <c r="AK55" s="327"/>
      <c r="AL55" s="602"/>
      <c r="AM55" s="326"/>
      <c r="AN55" s="326"/>
      <c r="AO55" s="326"/>
      <c r="AP55" s="326"/>
      <c r="AQ55" s="326"/>
      <c r="AR55" s="326"/>
      <c r="AS55" s="326"/>
      <c r="AT55" s="326"/>
      <c r="AU55" s="326"/>
      <c r="AV55" s="326"/>
      <c r="AW55" s="326"/>
      <c r="AX55" s="326"/>
      <c r="AY55" s="326"/>
      <c r="AZ55" s="326"/>
      <c r="BA55" s="326"/>
      <c r="BB55" s="327"/>
    </row>
    <row r="56" spans="1:54" ht="15.75" customHeight="1" x14ac:dyDescent="0.25">
      <c r="A56" s="11">
        <f t="shared" si="0"/>
        <v>43</v>
      </c>
      <c r="B56" s="570" t="str">
        <f>'refer admin discharge'!B57</f>
        <v>x</v>
      </c>
      <c r="C56" s="327"/>
      <c r="D56" s="599" t="str">
        <f>'refer admin discharge'!D57</f>
        <v>xx</v>
      </c>
      <c r="E56" s="327"/>
      <c r="F56" s="600" t="str">
        <f>'refer admin discharge'!H57</f>
        <v>00/00/0000</v>
      </c>
      <c r="G56" s="327"/>
      <c r="H56" s="574"/>
      <c r="I56" s="327"/>
      <c r="J56" s="601"/>
      <c r="K56" s="327"/>
      <c r="L56" s="574"/>
      <c r="M56" s="327"/>
      <c r="N56" s="594"/>
      <c r="O56" s="327"/>
      <c r="P56" s="574"/>
      <c r="Q56" s="327"/>
      <c r="R56" s="594"/>
      <c r="S56" s="327"/>
      <c r="T56" s="574"/>
      <c r="U56" s="327"/>
      <c r="V56" s="595" t="str">
        <f>'refer admin discharge'!H57</f>
        <v>00/00/0000</v>
      </c>
      <c r="W56" s="327"/>
      <c r="X56" s="596"/>
      <c r="Y56" s="327"/>
      <c r="Z56" s="597"/>
      <c r="AA56" s="327"/>
      <c r="AB56" s="596"/>
      <c r="AC56" s="327"/>
      <c r="AD56" s="577"/>
      <c r="AE56" s="327"/>
      <c r="AF56" s="596"/>
      <c r="AG56" s="327"/>
      <c r="AH56" s="577"/>
      <c r="AI56" s="327"/>
      <c r="AJ56" s="596"/>
      <c r="AK56" s="327"/>
      <c r="AL56" s="598"/>
      <c r="AM56" s="326"/>
      <c r="AN56" s="326"/>
      <c r="AO56" s="326"/>
      <c r="AP56" s="326"/>
      <c r="AQ56" s="326"/>
      <c r="AR56" s="326"/>
      <c r="AS56" s="326"/>
      <c r="AT56" s="326"/>
      <c r="AU56" s="326"/>
      <c r="AV56" s="326"/>
      <c r="AW56" s="326"/>
      <c r="AX56" s="326"/>
      <c r="AY56" s="326"/>
      <c r="AZ56" s="326"/>
      <c r="BA56" s="326"/>
      <c r="BB56" s="327"/>
    </row>
    <row r="57" spans="1:54" ht="15.75" customHeight="1" x14ac:dyDescent="0.25">
      <c r="A57" s="11">
        <f t="shared" si="0"/>
        <v>44</v>
      </c>
      <c r="B57" s="504" t="str">
        <f>'refer admin discharge'!B58</f>
        <v>x</v>
      </c>
      <c r="C57" s="327"/>
      <c r="D57" s="505" t="str">
        <f>'refer admin discharge'!D58</f>
        <v>xx</v>
      </c>
      <c r="E57" s="327"/>
      <c r="F57" s="606" t="str">
        <f>'refer admin discharge'!H58</f>
        <v>00/00/0000</v>
      </c>
      <c r="G57" s="327"/>
      <c r="H57" s="594"/>
      <c r="I57" s="327"/>
      <c r="J57" s="605"/>
      <c r="K57" s="327"/>
      <c r="L57" s="594"/>
      <c r="M57" s="327"/>
      <c r="N57" s="575"/>
      <c r="O57" s="327"/>
      <c r="P57" s="594"/>
      <c r="Q57" s="327"/>
      <c r="R57" s="575"/>
      <c r="S57" s="327"/>
      <c r="T57" s="594"/>
      <c r="U57" s="327"/>
      <c r="V57" s="603" t="str">
        <f>'refer admin discharge'!H58</f>
        <v>00/00/0000</v>
      </c>
      <c r="W57" s="327"/>
      <c r="X57" s="577"/>
      <c r="Y57" s="327"/>
      <c r="Z57" s="604"/>
      <c r="AA57" s="327"/>
      <c r="AB57" s="577"/>
      <c r="AC57" s="327"/>
      <c r="AD57" s="576"/>
      <c r="AE57" s="327"/>
      <c r="AF57" s="577"/>
      <c r="AG57" s="327"/>
      <c r="AH57" s="576"/>
      <c r="AI57" s="327"/>
      <c r="AJ57" s="577"/>
      <c r="AK57" s="327"/>
      <c r="AL57" s="602"/>
      <c r="AM57" s="326"/>
      <c r="AN57" s="326"/>
      <c r="AO57" s="326"/>
      <c r="AP57" s="326"/>
      <c r="AQ57" s="326"/>
      <c r="AR57" s="326"/>
      <c r="AS57" s="326"/>
      <c r="AT57" s="326"/>
      <c r="AU57" s="326"/>
      <c r="AV57" s="326"/>
      <c r="AW57" s="326"/>
      <c r="AX57" s="326"/>
      <c r="AY57" s="326"/>
      <c r="AZ57" s="326"/>
      <c r="BA57" s="326"/>
      <c r="BB57" s="327"/>
    </row>
    <row r="58" spans="1:54" ht="15.75" customHeight="1" x14ac:dyDescent="0.25">
      <c r="A58" s="11">
        <f t="shared" si="0"/>
        <v>45</v>
      </c>
      <c r="B58" s="570" t="str">
        <f>'refer admin discharge'!B59</f>
        <v>x</v>
      </c>
      <c r="C58" s="327"/>
      <c r="D58" s="599" t="str">
        <f>'refer admin discharge'!D59</f>
        <v>xx</v>
      </c>
      <c r="E58" s="327"/>
      <c r="F58" s="600" t="str">
        <f>'refer admin discharge'!H59</f>
        <v>00/00/0000</v>
      </c>
      <c r="G58" s="327"/>
      <c r="H58" s="574"/>
      <c r="I58" s="327"/>
      <c r="J58" s="601"/>
      <c r="K58" s="327"/>
      <c r="L58" s="574"/>
      <c r="M58" s="327"/>
      <c r="N58" s="594"/>
      <c r="O58" s="327"/>
      <c r="P58" s="574"/>
      <c r="Q58" s="327"/>
      <c r="R58" s="594"/>
      <c r="S58" s="327"/>
      <c r="T58" s="574"/>
      <c r="U58" s="327"/>
      <c r="V58" s="595" t="str">
        <f>'refer admin discharge'!H59</f>
        <v>00/00/0000</v>
      </c>
      <c r="W58" s="327"/>
      <c r="X58" s="596"/>
      <c r="Y58" s="327"/>
      <c r="Z58" s="597"/>
      <c r="AA58" s="327"/>
      <c r="AB58" s="596"/>
      <c r="AC58" s="327"/>
      <c r="AD58" s="577"/>
      <c r="AE58" s="327"/>
      <c r="AF58" s="596"/>
      <c r="AG58" s="327"/>
      <c r="AH58" s="577"/>
      <c r="AI58" s="327"/>
      <c r="AJ58" s="596"/>
      <c r="AK58" s="327"/>
      <c r="AL58" s="598"/>
      <c r="AM58" s="326"/>
      <c r="AN58" s="326"/>
      <c r="AO58" s="326"/>
      <c r="AP58" s="326"/>
      <c r="AQ58" s="326"/>
      <c r="AR58" s="326"/>
      <c r="AS58" s="326"/>
      <c r="AT58" s="326"/>
      <c r="AU58" s="326"/>
      <c r="AV58" s="326"/>
      <c r="AW58" s="326"/>
      <c r="AX58" s="326"/>
      <c r="AY58" s="326"/>
      <c r="AZ58" s="326"/>
      <c r="BA58" s="326"/>
      <c r="BB58" s="327"/>
    </row>
    <row r="59" spans="1:54" ht="15.75" customHeight="1" x14ac:dyDescent="0.25">
      <c r="A59" s="11">
        <f t="shared" si="0"/>
        <v>46</v>
      </c>
      <c r="B59" s="504" t="str">
        <f>'refer admin discharge'!B60</f>
        <v>x</v>
      </c>
      <c r="C59" s="327"/>
      <c r="D59" s="505" t="str">
        <f>'refer admin discharge'!D60</f>
        <v>xx</v>
      </c>
      <c r="E59" s="327"/>
      <c r="F59" s="606" t="str">
        <f>'refer admin discharge'!H60</f>
        <v>00/00/0000</v>
      </c>
      <c r="G59" s="327"/>
      <c r="H59" s="594"/>
      <c r="I59" s="327"/>
      <c r="J59" s="605"/>
      <c r="K59" s="327"/>
      <c r="L59" s="594"/>
      <c r="M59" s="327"/>
      <c r="N59" s="575"/>
      <c r="O59" s="327"/>
      <c r="P59" s="594"/>
      <c r="Q59" s="327"/>
      <c r="R59" s="575"/>
      <c r="S59" s="327"/>
      <c r="T59" s="594"/>
      <c r="U59" s="327"/>
      <c r="V59" s="603" t="str">
        <f>'refer admin discharge'!H60</f>
        <v>00/00/0000</v>
      </c>
      <c r="W59" s="327"/>
      <c r="X59" s="577"/>
      <c r="Y59" s="327"/>
      <c r="Z59" s="604"/>
      <c r="AA59" s="327"/>
      <c r="AB59" s="577"/>
      <c r="AC59" s="327"/>
      <c r="AD59" s="576"/>
      <c r="AE59" s="327"/>
      <c r="AF59" s="577"/>
      <c r="AG59" s="327"/>
      <c r="AH59" s="576"/>
      <c r="AI59" s="327"/>
      <c r="AJ59" s="577"/>
      <c r="AK59" s="327"/>
      <c r="AL59" s="602"/>
      <c r="AM59" s="326"/>
      <c r="AN59" s="326"/>
      <c r="AO59" s="326"/>
      <c r="AP59" s="326"/>
      <c r="AQ59" s="326"/>
      <c r="AR59" s="326"/>
      <c r="AS59" s="326"/>
      <c r="AT59" s="326"/>
      <c r="AU59" s="326"/>
      <c r="AV59" s="326"/>
      <c r="AW59" s="326"/>
      <c r="AX59" s="326"/>
      <c r="AY59" s="326"/>
      <c r="AZ59" s="326"/>
      <c r="BA59" s="326"/>
      <c r="BB59" s="327"/>
    </row>
    <row r="60" spans="1:54" ht="15.75" customHeight="1" x14ac:dyDescent="0.25">
      <c r="A60" s="11">
        <f t="shared" si="0"/>
        <v>47</v>
      </c>
      <c r="B60" s="570" t="str">
        <f>'refer admin discharge'!B61</f>
        <v>x</v>
      </c>
      <c r="C60" s="327"/>
      <c r="D60" s="599" t="str">
        <f>'refer admin discharge'!D61</f>
        <v>xx</v>
      </c>
      <c r="E60" s="327"/>
      <c r="F60" s="600" t="str">
        <f>'refer admin discharge'!H61</f>
        <v>00/00/0000</v>
      </c>
      <c r="G60" s="327"/>
      <c r="H60" s="574"/>
      <c r="I60" s="327"/>
      <c r="J60" s="601"/>
      <c r="K60" s="327"/>
      <c r="L60" s="574"/>
      <c r="M60" s="327"/>
      <c r="N60" s="594"/>
      <c r="O60" s="327"/>
      <c r="P60" s="574"/>
      <c r="Q60" s="327"/>
      <c r="R60" s="594"/>
      <c r="S60" s="327"/>
      <c r="T60" s="574"/>
      <c r="U60" s="327"/>
      <c r="V60" s="595" t="str">
        <f>'refer admin discharge'!H61</f>
        <v>00/00/0000</v>
      </c>
      <c r="W60" s="327"/>
      <c r="X60" s="596"/>
      <c r="Y60" s="327"/>
      <c r="Z60" s="597"/>
      <c r="AA60" s="327"/>
      <c r="AB60" s="596"/>
      <c r="AC60" s="327"/>
      <c r="AD60" s="577"/>
      <c r="AE60" s="327"/>
      <c r="AF60" s="596"/>
      <c r="AG60" s="327"/>
      <c r="AH60" s="577"/>
      <c r="AI60" s="327"/>
      <c r="AJ60" s="596"/>
      <c r="AK60" s="327"/>
      <c r="AL60" s="598"/>
      <c r="AM60" s="326"/>
      <c r="AN60" s="326"/>
      <c r="AO60" s="326"/>
      <c r="AP60" s="326"/>
      <c r="AQ60" s="326"/>
      <c r="AR60" s="326"/>
      <c r="AS60" s="326"/>
      <c r="AT60" s="326"/>
      <c r="AU60" s="326"/>
      <c r="AV60" s="326"/>
      <c r="AW60" s="326"/>
      <c r="AX60" s="326"/>
      <c r="AY60" s="326"/>
      <c r="AZ60" s="326"/>
      <c r="BA60" s="326"/>
      <c r="BB60" s="327"/>
    </row>
    <row r="61" spans="1:54" ht="15.75" customHeight="1" x14ac:dyDescent="0.25">
      <c r="A61" s="11">
        <f t="shared" si="0"/>
        <v>48</v>
      </c>
      <c r="B61" s="504" t="str">
        <f>'refer admin discharge'!B62</f>
        <v>x</v>
      </c>
      <c r="C61" s="327"/>
      <c r="D61" s="505" t="str">
        <f>'refer admin discharge'!D62</f>
        <v>xx</v>
      </c>
      <c r="E61" s="327"/>
      <c r="F61" s="606" t="str">
        <f>'refer admin discharge'!H62</f>
        <v>00/00/0000</v>
      </c>
      <c r="G61" s="327"/>
      <c r="H61" s="594"/>
      <c r="I61" s="327"/>
      <c r="J61" s="605"/>
      <c r="K61" s="327"/>
      <c r="L61" s="594"/>
      <c r="M61" s="327"/>
      <c r="N61" s="575"/>
      <c r="O61" s="327"/>
      <c r="P61" s="594"/>
      <c r="Q61" s="327"/>
      <c r="R61" s="575"/>
      <c r="S61" s="327"/>
      <c r="T61" s="594"/>
      <c r="U61" s="327"/>
      <c r="V61" s="603" t="str">
        <f>'refer admin discharge'!H62</f>
        <v>00/00/0000</v>
      </c>
      <c r="W61" s="327"/>
      <c r="X61" s="577"/>
      <c r="Y61" s="327"/>
      <c r="Z61" s="604"/>
      <c r="AA61" s="327"/>
      <c r="AB61" s="577"/>
      <c r="AC61" s="327"/>
      <c r="AD61" s="576"/>
      <c r="AE61" s="327"/>
      <c r="AF61" s="577"/>
      <c r="AG61" s="327"/>
      <c r="AH61" s="576"/>
      <c r="AI61" s="327"/>
      <c r="AJ61" s="577"/>
      <c r="AK61" s="327"/>
      <c r="AL61" s="602"/>
      <c r="AM61" s="326"/>
      <c r="AN61" s="326"/>
      <c r="AO61" s="326"/>
      <c r="AP61" s="326"/>
      <c r="AQ61" s="326"/>
      <c r="AR61" s="326"/>
      <c r="AS61" s="326"/>
      <c r="AT61" s="326"/>
      <c r="AU61" s="326"/>
      <c r="AV61" s="326"/>
      <c r="AW61" s="326"/>
      <c r="AX61" s="326"/>
      <c r="AY61" s="326"/>
      <c r="AZ61" s="326"/>
      <c r="BA61" s="326"/>
      <c r="BB61" s="327"/>
    </row>
    <row r="62" spans="1:54" ht="15.75" customHeight="1" x14ac:dyDescent="0.25">
      <c r="A62" s="11">
        <f t="shared" si="0"/>
        <v>49</v>
      </c>
      <c r="B62" s="570" t="str">
        <f>'refer admin discharge'!B63</f>
        <v>x</v>
      </c>
      <c r="C62" s="327"/>
      <c r="D62" s="599" t="str">
        <f>'refer admin discharge'!D63</f>
        <v>xx</v>
      </c>
      <c r="E62" s="327"/>
      <c r="F62" s="600" t="str">
        <f>'refer admin discharge'!H63</f>
        <v>00/00/0000</v>
      </c>
      <c r="G62" s="327"/>
      <c r="H62" s="574"/>
      <c r="I62" s="327"/>
      <c r="J62" s="601"/>
      <c r="K62" s="327"/>
      <c r="L62" s="574"/>
      <c r="M62" s="327"/>
      <c r="N62" s="594"/>
      <c r="O62" s="327"/>
      <c r="P62" s="574"/>
      <c r="Q62" s="327"/>
      <c r="R62" s="594"/>
      <c r="S62" s="327"/>
      <c r="T62" s="574"/>
      <c r="U62" s="327"/>
      <c r="V62" s="595" t="str">
        <f>'refer admin discharge'!H63</f>
        <v>00/00/0000</v>
      </c>
      <c r="W62" s="327"/>
      <c r="X62" s="596"/>
      <c r="Y62" s="327"/>
      <c r="Z62" s="597"/>
      <c r="AA62" s="327"/>
      <c r="AB62" s="596"/>
      <c r="AC62" s="327"/>
      <c r="AD62" s="577"/>
      <c r="AE62" s="327"/>
      <c r="AF62" s="596"/>
      <c r="AG62" s="327"/>
      <c r="AH62" s="577"/>
      <c r="AI62" s="327"/>
      <c r="AJ62" s="596"/>
      <c r="AK62" s="327"/>
      <c r="AL62" s="598"/>
      <c r="AM62" s="326"/>
      <c r="AN62" s="326"/>
      <c r="AO62" s="326"/>
      <c r="AP62" s="326"/>
      <c r="AQ62" s="326"/>
      <c r="AR62" s="326"/>
      <c r="AS62" s="326"/>
      <c r="AT62" s="326"/>
      <c r="AU62" s="326"/>
      <c r="AV62" s="326"/>
      <c r="AW62" s="326"/>
      <c r="AX62" s="326"/>
      <c r="AY62" s="326"/>
      <c r="AZ62" s="326"/>
      <c r="BA62" s="326"/>
      <c r="BB62" s="327"/>
    </row>
    <row r="63" spans="1:54" ht="15.75" customHeight="1" x14ac:dyDescent="0.25">
      <c r="A63" s="11">
        <f t="shared" si="0"/>
        <v>50</v>
      </c>
      <c r="B63" s="504" t="str">
        <f>'refer admin discharge'!B64</f>
        <v>x</v>
      </c>
      <c r="C63" s="327"/>
      <c r="D63" s="505" t="str">
        <f>'refer admin discharge'!D64</f>
        <v>xx</v>
      </c>
      <c r="E63" s="327"/>
      <c r="F63" s="606" t="str">
        <f>'refer admin discharge'!H64</f>
        <v>00/00/0000</v>
      </c>
      <c r="G63" s="327"/>
      <c r="H63" s="594"/>
      <c r="I63" s="327"/>
      <c r="J63" s="605"/>
      <c r="K63" s="327"/>
      <c r="L63" s="594"/>
      <c r="M63" s="327"/>
      <c r="N63" s="575"/>
      <c r="O63" s="327"/>
      <c r="P63" s="594"/>
      <c r="Q63" s="327"/>
      <c r="R63" s="575"/>
      <c r="S63" s="327"/>
      <c r="T63" s="594"/>
      <c r="U63" s="327"/>
      <c r="V63" s="603" t="str">
        <f>'refer admin discharge'!H64</f>
        <v>00/00/0000</v>
      </c>
      <c r="W63" s="327"/>
      <c r="X63" s="577"/>
      <c r="Y63" s="327"/>
      <c r="Z63" s="604"/>
      <c r="AA63" s="327"/>
      <c r="AB63" s="577"/>
      <c r="AC63" s="327"/>
      <c r="AD63" s="576"/>
      <c r="AE63" s="327"/>
      <c r="AF63" s="577"/>
      <c r="AG63" s="327"/>
      <c r="AH63" s="576"/>
      <c r="AI63" s="327"/>
      <c r="AJ63" s="577"/>
      <c r="AK63" s="327"/>
      <c r="AL63" s="602"/>
      <c r="AM63" s="326"/>
      <c r="AN63" s="326"/>
      <c r="AO63" s="326"/>
      <c r="AP63" s="326"/>
      <c r="AQ63" s="326"/>
      <c r="AR63" s="326"/>
      <c r="AS63" s="326"/>
      <c r="AT63" s="326"/>
      <c r="AU63" s="326"/>
      <c r="AV63" s="326"/>
      <c r="AW63" s="326"/>
      <c r="AX63" s="326"/>
      <c r="AY63" s="326"/>
      <c r="AZ63" s="326"/>
      <c r="BA63" s="326"/>
      <c r="BB63" s="327"/>
    </row>
    <row r="64" spans="1:54" ht="15.75" customHeight="1" x14ac:dyDescent="0.25">
      <c r="A64" s="11">
        <f t="shared" si="0"/>
        <v>51</v>
      </c>
      <c r="B64" s="570" t="str">
        <f>'refer admin discharge'!B65</f>
        <v>x</v>
      </c>
      <c r="C64" s="327"/>
      <c r="D64" s="599" t="str">
        <f>'refer admin discharge'!D65</f>
        <v>xx</v>
      </c>
      <c r="E64" s="327"/>
      <c r="F64" s="600" t="str">
        <f>'refer admin discharge'!H65</f>
        <v>00/00/0000</v>
      </c>
      <c r="G64" s="327"/>
      <c r="H64" s="574"/>
      <c r="I64" s="327"/>
      <c r="J64" s="601"/>
      <c r="K64" s="327"/>
      <c r="L64" s="574"/>
      <c r="M64" s="327"/>
      <c r="N64" s="594"/>
      <c r="O64" s="327"/>
      <c r="P64" s="574"/>
      <c r="Q64" s="327"/>
      <c r="R64" s="594"/>
      <c r="S64" s="327"/>
      <c r="T64" s="574"/>
      <c r="U64" s="327"/>
      <c r="V64" s="595" t="str">
        <f>'refer admin discharge'!H65</f>
        <v>00/00/0000</v>
      </c>
      <c r="W64" s="327"/>
      <c r="X64" s="596"/>
      <c r="Y64" s="327"/>
      <c r="Z64" s="597"/>
      <c r="AA64" s="327"/>
      <c r="AB64" s="596"/>
      <c r="AC64" s="327"/>
      <c r="AD64" s="577"/>
      <c r="AE64" s="327"/>
      <c r="AF64" s="596"/>
      <c r="AG64" s="327"/>
      <c r="AH64" s="577"/>
      <c r="AI64" s="327"/>
      <c r="AJ64" s="596"/>
      <c r="AK64" s="327"/>
      <c r="AL64" s="598"/>
      <c r="AM64" s="326"/>
      <c r="AN64" s="326"/>
      <c r="AO64" s="326"/>
      <c r="AP64" s="326"/>
      <c r="AQ64" s="326"/>
      <c r="AR64" s="326"/>
      <c r="AS64" s="326"/>
      <c r="AT64" s="326"/>
      <c r="AU64" s="326"/>
      <c r="AV64" s="326"/>
      <c r="AW64" s="326"/>
      <c r="AX64" s="326"/>
      <c r="AY64" s="326"/>
      <c r="AZ64" s="326"/>
      <c r="BA64" s="326"/>
      <c r="BB64" s="327"/>
    </row>
    <row r="65" spans="1:54" ht="15.75" customHeight="1" x14ac:dyDescent="0.25">
      <c r="A65" s="11">
        <f t="shared" si="0"/>
        <v>52</v>
      </c>
      <c r="B65" s="504" t="str">
        <f>'refer admin discharge'!B66</f>
        <v>x</v>
      </c>
      <c r="C65" s="327"/>
      <c r="D65" s="505" t="str">
        <f>'refer admin discharge'!D66</f>
        <v>xx</v>
      </c>
      <c r="E65" s="327"/>
      <c r="F65" s="606" t="str">
        <f>'refer admin discharge'!H66</f>
        <v>00/00/0000</v>
      </c>
      <c r="G65" s="327"/>
      <c r="H65" s="594"/>
      <c r="I65" s="327"/>
      <c r="J65" s="605"/>
      <c r="K65" s="327"/>
      <c r="L65" s="594"/>
      <c r="M65" s="327"/>
      <c r="N65" s="575"/>
      <c r="O65" s="327"/>
      <c r="P65" s="594"/>
      <c r="Q65" s="327"/>
      <c r="R65" s="575"/>
      <c r="S65" s="327"/>
      <c r="T65" s="594"/>
      <c r="U65" s="327"/>
      <c r="V65" s="603" t="str">
        <f>'refer admin discharge'!H66</f>
        <v>00/00/0000</v>
      </c>
      <c r="W65" s="327"/>
      <c r="X65" s="577"/>
      <c r="Y65" s="327"/>
      <c r="Z65" s="604"/>
      <c r="AA65" s="327"/>
      <c r="AB65" s="577"/>
      <c r="AC65" s="327"/>
      <c r="AD65" s="576"/>
      <c r="AE65" s="327"/>
      <c r="AF65" s="577"/>
      <c r="AG65" s="327"/>
      <c r="AH65" s="576"/>
      <c r="AI65" s="327"/>
      <c r="AJ65" s="577"/>
      <c r="AK65" s="327"/>
      <c r="AL65" s="602"/>
      <c r="AM65" s="326"/>
      <c r="AN65" s="326"/>
      <c r="AO65" s="326"/>
      <c r="AP65" s="326"/>
      <c r="AQ65" s="326"/>
      <c r="AR65" s="326"/>
      <c r="AS65" s="326"/>
      <c r="AT65" s="326"/>
      <c r="AU65" s="326"/>
      <c r="AV65" s="326"/>
      <c r="AW65" s="326"/>
      <c r="AX65" s="326"/>
      <c r="AY65" s="326"/>
      <c r="AZ65" s="326"/>
      <c r="BA65" s="326"/>
      <c r="BB65" s="327"/>
    </row>
    <row r="66" spans="1:54" ht="15.75" customHeight="1" x14ac:dyDescent="0.25">
      <c r="A66" s="11">
        <f t="shared" si="0"/>
        <v>53</v>
      </c>
      <c r="B66" s="504" t="str">
        <f>'refer admin discharge'!B67</f>
        <v>x</v>
      </c>
      <c r="C66" s="327"/>
      <c r="D66" s="505" t="str">
        <f>'refer admin discharge'!D67</f>
        <v>xx</v>
      </c>
      <c r="E66" s="327"/>
      <c r="F66" s="606" t="str">
        <f>'refer admin discharge'!H67</f>
        <v>00/00/0000</v>
      </c>
      <c r="G66" s="327"/>
      <c r="H66" s="574"/>
      <c r="I66" s="327"/>
      <c r="J66" s="601"/>
      <c r="K66" s="327"/>
      <c r="L66" s="574"/>
      <c r="M66" s="327"/>
      <c r="N66" s="594"/>
      <c r="O66" s="327"/>
      <c r="P66" s="574"/>
      <c r="Q66" s="327"/>
      <c r="R66" s="594"/>
      <c r="S66" s="327"/>
      <c r="T66" s="574"/>
      <c r="U66" s="327"/>
      <c r="V66" s="595" t="str">
        <f>'refer admin discharge'!H67</f>
        <v>00/00/0000</v>
      </c>
      <c r="W66" s="327"/>
      <c r="X66" s="596"/>
      <c r="Y66" s="327"/>
      <c r="Z66" s="597"/>
      <c r="AA66" s="327"/>
      <c r="AB66" s="596"/>
      <c r="AC66" s="327"/>
      <c r="AD66" s="577"/>
      <c r="AE66" s="327"/>
      <c r="AF66" s="596"/>
      <c r="AG66" s="327"/>
      <c r="AH66" s="577"/>
      <c r="AI66" s="327"/>
      <c r="AJ66" s="596"/>
      <c r="AK66" s="327"/>
      <c r="AL66" s="598"/>
      <c r="AM66" s="326"/>
      <c r="AN66" s="326"/>
      <c r="AO66" s="326"/>
      <c r="AP66" s="326"/>
      <c r="AQ66" s="326"/>
      <c r="AR66" s="326"/>
      <c r="AS66" s="326"/>
      <c r="AT66" s="326"/>
      <c r="AU66" s="326"/>
      <c r="AV66" s="326"/>
      <c r="AW66" s="326"/>
      <c r="AX66" s="326"/>
      <c r="AY66" s="326"/>
      <c r="AZ66" s="326"/>
      <c r="BA66" s="326"/>
      <c r="BB66" s="327"/>
    </row>
    <row r="67" spans="1:54" ht="15.75" customHeight="1" x14ac:dyDescent="0.25">
      <c r="A67" s="11">
        <f t="shared" si="0"/>
        <v>54</v>
      </c>
      <c r="B67" s="504" t="str">
        <f>'refer admin discharge'!B68</f>
        <v>x</v>
      </c>
      <c r="C67" s="327"/>
      <c r="D67" s="505" t="str">
        <f>'refer admin discharge'!D68</f>
        <v>xx</v>
      </c>
      <c r="E67" s="327"/>
      <c r="F67" s="606" t="str">
        <f>'refer admin discharge'!H68</f>
        <v>00/00/0000</v>
      </c>
      <c r="G67" s="327"/>
      <c r="H67" s="594"/>
      <c r="I67" s="327"/>
      <c r="J67" s="605"/>
      <c r="K67" s="327"/>
      <c r="L67" s="594"/>
      <c r="M67" s="327"/>
      <c r="N67" s="575"/>
      <c r="O67" s="327"/>
      <c r="P67" s="594"/>
      <c r="Q67" s="327"/>
      <c r="R67" s="575"/>
      <c r="S67" s="327"/>
      <c r="T67" s="594"/>
      <c r="U67" s="327"/>
      <c r="V67" s="603" t="str">
        <f>'refer admin discharge'!H68</f>
        <v>00/00/0000</v>
      </c>
      <c r="W67" s="327"/>
      <c r="X67" s="577"/>
      <c r="Y67" s="327"/>
      <c r="Z67" s="604"/>
      <c r="AA67" s="327"/>
      <c r="AB67" s="577"/>
      <c r="AC67" s="327"/>
      <c r="AD67" s="576"/>
      <c r="AE67" s="327"/>
      <c r="AF67" s="577"/>
      <c r="AG67" s="327"/>
      <c r="AH67" s="576"/>
      <c r="AI67" s="327"/>
      <c r="AJ67" s="577"/>
      <c r="AK67" s="327"/>
      <c r="AL67" s="602"/>
      <c r="AM67" s="326"/>
      <c r="AN67" s="326"/>
      <c r="AO67" s="326"/>
      <c r="AP67" s="326"/>
      <c r="AQ67" s="326"/>
      <c r="AR67" s="326"/>
      <c r="AS67" s="326"/>
      <c r="AT67" s="326"/>
      <c r="AU67" s="326"/>
      <c r="AV67" s="326"/>
      <c r="AW67" s="326"/>
      <c r="AX67" s="326"/>
      <c r="AY67" s="326"/>
      <c r="AZ67" s="326"/>
      <c r="BA67" s="326"/>
      <c r="BB67" s="327"/>
    </row>
    <row r="68" spans="1:54" ht="15.75" customHeight="1" x14ac:dyDescent="0.25">
      <c r="A68" s="11">
        <f t="shared" si="0"/>
        <v>55</v>
      </c>
      <c r="B68" s="570" t="str">
        <f>'refer admin discharge'!B67</f>
        <v>x</v>
      </c>
      <c r="C68" s="327"/>
      <c r="D68" s="599" t="str">
        <f>'refer admin discharge'!D67</f>
        <v>xx</v>
      </c>
      <c r="E68" s="327"/>
      <c r="F68" s="600" t="str">
        <f>'refer admin discharge'!H67</f>
        <v>00/00/0000</v>
      </c>
      <c r="G68" s="327"/>
      <c r="H68" s="574"/>
      <c r="I68" s="327"/>
      <c r="J68" s="601"/>
      <c r="K68" s="327"/>
      <c r="L68" s="574"/>
      <c r="M68" s="327"/>
      <c r="N68" s="594"/>
      <c r="O68" s="327"/>
      <c r="P68" s="574"/>
      <c r="Q68" s="327"/>
      <c r="R68" s="594"/>
      <c r="S68" s="327"/>
      <c r="T68" s="574"/>
      <c r="U68" s="327"/>
      <c r="V68" s="595" t="str">
        <f>'refer admin discharge'!H69</f>
        <v>00/00/0000</v>
      </c>
      <c r="W68" s="327"/>
      <c r="X68" s="596"/>
      <c r="Y68" s="327"/>
      <c r="Z68" s="597"/>
      <c r="AA68" s="327"/>
      <c r="AB68" s="596"/>
      <c r="AC68" s="327"/>
      <c r="AD68" s="577"/>
      <c r="AE68" s="327"/>
      <c r="AF68" s="596"/>
      <c r="AG68" s="327"/>
      <c r="AH68" s="577"/>
      <c r="AI68" s="327"/>
      <c r="AJ68" s="596"/>
      <c r="AK68" s="327"/>
      <c r="AL68" s="598"/>
      <c r="AM68" s="326"/>
      <c r="AN68" s="326"/>
      <c r="AO68" s="326"/>
      <c r="AP68" s="326"/>
      <c r="AQ68" s="326"/>
      <c r="AR68" s="326"/>
      <c r="AS68" s="326"/>
      <c r="AT68" s="326"/>
      <c r="AU68" s="326"/>
      <c r="AV68" s="326"/>
      <c r="AW68" s="326"/>
      <c r="AX68" s="326"/>
      <c r="AY68" s="326"/>
      <c r="AZ68" s="326"/>
      <c r="BA68" s="326"/>
      <c r="BB68" s="327"/>
    </row>
    <row r="69" spans="1:54" ht="15.75" customHeight="1" x14ac:dyDescent="0.25">
      <c r="A69" s="11">
        <f t="shared" si="0"/>
        <v>56</v>
      </c>
      <c r="B69" s="504" t="str">
        <f>'refer admin discharge'!B68</f>
        <v>x</v>
      </c>
      <c r="C69" s="327"/>
      <c r="D69" s="505" t="str">
        <f>'refer admin discharge'!D68</f>
        <v>xx</v>
      </c>
      <c r="E69" s="327"/>
      <c r="F69" s="606" t="str">
        <f>'refer admin discharge'!H68</f>
        <v>00/00/0000</v>
      </c>
      <c r="G69" s="327"/>
      <c r="H69" s="594"/>
      <c r="I69" s="327"/>
      <c r="J69" s="605"/>
      <c r="K69" s="327"/>
      <c r="L69" s="594"/>
      <c r="M69" s="327"/>
      <c r="N69" s="575"/>
      <c r="O69" s="327"/>
      <c r="P69" s="594"/>
      <c r="Q69" s="327"/>
      <c r="R69" s="575"/>
      <c r="S69" s="327"/>
      <c r="T69" s="594"/>
      <c r="U69" s="327"/>
      <c r="V69" s="603" t="str">
        <f>'refer admin discharge'!H70</f>
        <v>00/00/0000</v>
      </c>
      <c r="W69" s="327"/>
      <c r="X69" s="577"/>
      <c r="Y69" s="327"/>
      <c r="Z69" s="604"/>
      <c r="AA69" s="327"/>
      <c r="AB69" s="577"/>
      <c r="AC69" s="327"/>
      <c r="AD69" s="576"/>
      <c r="AE69" s="327"/>
      <c r="AF69" s="577"/>
      <c r="AG69" s="327"/>
      <c r="AH69" s="576"/>
      <c r="AI69" s="327"/>
      <c r="AJ69" s="577"/>
      <c r="AK69" s="327"/>
      <c r="AL69" s="602"/>
      <c r="AM69" s="326"/>
      <c r="AN69" s="326"/>
      <c r="AO69" s="326"/>
      <c r="AP69" s="326"/>
      <c r="AQ69" s="326"/>
      <c r="AR69" s="326"/>
      <c r="AS69" s="326"/>
      <c r="AT69" s="326"/>
      <c r="AU69" s="326"/>
      <c r="AV69" s="326"/>
      <c r="AW69" s="326"/>
      <c r="AX69" s="326"/>
      <c r="AY69" s="326"/>
      <c r="AZ69" s="326"/>
      <c r="BA69" s="326"/>
      <c r="BB69" s="327"/>
    </row>
    <row r="70" spans="1:54" ht="15.75" customHeight="1" x14ac:dyDescent="0.25">
      <c r="A70" s="11">
        <f t="shared" si="0"/>
        <v>57</v>
      </c>
      <c r="B70" s="570" t="str">
        <f>'refer admin discharge'!B69</f>
        <v>x</v>
      </c>
      <c r="C70" s="327"/>
      <c r="D70" s="599" t="str">
        <f>'refer admin discharge'!D69</f>
        <v>xx</v>
      </c>
      <c r="E70" s="327"/>
      <c r="F70" s="600" t="str">
        <f>'refer admin discharge'!H69</f>
        <v>00/00/0000</v>
      </c>
      <c r="G70" s="327"/>
      <c r="H70" s="574"/>
      <c r="I70" s="327"/>
      <c r="J70" s="601"/>
      <c r="K70" s="327"/>
      <c r="L70" s="574"/>
      <c r="M70" s="327"/>
      <c r="N70" s="594"/>
      <c r="O70" s="327"/>
      <c r="P70" s="574"/>
      <c r="Q70" s="327"/>
      <c r="R70" s="594"/>
      <c r="S70" s="327"/>
      <c r="T70" s="574"/>
      <c r="U70" s="327"/>
      <c r="V70" s="595" t="str">
        <f>'refer admin discharge'!H71</f>
        <v>00/00/0000</v>
      </c>
      <c r="W70" s="327"/>
      <c r="X70" s="596"/>
      <c r="Y70" s="327"/>
      <c r="Z70" s="597"/>
      <c r="AA70" s="327"/>
      <c r="AB70" s="596"/>
      <c r="AC70" s="327"/>
      <c r="AD70" s="577"/>
      <c r="AE70" s="327"/>
      <c r="AF70" s="596"/>
      <c r="AG70" s="327"/>
      <c r="AH70" s="577"/>
      <c r="AI70" s="327"/>
      <c r="AJ70" s="596"/>
      <c r="AK70" s="327"/>
      <c r="AL70" s="598"/>
      <c r="AM70" s="326"/>
      <c r="AN70" s="326"/>
      <c r="AO70" s="326"/>
      <c r="AP70" s="326"/>
      <c r="AQ70" s="326"/>
      <c r="AR70" s="326"/>
      <c r="AS70" s="326"/>
      <c r="AT70" s="326"/>
      <c r="AU70" s="326"/>
      <c r="AV70" s="326"/>
      <c r="AW70" s="326"/>
      <c r="AX70" s="326"/>
      <c r="AY70" s="326"/>
      <c r="AZ70" s="326"/>
      <c r="BA70" s="326"/>
      <c r="BB70" s="327"/>
    </row>
    <row r="71" spans="1:54" ht="15.75" customHeight="1" x14ac:dyDescent="0.25">
      <c r="A71" s="11">
        <f t="shared" si="0"/>
        <v>58</v>
      </c>
      <c r="B71" s="504" t="str">
        <f>'refer admin discharge'!B70</f>
        <v>x</v>
      </c>
      <c r="C71" s="327"/>
      <c r="D71" s="505" t="str">
        <f>'refer admin discharge'!D70</f>
        <v>xx</v>
      </c>
      <c r="E71" s="327"/>
      <c r="F71" s="606" t="str">
        <f>'refer admin discharge'!H70</f>
        <v>00/00/0000</v>
      </c>
      <c r="G71" s="327"/>
      <c r="H71" s="594"/>
      <c r="I71" s="327"/>
      <c r="J71" s="605"/>
      <c r="K71" s="327"/>
      <c r="L71" s="594"/>
      <c r="M71" s="327"/>
      <c r="N71" s="575"/>
      <c r="O71" s="327"/>
      <c r="P71" s="594"/>
      <c r="Q71" s="327"/>
      <c r="R71" s="575"/>
      <c r="S71" s="327"/>
      <c r="T71" s="594"/>
      <c r="U71" s="327"/>
      <c r="V71" s="603" t="str">
        <f>'refer admin discharge'!H72</f>
        <v>00/00/0000</v>
      </c>
      <c r="W71" s="327"/>
      <c r="X71" s="577"/>
      <c r="Y71" s="327"/>
      <c r="Z71" s="604"/>
      <c r="AA71" s="327"/>
      <c r="AB71" s="577"/>
      <c r="AC71" s="327"/>
      <c r="AD71" s="576"/>
      <c r="AE71" s="327"/>
      <c r="AF71" s="577"/>
      <c r="AG71" s="327"/>
      <c r="AH71" s="576"/>
      <c r="AI71" s="327"/>
      <c r="AJ71" s="577"/>
      <c r="AK71" s="327"/>
      <c r="AL71" s="602"/>
      <c r="AM71" s="326"/>
      <c r="AN71" s="326"/>
      <c r="AO71" s="326"/>
      <c r="AP71" s="326"/>
      <c r="AQ71" s="326"/>
      <c r="AR71" s="326"/>
      <c r="AS71" s="326"/>
      <c r="AT71" s="326"/>
      <c r="AU71" s="326"/>
      <c r="AV71" s="326"/>
      <c r="AW71" s="326"/>
      <c r="AX71" s="326"/>
      <c r="AY71" s="326"/>
      <c r="AZ71" s="326"/>
      <c r="BA71" s="326"/>
      <c r="BB71" s="327"/>
    </row>
    <row r="72" spans="1:54" ht="15.75" customHeight="1" x14ac:dyDescent="0.25">
      <c r="A72" s="11">
        <f t="shared" si="0"/>
        <v>59</v>
      </c>
      <c r="B72" s="570" t="str">
        <f>'refer admin discharge'!B71</f>
        <v>x</v>
      </c>
      <c r="C72" s="327"/>
      <c r="D72" s="599" t="str">
        <f>'refer admin discharge'!D71</f>
        <v>xx</v>
      </c>
      <c r="E72" s="327"/>
      <c r="F72" s="600" t="str">
        <f>'refer admin discharge'!H71</f>
        <v>00/00/0000</v>
      </c>
      <c r="G72" s="327"/>
      <c r="H72" s="574"/>
      <c r="I72" s="327"/>
      <c r="J72" s="601"/>
      <c r="K72" s="327"/>
      <c r="L72" s="574"/>
      <c r="M72" s="327"/>
      <c r="N72" s="594"/>
      <c r="O72" s="327"/>
      <c r="P72" s="574"/>
      <c r="Q72" s="327"/>
      <c r="R72" s="594"/>
      <c r="S72" s="327"/>
      <c r="T72" s="574"/>
      <c r="U72" s="327"/>
      <c r="V72" s="595" t="str">
        <f>'refer admin discharge'!H73</f>
        <v>00/00/0000</v>
      </c>
      <c r="W72" s="327"/>
      <c r="X72" s="596"/>
      <c r="Y72" s="327"/>
      <c r="Z72" s="597"/>
      <c r="AA72" s="327"/>
      <c r="AB72" s="596"/>
      <c r="AC72" s="327"/>
      <c r="AD72" s="577"/>
      <c r="AE72" s="327"/>
      <c r="AF72" s="596"/>
      <c r="AG72" s="327"/>
      <c r="AH72" s="577"/>
      <c r="AI72" s="327"/>
      <c r="AJ72" s="596"/>
      <c r="AK72" s="327"/>
      <c r="AL72" s="598"/>
      <c r="AM72" s="326"/>
      <c r="AN72" s="326"/>
      <c r="AO72" s="326"/>
      <c r="AP72" s="326"/>
      <c r="AQ72" s="326"/>
      <c r="AR72" s="326"/>
      <c r="AS72" s="326"/>
      <c r="AT72" s="326"/>
      <c r="AU72" s="326"/>
      <c r="AV72" s="326"/>
      <c r="AW72" s="326"/>
      <c r="AX72" s="326"/>
      <c r="AY72" s="326"/>
      <c r="AZ72" s="326"/>
      <c r="BA72" s="326"/>
      <c r="BB72" s="327"/>
    </row>
    <row r="73" spans="1:54" ht="15.75" customHeight="1" x14ac:dyDescent="0.25">
      <c r="A73" s="11">
        <f t="shared" si="0"/>
        <v>60</v>
      </c>
      <c r="B73" s="504" t="str">
        <f>'refer admin discharge'!B72</f>
        <v>x</v>
      </c>
      <c r="C73" s="327"/>
      <c r="D73" s="505" t="str">
        <f>'refer admin discharge'!D72</f>
        <v>xx</v>
      </c>
      <c r="E73" s="327"/>
      <c r="F73" s="606" t="str">
        <f>'refer admin discharge'!H72</f>
        <v>00/00/0000</v>
      </c>
      <c r="G73" s="327"/>
      <c r="H73" s="594"/>
      <c r="I73" s="327"/>
      <c r="J73" s="605"/>
      <c r="K73" s="327"/>
      <c r="L73" s="594"/>
      <c r="M73" s="327"/>
      <c r="N73" s="575"/>
      <c r="O73" s="327"/>
      <c r="P73" s="594"/>
      <c r="Q73" s="327"/>
      <c r="R73" s="575"/>
      <c r="S73" s="327"/>
      <c r="T73" s="594"/>
      <c r="U73" s="327"/>
      <c r="V73" s="603" t="str">
        <f>'refer admin discharge'!H74</f>
        <v>00/00/0000</v>
      </c>
      <c r="W73" s="327"/>
      <c r="X73" s="577"/>
      <c r="Y73" s="327"/>
      <c r="Z73" s="604"/>
      <c r="AA73" s="327"/>
      <c r="AB73" s="577"/>
      <c r="AC73" s="327"/>
      <c r="AD73" s="576"/>
      <c r="AE73" s="327"/>
      <c r="AF73" s="577"/>
      <c r="AG73" s="327"/>
      <c r="AH73" s="576"/>
      <c r="AI73" s="327"/>
      <c r="AJ73" s="577"/>
      <c r="AK73" s="327"/>
      <c r="AL73" s="602"/>
      <c r="AM73" s="326"/>
      <c r="AN73" s="326"/>
      <c r="AO73" s="326"/>
      <c r="AP73" s="326"/>
      <c r="AQ73" s="326"/>
      <c r="AR73" s="326"/>
      <c r="AS73" s="326"/>
      <c r="AT73" s="326"/>
      <c r="AU73" s="326"/>
      <c r="AV73" s="326"/>
      <c r="AW73" s="326"/>
      <c r="AX73" s="326"/>
      <c r="AY73" s="326"/>
      <c r="AZ73" s="326"/>
      <c r="BA73" s="326"/>
      <c r="BB73" s="327"/>
    </row>
    <row r="74" spans="1:54" ht="15.75" customHeight="1" x14ac:dyDescent="0.25">
      <c r="A74" s="11">
        <f t="shared" si="0"/>
        <v>61</v>
      </c>
      <c r="B74" s="570" t="str">
        <f>'refer admin discharge'!B73</f>
        <v>x</v>
      </c>
      <c r="C74" s="327"/>
      <c r="D74" s="599" t="str">
        <f>'refer admin discharge'!D73</f>
        <v>xx</v>
      </c>
      <c r="E74" s="327"/>
      <c r="F74" s="600" t="str">
        <f>'refer admin discharge'!H73</f>
        <v>00/00/0000</v>
      </c>
      <c r="G74" s="327"/>
      <c r="H74" s="574"/>
      <c r="I74" s="327"/>
      <c r="J74" s="601"/>
      <c r="K74" s="327"/>
      <c r="L74" s="574"/>
      <c r="M74" s="327"/>
      <c r="N74" s="594"/>
      <c r="O74" s="327"/>
      <c r="P74" s="574"/>
      <c r="Q74" s="327"/>
      <c r="R74" s="594"/>
      <c r="S74" s="327"/>
      <c r="T74" s="574"/>
      <c r="U74" s="327"/>
      <c r="V74" s="595" t="str">
        <f>'refer admin discharge'!H75</f>
        <v>00/00/0000</v>
      </c>
      <c r="W74" s="327"/>
      <c r="X74" s="596"/>
      <c r="Y74" s="327"/>
      <c r="Z74" s="597"/>
      <c r="AA74" s="327"/>
      <c r="AB74" s="596"/>
      <c r="AC74" s="327"/>
      <c r="AD74" s="577"/>
      <c r="AE74" s="327"/>
      <c r="AF74" s="596"/>
      <c r="AG74" s="327"/>
      <c r="AH74" s="577"/>
      <c r="AI74" s="327"/>
      <c r="AJ74" s="596"/>
      <c r="AK74" s="327"/>
      <c r="AL74" s="598"/>
      <c r="AM74" s="326"/>
      <c r="AN74" s="326"/>
      <c r="AO74" s="326"/>
      <c r="AP74" s="326"/>
      <c r="AQ74" s="326"/>
      <c r="AR74" s="326"/>
      <c r="AS74" s="326"/>
      <c r="AT74" s="326"/>
      <c r="AU74" s="326"/>
      <c r="AV74" s="326"/>
      <c r="AW74" s="326"/>
      <c r="AX74" s="326"/>
      <c r="AY74" s="326"/>
      <c r="AZ74" s="326"/>
      <c r="BA74" s="326"/>
      <c r="BB74" s="327"/>
    </row>
    <row r="75" spans="1:54" ht="15.75" customHeight="1" x14ac:dyDescent="0.25">
      <c r="A75" s="11">
        <f t="shared" si="0"/>
        <v>62</v>
      </c>
      <c r="B75" s="504" t="str">
        <f>'refer admin discharge'!B74</f>
        <v>x</v>
      </c>
      <c r="C75" s="327"/>
      <c r="D75" s="505" t="str">
        <f>'refer admin discharge'!D74</f>
        <v>xx</v>
      </c>
      <c r="E75" s="327"/>
      <c r="F75" s="606" t="str">
        <f>'refer admin discharge'!H74</f>
        <v>00/00/0000</v>
      </c>
      <c r="G75" s="327"/>
      <c r="H75" s="594"/>
      <c r="I75" s="327"/>
      <c r="J75" s="605"/>
      <c r="K75" s="327"/>
      <c r="L75" s="594"/>
      <c r="M75" s="327"/>
      <c r="N75" s="575"/>
      <c r="O75" s="327"/>
      <c r="P75" s="594"/>
      <c r="Q75" s="327"/>
      <c r="R75" s="575"/>
      <c r="S75" s="327"/>
      <c r="T75" s="594"/>
      <c r="U75" s="327"/>
      <c r="V75" s="603" t="str">
        <f>'refer admin discharge'!H76</f>
        <v>00/00/0000</v>
      </c>
      <c r="W75" s="327"/>
      <c r="X75" s="577"/>
      <c r="Y75" s="327"/>
      <c r="Z75" s="604"/>
      <c r="AA75" s="327"/>
      <c r="AB75" s="577"/>
      <c r="AC75" s="327"/>
      <c r="AD75" s="576"/>
      <c r="AE75" s="327"/>
      <c r="AF75" s="577"/>
      <c r="AG75" s="327"/>
      <c r="AH75" s="576"/>
      <c r="AI75" s="327"/>
      <c r="AJ75" s="577"/>
      <c r="AK75" s="327"/>
      <c r="AL75" s="602"/>
      <c r="AM75" s="326"/>
      <c r="AN75" s="326"/>
      <c r="AO75" s="326"/>
      <c r="AP75" s="326"/>
      <c r="AQ75" s="326"/>
      <c r="AR75" s="326"/>
      <c r="AS75" s="326"/>
      <c r="AT75" s="326"/>
      <c r="AU75" s="326"/>
      <c r="AV75" s="326"/>
      <c r="AW75" s="326"/>
      <c r="AX75" s="326"/>
      <c r="AY75" s="326"/>
      <c r="AZ75" s="326"/>
      <c r="BA75" s="326"/>
      <c r="BB75" s="327"/>
    </row>
    <row r="76" spans="1:54" ht="15.75" customHeight="1" x14ac:dyDescent="0.25">
      <c r="A76" s="11">
        <f t="shared" si="0"/>
        <v>63</v>
      </c>
      <c r="B76" s="570" t="str">
        <f>'refer admin discharge'!B75</f>
        <v>x</v>
      </c>
      <c r="C76" s="327"/>
      <c r="D76" s="599" t="str">
        <f>'refer admin discharge'!D75</f>
        <v>xx</v>
      </c>
      <c r="E76" s="327"/>
      <c r="F76" s="600" t="str">
        <f>'refer admin discharge'!H75</f>
        <v>00/00/0000</v>
      </c>
      <c r="G76" s="327"/>
      <c r="H76" s="574"/>
      <c r="I76" s="327"/>
      <c r="J76" s="601"/>
      <c r="K76" s="327"/>
      <c r="L76" s="574"/>
      <c r="M76" s="327"/>
      <c r="N76" s="594"/>
      <c r="O76" s="327"/>
      <c r="P76" s="574"/>
      <c r="Q76" s="327"/>
      <c r="R76" s="594"/>
      <c r="S76" s="327"/>
      <c r="T76" s="574"/>
      <c r="U76" s="327"/>
      <c r="V76" s="595" t="str">
        <f>'refer admin discharge'!H77</f>
        <v>00/00/0000</v>
      </c>
      <c r="W76" s="327"/>
      <c r="X76" s="596"/>
      <c r="Y76" s="327"/>
      <c r="Z76" s="597"/>
      <c r="AA76" s="327"/>
      <c r="AB76" s="596"/>
      <c r="AC76" s="327"/>
      <c r="AD76" s="577"/>
      <c r="AE76" s="327"/>
      <c r="AF76" s="596"/>
      <c r="AG76" s="327"/>
      <c r="AH76" s="577"/>
      <c r="AI76" s="327"/>
      <c r="AJ76" s="596"/>
      <c r="AK76" s="327"/>
      <c r="AL76" s="598"/>
      <c r="AM76" s="326"/>
      <c r="AN76" s="326"/>
      <c r="AO76" s="326"/>
      <c r="AP76" s="326"/>
      <c r="AQ76" s="326"/>
      <c r="AR76" s="326"/>
      <c r="AS76" s="326"/>
      <c r="AT76" s="326"/>
      <c r="AU76" s="326"/>
      <c r="AV76" s="326"/>
      <c r="AW76" s="326"/>
      <c r="AX76" s="326"/>
      <c r="AY76" s="326"/>
      <c r="AZ76" s="326"/>
      <c r="BA76" s="326"/>
      <c r="BB76" s="327"/>
    </row>
    <row r="77" spans="1:54" ht="15.75" customHeight="1" x14ac:dyDescent="0.25">
      <c r="A77" s="11">
        <f t="shared" si="0"/>
        <v>64</v>
      </c>
      <c r="B77" s="504" t="str">
        <f>'refer admin discharge'!B76</f>
        <v>x</v>
      </c>
      <c r="C77" s="327"/>
      <c r="D77" s="505" t="str">
        <f>'refer admin discharge'!D76</f>
        <v>xx</v>
      </c>
      <c r="E77" s="327"/>
      <c r="F77" s="606" t="str">
        <f>'refer admin discharge'!H76</f>
        <v>00/00/0000</v>
      </c>
      <c r="G77" s="327"/>
      <c r="H77" s="594"/>
      <c r="I77" s="327"/>
      <c r="J77" s="605"/>
      <c r="K77" s="327"/>
      <c r="L77" s="594"/>
      <c r="M77" s="327"/>
      <c r="N77" s="575"/>
      <c r="O77" s="327"/>
      <c r="P77" s="594"/>
      <c r="Q77" s="327"/>
      <c r="R77" s="575"/>
      <c r="S77" s="327"/>
      <c r="T77" s="594"/>
      <c r="U77" s="327"/>
      <c r="V77" s="603" t="str">
        <f>'refer admin discharge'!H78</f>
        <v>00/00/0000</v>
      </c>
      <c r="W77" s="327"/>
      <c r="X77" s="577"/>
      <c r="Y77" s="327"/>
      <c r="Z77" s="604"/>
      <c r="AA77" s="327"/>
      <c r="AB77" s="577"/>
      <c r="AC77" s="327"/>
      <c r="AD77" s="576"/>
      <c r="AE77" s="327"/>
      <c r="AF77" s="577"/>
      <c r="AG77" s="327"/>
      <c r="AH77" s="576"/>
      <c r="AI77" s="327"/>
      <c r="AJ77" s="577"/>
      <c r="AK77" s="327"/>
      <c r="AL77" s="602"/>
      <c r="AM77" s="326"/>
      <c r="AN77" s="326"/>
      <c r="AO77" s="326"/>
      <c r="AP77" s="326"/>
      <c r="AQ77" s="326"/>
      <c r="AR77" s="326"/>
      <c r="AS77" s="326"/>
      <c r="AT77" s="326"/>
      <c r="AU77" s="326"/>
      <c r="AV77" s="326"/>
      <c r="AW77" s="326"/>
      <c r="AX77" s="326"/>
      <c r="AY77" s="326"/>
      <c r="AZ77" s="326"/>
      <c r="BA77" s="326"/>
      <c r="BB77" s="327"/>
    </row>
    <row r="78" spans="1:54" ht="15.75" customHeight="1" x14ac:dyDescent="0.25">
      <c r="A78" s="11">
        <f t="shared" si="0"/>
        <v>65</v>
      </c>
      <c r="B78" s="570" t="str">
        <f>'refer admin discharge'!B77</f>
        <v>x</v>
      </c>
      <c r="C78" s="327"/>
      <c r="D78" s="599" t="str">
        <f>'refer admin discharge'!D77</f>
        <v>xx</v>
      </c>
      <c r="E78" s="327"/>
      <c r="F78" s="600" t="str">
        <f>'refer admin discharge'!H77</f>
        <v>00/00/0000</v>
      </c>
      <c r="G78" s="327"/>
      <c r="H78" s="574"/>
      <c r="I78" s="327"/>
      <c r="J78" s="601"/>
      <c r="K78" s="327"/>
      <c r="L78" s="574"/>
      <c r="M78" s="327"/>
      <c r="N78" s="594"/>
      <c r="O78" s="327"/>
      <c r="P78" s="574"/>
      <c r="Q78" s="327"/>
      <c r="R78" s="594"/>
      <c r="S78" s="327"/>
      <c r="T78" s="574"/>
      <c r="U78" s="327"/>
      <c r="V78" s="595" t="str">
        <f>'refer admin discharge'!H79</f>
        <v>00/00/0000</v>
      </c>
      <c r="W78" s="327"/>
      <c r="X78" s="596"/>
      <c r="Y78" s="327"/>
      <c r="Z78" s="597"/>
      <c r="AA78" s="327"/>
      <c r="AB78" s="596"/>
      <c r="AC78" s="327"/>
      <c r="AD78" s="577"/>
      <c r="AE78" s="327"/>
      <c r="AF78" s="596"/>
      <c r="AG78" s="327"/>
      <c r="AH78" s="577"/>
      <c r="AI78" s="327"/>
      <c r="AJ78" s="596"/>
      <c r="AK78" s="327"/>
      <c r="AL78" s="598"/>
      <c r="AM78" s="326"/>
      <c r="AN78" s="326"/>
      <c r="AO78" s="326"/>
      <c r="AP78" s="326"/>
      <c r="AQ78" s="326"/>
      <c r="AR78" s="326"/>
      <c r="AS78" s="326"/>
      <c r="AT78" s="326"/>
      <c r="AU78" s="326"/>
      <c r="AV78" s="326"/>
      <c r="AW78" s="326"/>
      <c r="AX78" s="326"/>
      <c r="AY78" s="326"/>
      <c r="AZ78" s="326"/>
      <c r="BA78" s="326"/>
      <c r="BB78" s="327"/>
    </row>
    <row r="79" spans="1:54" ht="15.75" customHeight="1" x14ac:dyDescent="0.25">
      <c r="A79" s="11">
        <f t="shared" si="0"/>
        <v>66</v>
      </c>
      <c r="B79" s="504" t="str">
        <f>'refer admin discharge'!B78</f>
        <v>x</v>
      </c>
      <c r="C79" s="327"/>
      <c r="D79" s="505" t="str">
        <f>'refer admin discharge'!D78</f>
        <v>xx</v>
      </c>
      <c r="E79" s="327"/>
      <c r="F79" s="606" t="str">
        <f>'refer admin discharge'!H78</f>
        <v>00/00/0000</v>
      </c>
      <c r="G79" s="327"/>
      <c r="H79" s="594"/>
      <c r="I79" s="327"/>
      <c r="J79" s="605"/>
      <c r="K79" s="327"/>
      <c r="L79" s="594"/>
      <c r="M79" s="327"/>
      <c r="N79" s="575"/>
      <c r="O79" s="327"/>
      <c r="P79" s="594"/>
      <c r="Q79" s="327"/>
      <c r="R79" s="575"/>
      <c r="S79" s="327"/>
      <c r="T79" s="594"/>
      <c r="U79" s="327"/>
      <c r="V79" s="603" t="str">
        <f>'refer admin discharge'!H80</f>
        <v>00/00/0000</v>
      </c>
      <c r="W79" s="327"/>
      <c r="X79" s="577"/>
      <c r="Y79" s="327"/>
      <c r="Z79" s="604"/>
      <c r="AA79" s="327"/>
      <c r="AB79" s="577"/>
      <c r="AC79" s="327"/>
      <c r="AD79" s="576"/>
      <c r="AE79" s="327"/>
      <c r="AF79" s="577"/>
      <c r="AG79" s="327"/>
      <c r="AH79" s="576"/>
      <c r="AI79" s="327"/>
      <c r="AJ79" s="577"/>
      <c r="AK79" s="327"/>
      <c r="AL79" s="602"/>
      <c r="AM79" s="326"/>
      <c r="AN79" s="326"/>
      <c r="AO79" s="326"/>
      <c r="AP79" s="326"/>
      <c r="AQ79" s="326"/>
      <c r="AR79" s="326"/>
      <c r="AS79" s="326"/>
      <c r="AT79" s="326"/>
      <c r="AU79" s="326"/>
      <c r="AV79" s="326"/>
      <c r="AW79" s="326"/>
      <c r="AX79" s="326"/>
      <c r="AY79" s="326"/>
      <c r="AZ79" s="326"/>
      <c r="BA79" s="326"/>
      <c r="BB79" s="327"/>
    </row>
    <row r="80" spans="1:54" ht="15.75" customHeight="1" x14ac:dyDescent="0.25">
      <c r="A80" s="11">
        <f t="shared" si="0"/>
        <v>67</v>
      </c>
      <c r="B80" s="504" t="str">
        <f>'refer admin discharge'!B79</f>
        <v>x</v>
      </c>
      <c r="C80" s="327"/>
      <c r="D80" s="505" t="str">
        <f>'refer admin discharge'!D79</f>
        <v>xx</v>
      </c>
      <c r="E80" s="327"/>
      <c r="F80" s="606" t="str">
        <f>'refer admin discharge'!H79</f>
        <v>00/00/0000</v>
      </c>
      <c r="G80" s="327"/>
      <c r="H80" s="574"/>
      <c r="I80" s="327"/>
      <c r="J80" s="601"/>
      <c r="K80" s="327"/>
      <c r="L80" s="574"/>
      <c r="M80" s="327"/>
      <c r="N80" s="594"/>
      <c r="O80" s="327"/>
      <c r="P80" s="574"/>
      <c r="Q80" s="327"/>
      <c r="R80" s="594"/>
      <c r="S80" s="327"/>
      <c r="T80" s="574"/>
      <c r="U80" s="327"/>
      <c r="V80" s="595" t="str">
        <f>'refer admin discharge'!H81</f>
        <v>00/00/0000</v>
      </c>
      <c r="W80" s="327"/>
      <c r="X80" s="596"/>
      <c r="Y80" s="327"/>
      <c r="Z80" s="597"/>
      <c r="AA80" s="327"/>
      <c r="AB80" s="596"/>
      <c r="AC80" s="327"/>
      <c r="AD80" s="577"/>
      <c r="AE80" s="327"/>
      <c r="AF80" s="596"/>
      <c r="AG80" s="327"/>
      <c r="AH80" s="577"/>
      <c r="AI80" s="327"/>
      <c r="AJ80" s="596"/>
      <c r="AK80" s="327"/>
      <c r="AL80" s="598"/>
      <c r="AM80" s="326"/>
      <c r="AN80" s="326"/>
      <c r="AO80" s="326"/>
      <c r="AP80" s="326"/>
      <c r="AQ80" s="326"/>
      <c r="AR80" s="326"/>
      <c r="AS80" s="326"/>
      <c r="AT80" s="326"/>
      <c r="AU80" s="326"/>
      <c r="AV80" s="326"/>
      <c r="AW80" s="326"/>
      <c r="AX80" s="326"/>
      <c r="AY80" s="326"/>
      <c r="AZ80" s="326"/>
      <c r="BA80" s="326"/>
      <c r="BB80" s="327"/>
    </row>
    <row r="81" spans="1:54" ht="15.75" customHeight="1" x14ac:dyDescent="0.25">
      <c r="A81" s="11">
        <f t="shared" si="0"/>
        <v>68</v>
      </c>
      <c r="B81" s="504" t="str">
        <f>'refer admin discharge'!B80</f>
        <v>x</v>
      </c>
      <c r="C81" s="327"/>
      <c r="D81" s="505" t="str">
        <f>'refer admin discharge'!D80</f>
        <v>xx</v>
      </c>
      <c r="E81" s="327"/>
      <c r="F81" s="606" t="str">
        <f>'refer admin discharge'!H80</f>
        <v>00/00/0000</v>
      </c>
      <c r="G81" s="327"/>
      <c r="H81" s="594"/>
      <c r="I81" s="327"/>
      <c r="J81" s="605"/>
      <c r="K81" s="327"/>
      <c r="L81" s="594"/>
      <c r="M81" s="327"/>
      <c r="N81" s="575"/>
      <c r="O81" s="327"/>
      <c r="P81" s="594"/>
      <c r="Q81" s="327"/>
      <c r="R81" s="575"/>
      <c r="S81" s="327"/>
      <c r="T81" s="594"/>
      <c r="U81" s="327"/>
      <c r="V81" s="603" t="str">
        <f>'refer admin discharge'!H82</f>
        <v>00/00/0000</v>
      </c>
      <c r="W81" s="327"/>
      <c r="X81" s="577"/>
      <c r="Y81" s="327"/>
      <c r="Z81" s="604"/>
      <c r="AA81" s="327"/>
      <c r="AB81" s="577"/>
      <c r="AC81" s="327"/>
      <c r="AD81" s="576"/>
      <c r="AE81" s="327"/>
      <c r="AF81" s="577"/>
      <c r="AG81" s="327"/>
      <c r="AH81" s="576"/>
      <c r="AI81" s="327"/>
      <c r="AJ81" s="577"/>
      <c r="AK81" s="327"/>
      <c r="AL81" s="602"/>
      <c r="AM81" s="326"/>
      <c r="AN81" s="326"/>
      <c r="AO81" s="326"/>
      <c r="AP81" s="326"/>
      <c r="AQ81" s="326"/>
      <c r="AR81" s="326"/>
      <c r="AS81" s="326"/>
      <c r="AT81" s="326"/>
      <c r="AU81" s="326"/>
      <c r="AV81" s="326"/>
      <c r="AW81" s="326"/>
      <c r="AX81" s="326"/>
      <c r="AY81" s="326"/>
      <c r="AZ81" s="326"/>
      <c r="BA81" s="326"/>
      <c r="BB81" s="327"/>
    </row>
    <row r="82" spans="1:54" ht="15.75" customHeight="1" x14ac:dyDescent="0.25">
      <c r="A82" s="11">
        <f t="shared" si="0"/>
        <v>69</v>
      </c>
      <c r="B82" s="570" t="str">
        <f>'refer admin discharge'!B79</f>
        <v>x</v>
      </c>
      <c r="C82" s="327"/>
      <c r="D82" s="599" t="str">
        <f>'refer admin discharge'!D79</f>
        <v>xx</v>
      </c>
      <c r="E82" s="327"/>
      <c r="F82" s="600" t="str">
        <f>'refer admin discharge'!H79</f>
        <v>00/00/0000</v>
      </c>
      <c r="G82" s="327"/>
      <c r="H82" s="574"/>
      <c r="I82" s="327"/>
      <c r="J82" s="601"/>
      <c r="K82" s="327"/>
      <c r="L82" s="574"/>
      <c r="M82" s="327"/>
      <c r="N82" s="594"/>
      <c r="O82" s="327"/>
      <c r="P82" s="574"/>
      <c r="Q82" s="327"/>
      <c r="R82" s="594"/>
      <c r="S82" s="327"/>
      <c r="T82" s="574"/>
      <c r="U82" s="327"/>
      <c r="V82" s="595" t="str">
        <f>'refer admin discharge'!H83</f>
        <v>00/00/0000</v>
      </c>
      <c r="W82" s="327"/>
      <c r="X82" s="596"/>
      <c r="Y82" s="327"/>
      <c r="Z82" s="597"/>
      <c r="AA82" s="327"/>
      <c r="AB82" s="596"/>
      <c r="AC82" s="327"/>
      <c r="AD82" s="577"/>
      <c r="AE82" s="327"/>
      <c r="AF82" s="596"/>
      <c r="AG82" s="327"/>
      <c r="AH82" s="577"/>
      <c r="AI82" s="327"/>
      <c r="AJ82" s="596"/>
      <c r="AK82" s="327"/>
      <c r="AL82" s="598"/>
      <c r="AM82" s="326"/>
      <c r="AN82" s="326"/>
      <c r="AO82" s="326"/>
      <c r="AP82" s="326"/>
      <c r="AQ82" s="326"/>
      <c r="AR82" s="326"/>
      <c r="AS82" s="326"/>
      <c r="AT82" s="326"/>
      <c r="AU82" s="326"/>
      <c r="AV82" s="326"/>
      <c r="AW82" s="326"/>
      <c r="AX82" s="326"/>
      <c r="AY82" s="326"/>
      <c r="AZ82" s="326"/>
      <c r="BA82" s="326"/>
      <c r="BB82" s="327"/>
    </row>
    <row r="83" spans="1:54" ht="15.75" customHeight="1" x14ac:dyDescent="0.25">
      <c r="A83" s="11">
        <f t="shared" si="0"/>
        <v>70</v>
      </c>
      <c r="B83" s="504" t="str">
        <f>'refer admin discharge'!B80</f>
        <v>x</v>
      </c>
      <c r="C83" s="327"/>
      <c r="D83" s="505" t="str">
        <f>'refer admin discharge'!D80</f>
        <v>xx</v>
      </c>
      <c r="E83" s="327"/>
      <c r="F83" s="606" t="str">
        <f>'refer admin discharge'!H80</f>
        <v>00/00/0000</v>
      </c>
      <c r="G83" s="327"/>
      <c r="H83" s="594"/>
      <c r="I83" s="327"/>
      <c r="J83" s="605"/>
      <c r="K83" s="327"/>
      <c r="L83" s="594"/>
      <c r="M83" s="327"/>
      <c r="N83" s="575"/>
      <c r="O83" s="327"/>
      <c r="P83" s="594"/>
      <c r="Q83" s="327"/>
      <c r="R83" s="575"/>
      <c r="S83" s="327"/>
      <c r="T83" s="594"/>
      <c r="U83" s="327"/>
      <c r="V83" s="603" t="str">
        <f>'refer admin discharge'!H84</f>
        <v>00/00/0000</v>
      </c>
      <c r="W83" s="327"/>
      <c r="X83" s="577"/>
      <c r="Y83" s="327"/>
      <c r="Z83" s="604"/>
      <c r="AA83" s="327"/>
      <c r="AB83" s="577"/>
      <c r="AC83" s="327"/>
      <c r="AD83" s="576"/>
      <c r="AE83" s="327"/>
      <c r="AF83" s="577"/>
      <c r="AG83" s="327"/>
      <c r="AH83" s="576"/>
      <c r="AI83" s="327"/>
      <c r="AJ83" s="577"/>
      <c r="AK83" s="327"/>
      <c r="AL83" s="602"/>
      <c r="AM83" s="326"/>
      <c r="AN83" s="326"/>
      <c r="AO83" s="326"/>
      <c r="AP83" s="326"/>
      <c r="AQ83" s="326"/>
      <c r="AR83" s="326"/>
      <c r="AS83" s="326"/>
      <c r="AT83" s="326"/>
      <c r="AU83" s="326"/>
      <c r="AV83" s="326"/>
      <c r="AW83" s="326"/>
      <c r="AX83" s="326"/>
      <c r="AY83" s="326"/>
      <c r="AZ83" s="326"/>
      <c r="BA83" s="326"/>
      <c r="BB83" s="327"/>
    </row>
    <row r="84" spans="1:54" ht="15.75" customHeight="1" x14ac:dyDescent="0.25">
      <c r="A84" s="11">
        <f t="shared" si="0"/>
        <v>71</v>
      </c>
      <c r="B84" s="570" t="str">
        <f>'refer admin discharge'!B81</f>
        <v>x</v>
      </c>
      <c r="C84" s="327"/>
      <c r="D84" s="599" t="str">
        <f>'refer admin discharge'!D81</f>
        <v>xx</v>
      </c>
      <c r="E84" s="327"/>
      <c r="F84" s="600" t="str">
        <f>'refer admin discharge'!H81</f>
        <v>00/00/0000</v>
      </c>
      <c r="G84" s="327"/>
      <c r="H84" s="574"/>
      <c r="I84" s="327"/>
      <c r="J84" s="601"/>
      <c r="K84" s="327"/>
      <c r="L84" s="574"/>
      <c r="M84" s="327"/>
      <c r="N84" s="594"/>
      <c r="O84" s="327"/>
      <c r="P84" s="574"/>
      <c r="Q84" s="327"/>
      <c r="R84" s="594"/>
      <c r="S84" s="327"/>
      <c r="T84" s="574"/>
      <c r="U84" s="327"/>
      <c r="V84" s="595" t="str">
        <f>'refer admin discharge'!H85</f>
        <v>00/00/0000</v>
      </c>
      <c r="W84" s="327"/>
      <c r="X84" s="596"/>
      <c r="Y84" s="327"/>
      <c r="Z84" s="597"/>
      <c r="AA84" s="327"/>
      <c r="AB84" s="596"/>
      <c r="AC84" s="327"/>
      <c r="AD84" s="577"/>
      <c r="AE84" s="327"/>
      <c r="AF84" s="596"/>
      <c r="AG84" s="327"/>
      <c r="AH84" s="577"/>
      <c r="AI84" s="327"/>
      <c r="AJ84" s="596"/>
      <c r="AK84" s="327"/>
      <c r="AL84" s="598"/>
      <c r="AM84" s="326"/>
      <c r="AN84" s="326"/>
      <c r="AO84" s="326"/>
      <c r="AP84" s="326"/>
      <c r="AQ84" s="326"/>
      <c r="AR84" s="326"/>
      <c r="AS84" s="326"/>
      <c r="AT84" s="326"/>
      <c r="AU84" s="326"/>
      <c r="AV84" s="326"/>
      <c r="AW84" s="326"/>
      <c r="AX84" s="326"/>
      <c r="AY84" s="326"/>
      <c r="AZ84" s="326"/>
      <c r="BA84" s="326"/>
      <c r="BB84" s="327"/>
    </row>
    <row r="85" spans="1:54" ht="15.75" customHeight="1" x14ac:dyDescent="0.25">
      <c r="A85" s="11">
        <f t="shared" si="0"/>
        <v>72</v>
      </c>
      <c r="B85" s="504" t="str">
        <f>'refer admin discharge'!B82</f>
        <v>x</v>
      </c>
      <c r="C85" s="327"/>
      <c r="D85" s="505" t="str">
        <f>'refer admin discharge'!D82</f>
        <v>xx</v>
      </c>
      <c r="E85" s="327"/>
      <c r="F85" s="606" t="str">
        <f>'refer admin discharge'!H82</f>
        <v>00/00/0000</v>
      </c>
      <c r="G85" s="327"/>
      <c r="H85" s="594"/>
      <c r="I85" s="327"/>
      <c r="J85" s="605"/>
      <c r="K85" s="327"/>
      <c r="L85" s="594"/>
      <c r="M85" s="327"/>
      <c r="N85" s="575"/>
      <c r="O85" s="327"/>
      <c r="P85" s="594"/>
      <c r="Q85" s="327"/>
      <c r="R85" s="575"/>
      <c r="S85" s="327"/>
      <c r="T85" s="594"/>
      <c r="U85" s="327"/>
      <c r="V85" s="603" t="str">
        <f>'refer admin discharge'!H86</f>
        <v>00/00/0000</v>
      </c>
      <c r="W85" s="327"/>
      <c r="X85" s="577"/>
      <c r="Y85" s="327"/>
      <c r="Z85" s="604"/>
      <c r="AA85" s="327"/>
      <c r="AB85" s="577"/>
      <c r="AC85" s="327"/>
      <c r="AD85" s="576"/>
      <c r="AE85" s="327"/>
      <c r="AF85" s="577"/>
      <c r="AG85" s="327"/>
      <c r="AH85" s="576"/>
      <c r="AI85" s="327"/>
      <c r="AJ85" s="577"/>
      <c r="AK85" s="327"/>
      <c r="AL85" s="602"/>
      <c r="AM85" s="326"/>
      <c r="AN85" s="326"/>
      <c r="AO85" s="326"/>
      <c r="AP85" s="326"/>
      <c r="AQ85" s="326"/>
      <c r="AR85" s="326"/>
      <c r="AS85" s="326"/>
      <c r="AT85" s="326"/>
      <c r="AU85" s="326"/>
      <c r="AV85" s="326"/>
      <c r="AW85" s="326"/>
      <c r="AX85" s="326"/>
      <c r="AY85" s="326"/>
      <c r="AZ85" s="326"/>
      <c r="BA85" s="326"/>
      <c r="BB85" s="327"/>
    </row>
    <row r="86" spans="1:54" ht="15.75" customHeight="1" x14ac:dyDescent="0.25">
      <c r="A86" s="11">
        <f t="shared" si="0"/>
        <v>73</v>
      </c>
      <c r="B86" s="570" t="str">
        <f>'refer admin discharge'!B83</f>
        <v>x</v>
      </c>
      <c r="C86" s="327"/>
      <c r="D86" s="599" t="str">
        <f>'refer admin discharge'!D83</f>
        <v>xx</v>
      </c>
      <c r="E86" s="327"/>
      <c r="F86" s="600" t="str">
        <f>'refer admin discharge'!H83</f>
        <v>00/00/0000</v>
      </c>
      <c r="G86" s="327"/>
      <c r="H86" s="574"/>
      <c r="I86" s="327"/>
      <c r="J86" s="601"/>
      <c r="K86" s="327"/>
      <c r="L86" s="574"/>
      <c r="M86" s="327"/>
      <c r="N86" s="594"/>
      <c r="O86" s="327"/>
      <c r="P86" s="574"/>
      <c r="Q86" s="327"/>
      <c r="R86" s="594"/>
      <c r="S86" s="327"/>
      <c r="T86" s="574"/>
      <c r="U86" s="327"/>
      <c r="V86" s="595" t="str">
        <f>'refer admin discharge'!H87</f>
        <v>00/00/0000</v>
      </c>
      <c r="W86" s="327"/>
      <c r="X86" s="596"/>
      <c r="Y86" s="327"/>
      <c r="Z86" s="597"/>
      <c r="AA86" s="327"/>
      <c r="AB86" s="596"/>
      <c r="AC86" s="327"/>
      <c r="AD86" s="577"/>
      <c r="AE86" s="327"/>
      <c r="AF86" s="596"/>
      <c r="AG86" s="327"/>
      <c r="AH86" s="577"/>
      <c r="AI86" s="327"/>
      <c r="AJ86" s="596"/>
      <c r="AK86" s="327"/>
      <c r="AL86" s="598"/>
      <c r="AM86" s="326"/>
      <c r="AN86" s="326"/>
      <c r="AO86" s="326"/>
      <c r="AP86" s="326"/>
      <c r="AQ86" s="326"/>
      <c r="AR86" s="326"/>
      <c r="AS86" s="326"/>
      <c r="AT86" s="326"/>
      <c r="AU86" s="326"/>
      <c r="AV86" s="326"/>
      <c r="AW86" s="326"/>
      <c r="AX86" s="326"/>
      <c r="AY86" s="326"/>
      <c r="AZ86" s="326"/>
      <c r="BA86" s="326"/>
      <c r="BB86" s="327"/>
    </row>
    <row r="87" spans="1:54" ht="15.75" customHeight="1" x14ac:dyDescent="0.25">
      <c r="A87" s="11">
        <f t="shared" si="0"/>
        <v>74</v>
      </c>
      <c r="B87" s="504" t="str">
        <f>'refer admin discharge'!B84</f>
        <v>x</v>
      </c>
      <c r="C87" s="327"/>
      <c r="D87" s="505" t="str">
        <f>'refer admin discharge'!D84</f>
        <v>xx</v>
      </c>
      <c r="E87" s="327"/>
      <c r="F87" s="606" t="str">
        <f>'refer admin discharge'!H84</f>
        <v>00/00/0000</v>
      </c>
      <c r="G87" s="327"/>
      <c r="H87" s="594"/>
      <c r="I87" s="327"/>
      <c r="J87" s="605"/>
      <c r="K87" s="327"/>
      <c r="L87" s="594"/>
      <c r="M87" s="327"/>
      <c r="N87" s="575"/>
      <c r="O87" s="327"/>
      <c r="P87" s="594"/>
      <c r="Q87" s="327"/>
      <c r="R87" s="575"/>
      <c r="S87" s="327"/>
      <c r="T87" s="594"/>
      <c r="U87" s="327"/>
      <c r="V87" s="603" t="str">
        <f>'refer admin discharge'!H88</f>
        <v>00/00/0000</v>
      </c>
      <c r="W87" s="327"/>
      <c r="X87" s="577"/>
      <c r="Y87" s="327"/>
      <c r="Z87" s="604"/>
      <c r="AA87" s="327"/>
      <c r="AB87" s="577"/>
      <c r="AC87" s="327"/>
      <c r="AD87" s="576"/>
      <c r="AE87" s="327"/>
      <c r="AF87" s="577"/>
      <c r="AG87" s="327"/>
      <c r="AH87" s="576"/>
      <c r="AI87" s="327"/>
      <c r="AJ87" s="577"/>
      <c r="AK87" s="327"/>
      <c r="AL87" s="602"/>
      <c r="AM87" s="326"/>
      <c r="AN87" s="326"/>
      <c r="AO87" s="326"/>
      <c r="AP87" s="326"/>
      <c r="AQ87" s="326"/>
      <c r="AR87" s="326"/>
      <c r="AS87" s="326"/>
      <c r="AT87" s="326"/>
      <c r="AU87" s="326"/>
      <c r="AV87" s="326"/>
      <c r="AW87" s="326"/>
      <c r="AX87" s="326"/>
      <c r="AY87" s="326"/>
      <c r="AZ87" s="326"/>
      <c r="BA87" s="326"/>
      <c r="BB87" s="327"/>
    </row>
    <row r="88" spans="1:54" ht="15.75" customHeight="1" x14ac:dyDescent="0.25">
      <c r="A88" s="11">
        <f t="shared" si="0"/>
        <v>75</v>
      </c>
      <c r="B88" s="570" t="str">
        <f>'refer admin discharge'!B85</f>
        <v>x</v>
      </c>
      <c r="C88" s="327"/>
      <c r="D88" s="599" t="str">
        <f>'refer admin discharge'!D85</f>
        <v>xx</v>
      </c>
      <c r="E88" s="327"/>
      <c r="F88" s="600" t="str">
        <f>'refer admin discharge'!H85</f>
        <v>00/00/0000</v>
      </c>
      <c r="G88" s="327"/>
      <c r="H88" s="574"/>
      <c r="I88" s="327"/>
      <c r="J88" s="601"/>
      <c r="K88" s="327"/>
      <c r="L88" s="574"/>
      <c r="M88" s="327"/>
      <c r="N88" s="594"/>
      <c r="O88" s="327"/>
      <c r="P88" s="574"/>
      <c r="Q88" s="327"/>
      <c r="R88" s="594"/>
      <c r="S88" s="327"/>
      <c r="T88" s="574"/>
      <c r="U88" s="327"/>
      <c r="V88" s="595" t="str">
        <f>'refer admin discharge'!H89</f>
        <v>00/00/0000</v>
      </c>
      <c r="W88" s="327"/>
      <c r="X88" s="596"/>
      <c r="Y88" s="327"/>
      <c r="Z88" s="597"/>
      <c r="AA88" s="327"/>
      <c r="AB88" s="596"/>
      <c r="AC88" s="327"/>
      <c r="AD88" s="577"/>
      <c r="AE88" s="327"/>
      <c r="AF88" s="596"/>
      <c r="AG88" s="327"/>
      <c r="AH88" s="577"/>
      <c r="AI88" s="327"/>
      <c r="AJ88" s="596"/>
      <c r="AK88" s="327"/>
      <c r="AL88" s="598"/>
      <c r="AM88" s="326"/>
      <c r="AN88" s="326"/>
      <c r="AO88" s="326"/>
      <c r="AP88" s="326"/>
      <c r="AQ88" s="326"/>
      <c r="AR88" s="326"/>
      <c r="AS88" s="326"/>
      <c r="AT88" s="326"/>
      <c r="AU88" s="326"/>
      <c r="AV88" s="326"/>
      <c r="AW88" s="326"/>
      <c r="AX88" s="326"/>
      <c r="AY88" s="326"/>
      <c r="AZ88" s="326"/>
      <c r="BA88" s="326"/>
      <c r="BB88" s="327"/>
    </row>
    <row r="89" spans="1:54" ht="15.75" customHeight="1" x14ac:dyDescent="0.25">
      <c r="A89" s="11">
        <f t="shared" si="0"/>
        <v>76</v>
      </c>
      <c r="B89" s="504" t="str">
        <f>'refer admin discharge'!B86</f>
        <v>x</v>
      </c>
      <c r="C89" s="327"/>
      <c r="D89" s="505" t="str">
        <f>'refer admin discharge'!D86</f>
        <v>xx</v>
      </c>
      <c r="E89" s="327"/>
      <c r="F89" s="606" t="str">
        <f>'refer admin discharge'!H86</f>
        <v>00/00/0000</v>
      </c>
      <c r="G89" s="327"/>
      <c r="H89" s="594"/>
      <c r="I89" s="327"/>
      <c r="J89" s="605"/>
      <c r="K89" s="327"/>
      <c r="L89" s="594"/>
      <c r="M89" s="327"/>
      <c r="N89" s="575"/>
      <c r="O89" s="327"/>
      <c r="P89" s="594"/>
      <c r="Q89" s="327"/>
      <c r="R89" s="575"/>
      <c r="S89" s="327"/>
      <c r="T89" s="594"/>
      <c r="U89" s="327"/>
      <c r="V89" s="603" t="str">
        <f>'refer admin discharge'!H90</f>
        <v>00/00/0000</v>
      </c>
      <c r="W89" s="327"/>
      <c r="X89" s="577"/>
      <c r="Y89" s="327"/>
      <c r="Z89" s="604"/>
      <c r="AA89" s="327"/>
      <c r="AB89" s="577"/>
      <c r="AC89" s="327"/>
      <c r="AD89" s="576"/>
      <c r="AE89" s="327"/>
      <c r="AF89" s="577"/>
      <c r="AG89" s="327"/>
      <c r="AH89" s="576"/>
      <c r="AI89" s="327"/>
      <c r="AJ89" s="577"/>
      <c r="AK89" s="327"/>
      <c r="AL89" s="602"/>
      <c r="AM89" s="326"/>
      <c r="AN89" s="326"/>
      <c r="AO89" s="326"/>
      <c r="AP89" s="326"/>
      <c r="AQ89" s="326"/>
      <c r="AR89" s="326"/>
      <c r="AS89" s="326"/>
      <c r="AT89" s="326"/>
      <c r="AU89" s="326"/>
      <c r="AV89" s="326"/>
      <c r="AW89" s="326"/>
      <c r="AX89" s="326"/>
      <c r="AY89" s="326"/>
      <c r="AZ89" s="326"/>
      <c r="BA89" s="326"/>
      <c r="BB89" s="327"/>
    </row>
    <row r="90" spans="1:54" ht="15.75" customHeight="1" x14ac:dyDescent="0.25">
      <c r="A90" s="11">
        <f t="shared" si="0"/>
        <v>77</v>
      </c>
      <c r="B90" s="570" t="str">
        <f>'refer admin discharge'!B87</f>
        <v>x</v>
      </c>
      <c r="C90" s="327"/>
      <c r="D90" s="599" t="str">
        <f>'refer admin discharge'!D87</f>
        <v>xx</v>
      </c>
      <c r="E90" s="327"/>
      <c r="F90" s="600" t="str">
        <f>'refer admin discharge'!H87</f>
        <v>00/00/0000</v>
      </c>
      <c r="G90" s="327"/>
      <c r="H90" s="574"/>
      <c r="I90" s="327"/>
      <c r="J90" s="601"/>
      <c r="K90" s="327"/>
      <c r="L90" s="574"/>
      <c r="M90" s="327"/>
      <c r="N90" s="594"/>
      <c r="O90" s="327"/>
      <c r="P90" s="574"/>
      <c r="Q90" s="327"/>
      <c r="R90" s="594"/>
      <c r="S90" s="327"/>
      <c r="T90" s="574"/>
      <c r="U90" s="327"/>
      <c r="V90" s="595" t="str">
        <f>'refer admin discharge'!H91</f>
        <v>00/00/0000</v>
      </c>
      <c r="W90" s="327"/>
      <c r="X90" s="596"/>
      <c r="Y90" s="327"/>
      <c r="Z90" s="597"/>
      <c r="AA90" s="327"/>
      <c r="AB90" s="596"/>
      <c r="AC90" s="327"/>
      <c r="AD90" s="577"/>
      <c r="AE90" s="327"/>
      <c r="AF90" s="596"/>
      <c r="AG90" s="327"/>
      <c r="AH90" s="577"/>
      <c r="AI90" s="327"/>
      <c r="AJ90" s="596"/>
      <c r="AK90" s="327"/>
      <c r="AL90" s="598"/>
      <c r="AM90" s="326"/>
      <c r="AN90" s="326"/>
      <c r="AO90" s="326"/>
      <c r="AP90" s="326"/>
      <c r="AQ90" s="326"/>
      <c r="AR90" s="326"/>
      <c r="AS90" s="326"/>
      <c r="AT90" s="326"/>
      <c r="AU90" s="326"/>
      <c r="AV90" s="326"/>
      <c r="AW90" s="326"/>
      <c r="AX90" s="326"/>
      <c r="AY90" s="326"/>
      <c r="AZ90" s="326"/>
      <c r="BA90" s="326"/>
      <c r="BB90" s="327"/>
    </row>
    <row r="91" spans="1:54" ht="15.75" customHeight="1" x14ac:dyDescent="0.25">
      <c r="A91" s="11">
        <f t="shared" si="0"/>
        <v>78</v>
      </c>
      <c r="B91" s="504" t="str">
        <f>'refer admin discharge'!B88</f>
        <v>x</v>
      </c>
      <c r="C91" s="327"/>
      <c r="D91" s="505" t="str">
        <f>'refer admin discharge'!D88</f>
        <v>xx</v>
      </c>
      <c r="E91" s="327"/>
      <c r="F91" s="606" t="str">
        <f>'refer admin discharge'!H88</f>
        <v>00/00/0000</v>
      </c>
      <c r="G91" s="327"/>
      <c r="H91" s="594"/>
      <c r="I91" s="327"/>
      <c r="J91" s="605"/>
      <c r="K91" s="327"/>
      <c r="L91" s="594"/>
      <c r="M91" s="327"/>
      <c r="N91" s="575"/>
      <c r="O91" s="327"/>
      <c r="P91" s="594"/>
      <c r="Q91" s="327"/>
      <c r="R91" s="575"/>
      <c r="S91" s="327"/>
      <c r="T91" s="594"/>
      <c r="U91" s="327"/>
      <c r="V91" s="603" t="str">
        <f>'refer admin discharge'!H92</f>
        <v>00/00/0000</v>
      </c>
      <c r="W91" s="327"/>
      <c r="X91" s="577"/>
      <c r="Y91" s="327"/>
      <c r="Z91" s="604"/>
      <c r="AA91" s="327"/>
      <c r="AB91" s="577"/>
      <c r="AC91" s="327"/>
      <c r="AD91" s="576"/>
      <c r="AE91" s="327"/>
      <c r="AF91" s="577"/>
      <c r="AG91" s="327"/>
      <c r="AH91" s="576"/>
      <c r="AI91" s="327"/>
      <c r="AJ91" s="577"/>
      <c r="AK91" s="327"/>
      <c r="AL91" s="602"/>
      <c r="AM91" s="326"/>
      <c r="AN91" s="326"/>
      <c r="AO91" s="326"/>
      <c r="AP91" s="326"/>
      <c r="AQ91" s="326"/>
      <c r="AR91" s="326"/>
      <c r="AS91" s="326"/>
      <c r="AT91" s="326"/>
      <c r="AU91" s="326"/>
      <c r="AV91" s="326"/>
      <c r="AW91" s="326"/>
      <c r="AX91" s="326"/>
      <c r="AY91" s="326"/>
      <c r="AZ91" s="326"/>
      <c r="BA91" s="326"/>
      <c r="BB91" s="327"/>
    </row>
    <row r="92" spans="1:54" ht="15.75" customHeight="1" x14ac:dyDescent="0.25">
      <c r="A92" s="11">
        <f t="shared" si="0"/>
        <v>79</v>
      </c>
      <c r="B92" s="570" t="str">
        <f>'refer admin discharge'!B89</f>
        <v>x</v>
      </c>
      <c r="C92" s="327"/>
      <c r="D92" s="599" t="str">
        <f>'refer admin discharge'!D89</f>
        <v>xx</v>
      </c>
      <c r="E92" s="327"/>
      <c r="F92" s="600" t="str">
        <f>'refer admin discharge'!H89</f>
        <v>00/00/0000</v>
      </c>
      <c r="G92" s="327"/>
      <c r="H92" s="574"/>
      <c r="I92" s="327"/>
      <c r="J92" s="601"/>
      <c r="K92" s="327"/>
      <c r="L92" s="574"/>
      <c r="M92" s="327"/>
      <c r="N92" s="594"/>
      <c r="O92" s="327"/>
      <c r="P92" s="574"/>
      <c r="Q92" s="327"/>
      <c r="R92" s="594"/>
      <c r="S92" s="327"/>
      <c r="T92" s="574"/>
      <c r="U92" s="327"/>
      <c r="V92" s="595" t="str">
        <f>'refer admin discharge'!H93</f>
        <v>00/00/0000</v>
      </c>
      <c r="W92" s="327"/>
      <c r="X92" s="596"/>
      <c r="Y92" s="327"/>
      <c r="Z92" s="597"/>
      <c r="AA92" s="327"/>
      <c r="AB92" s="596"/>
      <c r="AC92" s="327"/>
      <c r="AD92" s="577"/>
      <c r="AE92" s="327"/>
      <c r="AF92" s="596"/>
      <c r="AG92" s="327"/>
      <c r="AH92" s="577"/>
      <c r="AI92" s="327"/>
      <c r="AJ92" s="596"/>
      <c r="AK92" s="327"/>
      <c r="AL92" s="598"/>
      <c r="AM92" s="326"/>
      <c r="AN92" s="326"/>
      <c r="AO92" s="326"/>
      <c r="AP92" s="326"/>
      <c r="AQ92" s="326"/>
      <c r="AR92" s="326"/>
      <c r="AS92" s="326"/>
      <c r="AT92" s="326"/>
      <c r="AU92" s="326"/>
      <c r="AV92" s="326"/>
      <c r="AW92" s="326"/>
      <c r="AX92" s="326"/>
      <c r="AY92" s="326"/>
      <c r="AZ92" s="326"/>
      <c r="BA92" s="326"/>
      <c r="BB92" s="327"/>
    </row>
    <row r="93" spans="1:54" ht="15.75" customHeight="1" x14ac:dyDescent="0.25">
      <c r="A93" s="11">
        <f t="shared" si="0"/>
        <v>80</v>
      </c>
      <c r="B93" s="504" t="str">
        <f>'refer admin discharge'!B90</f>
        <v>x</v>
      </c>
      <c r="C93" s="327"/>
      <c r="D93" s="505" t="str">
        <f>'refer admin discharge'!D90</f>
        <v>xx</v>
      </c>
      <c r="E93" s="327"/>
      <c r="F93" s="606" t="str">
        <f>'refer admin discharge'!H90</f>
        <v>00/00/0000</v>
      </c>
      <c r="G93" s="327"/>
      <c r="H93" s="594"/>
      <c r="I93" s="327"/>
      <c r="J93" s="605"/>
      <c r="K93" s="327"/>
      <c r="L93" s="594"/>
      <c r="M93" s="327"/>
      <c r="N93" s="575"/>
      <c r="O93" s="327"/>
      <c r="P93" s="594"/>
      <c r="Q93" s="327"/>
      <c r="R93" s="575"/>
      <c r="S93" s="327"/>
      <c r="T93" s="594"/>
      <c r="U93" s="327"/>
      <c r="V93" s="603" t="str">
        <f>'refer admin discharge'!H94</f>
        <v>00/00/0000</v>
      </c>
      <c r="W93" s="327"/>
      <c r="X93" s="577"/>
      <c r="Y93" s="327"/>
      <c r="Z93" s="604"/>
      <c r="AA93" s="327"/>
      <c r="AB93" s="577"/>
      <c r="AC93" s="327"/>
      <c r="AD93" s="576"/>
      <c r="AE93" s="327"/>
      <c r="AF93" s="577"/>
      <c r="AG93" s="327"/>
      <c r="AH93" s="576"/>
      <c r="AI93" s="327"/>
      <c r="AJ93" s="577"/>
      <c r="AK93" s="327"/>
      <c r="AL93" s="602"/>
      <c r="AM93" s="326"/>
      <c r="AN93" s="326"/>
      <c r="AO93" s="326"/>
      <c r="AP93" s="326"/>
      <c r="AQ93" s="326"/>
      <c r="AR93" s="326"/>
      <c r="AS93" s="326"/>
      <c r="AT93" s="326"/>
      <c r="AU93" s="326"/>
      <c r="AV93" s="326"/>
      <c r="AW93" s="326"/>
      <c r="AX93" s="326"/>
      <c r="AY93" s="326"/>
      <c r="AZ93" s="326"/>
      <c r="BA93" s="326"/>
      <c r="BB93" s="327"/>
    </row>
    <row r="94" spans="1:54" ht="15.75" customHeight="1" x14ac:dyDescent="0.25">
      <c r="A94" s="11">
        <f t="shared" si="0"/>
        <v>81</v>
      </c>
      <c r="B94" s="570" t="str">
        <f>'refer admin discharge'!B91</f>
        <v>x</v>
      </c>
      <c r="C94" s="327"/>
      <c r="D94" s="599" t="str">
        <f>'refer admin discharge'!D91</f>
        <v>xx</v>
      </c>
      <c r="E94" s="327"/>
      <c r="F94" s="600" t="str">
        <f>'refer admin discharge'!H91</f>
        <v>00/00/0000</v>
      </c>
      <c r="G94" s="327"/>
      <c r="H94" s="574"/>
      <c r="I94" s="327"/>
      <c r="J94" s="601"/>
      <c r="K94" s="327"/>
      <c r="L94" s="574"/>
      <c r="M94" s="327"/>
      <c r="N94" s="594"/>
      <c r="O94" s="327"/>
      <c r="P94" s="574"/>
      <c r="Q94" s="327"/>
      <c r="R94" s="594"/>
      <c r="S94" s="327"/>
      <c r="T94" s="574"/>
      <c r="U94" s="327"/>
      <c r="V94" s="595" t="str">
        <f>'refer admin discharge'!H95</f>
        <v>00/00/0000</v>
      </c>
      <c r="W94" s="327"/>
      <c r="X94" s="596"/>
      <c r="Y94" s="327"/>
      <c r="Z94" s="597"/>
      <c r="AA94" s="327"/>
      <c r="AB94" s="596"/>
      <c r="AC94" s="327"/>
      <c r="AD94" s="577"/>
      <c r="AE94" s="327"/>
      <c r="AF94" s="596"/>
      <c r="AG94" s="327"/>
      <c r="AH94" s="577"/>
      <c r="AI94" s="327"/>
      <c r="AJ94" s="596"/>
      <c r="AK94" s="327"/>
      <c r="AL94" s="598"/>
      <c r="AM94" s="326"/>
      <c r="AN94" s="326"/>
      <c r="AO94" s="326"/>
      <c r="AP94" s="326"/>
      <c r="AQ94" s="326"/>
      <c r="AR94" s="326"/>
      <c r="AS94" s="326"/>
      <c r="AT94" s="326"/>
      <c r="AU94" s="326"/>
      <c r="AV94" s="326"/>
      <c r="AW94" s="326"/>
      <c r="AX94" s="326"/>
      <c r="AY94" s="326"/>
      <c r="AZ94" s="326"/>
      <c r="BA94" s="326"/>
      <c r="BB94" s="327"/>
    </row>
    <row r="95" spans="1:54" ht="15.75" customHeight="1" x14ac:dyDescent="0.25">
      <c r="A95" s="11">
        <f t="shared" si="0"/>
        <v>82</v>
      </c>
      <c r="B95" s="504" t="str">
        <f>'refer admin discharge'!B92</f>
        <v>x</v>
      </c>
      <c r="C95" s="327"/>
      <c r="D95" s="505" t="str">
        <f>'refer admin discharge'!D92</f>
        <v>xx</v>
      </c>
      <c r="E95" s="327"/>
      <c r="F95" s="606" t="str">
        <f>'refer admin discharge'!H92</f>
        <v>00/00/0000</v>
      </c>
      <c r="G95" s="327"/>
      <c r="H95" s="594"/>
      <c r="I95" s="327"/>
      <c r="J95" s="605"/>
      <c r="K95" s="327"/>
      <c r="L95" s="594"/>
      <c r="M95" s="327"/>
      <c r="N95" s="575"/>
      <c r="O95" s="327"/>
      <c r="P95" s="594"/>
      <c r="Q95" s="327"/>
      <c r="R95" s="575"/>
      <c r="S95" s="327"/>
      <c r="T95" s="594"/>
      <c r="U95" s="327"/>
      <c r="V95" s="603" t="str">
        <f>'refer admin discharge'!H96</f>
        <v>00/00/0000</v>
      </c>
      <c r="W95" s="327"/>
      <c r="X95" s="577"/>
      <c r="Y95" s="327"/>
      <c r="Z95" s="604"/>
      <c r="AA95" s="327"/>
      <c r="AB95" s="577"/>
      <c r="AC95" s="327"/>
      <c r="AD95" s="576"/>
      <c r="AE95" s="327"/>
      <c r="AF95" s="577"/>
      <c r="AG95" s="327"/>
      <c r="AH95" s="576"/>
      <c r="AI95" s="327"/>
      <c r="AJ95" s="577"/>
      <c r="AK95" s="327"/>
      <c r="AL95" s="602"/>
      <c r="AM95" s="326"/>
      <c r="AN95" s="326"/>
      <c r="AO95" s="326"/>
      <c r="AP95" s="326"/>
      <c r="AQ95" s="326"/>
      <c r="AR95" s="326"/>
      <c r="AS95" s="326"/>
      <c r="AT95" s="326"/>
      <c r="AU95" s="326"/>
      <c r="AV95" s="326"/>
      <c r="AW95" s="326"/>
      <c r="AX95" s="326"/>
      <c r="AY95" s="326"/>
      <c r="AZ95" s="326"/>
      <c r="BA95" s="326"/>
      <c r="BB95" s="327"/>
    </row>
    <row r="96" spans="1:54" ht="15.75" customHeight="1" x14ac:dyDescent="0.25">
      <c r="A96" s="11">
        <f t="shared" si="0"/>
        <v>83</v>
      </c>
      <c r="B96" s="570" t="str">
        <f>'refer admin discharge'!B93</f>
        <v>x</v>
      </c>
      <c r="C96" s="327"/>
      <c r="D96" s="599" t="str">
        <f>'refer admin discharge'!D93</f>
        <v>xx</v>
      </c>
      <c r="E96" s="327"/>
      <c r="F96" s="600" t="str">
        <f>'refer admin discharge'!H93</f>
        <v>00/00/0000</v>
      </c>
      <c r="G96" s="327"/>
      <c r="H96" s="574"/>
      <c r="I96" s="327"/>
      <c r="J96" s="601"/>
      <c r="K96" s="327"/>
      <c r="L96" s="574"/>
      <c r="M96" s="327"/>
      <c r="N96" s="594"/>
      <c r="O96" s="327"/>
      <c r="P96" s="574"/>
      <c r="Q96" s="327"/>
      <c r="R96" s="594"/>
      <c r="S96" s="327"/>
      <c r="T96" s="574"/>
      <c r="U96" s="327"/>
      <c r="V96" s="595" t="str">
        <f>'refer admin discharge'!H97</f>
        <v>00/00/0000</v>
      </c>
      <c r="W96" s="327"/>
      <c r="X96" s="596"/>
      <c r="Y96" s="327"/>
      <c r="Z96" s="597"/>
      <c r="AA96" s="327"/>
      <c r="AB96" s="596"/>
      <c r="AC96" s="327"/>
      <c r="AD96" s="577"/>
      <c r="AE96" s="327"/>
      <c r="AF96" s="596"/>
      <c r="AG96" s="327"/>
      <c r="AH96" s="577"/>
      <c r="AI96" s="327"/>
      <c r="AJ96" s="596"/>
      <c r="AK96" s="327"/>
      <c r="AL96" s="598"/>
      <c r="AM96" s="326"/>
      <c r="AN96" s="326"/>
      <c r="AO96" s="326"/>
      <c r="AP96" s="326"/>
      <c r="AQ96" s="326"/>
      <c r="AR96" s="326"/>
      <c r="AS96" s="326"/>
      <c r="AT96" s="326"/>
      <c r="AU96" s="326"/>
      <c r="AV96" s="326"/>
      <c r="AW96" s="326"/>
      <c r="AX96" s="326"/>
      <c r="AY96" s="326"/>
      <c r="AZ96" s="326"/>
      <c r="BA96" s="326"/>
      <c r="BB96" s="327"/>
    </row>
    <row r="97" spans="1:54" ht="15.75" customHeight="1" x14ac:dyDescent="0.25">
      <c r="A97" s="11">
        <f t="shared" si="0"/>
        <v>84</v>
      </c>
      <c r="B97" s="504" t="str">
        <f>'refer admin discharge'!B94</f>
        <v>x</v>
      </c>
      <c r="C97" s="327"/>
      <c r="D97" s="505" t="str">
        <f>'refer admin discharge'!D94</f>
        <v>xx</v>
      </c>
      <c r="E97" s="327"/>
      <c r="F97" s="606" t="str">
        <f>'refer admin discharge'!H94</f>
        <v>00/00/0000</v>
      </c>
      <c r="G97" s="327"/>
      <c r="H97" s="594"/>
      <c r="I97" s="327"/>
      <c r="J97" s="605"/>
      <c r="K97" s="327"/>
      <c r="L97" s="594"/>
      <c r="M97" s="327"/>
      <c r="N97" s="575"/>
      <c r="O97" s="327"/>
      <c r="P97" s="594"/>
      <c r="Q97" s="327"/>
      <c r="R97" s="575"/>
      <c r="S97" s="327"/>
      <c r="T97" s="594"/>
      <c r="U97" s="327"/>
      <c r="V97" s="603" t="str">
        <f>'refer admin discharge'!H98</f>
        <v>00/00/0000</v>
      </c>
      <c r="W97" s="327"/>
      <c r="X97" s="577"/>
      <c r="Y97" s="327"/>
      <c r="Z97" s="604"/>
      <c r="AA97" s="327"/>
      <c r="AB97" s="577"/>
      <c r="AC97" s="327"/>
      <c r="AD97" s="576"/>
      <c r="AE97" s="327"/>
      <c r="AF97" s="577"/>
      <c r="AG97" s="327"/>
      <c r="AH97" s="576"/>
      <c r="AI97" s="327"/>
      <c r="AJ97" s="577"/>
      <c r="AK97" s="327"/>
      <c r="AL97" s="602"/>
      <c r="AM97" s="326"/>
      <c r="AN97" s="326"/>
      <c r="AO97" s="326"/>
      <c r="AP97" s="326"/>
      <c r="AQ97" s="326"/>
      <c r="AR97" s="326"/>
      <c r="AS97" s="326"/>
      <c r="AT97" s="326"/>
      <c r="AU97" s="326"/>
      <c r="AV97" s="326"/>
      <c r="AW97" s="326"/>
      <c r="AX97" s="326"/>
      <c r="AY97" s="326"/>
      <c r="AZ97" s="326"/>
      <c r="BA97" s="326"/>
      <c r="BB97" s="327"/>
    </row>
    <row r="98" spans="1:54" ht="15.75" customHeight="1" x14ac:dyDescent="0.25">
      <c r="A98" s="11">
        <f t="shared" si="0"/>
        <v>85</v>
      </c>
      <c r="B98" s="570" t="str">
        <f>'refer admin discharge'!B95</f>
        <v>x</v>
      </c>
      <c r="C98" s="327"/>
      <c r="D98" s="599" t="str">
        <f>'refer admin discharge'!D95</f>
        <v>xx</v>
      </c>
      <c r="E98" s="327"/>
      <c r="F98" s="600" t="str">
        <f>'refer admin discharge'!H95</f>
        <v>00/00/0000</v>
      </c>
      <c r="G98" s="327"/>
      <c r="H98" s="574"/>
      <c r="I98" s="327"/>
      <c r="J98" s="601"/>
      <c r="K98" s="327"/>
      <c r="L98" s="574"/>
      <c r="M98" s="327"/>
      <c r="N98" s="594"/>
      <c r="O98" s="327"/>
      <c r="P98" s="574"/>
      <c r="Q98" s="327"/>
      <c r="R98" s="594"/>
      <c r="S98" s="327"/>
      <c r="T98" s="574"/>
      <c r="U98" s="327"/>
      <c r="V98" s="595" t="str">
        <f>'refer admin discharge'!H99</f>
        <v>00/00/0000</v>
      </c>
      <c r="W98" s="327"/>
      <c r="X98" s="596"/>
      <c r="Y98" s="327"/>
      <c r="Z98" s="597"/>
      <c r="AA98" s="327"/>
      <c r="AB98" s="596"/>
      <c r="AC98" s="327"/>
      <c r="AD98" s="577"/>
      <c r="AE98" s="327"/>
      <c r="AF98" s="596"/>
      <c r="AG98" s="327"/>
      <c r="AH98" s="577"/>
      <c r="AI98" s="327"/>
      <c r="AJ98" s="596"/>
      <c r="AK98" s="327"/>
      <c r="AL98" s="598"/>
      <c r="AM98" s="326"/>
      <c r="AN98" s="326"/>
      <c r="AO98" s="326"/>
      <c r="AP98" s="326"/>
      <c r="AQ98" s="326"/>
      <c r="AR98" s="326"/>
      <c r="AS98" s="326"/>
      <c r="AT98" s="326"/>
      <c r="AU98" s="326"/>
      <c r="AV98" s="326"/>
      <c r="AW98" s="326"/>
      <c r="AX98" s="326"/>
      <c r="AY98" s="326"/>
      <c r="AZ98" s="326"/>
      <c r="BA98" s="326"/>
      <c r="BB98" s="327"/>
    </row>
    <row r="99" spans="1:54" ht="15.75" customHeight="1" x14ac:dyDescent="0.25">
      <c r="A99" s="11">
        <f t="shared" si="0"/>
        <v>86</v>
      </c>
      <c r="B99" s="504" t="str">
        <f>'refer admin discharge'!B96</f>
        <v>x</v>
      </c>
      <c r="C99" s="327"/>
      <c r="D99" s="505" t="str">
        <f>'refer admin discharge'!D96</f>
        <v>xx</v>
      </c>
      <c r="E99" s="327"/>
      <c r="F99" s="606" t="str">
        <f>'refer admin discharge'!H96</f>
        <v>00/00/0000</v>
      </c>
      <c r="G99" s="327"/>
      <c r="H99" s="594"/>
      <c r="I99" s="327"/>
      <c r="J99" s="605"/>
      <c r="K99" s="327"/>
      <c r="L99" s="594"/>
      <c r="M99" s="327"/>
      <c r="N99" s="575"/>
      <c r="O99" s="327"/>
      <c r="P99" s="594"/>
      <c r="Q99" s="327"/>
      <c r="R99" s="575"/>
      <c r="S99" s="327"/>
      <c r="T99" s="594"/>
      <c r="U99" s="327"/>
      <c r="V99" s="603" t="str">
        <f>'refer admin discharge'!H100</f>
        <v>00/00/0000</v>
      </c>
      <c r="W99" s="327"/>
      <c r="X99" s="577"/>
      <c r="Y99" s="327"/>
      <c r="Z99" s="604"/>
      <c r="AA99" s="327"/>
      <c r="AB99" s="577"/>
      <c r="AC99" s="327"/>
      <c r="AD99" s="576"/>
      <c r="AE99" s="327"/>
      <c r="AF99" s="577"/>
      <c r="AG99" s="327"/>
      <c r="AH99" s="576"/>
      <c r="AI99" s="327"/>
      <c r="AJ99" s="577"/>
      <c r="AK99" s="327"/>
      <c r="AL99" s="602"/>
      <c r="AM99" s="326"/>
      <c r="AN99" s="326"/>
      <c r="AO99" s="326"/>
      <c r="AP99" s="326"/>
      <c r="AQ99" s="326"/>
      <c r="AR99" s="326"/>
      <c r="AS99" s="326"/>
      <c r="AT99" s="326"/>
      <c r="AU99" s="326"/>
      <c r="AV99" s="326"/>
      <c r="AW99" s="326"/>
      <c r="AX99" s="326"/>
      <c r="AY99" s="326"/>
      <c r="AZ99" s="326"/>
      <c r="BA99" s="326"/>
      <c r="BB99" s="327"/>
    </row>
    <row r="100" spans="1:54" ht="15.75" customHeight="1" x14ac:dyDescent="0.25">
      <c r="A100" s="11">
        <f t="shared" si="0"/>
        <v>87</v>
      </c>
      <c r="B100" s="570" t="str">
        <f>'refer admin discharge'!B97</f>
        <v>x</v>
      </c>
      <c r="C100" s="327"/>
      <c r="D100" s="599" t="str">
        <f>'refer admin discharge'!D97</f>
        <v>xx</v>
      </c>
      <c r="E100" s="327"/>
      <c r="F100" s="600" t="str">
        <f>'refer admin discharge'!H97</f>
        <v>00/00/0000</v>
      </c>
      <c r="G100" s="327"/>
      <c r="H100" s="574"/>
      <c r="I100" s="327"/>
      <c r="J100" s="601"/>
      <c r="K100" s="327"/>
      <c r="L100" s="574"/>
      <c r="M100" s="327"/>
      <c r="N100" s="594"/>
      <c r="O100" s="327"/>
      <c r="P100" s="574"/>
      <c r="Q100" s="327"/>
      <c r="R100" s="594"/>
      <c r="S100" s="327"/>
      <c r="T100" s="574"/>
      <c r="U100" s="327"/>
      <c r="V100" s="595" t="str">
        <f>'refer admin discharge'!H101</f>
        <v>00/00/0000</v>
      </c>
      <c r="W100" s="327"/>
      <c r="X100" s="596"/>
      <c r="Y100" s="327"/>
      <c r="Z100" s="597"/>
      <c r="AA100" s="327"/>
      <c r="AB100" s="596"/>
      <c r="AC100" s="327"/>
      <c r="AD100" s="577"/>
      <c r="AE100" s="327"/>
      <c r="AF100" s="596"/>
      <c r="AG100" s="327"/>
      <c r="AH100" s="577"/>
      <c r="AI100" s="327"/>
      <c r="AJ100" s="596"/>
      <c r="AK100" s="327"/>
      <c r="AL100" s="598"/>
      <c r="AM100" s="326"/>
      <c r="AN100" s="326"/>
      <c r="AO100" s="326"/>
      <c r="AP100" s="326"/>
      <c r="AQ100" s="326"/>
      <c r="AR100" s="326"/>
      <c r="AS100" s="326"/>
      <c r="AT100" s="326"/>
      <c r="AU100" s="326"/>
      <c r="AV100" s="326"/>
      <c r="AW100" s="326"/>
      <c r="AX100" s="326"/>
      <c r="AY100" s="326"/>
      <c r="AZ100" s="326"/>
      <c r="BA100" s="326"/>
      <c r="BB100" s="327"/>
    </row>
    <row r="101" spans="1:54" ht="15.75" customHeight="1" x14ac:dyDescent="0.25">
      <c r="A101" s="11">
        <f t="shared" si="0"/>
        <v>88</v>
      </c>
      <c r="B101" s="504" t="str">
        <f>'refer admin discharge'!B98</f>
        <v>x</v>
      </c>
      <c r="C101" s="327"/>
      <c r="D101" s="505" t="str">
        <f>'refer admin discharge'!D98</f>
        <v>xx</v>
      </c>
      <c r="E101" s="327"/>
      <c r="F101" s="606" t="str">
        <f>'refer admin discharge'!H98</f>
        <v>00/00/0000</v>
      </c>
      <c r="G101" s="327"/>
      <c r="H101" s="594"/>
      <c r="I101" s="327"/>
      <c r="J101" s="605"/>
      <c r="K101" s="327"/>
      <c r="L101" s="594"/>
      <c r="M101" s="327"/>
      <c r="N101" s="575"/>
      <c r="O101" s="327"/>
      <c r="P101" s="594"/>
      <c r="Q101" s="327"/>
      <c r="R101" s="575"/>
      <c r="S101" s="327"/>
      <c r="T101" s="594"/>
      <c r="U101" s="327"/>
      <c r="V101" s="603" t="str">
        <f>'refer admin discharge'!H102</f>
        <v>00/00/0000</v>
      </c>
      <c r="W101" s="327"/>
      <c r="X101" s="577"/>
      <c r="Y101" s="327"/>
      <c r="Z101" s="604"/>
      <c r="AA101" s="327"/>
      <c r="AB101" s="577"/>
      <c r="AC101" s="327"/>
      <c r="AD101" s="576"/>
      <c r="AE101" s="327"/>
      <c r="AF101" s="577"/>
      <c r="AG101" s="327"/>
      <c r="AH101" s="576"/>
      <c r="AI101" s="327"/>
      <c r="AJ101" s="577"/>
      <c r="AK101" s="327"/>
      <c r="AL101" s="602"/>
      <c r="AM101" s="326"/>
      <c r="AN101" s="326"/>
      <c r="AO101" s="326"/>
      <c r="AP101" s="326"/>
      <c r="AQ101" s="326"/>
      <c r="AR101" s="326"/>
      <c r="AS101" s="326"/>
      <c r="AT101" s="326"/>
      <c r="AU101" s="326"/>
      <c r="AV101" s="326"/>
      <c r="AW101" s="326"/>
      <c r="AX101" s="326"/>
      <c r="AY101" s="326"/>
      <c r="AZ101" s="326"/>
      <c r="BA101" s="326"/>
      <c r="BB101" s="327"/>
    </row>
    <row r="102" spans="1:54" ht="15.75" customHeight="1" x14ac:dyDescent="0.25">
      <c r="A102" s="11">
        <f t="shared" si="0"/>
        <v>89</v>
      </c>
      <c r="B102" s="570" t="str">
        <f>'refer admin discharge'!B99</f>
        <v>x</v>
      </c>
      <c r="C102" s="327"/>
      <c r="D102" s="599" t="str">
        <f>'refer admin discharge'!D99</f>
        <v>xx</v>
      </c>
      <c r="E102" s="327"/>
      <c r="F102" s="600" t="str">
        <f>'refer admin discharge'!H99</f>
        <v>00/00/0000</v>
      </c>
      <c r="G102" s="327"/>
      <c r="H102" s="574"/>
      <c r="I102" s="327"/>
      <c r="J102" s="601"/>
      <c r="K102" s="327"/>
      <c r="L102" s="574"/>
      <c r="M102" s="327"/>
      <c r="N102" s="594"/>
      <c r="O102" s="327"/>
      <c r="P102" s="574"/>
      <c r="Q102" s="327"/>
      <c r="R102" s="594"/>
      <c r="S102" s="327"/>
      <c r="T102" s="574"/>
      <c r="U102" s="327"/>
      <c r="V102" s="595" t="str">
        <f>'refer admin discharge'!H103</f>
        <v>00/00/0000</v>
      </c>
      <c r="W102" s="327"/>
      <c r="X102" s="596"/>
      <c r="Y102" s="327"/>
      <c r="Z102" s="597"/>
      <c r="AA102" s="327"/>
      <c r="AB102" s="596"/>
      <c r="AC102" s="327"/>
      <c r="AD102" s="577"/>
      <c r="AE102" s="327"/>
      <c r="AF102" s="596"/>
      <c r="AG102" s="327"/>
      <c r="AH102" s="577"/>
      <c r="AI102" s="327"/>
      <c r="AJ102" s="596"/>
      <c r="AK102" s="327"/>
      <c r="AL102" s="598"/>
      <c r="AM102" s="326"/>
      <c r="AN102" s="326"/>
      <c r="AO102" s="326"/>
      <c r="AP102" s="326"/>
      <c r="AQ102" s="326"/>
      <c r="AR102" s="326"/>
      <c r="AS102" s="326"/>
      <c r="AT102" s="326"/>
      <c r="AU102" s="326"/>
      <c r="AV102" s="326"/>
      <c r="AW102" s="326"/>
      <c r="AX102" s="326"/>
      <c r="AY102" s="326"/>
      <c r="AZ102" s="326"/>
      <c r="BA102" s="326"/>
      <c r="BB102" s="327"/>
    </row>
    <row r="103" spans="1:54" ht="15.75" customHeight="1" x14ac:dyDescent="0.25">
      <c r="A103" s="11">
        <f t="shared" si="0"/>
        <v>90</v>
      </c>
      <c r="B103" s="504" t="str">
        <f>'refer admin discharge'!B100</f>
        <v>x</v>
      </c>
      <c r="C103" s="327"/>
      <c r="D103" s="505" t="str">
        <f>'refer admin discharge'!D100</f>
        <v>xx</v>
      </c>
      <c r="E103" s="327"/>
      <c r="F103" s="606" t="str">
        <f>'refer admin discharge'!H100</f>
        <v>00/00/0000</v>
      </c>
      <c r="G103" s="327"/>
      <c r="H103" s="594"/>
      <c r="I103" s="327"/>
      <c r="J103" s="605"/>
      <c r="K103" s="327"/>
      <c r="L103" s="594"/>
      <c r="M103" s="327"/>
      <c r="N103" s="575"/>
      <c r="O103" s="327"/>
      <c r="P103" s="594"/>
      <c r="Q103" s="327"/>
      <c r="R103" s="575"/>
      <c r="S103" s="327"/>
      <c r="T103" s="594"/>
      <c r="U103" s="327"/>
      <c r="V103" s="603" t="str">
        <f>'refer admin discharge'!H104</f>
        <v>00/00/0000</v>
      </c>
      <c r="W103" s="327"/>
      <c r="X103" s="577"/>
      <c r="Y103" s="327"/>
      <c r="Z103" s="604"/>
      <c r="AA103" s="327"/>
      <c r="AB103" s="577"/>
      <c r="AC103" s="327"/>
      <c r="AD103" s="576"/>
      <c r="AE103" s="327"/>
      <c r="AF103" s="577"/>
      <c r="AG103" s="327"/>
      <c r="AH103" s="576"/>
      <c r="AI103" s="327"/>
      <c r="AJ103" s="577"/>
      <c r="AK103" s="327"/>
      <c r="AL103" s="602"/>
      <c r="AM103" s="326"/>
      <c r="AN103" s="326"/>
      <c r="AO103" s="326"/>
      <c r="AP103" s="326"/>
      <c r="AQ103" s="326"/>
      <c r="AR103" s="326"/>
      <c r="AS103" s="326"/>
      <c r="AT103" s="326"/>
      <c r="AU103" s="326"/>
      <c r="AV103" s="326"/>
      <c r="AW103" s="326"/>
      <c r="AX103" s="326"/>
      <c r="AY103" s="326"/>
      <c r="AZ103" s="326"/>
      <c r="BA103" s="326"/>
      <c r="BB103" s="327"/>
    </row>
    <row r="104" spans="1:54" ht="15.75" customHeight="1" x14ac:dyDescent="0.25">
      <c r="A104" s="11">
        <f t="shared" si="0"/>
        <v>91</v>
      </c>
      <c r="B104" s="570" t="str">
        <f>'refer admin discharge'!B101</f>
        <v>x</v>
      </c>
      <c r="C104" s="327"/>
      <c r="D104" s="599" t="str">
        <f>'refer admin discharge'!D101</f>
        <v>xx</v>
      </c>
      <c r="E104" s="327"/>
      <c r="F104" s="600" t="str">
        <f>'refer admin discharge'!H101</f>
        <v>00/00/0000</v>
      </c>
      <c r="G104" s="327"/>
      <c r="H104" s="574"/>
      <c r="I104" s="327"/>
      <c r="J104" s="601"/>
      <c r="K104" s="327"/>
      <c r="L104" s="574"/>
      <c r="M104" s="327"/>
      <c r="N104" s="594"/>
      <c r="O104" s="327"/>
      <c r="P104" s="574"/>
      <c r="Q104" s="327"/>
      <c r="R104" s="594"/>
      <c r="S104" s="327"/>
      <c r="T104" s="574"/>
      <c r="U104" s="327"/>
      <c r="V104" s="595" t="str">
        <f>'refer admin discharge'!H105</f>
        <v>00/00/0000</v>
      </c>
      <c r="W104" s="327"/>
      <c r="X104" s="596"/>
      <c r="Y104" s="327"/>
      <c r="Z104" s="597"/>
      <c r="AA104" s="327"/>
      <c r="AB104" s="596"/>
      <c r="AC104" s="327"/>
      <c r="AD104" s="577"/>
      <c r="AE104" s="327"/>
      <c r="AF104" s="596"/>
      <c r="AG104" s="327"/>
      <c r="AH104" s="577"/>
      <c r="AI104" s="327"/>
      <c r="AJ104" s="596"/>
      <c r="AK104" s="327"/>
      <c r="AL104" s="598"/>
      <c r="AM104" s="326"/>
      <c r="AN104" s="326"/>
      <c r="AO104" s="326"/>
      <c r="AP104" s="326"/>
      <c r="AQ104" s="326"/>
      <c r="AR104" s="326"/>
      <c r="AS104" s="326"/>
      <c r="AT104" s="326"/>
      <c r="AU104" s="326"/>
      <c r="AV104" s="326"/>
      <c r="AW104" s="326"/>
      <c r="AX104" s="326"/>
      <c r="AY104" s="326"/>
      <c r="AZ104" s="326"/>
      <c r="BA104" s="326"/>
      <c r="BB104" s="327"/>
    </row>
    <row r="105" spans="1:54" ht="15.75" customHeight="1" x14ac:dyDescent="0.25">
      <c r="A105" s="11">
        <f t="shared" si="0"/>
        <v>92</v>
      </c>
      <c r="B105" s="504" t="str">
        <f>'refer admin discharge'!B102</f>
        <v>x</v>
      </c>
      <c r="C105" s="327"/>
      <c r="D105" s="505" t="str">
        <f>'refer admin discharge'!D102</f>
        <v>xx</v>
      </c>
      <c r="E105" s="327"/>
      <c r="F105" s="606" t="str">
        <f>'refer admin discharge'!H102</f>
        <v>00/00/0000</v>
      </c>
      <c r="G105" s="327"/>
      <c r="H105" s="594"/>
      <c r="I105" s="327"/>
      <c r="J105" s="605"/>
      <c r="K105" s="327"/>
      <c r="L105" s="594"/>
      <c r="M105" s="327"/>
      <c r="N105" s="575"/>
      <c r="O105" s="327"/>
      <c r="P105" s="594"/>
      <c r="Q105" s="327"/>
      <c r="R105" s="575"/>
      <c r="S105" s="327"/>
      <c r="T105" s="594"/>
      <c r="U105" s="327"/>
      <c r="V105" s="603" t="str">
        <f>'refer admin discharge'!H106</f>
        <v>00/00/0000</v>
      </c>
      <c r="W105" s="327"/>
      <c r="X105" s="577"/>
      <c r="Y105" s="327"/>
      <c r="Z105" s="604"/>
      <c r="AA105" s="327"/>
      <c r="AB105" s="577"/>
      <c r="AC105" s="327"/>
      <c r="AD105" s="576"/>
      <c r="AE105" s="327"/>
      <c r="AF105" s="577"/>
      <c r="AG105" s="327"/>
      <c r="AH105" s="576"/>
      <c r="AI105" s="327"/>
      <c r="AJ105" s="577"/>
      <c r="AK105" s="327"/>
      <c r="AL105" s="602"/>
      <c r="AM105" s="326"/>
      <c r="AN105" s="326"/>
      <c r="AO105" s="326"/>
      <c r="AP105" s="326"/>
      <c r="AQ105" s="326"/>
      <c r="AR105" s="326"/>
      <c r="AS105" s="326"/>
      <c r="AT105" s="326"/>
      <c r="AU105" s="326"/>
      <c r="AV105" s="326"/>
      <c r="AW105" s="326"/>
      <c r="AX105" s="326"/>
      <c r="AY105" s="326"/>
      <c r="AZ105" s="326"/>
      <c r="BA105" s="326"/>
      <c r="BB105" s="327"/>
    </row>
    <row r="106" spans="1:54" ht="15.75" customHeight="1" x14ac:dyDescent="0.25">
      <c r="A106" s="11">
        <f t="shared" si="0"/>
        <v>93</v>
      </c>
      <c r="B106" s="570" t="str">
        <f>'refer admin discharge'!B103</f>
        <v>x</v>
      </c>
      <c r="C106" s="327"/>
      <c r="D106" s="599" t="str">
        <f>'refer admin discharge'!D103</f>
        <v>xx</v>
      </c>
      <c r="E106" s="327"/>
      <c r="F106" s="600" t="str">
        <f>'refer admin discharge'!H103</f>
        <v>00/00/0000</v>
      </c>
      <c r="G106" s="327"/>
      <c r="H106" s="574"/>
      <c r="I106" s="327"/>
      <c r="J106" s="601"/>
      <c r="K106" s="327"/>
      <c r="L106" s="574"/>
      <c r="M106" s="327"/>
      <c r="N106" s="594"/>
      <c r="O106" s="327"/>
      <c r="P106" s="574"/>
      <c r="Q106" s="327"/>
      <c r="R106" s="594"/>
      <c r="S106" s="327"/>
      <c r="T106" s="574"/>
      <c r="U106" s="327"/>
      <c r="V106" s="595" t="str">
        <f>'refer admin discharge'!H107</f>
        <v>00/00/0000</v>
      </c>
      <c r="W106" s="327"/>
      <c r="X106" s="596"/>
      <c r="Y106" s="327"/>
      <c r="Z106" s="597"/>
      <c r="AA106" s="327"/>
      <c r="AB106" s="596"/>
      <c r="AC106" s="327"/>
      <c r="AD106" s="577"/>
      <c r="AE106" s="327"/>
      <c r="AF106" s="596"/>
      <c r="AG106" s="327"/>
      <c r="AH106" s="577"/>
      <c r="AI106" s="327"/>
      <c r="AJ106" s="596"/>
      <c r="AK106" s="327"/>
      <c r="AL106" s="598"/>
      <c r="AM106" s="326"/>
      <c r="AN106" s="326"/>
      <c r="AO106" s="326"/>
      <c r="AP106" s="326"/>
      <c r="AQ106" s="326"/>
      <c r="AR106" s="326"/>
      <c r="AS106" s="326"/>
      <c r="AT106" s="326"/>
      <c r="AU106" s="326"/>
      <c r="AV106" s="326"/>
      <c r="AW106" s="326"/>
      <c r="AX106" s="326"/>
      <c r="AY106" s="326"/>
      <c r="AZ106" s="326"/>
      <c r="BA106" s="326"/>
      <c r="BB106" s="327"/>
    </row>
    <row r="107" spans="1:54" ht="15.75" customHeight="1" x14ac:dyDescent="0.25">
      <c r="A107" s="11">
        <f t="shared" si="0"/>
        <v>94</v>
      </c>
      <c r="B107" s="504" t="str">
        <f>'refer admin discharge'!B104</f>
        <v>x</v>
      </c>
      <c r="C107" s="327"/>
      <c r="D107" s="505" t="str">
        <f>'refer admin discharge'!D104</f>
        <v>xx</v>
      </c>
      <c r="E107" s="327"/>
      <c r="F107" s="606" t="str">
        <f>'refer admin discharge'!H104</f>
        <v>00/00/0000</v>
      </c>
      <c r="G107" s="327"/>
      <c r="H107" s="594"/>
      <c r="I107" s="327"/>
      <c r="J107" s="605"/>
      <c r="K107" s="327"/>
      <c r="L107" s="594"/>
      <c r="M107" s="327"/>
      <c r="N107" s="575"/>
      <c r="O107" s="327"/>
      <c r="P107" s="594"/>
      <c r="Q107" s="327"/>
      <c r="R107" s="575"/>
      <c r="S107" s="327"/>
      <c r="T107" s="594"/>
      <c r="U107" s="327"/>
      <c r="V107" s="603" t="str">
        <f>'refer admin discharge'!H108</f>
        <v>00/00/0000</v>
      </c>
      <c r="W107" s="327"/>
      <c r="X107" s="577"/>
      <c r="Y107" s="327"/>
      <c r="Z107" s="604"/>
      <c r="AA107" s="327"/>
      <c r="AB107" s="577"/>
      <c r="AC107" s="327"/>
      <c r="AD107" s="576"/>
      <c r="AE107" s="327"/>
      <c r="AF107" s="577"/>
      <c r="AG107" s="327"/>
      <c r="AH107" s="576"/>
      <c r="AI107" s="327"/>
      <c r="AJ107" s="577"/>
      <c r="AK107" s="327"/>
      <c r="AL107" s="602"/>
      <c r="AM107" s="326"/>
      <c r="AN107" s="326"/>
      <c r="AO107" s="326"/>
      <c r="AP107" s="326"/>
      <c r="AQ107" s="326"/>
      <c r="AR107" s="326"/>
      <c r="AS107" s="326"/>
      <c r="AT107" s="326"/>
      <c r="AU107" s="326"/>
      <c r="AV107" s="326"/>
      <c r="AW107" s="326"/>
      <c r="AX107" s="326"/>
      <c r="AY107" s="326"/>
      <c r="AZ107" s="326"/>
      <c r="BA107" s="326"/>
      <c r="BB107" s="327"/>
    </row>
    <row r="108" spans="1:54" ht="15.75" customHeight="1" x14ac:dyDescent="0.25">
      <c r="A108" s="11">
        <f t="shared" si="0"/>
        <v>95</v>
      </c>
      <c r="B108" s="570" t="str">
        <f>'refer admin discharge'!B105</f>
        <v>x</v>
      </c>
      <c r="C108" s="327"/>
      <c r="D108" s="599" t="str">
        <f>'refer admin discharge'!D105</f>
        <v>xx</v>
      </c>
      <c r="E108" s="327"/>
      <c r="F108" s="600" t="str">
        <f>'refer admin discharge'!H105</f>
        <v>00/00/0000</v>
      </c>
      <c r="G108" s="327"/>
      <c r="H108" s="574"/>
      <c r="I108" s="327"/>
      <c r="J108" s="601"/>
      <c r="K108" s="327"/>
      <c r="L108" s="574"/>
      <c r="M108" s="327"/>
      <c r="N108" s="594"/>
      <c r="O108" s="327"/>
      <c r="P108" s="574"/>
      <c r="Q108" s="327"/>
      <c r="R108" s="594"/>
      <c r="S108" s="327"/>
      <c r="T108" s="574"/>
      <c r="U108" s="327"/>
      <c r="V108" s="595" t="str">
        <f>'refer admin discharge'!H109</f>
        <v>00/00/0000</v>
      </c>
      <c r="W108" s="327"/>
      <c r="X108" s="596"/>
      <c r="Y108" s="327"/>
      <c r="Z108" s="597"/>
      <c r="AA108" s="327"/>
      <c r="AB108" s="596"/>
      <c r="AC108" s="327"/>
      <c r="AD108" s="577"/>
      <c r="AE108" s="327"/>
      <c r="AF108" s="596"/>
      <c r="AG108" s="327"/>
      <c r="AH108" s="577"/>
      <c r="AI108" s="327"/>
      <c r="AJ108" s="596"/>
      <c r="AK108" s="327"/>
      <c r="AL108" s="598"/>
      <c r="AM108" s="326"/>
      <c r="AN108" s="326"/>
      <c r="AO108" s="326"/>
      <c r="AP108" s="326"/>
      <c r="AQ108" s="326"/>
      <c r="AR108" s="326"/>
      <c r="AS108" s="326"/>
      <c r="AT108" s="326"/>
      <c r="AU108" s="326"/>
      <c r="AV108" s="326"/>
      <c r="AW108" s="326"/>
      <c r="AX108" s="326"/>
      <c r="AY108" s="326"/>
      <c r="AZ108" s="326"/>
      <c r="BA108" s="326"/>
      <c r="BB108" s="327"/>
    </row>
    <row r="109" spans="1:54" ht="15.75" customHeight="1" x14ac:dyDescent="0.25">
      <c r="A109" s="11">
        <f t="shared" si="0"/>
        <v>96</v>
      </c>
      <c r="B109" s="504" t="str">
        <f>'refer admin discharge'!B106</f>
        <v>x</v>
      </c>
      <c r="C109" s="327"/>
      <c r="D109" s="505" t="str">
        <f>'refer admin discharge'!D106</f>
        <v>xx</v>
      </c>
      <c r="E109" s="327"/>
      <c r="F109" s="606" t="str">
        <f>'refer admin discharge'!H106</f>
        <v>00/00/0000</v>
      </c>
      <c r="G109" s="327"/>
      <c r="H109" s="594"/>
      <c r="I109" s="327"/>
      <c r="J109" s="605"/>
      <c r="K109" s="327"/>
      <c r="L109" s="594"/>
      <c r="M109" s="327"/>
      <c r="N109" s="575"/>
      <c r="O109" s="327"/>
      <c r="P109" s="594"/>
      <c r="Q109" s="327"/>
      <c r="R109" s="575"/>
      <c r="S109" s="327"/>
      <c r="T109" s="594"/>
      <c r="U109" s="327"/>
      <c r="V109" s="603" t="str">
        <f>'refer admin discharge'!H110</f>
        <v>00/00/0000</v>
      </c>
      <c r="W109" s="327"/>
      <c r="X109" s="577"/>
      <c r="Y109" s="327"/>
      <c r="Z109" s="604"/>
      <c r="AA109" s="327"/>
      <c r="AB109" s="577"/>
      <c r="AC109" s="327"/>
      <c r="AD109" s="576"/>
      <c r="AE109" s="327"/>
      <c r="AF109" s="577"/>
      <c r="AG109" s="327"/>
      <c r="AH109" s="576"/>
      <c r="AI109" s="327"/>
      <c r="AJ109" s="577"/>
      <c r="AK109" s="327"/>
      <c r="AL109" s="602"/>
      <c r="AM109" s="326"/>
      <c r="AN109" s="326"/>
      <c r="AO109" s="326"/>
      <c r="AP109" s="326"/>
      <c r="AQ109" s="326"/>
      <c r="AR109" s="326"/>
      <c r="AS109" s="326"/>
      <c r="AT109" s="326"/>
      <c r="AU109" s="326"/>
      <c r="AV109" s="326"/>
      <c r="AW109" s="326"/>
      <c r="AX109" s="326"/>
      <c r="AY109" s="326"/>
      <c r="AZ109" s="326"/>
      <c r="BA109" s="326"/>
      <c r="BB109" s="327"/>
    </row>
    <row r="110" spans="1:54" ht="15.75" customHeight="1" x14ac:dyDescent="0.25">
      <c r="A110" s="11">
        <f t="shared" si="0"/>
        <v>97</v>
      </c>
      <c r="B110" s="570" t="str">
        <f>'refer admin discharge'!B107</f>
        <v>x</v>
      </c>
      <c r="C110" s="327"/>
      <c r="D110" s="599" t="str">
        <f>'refer admin discharge'!D107</f>
        <v>xx</v>
      </c>
      <c r="E110" s="327"/>
      <c r="F110" s="600" t="str">
        <f>'refer admin discharge'!H107</f>
        <v>00/00/0000</v>
      </c>
      <c r="G110" s="327"/>
      <c r="H110" s="574"/>
      <c r="I110" s="327"/>
      <c r="J110" s="601"/>
      <c r="K110" s="327"/>
      <c r="L110" s="574"/>
      <c r="M110" s="327"/>
      <c r="N110" s="594"/>
      <c r="O110" s="327"/>
      <c r="P110" s="574"/>
      <c r="Q110" s="327"/>
      <c r="R110" s="594"/>
      <c r="S110" s="327"/>
      <c r="T110" s="574"/>
      <c r="U110" s="327"/>
      <c r="V110" s="595" t="str">
        <f>'refer admin discharge'!H111</f>
        <v>00/00/0000</v>
      </c>
      <c r="W110" s="327"/>
      <c r="X110" s="596"/>
      <c r="Y110" s="327"/>
      <c r="Z110" s="597"/>
      <c r="AA110" s="327"/>
      <c r="AB110" s="596"/>
      <c r="AC110" s="327"/>
      <c r="AD110" s="577"/>
      <c r="AE110" s="327"/>
      <c r="AF110" s="596"/>
      <c r="AG110" s="327"/>
      <c r="AH110" s="577"/>
      <c r="AI110" s="327"/>
      <c r="AJ110" s="596"/>
      <c r="AK110" s="327"/>
      <c r="AL110" s="598"/>
      <c r="AM110" s="326"/>
      <c r="AN110" s="326"/>
      <c r="AO110" s="326"/>
      <c r="AP110" s="326"/>
      <c r="AQ110" s="326"/>
      <c r="AR110" s="326"/>
      <c r="AS110" s="326"/>
      <c r="AT110" s="326"/>
      <c r="AU110" s="326"/>
      <c r="AV110" s="326"/>
      <c r="AW110" s="326"/>
      <c r="AX110" s="326"/>
      <c r="AY110" s="326"/>
      <c r="AZ110" s="326"/>
      <c r="BA110" s="326"/>
      <c r="BB110" s="327"/>
    </row>
    <row r="111" spans="1:54" ht="15.75" customHeight="1" x14ac:dyDescent="0.25">
      <c r="A111" s="11">
        <f t="shared" si="0"/>
        <v>98</v>
      </c>
      <c r="B111" s="504" t="str">
        <f>'refer admin discharge'!B108</f>
        <v>x</v>
      </c>
      <c r="C111" s="327"/>
      <c r="D111" s="505" t="str">
        <f>'refer admin discharge'!D108</f>
        <v>xx</v>
      </c>
      <c r="E111" s="327"/>
      <c r="F111" s="606" t="str">
        <f>'refer admin discharge'!H108</f>
        <v>00/00/0000</v>
      </c>
      <c r="G111" s="327"/>
      <c r="H111" s="594"/>
      <c r="I111" s="327"/>
      <c r="J111" s="605"/>
      <c r="K111" s="327"/>
      <c r="L111" s="594"/>
      <c r="M111" s="327"/>
      <c r="N111" s="575"/>
      <c r="O111" s="327"/>
      <c r="P111" s="594"/>
      <c r="Q111" s="327"/>
      <c r="R111" s="575"/>
      <c r="S111" s="327"/>
      <c r="T111" s="594"/>
      <c r="U111" s="327"/>
      <c r="V111" s="603" t="str">
        <f>'refer admin discharge'!H112</f>
        <v>00/00/0000</v>
      </c>
      <c r="W111" s="327"/>
      <c r="X111" s="577"/>
      <c r="Y111" s="327"/>
      <c r="Z111" s="604"/>
      <c r="AA111" s="327"/>
      <c r="AB111" s="577"/>
      <c r="AC111" s="327"/>
      <c r="AD111" s="576"/>
      <c r="AE111" s="327"/>
      <c r="AF111" s="577"/>
      <c r="AG111" s="327"/>
      <c r="AH111" s="576"/>
      <c r="AI111" s="327"/>
      <c r="AJ111" s="577"/>
      <c r="AK111" s="327"/>
      <c r="AL111" s="602"/>
      <c r="AM111" s="326"/>
      <c r="AN111" s="326"/>
      <c r="AO111" s="326"/>
      <c r="AP111" s="326"/>
      <c r="AQ111" s="326"/>
      <c r="AR111" s="326"/>
      <c r="AS111" s="326"/>
      <c r="AT111" s="326"/>
      <c r="AU111" s="326"/>
      <c r="AV111" s="326"/>
      <c r="AW111" s="326"/>
      <c r="AX111" s="326"/>
      <c r="AY111" s="326"/>
      <c r="AZ111" s="326"/>
      <c r="BA111" s="326"/>
      <c r="BB111" s="327"/>
    </row>
    <row r="112" spans="1:54" ht="15.75" customHeight="1" x14ac:dyDescent="0.25">
      <c r="A112" s="11">
        <f t="shared" si="0"/>
        <v>99</v>
      </c>
      <c r="B112" s="570" t="str">
        <f>'refer admin discharge'!B109</f>
        <v>x</v>
      </c>
      <c r="C112" s="327"/>
      <c r="D112" s="599" t="str">
        <f>'refer admin discharge'!D109</f>
        <v>xx</v>
      </c>
      <c r="E112" s="327"/>
      <c r="F112" s="600" t="str">
        <f>'refer admin discharge'!H109</f>
        <v>00/00/0000</v>
      </c>
      <c r="G112" s="327"/>
      <c r="H112" s="574"/>
      <c r="I112" s="327"/>
      <c r="J112" s="601"/>
      <c r="K112" s="327"/>
      <c r="L112" s="574"/>
      <c r="M112" s="327"/>
      <c r="N112" s="594"/>
      <c r="O112" s="327"/>
      <c r="P112" s="574"/>
      <c r="Q112" s="327"/>
      <c r="R112" s="594"/>
      <c r="S112" s="327"/>
      <c r="T112" s="574"/>
      <c r="U112" s="327"/>
      <c r="V112" s="595" t="str">
        <f>'refer admin discharge'!H113</f>
        <v>00/00/0000</v>
      </c>
      <c r="W112" s="327"/>
      <c r="X112" s="596"/>
      <c r="Y112" s="327"/>
      <c r="Z112" s="597"/>
      <c r="AA112" s="327"/>
      <c r="AB112" s="596"/>
      <c r="AC112" s="327"/>
      <c r="AD112" s="577"/>
      <c r="AE112" s="327"/>
      <c r="AF112" s="596"/>
      <c r="AG112" s="327"/>
      <c r="AH112" s="577"/>
      <c r="AI112" s="327"/>
      <c r="AJ112" s="596"/>
      <c r="AK112" s="327"/>
      <c r="AL112" s="598"/>
      <c r="AM112" s="326"/>
      <c r="AN112" s="326"/>
      <c r="AO112" s="326"/>
      <c r="AP112" s="326"/>
      <c r="AQ112" s="326"/>
      <c r="AR112" s="326"/>
      <c r="AS112" s="326"/>
      <c r="AT112" s="326"/>
      <c r="AU112" s="326"/>
      <c r="AV112" s="326"/>
      <c r="AW112" s="326"/>
      <c r="AX112" s="326"/>
      <c r="AY112" s="326"/>
      <c r="AZ112" s="326"/>
      <c r="BA112" s="326"/>
      <c r="BB112" s="327"/>
    </row>
    <row r="113" spans="1:54" ht="15.75" customHeight="1" x14ac:dyDescent="0.25">
      <c r="A113" s="11">
        <f t="shared" si="0"/>
        <v>100</v>
      </c>
      <c r="B113" s="504" t="str">
        <f>'refer admin discharge'!B110</f>
        <v>x</v>
      </c>
      <c r="C113" s="327"/>
      <c r="D113" s="505" t="str">
        <f>'refer admin discharge'!D110</f>
        <v>xx</v>
      </c>
      <c r="E113" s="327"/>
      <c r="F113" s="606" t="str">
        <f>'refer admin discharge'!H110</f>
        <v>00/00/0000</v>
      </c>
      <c r="G113" s="327"/>
      <c r="H113" s="594"/>
      <c r="I113" s="327"/>
      <c r="J113" s="605"/>
      <c r="K113" s="327"/>
      <c r="L113" s="594"/>
      <c r="M113" s="327"/>
      <c r="N113" s="575"/>
      <c r="O113" s="327"/>
      <c r="P113" s="594"/>
      <c r="Q113" s="327"/>
      <c r="R113" s="575"/>
      <c r="S113" s="327"/>
      <c r="T113" s="594"/>
      <c r="U113" s="327"/>
      <c r="V113" s="603" t="str">
        <f>'refer admin discharge'!H114</f>
        <v>00/00/0000</v>
      </c>
      <c r="W113" s="327"/>
      <c r="X113" s="577"/>
      <c r="Y113" s="327"/>
      <c r="Z113" s="604"/>
      <c r="AA113" s="327"/>
      <c r="AB113" s="577"/>
      <c r="AC113" s="327"/>
      <c r="AD113" s="576"/>
      <c r="AE113" s="327"/>
      <c r="AF113" s="577"/>
      <c r="AG113" s="327"/>
      <c r="AH113" s="576"/>
      <c r="AI113" s="327"/>
      <c r="AJ113" s="577"/>
      <c r="AK113" s="327"/>
      <c r="AL113" s="602"/>
      <c r="AM113" s="326"/>
      <c r="AN113" s="326"/>
      <c r="AO113" s="326"/>
      <c r="AP113" s="326"/>
      <c r="AQ113" s="326"/>
      <c r="AR113" s="326"/>
      <c r="AS113" s="326"/>
      <c r="AT113" s="326"/>
      <c r="AU113" s="326"/>
      <c r="AV113" s="326"/>
      <c r="AW113" s="326"/>
      <c r="AX113" s="326"/>
      <c r="AY113" s="326"/>
      <c r="AZ113" s="326"/>
      <c r="BA113" s="326"/>
      <c r="BB113" s="327"/>
    </row>
    <row r="114" spans="1:54" ht="15.75" customHeight="1" x14ac:dyDescent="0.25">
      <c r="A114" s="11">
        <f t="shared" si="0"/>
        <v>101</v>
      </c>
      <c r="B114" s="570" t="str">
        <f>'refer admin discharge'!B111</f>
        <v>x</v>
      </c>
      <c r="C114" s="327"/>
      <c r="D114" s="599" t="str">
        <f>'refer admin discharge'!D111</f>
        <v>xx</v>
      </c>
      <c r="E114" s="327"/>
      <c r="F114" s="600" t="str">
        <f>'refer admin discharge'!H111</f>
        <v>00/00/0000</v>
      </c>
      <c r="G114" s="327"/>
      <c r="H114" s="574"/>
      <c r="I114" s="327"/>
      <c r="J114" s="601"/>
      <c r="K114" s="327"/>
      <c r="L114" s="574"/>
      <c r="M114" s="327"/>
      <c r="N114" s="594"/>
      <c r="O114" s="327"/>
      <c r="P114" s="574"/>
      <c r="Q114" s="327"/>
      <c r="R114" s="594"/>
      <c r="S114" s="327"/>
      <c r="T114" s="574"/>
      <c r="U114" s="327"/>
      <c r="V114" s="595" t="str">
        <f>'refer admin discharge'!H115</f>
        <v>00/00/0000</v>
      </c>
      <c r="W114" s="327"/>
      <c r="X114" s="596"/>
      <c r="Y114" s="327"/>
      <c r="Z114" s="597"/>
      <c r="AA114" s="327"/>
      <c r="AB114" s="596"/>
      <c r="AC114" s="327"/>
      <c r="AD114" s="577"/>
      <c r="AE114" s="327"/>
      <c r="AF114" s="596"/>
      <c r="AG114" s="327"/>
      <c r="AH114" s="577"/>
      <c r="AI114" s="327"/>
      <c r="AJ114" s="596"/>
      <c r="AK114" s="327"/>
      <c r="AL114" s="598"/>
      <c r="AM114" s="326"/>
      <c r="AN114" s="326"/>
      <c r="AO114" s="326"/>
      <c r="AP114" s="326"/>
      <c r="AQ114" s="326"/>
      <c r="AR114" s="326"/>
      <c r="AS114" s="326"/>
      <c r="AT114" s="326"/>
      <c r="AU114" s="326"/>
      <c r="AV114" s="326"/>
      <c r="AW114" s="326"/>
      <c r="AX114" s="326"/>
      <c r="AY114" s="326"/>
      <c r="AZ114" s="326"/>
      <c r="BA114" s="326"/>
      <c r="BB114" s="327"/>
    </row>
    <row r="115" spans="1:54" ht="15.75" customHeight="1" x14ac:dyDescent="0.25">
      <c r="A115" s="11">
        <f t="shared" si="0"/>
        <v>102</v>
      </c>
      <c r="B115" s="504" t="str">
        <f>'refer admin discharge'!B112</f>
        <v>x</v>
      </c>
      <c r="C115" s="327"/>
      <c r="D115" s="505" t="str">
        <f>'refer admin discharge'!D112</f>
        <v>xx</v>
      </c>
      <c r="E115" s="327"/>
      <c r="F115" s="606" t="str">
        <f>'refer admin discharge'!H112</f>
        <v>00/00/0000</v>
      </c>
      <c r="G115" s="327"/>
      <c r="H115" s="594"/>
      <c r="I115" s="327"/>
      <c r="J115" s="605"/>
      <c r="K115" s="327"/>
      <c r="L115" s="594"/>
      <c r="M115" s="327"/>
      <c r="N115" s="575"/>
      <c r="O115" s="327"/>
      <c r="P115" s="594"/>
      <c r="Q115" s="327"/>
      <c r="R115" s="575"/>
      <c r="S115" s="327"/>
      <c r="T115" s="594"/>
      <c r="U115" s="327"/>
      <c r="V115" s="603" t="str">
        <f>'refer admin discharge'!H116</f>
        <v>00/00/0000</v>
      </c>
      <c r="W115" s="327"/>
      <c r="X115" s="577"/>
      <c r="Y115" s="327"/>
      <c r="Z115" s="604"/>
      <c r="AA115" s="327"/>
      <c r="AB115" s="577"/>
      <c r="AC115" s="327"/>
      <c r="AD115" s="576"/>
      <c r="AE115" s="327"/>
      <c r="AF115" s="577"/>
      <c r="AG115" s="327"/>
      <c r="AH115" s="576"/>
      <c r="AI115" s="327"/>
      <c r="AJ115" s="577"/>
      <c r="AK115" s="327"/>
      <c r="AL115" s="602"/>
      <c r="AM115" s="326"/>
      <c r="AN115" s="326"/>
      <c r="AO115" s="326"/>
      <c r="AP115" s="326"/>
      <c r="AQ115" s="326"/>
      <c r="AR115" s="326"/>
      <c r="AS115" s="326"/>
      <c r="AT115" s="326"/>
      <c r="AU115" s="326"/>
      <c r="AV115" s="326"/>
      <c r="AW115" s="326"/>
      <c r="AX115" s="326"/>
      <c r="AY115" s="326"/>
      <c r="AZ115" s="326"/>
      <c r="BA115" s="326"/>
      <c r="BB115" s="327"/>
    </row>
    <row r="116" spans="1:54" ht="15.75" customHeight="1" x14ac:dyDescent="0.25">
      <c r="A116" s="11">
        <f t="shared" si="0"/>
        <v>103</v>
      </c>
      <c r="B116" s="570" t="str">
        <f>'refer admin discharge'!B113</f>
        <v>x</v>
      </c>
      <c r="C116" s="327"/>
      <c r="D116" s="599" t="str">
        <f>'refer admin discharge'!D113</f>
        <v>xx</v>
      </c>
      <c r="E116" s="327"/>
      <c r="F116" s="600" t="str">
        <f>'refer admin discharge'!H113</f>
        <v>00/00/0000</v>
      </c>
      <c r="G116" s="327"/>
      <c r="H116" s="574"/>
      <c r="I116" s="327"/>
      <c r="J116" s="601"/>
      <c r="K116" s="327"/>
      <c r="L116" s="574"/>
      <c r="M116" s="327"/>
      <c r="N116" s="594"/>
      <c r="O116" s="327"/>
      <c r="P116" s="574"/>
      <c r="Q116" s="327"/>
      <c r="R116" s="594"/>
      <c r="S116" s="327"/>
      <c r="T116" s="574"/>
      <c r="U116" s="327"/>
      <c r="V116" s="595" t="str">
        <f>'refer admin discharge'!H117</f>
        <v>00/00/0000</v>
      </c>
      <c r="W116" s="327"/>
      <c r="X116" s="596"/>
      <c r="Y116" s="327"/>
      <c r="Z116" s="597"/>
      <c r="AA116" s="327"/>
      <c r="AB116" s="596"/>
      <c r="AC116" s="327"/>
      <c r="AD116" s="577"/>
      <c r="AE116" s="327"/>
      <c r="AF116" s="596"/>
      <c r="AG116" s="327"/>
      <c r="AH116" s="577"/>
      <c r="AI116" s="327"/>
      <c r="AJ116" s="596"/>
      <c r="AK116" s="327"/>
      <c r="AL116" s="598"/>
      <c r="AM116" s="326"/>
      <c r="AN116" s="326"/>
      <c r="AO116" s="326"/>
      <c r="AP116" s="326"/>
      <c r="AQ116" s="326"/>
      <c r="AR116" s="326"/>
      <c r="AS116" s="326"/>
      <c r="AT116" s="326"/>
      <c r="AU116" s="326"/>
      <c r="AV116" s="326"/>
      <c r="AW116" s="326"/>
      <c r="AX116" s="326"/>
      <c r="AY116" s="326"/>
      <c r="AZ116" s="326"/>
      <c r="BA116" s="326"/>
      <c r="BB116" s="327"/>
    </row>
    <row r="117" spans="1:54" ht="15.75" customHeight="1" x14ac:dyDescent="0.25">
      <c r="A117" s="11">
        <f t="shared" si="0"/>
        <v>104</v>
      </c>
      <c r="B117" s="504" t="str">
        <f>'refer admin discharge'!B114</f>
        <v>x</v>
      </c>
      <c r="C117" s="327"/>
      <c r="D117" s="505" t="str">
        <f>'refer admin discharge'!D114</f>
        <v>xx</v>
      </c>
      <c r="E117" s="327"/>
      <c r="F117" s="606" t="str">
        <f>'refer admin discharge'!H114</f>
        <v>00/00/0000</v>
      </c>
      <c r="G117" s="327"/>
      <c r="H117" s="594"/>
      <c r="I117" s="327"/>
      <c r="J117" s="605"/>
      <c r="K117" s="327"/>
      <c r="L117" s="594"/>
      <c r="M117" s="327"/>
      <c r="N117" s="575"/>
      <c r="O117" s="327"/>
      <c r="P117" s="594"/>
      <c r="Q117" s="327"/>
      <c r="R117" s="575"/>
      <c r="S117" s="327"/>
      <c r="T117" s="594"/>
      <c r="U117" s="327"/>
      <c r="V117" s="603" t="str">
        <f>'refer admin discharge'!H118</f>
        <v>00/00/0000</v>
      </c>
      <c r="W117" s="327"/>
      <c r="X117" s="577"/>
      <c r="Y117" s="327"/>
      <c r="Z117" s="604"/>
      <c r="AA117" s="327"/>
      <c r="AB117" s="577"/>
      <c r="AC117" s="327"/>
      <c r="AD117" s="576"/>
      <c r="AE117" s="327"/>
      <c r="AF117" s="577"/>
      <c r="AG117" s="327"/>
      <c r="AH117" s="576"/>
      <c r="AI117" s="327"/>
      <c r="AJ117" s="577"/>
      <c r="AK117" s="327"/>
      <c r="AL117" s="602"/>
      <c r="AM117" s="326"/>
      <c r="AN117" s="326"/>
      <c r="AO117" s="326"/>
      <c r="AP117" s="326"/>
      <c r="AQ117" s="326"/>
      <c r="AR117" s="326"/>
      <c r="AS117" s="326"/>
      <c r="AT117" s="326"/>
      <c r="AU117" s="326"/>
      <c r="AV117" s="326"/>
      <c r="AW117" s="326"/>
      <c r="AX117" s="326"/>
      <c r="AY117" s="326"/>
      <c r="AZ117" s="326"/>
      <c r="BA117" s="326"/>
      <c r="BB117" s="327"/>
    </row>
    <row r="118" spans="1:54" ht="15.75" customHeight="1" x14ac:dyDescent="0.25">
      <c r="A118" s="11">
        <f t="shared" si="0"/>
        <v>105</v>
      </c>
      <c r="B118" s="570" t="str">
        <f>'refer admin discharge'!B115</f>
        <v>x</v>
      </c>
      <c r="C118" s="327"/>
      <c r="D118" s="599" t="str">
        <f>'refer admin discharge'!D115</f>
        <v>xx</v>
      </c>
      <c r="E118" s="327"/>
      <c r="F118" s="600" t="str">
        <f>'refer admin discharge'!H115</f>
        <v>00/00/0000</v>
      </c>
      <c r="G118" s="327"/>
      <c r="H118" s="574"/>
      <c r="I118" s="327"/>
      <c r="J118" s="601"/>
      <c r="K118" s="327"/>
      <c r="L118" s="574"/>
      <c r="M118" s="327"/>
      <c r="N118" s="594"/>
      <c r="O118" s="327"/>
      <c r="P118" s="574"/>
      <c r="Q118" s="327"/>
      <c r="R118" s="594"/>
      <c r="S118" s="327"/>
      <c r="T118" s="574"/>
      <c r="U118" s="327"/>
      <c r="V118" s="595" t="str">
        <f>'refer admin discharge'!H119</f>
        <v>00/00/0000</v>
      </c>
      <c r="W118" s="327"/>
      <c r="X118" s="596"/>
      <c r="Y118" s="327"/>
      <c r="Z118" s="597"/>
      <c r="AA118" s="327"/>
      <c r="AB118" s="596"/>
      <c r="AC118" s="327"/>
      <c r="AD118" s="577"/>
      <c r="AE118" s="327"/>
      <c r="AF118" s="596"/>
      <c r="AG118" s="327"/>
      <c r="AH118" s="577"/>
      <c r="AI118" s="327"/>
      <c r="AJ118" s="596"/>
      <c r="AK118" s="327"/>
      <c r="AL118" s="598"/>
      <c r="AM118" s="326"/>
      <c r="AN118" s="326"/>
      <c r="AO118" s="326"/>
      <c r="AP118" s="326"/>
      <c r="AQ118" s="326"/>
      <c r="AR118" s="326"/>
      <c r="AS118" s="326"/>
      <c r="AT118" s="326"/>
      <c r="AU118" s="326"/>
      <c r="AV118" s="326"/>
      <c r="AW118" s="326"/>
      <c r="AX118" s="326"/>
      <c r="AY118" s="326"/>
      <c r="AZ118" s="326"/>
      <c r="BA118" s="326"/>
      <c r="BB118" s="327"/>
    </row>
    <row r="119" spans="1:54" ht="15.75" customHeight="1" x14ac:dyDescent="0.25">
      <c r="A119" s="11">
        <f t="shared" si="0"/>
        <v>106</v>
      </c>
      <c r="B119" s="504" t="str">
        <f>'refer admin discharge'!B116</f>
        <v>x</v>
      </c>
      <c r="C119" s="327"/>
      <c r="D119" s="505" t="str">
        <f>'refer admin discharge'!D116</f>
        <v>xx</v>
      </c>
      <c r="E119" s="327"/>
      <c r="F119" s="606" t="str">
        <f>'refer admin discharge'!H116</f>
        <v>00/00/0000</v>
      </c>
      <c r="G119" s="327"/>
      <c r="H119" s="594"/>
      <c r="I119" s="327"/>
      <c r="J119" s="605"/>
      <c r="K119" s="327"/>
      <c r="L119" s="594"/>
      <c r="M119" s="327"/>
      <c r="N119" s="575"/>
      <c r="O119" s="327"/>
      <c r="P119" s="594"/>
      <c r="Q119" s="327"/>
      <c r="R119" s="575"/>
      <c r="S119" s="327"/>
      <c r="T119" s="594"/>
      <c r="U119" s="327"/>
      <c r="V119" s="603" t="str">
        <f>'refer admin discharge'!H120</f>
        <v>00/00/0000</v>
      </c>
      <c r="W119" s="327"/>
      <c r="X119" s="577"/>
      <c r="Y119" s="327"/>
      <c r="Z119" s="604"/>
      <c r="AA119" s="327"/>
      <c r="AB119" s="577"/>
      <c r="AC119" s="327"/>
      <c r="AD119" s="576"/>
      <c r="AE119" s="327"/>
      <c r="AF119" s="577"/>
      <c r="AG119" s="327"/>
      <c r="AH119" s="576"/>
      <c r="AI119" s="327"/>
      <c r="AJ119" s="577"/>
      <c r="AK119" s="327"/>
      <c r="AL119" s="602"/>
      <c r="AM119" s="326"/>
      <c r="AN119" s="326"/>
      <c r="AO119" s="326"/>
      <c r="AP119" s="326"/>
      <c r="AQ119" s="326"/>
      <c r="AR119" s="326"/>
      <c r="AS119" s="326"/>
      <c r="AT119" s="326"/>
      <c r="AU119" s="326"/>
      <c r="AV119" s="326"/>
      <c r="AW119" s="326"/>
      <c r="AX119" s="326"/>
      <c r="AY119" s="326"/>
      <c r="AZ119" s="326"/>
      <c r="BA119" s="326"/>
      <c r="BB119" s="327"/>
    </row>
    <row r="120" spans="1:54" ht="15.75" customHeight="1" x14ac:dyDescent="0.25">
      <c r="A120" s="11">
        <f t="shared" si="0"/>
        <v>107</v>
      </c>
      <c r="B120" s="570" t="str">
        <f>'refer admin discharge'!B117</f>
        <v>x</v>
      </c>
      <c r="C120" s="327"/>
      <c r="D120" s="599" t="str">
        <f>'refer admin discharge'!D117</f>
        <v>xx</v>
      </c>
      <c r="E120" s="327"/>
      <c r="F120" s="600" t="str">
        <f>'refer admin discharge'!H117</f>
        <v>00/00/0000</v>
      </c>
      <c r="G120" s="327"/>
      <c r="H120" s="574"/>
      <c r="I120" s="327"/>
      <c r="J120" s="601"/>
      <c r="K120" s="327"/>
      <c r="L120" s="574"/>
      <c r="M120" s="327"/>
      <c r="N120" s="594"/>
      <c r="O120" s="327"/>
      <c r="P120" s="574"/>
      <c r="Q120" s="327"/>
      <c r="R120" s="594"/>
      <c r="S120" s="327"/>
      <c r="T120" s="574"/>
      <c r="U120" s="327"/>
      <c r="V120" s="595" t="str">
        <f>'refer admin discharge'!H121</f>
        <v>00/00/0000</v>
      </c>
      <c r="W120" s="327"/>
      <c r="X120" s="596"/>
      <c r="Y120" s="327"/>
      <c r="Z120" s="597"/>
      <c r="AA120" s="327"/>
      <c r="AB120" s="596"/>
      <c r="AC120" s="327"/>
      <c r="AD120" s="577"/>
      <c r="AE120" s="327"/>
      <c r="AF120" s="596"/>
      <c r="AG120" s="327"/>
      <c r="AH120" s="577"/>
      <c r="AI120" s="327"/>
      <c r="AJ120" s="596"/>
      <c r="AK120" s="327"/>
      <c r="AL120" s="598"/>
      <c r="AM120" s="326"/>
      <c r="AN120" s="326"/>
      <c r="AO120" s="326"/>
      <c r="AP120" s="326"/>
      <c r="AQ120" s="326"/>
      <c r="AR120" s="326"/>
      <c r="AS120" s="326"/>
      <c r="AT120" s="326"/>
      <c r="AU120" s="326"/>
      <c r="AV120" s="326"/>
      <c r="AW120" s="326"/>
      <c r="AX120" s="326"/>
      <c r="AY120" s="326"/>
      <c r="AZ120" s="326"/>
      <c r="BA120" s="326"/>
      <c r="BB120" s="327"/>
    </row>
    <row r="121" spans="1:54" ht="15.75" customHeight="1" x14ac:dyDescent="0.25">
      <c r="A121" s="11">
        <f t="shared" si="0"/>
        <v>108</v>
      </c>
      <c r="B121" s="504" t="str">
        <f>'refer admin discharge'!B118</f>
        <v>x</v>
      </c>
      <c r="C121" s="327"/>
      <c r="D121" s="505" t="str">
        <f>'refer admin discharge'!D118</f>
        <v>xx</v>
      </c>
      <c r="E121" s="327"/>
      <c r="F121" s="606" t="str">
        <f>'refer admin discharge'!H118</f>
        <v>00/00/0000</v>
      </c>
      <c r="G121" s="327"/>
      <c r="H121" s="594"/>
      <c r="I121" s="327"/>
      <c r="J121" s="605"/>
      <c r="K121" s="327"/>
      <c r="L121" s="594"/>
      <c r="M121" s="327"/>
      <c r="N121" s="575"/>
      <c r="O121" s="327"/>
      <c r="P121" s="594"/>
      <c r="Q121" s="327"/>
      <c r="R121" s="575"/>
      <c r="S121" s="327"/>
      <c r="T121" s="594"/>
      <c r="U121" s="327"/>
      <c r="V121" s="603" t="str">
        <f>'refer admin discharge'!H122</f>
        <v>00/00/0000</v>
      </c>
      <c r="W121" s="327"/>
      <c r="X121" s="577"/>
      <c r="Y121" s="327"/>
      <c r="Z121" s="604"/>
      <c r="AA121" s="327"/>
      <c r="AB121" s="577"/>
      <c r="AC121" s="327"/>
      <c r="AD121" s="576"/>
      <c r="AE121" s="327"/>
      <c r="AF121" s="577"/>
      <c r="AG121" s="327"/>
      <c r="AH121" s="576"/>
      <c r="AI121" s="327"/>
      <c r="AJ121" s="577"/>
      <c r="AK121" s="327"/>
      <c r="AL121" s="602"/>
      <c r="AM121" s="326"/>
      <c r="AN121" s="326"/>
      <c r="AO121" s="326"/>
      <c r="AP121" s="326"/>
      <c r="AQ121" s="326"/>
      <c r="AR121" s="326"/>
      <c r="AS121" s="326"/>
      <c r="AT121" s="326"/>
      <c r="AU121" s="326"/>
      <c r="AV121" s="326"/>
      <c r="AW121" s="326"/>
      <c r="AX121" s="326"/>
      <c r="AY121" s="326"/>
      <c r="AZ121" s="326"/>
      <c r="BA121" s="326"/>
      <c r="BB121" s="327"/>
    </row>
    <row r="122" spans="1:54" ht="15.75" customHeight="1" x14ac:dyDescent="0.25">
      <c r="A122" s="11">
        <f t="shared" si="0"/>
        <v>109</v>
      </c>
      <c r="B122" s="570" t="str">
        <f>'refer admin discharge'!B119</f>
        <v>x</v>
      </c>
      <c r="C122" s="327"/>
      <c r="D122" s="599" t="str">
        <f>'refer admin discharge'!D119</f>
        <v>xx</v>
      </c>
      <c r="E122" s="327"/>
      <c r="F122" s="600" t="str">
        <f>'refer admin discharge'!H119</f>
        <v>00/00/0000</v>
      </c>
      <c r="G122" s="327"/>
      <c r="H122" s="574"/>
      <c r="I122" s="327"/>
      <c r="J122" s="601"/>
      <c r="K122" s="327"/>
      <c r="L122" s="574"/>
      <c r="M122" s="327"/>
      <c r="N122" s="594"/>
      <c r="O122" s="327"/>
      <c r="P122" s="574"/>
      <c r="Q122" s="327"/>
      <c r="R122" s="594"/>
      <c r="S122" s="327"/>
      <c r="T122" s="574"/>
      <c r="U122" s="327"/>
      <c r="V122" s="595" t="str">
        <f>'refer admin discharge'!H123</f>
        <v>00/00/0000</v>
      </c>
      <c r="W122" s="327"/>
      <c r="X122" s="596"/>
      <c r="Y122" s="327"/>
      <c r="Z122" s="597"/>
      <c r="AA122" s="327"/>
      <c r="AB122" s="596"/>
      <c r="AC122" s="327"/>
      <c r="AD122" s="577"/>
      <c r="AE122" s="327"/>
      <c r="AF122" s="596"/>
      <c r="AG122" s="327"/>
      <c r="AH122" s="577"/>
      <c r="AI122" s="327"/>
      <c r="AJ122" s="596"/>
      <c r="AK122" s="327"/>
      <c r="AL122" s="598"/>
      <c r="AM122" s="326"/>
      <c r="AN122" s="326"/>
      <c r="AO122" s="326"/>
      <c r="AP122" s="326"/>
      <c r="AQ122" s="326"/>
      <c r="AR122" s="326"/>
      <c r="AS122" s="326"/>
      <c r="AT122" s="326"/>
      <c r="AU122" s="326"/>
      <c r="AV122" s="326"/>
      <c r="AW122" s="326"/>
      <c r="AX122" s="326"/>
      <c r="AY122" s="326"/>
      <c r="AZ122" s="326"/>
      <c r="BA122" s="326"/>
      <c r="BB122" s="327"/>
    </row>
    <row r="123" spans="1:54" ht="15.75" customHeight="1" x14ac:dyDescent="0.25">
      <c r="A123" s="11">
        <f t="shared" si="0"/>
        <v>110</v>
      </c>
      <c r="B123" s="504" t="str">
        <f>'refer admin discharge'!B120</f>
        <v>x</v>
      </c>
      <c r="C123" s="327"/>
      <c r="D123" s="505" t="str">
        <f>'refer admin discharge'!D120</f>
        <v>xx</v>
      </c>
      <c r="E123" s="327"/>
      <c r="F123" s="606" t="str">
        <f>'refer admin discharge'!H120</f>
        <v>00/00/0000</v>
      </c>
      <c r="G123" s="327"/>
      <c r="H123" s="594"/>
      <c r="I123" s="327"/>
      <c r="J123" s="605"/>
      <c r="K123" s="327"/>
      <c r="L123" s="594"/>
      <c r="M123" s="327"/>
      <c r="N123" s="575"/>
      <c r="O123" s="327"/>
      <c r="P123" s="594"/>
      <c r="Q123" s="327"/>
      <c r="R123" s="575"/>
      <c r="S123" s="327"/>
      <c r="T123" s="594"/>
      <c r="U123" s="327"/>
      <c r="V123" s="603" t="str">
        <f>'refer admin discharge'!H124</f>
        <v>00/00/0000</v>
      </c>
      <c r="W123" s="327"/>
      <c r="X123" s="577"/>
      <c r="Y123" s="327"/>
      <c r="Z123" s="604"/>
      <c r="AA123" s="327"/>
      <c r="AB123" s="577"/>
      <c r="AC123" s="327"/>
      <c r="AD123" s="576"/>
      <c r="AE123" s="327"/>
      <c r="AF123" s="577"/>
      <c r="AG123" s="327"/>
      <c r="AH123" s="576"/>
      <c r="AI123" s="327"/>
      <c r="AJ123" s="577"/>
      <c r="AK123" s="327"/>
      <c r="AL123" s="602"/>
      <c r="AM123" s="326"/>
      <c r="AN123" s="326"/>
      <c r="AO123" s="326"/>
      <c r="AP123" s="326"/>
      <c r="AQ123" s="326"/>
      <c r="AR123" s="326"/>
      <c r="AS123" s="326"/>
      <c r="AT123" s="326"/>
      <c r="AU123" s="326"/>
      <c r="AV123" s="326"/>
      <c r="AW123" s="326"/>
      <c r="AX123" s="326"/>
      <c r="AY123" s="326"/>
      <c r="AZ123" s="326"/>
      <c r="BA123" s="326"/>
      <c r="BB123" s="327"/>
    </row>
    <row r="124" spans="1:54" ht="15.75" customHeight="1" x14ac:dyDescent="0.25">
      <c r="A124" s="11">
        <f t="shared" si="0"/>
        <v>111</v>
      </c>
      <c r="B124" s="570" t="str">
        <f>'refer admin discharge'!B121</f>
        <v>x</v>
      </c>
      <c r="C124" s="327"/>
      <c r="D124" s="599" t="str">
        <f>'refer admin discharge'!D121</f>
        <v>xx</v>
      </c>
      <c r="E124" s="327"/>
      <c r="F124" s="600" t="str">
        <f>'refer admin discharge'!H121</f>
        <v>00/00/0000</v>
      </c>
      <c r="G124" s="327"/>
      <c r="H124" s="574"/>
      <c r="I124" s="327"/>
      <c r="J124" s="601"/>
      <c r="K124" s="327"/>
      <c r="L124" s="574"/>
      <c r="M124" s="327"/>
      <c r="N124" s="594"/>
      <c r="O124" s="327"/>
      <c r="P124" s="574"/>
      <c r="Q124" s="327"/>
      <c r="R124" s="594"/>
      <c r="S124" s="327"/>
      <c r="T124" s="574"/>
      <c r="U124" s="327"/>
      <c r="V124" s="595" t="str">
        <f>'refer admin discharge'!H125</f>
        <v>00/00/0000</v>
      </c>
      <c r="W124" s="327"/>
      <c r="X124" s="596"/>
      <c r="Y124" s="327"/>
      <c r="Z124" s="597"/>
      <c r="AA124" s="327"/>
      <c r="AB124" s="596"/>
      <c r="AC124" s="327"/>
      <c r="AD124" s="577"/>
      <c r="AE124" s="327"/>
      <c r="AF124" s="596"/>
      <c r="AG124" s="327"/>
      <c r="AH124" s="577"/>
      <c r="AI124" s="327"/>
      <c r="AJ124" s="596"/>
      <c r="AK124" s="327"/>
      <c r="AL124" s="598"/>
      <c r="AM124" s="326"/>
      <c r="AN124" s="326"/>
      <c r="AO124" s="326"/>
      <c r="AP124" s="326"/>
      <c r="AQ124" s="326"/>
      <c r="AR124" s="326"/>
      <c r="AS124" s="326"/>
      <c r="AT124" s="326"/>
      <c r="AU124" s="326"/>
      <c r="AV124" s="326"/>
      <c r="AW124" s="326"/>
      <c r="AX124" s="326"/>
      <c r="AY124" s="326"/>
      <c r="AZ124" s="326"/>
      <c r="BA124" s="326"/>
      <c r="BB124" s="327"/>
    </row>
    <row r="125" spans="1:54" ht="15.75" customHeight="1" x14ac:dyDescent="0.25">
      <c r="A125" s="11">
        <f t="shared" si="0"/>
        <v>112</v>
      </c>
      <c r="B125" s="504" t="str">
        <f>'refer admin discharge'!B122</f>
        <v>x</v>
      </c>
      <c r="C125" s="327"/>
      <c r="D125" s="505" t="str">
        <f>'refer admin discharge'!D122</f>
        <v>xx</v>
      </c>
      <c r="E125" s="327"/>
      <c r="F125" s="606" t="str">
        <f>'refer admin discharge'!H122</f>
        <v>00/00/0000</v>
      </c>
      <c r="G125" s="327"/>
      <c r="H125" s="594"/>
      <c r="I125" s="327"/>
      <c r="J125" s="605"/>
      <c r="K125" s="327"/>
      <c r="L125" s="594"/>
      <c r="M125" s="327"/>
      <c r="N125" s="575"/>
      <c r="O125" s="327"/>
      <c r="P125" s="594"/>
      <c r="Q125" s="327"/>
      <c r="R125" s="575"/>
      <c r="S125" s="327"/>
      <c r="T125" s="594"/>
      <c r="U125" s="327"/>
      <c r="V125" s="603" t="str">
        <f>'refer admin discharge'!H126</f>
        <v>00/00/0000</v>
      </c>
      <c r="W125" s="327"/>
      <c r="X125" s="577"/>
      <c r="Y125" s="327"/>
      <c r="Z125" s="604"/>
      <c r="AA125" s="327"/>
      <c r="AB125" s="577"/>
      <c r="AC125" s="327"/>
      <c r="AD125" s="576"/>
      <c r="AE125" s="327"/>
      <c r="AF125" s="577"/>
      <c r="AG125" s="327"/>
      <c r="AH125" s="576"/>
      <c r="AI125" s="327"/>
      <c r="AJ125" s="577"/>
      <c r="AK125" s="327"/>
      <c r="AL125" s="602"/>
      <c r="AM125" s="326"/>
      <c r="AN125" s="326"/>
      <c r="AO125" s="326"/>
      <c r="AP125" s="326"/>
      <c r="AQ125" s="326"/>
      <c r="AR125" s="326"/>
      <c r="AS125" s="326"/>
      <c r="AT125" s="326"/>
      <c r="AU125" s="326"/>
      <c r="AV125" s="326"/>
      <c r="AW125" s="326"/>
      <c r="AX125" s="326"/>
      <c r="AY125" s="326"/>
      <c r="AZ125" s="326"/>
      <c r="BA125" s="326"/>
      <c r="BB125" s="327"/>
    </row>
    <row r="126" spans="1:54" ht="15.75" customHeight="1" x14ac:dyDescent="0.25">
      <c r="A126" s="11">
        <f t="shared" si="0"/>
        <v>113</v>
      </c>
      <c r="B126" s="570" t="str">
        <f>'refer admin discharge'!B123</f>
        <v>x</v>
      </c>
      <c r="C126" s="327"/>
      <c r="D126" s="599" t="str">
        <f>'refer admin discharge'!D123</f>
        <v>xx</v>
      </c>
      <c r="E126" s="327"/>
      <c r="F126" s="600" t="str">
        <f>'refer admin discharge'!H123</f>
        <v>00/00/0000</v>
      </c>
      <c r="G126" s="327"/>
      <c r="H126" s="574"/>
      <c r="I126" s="327"/>
      <c r="J126" s="601"/>
      <c r="K126" s="327"/>
      <c r="L126" s="574"/>
      <c r="M126" s="327"/>
      <c r="N126" s="594"/>
      <c r="O126" s="327"/>
      <c r="P126" s="574"/>
      <c r="Q126" s="327"/>
      <c r="R126" s="594"/>
      <c r="S126" s="327"/>
      <c r="T126" s="574"/>
      <c r="U126" s="327"/>
      <c r="V126" s="595" t="str">
        <f>'refer admin discharge'!H127</f>
        <v>00/00/0000</v>
      </c>
      <c r="W126" s="327"/>
      <c r="X126" s="596"/>
      <c r="Y126" s="327"/>
      <c r="Z126" s="597"/>
      <c r="AA126" s="327"/>
      <c r="AB126" s="596"/>
      <c r="AC126" s="327"/>
      <c r="AD126" s="577"/>
      <c r="AE126" s="327"/>
      <c r="AF126" s="596"/>
      <c r="AG126" s="327"/>
      <c r="AH126" s="577"/>
      <c r="AI126" s="327"/>
      <c r="AJ126" s="596"/>
      <c r="AK126" s="327"/>
      <c r="AL126" s="598"/>
      <c r="AM126" s="326"/>
      <c r="AN126" s="326"/>
      <c r="AO126" s="326"/>
      <c r="AP126" s="326"/>
      <c r="AQ126" s="326"/>
      <c r="AR126" s="326"/>
      <c r="AS126" s="326"/>
      <c r="AT126" s="326"/>
      <c r="AU126" s="326"/>
      <c r="AV126" s="326"/>
      <c r="AW126" s="326"/>
      <c r="AX126" s="326"/>
      <c r="AY126" s="326"/>
      <c r="AZ126" s="326"/>
      <c r="BA126" s="326"/>
      <c r="BB126" s="327"/>
    </row>
    <row r="127" spans="1:54" ht="15.75" customHeight="1" x14ac:dyDescent="0.25">
      <c r="A127" s="11">
        <f t="shared" si="0"/>
        <v>114</v>
      </c>
      <c r="B127" s="504" t="str">
        <f>'refer admin discharge'!B124</f>
        <v>x</v>
      </c>
      <c r="C127" s="327"/>
      <c r="D127" s="505" t="str">
        <f>'refer admin discharge'!D124</f>
        <v>xx</v>
      </c>
      <c r="E127" s="327"/>
      <c r="F127" s="606" t="str">
        <f>'refer admin discharge'!H124</f>
        <v>00/00/0000</v>
      </c>
      <c r="G127" s="327"/>
      <c r="H127" s="594"/>
      <c r="I127" s="327"/>
      <c r="J127" s="605"/>
      <c r="K127" s="327"/>
      <c r="L127" s="594"/>
      <c r="M127" s="327"/>
      <c r="N127" s="575"/>
      <c r="O127" s="327"/>
      <c r="P127" s="594"/>
      <c r="Q127" s="327"/>
      <c r="R127" s="575"/>
      <c r="S127" s="327"/>
      <c r="T127" s="594"/>
      <c r="U127" s="327"/>
      <c r="V127" s="603" t="str">
        <f>'refer admin discharge'!H128</f>
        <v>00/00/0000</v>
      </c>
      <c r="W127" s="327"/>
      <c r="X127" s="577"/>
      <c r="Y127" s="327"/>
      <c r="Z127" s="604"/>
      <c r="AA127" s="327"/>
      <c r="AB127" s="577"/>
      <c r="AC127" s="327"/>
      <c r="AD127" s="576"/>
      <c r="AE127" s="327"/>
      <c r="AF127" s="577"/>
      <c r="AG127" s="327"/>
      <c r="AH127" s="576"/>
      <c r="AI127" s="327"/>
      <c r="AJ127" s="577"/>
      <c r="AK127" s="327"/>
      <c r="AL127" s="602"/>
      <c r="AM127" s="326"/>
      <c r="AN127" s="326"/>
      <c r="AO127" s="326"/>
      <c r="AP127" s="326"/>
      <c r="AQ127" s="326"/>
      <c r="AR127" s="326"/>
      <c r="AS127" s="326"/>
      <c r="AT127" s="326"/>
      <c r="AU127" s="326"/>
      <c r="AV127" s="326"/>
      <c r="AW127" s="326"/>
      <c r="AX127" s="326"/>
      <c r="AY127" s="326"/>
      <c r="AZ127" s="326"/>
      <c r="BA127" s="326"/>
      <c r="BB127" s="327"/>
    </row>
    <row r="128" spans="1:54" ht="15.75" customHeight="1" x14ac:dyDescent="0.25">
      <c r="A128" s="11">
        <f t="shared" si="0"/>
        <v>115</v>
      </c>
      <c r="B128" s="570" t="str">
        <f>'refer admin discharge'!B125</f>
        <v>x</v>
      </c>
      <c r="C128" s="327"/>
      <c r="D128" s="599" t="str">
        <f>'refer admin discharge'!D125</f>
        <v>xx</v>
      </c>
      <c r="E128" s="327"/>
      <c r="F128" s="600" t="str">
        <f>'refer admin discharge'!H125</f>
        <v>00/00/0000</v>
      </c>
      <c r="G128" s="327"/>
      <c r="H128" s="574"/>
      <c r="I128" s="327"/>
      <c r="J128" s="601"/>
      <c r="K128" s="327"/>
      <c r="L128" s="574"/>
      <c r="M128" s="327"/>
      <c r="N128" s="594"/>
      <c r="O128" s="327"/>
      <c r="P128" s="574"/>
      <c r="Q128" s="327"/>
      <c r="R128" s="594"/>
      <c r="S128" s="327"/>
      <c r="T128" s="574"/>
      <c r="U128" s="327"/>
      <c r="V128" s="595" t="str">
        <f>'refer admin discharge'!H129</f>
        <v>00/00/0000</v>
      </c>
      <c r="W128" s="327"/>
      <c r="X128" s="596"/>
      <c r="Y128" s="327"/>
      <c r="Z128" s="597"/>
      <c r="AA128" s="327"/>
      <c r="AB128" s="596"/>
      <c r="AC128" s="327"/>
      <c r="AD128" s="577"/>
      <c r="AE128" s="327"/>
      <c r="AF128" s="596"/>
      <c r="AG128" s="327"/>
      <c r="AH128" s="577"/>
      <c r="AI128" s="327"/>
      <c r="AJ128" s="596"/>
      <c r="AK128" s="327"/>
      <c r="AL128" s="598"/>
      <c r="AM128" s="326"/>
      <c r="AN128" s="326"/>
      <c r="AO128" s="326"/>
      <c r="AP128" s="326"/>
      <c r="AQ128" s="326"/>
      <c r="AR128" s="326"/>
      <c r="AS128" s="326"/>
      <c r="AT128" s="326"/>
      <c r="AU128" s="326"/>
      <c r="AV128" s="326"/>
      <c r="AW128" s="326"/>
      <c r="AX128" s="326"/>
      <c r="AY128" s="326"/>
      <c r="AZ128" s="326"/>
      <c r="BA128" s="326"/>
      <c r="BB128" s="327"/>
    </row>
    <row r="129" spans="1:54" ht="15.75" customHeight="1" x14ac:dyDescent="0.25">
      <c r="A129" s="11">
        <f t="shared" si="0"/>
        <v>116</v>
      </c>
      <c r="B129" s="504" t="str">
        <f>'refer admin discharge'!B126</f>
        <v>x</v>
      </c>
      <c r="C129" s="327"/>
      <c r="D129" s="505" t="str">
        <f>'refer admin discharge'!D126</f>
        <v>xx</v>
      </c>
      <c r="E129" s="327"/>
      <c r="F129" s="606" t="str">
        <f>'refer admin discharge'!H126</f>
        <v>00/00/0000</v>
      </c>
      <c r="G129" s="327"/>
      <c r="H129" s="594"/>
      <c r="I129" s="327"/>
      <c r="J129" s="605"/>
      <c r="K129" s="327"/>
      <c r="L129" s="594"/>
      <c r="M129" s="327"/>
      <c r="N129" s="575"/>
      <c r="O129" s="327"/>
      <c r="P129" s="594"/>
      <c r="Q129" s="327"/>
      <c r="R129" s="575"/>
      <c r="S129" s="327"/>
      <c r="T129" s="594"/>
      <c r="U129" s="327"/>
      <c r="V129" s="603" t="str">
        <f>'refer admin discharge'!H130</f>
        <v>00/00/0000</v>
      </c>
      <c r="W129" s="327"/>
      <c r="X129" s="577"/>
      <c r="Y129" s="327"/>
      <c r="Z129" s="604"/>
      <c r="AA129" s="327"/>
      <c r="AB129" s="577"/>
      <c r="AC129" s="327"/>
      <c r="AD129" s="576"/>
      <c r="AE129" s="327"/>
      <c r="AF129" s="577"/>
      <c r="AG129" s="327"/>
      <c r="AH129" s="576"/>
      <c r="AI129" s="327"/>
      <c r="AJ129" s="577"/>
      <c r="AK129" s="327"/>
      <c r="AL129" s="602"/>
      <c r="AM129" s="326"/>
      <c r="AN129" s="326"/>
      <c r="AO129" s="326"/>
      <c r="AP129" s="326"/>
      <c r="AQ129" s="326"/>
      <c r="AR129" s="326"/>
      <c r="AS129" s="326"/>
      <c r="AT129" s="326"/>
      <c r="AU129" s="326"/>
      <c r="AV129" s="326"/>
      <c r="AW129" s="326"/>
      <c r="AX129" s="326"/>
      <c r="AY129" s="326"/>
      <c r="AZ129" s="326"/>
      <c r="BA129" s="326"/>
      <c r="BB129" s="327"/>
    </row>
    <row r="130" spans="1:54" ht="15.75" customHeight="1" x14ac:dyDescent="0.25">
      <c r="A130" s="11">
        <f t="shared" si="0"/>
        <v>117</v>
      </c>
      <c r="B130" s="570" t="str">
        <f>'refer admin discharge'!B127</f>
        <v>x</v>
      </c>
      <c r="C130" s="327"/>
      <c r="D130" s="599" t="str">
        <f>'refer admin discharge'!D127</f>
        <v>xx</v>
      </c>
      <c r="E130" s="327"/>
      <c r="F130" s="600" t="str">
        <f>'refer admin discharge'!H127</f>
        <v>00/00/0000</v>
      </c>
      <c r="G130" s="327"/>
      <c r="H130" s="574"/>
      <c r="I130" s="327"/>
      <c r="J130" s="601"/>
      <c r="K130" s="327"/>
      <c r="L130" s="574"/>
      <c r="M130" s="327"/>
      <c r="N130" s="594"/>
      <c r="O130" s="327"/>
      <c r="P130" s="574"/>
      <c r="Q130" s="327"/>
      <c r="R130" s="594"/>
      <c r="S130" s="327"/>
      <c r="T130" s="574"/>
      <c r="U130" s="327"/>
      <c r="V130" s="595" t="str">
        <f>'refer admin discharge'!H131</f>
        <v>00/00/0000</v>
      </c>
      <c r="W130" s="327"/>
      <c r="X130" s="596"/>
      <c r="Y130" s="327"/>
      <c r="Z130" s="597"/>
      <c r="AA130" s="327"/>
      <c r="AB130" s="596"/>
      <c r="AC130" s="327"/>
      <c r="AD130" s="577"/>
      <c r="AE130" s="327"/>
      <c r="AF130" s="596"/>
      <c r="AG130" s="327"/>
      <c r="AH130" s="577"/>
      <c r="AI130" s="327"/>
      <c r="AJ130" s="596"/>
      <c r="AK130" s="327"/>
      <c r="AL130" s="598"/>
      <c r="AM130" s="326"/>
      <c r="AN130" s="326"/>
      <c r="AO130" s="326"/>
      <c r="AP130" s="326"/>
      <c r="AQ130" s="326"/>
      <c r="AR130" s="326"/>
      <c r="AS130" s="326"/>
      <c r="AT130" s="326"/>
      <c r="AU130" s="326"/>
      <c r="AV130" s="326"/>
      <c r="AW130" s="326"/>
      <c r="AX130" s="326"/>
      <c r="AY130" s="326"/>
      <c r="AZ130" s="326"/>
      <c r="BA130" s="326"/>
      <c r="BB130" s="327"/>
    </row>
    <row r="131" spans="1:54" ht="15.75" customHeight="1" x14ac:dyDescent="0.25">
      <c r="A131" s="11">
        <f t="shared" si="0"/>
        <v>118</v>
      </c>
      <c r="B131" s="504" t="str">
        <f>'refer admin discharge'!B128</f>
        <v>x</v>
      </c>
      <c r="C131" s="327"/>
      <c r="D131" s="505" t="str">
        <f>'refer admin discharge'!D128</f>
        <v>xx</v>
      </c>
      <c r="E131" s="327"/>
      <c r="F131" s="606" t="str">
        <f>'refer admin discharge'!H128</f>
        <v>00/00/0000</v>
      </c>
      <c r="G131" s="327"/>
      <c r="H131" s="594"/>
      <c r="I131" s="327"/>
      <c r="J131" s="605"/>
      <c r="K131" s="327"/>
      <c r="L131" s="594"/>
      <c r="M131" s="327"/>
      <c r="N131" s="575"/>
      <c r="O131" s="327"/>
      <c r="P131" s="594"/>
      <c r="Q131" s="327"/>
      <c r="R131" s="575"/>
      <c r="S131" s="327"/>
      <c r="T131" s="594"/>
      <c r="U131" s="327"/>
      <c r="V131" s="603" t="str">
        <f>'refer admin discharge'!H132</f>
        <v>00/00/0000</v>
      </c>
      <c r="W131" s="327"/>
      <c r="X131" s="577"/>
      <c r="Y131" s="327"/>
      <c r="Z131" s="604"/>
      <c r="AA131" s="327"/>
      <c r="AB131" s="577"/>
      <c r="AC131" s="327"/>
      <c r="AD131" s="576"/>
      <c r="AE131" s="327"/>
      <c r="AF131" s="577"/>
      <c r="AG131" s="327"/>
      <c r="AH131" s="576"/>
      <c r="AI131" s="327"/>
      <c r="AJ131" s="577"/>
      <c r="AK131" s="327"/>
      <c r="AL131" s="602"/>
      <c r="AM131" s="326"/>
      <c r="AN131" s="326"/>
      <c r="AO131" s="326"/>
      <c r="AP131" s="326"/>
      <c r="AQ131" s="326"/>
      <c r="AR131" s="326"/>
      <c r="AS131" s="326"/>
      <c r="AT131" s="326"/>
      <c r="AU131" s="326"/>
      <c r="AV131" s="326"/>
      <c r="AW131" s="326"/>
      <c r="AX131" s="326"/>
      <c r="AY131" s="326"/>
      <c r="AZ131" s="326"/>
      <c r="BA131" s="326"/>
      <c r="BB131" s="327"/>
    </row>
    <row r="132" spans="1:54" ht="15.75" customHeight="1" x14ac:dyDescent="0.25">
      <c r="A132" s="11">
        <f t="shared" si="0"/>
        <v>119</v>
      </c>
      <c r="B132" s="570" t="str">
        <f>'refer admin discharge'!B129</f>
        <v>x</v>
      </c>
      <c r="C132" s="327"/>
      <c r="D132" s="599" t="str">
        <f>'refer admin discharge'!D129</f>
        <v>xx</v>
      </c>
      <c r="E132" s="327"/>
      <c r="F132" s="600" t="str">
        <f>'refer admin discharge'!H129</f>
        <v>00/00/0000</v>
      </c>
      <c r="G132" s="327"/>
      <c r="H132" s="574"/>
      <c r="I132" s="327"/>
      <c r="J132" s="601"/>
      <c r="K132" s="327"/>
      <c r="L132" s="574"/>
      <c r="M132" s="327"/>
      <c r="N132" s="594"/>
      <c r="O132" s="327"/>
      <c r="P132" s="574"/>
      <c r="Q132" s="327"/>
      <c r="R132" s="594"/>
      <c r="S132" s="327"/>
      <c r="T132" s="574"/>
      <c r="U132" s="327"/>
      <c r="V132" s="603" t="str">
        <f>'refer admin discharge'!H133</f>
        <v>00/00/0000</v>
      </c>
      <c r="W132" s="327"/>
      <c r="X132" s="596"/>
      <c r="Y132" s="327"/>
      <c r="Z132" s="597"/>
      <c r="AA132" s="327"/>
      <c r="AB132" s="596"/>
      <c r="AC132" s="327"/>
      <c r="AD132" s="577"/>
      <c r="AE132" s="327"/>
      <c r="AF132" s="596"/>
      <c r="AG132" s="327"/>
      <c r="AH132" s="577"/>
      <c r="AI132" s="327"/>
      <c r="AJ132" s="596"/>
      <c r="AK132" s="327"/>
      <c r="AL132" s="598"/>
      <c r="AM132" s="326"/>
      <c r="AN132" s="326"/>
      <c r="AO132" s="326"/>
      <c r="AP132" s="326"/>
      <c r="AQ132" s="326"/>
      <c r="AR132" s="326"/>
      <c r="AS132" s="326"/>
      <c r="AT132" s="326"/>
      <c r="AU132" s="326"/>
      <c r="AV132" s="326"/>
      <c r="AW132" s="326"/>
      <c r="AX132" s="326"/>
      <c r="AY132" s="326"/>
      <c r="AZ132" s="326"/>
      <c r="BA132" s="326"/>
      <c r="BB132" s="327"/>
    </row>
    <row r="133" spans="1:54" ht="15.75" customHeight="1" x14ac:dyDescent="0.25">
      <c r="A133" s="11">
        <f t="shared" si="0"/>
        <v>120</v>
      </c>
      <c r="B133" s="504" t="str">
        <f>'refer admin discharge'!B130</f>
        <v>x</v>
      </c>
      <c r="C133" s="327"/>
      <c r="D133" s="505" t="str">
        <f>'refer admin discharge'!D130</f>
        <v>xx</v>
      </c>
      <c r="E133" s="327"/>
      <c r="F133" s="606" t="str">
        <f>'refer admin discharge'!H130</f>
        <v>00/00/0000</v>
      </c>
      <c r="G133" s="327"/>
      <c r="H133" s="594"/>
      <c r="I133" s="327"/>
      <c r="J133" s="605"/>
      <c r="K133" s="327"/>
      <c r="L133" s="594"/>
      <c r="M133" s="327"/>
      <c r="N133" s="575"/>
      <c r="O133" s="327"/>
      <c r="P133" s="594"/>
      <c r="Q133" s="327"/>
      <c r="R133" s="575"/>
      <c r="S133" s="327"/>
      <c r="T133" s="594"/>
      <c r="U133" s="327"/>
      <c r="V133" s="595" t="str">
        <f>'refer admin discharge'!H134</f>
        <v>00/00/0000</v>
      </c>
      <c r="W133" s="327"/>
      <c r="X133" s="577"/>
      <c r="Y133" s="327"/>
      <c r="Z133" s="604"/>
      <c r="AA133" s="327"/>
      <c r="AB133" s="577"/>
      <c r="AC133" s="327"/>
      <c r="AD133" s="576"/>
      <c r="AE133" s="327"/>
      <c r="AF133" s="577"/>
      <c r="AG133" s="327"/>
      <c r="AH133" s="576"/>
      <c r="AI133" s="327"/>
      <c r="AJ133" s="577"/>
      <c r="AK133" s="327"/>
      <c r="AL133" s="602"/>
      <c r="AM133" s="326"/>
      <c r="AN133" s="326"/>
      <c r="AO133" s="326"/>
      <c r="AP133" s="326"/>
      <c r="AQ133" s="326"/>
      <c r="AR133" s="326"/>
      <c r="AS133" s="326"/>
      <c r="AT133" s="326"/>
      <c r="AU133" s="326"/>
      <c r="AV133" s="326"/>
      <c r="AW133" s="326"/>
      <c r="AX133" s="326"/>
      <c r="AY133" s="326"/>
      <c r="AZ133" s="326"/>
      <c r="BA133" s="326"/>
      <c r="BB133" s="327"/>
    </row>
    <row r="134" spans="1:54" ht="15.75" customHeight="1" x14ac:dyDescent="0.25">
      <c r="A134" s="11">
        <f t="shared" si="0"/>
        <v>121</v>
      </c>
      <c r="B134" s="570" t="str">
        <f>'refer admin discharge'!B131</f>
        <v>x</v>
      </c>
      <c r="C134" s="327"/>
      <c r="D134" s="599" t="str">
        <f>'refer admin discharge'!D131</f>
        <v>xx</v>
      </c>
      <c r="E134" s="327"/>
      <c r="F134" s="600" t="str">
        <f>'refer admin discharge'!H131</f>
        <v>00/00/0000</v>
      </c>
      <c r="G134" s="327"/>
      <c r="H134" s="574"/>
      <c r="I134" s="327"/>
      <c r="J134" s="601"/>
      <c r="K134" s="327"/>
      <c r="L134" s="574"/>
      <c r="M134" s="327"/>
      <c r="N134" s="594"/>
      <c r="O134" s="327"/>
      <c r="P134" s="574"/>
      <c r="Q134" s="327"/>
      <c r="R134" s="594"/>
      <c r="S134" s="327"/>
      <c r="T134" s="574"/>
      <c r="U134" s="327"/>
      <c r="V134" s="595" t="str">
        <f>'refer admin discharge'!H135</f>
        <v>00/00/0000</v>
      </c>
      <c r="W134" s="327"/>
      <c r="X134" s="596"/>
      <c r="Y134" s="327"/>
      <c r="Z134" s="597"/>
      <c r="AA134" s="327"/>
      <c r="AB134" s="596"/>
      <c r="AC134" s="327"/>
      <c r="AD134" s="577"/>
      <c r="AE134" s="327"/>
      <c r="AF134" s="596"/>
      <c r="AG134" s="327"/>
      <c r="AH134" s="577"/>
      <c r="AI134" s="327"/>
      <c r="AJ134" s="596"/>
      <c r="AK134" s="327"/>
      <c r="AL134" s="598"/>
      <c r="AM134" s="326"/>
      <c r="AN134" s="326"/>
      <c r="AO134" s="326"/>
      <c r="AP134" s="326"/>
      <c r="AQ134" s="326"/>
      <c r="AR134" s="326"/>
      <c r="AS134" s="326"/>
      <c r="AT134" s="326"/>
      <c r="AU134" s="326"/>
      <c r="AV134" s="326"/>
      <c r="AW134" s="326"/>
      <c r="AX134" s="326"/>
      <c r="AY134" s="326"/>
      <c r="AZ134" s="326"/>
      <c r="BA134" s="326"/>
      <c r="BB134" s="327"/>
    </row>
    <row r="135" spans="1:54" ht="15.75" customHeight="1" x14ac:dyDescent="0.25">
      <c r="A135" s="11">
        <f t="shared" si="0"/>
        <v>122</v>
      </c>
      <c r="B135" s="504" t="str">
        <f>'refer admin discharge'!B132</f>
        <v>x</v>
      </c>
      <c r="C135" s="327"/>
      <c r="D135" s="505" t="str">
        <f>'refer admin discharge'!D132</f>
        <v>xx</v>
      </c>
      <c r="E135" s="327"/>
      <c r="F135" s="606" t="str">
        <f>'refer admin discharge'!H132</f>
        <v>00/00/0000</v>
      </c>
      <c r="G135" s="327"/>
      <c r="H135" s="594"/>
      <c r="I135" s="327"/>
      <c r="J135" s="605"/>
      <c r="K135" s="327"/>
      <c r="L135" s="594"/>
      <c r="M135" s="327"/>
      <c r="N135" s="575"/>
      <c r="O135" s="327"/>
      <c r="P135" s="594"/>
      <c r="Q135" s="327"/>
      <c r="R135" s="575"/>
      <c r="S135" s="327"/>
      <c r="T135" s="594"/>
      <c r="U135" s="327"/>
      <c r="V135" s="595" t="str">
        <f>'refer admin discharge'!H136</f>
        <v>00/00/0000</v>
      </c>
      <c r="W135" s="327"/>
      <c r="X135" s="577"/>
      <c r="Y135" s="327"/>
      <c r="Z135" s="604"/>
      <c r="AA135" s="327"/>
      <c r="AB135" s="577"/>
      <c r="AC135" s="327"/>
      <c r="AD135" s="576"/>
      <c r="AE135" s="327"/>
      <c r="AF135" s="577"/>
      <c r="AG135" s="327"/>
      <c r="AH135" s="576"/>
      <c r="AI135" s="327"/>
      <c r="AJ135" s="577"/>
      <c r="AK135" s="327"/>
      <c r="AL135" s="602"/>
      <c r="AM135" s="326"/>
      <c r="AN135" s="326"/>
      <c r="AO135" s="326"/>
      <c r="AP135" s="326"/>
      <c r="AQ135" s="326"/>
      <c r="AR135" s="326"/>
      <c r="AS135" s="326"/>
      <c r="AT135" s="326"/>
      <c r="AU135" s="326"/>
      <c r="AV135" s="326"/>
      <c r="AW135" s="326"/>
      <c r="AX135" s="326"/>
      <c r="AY135" s="326"/>
      <c r="AZ135" s="326"/>
      <c r="BA135" s="326"/>
      <c r="BB135" s="327"/>
    </row>
    <row r="136" spans="1:54" ht="15.75" customHeight="1" x14ac:dyDescent="0.25">
      <c r="A136" s="11">
        <f t="shared" si="0"/>
        <v>123</v>
      </c>
      <c r="B136" s="570" t="str">
        <f>'refer admin discharge'!B133</f>
        <v>x</v>
      </c>
      <c r="C136" s="327"/>
      <c r="D136" s="599" t="str">
        <f>'refer admin discharge'!D133</f>
        <v>xx</v>
      </c>
      <c r="E136" s="327"/>
      <c r="F136" s="600" t="str">
        <f>'refer admin discharge'!H133</f>
        <v>00/00/0000</v>
      </c>
      <c r="G136" s="327"/>
      <c r="H136" s="574"/>
      <c r="I136" s="327"/>
      <c r="J136" s="601"/>
      <c r="K136" s="327"/>
      <c r="L136" s="574"/>
      <c r="M136" s="327"/>
      <c r="N136" s="594"/>
      <c r="O136" s="327"/>
      <c r="P136" s="574"/>
      <c r="Q136" s="327"/>
      <c r="R136" s="594"/>
      <c r="S136" s="327"/>
      <c r="T136" s="574"/>
      <c r="U136" s="327"/>
      <c r="V136" s="595" t="str">
        <f>'refer admin discharge'!H137</f>
        <v>00/00/0000</v>
      </c>
      <c r="W136" s="327"/>
      <c r="X136" s="596"/>
      <c r="Y136" s="327"/>
      <c r="Z136" s="597"/>
      <c r="AA136" s="327"/>
      <c r="AB136" s="596"/>
      <c r="AC136" s="327"/>
      <c r="AD136" s="577"/>
      <c r="AE136" s="327"/>
      <c r="AF136" s="596"/>
      <c r="AG136" s="327"/>
      <c r="AH136" s="577"/>
      <c r="AI136" s="327"/>
      <c r="AJ136" s="596"/>
      <c r="AK136" s="327"/>
      <c r="AL136" s="598"/>
      <c r="AM136" s="326"/>
      <c r="AN136" s="326"/>
      <c r="AO136" s="326"/>
      <c r="AP136" s="326"/>
      <c r="AQ136" s="326"/>
      <c r="AR136" s="326"/>
      <c r="AS136" s="326"/>
      <c r="AT136" s="326"/>
      <c r="AU136" s="326"/>
      <c r="AV136" s="326"/>
      <c r="AW136" s="326"/>
      <c r="AX136" s="326"/>
      <c r="AY136" s="326"/>
      <c r="AZ136" s="326"/>
      <c r="BA136" s="326"/>
      <c r="BB136" s="327"/>
    </row>
    <row r="137" spans="1:54" ht="15.75" customHeight="1" x14ac:dyDescent="0.25">
      <c r="A137" s="11">
        <f t="shared" si="0"/>
        <v>124</v>
      </c>
      <c r="B137" s="504" t="str">
        <f>'refer admin discharge'!B134</f>
        <v>x</v>
      </c>
      <c r="C137" s="327"/>
      <c r="D137" s="505" t="str">
        <f>'refer admin discharge'!D134</f>
        <v>xx</v>
      </c>
      <c r="E137" s="327"/>
      <c r="F137" s="606" t="str">
        <f>'refer admin discharge'!H134</f>
        <v>00/00/0000</v>
      </c>
      <c r="G137" s="327"/>
      <c r="H137" s="594"/>
      <c r="I137" s="327"/>
      <c r="J137" s="605"/>
      <c r="K137" s="327"/>
      <c r="L137" s="594"/>
      <c r="M137" s="327"/>
      <c r="N137" s="575"/>
      <c r="O137" s="327"/>
      <c r="P137" s="594"/>
      <c r="Q137" s="327"/>
      <c r="R137" s="575"/>
      <c r="S137" s="327"/>
      <c r="T137" s="594"/>
      <c r="U137" s="327"/>
      <c r="V137" s="595" t="str">
        <f>'refer admin discharge'!H138</f>
        <v>00/00/0000</v>
      </c>
      <c r="W137" s="327"/>
      <c r="X137" s="577"/>
      <c r="Y137" s="327"/>
      <c r="Z137" s="604"/>
      <c r="AA137" s="327"/>
      <c r="AB137" s="577"/>
      <c r="AC137" s="327"/>
      <c r="AD137" s="576"/>
      <c r="AE137" s="327"/>
      <c r="AF137" s="577"/>
      <c r="AG137" s="327"/>
      <c r="AH137" s="576"/>
      <c r="AI137" s="327"/>
      <c r="AJ137" s="577"/>
      <c r="AK137" s="327"/>
      <c r="AL137" s="602"/>
      <c r="AM137" s="326"/>
      <c r="AN137" s="326"/>
      <c r="AO137" s="326"/>
      <c r="AP137" s="326"/>
      <c r="AQ137" s="326"/>
      <c r="AR137" s="326"/>
      <c r="AS137" s="326"/>
      <c r="AT137" s="326"/>
      <c r="AU137" s="326"/>
      <c r="AV137" s="326"/>
      <c r="AW137" s="326"/>
      <c r="AX137" s="326"/>
      <c r="AY137" s="326"/>
      <c r="AZ137" s="326"/>
      <c r="BA137" s="326"/>
      <c r="BB137" s="327"/>
    </row>
    <row r="138" spans="1:54" ht="15.75" customHeight="1" x14ac:dyDescent="0.25">
      <c r="A138" s="11">
        <f t="shared" si="0"/>
        <v>125</v>
      </c>
      <c r="B138" s="570" t="str">
        <f>'refer admin discharge'!B135</f>
        <v>x</v>
      </c>
      <c r="C138" s="327"/>
      <c r="D138" s="599" t="str">
        <f>'refer admin discharge'!D135</f>
        <v>xx</v>
      </c>
      <c r="E138" s="327"/>
      <c r="F138" s="600" t="str">
        <f>'refer admin discharge'!H135</f>
        <v>00/00/0000</v>
      </c>
      <c r="G138" s="327"/>
      <c r="H138" s="574"/>
      <c r="I138" s="327"/>
      <c r="J138" s="601"/>
      <c r="K138" s="327"/>
      <c r="L138" s="574"/>
      <c r="M138" s="327"/>
      <c r="N138" s="594"/>
      <c r="O138" s="327"/>
      <c r="P138" s="574"/>
      <c r="Q138" s="327"/>
      <c r="R138" s="594"/>
      <c r="S138" s="327"/>
      <c r="T138" s="574"/>
      <c r="U138" s="327"/>
      <c r="V138" s="595" t="str">
        <f>'refer admin discharge'!H139</f>
        <v>00/00/0000</v>
      </c>
      <c r="W138" s="327"/>
      <c r="X138" s="596"/>
      <c r="Y138" s="327"/>
      <c r="Z138" s="597"/>
      <c r="AA138" s="327"/>
      <c r="AB138" s="596"/>
      <c r="AC138" s="327"/>
      <c r="AD138" s="577"/>
      <c r="AE138" s="327"/>
      <c r="AF138" s="596"/>
      <c r="AG138" s="327"/>
      <c r="AH138" s="577"/>
      <c r="AI138" s="327"/>
      <c r="AJ138" s="596"/>
      <c r="AK138" s="327"/>
      <c r="AL138" s="598"/>
      <c r="AM138" s="326"/>
      <c r="AN138" s="326"/>
      <c r="AO138" s="326"/>
      <c r="AP138" s="326"/>
      <c r="AQ138" s="326"/>
      <c r="AR138" s="326"/>
      <c r="AS138" s="326"/>
      <c r="AT138" s="326"/>
      <c r="AU138" s="326"/>
      <c r="AV138" s="326"/>
      <c r="AW138" s="326"/>
      <c r="AX138" s="326"/>
      <c r="AY138" s="326"/>
      <c r="AZ138" s="326"/>
      <c r="BA138" s="326"/>
      <c r="BB138" s="327"/>
    </row>
    <row r="139" spans="1:54" ht="15.75" customHeight="1" x14ac:dyDescent="0.25">
      <c r="A139" s="11">
        <f t="shared" si="0"/>
        <v>126</v>
      </c>
      <c r="B139" s="504" t="str">
        <f>'refer admin discharge'!B136</f>
        <v>x</v>
      </c>
      <c r="C139" s="327"/>
      <c r="D139" s="505" t="str">
        <f>'refer admin discharge'!D136</f>
        <v>xx</v>
      </c>
      <c r="E139" s="327"/>
      <c r="F139" s="606" t="str">
        <f>'refer admin discharge'!H136</f>
        <v>00/00/0000</v>
      </c>
      <c r="G139" s="327"/>
      <c r="H139" s="594"/>
      <c r="I139" s="327"/>
      <c r="J139" s="605"/>
      <c r="K139" s="327"/>
      <c r="L139" s="594"/>
      <c r="M139" s="327"/>
      <c r="N139" s="575"/>
      <c r="O139" s="327"/>
      <c r="P139" s="594"/>
      <c r="Q139" s="327"/>
      <c r="R139" s="575"/>
      <c r="S139" s="327"/>
      <c r="T139" s="594"/>
      <c r="U139" s="327"/>
      <c r="V139" s="595" t="str">
        <f>'refer admin discharge'!H140</f>
        <v>00/00/0000</v>
      </c>
      <c r="W139" s="327"/>
      <c r="X139" s="577"/>
      <c r="Y139" s="327"/>
      <c r="Z139" s="604"/>
      <c r="AA139" s="327"/>
      <c r="AB139" s="577"/>
      <c r="AC139" s="327"/>
      <c r="AD139" s="576"/>
      <c r="AE139" s="327"/>
      <c r="AF139" s="577"/>
      <c r="AG139" s="327"/>
      <c r="AH139" s="576"/>
      <c r="AI139" s="327"/>
      <c r="AJ139" s="577"/>
      <c r="AK139" s="327"/>
      <c r="AL139" s="602"/>
      <c r="AM139" s="326"/>
      <c r="AN139" s="326"/>
      <c r="AO139" s="326"/>
      <c r="AP139" s="326"/>
      <c r="AQ139" s="326"/>
      <c r="AR139" s="326"/>
      <c r="AS139" s="326"/>
      <c r="AT139" s="326"/>
      <c r="AU139" s="326"/>
      <c r="AV139" s="326"/>
      <c r="AW139" s="326"/>
      <c r="AX139" s="326"/>
      <c r="AY139" s="326"/>
      <c r="AZ139" s="326"/>
      <c r="BA139" s="326"/>
      <c r="BB139" s="327"/>
    </row>
    <row r="140" spans="1:54" ht="15.75" customHeight="1" x14ac:dyDescent="0.25">
      <c r="A140" s="11">
        <f t="shared" si="0"/>
        <v>127</v>
      </c>
      <c r="B140" s="570" t="str">
        <f>'refer admin discharge'!B137</f>
        <v>x</v>
      </c>
      <c r="C140" s="327"/>
      <c r="D140" s="599" t="str">
        <f>'refer admin discharge'!D137</f>
        <v>xx</v>
      </c>
      <c r="E140" s="327"/>
      <c r="F140" s="600" t="str">
        <f>'refer admin discharge'!H137</f>
        <v>00/00/0000</v>
      </c>
      <c r="G140" s="327"/>
      <c r="H140" s="574"/>
      <c r="I140" s="327"/>
      <c r="J140" s="601"/>
      <c r="K140" s="327"/>
      <c r="L140" s="574"/>
      <c r="M140" s="327"/>
      <c r="N140" s="594"/>
      <c r="O140" s="327"/>
      <c r="P140" s="574"/>
      <c r="Q140" s="327"/>
      <c r="R140" s="594"/>
      <c r="S140" s="327"/>
      <c r="T140" s="574"/>
      <c r="U140" s="327"/>
      <c r="V140" s="595" t="str">
        <f>'refer admin discharge'!H141</f>
        <v>00/00/0000</v>
      </c>
      <c r="W140" s="327"/>
      <c r="X140" s="596"/>
      <c r="Y140" s="327"/>
      <c r="Z140" s="597"/>
      <c r="AA140" s="327"/>
      <c r="AB140" s="596"/>
      <c r="AC140" s="327"/>
      <c r="AD140" s="577"/>
      <c r="AE140" s="327"/>
      <c r="AF140" s="596"/>
      <c r="AG140" s="327"/>
      <c r="AH140" s="577"/>
      <c r="AI140" s="327"/>
      <c r="AJ140" s="596"/>
      <c r="AK140" s="327"/>
      <c r="AL140" s="598"/>
      <c r="AM140" s="326"/>
      <c r="AN140" s="326"/>
      <c r="AO140" s="326"/>
      <c r="AP140" s="326"/>
      <c r="AQ140" s="326"/>
      <c r="AR140" s="326"/>
      <c r="AS140" s="326"/>
      <c r="AT140" s="326"/>
      <c r="AU140" s="326"/>
      <c r="AV140" s="326"/>
      <c r="AW140" s="326"/>
      <c r="AX140" s="326"/>
      <c r="AY140" s="326"/>
      <c r="AZ140" s="326"/>
      <c r="BA140" s="326"/>
      <c r="BB140" s="327"/>
    </row>
    <row r="141" spans="1:54" ht="15.75" customHeight="1" x14ac:dyDescent="0.25">
      <c r="A141" s="11">
        <f t="shared" si="0"/>
        <v>128</v>
      </c>
      <c r="B141" s="504" t="str">
        <f>'refer admin discharge'!B138</f>
        <v>x</v>
      </c>
      <c r="C141" s="327"/>
      <c r="D141" s="505" t="str">
        <f>'refer admin discharge'!D138</f>
        <v>xx</v>
      </c>
      <c r="E141" s="327"/>
      <c r="F141" s="606" t="str">
        <f>'refer admin discharge'!H138</f>
        <v>00/00/0000</v>
      </c>
      <c r="G141" s="327"/>
      <c r="H141" s="594"/>
      <c r="I141" s="327"/>
      <c r="J141" s="605"/>
      <c r="K141" s="327"/>
      <c r="L141" s="594"/>
      <c r="M141" s="327"/>
      <c r="N141" s="575"/>
      <c r="O141" s="327"/>
      <c r="P141" s="594"/>
      <c r="Q141" s="327"/>
      <c r="R141" s="575"/>
      <c r="S141" s="327"/>
      <c r="T141" s="594"/>
      <c r="U141" s="327"/>
      <c r="V141" s="595" t="str">
        <f>'refer admin discharge'!H142</f>
        <v>00/00/0000</v>
      </c>
      <c r="W141" s="327"/>
      <c r="X141" s="577"/>
      <c r="Y141" s="327"/>
      <c r="Z141" s="604"/>
      <c r="AA141" s="327"/>
      <c r="AB141" s="577"/>
      <c r="AC141" s="327"/>
      <c r="AD141" s="576"/>
      <c r="AE141" s="327"/>
      <c r="AF141" s="577"/>
      <c r="AG141" s="327"/>
      <c r="AH141" s="576"/>
      <c r="AI141" s="327"/>
      <c r="AJ141" s="577"/>
      <c r="AK141" s="327"/>
      <c r="AL141" s="602"/>
      <c r="AM141" s="326"/>
      <c r="AN141" s="326"/>
      <c r="AO141" s="326"/>
      <c r="AP141" s="326"/>
      <c r="AQ141" s="326"/>
      <c r="AR141" s="326"/>
      <c r="AS141" s="326"/>
      <c r="AT141" s="326"/>
      <c r="AU141" s="326"/>
      <c r="AV141" s="326"/>
      <c r="AW141" s="326"/>
      <c r="AX141" s="326"/>
      <c r="AY141" s="326"/>
      <c r="AZ141" s="326"/>
      <c r="BA141" s="326"/>
      <c r="BB141" s="327"/>
    </row>
    <row r="142" spans="1:54" ht="15.75" customHeight="1" x14ac:dyDescent="0.25">
      <c r="A142" s="11">
        <f t="shared" si="0"/>
        <v>129</v>
      </c>
      <c r="B142" s="570" t="str">
        <f>'refer admin discharge'!B139</f>
        <v>x</v>
      </c>
      <c r="C142" s="327"/>
      <c r="D142" s="599" t="str">
        <f>'refer admin discharge'!D139</f>
        <v>xx</v>
      </c>
      <c r="E142" s="327"/>
      <c r="F142" s="600" t="str">
        <f>'refer admin discharge'!H139</f>
        <v>00/00/0000</v>
      </c>
      <c r="G142" s="327"/>
      <c r="H142" s="574"/>
      <c r="I142" s="327"/>
      <c r="J142" s="601"/>
      <c r="K142" s="327"/>
      <c r="L142" s="574"/>
      <c r="M142" s="327"/>
      <c r="N142" s="594"/>
      <c r="O142" s="327"/>
      <c r="P142" s="574"/>
      <c r="Q142" s="327"/>
      <c r="R142" s="594"/>
      <c r="S142" s="327"/>
      <c r="T142" s="574"/>
      <c r="U142" s="327"/>
      <c r="V142" s="595" t="str">
        <f>'refer admin discharge'!H143</f>
        <v>00/00/0000</v>
      </c>
      <c r="W142" s="327"/>
      <c r="X142" s="596"/>
      <c r="Y142" s="327"/>
      <c r="Z142" s="597"/>
      <c r="AA142" s="327"/>
      <c r="AB142" s="596"/>
      <c r="AC142" s="327"/>
      <c r="AD142" s="577"/>
      <c r="AE142" s="327"/>
      <c r="AF142" s="596"/>
      <c r="AG142" s="327"/>
      <c r="AH142" s="577"/>
      <c r="AI142" s="327"/>
      <c r="AJ142" s="596"/>
      <c r="AK142" s="327"/>
      <c r="AL142" s="598"/>
      <c r="AM142" s="326"/>
      <c r="AN142" s="326"/>
      <c r="AO142" s="326"/>
      <c r="AP142" s="326"/>
      <c r="AQ142" s="326"/>
      <c r="AR142" s="326"/>
      <c r="AS142" s="326"/>
      <c r="AT142" s="326"/>
      <c r="AU142" s="326"/>
      <c r="AV142" s="326"/>
      <c r="AW142" s="326"/>
      <c r="AX142" s="326"/>
      <c r="AY142" s="326"/>
      <c r="AZ142" s="326"/>
      <c r="BA142" s="326"/>
      <c r="BB142" s="327"/>
    </row>
    <row r="143" spans="1:54" ht="15.75" customHeight="1" x14ac:dyDescent="0.25">
      <c r="A143" s="11">
        <f t="shared" si="0"/>
        <v>130</v>
      </c>
      <c r="B143" s="504" t="str">
        <f>'refer admin discharge'!B140</f>
        <v>x</v>
      </c>
      <c r="C143" s="327"/>
      <c r="D143" s="505" t="str">
        <f>'refer admin discharge'!D140</f>
        <v>xx</v>
      </c>
      <c r="E143" s="327"/>
      <c r="F143" s="606" t="str">
        <f>'refer admin discharge'!H140</f>
        <v>00/00/0000</v>
      </c>
      <c r="G143" s="327"/>
      <c r="H143" s="594"/>
      <c r="I143" s="327"/>
      <c r="J143" s="605"/>
      <c r="K143" s="327"/>
      <c r="L143" s="594"/>
      <c r="M143" s="327"/>
      <c r="N143" s="575"/>
      <c r="O143" s="327"/>
      <c r="P143" s="594"/>
      <c r="Q143" s="327"/>
      <c r="R143" s="575"/>
      <c r="S143" s="327"/>
      <c r="T143" s="594"/>
      <c r="U143" s="327"/>
      <c r="V143" s="595" t="str">
        <f>'refer admin discharge'!H144</f>
        <v>00/00/0000</v>
      </c>
      <c r="W143" s="327"/>
      <c r="X143" s="577"/>
      <c r="Y143" s="327"/>
      <c r="Z143" s="604"/>
      <c r="AA143" s="327"/>
      <c r="AB143" s="577"/>
      <c r="AC143" s="327"/>
      <c r="AD143" s="576"/>
      <c r="AE143" s="327"/>
      <c r="AF143" s="577"/>
      <c r="AG143" s="327"/>
      <c r="AH143" s="576"/>
      <c r="AI143" s="327"/>
      <c r="AJ143" s="577"/>
      <c r="AK143" s="327"/>
      <c r="AL143" s="602"/>
      <c r="AM143" s="326"/>
      <c r="AN143" s="326"/>
      <c r="AO143" s="326"/>
      <c r="AP143" s="326"/>
      <c r="AQ143" s="326"/>
      <c r="AR143" s="326"/>
      <c r="AS143" s="326"/>
      <c r="AT143" s="326"/>
      <c r="AU143" s="326"/>
      <c r="AV143" s="326"/>
      <c r="AW143" s="326"/>
      <c r="AX143" s="326"/>
      <c r="AY143" s="326"/>
      <c r="AZ143" s="326"/>
      <c r="BA143" s="326"/>
      <c r="BB143" s="327"/>
    </row>
    <row r="144" spans="1:54" ht="15.75" customHeight="1" x14ac:dyDescent="0.25">
      <c r="A144" s="11">
        <f t="shared" si="0"/>
        <v>131</v>
      </c>
      <c r="B144" s="570" t="str">
        <f>'refer admin discharge'!B141</f>
        <v>x</v>
      </c>
      <c r="C144" s="327"/>
      <c r="D144" s="599" t="str">
        <f>'refer admin discharge'!D141</f>
        <v>xx</v>
      </c>
      <c r="E144" s="327"/>
      <c r="F144" s="600" t="str">
        <f>'refer admin discharge'!H141</f>
        <v>00/00/0000</v>
      </c>
      <c r="G144" s="327"/>
      <c r="H144" s="574"/>
      <c r="I144" s="327"/>
      <c r="J144" s="601"/>
      <c r="K144" s="327"/>
      <c r="L144" s="574"/>
      <c r="M144" s="327"/>
      <c r="N144" s="594"/>
      <c r="O144" s="327"/>
      <c r="P144" s="574"/>
      <c r="Q144" s="327"/>
      <c r="R144" s="594"/>
      <c r="S144" s="327"/>
      <c r="T144" s="574"/>
      <c r="U144" s="327"/>
      <c r="V144" s="595" t="str">
        <f>'refer admin discharge'!H145</f>
        <v>00/00/0000</v>
      </c>
      <c r="W144" s="327"/>
      <c r="X144" s="596"/>
      <c r="Y144" s="327"/>
      <c r="Z144" s="597"/>
      <c r="AA144" s="327"/>
      <c r="AB144" s="596"/>
      <c r="AC144" s="327"/>
      <c r="AD144" s="577"/>
      <c r="AE144" s="327"/>
      <c r="AF144" s="596"/>
      <c r="AG144" s="327"/>
      <c r="AH144" s="577"/>
      <c r="AI144" s="327"/>
      <c r="AJ144" s="596"/>
      <c r="AK144" s="327"/>
      <c r="AL144" s="598"/>
      <c r="AM144" s="326"/>
      <c r="AN144" s="326"/>
      <c r="AO144" s="326"/>
      <c r="AP144" s="326"/>
      <c r="AQ144" s="326"/>
      <c r="AR144" s="326"/>
      <c r="AS144" s="326"/>
      <c r="AT144" s="326"/>
      <c r="AU144" s="326"/>
      <c r="AV144" s="326"/>
      <c r="AW144" s="326"/>
      <c r="AX144" s="326"/>
      <c r="AY144" s="326"/>
      <c r="AZ144" s="326"/>
      <c r="BA144" s="326"/>
      <c r="BB144" s="327"/>
    </row>
    <row r="145" spans="1:54" ht="15.75" customHeight="1" x14ac:dyDescent="0.25">
      <c r="A145" s="11">
        <f t="shared" si="0"/>
        <v>132</v>
      </c>
      <c r="B145" s="504" t="str">
        <f>'refer admin discharge'!B142</f>
        <v>x</v>
      </c>
      <c r="C145" s="327"/>
      <c r="D145" s="505" t="str">
        <f>'refer admin discharge'!D142</f>
        <v>xx</v>
      </c>
      <c r="E145" s="327"/>
      <c r="F145" s="606" t="str">
        <f>'refer admin discharge'!H142</f>
        <v>00/00/0000</v>
      </c>
      <c r="G145" s="327"/>
      <c r="H145" s="594"/>
      <c r="I145" s="327"/>
      <c r="J145" s="605"/>
      <c r="K145" s="327"/>
      <c r="L145" s="594"/>
      <c r="M145" s="327"/>
      <c r="N145" s="575"/>
      <c r="O145" s="327"/>
      <c r="P145" s="594"/>
      <c r="Q145" s="327"/>
      <c r="R145" s="575"/>
      <c r="S145" s="327"/>
      <c r="T145" s="594"/>
      <c r="U145" s="327"/>
      <c r="V145" s="595" t="str">
        <f>'refer admin discharge'!H146</f>
        <v>00/00/0000</v>
      </c>
      <c r="W145" s="327"/>
      <c r="X145" s="577"/>
      <c r="Y145" s="327"/>
      <c r="Z145" s="604"/>
      <c r="AA145" s="327"/>
      <c r="AB145" s="577"/>
      <c r="AC145" s="327"/>
      <c r="AD145" s="576"/>
      <c r="AE145" s="327"/>
      <c r="AF145" s="577"/>
      <c r="AG145" s="327"/>
      <c r="AH145" s="576"/>
      <c r="AI145" s="327"/>
      <c r="AJ145" s="577"/>
      <c r="AK145" s="327"/>
      <c r="AL145" s="602"/>
      <c r="AM145" s="326"/>
      <c r="AN145" s="326"/>
      <c r="AO145" s="326"/>
      <c r="AP145" s="326"/>
      <c r="AQ145" s="326"/>
      <c r="AR145" s="326"/>
      <c r="AS145" s="326"/>
      <c r="AT145" s="326"/>
      <c r="AU145" s="326"/>
      <c r="AV145" s="326"/>
      <c r="AW145" s="326"/>
      <c r="AX145" s="326"/>
      <c r="AY145" s="326"/>
      <c r="AZ145" s="326"/>
      <c r="BA145" s="326"/>
      <c r="BB145" s="327"/>
    </row>
    <row r="146" spans="1:54" ht="15.75" customHeight="1" x14ac:dyDescent="0.25">
      <c r="A146" s="11">
        <f t="shared" si="0"/>
        <v>133</v>
      </c>
      <c r="B146" s="570" t="str">
        <f>'refer admin discharge'!B143</f>
        <v>x</v>
      </c>
      <c r="C146" s="327"/>
      <c r="D146" s="599" t="str">
        <f>'refer admin discharge'!D143</f>
        <v>xx</v>
      </c>
      <c r="E146" s="327"/>
      <c r="F146" s="600" t="str">
        <f>'refer admin discharge'!H143</f>
        <v>00/00/0000</v>
      </c>
      <c r="G146" s="327"/>
      <c r="H146" s="574"/>
      <c r="I146" s="327"/>
      <c r="J146" s="601"/>
      <c r="K146" s="327"/>
      <c r="L146" s="574"/>
      <c r="M146" s="327"/>
      <c r="N146" s="594"/>
      <c r="O146" s="327"/>
      <c r="P146" s="574"/>
      <c r="Q146" s="327"/>
      <c r="R146" s="594"/>
      <c r="S146" s="327"/>
      <c r="T146" s="574"/>
      <c r="U146" s="327"/>
      <c r="V146" s="595" t="str">
        <f>'refer admin discharge'!H147</f>
        <v>00/00/0000</v>
      </c>
      <c r="W146" s="327"/>
      <c r="X146" s="596"/>
      <c r="Y146" s="327"/>
      <c r="Z146" s="597"/>
      <c r="AA146" s="327"/>
      <c r="AB146" s="596"/>
      <c r="AC146" s="327"/>
      <c r="AD146" s="577"/>
      <c r="AE146" s="327"/>
      <c r="AF146" s="596"/>
      <c r="AG146" s="327"/>
      <c r="AH146" s="577"/>
      <c r="AI146" s="327"/>
      <c r="AJ146" s="596"/>
      <c r="AK146" s="327"/>
      <c r="AL146" s="598"/>
      <c r="AM146" s="326"/>
      <c r="AN146" s="326"/>
      <c r="AO146" s="326"/>
      <c r="AP146" s="326"/>
      <c r="AQ146" s="326"/>
      <c r="AR146" s="326"/>
      <c r="AS146" s="326"/>
      <c r="AT146" s="326"/>
      <c r="AU146" s="326"/>
      <c r="AV146" s="326"/>
      <c r="AW146" s="326"/>
      <c r="AX146" s="326"/>
      <c r="AY146" s="326"/>
      <c r="AZ146" s="326"/>
      <c r="BA146" s="326"/>
      <c r="BB146" s="327"/>
    </row>
    <row r="147" spans="1:54" ht="15.75" customHeight="1" x14ac:dyDescent="0.25">
      <c r="A147" s="11">
        <f t="shared" si="0"/>
        <v>134</v>
      </c>
      <c r="B147" s="504" t="str">
        <f>'refer admin discharge'!B144</f>
        <v>x</v>
      </c>
      <c r="C147" s="327"/>
      <c r="D147" s="505" t="str">
        <f>'refer admin discharge'!D144</f>
        <v>xx</v>
      </c>
      <c r="E147" s="327"/>
      <c r="F147" s="606" t="str">
        <f>'refer admin discharge'!H144</f>
        <v>00/00/0000</v>
      </c>
      <c r="G147" s="327"/>
      <c r="H147" s="594"/>
      <c r="I147" s="327"/>
      <c r="J147" s="605"/>
      <c r="K147" s="327"/>
      <c r="L147" s="594"/>
      <c r="M147" s="327"/>
      <c r="N147" s="575"/>
      <c r="O147" s="327"/>
      <c r="P147" s="594"/>
      <c r="Q147" s="327"/>
      <c r="R147" s="575"/>
      <c r="S147" s="327"/>
      <c r="T147" s="594"/>
      <c r="U147" s="327"/>
      <c r="V147" s="595" t="str">
        <f>'refer admin discharge'!H148</f>
        <v>00/00/0000</v>
      </c>
      <c r="W147" s="327"/>
      <c r="X147" s="577"/>
      <c r="Y147" s="327"/>
      <c r="Z147" s="604"/>
      <c r="AA147" s="327"/>
      <c r="AB147" s="577"/>
      <c r="AC147" s="327"/>
      <c r="AD147" s="576"/>
      <c r="AE147" s="327"/>
      <c r="AF147" s="577"/>
      <c r="AG147" s="327"/>
      <c r="AH147" s="576"/>
      <c r="AI147" s="327"/>
      <c r="AJ147" s="577"/>
      <c r="AK147" s="327"/>
      <c r="AL147" s="602"/>
      <c r="AM147" s="326"/>
      <c r="AN147" s="326"/>
      <c r="AO147" s="326"/>
      <c r="AP147" s="326"/>
      <c r="AQ147" s="326"/>
      <c r="AR147" s="326"/>
      <c r="AS147" s="326"/>
      <c r="AT147" s="326"/>
      <c r="AU147" s="326"/>
      <c r="AV147" s="326"/>
      <c r="AW147" s="326"/>
      <c r="AX147" s="326"/>
      <c r="AY147" s="326"/>
      <c r="AZ147" s="326"/>
      <c r="BA147" s="326"/>
      <c r="BB147" s="327"/>
    </row>
    <row r="148" spans="1:54" ht="15.75" customHeight="1" x14ac:dyDescent="0.25">
      <c r="A148" s="11">
        <f t="shared" si="0"/>
        <v>135</v>
      </c>
      <c r="B148" s="570" t="str">
        <f>'refer admin discharge'!B145</f>
        <v>x</v>
      </c>
      <c r="C148" s="327"/>
      <c r="D148" s="599" t="str">
        <f>'refer admin discharge'!D145</f>
        <v>xx</v>
      </c>
      <c r="E148" s="327"/>
      <c r="F148" s="600" t="str">
        <f>'refer admin discharge'!H145</f>
        <v>00/00/0000</v>
      </c>
      <c r="G148" s="327"/>
      <c r="H148" s="574"/>
      <c r="I148" s="327"/>
      <c r="J148" s="601"/>
      <c r="K148" s="327"/>
      <c r="L148" s="574"/>
      <c r="M148" s="327"/>
      <c r="N148" s="594"/>
      <c r="O148" s="327"/>
      <c r="P148" s="574"/>
      <c r="Q148" s="327"/>
      <c r="R148" s="594"/>
      <c r="S148" s="327"/>
      <c r="T148" s="574"/>
      <c r="U148" s="327"/>
      <c r="V148" s="595" t="str">
        <f>'refer admin discharge'!H149</f>
        <v>00/00/0000</v>
      </c>
      <c r="W148" s="327"/>
      <c r="X148" s="596"/>
      <c r="Y148" s="327"/>
      <c r="Z148" s="597"/>
      <c r="AA148" s="327"/>
      <c r="AB148" s="596"/>
      <c r="AC148" s="327"/>
      <c r="AD148" s="577"/>
      <c r="AE148" s="327"/>
      <c r="AF148" s="596"/>
      <c r="AG148" s="327"/>
      <c r="AH148" s="577"/>
      <c r="AI148" s="327"/>
      <c r="AJ148" s="596"/>
      <c r="AK148" s="327"/>
      <c r="AL148" s="598"/>
      <c r="AM148" s="326"/>
      <c r="AN148" s="326"/>
      <c r="AO148" s="326"/>
      <c r="AP148" s="326"/>
      <c r="AQ148" s="326"/>
      <c r="AR148" s="326"/>
      <c r="AS148" s="326"/>
      <c r="AT148" s="326"/>
      <c r="AU148" s="326"/>
      <c r="AV148" s="326"/>
      <c r="AW148" s="326"/>
      <c r="AX148" s="326"/>
      <c r="AY148" s="326"/>
      <c r="AZ148" s="326"/>
      <c r="BA148" s="326"/>
      <c r="BB148" s="327"/>
    </row>
    <row r="149" spans="1:54" ht="15.75" customHeight="1" x14ac:dyDescent="0.25">
      <c r="A149" s="11">
        <f t="shared" si="0"/>
        <v>136</v>
      </c>
      <c r="B149" s="504" t="str">
        <f>'refer admin discharge'!B146</f>
        <v>x</v>
      </c>
      <c r="C149" s="327"/>
      <c r="D149" s="505" t="str">
        <f>'refer admin discharge'!D146</f>
        <v>xx</v>
      </c>
      <c r="E149" s="327"/>
      <c r="F149" s="606" t="str">
        <f>'refer admin discharge'!H146</f>
        <v>00/00/0000</v>
      </c>
      <c r="G149" s="327"/>
      <c r="H149" s="594"/>
      <c r="I149" s="327"/>
      <c r="J149" s="605"/>
      <c r="K149" s="327"/>
      <c r="L149" s="594"/>
      <c r="M149" s="327"/>
      <c r="N149" s="575"/>
      <c r="O149" s="327"/>
      <c r="P149" s="594"/>
      <c r="Q149" s="327"/>
      <c r="R149" s="575"/>
      <c r="S149" s="327"/>
      <c r="T149" s="594"/>
      <c r="U149" s="327"/>
      <c r="V149" s="595" t="str">
        <f>'refer admin discharge'!H150</f>
        <v>00/00/0000</v>
      </c>
      <c r="W149" s="327"/>
      <c r="X149" s="577"/>
      <c r="Y149" s="327"/>
      <c r="Z149" s="604"/>
      <c r="AA149" s="327"/>
      <c r="AB149" s="577"/>
      <c r="AC149" s="327"/>
      <c r="AD149" s="576"/>
      <c r="AE149" s="327"/>
      <c r="AF149" s="577"/>
      <c r="AG149" s="327"/>
      <c r="AH149" s="576"/>
      <c r="AI149" s="327"/>
      <c r="AJ149" s="577"/>
      <c r="AK149" s="327"/>
      <c r="AL149" s="602"/>
      <c r="AM149" s="326"/>
      <c r="AN149" s="326"/>
      <c r="AO149" s="326"/>
      <c r="AP149" s="326"/>
      <c r="AQ149" s="326"/>
      <c r="AR149" s="326"/>
      <c r="AS149" s="326"/>
      <c r="AT149" s="326"/>
      <c r="AU149" s="326"/>
      <c r="AV149" s="326"/>
      <c r="AW149" s="326"/>
      <c r="AX149" s="326"/>
      <c r="AY149" s="326"/>
      <c r="AZ149" s="326"/>
      <c r="BA149" s="326"/>
      <c r="BB149" s="327"/>
    </row>
    <row r="150" spans="1:54" ht="15.75" customHeight="1" x14ac:dyDescent="0.25">
      <c r="A150" s="11">
        <f t="shared" si="0"/>
        <v>137</v>
      </c>
      <c r="B150" s="570" t="str">
        <f>'refer admin discharge'!B147</f>
        <v>x</v>
      </c>
      <c r="C150" s="327"/>
      <c r="D150" s="599" t="str">
        <f>'refer admin discharge'!D147</f>
        <v>xx</v>
      </c>
      <c r="E150" s="327"/>
      <c r="F150" s="600" t="str">
        <f>'refer admin discharge'!H147</f>
        <v>00/00/0000</v>
      </c>
      <c r="G150" s="327"/>
      <c r="H150" s="574"/>
      <c r="I150" s="327"/>
      <c r="J150" s="601"/>
      <c r="K150" s="327"/>
      <c r="L150" s="574"/>
      <c r="M150" s="327"/>
      <c r="N150" s="594"/>
      <c r="O150" s="327"/>
      <c r="P150" s="574"/>
      <c r="Q150" s="327"/>
      <c r="R150" s="594"/>
      <c r="S150" s="327"/>
      <c r="T150" s="574"/>
      <c r="U150" s="327"/>
      <c r="V150" s="595" t="str">
        <f>'refer admin discharge'!H151</f>
        <v>00/00/0000</v>
      </c>
      <c r="W150" s="327"/>
      <c r="X150" s="596"/>
      <c r="Y150" s="327"/>
      <c r="Z150" s="597"/>
      <c r="AA150" s="327"/>
      <c r="AB150" s="596"/>
      <c r="AC150" s="327"/>
      <c r="AD150" s="577"/>
      <c r="AE150" s="327"/>
      <c r="AF150" s="596"/>
      <c r="AG150" s="327"/>
      <c r="AH150" s="577"/>
      <c r="AI150" s="327"/>
      <c r="AJ150" s="596"/>
      <c r="AK150" s="327"/>
      <c r="AL150" s="598"/>
      <c r="AM150" s="326"/>
      <c r="AN150" s="326"/>
      <c r="AO150" s="326"/>
      <c r="AP150" s="326"/>
      <c r="AQ150" s="326"/>
      <c r="AR150" s="326"/>
      <c r="AS150" s="326"/>
      <c r="AT150" s="326"/>
      <c r="AU150" s="326"/>
      <c r="AV150" s="326"/>
      <c r="AW150" s="326"/>
      <c r="AX150" s="326"/>
      <c r="AY150" s="326"/>
      <c r="AZ150" s="326"/>
      <c r="BA150" s="326"/>
      <c r="BB150" s="327"/>
    </row>
    <row r="151" spans="1:54" ht="15.75" customHeight="1" x14ac:dyDescent="0.25">
      <c r="A151" s="11">
        <f t="shared" si="0"/>
        <v>138</v>
      </c>
      <c r="B151" s="504" t="str">
        <f>'refer admin discharge'!B148</f>
        <v>x</v>
      </c>
      <c r="C151" s="327"/>
      <c r="D151" s="505" t="str">
        <f>'refer admin discharge'!D148</f>
        <v>xx</v>
      </c>
      <c r="E151" s="327"/>
      <c r="F151" s="606" t="str">
        <f>'refer admin discharge'!H148</f>
        <v>00/00/0000</v>
      </c>
      <c r="G151" s="327"/>
      <c r="H151" s="594"/>
      <c r="I151" s="327"/>
      <c r="J151" s="605"/>
      <c r="K151" s="327"/>
      <c r="L151" s="594"/>
      <c r="M151" s="327"/>
      <c r="N151" s="575"/>
      <c r="O151" s="327"/>
      <c r="P151" s="594"/>
      <c r="Q151" s="327"/>
      <c r="R151" s="575"/>
      <c r="S151" s="327"/>
      <c r="T151" s="594"/>
      <c r="U151" s="327"/>
      <c r="V151" s="595" t="str">
        <f>'refer admin discharge'!H152</f>
        <v>00/00/0000</v>
      </c>
      <c r="W151" s="327"/>
      <c r="X151" s="577"/>
      <c r="Y151" s="327"/>
      <c r="Z151" s="604"/>
      <c r="AA151" s="327"/>
      <c r="AB151" s="577"/>
      <c r="AC151" s="327"/>
      <c r="AD151" s="576"/>
      <c r="AE151" s="327"/>
      <c r="AF151" s="577"/>
      <c r="AG151" s="327"/>
      <c r="AH151" s="576"/>
      <c r="AI151" s="327"/>
      <c r="AJ151" s="577"/>
      <c r="AK151" s="327"/>
      <c r="AL151" s="602"/>
      <c r="AM151" s="326"/>
      <c r="AN151" s="326"/>
      <c r="AO151" s="326"/>
      <c r="AP151" s="326"/>
      <c r="AQ151" s="326"/>
      <c r="AR151" s="326"/>
      <c r="AS151" s="326"/>
      <c r="AT151" s="326"/>
      <c r="AU151" s="326"/>
      <c r="AV151" s="326"/>
      <c r="AW151" s="326"/>
      <c r="AX151" s="326"/>
      <c r="AY151" s="326"/>
      <c r="AZ151" s="326"/>
      <c r="BA151" s="326"/>
      <c r="BB151" s="327"/>
    </row>
    <row r="152" spans="1:54" ht="15.75" customHeight="1" x14ac:dyDescent="0.25">
      <c r="A152" s="11">
        <f t="shared" si="0"/>
        <v>139</v>
      </c>
      <c r="B152" s="570" t="str">
        <f>'refer admin discharge'!B149</f>
        <v>x</v>
      </c>
      <c r="C152" s="327"/>
      <c r="D152" s="599" t="str">
        <f>'refer admin discharge'!D149</f>
        <v>xx</v>
      </c>
      <c r="E152" s="327"/>
      <c r="F152" s="600" t="str">
        <f>'refer admin discharge'!H149</f>
        <v>00/00/0000</v>
      </c>
      <c r="G152" s="327"/>
      <c r="H152" s="574"/>
      <c r="I152" s="327"/>
      <c r="J152" s="601"/>
      <c r="K152" s="327"/>
      <c r="L152" s="574"/>
      <c r="M152" s="327"/>
      <c r="N152" s="594"/>
      <c r="O152" s="327"/>
      <c r="P152" s="574"/>
      <c r="Q152" s="327"/>
      <c r="R152" s="594"/>
      <c r="S152" s="327"/>
      <c r="T152" s="574"/>
      <c r="U152" s="327"/>
      <c r="V152" s="595" t="str">
        <f>'refer admin discharge'!H153</f>
        <v>00/00/0000</v>
      </c>
      <c r="W152" s="327"/>
      <c r="X152" s="596"/>
      <c r="Y152" s="327"/>
      <c r="Z152" s="597"/>
      <c r="AA152" s="327"/>
      <c r="AB152" s="596"/>
      <c r="AC152" s="327"/>
      <c r="AD152" s="577"/>
      <c r="AE152" s="327"/>
      <c r="AF152" s="596"/>
      <c r="AG152" s="327"/>
      <c r="AH152" s="577"/>
      <c r="AI152" s="327"/>
      <c r="AJ152" s="596"/>
      <c r="AK152" s="327"/>
      <c r="AL152" s="598"/>
      <c r="AM152" s="326"/>
      <c r="AN152" s="326"/>
      <c r="AO152" s="326"/>
      <c r="AP152" s="326"/>
      <c r="AQ152" s="326"/>
      <c r="AR152" s="326"/>
      <c r="AS152" s="326"/>
      <c r="AT152" s="326"/>
      <c r="AU152" s="326"/>
      <c r="AV152" s="326"/>
      <c r="AW152" s="326"/>
      <c r="AX152" s="326"/>
      <c r="AY152" s="326"/>
      <c r="AZ152" s="326"/>
      <c r="BA152" s="326"/>
      <c r="BB152" s="327"/>
    </row>
    <row r="153" spans="1:54" ht="15.75" customHeight="1" x14ac:dyDescent="0.25">
      <c r="A153" s="11">
        <f t="shared" si="0"/>
        <v>140</v>
      </c>
      <c r="B153" s="504" t="str">
        <f>'refer admin discharge'!B150</f>
        <v>x</v>
      </c>
      <c r="C153" s="327"/>
      <c r="D153" s="505" t="str">
        <f>'refer admin discharge'!D150</f>
        <v>xx</v>
      </c>
      <c r="E153" s="327"/>
      <c r="F153" s="606" t="str">
        <f>'refer admin discharge'!H150</f>
        <v>00/00/0000</v>
      </c>
      <c r="G153" s="327"/>
      <c r="H153" s="594"/>
      <c r="I153" s="327"/>
      <c r="J153" s="605"/>
      <c r="K153" s="327"/>
      <c r="L153" s="594"/>
      <c r="M153" s="327"/>
      <c r="N153" s="575"/>
      <c r="O153" s="327"/>
      <c r="P153" s="594"/>
      <c r="Q153" s="327"/>
      <c r="R153" s="575"/>
      <c r="S153" s="327"/>
      <c r="T153" s="594"/>
      <c r="U153" s="327"/>
      <c r="V153" s="595" t="str">
        <f>'refer admin discharge'!H154</f>
        <v>00/00/0000</v>
      </c>
      <c r="W153" s="327"/>
      <c r="X153" s="577"/>
      <c r="Y153" s="327"/>
      <c r="Z153" s="604"/>
      <c r="AA153" s="327"/>
      <c r="AB153" s="577"/>
      <c r="AC153" s="327"/>
      <c r="AD153" s="576"/>
      <c r="AE153" s="327"/>
      <c r="AF153" s="577"/>
      <c r="AG153" s="327"/>
      <c r="AH153" s="576"/>
      <c r="AI153" s="327"/>
      <c r="AJ153" s="577"/>
      <c r="AK153" s="327"/>
      <c r="AL153" s="602"/>
      <c r="AM153" s="326"/>
      <c r="AN153" s="326"/>
      <c r="AO153" s="326"/>
      <c r="AP153" s="326"/>
      <c r="AQ153" s="326"/>
      <c r="AR153" s="326"/>
      <c r="AS153" s="326"/>
      <c r="AT153" s="326"/>
      <c r="AU153" s="326"/>
      <c r="AV153" s="326"/>
      <c r="AW153" s="326"/>
      <c r="AX153" s="326"/>
      <c r="AY153" s="326"/>
      <c r="AZ153" s="326"/>
      <c r="BA153" s="326"/>
      <c r="BB153" s="327"/>
    </row>
    <row r="154" spans="1:54" ht="15.75" customHeight="1" x14ac:dyDescent="0.25">
      <c r="A154" s="11">
        <f t="shared" si="0"/>
        <v>141</v>
      </c>
      <c r="B154" s="570" t="str">
        <f>'refer admin discharge'!B151</f>
        <v>x</v>
      </c>
      <c r="C154" s="327"/>
      <c r="D154" s="599" t="str">
        <f>'refer admin discharge'!D151</f>
        <v>xx</v>
      </c>
      <c r="E154" s="327"/>
      <c r="F154" s="600" t="str">
        <f>'refer admin discharge'!H151</f>
        <v>00/00/0000</v>
      </c>
      <c r="G154" s="327"/>
      <c r="H154" s="574"/>
      <c r="I154" s="327"/>
      <c r="J154" s="601"/>
      <c r="K154" s="327"/>
      <c r="L154" s="574"/>
      <c r="M154" s="327"/>
      <c r="N154" s="594"/>
      <c r="O154" s="327"/>
      <c r="P154" s="574"/>
      <c r="Q154" s="327"/>
      <c r="R154" s="594"/>
      <c r="S154" s="327"/>
      <c r="T154" s="574"/>
      <c r="U154" s="327"/>
      <c r="V154" s="595" t="str">
        <f>'refer admin discharge'!H155</f>
        <v>00/00/0000</v>
      </c>
      <c r="W154" s="327"/>
      <c r="X154" s="596"/>
      <c r="Y154" s="327"/>
      <c r="Z154" s="597"/>
      <c r="AA154" s="327"/>
      <c r="AB154" s="596"/>
      <c r="AC154" s="327"/>
      <c r="AD154" s="577"/>
      <c r="AE154" s="327"/>
      <c r="AF154" s="596"/>
      <c r="AG154" s="327"/>
      <c r="AH154" s="577"/>
      <c r="AI154" s="327"/>
      <c r="AJ154" s="596"/>
      <c r="AK154" s="327"/>
      <c r="AL154" s="598"/>
      <c r="AM154" s="326"/>
      <c r="AN154" s="326"/>
      <c r="AO154" s="326"/>
      <c r="AP154" s="326"/>
      <c r="AQ154" s="326"/>
      <c r="AR154" s="326"/>
      <c r="AS154" s="326"/>
      <c r="AT154" s="326"/>
      <c r="AU154" s="326"/>
      <c r="AV154" s="326"/>
      <c r="AW154" s="326"/>
      <c r="AX154" s="326"/>
      <c r="AY154" s="326"/>
      <c r="AZ154" s="326"/>
      <c r="BA154" s="326"/>
      <c r="BB154" s="327"/>
    </row>
    <row r="155" spans="1:54" ht="15.75" customHeight="1" x14ac:dyDescent="0.25">
      <c r="A155" s="11">
        <f t="shared" si="0"/>
        <v>142</v>
      </c>
      <c r="B155" s="504" t="str">
        <f>'refer admin discharge'!B152</f>
        <v>x</v>
      </c>
      <c r="C155" s="327"/>
      <c r="D155" s="505" t="str">
        <f>'refer admin discharge'!D152</f>
        <v>xx</v>
      </c>
      <c r="E155" s="327"/>
      <c r="F155" s="606" t="str">
        <f>'refer admin discharge'!H152</f>
        <v>00/00/0000</v>
      </c>
      <c r="G155" s="327"/>
      <c r="H155" s="594"/>
      <c r="I155" s="327"/>
      <c r="J155" s="605"/>
      <c r="K155" s="327"/>
      <c r="L155" s="594"/>
      <c r="M155" s="327"/>
      <c r="N155" s="575"/>
      <c r="O155" s="327"/>
      <c r="P155" s="594"/>
      <c r="Q155" s="327"/>
      <c r="R155" s="575"/>
      <c r="S155" s="327"/>
      <c r="T155" s="594"/>
      <c r="U155" s="327"/>
      <c r="V155" s="595" t="str">
        <f>'refer admin discharge'!H156</f>
        <v>00/00/0000</v>
      </c>
      <c r="W155" s="327"/>
      <c r="X155" s="577"/>
      <c r="Y155" s="327"/>
      <c r="Z155" s="604"/>
      <c r="AA155" s="327"/>
      <c r="AB155" s="577"/>
      <c r="AC155" s="327"/>
      <c r="AD155" s="576"/>
      <c r="AE155" s="327"/>
      <c r="AF155" s="577"/>
      <c r="AG155" s="327"/>
      <c r="AH155" s="576"/>
      <c r="AI155" s="327"/>
      <c r="AJ155" s="577"/>
      <c r="AK155" s="327"/>
      <c r="AL155" s="602"/>
      <c r="AM155" s="326"/>
      <c r="AN155" s="326"/>
      <c r="AO155" s="326"/>
      <c r="AP155" s="326"/>
      <c r="AQ155" s="326"/>
      <c r="AR155" s="326"/>
      <c r="AS155" s="326"/>
      <c r="AT155" s="326"/>
      <c r="AU155" s="326"/>
      <c r="AV155" s="326"/>
      <c r="AW155" s="326"/>
      <c r="AX155" s="326"/>
      <c r="AY155" s="326"/>
      <c r="AZ155" s="326"/>
      <c r="BA155" s="326"/>
      <c r="BB155" s="327"/>
    </row>
    <row r="156" spans="1:54" ht="15.75" customHeight="1" x14ac:dyDescent="0.25">
      <c r="A156" s="11">
        <f t="shared" si="0"/>
        <v>143</v>
      </c>
      <c r="B156" s="570" t="str">
        <f>'refer admin discharge'!B153</f>
        <v>x</v>
      </c>
      <c r="C156" s="327"/>
      <c r="D156" s="599" t="str">
        <f>'refer admin discharge'!D153</f>
        <v>xx</v>
      </c>
      <c r="E156" s="327"/>
      <c r="F156" s="600" t="str">
        <f>'refer admin discharge'!H153</f>
        <v>00/00/0000</v>
      </c>
      <c r="G156" s="327"/>
      <c r="H156" s="574"/>
      <c r="I156" s="327"/>
      <c r="J156" s="601"/>
      <c r="K156" s="327"/>
      <c r="L156" s="574"/>
      <c r="M156" s="327"/>
      <c r="N156" s="594"/>
      <c r="O156" s="327"/>
      <c r="P156" s="574"/>
      <c r="Q156" s="327"/>
      <c r="R156" s="594"/>
      <c r="S156" s="327"/>
      <c r="T156" s="574"/>
      <c r="U156" s="327"/>
      <c r="V156" s="595" t="str">
        <f>'refer admin discharge'!H157</f>
        <v>00/00/0000</v>
      </c>
      <c r="W156" s="327"/>
      <c r="X156" s="596"/>
      <c r="Y156" s="327"/>
      <c r="Z156" s="597"/>
      <c r="AA156" s="327"/>
      <c r="AB156" s="596"/>
      <c r="AC156" s="327"/>
      <c r="AD156" s="577"/>
      <c r="AE156" s="327"/>
      <c r="AF156" s="596"/>
      <c r="AG156" s="327"/>
      <c r="AH156" s="577"/>
      <c r="AI156" s="327"/>
      <c r="AJ156" s="596"/>
      <c r="AK156" s="327"/>
      <c r="AL156" s="598"/>
      <c r="AM156" s="326"/>
      <c r="AN156" s="326"/>
      <c r="AO156" s="326"/>
      <c r="AP156" s="326"/>
      <c r="AQ156" s="326"/>
      <c r="AR156" s="326"/>
      <c r="AS156" s="326"/>
      <c r="AT156" s="326"/>
      <c r="AU156" s="326"/>
      <c r="AV156" s="326"/>
      <c r="AW156" s="326"/>
      <c r="AX156" s="326"/>
      <c r="AY156" s="326"/>
      <c r="AZ156" s="326"/>
      <c r="BA156" s="326"/>
      <c r="BB156" s="327"/>
    </row>
    <row r="157" spans="1:54" ht="15.75" customHeight="1" x14ac:dyDescent="0.25">
      <c r="A157" s="11">
        <f t="shared" si="0"/>
        <v>144</v>
      </c>
      <c r="B157" s="504" t="str">
        <f>'refer admin discharge'!B154</f>
        <v>x</v>
      </c>
      <c r="C157" s="327"/>
      <c r="D157" s="505" t="str">
        <f>'refer admin discharge'!D154</f>
        <v>xx</v>
      </c>
      <c r="E157" s="327"/>
      <c r="F157" s="606" t="str">
        <f>'refer admin discharge'!H154</f>
        <v>00/00/0000</v>
      </c>
      <c r="G157" s="327"/>
      <c r="H157" s="594"/>
      <c r="I157" s="327"/>
      <c r="J157" s="605"/>
      <c r="K157" s="327"/>
      <c r="L157" s="594"/>
      <c r="M157" s="327"/>
      <c r="N157" s="575"/>
      <c r="O157" s="327"/>
      <c r="P157" s="594"/>
      <c r="Q157" s="327"/>
      <c r="R157" s="575"/>
      <c r="S157" s="327"/>
      <c r="T157" s="594"/>
      <c r="U157" s="327"/>
      <c r="V157" s="595" t="str">
        <f>'refer admin discharge'!H158</f>
        <v>00/00/0000</v>
      </c>
      <c r="W157" s="327"/>
      <c r="X157" s="577"/>
      <c r="Y157" s="327"/>
      <c r="Z157" s="604"/>
      <c r="AA157" s="327"/>
      <c r="AB157" s="577"/>
      <c r="AC157" s="327"/>
      <c r="AD157" s="576"/>
      <c r="AE157" s="327"/>
      <c r="AF157" s="577"/>
      <c r="AG157" s="327"/>
      <c r="AH157" s="576"/>
      <c r="AI157" s="327"/>
      <c r="AJ157" s="577"/>
      <c r="AK157" s="327"/>
      <c r="AL157" s="602"/>
      <c r="AM157" s="326"/>
      <c r="AN157" s="326"/>
      <c r="AO157" s="326"/>
      <c r="AP157" s="326"/>
      <c r="AQ157" s="326"/>
      <c r="AR157" s="326"/>
      <c r="AS157" s="326"/>
      <c r="AT157" s="326"/>
      <c r="AU157" s="326"/>
      <c r="AV157" s="326"/>
      <c r="AW157" s="326"/>
      <c r="AX157" s="326"/>
      <c r="AY157" s="326"/>
      <c r="AZ157" s="326"/>
      <c r="BA157" s="326"/>
      <c r="BB157" s="327"/>
    </row>
    <row r="158" spans="1:54" ht="15.75" customHeight="1" x14ac:dyDescent="0.25">
      <c r="A158" s="11">
        <f t="shared" si="0"/>
        <v>145</v>
      </c>
      <c r="B158" s="570" t="str">
        <f>'refer admin discharge'!B155</f>
        <v>x</v>
      </c>
      <c r="C158" s="327"/>
      <c r="D158" s="599" t="str">
        <f>'refer admin discharge'!D155</f>
        <v>xx</v>
      </c>
      <c r="E158" s="327"/>
      <c r="F158" s="600" t="str">
        <f>'refer admin discharge'!H155</f>
        <v>00/00/0000</v>
      </c>
      <c r="G158" s="327"/>
      <c r="H158" s="574"/>
      <c r="I158" s="327"/>
      <c r="J158" s="601"/>
      <c r="K158" s="327"/>
      <c r="L158" s="574"/>
      <c r="M158" s="327"/>
      <c r="N158" s="594"/>
      <c r="O158" s="327"/>
      <c r="P158" s="574"/>
      <c r="Q158" s="327"/>
      <c r="R158" s="594"/>
      <c r="S158" s="327"/>
      <c r="T158" s="574"/>
      <c r="U158" s="327"/>
      <c r="V158" s="595" t="str">
        <f>'refer admin discharge'!H159</f>
        <v>00/00/0000</v>
      </c>
      <c r="W158" s="327"/>
      <c r="X158" s="596"/>
      <c r="Y158" s="327"/>
      <c r="Z158" s="597"/>
      <c r="AA158" s="327"/>
      <c r="AB158" s="596"/>
      <c r="AC158" s="327"/>
      <c r="AD158" s="577"/>
      <c r="AE158" s="327"/>
      <c r="AF158" s="596"/>
      <c r="AG158" s="327"/>
      <c r="AH158" s="577"/>
      <c r="AI158" s="327"/>
      <c r="AJ158" s="596"/>
      <c r="AK158" s="327"/>
      <c r="AL158" s="598"/>
      <c r="AM158" s="326"/>
      <c r="AN158" s="326"/>
      <c r="AO158" s="326"/>
      <c r="AP158" s="326"/>
      <c r="AQ158" s="326"/>
      <c r="AR158" s="326"/>
      <c r="AS158" s="326"/>
      <c r="AT158" s="326"/>
      <c r="AU158" s="326"/>
      <c r="AV158" s="326"/>
      <c r="AW158" s="326"/>
      <c r="AX158" s="326"/>
      <c r="AY158" s="326"/>
      <c r="AZ158" s="326"/>
      <c r="BA158" s="326"/>
      <c r="BB158" s="327"/>
    </row>
    <row r="159" spans="1:54" ht="15.75" customHeight="1" x14ac:dyDescent="0.25">
      <c r="A159" s="11">
        <f t="shared" si="0"/>
        <v>146</v>
      </c>
      <c r="B159" s="504" t="str">
        <f>'refer admin discharge'!B156</f>
        <v>x</v>
      </c>
      <c r="C159" s="327"/>
      <c r="D159" s="505" t="str">
        <f>'refer admin discharge'!D156</f>
        <v>xx</v>
      </c>
      <c r="E159" s="327"/>
      <c r="F159" s="606" t="str">
        <f>'refer admin discharge'!H156</f>
        <v>00/00/0000</v>
      </c>
      <c r="G159" s="327"/>
      <c r="H159" s="594"/>
      <c r="I159" s="327"/>
      <c r="J159" s="605"/>
      <c r="K159" s="327"/>
      <c r="L159" s="594"/>
      <c r="M159" s="327"/>
      <c r="N159" s="575"/>
      <c r="O159" s="327"/>
      <c r="P159" s="594"/>
      <c r="Q159" s="327"/>
      <c r="R159" s="575"/>
      <c r="S159" s="327"/>
      <c r="T159" s="594"/>
      <c r="U159" s="327"/>
      <c r="V159" s="595" t="str">
        <f>'refer admin discharge'!H160</f>
        <v>00/00/0000</v>
      </c>
      <c r="W159" s="327"/>
      <c r="X159" s="577"/>
      <c r="Y159" s="327"/>
      <c r="Z159" s="604"/>
      <c r="AA159" s="327"/>
      <c r="AB159" s="577"/>
      <c r="AC159" s="327"/>
      <c r="AD159" s="576"/>
      <c r="AE159" s="327"/>
      <c r="AF159" s="577"/>
      <c r="AG159" s="327"/>
      <c r="AH159" s="576"/>
      <c r="AI159" s="327"/>
      <c r="AJ159" s="577"/>
      <c r="AK159" s="327"/>
      <c r="AL159" s="602"/>
      <c r="AM159" s="326"/>
      <c r="AN159" s="326"/>
      <c r="AO159" s="326"/>
      <c r="AP159" s="326"/>
      <c r="AQ159" s="326"/>
      <c r="AR159" s="326"/>
      <c r="AS159" s="326"/>
      <c r="AT159" s="326"/>
      <c r="AU159" s="326"/>
      <c r="AV159" s="326"/>
      <c r="AW159" s="326"/>
      <c r="AX159" s="326"/>
      <c r="AY159" s="326"/>
      <c r="AZ159" s="326"/>
      <c r="BA159" s="326"/>
      <c r="BB159" s="327"/>
    </row>
    <row r="160" spans="1:54" ht="15.75" customHeight="1" x14ac:dyDescent="0.25">
      <c r="A160" s="11">
        <f t="shared" si="0"/>
        <v>147</v>
      </c>
      <c r="B160" s="570" t="str">
        <f>'refer admin discharge'!B157</f>
        <v>x</v>
      </c>
      <c r="C160" s="327"/>
      <c r="D160" s="599" t="str">
        <f>'refer admin discharge'!D157</f>
        <v>xx</v>
      </c>
      <c r="E160" s="327"/>
      <c r="F160" s="600" t="str">
        <f>'refer admin discharge'!H157</f>
        <v>00/00/0000</v>
      </c>
      <c r="G160" s="327"/>
      <c r="H160" s="574"/>
      <c r="I160" s="327"/>
      <c r="J160" s="601"/>
      <c r="K160" s="327"/>
      <c r="L160" s="574"/>
      <c r="M160" s="327"/>
      <c r="N160" s="594"/>
      <c r="O160" s="327"/>
      <c r="P160" s="574"/>
      <c r="Q160" s="327"/>
      <c r="R160" s="594"/>
      <c r="S160" s="327"/>
      <c r="T160" s="574"/>
      <c r="U160" s="327"/>
      <c r="V160" s="595" t="str">
        <f>'refer admin discharge'!H161</f>
        <v>00/00/0000</v>
      </c>
      <c r="W160" s="327"/>
      <c r="X160" s="596"/>
      <c r="Y160" s="327"/>
      <c r="Z160" s="597"/>
      <c r="AA160" s="327"/>
      <c r="AB160" s="596"/>
      <c r="AC160" s="327"/>
      <c r="AD160" s="577"/>
      <c r="AE160" s="327"/>
      <c r="AF160" s="596"/>
      <c r="AG160" s="327"/>
      <c r="AH160" s="577"/>
      <c r="AI160" s="327"/>
      <c r="AJ160" s="596"/>
      <c r="AK160" s="327"/>
      <c r="AL160" s="598"/>
      <c r="AM160" s="326"/>
      <c r="AN160" s="326"/>
      <c r="AO160" s="326"/>
      <c r="AP160" s="326"/>
      <c r="AQ160" s="326"/>
      <c r="AR160" s="326"/>
      <c r="AS160" s="326"/>
      <c r="AT160" s="326"/>
      <c r="AU160" s="326"/>
      <c r="AV160" s="326"/>
      <c r="AW160" s="326"/>
      <c r="AX160" s="326"/>
      <c r="AY160" s="326"/>
      <c r="AZ160" s="326"/>
      <c r="BA160" s="326"/>
      <c r="BB160" s="327"/>
    </row>
    <row r="161" spans="1:54" ht="15.75" customHeight="1" x14ac:dyDescent="0.25">
      <c r="A161" s="11">
        <f t="shared" si="0"/>
        <v>148</v>
      </c>
      <c r="B161" s="504" t="str">
        <f>'refer admin discharge'!B158</f>
        <v>x</v>
      </c>
      <c r="C161" s="327"/>
      <c r="D161" s="505" t="str">
        <f>'refer admin discharge'!D158</f>
        <v>xx</v>
      </c>
      <c r="E161" s="327"/>
      <c r="F161" s="606" t="str">
        <f>'refer admin discharge'!H158</f>
        <v>00/00/0000</v>
      </c>
      <c r="G161" s="327"/>
      <c r="H161" s="594"/>
      <c r="I161" s="327"/>
      <c r="J161" s="605"/>
      <c r="K161" s="327"/>
      <c r="L161" s="594"/>
      <c r="M161" s="327"/>
      <c r="N161" s="575"/>
      <c r="O161" s="327"/>
      <c r="P161" s="594"/>
      <c r="Q161" s="327"/>
      <c r="R161" s="575"/>
      <c r="S161" s="327"/>
      <c r="T161" s="594"/>
      <c r="U161" s="327"/>
      <c r="V161" s="595" t="str">
        <f>'refer admin discharge'!H162</f>
        <v>00/00/0000</v>
      </c>
      <c r="W161" s="327"/>
      <c r="X161" s="577"/>
      <c r="Y161" s="327"/>
      <c r="Z161" s="604"/>
      <c r="AA161" s="327"/>
      <c r="AB161" s="577"/>
      <c r="AC161" s="327"/>
      <c r="AD161" s="576"/>
      <c r="AE161" s="327"/>
      <c r="AF161" s="577"/>
      <c r="AG161" s="327"/>
      <c r="AH161" s="576"/>
      <c r="AI161" s="327"/>
      <c r="AJ161" s="577"/>
      <c r="AK161" s="327"/>
      <c r="AL161" s="602"/>
      <c r="AM161" s="326"/>
      <c r="AN161" s="326"/>
      <c r="AO161" s="326"/>
      <c r="AP161" s="326"/>
      <c r="AQ161" s="326"/>
      <c r="AR161" s="326"/>
      <c r="AS161" s="326"/>
      <c r="AT161" s="326"/>
      <c r="AU161" s="326"/>
      <c r="AV161" s="326"/>
      <c r="AW161" s="326"/>
      <c r="AX161" s="326"/>
      <c r="AY161" s="326"/>
      <c r="AZ161" s="326"/>
      <c r="BA161" s="326"/>
      <c r="BB161" s="327"/>
    </row>
    <row r="162" spans="1:54" ht="15.75" customHeight="1" x14ac:dyDescent="0.25">
      <c r="A162" s="11">
        <f t="shared" si="0"/>
        <v>149</v>
      </c>
      <c r="B162" s="570" t="str">
        <f>'refer admin discharge'!B159</f>
        <v>x</v>
      </c>
      <c r="C162" s="327"/>
      <c r="D162" s="599" t="str">
        <f>'refer admin discharge'!D159</f>
        <v>xx</v>
      </c>
      <c r="E162" s="327"/>
      <c r="F162" s="600" t="str">
        <f>'refer admin discharge'!H159</f>
        <v>00/00/0000</v>
      </c>
      <c r="G162" s="327"/>
      <c r="H162" s="574"/>
      <c r="I162" s="327"/>
      <c r="J162" s="601"/>
      <c r="K162" s="327"/>
      <c r="L162" s="574"/>
      <c r="M162" s="327"/>
      <c r="N162" s="594"/>
      <c r="O162" s="327"/>
      <c r="P162" s="574"/>
      <c r="Q162" s="327"/>
      <c r="R162" s="594"/>
      <c r="S162" s="327"/>
      <c r="T162" s="574"/>
      <c r="U162" s="327"/>
      <c r="V162" s="595" t="str">
        <f>'refer admin discharge'!H163</f>
        <v>00/00/0000</v>
      </c>
      <c r="W162" s="327"/>
      <c r="X162" s="596"/>
      <c r="Y162" s="327"/>
      <c r="Z162" s="597"/>
      <c r="AA162" s="327"/>
      <c r="AB162" s="596"/>
      <c r="AC162" s="327"/>
      <c r="AD162" s="577"/>
      <c r="AE162" s="327"/>
      <c r="AF162" s="596"/>
      <c r="AG162" s="327"/>
      <c r="AH162" s="577"/>
      <c r="AI162" s="327"/>
      <c r="AJ162" s="596"/>
      <c r="AK162" s="327"/>
      <c r="AL162" s="598"/>
      <c r="AM162" s="326"/>
      <c r="AN162" s="326"/>
      <c r="AO162" s="326"/>
      <c r="AP162" s="326"/>
      <c r="AQ162" s="326"/>
      <c r="AR162" s="326"/>
      <c r="AS162" s="326"/>
      <c r="AT162" s="326"/>
      <c r="AU162" s="326"/>
      <c r="AV162" s="326"/>
      <c r="AW162" s="326"/>
      <c r="AX162" s="326"/>
      <c r="AY162" s="326"/>
      <c r="AZ162" s="326"/>
      <c r="BA162" s="326"/>
      <c r="BB162" s="327"/>
    </row>
    <row r="163" spans="1:54" ht="15.75" customHeight="1" x14ac:dyDescent="0.25">
      <c r="A163" s="11">
        <f t="shared" si="0"/>
        <v>150</v>
      </c>
      <c r="B163" s="504" t="str">
        <f>'refer admin discharge'!B160</f>
        <v>x</v>
      </c>
      <c r="C163" s="327"/>
      <c r="D163" s="505" t="str">
        <f>'refer admin discharge'!D160</f>
        <v>xx</v>
      </c>
      <c r="E163" s="327"/>
      <c r="F163" s="606" t="str">
        <f>'refer admin discharge'!H160</f>
        <v>00/00/0000</v>
      </c>
      <c r="G163" s="327"/>
      <c r="H163" s="594"/>
      <c r="I163" s="327"/>
      <c r="J163" s="605"/>
      <c r="K163" s="327"/>
      <c r="L163" s="594"/>
      <c r="M163" s="327"/>
      <c r="N163" s="575"/>
      <c r="O163" s="327"/>
      <c r="P163" s="594"/>
      <c r="Q163" s="327"/>
      <c r="R163" s="575"/>
      <c r="S163" s="327"/>
      <c r="T163" s="594"/>
      <c r="U163" s="327"/>
      <c r="V163" s="595" t="str">
        <f>'refer admin discharge'!H164</f>
        <v>00/00/0000</v>
      </c>
      <c r="W163" s="327"/>
      <c r="X163" s="577"/>
      <c r="Y163" s="327"/>
      <c r="Z163" s="604"/>
      <c r="AA163" s="327"/>
      <c r="AB163" s="577"/>
      <c r="AC163" s="327"/>
      <c r="AD163" s="576"/>
      <c r="AE163" s="327"/>
      <c r="AF163" s="577"/>
      <c r="AG163" s="327"/>
      <c r="AH163" s="576"/>
      <c r="AI163" s="327"/>
      <c r="AJ163" s="577"/>
      <c r="AK163" s="327"/>
      <c r="AL163" s="602"/>
      <c r="AM163" s="326"/>
      <c r="AN163" s="326"/>
      <c r="AO163" s="326"/>
      <c r="AP163" s="326"/>
      <c r="AQ163" s="326"/>
      <c r="AR163" s="326"/>
      <c r="AS163" s="326"/>
      <c r="AT163" s="326"/>
      <c r="AU163" s="326"/>
      <c r="AV163" s="326"/>
      <c r="AW163" s="326"/>
      <c r="AX163" s="326"/>
      <c r="AY163" s="326"/>
      <c r="AZ163" s="326"/>
      <c r="BA163" s="326"/>
      <c r="BB163" s="327"/>
    </row>
    <row r="164" spans="1:54" ht="15.75" customHeight="1" x14ac:dyDescent="0.25">
      <c r="A164" s="11">
        <f t="shared" si="0"/>
        <v>151</v>
      </c>
      <c r="B164" s="570" t="str">
        <f>'refer admin discharge'!B161</f>
        <v>x</v>
      </c>
      <c r="C164" s="327"/>
      <c r="D164" s="599" t="str">
        <f>'refer admin discharge'!D161</f>
        <v>xx</v>
      </c>
      <c r="E164" s="327"/>
      <c r="F164" s="600" t="str">
        <f>'refer admin discharge'!H161</f>
        <v>00/00/0000</v>
      </c>
      <c r="G164" s="327"/>
      <c r="H164" s="574"/>
      <c r="I164" s="327"/>
      <c r="J164" s="601"/>
      <c r="K164" s="327"/>
      <c r="L164" s="574"/>
      <c r="M164" s="327"/>
      <c r="N164" s="594"/>
      <c r="O164" s="327"/>
      <c r="P164" s="574"/>
      <c r="Q164" s="327"/>
      <c r="R164" s="594"/>
      <c r="S164" s="327"/>
      <c r="T164" s="574"/>
      <c r="U164" s="327"/>
      <c r="V164" s="595" t="str">
        <f>'refer admin discharge'!H165</f>
        <v>00/00/0000</v>
      </c>
      <c r="W164" s="327"/>
      <c r="X164" s="596"/>
      <c r="Y164" s="327"/>
      <c r="Z164" s="597"/>
      <c r="AA164" s="327"/>
      <c r="AB164" s="596"/>
      <c r="AC164" s="327"/>
      <c r="AD164" s="577"/>
      <c r="AE164" s="327"/>
      <c r="AF164" s="596"/>
      <c r="AG164" s="327"/>
      <c r="AH164" s="577"/>
      <c r="AI164" s="327"/>
      <c r="AJ164" s="596"/>
      <c r="AK164" s="327"/>
      <c r="AL164" s="598"/>
      <c r="AM164" s="326"/>
      <c r="AN164" s="326"/>
      <c r="AO164" s="326"/>
      <c r="AP164" s="326"/>
      <c r="AQ164" s="326"/>
      <c r="AR164" s="326"/>
      <c r="AS164" s="326"/>
      <c r="AT164" s="326"/>
      <c r="AU164" s="326"/>
      <c r="AV164" s="326"/>
      <c r="AW164" s="326"/>
      <c r="AX164" s="326"/>
      <c r="AY164" s="326"/>
      <c r="AZ164" s="326"/>
      <c r="BA164" s="326"/>
      <c r="BB164" s="327"/>
    </row>
    <row r="165" spans="1:54" ht="15.75" customHeight="1" x14ac:dyDescent="0.25">
      <c r="A165" s="11">
        <f t="shared" si="0"/>
        <v>152</v>
      </c>
      <c r="B165" s="504" t="str">
        <f>'refer admin discharge'!B162</f>
        <v>x</v>
      </c>
      <c r="C165" s="327"/>
      <c r="D165" s="505" t="str">
        <f>'refer admin discharge'!D162</f>
        <v>xx</v>
      </c>
      <c r="E165" s="327"/>
      <c r="F165" s="606" t="str">
        <f>'refer admin discharge'!H162</f>
        <v>00/00/0000</v>
      </c>
      <c r="G165" s="327"/>
      <c r="H165" s="594"/>
      <c r="I165" s="327"/>
      <c r="J165" s="605"/>
      <c r="K165" s="327"/>
      <c r="L165" s="594"/>
      <c r="M165" s="327"/>
      <c r="N165" s="575"/>
      <c r="O165" s="327"/>
      <c r="P165" s="594"/>
      <c r="Q165" s="327"/>
      <c r="R165" s="575"/>
      <c r="S165" s="327"/>
      <c r="T165" s="594"/>
      <c r="U165" s="327"/>
      <c r="V165" s="595" t="str">
        <f>'refer admin discharge'!H166</f>
        <v>00/00/0000</v>
      </c>
      <c r="W165" s="327"/>
      <c r="X165" s="577"/>
      <c r="Y165" s="327"/>
      <c r="Z165" s="604"/>
      <c r="AA165" s="327"/>
      <c r="AB165" s="577"/>
      <c r="AC165" s="327"/>
      <c r="AD165" s="576"/>
      <c r="AE165" s="327"/>
      <c r="AF165" s="577"/>
      <c r="AG165" s="327"/>
      <c r="AH165" s="576"/>
      <c r="AI165" s="327"/>
      <c r="AJ165" s="577"/>
      <c r="AK165" s="327"/>
      <c r="AL165" s="602"/>
      <c r="AM165" s="326"/>
      <c r="AN165" s="326"/>
      <c r="AO165" s="326"/>
      <c r="AP165" s="326"/>
      <c r="AQ165" s="326"/>
      <c r="AR165" s="326"/>
      <c r="AS165" s="326"/>
      <c r="AT165" s="326"/>
      <c r="AU165" s="326"/>
      <c r="AV165" s="326"/>
      <c r="AW165" s="326"/>
      <c r="AX165" s="326"/>
      <c r="AY165" s="326"/>
      <c r="AZ165" s="326"/>
      <c r="BA165" s="326"/>
      <c r="BB165" s="327"/>
    </row>
    <row r="166" spans="1:54" ht="15.75" customHeight="1" x14ac:dyDescent="0.25">
      <c r="A166" s="11">
        <f t="shared" si="0"/>
        <v>153</v>
      </c>
      <c r="B166" s="570" t="str">
        <f>'refer admin discharge'!B163</f>
        <v>x</v>
      </c>
      <c r="C166" s="327"/>
      <c r="D166" s="599" t="str">
        <f>'refer admin discharge'!D163</f>
        <v>xx</v>
      </c>
      <c r="E166" s="327"/>
      <c r="F166" s="600" t="str">
        <f>'refer admin discharge'!H163</f>
        <v>00/00/0000</v>
      </c>
      <c r="G166" s="327"/>
      <c r="H166" s="574"/>
      <c r="I166" s="327"/>
      <c r="J166" s="601"/>
      <c r="K166" s="327"/>
      <c r="L166" s="574"/>
      <c r="M166" s="327"/>
      <c r="N166" s="594"/>
      <c r="O166" s="327"/>
      <c r="P166" s="574"/>
      <c r="Q166" s="327"/>
      <c r="R166" s="594"/>
      <c r="S166" s="327"/>
      <c r="T166" s="574"/>
      <c r="U166" s="327"/>
      <c r="V166" s="595" t="str">
        <f>'refer admin discharge'!H167</f>
        <v>00/00/0000</v>
      </c>
      <c r="W166" s="327"/>
      <c r="X166" s="596"/>
      <c r="Y166" s="327"/>
      <c r="Z166" s="597"/>
      <c r="AA166" s="327"/>
      <c r="AB166" s="596"/>
      <c r="AC166" s="327"/>
      <c r="AD166" s="577"/>
      <c r="AE166" s="327"/>
      <c r="AF166" s="596"/>
      <c r="AG166" s="327"/>
      <c r="AH166" s="577"/>
      <c r="AI166" s="327"/>
      <c r="AJ166" s="596"/>
      <c r="AK166" s="327"/>
      <c r="AL166" s="598"/>
      <c r="AM166" s="326"/>
      <c r="AN166" s="326"/>
      <c r="AO166" s="326"/>
      <c r="AP166" s="326"/>
      <c r="AQ166" s="326"/>
      <c r="AR166" s="326"/>
      <c r="AS166" s="326"/>
      <c r="AT166" s="326"/>
      <c r="AU166" s="326"/>
      <c r="AV166" s="326"/>
      <c r="AW166" s="326"/>
      <c r="AX166" s="326"/>
      <c r="AY166" s="326"/>
      <c r="AZ166" s="326"/>
      <c r="BA166" s="326"/>
      <c r="BB166" s="327"/>
    </row>
    <row r="167" spans="1:54" ht="15.75" customHeight="1" x14ac:dyDescent="0.25">
      <c r="A167" s="11">
        <f t="shared" si="0"/>
        <v>154</v>
      </c>
      <c r="B167" s="504" t="str">
        <f>'refer admin discharge'!B164</f>
        <v>x</v>
      </c>
      <c r="C167" s="327"/>
      <c r="D167" s="505" t="str">
        <f>'refer admin discharge'!D164</f>
        <v>xx</v>
      </c>
      <c r="E167" s="327"/>
      <c r="F167" s="606" t="str">
        <f>'refer admin discharge'!H164</f>
        <v>00/00/0000</v>
      </c>
      <c r="G167" s="327"/>
      <c r="H167" s="594"/>
      <c r="I167" s="327"/>
      <c r="J167" s="605"/>
      <c r="K167" s="327"/>
      <c r="L167" s="594"/>
      <c r="M167" s="327"/>
      <c r="N167" s="575"/>
      <c r="O167" s="327"/>
      <c r="P167" s="594"/>
      <c r="Q167" s="327"/>
      <c r="R167" s="575"/>
      <c r="S167" s="327"/>
      <c r="T167" s="594"/>
      <c r="U167" s="327"/>
      <c r="V167" s="595" t="str">
        <f>'refer admin discharge'!H168</f>
        <v>00/00/0000</v>
      </c>
      <c r="W167" s="327"/>
      <c r="X167" s="577"/>
      <c r="Y167" s="327"/>
      <c r="Z167" s="604"/>
      <c r="AA167" s="327"/>
      <c r="AB167" s="577"/>
      <c r="AC167" s="327"/>
      <c r="AD167" s="576"/>
      <c r="AE167" s="327"/>
      <c r="AF167" s="577"/>
      <c r="AG167" s="327"/>
      <c r="AH167" s="576"/>
      <c r="AI167" s="327"/>
      <c r="AJ167" s="577"/>
      <c r="AK167" s="327"/>
      <c r="AL167" s="602"/>
      <c r="AM167" s="326"/>
      <c r="AN167" s="326"/>
      <c r="AO167" s="326"/>
      <c r="AP167" s="326"/>
      <c r="AQ167" s="326"/>
      <c r="AR167" s="326"/>
      <c r="AS167" s="326"/>
      <c r="AT167" s="326"/>
      <c r="AU167" s="326"/>
      <c r="AV167" s="326"/>
      <c r="AW167" s="326"/>
      <c r="AX167" s="326"/>
      <c r="AY167" s="326"/>
      <c r="AZ167" s="326"/>
      <c r="BA167" s="326"/>
      <c r="BB167" s="327"/>
    </row>
    <row r="168" spans="1:54" ht="15.75" customHeight="1" x14ac:dyDescent="0.25">
      <c r="A168" s="11">
        <f t="shared" si="0"/>
        <v>155</v>
      </c>
      <c r="B168" s="570" t="str">
        <f>'refer admin discharge'!B165</f>
        <v>x</v>
      </c>
      <c r="C168" s="327"/>
      <c r="D168" s="599" t="str">
        <f>'refer admin discharge'!D165</f>
        <v>xx</v>
      </c>
      <c r="E168" s="327"/>
      <c r="F168" s="600" t="str">
        <f>'refer admin discharge'!H165</f>
        <v>00/00/0000</v>
      </c>
      <c r="G168" s="327"/>
      <c r="H168" s="574"/>
      <c r="I168" s="327"/>
      <c r="J168" s="601"/>
      <c r="K168" s="327"/>
      <c r="L168" s="574"/>
      <c r="M168" s="327"/>
      <c r="N168" s="594"/>
      <c r="O168" s="327"/>
      <c r="P168" s="574"/>
      <c r="Q168" s="327"/>
      <c r="R168" s="594"/>
      <c r="S168" s="327"/>
      <c r="T168" s="574"/>
      <c r="U168" s="327"/>
      <c r="V168" s="595" t="str">
        <f>'refer admin discharge'!H169</f>
        <v>00/00/0000</v>
      </c>
      <c r="W168" s="327"/>
      <c r="X168" s="596"/>
      <c r="Y168" s="327"/>
      <c r="Z168" s="597"/>
      <c r="AA168" s="327"/>
      <c r="AB168" s="596"/>
      <c r="AC168" s="327"/>
      <c r="AD168" s="577"/>
      <c r="AE168" s="327"/>
      <c r="AF168" s="596"/>
      <c r="AG168" s="327"/>
      <c r="AH168" s="577"/>
      <c r="AI168" s="327"/>
      <c r="AJ168" s="596"/>
      <c r="AK168" s="327"/>
      <c r="AL168" s="598"/>
      <c r="AM168" s="326"/>
      <c r="AN168" s="326"/>
      <c r="AO168" s="326"/>
      <c r="AP168" s="326"/>
      <c r="AQ168" s="326"/>
      <c r="AR168" s="326"/>
      <c r="AS168" s="326"/>
      <c r="AT168" s="326"/>
      <c r="AU168" s="326"/>
      <c r="AV168" s="326"/>
      <c r="AW168" s="326"/>
      <c r="AX168" s="326"/>
      <c r="AY168" s="326"/>
      <c r="AZ168" s="326"/>
      <c r="BA168" s="326"/>
      <c r="BB168" s="327"/>
    </row>
    <row r="169" spans="1:54" ht="15.75" customHeight="1" x14ac:dyDescent="0.25">
      <c r="A169" s="11">
        <f t="shared" si="0"/>
        <v>156</v>
      </c>
      <c r="B169" s="504" t="str">
        <f>'refer admin discharge'!B166</f>
        <v>x</v>
      </c>
      <c r="C169" s="327"/>
      <c r="D169" s="505" t="str">
        <f>'refer admin discharge'!D166</f>
        <v>xx</v>
      </c>
      <c r="E169" s="327"/>
      <c r="F169" s="606" t="str">
        <f>'refer admin discharge'!H166</f>
        <v>00/00/0000</v>
      </c>
      <c r="G169" s="327"/>
      <c r="H169" s="594"/>
      <c r="I169" s="327"/>
      <c r="J169" s="605"/>
      <c r="K169" s="327"/>
      <c r="L169" s="594"/>
      <c r="M169" s="327"/>
      <c r="N169" s="575"/>
      <c r="O169" s="327"/>
      <c r="P169" s="594"/>
      <c r="Q169" s="327"/>
      <c r="R169" s="575"/>
      <c r="S169" s="327"/>
      <c r="T169" s="594"/>
      <c r="U169" s="327"/>
      <c r="V169" s="595" t="str">
        <f>'refer admin discharge'!H170</f>
        <v>00/00/0000</v>
      </c>
      <c r="W169" s="327"/>
      <c r="X169" s="577"/>
      <c r="Y169" s="327"/>
      <c r="Z169" s="604"/>
      <c r="AA169" s="327"/>
      <c r="AB169" s="577"/>
      <c r="AC169" s="327"/>
      <c r="AD169" s="576"/>
      <c r="AE169" s="327"/>
      <c r="AF169" s="577"/>
      <c r="AG169" s="327"/>
      <c r="AH169" s="576"/>
      <c r="AI169" s="327"/>
      <c r="AJ169" s="577"/>
      <c r="AK169" s="327"/>
      <c r="AL169" s="602"/>
      <c r="AM169" s="326"/>
      <c r="AN169" s="326"/>
      <c r="AO169" s="326"/>
      <c r="AP169" s="326"/>
      <c r="AQ169" s="326"/>
      <c r="AR169" s="326"/>
      <c r="AS169" s="326"/>
      <c r="AT169" s="326"/>
      <c r="AU169" s="326"/>
      <c r="AV169" s="326"/>
      <c r="AW169" s="326"/>
      <c r="AX169" s="326"/>
      <c r="AY169" s="326"/>
      <c r="AZ169" s="326"/>
      <c r="BA169" s="326"/>
      <c r="BB169" s="327"/>
    </row>
    <row r="170" spans="1:54" ht="15.75" customHeight="1" x14ac:dyDescent="0.25">
      <c r="A170" s="11">
        <f t="shared" si="0"/>
        <v>157</v>
      </c>
      <c r="B170" s="570" t="str">
        <f>'refer admin discharge'!B167</f>
        <v>x</v>
      </c>
      <c r="C170" s="327"/>
      <c r="D170" s="599" t="str">
        <f>'refer admin discharge'!D167</f>
        <v>xx</v>
      </c>
      <c r="E170" s="327"/>
      <c r="F170" s="600" t="str">
        <f>'refer admin discharge'!H167</f>
        <v>00/00/0000</v>
      </c>
      <c r="G170" s="327"/>
      <c r="H170" s="574"/>
      <c r="I170" s="327"/>
      <c r="J170" s="601"/>
      <c r="K170" s="327"/>
      <c r="L170" s="574"/>
      <c r="M170" s="327"/>
      <c r="N170" s="594"/>
      <c r="O170" s="327"/>
      <c r="P170" s="574"/>
      <c r="Q170" s="327"/>
      <c r="R170" s="594"/>
      <c r="S170" s="327"/>
      <c r="T170" s="574"/>
      <c r="U170" s="327"/>
      <c r="V170" s="595" t="str">
        <f>'refer admin discharge'!H171</f>
        <v>00/00/0000</v>
      </c>
      <c r="W170" s="327"/>
      <c r="X170" s="596"/>
      <c r="Y170" s="327"/>
      <c r="Z170" s="597"/>
      <c r="AA170" s="327"/>
      <c r="AB170" s="596"/>
      <c r="AC170" s="327"/>
      <c r="AD170" s="577"/>
      <c r="AE170" s="327"/>
      <c r="AF170" s="596"/>
      <c r="AG170" s="327"/>
      <c r="AH170" s="577"/>
      <c r="AI170" s="327"/>
      <c r="AJ170" s="596"/>
      <c r="AK170" s="327"/>
      <c r="AL170" s="598"/>
      <c r="AM170" s="326"/>
      <c r="AN170" s="326"/>
      <c r="AO170" s="326"/>
      <c r="AP170" s="326"/>
      <c r="AQ170" s="326"/>
      <c r="AR170" s="326"/>
      <c r="AS170" s="326"/>
      <c r="AT170" s="326"/>
      <c r="AU170" s="326"/>
      <c r="AV170" s="326"/>
      <c r="AW170" s="326"/>
      <c r="AX170" s="326"/>
      <c r="AY170" s="326"/>
      <c r="AZ170" s="326"/>
      <c r="BA170" s="326"/>
      <c r="BB170" s="327"/>
    </row>
    <row r="171" spans="1:54" ht="15.75" customHeight="1" x14ac:dyDescent="0.25">
      <c r="A171" s="11">
        <f t="shared" si="0"/>
        <v>158</v>
      </c>
      <c r="B171" s="504" t="str">
        <f>'refer admin discharge'!B168</f>
        <v>x</v>
      </c>
      <c r="C171" s="327"/>
      <c r="D171" s="505" t="str">
        <f>'refer admin discharge'!D168</f>
        <v>xx</v>
      </c>
      <c r="E171" s="327"/>
      <c r="F171" s="606" t="str">
        <f>'refer admin discharge'!H168</f>
        <v>00/00/0000</v>
      </c>
      <c r="G171" s="327"/>
      <c r="H171" s="594"/>
      <c r="I171" s="327"/>
      <c r="J171" s="605"/>
      <c r="K171" s="327"/>
      <c r="L171" s="594"/>
      <c r="M171" s="327"/>
      <c r="N171" s="575"/>
      <c r="O171" s="327"/>
      <c r="P171" s="594"/>
      <c r="Q171" s="327"/>
      <c r="R171" s="575"/>
      <c r="S171" s="327"/>
      <c r="T171" s="594"/>
      <c r="U171" s="327"/>
      <c r="V171" s="595" t="str">
        <f>'refer admin discharge'!H172</f>
        <v>00/00/0000</v>
      </c>
      <c r="W171" s="327"/>
      <c r="X171" s="577"/>
      <c r="Y171" s="327"/>
      <c r="Z171" s="604"/>
      <c r="AA171" s="327"/>
      <c r="AB171" s="577"/>
      <c r="AC171" s="327"/>
      <c r="AD171" s="576"/>
      <c r="AE171" s="327"/>
      <c r="AF171" s="577"/>
      <c r="AG171" s="327"/>
      <c r="AH171" s="576"/>
      <c r="AI171" s="327"/>
      <c r="AJ171" s="577"/>
      <c r="AK171" s="327"/>
      <c r="AL171" s="602"/>
      <c r="AM171" s="326"/>
      <c r="AN171" s="326"/>
      <c r="AO171" s="326"/>
      <c r="AP171" s="326"/>
      <c r="AQ171" s="326"/>
      <c r="AR171" s="326"/>
      <c r="AS171" s="326"/>
      <c r="AT171" s="326"/>
      <c r="AU171" s="326"/>
      <c r="AV171" s="326"/>
      <c r="AW171" s="326"/>
      <c r="AX171" s="326"/>
      <c r="AY171" s="326"/>
      <c r="AZ171" s="326"/>
      <c r="BA171" s="326"/>
      <c r="BB171" s="327"/>
    </row>
    <row r="172" spans="1:54" ht="15.75" customHeight="1" x14ac:dyDescent="0.25">
      <c r="A172" s="11">
        <f t="shared" si="0"/>
        <v>159</v>
      </c>
      <c r="B172" s="570" t="str">
        <f>'refer admin discharge'!B169</f>
        <v>x</v>
      </c>
      <c r="C172" s="327"/>
      <c r="D172" s="599" t="str">
        <f>'refer admin discharge'!D169</f>
        <v>xx</v>
      </c>
      <c r="E172" s="327"/>
      <c r="F172" s="600" t="str">
        <f>'refer admin discharge'!H169</f>
        <v>00/00/0000</v>
      </c>
      <c r="G172" s="327"/>
      <c r="H172" s="574"/>
      <c r="I172" s="327"/>
      <c r="J172" s="601"/>
      <c r="K172" s="327"/>
      <c r="L172" s="574"/>
      <c r="M172" s="327"/>
      <c r="N172" s="594"/>
      <c r="O172" s="327"/>
      <c r="P172" s="574"/>
      <c r="Q172" s="327"/>
      <c r="R172" s="594"/>
      <c r="S172" s="327"/>
      <c r="T172" s="574"/>
      <c r="U172" s="327"/>
      <c r="V172" s="595" t="str">
        <f>'refer admin discharge'!H173</f>
        <v>00/00/0000</v>
      </c>
      <c r="W172" s="327"/>
      <c r="X172" s="596"/>
      <c r="Y172" s="327"/>
      <c r="Z172" s="597"/>
      <c r="AA172" s="327"/>
      <c r="AB172" s="596"/>
      <c r="AC172" s="327"/>
      <c r="AD172" s="577"/>
      <c r="AE172" s="327"/>
      <c r="AF172" s="596"/>
      <c r="AG172" s="327"/>
      <c r="AH172" s="577"/>
      <c r="AI172" s="327"/>
      <c r="AJ172" s="596"/>
      <c r="AK172" s="327"/>
      <c r="AL172" s="598"/>
      <c r="AM172" s="326"/>
      <c r="AN172" s="326"/>
      <c r="AO172" s="326"/>
      <c r="AP172" s="326"/>
      <c r="AQ172" s="326"/>
      <c r="AR172" s="326"/>
      <c r="AS172" s="326"/>
      <c r="AT172" s="326"/>
      <c r="AU172" s="326"/>
      <c r="AV172" s="326"/>
      <c r="AW172" s="326"/>
      <c r="AX172" s="326"/>
      <c r="AY172" s="326"/>
      <c r="AZ172" s="326"/>
      <c r="BA172" s="326"/>
      <c r="BB172" s="327"/>
    </row>
    <row r="173" spans="1:54" ht="15.75" customHeight="1" x14ac:dyDescent="0.25">
      <c r="A173" s="11">
        <f t="shared" si="0"/>
        <v>160</v>
      </c>
      <c r="B173" s="504" t="str">
        <f>'refer admin discharge'!B170</f>
        <v>x</v>
      </c>
      <c r="C173" s="327"/>
      <c r="D173" s="505" t="str">
        <f>'refer admin discharge'!D170</f>
        <v>xx</v>
      </c>
      <c r="E173" s="327"/>
      <c r="F173" s="606" t="str">
        <f>'refer admin discharge'!H170</f>
        <v>00/00/0000</v>
      </c>
      <c r="G173" s="327"/>
      <c r="H173" s="594"/>
      <c r="I173" s="327"/>
      <c r="J173" s="605"/>
      <c r="K173" s="327"/>
      <c r="L173" s="594"/>
      <c r="M173" s="327"/>
      <c r="N173" s="575"/>
      <c r="O173" s="327"/>
      <c r="P173" s="594"/>
      <c r="Q173" s="327"/>
      <c r="R173" s="575"/>
      <c r="S173" s="327"/>
      <c r="T173" s="594"/>
      <c r="U173" s="327"/>
      <c r="V173" s="595" t="str">
        <f>'refer admin discharge'!H174</f>
        <v>00/00/0000</v>
      </c>
      <c r="W173" s="327"/>
      <c r="X173" s="577"/>
      <c r="Y173" s="327"/>
      <c r="Z173" s="604"/>
      <c r="AA173" s="327"/>
      <c r="AB173" s="577"/>
      <c r="AC173" s="327"/>
      <c r="AD173" s="576"/>
      <c r="AE173" s="327"/>
      <c r="AF173" s="577"/>
      <c r="AG173" s="327"/>
      <c r="AH173" s="576"/>
      <c r="AI173" s="327"/>
      <c r="AJ173" s="577"/>
      <c r="AK173" s="327"/>
      <c r="AL173" s="602"/>
      <c r="AM173" s="326"/>
      <c r="AN173" s="326"/>
      <c r="AO173" s="326"/>
      <c r="AP173" s="326"/>
      <c r="AQ173" s="326"/>
      <c r="AR173" s="326"/>
      <c r="AS173" s="326"/>
      <c r="AT173" s="326"/>
      <c r="AU173" s="326"/>
      <c r="AV173" s="326"/>
      <c r="AW173" s="326"/>
      <c r="AX173" s="326"/>
      <c r="AY173" s="326"/>
      <c r="AZ173" s="326"/>
      <c r="BA173" s="326"/>
      <c r="BB173" s="327"/>
    </row>
    <row r="174" spans="1:54" ht="15.75" customHeight="1" x14ac:dyDescent="0.25">
      <c r="A174" s="11">
        <f t="shared" si="0"/>
        <v>161</v>
      </c>
      <c r="B174" s="570" t="str">
        <f>'refer admin discharge'!B171</f>
        <v>x</v>
      </c>
      <c r="C174" s="327"/>
      <c r="D174" s="599" t="str">
        <f>'refer admin discharge'!D171</f>
        <v>xx</v>
      </c>
      <c r="E174" s="327"/>
      <c r="F174" s="600" t="str">
        <f>'refer admin discharge'!H171</f>
        <v>00/00/0000</v>
      </c>
      <c r="G174" s="327"/>
      <c r="H174" s="574"/>
      <c r="I174" s="327"/>
      <c r="J174" s="601"/>
      <c r="K174" s="327"/>
      <c r="L174" s="574"/>
      <c r="M174" s="327"/>
      <c r="N174" s="594"/>
      <c r="O174" s="327"/>
      <c r="P174" s="574"/>
      <c r="Q174" s="327"/>
      <c r="R174" s="594"/>
      <c r="S174" s="327"/>
      <c r="T174" s="574"/>
      <c r="U174" s="327"/>
      <c r="V174" s="595" t="str">
        <f>'refer admin discharge'!H175</f>
        <v>00/00/0000</v>
      </c>
      <c r="W174" s="327"/>
      <c r="X174" s="596"/>
      <c r="Y174" s="327"/>
      <c r="Z174" s="597"/>
      <c r="AA174" s="327"/>
      <c r="AB174" s="596"/>
      <c r="AC174" s="327"/>
      <c r="AD174" s="577"/>
      <c r="AE174" s="327"/>
      <c r="AF174" s="596"/>
      <c r="AG174" s="327"/>
      <c r="AH174" s="577"/>
      <c r="AI174" s="327"/>
      <c r="AJ174" s="596"/>
      <c r="AK174" s="327"/>
      <c r="AL174" s="598"/>
      <c r="AM174" s="326"/>
      <c r="AN174" s="326"/>
      <c r="AO174" s="326"/>
      <c r="AP174" s="326"/>
      <c r="AQ174" s="326"/>
      <c r="AR174" s="326"/>
      <c r="AS174" s="326"/>
      <c r="AT174" s="326"/>
      <c r="AU174" s="326"/>
      <c r="AV174" s="326"/>
      <c r="AW174" s="326"/>
      <c r="AX174" s="326"/>
      <c r="AY174" s="326"/>
      <c r="AZ174" s="326"/>
      <c r="BA174" s="326"/>
      <c r="BB174" s="327"/>
    </row>
    <row r="175" spans="1:54" ht="15.75" customHeight="1" x14ac:dyDescent="0.25">
      <c r="A175" s="11">
        <f t="shared" si="0"/>
        <v>162</v>
      </c>
      <c r="B175" s="504" t="str">
        <f>'refer admin discharge'!B172</f>
        <v>x</v>
      </c>
      <c r="C175" s="327"/>
      <c r="D175" s="505" t="str">
        <f>'refer admin discharge'!D172</f>
        <v>xx</v>
      </c>
      <c r="E175" s="327"/>
      <c r="F175" s="606" t="str">
        <f>'refer admin discharge'!H172</f>
        <v>00/00/0000</v>
      </c>
      <c r="G175" s="327"/>
      <c r="H175" s="594"/>
      <c r="I175" s="327"/>
      <c r="J175" s="605"/>
      <c r="K175" s="327"/>
      <c r="L175" s="594"/>
      <c r="M175" s="327"/>
      <c r="N175" s="575"/>
      <c r="O175" s="327"/>
      <c r="P175" s="594"/>
      <c r="Q175" s="327"/>
      <c r="R175" s="575"/>
      <c r="S175" s="327"/>
      <c r="T175" s="594"/>
      <c r="U175" s="327"/>
      <c r="V175" s="595" t="str">
        <f>'refer admin discharge'!H176</f>
        <v>00/00/0000</v>
      </c>
      <c r="W175" s="327"/>
      <c r="X175" s="577"/>
      <c r="Y175" s="327"/>
      <c r="Z175" s="604"/>
      <c r="AA175" s="327"/>
      <c r="AB175" s="577"/>
      <c r="AC175" s="327"/>
      <c r="AD175" s="576"/>
      <c r="AE175" s="327"/>
      <c r="AF175" s="577"/>
      <c r="AG175" s="327"/>
      <c r="AH175" s="576"/>
      <c r="AI175" s="327"/>
      <c r="AJ175" s="577"/>
      <c r="AK175" s="327"/>
      <c r="AL175" s="602"/>
      <c r="AM175" s="326"/>
      <c r="AN175" s="326"/>
      <c r="AO175" s="326"/>
      <c r="AP175" s="326"/>
      <c r="AQ175" s="326"/>
      <c r="AR175" s="326"/>
      <c r="AS175" s="326"/>
      <c r="AT175" s="326"/>
      <c r="AU175" s="326"/>
      <c r="AV175" s="326"/>
      <c r="AW175" s="326"/>
      <c r="AX175" s="326"/>
      <c r="AY175" s="326"/>
      <c r="AZ175" s="326"/>
      <c r="BA175" s="326"/>
      <c r="BB175" s="327"/>
    </row>
    <row r="176" spans="1:54" ht="15.75" customHeight="1" x14ac:dyDescent="0.25">
      <c r="A176" s="11">
        <f t="shared" si="0"/>
        <v>163</v>
      </c>
      <c r="B176" s="570" t="str">
        <f>'refer admin discharge'!B173</f>
        <v>x</v>
      </c>
      <c r="C176" s="327"/>
      <c r="D176" s="599" t="str">
        <f>'refer admin discharge'!D173</f>
        <v>xx</v>
      </c>
      <c r="E176" s="327"/>
      <c r="F176" s="600" t="str">
        <f>'refer admin discharge'!H173</f>
        <v>00/00/0000</v>
      </c>
      <c r="G176" s="327"/>
      <c r="H176" s="574"/>
      <c r="I176" s="327"/>
      <c r="J176" s="601"/>
      <c r="K176" s="327"/>
      <c r="L176" s="574"/>
      <c r="M176" s="327"/>
      <c r="N176" s="594"/>
      <c r="O176" s="327"/>
      <c r="P176" s="574"/>
      <c r="Q176" s="327"/>
      <c r="R176" s="594"/>
      <c r="S176" s="327"/>
      <c r="T176" s="574"/>
      <c r="U176" s="327"/>
      <c r="V176" s="595" t="str">
        <f>'refer admin discharge'!H177</f>
        <v>00/00/0000</v>
      </c>
      <c r="W176" s="327"/>
      <c r="X176" s="596"/>
      <c r="Y176" s="327"/>
      <c r="Z176" s="597"/>
      <c r="AA176" s="327"/>
      <c r="AB176" s="596"/>
      <c r="AC176" s="327"/>
      <c r="AD176" s="577"/>
      <c r="AE176" s="327"/>
      <c r="AF176" s="596"/>
      <c r="AG176" s="327"/>
      <c r="AH176" s="577"/>
      <c r="AI176" s="327"/>
      <c r="AJ176" s="596"/>
      <c r="AK176" s="327"/>
      <c r="AL176" s="598"/>
      <c r="AM176" s="326"/>
      <c r="AN176" s="326"/>
      <c r="AO176" s="326"/>
      <c r="AP176" s="326"/>
      <c r="AQ176" s="326"/>
      <c r="AR176" s="326"/>
      <c r="AS176" s="326"/>
      <c r="AT176" s="326"/>
      <c r="AU176" s="326"/>
      <c r="AV176" s="326"/>
      <c r="AW176" s="326"/>
      <c r="AX176" s="326"/>
      <c r="AY176" s="326"/>
      <c r="AZ176" s="326"/>
      <c r="BA176" s="326"/>
      <c r="BB176" s="327"/>
    </row>
    <row r="177" spans="1:54" ht="15.75" customHeight="1" x14ac:dyDescent="0.25">
      <c r="A177" s="11">
        <f t="shared" si="0"/>
        <v>164</v>
      </c>
      <c r="B177" s="504" t="str">
        <f>'refer admin discharge'!B174</f>
        <v>x</v>
      </c>
      <c r="C177" s="327"/>
      <c r="D177" s="505" t="str">
        <f>'refer admin discharge'!D174</f>
        <v>xx</v>
      </c>
      <c r="E177" s="327"/>
      <c r="F177" s="606" t="str">
        <f>'refer admin discharge'!H174</f>
        <v>00/00/0000</v>
      </c>
      <c r="G177" s="327"/>
      <c r="H177" s="594"/>
      <c r="I177" s="327"/>
      <c r="J177" s="605"/>
      <c r="K177" s="327"/>
      <c r="L177" s="594"/>
      <c r="M177" s="327"/>
      <c r="N177" s="575"/>
      <c r="O177" s="327"/>
      <c r="P177" s="594"/>
      <c r="Q177" s="327"/>
      <c r="R177" s="575"/>
      <c r="S177" s="327"/>
      <c r="T177" s="594"/>
      <c r="U177" s="327"/>
      <c r="V177" s="595" t="str">
        <f>'refer admin discharge'!H178</f>
        <v>00/00/0000</v>
      </c>
      <c r="W177" s="327"/>
      <c r="X177" s="577"/>
      <c r="Y177" s="327"/>
      <c r="Z177" s="604"/>
      <c r="AA177" s="327"/>
      <c r="AB177" s="577"/>
      <c r="AC177" s="327"/>
      <c r="AD177" s="576"/>
      <c r="AE177" s="327"/>
      <c r="AF177" s="577"/>
      <c r="AG177" s="327"/>
      <c r="AH177" s="576"/>
      <c r="AI177" s="327"/>
      <c r="AJ177" s="577"/>
      <c r="AK177" s="327"/>
      <c r="AL177" s="602"/>
      <c r="AM177" s="326"/>
      <c r="AN177" s="326"/>
      <c r="AO177" s="326"/>
      <c r="AP177" s="326"/>
      <c r="AQ177" s="326"/>
      <c r="AR177" s="326"/>
      <c r="AS177" s="326"/>
      <c r="AT177" s="326"/>
      <c r="AU177" s="326"/>
      <c r="AV177" s="326"/>
      <c r="AW177" s="326"/>
      <c r="AX177" s="326"/>
      <c r="AY177" s="326"/>
      <c r="AZ177" s="326"/>
      <c r="BA177" s="326"/>
      <c r="BB177" s="327"/>
    </row>
    <row r="178" spans="1:54" ht="15.75" customHeight="1" x14ac:dyDescent="0.25">
      <c r="A178" s="11">
        <f t="shared" si="0"/>
        <v>165</v>
      </c>
      <c r="B178" s="570" t="str">
        <f>'refer admin discharge'!B175</f>
        <v>x</v>
      </c>
      <c r="C178" s="327"/>
      <c r="D178" s="599" t="str">
        <f>'refer admin discharge'!D175</f>
        <v>xx</v>
      </c>
      <c r="E178" s="327"/>
      <c r="F178" s="600" t="str">
        <f>'refer admin discharge'!H175</f>
        <v>00/00/0000</v>
      </c>
      <c r="G178" s="327"/>
      <c r="H178" s="574"/>
      <c r="I178" s="327"/>
      <c r="J178" s="601"/>
      <c r="K178" s="327"/>
      <c r="L178" s="574"/>
      <c r="M178" s="327"/>
      <c r="N178" s="594"/>
      <c r="O178" s="327"/>
      <c r="P178" s="574"/>
      <c r="Q178" s="327"/>
      <c r="R178" s="594"/>
      <c r="S178" s="327"/>
      <c r="T178" s="574"/>
      <c r="U178" s="327"/>
      <c r="V178" s="595" t="str">
        <f>'refer admin discharge'!H179</f>
        <v>00/00/0000</v>
      </c>
      <c r="W178" s="327"/>
      <c r="X178" s="596"/>
      <c r="Y178" s="327"/>
      <c r="Z178" s="597"/>
      <c r="AA178" s="327"/>
      <c r="AB178" s="596"/>
      <c r="AC178" s="327"/>
      <c r="AD178" s="577"/>
      <c r="AE178" s="327"/>
      <c r="AF178" s="596"/>
      <c r="AG178" s="327"/>
      <c r="AH178" s="577"/>
      <c r="AI178" s="327"/>
      <c r="AJ178" s="596"/>
      <c r="AK178" s="327"/>
      <c r="AL178" s="598"/>
      <c r="AM178" s="326"/>
      <c r="AN178" s="326"/>
      <c r="AO178" s="326"/>
      <c r="AP178" s="326"/>
      <c r="AQ178" s="326"/>
      <c r="AR178" s="326"/>
      <c r="AS178" s="326"/>
      <c r="AT178" s="326"/>
      <c r="AU178" s="326"/>
      <c r="AV178" s="326"/>
      <c r="AW178" s="326"/>
      <c r="AX178" s="326"/>
      <c r="AY178" s="326"/>
      <c r="AZ178" s="326"/>
      <c r="BA178" s="326"/>
      <c r="BB178" s="327"/>
    </row>
    <row r="179" spans="1:54" ht="15.75" customHeight="1" x14ac:dyDescent="0.25">
      <c r="A179" s="11">
        <f t="shared" si="0"/>
        <v>166</v>
      </c>
      <c r="B179" s="504" t="str">
        <f>'refer admin discharge'!B176</f>
        <v>x</v>
      </c>
      <c r="C179" s="327"/>
      <c r="D179" s="505" t="str">
        <f>'refer admin discharge'!D176</f>
        <v>xx</v>
      </c>
      <c r="E179" s="327"/>
      <c r="F179" s="606" t="str">
        <f>'refer admin discharge'!H176</f>
        <v>00/00/0000</v>
      </c>
      <c r="G179" s="327"/>
      <c r="H179" s="594"/>
      <c r="I179" s="327"/>
      <c r="J179" s="605"/>
      <c r="K179" s="327"/>
      <c r="L179" s="594"/>
      <c r="M179" s="327"/>
      <c r="N179" s="575"/>
      <c r="O179" s="327"/>
      <c r="P179" s="594"/>
      <c r="Q179" s="327"/>
      <c r="R179" s="575"/>
      <c r="S179" s="327"/>
      <c r="T179" s="594"/>
      <c r="U179" s="327"/>
      <c r="V179" s="595" t="str">
        <f>'refer admin discharge'!H180</f>
        <v>00/00/0000</v>
      </c>
      <c r="W179" s="327"/>
      <c r="X179" s="577"/>
      <c r="Y179" s="327"/>
      <c r="Z179" s="604"/>
      <c r="AA179" s="327"/>
      <c r="AB179" s="577"/>
      <c r="AC179" s="327"/>
      <c r="AD179" s="576"/>
      <c r="AE179" s="327"/>
      <c r="AF179" s="577"/>
      <c r="AG179" s="327"/>
      <c r="AH179" s="576"/>
      <c r="AI179" s="327"/>
      <c r="AJ179" s="577"/>
      <c r="AK179" s="327"/>
      <c r="AL179" s="602"/>
      <c r="AM179" s="326"/>
      <c r="AN179" s="326"/>
      <c r="AO179" s="326"/>
      <c r="AP179" s="326"/>
      <c r="AQ179" s="326"/>
      <c r="AR179" s="326"/>
      <c r="AS179" s="326"/>
      <c r="AT179" s="326"/>
      <c r="AU179" s="326"/>
      <c r="AV179" s="326"/>
      <c r="AW179" s="326"/>
      <c r="AX179" s="326"/>
      <c r="AY179" s="326"/>
      <c r="AZ179" s="326"/>
      <c r="BA179" s="326"/>
      <c r="BB179" s="327"/>
    </row>
    <row r="180" spans="1:54" ht="15.75" customHeight="1" x14ac:dyDescent="0.25">
      <c r="A180" s="11">
        <f t="shared" si="0"/>
        <v>167</v>
      </c>
      <c r="B180" s="570" t="str">
        <f>'refer admin discharge'!B177</f>
        <v>x</v>
      </c>
      <c r="C180" s="327"/>
      <c r="D180" s="599" t="str">
        <f>'refer admin discharge'!D177</f>
        <v>xx</v>
      </c>
      <c r="E180" s="327"/>
      <c r="F180" s="600" t="str">
        <f>'refer admin discharge'!H177</f>
        <v>00/00/0000</v>
      </c>
      <c r="G180" s="327"/>
      <c r="H180" s="574"/>
      <c r="I180" s="327"/>
      <c r="J180" s="601"/>
      <c r="K180" s="327"/>
      <c r="L180" s="574"/>
      <c r="M180" s="327"/>
      <c r="N180" s="594"/>
      <c r="O180" s="327"/>
      <c r="P180" s="574"/>
      <c r="Q180" s="327"/>
      <c r="R180" s="594"/>
      <c r="S180" s="327"/>
      <c r="T180" s="574"/>
      <c r="U180" s="327"/>
      <c r="V180" s="595" t="str">
        <f>'refer admin discharge'!H181</f>
        <v>00/00/0000</v>
      </c>
      <c r="W180" s="327"/>
      <c r="X180" s="596"/>
      <c r="Y180" s="327"/>
      <c r="Z180" s="597"/>
      <c r="AA180" s="327"/>
      <c r="AB180" s="596"/>
      <c r="AC180" s="327"/>
      <c r="AD180" s="577"/>
      <c r="AE180" s="327"/>
      <c r="AF180" s="596"/>
      <c r="AG180" s="327"/>
      <c r="AH180" s="577"/>
      <c r="AI180" s="327"/>
      <c r="AJ180" s="596"/>
      <c r="AK180" s="327"/>
      <c r="AL180" s="598"/>
      <c r="AM180" s="326"/>
      <c r="AN180" s="326"/>
      <c r="AO180" s="326"/>
      <c r="AP180" s="326"/>
      <c r="AQ180" s="326"/>
      <c r="AR180" s="326"/>
      <c r="AS180" s="326"/>
      <c r="AT180" s="326"/>
      <c r="AU180" s="326"/>
      <c r="AV180" s="326"/>
      <c r="AW180" s="326"/>
      <c r="AX180" s="326"/>
      <c r="AY180" s="326"/>
      <c r="AZ180" s="326"/>
      <c r="BA180" s="326"/>
      <c r="BB180" s="327"/>
    </row>
    <row r="181" spans="1:54" ht="15.75" customHeight="1" x14ac:dyDescent="0.25">
      <c r="A181" s="11">
        <f t="shared" si="0"/>
        <v>168</v>
      </c>
      <c r="B181" s="504" t="str">
        <f>'refer admin discharge'!B178</f>
        <v>x</v>
      </c>
      <c r="C181" s="327"/>
      <c r="D181" s="505" t="str">
        <f>'refer admin discharge'!D178</f>
        <v>xx</v>
      </c>
      <c r="E181" s="327"/>
      <c r="F181" s="606" t="str">
        <f>'refer admin discharge'!H178</f>
        <v>00/00/0000</v>
      </c>
      <c r="G181" s="327"/>
      <c r="H181" s="594"/>
      <c r="I181" s="327"/>
      <c r="J181" s="605"/>
      <c r="K181" s="327"/>
      <c r="L181" s="594"/>
      <c r="M181" s="327"/>
      <c r="N181" s="575"/>
      <c r="O181" s="327"/>
      <c r="P181" s="594"/>
      <c r="Q181" s="327"/>
      <c r="R181" s="575"/>
      <c r="S181" s="327"/>
      <c r="T181" s="594"/>
      <c r="U181" s="327"/>
      <c r="V181" s="595" t="str">
        <f>'refer admin discharge'!H182</f>
        <v>00/00/0000</v>
      </c>
      <c r="W181" s="327"/>
      <c r="X181" s="577"/>
      <c r="Y181" s="327"/>
      <c r="Z181" s="604"/>
      <c r="AA181" s="327"/>
      <c r="AB181" s="577"/>
      <c r="AC181" s="327"/>
      <c r="AD181" s="576"/>
      <c r="AE181" s="327"/>
      <c r="AF181" s="577"/>
      <c r="AG181" s="327"/>
      <c r="AH181" s="576"/>
      <c r="AI181" s="327"/>
      <c r="AJ181" s="577"/>
      <c r="AK181" s="327"/>
      <c r="AL181" s="602"/>
      <c r="AM181" s="326"/>
      <c r="AN181" s="326"/>
      <c r="AO181" s="326"/>
      <c r="AP181" s="326"/>
      <c r="AQ181" s="326"/>
      <c r="AR181" s="326"/>
      <c r="AS181" s="326"/>
      <c r="AT181" s="326"/>
      <c r="AU181" s="326"/>
      <c r="AV181" s="326"/>
      <c r="AW181" s="326"/>
      <c r="AX181" s="326"/>
      <c r="AY181" s="326"/>
      <c r="AZ181" s="326"/>
      <c r="BA181" s="326"/>
      <c r="BB181" s="327"/>
    </row>
    <row r="182" spans="1:54" ht="15.75" customHeight="1" x14ac:dyDescent="0.25">
      <c r="A182" s="11">
        <f t="shared" si="0"/>
        <v>169</v>
      </c>
      <c r="B182" s="570" t="str">
        <f>'refer admin discharge'!B179</f>
        <v>x</v>
      </c>
      <c r="C182" s="327"/>
      <c r="D182" s="599" t="str">
        <f>'refer admin discharge'!D179</f>
        <v>xx</v>
      </c>
      <c r="E182" s="327"/>
      <c r="F182" s="600" t="str">
        <f>'refer admin discharge'!H179</f>
        <v>00/00/0000</v>
      </c>
      <c r="G182" s="327"/>
      <c r="H182" s="574"/>
      <c r="I182" s="327"/>
      <c r="J182" s="601"/>
      <c r="K182" s="327"/>
      <c r="L182" s="574"/>
      <c r="M182" s="327"/>
      <c r="N182" s="594"/>
      <c r="O182" s="327"/>
      <c r="P182" s="574"/>
      <c r="Q182" s="327"/>
      <c r="R182" s="594"/>
      <c r="S182" s="327"/>
      <c r="T182" s="574"/>
      <c r="U182" s="327"/>
      <c r="V182" s="595" t="str">
        <f>'refer admin discharge'!H183</f>
        <v>00/00/0000</v>
      </c>
      <c r="W182" s="327"/>
      <c r="X182" s="596"/>
      <c r="Y182" s="327"/>
      <c r="Z182" s="597"/>
      <c r="AA182" s="327"/>
      <c r="AB182" s="596"/>
      <c r="AC182" s="327"/>
      <c r="AD182" s="577"/>
      <c r="AE182" s="327"/>
      <c r="AF182" s="596"/>
      <c r="AG182" s="327"/>
      <c r="AH182" s="577"/>
      <c r="AI182" s="327"/>
      <c r="AJ182" s="596"/>
      <c r="AK182" s="327"/>
      <c r="AL182" s="598"/>
      <c r="AM182" s="326"/>
      <c r="AN182" s="326"/>
      <c r="AO182" s="326"/>
      <c r="AP182" s="326"/>
      <c r="AQ182" s="326"/>
      <c r="AR182" s="326"/>
      <c r="AS182" s="326"/>
      <c r="AT182" s="326"/>
      <c r="AU182" s="326"/>
      <c r="AV182" s="326"/>
      <c r="AW182" s="326"/>
      <c r="AX182" s="326"/>
      <c r="AY182" s="326"/>
      <c r="AZ182" s="326"/>
      <c r="BA182" s="326"/>
      <c r="BB182" s="327"/>
    </row>
    <row r="183" spans="1:54" ht="15.75" customHeight="1" x14ac:dyDescent="0.25">
      <c r="A183" s="11">
        <f t="shared" si="0"/>
        <v>170</v>
      </c>
      <c r="B183" s="504" t="str">
        <f>'refer admin discharge'!B180</f>
        <v>x</v>
      </c>
      <c r="C183" s="327"/>
      <c r="D183" s="505" t="str">
        <f>'refer admin discharge'!D180</f>
        <v>xx</v>
      </c>
      <c r="E183" s="327"/>
      <c r="F183" s="606" t="str">
        <f>'refer admin discharge'!H180</f>
        <v>00/00/0000</v>
      </c>
      <c r="G183" s="327"/>
      <c r="H183" s="594"/>
      <c r="I183" s="327"/>
      <c r="J183" s="605"/>
      <c r="K183" s="327"/>
      <c r="L183" s="594"/>
      <c r="M183" s="327"/>
      <c r="N183" s="575"/>
      <c r="O183" s="327"/>
      <c r="P183" s="594"/>
      <c r="Q183" s="327"/>
      <c r="R183" s="575"/>
      <c r="S183" s="327"/>
      <c r="T183" s="594"/>
      <c r="U183" s="327"/>
      <c r="V183" s="595" t="str">
        <f>'refer admin discharge'!H184</f>
        <v>00/00/0000</v>
      </c>
      <c r="W183" s="327"/>
      <c r="X183" s="577"/>
      <c r="Y183" s="327"/>
      <c r="Z183" s="604"/>
      <c r="AA183" s="327"/>
      <c r="AB183" s="577"/>
      <c r="AC183" s="327"/>
      <c r="AD183" s="576"/>
      <c r="AE183" s="327"/>
      <c r="AF183" s="577"/>
      <c r="AG183" s="327"/>
      <c r="AH183" s="576"/>
      <c r="AI183" s="327"/>
      <c r="AJ183" s="577"/>
      <c r="AK183" s="327"/>
      <c r="AL183" s="602"/>
      <c r="AM183" s="326"/>
      <c r="AN183" s="326"/>
      <c r="AO183" s="326"/>
      <c r="AP183" s="326"/>
      <c r="AQ183" s="326"/>
      <c r="AR183" s="326"/>
      <c r="AS183" s="326"/>
      <c r="AT183" s="326"/>
      <c r="AU183" s="326"/>
      <c r="AV183" s="326"/>
      <c r="AW183" s="326"/>
      <c r="AX183" s="326"/>
      <c r="AY183" s="326"/>
      <c r="AZ183" s="326"/>
      <c r="BA183" s="326"/>
      <c r="BB183" s="327"/>
    </row>
    <row r="184" spans="1:54" ht="15.75" customHeight="1" x14ac:dyDescent="0.25">
      <c r="A184" s="11">
        <f t="shared" si="0"/>
        <v>171</v>
      </c>
      <c r="B184" s="570" t="str">
        <f>'refer admin discharge'!B181</f>
        <v>x</v>
      </c>
      <c r="C184" s="327"/>
      <c r="D184" s="599" t="str">
        <f>'refer admin discharge'!D181</f>
        <v>xx</v>
      </c>
      <c r="E184" s="327"/>
      <c r="F184" s="600" t="str">
        <f>'refer admin discharge'!H181</f>
        <v>00/00/0000</v>
      </c>
      <c r="G184" s="327"/>
      <c r="H184" s="574"/>
      <c r="I184" s="327"/>
      <c r="J184" s="601"/>
      <c r="K184" s="327"/>
      <c r="L184" s="574"/>
      <c r="M184" s="327"/>
      <c r="N184" s="594"/>
      <c r="O184" s="327"/>
      <c r="P184" s="574"/>
      <c r="Q184" s="327"/>
      <c r="R184" s="594"/>
      <c r="S184" s="327"/>
      <c r="T184" s="574"/>
      <c r="U184" s="327"/>
      <c r="V184" s="595" t="str">
        <f>'refer admin discharge'!H185</f>
        <v>00/00/0000</v>
      </c>
      <c r="W184" s="327"/>
      <c r="X184" s="596"/>
      <c r="Y184" s="327"/>
      <c r="Z184" s="597"/>
      <c r="AA184" s="327"/>
      <c r="AB184" s="596"/>
      <c r="AC184" s="327"/>
      <c r="AD184" s="577"/>
      <c r="AE184" s="327"/>
      <c r="AF184" s="596"/>
      <c r="AG184" s="327"/>
      <c r="AH184" s="577"/>
      <c r="AI184" s="327"/>
      <c r="AJ184" s="596"/>
      <c r="AK184" s="327"/>
      <c r="AL184" s="598"/>
      <c r="AM184" s="326"/>
      <c r="AN184" s="326"/>
      <c r="AO184" s="326"/>
      <c r="AP184" s="326"/>
      <c r="AQ184" s="326"/>
      <c r="AR184" s="326"/>
      <c r="AS184" s="326"/>
      <c r="AT184" s="326"/>
      <c r="AU184" s="326"/>
      <c r="AV184" s="326"/>
      <c r="AW184" s="326"/>
      <c r="AX184" s="326"/>
      <c r="AY184" s="326"/>
      <c r="AZ184" s="326"/>
      <c r="BA184" s="326"/>
      <c r="BB184" s="327"/>
    </row>
    <row r="185" spans="1:54" ht="15.75" customHeight="1" x14ac:dyDescent="0.25">
      <c r="A185" s="11">
        <f t="shared" si="0"/>
        <v>172</v>
      </c>
      <c r="B185" s="504" t="str">
        <f>'refer admin discharge'!B182</f>
        <v>x</v>
      </c>
      <c r="C185" s="327"/>
      <c r="D185" s="505" t="str">
        <f>'refer admin discharge'!D182</f>
        <v>xx</v>
      </c>
      <c r="E185" s="327"/>
      <c r="F185" s="606" t="str">
        <f>'refer admin discharge'!H182</f>
        <v>00/00/0000</v>
      </c>
      <c r="G185" s="327"/>
      <c r="H185" s="594"/>
      <c r="I185" s="327"/>
      <c r="J185" s="605"/>
      <c r="K185" s="327"/>
      <c r="L185" s="594"/>
      <c r="M185" s="327"/>
      <c r="N185" s="575"/>
      <c r="O185" s="327"/>
      <c r="P185" s="594"/>
      <c r="Q185" s="327"/>
      <c r="R185" s="575"/>
      <c r="S185" s="327"/>
      <c r="T185" s="594"/>
      <c r="U185" s="327"/>
      <c r="V185" s="595" t="str">
        <f>'refer admin discharge'!H186</f>
        <v>00/00/0000</v>
      </c>
      <c r="W185" s="327"/>
      <c r="X185" s="577"/>
      <c r="Y185" s="327"/>
      <c r="Z185" s="604"/>
      <c r="AA185" s="327"/>
      <c r="AB185" s="577"/>
      <c r="AC185" s="327"/>
      <c r="AD185" s="576"/>
      <c r="AE185" s="327"/>
      <c r="AF185" s="577"/>
      <c r="AG185" s="327"/>
      <c r="AH185" s="576"/>
      <c r="AI185" s="327"/>
      <c r="AJ185" s="577"/>
      <c r="AK185" s="327"/>
      <c r="AL185" s="602"/>
      <c r="AM185" s="326"/>
      <c r="AN185" s="326"/>
      <c r="AO185" s="326"/>
      <c r="AP185" s="326"/>
      <c r="AQ185" s="326"/>
      <c r="AR185" s="326"/>
      <c r="AS185" s="326"/>
      <c r="AT185" s="326"/>
      <c r="AU185" s="326"/>
      <c r="AV185" s="326"/>
      <c r="AW185" s="326"/>
      <c r="AX185" s="326"/>
      <c r="AY185" s="326"/>
      <c r="AZ185" s="326"/>
      <c r="BA185" s="326"/>
      <c r="BB185" s="327"/>
    </row>
    <row r="186" spans="1:54" ht="15.75" customHeight="1" x14ac:dyDescent="0.25">
      <c r="A186" s="11">
        <f t="shared" si="0"/>
        <v>173</v>
      </c>
      <c r="B186" s="570" t="str">
        <f>'refer admin discharge'!B183</f>
        <v>x</v>
      </c>
      <c r="C186" s="327"/>
      <c r="D186" s="599" t="str">
        <f>'refer admin discharge'!D183</f>
        <v>xx</v>
      </c>
      <c r="E186" s="327"/>
      <c r="F186" s="600" t="str">
        <f>'refer admin discharge'!H183</f>
        <v>00/00/0000</v>
      </c>
      <c r="G186" s="327"/>
      <c r="H186" s="574"/>
      <c r="I186" s="327"/>
      <c r="J186" s="601"/>
      <c r="K186" s="327"/>
      <c r="L186" s="574"/>
      <c r="M186" s="327"/>
      <c r="N186" s="594"/>
      <c r="O186" s="327"/>
      <c r="P186" s="574"/>
      <c r="Q186" s="327"/>
      <c r="R186" s="594"/>
      <c r="S186" s="327"/>
      <c r="T186" s="574"/>
      <c r="U186" s="327"/>
      <c r="V186" s="595" t="str">
        <f>'refer admin discharge'!H187</f>
        <v>00/00/0000</v>
      </c>
      <c r="W186" s="327"/>
      <c r="X186" s="596"/>
      <c r="Y186" s="327"/>
      <c r="Z186" s="597"/>
      <c r="AA186" s="327"/>
      <c r="AB186" s="596"/>
      <c r="AC186" s="327"/>
      <c r="AD186" s="577"/>
      <c r="AE186" s="327"/>
      <c r="AF186" s="596"/>
      <c r="AG186" s="327"/>
      <c r="AH186" s="577"/>
      <c r="AI186" s="327"/>
      <c r="AJ186" s="596"/>
      <c r="AK186" s="327"/>
      <c r="AL186" s="598"/>
      <c r="AM186" s="326"/>
      <c r="AN186" s="326"/>
      <c r="AO186" s="326"/>
      <c r="AP186" s="326"/>
      <c r="AQ186" s="326"/>
      <c r="AR186" s="326"/>
      <c r="AS186" s="326"/>
      <c r="AT186" s="326"/>
      <c r="AU186" s="326"/>
      <c r="AV186" s="326"/>
      <c r="AW186" s="326"/>
      <c r="AX186" s="326"/>
      <c r="AY186" s="326"/>
      <c r="AZ186" s="326"/>
      <c r="BA186" s="326"/>
      <c r="BB186" s="327"/>
    </row>
    <row r="187" spans="1:54" ht="15.75" customHeight="1" x14ac:dyDescent="0.25">
      <c r="A187" s="11">
        <f t="shared" si="0"/>
        <v>174</v>
      </c>
      <c r="B187" s="504" t="str">
        <f>'refer admin discharge'!B184</f>
        <v>x</v>
      </c>
      <c r="C187" s="327"/>
      <c r="D187" s="505" t="str">
        <f>'refer admin discharge'!D184</f>
        <v>xx</v>
      </c>
      <c r="E187" s="327"/>
      <c r="F187" s="606" t="str">
        <f>'refer admin discharge'!H184</f>
        <v>00/00/0000</v>
      </c>
      <c r="G187" s="327"/>
      <c r="H187" s="594"/>
      <c r="I187" s="327"/>
      <c r="J187" s="605"/>
      <c r="K187" s="327"/>
      <c r="L187" s="594"/>
      <c r="M187" s="327"/>
      <c r="N187" s="575"/>
      <c r="O187" s="327"/>
      <c r="P187" s="594"/>
      <c r="Q187" s="327"/>
      <c r="R187" s="575"/>
      <c r="S187" s="327"/>
      <c r="T187" s="594"/>
      <c r="U187" s="327"/>
      <c r="V187" s="595" t="str">
        <f>'refer admin discharge'!H188</f>
        <v>00/00/0000</v>
      </c>
      <c r="W187" s="327"/>
      <c r="X187" s="577"/>
      <c r="Y187" s="327"/>
      <c r="Z187" s="604"/>
      <c r="AA187" s="327"/>
      <c r="AB187" s="577"/>
      <c r="AC187" s="327"/>
      <c r="AD187" s="576"/>
      <c r="AE187" s="327"/>
      <c r="AF187" s="577"/>
      <c r="AG187" s="327"/>
      <c r="AH187" s="576"/>
      <c r="AI187" s="327"/>
      <c r="AJ187" s="577"/>
      <c r="AK187" s="327"/>
      <c r="AL187" s="602"/>
      <c r="AM187" s="326"/>
      <c r="AN187" s="326"/>
      <c r="AO187" s="326"/>
      <c r="AP187" s="326"/>
      <c r="AQ187" s="326"/>
      <c r="AR187" s="326"/>
      <c r="AS187" s="326"/>
      <c r="AT187" s="326"/>
      <c r="AU187" s="326"/>
      <c r="AV187" s="326"/>
      <c r="AW187" s="326"/>
      <c r="AX187" s="326"/>
      <c r="AY187" s="326"/>
      <c r="AZ187" s="326"/>
      <c r="BA187" s="326"/>
      <c r="BB187" s="327"/>
    </row>
    <row r="188" spans="1:54" ht="15.75" customHeight="1" x14ac:dyDescent="0.25">
      <c r="A188" s="11">
        <f t="shared" si="0"/>
        <v>175</v>
      </c>
      <c r="B188" s="570" t="str">
        <f>'refer admin discharge'!B185</f>
        <v>x</v>
      </c>
      <c r="C188" s="327"/>
      <c r="D188" s="599" t="str">
        <f>'refer admin discharge'!D185</f>
        <v>xx</v>
      </c>
      <c r="E188" s="327"/>
      <c r="F188" s="600" t="str">
        <f>'refer admin discharge'!H185</f>
        <v>00/00/0000</v>
      </c>
      <c r="G188" s="327"/>
      <c r="H188" s="574"/>
      <c r="I188" s="327"/>
      <c r="J188" s="601"/>
      <c r="K188" s="327"/>
      <c r="L188" s="574"/>
      <c r="M188" s="327"/>
      <c r="N188" s="594"/>
      <c r="O188" s="327"/>
      <c r="P188" s="574"/>
      <c r="Q188" s="327"/>
      <c r="R188" s="594"/>
      <c r="S188" s="327"/>
      <c r="T188" s="574"/>
      <c r="U188" s="327"/>
      <c r="V188" s="595" t="str">
        <f>'refer admin discharge'!H189</f>
        <v>00/00/0000</v>
      </c>
      <c r="W188" s="327"/>
      <c r="X188" s="596"/>
      <c r="Y188" s="327"/>
      <c r="Z188" s="597"/>
      <c r="AA188" s="327"/>
      <c r="AB188" s="596"/>
      <c r="AC188" s="327"/>
      <c r="AD188" s="577"/>
      <c r="AE188" s="327"/>
      <c r="AF188" s="596"/>
      <c r="AG188" s="327"/>
      <c r="AH188" s="577"/>
      <c r="AI188" s="327"/>
      <c r="AJ188" s="596"/>
      <c r="AK188" s="327"/>
      <c r="AL188" s="598"/>
      <c r="AM188" s="326"/>
      <c r="AN188" s="326"/>
      <c r="AO188" s="326"/>
      <c r="AP188" s="326"/>
      <c r="AQ188" s="326"/>
      <c r="AR188" s="326"/>
      <c r="AS188" s="326"/>
      <c r="AT188" s="326"/>
      <c r="AU188" s="326"/>
      <c r="AV188" s="326"/>
      <c r="AW188" s="326"/>
      <c r="AX188" s="326"/>
      <c r="AY188" s="326"/>
      <c r="AZ188" s="326"/>
      <c r="BA188" s="326"/>
      <c r="BB188" s="327"/>
    </row>
    <row r="189" spans="1:54" ht="15.75" customHeight="1" x14ac:dyDescent="0.25">
      <c r="A189" s="11">
        <f t="shared" si="0"/>
        <v>176</v>
      </c>
      <c r="B189" s="504" t="str">
        <f>'refer admin discharge'!B186</f>
        <v>x</v>
      </c>
      <c r="C189" s="327"/>
      <c r="D189" s="505" t="str">
        <f>'refer admin discharge'!D186</f>
        <v>xx</v>
      </c>
      <c r="E189" s="327"/>
      <c r="F189" s="606" t="str">
        <f>'refer admin discharge'!H186</f>
        <v>00/00/0000</v>
      </c>
      <c r="G189" s="327"/>
      <c r="H189" s="594"/>
      <c r="I189" s="327"/>
      <c r="J189" s="605"/>
      <c r="K189" s="327"/>
      <c r="L189" s="594"/>
      <c r="M189" s="327"/>
      <c r="N189" s="575"/>
      <c r="O189" s="327"/>
      <c r="P189" s="594"/>
      <c r="Q189" s="327"/>
      <c r="R189" s="575"/>
      <c r="S189" s="327"/>
      <c r="T189" s="594"/>
      <c r="U189" s="327"/>
      <c r="V189" s="595" t="str">
        <f>'refer admin discharge'!H190</f>
        <v>00/00/0000</v>
      </c>
      <c r="W189" s="327"/>
      <c r="X189" s="577"/>
      <c r="Y189" s="327"/>
      <c r="Z189" s="604"/>
      <c r="AA189" s="327"/>
      <c r="AB189" s="577"/>
      <c r="AC189" s="327"/>
      <c r="AD189" s="576"/>
      <c r="AE189" s="327"/>
      <c r="AF189" s="577"/>
      <c r="AG189" s="327"/>
      <c r="AH189" s="576"/>
      <c r="AI189" s="327"/>
      <c r="AJ189" s="577"/>
      <c r="AK189" s="327"/>
      <c r="AL189" s="602"/>
      <c r="AM189" s="326"/>
      <c r="AN189" s="326"/>
      <c r="AO189" s="326"/>
      <c r="AP189" s="326"/>
      <c r="AQ189" s="326"/>
      <c r="AR189" s="326"/>
      <c r="AS189" s="326"/>
      <c r="AT189" s="326"/>
      <c r="AU189" s="326"/>
      <c r="AV189" s="326"/>
      <c r="AW189" s="326"/>
      <c r="AX189" s="326"/>
      <c r="AY189" s="326"/>
      <c r="AZ189" s="326"/>
      <c r="BA189" s="326"/>
      <c r="BB189" s="327"/>
    </row>
    <row r="190" spans="1:54" ht="15.75" customHeight="1" x14ac:dyDescent="0.25">
      <c r="A190" s="11">
        <f t="shared" si="0"/>
        <v>177</v>
      </c>
      <c r="B190" s="570" t="str">
        <f>'refer admin discharge'!B187</f>
        <v>x</v>
      </c>
      <c r="C190" s="327"/>
      <c r="D190" s="599" t="str">
        <f>'refer admin discharge'!D187</f>
        <v>xx</v>
      </c>
      <c r="E190" s="327"/>
      <c r="F190" s="600" t="str">
        <f>'refer admin discharge'!H187</f>
        <v>00/00/0000</v>
      </c>
      <c r="G190" s="327"/>
      <c r="H190" s="574"/>
      <c r="I190" s="327"/>
      <c r="J190" s="601"/>
      <c r="K190" s="327"/>
      <c r="L190" s="574"/>
      <c r="M190" s="327"/>
      <c r="N190" s="594"/>
      <c r="O190" s="327"/>
      <c r="P190" s="574"/>
      <c r="Q190" s="327"/>
      <c r="R190" s="594"/>
      <c r="S190" s="327"/>
      <c r="T190" s="574"/>
      <c r="U190" s="327"/>
      <c r="V190" s="595" t="str">
        <f>'refer admin discharge'!H191</f>
        <v>00/00/0000</v>
      </c>
      <c r="W190" s="327"/>
      <c r="X190" s="596"/>
      <c r="Y190" s="327"/>
      <c r="Z190" s="597"/>
      <c r="AA190" s="327"/>
      <c r="AB190" s="596"/>
      <c r="AC190" s="327"/>
      <c r="AD190" s="577"/>
      <c r="AE190" s="327"/>
      <c r="AF190" s="596"/>
      <c r="AG190" s="327"/>
      <c r="AH190" s="577"/>
      <c r="AI190" s="327"/>
      <c r="AJ190" s="596"/>
      <c r="AK190" s="327"/>
      <c r="AL190" s="598"/>
      <c r="AM190" s="326"/>
      <c r="AN190" s="326"/>
      <c r="AO190" s="326"/>
      <c r="AP190" s="326"/>
      <c r="AQ190" s="326"/>
      <c r="AR190" s="326"/>
      <c r="AS190" s="326"/>
      <c r="AT190" s="326"/>
      <c r="AU190" s="326"/>
      <c r="AV190" s="326"/>
      <c r="AW190" s="326"/>
      <c r="AX190" s="326"/>
      <c r="AY190" s="326"/>
      <c r="AZ190" s="326"/>
      <c r="BA190" s="326"/>
      <c r="BB190" s="327"/>
    </row>
    <row r="191" spans="1:54" ht="15.75" customHeight="1" x14ac:dyDescent="0.25">
      <c r="A191" s="11">
        <f t="shared" si="0"/>
        <v>178</v>
      </c>
      <c r="B191" s="504" t="str">
        <f>'refer admin discharge'!B188</f>
        <v>x</v>
      </c>
      <c r="C191" s="327"/>
      <c r="D191" s="505" t="str">
        <f>'refer admin discharge'!D188</f>
        <v>xx</v>
      </c>
      <c r="E191" s="327"/>
      <c r="F191" s="606" t="str">
        <f>'refer admin discharge'!H188</f>
        <v>00/00/0000</v>
      </c>
      <c r="G191" s="327"/>
      <c r="H191" s="594"/>
      <c r="I191" s="327"/>
      <c r="J191" s="605"/>
      <c r="K191" s="327"/>
      <c r="L191" s="594"/>
      <c r="M191" s="327"/>
      <c r="N191" s="575"/>
      <c r="O191" s="327"/>
      <c r="P191" s="594"/>
      <c r="Q191" s="327"/>
      <c r="R191" s="575"/>
      <c r="S191" s="327"/>
      <c r="T191" s="594"/>
      <c r="U191" s="327"/>
      <c r="V191" s="595" t="str">
        <f>'refer admin discharge'!H192</f>
        <v>00/00/0000</v>
      </c>
      <c r="W191" s="327"/>
      <c r="X191" s="577"/>
      <c r="Y191" s="327"/>
      <c r="Z191" s="604"/>
      <c r="AA191" s="327"/>
      <c r="AB191" s="577"/>
      <c r="AC191" s="327"/>
      <c r="AD191" s="576"/>
      <c r="AE191" s="327"/>
      <c r="AF191" s="577"/>
      <c r="AG191" s="327"/>
      <c r="AH191" s="576"/>
      <c r="AI191" s="327"/>
      <c r="AJ191" s="577"/>
      <c r="AK191" s="327"/>
      <c r="AL191" s="602"/>
      <c r="AM191" s="326"/>
      <c r="AN191" s="326"/>
      <c r="AO191" s="326"/>
      <c r="AP191" s="326"/>
      <c r="AQ191" s="326"/>
      <c r="AR191" s="326"/>
      <c r="AS191" s="326"/>
      <c r="AT191" s="326"/>
      <c r="AU191" s="326"/>
      <c r="AV191" s="326"/>
      <c r="AW191" s="326"/>
      <c r="AX191" s="326"/>
      <c r="AY191" s="326"/>
      <c r="AZ191" s="326"/>
      <c r="BA191" s="326"/>
      <c r="BB191" s="327"/>
    </row>
    <row r="192" spans="1:54" ht="15.75" customHeight="1" x14ac:dyDescent="0.25">
      <c r="A192" s="11">
        <f t="shared" si="0"/>
        <v>179</v>
      </c>
      <c r="B192" s="570" t="str">
        <f>'refer admin discharge'!B189</f>
        <v>x</v>
      </c>
      <c r="C192" s="327"/>
      <c r="D192" s="599" t="str">
        <f>'refer admin discharge'!D189</f>
        <v>xx</v>
      </c>
      <c r="E192" s="327"/>
      <c r="F192" s="600" t="str">
        <f>'refer admin discharge'!H189</f>
        <v>00/00/0000</v>
      </c>
      <c r="G192" s="327"/>
      <c r="H192" s="574"/>
      <c r="I192" s="327"/>
      <c r="J192" s="601"/>
      <c r="K192" s="327"/>
      <c r="L192" s="574"/>
      <c r="M192" s="327"/>
      <c r="N192" s="594"/>
      <c r="O192" s="327"/>
      <c r="P192" s="574"/>
      <c r="Q192" s="327"/>
      <c r="R192" s="594"/>
      <c r="S192" s="327"/>
      <c r="T192" s="574"/>
      <c r="U192" s="327"/>
      <c r="V192" s="595" t="str">
        <f>'refer admin discharge'!H193</f>
        <v>00/00/0000</v>
      </c>
      <c r="W192" s="327"/>
      <c r="X192" s="596"/>
      <c r="Y192" s="327"/>
      <c r="Z192" s="597"/>
      <c r="AA192" s="327"/>
      <c r="AB192" s="596"/>
      <c r="AC192" s="327"/>
      <c r="AD192" s="577"/>
      <c r="AE192" s="327"/>
      <c r="AF192" s="596"/>
      <c r="AG192" s="327"/>
      <c r="AH192" s="577"/>
      <c r="AI192" s="327"/>
      <c r="AJ192" s="596"/>
      <c r="AK192" s="327"/>
      <c r="AL192" s="598"/>
      <c r="AM192" s="326"/>
      <c r="AN192" s="326"/>
      <c r="AO192" s="326"/>
      <c r="AP192" s="326"/>
      <c r="AQ192" s="326"/>
      <c r="AR192" s="326"/>
      <c r="AS192" s="326"/>
      <c r="AT192" s="326"/>
      <c r="AU192" s="326"/>
      <c r="AV192" s="326"/>
      <c r="AW192" s="326"/>
      <c r="AX192" s="326"/>
      <c r="AY192" s="326"/>
      <c r="AZ192" s="326"/>
      <c r="BA192" s="326"/>
      <c r="BB192" s="327"/>
    </row>
    <row r="193" spans="1:54" ht="15.75" customHeight="1" x14ac:dyDescent="0.25">
      <c r="A193" s="11">
        <f t="shared" si="0"/>
        <v>180</v>
      </c>
      <c r="B193" s="504" t="str">
        <f>'refer admin discharge'!B190</f>
        <v>x</v>
      </c>
      <c r="C193" s="327"/>
      <c r="D193" s="505" t="str">
        <f>'refer admin discharge'!D190</f>
        <v>xx</v>
      </c>
      <c r="E193" s="327"/>
      <c r="F193" s="606" t="str">
        <f>'refer admin discharge'!H190</f>
        <v>00/00/0000</v>
      </c>
      <c r="G193" s="327"/>
      <c r="H193" s="594"/>
      <c r="I193" s="327"/>
      <c r="J193" s="605"/>
      <c r="K193" s="327"/>
      <c r="L193" s="594"/>
      <c r="M193" s="327"/>
      <c r="N193" s="575"/>
      <c r="O193" s="327"/>
      <c r="P193" s="594"/>
      <c r="Q193" s="327"/>
      <c r="R193" s="575"/>
      <c r="S193" s="327"/>
      <c r="T193" s="594"/>
      <c r="U193" s="327"/>
      <c r="V193" s="595" t="str">
        <f>'refer admin discharge'!H194</f>
        <v>00/00/0000</v>
      </c>
      <c r="W193" s="327"/>
      <c r="X193" s="577"/>
      <c r="Y193" s="327"/>
      <c r="Z193" s="604"/>
      <c r="AA193" s="327"/>
      <c r="AB193" s="577"/>
      <c r="AC193" s="327"/>
      <c r="AD193" s="576"/>
      <c r="AE193" s="327"/>
      <c r="AF193" s="577"/>
      <c r="AG193" s="327"/>
      <c r="AH193" s="576"/>
      <c r="AI193" s="327"/>
      <c r="AJ193" s="577"/>
      <c r="AK193" s="327"/>
      <c r="AL193" s="602"/>
      <c r="AM193" s="326"/>
      <c r="AN193" s="326"/>
      <c r="AO193" s="326"/>
      <c r="AP193" s="326"/>
      <c r="AQ193" s="326"/>
      <c r="AR193" s="326"/>
      <c r="AS193" s="326"/>
      <c r="AT193" s="326"/>
      <c r="AU193" s="326"/>
      <c r="AV193" s="326"/>
      <c r="AW193" s="326"/>
      <c r="AX193" s="326"/>
      <c r="AY193" s="326"/>
      <c r="AZ193" s="326"/>
      <c r="BA193" s="326"/>
      <c r="BB193" s="327"/>
    </row>
    <row r="194" spans="1:54" ht="15.75" customHeight="1" x14ac:dyDescent="0.25">
      <c r="A194" s="11">
        <f t="shared" si="0"/>
        <v>181</v>
      </c>
      <c r="B194" s="570" t="str">
        <f>'refer admin discharge'!B191</f>
        <v>x</v>
      </c>
      <c r="C194" s="327"/>
      <c r="D194" s="599" t="str">
        <f>'refer admin discharge'!D191</f>
        <v>xx</v>
      </c>
      <c r="E194" s="327"/>
      <c r="F194" s="600" t="str">
        <f>'refer admin discharge'!H191</f>
        <v>00/00/0000</v>
      </c>
      <c r="G194" s="327"/>
      <c r="H194" s="574"/>
      <c r="I194" s="327"/>
      <c r="J194" s="601"/>
      <c r="K194" s="327"/>
      <c r="L194" s="574"/>
      <c r="M194" s="327"/>
      <c r="N194" s="594"/>
      <c r="O194" s="327"/>
      <c r="P194" s="574"/>
      <c r="Q194" s="327"/>
      <c r="R194" s="594"/>
      <c r="S194" s="327"/>
      <c r="T194" s="574"/>
      <c r="U194" s="327"/>
      <c r="V194" s="595" t="str">
        <f>'refer admin discharge'!H195</f>
        <v>00/00/0000</v>
      </c>
      <c r="W194" s="327"/>
      <c r="X194" s="596"/>
      <c r="Y194" s="327"/>
      <c r="Z194" s="597"/>
      <c r="AA194" s="327"/>
      <c r="AB194" s="596"/>
      <c r="AC194" s="327"/>
      <c r="AD194" s="577"/>
      <c r="AE194" s="327"/>
      <c r="AF194" s="596"/>
      <c r="AG194" s="327"/>
      <c r="AH194" s="577"/>
      <c r="AI194" s="327"/>
      <c r="AJ194" s="596"/>
      <c r="AK194" s="327"/>
      <c r="AL194" s="598"/>
      <c r="AM194" s="326"/>
      <c r="AN194" s="326"/>
      <c r="AO194" s="326"/>
      <c r="AP194" s="326"/>
      <c r="AQ194" s="326"/>
      <c r="AR194" s="326"/>
      <c r="AS194" s="326"/>
      <c r="AT194" s="326"/>
      <c r="AU194" s="326"/>
      <c r="AV194" s="326"/>
      <c r="AW194" s="326"/>
      <c r="AX194" s="326"/>
      <c r="AY194" s="326"/>
      <c r="AZ194" s="326"/>
      <c r="BA194" s="326"/>
      <c r="BB194" s="327"/>
    </row>
    <row r="195" spans="1:54" ht="15.75" customHeight="1" x14ac:dyDescent="0.25">
      <c r="A195" s="11">
        <f t="shared" si="0"/>
        <v>182</v>
      </c>
      <c r="B195" s="504" t="str">
        <f>'refer admin discharge'!B192</f>
        <v>x</v>
      </c>
      <c r="C195" s="327"/>
      <c r="D195" s="505" t="str">
        <f>'refer admin discharge'!D192</f>
        <v>xx</v>
      </c>
      <c r="E195" s="327"/>
      <c r="F195" s="606" t="str">
        <f>'refer admin discharge'!H192</f>
        <v>00/00/0000</v>
      </c>
      <c r="G195" s="327"/>
      <c r="H195" s="594"/>
      <c r="I195" s="327"/>
      <c r="J195" s="605"/>
      <c r="K195" s="327"/>
      <c r="L195" s="594"/>
      <c r="M195" s="327"/>
      <c r="N195" s="575"/>
      <c r="O195" s="327"/>
      <c r="P195" s="594"/>
      <c r="Q195" s="327"/>
      <c r="R195" s="575"/>
      <c r="S195" s="327"/>
      <c r="T195" s="594"/>
      <c r="U195" s="327"/>
      <c r="V195" s="595" t="str">
        <f>'refer admin discharge'!H196</f>
        <v>00/00/0000</v>
      </c>
      <c r="W195" s="327"/>
      <c r="X195" s="577"/>
      <c r="Y195" s="327"/>
      <c r="Z195" s="604"/>
      <c r="AA195" s="327"/>
      <c r="AB195" s="577"/>
      <c r="AC195" s="327"/>
      <c r="AD195" s="576"/>
      <c r="AE195" s="327"/>
      <c r="AF195" s="577"/>
      <c r="AG195" s="327"/>
      <c r="AH195" s="576"/>
      <c r="AI195" s="327"/>
      <c r="AJ195" s="577"/>
      <c r="AK195" s="327"/>
      <c r="AL195" s="602"/>
      <c r="AM195" s="326"/>
      <c r="AN195" s="326"/>
      <c r="AO195" s="326"/>
      <c r="AP195" s="326"/>
      <c r="AQ195" s="326"/>
      <c r="AR195" s="326"/>
      <c r="AS195" s="326"/>
      <c r="AT195" s="326"/>
      <c r="AU195" s="326"/>
      <c r="AV195" s="326"/>
      <c r="AW195" s="326"/>
      <c r="AX195" s="326"/>
      <c r="AY195" s="326"/>
      <c r="AZ195" s="326"/>
      <c r="BA195" s="326"/>
      <c r="BB195" s="327"/>
    </row>
    <row r="196" spans="1:54" ht="15.75" customHeight="1" x14ac:dyDescent="0.25">
      <c r="A196" s="11">
        <f t="shared" si="0"/>
        <v>183</v>
      </c>
      <c r="B196" s="570" t="str">
        <f>'refer admin discharge'!B193</f>
        <v>x</v>
      </c>
      <c r="C196" s="327"/>
      <c r="D196" s="599" t="str">
        <f>'refer admin discharge'!D193</f>
        <v>xx</v>
      </c>
      <c r="E196" s="327"/>
      <c r="F196" s="600" t="str">
        <f>'refer admin discharge'!H193</f>
        <v>00/00/0000</v>
      </c>
      <c r="G196" s="327"/>
      <c r="H196" s="574"/>
      <c r="I196" s="327"/>
      <c r="J196" s="601"/>
      <c r="K196" s="327"/>
      <c r="L196" s="574"/>
      <c r="M196" s="327"/>
      <c r="N196" s="594"/>
      <c r="O196" s="327"/>
      <c r="P196" s="574"/>
      <c r="Q196" s="327"/>
      <c r="R196" s="594"/>
      <c r="S196" s="327"/>
      <c r="T196" s="574"/>
      <c r="U196" s="327"/>
      <c r="V196" s="595" t="str">
        <f>'refer admin discharge'!H197</f>
        <v>00/00/0000</v>
      </c>
      <c r="W196" s="327"/>
      <c r="X196" s="596"/>
      <c r="Y196" s="327"/>
      <c r="Z196" s="597"/>
      <c r="AA196" s="327"/>
      <c r="AB196" s="596"/>
      <c r="AC196" s="327"/>
      <c r="AD196" s="577"/>
      <c r="AE196" s="327"/>
      <c r="AF196" s="596"/>
      <c r="AG196" s="327"/>
      <c r="AH196" s="577"/>
      <c r="AI196" s="327"/>
      <c r="AJ196" s="596"/>
      <c r="AK196" s="327"/>
      <c r="AL196" s="598"/>
      <c r="AM196" s="326"/>
      <c r="AN196" s="326"/>
      <c r="AO196" s="326"/>
      <c r="AP196" s="326"/>
      <c r="AQ196" s="326"/>
      <c r="AR196" s="326"/>
      <c r="AS196" s="326"/>
      <c r="AT196" s="326"/>
      <c r="AU196" s="326"/>
      <c r="AV196" s="326"/>
      <c r="AW196" s="326"/>
      <c r="AX196" s="326"/>
      <c r="AY196" s="326"/>
      <c r="AZ196" s="326"/>
      <c r="BA196" s="326"/>
      <c r="BB196" s="327"/>
    </row>
    <row r="197" spans="1:54" ht="15.75" customHeight="1" x14ac:dyDescent="0.25">
      <c r="A197" s="11">
        <f t="shared" si="0"/>
        <v>184</v>
      </c>
      <c r="B197" s="504" t="str">
        <f>'refer admin discharge'!B194</f>
        <v>x</v>
      </c>
      <c r="C197" s="327"/>
      <c r="D197" s="505" t="str">
        <f>'refer admin discharge'!D194</f>
        <v>xx</v>
      </c>
      <c r="E197" s="327"/>
      <c r="F197" s="606" t="str">
        <f>'refer admin discharge'!H194</f>
        <v>00/00/0000</v>
      </c>
      <c r="G197" s="327"/>
      <c r="H197" s="594"/>
      <c r="I197" s="327"/>
      <c r="J197" s="605"/>
      <c r="K197" s="327"/>
      <c r="L197" s="594"/>
      <c r="M197" s="327"/>
      <c r="N197" s="575"/>
      <c r="O197" s="327"/>
      <c r="P197" s="594"/>
      <c r="Q197" s="327"/>
      <c r="R197" s="575"/>
      <c r="S197" s="327"/>
      <c r="T197" s="594"/>
      <c r="U197" s="327"/>
      <c r="V197" s="595" t="str">
        <f>'refer admin discharge'!H198</f>
        <v>00/00/0000</v>
      </c>
      <c r="W197" s="327"/>
      <c r="X197" s="577"/>
      <c r="Y197" s="327"/>
      <c r="Z197" s="604"/>
      <c r="AA197" s="327"/>
      <c r="AB197" s="577"/>
      <c r="AC197" s="327"/>
      <c r="AD197" s="576"/>
      <c r="AE197" s="327"/>
      <c r="AF197" s="577"/>
      <c r="AG197" s="327"/>
      <c r="AH197" s="576"/>
      <c r="AI197" s="327"/>
      <c r="AJ197" s="577"/>
      <c r="AK197" s="327"/>
      <c r="AL197" s="602"/>
      <c r="AM197" s="326"/>
      <c r="AN197" s="326"/>
      <c r="AO197" s="326"/>
      <c r="AP197" s="326"/>
      <c r="AQ197" s="326"/>
      <c r="AR197" s="326"/>
      <c r="AS197" s="326"/>
      <c r="AT197" s="326"/>
      <c r="AU197" s="326"/>
      <c r="AV197" s="326"/>
      <c r="AW197" s="326"/>
      <c r="AX197" s="326"/>
      <c r="AY197" s="326"/>
      <c r="AZ197" s="326"/>
      <c r="BA197" s="326"/>
      <c r="BB197" s="327"/>
    </row>
    <row r="198" spans="1:54" ht="15.75" customHeight="1" x14ac:dyDescent="0.25">
      <c r="A198" s="11">
        <f t="shared" si="0"/>
        <v>185</v>
      </c>
      <c r="B198" s="570" t="str">
        <f>'refer admin discharge'!B195</f>
        <v>x</v>
      </c>
      <c r="C198" s="327"/>
      <c r="D198" s="599" t="str">
        <f>'refer admin discharge'!D195</f>
        <v>xx</v>
      </c>
      <c r="E198" s="327"/>
      <c r="F198" s="600" t="str">
        <f>'refer admin discharge'!H195</f>
        <v>00/00/0000</v>
      </c>
      <c r="G198" s="327"/>
      <c r="H198" s="574"/>
      <c r="I198" s="327"/>
      <c r="J198" s="601"/>
      <c r="K198" s="327"/>
      <c r="L198" s="574"/>
      <c r="M198" s="327"/>
      <c r="N198" s="594"/>
      <c r="O198" s="327"/>
      <c r="P198" s="574"/>
      <c r="Q198" s="327"/>
      <c r="R198" s="594"/>
      <c r="S198" s="327"/>
      <c r="T198" s="574"/>
      <c r="U198" s="327"/>
      <c r="V198" s="595" t="str">
        <f>'refer admin discharge'!H199</f>
        <v>00/00/0000</v>
      </c>
      <c r="W198" s="327"/>
      <c r="X198" s="596"/>
      <c r="Y198" s="327"/>
      <c r="Z198" s="597"/>
      <c r="AA198" s="327"/>
      <c r="AB198" s="596"/>
      <c r="AC198" s="327"/>
      <c r="AD198" s="577"/>
      <c r="AE198" s="327"/>
      <c r="AF198" s="596"/>
      <c r="AG198" s="327"/>
      <c r="AH198" s="577"/>
      <c r="AI198" s="327"/>
      <c r="AJ198" s="596"/>
      <c r="AK198" s="327"/>
      <c r="AL198" s="598"/>
      <c r="AM198" s="326"/>
      <c r="AN198" s="326"/>
      <c r="AO198" s="326"/>
      <c r="AP198" s="326"/>
      <c r="AQ198" s="326"/>
      <c r="AR198" s="326"/>
      <c r="AS198" s="326"/>
      <c r="AT198" s="326"/>
      <c r="AU198" s="326"/>
      <c r="AV198" s="326"/>
      <c r="AW198" s="326"/>
      <c r="AX198" s="326"/>
      <c r="AY198" s="326"/>
      <c r="AZ198" s="326"/>
      <c r="BA198" s="326"/>
      <c r="BB198" s="327"/>
    </row>
    <row r="199" spans="1:54" ht="15.75" customHeight="1" x14ac:dyDescent="0.25">
      <c r="A199" s="11">
        <f t="shared" si="0"/>
        <v>186</v>
      </c>
      <c r="B199" s="504" t="str">
        <f>'refer admin discharge'!B196</f>
        <v>x</v>
      </c>
      <c r="C199" s="327"/>
      <c r="D199" s="505" t="str">
        <f>'refer admin discharge'!D196</f>
        <v>xx</v>
      </c>
      <c r="E199" s="327"/>
      <c r="F199" s="606" t="str">
        <f>'refer admin discharge'!H196</f>
        <v>00/00/0000</v>
      </c>
      <c r="G199" s="327"/>
      <c r="H199" s="594"/>
      <c r="I199" s="327"/>
      <c r="J199" s="605"/>
      <c r="K199" s="327"/>
      <c r="L199" s="594"/>
      <c r="M199" s="327"/>
      <c r="N199" s="575"/>
      <c r="O199" s="327"/>
      <c r="P199" s="594"/>
      <c r="Q199" s="327"/>
      <c r="R199" s="575"/>
      <c r="S199" s="327"/>
      <c r="T199" s="594"/>
      <c r="U199" s="327"/>
      <c r="V199" s="595" t="str">
        <f>'refer admin discharge'!H200</f>
        <v>00/00/0000</v>
      </c>
      <c r="W199" s="327"/>
      <c r="X199" s="577"/>
      <c r="Y199" s="327"/>
      <c r="Z199" s="604"/>
      <c r="AA199" s="327"/>
      <c r="AB199" s="577"/>
      <c r="AC199" s="327"/>
      <c r="AD199" s="576"/>
      <c r="AE199" s="327"/>
      <c r="AF199" s="577"/>
      <c r="AG199" s="327"/>
      <c r="AH199" s="576"/>
      <c r="AI199" s="327"/>
      <c r="AJ199" s="577"/>
      <c r="AK199" s="327"/>
      <c r="AL199" s="602"/>
      <c r="AM199" s="326"/>
      <c r="AN199" s="326"/>
      <c r="AO199" s="326"/>
      <c r="AP199" s="326"/>
      <c r="AQ199" s="326"/>
      <c r="AR199" s="326"/>
      <c r="AS199" s="326"/>
      <c r="AT199" s="326"/>
      <c r="AU199" s="326"/>
      <c r="AV199" s="326"/>
      <c r="AW199" s="326"/>
      <c r="AX199" s="326"/>
      <c r="AY199" s="326"/>
      <c r="AZ199" s="326"/>
      <c r="BA199" s="326"/>
      <c r="BB199" s="327"/>
    </row>
    <row r="200" spans="1:54" ht="15.75" customHeight="1" x14ac:dyDescent="0.25">
      <c r="A200" s="11">
        <f t="shared" si="0"/>
        <v>187</v>
      </c>
      <c r="B200" s="570" t="str">
        <f>'refer admin discharge'!B197</f>
        <v>x</v>
      </c>
      <c r="C200" s="327"/>
      <c r="D200" s="599" t="str">
        <f>'refer admin discharge'!D197</f>
        <v>xx</v>
      </c>
      <c r="E200" s="327"/>
      <c r="F200" s="600" t="str">
        <f>'refer admin discharge'!H197</f>
        <v>00/00/0000</v>
      </c>
      <c r="G200" s="327"/>
      <c r="H200" s="574"/>
      <c r="I200" s="327"/>
      <c r="J200" s="601"/>
      <c r="K200" s="327"/>
      <c r="L200" s="574"/>
      <c r="M200" s="327"/>
      <c r="N200" s="594"/>
      <c r="O200" s="327"/>
      <c r="P200" s="574"/>
      <c r="Q200" s="327"/>
      <c r="R200" s="594"/>
      <c r="S200" s="327"/>
      <c r="T200" s="574"/>
      <c r="U200" s="327"/>
      <c r="V200" s="595" t="str">
        <f>'refer admin discharge'!H201</f>
        <v>00/00/0000</v>
      </c>
      <c r="W200" s="327"/>
      <c r="X200" s="596"/>
      <c r="Y200" s="327"/>
      <c r="Z200" s="597"/>
      <c r="AA200" s="327"/>
      <c r="AB200" s="596"/>
      <c r="AC200" s="327"/>
      <c r="AD200" s="577"/>
      <c r="AE200" s="327"/>
      <c r="AF200" s="596"/>
      <c r="AG200" s="327"/>
      <c r="AH200" s="577"/>
      <c r="AI200" s="327"/>
      <c r="AJ200" s="596"/>
      <c r="AK200" s="327"/>
      <c r="AL200" s="598"/>
      <c r="AM200" s="326"/>
      <c r="AN200" s="326"/>
      <c r="AO200" s="326"/>
      <c r="AP200" s="326"/>
      <c r="AQ200" s="326"/>
      <c r="AR200" s="326"/>
      <c r="AS200" s="326"/>
      <c r="AT200" s="326"/>
      <c r="AU200" s="326"/>
      <c r="AV200" s="326"/>
      <c r="AW200" s="326"/>
      <c r="AX200" s="326"/>
      <c r="AY200" s="326"/>
      <c r="AZ200" s="326"/>
      <c r="BA200" s="326"/>
      <c r="BB200" s="327"/>
    </row>
    <row r="201" spans="1:54" ht="15.75" customHeight="1" x14ac:dyDescent="0.25">
      <c r="A201" s="11">
        <f t="shared" si="0"/>
        <v>188</v>
      </c>
      <c r="B201" s="504" t="str">
        <f>'refer admin discharge'!B198</f>
        <v>x</v>
      </c>
      <c r="C201" s="327"/>
      <c r="D201" s="505" t="str">
        <f>'refer admin discharge'!D198</f>
        <v>xx</v>
      </c>
      <c r="E201" s="327"/>
      <c r="F201" s="606" t="str">
        <f>'refer admin discharge'!H198</f>
        <v>00/00/0000</v>
      </c>
      <c r="G201" s="327"/>
      <c r="H201" s="594"/>
      <c r="I201" s="327"/>
      <c r="J201" s="605"/>
      <c r="K201" s="327"/>
      <c r="L201" s="594"/>
      <c r="M201" s="327"/>
      <c r="N201" s="575"/>
      <c r="O201" s="327"/>
      <c r="P201" s="594"/>
      <c r="Q201" s="327"/>
      <c r="R201" s="575"/>
      <c r="S201" s="327"/>
      <c r="T201" s="594"/>
      <c r="U201" s="327"/>
      <c r="V201" s="595" t="str">
        <f>'refer admin discharge'!H202</f>
        <v>00/00/0000</v>
      </c>
      <c r="W201" s="327"/>
      <c r="X201" s="577"/>
      <c r="Y201" s="327"/>
      <c r="Z201" s="604"/>
      <c r="AA201" s="327"/>
      <c r="AB201" s="577"/>
      <c r="AC201" s="327"/>
      <c r="AD201" s="576"/>
      <c r="AE201" s="327"/>
      <c r="AF201" s="577"/>
      <c r="AG201" s="327"/>
      <c r="AH201" s="576"/>
      <c r="AI201" s="327"/>
      <c r="AJ201" s="577"/>
      <c r="AK201" s="327"/>
      <c r="AL201" s="602"/>
      <c r="AM201" s="326"/>
      <c r="AN201" s="326"/>
      <c r="AO201" s="326"/>
      <c r="AP201" s="326"/>
      <c r="AQ201" s="326"/>
      <c r="AR201" s="326"/>
      <c r="AS201" s="326"/>
      <c r="AT201" s="326"/>
      <c r="AU201" s="326"/>
      <c r="AV201" s="326"/>
      <c r="AW201" s="326"/>
      <c r="AX201" s="326"/>
      <c r="AY201" s="326"/>
      <c r="AZ201" s="326"/>
      <c r="BA201" s="326"/>
      <c r="BB201" s="327"/>
    </row>
    <row r="202" spans="1:54" ht="15.75" customHeight="1" x14ac:dyDescent="0.25">
      <c r="A202" s="11">
        <f t="shared" si="0"/>
        <v>189</v>
      </c>
      <c r="B202" s="570" t="str">
        <f>'refer admin discharge'!B199</f>
        <v>x</v>
      </c>
      <c r="C202" s="327"/>
      <c r="D202" s="599" t="str">
        <f>'refer admin discharge'!D199</f>
        <v>xx</v>
      </c>
      <c r="E202" s="327"/>
      <c r="F202" s="600" t="str">
        <f>'refer admin discharge'!H199</f>
        <v>00/00/0000</v>
      </c>
      <c r="G202" s="327"/>
      <c r="H202" s="574"/>
      <c r="I202" s="327"/>
      <c r="J202" s="601"/>
      <c r="K202" s="327"/>
      <c r="L202" s="574"/>
      <c r="M202" s="327"/>
      <c r="N202" s="594"/>
      <c r="O202" s="327"/>
      <c r="P202" s="574"/>
      <c r="Q202" s="327"/>
      <c r="R202" s="594"/>
      <c r="S202" s="327"/>
      <c r="T202" s="574"/>
      <c r="U202" s="327"/>
      <c r="V202" s="595" t="str">
        <f>'refer admin discharge'!H203</f>
        <v>00/00/0000</v>
      </c>
      <c r="W202" s="327"/>
      <c r="X202" s="596"/>
      <c r="Y202" s="327"/>
      <c r="Z202" s="597"/>
      <c r="AA202" s="327"/>
      <c r="AB202" s="596"/>
      <c r="AC202" s="327"/>
      <c r="AD202" s="577"/>
      <c r="AE202" s="327"/>
      <c r="AF202" s="596"/>
      <c r="AG202" s="327"/>
      <c r="AH202" s="577"/>
      <c r="AI202" s="327"/>
      <c r="AJ202" s="596"/>
      <c r="AK202" s="327"/>
      <c r="AL202" s="598"/>
      <c r="AM202" s="326"/>
      <c r="AN202" s="326"/>
      <c r="AO202" s="326"/>
      <c r="AP202" s="326"/>
      <c r="AQ202" s="326"/>
      <c r="AR202" s="326"/>
      <c r="AS202" s="326"/>
      <c r="AT202" s="326"/>
      <c r="AU202" s="326"/>
      <c r="AV202" s="326"/>
      <c r="AW202" s="326"/>
      <c r="AX202" s="326"/>
      <c r="AY202" s="326"/>
      <c r="AZ202" s="326"/>
      <c r="BA202" s="326"/>
      <c r="BB202" s="327"/>
    </row>
    <row r="203" spans="1:54" ht="15.75" customHeight="1" x14ac:dyDescent="0.25">
      <c r="A203" s="11">
        <f t="shared" si="0"/>
        <v>190</v>
      </c>
      <c r="B203" s="504" t="str">
        <f>'refer admin discharge'!B200</f>
        <v>x</v>
      </c>
      <c r="C203" s="327"/>
      <c r="D203" s="505" t="str">
        <f>'refer admin discharge'!D200</f>
        <v>xx</v>
      </c>
      <c r="E203" s="327"/>
      <c r="F203" s="606" t="str">
        <f>'refer admin discharge'!H200</f>
        <v>00/00/0000</v>
      </c>
      <c r="G203" s="327"/>
      <c r="H203" s="594"/>
      <c r="I203" s="327"/>
      <c r="J203" s="605"/>
      <c r="K203" s="327"/>
      <c r="L203" s="594"/>
      <c r="M203" s="327"/>
      <c r="N203" s="575"/>
      <c r="O203" s="327"/>
      <c r="P203" s="594"/>
      <c r="Q203" s="327"/>
      <c r="R203" s="575"/>
      <c r="S203" s="327"/>
      <c r="T203" s="594"/>
      <c r="U203" s="327"/>
      <c r="V203" s="595" t="str">
        <f>'refer admin discharge'!H204</f>
        <v>00/00/0000</v>
      </c>
      <c r="W203" s="327"/>
      <c r="X203" s="577"/>
      <c r="Y203" s="327"/>
      <c r="Z203" s="604"/>
      <c r="AA203" s="327"/>
      <c r="AB203" s="577"/>
      <c r="AC203" s="327"/>
      <c r="AD203" s="576"/>
      <c r="AE203" s="327"/>
      <c r="AF203" s="577"/>
      <c r="AG203" s="327"/>
      <c r="AH203" s="576"/>
      <c r="AI203" s="327"/>
      <c r="AJ203" s="577"/>
      <c r="AK203" s="327"/>
      <c r="AL203" s="602"/>
      <c r="AM203" s="326"/>
      <c r="AN203" s="326"/>
      <c r="AO203" s="326"/>
      <c r="AP203" s="326"/>
      <c r="AQ203" s="326"/>
      <c r="AR203" s="326"/>
      <c r="AS203" s="326"/>
      <c r="AT203" s="326"/>
      <c r="AU203" s="326"/>
      <c r="AV203" s="326"/>
      <c r="AW203" s="326"/>
      <c r="AX203" s="326"/>
      <c r="AY203" s="326"/>
      <c r="AZ203" s="326"/>
      <c r="BA203" s="326"/>
      <c r="BB203" s="327"/>
    </row>
    <row r="204" spans="1:54" ht="15.75" customHeight="1" x14ac:dyDescent="0.25">
      <c r="A204" s="11">
        <f t="shared" si="0"/>
        <v>191</v>
      </c>
      <c r="B204" s="570" t="str">
        <f>'refer admin discharge'!B201</f>
        <v>x</v>
      </c>
      <c r="C204" s="327"/>
      <c r="D204" s="599" t="str">
        <f>'refer admin discharge'!D201</f>
        <v>xx</v>
      </c>
      <c r="E204" s="327"/>
      <c r="F204" s="600" t="str">
        <f>'refer admin discharge'!H201</f>
        <v>00/00/0000</v>
      </c>
      <c r="G204" s="327"/>
      <c r="H204" s="574"/>
      <c r="I204" s="327"/>
      <c r="J204" s="601"/>
      <c r="K204" s="327"/>
      <c r="L204" s="574"/>
      <c r="M204" s="327"/>
      <c r="N204" s="594"/>
      <c r="O204" s="327"/>
      <c r="P204" s="574"/>
      <c r="Q204" s="327"/>
      <c r="R204" s="594"/>
      <c r="S204" s="327"/>
      <c r="T204" s="574"/>
      <c r="U204" s="327"/>
      <c r="V204" s="595" t="str">
        <f>'refer admin discharge'!H205</f>
        <v>00/00/0000</v>
      </c>
      <c r="W204" s="327"/>
      <c r="X204" s="596"/>
      <c r="Y204" s="327"/>
      <c r="Z204" s="597"/>
      <c r="AA204" s="327"/>
      <c r="AB204" s="596"/>
      <c r="AC204" s="327"/>
      <c r="AD204" s="577"/>
      <c r="AE204" s="327"/>
      <c r="AF204" s="596"/>
      <c r="AG204" s="327"/>
      <c r="AH204" s="577"/>
      <c r="AI204" s="327"/>
      <c r="AJ204" s="596"/>
      <c r="AK204" s="327"/>
      <c r="AL204" s="598"/>
      <c r="AM204" s="326"/>
      <c r="AN204" s="326"/>
      <c r="AO204" s="326"/>
      <c r="AP204" s="326"/>
      <c r="AQ204" s="326"/>
      <c r="AR204" s="326"/>
      <c r="AS204" s="326"/>
      <c r="AT204" s="326"/>
      <c r="AU204" s="326"/>
      <c r="AV204" s="326"/>
      <c r="AW204" s="326"/>
      <c r="AX204" s="326"/>
      <c r="AY204" s="326"/>
      <c r="AZ204" s="326"/>
      <c r="BA204" s="326"/>
      <c r="BB204" s="327"/>
    </row>
    <row r="205" spans="1:54" ht="15.75" customHeight="1" x14ac:dyDescent="0.25">
      <c r="A205" s="11">
        <f t="shared" si="0"/>
        <v>192</v>
      </c>
      <c r="B205" s="504" t="str">
        <f>'refer admin discharge'!B202</f>
        <v>x</v>
      </c>
      <c r="C205" s="327"/>
      <c r="D205" s="505" t="str">
        <f>'refer admin discharge'!D202</f>
        <v>xx</v>
      </c>
      <c r="E205" s="327"/>
      <c r="F205" s="606" t="str">
        <f>'refer admin discharge'!H202</f>
        <v>00/00/0000</v>
      </c>
      <c r="G205" s="327"/>
      <c r="H205" s="594"/>
      <c r="I205" s="327"/>
      <c r="J205" s="605"/>
      <c r="K205" s="327"/>
      <c r="L205" s="594"/>
      <c r="M205" s="327"/>
      <c r="N205" s="575"/>
      <c r="O205" s="327"/>
      <c r="P205" s="594"/>
      <c r="Q205" s="327"/>
      <c r="R205" s="575"/>
      <c r="S205" s="327"/>
      <c r="T205" s="594"/>
      <c r="U205" s="327"/>
      <c r="V205" s="595" t="str">
        <f>'refer admin discharge'!H206</f>
        <v>00/00/0000</v>
      </c>
      <c r="W205" s="327"/>
      <c r="X205" s="577"/>
      <c r="Y205" s="327"/>
      <c r="Z205" s="604"/>
      <c r="AA205" s="327"/>
      <c r="AB205" s="577"/>
      <c r="AC205" s="327"/>
      <c r="AD205" s="576"/>
      <c r="AE205" s="327"/>
      <c r="AF205" s="577"/>
      <c r="AG205" s="327"/>
      <c r="AH205" s="576"/>
      <c r="AI205" s="327"/>
      <c r="AJ205" s="577"/>
      <c r="AK205" s="327"/>
      <c r="AL205" s="602"/>
      <c r="AM205" s="326"/>
      <c r="AN205" s="326"/>
      <c r="AO205" s="326"/>
      <c r="AP205" s="326"/>
      <c r="AQ205" s="326"/>
      <c r="AR205" s="326"/>
      <c r="AS205" s="326"/>
      <c r="AT205" s="326"/>
      <c r="AU205" s="326"/>
      <c r="AV205" s="326"/>
      <c r="AW205" s="326"/>
      <c r="AX205" s="326"/>
      <c r="AY205" s="326"/>
      <c r="AZ205" s="326"/>
      <c r="BA205" s="326"/>
      <c r="BB205" s="327"/>
    </row>
    <row r="206" spans="1:54" ht="15.75" customHeight="1" x14ac:dyDescent="0.25">
      <c r="A206" s="11">
        <f t="shared" si="0"/>
        <v>193</v>
      </c>
      <c r="B206" s="570" t="str">
        <f>'refer admin discharge'!B203</f>
        <v>x</v>
      </c>
      <c r="C206" s="327"/>
      <c r="D206" s="599" t="str">
        <f>'refer admin discharge'!D203</f>
        <v>xx</v>
      </c>
      <c r="E206" s="327"/>
      <c r="F206" s="600" t="str">
        <f>'refer admin discharge'!H203</f>
        <v>00/00/0000</v>
      </c>
      <c r="G206" s="327"/>
      <c r="H206" s="574"/>
      <c r="I206" s="327"/>
      <c r="J206" s="601"/>
      <c r="K206" s="327"/>
      <c r="L206" s="574"/>
      <c r="M206" s="327"/>
      <c r="N206" s="594"/>
      <c r="O206" s="327"/>
      <c r="P206" s="574"/>
      <c r="Q206" s="327"/>
      <c r="R206" s="594"/>
      <c r="S206" s="327"/>
      <c r="T206" s="574"/>
      <c r="U206" s="327"/>
      <c r="V206" s="595" t="str">
        <f>'refer admin discharge'!H207</f>
        <v>00/00/0000</v>
      </c>
      <c r="W206" s="327"/>
      <c r="X206" s="596"/>
      <c r="Y206" s="327"/>
      <c r="Z206" s="597"/>
      <c r="AA206" s="327"/>
      <c r="AB206" s="596"/>
      <c r="AC206" s="327"/>
      <c r="AD206" s="577"/>
      <c r="AE206" s="327"/>
      <c r="AF206" s="596"/>
      <c r="AG206" s="327"/>
      <c r="AH206" s="577"/>
      <c r="AI206" s="327"/>
      <c r="AJ206" s="596"/>
      <c r="AK206" s="327"/>
      <c r="AL206" s="598"/>
      <c r="AM206" s="326"/>
      <c r="AN206" s="326"/>
      <c r="AO206" s="326"/>
      <c r="AP206" s="326"/>
      <c r="AQ206" s="326"/>
      <c r="AR206" s="326"/>
      <c r="AS206" s="326"/>
      <c r="AT206" s="326"/>
      <c r="AU206" s="326"/>
      <c r="AV206" s="326"/>
      <c r="AW206" s="326"/>
      <c r="AX206" s="326"/>
      <c r="AY206" s="326"/>
      <c r="AZ206" s="326"/>
      <c r="BA206" s="326"/>
      <c r="BB206" s="327"/>
    </row>
    <row r="207" spans="1:54" ht="15.75" customHeight="1" x14ac:dyDescent="0.25">
      <c r="A207" s="11">
        <f t="shared" si="0"/>
        <v>194</v>
      </c>
      <c r="B207" s="504" t="str">
        <f>'refer admin discharge'!B204</f>
        <v>x</v>
      </c>
      <c r="C207" s="327"/>
      <c r="D207" s="505" t="str">
        <f>'refer admin discharge'!D204</f>
        <v>xx</v>
      </c>
      <c r="E207" s="327"/>
      <c r="F207" s="606" t="str">
        <f>'refer admin discharge'!H204</f>
        <v>00/00/0000</v>
      </c>
      <c r="G207" s="327"/>
      <c r="H207" s="594"/>
      <c r="I207" s="327"/>
      <c r="J207" s="605"/>
      <c r="K207" s="327"/>
      <c r="L207" s="594"/>
      <c r="M207" s="327"/>
      <c r="N207" s="575"/>
      <c r="O207" s="327"/>
      <c r="P207" s="594"/>
      <c r="Q207" s="327"/>
      <c r="R207" s="575"/>
      <c r="S207" s="327"/>
      <c r="T207" s="594"/>
      <c r="U207" s="327"/>
      <c r="V207" s="595" t="str">
        <f>'refer admin discharge'!H208</f>
        <v>00/00/0000</v>
      </c>
      <c r="W207" s="327"/>
      <c r="X207" s="577"/>
      <c r="Y207" s="327"/>
      <c r="Z207" s="604"/>
      <c r="AA207" s="327"/>
      <c r="AB207" s="577"/>
      <c r="AC207" s="327"/>
      <c r="AD207" s="576"/>
      <c r="AE207" s="327"/>
      <c r="AF207" s="577"/>
      <c r="AG207" s="327"/>
      <c r="AH207" s="576"/>
      <c r="AI207" s="327"/>
      <c r="AJ207" s="577"/>
      <c r="AK207" s="327"/>
      <c r="AL207" s="602"/>
      <c r="AM207" s="326"/>
      <c r="AN207" s="326"/>
      <c r="AO207" s="326"/>
      <c r="AP207" s="326"/>
      <c r="AQ207" s="326"/>
      <c r="AR207" s="326"/>
      <c r="AS207" s="326"/>
      <c r="AT207" s="326"/>
      <c r="AU207" s="326"/>
      <c r="AV207" s="326"/>
      <c r="AW207" s="326"/>
      <c r="AX207" s="326"/>
      <c r="AY207" s="326"/>
      <c r="AZ207" s="326"/>
      <c r="BA207" s="326"/>
      <c r="BB207" s="327"/>
    </row>
    <row r="208" spans="1:54" ht="15.75" customHeight="1" x14ac:dyDescent="0.25">
      <c r="A208" s="11">
        <f t="shared" si="0"/>
        <v>195</v>
      </c>
      <c r="B208" s="570" t="str">
        <f>'refer admin discharge'!B205</f>
        <v>x</v>
      </c>
      <c r="C208" s="327"/>
      <c r="D208" s="599" t="str">
        <f>'refer admin discharge'!D205</f>
        <v>xx</v>
      </c>
      <c r="E208" s="327"/>
      <c r="F208" s="600" t="str">
        <f>'refer admin discharge'!H205</f>
        <v>00/00/0000</v>
      </c>
      <c r="G208" s="327"/>
      <c r="H208" s="574"/>
      <c r="I208" s="327"/>
      <c r="J208" s="601"/>
      <c r="K208" s="327"/>
      <c r="L208" s="574"/>
      <c r="M208" s="327"/>
      <c r="N208" s="594"/>
      <c r="O208" s="327"/>
      <c r="P208" s="574"/>
      <c r="Q208" s="327"/>
      <c r="R208" s="594"/>
      <c r="S208" s="327"/>
      <c r="T208" s="574"/>
      <c r="U208" s="327"/>
      <c r="V208" s="595" t="str">
        <f>'refer admin discharge'!H209</f>
        <v>00/00/0000</v>
      </c>
      <c r="W208" s="327"/>
      <c r="X208" s="596"/>
      <c r="Y208" s="327"/>
      <c r="Z208" s="597"/>
      <c r="AA208" s="327"/>
      <c r="AB208" s="596"/>
      <c r="AC208" s="327"/>
      <c r="AD208" s="577"/>
      <c r="AE208" s="327"/>
      <c r="AF208" s="596"/>
      <c r="AG208" s="327"/>
      <c r="AH208" s="577"/>
      <c r="AI208" s="327"/>
      <c r="AJ208" s="596"/>
      <c r="AK208" s="327"/>
      <c r="AL208" s="598"/>
      <c r="AM208" s="326"/>
      <c r="AN208" s="326"/>
      <c r="AO208" s="326"/>
      <c r="AP208" s="326"/>
      <c r="AQ208" s="326"/>
      <c r="AR208" s="326"/>
      <c r="AS208" s="326"/>
      <c r="AT208" s="326"/>
      <c r="AU208" s="326"/>
      <c r="AV208" s="326"/>
      <c r="AW208" s="326"/>
      <c r="AX208" s="326"/>
      <c r="AY208" s="326"/>
      <c r="AZ208" s="326"/>
      <c r="BA208" s="326"/>
      <c r="BB208" s="327"/>
    </row>
    <row r="209" spans="1:54" ht="15.75" customHeight="1" x14ac:dyDescent="0.25">
      <c r="A209" s="11">
        <f t="shared" si="0"/>
        <v>196</v>
      </c>
      <c r="B209" s="504" t="str">
        <f>'refer admin discharge'!B206</f>
        <v>x</v>
      </c>
      <c r="C209" s="327"/>
      <c r="D209" s="505" t="str">
        <f>'refer admin discharge'!D206</f>
        <v>xx</v>
      </c>
      <c r="E209" s="327"/>
      <c r="F209" s="606" t="str">
        <f>'refer admin discharge'!H206</f>
        <v>00/00/0000</v>
      </c>
      <c r="G209" s="327"/>
      <c r="H209" s="594"/>
      <c r="I209" s="327"/>
      <c r="J209" s="605"/>
      <c r="K209" s="327"/>
      <c r="L209" s="594"/>
      <c r="M209" s="327"/>
      <c r="N209" s="575"/>
      <c r="O209" s="327"/>
      <c r="P209" s="594"/>
      <c r="Q209" s="327"/>
      <c r="R209" s="575"/>
      <c r="S209" s="327"/>
      <c r="T209" s="594"/>
      <c r="U209" s="327"/>
      <c r="V209" s="595" t="str">
        <f>'refer admin discharge'!H210</f>
        <v>00/00/0000</v>
      </c>
      <c r="W209" s="327"/>
      <c r="X209" s="577"/>
      <c r="Y209" s="327"/>
      <c r="Z209" s="604"/>
      <c r="AA209" s="327"/>
      <c r="AB209" s="577"/>
      <c r="AC209" s="327"/>
      <c r="AD209" s="576"/>
      <c r="AE209" s="327"/>
      <c r="AF209" s="577"/>
      <c r="AG209" s="327"/>
      <c r="AH209" s="576"/>
      <c r="AI209" s="327"/>
      <c r="AJ209" s="577"/>
      <c r="AK209" s="327"/>
      <c r="AL209" s="602"/>
      <c r="AM209" s="326"/>
      <c r="AN209" s="326"/>
      <c r="AO209" s="326"/>
      <c r="AP209" s="326"/>
      <c r="AQ209" s="326"/>
      <c r="AR209" s="326"/>
      <c r="AS209" s="326"/>
      <c r="AT209" s="326"/>
      <c r="AU209" s="326"/>
      <c r="AV209" s="326"/>
      <c r="AW209" s="326"/>
      <c r="AX209" s="326"/>
      <c r="AY209" s="326"/>
      <c r="AZ209" s="326"/>
      <c r="BA209" s="326"/>
      <c r="BB209" s="327"/>
    </row>
    <row r="210" spans="1:54" ht="15.75" customHeight="1" x14ac:dyDescent="0.25">
      <c r="A210" s="11">
        <f t="shared" si="0"/>
        <v>197</v>
      </c>
      <c r="B210" s="570" t="str">
        <f>'refer admin discharge'!B207</f>
        <v>x</v>
      </c>
      <c r="C210" s="327"/>
      <c r="D210" s="599" t="str">
        <f>'refer admin discharge'!D207</f>
        <v>xx</v>
      </c>
      <c r="E210" s="327"/>
      <c r="F210" s="600" t="str">
        <f>'refer admin discharge'!H207</f>
        <v>00/00/0000</v>
      </c>
      <c r="G210" s="327"/>
      <c r="H210" s="574"/>
      <c r="I210" s="327"/>
      <c r="J210" s="601"/>
      <c r="K210" s="327"/>
      <c r="L210" s="574"/>
      <c r="M210" s="327"/>
      <c r="N210" s="594"/>
      <c r="O210" s="327"/>
      <c r="P210" s="574"/>
      <c r="Q210" s="327"/>
      <c r="R210" s="594"/>
      <c r="S210" s="327"/>
      <c r="T210" s="574"/>
      <c r="U210" s="327"/>
      <c r="V210" s="595" t="str">
        <f>'refer admin discharge'!H211</f>
        <v>00/00/0000</v>
      </c>
      <c r="W210" s="327"/>
      <c r="X210" s="596"/>
      <c r="Y210" s="327"/>
      <c r="Z210" s="597"/>
      <c r="AA210" s="327"/>
      <c r="AB210" s="596"/>
      <c r="AC210" s="327"/>
      <c r="AD210" s="577"/>
      <c r="AE210" s="327"/>
      <c r="AF210" s="596"/>
      <c r="AG210" s="327"/>
      <c r="AH210" s="577"/>
      <c r="AI210" s="327"/>
      <c r="AJ210" s="596"/>
      <c r="AK210" s="327"/>
      <c r="AL210" s="598"/>
      <c r="AM210" s="326"/>
      <c r="AN210" s="326"/>
      <c r="AO210" s="326"/>
      <c r="AP210" s="326"/>
      <c r="AQ210" s="326"/>
      <c r="AR210" s="326"/>
      <c r="AS210" s="326"/>
      <c r="AT210" s="326"/>
      <c r="AU210" s="326"/>
      <c r="AV210" s="326"/>
      <c r="AW210" s="326"/>
      <c r="AX210" s="326"/>
      <c r="AY210" s="326"/>
      <c r="AZ210" s="326"/>
      <c r="BA210" s="326"/>
      <c r="BB210" s="327"/>
    </row>
    <row r="211" spans="1:54" ht="15.75" customHeight="1" x14ac:dyDescent="0.25">
      <c r="A211" s="11">
        <f t="shared" si="0"/>
        <v>198</v>
      </c>
      <c r="B211" s="504" t="str">
        <f>'refer admin discharge'!B208</f>
        <v>x</v>
      </c>
      <c r="C211" s="327"/>
      <c r="D211" s="505" t="str">
        <f>'refer admin discharge'!D208</f>
        <v>xx</v>
      </c>
      <c r="E211" s="327"/>
      <c r="F211" s="606" t="str">
        <f>'refer admin discharge'!H208</f>
        <v>00/00/0000</v>
      </c>
      <c r="G211" s="327"/>
      <c r="H211" s="594"/>
      <c r="I211" s="327"/>
      <c r="J211" s="605"/>
      <c r="K211" s="327"/>
      <c r="L211" s="594"/>
      <c r="M211" s="327"/>
      <c r="N211" s="575"/>
      <c r="O211" s="327"/>
      <c r="P211" s="594"/>
      <c r="Q211" s="327"/>
      <c r="R211" s="575"/>
      <c r="S211" s="327"/>
      <c r="T211" s="594"/>
      <c r="U211" s="327"/>
      <c r="V211" s="595" t="str">
        <f>'refer admin discharge'!H212</f>
        <v>00/00/0000</v>
      </c>
      <c r="W211" s="327"/>
      <c r="X211" s="577"/>
      <c r="Y211" s="327"/>
      <c r="Z211" s="604"/>
      <c r="AA211" s="327"/>
      <c r="AB211" s="577"/>
      <c r="AC211" s="327"/>
      <c r="AD211" s="576"/>
      <c r="AE211" s="327"/>
      <c r="AF211" s="577"/>
      <c r="AG211" s="327"/>
      <c r="AH211" s="576"/>
      <c r="AI211" s="327"/>
      <c r="AJ211" s="577"/>
      <c r="AK211" s="327"/>
      <c r="AL211" s="602"/>
      <c r="AM211" s="326"/>
      <c r="AN211" s="326"/>
      <c r="AO211" s="326"/>
      <c r="AP211" s="326"/>
      <c r="AQ211" s="326"/>
      <c r="AR211" s="326"/>
      <c r="AS211" s="326"/>
      <c r="AT211" s="326"/>
      <c r="AU211" s="326"/>
      <c r="AV211" s="326"/>
      <c r="AW211" s="326"/>
      <c r="AX211" s="326"/>
      <c r="AY211" s="326"/>
      <c r="AZ211" s="326"/>
      <c r="BA211" s="326"/>
      <c r="BB211" s="327"/>
    </row>
    <row r="212" spans="1:54" ht="15.75" customHeight="1" x14ac:dyDescent="0.25">
      <c r="A212" s="11">
        <f t="shared" si="0"/>
        <v>199</v>
      </c>
      <c r="B212" s="570" t="str">
        <f>'refer admin discharge'!B209</f>
        <v>x</v>
      </c>
      <c r="C212" s="327"/>
      <c r="D212" s="599" t="str">
        <f>'refer admin discharge'!D209</f>
        <v>xx</v>
      </c>
      <c r="E212" s="327"/>
      <c r="F212" s="600" t="str">
        <f>'refer admin discharge'!H209</f>
        <v>00/00/0000</v>
      </c>
      <c r="G212" s="327"/>
      <c r="H212" s="574"/>
      <c r="I212" s="327"/>
      <c r="J212" s="601"/>
      <c r="K212" s="327"/>
      <c r="L212" s="574"/>
      <c r="M212" s="327"/>
      <c r="N212" s="594"/>
      <c r="O212" s="327"/>
      <c r="P212" s="574"/>
      <c r="Q212" s="327"/>
      <c r="R212" s="594"/>
      <c r="S212" s="327"/>
      <c r="T212" s="574"/>
      <c r="U212" s="327"/>
      <c r="V212" s="595" t="str">
        <f>'refer admin discharge'!H213</f>
        <v>00/00/0000</v>
      </c>
      <c r="W212" s="327"/>
      <c r="X212" s="596"/>
      <c r="Y212" s="327"/>
      <c r="Z212" s="597"/>
      <c r="AA212" s="327"/>
      <c r="AB212" s="596"/>
      <c r="AC212" s="327"/>
      <c r="AD212" s="577"/>
      <c r="AE212" s="327"/>
      <c r="AF212" s="596"/>
      <c r="AG212" s="327"/>
      <c r="AH212" s="577"/>
      <c r="AI212" s="327"/>
      <c r="AJ212" s="596"/>
      <c r="AK212" s="327"/>
      <c r="AL212" s="598"/>
      <c r="AM212" s="326"/>
      <c r="AN212" s="326"/>
      <c r="AO212" s="326"/>
      <c r="AP212" s="326"/>
      <c r="AQ212" s="326"/>
      <c r="AR212" s="326"/>
      <c r="AS212" s="326"/>
      <c r="AT212" s="326"/>
      <c r="AU212" s="326"/>
      <c r="AV212" s="326"/>
      <c r="AW212" s="326"/>
      <c r="AX212" s="326"/>
      <c r="AY212" s="326"/>
      <c r="AZ212" s="326"/>
      <c r="BA212" s="326"/>
      <c r="BB212" s="327"/>
    </row>
    <row r="213" spans="1:54" ht="15.75" customHeight="1" x14ac:dyDescent="0.25">
      <c r="A213" s="11">
        <f t="shared" si="0"/>
        <v>200</v>
      </c>
      <c r="B213" s="504" t="str">
        <f>'refer admin discharge'!B210</f>
        <v>x</v>
      </c>
      <c r="C213" s="327"/>
      <c r="D213" s="505" t="str">
        <f>'refer admin discharge'!D210</f>
        <v>xx</v>
      </c>
      <c r="E213" s="327"/>
      <c r="F213" s="606" t="str">
        <f>'refer admin discharge'!H210</f>
        <v>00/00/0000</v>
      </c>
      <c r="G213" s="327"/>
      <c r="H213" s="594"/>
      <c r="I213" s="327"/>
      <c r="J213" s="605"/>
      <c r="K213" s="327"/>
      <c r="L213" s="594"/>
      <c r="M213" s="327"/>
      <c r="N213" s="575"/>
      <c r="O213" s="327"/>
      <c r="P213" s="594"/>
      <c r="Q213" s="327"/>
      <c r="R213" s="575"/>
      <c r="S213" s="327"/>
      <c r="T213" s="594"/>
      <c r="U213" s="327"/>
      <c r="V213" s="595" t="str">
        <f>'refer admin discharge'!H214</f>
        <v>00/00/0000</v>
      </c>
      <c r="W213" s="327"/>
      <c r="X213" s="577"/>
      <c r="Y213" s="327"/>
      <c r="Z213" s="604"/>
      <c r="AA213" s="327"/>
      <c r="AB213" s="577"/>
      <c r="AC213" s="327"/>
      <c r="AD213" s="576"/>
      <c r="AE213" s="327"/>
      <c r="AF213" s="577"/>
      <c r="AG213" s="327"/>
      <c r="AH213" s="576"/>
      <c r="AI213" s="327"/>
      <c r="AJ213" s="577"/>
      <c r="AK213" s="327"/>
      <c r="AL213" s="602"/>
      <c r="AM213" s="326"/>
      <c r="AN213" s="326"/>
      <c r="AO213" s="326"/>
      <c r="AP213" s="326"/>
      <c r="AQ213" s="326"/>
      <c r="AR213" s="326"/>
      <c r="AS213" s="326"/>
      <c r="AT213" s="326"/>
      <c r="AU213" s="326"/>
      <c r="AV213" s="326"/>
      <c r="AW213" s="326"/>
      <c r="AX213" s="326"/>
      <c r="AY213" s="326"/>
      <c r="AZ213" s="326"/>
      <c r="BA213" s="326"/>
      <c r="BB213" s="327"/>
    </row>
    <row r="214" spans="1:54" ht="15.75" customHeight="1" x14ac:dyDescent="0.25">
      <c r="A214" s="11">
        <f t="shared" si="0"/>
        <v>201</v>
      </c>
      <c r="B214" s="504" t="str">
        <f>'refer admin discharge'!B211</f>
        <v>x</v>
      </c>
      <c r="C214" s="327"/>
      <c r="D214" s="505" t="str">
        <f>'refer admin discharge'!D211</f>
        <v>xx</v>
      </c>
      <c r="E214" s="327"/>
      <c r="F214" s="606" t="str">
        <f>'refer admin discharge'!H211</f>
        <v>00/00/0000</v>
      </c>
      <c r="G214" s="327"/>
      <c r="H214" s="574"/>
      <c r="I214" s="327"/>
      <c r="J214" s="601"/>
      <c r="K214" s="327"/>
      <c r="L214" s="574"/>
      <c r="M214" s="327"/>
      <c r="N214" s="594"/>
      <c r="O214" s="327"/>
      <c r="P214" s="574"/>
      <c r="Q214" s="327"/>
      <c r="R214" s="594"/>
      <c r="S214" s="327"/>
      <c r="T214" s="574"/>
      <c r="U214" s="327"/>
      <c r="V214" s="595" t="str">
        <f>'refer admin discharge'!H215</f>
        <v>00/00/0000</v>
      </c>
      <c r="W214" s="327"/>
      <c r="X214" s="596"/>
      <c r="Y214" s="327"/>
      <c r="Z214" s="597"/>
      <c r="AA214" s="327"/>
      <c r="AB214" s="596"/>
      <c r="AC214" s="327"/>
      <c r="AD214" s="577"/>
      <c r="AE214" s="327"/>
      <c r="AF214" s="596"/>
      <c r="AG214" s="327"/>
      <c r="AH214" s="577"/>
      <c r="AI214" s="327"/>
      <c r="AJ214" s="596"/>
      <c r="AK214" s="327"/>
      <c r="AL214" s="598"/>
      <c r="AM214" s="326"/>
      <c r="AN214" s="326"/>
      <c r="AO214" s="326"/>
      <c r="AP214" s="326"/>
      <c r="AQ214" s="326"/>
      <c r="AR214" s="326"/>
      <c r="AS214" s="326"/>
      <c r="AT214" s="326"/>
      <c r="AU214" s="326"/>
      <c r="AV214" s="326"/>
      <c r="AW214" s="326"/>
      <c r="AX214" s="326"/>
      <c r="AY214" s="326"/>
      <c r="AZ214" s="326"/>
      <c r="BA214" s="326"/>
      <c r="BB214" s="327"/>
    </row>
    <row r="215" spans="1:54" ht="15.75" customHeight="1" x14ac:dyDescent="0.25">
      <c r="A215" s="11">
        <f t="shared" si="0"/>
        <v>202</v>
      </c>
      <c r="B215" s="504" t="str">
        <f>'refer admin discharge'!B211</f>
        <v>x</v>
      </c>
      <c r="C215" s="327"/>
      <c r="D215" s="505" t="str">
        <f>'refer admin discharge'!D211</f>
        <v>xx</v>
      </c>
      <c r="E215" s="327"/>
      <c r="F215" s="606" t="str">
        <f>'refer admin discharge'!H211</f>
        <v>00/00/0000</v>
      </c>
      <c r="G215" s="327"/>
      <c r="H215" s="594"/>
      <c r="I215" s="327"/>
      <c r="J215" s="605"/>
      <c r="K215" s="327"/>
      <c r="L215" s="594"/>
      <c r="M215" s="327"/>
      <c r="N215" s="575"/>
      <c r="O215" s="327"/>
      <c r="P215" s="594"/>
      <c r="Q215" s="327"/>
      <c r="R215" s="575"/>
      <c r="S215" s="327"/>
      <c r="T215" s="594"/>
      <c r="U215" s="327"/>
      <c r="V215" s="595" t="str">
        <f>'refer admin discharge'!H216</f>
        <v>00/00/0000</v>
      </c>
      <c r="W215" s="327"/>
      <c r="X215" s="577"/>
      <c r="Y215" s="327"/>
      <c r="Z215" s="604"/>
      <c r="AA215" s="327"/>
      <c r="AB215" s="577"/>
      <c r="AC215" s="327"/>
      <c r="AD215" s="576"/>
      <c r="AE215" s="327"/>
      <c r="AF215" s="577"/>
      <c r="AG215" s="327"/>
      <c r="AH215" s="576"/>
      <c r="AI215" s="327"/>
      <c r="AJ215" s="577"/>
      <c r="AK215" s="327"/>
      <c r="AL215" s="602"/>
      <c r="AM215" s="326"/>
      <c r="AN215" s="326"/>
      <c r="AO215" s="326"/>
      <c r="AP215" s="326"/>
      <c r="AQ215" s="326"/>
      <c r="AR215" s="326"/>
      <c r="AS215" s="326"/>
      <c r="AT215" s="326"/>
      <c r="AU215" s="326"/>
      <c r="AV215" s="326"/>
      <c r="AW215" s="326"/>
      <c r="AX215" s="326"/>
      <c r="AY215" s="326"/>
      <c r="AZ215" s="326"/>
      <c r="BA215" s="326"/>
      <c r="BB215" s="327"/>
    </row>
    <row r="216" spans="1:54" ht="15.75" customHeight="1" x14ac:dyDescent="0.25">
      <c r="A216" s="11">
        <f t="shared" si="0"/>
        <v>203</v>
      </c>
      <c r="B216" s="570" t="str">
        <f>'refer admin discharge'!B212</f>
        <v>x</v>
      </c>
      <c r="C216" s="327"/>
      <c r="D216" s="599" t="str">
        <f>'refer admin discharge'!D212</f>
        <v>xx</v>
      </c>
      <c r="E216" s="327"/>
      <c r="F216" s="600" t="str">
        <f>'refer admin discharge'!H212</f>
        <v>00/00/0000</v>
      </c>
      <c r="G216" s="327"/>
      <c r="H216" s="574"/>
      <c r="I216" s="327"/>
      <c r="J216" s="601"/>
      <c r="K216" s="327"/>
      <c r="L216" s="574"/>
      <c r="M216" s="327"/>
      <c r="N216" s="594"/>
      <c r="O216" s="327"/>
      <c r="P216" s="574"/>
      <c r="Q216" s="327"/>
      <c r="R216" s="594"/>
      <c r="S216" s="327"/>
      <c r="T216" s="574"/>
      <c r="U216" s="327"/>
      <c r="V216" s="595" t="str">
        <f>'refer admin discharge'!H217</f>
        <v>00/00/0000</v>
      </c>
      <c r="W216" s="327"/>
      <c r="X216" s="596"/>
      <c r="Y216" s="327"/>
      <c r="Z216" s="597"/>
      <c r="AA216" s="327"/>
      <c r="AB216" s="596"/>
      <c r="AC216" s="327"/>
      <c r="AD216" s="577"/>
      <c r="AE216" s="327"/>
      <c r="AF216" s="596"/>
      <c r="AG216" s="327"/>
      <c r="AH216" s="577"/>
      <c r="AI216" s="327"/>
      <c r="AJ216" s="596"/>
      <c r="AK216" s="327"/>
      <c r="AL216" s="598"/>
      <c r="AM216" s="326"/>
      <c r="AN216" s="326"/>
      <c r="AO216" s="326"/>
      <c r="AP216" s="326"/>
      <c r="AQ216" s="326"/>
      <c r="AR216" s="326"/>
      <c r="AS216" s="326"/>
      <c r="AT216" s="326"/>
      <c r="AU216" s="326"/>
      <c r="AV216" s="326"/>
      <c r="AW216" s="326"/>
      <c r="AX216" s="326"/>
      <c r="AY216" s="326"/>
      <c r="AZ216" s="326"/>
      <c r="BA216" s="326"/>
      <c r="BB216" s="327"/>
    </row>
    <row r="217" spans="1:54" ht="15.75" customHeight="1" x14ac:dyDescent="0.25">
      <c r="A217" s="11">
        <f t="shared" si="0"/>
        <v>204</v>
      </c>
      <c r="B217" s="504" t="str">
        <f>'refer admin discharge'!B213</f>
        <v>x</v>
      </c>
      <c r="C217" s="327"/>
      <c r="D217" s="505" t="str">
        <f>'refer admin discharge'!D213</f>
        <v>xx</v>
      </c>
      <c r="E217" s="327"/>
      <c r="F217" s="606" t="str">
        <f>'refer admin discharge'!H213</f>
        <v>00/00/0000</v>
      </c>
      <c r="G217" s="327"/>
      <c r="H217" s="594"/>
      <c r="I217" s="327"/>
      <c r="J217" s="605"/>
      <c r="K217" s="327"/>
      <c r="L217" s="594"/>
      <c r="M217" s="327"/>
      <c r="N217" s="575"/>
      <c r="O217" s="327"/>
      <c r="P217" s="594"/>
      <c r="Q217" s="327"/>
      <c r="R217" s="575"/>
      <c r="S217" s="327"/>
      <c r="T217" s="594"/>
      <c r="U217" s="327"/>
      <c r="V217" s="595" t="str">
        <f>'refer admin discharge'!H218</f>
        <v>00/00/0000</v>
      </c>
      <c r="W217" s="327"/>
      <c r="X217" s="577"/>
      <c r="Y217" s="327"/>
      <c r="Z217" s="604"/>
      <c r="AA217" s="327"/>
      <c r="AB217" s="577"/>
      <c r="AC217" s="327"/>
      <c r="AD217" s="576"/>
      <c r="AE217" s="327"/>
      <c r="AF217" s="577"/>
      <c r="AG217" s="327"/>
      <c r="AH217" s="576"/>
      <c r="AI217" s="327"/>
      <c r="AJ217" s="577"/>
      <c r="AK217" s="327"/>
      <c r="AL217" s="602"/>
      <c r="AM217" s="326"/>
      <c r="AN217" s="326"/>
      <c r="AO217" s="326"/>
      <c r="AP217" s="326"/>
      <c r="AQ217" s="326"/>
      <c r="AR217" s="326"/>
      <c r="AS217" s="326"/>
      <c r="AT217" s="326"/>
      <c r="AU217" s="326"/>
      <c r="AV217" s="326"/>
      <c r="AW217" s="326"/>
      <c r="AX217" s="326"/>
      <c r="AY217" s="326"/>
      <c r="AZ217" s="326"/>
      <c r="BA217" s="326"/>
      <c r="BB217" s="327"/>
    </row>
    <row r="218" spans="1:54" ht="15.75" customHeight="1" x14ac:dyDescent="0.25">
      <c r="A218" s="11">
        <f t="shared" si="0"/>
        <v>205</v>
      </c>
      <c r="B218" s="570" t="str">
        <f>'refer admin discharge'!B214</f>
        <v>x</v>
      </c>
      <c r="C218" s="327"/>
      <c r="D218" s="599" t="str">
        <f>'refer admin discharge'!D214</f>
        <v>xx</v>
      </c>
      <c r="E218" s="327"/>
      <c r="F218" s="600" t="str">
        <f>'refer admin discharge'!H214</f>
        <v>00/00/0000</v>
      </c>
      <c r="G218" s="327"/>
      <c r="H218" s="574"/>
      <c r="I218" s="327"/>
      <c r="J218" s="601"/>
      <c r="K218" s="327"/>
      <c r="L218" s="574"/>
      <c r="M218" s="327"/>
      <c r="N218" s="594"/>
      <c r="O218" s="327"/>
      <c r="P218" s="574"/>
      <c r="Q218" s="327"/>
      <c r="R218" s="594"/>
      <c r="S218" s="327"/>
      <c r="T218" s="574"/>
      <c r="U218" s="327"/>
      <c r="V218" s="595" t="str">
        <f>'refer admin discharge'!H219</f>
        <v>00/00/0000</v>
      </c>
      <c r="W218" s="327"/>
      <c r="X218" s="596"/>
      <c r="Y218" s="327"/>
      <c r="Z218" s="597"/>
      <c r="AA218" s="327"/>
      <c r="AB218" s="596"/>
      <c r="AC218" s="327"/>
      <c r="AD218" s="577"/>
      <c r="AE218" s="327"/>
      <c r="AF218" s="596"/>
      <c r="AG218" s="327"/>
      <c r="AH218" s="577"/>
      <c r="AI218" s="327"/>
      <c r="AJ218" s="596"/>
      <c r="AK218" s="327"/>
      <c r="AL218" s="598"/>
      <c r="AM218" s="326"/>
      <c r="AN218" s="326"/>
      <c r="AO218" s="326"/>
      <c r="AP218" s="326"/>
      <c r="AQ218" s="326"/>
      <c r="AR218" s="326"/>
      <c r="AS218" s="326"/>
      <c r="AT218" s="326"/>
      <c r="AU218" s="326"/>
      <c r="AV218" s="326"/>
      <c r="AW218" s="326"/>
      <c r="AX218" s="326"/>
      <c r="AY218" s="326"/>
      <c r="AZ218" s="326"/>
      <c r="BA218" s="326"/>
      <c r="BB218" s="327"/>
    </row>
    <row r="219" spans="1:54" ht="15.75" customHeight="1" x14ac:dyDescent="0.25">
      <c r="A219" s="11">
        <f t="shared" si="0"/>
        <v>206</v>
      </c>
      <c r="B219" s="504" t="str">
        <f>'refer admin discharge'!B215</f>
        <v>x</v>
      </c>
      <c r="C219" s="327"/>
      <c r="D219" s="505" t="str">
        <f>'refer admin discharge'!D215</f>
        <v>xx</v>
      </c>
      <c r="E219" s="327"/>
      <c r="F219" s="606" t="str">
        <f>'refer admin discharge'!H215</f>
        <v>00/00/0000</v>
      </c>
      <c r="G219" s="327"/>
      <c r="H219" s="594"/>
      <c r="I219" s="327"/>
      <c r="J219" s="605"/>
      <c r="K219" s="327"/>
      <c r="L219" s="594"/>
      <c r="M219" s="327"/>
      <c r="N219" s="575"/>
      <c r="O219" s="327"/>
      <c r="P219" s="594"/>
      <c r="Q219" s="327"/>
      <c r="R219" s="575"/>
      <c r="S219" s="327"/>
      <c r="T219" s="594"/>
      <c r="U219" s="327"/>
      <c r="V219" s="595" t="str">
        <f>'refer admin discharge'!H220</f>
        <v>00/00/0000</v>
      </c>
      <c r="W219" s="327"/>
      <c r="X219" s="577"/>
      <c r="Y219" s="327"/>
      <c r="Z219" s="604"/>
      <c r="AA219" s="327"/>
      <c r="AB219" s="577"/>
      <c r="AC219" s="327"/>
      <c r="AD219" s="576"/>
      <c r="AE219" s="327"/>
      <c r="AF219" s="577"/>
      <c r="AG219" s="327"/>
      <c r="AH219" s="576"/>
      <c r="AI219" s="327"/>
      <c r="AJ219" s="577"/>
      <c r="AK219" s="327"/>
      <c r="AL219" s="602"/>
      <c r="AM219" s="326"/>
      <c r="AN219" s="326"/>
      <c r="AO219" s="326"/>
      <c r="AP219" s="326"/>
      <c r="AQ219" s="326"/>
      <c r="AR219" s="326"/>
      <c r="AS219" s="326"/>
      <c r="AT219" s="326"/>
      <c r="AU219" s="326"/>
      <c r="AV219" s="326"/>
      <c r="AW219" s="326"/>
      <c r="AX219" s="326"/>
      <c r="AY219" s="326"/>
      <c r="AZ219" s="326"/>
      <c r="BA219" s="326"/>
      <c r="BB219" s="327"/>
    </row>
    <row r="220" spans="1:54" ht="15.75" customHeight="1" x14ac:dyDescent="0.25">
      <c r="A220" s="11">
        <f t="shared" si="0"/>
        <v>207</v>
      </c>
      <c r="B220" s="570" t="str">
        <f>'refer admin discharge'!B216</f>
        <v>x</v>
      </c>
      <c r="C220" s="327"/>
      <c r="D220" s="599" t="str">
        <f>'refer admin discharge'!D216</f>
        <v>xx</v>
      </c>
      <c r="E220" s="327"/>
      <c r="F220" s="600" t="str">
        <f>'refer admin discharge'!H216</f>
        <v>00/00/0000</v>
      </c>
      <c r="G220" s="327"/>
      <c r="H220" s="574"/>
      <c r="I220" s="327"/>
      <c r="J220" s="601"/>
      <c r="K220" s="327"/>
      <c r="L220" s="574"/>
      <c r="M220" s="327"/>
      <c r="N220" s="594"/>
      <c r="O220" s="327"/>
      <c r="P220" s="574"/>
      <c r="Q220" s="327"/>
      <c r="R220" s="594"/>
      <c r="S220" s="327"/>
      <c r="T220" s="574"/>
      <c r="U220" s="327"/>
      <c r="V220" s="595" t="str">
        <f>'refer admin discharge'!H221</f>
        <v>00/00/0000</v>
      </c>
      <c r="W220" s="327"/>
      <c r="X220" s="596"/>
      <c r="Y220" s="327"/>
      <c r="Z220" s="597"/>
      <c r="AA220" s="327"/>
      <c r="AB220" s="596"/>
      <c r="AC220" s="327"/>
      <c r="AD220" s="577"/>
      <c r="AE220" s="327"/>
      <c r="AF220" s="596"/>
      <c r="AG220" s="327"/>
      <c r="AH220" s="577"/>
      <c r="AI220" s="327"/>
      <c r="AJ220" s="596"/>
      <c r="AK220" s="327"/>
      <c r="AL220" s="598"/>
      <c r="AM220" s="326"/>
      <c r="AN220" s="326"/>
      <c r="AO220" s="326"/>
      <c r="AP220" s="326"/>
      <c r="AQ220" s="326"/>
      <c r="AR220" s="326"/>
      <c r="AS220" s="326"/>
      <c r="AT220" s="326"/>
      <c r="AU220" s="326"/>
      <c r="AV220" s="326"/>
      <c r="AW220" s="326"/>
      <c r="AX220" s="326"/>
      <c r="AY220" s="326"/>
      <c r="AZ220" s="326"/>
      <c r="BA220" s="326"/>
      <c r="BB220" s="327"/>
    </row>
    <row r="221" spans="1:54" ht="15.75" customHeight="1" x14ac:dyDescent="0.25">
      <c r="A221" s="11">
        <f t="shared" si="0"/>
        <v>208</v>
      </c>
      <c r="B221" s="504" t="str">
        <f>'refer admin discharge'!B217</f>
        <v>x</v>
      </c>
      <c r="C221" s="327"/>
      <c r="D221" s="505" t="str">
        <f>'refer admin discharge'!D217</f>
        <v>xx</v>
      </c>
      <c r="E221" s="327"/>
      <c r="F221" s="606" t="str">
        <f>'refer admin discharge'!H217</f>
        <v>00/00/0000</v>
      </c>
      <c r="G221" s="327"/>
      <c r="H221" s="594"/>
      <c r="I221" s="327"/>
      <c r="J221" s="605"/>
      <c r="K221" s="327"/>
      <c r="L221" s="594"/>
      <c r="M221" s="327"/>
      <c r="N221" s="575"/>
      <c r="O221" s="327"/>
      <c r="P221" s="594"/>
      <c r="Q221" s="327"/>
      <c r="R221" s="575"/>
      <c r="S221" s="327"/>
      <c r="T221" s="594"/>
      <c r="U221" s="327"/>
      <c r="V221" s="595" t="str">
        <f>'refer admin discharge'!H222</f>
        <v>00/00/0000</v>
      </c>
      <c r="W221" s="327"/>
      <c r="X221" s="577"/>
      <c r="Y221" s="327"/>
      <c r="Z221" s="604"/>
      <c r="AA221" s="327"/>
      <c r="AB221" s="577"/>
      <c r="AC221" s="327"/>
      <c r="AD221" s="576"/>
      <c r="AE221" s="327"/>
      <c r="AF221" s="577"/>
      <c r="AG221" s="327"/>
      <c r="AH221" s="576"/>
      <c r="AI221" s="327"/>
      <c r="AJ221" s="577"/>
      <c r="AK221" s="327"/>
      <c r="AL221" s="602"/>
      <c r="AM221" s="326"/>
      <c r="AN221" s="326"/>
      <c r="AO221" s="326"/>
      <c r="AP221" s="326"/>
      <c r="AQ221" s="326"/>
      <c r="AR221" s="326"/>
      <c r="AS221" s="326"/>
      <c r="AT221" s="326"/>
      <c r="AU221" s="326"/>
      <c r="AV221" s="326"/>
      <c r="AW221" s="326"/>
      <c r="AX221" s="326"/>
      <c r="AY221" s="326"/>
      <c r="AZ221" s="326"/>
      <c r="BA221" s="326"/>
      <c r="BB221" s="327"/>
    </row>
    <row r="222" spans="1:54" ht="15.75" customHeight="1" x14ac:dyDescent="0.25">
      <c r="A222" s="11">
        <f t="shared" si="0"/>
        <v>209</v>
      </c>
      <c r="B222" s="570" t="str">
        <f>'refer admin discharge'!B218</f>
        <v>x</v>
      </c>
      <c r="C222" s="327"/>
      <c r="D222" s="599" t="str">
        <f>'refer admin discharge'!D218</f>
        <v>xx</v>
      </c>
      <c r="E222" s="327"/>
      <c r="F222" s="600" t="str">
        <f>'refer admin discharge'!H218</f>
        <v>00/00/0000</v>
      </c>
      <c r="G222" s="327"/>
      <c r="H222" s="574"/>
      <c r="I222" s="327"/>
      <c r="J222" s="601"/>
      <c r="K222" s="327"/>
      <c r="L222" s="574"/>
      <c r="M222" s="327"/>
      <c r="N222" s="594"/>
      <c r="O222" s="327"/>
      <c r="P222" s="574"/>
      <c r="Q222" s="327"/>
      <c r="R222" s="594"/>
      <c r="S222" s="327"/>
      <c r="T222" s="574"/>
      <c r="U222" s="327"/>
      <c r="V222" s="595" t="str">
        <f>'refer admin discharge'!H223</f>
        <v>00/00/0000</v>
      </c>
      <c r="W222" s="327"/>
      <c r="X222" s="596"/>
      <c r="Y222" s="327"/>
      <c r="Z222" s="597"/>
      <c r="AA222" s="327"/>
      <c r="AB222" s="596"/>
      <c r="AC222" s="327"/>
      <c r="AD222" s="577"/>
      <c r="AE222" s="327"/>
      <c r="AF222" s="596"/>
      <c r="AG222" s="327"/>
      <c r="AH222" s="577"/>
      <c r="AI222" s="327"/>
      <c r="AJ222" s="596"/>
      <c r="AK222" s="327"/>
      <c r="AL222" s="598"/>
      <c r="AM222" s="326"/>
      <c r="AN222" s="326"/>
      <c r="AO222" s="326"/>
      <c r="AP222" s="326"/>
      <c r="AQ222" s="326"/>
      <c r="AR222" s="326"/>
      <c r="AS222" s="326"/>
      <c r="AT222" s="326"/>
      <c r="AU222" s="326"/>
      <c r="AV222" s="326"/>
      <c r="AW222" s="326"/>
      <c r="AX222" s="326"/>
      <c r="AY222" s="326"/>
      <c r="AZ222" s="326"/>
      <c r="BA222" s="326"/>
      <c r="BB222" s="327"/>
    </row>
    <row r="223" spans="1:54" ht="15.75" customHeight="1" x14ac:dyDescent="0.25">
      <c r="A223" s="11">
        <f t="shared" si="0"/>
        <v>210</v>
      </c>
      <c r="B223" s="504" t="str">
        <f>'refer admin discharge'!B219</f>
        <v>x</v>
      </c>
      <c r="C223" s="327"/>
      <c r="D223" s="505" t="str">
        <f>'refer admin discharge'!D219</f>
        <v>xx</v>
      </c>
      <c r="E223" s="327"/>
      <c r="F223" s="606" t="str">
        <f>'refer admin discharge'!H219</f>
        <v>00/00/0000</v>
      </c>
      <c r="G223" s="327"/>
      <c r="H223" s="594"/>
      <c r="I223" s="327"/>
      <c r="J223" s="605"/>
      <c r="K223" s="327"/>
      <c r="L223" s="594"/>
      <c r="M223" s="327"/>
      <c r="N223" s="575"/>
      <c r="O223" s="327"/>
      <c r="P223" s="594"/>
      <c r="Q223" s="327"/>
      <c r="R223" s="575"/>
      <c r="S223" s="327"/>
      <c r="T223" s="594"/>
      <c r="U223" s="327"/>
      <c r="V223" s="595" t="str">
        <f>'refer admin discharge'!H224</f>
        <v>00/00/0000</v>
      </c>
      <c r="W223" s="327"/>
      <c r="X223" s="577"/>
      <c r="Y223" s="327"/>
      <c r="Z223" s="604"/>
      <c r="AA223" s="327"/>
      <c r="AB223" s="577"/>
      <c r="AC223" s="327"/>
      <c r="AD223" s="576"/>
      <c r="AE223" s="327"/>
      <c r="AF223" s="577"/>
      <c r="AG223" s="327"/>
      <c r="AH223" s="576"/>
      <c r="AI223" s="327"/>
      <c r="AJ223" s="577"/>
      <c r="AK223" s="327"/>
      <c r="AL223" s="602"/>
      <c r="AM223" s="326"/>
      <c r="AN223" s="326"/>
      <c r="AO223" s="326"/>
      <c r="AP223" s="326"/>
      <c r="AQ223" s="326"/>
      <c r="AR223" s="326"/>
      <c r="AS223" s="326"/>
      <c r="AT223" s="326"/>
      <c r="AU223" s="326"/>
      <c r="AV223" s="326"/>
      <c r="AW223" s="326"/>
      <c r="AX223" s="326"/>
      <c r="AY223" s="326"/>
      <c r="AZ223" s="326"/>
      <c r="BA223" s="326"/>
      <c r="BB223" s="327"/>
    </row>
    <row r="224" spans="1:54" ht="15.75" customHeight="1" x14ac:dyDescent="0.25">
      <c r="A224" s="11">
        <f t="shared" si="0"/>
        <v>211</v>
      </c>
      <c r="B224" s="570" t="str">
        <f>'refer admin discharge'!B220</f>
        <v>x</v>
      </c>
      <c r="C224" s="327"/>
      <c r="D224" s="599" t="str">
        <f>'refer admin discharge'!D220</f>
        <v>xx</v>
      </c>
      <c r="E224" s="327"/>
      <c r="F224" s="600" t="str">
        <f>'refer admin discharge'!H220</f>
        <v>00/00/0000</v>
      </c>
      <c r="G224" s="327"/>
      <c r="H224" s="574"/>
      <c r="I224" s="327"/>
      <c r="J224" s="601"/>
      <c r="K224" s="327"/>
      <c r="L224" s="574"/>
      <c r="M224" s="327"/>
      <c r="N224" s="594"/>
      <c r="O224" s="327"/>
      <c r="P224" s="574"/>
      <c r="Q224" s="327"/>
      <c r="R224" s="594"/>
      <c r="S224" s="327"/>
      <c r="T224" s="574"/>
      <c r="U224" s="327"/>
      <c r="V224" s="595" t="str">
        <f>'refer admin discharge'!H225</f>
        <v>00/00/0000</v>
      </c>
      <c r="W224" s="327"/>
      <c r="X224" s="596"/>
      <c r="Y224" s="327"/>
      <c r="Z224" s="597"/>
      <c r="AA224" s="327"/>
      <c r="AB224" s="596"/>
      <c r="AC224" s="327"/>
      <c r="AD224" s="577"/>
      <c r="AE224" s="327"/>
      <c r="AF224" s="596"/>
      <c r="AG224" s="327"/>
      <c r="AH224" s="577"/>
      <c r="AI224" s="327"/>
      <c r="AJ224" s="596"/>
      <c r="AK224" s="327"/>
      <c r="AL224" s="598"/>
      <c r="AM224" s="326"/>
      <c r="AN224" s="326"/>
      <c r="AO224" s="326"/>
      <c r="AP224" s="326"/>
      <c r="AQ224" s="326"/>
      <c r="AR224" s="326"/>
      <c r="AS224" s="326"/>
      <c r="AT224" s="326"/>
      <c r="AU224" s="326"/>
      <c r="AV224" s="326"/>
      <c r="AW224" s="326"/>
      <c r="AX224" s="326"/>
      <c r="AY224" s="326"/>
      <c r="AZ224" s="326"/>
      <c r="BA224" s="326"/>
      <c r="BB224" s="327"/>
    </row>
    <row r="225" spans="1:54" ht="15.75" customHeight="1" x14ac:dyDescent="0.25">
      <c r="A225" s="11">
        <f t="shared" si="0"/>
        <v>212</v>
      </c>
      <c r="B225" s="504" t="str">
        <f>'refer admin discharge'!B221</f>
        <v>x</v>
      </c>
      <c r="C225" s="327"/>
      <c r="D225" s="505" t="str">
        <f>'refer admin discharge'!D221</f>
        <v>xx</v>
      </c>
      <c r="E225" s="327"/>
      <c r="F225" s="606" t="str">
        <f>'refer admin discharge'!H221</f>
        <v>00/00/0000</v>
      </c>
      <c r="G225" s="327"/>
      <c r="H225" s="594"/>
      <c r="I225" s="327"/>
      <c r="J225" s="605"/>
      <c r="K225" s="327"/>
      <c r="L225" s="594"/>
      <c r="M225" s="327"/>
      <c r="N225" s="575"/>
      <c r="O225" s="327"/>
      <c r="P225" s="594"/>
      <c r="Q225" s="327"/>
      <c r="R225" s="575"/>
      <c r="S225" s="327"/>
      <c r="T225" s="594"/>
      <c r="U225" s="327"/>
      <c r="V225" s="595" t="str">
        <f>'refer admin discharge'!H226</f>
        <v>00/00/0000</v>
      </c>
      <c r="W225" s="327"/>
      <c r="X225" s="577"/>
      <c r="Y225" s="327"/>
      <c r="Z225" s="604"/>
      <c r="AA225" s="327"/>
      <c r="AB225" s="577"/>
      <c r="AC225" s="327"/>
      <c r="AD225" s="576"/>
      <c r="AE225" s="327"/>
      <c r="AF225" s="577"/>
      <c r="AG225" s="327"/>
      <c r="AH225" s="576"/>
      <c r="AI225" s="327"/>
      <c r="AJ225" s="577"/>
      <c r="AK225" s="327"/>
      <c r="AL225" s="602"/>
      <c r="AM225" s="326"/>
      <c r="AN225" s="326"/>
      <c r="AO225" s="326"/>
      <c r="AP225" s="326"/>
      <c r="AQ225" s="326"/>
      <c r="AR225" s="326"/>
      <c r="AS225" s="326"/>
      <c r="AT225" s="326"/>
      <c r="AU225" s="326"/>
      <c r="AV225" s="326"/>
      <c r="AW225" s="326"/>
      <c r="AX225" s="326"/>
      <c r="AY225" s="326"/>
      <c r="AZ225" s="326"/>
      <c r="BA225" s="326"/>
      <c r="BB225" s="327"/>
    </row>
    <row r="226" spans="1:54" ht="15.75" customHeight="1" x14ac:dyDescent="0.25">
      <c r="A226" s="11">
        <f t="shared" si="0"/>
        <v>213</v>
      </c>
      <c r="B226" s="570" t="str">
        <f>'refer admin discharge'!B222</f>
        <v>x</v>
      </c>
      <c r="C226" s="327"/>
      <c r="D226" s="599" t="str">
        <f>'refer admin discharge'!D222</f>
        <v>xx</v>
      </c>
      <c r="E226" s="327"/>
      <c r="F226" s="600" t="str">
        <f>'refer admin discharge'!H222</f>
        <v>00/00/0000</v>
      </c>
      <c r="G226" s="327"/>
      <c r="H226" s="574"/>
      <c r="I226" s="327"/>
      <c r="J226" s="601"/>
      <c r="K226" s="327"/>
      <c r="L226" s="574"/>
      <c r="M226" s="327"/>
      <c r="N226" s="594"/>
      <c r="O226" s="327"/>
      <c r="P226" s="574"/>
      <c r="Q226" s="327"/>
      <c r="R226" s="594"/>
      <c r="S226" s="327"/>
      <c r="T226" s="574"/>
      <c r="U226" s="327"/>
      <c r="V226" s="595" t="str">
        <f>'refer admin discharge'!H227</f>
        <v>00/00/0000</v>
      </c>
      <c r="W226" s="327"/>
      <c r="X226" s="596"/>
      <c r="Y226" s="327"/>
      <c r="Z226" s="597"/>
      <c r="AA226" s="327"/>
      <c r="AB226" s="596"/>
      <c r="AC226" s="327"/>
      <c r="AD226" s="577"/>
      <c r="AE226" s="327"/>
      <c r="AF226" s="596"/>
      <c r="AG226" s="327"/>
      <c r="AH226" s="577"/>
      <c r="AI226" s="327"/>
      <c r="AJ226" s="596"/>
      <c r="AK226" s="327"/>
      <c r="AL226" s="598"/>
      <c r="AM226" s="326"/>
      <c r="AN226" s="326"/>
      <c r="AO226" s="326"/>
      <c r="AP226" s="326"/>
      <c r="AQ226" s="326"/>
      <c r="AR226" s="326"/>
      <c r="AS226" s="326"/>
      <c r="AT226" s="326"/>
      <c r="AU226" s="326"/>
      <c r="AV226" s="326"/>
      <c r="AW226" s="326"/>
      <c r="AX226" s="326"/>
      <c r="AY226" s="326"/>
      <c r="AZ226" s="326"/>
      <c r="BA226" s="326"/>
      <c r="BB226" s="327"/>
    </row>
    <row r="227" spans="1:54" ht="15.75" customHeight="1" x14ac:dyDescent="0.25">
      <c r="A227" s="11">
        <f t="shared" si="0"/>
        <v>214</v>
      </c>
      <c r="B227" s="504" t="str">
        <f>'refer admin discharge'!B223</f>
        <v>x</v>
      </c>
      <c r="C227" s="327"/>
      <c r="D227" s="505" t="str">
        <f>'refer admin discharge'!D223</f>
        <v>xx</v>
      </c>
      <c r="E227" s="327"/>
      <c r="F227" s="606" t="str">
        <f>'refer admin discharge'!H223</f>
        <v>00/00/0000</v>
      </c>
      <c r="G227" s="327"/>
      <c r="H227" s="594"/>
      <c r="I227" s="327"/>
      <c r="J227" s="605"/>
      <c r="K227" s="327"/>
      <c r="L227" s="594"/>
      <c r="M227" s="327"/>
      <c r="N227" s="575"/>
      <c r="O227" s="327"/>
      <c r="P227" s="594"/>
      <c r="Q227" s="327"/>
      <c r="R227" s="575"/>
      <c r="S227" s="327"/>
      <c r="T227" s="594"/>
      <c r="U227" s="327"/>
      <c r="V227" s="595" t="str">
        <f>'refer admin discharge'!H228</f>
        <v>00/00/0000</v>
      </c>
      <c r="W227" s="327"/>
      <c r="X227" s="577"/>
      <c r="Y227" s="327"/>
      <c r="Z227" s="604"/>
      <c r="AA227" s="327"/>
      <c r="AB227" s="577"/>
      <c r="AC227" s="327"/>
      <c r="AD227" s="576"/>
      <c r="AE227" s="327"/>
      <c r="AF227" s="577"/>
      <c r="AG227" s="327"/>
      <c r="AH227" s="576"/>
      <c r="AI227" s="327"/>
      <c r="AJ227" s="577"/>
      <c r="AK227" s="327"/>
      <c r="AL227" s="602"/>
      <c r="AM227" s="326"/>
      <c r="AN227" s="326"/>
      <c r="AO227" s="326"/>
      <c r="AP227" s="326"/>
      <c r="AQ227" s="326"/>
      <c r="AR227" s="326"/>
      <c r="AS227" s="326"/>
      <c r="AT227" s="326"/>
      <c r="AU227" s="326"/>
      <c r="AV227" s="326"/>
      <c r="AW227" s="326"/>
      <c r="AX227" s="326"/>
      <c r="AY227" s="326"/>
      <c r="AZ227" s="326"/>
      <c r="BA227" s="326"/>
      <c r="BB227" s="327"/>
    </row>
    <row r="228" spans="1:54" ht="15.75" customHeight="1" x14ac:dyDescent="0.25">
      <c r="A228" s="11">
        <f t="shared" si="0"/>
        <v>215</v>
      </c>
      <c r="B228" s="570" t="str">
        <f>'refer admin discharge'!B224</f>
        <v>x</v>
      </c>
      <c r="C228" s="327"/>
      <c r="D228" s="599" t="str">
        <f>'refer admin discharge'!D224</f>
        <v>xx</v>
      </c>
      <c r="E228" s="327"/>
      <c r="F228" s="600" t="str">
        <f>'refer admin discharge'!H224</f>
        <v>00/00/0000</v>
      </c>
      <c r="G228" s="327"/>
      <c r="H228" s="574"/>
      <c r="I228" s="327"/>
      <c r="J228" s="601"/>
      <c r="K228" s="327"/>
      <c r="L228" s="574"/>
      <c r="M228" s="327"/>
      <c r="N228" s="594"/>
      <c r="O228" s="327"/>
      <c r="P228" s="574"/>
      <c r="Q228" s="327"/>
      <c r="R228" s="594"/>
      <c r="S228" s="327"/>
      <c r="T228" s="574"/>
      <c r="U228" s="327"/>
      <c r="V228" s="595" t="str">
        <f>'refer admin discharge'!H229</f>
        <v>00/00/0000</v>
      </c>
      <c r="W228" s="327"/>
      <c r="X228" s="596"/>
      <c r="Y228" s="327"/>
      <c r="Z228" s="597"/>
      <c r="AA228" s="327"/>
      <c r="AB228" s="596"/>
      <c r="AC228" s="327"/>
      <c r="AD228" s="577"/>
      <c r="AE228" s="327"/>
      <c r="AF228" s="596"/>
      <c r="AG228" s="327"/>
      <c r="AH228" s="577"/>
      <c r="AI228" s="327"/>
      <c r="AJ228" s="596"/>
      <c r="AK228" s="327"/>
      <c r="AL228" s="598"/>
      <c r="AM228" s="326"/>
      <c r="AN228" s="326"/>
      <c r="AO228" s="326"/>
      <c r="AP228" s="326"/>
      <c r="AQ228" s="326"/>
      <c r="AR228" s="326"/>
      <c r="AS228" s="326"/>
      <c r="AT228" s="326"/>
      <c r="AU228" s="326"/>
      <c r="AV228" s="326"/>
      <c r="AW228" s="326"/>
      <c r="AX228" s="326"/>
      <c r="AY228" s="326"/>
      <c r="AZ228" s="326"/>
      <c r="BA228" s="326"/>
      <c r="BB228" s="327"/>
    </row>
    <row r="229" spans="1:54" ht="15.75" customHeight="1" x14ac:dyDescent="0.25">
      <c r="A229" s="11">
        <f t="shared" si="0"/>
        <v>216</v>
      </c>
      <c r="B229" s="504" t="str">
        <f>'refer admin discharge'!B225</f>
        <v>x</v>
      </c>
      <c r="C229" s="327"/>
      <c r="D229" s="505" t="str">
        <f>'refer admin discharge'!D225</f>
        <v>xx</v>
      </c>
      <c r="E229" s="327"/>
      <c r="F229" s="606" t="str">
        <f>'refer admin discharge'!H225</f>
        <v>00/00/0000</v>
      </c>
      <c r="G229" s="327"/>
      <c r="H229" s="594"/>
      <c r="I229" s="327"/>
      <c r="J229" s="605"/>
      <c r="K229" s="327"/>
      <c r="L229" s="594"/>
      <c r="M229" s="327"/>
      <c r="N229" s="575"/>
      <c r="O229" s="327"/>
      <c r="P229" s="594"/>
      <c r="Q229" s="327"/>
      <c r="R229" s="575"/>
      <c r="S229" s="327"/>
      <c r="T229" s="594"/>
      <c r="U229" s="327"/>
      <c r="V229" s="595" t="str">
        <f>'refer admin discharge'!H230</f>
        <v>00/00/0000</v>
      </c>
      <c r="W229" s="327"/>
      <c r="X229" s="577"/>
      <c r="Y229" s="327"/>
      <c r="Z229" s="604"/>
      <c r="AA229" s="327"/>
      <c r="AB229" s="577"/>
      <c r="AC229" s="327"/>
      <c r="AD229" s="576"/>
      <c r="AE229" s="327"/>
      <c r="AF229" s="577"/>
      <c r="AG229" s="327"/>
      <c r="AH229" s="576"/>
      <c r="AI229" s="327"/>
      <c r="AJ229" s="577"/>
      <c r="AK229" s="327"/>
      <c r="AL229" s="602"/>
      <c r="AM229" s="326"/>
      <c r="AN229" s="326"/>
      <c r="AO229" s="326"/>
      <c r="AP229" s="326"/>
      <c r="AQ229" s="326"/>
      <c r="AR229" s="326"/>
      <c r="AS229" s="326"/>
      <c r="AT229" s="326"/>
      <c r="AU229" s="326"/>
      <c r="AV229" s="326"/>
      <c r="AW229" s="326"/>
      <c r="AX229" s="326"/>
      <c r="AY229" s="326"/>
      <c r="AZ229" s="326"/>
      <c r="BA229" s="326"/>
      <c r="BB229" s="327"/>
    </row>
    <row r="230" spans="1:54" ht="15.75" customHeight="1" x14ac:dyDescent="0.25">
      <c r="A230" s="11">
        <f t="shared" si="0"/>
        <v>217</v>
      </c>
      <c r="B230" s="570" t="str">
        <f>'refer admin discharge'!B226</f>
        <v>x</v>
      </c>
      <c r="C230" s="327"/>
      <c r="D230" s="599" t="str">
        <f>'refer admin discharge'!D226</f>
        <v>xx</v>
      </c>
      <c r="E230" s="327"/>
      <c r="F230" s="600" t="str">
        <f>'refer admin discharge'!H226</f>
        <v>00/00/0000</v>
      </c>
      <c r="G230" s="327"/>
      <c r="H230" s="574"/>
      <c r="I230" s="327"/>
      <c r="J230" s="601"/>
      <c r="K230" s="327"/>
      <c r="L230" s="574"/>
      <c r="M230" s="327"/>
      <c r="N230" s="594"/>
      <c r="O230" s="327"/>
      <c r="P230" s="574"/>
      <c r="Q230" s="327"/>
      <c r="R230" s="594"/>
      <c r="S230" s="327"/>
      <c r="T230" s="574"/>
      <c r="U230" s="327"/>
      <c r="V230" s="595" t="str">
        <f>'refer admin discharge'!H231</f>
        <v>00/00/0000</v>
      </c>
      <c r="W230" s="327"/>
      <c r="X230" s="596"/>
      <c r="Y230" s="327"/>
      <c r="Z230" s="597"/>
      <c r="AA230" s="327"/>
      <c r="AB230" s="596"/>
      <c r="AC230" s="327"/>
      <c r="AD230" s="577"/>
      <c r="AE230" s="327"/>
      <c r="AF230" s="596"/>
      <c r="AG230" s="327"/>
      <c r="AH230" s="577"/>
      <c r="AI230" s="327"/>
      <c r="AJ230" s="596"/>
      <c r="AK230" s="327"/>
      <c r="AL230" s="598"/>
      <c r="AM230" s="326"/>
      <c r="AN230" s="326"/>
      <c r="AO230" s="326"/>
      <c r="AP230" s="326"/>
      <c r="AQ230" s="326"/>
      <c r="AR230" s="326"/>
      <c r="AS230" s="326"/>
      <c r="AT230" s="326"/>
      <c r="AU230" s="326"/>
      <c r="AV230" s="326"/>
      <c r="AW230" s="326"/>
      <c r="AX230" s="326"/>
      <c r="AY230" s="326"/>
      <c r="AZ230" s="326"/>
      <c r="BA230" s="326"/>
      <c r="BB230" s="327"/>
    </row>
    <row r="231" spans="1:54" ht="15.75" customHeight="1" x14ac:dyDescent="0.25">
      <c r="A231" s="11">
        <f t="shared" si="0"/>
        <v>218</v>
      </c>
      <c r="B231" s="504" t="str">
        <f>'refer admin discharge'!B227</f>
        <v>x</v>
      </c>
      <c r="C231" s="327"/>
      <c r="D231" s="505" t="str">
        <f>'refer admin discharge'!D227</f>
        <v>xx</v>
      </c>
      <c r="E231" s="327"/>
      <c r="F231" s="606" t="str">
        <f>'refer admin discharge'!H227</f>
        <v>00/00/0000</v>
      </c>
      <c r="G231" s="327"/>
      <c r="H231" s="594"/>
      <c r="I231" s="327"/>
      <c r="J231" s="605"/>
      <c r="K231" s="327"/>
      <c r="L231" s="594"/>
      <c r="M231" s="327"/>
      <c r="N231" s="575"/>
      <c r="O231" s="327"/>
      <c r="P231" s="594"/>
      <c r="Q231" s="327"/>
      <c r="R231" s="575"/>
      <c r="S231" s="327"/>
      <c r="T231" s="594"/>
      <c r="U231" s="327"/>
      <c r="V231" s="595" t="str">
        <f>'refer admin discharge'!H232</f>
        <v>00/00/0000</v>
      </c>
      <c r="W231" s="327"/>
      <c r="X231" s="577"/>
      <c r="Y231" s="327"/>
      <c r="Z231" s="604"/>
      <c r="AA231" s="327"/>
      <c r="AB231" s="577"/>
      <c r="AC231" s="327"/>
      <c r="AD231" s="576"/>
      <c r="AE231" s="327"/>
      <c r="AF231" s="577"/>
      <c r="AG231" s="327"/>
      <c r="AH231" s="576"/>
      <c r="AI231" s="327"/>
      <c r="AJ231" s="577"/>
      <c r="AK231" s="327"/>
      <c r="AL231" s="602"/>
      <c r="AM231" s="326"/>
      <c r="AN231" s="326"/>
      <c r="AO231" s="326"/>
      <c r="AP231" s="326"/>
      <c r="AQ231" s="326"/>
      <c r="AR231" s="326"/>
      <c r="AS231" s="326"/>
      <c r="AT231" s="326"/>
      <c r="AU231" s="326"/>
      <c r="AV231" s="326"/>
      <c r="AW231" s="326"/>
      <c r="AX231" s="326"/>
      <c r="AY231" s="326"/>
      <c r="AZ231" s="326"/>
      <c r="BA231" s="326"/>
      <c r="BB231" s="327"/>
    </row>
    <row r="232" spans="1:54" ht="15.75" customHeight="1" x14ac:dyDescent="0.25">
      <c r="A232" s="11">
        <f t="shared" si="0"/>
        <v>219</v>
      </c>
      <c r="B232" s="570" t="str">
        <f>'refer admin discharge'!B228</f>
        <v>x</v>
      </c>
      <c r="C232" s="327"/>
      <c r="D232" s="599" t="str">
        <f>'refer admin discharge'!D228</f>
        <v>xx</v>
      </c>
      <c r="E232" s="327"/>
      <c r="F232" s="600" t="str">
        <f>'refer admin discharge'!H228</f>
        <v>00/00/0000</v>
      </c>
      <c r="G232" s="327"/>
      <c r="H232" s="574"/>
      <c r="I232" s="327"/>
      <c r="J232" s="601"/>
      <c r="K232" s="327"/>
      <c r="L232" s="574"/>
      <c r="M232" s="327"/>
      <c r="N232" s="594"/>
      <c r="O232" s="327"/>
      <c r="P232" s="574"/>
      <c r="Q232" s="327"/>
      <c r="R232" s="594"/>
      <c r="S232" s="327"/>
      <c r="T232" s="574"/>
      <c r="U232" s="327"/>
      <c r="V232" s="595" t="str">
        <f>'refer admin discharge'!H233</f>
        <v>00/00/0000</v>
      </c>
      <c r="W232" s="327"/>
      <c r="X232" s="596"/>
      <c r="Y232" s="327"/>
      <c r="Z232" s="597"/>
      <c r="AA232" s="327"/>
      <c r="AB232" s="596"/>
      <c r="AC232" s="327"/>
      <c r="AD232" s="577"/>
      <c r="AE232" s="327"/>
      <c r="AF232" s="596"/>
      <c r="AG232" s="327"/>
      <c r="AH232" s="577"/>
      <c r="AI232" s="327"/>
      <c r="AJ232" s="596"/>
      <c r="AK232" s="327"/>
      <c r="AL232" s="598"/>
      <c r="AM232" s="326"/>
      <c r="AN232" s="326"/>
      <c r="AO232" s="326"/>
      <c r="AP232" s="326"/>
      <c r="AQ232" s="326"/>
      <c r="AR232" s="326"/>
      <c r="AS232" s="326"/>
      <c r="AT232" s="326"/>
      <c r="AU232" s="326"/>
      <c r="AV232" s="326"/>
      <c r="AW232" s="326"/>
      <c r="AX232" s="326"/>
      <c r="AY232" s="326"/>
      <c r="AZ232" s="326"/>
      <c r="BA232" s="326"/>
      <c r="BB232" s="327"/>
    </row>
    <row r="233" spans="1:54" ht="15.75" customHeight="1" x14ac:dyDescent="0.25">
      <c r="A233" s="11">
        <f t="shared" si="0"/>
        <v>220</v>
      </c>
      <c r="B233" s="504" t="str">
        <f>'refer admin discharge'!B229</f>
        <v>x</v>
      </c>
      <c r="C233" s="327"/>
      <c r="D233" s="505" t="str">
        <f>'refer admin discharge'!D229</f>
        <v>xx</v>
      </c>
      <c r="E233" s="327"/>
      <c r="F233" s="606" t="str">
        <f>'refer admin discharge'!H229</f>
        <v>00/00/0000</v>
      </c>
      <c r="G233" s="327"/>
      <c r="H233" s="594"/>
      <c r="I233" s="327"/>
      <c r="J233" s="605"/>
      <c r="K233" s="327"/>
      <c r="L233" s="594"/>
      <c r="M233" s="327"/>
      <c r="N233" s="575"/>
      <c r="O233" s="327"/>
      <c r="P233" s="594"/>
      <c r="Q233" s="327"/>
      <c r="R233" s="575"/>
      <c r="S233" s="327"/>
      <c r="T233" s="594"/>
      <c r="U233" s="327"/>
      <c r="V233" s="595" t="str">
        <f>'refer admin discharge'!H234</f>
        <v>00/00/0000</v>
      </c>
      <c r="W233" s="327"/>
      <c r="X233" s="577"/>
      <c r="Y233" s="327"/>
      <c r="Z233" s="604"/>
      <c r="AA233" s="327"/>
      <c r="AB233" s="577"/>
      <c r="AC233" s="327"/>
      <c r="AD233" s="576"/>
      <c r="AE233" s="327"/>
      <c r="AF233" s="577"/>
      <c r="AG233" s="327"/>
      <c r="AH233" s="576"/>
      <c r="AI233" s="327"/>
      <c r="AJ233" s="577"/>
      <c r="AK233" s="327"/>
      <c r="AL233" s="602"/>
      <c r="AM233" s="326"/>
      <c r="AN233" s="326"/>
      <c r="AO233" s="326"/>
      <c r="AP233" s="326"/>
      <c r="AQ233" s="326"/>
      <c r="AR233" s="326"/>
      <c r="AS233" s="326"/>
      <c r="AT233" s="326"/>
      <c r="AU233" s="326"/>
      <c r="AV233" s="326"/>
      <c r="AW233" s="326"/>
      <c r="AX233" s="326"/>
      <c r="AY233" s="326"/>
      <c r="AZ233" s="326"/>
      <c r="BA233" s="326"/>
      <c r="BB233" s="327"/>
    </row>
    <row r="234" spans="1:54" ht="15.75" customHeight="1" x14ac:dyDescent="0.25">
      <c r="A234" s="11">
        <f t="shared" si="0"/>
        <v>221</v>
      </c>
      <c r="B234" s="570" t="str">
        <f>'refer admin discharge'!B230</f>
        <v>x</v>
      </c>
      <c r="C234" s="327"/>
      <c r="D234" s="599" t="str">
        <f>'refer admin discharge'!D230</f>
        <v>xx</v>
      </c>
      <c r="E234" s="327"/>
      <c r="F234" s="600" t="str">
        <f>'refer admin discharge'!H230</f>
        <v>00/00/0000</v>
      </c>
      <c r="G234" s="327"/>
      <c r="H234" s="574"/>
      <c r="I234" s="327"/>
      <c r="J234" s="601"/>
      <c r="K234" s="327"/>
      <c r="L234" s="574"/>
      <c r="M234" s="327"/>
      <c r="N234" s="594"/>
      <c r="O234" s="327"/>
      <c r="P234" s="574"/>
      <c r="Q234" s="327"/>
      <c r="R234" s="594"/>
      <c r="S234" s="327"/>
      <c r="T234" s="574"/>
      <c r="U234" s="327"/>
      <c r="V234" s="595" t="str">
        <f>'refer admin discharge'!H235</f>
        <v>00/00/0000</v>
      </c>
      <c r="W234" s="327"/>
      <c r="X234" s="596"/>
      <c r="Y234" s="327"/>
      <c r="Z234" s="597"/>
      <c r="AA234" s="327"/>
      <c r="AB234" s="596"/>
      <c r="AC234" s="327"/>
      <c r="AD234" s="577"/>
      <c r="AE234" s="327"/>
      <c r="AF234" s="596"/>
      <c r="AG234" s="327"/>
      <c r="AH234" s="577"/>
      <c r="AI234" s="327"/>
      <c r="AJ234" s="596"/>
      <c r="AK234" s="327"/>
      <c r="AL234" s="598"/>
      <c r="AM234" s="326"/>
      <c r="AN234" s="326"/>
      <c r="AO234" s="326"/>
      <c r="AP234" s="326"/>
      <c r="AQ234" s="326"/>
      <c r="AR234" s="326"/>
      <c r="AS234" s="326"/>
      <c r="AT234" s="326"/>
      <c r="AU234" s="326"/>
      <c r="AV234" s="326"/>
      <c r="AW234" s="326"/>
      <c r="AX234" s="326"/>
      <c r="AY234" s="326"/>
      <c r="AZ234" s="326"/>
      <c r="BA234" s="326"/>
      <c r="BB234" s="327"/>
    </row>
    <row r="235" spans="1:54" ht="15.75" customHeight="1" x14ac:dyDescent="0.25">
      <c r="A235" s="11">
        <f t="shared" si="0"/>
        <v>222</v>
      </c>
      <c r="B235" s="504" t="str">
        <f>'refer admin discharge'!B231</f>
        <v>x</v>
      </c>
      <c r="C235" s="327"/>
      <c r="D235" s="505" t="str">
        <f>'refer admin discharge'!D231</f>
        <v>xx</v>
      </c>
      <c r="E235" s="327"/>
      <c r="F235" s="606" t="str">
        <f>'refer admin discharge'!H231</f>
        <v>00/00/0000</v>
      </c>
      <c r="G235" s="327"/>
      <c r="H235" s="594"/>
      <c r="I235" s="327"/>
      <c r="J235" s="605"/>
      <c r="K235" s="327"/>
      <c r="L235" s="594"/>
      <c r="M235" s="327"/>
      <c r="N235" s="575"/>
      <c r="O235" s="327"/>
      <c r="P235" s="594"/>
      <c r="Q235" s="327"/>
      <c r="R235" s="575"/>
      <c r="S235" s="327"/>
      <c r="T235" s="594"/>
      <c r="U235" s="327"/>
      <c r="V235" s="595" t="str">
        <f>'refer admin discharge'!H236</f>
        <v>00/00/0000</v>
      </c>
      <c r="W235" s="327"/>
      <c r="X235" s="577"/>
      <c r="Y235" s="327"/>
      <c r="Z235" s="604"/>
      <c r="AA235" s="327"/>
      <c r="AB235" s="577"/>
      <c r="AC235" s="327"/>
      <c r="AD235" s="576"/>
      <c r="AE235" s="327"/>
      <c r="AF235" s="577"/>
      <c r="AG235" s="327"/>
      <c r="AH235" s="576"/>
      <c r="AI235" s="327"/>
      <c r="AJ235" s="577"/>
      <c r="AK235" s="327"/>
      <c r="AL235" s="602"/>
      <c r="AM235" s="326"/>
      <c r="AN235" s="326"/>
      <c r="AO235" s="326"/>
      <c r="AP235" s="326"/>
      <c r="AQ235" s="326"/>
      <c r="AR235" s="326"/>
      <c r="AS235" s="326"/>
      <c r="AT235" s="326"/>
      <c r="AU235" s="326"/>
      <c r="AV235" s="326"/>
      <c r="AW235" s="326"/>
      <c r="AX235" s="326"/>
      <c r="AY235" s="326"/>
      <c r="AZ235" s="326"/>
      <c r="BA235" s="326"/>
      <c r="BB235" s="327"/>
    </row>
    <row r="236" spans="1:54" ht="15.75" customHeight="1" x14ac:dyDescent="0.25">
      <c r="A236" s="11">
        <f t="shared" si="0"/>
        <v>223</v>
      </c>
      <c r="B236" s="570" t="str">
        <f>'refer admin discharge'!B232</f>
        <v>x</v>
      </c>
      <c r="C236" s="327"/>
      <c r="D236" s="599" t="str">
        <f>'refer admin discharge'!D232</f>
        <v>xx</v>
      </c>
      <c r="E236" s="327"/>
      <c r="F236" s="600" t="str">
        <f>'refer admin discharge'!H232</f>
        <v>00/00/0000</v>
      </c>
      <c r="G236" s="327"/>
      <c r="H236" s="574"/>
      <c r="I236" s="327"/>
      <c r="J236" s="601"/>
      <c r="K236" s="327"/>
      <c r="L236" s="574"/>
      <c r="M236" s="327"/>
      <c r="N236" s="594"/>
      <c r="O236" s="327"/>
      <c r="P236" s="574"/>
      <c r="Q236" s="327"/>
      <c r="R236" s="594"/>
      <c r="S236" s="327"/>
      <c r="T236" s="574"/>
      <c r="U236" s="327"/>
      <c r="V236" s="595" t="str">
        <f>'refer admin discharge'!H237</f>
        <v>00/00/0000</v>
      </c>
      <c r="W236" s="327"/>
      <c r="X236" s="596"/>
      <c r="Y236" s="327"/>
      <c r="Z236" s="597"/>
      <c r="AA236" s="327"/>
      <c r="AB236" s="596"/>
      <c r="AC236" s="327"/>
      <c r="AD236" s="577"/>
      <c r="AE236" s="327"/>
      <c r="AF236" s="596"/>
      <c r="AG236" s="327"/>
      <c r="AH236" s="577"/>
      <c r="AI236" s="327"/>
      <c r="AJ236" s="596"/>
      <c r="AK236" s="327"/>
      <c r="AL236" s="598"/>
      <c r="AM236" s="326"/>
      <c r="AN236" s="326"/>
      <c r="AO236" s="326"/>
      <c r="AP236" s="326"/>
      <c r="AQ236" s="326"/>
      <c r="AR236" s="326"/>
      <c r="AS236" s="326"/>
      <c r="AT236" s="326"/>
      <c r="AU236" s="326"/>
      <c r="AV236" s="326"/>
      <c r="AW236" s="326"/>
      <c r="AX236" s="326"/>
      <c r="AY236" s="326"/>
      <c r="AZ236" s="326"/>
      <c r="BA236" s="326"/>
      <c r="BB236" s="327"/>
    </row>
    <row r="237" spans="1:54" ht="15.75" customHeight="1" x14ac:dyDescent="0.25">
      <c r="A237" s="11">
        <f t="shared" si="0"/>
        <v>224</v>
      </c>
      <c r="B237" s="504" t="str">
        <f>'refer admin discharge'!B233</f>
        <v>x</v>
      </c>
      <c r="C237" s="327"/>
      <c r="D237" s="505" t="str">
        <f>'refer admin discharge'!D233</f>
        <v>xx</v>
      </c>
      <c r="E237" s="327"/>
      <c r="F237" s="606" t="str">
        <f>'refer admin discharge'!H233</f>
        <v>00/00/0000</v>
      </c>
      <c r="G237" s="327"/>
      <c r="H237" s="594"/>
      <c r="I237" s="327"/>
      <c r="J237" s="605"/>
      <c r="K237" s="327"/>
      <c r="L237" s="594"/>
      <c r="M237" s="327"/>
      <c r="N237" s="575"/>
      <c r="O237" s="327"/>
      <c r="P237" s="594"/>
      <c r="Q237" s="327"/>
      <c r="R237" s="575"/>
      <c r="S237" s="327"/>
      <c r="T237" s="594"/>
      <c r="U237" s="327"/>
      <c r="V237" s="595" t="str">
        <f>'refer admin discharge'!H238</f>
        <v>00/00/0000</v>
      </c>
      <c r="W237" s="327"/>
      <c r="X237" s="577"/>
      <c r="Y237" s="327"/>
      <c r="Z237" s="604"/>
      <c r="AA237" s="327"/>
      <c r="AB237" s="577"/>
      <c r="AC237" s="327"/>
      <c r="AD237" s="576"/>
      <c r="AE237" s="327"/>
      <c r="AF237" s="577"/>
      <c r="AG237" s="327"/>
      <c r="AH237" s="576"/>
      <c r="AI237" s="327"/>
      <c r="AJ237" s="577"/>
      <c r="AK237" s="327"/>
      <c r="AL237" s="602"/>
      <c r="AM237" s="326"/>
      <c r="AN237" s="326"/>
      <c r="AO237" s="326"/>
      <c r="AP237" s="326"/>
      <c r="AQ237" s="326"/>
      <c r="AR237" s="326"/>
      <c r="AS237" s="326"/>
      <c r="AT237" s="326"/>
      <c r="AU237" s="326"/>
      <c r="AV237" s="326"/>
      <c r="AW237" s="326"/>
      <c r="AX237" s="326"/>
      <c r="AY237" s="326"/>
      <c r="AZ237" s="326"/>
      <c r="BA237" s="326"/>
      <c r="BB237" s="327"/>
    </row>
    <row r="238" spans="1:54" ht="15.75" customHeight="1" x14ac:dyDescent="0.25">
      <c r="A238" s="11">
        <f t="shared" si="0"/>
        <v>225</v>
      </c>
      <c r="B238" s="570" t="str">
        <f>'refer admin discharge'!B234</f>
        <v>x</v>
      </c>
      <c r="C238" s="327"/>
      <c r="D238" s="599" t="str">
        <f>'refer admin discharge'!D234</f>
        <v>xx</v>
      </c>
      <c r="E238" s="327"/>
      <c r="F238" s="600" t="str">
        <f>'refer admin discharge'!H234</f>
        <v>00/00/0000</v>
      </c>
      <c r="G238" s="327"/>
      <c r="H238" s="574"/>
      <c r="I238" s="327"/>
      <c r="J238" s="601"/>
      <c r="K238" s="327"/>
      <c r="L238" s="574"/>
      <c r="M238" s="327"/>
      <c r="N238" s="594"/>
      <c r="O238" s="327"/>
      <c r="P238" s="574"/>
      <c r="Q238" s="327"/>
      <c r="R238" s="594"/>
      <c r="S238" s="327"/>
      <c r="T238" s="574"/>
      <c r="U238" s="327"/>
      <c r="V238" s="595" t="str">
        <f>'refer admin discharge'!H239</f>
        <v>00/00/0000</v>
      </c>
      <c r="W238" s="327"/>
      <c r="X238" s="596"/>
      <c r="Y238" s="327"/>
      <c r="Z238" s="597"/>
      <c r="AA238" s="327"/>
      <c r="AB238" s="596"/>
      <c r="AC238" s="327"/>
      <c r="AD238" s="577"/>
      <c r="AE238" s="327"/>
      <c r="AF238" s="596"/>
      <c r="AG238" s="327"/>
      <c r="AH238" s="577"/>
      <c r="AI238" s="327"/>
      <c r="AJ238" s="596"/>
      <c r="AK238" s="327"/>
      <c r="AL238" s="598"/>
      <c r="AM238" s="326"/>
      <c r="AN238" s="326"/>
      <c r="AO238" s="326"/>
      <c r="AP238" s="326"/>
      <c r="AQ238" s="326"/>
      <c r="AR238" s="326"/>
      <c r="AS238" s="326"/>
      <c r="AT238" s="326"/>
      <c r="AU238" s="326"/>
      <c r="AV238" s="326"/>
      <c r="AW238" s="326"/>
      <c r="AX238" s="326"/>
      <c r="AY238" s="326"/>
      <c r="AZ238" s="326"/>
      <c r="BA238" s="326"/>
      <c r="BB238" s="327"/>
    </row>
    <row r="239" spans="1:54" ht="15.75" customHeight="1" x14ac:dyDescent="0.25">
      <c r="A239" s="11">
        <f t="shared" si="0"/>
        <v>226</v>
      </c>
      <c r="B239" s="504" t="str">
        <f>'refer admin discharge'!B235</f>
        <v>x</v>
      </c>
      <c r="C239" s="327"/>
      <c r="D239" s="505" t="str">
        <f>'refer admin discharge'!D235</f>
        <v>xx</v>
      </c>
      <c r="E239" s="327"/>
      <c r="F239" s="606" t="str">
        <f>'refer admin discharge'!H235</f>
        <v>00/00/0000</v>
      </c>
      <c r="G239" s="327"/>
      <c r="H239" s="594"/>
      <c r="I239" s="327"/>
      <c r="J239" s="605"/>
      <c r="K239" s="327"/>
      <c r="L239" s="594"/>
      <c r="M239" s="327"/>
      <c r="N239" s="575"/>
      <c r="O239" s="327"/>
      <c r="P239" s="594"/>
      <c r="Q239" s="327"/>
      <c r="R239" s="575"/>
      <c r="S239" s="327"/>
      <c r="T239" s="594"/>
      <c r="U239" s="327"/>
      <c r="V239" s="595" t="str">
        <f>'refer admin discharge'!H240</f>
        <v>00/00/0000</v>
      </c>
      <c r="W239" s="327"/>
      <c r="X239" s="577"/>
      <c r="Y239" s="327"/>
      <c r="Z239" s="604"/>
      <c r="AA239" s="327"/>
      <c r="AB239" s="577"/>
      <c r="AC239" s="327"/>
      <c r="AD239" s="576"/>
      <c r="AE239" s="327"/>
      <c r="AF239" s="577"/>
      <c r="AG239" s="327"/>
      <c r="AH239" s="576"/>
      <c r="AI239" s="327"/>
      <c r="AJ239" s="577"/>
      <c r="AK239" s="327"/>
      <c r="AL239" s="602"/>
      <c r="AM239" s="326"/>
      <c r="AN239" s="326"/>
      <c r="AO239" s="326"/>
      <c r="AP239" s="326"/>
      <c r="AQ239" s="326"/>
      <c r="AR239" s="326"/>
      <c r="AS239" s="326"/>
      <c r="AT239" s="326"/>
      <c r="AU239" s="326"/>
      <c r="AV239" s="326"/>
      <c r="AW239" s="326"/>
      <c r="AX239" s="326"/>
      <c r="AY239" s="326"/>
      <c r="AZ239" s="326"/>
      <c r="BA239" s="326"/>
      <c r="BB239" s="327"/>
    </row>
    <row r="240" spans="1:54" ht="15.75" customHeight="1" x14ac:dyDescent="0.25">
      <c r="A240" s="11">
        <f t="shared" si="0"/>
        <v>227</v>
      </c>
      <c r="B240" s="570" t="str">
        <f>'refer admin discharge'!B236</f>
        <v>x</v>
      </c>
      <c r="C240" s="327"/>
      <c r="D240" s="599" t="str">
        <f>'refer admin discharge'!D236</f>
        <v>xx</v>
      </c>
      <c r="E240" s="327"/>
      <c r="F240" s="600" t="str">
        <f>'refer admin discharge'!H236</f>
        <v>00/00/0000</v>
      </c>
      <c r="G240" s="327"/>
      <c r="H240" s="574"/>
      <c r="I240" s="327"/>
      <c r="J240" s="601"/>
      <c r="K240" s="327"/>
      <c r="L240" s="574"/>
      <c r="M240" s="327"/>
      <c r="N240" s="594"/>
      <c r="O240" s="327"/>
      <c r="P240" s="574"/>
      <c r="Q240" s="327"/>
      <c r="R240" s="594"/>
      <c r="S240" s="327"/>
      <c r="T240" s="574"/>
      <c r="U240" s="327"/>
      <c r="V240" s="595" t="str">
        <f>'refer admin discharge'!H241</f>
        <v>00/00/0000</v>
      </c>
      <c r="W240" s="327"/>
      <c r="X240" s="596"/>
      <c r="Y240" s="327"/>
      <c r="Z240" s="597"/>
      <c r="AA240" s="327"/>
      <c r="AB240" s="596"/>
      <c r="AC240" s="327"/>
      <c r="AD240" s="577"/>
      <c r="AE240" s="327"/>
      <c r="AF240" s="596"/>
      <c r="AG240" s="327"/>
      <c r="AH240" s="577"/>
      <c r="AI240" s="327"/>
      <c r="AJ240" s="596"/>
      <c r="AK240" s="327"/>
      <c r="AL240" s="598"/>
      <c r="AM240" s="326"/>
      <c r="AN240" s="326"/>
      <c r="AO240" s="326"/>
      <c r="AP240" s="326"/>
      <c r="AQ240" s="326"/>
      <c r="AR240" s="326"/>
      <c r="AS240" s="326"/>
      <c r="AT240" s="326"/>
      <c r="AU240" s="326"/>
      <c r="AV240" s="326"/>
      <c r="AW240" s="326"/>
      <c r="AX240" s="326"/>
      <c r="AY240" s="326"/>
      <c r="AZ240" s="326"/>
      <c r="BA240" s="326"/>
      <c r="BB240" s="327"/>
    </row>
    <row r="241" spans="1:54" ht="15.75" customHeight="1" x14ac:dyDescent="0.25">
      <c r="A241" s="11">
        <f t="shared" si="0"/>
        <v>228</v>
      </c>
      <c r="B241" s="504" t="str">
        <f>'refer admin discharge'!B237</f>
        <v>x</v>
      </c>
      <c r="C241" s="327"/>
      <c r="D241" s="505" t="str">
        <f>'refer admin discharge'!D237</f>
        <v>xx</v>
      </c>
      <c r="E241" s="327"/>
      <c r="F241" s="606" t="str">
        <f>'refer admin discharge'!H237</f>
        <v>00/00/0000</v>
      </c>
      <c r="G241" s="327"/>
      <c r="H241" s="594"/>
      <c r="I241" s="327"/>
      <c r="J241" s="605"/>
      <c r="K241" s="327"/>
      <c r="L241" s="594"/>
      <c r="M241" s="327"/>
      <c r="N241" s="575"/>
      <c r="O241" s="327"/>
      <c r="P241" s="594"/>
      <c r="Q241" s="327"/>
      <c r="R241" s="575"/>
      <c r="S241" s="327"/>
      <c r="T241" s="594"/>
      <c r="U241" s="327"/>
      <c r="V241" s="595" t="str">
        <f>'refer admin discharge'!H242</f>
        <v>00/00/0000</v>
      </c>
      <c r="W241" s="327"/>
      <c r="X241" s="577"/>
      <c r="Y241" s="327"/>
      <c r="Z241" s="604"/>
      <c r="AA241" s="327"/>
      <c r="AB241" s="577"/>
      <c r="AC241" s="327"/>
      <c r="AD241" s="576"/>
      <c r="AE241" s="327"/>
      <c r="AF241" s="577"/>
      <c r="AG241" s="327"/>
      <c r="AH241" s="576"/>
      <c r="AI241" s="327"/>
      <c r="AJ241" s="577"/>
      <c r="AK241" s="327"/>
      <c r="AL241" s="602"/>
      <c r="AM241" s="326"/>
      <c r="AN241" s="326"/>
      <c r="AO241" s="326"/>
      <c r="AP241" s="326"/>
      <c r="AQ241" s="326"/>
      <c r="AR241" s="326"/>
      <c r="AS241" s="326"/>
      <c r="AT241" s="326"/>
      <c r="AU241" s="326"/>
      <c r="AV241" s="326"/>
      <c r="AW241" s="326"/>
      <c r="AX241" s="326"/>
      <c r="AY241" s="326"/>
      <c r="AZ241" s="326"/>
      <c r="BA241" s="326"/>
      <c r="BB241" s="327"/>
    </row>
    <row r="242" spans="1:54" ht="15.75" customHeight="1" x14ac:dyDescent="0.25">
      <c r="A242" s="11">
        <f t="shared" si="0"/>
        <v>229</v>
      </c>
      <c r="B242" s="570" t="str">
        <f>'refer admin discharge'!B238</f>
        <v>x</v>
      </c>
      <c r="C242" s="327"/>
      <c r="D242" s="599" t="str">
        <f>'refer admin discharge'!D238</f>
        <v>xx</v>
      </c>
      <c r="E242" s="327"/>
      <c r="F242" s="600" t="str">
        <f>'refer admin discharge'!H238</f>
        <v>00/00/0000</v>
      </c>
      <c r="G242" s="327"/>
      <c r="H242" s="574"/>
      <c r="I242" s="327"/>
      <c r="J242" s="601"/>
      <c r="K242" s="327"/>
      <c r="L242" s="574"/>
      <c r="M242" s="327"/>
      <c r="N242" s="594"/>
      <c r="O242" s="327"/>
      <c r="P242" s="574"/>
      <c r="Q242" s="327"/>
      <c r="R242" s="594"/>
      <c r="S242" s="327"/>
      <c r="T242" s="574"/>
      <c r="U242" s="327"/>
      <c r="V242" s="595" t="str">
        <f>'refer admin discharge'!H243</f>
        <v>00/00/0000</v>
      </c>
      <c r="W242" s="327"/>
      <c r="X242" s="596"/>
      <c r="Y242" s="327"/>
      <c r="Z242" s="597"/>
      <c r="AA242" s="327"/>
      <c r="AB242" s="596"/>
      <c r="AC242" s="327"/>
      <c r="AD242" s="577"/>
      <c r="AE242" s="327"/>
      <c r="AF242" s="596"/>
      <c r="AG242" s="327"/>
      <c r="AH242" s="577"/>
      <c r="AI242" s="327"/>
      <c r="AJ242" s="596"/>
      <c r="AK242" s="327"/>
      <c r="AL242" s="598"/>
      <c r="AM242" s="326"/>
      <c r="AN242" s="326"/>
      <c r="AO242" s="326"/>
      <c r="AP242" s="326"/>
      <c r="AQ242" s="326"/>
      <c r="AR242" s="326"/>
      <c r="AS242" s="326"/>
      <c r="AT242" s="326"/>
      <c r="AU242" s="326"/>
      <c r="AV242" s="326"/>
      <c r="AW242" s="326"/>
      <c r="AX242" s="326"/>
      <c r="AY242" s="326"/>
      <c r="AZ242" s="326"/>
      <c r="BA242" s="326"/>
      <c r="BB242" s="327"/>
    </row>
    <row r="243" spans="1:54" ht="15.75" customHeight="1" x14ac:dyDescent="0.25">
      <c r="A243" s="11">
        <f t="shared" si="0"/>
        <v>230</v>
      </c>
      <c r="B243" s="504" t="str">
        <f>'refer admin discharge'!B239</f>
        <v>x</v>
      </c>
      <c r="C243" s="327"/>
      <c r="D243" s="505" t="str">
        <f>'refer admin discharge'!D239</f>
        <v>xx</v>
      </c>
      <c r="E243" s="327"/>
      <c r="F243" s="606" t="str">
        <f>'refer admin discharge'!H239</f>
        <v>00/00/0000</v>
      </c>
      <c r="G243" s="327"/>
      <c r="H243" s="594"/>
      <c r="I243" s="327"/>
      <c r="J243" s="605"/>
      <c r="K243" s="327"/>
      <c r="L243" s="594"/>
      <c r="M243" s="327"/>
      <c r="N243" s="575"/>
      <c r="O243" s="327"/>
      <c r="P243" s="594"/>
      <c r="Q243" s="327"/>
      <c r="R243" s="575"/>
      <c r="S243" s="327"/>
      <c r="T243" s="594"/>
      <c r="U243" s="327"/>
      <c r="V243" s="595" t="str">
        <f>'refer admin discharge'!H244</f>
        <v>00/00/0000</v>
      </c>
      <c r="W243" s="327"/>
      <c r="X243" s="577"/>
      <c r="Y243" s="327"/>
      <c r="Z243" s="604"/>
      <c r="AA243" s="327"/>
      <c r="AB243" s="577"/>
      <c r="AC243" s="327"/>
      <c r="AD243" s="576"/>
      <c r="AE243" s="327"/>
      <c r="AF243" s="577"/>
      <c r="AG243" s="327"/>
      <c r="AH243" s="576"/>
      <c r="AI243" s="327"/>
      <c r="AJ243" s="577"/>
      <c r="AK243" s="327"/>
      <c r="AL243" s="602"/>
      <c r="AM243" s="326"/>
      <c r="AN243" s="326"/>
      <c r="AO243" s="326"/>
      <c r="AP243" s="326"/>
      <c r="AQ243" s="326"/>
      <c r="AR243" s="326"/>
      <c r="AS243" s="326"/>
      <c r="AT243" s="326"/>
      <c r="AU243" s="326"/>
      <c r="AV243" s="326"/>
      <c r="AW243" s="326"/>
      <c r="AX243" s="326"/>
      <c r="AY243" s="326"/>
      <c r="AZ243" s="326"/>
      <c r="BA243" s="326"/>
      <c r="BB243" s="327"/>
    </row>
    <row r="244" spans="1:54" ht="15.75" customHeight="1" x14ac:dyDescent="0.25">
      <c r="A244" s="11">
        <f t="shared" si="0"/>
        <v>231</v>
      </c>
      <c r="B244" s="570" t="str">
        <f>'refer admin discharge'!B240</f>
        <v>x</v>
      </c>
      <c r="C244" s="327"/>
      <c r="D244" s="599" t="str">
        <f>'refer admin discharge'!D240</f>
        <v>xx</v>
      </c>
      <c r="E244" s="327"/>
      <c r="F244" s="600" t="str">
        <f>'refer admin discharge'!H240</f>
        <v>00/00/0000</v>
      </c>
      <c r="G244" s="327"/>
      <c r="H244" s="574"/>
      <c r="I244" s="327"/>
      <c r="J244" s="601"/>
      <c r="K244" s="327"/>
      <c r="L244" s="574"/>
      <c r="M244" s="327"/>
      <c r="N244" s="594"/>
      <c r="O244" s="327"/>
      <c r="P244" s="574"/>
      <c r="Q244" s="327"/>
      <c r="R244" s="594"/>
      <c r="S244" s="327"/>
      <c r="T244" s="574"/>
      <c r="U244" s="327"/>
      <c r="V244" s="595" t="str">
        <f>'refer admin discharge'!H245</f>
        <v>00/00/0000</v>
      </c>
      <c r="W244" s="327"/>
      <c r="X244" s="596"/>
      <c r="Y244" s="327"/>
      <c r="Z244" s="597"/>
      <c r="AA244" s="327"/>
      <c r="AB244" s="596"/>
      <c r="AC244" s="327"/>
      <c r="AD244" s="577"/>
      <c r="AE244" s="327"/>
      <c r="AF244" s="596"/>
      <c r="AG244" s="327"/>
      <c r="AH244" s="577"/>
      <c r="AI244" s="327"/>
      <c r="AJ244" s="596"/>
      <c r="AK244" s="327"/>
      <c r="AL244" s="598"/>
      <c r="AM244" s="326"/>
      <c r="AN244" s="326"/>
      <c r="AO244" s="326"/>
      <c r="AP244" s="326"/>
      <c r="AQ244" s="326"/>
      <c r="AR244" s="326"/>
      <c r="AS244" s="326"/>
      <c r="AT244" s="326"/>
      <c r="AU244" s="326"/>
      <c r="AV244" s="326"/>
      <c r="AW244" s="326"/>
      <c r="AX244" s="326"/>
      <c r="AY244" s="326"/>
      <c r="AZ244" s="326"/>
      <c r="BA244" s="326"/>
      <c r="BB244" s="327"/>
    </row>
    <row r="245" spans="1:54" ht="15.75" customHeight="1" x14ac:dyDescent="0.25">
      <c r="A245" s="11">
        <f t="shared" si="0"/>
        <v>232</v>
      </c>
      <c r="B245" s="504" t="str">
        <f>'refer admin discharge'!B241</f>
        <v>x</v>
      </c>
      <c r="C245" s="327"/>
      <c r="D245" s="505" t="str">
        <f>'refer admin discharge'!D241</f>
        <v>xx</v>
      </c>
      <c r="E245" s="327"/>
      <c r="F245" s="606" t="str">
        <f>'refer admin discharge'!H241</f>
        <v>00/00/0000</v>
      </c>
      <c r="G245" s="327"/>
      <c r="H245" s="594"/>
      <c r="I245" s="327"/>
      <c r="J245" s="605"/>
      <c r="K245" s="327"/>
      <c r="L245" s="594"/>
      <c r="M245" s="327"/>
      <c r="N245" s="575"/>
      <c r="O245" s="327"/>
      <c r="P245" s="594"/>
      <c r="Q245" s="327"/>
      <c r="R245" s="575"/>
      <c r="S245" s="327"/>
      <c r="T245" s="594"/>
      <c r="U245" s="327"/>
      <c r="V245" s="595" t="str">
        <f>'refer admin discharge'!H246</f>
        <v>00/00/0000</v>
      </c>
      <c r="W245" s="327"/>
      <c r="X245" s="577"/>
      <c r="Y245" s="327"/>
      <c r="Z245" s="604"/>
      <c r="AA245" s="327"/>
      <c r="AB245" s="577"/>
      <c r="AC245" s="327"/>
      <c r="AD245" s="576"/>
      <c r="AE245" s="327"/>
      <c r="AF245" s="577"/>
      <c r="AG245" s="327"/>
      <c r="AH245" s="576"/>
      <c r="AI245" s="327"/>
      <c r="AJ245" s="577"/>
      <c r="AK245" s="327"/>
      <c r="AL245" s="602"/>
      <c r="AM245" s="326"/>
      <c r="AN245" s="326"/>
      <c r="AO245" s="326"/>
      <c r="AP245" s="326"/>
      <c r="AQ245" s="326"/>
      <c r="AR245" s="326"/>
      <c r="AS245" s="326"/>
      <c r="AT245" s="326"/>
      <c r="AU245" s="326"/>
      <c r="AV245" s="326"/>
      <c r="AW245" s="326"/>
      <c r="AX245" s="326"/>
      <c r="AY245" s="326"/>
      <c r="AZ245" s="326"/>
      <c r="BA245" s="326"/>
      <c r="BB245" s="327"/>
    </row>
    <row r="246" spans="1:54" ht="15.75" customHeight="1" x14ac:dyDescent="0.25">
      <c r="A246" s="11">
        <f t="shared" si="0"/>
        <v>233</v>
      </c>
      <c r="B246" s="570" t="str">
        <f>'refer admin discharge'!B242</f>
        <v>x</v>
      </c>
      <c r="C246" s="327"/>
      <c r="D246" s="599" t="str">
        <f>'refer admin discharge'!D242</f>
        <v>xx</v>
      </c>
      <c r="E246" s="327"/>
      <c r="F246" s="600" t="str">
        <f>'refer admin discharge'!H242</f>
        <v>00/00/0000</v>
      </c>
      <c r="G246" s="327"/>
      <c r="H246" s="574"/>
      <c r="I246" s="327"/>
      <c r="J246" s="601"/>
      <c r="K246" s="327"/>
      <c r="L246" s="574"/>
      <c r="M246" s="327"/>
      <c r="N246" s="594"/>
      <c r="O246" s="327"/>
      <c r="P246" s="574"/>
      <c r="Q246" s="327"/>
      <c r="R246" s="594"/>
      <c r="S246" s="327"/>
      <c r="T246" s="574"/>
      <c r="U246" s="327"/>
      <c r="V246" s="595" t="str">
        <f>'refer admin discharge'!H247</f>
        <v>00/00/0000</v>
      </c>
      <c r="W246" s="327"/>
      <c r="X246" s="596"/>
      <c r="Y246" s="327"/>
      <c r="Z246" s="597"/>
      <c r="AA246" s="327"/>
      <c r="AB246" s="596"/>
      <c r="AC246" s="327"/>
      <c r="AD246" s="577"/>
      <c r="AE246" s="327"/>
      <c r="AF246" s="596"/>
      <c r="AG246" s="327"/>
      <c r="AH246" s="577"/>
      <c r="AI246" s="327"/>
      <c r="AJ246" s="596"/>
      <c r="AK246" s="327"/>
      <c r="AL246" s="598"/>
      <c r="AM246" s="326"/>
      <c r="AN246" s="326"/>
      <c r="AO246" s="326"/>
      <c r="AP246" s="326"/>
      <c r="AQ246" s="326"/>
      <c r="AR246" s="326"/>
      <c r="AS246" s="326"/>
      <c r="AT246" s="326"/>
      <c r="AU246" s="326"/>
      <c r="AV246" s="326"/>
      <c r="AW246" s="326"/>
      <c r="AX246" s="326"/>
      <c r="AY246" s="326"/>
      <c r="AZ246" s="326"/>
      <c r="BA246" s="326"/>
      <c r="BB246" s="327"/>
    </row>
    <row r="247" spans="1:54" ht="15.75" customHeight="1" x14ac:dyDescent="0.25">
      <c r="A247" s="11">
        <f t="shared" si="0"/>
        <v>234</v>
      </c>
      <c r="B247" s="504" t="str">
        <f>'refer admin discharge'!B243</f>
        <v>x</v>
      </c>
      <c r="C247" s="327"/>
      <c r="D247" s="505" t="str">
        <f>'refer admin discharge'!D243</f>
        <v>xx</v>
      </c>
      <c r="E247" s="327"/>
      <c r="F247" s="606" t="str">
        <f>'refer admin discharge'!H243</f>
        <v>00/00/0000</v>
      </c>
      <c r="G247" s="327"/>
      <c r="H247" s="594"/>
      <c r="I247" s="327"/>
      <c r="J247" s="605"/>
      <c r="K247" s="327"/>
      <c r="L247" s="594"/>
      <c r="M247" s="327"/>
      <c r="N247" s="575"/>
      <c r="O247" s="327"/>
      <c r="P247" s="594"/>
      <c r="Q247" s="327"/>
      <c r="R247" s="575"/>
      <c r="S247" s="327"/>
      <c r="T247" s="594"/>
      <c r="U247" s="327"/>
      <c r="V247" s="595" t="str">
        <f>'refer admin discharge'!H248</f>
        <v>00/00/0000</v>
      </c>
      <c r="W247" s="327"/>
      <c r="X247" s="577"/>
      <c r="Y247" s="327"/>
      <c r="Z247" s="604"/>
      <c r="AA247" s="327"/>
      <c r="AB247" s="577"/>
      <c r="AC247" s="327"/>
      <c r="AD247" s="576"/>
      <c r="AE247" s="327"/>
      <c r="AF247" s="577"/>
      <c r="AG247" s="327"/>
      <c r="AH247" s="576"/>
      <c r="AI247" s="327"/>
      <c r="AJ247" s="577"/>
      <c r="AK247" s="327"/>
      <c r="AL247" s="602"/>
      <c r="AM247" s="326"/>
      <c r="AN247" s="326"/>
      <c r="AO247" s="326"/>
      <c r="AP247" s="326"/>
      <c r="AQ247" s="326"/>
      <c r="AR247" s="326"/>
      <c r="AS247" s="326"/>
      <c r="AT247" s="326"/>
      <c r="AU247" s="326"/>
      <c r="AV247" s="326"/>
      <c r="AW247" s="326"/>
      <c r="AX247" s="326"/>
      <c r="AY247" s="326"/>
      <c r="AZ247" s="326"/>
      <c r="BA247" s="326"/>
      <c r="BB247" s="327"/>
    </row>
    <row r="248" spans="1:54" ht="15.75" customHeight="1" x14ac:dyDescent="0.25">
      <c r="A248" s="11">
        <f t="shared" si="0"/>
        <v>235</v>
      </c>
      <c r="B248" s="570" t="str">
        <f>'refer admin discharge'!B244</f>
        <v>x</v>
      </c>
      <c r="C248" s="327"/>
      <c r="D248" s="599" t="str">
        <f>'refer admin discharge'!D244</f>
        <v>xx</v>
      </c>
      <c r="E248" s="327"/>
      <c r="F248" s="600" t="str">
        <f>'refer admin discharge'!H244</f>
        <v>00/00/0000</v>
      </c>
      <c r="G248" s="327"/>
      <c r="H248" s="574"/>
      <c r="I248" s="327"/>
      <c r="J248" s="601"/>
      <c r="K248" s="327"/>
      <c r="L248" s="574"/>
      <c r="M248" s="327"/>
      <c r="N248" s="594"/>
      <c r="O248" s="327"/>
      <c r="P248" s="574"/>
      <c r="Q248" s="327"/>
      <c r="R248" s="594"/>
      <c r="S248" s="327"/>
      <c r="T248" s="574"/>
      <c r="U248" s="327"/>
      <c r="V248" s="595" t="str">
        <f>'refer admin discharge'!H249</f>
        <v>00/00/0000</v>
      </c>
      <c r="W248" s="327"/>
      <c r="X248" s="596"/>
      <c r="Y248" s="327"/>
      <c r="Z248" s="597"/>
      <c r="AA248" s="327"/>
      <c r="AB248" s="596"/>
      <c r="AC248" s="327"/>
      <c r="AD248" s="577"/>
      <c r="AE248" s="327"/>
      <c r="AF248" s="596"/>
      <c r="AG248" s="327"/>
      <c r="AH248" s="577"/>
      <c r="AI248" s="327"/>
      <c r="AJ248" s="596"/>
      <c r="AK248" s="327"/>
      <c r="AL248" s="598"/>
      <c r="AM248" s="326"/>
      <c r="AN248" s="326"/>
      <c r="AO248" s="326"/>
      <c r="AP248" s="326"/>
      <c r="AQ248" s="326"/>
      <c r="AR248" s="326"/>
      <c r="AS248" s="326"/>
      <c r="AT248" s="326"/>
      <c r="AU248" s="326"/>
      <c r="AV248" s="326"/>
      <c r="AW248" s="326"/>
      <c r="AX248" s="326"/>
      <c r="AY248" s="326"/>
      <c r="AZ248" s="326"/>
      <c r="BA248" s="326"/>
      <c r="BB248" s="327"/>
    </row>
    <row r="249" spans="1:54" ht="15.75" customHeight="1" x14ac:dyDescent="0.25">
      <c r="A249" s="11">
        <f t="shared" si="0"/>
        <v>236</v>
      </c>
      <c r="B249" s="504" t="str">
        <f>'refer admin discharge'!B245</f>
        <v>x</v>
      </c>
      <c r="C249" s="327"/>
      <c r="D249" s="505" t="str">
        <f>'refer admin discharge'!D245</f>
        <v>xx</v>
      </c>
      <c r="E249" s="327"/>
      <c r="F249" s="606" t="str">
        <f>'refer admin discharge'!H245</f>
        <v>00/00/0000</v>
      </c>
      <c r="G249" s="327"/>
      <c r="H249" s="594"/>
      <c r="I249" s="327"/>
      <c r="J249" s="605"/>
      <c r="K249" s="327"/>
      <c r="L249" s="594"/>
      <c r="M249" s="327"/>
      <c r="N249" s="575"/>
      <c r="O249" s="327"/>
      <c r="P249" s="594"/>
      <c r="Q249" s="327"/>
      <c r="R249" s="575"/>
      <c r="S249" s="327"/>
      <c r="T249" s="594"/>
      <c r="U249" s="327"/>
      <c r="V249" s="595" t="str">
        <f>'refer admin discharge'!H250</f>
        <v>00/00/0000</v>
      </c>
      <c r="W249" s="327"/>
      <c r="X249" s="577"/>
      <c r="Y249" s="327"/>
      <c r="Z249" s="604"/>
      <c r="AA249" s="327"/>
      <c r="AB249" s="577"/>
      <c r="AC249" s="327"/>
      <c r="AD249" s="576"/>
      <c r="AE249" s="327"/>
      <c r="AF249" s="577"/>
      <c r="AG249" s="327"/>
      <c r="AH249" s="576"/>
      <c r="AI249" s="327"/>
      <c r="AJ249" s="577"/>
      <c r="AK249" s="327"/>
      <c r="AL249" s="602"/>
      <c r="AM249" s="326"/>
      <c r="AN249" s="326"/>
      <c r="AO249" s="326"/>
      <c r="AP249" s="326"/>
      <c r="AQ249" s="326"/>
      <c r="AR249" s="326"/>
      <c r="AS249" s="326"/>
      <c r="AT249" s="326"/>
      <c r="AU249" s="326"/>
      <c r="AV249" s="326"/>
      <c r="AW249" s="326"/>
      <c r="AX249" s="326"/>
      <c r="AY249" s="326"/>
      <c r="AZ249" s="326"/>
      <c r="BA249" s="326"/>
      <c r="BB249" s="327"/>
    </row>
    <row r="250" spans="1:54" ht="15.75" customHeight="1" x14ac:dyDescent="0.25">
      <c r="A250" s="11">
        <f t="shared" si="0"/>
        <v>237</v>
      </c>
      <c r="B250" s="570" t="str">
        <f>'refer admin discharge'!B246</f>
        <v>x</v>
      </c>
      <c r="C250" s="327"/>
      <c r="D250" s="599" t="str">
        <f>'refer admin discharge'!D246</f>
        <v>xx</v>
      </c>
      <c r="E250" s="327"/>
      <c r="F250" s="600" t="str">
        <f>'refer admin discharge'!H246</f>
        <v>00/00/0000</v>
      </c>
      <c r="G250" s="327"/>
      <c r="H250" s="574"/>
      <c r="I250" s="327"/>
      <c r="J250" s="601"/>
      <c r="K250" s="327"/>
      <c r="L250" s="574"/>
      <c r="M250" s="327"/>
      <c r="N250" s="594"/>
      <c r="O250" s="327"/>
      <c r="P250" s="574"/>
      <c r="Q250" s="327"/>
      <c r="R250" s="594"/>
      <c r="S250" s="327"/>
      <c r="T250" s="574"/>
      <c r="U250" s="327"/>
      <c r="V250" s="595" t="str">
        <f>'refer admin discharge'!H251</f>
        <v>00/00/0000</v>
      </c>
      <c r="W250" s="327"/>
      <c r="X250" s="596"/>
      <c r="Y250" s="327"/>
      <c r="Z250" s="597"/>
      <c r="AA250" s="327"/>
      <c r="AB250" s="596"/>
      <c r="AC250" s="327"/>
      <c r="AD250" s="577"/>
      <c r="AE250" s="327"/>
      <c r="AF250" s="596"/>
      <c r="AG250" s="327"/>
      <c r="AH250" s="577"/>
      <c r="AI250" s="327"/>
      <c r="AJ250" s="596"/>
      <c r="AK250" s="327"/>
      <c r="AL250" s="598"/>
      <c r="AM250" s="326"/>
      <c r="AN250" s="326"/>
      <c r="AO250" s="326"/>
      <c r="AP250" s="326"/>
      <c r="AQ250" s="326"/>
      <c r="AR250" s="326"/>
      <c r="AS250" s="326"/>
      <c r="AT250" s="326"/>
      <c r="AU250" s="326"/>
      <c r="AV250" s="326"/>
      <c r="AW250" s="326"/>
      <c r="AX250" s="326"/>
      <c r="AY250" s="326"/>
      <c r="AZ250" s="326"/>
      <c r="BA250" s="326"/>
      <c r="BB250" s="327"/>
    </row>
    <row r="251" spans="1:54" ht="15.75" customHeight="1" x14ac:dyDescent="0.25">
      <c r="A251" s="11">
        <f t="shared" si="0"/>
        <v>238</v>
      </c>
      <c r="B251" s="504" t="str">
        <f>'refer admin discharge'!B247</f>
        <v>x</v>
      </c>
      <c r="C251" s="327"/>
      <c r="D251" s="505" t="str">
        <f>'refer admin discharge'!D247</f>
        <v>xx</v>
      </c>
      <c r="E251" s="327"/>
      <c r="F251" s="606" t="str">
        <f>'refer admin discharge'!H247</f>
        <v>00/00/0000</v>
      </c>
      <c r="G251" s="327"/>
      <c r="H251" s="594"/>
      <c r="I251" s="327"/>
      <c r="J251" s="605"/>
      <c r="K251" s="327"/>
      <c r="L251" s="594"/>
      <c r="M251" s="327"/>
      <c r="N251" s="575"/>
      <c r="O251" s="327"/>
      <c r="P251" s="594"/>
      <c r="Q251" s="327"/>
      <c r="R251" s="575"/>
      <c r="S251" s="327"/>
      <c r="T251" s="594"/>
      <c r="U251" s="327"/>
      <c r="V251" s="595" t="str">
        <f>'refer admin discharge'!H252</f>
        <v>00/00/0000</v>
      </c>
      <c r="W251" s="327"/>
      <c r="X251" s="577"/>
      <c r="Y251" s="327"/>
      <c r="Z251" s="604"/>
      <c r="AA251" s="327"/>
      <c r="AB251" s="577"/>
      <c r="AC251" s="327"/>
      <c r="AD251" s="576"/>
      <c r="AE251" s="327"/>
      <c r="AF251" s="577"/>
      <c r="AG251" s="327"/>
      <c r="AH251" s="576"/>
      <c r="AI251" s="327"/>
      <c r="AJ251" s="577"/>
      <c r="AK251" s="327"/>
      <c r="AL251" s="602"/>
      <c r="AM251" s="326"/>
      <c r="AN251" s="326"/>
      <c r="AO251" s="326"/>
      <c r="AP251" s="326"/>
      <c r="AQ251" s="326"/>
      <c r="AR251" s="326"/>
      <c r="AS251" s="326"/>
      <c r="AT251" s="326"/>
      <c r="AU251" s="326"/>
      <c r="AV251" s="326"/>
      <c r="AW251" s="326"/>
      <c r="AX251" s="326"/>
      <c r="AY251" s="326"/>
      <c r="AZ251" s="326"/>
      <c r="BA251" s="326"/>
      <c r="BB251" s="327"/>
    </row>
    <row r="252" spans="1:54" ht="15.75" customHeight="1" x14ac:dyDescent="0.25">
      <c r="A252" s="11">
        <f t="shared" si="0"/>
        <v>239</v>
      </c>
      <c r="B252" s="570" t="str">
        <f>'refer admin discharge'!B248</f>
        <v>x</v>
      </c>
      <c r="C252" s="327"/>
      <c r="D252" s="599" t="str">
        <f>'refer admin discharge'!D248</f>
        <v>xx</v>
      </c>
      <c r="E252" s="327"/>
      <c r="F252" s="600" t="str">
        <f>'refer admin discharge'!H248</f>
        <v>00/00/0000</v>
      </c>
      <c r="G252" s="327"/>
      <c r="H252" s="574"/>
      <c r="I252" s="327"/>
      <c r="J252" s="601"/>
      <c r="K252" s="327"/>
      <c r="L252" s="574"/>
      <c r="M252" s="327"/>
      <c r="N252" s="594"/>
      <c r="O252" s="327"/>
      <c r="P252" s="574"/>
      <c r="Q252" s="327"/>
      <c r="R252" s="594"/>
      <c r="S252" s="327"/>
      <c r="T252" s="574"/>
      <c r="U252" s="327"/>
      <c r="V252" s="595" t="str">
        <f>'refer admin discharge'!H253</f>
        <v>00/00/0000</v>
      </c>
      <c r="W252" s="327"/>
      <c r="X252" s="596"/>
      <c r="Y252" s="327"/>
      <c r="Z252" s="597"/>
      <c r="AA252" s="327"/>
      <c r="AB252" s="596"/>
      <c r="AC252" s="327"/>
      <c r="AD252" s="577"/>
      <c r="AE252" s="327"/>
      <c r="AF252" s="596"/>
      <c r="AG252" s="327"/>
      <c r="AH252" s="577"/>
      <c r="AI252" s="327"/>
      <c r="AJ252" s="596"/>
      <c r="AK252" s="327"/>
      <c r="AL252" s="598"/>
      <c r="AM252" s="326"/>
      <c r="AN252" s="326"/>
      <c r="AO252" s="326"/>
      <c r="AP252" s="326"/>
      <c r="AQ252" s="326"/>
      <c r="AR252" s="326"/>
      <c r="AS252" s="326"/>
      <c r="AT252" s="326"/>
      <c r="AU252" s="326"/>
      <c r="AV252" s="326"/>
      <c r="AW252" s="326"/>
      <c r="AX252" s="326"/>
      <c r="AY252" s="326"/>
      <c r="AZ252" s="326"/>
      <c r="BA252" s="326"/>
      <c r="BB252" s="327"/>
    </row>
    <row r="253" spans="1:54" ht="15.75" customHeight="1" x14ac:dyDescent="0.25">
      <c r="A253" s="11">
        <f t="shared" si="0"/>
        <v>240</v>
      </c>
      <c r="B253" s="504" t="str">
        <f>'refer admin discharge'!B249</f>
        <v>x</v>
      </c>
      <c r="C253" s="327"/>
      <c r="D253" s="505" t="str">
        <f>'refer admin discharge'!D249</f>
        <v>xx</v>
      </c>
      <c r="E253" s="327"/>
      <c r="F253" s="606" t="str">
        <f>'refer admin discharge'!H249</f>
        <v>00/00/0000</v>
      </c>
      <c r="G253" s="327"/>
      <c r="H253" s="594"/>
      <c r="I253" s="327"/>
      <c r="J253" s="605"/>
      <c r="K253" s="327"/>
      <c r="L253" s="594"/>
      <c r="M253" s="327"/>
      <c r="N253" s="575"/>
      <c r="O253" s="327"/>
      <c r="P253" s="594"/>
      <c r="Q253" s="327"/>
      <c r="R253" s="575"/>
      <c r="S253" s="327"/>
      <c r="T253" s="594"/>
      <c r="U253" s="327"/>
      <c r="V253" s="595" t="str">
        <f>'refer admin discharge'!H254</f>
        <v>00/00/0000</v>
      </c>
      <c r="W253" s="327"/>
      <c r="X253" s="577"/>
      <c r="Y253" s="327"/>
      <c r="Z253" s="604"/>
      <c r="AA253" s="327"/>
      <c r="AB253" s="577"/>
      <c r="AC253" s="327"/>
      <c r="AD253" s="576"/>
      <c r="AE253" s="327"/>
      <c r="AF253" s="577"/>
      <c r="AG253" s="327"/>
      <c r="AH253" s="576"/>
      <c r="AI253" s="327"/>
      <c r="AJ253" s="577"/>
      <c r="AK253" s="327"/>
      <c r="AL253" s="602"/>
      <c r="AM253" s="326"/>
      <c r="AN253" s="326"/>
      <c r="AO253" s="326"/>
      <c r="AP253" s="326"/>
      <c r="AQ253" s="326"/>
      <c r="AR253" s="326"/>
      <c r="AS253" s="326"/>
      <c r="AT253" s="326"/>
      <c r="AU253" s="326"/>
      <c r="AV253" s="326"/>
      <c r="AW253" s="326"/>
      <c r="AX253" s="326"/>
      <c r="AY253" s="326"/>
      <c r="AZ253" s="326"/>
      <c r="BA253" s="326"/>
      <c r="BB253" s="327"/>
    </row>
    <row r="254" spans="1:54" ht="15.75" customHeight="1" x14ac:dyDescent="0.25">
      <c r="A254" s="11">
        <f t="shared" si="0"/>
        <v>241</v>
      </c>
      <c r="B254" s="570" t="str">
        <f>'refer admin discharge'!B250</f>
        <v>x</v>
      </c>
      <c r="C254" s="327"/>
      <c r="D254" s="599" t="str">
        <f>'refer admin discharge'!D250</f>
        <v>xx</v>
      </c>
      <c r="E254" s="327"/>
      <c r="F254" s="600" t="str">
        <f>'refer admin discharge'!H250</f>
        <v>00/00/0000</v>
      </c>
      <c r="G254" s="327"/>
      <c r="H254" s="574"/>
      <c r="I254" s="327"/>
      <c r="J254" s="601"/>
      <c r="K254" s="327"/>
      <c r="L254" s="574"/>
      <c r="M254" s="327"/>
      <c r="N254" s="594"/>
      <c r="O254" s="327"/>
      <c r="P254" s="574"/>
      <c r="Q254" s="327"/>
      <c r="R254" s="594"/>
      <c r="S254" s="327"/>
      <c r="T254" s="574"/>
      <c r="U254" s="327"/>
      <c r="V254" s="595" t="str">
        <f>'refer admin discharge'!H255</f>
        <v>00/00/0000</v>
      </c>
      <c r="W254" s="327"/>
      <c r="X254" s="596"/>
      <c r="Y254" s="327"/>
      <c r="Z254" s="597"/>
      <c r="AA254" s="327"/>
      <c r="AB254" s="596"/>
      <c r="AC254" s="327"/>
      <c r="AD254" s="577"/>
      <c r="AE254" s="327"/>
      <c r="AF254" s="596"/>
      <c r="AG254" s="327"/>
      <c r="AH254" s="577"/>
      <c r="AI254" s="327"/>
      <c r="AJ254" s="596"/>
      <c r="AK254" s="327"/>
      <c r="AL254" s="598"/>
      <c r="AM254" s="326"/>
      <c r="AN254" s="326"/>
      <c r="AO254" s="326"/>
      <c r="AP254" s="326"/>
      <c r="AQ254" s="326"/>
      <c r="AR254" s="326"/>
      <c r="AS254" s="326"/>
      <c r="AT254" s="326"/>
      <c r="AU254" s="326"/>
      <c r="AV254" s="326"/>
      <c r="AW254" s="326"/>
      <c r="AX254" s="326"/>
      <c r="AY254" s="326"/>
      <c r="AZ254" s="326"/>
      <c r="BA254" s="326"/>
      <c r="BB254" s="327"/>
    </row>
    <row r="255" spans="1:54" ht="15.75" customHeight="1" x14ac:dyDescent="0.25">
      <c r="A255" s="11">
        <f t="shared" si="0"/>
        <v>242</v>
      </c>
      <c r="B255" s="504" t="str">
        <f>'refer admin discharge'!B251</f>
        <v>x</v>
      </c>
      <c r="C255" s="327"/>
      <c r="D255" s="505" t="str">
        <f>'refer admin discharge'!D251</f>
        <v>xx</v>
      </c>
      <c r="E255" s="327"/>
      <c r="F255" s="606" t="str">
        <f>'refer admin discharge'!H251</f>
        <v>00/00/0000</v>
      </c>
      <c r="G255" s="327"/>
      <c r="H255" s="594"/>
      <c r="I255" s="327"/>
      <c r="J255" s="605"/>
      <c r="K255" s="327"/>
      <c r="L255" s="594"/>
      <c r="M255" s="327"/>
      <c r="N255" s="575"/>
      <c r="O255" s="327"/>
      <c r="P255" s="594"/>
      <c r="Q255" s="327"/>
      <c r="R255" s="575"/>
      <c r="S255" s="327"/>
      <c r="T255" s="594"/>
      <c r="U255" s="327"/>
      <c r="V255" s="595" t="str">
        <f>'refer admin discharge'!H256</f>
        <v>00/00/0000</v>
      </c>
      <c r="W255" s="327"/>
      <c r="X255" s="577"/>
      <c r="Y255" s="327"/>
      <c r="Z255" s="604"/>
      <c r="AA255" s="327"/>
      <c r="AB255" s="577"/>
      <c r="AC255" s="327"/>
      <c r="AD255" s="576"/>
      <c r="AE255" s="327"/>
      <c r="AF255" s="577"/>
      <c r="AG255" s="327"/>
      <c r="AH255" s="576"/>
      <c r="AI255" s="327"/>
      <c r="AJ255" s="577"/>
      <c r="AK255" s="327"/>
      <c r="AL255" s="602"/>
      <c r="AM255" s="326"/>
      <c r="AN255" s="326"/>
      <c r="AO255" s="326"/>
      <c r="AP255" s="326"/>
      <c r="AQ255" s="326"/>
      <c r="AR255" s="326"/>
      <c r="AS255" s="326"/>
      <c r="AT255" s="326"/>
      <c r="AU255" s="326"/>
      <c r="AV255" s="326"/>
      <c r="AW255" s="326"/>
      <c r="AX255" s="326"/>
      <c r="AY255" s="326"/>
      <c r="AZ255" s="326"/>
      <c r="BA255" s="326"/>
      <c r="BB255" s="327"/>
    </row>
    <row r="256" spans="1:54" ht="15.75" customHeight="1" x14ac:dyDescent="0.25">
      <c r="A256" s="11">
        <f t="shared" si="0"/>
        <v>243</v>
      </c>
      <c r="B256" s="570" t="str">
        <f>'refer admin discharge'!B252</f>
        <v>x</v>
      </c>
      <c r="C256" s="327"/>
      <c r="D256" s="599" t="str">
        <f>'refer admin discharge'!D252</f>
        <v>xx</v>
      </c>
      <c r="E256" s="327"/>
      <c r="F256" s="600" t="str">
        <f>'refer admin discharge'!H252</f>
        <v>00/00/0000</v>
      </c>
      <c r="G256" s="327"/>
      <c r="H256" s="574"/>
      <c r="I256" s="327"/>
      <c r="J256" s="601"/>
      <c r="K256" s="327"/>
      <c r="L256" s="574"/>
      <c r="M256" s="327"/>
      <c r="N256" s="594"/>
      <c r="O256" s="327"/>
      <c r="P256" s="574"/>
      <c r="Q256" s="327"/>
      <c r="R256" s="594"/>
      <c r="S256" s="327"/>
      <c r="T256" s="574"/>
      <c r="U256" s="327"/>
      <c r="V256" s="595" t="str">
        <f>'refer admin discharge'!H257</f>
        <v>00/00/0000</v>
      </c>
      <c r="W256" s="327"/>
      <c r="X256" s="596"/>
      <c r="Y256" s="327"/>
      <c r="Z256" s="597"/>
      <c r="AA256" s="327"/>
      <c r="AB256" s="596"/>
      <c r="AC256" s="327"/>
      <c r="AD256" s="577"/>
      <c r="AE256" s="327"/>
      <c r="AF256" s="596"/>
      <c r="AG256" s="327"/>
      <c r="AH256" s="577"/>
      <c r="AI256" s="327"/>
      <c r="AJ256" s="596"/>
      <c r="AK256" s="327"/>
      <c r="AL256" s="598"/>
      <c r="AM256" s="326"/>
      <c r="AN256" s="326"/>
      <c r="AO256" s="326"/>
      <c r="AP256" s="326"/>
      <c r="AQ256" s="326"/>
      <c r="AR256" s="326"/>
      <c r="AS256" s="326"/>
      <c r="AT256" s="326"/>
      <c r="AU256" s="326"/>
      <c r="AV256" s="326"/>
      <c r="AW256" s="326"/>
      <c r="AX256" s="326"/>
      <c r="AY256" s="326"/>
      <c r="AZ256" s="326"/>
      <c r="BA256" s="326"/>
      <c r="BB256" s="327"/>
    </row>
    <row r="257" spans="1:54" ht="15.75" customHeight="1" x14ac:dyDescent="0.25">
      <c r="A257" s="11">
        <f t="shared" si="0"/>
        <v>244</v>
      </c>
      <c r="B257" s="504" t="str">
        <f>'refer admin discharge'!B253</f>
        <v>x</v>
      </c>
      <c r="C257" s="327"/>
      <c r="D257" s="505" t="str">
        <f>'refer admin discharge'!D253</f>
        <v>xx</v>
      </c>
      <c r="E257" s="327"/>
      <c r="F257" s="606" t="str">
        <f>'refer admin discharge'!H253</f>
        <v>00/00/0000</v>
      </c>
      <c r="G257" s="327"/>
      <c r="H257" s="594"/>
      <c r="I257" s="327"/>
      <c r="J257" s="605"/>
      <c r="K257" s="327"/>
      <c r="L257" s="594"/>
      <c r="M257" s="327"/>
      <c r="N257" s="575"/>
      <c r="O257" s="327"/>
      <c r="P257" s="594"/>
      <c r="Q257" s="327"/>
      <c r="R257" s="575"/>
      <c r="S257" s="327"/>
      <c r="T257" s="594"/>
      <c r="U257" s="327"/>
      <c r="V257" s="595" t="str">
        <f>'refer admin discharge'!H258</f>
        <v>00/00/0000</v>
      </c>
      <c r="W257" s="327"/>
      <c r="X257" s="577"/>
      <c r="Y257" s="327"/>
      <c r="Z257" s="604"/>
      <c r="AA257" s="327"/>
      <c r="AB257" s="577"/>
      <c r="AC257" s="327"/>
      <c r="AD257" s="576"/>
      <c r="AE257" s="327"/>
      <c r="AF257" s="577"/>
      <c r="AG257" s="327"/>
      <c r="AH257" s="576"/>
      <c r="AI257" s="327"/>
      <c r="AJ257" s="577"/>
      <c r="AK257" s="327"/>
      <c r="AL257" s="602"/>
      <c r="AM257" s="326"/>
      <c r="AN257" s="326"/>
      <c r="AO257" s="326"/>
      <c r="AP257" s="326"/>
      <c r="AQ257" s="326"/>
      <c r="AR257" s="326"/>
      <c r="AS257" s="326"/>
      <c r="AT257" s="326"/>
      <c r="AU257" s="326"/>
      <c r="AV257" s="326"/>
      <c r="AW257" s="326"/>
      <c r="AX257" s="326"/>
      <c r="AY257" s="326"/>
      <c r="AZ257" s="326"/>
      <c r="BA257" s="326"/>
      <c r="BB257" s="327"/>
    </row>
    <row r="258" spans="1:54" ht="15.75" customHeight="1" x14ac:dyDescent="0.25">
      <c r="A258" s="11">
        <f t="shared" si="0"/>
        <v>245</v>
      </c>
      <c r="B258" s="570" t="str">
        <f>'refer admin discharge'!B254</f>
        <v>x</v>
      </c>
      <c r="C258" s="327"/>
      <c r="D258" s="599" t="str">
        <f>'refer admin discharge'!D254</f>
        <v>xx</v>
      </c>
      <c r="E258" s="327"/>
      <c r="F258" s="600" t="str">
        <f>'refer admin discharge'!H254</f>
        <v>00/00/0000</v>
      </c>
      <c r="G258" s="327"/>
      <c r="H258" s="574"/>
      <c r="I258" s="327"/>
      <c r="J258" s="601"/>
      <c r="K258" s="327"/>
      <c r="L258" s="574"/>
      <c r="M258" s="327"/>
      <c r="N258" s="594"/>
      <c r="O258" s="327"/>
      <c r="P258" s="574"/>
      <c r="Q258" s="327"/>
      <c r="R258" s="594"/>
      <c r="S258" s="327"/>
      <c r="T258" s="574"/>
      <c r="U258" s="327"/>
      <c r="V258" s="595" t="str">
        <f>'refer admin discharge'!H259</f>
        <v>00/00/0000</v>
      </c>
      <c r="W258" s="327"/>
      <c r="X258" s="596"/>
      <c r="Y258" s="327"/>
      <c r="Z258" s="597"/>
      <c r="AA258" s="327"/>
      <c r="AB258" s="596"/>
      <c r="AC258" s="327"/>
      <c r="AD258" s="577"/>
      <c r="AE258" s="327"/>
      <c r="AF258" s="596"/>
      <c r="AG258" s="327"/>
      <c r="AH258" s="577"/>
      <c r="AI258" s="327"/>
      <c r="AJ258" s="596"/>
      <c r="AK258" s="327"/>
      <c r="AL258" s="598"/>
      <c r="AM258" s="326"/>
      <c r="AN258" s="326"/>
      <c r="AO258" s="326"/>
      <c r="AP258" s="326"/>
      <c r="AQ258" s="326"/>
      <c r="AR258" s="326"/>
      <c r="AS258" s="326"/>
      <c r="AT258" s="326"/>
      <c r="AU258" s="326"/>
      <c r="AV258" s="326"/>
      <c r="AW258" s="326"/>
      <c r="AX258" s="326"/>
      <c r="AY258" s="326"/>
      <c r="AZ258" s="326"/>
      <c r="BA258" s="326"/>
      <c r="BB258" s="327"/>
    </row>
    <row r="259" spans="1:54" ht="15.75" customHeight="1" x14ac:dyDescent="0.25">
      <c r="A259" s="11">
        <f t="shared" si="0"/>
        <v>246</v>
      </c>
      <c r="B259" s="504" t="str">
        <f>'refer admin discharge'!B255</f>
        <v>x</v>
      </c>
      <c r="C259" s="327"/>
      <c r="D259" s="505" t="str">
        <f>'refer admin discharge'!D255</f>
        <v>xx</v>
      </c>
      <c r="E259" s="327"/>
      <c r="F259" s="606" t="str">
        <f>'refer admin discharge'!H255</f>
        <v>00/00/0000</v>
      </c>
      <c r="G259" s="327"/>
      <c r="H259" s="594"/>
      <c r="I259" s="327"/>
      <c r="J259" s="605"/>
      <c r="K259" s="327"/>
      <c r="L259" s="594"/>
      <c r="M259" s="327"/>
      <c r="N259" s="575"/>
      <c r="O259" s="327"/>
      <c r="P259" s="594"/>
      <c r="Q259" s="327"/>
      <c r="R259" s="575"/>
      <c r="S259" s="327"/>
      <c r="T259" s="594"/>
      <c r="U259" s="327"/>
      <c r="V259" s="595" t="str">
        <f>'refer admin discharge'!H260</f>
        <v>00/00/0000</v>
      </c>
      <c r="W259" s="327"/>
      <c r="X259" s="577"/>
      <c r="Y259" s="327"/>
      <c r="Z259" s="604"/>
      <c r="AA259" s="327"/>
      <c r="AB259" s="577"/>
      <c r="AC259" s="327"/>
      <c r="AD259" s="576"/>
      <c r="AE259" s="327"/>
      <c r="AF259" s="577"/>
      <c r="AG259" s="327"/>
      <c r="AH259" s="576"/>
      <c r="AI259" s="327"/>
      <c r="AJ259" s="577"/>
      <c r="AK259" s="327"/>
      <c r="AL259" s="602"/>
      <c r="AM259" s="326"/>
      <c r="AN259" s="326"/>
      <c r="AO259" s="326"/>
      <c r="AP259" s="326"/>
      <c r="AQ259" s="326"/>
      <c r="AR259" s="326"/>
      <c r="AS259" s="326"/>
      <c r="AT259" s="326"/>
      <c r="AU259" s="326"/>
      <c r="AV259" s="326"/>
      <c r="AW259" s="326"/>
      <c r="AX259" s="326"/>
      <c r="AY259" s="326"/>
      <c r="AZ259" s="326"/>
      <c r="BA259" s="326"/>
      <c r="BB259" s="327"/>
    </row>
    <row r="260" spans="1:54" ht="15.75" customHeight="1" x14ac:dyDescent="0.25">
      <c r="A260" s="11">
        <f t="shared" si="0"/>
        <v>247</v>
      </c>
      <c r="B260" s="570" t="str">
        <f>'refer admin discharge'!B256</f>
        <v>x</v>
      </c>
      <c r="C260" s="327"/>
      <c r="D260" s="599" t="str">
        <f>'refer admin discharge'!D256</f>
        <v>xx</v>
      </c>
      <c r="E260" s="327"/>
      <c r="F260" s="600" t="str">
        <f>'refer admin discharge'!H256</f>
        <v>00/00/0000</v>
      </c>
      <c r="G260" s="327"/>
      <c r="H260" s="574"/>
      <c r="I260" s="327"/>
      <c r="J260" s="601"/>
      <c r="K260" s="327"/>
      <c r="L260" s="574"/>
      <c r="M260" s="327"/>
      <c r="N260" s="594"/>
      <c r="O260" s="327"/>
      <c r="P260" s="574"/>
      <c r="Q260" s="327"/>
      <c r="R260" s="594"/>
      <c r="S260" s="327"/>
      <c r="T260" s="574"/>
      <c r="U260" s="327"/>
      <c r="V260" s="595" t="str">
        <f>'refer admin discharge'!H261</f>
        <v>00/00/0000</v>
      </c>
      <c r="W260" s="327"/>
      <c r="X260" s="596"/>
      <c r="Y260" s="327"/>
      <c r="Z260" s="597"/>
      <c r="AA260" s="327"/>
      <c r="AB260" s="596"/>
      <c r="AC260" s="327"/>
      <c r="AD260" s="577"/>
      <c r="AE260" s="327"/>
      <c r="AF260" s="596"/>
      <c r="AG260" s="327"/>
      <c r="AH260" s="577"/>
      <c r="AI260" s="327"/>
      <c r="AJ260" s="596"/>
      <c r="AK260" s="327"/>
      <c r="AL260" s="598"/>
      <c r="AM260" s="326"/>
      <c r="AN260" s="326"/>
      <c r="AO260" s="326"/>
      <c r="AP260" s="326"/>
      <c r="AQ260" s="326"/>
      <c r="AR260" s="326"/>
      <c r="AS260" s="326"/>
      <c r="AT260" s="326"/>
      <c r="AU260" s="326"/>
      <c r="AV260" s="326"/>
      <c r="AW260" s="326"/>
      <c r="AX260" s="326"/>
      <c r="AY260" s="326"/>
      <c r="AZ260" s="326"/>
      <c r="BA260" s="326"/>
      <c r="BB260" s="327"/>
    </row>
    <row r="261" spans="1:54" ht="15.75" customHeight="1" x14ac:dyDescent="0.25">
      <c r="A261" s="11">
        <f t="shared" si="0"/>
        <v>248</v>
      </c>
      <c r="B261" s="504" t="str">
        <f>'refer admin discharge'!B257</f>
        <v>x</v>
      </c>
      <c r="C261" s="327"/>
      <c r="D261" s="505" t="str">
        <f>'refer admin discharge'!D257</f>
        <v>xx</v>
      </c>
      <c r="E261" s="327"/>
      <c r="F261" s="606" t="str">
        <f>'refer admin discharge'!H257</f>
        <v>00/00/0000</v>
      </c>
      <c r="G261" s="327"/>
      <c r="H261" s="594"/>
      <c r="I261" s="327"/>
      <c r="J261" s="605"/>
      <c r="K261" s="327"/>
      <c r="L261" s="594"/>
      <c r="M261" s="327"/>
      <c r="N261" s="575"/>
      <c r="O261" s="327"/>
      <c r="P261" s="594"/>
      <c r="Q261" s="327"/>
      <c r="R261" s="575"/>
      <c r="S261" s="327"/>
      <c r="T261" s="594"/>
      <c r="U261" s="327"/>
      <c r="V261" s="595" t="str">
        <f>'refer admin discharge'!H262</f>
        <v>00/00/0000</v>
      </c>
      <c r="W261" s="327"/>
      <c r="X261" s="577"/>
      <c r="Y261" s="327"/>
      <c r="Z261" s="604"/>
      <c r="AA261" s="327"/>
      <c r="AB261" s="577"/>
      <c r="AC261" s="327"/>
      <c r="AD261" s="576"/>
      <c r="AE261" s="327"/>
      <c r="AF261" s="577"/>
      <c r="AG261" s="327"/>
      <c r="AH261" s="576"/>
      <c r="AI261" s="327"/>
      <c r="AJ261" s="577"/>
      <c r="AK261" s="327"/>
      <c r="AL261" s="602"/>
      <c r="AM261" s="326"/>
      <c r="AN261" s="326"/>
      <c r="AO261" s="326"/>
      <c r="AP261" s="326"/>
      <c r="AQ261" s="326"/>
      <c r="AR261" s="326"/>
      <c r="AS261" s="326"/>
      <c r="AT261" s="326"/>
      <c r="AU261" s="326"/>
      <c r="AV261" s="326"/>
      <c r="AW261" s="326"/>
      <c r="AX261" s="326"/>
      <c r="AY261" s="326"/>
      <c r="AZ261" s="326"/>
      <c r="BA261" s="326"/>
      <c r="BB261" s="327"/>
    </row>
    <row r="262" spans="1:54" ht="15.75" customHeight="1" x14ac:dyDescent="0.25">
      <c r="A262" s="11">
        <f t="shared" si="0"/>
        <v>249</v>
      </c>
      <c r="B262" s="570" t="str">
        <f>'refer admin discharge'!B258</f>
        <v>x</v>
      </c>
      <c r="C262" s="327"/>
      <c r="D262" s="599" t="str">
        <f>'refer admin discharge'!D258</f>
        <v>xx</v>
      </c>
      <c r="E262" s="327"/>
      <c r="F262" s="600" t="str">
        <f>'refer admin discharge'!H258</f>
        <v>00/00/0000</v>
      </c>
      <c r="G262" s="327"/>
      <c r="H262" s="574"/>
      <c r="I262" s="327"/>
      <c r="J262" s="601"/>
      <c r="K262" s="327"/>
      <c r="L262" s="574"/>
      <c r="M262" s="327"/>
      <c r="N262" s="594"/>
      <c r="O262" s="327"/>
      <c r="P262" s="574"/>
      <c r="Q262" s="327"/>
      <c r="R262" s="594"/>
      <c r="S262" s="327"/>
      <c r="T262" s="574"/>
      <c r="U262" s="327"/>
      <c r="V262" s="595" t="str">
        <f>'refer admin discharge'!H263</f>
        <v>00/00/0000</v>
      </c>
      <c r="W262" s="327"/>
      <c r="X262" s="596"/>
      <c r="Y262" s="327"/>
      <c r="Z262" s="597"/>
      <c r="AA262" s="327"/>
      <c r="AB262" s="596"/>
      <c r="AC262" s="327"/>
      <c r="AD262" s="577"/>
      <c r="AE262" s="327"/>
      <c r="AF262" s="596"/>
      <c r="AG262" s="327"/>
      <c r="AH262" s="577"/>
      <c r="AI262" s="327"/>
      <c r="AJ262" s="596"/>
      <c r="AK262" s="327"/>
      <c r="AL262" s="598"/>
      <c r="AM262" s="326"/>
      <c r="AN262" s="326"/>
      <c r="AO262" s="326"/>
      <c r="AP262" s="326"/>
      <c r="AQ262" s="326"/>
      <c r="AR262" s="326"/>
      <c r="AS262" s="326"/>
      <c r="AT262" s="326"/>
      <c r="AU262" s="326"/>
      <c r="AV262" s="326"/>
      <c r="AW262" s="326"/>
      <c r="AX262" s="326"/>
      <c r="AY262" s="326"/>
      <c r="AZ262" s="326"/>
      <c r="BA262" s="326"/>
      <c r="BB262" s="327"/>
    </row>
    <row r="263" spans="1:54" ht="15.75" customHeight="1" x14ac:dyDescent="0.25">
      <c r="A263" s="11">
        <f t="shared" si="0"/>
        <v>250</v>
      </c>
      <c r="B263" s="504" t="str">
        <f>'refer admin discharge'!B259</f>
        <v>x</v>
      </c>
      <c r="C263" s="327"/>
      <c r="D263" s="505" t="str">
        <f>'refer admin discharge'!D259</f>
        <v>xx</v>
      </c>
      <c r="E263" s="327"/>
      <c r="F263" s="606" t="str">
        <f>'refer admin discharge'!H259</f>
        <v>00/00/0000</v>
      </c>
      <c r="G263" s="327"/>
      <c r="H263" s="594"/>
      <c r="I263" s="327"/>
      <c r="J263" s="605"/>
      <c r="K263" s="327"/>
      <c r="L263" s="594"/>
      <c r="M263" s="327"/>
      <c r="N263" s="575"/>
      <c r="O263" s="327"/>
      <c r="P263" s="594"/>
      <c r="Q263" s="327"/>
      <c r="R263" s="575"/>
      <c r="S263" s="327"/>
      <c r="T263" s="594"/>
      <c r="U263" s="327"/>
      <c r="V263" s="595" t="str">
        <f>'refer admin discharge'!H264</f>
        <v>00/00/0000</v>
      </c>
      <c r="W263" s="327"/>
      <c r="X263" s="577"/>
      <c r="Y263" s="327"/>
      <c r="Z263" s="604"/>
      <c r="AA263" s="327"/>
      <c r="AB263" s="577"/>
      <c r="AC263" s="327"/>
      <c r="AD263" s="576"/>
      <c r="AE263" s="327"/>
      <c r="AF263" s="577"/>
      <c r="AG263" s="327"/>
      <c r="AH263" s="576"/>
      <c r="AI263" s="327"/>
      <c r="AJ263" s="577"/>
      <c r="AK263" s="327"/>
      <c r="AL263" s="602"/>
      <c r="AM263" s="326"/>
      <c r="AN263" s="326"/>
      <c r="AO263" s="326"/>
      <c r="AP263" s="326"/>
      <c r="AQ263" s="326"/>
      <c r="AR263" s="326"/>
      <c r="AS263" s="326"/>
      <c r="AT263" s="326"/>
      <c r="AU263" s="326"/>
      <c r="AV263" s="326"/>
      <c r="AW263" s="326"/>
      <c r="AX263" s="326"/>
      <c r="AY263" s="326"/>
      <c r="AZ263" s="326"/>
      <c r="BA263" s="326"/>
      <c r="BB263" s="327"/>
    </row>
    <row r="264" spans="1:54" ht="15.75" customHeight="1" x14ac:dyDescent="0.25">
      <c r="A264" s="11">
        <f t="shared" si="0"/>
        <v>251</v>
      </c>
      <c r="B264" s="570" t="str">
        <f>'refer admin discharge'!B260</f>
        <v>x</v>
      </c>
      <c r="C264" s="327"/>
      <c r="D264" s="599" t="str">
        <f>'refer admin discharge'!D260</f>
        <v>xx</v>
      </c>
      <c r="E264" s="327"/>
      <c r="F264" s="600" t="str">
        <f>'refer admin discharge'!H260</f>
        <v>00/00/0000</v>
      </c>
      <c r="G264" s="327"/>
      <c r="H264" s="574"/>
      <c r="I264" s="327"/>
      <c r="J264" s="601"/>
      <c r="K264" s="327"/>
      <c r="L264" s="574"/>
      <c r="M264" s="327"/>
      <c r="N264" s="594"/>
      <c r="O264" s="327"/>
      <c r="P264" s="574"/>
      <c r="Q264" s="327"/>
      <c r="R264" s="594"/>
      <c r="S264" s="327"/>
      <c r="T264" s="574"/>
      <c r="U264" s="327"/>
      <c r="V264" s="595" t="str">
        <f>'refer admin discharge'!H265</f>
        <v>00/00/0000</v>
      </c>
      <c r="W264" s="327"/>
      <c r="X264" s="596"/>
      <c r="Y264" s="327"/>
      <c r="Z264" s="597"/>
      <c r="AA264" s="327"/>
      <c r="AB264" s="596"/>
      <c r="AC264" s="327"/>
      <c r="AD264" s="577"/>
      <c r="AE264" s="327"/>
      <c r="AF264" s="596"/>
      <c r="AG264" s="327"/>
      <c r="AH264" s="577"/>
      <c r="AI264" s="327"/>
      <c r="AJ264" s="596"/>
      <c r="AK264" s="327"/>
      <c r="AL264" s="598"/>
      <c r="AM264" s="326"/>
      <c r="AN264" s="326"/>
      <c r="AO264" s="326"/>
      <c r="AP264" s="326"/>
      <c r="AQ264" s="326"/>
      <c r="AR264" s="326"/>
      <c r="AS264" s="326"/>
      <c r="AT264" s="326"/>
      <c r="AU264" s="326"/>
      <c r="AV264" s="326"/>
      <c r="AW264" s="326"/>
      <c r="AX264" s="326"/>
      <c r="AY264" s="326"/>
      <c r="AZ264" s="326"/>
      <c r="BA264" s="326"/>
      <c r="BB264" s="327"/>
    </row>
    <row r="265" spans="1:54" ht="15.75" customHeight="1" x14ac:dyDescent="0.25">
      <c r="A265" s="11">
        <f t="shared" si="0"/>
        <v>252</v>
      </c>
      <c r="B265" s="504" t="str">
        <f>'refer admin discharge'!B261</f>
        <v>x</v>
      </c>
      <c r="C265" s="327"/>
      <c r="D265" s="505" t="str">
        <f>'refer admin discharge'!D261</f>
        <v>xx</v>
      </c>
      <c r="E265" s="327"/>
      <c r="F265" s="606" t="str">
        <f>'refer admin discharge'!H261</f>
        <v>00/00/0000</v>
      </c>
      <c r="G265" s="327"/>
      <c r="H265" s="594"/>
      <c r="I265" s="327"/>
      <c r="J265" s="605"/>
      <c r="K265" s="327"/>
      <c r="L265" s="594"/>
      <c r="M265" s="327"/>
      <c r="N265" s="575"/>
      <c r="O265" s="327"/>
      <c r="P265" s="594"/>
      <c r="Q265" s="327"/>
      <c r="R265" s="575"/>
      <c r="S265" s="327"/>
      <c r="T265" s="594"/>
      <c r="U265" s="327"/>
      <c r="V265" s="595" t="str">
        <f>'refer admin discharge'!H266</f>
        <v>00/00/0000</v>
      </c>
      <c r="W265" s="327"/>
      <c r="X265" s="577"/>
      <c r="Y265" s="327"/>
      <c r="Z265" s="604"/>
      <c r="AA265" s="327"/>
      <c r="AB265" s="577"/>
      <c r="AC265" s="327"/>
      <c r="AD265" s="576"/>
      <c r="AE265" s="327"/>
      <c r="AF265" s="577"/>
      <c r="AG265" s="327"/>
      <c r="AH265" s="576"/>
      <c r="AI265" s="327"/>
      <c r="AJ265" s="577"/>
      <c r="AK265" s="327"/>
      <c r="AL265" s="602"/>
      <c r="AM265" s="326"/>
      <c r="AN265" s="326"/>
      <c r="AO265" s="326"/>
      <c r="AP265" s="326"/>
      <c r="AQ265" s="326"/>
      <c r="AR265" s="326"/>
      <c r="AS265" s="326"/>
      <c r="AT265" s="326"/>
      <c r="AU265" s="326"/>
      <c r="AV265" s="326"/>
      <c r="AW265" s="326"/>
      <c r="AX265" s="326"/>
      <c r="AY265" s="326"/>
      <c r="AZ265" s="326"/>
      <c r="BA265" s="326"/>
      <c r="BB265" s="327"/>
    </row>
    <row r="266" spans="1:54" ht="15.75" customHeight="1" x14ac:dyDescent="0.25">
      <c r="A266" s="11">
        <f t="shared" si="0"/>
        <v>253</v>
      </c>
      <c r="B266" s="570" t="str">
        <f>'refer admin discharge'!B262</f>
        <v>x</v>
      </c>
      <c r="C266" s="327"/>
      <c r="D266" s="599" t="str">
        <f>'refer admin discharge'!D262</f>
        <v>xx</v>
      </c>
      <c r="E266" s="327"/>
      <c r="F266" s="600" t="str">
        <f>'refer admin discharge'!H262</f>
        <v>00/00/0000</v>
      </c>
      <c r="G266" s="327"/>
      <c r="H266" s="574"/>
      <c r="I266" s="327"/>
      <c r="J266" s="601"/>
      <c r="K266" s="327"/>
      <c r="L266" s="574"/>
      <c r="M266" s="327"/>
      <c r="N266" s="594"/>
      <c r="O266" s="327"/>
      <c r="P266" s="574"/>
      <c r="Q266" s="327"/>
      <c r="R266" s="594"/>
      <c r="S266" s="327"/>
      <c r="T266" s="574"/>
      <c r="U266" s="327"/>
      <c r="V266" s="595" t="str">
        <f>'refer admin discharge'!H267</f>
        <v>00/00/0000</v>
      </c>
      <c r="W266" s="327"/>
      <c r="X266" s="596"/>
      <c r="Y266" s="327"/>
      <c r="Z266" s="597"/>
      <c r="AA266" s="327"/>
      <c r="AB266" s="596"/>
      <c r="AC266" s="327"/>
      <c r="AD266" s="577"/>
      <c r="AE266" s="327"/>
      <c r="AF266" s="596"/>
      <c r="AG266" s="327"/>
      <c r="AH266" s="577"/>
      <c r="AI266" s="327"/>
      <c r="AJ266" s="596"/>
      <c r="AK266" s="327"/>
      <c r="AL266" s="598"/>
      <c r="AM266" s="326"/>
      <c r="AN266" s="326"/>
      <c r="AO266" s="326"/>
      <c r="AP266" s="326"/>
      <c r="AQ266" s="326"/>
      <c r="AR266" s="326"/>
      <c r="AS266" s="326"/>
      <c r="AT266" s="326"/>
      <c r="AU266" s="326"/>
      <c r="AV266" s="326"/>
      <c r="AW266" s="326"/>
      <c r="AX266" s="326"/>
      <c r="AY266" s="326"/>
      <c r="AZ266" s="326"/>
      <c r="BA266" s="326"/>
      <c r="BB266" s="327"/>
    </row>
    <row r="267" spans="1:54" ht="15.75" customHeight="1" x14ac:dyDescent="0.25">
      <c r="A267" s="11">
        <f t="shared" si="0"/>
        <v>254</v>
      </c>
      <c r="B267" s="504" t="str">
        <f>'refer admin discharge'!B263</f>
        <v>x</v>
      </c>
      <c r="C267" s="327"/>
      <c r="D267" s="505" t="str">
        <f>'refer admin discharge'!D263</f>
        <v>xx</v>
      </c>
      <c r="E267" s="327"/>
      <c r="F267" s="606" t="str">
        <f>'refer admin discharge'!H263</f>
        <v>00/00/0000</v>
      </c>
      <c r="G267" s="327"/>
      <c r="H267" s="594"/>
      <c r="I267" s="327"/>
      <c r="J267" s="605"/>
      <c r="K267" s="327"/>
      <c r="L267" s="594"/>
      <c r="M267" s="327"/>
      <c r="N267" s="575"/>
      <c r="O267" s="327"/>
      <c r="P267" s="594"/>
      <c r="Q267" s="327"/>
      <c r="R267" s="575"/>
      <c r="S267" s="327"/>
      <c r="T267" s="594"/>
      <c r="U267" s="327"/>
      <c r="V267" s="595" t="str">
        <f>'refer admin discharge'!H268</f>
        <v>00/00/0000</v>
      </c>
      <c r="W267" s="327"/>
      <c r="X267" s="577"/>
      <c r="Y267" s="327"/>
      <c r="Z267" s="604"/>
      <c r="AA267" s="327"/>
      <c r="AB267" s="577"/>
      <c r="AC267" s="327"/>
      <c r="AD267" s="576"/>
      <c r="AE267" s="327"/>
      <c r="AF267" s="577"/>
      <c r="AG267" s="327"/>
      <c r="AH267" s="576"/>
      <c r="AI267" s="327"/>
      <c r="AJ267" s="577"/>
      <c r="AK267" s="327"/>
      <c r="AL267" s="602"/>
      <c r="AM267" s="326"/>
      <c r="AN267" s="326"/>
      <c r="AO267" s="326"/>
      <c r="AP267" s="326"/>
      <c r="AQ267" s="326"/>
      <c r="AR267" s="326"/>
      <c r="AS267" s="326"/>
      <c r="AT267" s="326"/>
      <c r="AU267" s="326"/>
      <c r="AV267" s="326"/>
      <c r="AW267" s="326"/>
      <c r="AX267" s="326"/>
      <c r="AY267" s="326"/>
      <c r="AZ267" s="326"/>
      <c r="BA267" s="326"/>
      <c r="BB267" s="327"/>
    </row>
    <row r="268" spans="1:54" ht="15.75" customHeight="1" x14ac:dyDescent="0.25">
      <c r="A268" s="11">
        <f t="shared" si="0"/>
        <v>255</v>
      </c>
      <c r="B268" s="570" t="str">
        <f>'refer admin discharge'!B264</f>
        <v>x</v>
      </c>
      <c r="C268" s="327"/>
      <c r="D268" s="599" t="str">
        <f>'refer admin discharge'!D264</f>
        <v>xx</v>
      </c>
      <c r="E268" s="327"/>
      <c r="F268" s="600" t="str">
        <f>'refer admin discharge'!H264</f>
        <v>00/00/0000</v>
      </c>
      <c r="G268" s="327"/>
      <c r="H268" s="574"/>
      <c r="I268" s="327"/>
      <c r="J268" s="601"/>
      <c r="K268" s="327"/>
      <c r="L268" s="574"/>
      <c r="M268" s="327"/>
      <c r="N268" s="594"/>
      <c r="O268" s="327"/>
      <c r="P268" s="574"/>
      <c r="Q268" s="327"/>
      <c r="R268" s="594"/>
      <c r="S268" s="327"/>
      <c r="T268" s="574"/>
      <c r="U268" s="327"/>
      <c r="V268" s="595" t="str">
        <f>'refer admin discharge'!H269</f>
        <v>00/00/0000</v>
      </c>
      <c r="W268" s="327"/>
      <c r="X268" s="596"/>
      <c r="Y268" s="327"/>
      <c r="Z268" s="597"/>
      <c r="AA268" s="327"/>
      <c r="AB268" s="596"/>
      <c r="AC268" s="327"/>
      <c r="AD268" s="577"/>
      <c r="AE268" s="327"/>
      <c r="AF268" s="596"/>
      <c r="AG268" s="327"/>
      <c r="AH268" s="577"/>
      <c r="AI268" s="327"/>
      <c r="AJ268" s="596"/>
      <c r="AK268" s="327"/>
      <c r="AL268" s="598"/>
      <c r="AM268" s="326"/>
      <c r="AN268" s="326"/>
      <c r="AO268" s="326"/>
      <c r="AP268" s="326"/>
      <c r="AQ268" s="326"/>
      <c r="AR268" s="326"/>
      <c r="AS268" s="326"/>
      <c r="AT268" s="326"/>
      <c r="AU268" s="326"/>
      <c r="AV268" s="326"/>
      <c r="AW268" s="326"/>
      <c r="AX268" s="326"/>
      <c r="AY268" s="326"/>
      <c r="AZ268" s="326"/>
      <c r="BA268" s="326"/>
      <c r="BB268" s="327"/>
    </row>
    <row r="269" spans="1:54" ht="15.75" customHeight="1" x14ac:dyDescent="0.25">
      <c r="A269" s="11">
        <f t="shared" ref="A269:A523" si="1">ROW(A256)</f>
        <v>256</v>
      </c>
      <c r="B269" s="504" t="str">
        <f>'refer admin discharge'!B265</f>
        <v>x</v>
      </c>
      <c r="C269" s="327"/>
      <c r="D269" s="505" t="str">
        <f>'refer admin discharge'!D265</f>
        <v>xx</v>
      </c>
      <c r="E269" s="327"/>
      <c r="F269" s="606" t="str">
        <f>'refer admin discharge'!H265</f>
        <v>00/00/0000</v>
      </c>
      <c r="G269" s="327"/>
      <c r="H269" s="594"/>
      <c r="I269" s="327"/>
      <c r="J269" s="605"/>
      <c r="K269" s="327"/>
      <c r="L269" s="594"/>
      <c r="M269" s="327"/>
      <c r="N269" s="575"/>
      <c r="O269" s="327"/>
      <c r="P269" s="594"/>
      <c r="Q269" s="327"/>
      <c r="R269" s="575"/>
      <c r="S269" s="327"/>
      <c r="T269" s="594"/>
      <c r="U269" s="327"/>
      <c r="V269" s="595" t="str">
        <f>'refer admin discharge'!H270</f>
        <v>00/00/0000</v>
      </c>
      <c r="W269" s="327"/>
      <c r="X269" s="577"/>
      <c r="Y269" s="327"/>
      <c r="Z269" s="604"/>
      <c r="AA269" s="327"/>
      <c r="AB269" s="577"/>
      <c r="AC269" s="327"/>
      <c r="AD269" s="576"/>
      <c r="AE269" s="327"/>
      <c r="AF269" s="577"/>
      <c r="AG269" s="327"/>
      <c r="AH269" s="576"/>
      <c r="AI269" s="327"/>
      <c r="AJ269" s="577"/>
      <c r="AK269" s="327"/>
      <c r="AL269" s="602"/>
      <c r="AM269" s="326"/>
      <c r="AN269" s="326"/>
      <c r="AO269" s="326"/>
      <c r="AP269" s="326"/>
      <c r="AQ269" s="326"/>
      <c r="AR269" s="326"/>
      <c r="AS269" s="326"/>
      <c r="AT269" s="326"/>
      <c r="AU269" s="326"/>
      <c r="AV269" s="326"/>
      <c r="AW269" s="326"/>
      <c r="AX269" s="326"/>
      <c r="AY269" s="326"/>
      <c r="AZ269" s="326"/>
      <c r="BA269" s="326"/>
      <c r="BB269" s="327"/>
    </row>
    <row r="270" spans="1:54" ht="15.75" customHeight="1" x14ac:dyDescent="0.25">
      <c r="A270" s="11">
        <f t="shared" si="1"/>
        <v>257</v>
      </c>
      <c r="B270" s="570" t="str">
        <f>'refer admin discharge'!B266</f>
        <v>x</v>
      </c>
      <c r="C270" s="327"/>
      <c r="D270" s="599" t="str">
        <f>'refer admin discharge'!D266</f>
        <v>xx</v>
      </c>
      <c r="E270" s="327"/>
      <c r="F270" s="600" t="str">
        <f>'refer admin discharge'!H266</f>
        <v>00/00/0000</v>
      </c>
      <c r="G270" s="327"/>
      <c r="H270" s="574"/>
      <c r="I270" s="327"/>
      <c r="J270" s="601"/>
      <c r="K270" s="327"/>
      <c r="L270" s="574"/>
      <c r="M270" s="327"/>
      <c r="N270" s="594"/>
      <c r="O270" s="327"/>
      <c r="P270" s="574"/>
      <c r="Q270" s="327"/>
      <c r="R270" s="594"/>
      <c r="S270" s="327"/>
      <c r="T270" s="574"/>
      <c r="U270" s="327"/>
      <c r="V270" s="595" t="str">
        <f>'refer admin discharge'!H271</f>
        <v>00/00/0000</v>
      </c>
      <c r="W270" s="327"/>
      <c r="X270" s="596"/>
      <c r="Y270" s="327"/>
      <c r="Z270" s="597"/>
      <c r="AA270" s="327"/>
      <c r="AB270" s="596"/>
      <c r="AC270" s="327"/>
      <c r="AD270" s="577"/>
      <c r="AE270" s="327"/>
      <c r="AF270" s="596"/>
      <c r="AG270" s="327"/>
      <c r="AH270" s="577"/>
      <c r="AI270" s="327"/>
      <c r="AJ270" s="596"/>
      <c r="AK270" s="327"/>
      <c r="AL270" s="598"/>
      <c r="AM270" s="326"/>
      <c r="AN270" s="326"/>
      <c r="AO270" s="326"/>
      <c r="AP270" s="326"/>
      <c r="AQ270" s="326"/>
      <c r="AR270" s="326"/>
      <c r="AS270" s="326"/>
      <c r="AT270" s="326"/>
      <c r="AU270" s="326"/>
      <c r="AV270" s="326"/>
      <c r="AW270" s="326"/>
      <c r="AX270" s="326"/>
      <c r="AY270" s="326"/>
      <c r="AZ270" s="326"/>
      <c r="BA270" s="326"/>
      <c r="BB270" s="327"/>
    </row>
    <row r="271" spans="1:54" ht="15.75" customHeight="1" x14ac:dyDescent="0.25">
      <c r="A271" s="11">
        <f t="shared" si="1"/>
        <v>258</v>
      </c>
      <c r="B271" s="504" t="str">
        <f>'refer admin discharge'!B267</f>
        <v>x</v>
      </c>
      <c r="C271" s="327"/>
      <c r="D271" s="505" t="str">
        <f>'refer admin discharge'!D267</f>
        <v>xx</v>
      </c>
      <c r="E271" s="327"/>
      <c r="F271" s="606" t="str">
        <f>'refer admin discharge'!H267</f>
        <v>00/00/0000</v>
      </c>
      <c r="G271" s="327"/>
      <c r="H271" s="594"/>
      <c r="I271" s="327"/>
      <c r="J271" s="605"/>
      <c r="K271" s="327"/>
      <c r="L271" s="594"/>
      <c r="M271" s="327"/>
      <c r="N271" s="575"/>
      <c r="O271" s="327"/>
      <c r="P271" s="594"/>
      <c r="Q271" s="327"/>
      <c r="R271" s="575"/>
      <c r="S271" s="327"/>
      <c r="T271" s="594"/>
      <c r="U271" s="327"/>
      <c r="V271" s="595" t="str">
        <f>'refer admin discharge'!H272</f>
        <v>00/00/0000</v>
      </c>
      <c r="W271" s="327"/>
      <c r="X271" s="577"/>
      <c r="Y271" s="327"/>
      <c r="Z271" s="604"/>
      <c r="AA271" s="327"/>
      <c r="AB271" s="577"/>
      <c r="AC271" s="327"/>
      <c r="AD271" s="576"/>
      <c r="AE271" s="327"/>
      <c r="AF271" s="577"/>
      <c r="AG271" s="327"/>
      <c r="AH271" s="576"/>
      <c r="AI271" s="327"/>
      <c r="AJ271" s="577"/>
      <c r="AK271" s="327"/>
      <c r="AL271" s="602"/>
      <c r="AM271" s="326"/>
      <c r="AN271" s="326"/>
      <c r="AO271" s="326"/>
      <c r="AP271" s="326"/>
      <c r="AQ271" s="326"/>
      <c r="AR271" s="326"/>
      <c r="AS271" s="326"/>
      <c r="AT271" s="326"/>
      <c r="AU271" s="326"/>
      <c r="AV271" s="326"/>
      <c r="AW271" s="326"/>
      <c r="AX271" s="326"/>
      <c r="AY271" s="326"/>
      <c r="AZ271" s="326"/>
      <c r="BA271" s="326"/>
      <c r="BB271" s="327"/>
    </row>
    <row r="272" spans="1:54" ht="15.75" customHeight="1" x14ac:dyDescent="0.25">
      <c r="A272" s="11">
        <f t="shared" si="1"/>
        <v>259</v>
      </c>
      <c r="B272" s="570" t="str">
        <f>'refer admin discharge'!B268</f>
        <v>x</v>
      </c>
      <c r="C272" s="327"/>
      <c r="D272" s="599" t="str">
        <f>'refer admin discharge'!D268</f>
        <v>xx</v>
      </c>
      <c r="E272" s="327"/>
      <c r="F272" s="600" t="str">
        <f>'refer admin discharge'!H268</f>
        <v>00/00/0000</v>
      </c>
      <c r="G272" s="327"/>
      <c r="H272" s="574"/>
      <c r="I272" s="327"/>
      <c r="J272" s="601"/>
      <c r="K272" s="327"/>
      <c r="L272" s="574"/>
      <c r="M272" s="327"/>
      <c r="N272" s="594"/>
      <c r="O272" s="327"/>
      <c r="P272" s="574"/>
      <c r="Q272" s="327"/>
      <c r="R272" s="594"/>
      <c r="S272" s="327"/>
      <c r="T272" s="574"/>
      <c r="U272" s="327"/>
      <c r="V272" s="595" t="str">
        <f>'refer admin discharge'!H273</f>
        <v>00/00/0000</v>
      </c>
      <c r="W272" s="327"/>
      <c r="X272" s="596"/>
      <c r="Y272" s="327"/>
      <c r="Z272" s="597"/>
      <c r="AA272" s="327"/>
      <c r="AB272" s="596"/>
      <c r="AC272" s="327"/>
      <c r="AD272" s="577"/>
      <c r="AE272" s="327"/>
      <c r="AF272" s="596"/>
      <c r="AG272" s="327"/>
      <c r="AH272" s="577"/>
      <c r="AI272" s="327"/>
      <c r="AJ272" s="596"/>
      <c r="AK272" s="327"/>
      <c r="AL272" s="598"/>
      <c r="AM272" s="326"/>
      <c r="AN272" s="326"/>
      <c r="AO272" s="326"/>
      <c r="AP272" s="326"/>
      <c r="AQ272" s="326"/>
      <c r="AR272" s="326"/>
      <c r="AS272" s="326"/>
      <c r="AT272" s="326"/>
      <c r="AU272" s="326"/>
      <c r="AV272" s="326"/>
      <c r="AW272" s="326"/>
      <c r="AX272" s="326"/>
      <c r="AY272" s="326"/>
      <c r="AZ272" s="326"/>
      <c r="BA272" s="326"/>
      <c r="BB272" s="327"/>
    </row>
    <row r="273" spans="1:54" ht="15.75" customHeight="1" x14ac:dyDescent="0.25">
      <c r="A273" s="11">
        <f t="shared" si="1"/>
        <v>260</v>
      </c>
      <c r="B273" s="504" t="str">
        <f>'refer admin discharge'!B269</f>
        <v>x</v>
      </c>
      <c r="C273" s="327"/>
      <c r="D273" s="505" t="str">
        <f>'refer admin discharge'!D269</f>
        <v>xx</v>
      </c>
      <c r="E273" s="327"/>
      <c r="F273" s="606" t="str">
        <f>'refer admin discharge'!H269</f>
        <v>00/00/0000</v>
      </c>
      <c r="G273" s="327"/>
      <c r="H273" s="594"/>
      <c r="I273" s="327"/>
      <c r="J273" s="605"/>
      <c r="K273" s="327"/>
      <c r="L273" s="594"/>
      <c r="M273" s="327"/>
      <c r="N273" s="575"/>
      <c r="O273" s="327"/>
      <c r="P273" s="594"/>
      <c r="Q273" s="327"/>
      <c r="R273" s="575"/>
      <c r="S273" s="327"/>
      <c r="T273" s="594"/>
      <c r="U273" s="327"/>
      <c r="V273" s="595" t="str">
        <f>'refer admin discharge'!H274</f>
        <v>00/00/0000</v>
      </c>
      <c r="W273" s="327"/>
      <c r="X273" s="577"/>
      <c r="Y273" s="327"/>
      <c r="Z273" s="604"/>
      <c r="AA273" s="327"/>
      <c r="AB273" s="577"/>
      <c r="AC273" s="327"/>
      <c r="AD273" s="576"/>
      <c r="AE273" s="327"/>
      <c r="AF273" s="577"/>
      <c r="AG273" s="327"/>
      <c r="AH273" s="576"/>
      <c r="AI273" s="327"/>
      <c r="AJ273" s="577"/>
      <c r="AK273" s="327"/>
      <c r="AL273" s="602"/>
      <c r="AM273" s="326"/>
      <c r="AN273" s="326"/>
      <c r="AO273" s="326"/>
      <c r="AP273" s="326"/>
      <c r="AQ273" s="326"/>
      <c r="AR273" s="326"/>
      <c r="AS273" s="326"/>
      <c r="AT273" s="326"/>
      <c r="AU273" s="326"/>
      <c r="AV273" s="326"/>
      <c r="AW273" s="326"/>
      <c r="AX273" s="326"/>
      <c r="AY273" s="326"/>
      <c r="AZ273" s="326"/>
      <c r="BA273" s="326"/>
      <c r="BB273" s="327"/>
    </row>
    <row r="274" spans="1:54" ht="15.75" customHeight="1" x14ac:dyDescent="0.25">
      <c r="A274" s="11">
        <f t="shared" si="1"/>
        <v>261</v>
      </c>
      <c r="B274" s="570" t="str">
        <f>'refer admin discharge'!B270</f>
        <v>x</v>
      </c>
      <c r="C274" s="327"/>
      <c r="D274" s="599" t="str">
        <f>'refer admin discharge'!D270</f>
        <v>xx</v>
      </c>
      <c r="E274" s="327"/>
      <c r="F274" s="600" t="str">
        <f>'refer admin discharge'!H270</f>
        <v>00/00/0000</v>
      </c>
      <c r="G274" s="327"/>
      <c r="H274" s="574"/>
      <c r="I274" s="327"/>
      <c r="J274" s="601"/>
      <c r="K274" s="327"/>
      <c r="L274" s="574"/>
      <c r="M274" s="327"/>
      <c r="N274" s="594"/>
      <c r="O274" s="327"/>
      <c r="P274" s="574"/>
      <c r="Q274" s="327"/>
      <c r="R274" s="594"/>
      <c r="S274" s="327"/>
      <c r="T274" s="574"/>
      <c r="U274" s="327"/>
      <c r="V274" s="595" t="str">
        <f>'refer admin discharge'!H275</f>
        <v>00/00/0000</v>
      </c>
      <c r="W274" s="327"/>
      <c r="X274" s="596"/>
      <c r="Y274" s="327"/>
      <c r="Z274" s="597"/>
      <c r="AA274" s="327"/>
      <c r="AB274" s="596"/>
      <c r="AC274" s="327"/>
      <c r="AD274" s="577"/>
      <c r="AE274" s="327"/>
      <c r="AF274" s="596"/>
      <c r="AG274" s="327"/>
      <c r="AH274" s="577"/>
      <c r="AI274" s="327"/>
      <c r="AJ274" s="596"/>
      <c r="AK274" s="327"/>
      <c r="AL274" s="598"/>
      <c r="AM274" s="326"/>
      <c r="AN274" s="326"/>
      <c r="AO274" s="326"/>
      <c r="AP274" s="326"/>
      <c r="AQ274" s="326"/>
      <c r="AR274" s="326"/>
      <c r="AS274" s="326"/>
      <c r="AT274" s="326"/>
      <c r="AU274" s="326"/>
      <c r="AV274" s="326"/>
      <c r="AW274" s="326"/>
      <c r="AX274" s="326"/>
      <c r="AY274" s="326"/>
      <c r="AZ274" s="326"/>
      <c r="BA274" s="326"/>
      <c r="BB274" s="327"/>
    </row>
    <row r="275" spans="1:54" ht="15.75" customHeight="1" x14ac:dyDescent="0.25">
      <c r="A275" s="11">
        <f t="shared" si="1"/>
        <v>262</v>
      </c>
      <c r="B275" s="504" t="str">
        <f>'refer admin discharge'!B271</f>
        <v>x</v>
      </c>
      <c r="C275" s="327"/>
      <c r="D275" s="505" t="str">
        <f>'refer admin discharge'!D271</f>
        <v>xx</v>
      </c>
      <c r="E275" s="327"/>
      <c r="F275" s="606" t="str">
        <f>'refer admin discharge'!H271</f>
        <v>00/00/0000</v>
      </c>
      <c r="G275" s="327"/>
      <c r="H275" s="594"/>
      <c r="I275" s="327"/>
      <c r="J275" s="605"/>
      <c r="K275" s="327"/>
      <c r="L275" s="594"/>
      <c r="M275" s="327"/>
      <c r="N275" s="575"/>
      <c r="O275" s="327"/>
      <c r="P275" s="594"/>
      <c r="Q275" s="327"/>
      <c r="R275" s="575"/>
      <c r="S275" s="327"/>
      <c r="T275" s="594"/>
      <c r="U275" s="327"/>
      <c r="V275" s="595" t="str">
        <f>'refer admin discharge'!H276</f>
        <v>00/00/0000</v>
      </c>
      <c r="W275" s="327"/>
      <c r="X275" s="577"/>
      <c r="Y275" s="327"/>
      <c r="Z275" s="604"/>
      <c r="AA275" s="327"/>
      <c r="AB275" s="577"/>
      <c r="AC275" s="327"/>
      <c r="AD275" s="576"/>
      <c r="AE275" s="327"/>
      <c r="AF275" s="577"/>
      <c r="AG275" s="327"/>
      <c r="AH275" s="576"/>
      <c r="AI275" s="327"/>
      <c r="AJ275" s="577"/>
      <c r="AK275" s="327"/>
      <c r="AL275" s="602"/>
      <c r="AM275" s="326"/>
      <c r="AN275" s="326"/>
      <c r="AO275" s="326"/>
      <c r="AP275" s="326"/>
      <c r="AQ275" s="326"/>
      <c r="AR275" s="326"/>
      <c r="AS275" s="326"/>
      <c r="AT275" s="326"/>
      <c r="AU275" s="326"/>
      <c r="AV275" s="326"/>
      <c r="AW275" s="326"/>
      <c r="AX275" s="326"/>
      <c r="AY275" s="326"/>
      <c r="AZ275" s="326"/>
      <c r="BA275" s="326"/>
      <c r="BB275" s="327"/>
    </row>
    <row r="276" spans="1:54" ht="15.75" customHeight="1" x14ac:dyDescent="0.25">
      <c r="A276" s="11">
        <f t="shared" si="1"/>
        <v>263</v>
      </c>
      <c r="B276" s="570" t="str">
        <f>'refer admin discharge'!B272</f>
        <v>x</v>
      </c>
      <c r="C276" s="327"/>
      <c r="D276" s="599" t="str">
        <f>'refer admin discharge'!D272</f>
        <v>xx</v>
      </c>
      <c r="E276" s="327"/>
      <c r="F276" s="600" t="str">
        <f>'refer admin discharge'!H272</f>
        <v>00/00/0000</v>
      </c>
      <c r="G276" s="327"/>
      <c r="H276" s="574"/>
      <c r="I276" s="327"/>
      <c r="J276" s="601"/>
      <c r="K276" s="327"/>
      <c r="L276" s="574"/>
      <c r="M276" s="327"/>
      <c r="N276" s="594"/>
      <c r="O276" s="327"/>
      <c r="P276" s="574"/>
      <c r="Q276" s="327"/>
      <c r="R276" s="594"/>
      <c r="S276" s="327"/>
      <c r="T276" s="574"/>
      <c r="U276" s="327"/>
      <c r="V276" s="595" t="str">
        <f>'refer admin discharge'!H277</f>
        <v>00/00/0000</v>
      </c>
      <c r="W276" s="327"/>
      <c r="X276" s="596"/>
      <c r="Y276" s="327"/>
      <c r="Z276" s="597"/>
      <c r="AA276" s="327"/>
      <c r="AB276" s="596"/>
      <c r="AC276" s="327"/>
      <c r="AD276" s="577"/>
      <c r="AE276" s="327"/>
      <c r="AF276" s="596"/>
      <c r="AG276" s="327"/>
      <c r="AH276" s="577"/>
      <c r="AI276" s="327"/>
      <c r="AJ276" s="596"/>
      <c r="AK276" s="327"/>
      <c r="AL276" s="598"/>
      <c r="AM276" s="326"/>
      <c r="AN276" s="326"/>
      <c r="AO276" s="326"/>
      <c r="AP276" s="326"/>
      <c r="AQ276" s="326"/>
      <c r="AR276" s="326"/>
      <c r="AS276" s="326"/>
      <c r="AT276" s="326"/>
      <c r="AU276" s="326"/>
      <c r="AV276" s="326"/>
      <c r="AW276" s="326"/>
      <c r="AX276" s="326"/>
      <c r="AY276" s="326"/>
      <c r="AZ276" s="326"/>
      <c r="BA276" s="326"/>
      <c r="BB276" s="327"/>
    </row>
    <row r="277" spans="1:54" ht="15.75" customHeight="1" x14ac:dyDescent="0.25">
      <c r="A277" s="11">
        <f t="shared" si="1"/>
        <v>264</v>
      </c>
      <c r="B277" s="504" t="str">
        <f>'refer admin discharge'!B273</f>
        <v>x</v>
      </c>
      <c r="C277" s="327"/>
      <c r="D277" s="505" t="str">
        <f>'refer admin discharge'!D273</f>
        <v>xx</v>
      </c>
      <c r="E277" s="327"/>
      <c r="F277" s="606" t="str">
        <f>'refer admin discharge'!H273</f>
        <v>00/00/0000</v>
      </c>
      <c r="G277" s="327"/>
      <c r="H277" s="594"/>
      <c r="I277" s="327"/>
      <c r="J277" s="605"/>
      <c r="K277" s="327"/>
      <c r="L277" s="594"/>
      <c r="M277" s="327"/>
      <c r="N277" s="575"/>
      <c r="O277" s="327"/>
      <c r="P277" s="594"/>
      <c r="Q277" s="327"/>
      <c r="R277" s="575"/>
      <c r="S277" s="327"/>
      <c r="T277" s="594"/>
      <c r="U277" s="327"/>
      <c r="V277" s="595" t="str">
        <f>'refer admin discharge'!H278</f>
        <v>00/00/0000</v>
      </c>
      <c r="W277" s="327"/>
      <c r="X277" s="577"/>
      <c r="Y277" s="327"/>
      <c r="Z277" s="604"/>
      <c r="AA277" s="327"/>
      <c r="AB277" s="577"/>
      <c r="AC277" s="327"/>
      <c r="AD277" s="576"/>
      <c r="AE277" s="327"/>
      <c r="AF277" s="577"/>
      <c r="AG277" s="327"/>
      <c r="AH277" s="576"/>
      <c r="AI277" s="327"/>
      <c r="AJ277" s="577"/>
      <c r="AK277" s="327"/>
      <c r="AL277" s="602"/>
      <c r="AM277" s="326"/>
      <c r="AN277" s="326"/>
      <c r="AO277" s="326"/>
      <c r="AP277" s="326"/>
      <c r="AQ277" s="326"/>
      <c r="AR277" s="326"/>
      <c r="AS277" s="326"/>
      <c r="AT277" s="326"/>
      <c r="AU277" s="326"/>
      <c r="AV277" s="326"/>
      <c r="AW277" s="326"/>
      <c r="AX277" s="326"/>
      <c r="AY277" s="326"/>
      <c r="AZ277" s="326"/>
      <c r="BA277" s="326"/>
      <c r="BB277" s="327"/>
    </row>
    <row r="278" spans="1:54" ht="15.75" customHeight="1" x14ac:dyDescent="0.25">
      <c r="A278" s="11">
        <f t="shared" si="1"/>
        <v>265</v>
      </c>
      <c r="B278" s="570" t="str">
        <f>'refer admin discharge'!B274</f>
        <v>x</v>
      </c>
      <c r="C278" s="327"/>
      <c r="D278" s="599" t="str">
        <f>'refer admin discharge'!D274</f>
        <v>xx</v>
      </c>
      <c r="E278" s="327"/>
      <c r="F278" s="600" t="str">
        <f>'refer admin discharge'!H274</f>
        <v>00/00/0000</v>
      </c>
      <c r="G278" s="327"/>
      <c r="H278" s="574"/>
      <c r="I278" s="327"/>
      <c r="J278" s="601"/>
      <c r="K278" s="327"/>
      <c r="L278" s="574"/>
      <c r="M278" s="327"/>
      <c r="N278" s="594"/>
      <c r="O278" s="327"/>
      <c r="P278" s="574"/>
      <c r="Q278" s="327"/>
      <c r="R278" s="594"/>
      <c r="S278" s="327"/>
      <c r="T278" s="574"/>
      <c r="U278" s="327"/>
      <c r="V278" s="595" t="str">
        <f>'refer admin discharge'!H279</f>
        <v>00/00/0000</v>
      </c>
      <c r="W278" s="327"/>
      <c r="X278" s="596"/>
      <c r="Y278" s="327"/>
      <c r="Z278" s="597"/>
      <c r="AA278" s="327"/>
      <c r="AB278" s="596"/>
      <c r="AC278" s="327"/>
      <c r="AD278" s="577"/>
      <c r="AE278" s="327"/>
      <c r="AF278" s="596"/>
      <c r="AG278" s="327"/>
      <c r="AH278" s="577"/>
      <c r="AI278" s="327"/>
      <c r="AJ278" s="596"/>
      <c r="AK278" s="327"/>
      <c r="AL278" s="598"/>
      <c r="AM278" s="326"/>
      <c r="AN278" s="326"/>
      <c r="AO278" s="326"/>
      <c r="AP278" s="326"/>
      <c r="AQ278" s="326"/>
      <c r="AR278" s="326"/>
      <c r="AS278" s="326"/>
      <c r="AT278" s="326"/>
      <c r="AU278" s="326"/>
      <c r="AV278" s="326"/>
      <c r="AW278" s="326"/>
      <c r="AX278" s="326"/>
      <c r="AY278" s="326"/>
      <c r="AZ278" s="326"/>
      <c r="BA278" s="326"/>
      <c r="BB278" s="327"/>
    </row>
    <row r="279" spans="1:54" ht="15.75" customHeight="1" x14ac:dyDescent="0.25">
      <c r="A279" s="11">
        <f t="shared" si="1"/>
        <v>266</v>
      </c>
      <c r="B279" s="504" t="str">
        <f>'refer admin discharge'!B275</f>
        <v>x</v>
      </c>
      <c r="C279" s="327"/>
      <c r="D279" s="505" t="str">
        <f>'refer admin discharge'!D275</f>
        <v>xx</v>
      </c>
      <c r="E279" s="327"/>
      <c r="F279" s="606" t="str">
        <f>'refer admin discharge'!H275</f>
        <v>00/00/0000</v>
      </c>
      <c r="G279" s="327"/>
      <c r="H279" s="594"/>
      <c r="I279" s="327"/>
      <c r="J279" s="605"/>
      <c r="K279" s="327"/>
      <c r="L279" s="594"/>
      <c r="M279" s="327"/>
      <c r="N279" s="575"/>
      <c r="O279" s="327"/>
      <c r="P279" s="594"/>
      <c r="Q279" s="327"/>
      <c r="R279" s="575"/>
      <c r="S279" s="327"/>
      <c r="T279" s="594"/>
      <c r="U279" s="327"/>
      <c r="V279" s="595" t="str">
        <f>'refer admin discharge'!H280</f>
        <v>00/00/0000</v>
      </c>
      <c r="W279" s="327"/>
      <c r="X279" s="577"/>
      <c r="Y279" s="327"/>
      <c r="Z279" s="604"/>
      <c r="AA279" s="327"/>
      <c r="AB279" s="577"/>
      <c r="AC279" s="327"/>
      <c r="AD279" s="576"/>
      <c r="AE279" s="327"/>
      <c r="AF279" s="577"/>
      <c r="AG279" s="327"/>
      <c r="AH279" s="576"/>
      <c r="AI279" s="327"/>
      <c r="AJ279" s="577"/>
      <c r="AK279" s="327"/>
      <c r="AL279" s="602"/>
      <c r="AM279" s="326"/>
      <c r="AN279" s="326"/>
      <c r="AO279" s="326"/>
      <c r="AP279" s="326"/>
      <c r="AQ279" s="326"/>
      <c r="AR279" s="326"/>
      <c r="AS279" s="326"/>
      <c r="AT279" s="326"/>
      <c r="AU279" s="326"/>
      <c r="AV279" s="326"/>
      <c r="AW279" s="326"/>
      <c r="AX279" s="326"/>
      <c r="AY279" s="326"/>
      <c r="AZ279" s="326"/>
      <c r="BA279" s="326"/>
      <c r="BB279" s="327"/>
    </row>
    <row r="280" spans="1:54" ht="15.75" customHeight="1" x14ac:dyDescent="0.25">
      <c r="A280" s="11">
        <f t="shared" si="1"/>
        <v>267</v>
      </c>
      <c r="B280" s="570" t="str">
        <f>'refer admin discharge'!B276</f>
        <v>x</v>
      </c>
      <c r="C280" s="327"/>
      <c r="D280" s="599" t="str">
        <f>'refer admin discharge'!D276</f>
        <v>xx</v>
      </c>
      <c r="E280" s="327"/>
      <c r="F280" s="600" t="str">
        <f>'refer admin discharge'!H276</f>
        <v>00/00/0000</v>
      </c>
      <c r="G280" s="327"/>
      <c r="H280" s="574"/>
      <c r="I280" s="327"/>
      <c r="J280" s="601"/>
      <c r="K280" s="327"/>
      <c r="L280" s="574"/>
      <c r="M280" s="327"/>
      <c r="N280" s="594"/>
      <c r="O280" s="327"/>
      <c r="P280" s="574"/>
      <c r="Q280" s="327"/>
      <c r="R280" s="594"/>
      <c r="S280" s="327"/>
      <c r="T280" s="574"/>
      <c r="U280" s="327"/>
      <c r="V280" s="595" t="str">
        <f>'refer admin discharge'!H281</f>
        <v>00/00/0000</v>
      </c>
      <c r="W280" s="327"/>
      <c r="X280" s="596"/>
      <c r="Y280" s="327"/>
      <c r="Z280" s="597"/>
      <c r="AA280" s="327"/>
      <c r="AB280" s="596"/>
      <c r="AC280" s="327"/>
      <c r="AD280" s="577"/>
      <c r="AE280" s="327"/>
      <c r="AF280" s="596"/>
      <c r="AG280" s="327"/>
      <c r="AH280" s="577"/>
      <c r="AI280" s="327"/>
      <c r="AJ280" s="596"/>
      <c r="AK280" s="327"/>
      <c r="AL280" s="598"/>
      <c r="AM280" s="326"/>
      <c r="AN280" s="326"/>
      <c r="AO280" s="326"/>
      <c r="AP280" s="326"/>
      <c r="AQ280" s="326"/>
      <c r="AR280" s="326"/>
      <c r="AS280" s="326"/>
      <c r="AT280" s="326"/>
      <c r="AU280" s="326"/>
      <c r="AV280" s="326"/>
      <c r="AW280" s="326"/>
      <c r="AX280" s="326"/>
      <c r="AY280" s="326"/>
      <c r="AZ280" s="326"/>
      <c r="BA280" s="326"/>
      <c r="BB280" s="327"/>
    </row>
    <row r="281" spans="1:54" ht="15.75" customHeight="1" x14ac:dyDescent="0.25">
      <c r="A281" s="11">
        <f t="shared" si="1"/>
        <v>268</v>
      </c>
      <c r="B281" s="504" t="str">
        <f>'refer admin discharge'!B277</f>
        <v>x</v>
      </c>
      <c r="C281" s="327"/>
      <c r="D281" s="505" t="str">
        <f>'refer admin discharge'!D277</f>
        <v>xx</v>
      </c>
      <c r="E281" s="327"/>
      <c r="F281" s="606" t="str">
        <f>'refer admin discharge'!H277</f>
        <v>00/00/0000</v>
      </c>
      <c r="G281" s="327"/>
      <c r="H281" s="594"/>
      <c r="I281" s="327"/>
      <c r="J281" s="605"/>
      <c r="K281" s="327"/>
      <c r="L281" s="594"/>
      <c r="M281" s="327"/>
      <c r="N281" s="575"/>
      <c r="O281" s="327"/>
      <c r="P281" s="594"/>
      <c r="Q281" s="327"/>
      <c r="R281" s="575"/>
      <c r="S281" s="327"/>
      <c r="T281" s="594"/>
      <c r="U281" s="327"/>
      <c r="V281" s="595" t="str">
        <f>'refer admin discharge'!H282</f>
        <v>00/00/0000</v>
      </c>
      <c r="W281" s="327"/>
      <c r="X281" s="577"/>
      <c r="Y281" s="327"/>
      <c r="Z281" s="604"/>
      <c r="AA281" s="327"/>
      <c r="AB281" s="577"/>
      <c r="AC281" s="327"/>
      <c r="AD281" s="576"/>
      <c r="AE281" s="327"/>
      <c r="AF281" s="577"/>
      <c r="AG281" s="327"/>
      <c r="AH281" s="576"/>
      <c r="AI281" s="327"/>
      <c r="AJ281" s="577"/>
      <c r="AK281" s="327"/>
      <c r="AL281" s="602"/>
      <c r="AM281" s="326"/>
      <c r="AN281" s="326"/>
      <c r="AO281" s="326"/>
      <c r="AP281" s="326"/>
      <c r="AQ281" s="326"/>
      <c r="AR281" s="326"/>
      <c r="AS281" s="326"/>
      <c r="AT281" s="326"/>
      <c r="AU281" s="326"/>
      <c r="AV281" s="326"/>
      <c r="AW281" s="326"/>
      <c r="AX281" s="326"/>
      <c r="AY281" s="326"/>
      <c r="AZ281" s="326"/>
      <c r="BA281" s="326"/>
      <c r="BB281" s="327"/>
    </row>
    <row r="282" spans="1:54" ht="15.75" customHeight="1" x14ac:dyDescent="0.25">
      <c r="A282" s="11">
        <f t="shared" si="1"/>
        <v>269</v>
      </c>
      <c r="B282" s="570" t="str">
        <f>'refer admin discharge'!B278</f>
        <v>x</v>
      </c>
      <c r="C282" s="327"/>
      <c r="D282" s="599" t="str">
        <f>'refer admin discharge'!D278</f>
        <v>xx</v>
      </c>
      <c r="E282" s="327"/>
      <c r="F282" s="600" t="str">
        <f>'refer admin discharge'!H278</f>
        <v>00/00/0000</v>
      </c>
      <c r="G282" s="327"/>
      <c r="H282" s="574"/>
      <c r="I282" s="327"/>
      <c r="J282" s="601"/>
      <c r="K282" s="327"/>
      <c r="L282" s="574"/>
      <c r="M282" s="327"/>
      <c r="N282" s="594"/>
      <c r="O282" s="327"/>
      <c r="P282" s="574"/>
      <c r="Q282" s="327"/>
      <c r="R282" s="594"/>
      <c r="S282" s="327"/>
      <c r="T282" s="574"/>
      <c r="U282" s="327"/>
      <c r="V282" s="595" t="str">
        <f>'refer admin discharge'!H283</f>
        <v>00/00/0000</v>
      </c>
      <c r="W282" s="327"/>
      <c r="X282" s="596"/>
      <c r="Y282" s="327"/>
      <c r="Z282" s="597"/>
      <c r="AA282" s="327"/>
      <c r="AB282" s="596"/>
      <c r="AC282" s="327"/>
      <c r="AD282" s="577"/>
      <c r="AE282" s="327"/>
      <c r="AF282" s="596"/>
      <c r="AG282" s="327"/>
      <c r="AH282" s="577"/>
      <c r="AI282" s="327"/>
      <c r="AJ282" s="596"/>
      <c r="AK282" s="327"/>
      <c r="AL282" s="598"/>
      <c r="AM282" s="326"/>
      <c r="AN282" s="326"/>
      <c r="AO282" s="326"/>
      <c r="AP282" s="326"/>
      <c r="AQ282" s="326"/>
      <c r="AR282" s="326"/>
      <c r="AS282" s="326"/>
      <c r="AT282" s="326"/>
      <c r="AU282" s="326"/>
      <c r="AV282" s="326"/>
      <c r="AW282" s="326"/>
      <c r="AX282" s="326"/>
      <c r="AY282" s="326"/>
      <c r="AZ282" s="326"/>
      <c r="BA282" s="326"/>
      <c r="BB282" s="327"/>
    </row>
    <row r="283" spans="1:54" ht="15.75" customHeight="1" x14ac:dyDescent="0.25">
      <c r="A283" s="11">
        <f t="shared" si="1"/>
        <v>270</v>
      </c>
      <c r="B283" s="504" t="str">
        <f>'refer admin discharge'!B279</f>
        <v>x</v>
      </c>
      <c r="C283" s="327"/>
      <c r="D283" s="505" t="str">
        <f>'refer admin discharge'!D279</f>
        <v>xx</v>
      </c>
      <c r="E283" s="327"/>
      <c r="F283" s="606" t="str">
        <f>'refer admin discharge'!H279</f>
        <v>00/00/0000</v>
      </c>
      <c r="G283" s="327"/>
      <c r="H283" s="594"/>
      <c r="I283" s="327"/>
      <c r="J283" s="605"/>
      <c r="K283" s="327"/>
      <c r="L283" s="594"/>
      <c r="M283" s="327"/>
      <c r="N283" s="575"/>
      <c r="O283" s="327"/>
      <c r="P283" s="594"/>
      <c r="Q283" s="327"/>
      <c r="R283" s="575"/>
      <c r="S283" s="327"/>
      <c r="T283" s="594"/>
      <c r="U283" s="327"/>
      <c r="V283" s="595" t="str">
        <f>'refer admin discharge'!H284</f>
        <v>00/00/0000</v>
      </c>
      <c r="W283" s="327"/>
      <c r="X283" s="577"/>
      <c r="Y283" s="327"/>
      <c r="Z283" s="604"/>
      <c r="AA283" s="327"/>
      <c r="AB283" s="577"/>
      <c r="AC283" s="327"/>
      <c r="AD283" s="576"/>
      <c r="AE283" s="327"/>
      <c r="AF283" s="577"/>
      <c r="AG283" s="327"/>
      <c r="AH283" s="576"/>
      <c r="AI283" s="327"/>
      <c r="AJ283" s="577"/>
      <c r="AK283" s="327"/>
      <c r="AL283" s="602"/>
      <c r="AM283" s="326"/>
      <c r="AN283" s="326"/>
      <c r="AO283" s="326"/>
      <c r="AP283" s="326"/>
      <c r="AQ283" s="326"/>
      <c r="AR283" s="326"/>
      <c r="AS283" s="326"/>
      <c r="AT283" s="326"/>
      <c r="AU283" s="326"/>
      <c r="AV283" s="326"/>
      <c r="AW283" s="326"/>
      <c r="AX283" s="326"/>
      <c r="AY283" s="326"/>
      <c r="AZ283" s="326"/>
      <c r="BA283" s="326"/>
      <c r="BB283" s="327"/>
    </row>
    <row r="284" spans="1:54" ht="15.75" customHeight="1" x14ac:dyDescent="0.25">
      <c r="A284" s="11">
        <f t="shared" si="1"/>
        <v>271</v>
      </c>
      <c r="B284" s="570" t="str">
        <f>'refer admin discharge'!B280</f>
        <v>x</v>
      </c>
      <c r="C284" s="327"/>
      <c r="D284" s="599" t="str">
        <f>'refer admin discharge'!D280</f>
        <v>xx</v>
      </c>
      <c r="E284" s="327"/>
      <c r="F284" s="600" t="str">
        <f>'refer admin discharge'!H280</f>
        <v>00/00/0000</v>
      </c>
      <c r="G284" s="327"/>
      <c r="H284" s="574"/>
      <c r="I284" s="327"/>
      <c r="J284" s="601"/>
      <c r="K284" s="327"/>
      <c r="L284" s="574"/>
      <c r="M284" s="327"/>
      <c r="N284" s="594"/>
      <c r="O284" s="327"/>
      <c r="P284" s="574"/>
      <c r="Q284" s="327"/>
      <c r="R284" s="594"/>
      <c r="S284" s="327"/>
      <c r="T284" s="574"/>
      <c r="U284" s="327"/>
      <c r="V284" s="595" t="str">
        <f>'refer admin discharge'!H285</f>
        <v>00/00/0000</v>
      </c>
      <c r="W284" s="327"/>
      <c r="X284" s="596"/>
      <c r="Y284" s="327"/>
      <c r="Z284" s="597"/>
      <c r="AA284" s="327"/>
      <c r="AB284" s="596"/>
      <c r="AC284" s="327"/>
      <c r="AD284" s="577"/>
      <c r="AE284" s="327"/>
      <c r="AF284" s="596"/>
      <c r="AG284" s="327"/>
      <c r="AH284" s="577"/>
      <c r="AI284" s="327"/>
      <c r="AJ284" s="596"/>
      <c r="AK284" s="327"/>
      <c r="AL284" s="598"/>
      <c r="AM284" s="326"/>
      <c r="AN284" s="326"/>
      <c r="AO284" s="326"/>
      <c r="AP284" s="326"/>
      <c r="AQ284" s="326"/>
      <c r="AR284" s="326"/>
      <c r="AS284" s="326"/>
      <c r="AT284" s="326"/>
      <c r="AU284" s="326"/>
      <c r="AV284" s="326"/>
      <c r="AW284" s="326"/>
      <c r="AX284" s="326"/>
      <c r="AY284" s="326"/>
      <c r="AZ284" s="326"/>
      <c r="BA284" s="326"/>
      <c r="BB284" s="327"/>
    </row>
    <row r="285" spans="1:54" ht="15.75" customHeight="1" x14ac:dyDescent="0.25">
      <c r="A285" s="11">
        <f t="shared" si="1"/>
        <v>272</v>
      </c>
      <c r="B285" s="504" t="str">
        <f>'refer admin discharge'!B281</f>
        <v>x</v>
      </c>
      <c r="C285" s="327"/>
      <c r="D285" s="505" t="str">
        <f>'refer admin discharge'!D281</f>
        <v>xx</v>
      </c>
      <c r="E285" s="327"/>
      <c r="F285" s="606" t="str">
        <f>'refer admin discharge'!H281</f>
        <v>00/00/0000</v>
      </c>
      <c r="G285" s="327"/>
      <c r="H285" s="594"/>
      <c r="I285" s="327"/>
      <c r="J285" s="605"/>
      <c r="K285" s="327"/>
      <c r="L285" s="594"/>
      <c r="M285" s="327"/>
      <c r="N285" s="575"/>
      <c r="O285" s="327"/>
      <c r="P285" s="594"/>
      <c r="Q285" s="327"/>
      <c r="R285" s="575"/>
      <c r="S285" s="327"/>
      <c r="T285" s="594"/>
      <c r="U285" s="327"/>
      <c r="V285" s="595" t="str">
        <f>'refer admin discharge'!H286</f>
        <v>00/00/0000</v>
      </c>
      <c r="W285" s="327"/>
      <c r="X285" s="577"/>
      <c r="Y285" s="327"/>
      <c r="Z285" s="604"/>
      <c r="AA285" s="327"/>
      <c r="AB285" s="577"/>
      <c r="AC285" s="327"/>
      <c r="AD285" s="576"/>
      <c r="AE285" s="327"/>
      <c r="AF285" s="577"/>
      <c r="AG285" s="327"/>
      <c r="AH285" s="576"/>
      <c r="AI285" s="327"/>
      <c r="AJ285" s="577"/>
      <c r="AK285" s="327"/>
      <c r="AL285" s="602"/>
      <c r="AM285" s="326"/>
      <c r="AN285" s="326"/>
      <c r="AO285" s="326"/>
      <c r="AP285" s="326"/>
      <c r="AQ285" s="326"/>
      <c r="AR285" s="326"/>
      <c r="AS285" s="326"/>
      <c r="AT285" s="326"/>
      <c r="AU285" s="326"/>
      <c r="AV285" s="326"/>
      <c r="AW285" s="326"/>
      <c r="AX285" s="326"/>
      <c r="AY285" s="326"/>
      <c r="AZ285" s="326"/>
      <c r="BA285" s="326"/>
      <c r="BB285" s="327"/>
    </row>
    <row r="286" spans="1:54" ht="15.75" customHeight="1" x14ac:dyDescent="0.25">
      <c r="A286" s="11">
        <f t="shared" si="1"/>
        <v>273</v>
      </c>
      <c r="B286" s="570" t="str">
        <f>'refer admin discharge'!B282</f>
        <v>x</v>
      </c>
      <c r="C286" s="327"/>
      <c r="D286" s="599" t="str">
        <f>'refer admin discharge'!D282</f>
        <v>xx</v>
      </c>
      <c r="E286" s="327"/>
      <c r="F286" s="600" t="str">
        <f>'refer admin discharge'!H282</f>
        <v>00/00/0000</v>
      </c>
      <c r="G286" s="327"/>
      <c r="H286" s="574"/>
      <c r="I286" s="327"/>
      <c r="J286" s="601"/>
      <c r="K286" s="327"/>
      <c r="L286" s="574"/>
      <c r="M286" s="327"/>
      <c r="N286" s="594"/>
      <c r="O286" s="327"/>
      <c r="P286" s="574"/>
      <c r="Q286" s="327"/>
      <c r="R286" s="594"/>
      <c r="S286" s="327"/>
      <c r="T286" s="574"/>
      <c r="U286" s="327"/>
      <c r="V286" s="595" t="str">
        <f>'refer admin discharge'!H287</f>
        <v>00/00/0000</v>
      </c>
      <c r="W286" s="327"/>
      <c r="X286" s="596"/>
      <c r="Y286" s="327"/>
      <c r="Z286" s="597"/>
      <c r="AA286" s="327"/>
      <c r="AB286" s="596"/>
      <c r="AC286" s="327"/>
      <c r="AD286" s="577"/>
      <c r="AE286" s="327"/>
      <c r="AF286" s="596"/>
      <c r="AG286" s="327"/>
      <c r="AH286" s="577"/>
      <c r="AI286" s="327"/>
      <c r="AJ286" s="596"/>
      <c r="AK286" s="327"/>
      <c r="AL286" s="598"/>
      <c r="AM286" s="326"/>
      <c r="AN286" s="326"/>
      <c r="AO286" s="326"/>
      <c r="AP286" s="326"/>
      <c r="AQ286" s="326"/>
      <c r="AR286" s="326"/>
      <c r="AS286" s="326"/>
      <c r="AT286" s="326"/>
      <c r="AU286" s="326"/>
      <c r="AV286" s="326"/>
      <c r="AW286" s="326"/>
      <c r="AX286" s="326"/>
      <c r="AY286" s="326"/>
      <c r="AZ286" s="326"/>
      <c r="BA286" s="326"/>
      <c r="BB286" s="327"/>
    </row>
    <row r="287" spans="1:54" ht="15.75" customHeight="1" x14ac:dyDescent="0.25">
      <c r="A287" s="11">
        <f t="shared" si="1"/>
        <v>274</v>
      </c>
      <c r="B287" s="504" t="str">
        <f>'refer admin discharge'!B283</f>
        <v>x</v>
      </c>
      <c r="C287" s="327"/>
      <c r="D287" s="505" t="str">
        <f>'refer admin discharge'!D283</f>
        <v>xx</v>
      </c>
      <c r="E287" s="327"/>
      <c r="F287" s="606" t="str">
        <f>'refer admin discharge'!H283</f>
        <v>00/00/0000</v>
      </c>
      <c r="G287" s="327"/>
      <c r="H287" s="594"/>
      <c r="I287" s="327"/>
      <c r="J287" s="605"/>
      <c r="K287" s="327"/>
      <c r="L287" s="594"/>
      <c r="M287" s="327"/>
      <c r="N287" s="575"/>
      <c r="O287" s="327"/>
      <c r="P287" s="594"/>
      <c r="Q287" s="327"/>
      <c r="R287" s="575"/>
      <c r="S287" s="327"/>
      <c r="T287" s="594"/>
      <c r="U287" s="327"/>
      <c r="V287" s="595" t="str">
        <f>'refer admin discharge'!H288</f>
        <v>00/00/0000</v>
      </c>
      <c r="W287" s="327"/>
      <c r="X287" s="577"/>
      <c r="Y287" s="327"/>
      <c r="Z287" s="604"/>
      <c r="AA287" s="327"/>
      <c r="AB287" s="577"/>
      <c r="AC287" s="327"/>
      <c r="AD287" s="576"/>
      <c r="AE287" s="327"/>
      <c r="AF287" s="577"/>
      <c r="AG287" s="327"/>
      <c r="AH287" s="576"/>
      <c r="AI287" s="327"/>
      <c r="AJ287" s="577"/>
      <c r="AK287" s="327"/>
      <c r="AL287" s="602"/>
      <c r="AM287" s="326"/>
      <c r="AN287" s="326"/>
      <c r="AO287" s="326"/>
      <c r="AP287" s="326"/>
      <c r="AQ287" s="326"/>
      <c r="AR287" s="326"/>
      <c r="AS287" s="326"/>
      <c r="AT287" s="326"/>
      <c r="AU287" s="326"/>
      <c r="AV287" s="326"/>
      <c r="AW287" s="326"/>
      <c r="AX287" s="326"/>
      <c r="AY287" s="326"/>
      <c r="AZ287" s="326"/>
      <c r="BA287" s="326"/>
      <c r="BB287" s="327"/>
    </row>
    <row r="288" spans="1:54" ht="15.75" customHeight="1" x14ac:dyDescent="0.25">
      <c r="A288" s="11">
        <f t="shared" si="1"/>
        <v>275</v>
      </c>
      <c r="B288" s="570" t="str">
        <f>'refer admin discharge'!B284</f>
        <v>x</v>
      </c>
      <c r="C288" s="327"/>
      <c r="D288" s="599" t="str">
        <f>'refer admin discharge'!D284</f>
        <v>xx</v>
      </c>
      <c r="E288" s="327"/>
      <c r="F288" s="600" t="str">
        <f>'refer admin discharge'!H284</f>
        <v>00/00/0000</v>
      </c>
      <c r="G288" s="327"/>
      <c r="H288" s="574"/>
      <c r="I288" s="327"/>
      <c r="J288" s="601"/>
      <c r="K288" s="327"/>
      <c r="L288" s="574"/>
      <c r="M288" s="327"/>
      <c r="N288" s="594"/>
      <c r="O288" s="327"/>
      <c r="P288" s="574"/>
      <c r="Q288" s="327"/>
      <c r="R288" s="594"/>
      <c r="S288" s="327"/>
      <c r="T288" s="574"/>
      <c r="U288" s="327"/>
      <c r="V288" s="595" t="str">
        <f>'refer admin discharge'!H289</f>
        <v>00/00/0000</v>
      </c>
      <c r="W288" s="327"/>
      <c r="X288" s="596"/>
      <c r="Y288" s="327"/>
      <c r="Z288" s="597"/>
      <c r="AA288" s="327"/>
      <c r="AB288" s="596"/>
      <c r="AC288" s="327"/>
      <c r="AD288" s="577"/>
      <c r="AE288" s="327"/>
      <c r="AF288" s="596"/>
      <c r="AG288" s="327"/>
      <c r="AH288" s="577"/>
      <c r="AI288" s="327"/>
      <c r="AJ288" s="596"/>
      <c r="AK288" s="327"/>
      <c r="AL288" s="598"/>
      <c r="AM288" s="326"/>
      <c r="AN288" s="326"/>
      <c r="AO288" s="326"/>
      <c r="AP288" s="326"/>
      <c r="AQ288" s="326"/>
      <c r="AR288" s="326"/>
      <c r="AS288" s="326"/>
      <c r="AT288" s="326"/>
      <c r="AU288" s="326"/>
      <c r="AV288" s="326"/>
      <c r="AW288" s="326"/>
      <c r="AX288" s="326"/>
      <c r="AY288" s="326"/>
      <c r="AZ288" s="326"/>
      <c r="BA288" s="326"/>
      <c r="BB288" s="327"/>
    </row>
    <row r="289" spans="1:54" ht="15.75" customHeight="1" x14ac:dyDescent="0.25">
      <c r="A289" s="11">
        <f t="shared" si="1"/>
        <v>276</v>
      </c>
      <c r="B289" s="504" t="str">
        <f>'refer admin discharge'!B285</f>
        <v>x</v>
      </c>
      <c r="C289" s="327"/>
      <c r="D289" s="505" t="str">
        <f>'refer admin discharge'!D285</f>
        <v>xx</v>
      </c>
      <c r="E289" s="327"/>
      <c r="F289" s="606" t="str">
        <f>'refer admin discharge'!H285</f>
        <v>00/00/0000</v>
      </c>
      <c r="G289" s="327"/>
      <c r="H289" s="594"/>
      <c r="I289" s="327"/>
      <c r="J289" s="605"/>
      <c r="K289" s="327"/>
      <c r="L289" s="594"/>
      <c r="M289" s="327"/>
      <c r="N289" s="575"/>
      <c r="O289" s="327"/>
      <c r="P289" s="594"/>
      <c r="Q289" s="327"/>
      <c r="R289" s="575"/>
      <c r="S289" s="327"/>
      <c r="T289" s="594"/>
      <c r="U289" s="327"/>
      <c r="V289" s="595" t="str">
        <f>'refer admin discharge'!H290</f>
        <v>00/00/0000</v>
      </c>
      <c r="W289" s="327"/>
      <c r="X289" s="577"/>
      <c r="Y289" s="327"/>
      <c r="Z289" s="604"/>
      <c r="AA289" s="327"/>
      <c r="AB289" s="577"/>
      <c r="AC289" s="327"/>
      <c r="AD289" s="576"/>
      <c r="AE289" s="327"/>
      <c r="AF289" s="577"/>
      <c r="AG289" s="327"/>
      <c r="AH289" s="576"/>
      <c r="AI289" s="327"/>
      <c r="AJ289" s="577"/>
      <c r="AK289" s="327"/>
      <c r="AL289" s="602"/>
      <c r="AM289" s="326"/>
      <c r="AN289" s="326"/>
      <c r="AO289" s="326"/>
      <c r="AP289" s="326"/>
      <c r="AQ289" s="326"/>
      <c r="AR289" s="326"/>
      <c r="AS289" s="326"/>
      <c r="AT289" s="326"/>
      <c r="AU289" s="326"/>
      <c r="AV289" s="326"/>
      <c r="AW289" s="326"/>
      <c r="AX289" s="326"/>
      <c r="AY289" s="326"/>
      <c r="AZ289" s="326"/>
      <c r="BA289" s="326"/>
      <c r="BB289" s="327"/>
    </row>
    <row r="290" spans="1:54" ht="15.75" customHeight="1" x14ac:dyDescent="0.25">
      <c r="A290" s="11">
        <f t="shared" si="1"/>
        <v>277</v>
      </c>
      <c r="B290" s="570" t="str">
        <f>'refer admin discharge'!B286</f>
        <v>x</v>
      </c>
      <c r="C290" s="327"/>
      <c r="D290" s="599" t="str">
        <f>'refer admin discharge'!D286</f>
        <v>xx</v>
      </c>
      <c r="E290" s="327"/>
      <c r="F290" s="600" t="str">
        <f>'refer admin discharge'!H286</f>
        <v>00/00/0000</v>
      </c>
      <c r="G290" s="327"/>
      <c r="H290" s="574"/>
      <c r="I290" s="327"/>
      <c r="J290" s="601"/>
      <c r="K290" s="327"/>
      <c r="L290" s="574"/>
      <c r="M290" s="327"/>
      <c r="N290" s="594"/>
      <c r="O290" s="327"/>
      <c r="P290" s="574"/>
      <c r="Q290" s="327"/>
      <c r="R290" s="594"/>
      <c r="S290" s="327"/>
      <c r="T290" s="574"/>
      <c r="U290" s="327"/>
      <c r="V290" s="595" t="str">
        <f>'refer admin discharge'!H291</f>
        <v>00/00/0000</v>
      </c>
      <c r="W290" s="327"/>
      <c r="X290" s="596"/>
      <c r="Y290" s="327"/>
      <c r="Z290" s="597"/>
      <c r="AA290" s="327"/>
      <c r="AB290" s="596"/>
      <c r="AC290" s="327"/>
      <c r="AD290" s="577"/>
      <c r="AE290" s="327"/>
      <c r="AF290" s="596"/>
      <c r="AG290" s="327"/>
      <c r="AH290" s="577"/>
      <c r="AI290" s="327"/>
      <c r="AJ290" s="596"/>
      <c r="AK290" s="327"/>
      <c r="AL290" s="598"/>
      <c r="AM290" s="326"/>
      <c r="AN290" s="326"/>
      <c r="AO290" s="326"/>
      <c r="AP290" s="326"/>
      <c r="AQ290" s="326"/>
      <c r="AR290" s="326"/>
      <c r="AS290" s="326"/>
      <c r="AT290" s="326"/>
      <c r="AU290" s="326"/>
      <c r="AV290" s="326"/>
      <c r="AW290" s="326"/>
      <c r="AX290" s="326"/>
      <c r="AY290" s="326"/>
      <c r="AZ290" s="326"/>
      <c r="BA290" s="326"/>
      <c r="BB290" s="327"/>
    </row>
    <row r="291" spans="1:54" ht="15.75" customHeight="1" x14ac:dyDescent="0.25">
      <c r="A291" s="11">
        <f t="shared" si="1"/>
        <v>278</v>
      </c>
      <c r="B291" s="504" t="str">
        <f>'refer admin discharge'!B287</f>
        <v>x</v>
      </c>
      <c r="C291" s="327"/>
      <c r="D291" s="505" t="str">
        <f>'refer admin discharge'!D287</f>
        <v>xx</v>
      </c>
      <c r="E291" s="327"/>
      <c r="F291" s="606" t="str">
        <f>'refer admin discharge'!H287</f>
        <v>00/00/0000</v>
      </c>
      <c r="G291" s="327"/>
      <c r="H291" s="594"/>
      <c r="I291" s="327"/>
      <c r="J291" s="605"/>
      <c r="K291" s="327"/>
      <c r="L291" s="594"/>
      <c r="M291" s="327"/>
      <c r="N291" s="575"/>
      <c r="O291" s="327"/>
      <c r="P291" s="594"/>
      <c r="Q291" s="327"/>
      <c r="R291" s="575"/>
      <c r="S291" s="327"/>
      <c r="T291" s="594"/>
      <c r="U291" s="327"/>
      <c r="V291" s="595" t="str">
        <f>'refer admin discharge'!H292</f>
        <v>00/00/0000</v>
      </c>
      <c r="W291" s="327"/>
      <c r="X291" s="577"/>
      <c r="Y291" s="327"/>
      <c r="Z291" s="604"/>
      <c r="AA291" s="327"/>
      <c r="AB291" s="577"/>
      <c r="AC291" s="327"/>
      <c r="AD291" s="576"/>
      <c r="AE291" s="327"/>
      <c r="AF291" s="577"/>
      <c r="AG291" s="327"/>
      <c r="AH291" s="576"/>
      <c r="AI291" s="327"/>
      <c r="AJ291" s="577"/>
      <c r="AK291" s="327"/>
      <c r="AL291" s="602"/>
      <c r="AM291" s="326"/>
      <c r="AN291" s="326"/>
      <c r="AO291" s="326"/>
      <c r="AP291" s="326"/>
      <c r="AQ291" s="326"/>
      <c r="AR291" s="326"/>
      <c r="AS291" s="326"/>
      <c r="AT291" s="326"/>
      <c r="AU291" s="326"/>
      <c r="AV291" s="326"/>
      <c r="AW291" s="326"/>
      <c r="AX291" s="326"/>
      <c r="AY291" s="326"/>
      <c r="AZ291" s="326"/>
      <c r="BA291" s="326"/>
      <c r="BB291" s="327"/>
    </row>
    <row r="292" spans="1:54" ht="15.75" customHeight="1" x14ac:dyDescent="0.25">
      <c r="A292" s="11">
        <f t="shared" si="1"/>
        <v>279</v>
      </c>
      <c r="B292" s="570" t="str">
        <f>'refer admin discharge'!B288</f>
        <v>x</v>
      </c>
      <c r="C292" s="327"/>
      <c r="D292" s="599" t="str">
        <f>'refer admin discharge'!D288</f>
        <v>xx</v>
      </c>
      <c r="E292" s="327"/>
      <c r="F292" s="600" t="str">
        <f>'refer admin discharge'!H288</f>
        <v>00/00/0000</v>
      </c>
      <c r="G292" s="327"/>
      <c r="H292" s="574"/>
      <c r="I292" s="327"/>
      <c r="J292" s="601"/>
      <c r="K292" s="327"/>
      <c r="L292" s="574"/>
      <c r="M292" s="327"/>
      <c r="N292" s="594"/>
      <c r="O292" s="327"/>
      <c r="P292" s="574"/>
      <c r="Q292" s="327"/>
      <c r="R292" s="594"/>
      <c r="S292" s="327"/>
      <c r="T292" s="574"/>
      <c r="U292" s="327"/>
      <c r="V292" s="595" t="str">
        <f>'refer admin discharge'!H293</f>
        <v>00/00/0000</v>
      </c>
      <c r="W292" s="327"/>
      <c r="X292" s="596"/>
      <c r="Y292" s="327"/>
      <c r="Z292" s="597"/>
      <c r="AA292" s="327"/>
      <c r="AB292" s="596"/>
      <c r="AC292" s="327"/>
      <c r="AD292" s="577"/>
      <c r="AE292" s="327"/>
      <c r="AF292" s="596"/>
      <c r="AG292" s="327"/>
      <c r="AH292" s="577"/>
      <c r="AI292" s="327"/>
      <c r="AJ292" s="596"/>
      <c r="AK292" s="327"/>
      <c r="AL292" s="598"/>
      <c r="AM292" s="326"/>
      <c r="AN292" s="326"/>
      <c r="AO292" s="326"/>
      <c r="AP292" s="326"/>
      <c r="AQ292" s="326"/>
      <c r="AR292" s="326"/>
      <c r="AS292" s="326"/>
      <c r="AT292" s="326"/>
      <c r="AU292" s="326"/>
      <c r="AV292" s="326"/>
      <c r="AW292" s="326"/>
      <c r="AX292" s="326"/>
      <c r="AY292" s="326"/>
      <c r="AZ292" s="326"/>
      <c r="BA292" s="326"/>
      <c r="BB292" s="327"/>
    </row>
    <row r="293" spans="1:54" ht="15.75" customHeight="1" x14ac:dyDescent="0.25">
      <c r="A293" s="11">
        <f t="shared" si="1"/>
        <v>280</v>
      </c>
      <c r="B293" s="504" t="str">
        <f>'refer admin discharge'!B289</f>
        <v>x</v>
      </c>
      <c r="C293" s="327"/>
      <c r="D293" s="505" t="str">
        <f>'refer admin discharge'!D289</f>
        <v>xx</v>
      </c>
      <c r="E293" s="327"/>
      <c r="F293" s="606" t="str">
        <f>'refer admin discharge'!H289</f>
        <v>00/00/0000</v>
      </c>
      <c r="G293" s="327"/>
      <c r="H293" s="594"/>
      <c r="I293" s="327"/>
      <c r="J293" s="605"/>
      <c r="K293" s="327"/>
      <c r="L293" s="594"/>
      <c r="M293" s="327"/>
      <c r="N293" s="575"/>
      <c r="O293" s="327"/>
      <c r="P293" s="594"/>
      <c r="Q293" s="327"/>
      <c r="R293" s="575"/>
      <c r="S293" s="327"/>
      <c r="T293" s="594"/>
      <c r="U293" s="327"/>
      <c r="V293" s="595" t="str">
        <f>'refer admin discharge'!H294</f>
        <v>00/00/0000</v>
      </c>
      <c r="W293" s="327"/>
      <c r="X293" s="577"/>
      <c r="Y293" s="327"/>
      <c r="Z293" s="604"/>
      <c r="AA293" s="327"/>
      <c r="AB293" s="577"/>
      <c r="AC293" s="327"/>
      <c r="AD293" s="576"/>
      <c r="AE293" s="327"/>
      <c r="AF293" s="577"/>
      <c r="AG293" s="327"/>
      <c r="AH293" s="576"/>
      <c r="AI293" s="327"/>
      <c r="AJ293" s="577"/>
      <c r="AK293" s="327"/>
      <c r="AL293" s="602"/>
      <c r="AM293" s="326"/>
      <c r="AN293" s="326"/>
      <c r="AO293" s="326"/>
      <c r="AP293" s="326"/>
      <c r="AQ293" s="326"/>
      <c r="AR293" s="326"/>
      <c r="AS293" s="326"/>
      <c r="AT293" s="326"/>
      <c r="AU293" s="326"/>
      <c r="AV293" s="326"/>
      <c r="AW293" s="326"/>
      <c r="AX293" s="326"/>
      <c r="AY293" s="326"/>
      <c r="AZ293" s="326"/>
      <c r="BA293" s="326"/>
      <c r="BB293" s="327"/>
    </row>
    <row r="294" spans="1:54" ht="15.75" customHeight="1" x14ac:dyDescent="0.25">
      <c r="A294" s="11">
        <f t="shared" si="1"/>
        <v>281</v>
      </c>
      <c r="B294" s="570" t="str">
        <f>'refer admin discharge'!B290</f>
        <v>x</v>
      </c>
      <c r="C294" s="327"/>
      <c r="D294" s="599" t="str">
        <f>'refer admin discharge'!D290</f>
        <v>xx</v>
      </c>
      <c r="E294" s="327"/>
      <c r="F294" s="600" t="str">
        <f>'refer admin discharge'!H290</f>
        <v>00/00/0000</v>
      </c>
      <c r="G294" s="327"/>
      <c r="H294" s="574"/>
      <c r="I294" s="327"/>
      <c r="J294" s="601"/>
      <c r="K294" s="327"/>
      <c r="L294" s="574"/>
      <c r="M294" s="327"/>
      <c r="N294" s="594"/>
      <c r="O294" s="327"/>
      <c r="P294" s="574"/>
      <c r="Q294" s="327"/>
      <c r="R294" s="594"/>
      <c r="S294" s="327"/>
      <c r="T294" s="574"/>
      <c r="U294" s="327"/>
      <c r="V294" s="595" t="str">
        <f>'refer admin discharge'!H295</f>
        <v>00/00/0000</v>
      </c>
      <c r="W294" s="327"/>
      <c r="X294" s="596"/>
      <c r="Y294" s="327"/>
      <c r="Z294" s="597"/>
      <c r="AA294" s="327"/>
      <c r="AB294" s="596"/>
      <c r="AC294" s="327"/>
      <c r="AD294" s="577"/>
      <c r="AE294" s="327"/>
      <c r="AF294" s="596"/>
      <c r="AG294" s="327"/>
      <c r="AH294" s="577"/>
      <c r="AI294" s="327"/>
      <c r="AJ294" s="596"/>
      <c r="AK294" s="327"/>
      <c r="AL294" s="598"/>
      <c r="AM294" s="326"/>
      <c r="AN294" s="326"/>
      <c r="AO294" s="326"/>
      <c r="AP294" s="326"/>
      <c r="AQ294" s="326"/>
      <c r="AR294" s="326"/>
      <c r="AS294" s="326"/>
      <c r="AT294" s="326"/>
      <c r="AU294" s="326"/>
      <c r="AV294" s="326"/>
      <c r="AW294" s="326"/>
      <c r="AX294" s="326"/>
      <c r="AY294" s="326"/>
      <c r="AZ294" s="326"/>
      <c r="BA294" s="326"/>
      <c r="BB294" s="327"/>
    </row>
    <row r="295" spans="1:54" ht="15.75" customHeight="1" x14ac:dyDescent="0.25">
      <c r="A295" s="11">
        <f t="shared" si="1"/>
        <v>282</v>
      </c>
      <c r="B295" s="504" t="str">
        <f>'refer admin discharge'!B291</f>
        <v>x</v>
      </c>
      <c r="C295" s="327"/>
      <c r="D295" s="505" t="str">
        <f>'refer admin discharge'!D291</f>
        <v>xx</v>
      </c>
      <c r="E295" s="327"/>
      <c r="F295" s="606" t="str">
        <f>'refer admin discharge'!H291</f>
        <v>00/00/0000</v>
      </c>
      <c r="G295" s="327"/>
      <c r="H295" s="594"/>
      <c r="I295" s="327"/>
      <c r="J295" s="605"/>
      <c r="K295" s="327"/>
      <c r="L295" s="594"/>
      <c r="M295" s="327"/>
      <c r="N295" s="575"/>
      <c r="O295" s="327"/>
      <c r="P295" s="594"/>
      <c r="Q295" s="327"/>
      <c r="R295" s="575"/>
      <c r="S295" s="327"/>
      <c r="T295" s="594"/>
      <c r="U295" s="327"/>
      <c r="V295" s="595" t="str">
        <f>'refer admin discharge'!H296</f>
        <v>00/00/0000</v>
      </c>
      <c r="W295" s="327"/>
      <c r="X295" s="577"/>
      <c r="Y295" s="327"/>
      <c r="Z295" s="604"/>
      <c r="AA295" s="327"/>
      <c r="AB295" s="577"/>
      <c r="AC295" s="327"/>
      <c r="AD295" s="576"/>
      <c r="AE295" s="327"/>
      <c r="AF295" s="577"/>
      <c r="AG295" s="327"/>
      <c r="AH295" s="576"/>
      <c r="AI295" s="327"/>
      <c r="AJ295" s="577"/>
      <c r="AK295" s="327"/>
      <c r="AL295" s="602"/>
      <c r="AM295" s="326"/>
      <c r="AN295" s="326"/>
      <c r="AO295" s="326"/>
      <c r="AP295" s="326"/>
      <c r="AQ295" s="326"/>
      <c r="AR295" s="326"/>
      <c r="AS295" s="326"/>
      <c r="AT295" s="326"/>
      <c r="AU295" s="326"/>
      <c r="AV295" s="326"/>
      <c r="AW295" s="326"/>
      <c r="AX295" s="326"/>
      <c r="AY295" s="326"/>
      <c r="AZ295" s="326"/>
      <c r="BA295" s="326"/>
      <c r="BB295" s="327"/>
    </row>
    <row r="296" spans="1:54" ht="15.75" customHeight="1" x14ac:dyDescent="0.25">
      <c r="A296" s="11">
        <f t="shared" si="1"/>
        <v>283</v>
      </c>
      <c r="B296" s="570" t="str">
        <f>'refer admin discharge'!B292</f>
        <v>x</v>
      </c>
      <c r="C296" s="327"/>
      <c r="D296" s="599" t="str">
        <f>'refer admin discharge'!D292</f>
        <v>xx</v>
      </c>
      <c r="E296" s="327"/>
      <c r="F296" s="600" t="str">
        <f>'refer admin discharge'!H292</f>
        <v>00/00/0000</v>
      </c>
      <c r="G296" s="327"/>
      <c r="H296" s="574"/>
      <c r="I296" s="327"/>
      <c r="J296" s="601"/>
      <c r="K296" s="327"/>
      <c r="L296" s="574"/>
      <c r="M296" s="327"/>
      <c r="N296" s="594"/>
      <c r="O296" s="327"/>
      <c r="P296" s="574"/>
      <c r="Q296" s="327"/>
      <c r="R296" s="594"/>
      <c r="S296" s="327"/>
      <c r="T296" s="574"/>
      <c r="U296" s="327"/>
      <c r="V296" s="595" t="str">
        <f>'refer admin discharge'!H297</f>
        <v>00/00/0000</v>
      </c>
      <c r="W296" s="327"/>
      <c r="X296" s="596"/>
      <c r="Y296" s="327"/>
      <c r="Z296" s="597"/>
      <c r="AA296" s="327"/>
      <c r="AB296" s="596"/>
      <c r="AC296" s="327"/>
      <c r="AD296" s="577"/>
      <c r="AE296" s="327"/>
      <c r="AF296" s="596"/>
      <c r="AG296" s="327"/>
      <c r="AH296" s="577"/>
      <c r="AI296" s="327"/>
      <c r="AJ296" s="596"/>
      <c r="AK296" s="327"/>
      <c r="AL296" s="598"/>
      <c r="AM296" s="326"/>
      <c r="AN296" s="326"/>
      <c r="AO296" s="326"/>
      <c r="AP296" s="326"/>
      <c r="AQ296" s="326"/>
      <c r="AR296" s="326"/>
      <c r="AS296" s="326"/>
      <c r="AT296" s="326"/>
      <c r="AU296" s="326"/>
      <c r="AV296" s="326"/>
      <c r="AW296" s="326"/>
      <c r="AX296" s="326"/>
      <c r="AY296" s="326"/>
      <c r="AZ296" s="326"/>
      <c r="BA296" s="326"/>
      <c r="BB296" s="327"/>
    </row>
    <row r="297" spans="1:54" ht="15.75" customHeight="1" x14ac:dyDescent="0.25">
      <c r="A297" s="11">
        <f t="shared" si="1"/>
        <v>284</v>
      </c>
      <c r="B297" s="504" t="str">
        <f>'refer admin discharge'!B293</f>
        <v>x</v>
      </c>
      <c r="C297" s="327"/>
      <c r="D297" s="505" t="str">
        <f>'refer admin discharge'!D293</f>
        <v>xx</v>
      </c>
      <c r="E297" s="327"/>
      <c r="F297" s="606" t="str">
        <f>'refer admin discharge'!H293</f>
        <v>00/00/0000</v>
      </c>
      <c r="G297" s="327"/>
      <c r="H297" s="594"/>
      <c r="I297" s="327"/>
      <c r="J297" s="605"/>
      <c r="K297" s="327"/>
      <c r="L297" s="594"/>
      <c r="M297" s="327"/>
      <c r="N297" s="575"/>
      <c r="O297" s="327"/>
      <c r="P297" s="594"/>
      <c r="Q297" s="327"/>
      <c r="R297" s="575"/>
      <c r="S297" s="327"/>
      <c r="T297" s="594"/>
      <c r="U297" s="327"/>
      <c r="V297" s="595" t="str">
        <f>'refer admin discharge'!H298</f>
        <v>00/00/0000</v>
      </c>
      <c r="W297" s="327"/>
      <c r="X297" s="577"/>
      <c r="Y297" s="327"/>
      <c r="Z297" s="604"/>
      <c r="AA297" s="327"/>
      <c r="AB297" s="577"/>
      <c r="AC297" s="327"/>
      <c r="AD297" s="576"/>
      <c r="AE297" s="327"/>
      <c r="AF297" s="577"/>
      <c r="AG297" s="327"/>
      <c r="AH297" s="576"/>
      <c r="AI297" s="327"/>
      <c r="AJ297" s="577"/>
      <c r="AK297" s="327"/>
      <c r="AL297" s="602"/>
      <c r="AM297" s="326"/>
      <c r="AN297" s="326"/>
      <c r="AO297" s="326"/>
      <c r="AP297" s="326"/>
      <c r="AQ297" s="326"/>
      <c r="AR297" s="326"/>
      <c r="AS297" s="326"/>
      <c r="AT297" s="326"/>
      <c r="AU297" s="326"/>
      <c r="AV297" s="326"/>
      <c r="AW297" s="326"/>
      <c r="AX297" s="326"/>
      <c r="AY297" s="326"/>
      <c r="AZ297" s="326"/>
      <c r="BA297" s="326"/>
      <c r="BB297" s="327"/>
    </row>
    <row r="298" spans="1:54" ht="15.75" customHeight="1" x14ac:dyDescent="0.25">
      <c r="A298" s="11">
        <f t="shared" si="1"/>
        <v>285</v>
      </c>
      <c r="B298" s="570" t="str">
        <f>'refer admin discharge'!B294</f>
        <v>x</v>
      </c>
      <c r="C298" s="327"/>
      <c r="D298" s="599" t="str">
        <f>'refer admin discharge'!D294</f>
        <v>xx</v>
      </c>
      <c r="E298" s="327"/>
      <c r="F298" s="600" t="str">
        <f>'refer admin discharge'!H294</f>
        <v>00/00/0000</v>
      </c>
      <c r="G298" s="327"/>
      <c r="H298" s="574"/>
      <c r="I298" s="327"/>
      <c r="J298" s="601"/>
      <c r="K298" s="327"/>
      <c r="L298" s="574"/>
      <c r="M298" s="327"/>
      <c r="N298" s="594"/>
      <c r="O298" s="327"/>
      <c r="P298" s="574"/>
      <c r="Q298" s="327"/>
      <c r="R298" s="594"/>
      <c r="S298" s="327"/>
      <c r="T298" s="574"/>
      <c r="U298" s="327"/>
      <c r="V298" s="595" t="str">
        <f>'refer admin discharge'!H299</f>
        <v>00/00/0000</v>
      </c>
      <c r="W298" s="327"/>
      <c r="X298" s="596"/>
      <c r="Y298" s="327"/>
      <c r="Z298" s="597"/>
      <c r="AA298" s="327"/>
      <c r="AB298" s="596"/>
      <c r="AC298" s="327"/>
      <c r="AD298" s="577"/>
      <c r="AE298" s="327"/>
      <c r="AF298" s="596"/>
      <c r="AG298" s="327"/>
      <c r="AH298" s="577"/>
      <c r="AI298" s="327"/>
      <c r="AJ298" s="596"/>
      <c r="AK298" s="327"/>
      <c r="AL298" s="598"/>
      <c r="AM298" s="326"/>
      <c r="AN298" s="326"/>
      <c r="AO298" s="326"/>
      <c r="AP298" s="326"/>
      <c r="AQ298" s="326"/>
      <c r="AR298" s="326"/>
      <c r="AS298" s="326"/>
      <c r="AT298" s="326"/>
      <c r="AU298" s="326"/>
      <c r="AV298" s="326"/>
      <c r="AW298" s="326"/>
      <c r="AX298" s="326"/>
      <c r="AY298" s="326"/>
      <c r="AZ298" s="326"/>
      <c r="BA298" s="326"/>
      <c r="BB298" s="327"/>
    </row>
    <row r="299" spans="1:54" ht="15.75" customHeight="1" x14ac:dyDescent="0.25">
      <c r="A299" s="11">
        <f t="shared" si="1"/>
        <v>286</v>
      </c>
      <c r="B299" s="504" t="str">
        <f>'refer admin discharge'!B295</f>
        <v>x</v>
      </c>
      <c r="C299" s="327"/>
      <c r="D299" s="505" t="str">
        <f>'refer admin discharge'!D295</f>
        <v>xx</v>
      </c>
      <c r="E299" s="327"/>
      <c r="F299" s="606" t="str">
        <f>'refer admin discharge'!H295</f>
        <v>00/00/0000</v>
      </c>
      <c r="G299" s="327"/>
      <c r="H299" s="594"/>
      <c r="I299" s="327"/>
      <c r="J299" s="605"/>
      <c r="K299" s="327"/>
      <c r="L299" s="594"/>
      <c r="M299" s="327"/>
      <c r="N299" s="575"/>
      <c r="O299" s="327"/>
      <c r="P299" s="594"/>
      <c r="Q299" s="327"/>
      <c r="R299" s="575"/>
      <c r="S299" s="327"/>
      <c r="T299" s="594"/>
      <c r="U299" s="327"/>
      <c r="V299" s="595" t="str">
        <f>'refer admin discharge'!H300</f>
        <v>00/00/0000</v>
      </c>
      <c r="W299" s="327"/>
      <c r="X299" s="577"/>
      <c r="Y299" s="327"/>
      <c r="Z299" s="604"/>
      <c r="AA299" s="327"/>
      <c r="AB299" s="577"/>
      <c r="AC299" s="327"/>
      <c r="AD299" s="576"/>
      <c r="AE299" s="327"/>
      <c r="AF299" s="577"/>
      <c r="AG299" s="327"/>
      <c r="AH299" s="576"/>
      <c r="AI299" s="327"/>
      <c r="AJ299" s="577"/>
      <c r="AK299" s="327"/>
      <c r="AL299" s="602"/>
      <c r="AM299" s="326"/>
      <c r="AN299" s="326"/>
      <c r="AO299" s="326"/>
      <c r="AP299" s="326"/>
      <c r="AQ299" s="326"/>
      <c r="AR299" s="326"/>
      <c r="AS299" s="326"/>
      <c r="AT299" s="326"/>
      <c r="AU299" s="326"/>
      <c r="AV299" s="326"/>
      <c r="AW299" s="326"/>
      <c r="AX299" s="326"/>
      <c r="AY299" s="326"/>
      <c r="AZ299" s="326"/>
      <c r="BA299" s="326"/>
      <c r="BB299" s="327"/>
    </row>
    <row r="300" spans="1:54" ht="15.75" customHeight="1" x14ac:dyDescent="0.25">
      <c r="A300" s="11">
        <f t="shared" si="1"/>
        <v>287</v>
      </c>
      <c r="B300" s="570" t="str">
        <f>'refer admin discharge'!B296</f>
        <v>x</v>
      </c>
      <c r="C300" s="327"/>
      <c r="D300" s="599" t="str">
        <f>'refer admin discharge'!D296</f>
        <v>xx</v>
      </c>
      <c r="E300" s="327"/>
      <c r="F300" s="600" t="str">
        <f>'refer admin discharge'!H296</f>
        <v>00/00/0000</v>
      </c>
      <c r="G300" s="327"/>
      <c r="H300" s="574"/>
      <c r="I300" s="327"/>
      <c r="J300" s="601"/>
      <c r="K300" s="327"/>
      <c r="L300" s="574"/>
      <c r="M300" s="327"/>
      <c r="N300" s="594"/>
      <c r="O300" s="327"/>
      <c r="P300" s="574"/>
      <c r="Q300" s="327"/>
      <c r="R300" s="594"/>
      <c r="S300" s="327"/>
      <c r="T300" s="574"/>
      <c r="U300" s="327"/>
      <c r="V300" s="595" t="str">
        <f>'refer admin discharge'!H301</f>
        <v>00/00/0000</v>
      </c>
      <c r="W300" s="327"/>
      <c r="X300" s="596"/>
      <c r="Y300" s="327"/>
      <c r="Z300" s="597"/>
      <c r="AA300" s="327"/>
      <c r="AB300" s="596"/>
      <c r="AC300" s="327"/>
      <c r="AD300" s="577"/>
      <c r="AE300" s="327"/>
      <c r="AF300" s="596"/>
      <c r="AG300" s="327"/>
      <c r="AH300" s="577"/>
      <c r="AI300" s="327"/>
      <c r="AJ300" s="596"/>
      <c r="AK300" s="327"/>
      <c r="AL300" s="598"/>
      <c r="AM300" s="326"/>
      <c r="AN300" s="326"/>
      <c r="AO300" s="326"/>
      <c r="AP300" s="326"/>
      <c r="AQ300" s="326"/>
      <c r="AR300" s="326"/>
      <c r="AS300" s="326"/>
      <c r="AT300" s="326"/>
      <c r="AU300" s="326"/>
      <c r="AV300" s="326"/>
      <c r="AW300" s="326"/>
      <c r="AX300" s="326"/>
      <c r="AY300" s="326"/>
      <c r="AZ300" s="326"/>
      <c r="BA300" s="326"/>
      <c r="BB300" s="327"/>
    </row>
    <row r="301" spans="1:54" ht="15.75" customHeight="1" x14ac:dyDescent="0.25">
      <c r="A301" s="11">
        <f t="shared" si="1"/>
        <v>288</v>
      </c>
      <c r="B301" s="504" t="str">
        <f>'refer admin discharge'!B297</f>
        <v>x</v>
      </c>
      <c r="C301" s="327"/>
      <c r="D301" s="505" t="str">
        <f>'refer admin discharge'!D297</f>
        <v>xx</v>
      </c>
      <c r="E301" s="327"/>
      <c r="F301" s="606" t="str">
        <f>'refer admin discharge'!H297</f>
        <v>00/00/0000</v>
      </c>
      <c r="G301" s="327"/>
      <c r="H301" s="594"/>
      <c r="I301" s="327"/>
      <c r="J301" s="605"/>
      <c r="K301" s="327"/>
      <c r="L301" s="594"/>
      <c r="M301" s="327"/>
      <c r="N301" s="575"/>
      <c r="O301" s="327"/>
      <c r="P301" s="594"/>
      <c r="Q301" s="327"/>
      <c r="R301" s="575"/>
      <c r="S301" s="327"/>
      <c r="T301" s="594"/>
      <c r="U301" s="327"/>
      <c r="V301" s="595" t="str">
        <f>'refer admin discharge'!H302</f>
        <v>00/00/0000</v>
      </c>
      <c r="W301" s="327"/>
      <c r="X301" s="577"/>
      <c r="Y301" s="327"/>
      <c r="Z301" s="604"/>
      <c r="AA301" s="327"/>
      <c r="AB301" s="577"/>
      <c r="AC301" s="327"/>
      <c r="AD301" s="576"/>
      <c r="AE301" s="327"/>
      <c r="AF301" s="577"/>
      <c r="AG301" s="327"/>
      <c r="AH301" s="576"/>
      <c r="AI301" s="327"/>
      <c r="AJ301" s="577"/>
      <c r="AK301" s="327"/>
      <c r="AL301" s="602"/>
      <c r="AM301" s="326"/>
      <c r="AN301" s="326"/>
      <c r="AO301" s="326"/>
      <c r="AP301" s="326"/>
      <c r="AQ301" s="326"/>
      <c r="AR301" s="326"/>
      <c r="AS301" s="326"/>
      <c r="AT301" s="326"/>
      <c r="AU301" s="326"/>
      <c r="AV301" s="326"/>
      <c r="AW301" s="326"/>
      <c r="AX301" s="326"/>
      <c r="AY301" s="326"/>
      <c r="AZ301" s="326"/>
      <c r="BA301" s="326"/>
      <c r="BB301" s="327"/>
    </row>
    <row r="302" spans="1:54" ht="15.75" customHeight="1" x14ac:dyDescent="0.25">
      <c r="A302" s="11">
        <f t="shared" si="1"/>
        <v>289</v>
      </c>
      <c r="B302" s="570" t="str">
        <f>'refer admin discharge'!B298</f>
        <v>x</v>
      </c>
      <c r="C302" s="327"/>
      <c r="D302" s="599" t="str">
        <f>'refer admin discharge'!D298</f>
        <v>xx</v>
      </c>
      <c r="E302" s="327"/>
      <c r="F302" s="600" t="str">
        <f>'refer admin discharge'!H298</f>
        <v>00/00/0000</v>
      </c>
      <c r="G302" s="327"/>
      <c r="H302" s="574"/>
      <c r="I302" s="327"/>
      <c r="J302" s="601"/>
      <c r="K302" s="327"/>
      <c r="L302" s="574"/>
      <c r="M302" s="327"/>
      <c r="N302" s="594"/>
      <c r="O302" s="327"/>
      <c r="P302" s="574"/>
      <c r="Q302" s="327"/>
      <c r="R302" s="594"/>
      <c r="S302" s="327"/>
      <c r="T302" s="574"/>
      <c r="U302" s="327"/>
      <c r="V302" s="595" t="str">
        <f>'refer admin discharge'!H303</f>
        <v>00/00/0000</v>
      </c>
      <c r="W302" s="327"/>
      <c r="X302" s="596"/>
      <c r="Y302" s="327"/>
      <c r="Z302" s="597"/>
      <c r="AA302" s="327"/>
      <c r="AB302" s="596"/>
      <c r="AC302" s="327"/>
      <c r="AD302" s="577"/>
      <c r="AE302" s="327"/>
      <c r="AF302" s="596"/>
      <c r="AG302" s="327"/>
      <c r="AH302" s="577"/>
      <c r="AI302" s="327"/>
      <c r="AJ302" s="596"/>
      <c r="AK302" s="327"/>
      <c r="AL302" s="598"/>
      <c r="AM302" s="326"/>
      <c r="AN302" s="326"/>
      <c r="AO302" s="326"/>
      <c r="AP302" s="326"/>
      <c r="AQ302" s="326"/>
      <c r="AR302" s="326"/>
      <c r="AS302" s="326"/>
      <c r="AT302" s="326"/>
      <c r="AU302" s="326"/>
      <c r="AV302" s="326"/>
      <c r="AW302" s="326"/>
      <c r="AX302" s="326"/>
      <c r="AY302" s="326"/>
      <c r="AZ302" s="326"/>
      <c r="BA302" s="326"/>
      <c r="BB302" s="327"/>
    </row>
    <row r="303" spans="1:54" ht="15.75" customHeight="1" x14ac:dyDescent="0.25">
      <c r="A303" s="11">
        <f t="shared" si="1"/>
        <v>290</v>
      </c>
      <c r="B303" s="504" t="str">
        <f>'refer admin discharge'!B299</f>
        <v>x</v>
      </c>
      <c r="C303" s="327"/>
      <c r="D303" s="505" t="str">
        <f>'refer admin discharge'!D299</f>
        <v>xx</v>
      </c>
      <c r="E303" s="327"/>
      <c r="F303" s="606" t="str">
        <f>'refer admin discharge'!H299</f>
        <v>00/00/0000</v>
      </c>
      <c r="G303" s="327"/>
      <c r="H303" s="594"/>
      <c r="I303" s="327"/>
      <c r="J303" s="605"/>
      <c r="K303" s="327"/>
      <c r="L303" s="594"/>
      <c r="M303" s="327"/>
      <c r="N303" s="575"/>
      <c r="O303" s="327"/>
      <c r="P303" s="594"/>
      <c r="Q303" s="327"/>
      <c r="R303" s="575"/>
      <c r="S303" s="327"/>
      <c r="T303" s="594"/>
      <c r="U303" s="327"/>
      <c r="V303" s="595" t="str">
        <f>'refer admin discharge'!H304</f>
        <v>00/00/0000</v>
      </c>
      <c r="W303" s="327"/>
      <c r="X303" s="577"/>
      <c r="Y303" s="327"/>
      <c r="Z303" s="604"/>
      <c r="AA303" s="327"/>
      <c r="AB303" s="577"/>
      <c r="AC303" s="327"/>
      <c r="AD303" s="576"/>
      <c r="AE303" s="327"/>
      <c r="AF303" s="577"/>
      <c r="AG303" s="327"/>
      <c r="AH303" s="576"/>
      <c r="AI303" s="327"/>
      <c r="AJ303" s="577"/>
      <c r="AK303" s="327"/>
      <c r="AL303" s="602"/>
      <c r="AM303" s="326"/>
      <c r="AN303" s="326"/>
      <c r="AO303" s="326"/>
      <c r="AP303" s="326"/>
      <c r="AQ303" s="326"/>
      <c r="AR303" s="326"/>
      <c r="AS303" s="326"/>
      <c r="AT303" s="326"/>
      <c r="AU303" s="326"/>
      <c r="AV303" s="326"/>
      <c r="AW303" s="326"/>
      <c r="AX303" s="326"/>
      <c r="AY303" s="326"/>
      <c r="AZ303" s="326"/>
      <c r="BA303" s="326"/>
      <c r="BB303" s="327"/>
    </row>
    <row r="304" spans="1:54" ht="15.75" customHeight="1" x14ac:dyDescent="0.25">
      <c r="A304" s="11">
        <f t="shared" si="1"/>
        <v>291</v>
      </c>
      <c r="B304" s="570" t="str">
        <f>'refer admin discharge'!B300</f>
        <v>x</v>
      </c>
      <c r="C304" s="327"/>
      <c r="D304" s="599" t="str">
        <f>'refer admin discharge'!D300</f>
        <v>xx</v>
      </c>
      <c r="E304" s="327"/>
      <c r="F304" s="600" t="str">
        <f>'refer admin discharge'!H300</f>
        <v>00/00/0000</v>
      </c>
      <c r="G304" s="327"/>
      <c r="H304" s="574"/>
      <c r="I304" s="327"/>
      <c r="J304" s="601"/>
      <c r="K304" s="327"/>
      <c r="L304" s="574"/>
      <c r="M304" s="327"/>
      <c r="N304" s="594"/>
      <c r="O304" s="327"/>
      <c r="P304" s="574"/>
      <c r="Q304" s="327"/>
      <c r="R304" s="594"/>
      <c r="S304" s="327"/>
      <c r="T304" s="574"/>
      <c r="U304" s="327"/>
      <c r="V304" s="595" t="str">
        <f>'refer admin discharge'!H305</f>
        <v>00/00/0000</v>
      </c>
      <c r="W304" s="327"/>
      <c r="X304" s="596"/>
      <c r="Y304" s="327"/>
      <c r="Z304" s="597"/>
      <c r="AA304" s="327"/>
      <c r="AB304" s="596"/>
      <c r="AC304" s="327"/>
      <c r="AD304" s="577"/>
      <c r="AE304" s="327"/>
      <c r="AF304" s="596"/>
      <c r="AG304" s="327"/>
      <c r="AH304" s="577"/>
      <c r="AI304" s="327"/>
      <c r="AJ304" s="596"/>
      <c r="AK304" s="327"/>
      <c r="AL304" s="598"/>
      <c r="AM304" s="326"/>
      <c r="AN304" s="326"/>
      <c r="AO304" s="326"/>
      <c r="AP304" s="326"/>
      <c r="AQ304" s="326"/>
      <c r="AR304" s="326"/>
      <c r="AS304" s="326"/>
      <c r="AT304" s="326"/>
      <c r="AU304" s="326"/>
      <c r="AV304" s="326"/>
      <c r="AW304" s="326"/>
      <c r="AX304" s="326"/>
      <c r="AY304" s="326"/>
      <c r="AZ304" s="326"/>
      <c r="BA304" s="326"/>
      <c r="BB304" s="327"/>
    </row>
    <row r="305" spans="1:54" ht="15.75" customHeight="1" x14ac:dyDescent="0.25">
      <c r="A305" s="11">
        <f t="shared" si="1"/>
        <v>292</v>
      </c>
      <c r="B305" s="504" t="str">
        <f>'refer admin discharge'!B301</f>
        <v>x</v>
      </c>
      <c r="C305" s="327"/>
      <c r="D305" s="505" t="str">
        <f>'refer admin discharge'!D301</f>
        <v>xx</v>
      </c>
      <c r="E305" s="327"/>
      <c r="F305" s="606" t="str">
        <f>'refer admin discharge'!H301</f>
        <v>00/00/0000</v>
      </c>
      <c r="G305" s="327"/>
      <c r="H305" s="594"/>
      <c r="I305" s="327"/>
      <c r="J305" s="605"/>
      <c r="K305" s="327"/>
      <c r="L305" s="594"/>
      <c r="M305" s="327"/>
      <c r="N305" s="575"/>
      <c r="O305" s="327"/>
      <c r="P305" s="594"/>
      <c r="Q305" s="327"/>
      <c r="R305" s="575"/>
      <c r="S305" s="327"/>
      <c r="T305" s="594"/>
      <c r="U305" s="327"/>
      <c r="V305" s="595" t="str">
        <f>'refer admin discharge'!H306</f>
        <v>00/00/0000</v>
      </c>
      <c r="W305" s="327"/>
      <c r="X305" s="577"/>
      <c r="Y305" s="327"/>
      <c r="Z305" s="604"/>
      <c r="AA305" s="327"/>
      <c r="AB305" s="577"/>
      <c r="AC305" s="327"/>
      <c r="AD305" s="576"/>
      <c r="AE305" s="327"/>
      <c r="AF305" s="577"/>
      <c r="AG305" s="327"/>
      <c r="AH305" s="576"/>
      <c r="AI305" s="327"/>
      <c r="AJ305" s="577"/>
      <c r="AK305" s="327"/>
      <c r="AL305" s="602"/>
      <c r="AM305" s="326"/>
      <c r="AN305" s="326"/>
      <c r="AO305" s="326"/>
      <c r="AP305" s="326"/>
      <c r="AQ305" s="326"/>
      <c r="AR305" s="326"/>
      <c r="AS305" s="326"/>
      <c r="AT305" s="326"/>
      <c r="AU305" s="326"/>
      <c r="AV305" s="326"/>
      <c r="AW305" s="326"/>
      <c r="AX305" s="326"/>
      <c r="AY305" s="326"/>
      <c r="AZ305" s="326"/>
      <c r="BA305" s="326"/>
      <c r="BB305" s="327"/>
    </row>
    <row r="306" spans="1:54" ht="15.75" customHeight="1" x14ac:dyDescent="0.25">
      <c r="A306" s="11">
        <f t="shared" si="1"/>
        <v>293</v>
      </c>
      <c r="B306" s="570" t="str">
        <f>'refer admin discharge'!B302</f>
        <v>x</v>
      </c>
      <c r="C306" s="327"/>
      <c r="D306" s="599" t="str">
        <f>'refer admin discharge'!D302</f>
        <v>xx</v>
      </c>
      <c r="E306" s="327"/>
      <c r="F306" s="600" t="str">
        <f>'refer admin discharge'!H302</f>
        <v>00/00/0000</v>
      </c>
      <c r="G306" s="327"/>
      <c r="H306" s="574"/>
      <c r="I306" s="327"/>
      <c r="J306" s="601"/>
      <c r="K306" s="327"/>
      <c r="L306" s="574"/>
      <c r="M306" s="327"/>
      <c r="N306" s="594"/>
      <c r="O306" s="327"/>
      <c r="P306" s="574"/>
      <c r="Q306" s="327"/>
      <c r="R306" s="594"/>
      <c r="S306" s="327"/>
      <c r="T306" s="574"/>
      <c r="U306" s="327"/>
      <c r="V306" s="595" t="str">
        <f>'refer admin discharge'!H307</f>
        <v>00/00/0000</v>
      </c>
      <c r="W306" s="327"/>
      <c r="X306" s="596"/>
      <c r="Y306" s="327"/>
      <c r="Z306" s="597"/>
      <c r="AA306" s="327"/>
      <c r="AB306" s="596"/>
      <c r="AC306" s="327"/>
      <c r="AD306" s="577"/>
      <c r="AE306" s="327"/>
      <c r="AF306" s="596"/>
      <c r="AG306" s="327"/>
      <c r="AH306" s="577"/>
      <c r="AI306" s="327"/>
      <c r="AJ306" s="596"/>
      <c r="AK306" s="327"/>
      <c r="AL306" s="598"/>
      <c r="AM306" s="326"/>
      <c r="AN306" s="326"/>
      <c r="AO306" s="326"/>
      <c r="AP306" s="326"/>
      <c r="AQ306" s="326"/>
      <c r="AR306" s="326"/>
      <c r="AS306" s="326"/>
      <c r="AT306" s="326"/>
      <c r="AU306" s="326"/>
      <c r="AV306" s="326"/>
      <c r="AW306" s="326"/>
      <c r="AX306" s="326"/>
      <c r="AY306" s="326"/>
      <c r="AZ306" s="326"/>
      <c r="BA306" s="326"/>
      <c r="BB306" s="327"/>
    </row>
    <row r="307" spans="1:54" ht="15.75" customHeight="1" x14ac:dyDescent="0.25">
      <c r="A307" s="11">
        <f t="shared" si="1"/>
        <v>294</v>
      </c>
      <c r="B307" s="504" t="str">
        <f>'refer admin discharge'!B303</f>
        <v>x</v>
      </c>
      <c r="C307" s="327"/>
      <c r="D307" s="505" t="str">
        <f>'refer admin discharge'!D303</f>
        <v>xx</v>
      </c>
      <c r="E307" s="327"/>
      <c r="F307" s="606" t="str">
        <f>'refer admin discharge'!H303</f>
        <v>00/00/0000</v>
      </c>
      <c r="G307" s="327"/>
      <c r="H307" s="594"/>
      <c r="I307" s="327"/>
      <c r="J307" s="605"/>
      <c r="K307" s="327"/>
      <c r="L307" s="594"/>
      <c r="M307" s="327"/>
      <c r="N307" s="575"/>
      <c r="O307" s="327"/>
      <c r="P307" s="594"/>
      <c r="Q307" s="327"/>
      <c r="R307" s="575"/>
      <c r="S307" s="327"/>
      <c r="T307" s="594"/>
      <c r="U307" s="327"/>
      <c r="V307" s="595" t="str">
        <f>'refer admin discharge'!H308</f>
        <v>00/00/0000</v>
      </c>
      <c r="W307" s="327"/>
      <c r="X307" s="577"/>
      <c r="Y307" s="327"/>
      <c r="Z307" s="604"/>
      <c r="AA307" s="327"/>
      <c r="AB307" s="577"/>
      <c r="AC307" s="327"/>
      <c r="AD307" s="576"/>
      <c r="AE307" s="327"/>
      <c r="AF307" s="577"/>
      <c r="AG307" s="327"/>
      <c r="AH307" s="576"/>
      <c r="AI307" s="327"/>
      <c r="AJ307" s="577"/>
      <c r="AK307" s="327"/>
      <c r="AL307" s="602"/>
      <c r="AM307" s="326"/>
      <c r="AN307" s="326"/>
      <c r="AO307" s="326"/>
      <c r="AP307" s="326"/>
      <c r="AQ307" s="326"/>
      <c r="AR307" s="326"/>
      <c r="AS307" s="326"/>
      <c r="AT307" s="326"/>
      <c r="AU307" s="326"/>
      <c r="AV307" s="326"/>
      <c r="AW307" s="326"/>
      <c r="AX307" s="326"/>
      <c r="AY307" s="326"/>
      <c r="AZ307" s="326"/>
      <c r="BA307" s="326"/>
      <c r="BB307" s="327"/>
    </row>
    <row r="308" spans="1:54" ht="15.75" customHeight="1" x14ac:dyDescent="0.25">
      <c r="A308" s="11">
        <f t="shared" si="1"/>
        <v>295</v>
      </c>
      <c r="B308" s="570" t="str">
        <f>'refer admin discharge'!B304</f>
        <v>x</v>
      </c>
      <c r="C308" s="327"/>
      <c r="D308" s="599" t="str">
        <f>'refer admin discharge'!D304</f>
        <v>xx</v>
      </c>
      <c r="E308" s="327"/>
      <c r="F308" s="600" t="str">
        <f>'refer admin discharge'!H304</f>
        <v>00/00/0000</v>
      </c>
      <c r="G308" s="327"/>
      <c r="H308" s="574"/>
      <c r="I308" s="327"/>
      <c r="J308" s="601"/>
      <c r="K308" s="327"/>
      <c r="L308" s="574"/>
      <c r="M308" s="327"/>
      <c r="N308" s="594"/>
      <c r="O308" s="327"/>
      <c r="P308" s="574"/>
      <c r="Q308" s="327"/>
      <c r="R308" s="594"/>
      <c r="S308" s="327"/>
      <c r="T308" s="574"/>
      <c r="U308" s="327"/>
      <c r="V308" s="595" t="str">
        <f>'refer admin discharge'!H309</f>
        <v>00/00/0000</v>
      </c>
      <c r="W308" s="327"/>
      <c r="X308" s="596"/>
      <c r="Y308" s="327"/>
      <c r="Z308" s="597"/>
      <c r="AA308" s="327"/>
      <c r="AB308" s="596"/>
      <c r="AC308" s="327"/>
      <c r="AD308" s="577"/>
      <c r="AE308" s="327"/>
      <c r="AF308" s="596"/>
      <c r="AG308" s="327"/>
      <c r="AH308" s="577"/>
      <c r="AI308" s="327"/>
      <c r="AJ308" s="596"/>
      <c r="AK308" s="327"/>
      <c r="AL308" s="598"/>
      <c r="AM308" s="326"/>
      <c r="AN308" s="326"/>
      <c r="AO308" s="326"/>
      <c r="AP308" s="326"/>
      <c r="AQ308" s="326"/>
      <c r="AR308" s="326"/>
      <c r="AS308" s="326"/>
      <c r="AT308" s="326"/>
      <c r="AU308" s="326"/>
      <c r="AV308" s="326"/>
      <c r="AW308" s="326"/>
      <c r="AX308" s="326"/>
      <c r="AY308" s="326"/>
      <c r="AZ308" s="326"/>
      <c r="BA308" s="326"/>
      <c r="BB308" s="327"/>
    </row>
    <row r="309" spans="1:54" ht="15.75" customHeight="1" x14ac:dyDescent="0.25">
      <c r="A309" s="11">
        <f t="shared" si="1"/>
        <v>296</v>
      </c>
      <c r="B309" s="504" t="str">
        <f>'refer admin discharge'!B305</f>
        <v>x</v>
      </c>
      <c r="C309" s="327"/>
      <c r="D309" s="505" t="str">
        <f>'refer admin discharge'!D305</f>
        <v>xx</v>
      </c>
      <c r="E309" s="327"/>
      <c r="F309" s="606" t="str">
        <f>'refer admin discharge'!H305</f>
        <v>00/00/0000</v>
      </c>
      <c r="G309" s="327"/>
      <c r="H309" s="594"/>
      <c r="I309" s="327"/>
      <c r="J309" s="605"/>
      <c r="K309" s="327"/>
      <c r="L309" s="594"/>
      <c r="M309" s="327"/>
      <c r="N309" s="575"/>
      <c r="O309" s="327"/>
      <c r="P309" s="594"/>
      <c r="Q309" s="327"/>
      <c r="R309" s="575"/>
      <c r="S309" s="327"/>
      <c r="T309" s="594"/>
      <c r="U309" s="327"/>
      <c r="V309" s="595" t="str">
        <f>'refer admin discharge'!H310</f>
        <v>00/00/0000</v>
      </c>
      <c r="W309" s="327"/>
      <c r="X309" s="577"/>
      <c r="Y309" s="327"/>
      <c r="Z309" s="604"/>
      <c r="AA309" s="327"/>
      <c r="AB309" s="577"/>
      <c r="AC309" s="327"/>
      <c r="AD309" s="576"/>
      <c r="AE309" s="327"/>
      <c r="AF309" s="577"/>
      <c r="AG309" s="327"/>
      <c r="AH309" s="576"/>
      <c r="AI309" s="327"/>
      <c r="AJ309" s="577"/>
      <c r="AK309" s="327"/>
      <c r="AL309" s="602"/>
      <c r="AM309" s="326"/>
      <c r="AN309" s="326"/>
      <c r="AO309" s="326"/>
      <c r="AP309" s="326"/>
      <c r="AQ309" s="326"/>
      <c r="AR309" s="326"/>
      <c r="AS309" s="326"/>
      <c r="AT309" s="326"/>
      <c r="AU309" s="326"/>
      <c r="AV309" s="326"/>
      <c r="AW309" s="326"/>
      <c r="AX309" s="326"/>
      <c r="AY309" s="326"/>
      <c r="AZ309" s="326"/>
      <c r="BA309" s="326"/>
      <c r="BB309" s="327"/>
    </row>
    <row r="310" spans="1:54" ht="15.75" customHeight="1" x14ac:dyDescent="0.25">
      <c r="A310" s="11">
        <f t="shared" si="1"/>
        <v>297</v>
      </c>
      <c r="B310" s="570" t="str">
        <f>'refer admin discharge'!B306</f>
        <v>x</v>
      </c>
      <c r="C310" s="327"/>
      <c r="D310" s="599" t="str">
        <f>'refer admin discharge'!D306</f>
        <v>xx</v>
      </c>
      <c r="E310" s="327"/>
      <c r="F310" s="600" t="str">
        <f>'refer admin discharge'!H306</f>
        <v>00/00/0000</v>
      </c>
      <c r="G310" s="327"/>
      <c r="H310" s="574"/>
      <c r="I310" s="327"/>
      <c r="J310" s="601"/>
      <c r="K310" s="327"/>
      <c r="L310" s="574"/>
      <c r="M310" s="327"/>
      <c r="N310" s="594"/>
      <c r="O310" s="327"/>
      <c r="P310" s="574"/>
      <c r="Q310" s="327"/>
      <c r="R310" s="594"/>
      <c r="S310" s="327"/>
      <c r="T310" s="574"/>
      <c r="U310" s="327"/>
      <c r="V310" s="595" t="str">
        <f>'refer admin discharge'!H311</f>
        <v>00/00/0000</v>
      </c>
      <c r="W310" s="327"/>
      <c r="X310" s="596"/>
      <c r="Y310" s="327"/>
      <c r="Z310" s="597"/>
      <c r="AA310" s="327"/>
      <c r="AB310" s="596"/>
      <c r="AC310" s="327"/>
      <c r="AD310" s="577"/>
      <c r="AE310" s="327"/>
      <c r="AF310" s="596"/>
      <c r="AG310" s="327"/>
      <c r="AH310" s="577"/>
      <c r="AI310" s="327"/>
      <c r="AJ310" s="596"/>
      <c r="AK310" s="327"/>
      <c r="AL310" s="598"/>
      <c r="AM310" s="326"/>
      <c r="AN310" s="326"/>
      <c r="AO310" s="326"/>
      <c r="AP310" s="326"/>
      <c r="AQ310" s="326"/>
      <c r="AR310" s="326"/>
      <c r="AS310" s="326"/>
      <c r="AT310" s="326"/>
      <c r="AU310" s="326"/>
      <c r="AV310" s="326"/>
      <c r="AW310" s="326"/>
      <c r="AX310" s="326"/>
      <c r="AY310" s="326"/>
      <c r="AZ310" s="326"/>
      <c r="BA310" s="326"/>
      <c r="BB310" s="327"/>
    </row>
    <row r="311" spans="1:54" ht="15.75" customHeight="1" x14ac:dyDescent="0.25">
      <c r="A311" s="11">
        <f t="shared" si="1"/>
        <v>298</v>
      </c>
      <c r="B311" s="504" t="str">
        <f>'refer admin discharge'!B307</f>
        <v>x</v>
      </c>
      <c r="C311" s="327"/>
      <c r="D311" s="505" t="str">
        <f>'refer admin discharge'!D307</f>
        <v>xx</v>
      </c>
      <c r="E311" s="327"/>
      <c r="F311" s="606" t="str">
        <f>'refer admin discharge'!H307</f>
        <v>00/00/0000</v>
      </c>
      <c r="G311" s="327"/>
      <c r="H311" s="594"/>
      <c r="I311" s="327"/>
      <c r="J311" s="605"/>
      <c r="K311" s="327"/>
      <c r="L311" s="594"/>
      <c r="M311" s="327"/>
      <c r="N311" s="575"/>
      <c r="O311" s="327"/>
      <c r="P311" s="594"/>
      <c r="Q311" s="327"/>
      <c r="R311" s="575"/>
      <c r="S311" s="327"/>
      <c r="T311" s="594"/>
      <c r="U311" s="327"/>
      <c r="V311" s="595" t="str">
        <f>'refer admin discharge'!H312</f>
        <v>00/00/0000</v>
      </c>
      <c r="W311" s="327"/>
      <c r="X311" s="577"/>
      <c r="Y311" s="327"/>
      <c r="Z311" s="604"/>
      <c r="AA311" s="327"/>
      <c r="AB311" s="577"/>
      <c r="AC311" s="327"/>
      <c r="AD311" s="576"/>
      <c r="AE311" s="327"/>
      <c r="AF311" s="577"/>
      <c r="AG311" s="327"/>
      <c r="AH311" s="576"/>
      <c r="AI311" s="327"/>
      <c r="AJ311" s="577"/>
      <c r="AK311" s="327"/>
      <c r="AL311" s="602"/>
      <c r="AM311" s="326"/>
      <c r="AN311" s="326"/>
      <c r="AO311" s="326"/>
      <c r="AP311" s="326"/>
      <c r="AQ311" s="326"/>
      <c r="AR311" s="326"/>
      <c r="AS311" s="326"/>
      <c r="AT311" s="326"/>
      <c r="AU311" s="326"/>
      <c r="AV311" s="326"/>
      <c r="AW311" s="326"/>
      <c r="AX311" s="326"/>
      <c r="AY311" s="326"/>
      <c r="AZ311" s="326"/>
      <c r="BA311" s="326"/>
      <c r="BB311" s="327"/>
    </row>
    <row r="312" spans="1:54" ht="15.75" customHeight="1" x14ac:dyDescent="0.25">
      <c r="A312" s="11">
        <f t="shared" si="1"/>
        <v>299</v>
      </c>
      <c r="B312" s="570" t="str">
        <f>'refer admin discharge'!B308</f>
        <v>x</v>
      </c>
      <c r="C312" s="327"/>
      <c r="D312" s="599" t="str">
        <f>'refer admin discharge'!D308</f>
        <v>xx</v>
      </c>
      <c r="E312" s="327"/>
      <c r="F312" s="600" t="str">
        <f>'refer admin discharge'!H308</f>
        <v>00/00/0000</v>
      </c>
      <c r="G312" s="327"/>
      <c r="H312" s="574"/>
      <c r="I312" s="327"/>
      <c r="J312" s="601"/>
      <c r="K312" s="327"/>
      <c r="L312" s="574"/>
      <c r="M312" s="327"/>
      <c r="N312" s="594"/>
      <c r="O312" s="327"/>
      <c r="P312" s="574"/>
      <c r="Q312" s="327"/>
      <c r="R312" s="594"/>
      <c r="S312" s="327"/>
      <c r="T312" s="574"/>
      <c r="U312" s="327"/>
      <c r="V312" s="595" t="str">
        <f>'refer admin discharge'!H313</f>
        <v>00/00/0000</v>
      </c>
      <c r="W312" s="327"/>
      <c r="X312" s="596"/>
      <c r="Y312" s="327"/>
      <c r="Z312" s="597"/>
      <c r="AA312" s="327"/>
      <c r="AB312" s="596"/>
      <c r="AC312" s="327"/>
      <c r="AD312" s="577"/>
      <c r="AE312" s="327"/>
      <c r="AF312" s="596"/>
      <c r="AG312" s="327"/>
      <c r="AH312" s="577"/>
      <c r="AI312" s="327"/>
      <c r="AJ312" s="596"/>
      <c r="AK312" s="327"/>
      <c r="AL312" s="598"/>
      <c r="AM312" s="326"/>
      <c r="AN312" s="326"/>
      <c r="AO312" s="326"/>
      <c r="AP312" s="326"/>
      <c r="AQ312" s="326"/>
      <c r="AR312" s="326"/>
      <c r="AS312" s="326"/>
      <c r="AT312" s="326"/>
      <c r="AU312" s="326"/>
      <c r="AV312" s="326"/>
      <c r="AW312" s="326"/>
      <c r="AX312" s="326"/>
      <c r="AY312" s="326"/>
      <c r="AZ312" s="326"/>
      <c r="BA312" s="326"/>
      <c r="BB312" s="327"/>
    </row>
    <row r="313" spans="1:54" ht="15.75" customHeight="1" x14ac:dyDescent="0.25">
      <c r="A313" s="11">
        <f t="shared" si="1"/>
        <v>300</v>
      </c>
      <c r="B313" s="504" t="str">
        <f>'refer admin discharge'!B309</f>
        <v>x</v>
      </c>
      <c r="C313" s="327"/>
      <c r="D313" s="505" t="str">
        <f>'refer admin discharge'!D309</f>
        <v>xx</v>
      </c>
      <c r="E313" s="327"/>
      <c r="F313" s="606" t="str">
        <f>'refer admin discharge'!H309</f>
        <v>00/00/0000</v>
      </c>
      <c r="G313" s="327"/>
      <c r="H313" s="594"/>
      <c r="I313" s="327"/>
      <c r="J313" s="605"/>
      <c r="K313" s="327"/>
      <c r="L313" s="594"/>
      <c r="M313" s="327"/>
      <c r="N313" s="575"/>
      <c r="O313" s="327"/>
      <c r="P313" s="594"/>
      <c r="Q313" s="327"/>
      <c r="R313" s="575"/>
      <c r="S313" s="327"/>
      <c r="T313" s="594"/>
      <c r="U313" s="327"/>
      <c r="V313" s="595" t="str">
        <f>'refer admin discharge'!H314</f>
        <v>00/00/0000</v>
      </c>
      <c r="W313" s="327"/>
      <c r="X313" s="577"/>
      <c r="Y313" s="327"/>
      <c r="Z313" s="604"/>
      <c r="AA313" s="327"/>
      <c r="AB313" s="577"/>
      <c r="AC313" s="327"/>
      <c r="AD313" s="576"/>
      <c r="AE313" s="327"/>
      <c r="AF313" s="577"/>
      <c r="AG313" s="327"/>
      <c r="AH313" s="576"/>
      <c r="AI313" s="327"/>
      <c r="AJ313" s="577"/>
      <c r="AK313" s="327"/>
      <c r="AL313" s="602"/>
      <c r="AM313" s="326"/>
      <c r="AN313" s="326"/>
      <c r="AO313" s="326"/>
      <c r="AP313" s="326"/>
      <c r="AQ313" s="326"/>
      <c r="AR313" s="326"/>
      <c r="AS313" s="326"/>
      <c r="AT313" s="326"/>
      <c r="AU313" s="326"/>
      <c r="AV313" s="326"/>
      <c r="AW313" s="326"/>
      <c r="AX313" s="326"/>
      <c r="AY313" s="326"/>
      <c r="AZ313" s="326"/>
      <c r="BA313" s="326"/>
      <c r="BB313" s="327"/>
    </row>
    <row r="314" spans="1:54" ht="15.75" customHeight="1" x14ac:dyDescent="0.25">
      <c r="A314" s="11">
        <f t="shared" si="1"/>
        <v>301</v>
      </c>
      <c r="B314" s="570" t="str">
        <f>'refer admin discharge'!B310</f>
        <v>x</v>
      </c>
      <c r="C314" s="327"/>
      <c r="D314" s="599" t="str">
        <f>'refer admin discharge'!D310</f>
        <v>xx</v>
      </c>
      <c r="E314" s="327"/>
      <c r="F314" s="600" t="str">
        <f>'refer admin discharge'!H310</f>
        <v>00/00/0000</v>
      </c>
      <c r="G314" s="327"/>
      <c r="H314" s="574"/>
      <c r="I314" s="327"/>
      <c r="J314" s="601"/>
      <c r="K314" s="327"/>
      <c r="L314" s="574"/>
      <c r="M314" s="327"/>
      <c r="N314" s="594"/>
      <c r="O314" s="327"/>
      <c r="P314" s="574"/>
      <c r="Q314" s="327"/>
      <c r="R314" s="594"/>
      <c r="S314" s="327"/>
      <c r="T314" s="574"/>
      <c r="U314" s="327"/>
      <c r="V314" s="595" t="str">
        <f>'refer admin discharge'!H315</f>
        <v>00/00/0000</v>
      </c>
      <c r="W314" s="327"/>
      <c r="X314" s="596"/>
      <c r="Y314" s="327"/>
      <c r="Z314" s="597"/>
      <c r="AA314" s="327"/>
      <c r="AB314" s="596"/>
      <c r="AC314" s="327"/>
      <c r="AD314" s="577"/>
      <c r="AE314" s="327"/>
      <c r="AF314" s="596"/>
      <c r="AG314" s="327"/>
      <c r="AH314" s="577"/>
      <c r="AI314" s="327"/>
      <c r="AJ314" s="596"/>
      <c r="AK314" s="327"/>
      <c r="AL314" s="598"/>
      <c r="AM314" s="326"/>
      <c r="AN314" s="326"/>
      <c r="AO314" s="326"/>
      <c r="AP314" s="326"/>
      <c r="AQ314" s="326"/>
      <c r="AR314" s="326"/>
      <c r="AS314" s="326"/>
      <c r="AT314" s="326"/>
      <c r="AU314" s="326"/>
      <c r="AV314" s="326"/>
      <c r="AW314" s="326"/>
      <c r="AX314" s="326"/>
      <c r="AY314" s="326"/>
      <c r="AZ314" s="326"/>
      <c r="BA314" s="326"/>
      <c r="BB314" s="327"/>
    </row>
    <row r="315" spans="1:54" ht="15.75" customHeight="1" x14ac:dyDescent="0.25">
      <c r="A315" s="11">
        <f t="shared" si="1"/>
        <v>302</v>
      </c>
      <c r="B315" s="504" t="str">
        <f>'refer admin discharge'!B311</f>
        <v>x</v>
      </c>
      <c r="C315" s="327"/>
      <c r="D315" s="505" t="str">
        <f>'refer admin discharge'!D311</f>
        <v>xx</v>
      </c>
      <c r="E315" s="327"/>
      <c r="F315" s="606" t="str">
        <f>'refer admin discharge'!H311</f>
        <v>00/00/0000</v>
      </c>
      <c r="G315" s="327"/>
      <c r="H315" s="594"/>
      <c r="I315" s="327"/>
      <c r="J315" s="605"/>
      <c r="K315" s="327"/>
      <c r="L315" s="594"/>
      <c r="M315" s="327"/>
      <c r="N315" s="575"/>
      <c r="O315" s="327"/>
      <c r="P315" s="594"/>
      <c r="Q315" s="327"/>
      <c r="R315" s="575"/>
      <c r="S315" s="327"/>
      <c r="T315" s="594"/>
      <c r="U315" s="327"/>
      <c r="V315" s="595" t="str">
        <f>'refer admin discharge'!H316</f>
        <v>00/00/0000</v>
      </c>
      <c r="W315" s="327"/>
      <c r="X315" s="577"/>
      <c r="Y315" s="327"/>
      <c r="Z315" s="604"/>
      <c r="AA315" s="327"/>
      <c r="AB315" s="577"/>
      <c r="AC315" s="327"/>
      <c r="AD315" s="576"/>
      <c r="AE315" s="327"/>
      <c r="AF315" s="577"/>
      <c r="AG315" s="327"/>
      <c r="AH315" s="576"/>
      <c r="AI315" s="327"/>
      <c r="AJ315" s="577"/>
      <c r="AK315" s="327"/>
      <c r="AL315" s="602"/>
      <c r="AM315" s="326"/>
      <c r="AN315" s="326"/>
      <c r="AO315" s="326"/>
      <c r="AP315" s="326"/>
      <c r="AQ315" s="326"/>
      <c r="AR315" s="326"/>
      <c r="AS315" s="326"/>
      <c r="AT315" s="326"/>
      <c r="AU315" s="326"/>
      <c r="AV315" s="326"/>
      <c r="AW315" s="326"/>
      <c r="AX315" s="326"/>
      <c r="AY315" s="326"/>
      <c r="AZ315" s="326"/>
      <c r="BA315" s="326"/>
      <c r="BB315" s="327"/>
    </row>
    <row r="316" spans="1:54" ht="15.75" customHeight="1" x14ac:dyDescent="0.25">
      <c r="A316" s="11">
        <f t="shared" si="1"/>
        <v>303</v>
      </c>
      <c r="B316" s="570" t="str">
        <f>'refer admin discharge'!B312</f>
        <v>x</v>
      </c>
      <c r="C316" s="327"/>
      <c r="D316" s="599" t="str">
        <f>'refer admin discharge'!D312</f>
        <v>xx</v>
      </c>
      <c r="E316" s="327"/>
      <c r="F316" s="600" t="str">
        <f>'refer admin discharge'!H312</f>
        <v>00/00/0000</v>
      </c>
      <c r="G316" s="327"/>
      <c r="H316" s="574"/>
      <c r="I316" s="327"/>
      <c r="J316" s="601"/>
      <c r="K316" s="327"/>
      <c r="L316" s="574"/>
      <c r="M316" s="327"/>
      <c r="N316" s="594"/>
      <c r="O316" s="327"/>
      <c r="P316" s="574"/>
      <c r="Q316" s="327"/>
      <c r="R316" s="594"/>
      <c r="S316" s="327"/>
      <c r="T316" s="574"/>
      <c r="U316" s="327"/>
      <c r="V316" s="595" t="str">
        <f>'refer admin discharge'!H317</f>
        <v>00/00/0000</v>
      </c>
      <c r="W316" s="327"/>
      <c r="X316" s="596"/>
      <c r="Y316" s="327"/>
      <c r="Z316" s="597"/>
      <c r="AA316" s="327"/>
      <c r="AB316" s="596"/>
      <c r="AC316" s="327"/>
      <c r="AD316" s="577"/>
      <c r="AE316" s="327"/>
      <c r="AF316" s="596"/>
      <c r="AG316" s="327"/>
      <c r="AH316" s="577"/>
      <c r="AI316" s="327"/>
      <c r="AJ316" s="596"/>
      <c r="AK316" s="327"/>
      <c r="AL316" s="598"/>
      <c r="AM316" s="326"/>
      <c r="AN316" s="326"/>
      <c r="AO316" s="326"/>
      <c r="AP316" s="326"/>
      <c r="AQ316" s="326"/>
      <c r="AR316" s="326"/>
      <c r="AS316" s="326"/>
      <c r="AT316" s="326"/>
      <c r="AU316" s="326"/>
      <c r="AV316" s="326"/>
      <c r="AW316" s="326"/>
      <c r="AX316" s="326"/>
      <c r="AY316" s="326"/>
      <c r="AZ316" s="326"/>
      <c r="BA316" s="326"/>
      <c r="BB316" s="327"/>
    </row>
    <row r="317" spans="1:54" ht="15.75" customHeight="1" x14ac:dyDescent="0.25">
      <c r="A317" s="11">
        <f t="shared" si="1"/>
        <v>304</v>
      </c>
      <c r="B317" s="504" t="str">
        <f>'refer admin discharge'!B313</f>
        <v>x</v>
      </c>
      <c r="C317" s="327"/>
      <c r="D317" s="505" t="str">
        <f>'refer admin discharge'!D313</f>
        <v>xx</v>
      </c>
      <c r="E317" s="327"/>
      <c r="F317" s="606" t="str">
        <f>'refer admin discharge'!H313</f>
        <v>00/00/0000</v>
      </c>
      <c r="G317" s="327"/>
      <c r="H317" s="594"/>
      <c r="I317" s="327"/>
      <c r="J317" s="605"/>
      <c r="K317" s="327"/>
      <c r="L317" s="594"/>
      <c r="M317" s="327"/>
      <c r="N317" s="575"/>
      <c r="O317" s="327"/>
      <c r="P317" s="594"/>
      <c r="Q317" s="327"/>
      <c r="R317" s="575"/>
      <c r="S317" s="327"/>
      <c r="T317" s="594"/>
      <c r="U317" s="327"/>
      <c r="V317" s="595" t="str">
        <f>'refer admin discharge'!H318</f>
        <v>00/00/0000</v>
      </c>
      <c r="W317" s="327"/>
      <c r="X317" s="577"/>
      <c r="Y317" s="327"/>
      <c r="Z317" s="604"/>
      <c r="AA317" s="327"/>
      <c r="AB317" s="577"/>
      <c r="AC317" s="327"/>
      <c r="AD317" s="576"/>
      <c r="AE317" s="327"/>
      <c r="AF317" s="577"/>
      <c r="AG317" s="327"/>
      <c r="AH317" s="576"/>
      <c r="AI317" s="327"/>
      <c r="AJ317" s="577"/>
      <c r="AK317" s="327"/>
      <c r="AL317" s="602"/>
      <c r="AM317" s="326"/>
      <c r="AN317" s="326"/>
      <c r="AO317" s="326"/>
      <c r="AP317" s="326"/>
      <c r="AQ317" s="326"/>
      <c r="AR317" s="326"/>
      <c r="AS317" s="326"/>
      <c r="AT317" s="326"/>
      <c r="AU317" s="326"/>
      <c r="AV317" s="326"/>
      <c r="AW317" s="326"/>
      <c r="AX317" s="326"/>
      <c r="AY317" s="326"/>
      <c r="AZ317" s="326"/>
      <c r="BA317" s="326"/>
      <c r="BB317" s="327"/>
    </row>
    <row r="318" spans="1:54" ht="15.75" customHeight="1" x14ac:dyDescent="0.25">
      <c r="A318" s="11">
        <f t="shared" si="1"/>
        <v>305</v>
      </c>
      <c r="B318" s="570" t="str">
        <f>'refer admin discharge'!B314</f>
        <v>x</v>
      </c>
      <c r="C318" s="327"/>
      <c r="D318" s="599" t="str">
        <f>'refer admin discharge'!D314</f>
        <v>xx</v>
      </c>
      <c r="E318" s="327"/>
      <c r="F318" s="600" t="str">
        <f>'refer admin discharge'!H314</f>
        <v>00/00/0000</v>
      </c>
      <c r="G318" s="327"/>
      <c r="H318" s="574"/>
      <c r="I318" s="327"/>
      <c r="J318" s="601"/>
      <c r="K318" s="327"/>
      <c r="L318" s="574"/>
      <c r="M318" s="327"/>
      <c r="N318" s="594"/>
      <c r="O318" s="327"/>
      <c r="P318" s="574"/>
      <c r="Q318" s="327"/>
      <c r="R318" s="594"/>
      <c r="S318" s="327"/>
      <c r="T318" s="574"/>
      <c r="U318" s="327"/>
      <c r="V318" s="595" t="str">
        <f>'refer admin discharge'!H319</f>
        <v>00/00/0000</v>
      </c>
      <c r="W318" s="327"/>
      <c r="X318" s="596"/>
      <c r="Y318" s="327"/>
      <c r="Z318" s="597"/>
      <c r="AA318" s="327"/>
      <c r="AB318" s="596"/>
      <c r="AC318" s="327"/>
      <c r="AD318" s="577"/>
      <c r="AE318" s="327"/>
      <c r="AF318" s="596"/>
      <c r="AG318" s="327"/>
      <c r="AH318" s="577"/>
      <c r="AI318" s="327"/>
      <c r="AJ318" s="596"/>
      <c r="AK318" s="327"/>
      <c r="AL318" s="598"/>
      <c r="AM318" s="326"/>
      <c r="AN318" s="326"/>
      <c r="AO318" s="326"/>
      <c r="AP318" s="326"/>
      <c r="AQ318" s="326"/>
      <c r="AR318" s="326"/>
      <c r="AS318" s="326"/>
      <c r="AT318" s="326"/>
      <c r="AU318" s="326"/>
      <c r="AV318" s="326"/>
      <c r="AW318" s="326"/>
      <c r="AX318" s="326"/>
      <c r="AY318" s="326"/>
      <c r="AZ318" s="326"/>
      <c r="BA318" s="326"/>
      <c r="BB318" s="327"/>
    </row>
    <row r="319" spans="1:54" ht="15.75" customHeight="1" x14ac:dyDescent="0.25">
      <c r="A319" s="11">
        <f t="shared" si="1"/>
        <v>306</v>
      </c>
      <c r="B319" s="504" t="str">
        <f>'refer admin discharge'!B315</f>
        <v>x</v>
      </c>
      <c r="C319" s="327"/>
      <c r="D319" s="505" t="str">
        <f>'refer admin discharge'!D315</f>
        <v>xx</v>
      </c>
      <c r="E319" s="327"/>
      <c r="F319" s="606" t="str">
        <f>'refer admin discharge'!H315</f>
        <v>00/00/0000</v>
      </c>
      <c r="G319" s="327"/>
      <c r="H319" s="594"/>
      <c r="I319" s="327"/>
      <c r="J319" s="605"/>
      <c r="K319" s="327"/>
      <c r="L319" s="594"/>
      <c r="M319" s="327"/>
      <c r="N319" s="575"/>
      <c r="O319" s="327"/>
      <c r="P319" s="594"/>
      <c r="Q319" s="327"/>
      <c r="R319" s="575"/>
      <c r="S319" s="327"/>
      <c r="T319" s="594"/>
      <c r="U319" s="327"/>
      <c r="V319" s="595" t="str">
        <f>'refer admin discharge'!H320</f>
        <v>00/00/0000</v>
      </c>
      <c r="W319" s="327"/>
      <c r="X319" s="577"/>
      <c r="Y319" s="327"/>
      <c r="Z319" s="604"/>
      <c r="AA319" s="327"/>
      <c r="AB319" s="577"/>
      <c r="AC319" s="327"/>
      <c r="AD319" s="576"/>
      <c r="AE319" s="327"/>
      <c r="AF319" s="577"/>
      <c r="AG319" s="327"/>
      <c r="AH319" s="576"/>
      <c r="AI319" s="327"/>
      <c r="AJ319" s="577"/>
      <c r="AK319" s="327"/>
      <c r="AL319" s="602"/>
      <c r="AM319" s="326"/>
      <c r="AN319" s="326"/>
      <c r="AO319" s="326"/>
      <c r="AP319" s="326"/>
      <c r="AQ319" s="326"/>
      <c r="AR319" s="326"/>
      <c r="AS319" s="326"/>
      <c r="AT319" s="326"/>
      <c r="AU319" s="326"/>
      <c r="AV319" s="326"/>
      <c r="AW319" s="326"/>
      <c r="AX319" s="326"/>
      <c r="AY319" s="326"/>
      <c r="AZ319" s="326"/>
      <c r="BA319" s="326"/>
      <c r="BB319" s="327"/>
    </row>
    <row r="320" spans="1:54" ht="15.75" customHeight="1" x14ac:dyDescent="0.25">
      <c r="A320" s="11">
        <f t="shared" si="1"/>
        <v>307</v>
      </c>
      <c r="B320" s="570" t="str">
        <f>'refer admin discharge'!B316</f>
        <v>x</v>
      </c>
      <c r="C320" s="327"/>
      <c r="D320" s="599" t="str">
        <f>'refer admin discharge'!D316</f>
        <v>xx</v>
      </c>
      <c r="E320" s="327"/>
      <c r="F320" s="600" t="str">
        <f>'refer admin discharge'!H316</f>
        <v>00/00/0000</v>
      </c>
      <c r="G320" s="327"/>
      <c r="H320" s="574"/>
      <c r="I320" s="327"/>
      <c r="J320" s="601"/>
      <c r="K320" s="327"/>
      <c r="L320" s="574"/>
      <c r="M320" s="327"/>
      <c r="N320" s="594"/>
      <c r="O320" s="327"/>
      <c r="P320" s="574"/>
      <c r="Q320" s="327"/>
      <c r="R320" s="594"/>
      <c r="S320" s="327"/>
      <c r="T320" s="574"/>
      <c r="U320" s="327"/>
      <c r="V320" s="595" t="str">
        <f>'refer admin discharge'!H321</f>
        <v>00/00/0000</v>
      </c>
      <c r="W320" s="327"/>
      <c r="X320" s="596"/>
      <c r="Y320" s="327"/>
      <c r="Z320" s="597"/>
      <c r="AA320" s="327"/>
      <c r="AB320" s="596"/>
      <c r="AC320" s="327"/>
      <c r="AD320" s="577"/>
      <c r="AE320" s="327"/>
      <c r="AF320" s="596"/>
      <c r="AG320" s="327"/>
      <c r="AH320" s="577"/>
      <c r="AI320" s="327"/>
      <c r="AJ320" s="596"/>
      <c r="AK320" s="327"/>
      <c r="AL320" s="598"/>
      <c r="AM320" s="326"/>
      <c r="AN320" s="326"/>
      <c r="AO320" s="326"/>
      <c r="AP320" s="326"/>
      <c r="AQ320" s="326"/>
      <c r="AR320" s="326"/>
      <c r="AS320" s="326"/>
      <c r="AT320" s="326"/>
      <c r="AU320" s="326"/>
      <c r="AV320" s="326"/>
      <c r="AW320" s="326"/>
      <c r="AX320" s="326"/>
      <c r="AY320" s="326"/>
      <c r="AZ320" s="326"/>
      <c r="BA320" s="326"/>
      <c r="BB320" s="327"/>
    </row>
    <row r="321" spans="1:54" ht="15.75" customHeight="1" x14ac:dyDescent="0.25">
      <c r="A321" s="11">
        <f t="shared" si="1"/>
        <v>308</v>
      </c>
      <c r="B321" s="504" t="str">
        <f>'refer admin discharge'!B317</f>
        <v>x</v>
      </c>
      <c r="C321" s="327"/>
      <c r="D321" s="505" t="str">
        <f>'refer admin discharge'!D317</f>
        <v>xx</v>
      </c>
      <c r="E321" s="327"/>
      <c r="F321" s="606" t="str">
        <f>'refer admin discharge'!H317</f>
        <v>00/00/0000</v>
      </c>
      <c r="G321" s="327"/>
      <c r="H321" s="594"/>
      <c r="I321" s="327"/>
      <c r="J321" s="605"/>
      <c r="K321" s="327"/>
      <c r="L321" s="594"/>
      <c r="M321" s="327"/>
      <c r="N321" s="575"/>
      <c r="O321" s="327"/>
      <c r="P321" s="594"/>
      <c r="Q321" s="327"/>
      <c r="R321" s="575"/>
      <c r="S321" s="327"/>
      <c r="T321" s="594"/>
      <c r="U321" s="327"/>
      <c r="V321" s="595" t="str">
        <f>'refer admin discharge'!H322</f>
        <v>00/00/0000</v>
      </c>
      <c r="W321" s="327"/>
      <c r="X321" s="577"/>
      <c r="Y321" s="327"/>
      <c r="Z321" s="604"/>
      <c r="AA321" s="327"/>
      <c r="AB321" s="577"/>
      <c r="AC321" s="327"/>
      <c r="AD321" s="576"/>
      <c r="AE321" s="327"/>
      <c r="AF321" s="577"/>
      <c r="AG321" s="327"/>
      <c r="AH321" s="576"/>
      <c r="AI321" s="327"/>
      <c r="AJ321" s="577"/>
      <c r="AK321" s="327"/>
      <c r="AL321" s="602"/>
      <c r="AM321" s="326"/>
      <c r="AN321" s="326"/>
      <c r="AO321" s="326"/>
      <c r="AP321" s="326"/>
      <c r="AQ321" s="326"/>
      <c r="AR321" s="326"/>
      <c r="AS321" s="326"/>
      <c r="AT321" s="326"/>
      <c r="AU321" s="326"/>
      <c r="AV321" s="326"/>
      <c r="AW321" s="326"/>
      <c r="AX321" s="326"/>
      <c r="AY321" s="326"/>
      <c r="AZ321" s="326"/>
      <c r="BA321" s="326"/>
      <c r="BB321" s="327"/>
    </row>
    <row r="322" spans="1:54" ht="15.75" customHeight="1" x14ac:dyDescent="0.25">
      <c r="A322" s="11">
        <f t="shared" si="1"/>
        <v>309</v>
      </c>
      <c r="B322" s="570" t="str">
        <f>'refer admin discharge'!B318</f>
        <v>x</v>
      </c>
      <c r="C322" s="327"/>
      <c r="D322" s="599" t="str">
        <f>'refer admin discharge'!D318</f>
        <v>xx</v>
      </c>
      <c r="E322" s="327"/>
      <c r="F322" s="600" t="str">
        <f>'refer admin discharge'!H318</f>
        <v>00/00/0000</v>
      </c>
      <c r="G322" s="327"/>
      <c r="H322" s="574"/>
      <c r="I322" s="327"/>
      <c r="J322" s="601"/>
      <c r="K322" s="327"/>
      <c r="L322" s="574"/>
      <c r="M322" s="327"/>
      <c r="N322" s="594"/>
      <c r="O322" s="327"/>
      <c r="P322" s="574"/>
      <c r="Q322" s="327"/>
      <c r="R322" s="594"/>
      <c r="S322" s="327"/>
      <c r="T322" s="574"/>
      <c r="U322" s="327"/>
      <c r="V322" s="595" t="str">
        <f>'refer admin discharge'!H323</f>
        <v>00/00/0000</v>
      </c>
      <c r="W322" s="327"/>
      <c r="X322" s="596"/>
      <c r="Y322" s="327"/>
      <c r="Z322" s="597"/>
      <c r="AA322" s="327"/>
      <c r="AB322" s="596"/>
      <c r="AC322" s="327"/>
      <c r="AD322" s="577"/>
      <c r="AE322" s="327"/>
      <c r="AF322" s="596"/>
      <c r="AG322" s="327"/>
      <c r="AH322" s="577"/>
      <c r="AI322" s="327"/>
      <c r="AJ322" s="596"/>
      <c r="AK322" s="327"/>
      <c r="AL322" s="598"/>
      <c r="AM322" s="326"/>
      <c r="AN322" s="326"/>
      <c r="AO322" s="326"/>
      <c r="AP322" s="326"/>
      <c r="AQ322" s="326"/>
      <c r="AR322" s="326"/>
      <c r="AS322" s="326"/>
      <c r="AT322" s="326"/>
      <c r="AU322" s="326"/>
      <c r="AV322" s="326"/>
      <c r="AW322" s="326"/>
      <c r="AX322" s="326"/>
      <c r="AY322" s="326"/>
      <c r="AZ322" s="326"/>
      <c r="BA322" s="326"/>
      <c r="BB322" s="327"/>
    </row>
    <row r="323" spans="1:54" ht="15.75" customHeight="1" x14ac:dyDescent="0.25">
      <c r="A323" s="11">
        <f t="shared" si="1"/>
        <v>310</v>
      </c>
      <c r="B323" s="504" t="str">
        <f>'refer admin discharge'!B319</f>
        <v>x</v>
      </c>
      <c r="C323" s="327"/>
      <c r="D323" s="505" t="str">
        <f>'refer admin discharge'!D319</f>
        <v>xx</v>
      </c>
      <c r="E323" s="327"/>
      <c r="F323" s="606" t="str">
        <f>'refer admin discharge'!H319</f>
        <v>00/00/0000</v>
      </c>
      <c r="G323" s="327"/>
      <c r="H323" s="594"/>
      <c r="I323" s="327"/>
      <c r="J323" s="605"/>
      <c r="K323" s="327"/>
      <c r="L323" s="594"/>
      <c r="M323" s="327"/>
      <c r="N323" s="575"/>
      <c r="O323" s="327"/>
      <c r="P323" s="594"/>
      <c r="Q323" s="327"/>
      <c r="R323" s="575"/>
      <c r="S323" s="327"/>
      <c r="T323" s="594"/>
      <c r="U323" s="327"/>
      <c r="V323" s="595" t="str">
        <f>'refer admin discharge'!H324</f>
        <v>00/00/0000</v>
      </c>
      <c r="W323" s="327"/>
      <c r="X323" s="577"/>
      <c r="Y323" s="327"/>
      <c r="Z323" s="604"/>
      <c r="AA323" s="327"/>
      <c r="AB323" s="577"/>
      <c r="AC323" s="327"/>
      <c r="AD323" s="576"/>
      <c r="AE323" s="327"/>
      <c r="AF323" s="577"/>
      <c r="AG323" s="327"/>
      <c r="AH323" s="576"/>
      <c r="AI323" s="327"/>
      <c r="AJ323" s="577"/>
      <c r="AK323" s="327"/>
      <c r="AL323" s="602"/>
      <c r="AM323" s="326"/>
      <c r="AN323" s="326"/>
      <c r="AO323" s="326"/>
      <c r="AP323" s="326"/>
      <c r="AQ323" s="326"/>
      <c r="AR323" s="326"/>
      <c r="AS323" s="326"/>
      <c r="AT323" s="326"/>
      <c r="AU323" s="326"/>
      <c r="AV323" s="326"/>
      <c r="AW323" s="326"/>
      <c r="AX323" s="326"/>
      <c r="AY323" s="326"/>
      <c r="AZ323" s="326"/>
      <c r="BA323" s="326"/>
      <c r="BB323" s="327"/>
    </row>
    <row r="324" spans="1:54" ht="15.75" customHeight="1" x14ac:dyDescent="0.25">
      <c r="A324" s="11">
        <f t="shared" si="1"/>
        <v>311</v>
      </c>
      <c r="B324" s="570" t="str">
        <f>'refer admin discharge'!B320</f>
        <v>x</v>
      </c>
      <c r="C324" s="327"/>
      <c r="D324" s="599" t="str">
        <f>'refer admin discharge'!D320</f>
        <v>xx</v>
      </c>
      <c r="E324" s="327"/>
      <c r="F324" s="600" t="str">
        <f>'refer admin discharge'!H320</f>
        <v>00/00/0000</v>
      </c>
      <c r="G324" s="327"/>
      <c r="H324" s="574"/>
      <c r="I324" s="327"/>
      <c r="J324" s="601"/>
      <c r="K324" s="327"/>
      <c r="L324" s="574"/>
      <c r="M324" s="327"/>
      <c r="N324" s="594"/>
      <c r="O324" s="327"/>
      <c r="P324" s="574"/>
      <c r="Q324" s="327"/>
      <c r="R324" s="594"/>
      <c r="S324" s="327"/>
      <c r="T324" s="574"/>
      <c r="U324" s="327"/>
      <c r="V324" s="595" t="str">
        <f>'refer admin discharge'!H325</f>
        <v>00/00/0000</v>
      </c>
      <c r="W324" s="327"/>
      <c r="X324" s="596"/>
      <c r="Y324" s="327"/>
      <c r="Z324" s="597"/>
      <c r="AA324" s="327"/>
      <c r="AB324" s="596"/>
      <c r="AC324" s="327"/>
      <c r="AD324" s="577"/>
      <c r="AE324" s="327"/>
      <c r="AF324" s="596"/>
      <c r="AG324" s="327"/>
      <c r="AH324" s="577"/>
      <c r="AI324" s="327"/>
      <c r="AJ324" s="596"/>
      <c r="AK324" s="327"/>
      <c r="AL324" s="598"/>
      <c r="AM324" s="326"/>
      <c r="AN324" s="326"/>
      <c r="AO324" s="326"/>
      <c r="AP324" s="326"/>
      <c r="AQ324" s="326"/>
      <c r="AR324" s="326"/>
      <c r="AS324" s="326"/>
      <c r="AT324" s="326"/>
      <c r="AU324" s="326"/>
      <c r="AV324" s="326"/>
      <c r="AW324" s="326"/>
      <c r="AX324" s="326"/>
      <c r="AY324" s="326"/>
      <c r="AZ324" s="326"/>
      <c r="BA324" s="326"/>
      <c r="BB324" s="327"/>
    </row>
    <row r="325" spans="1:54" ht="15.75" customHeight="1" x14ac:dyDescent="0.25">
      <c r="A325" s="11">
        <f t="shared" si="1"/>
        <v>312</v>
      </c>
      <c r="B325" s="504" t="str">
        <f>'refer admin discharge'!B321</f>
        <v>x</v>
      </c>
      <c r="C325" s="327"/>
      <c r="D325" s="505" t="str">
        <f>'refer admin discharge'!D321</f>
        <v>xx</v>
      </c>
      <c r="E325" s="327"/>
      <c r="F325" s="606" t="str">
        <f>'refer admin discharge'!H321</f>
        <v>00/00/0000</v>
      </c>
      <c r="G325" s="327"/>
      <c r="H325" s="594"/>
      <c r="I325" s="327"/>
      <c r="J325" s="605"/>
      <c r="K325" s="327"/>
      <c r="L325" s="594"/>
      <c r="M325" s="327"/>
      <c r="N325" s="575"/>
      <c r="O325" s="327"/>
      <c r="P325" s="594"/>
      <c r="Q325" s="327"/>
      <c r="R325" s="575"/>
      <c r="S325" s="327"/>
      <c r="T325" s="594"/>
      <c r="U325" s="327"/>
      <c r="V325" s="595" t="str">
        <f>'refer admin discharge'!H326</f>
        <v>00/00/0000</v>
      </c>
      <c r="W325" s="327"/>
      <c r="X325" s="577"/>
      <c r="Y325" s="327"/>
      <c r="Z325" s="604"/>
      <c r="AA325" s="327"/>
      <c r="AB325" s="577"/>
      <c r="AC325" s="327"/>
      <c r="AD325" s="576"/>
      <c r="AE325" s="327"/>
      <c r="AF325" s="577"/>
      <c r="AG325" s="327"/>
      <c r="AH325" s="576"/>
      <c r="AI325" s="327"/>
      <c r="AJ325" s="577"/>
      <c r="AK325" s="327"/>
      <c r="AL325" s="602"/>
      <c r="AM325" s="326"/>
      <c r="AN325" s="326"/>
      <c r="AO325" s="326"/>
      <c r="AP325" s="326"/>
      <c r="AQ325" s="326"/>
      <c r="AR325" s="326"/>
      <c r="AS325" s="326"/>
      <c r="AT325" s="326"/>
      <c r="AU325" s="326"/>
      <c r="AV325" s="326"/>
      <c r="AW325" s="326"/>
      <c r="AX325" s="326"/>
      <c r="AY325" s="326"/>
      <c r="AZ325" s="326"/>
      <c r="BA325" s="326"/>
      <c r="BB325" s="327"/>
    </row>
    <row r="326" spans="1:54" ht="15.75" customHeight="1" x14ac:dyDescent="0.25">
      <c r="A326" s="11">
        <f t="shared" si="1"/>
        <v>313</v>
      </c>
      <c r="B326" s="570" t="str">
        <f>'refer admin discharge'!B322</f>
        <v>x</v>
      </c>
      <c r="C326" s="327"/>
      <c r="D326" s="599" t="str">
        <f>'refer admin discharge'!D322</f>
        <v>xx</v>
      </c>
      <c r="E326" s="327"/>
      <c r="F326" s="600" t="str">
        <f>'refer admin discharge'!H322</f>
        <v>00/00/0000</v>
      </c>
      <c r="G326" s="327"/>
      <c r="H326" s="574"/>
      <c r="I326" s="327"/>
      <c r="J326" s="601"/>
      <c r="K326" s="327"/>
      <c r="L326" s="574"/>
      <c r="M326" s="327"/>
      <c r="N326" s="594"/>
      <c r="O326" s="327"/>
      <c r="P326" s="574"/>
      <c r="Q326" s="327"/>
      <c r="R326" s="594"/>
      <c r="S326" s="327"/>
      <c r="T326" s="574"/>
      <c r="U326" s="327"/>
      <c r="V326" s="595" t="str">
        <f>'refer admin discharge'!H327</f>
        <v>00/00/0000</v>
      </c>
      <c r="W326" s="327"/>
      <c r="X326" s="596"/>
      <c r="Y326" s="327"/>
      <c r="Z326" s="597"/>
      <c r="AA326" s="327"/>
      <c r="AB326" s="596"/>
      <c r="AC326" s="327"/>
      <c r="AD326" s="577"/>
      <c r="AE326" s="327"/>
      <c r="AF326" s="596"/>
      <c r="AG326" s="327"/>
      <c r="AH326" s="577"/>
      <c r="AI326" s="327"/>
      <c r="AJ326" s="596"/>
      <c r="AK326" s="327"/>
      <c r="AL326" s="598"/>
      <c r="AM326" s="326"/>
      <c r="AN326" s="326"/>
      <c r="AO326" s="326"/>
      <c r="AP326" s="326"/>
      <c r="AQ326" s="326"/>
      <c r="AR326" s="326"/>
      <c r="AS326" s="326"/>
      <c r="AT326" s="326"/>
      <c r="AU326" s="326"/>
      <c r="AV326" s="326"/>
      <c r="AW326" s="326"/>
      <c r="AX326" s="326"/>
      <c r="AY326" s="326"/>
      <c r="AZ326" s="326"/>
      <c r="BA326" s="326"/>
      <c r="BB326" s="327"/>
    </row>
    <row r="327" spans="1:54" ht="15.75" customHeight="1" x14ac:dyDescent="0.25">
      <c r="A327" s="11">
        <f t="shared" si="1"/>
        <v>314</v>
      </c>
      <c r="B327" s="504" t="str">
        <f>'refer admin discharge'!B323</f>
        <v>x</v>
      </c>
      <c r="C327" s="327"/>
      <c r="D327" s="505" t="str">
        <f>'refer admin discharge'!D323</f>
        <v>xx</v>
      </c>
      <c r="E327" s="327"/>
      <c r="F327" s="606" t="str">
        <f>'refer admin discharge'!H323</f>
        <v>00/00/0000</v>
      </c>
      <c r="G327" s="327"/>
      <c r="H327" s="594"/>
      <c r="I327" s="327"/>
      <c r="J327" s="605"/>
      <c r="K327" s="327"/>
      <c r="L327" s="594"/>
      <c r="M327" s="327"/>
      <c r="N327" s="575"/>
      <c r="O327" s="327"/>
      <c r="P327" s="594"/>
      <c r="Q327" s="327"/>
      <c r="R327" s="575"/>
      <c r="S327" s="327"/>
      <c r="T327" s="594"/>
      <c r="U327" s="327"/>
      <c r="V327" s="595" t="str">
        <f>'refer admin discharge'!H328</f>
        <v>00/00/0000</v>
      </c>
      <c r="W327" s="327"/>
      <c r="X327" s="577"/>
      <c r="Y327" s="327"/>
      <c r="Z327" s="604"/>
      <c r="AA327" s="327"/>
      <c r="AB327" s="577"/>
      <c r="AC327" s="327"/>
      <c r="AD327" s="576"/>
      <c r="AE327" s="327"/>
      <c r="AF327" s="577"/>
      <c r="AG327" s="327"/>
      <c r="AH327" s="576"/>
      <c r="AI327" s="327"/>
      <c r="AJ327" s="577"/>
      <c r="AK327" s="327"/>
      <c r="AL327" s="602"/>
      <c r="AM327" s="326"/>
      <c r="AN327" s="326"/>
      <c r="AO327" s="326"/>
      <c r="AP327" s="326"/>
      <c r="AQ327" s="326"/>
      <c r="AR327" s="326"/>
      <c r="AS327" s="326"/>
      <c r="AT327" s="326"/>
      <c r="AU327" s="326"/>
      <c r="AV327" s="326"/>
      <c r="AW327" s="326"/>
      <c r="AX327" s="326"/>
      <c r="AY327" s="326"/>
      <c r="AZ327" s="326"/>
      <c r="BA327" s="326"/>
      <c r="BB327" s="327"/>
    </row>
    <row r="328" spans="1:54" ht="15.75" customHeight="1" x14ac:dyDescent="0.25">
      <c r="A328" s="11">
        <f t="shared" si="1"/>
        <v>315</v>
      </c>
      <c r="B328" s="570" t="str">
        <f>'refer admin discharge'!B324</f>
        <v>x</v>
      </c>
      <c r="C328" s="327"/>
      <c r="D328" s="599" t="str">
        <f>'refer admin discharge'!D324</f>
        <v>xx</v>
      </c>
      <c r="E328" s="327"/>
      <c r="F328" s="600" t="str">
        <f>'refer admin discharge'!H324</f>
        <v>00/00/0000</v>
      </c>
      <c r="G328" s="327"/>
      <c r="H328" s="574"/>
      <c r="I328" s="327"/>
      <c r="J328" s="601"/>
      <c r="K328" s="327"/>
      <c r="L328" s="574"/>
      <c r="M328" s="327"/>
      <c r="N328" s="594"/>
      <c r="O328" s="327"/>
      <c r="P328" s="574"/>
      <c r="Q328" s="327"/>
      <c r="R328" s="594"/>
      <c r="S328" s="327"/>
      <c r="T328" s="574"/>
      <c r="U328" s="327"/>
      <c r="V328" s="595" t="str">
        <f>'refer admin discharge'!H329</f>
        <v>00/00/0000</v>
      </c>
      <c r="W328" s="327"/>
      <c r="X328" s="596"/>
      <c r="Y328" s="327"/>
      <c r="Z328" s="597"/>
      <c r="AA328" s="327"/>
      <c r="AB328" s="596"/>
      <c r="AC328" s="327"/>
      <c r="AD328" s="577"/>
      <c r="AE328" s="327"/>
      <c r="AF328" s="596"/>
      <c r="AG328" s="327"/>
      <c r="AH328" s="577"/>
      <c r="AI328" s="327"/>
      <c r="AJ328" s="596"/>
      <c r="AK328" s="327"/>
      <c r="AL328" s="598"/>
      <c r="AM328" s="326"/>
      <c r="AN328" s="326"/>
      <c r="AO328" s="326"/>
      <c r="AP328" s="326"/>
      <c r="AQ328" s="326"/>
      <c r="AR328" s="326"/>
      <c r="AS328" s="326"/>
      <c r="AT328" s="326"/>
      <c r="AU328" s="326"/>
      <c r="AV328" s="326"/>
      <c r="AW328" s="326"/>
      <c r="AX328" s="326"/>
      <c r="AY328" s="326"/>
      <c r="AZ328" s="326"/>
      <c r="BA328" s="326"/>
      <c r="BB328" s="327"/>
    </row>
    <row r="329" spans="1:54" ht="15.75" customHeight="1" x14ac:dyDescent="0.25">
      <c r="A329" s="11">
        <f t="shared" si="1"/>
        <v>316</v>
      </c>
      <c r="B329" s="504" t="str">
        <f>'refer admin discharge'!B325</f>
        <v>x</v>
      </c>
      <c r="C329" s="327"/>
      <c r="D329" s="505" t="str">
        <f>'refer admin discharge'!D325</f>
        <v>xx</v>
      </c>
      <c r="E329" s="327"/>
      <c r="F329" s="606" t="str">
        <f>'refer admin discharge'!H325</f>
        <v>00/00/0000</v>
      </c>
      <c r="G329" s="327"/>
      <c r="H329" s="594"/>
      <c r="I329" s="327"/>
      <c r="J329" s="605"/>
      <c r="K329" s="327"/>
      <c r="L329" s="594"/>
      <c r="M329" s="327"/>
      <c r="N329" s="575"/>
      <c r="O329" s="327"/>
      <c r="P329" s="594"/>
      <c r="Q329" s="327"/>
      <c r="R329" s="575"/>
      <c r="S329" s="327"/>
      <c r="T329" s="594"/>
      <c r="U329" s="327"/>
      <c r="V329" s="595" t="str">
        <f>'refer admin discharge'!H330</f>
        <v>00/00/0000</v>
      </c>
      <c r="W329" s="327"/>
      <c r="X329" s="577"/>
      <c r="Y329" s="327"/>
      <c r="Z329" s="604"/>
      <c r="AA329" s="327"/>
      <c r="AB329" s="577"/>
      <c r="AC329" s="327"/>
      <c r="AD329" s="576"/>
      <c r="AE329" s="327"/>
      <c r="AF329" s="577"/>
      <c r="AG329" s="327"/>
      <c r="AH329" s="576"/>
      <c r="AI329" s="327"/>
      <c r="AJ329" s="577"/>
      <c r="AK329" s="327"/>
      <c r="AL329" s="602"/>
      <c r="AM329" s="326"/>
      <c r="AN329" s="326"/>
      <c r="AO329" s="326"/>
      <c r="AP329" s="326"/>
      <c r="AQ329" s="326"/>
      <c r="AR329" s="326"/>
      <c r="AS329" s="326"/>
      <c r="AT329" s="326"/>
      <c r="AU329" s="326"/>
      <c r="AV329" s="326"/>
      <c r="AW329" s="326"/>
      <c r="AX329" s="326"/>
      <c r="AY329" s="326"/>
      <c r="AZ329" s="326"/>
      <c r="BA329" s="326"/>
      <c r="BB329" s="327"/>
    </row>
    <row r="330" spans="1:54" ht="15.75" customHeight="1" x14ac:dyDescent="0.25">
      <c r="A330" s="11">
        <f t="shared" si="1"/>
        <v>317</v>
      </c>
      <c r="B330" s="570" t="str">
        <f>'refer admin discharge'!B326</f>
        <v>x</v>
      </c>
      <c r="C330" s="327"/>
      <c r="D330" s="599" t="str">
        <f>'refer admin discharge'!D326</f>
        <v>xx</v>
      </c>
      <c r="E330" s="327"/>
      <c r="F330" s="600" t="str">
        <f>'refer admin discharge'!H326</f>
        <v>00/00/0000</v>
      </c>
      <c r="G330" s="327"/>
      <c r="H330" s="574"/>
      <c r="I330" s="327"/>
      <c r="J330" s="601"/>
      <c r="K330" s="327"/>
      <c r="L330" s="574"/>
      <c r="M330" s="327"/>
      <c r="N330" s="594"/>
      <c r="O330" s="327"/>
      <c r="P330" s="574"/>
      <c r="Q330" s="327"/>
      <c r="R330" s="594"/>
      <c r="S330" s="327"/>
      <c r="T330" s="574"/>
      <c r="U330" s="327"/>
      <c r="V330" s="595" t="str">
        <f>'refer admin discharge'!H331</f>
        <v>00/00/0000</v>
      </c>
      <c r="W330" s="327"/>
      <c r="X330" s="596"/>
      <c r="Y330" s="327"/>
      <c r="Z330" s="597"/>
      <c r="AA330" s="327"/>
      <c r="AB330" s="596"/>
      <c r="AC330" s="327"/>
      <c r="AD330" s="577"/>
      <c r="AE330" s="327"/>
      <c r="AF330" s="596"/>
      <c r="AG330" s="327"/>
      <c r="AH330" s="577"/>
      <c r="AI330" s="327"/>
      <c r="AJ330" s="596"/>
      <c r="AK330" s="327"/>
      <c r="AL330" s="598"/>
      <c r="AM330" s="326"/>
      <c r="AN330" s="326"/>
      <c r="AO330" s="326"/>
      <c r="AP330" s="326"/>
      <c r="AQ330" s="326"/>
      <c r="AR330" s="326"/>
      <c r="AS330" s="326"/>
      <c r="AT330" s="326"/>
      <c r="AU330" s="326"/>
      <c r="AV330" s="326"/>
      <c r="AW330" s="326"/>
      <c r="AX330" s="326"/>
      <c r="AY330" s="326"/>
      <c r="AZ330" s="326"/>
      <c r="BA330" s="326"/>
      <c r="BB330" s="327"/>
    </row>
    <row r="331" spans="1:54" ht="15.75" customHeight="1" x14ac:dyDescent="0.25">
      <c r="A331" s="11">
        <f t="shared" si="1"/>
        <v>318</v>
      </c>
      <c r="B331" s="504" t="str">
        <f>'refer admin discharge'!B327</f>
        <v>x</v>
      </c>
      <c r="C331" s="327"/>
      <c r="D331" s="505" t="str">
        <f>'refer admin discharge'!D327</f>
        <v>xx</v>
      </c>
      <c r="E331" s="327"/>
      <c r="F331" s="606" t="str">
        <f>'refer admin discharge'!H327</f>
        <v>00/00/0000</v>
      </c>
      <c r="G331" s="327"/>
      <c r="H331" s="594"/>
      <c r="I331" s="327"/>
      <c r="J331" s="605"/>
      <c r="K331" s="327"/>
      <c r="L331" s="594"/>
      <c r="M331" s="327"/>
      <c r="N331" s="575"/>
      <c r="O331" s="327"/>
      <c r="P331" s="594"/>
      <c r="Q331" s="327"/>
      <c r="R331" s="575"/>
      <c r="S331" s="327"/>
      <c r="T331" s="594"/>
      <c r="U331" s="327"/>
      <c r="V331" s="595" t="str">
        <f>'refer admin discharge'!H332</f>
        <v>00/00/0000</v>
      </c>
      <c r="W331" s="327"/>
      <c r="X331" s="577"/>
      <c r="Y331" s="327"/>
      <c r="Z331" s="604"/>
      <c r="AA331" s="327"/>
      <c r="AB331" s="577"/>
      <c r="AC331" s="327"/>
      <c r="AD331" s="576"/>
      <c r="AE331" s="327"/>
      <c r="AF331" s="577"/>
      <c r="AG331" s="327"/>
      <c r="AH331" s="576"/>
      <c r="AI331" s="327"/>
      <c r="AJ331" s="577"/>
      <c r="AK331" s="327"/>
      <c r="AL331" s="602"/>
      <c r="AM331" s="326"/>
      <c r="AN331" s="326"/>
      <c r="AO331" s="326"/>
      <c r="AP331" s="326"/>
      <c r="AQ331" s="326"/>
      <c r="AR331" s="326"/>
      <c r="AS331" s="326"/>
      <c r="AT331" s="326"/>
      <c r="AU331" s="326"/>
      <c r="AV331" s="326"/>
      <c r="AW331" s="326"/>
      <c r="AX331" s="326"/>
      <c r="AY331" s="326"/>
      <c r="AZ331" s="326"/>
      <c r="BA331" s="326"/>
      <c r="BB331" s="327"/>
    </row>
    <row r="332" spans="1:54" ht="15.75" customHeight="1" x14ac:dyDescent="0.25">
      <c r="A332" s="11">
        <f t="shared" si="1"/>
        <v>319</v>
      </c>
      <c r="B332" s="570" t="str">
        <f>'refer admin discharge'!B328</f>
        <v>x</v>
      </c>
      <c r="C332" s="327"/>
      <c r="D332" s="599" t="str">
        <f>'refer admin discharge'!D328</f>
        <v>xx</v>
      </c>
      <c r="E332" s="327"/>
      <c r="F332" s="600" t="str">
        <f>'refer admin discharge'!H328</f>
        <v>00/00/0000</v>
      </c>
      <c r="G332" s="327"/>
      <c r="H332" s="574"/>
      <c r="I332" s="327"/>
      <c r="J332" s="601"/>
      <c r="K332" s="327"/>
      <c r="L332" s="574"/>
      <c r="M332" s="327"/>
      <c r="N332" s="594"/>
      <c r="O332" s="327"/>
      <c r="P332" s="574"/>
      <c r="Q332" s="327"/>
      <c r="R332" s="594"/>
      <c r="S332" s="327"/>
      <c r="T332" s="574"/>
      <c r="U332" s="327"/>
      <c r="V332" s="595" t="str">
        <f>'refer admin discharge'!H333</f>
        <v>00/00/0000</v>
      </c>
      <c r="W332" s="327"/>
      <c r="X332" s="596"/>
      <c r="Y332" s="327"/>
      <c r="Z332" s="597"/>
      <c r="AA332" s="327"/>
      <c r="AB332" s="596"/>
      <c r="AC332" s="327"/>
      <c r="AD332" s="577"/>
      <c r="AE332" s="327"/>
      <c r="AF332" s="596"/>
      <c r="AG332" s="327"/>
      <c r="AH332" s="577"/>
      <c r="AI332" s="327"/>
      <c r="AJ332" s="596"/>
      <c r="AK332" s="327"/>
      <c r="AL332" s="598"/>
      <c r="AM332" s="326"/>
      <c r="AN332" s="326"/>
      <c r="AO332" s="326"/>
      <c r="AP332" s="326"/>
      <c r="AQ332" s="326"/>
      <c r="AR332" s="326"/>
      <c r="AS332" s="326"/>
      <c r="AT332" s="326"/>
      <c r="AU332" s="326"/>
      <c r="AV332" s="326"/>
      <c r="AW332" s="326"/>
      <c r="AX332" s="326"/>
      <c r="AY332" s="326"/>
      <c r="AZ332" s="326"/>
      <c r="BA332" s="326"/>
      <c r="BB332" s="327"/>
    </row>
    <row r="333" spans="1:54" ht="15.75" customHeight="1" x14ac:dyDescent="0.25">
      <c r="A333" s="11">
        <f t="shared" si="1"/>
        <v>320</v>
      </c>
      <c r="B333" s="504" t="str">
        <f>'refer admin discharge'!B329</f>
        <v>x</v>
      </c>
      <c r="C333" s="327"/>
      <c r="D333" s="505" t="str">
        <f>'refer admin discharge'!D329</f>
        <v>xx</v>
      </c>
      <c r="E333" s="327"/>
      <c r="F333" s="606" t="str">
        <f>'refer admin discharge'!H329</f>
        <v>00/00/0000</v>
      </c>
      <c r="G333" s="327"/>
      <c r="H333" s="594"/>
      <c r="I333" s="327"/>
      <c r="J333" s="605"/>
      <c r="K333" s="327"/>
      <c r="L333" s="594"/>
      <c r="M333" s="327"/>
      <c r="N333" s="575"/>
      <c r="O333" s="327"/>
      <c r="P333" s="594"/>
      <c r="Q333" s="327"/>
      <c r="R333" s="575"/>
      <c r="S333" s="327"/>
      <c r="T333" s="594"/>
      <c r="U333" s="327"/>
      <c r="V333" s="595" t="str">
        <f>'refer admin discharge'!H334</f>
        <v>00/00/0000</v>
      </c>
      <c r="W333" s="327"/>
      <c r="X333" s="577"/>
      <c r="Y333" s="327"/>
      <c r="Z333" s="604"/>
      <c r="AA333" s="327"/>
      <c r="AB333" s="577"/>
      <c r="AC333" s="327"/>
      <c r="AD333" s="576"/>
      <c r="AE333" s="327"/>
      <c r="AF333" s="577"/>
      <c r="AG333" s="327"/>
      <c r="AH333" s="576"/>
      <c r="AI333" s="327"/>
      <c r="AJ333" s="577"/>
      <c r="AK333" s="327"/>
      <c r="AL333" s="602"/>
      <c r="AM333" s="326"/>
      <c r="AN333" s="326"/>
      <c r="AO333" s="326"/>
      <c r="AP333" s="326"/>
      <c r="AQ333" s="326"/>
      <c r="AR333" s="326"/>
      <c r="AS333" s="326"/>
      <c r="AT333" s="326"/>
      <c r="AU333" s="326"/>
      <c r="AV333" s="326"/>
      <c r="AW333" s="326"/>
      <c r="AX333" s="326"/>
      <c r="AY333" s="326"/>
      <c r="AZ333" s="326"/>
      <c r="BA333" s="326"/>
      <c r="BB333" s="327"/>
    </row>
    <row r="334" spans="1:54" ht="15.75" customHeight="1" x14ac:dyDescent="0.25">
      <c r="A334" s="11">
        <f t="shared" si="1"/>
        <v>321</v>
      </c>
      <c r="B334" s="570" t="str">
        <f>'refer admin discharge'!B330</f>
        <v>x</v>
      </c>
      <c r="C334" s="327"/>
      <c r="D334" s="599" t="str">
        <f>'refer admin discharge'!D330</f>
        <v>xx</v>
      </c>
      <c r="E334" s="327"/>
      <c r="F334" s="600" t="str">
        <f>'refer admin discharge'!H330</f>
        <v>00/00/0000</v>
      </c>
      <c r="G334" s="327"/>
      <c r="H334" s="574"/>
      <c r="I334" s="327"/>
      <c r="J334" s="601"/>
      <c r="K334" s="327"/>
      <c r="L334" s="574"/>
      <c r="M334" s="327"/>
      <c r="N334" s="594"/>
      <c r="O334" s="327"/>
      <c r="P334" s="574"/>
      <c r="Q334" s="327"/>
      <c r="R334" s="594"/>
      <c r="S334" s="327"/>
      <c r="T334" s="574"/>
      <c r="U334" s="327"/>
      <c r="V334" s="595" t="str">
        <f>'refer admin discharge'!H335</f>
        <v>00/00/0000</v>
      </c>
      <c r="W334" s="327"/>
      <c r="X334" s="596"/>
      <c r="Y334" s="327"/>
      <c r="Z334" s="597"/>
      <c r="AA334" s="327"/>
      <c r="AB334" s="596"/>
      <c r="AC334" s="327"/>
      <c r="AD334" s="577"/>
      <c r="AE334" s="327"/>
      <c r="AF334" s="596"/>
      <c r="AG334" s="327"/>
      <c r="AH334" s="577"/>
      <c r="AI334" s="327"/>
      <c r="AJ334" s="596"/>
      <c r="AK334" s="327"/>
      <c r="AL334" s="598"/>
      <c r="AM334" s="326"/>
      <c r="AN334" s="326"/>
      <c r="AO334" s="326"/>
      <c r="AP334" s="326"/>
      <c r="AQ334" s="326"/>
      <c r="AR334" s="326"/>
      <c r="AS334" s="326"/>
      <c r="AT334" s="326"/>
      <c r="AU334" s="326"/>
      <c r="AV334" s="326"/>
      <c r="AW334" s="326"/>
      <c r="AX334" s="326"/>
      <c r="AY334" s="326"/>
      <c r="AZ334" s="326"/>
      <c r="BA334" s="326"/>
      <c r="BB334" s="327"/>
    </row>
    <row r="335" spans="1:54" ht="15.75" customHeight="1" x14ac:dyDescent="0.25">
      <c r="A335" s="11">
        <f t="shared" si="1"/>
        <v>322</v>
      </c>
      <c r="B335" s="504" t="str">
        <f>'refer admin discharge'!B331</f>
        <v>x</v>
      </c>
      <c r="C335" s="327"/>
      <c r="D335" s="505" t="str">
        <f>'refer admin discharge'!D331</f>
        <v>xx</v>
      </c>
      <c r="E335" s="327"/>
      <c r="F335" s="606" t="str">
        <f>'refer admin discharge'!H331</f>
        <v>00/00/0000</v>
      </c>
      <c r="G335" s="327"/>
      <c r="H335" s="594"/>
      <c r="I335" s="327"/>
      <c r="J335" s="605"/>
      <c r="K335" s="327"/>
      <c r="L335" s="594"/>
      <c r="M335" s="327"/>
      <c r="N335" s="575"/>
      <c r="O335" s="327"/>
      <c r="P335" s="594"/>
      <c r="Q335" s="327"/>
      <c r="R335" s="575"/>
      <c r="S335" s="327"/>
      <c r="T335" s="594"/>
      <c r="U335" s="327"/>
      <c r="V335" s="595" t="str">
        <f>'refer admin discharge'!H336</f>
        <v>00/00/0000</v>
      </c>
      <c r="W335" s="327"/>
      <c r="X335" s="577"/>
      <c r="Y335" s="327"/>
      <c r="Z335" s="604"/>
      <c r="AA335" s="327"/>
      <c r="AB335" s="577"/>
      <c r="AC335" s="327"/>
      <c r="AD335" s="576"/>
      <c r="AE335" s="327"/>
      <c r="AF335" s="577"/>
      <c r="AG335" s="327"/>
      <c r="AH335" s="576"/>
      <c r="AI335" s="327"/>
      <c r="AJ335" s="577"/>
      <c r="AK335" s="327"/>
      <c r="AL335" s="602"/>
      <c r="AM335" s="326"/>
      <c r="AN335" s="326"/>
      <c r="AO335" s="326"/>
      <c r="AP335" s="326"/>
      <c r="AQ335" s="326"/>
      <c r="AR335" s="326"/>
      <c r="AS335" s="326"/>
      <c r="AT335" s="326"/>
      <c r="AU335" s="326"/>
      <c r="AV335" s="326"/>
      <c r="AW335" s="326"/>
      <c r="AX335" s="326"/>
      <c r="AY335" s="326"/>
      <c r="AZ335" s="326"/>
      <c r="BA335" s="326"/>
      <c r="BB335" s="327"/>
    </row>
    <row r="336" spans="1:54" ht="15.75" customHeight="1" x14ac:dyDescent="0.25">
      <c r="A336" s="11">
        <f t="shared" si="1"/>
        <v>323</v>
      </c>
      <c r="B336" s="570" t="str">
        <f>'refer admin discharge'!B332</f>
        <v>x</v>
      </c>
      <c r="C336" s="327"/>
      <c r="D336" s="599" t="str">
        <f>'refer admin discharge'!D332</f>
        <v>xx</v>
      </c>
      <c r="E336" s="327"/>
      <c r="F336" s="600" t="str">
        <f>'refer admin discharge'!H332</f>
        <v>00/00/0000</v>
      </c>
      <c r="G336" s="327"/>
      <c r="H336" s="574"/>
      <c r="I336" s="327"/>
      <c r="J336" s="601"/>
      <c r="K336" s="327"/>
      <c r="L336" s="574"/>
      <c r="M336" s="327"/>
      <c r="N336" s="594"/>
      <c r="O336" s="327"/>
      <c r="P336" s="574"/>
      <c r="Q336" s="327"/>
      <c r="R336" s="594"/>
      <c r="S336" s="327"/>
      <c r="T336" s="574"/>
      <c r="U336" s="327"/>
      <c r="V336" s="595" t="str">
        <f>'refer admin discharge'!H337</f>
        <v>00/00/0000</v>
      </c>
      <c r="W336" s="327"/>
      <c r="X336" s="596"/>
      <c r="Y336" s="327"/>
      <c r="Z336" s="597"/>
      <c r="AA336" s="327"/>
      <c r="AB336" s="596"/>
      <c r="AC336" s="327"/>
      <c r="AD336" s="577"/>
      <c r="AE336" s="327"/>
      <c r="AF336" s="596"/>
      <c r="AG336" s="327"/>
      <c r="AH336" s="577"/>
      <c r="AI336" s="327"/>
      <c r="AJ336" s="596"/>
      <c r="AK336" s="327"/>
      <c r="AL336" s="598"/>
      <c r="AM336" s="326"/>
      <c r="AN336" s="326"/>
      <c r="AO336" s="326"/>
      <c r="AP336" s="326"/>
      <c r="AQ336" s="326"/>
      <c r="AR336" s="326"/>
      <c r="AS336" s="326"/>
      <c r="AT336" s="326"/>
      <c r="AU336" s="326"/>
      <c r="AV336" s="326"/>
      <c r="AW336" s="326"/>
      <c r="AX336" s="326"/>
      <c r="AY336" s="326"/>
      <c r="AZ336" s="326"/>
      <c r="BA336" s="326"/>
      <c r="BB336" s="327"/>
    </row>
    <row r="337" spans="1:54" ht="15.75" customHeight="1" x14ac:dyDescent="0.25">
      <c r="A337" s="11">
        <f t="shared" si="1"/>
        <v>324</v>
      </c>
      <c r="B337" s="504" t="str">
        <f>'refer admin discharge'!B333</f>
        <v>x</v>
      </c>
      <c r="C337" s="327"/>
      <c r="D337" s="505" t="str">
        <f>'refer admin discharge'!D333</f>
        <v>xx</v>
      </c>
      <c r="E337" s="327"/>
      <c r="F337" s="606" t="str">
        <f>'refer admin discharge'!H333</f>
        <v>00/00/0000</v>
      </c>
      <c r="G337" s="327"/>
      <c r="H337" s="594"/>
      <c r="I337" s="327"/>
      <c r="J337" s="605"/>
      <c r="K337" s="327"/>
      <c r="L337" s="594"/>
      <c r="M337" s="327"/>
      <c r="N337" s="575"/>
      <c r="O337" s="327"/>
      <c r="P337" s="594"/>
      <c r="Q337" s="327"/>
      <c r="R337" s="575"/>
      <c r="S337" s="327"/>
      <c r="T337" s="594"/>
      <c r="U337" s="327"/>
      <c r="V337" s="595" t="str">
        <f>'refer admin discharge'!H338</f>
        <v>00/00/0000</v>
      </c>
      <c r="W337" s="327"/>
      <c r="X337" s="577"/>
      <c r="Y337" s="327"/>
      <c r="Z337" s="604"/>
      <c r="AA337" s="327"/>
      <c r="AB337" s="577"/>
      <c r="AC337" s="327"/>
      <c r="AD337" s="576"/>
      <c r="AE337" s="327"/>
      <c r="AF337" s="577"/>
      <c r="AG337" s="327"/>
      <c r="AH337" s="576"/>
      <c r="AI337" s="327"/>
      <c r="AJ337" s="577"/>
      <c r="AK337" s="327"/>
      <c r="AL337" s="602"/>
      <c r="AM337" s="326"/>
      <c r="AN337" s="326"/>
      <c r="AO337" s="326"/>
      <c r="AP337" s="326"/>
      <c r="AQ337" s="326"/>
      <c r="AR337" s="326"/>
      <c r="AS337" s="326"/>
      <c r="AT337" s="326"/>
      <c r="AU337" s="326"/>
      <c r="AV337" s="326"/>
      <c r="AW337" s="326"/>
      <c r="AX337" s="326"/>
      <c r="AY337" s="326"/>
      <c r="AZ337" s="326"/>
      <c r="BA337" s="326"/>
      <c r="BB337" s="327"/>
    </row>
    <row r="338" spans="1:54" ht="15.75" customHeight="1" x14ac:dyDescent="0.25">
      <c r="A338" s="11">
        <f t="shared" si="1"/>
        <v>325</v>
      </c>
      <c r="B338" s="570" t="str">
        <f>'refer admin discharge'!B334</f>
        <v>x</v>
      </c>
      <c r="C338" s="327"/>
      <c r="D338" s="599" t="str">
        <f>'refer admin discharge'!D334</f>
        <v>xx</v>
      </c>
      <c r="E338" s="327"/>
      <c r="F338" s="600" t="str">
        <f>'refer admin discharge'!H334</f>
        <v>00/00/0000</v>
      </c>
      <c r="G338" s="327"/>
      <c r="H338" s="574"/>
      <c r="I338" s="327"/>
      <c r="J338" s="601"/>
      <c r="K338" s="327"/>
      <c r="L338" s="574"/>
      <c r="M338" s="327"/>
      <c r="N338" s="594"/>
      <c r="O338" s="327"/>
      <c r="P338" s="574"/>
      <c r="Q338" s="327"/>
      <c r="R338" s="594"/>
      <c r="S338" s="327"/>
      <c r="T338" s="574"/>
      <c r="U338" s="327"/>
      <c r="V338" s="595" t="str">
        <f>'refer admin discharge'!H339</f>
        <v>00/00/0000</v>
      </c>
      <c r="W338" s="327"/>
      <c r="X338" s="596"/>
      <c r="Y338" s="327"/>
      <c r="Z338" s="597"/>
      <c r="AA338" s="327"/>
      <c r="AB338" s="596"/>
      <c r="AC338" s="327"/>
      <c r="AD338" s="577"/>
      <c r="AE338" s="327"/>
      <c r="AF338" s="596"/>
      <c r="AG338" s="327"/>
      <c r="AH338" s="577"/>
      <c r="AI338" s="327"/>
      <c r="AJ338" s="596"/>
      <c r="AK338" s="327"/>
      <c r="AL338" s="598"/>
      <c r="AM338" s="326"/>
      <c r="AN338" s="326"/>
      <c r="AO338" s="326"/>
      <c r="AP338" s="326"/>
      <c r="AQ338" s="326"/>
      <c r="AR338" s="326"/>
      <c r="AS338" s="326"/>
      <c r="AT338" s="326"/>
      <c r="AU338" s="326"/>
      <c r="AV338" s="326"/>
      <c r="AW338" s="326"/>
      <c r="AX338" s="326"/>
      <c r="AY338" s="326"/>
      <c r="AZ338" s="326"/>
      <c r="BA338" s="326"/>
      <c r="BB338" s="327"/>
    </row>
    <row r="339" spans="1:54" ht="15.75" customHeight="1" x14ac:dyDescent="0.25">
      <c r="A339" s="11">
        <f t="shared" si="1"/>
        <v>326</v>
      </c>
      <c r="B339" s="504" t="str">
        <f>'refer admin discharge'!B335</f>
        <v>x</v>
      </c>
      <c r="C339" s="327"/>
      <c r="D339" s="505" t="str">
        <f>'refer admin discharge'!D335</f>
        <v>xx</v>
      </c>
      <c r="E339" s="327"/>
      <c r="F339" s="606" t="str">
        <f>'refer admin discharge'!H335</f>
        <v>00/00/0000</v>
      </c>
      <c r="G339" s="327"/>
      <c r="H339" s="594"/>
      <c r="I339" s="327"/>
      <c r="J339" s="605"/>
      <c r="K339" s="327"/>
      <c r="L339" s="594"/>
      <c r="M339" s="327"/>
      <c r="N339" s="575"/>
      <c r="O339" s="327"/>
      <c r="P339" s="594"/>
      <c r="Q339" s="327"/>
      <c r="R339" s="575"/>
      <c r="S339" s="327"/>
      <c r="T339" s="594"/>
      <c r="U339" s="327"/>
      <c r="V339" s="595" t="str">
        <f>'refer admin discharge'!H340</f>
        <v>00/00/0000</v>
      </c>
      <c r="W339" s="327"/>
      <c r="X339" s="577"/>
      <c r="Y339" s="327"/>
      <c r="Z339" s="604"/>
      <c r="AA339" s="327"/>
      <c r="AB339" s="577"/>
      <c r="AC339" s="327"/>
      <c r="AD339" s="576"/>
      <c r="AE339" s="327"/>
      <c r="AF339" s="577"/>
      <c r="AG339" s="327"/>
      <c r="AH339" s="576"/>
      <c r="AI339" s="327"/>
      <c r="AJ339" s="577"/>
      <c r="AK339" s="327"/>
      <c r="AL339" s="602"/>
      <c r="AM339" s="326"/>
      <c r="AN339" s="326"/>
      <c r="AO339" s="326"/>
      <c r="AP339" s="326"/>
      <c r="AQ339" s="326"/>
      <c r="AR339" s="326"/>
      <c r="AS339" s="326"/>
      <c r="AT339" s="326"/>
      <c r="AU339" s="326"/>
      <c r="AV339" s="326"/>
      <c r="AW339" s="326"/>
      <c r="AX339" s="326"/>
      <c r="AY339" s="326"/>
      <c r="AZ339" s="326"/>
      <c r="BA339" s="326"/>
      <c r="BB339" s="327"/>
    </row>
    <row r="340" spans="1:54" ht="15.75" customHeight="1" x14ac:dyDescent="0.25">
      <c r="A340" s="11">
        <f t="shared" si="1"/>
        <v>327</v>
      </c>
      <c r="B340" s="570" t="str">
        <f>'refer admin discharge'!B336</f>
        <v>x</v>
      </c>
      <c r="C340" s="327"/>
      <c r="D340" s="599" t="str">
        <f>'refer admin discharge'!D336</f>
        <v>xx</v>
      </c>
      <c r="E340" s="327"/>
      <c r="F340" s="600" t="str">
        <f>'refer admin discharge'!H336</f>
        <v>00/00/0000</v>
      </c>
      <c r="G340" s="327"/>
      <c r="H340" s="574"/>
      <c r="I340" s="327"/>
      <c r="J340" s="601"/>
      <c r="K340" s="327"/>
      <c r="L340" s="574"/>
      <c r="M340" s="327"/>
      <c r="N340" s="594"/>
      <c r="O340" s="327"/>
      <c r="P340" s="574"/>
      <c r="Q340" s="327"/>
      <c r="R340" s="594"/>
      <c r="S340" s="327"/>
      <c r="T340" s="574"/>
      <c r="U340" s="327"/>
      <c r="V340" s="595" t="str">
        <f>'refer admin discharge'!H341</f>
        <v>00/00/0000</v>
      </c>
      <c r="W340" s="327"/>
      <c r="X340" s="596"/>
      <c r="Y340" s="327"/>
      <c r="Z340" s="597"/>
      <c r="AA340" s="327"/>
      <c r="AB340" s="596"/>
      <c r="AC340" s="327"/>
      <c r="AD340" s="577"/>
      <c r="AE340" s="327"/>
      <c r="AF340" s="596"/>
      <c r="AG340" s="327"/>
      <c r="AH340" s="577"/>
      <c r="AI340" s="327"/>
      <c r="AJ340" s="596"/>
      <c r="AK340" s="327"/>
      <c r="AL340" s="598"/>
      <c r="AM340" s="326"/>
      <c r="AN340" s="326"/>
      <c r="AO340" s="326"/>
      <c r="AP340" s="326"/>
      <c r="AQ340" s="326"/>
      <c r="AR340" s="326"/>
      <c r="AS340" s="326"/>
      <c r="AT340" s="326"/>
      <c r="AU340" s="326"/>
      <c r="AV340" s="326"/>
      <c r="AW340" s="326"/>
      <c r="AX340" s="326"/>
      <c r="AY340" s="326"/>
      <c r="AZ340" s="326"/>
      <c r="BA340" s="326"/>
      <c r="BB340" s="327"/>
    </row>
    <row r="341" spans="1:54" ht="15.75" customHeight="1" x14ac:dyDescent="0.25">
      <c r="A341" s="11">
        <f t="shared" si="1"/>
        <v>328</v>
      </c>
      <c r="B341" s="504" t="str">
        <f>'refer admin discharge'!B337</f>
        <v>x</v>
      </c>
      <c r="C341" s="327"/>
      <c r="D341" s="505" t="str">
        <f>'refer admin discharge'!D337</f>
        <v>xx</v>
      </c>
      <c r="E341" s="327"/>
      <c r="F341" s="606" t="str">
        <f>'refer admin discharge'!H337</f>
        <v>00/00/0000</v>
      </c>
      <c r="G341" s="327"/>
      <c r="H341" s="594"/>
      <c r="I341" s="327"/>
      <c r="J341" s="605"/>
      <c r="K341" s="327"/>
      <c r="L341" s="594"/>
      <c r="M341" s="327"/>
      <c r="N341" s="575"/>
      <c r="O341" s="327"/>
      <c r="P341" s="594"/>
      <c r="Q341" s="327"/>
      <c r="R341" s="575"/>
      <c r="S341" s="327"/>
      <c r="T341" s="594"/>
      <c r="U341" s="327"/>
      <c r="V341" s="595" t="str">
        <f>'refer admin discharge'!H342</f>
        <v>00/00/0000</v>
      </c>
      <c r="W341" s="327"/>
      <c r="X341" s="577"/>
      <c r="Y341" s="327"/>
      <c r="Z341" s="604"/>
      <c r="AA341" s="327"/>
      <c r="AB341" s="577"/>
      <c r="AC341" s="327"/>
      <c r="AD341" s="576"/>
      <c r="AE341" s="327"/>
      <c r="AF341" s="577"/>
      <c r="AG341" s="327"/>
      <c r="AH341" s="576"/>
      <c r="AI341" s="327"/>
      <c r="AJ341" s="577"/>
      <c r="AK341" s="327"/>
      <c r="AL341" s="602"/>
      <c r="AM341" s="326"/>
      <c r="AN341" s="326"/>
      <c r="AO341" s="326"/>
      <c r="AP341" s="326"/>
      <c r="AQ341" s="326"/>
      <c r="AR341" s="326"/>
      <c r="AS341" s="326"/>
      <c r="AT341" s="326"/>
      <c r="AU341" s="326"/>
      <c r="AV341" s="326"/>
      <c r="AW341" s="326"/>
      <c r="AX341" s="326"/>
      <c r="AY341" s="326"/>
      <c r="AZ341" s="326"/>
      <c r="BA341" s="326"/>
      <c r="BB341" s="327"/>
    </row>
    <row r="342" spans="1:54" ht="15.75" customHeight="1" x14ac:dyDescent="0.25">
      <c r="A342" s="11">
        <f t="shared" si="1"/>
        <v>329</v>
      </c>
      <c r="B342" s="570" t="str">
        <f>'refer admin discharge'!B338</f>
        <v>x</v>
      </c>
      <c r="C342" s="327"/>
      <c r="D342" s="599" t="str">
        <f>'refer admin discharge'!D338</f>
        <v>xx</v>
      </c>
      <c r="E342" s="327"/>
      <c r="F342" s="600" t="str">
        <f>'refer admin discharge'!H338</f>
        <v>00/00/0000</v>
      </c>
      <c r="G342" s="327"/>
      <c r="H342" s="574"/>
      <c r="I342" s="327"/>
      <c r="J342" s="601"/>
      <c r="K342" s="327"/>
      <c r="L342" s="574"/>
      <c r="M342" s="327"/>
      <c r="N342" s="594"/>
      <c r="O342" s="327"/>
      <c r="P342" s="574"/>
      <c r="Q342" s="327"/>
      <c r="R342" s="594"/>
      <c r="S342" s="327"/>
      <c r="T342" s="574"/>
      <c r="U342" s="327"/>
      <c r="V342" s="595" t="str">
        <f>'refer admin discharge'!H343</f>
        <v>00/00/0000</v>
      </c>
      <c r="W342" s="327"/>
      <c r="X342" s="596"/>
      <c r="Y342" s="327"/>
      <c r="Z342" s="597"/>
      <c r="AA342" s="327"/>
      <c r="AB342" s="596"/>
      <c r="AC342" s="327"/>
      <c r="AD342" s="577"/>
      <c r="AE342" s="327"/>
      <c r="AF342" s="596"/>
      <c r="AG342" s="327"/>
      <c r="AH342" s="577"/>
      <c r="AI342" s="327"/>
      <c r="AJ342" s="596"/>
      <c r="AK342" s="327"/>
      <c r="AL342" s="598"/>
      <c r="AM342" s="326"/>
      <c r="AN342" s="326"/>
      <c r="AO342" s="326"/>
      <c r="AP342" s="326"/>
      <c r="AQ342" s="326"/>
      <c r="AR342" s="326"/>
      <c r="AS342" s="326"/>
      <c r="AT342" s="326"/>
      <c r="AU342" s="326"/>
      <c r="AV342" s="326"/>
      <c r="AW342" s="326"/>
      <c r="AX342" s="326"/>
      <c r="AY342" s="326"/>
      <c r="AZ342" s="326"/>
      <c r="BA342" s="326"/>
      <c r="BB342" s="327"/>
    </row>
    <row r="343" spans="1:54" ht="15.75" customHeight="1" x14ac:dyDescent="0.25">
      <c r="A343" s="11">
        <f t="shared" si="1"/>
        <v>330</v>
      </c>
      <c r="B343" s="504" t="str">
        <f>'refer admin discharge'!B339</f>
        <v>x</v>
      </c>
      <c r="C343" s="327"/>
      <c r="D343" s="505" t="str">
        <f>'refer admin discharge'!D339</f>
        <v>xx</v>
      </c>
      <c r="E343" s="327"/>
      <c r="F343" s="606" t="str">
        <f>'refer admin discharge'!H339</f>
        <v>00/00/0000</v>
      </c>
      <c r="G343" s="327"/>
      <c r="H343" s="594"/>
      <c r="I343" s="327"/>
      <c r="J343" s="605"/>
      <c r="K343" s="327"/>
      <c r="L343" s="594"/>
      <c r="M343" s="327"/>
      <c r="N343" s="575"/>
      <c r="O343" s="327"/>
      <c r="P343" s="594"/>
      <c r="Q343" s="327"/>
      <c r="R343" s="575"/>
      <c r="S343" s="327"/>
      <c r="T343" s="594"/>
      <c r="U343" s="327"/>
      <c r="V343" s="595" t="str">
        <f>'refer admin discharge'!H344</f>
        <v>00/00/0000</v>
      </c>
      <c r="W343" s="327"/>
      <c r="X343" s="577"/>
      <c r="Y343" s="327"/>
      <c r="Z343" s="604"/>
      <c r="AA343" s="327"/>
      <c r="AB343" s="577"/>
      <c r="AC343" s="327"/>
      <c r="AD343" s="576"/>
      <c r="AE343" s="327"/>
      <c r="AF343" s="577"/>
      <c r="AG343" s="327"/>
      <c r="AH343" s="576"/>
      <c r="AI343" s="327"/>
      <c r="AJ343" s="577"/>
      <c r="AK343" s="327"/>
      <c r="AL343" s="602"/>
      <c r="AM343" s="326"/>
      <c r="AN343" s="326"/>
      <c r="AO343" s="326"/>
      <c r="AP343" s="326"/>
      <c r="AQ343" s="326"/>
      <c r="AR343" s="326"/>
      <c r="AS343" s="326"/>
      <c r="AT343" s="326"/>
      <c r="AU343" s="326"/>
      <c r="AV343" s="326"/>
      <c r="AW343" s="326"/>
      <c r="AX343" s="326"/>
      <c r="AY343" s="326"/>
      <c r="AZ343" s="326"/>
      <c r="BA343" s="326"/>
      <c r="BB343" s="327"/>
    </row>
    <row r="344" spans="1:54" ht="15.75" customHeight="1" x14ac:dyDescent="0.25">
      <c r="A344" s="11">
        <f t="shared" si="1"/>
        <v>331</v>
      </c>
      <c r="B344" s="570" t="str">
        <f>'refer admin discharge'!B340</f>
        <v>x</v>
      </c>
      <c r="C344" s="327"/>
      <c r="D344" s="599" t="str">
        <f>'refer admin discharge'!D340</f>
        <v>xx</v>
      </c>
      <c r="E344" s="327"/>
      <c r="F344" s="600" t="str">
        <f>'refer admin discharge'!H340</f>
        <v>00/00/0000</v>
      </c>
      <c r="G344" s="327"/>
      <c r="H344" s="574"/>
      <c r="I344" s="327"/>
      <c r="J344" s="601"/>
      <c r="K344" s="327"/>
      <c r="L344" s="574"/>
      <c r="M344" s="327"/>
      <c r="N344" s="594"/>
      <c r="O344" s="327"/>
      <c r="P344" s="574"/>
      <c r="Q344" s="327"/>
      <c r="R344" s="594"/>
      <c r="S344" s="327"/>
      <c r="T344" s="574"/>
      <c r="U344" s="327"/>
      <c r="V344" s="595" t="str">
        <f>'refer admin discharge'!H345</f>
        <v>00/00/0000</v>
      </c>
      <c r="W344" s="327"/>
      <c r="X344" s="596"/>
      <c r="Y344" s="327"/>
      <c r="Z344" s="597"/>
      <c r="AA344" s="327"/>
      <c r="AB344" s="596"/>
      <c r="AC344" s="327"/>
      <c r="AD344" s="577"/>
      <c r="AE344" s="327"/>
      <c r="AF344" s="596"/>
      <c r="AG344" s="327"/>
      <c r="AH344" s="577"/>
      <c r="AI344" s="327"/>
      <c r="AJ344" s="596"/>
      <c r="AK344" s="327"/>
      <c r="AL344" s="598"/>
      <c r="AM344" s="326"/>
      <c r="AN344" s="326"/>
      <c r="AO344" s="326"/>
      <c r="AP344" s="326"/>
      <c r="AQ344" s="326"/>
      <c r="AR344" s="326"/>
      <c r="AS344" s="326"/>
      <c r="AT344" s="326"/>
      <c r="AU344" s="326"/>
      <c r="AV344" s="326"/>
      <c r="AW344" s="326"/>
      <c r="AX344" s="326"/>
      <c r="AY344" s="326"/>
      <c r="AZ344" s="326"/>
      <c r="BA344" s="326"/>
      <c r="BB344" s="327"/>
    </row>
    <row r="345" spans="1:54" ht="15.75" customHeight="1" x14ac:dyDescent="0.25">
      <c r="A345" s="11">
        <f t="shared" si="1"/>
        <v>332</v>
      </c>
      <c r="B345" s="504" t="str">
        <f>'refer admin discharge'!B341</f>
        <v>x</v>
      </c>
      <c r="C345" s="327"/>
      <c r="D345" s="505" t="str">
        <f>'refer admin discharge'!D341</f>
        <v>xx</v>
      </c>
      <c r="E345" s="327"/>
      <c r="F345" s="606" t="str">
        <f>'refer admin discharge'!H341</f>
        <v>00/00/0000</v>
      </c>
      <c r="G345" s="327"/>
      <c r="H345" s="594"/>
      <c r="I345" s="327"/>
      <c r="J345" s="605"/>
      <c r="K345" s="327"/>
      <c r="L345" s="594"/>
      <c r="M345" s="327"/>
      <c r="N345" s="575"/>
      <c r="O345" s="327"/>
      <c r="P345" s="594"/>
      <c r="Q345" s="327"/>
      <c r="R345" s="575"/>
      <c r="S345" s="327"/>
      <c r="T345" s="594"/>
      <c r="U345" s="327"/>
      <c r="V345" s="595" t="str">
        <f>'refer admin discharge'!H346</f>
        <v>00/00/0000</v>
      </c>
      <c r="W345" s="327"/>
      <c r="X345" s="577"/>
      <c r="Y345" s="327"/>
      <c r="Z345" s="604"/>
      <c r="AA345" s="327"/>
      <c r="AB345" s="577"/>
      <c r="AC345" s="327"/>
      <c r="AD345" s="576"/>
      <c r="AE345" s="327"/>
      <c r="AF345" s="577"/>
      <c r="AG345" s="327"/>
      <c r="AH345" s="576"/>
      <c r="AI345" s="327"/>
      <c r="AJ345" s="577"/>
      <c r="AK345" s="327"/>
      <c r="AL345" s="602"/>
      <c r="AM345" s="326"/>
      <c r="AN345" s="326"/>
      <c r="AO345" s="326"/>
      <c r="AP345" s="326"/>
      <c r="AQ345" s="326"/>
      <c r="AR345" s="326"/>
      <c r="AS345" s="326"/>
      <c r="AT345" s="326"/>
      <c r="AU345" s="326"/>
      <c r="AV345" s="326"/>
      <c r="AW345" s="326"/>
      <c r="AX345" s="326"/>
      <c r="AY345" s="326"/>
      <c r="AZ345" s="326"/>
      <c r="BA345" s="326"/>
      <c r="BB345" s="327"/>
    </row>
    <row r="346" spans="1:54" ht="15.75" customHeight="1" x14ac:dyDescent="0.25">
      <c r="A346" s="11">
        <f t="shared" si="1"/>
        <v>333</v>
      </c>
      <c r="B346" s="570" t="str">
        <f>'refer admin discharge'!B342</f>
        <v>x</v>
      </c>
      <c r="C346" s="327"/>
      <c r="D346" s="599" t="str">
        <f>'refer admin discharge'!D342</f>
        <v>xx</v>
      </c>
      <c r="E346" s="327"/>
      <c r="F346" s="600" t="str">
        <f>'refer admin discharge'!H342</f>
        <v>00/00/0000</v>
      </c>
      <c r="G346" s="327"/>
      <c r="H346" s="574"/>
      <c r="I346" s="327"/>
      <c r="J346" s="601"/>
      <c r="K346" s="327"/>
      <c r="L346" s="574"/>
      <c r="M346" s="327"/>
      <c r="N346" s="594"/>
      <c r="O346" s="327"/>
      <c r="P346" s="574"/>
      <c r="Q346" s="327"/>
      <c r="R346" s="594"/>
      <c r="S346" s="327"/>
      <c r="T346" s="574"/>
      <c r="U346" s="327"/>
      <c r="V346" s="595" t="str">
        <f>'refer admin discharge'!H347</f>
        <v>00/00/0000</v>
      </c>
      <c r="W346" s="327"/>
      <c r="X346" s="596"/>
      <c r="Y346" s="327"/>
      <c r="Z346" s="597"/>
      <c r="AA346" s="327"/>
      <c r="AB346" s="596"/>
      <c r="AC346" s="327"/>
      <c r="AD346" s="577"/>
      <c r="AE346" s="327"/>
      <c r="AF346" s="596"/>
      <c r="AG346" s="327"/>
      <c r="AH346" s="577"/>
      <c r="AI346" s="327"/>
      <c r="AJ346" s="596"/>
      <c r="AK346" s="327"/>
      <c r="AL346" s="598"/>
      <c r="AM346" s="326"/>
      <c r="AN346" s="326"/>
      <c r="AO346" s="326"/>
      <c r="AP346" s="326"/>
      <c r="AQ346" s="326"/>
      <c r="AR346" s="326"/>
      <c r="AS346" s="326"/>
      <c r="AT346" s="326"/>
      <c r="AU346" s="326"/>
      <c r="AV346" s="326"/>
      <c r="AW346" s="326"/>
      <c r="AX346" s="326"/>
      <c r="AY346" s="326"/>
      <c r="AZ346" s="326"/>
      <c r="BA346" s="326"/>
      <c r="BB346" s="327"/>
    </row>
    <row r="347" spans="1:54" ht="15.75" customHeight="1" x14ac:dyDescent="0.25">
      <c r="A347" s="11">
        <f t="shared" si="1"/>
        <v>334</v>
      </c>
      <c r="B347" s="504" t="str">
        <f>'refer admin discharge'!B343</f>
        <v>x</v>
      </c>
      <c r="C347" s="327"/>
      <c r="D347" s="505" t="str">
        <f>'refer admin discharge'!D343</f>
        <v>xx</v>
      </c>
      <c r="E347" s="327"/>
      <c r="F347" s="606" t="str">
        <f>'refer admin discharge'!H343</f>
        <v>00/00/0000</v>
      </c>
      <c r="G347" s="327"/>
      <c r="H347" s="594"/>
      <c r="I347" s="327"/>
      <c r="J347" s="605"/>
      <c r="K347" s="327"/>
      <c r="L347" s="594"/>
      <c r="M347" s="327"/>
      <c r="N347" s="575"/>
      <c r="O347" s="327"/>
      <c r="P347" s="594"/>
      <c r="Q347" s="327"/>
      <c r="R347" s="575"/>
      <c r="S347" s="327"/>
      <c r="T347" s="594"/>
      <c r="U347" s="327"/>
      <c r="V347" s="595" t="str">
        <f>'refer admin discharge'!H348</f>
        <v>00/00/0000</v>
      </c>
      <c r="W347" s="327"/>
      <c r="X347" s="577"/>
      <c r="Y347" s="327"/>
      <c r="Z347" s="604"/>
      <c r="AA347" s="327"/>
      <c r="AB347" s="577"/>
      <c r="AC347" s="327"/>
      <c r="AD347" s="576"/>
      <c r="AE347" s="327"/>
      <c r="AF347" s="577"/>
      <c r="AG347" s="327"/>
      <c r="AH347" s="576"/>
      <c r="AI347" s="327"/>
      <c r="AJ347" s="577"/>
      <c r="AK347" s="327"/>
      <c r="AL347" s="602"/>
      <c r="AM347" s="326"/>
      <c r="AN347" s="326"/>
      <c r="AO347" s="326"/>
      <c r="AP347" s="326"/>
      <c r="AQ347" s="326"/>
      <c r="AR347" s="326"/>
      <c r="AS347" s="326"/>
      <c r="AT347" s="326"/>
      <c r="AU347" s="326"/>
      <c r="AV347" s="326"/>
      <c r="AW347" s="326"/>
      <c r="AX347" s="326"/>
      <c r="AY347" s="326"/>
      <c r="AZ347" s="326"/>
      <c r="BA347" s="326"/>
      <c r="BB347" s="327"/>
    </row>
    <row r="348" spans="1:54" ht="15.75" customHeight="1" x14ac:dyDescent="0.25">
      <c r="A348" s="11">
        <f t="shared" si="1"/>
        <v>335</v>
      </c>
      <c r="B348" s="570" t="str">
        <f>'refer admin discharge'!B344</f>
        <v>x</v>
      </c>
      <c r="C348" s="327"/>
      <c r="D348" s="599" t="str">
        <f>'refer admin discharge'!D344</f>
        <v>xx</v>
      </c>
      <c r="E348" s="327"/>
      <c r="F348" s="600" t="str">
        <f>'refer admin discharge'!H344</f>
        <v>00/00/0000</v>
      </c>
      <c r="G348" s="327"/>
      <c r="H348" s="574"/>
      <c r="I348" s="327"/>
      <c r="J348" s="601"/>
      <c r="K348" s="327"/>
      <c r="L348" s="574"/>
      <c r="M348" s="327"/>
      <c r="N348" s="594"/>
      <c r="O348" s="327"/>
      <c r="P348" s="574"/>
      <c r="Q348" s="327"/>
      <c r="R348" s="594"/>
      <c r="S348" s="327"/>
      <c r="T348" s="574"/>
      <c r="U348" s="327"/>
      <c r="V348" s="595" t="str">
        <f>'refer admin discharge'!H349</f>
        <v>00/00/0000</v>
      </c>
      <c r="W348" s="327"/>
      <c r="X348" s="596"/>
      <c r="Y348" s="327"/>
      <c r="Z348" s="597"/>
      <c r="AA348" s="327"/>
      <c r="AB348" s="596"/>
      <c r="AC348" s="327"/>
      <c r="AD348" s="577"/>
      <c r="AE348" s="327"/>
      <c r="AF348" s="596"/>
      <c r="AG348" s="327"/>
      <c r="AH348" s="577"/>
      <c r="AI348" s="327"/>
      <c r="AJ348" s="596"/>
      <c r="AK348" s="327"/>
      <c r="AL348" s="598"/>
      <c r="AM348" s="326"/>
      <c r="AN348" s="326"/>
      <c r="AO348" s="326"/>
      <c r="AP348" s="326"/>
      <c r="AQ348" s="326"/>
      <c r="AR348" s="326"/>
      <c r="AS348" s="326"/>
      <c r="AT348" s="326"/>
      <c r="AU348" s="326"/>
      <c r="AV348" s="326"/>
      <c r="AW348" s="326"/>
      <c r="AX348" s="326"/>
      <c r="AY348" s="326"/>
      <c r="AZ348" s="326"/>
      <c r="BA348" s="326"/>
      <c r="BB348" s="327"/>
    </row>
    <row r="349" spans="1:54" ht="15.75" customHeight="1" x14ac:dyDescent="0.25">
      <c r="A349" s="11">
        <f t="shared" si="1"/>
        <v>336</v>
      </c>
      <c r="B349" s="504" t="str">
        <f>'refer admin discharge'!B345</f>
        <v>x</v>
      </c>
      <c r="C349" s="327"/>
      <c r="D349" s="505" t="str">
        <f>'refer admin discharge'!D345</f>
        <v>xx</v>
      </c>
      <c r="E349" s="327"/>
      <c r="F349" s="606" t="str">
        <f>'refer admin discharge'!H345</f>
        <v>00/00/0000</v>
      </c>
      <c r="G349" s="327"/>
      <c r="H349" s="594"/>
      <c r="I349" s="327"/>
      <c r="J349" s="605"/>
      <c r="K349" s="327"/>
      <c r="L349" s="594"/>
      <c r="M349" s="327"/>
      <c r="N349" s="575"/>
      <c r="O349" s="327"/>
      <c r="P349" s="594"/>
      <c r="Q349" s="327"/>
      <c r="R349" s="575"/>
      <c r="S349" s="327"/>
      <c r="T349" s="594"/>
      <c r="U349" s="327"/>
      <c r="V349" s="595" t="str">
        <f>'refer admin discharge'!H350</f>
        <v>00/00/0000</v>
      </c>
      <c r="W349" s="327"/>
      <c r="X349" s="577"/>
      <c r="Y349" s="327"/>
      <c r="Z349" s="604"/>
      <c r="AA349" s="327"/>
      <c r="AB349" s="577"/>
      <c r="AC349" s="327"/>
      <c r="AD349" s="576"/>
      <c r="AE349" s="327"/>
      <c r="AF349" s="577"/>
      <c r="AG349" s="327"/>
      <c r="AH349" s="576"/>
      <c r="AI349" s="327"/>
      <c r="AJ349" s="577"/>
      <c r="AK349" s="327"/>
      <c r="AL349" s="602"/>
      <c r="AM349" s="326"/>
      <c r="AN349" s="326"/>
      <c r="AO349" s="326"/>
      <c r="AP349" s="326"/>
      <c r="AQ349" s="326"/>
      <c r="AR349" s="326"/>
      <c r="AS349" s="326"/>
      <c r="AT349" s="326"/>
      <c r="AU349" s="326"/>
      <c r="AV349" s="326"/>
      <c r="AW349" s="326"/>
      <c r="AX349" s="326"/>
      <c r="AY349" s="326"/>
      <c r="AZ349" s="326"/>
      <c r="BA349" s="326"/>
      <c r="BB349" s="327"/>
    </row>
    <row r="350" spans="1:54" ht="15.75" customHeight="1" x14ac:dyDescent="0.25">
      <c r="A350" s="11">
        <f t="shared" si="1"/>
        <v>337</v>
      </c>
      <c r="B350" s="570" t="str">
        <f>'refer admin discharge'!B346</f>
        <v>x</v>
      </c>
      <c r="C350" s="327"/>
      <c r="D350" s="599" t="str">
        <f>'refer admin discharge'!D346</f>
        <v>xx</v>
      </c>
      <c r="E350" s="327"/>
      <c r="F350" s="600" t="str">
        <f>'refer admin discharge'!H346</f>
        <v>00/00/0000</v>
      </c>
      <c r="G350" s="327"/>
      <c r="H350" s="574"/>
      <c r="I350" s="327"/>
      <c r="J350" s="601"/>
      <c r="K350" s="327"/>
      <c r="L350" s="574"/>
      <c r="M350" s="327"/>
      <c r="N350" s="594"/>
      <c r="O350" s="327"/>
      <c r="P350" s="574"/>
      <c r="Q350" s="327"/>
      <c r="R350" s="594"/>
      <c r="S350" s="327"/>
      <c r="T350" s="574"/>
      <c r="U350" s="327"/>
      <c r="V350" s="595" t="str">
        <f>'refer admin discharge'!H351</f>
        <v>00/00/0000</v>
      </c>
      <c r="W350" s="327"/>
      <c r="X350" s="596"/>
      <c r="Y350" s="327"/>
      <c r="Z350" s="597"/>
      <c r="AA350" s="327"/>
      <c r="AB350" s="596"/>
      <c r="AC350" s="327"/>
      <c r="AD350" s="577"/>
      <c r="AE350" s="327"/>
      <c r="AF350" s="596"/>
      <c r="AG350" s="327"/>
      <c r="AH350" s="577"/>
      <c r="AI350" s="327"/>
      <c r="AJ350" s="596"/>
      <c r="AK350" s="327"/>
      <c r="AL350" s="598"/>
      <c r="AM350" s="326"/>
      <c r="AN350" s="326"/>
      <c r="AO350" s="326"/>
      <c r="AP350" s="326"/>
      <c r="AQ350" s="326"/>
      <c r="AR350" s="326"/>
      <c r="AS350" s="326"/>
      <c r="AT350" s="326"/>
      <c r="AU350" s="326"/>
      <c r="AV350" s="326"/>
      <c r="AW350" s="326"/>
      <c r="AX350" s="326"/>
      <c r="AY350" s="326"/>
      <c r="AZ350" s="326"/>
      <c r="BA350" s="326"/>
      <c r="BB350" s="327"/>
    </row>
    <row r="351" spans="1:54" ht="15.75" customHeight="1" x14ac:dyDescent="0.25">
      <c r="A351" s="11">
        <f t="shared" si="1"/>
        <v>338</v>
      </c>
      <c r="B351" s="504" t="str">
        <f>'refer admin discharge'!B347</f>
        <v>x</v>
      </c>
      <c r="C351" s="327"/>
      <c r="D351" s="505" t="str">
        <f>'refer admin discharge'!D347</f>
        <v>xx</v>
      </c>
      <c r="E351" s="327"/>
      <c r="F351" s="606" t="str">
        <f>'refer admin discharge'!H347</f>
        <v>00/00/0000</v>
      </c>
      <c r="G351" s="327"/>
      <c r="H351" s="594"/>
      <c r="I351" s="327"/>
      <c r="J351" s="605"/>
      <c r="K351" s="327"/>
      <c r="L351" s="594"/>
      <c r="M351" s="327"/>
      <c r="N351" s="575"/>
      <c r="O351" s="327"/>
      <c r="P351" s="594"/>
      <c r="Q351" s="327"/>
      <c r="R351" s="575"/>
      <c r="S351" s="327"/>
      <c r="T351" s="594"/>
      <c r="U351" s="327"/>
      <c r="V351" s="595" t="str">
        <f>'refer admin discharge'!H352</f>
        <v>00/00/0000</v>
      </c>
      <c r="W351" s="327"/>
      <c r="X351" s="577"/>
      <c r="Y351" s="327"/>
      <c r="Z351" s="604"/>
      <c r="AA351" s="327"/>
      <c r="AB351" s="577"/>
      <c r="AC351" s="327"/>
      <c r="AD351" s="576"/>
      <c r="AE351" s="327"/>
      <c r="AF351" s="577"/>
      <c r="AG351" s="327"/>
      <c r="AH351" s="576"/>
      <c r="AI351" s="327"/>
      <c r="AJ351" s="577"/>
      <c r="AK351" s="327"/>
      <c r="AL351" s="602"/>
      <c r="AM351" s="326"/>
      <c r="AN351" s="326"/>
      <c r="AO351" s="326"/>
      <c r="AP351" s="326"/>
      <c r="AQ351" s="326"/>
      <c r="AR351" s="326"/>
      <c r="AS351" s="326"/>
      <c r="AT351" s="326"/>
      <c r="AU351" s="326"/>
      <c r="AV351" s="326"/>
      <c r="AW351" s="326"/>
      <c r="AX351" s="326"/>
      <c r="AY351" s="326"/>
      <c r="AZ351" s="326"/>
      <c r="BA351" s="326"/>
      <c r="BB351" s="327"/>
    </row>
    <row r="352" spans="1:54" ht="15.75" customHeight="1" x14ac:dyDescent="0.25">
      <c r="A352" s="11">
        <f t="shared" si="1"/>
        <v>339</v>
      </c>
      <c r="B352" s="570" t="str">
        <f>'refer admin discharge'!B348</f>
        <v>x</v>
      </c>
      <c r="C352" s="327"/>
      <c r="D352" s="599" t="str">
        <f>'refer admin discharge'!D348</f>
        <v>xx</v>
      </c>
      <c r="E352" s="327"/>
      <c r="F352" s="600" t="str">
        <f>'refer admin discharge'!H348</f>
        <v>00/00/0000</v>
      </c>
      <c r="G352" s="327"/>
      <c r="H352" s="574"/>
      <c r="I352" s="327"/>
      <c r="J352" s="601"/>
      <c r="K352" s="327"/>
      <c r="L352" s="574"/>
      <c r="M352" s="327"/>
      <c r="N352" s="594"/>
      <c r="O352" s="327"/>
      <c r="P352" s="574"/>
      <c r="Q352" s="327"/>
      <c r="R352" s="594"/>
      <c r="S352" s="327"/>
      <c r="T352" s="574"/>
      <c r="U352" s="327"/>
      <c r="V352" s="595" t="str">
        <f>'refer admin discharge'!H353</f>
        <v>00/00/0000</v>
      </c>
      <c r="W352" s="327"/>
      <c r="X352" s="596"/>
      <c r="Y352" s="327"/>
      <c r="Z352" s="597"/>
      <c r="AA352" s="327"/>
      <c r="AB352" s="596"/>
      <c r="AC352" s="327"/>
      <c r="AD352" s="577"/>
      <c r="AE352" s="327"/>
      <c r="AF352" s="596"/>
      <c r="AG352" s="327"/>
      <c r="AH352" s="577"/>
      <c r="AI352" s="327"/>
      <c r="AJ352" s="596"/>
      <c r="AK352" s="327"/>
      <c r="AL352" s="598"/>
      <c r="AM352" s="326"/>
      <c r="AN352" s="326"/>
      <c r="AO352" s="326"/>
      <c r="AP352" s="326"/>
      <c r="AQ352" s="326"/>
      <c r="AR352" s="326"/>
      <c r="AS352" s="326"/>
      <c r="AT352" s="326"/>
      <c r="AU352" s="326"/>
      <c r="AV352" s="326"/>
      <c r="AW352" s="326"/>
      <c r="AX352" s="326"/>
      <c r="AY352" s="326"/>
      <c r="AZ352" s="326"/>
      <c r="BA352" s="326"/>
      <c r="BB352" s="327"/>
    </row>
    <row r="353" spans="1:54" ht="15.75" customHeight="1" x14ac:dyDescent="0.25">
      <c r="A353" s="11">
        <f t="shared" si="1"/>
        <v>340</v>
      </c>
      <c r="B353" s="504" t="str">
        <f>'refer admin discharge'!B349</f>
        <v>x</v>
      </c>
      <c r="C353" s="327"/>
      <c r="D353" s="505" t="str">
        <f>'refer admin discharge'!D349</f>
        <v>xx</v>
      </c>
      <c r="E353" s="327"/>
      <c r="F353" s="606" t="str">
        <f>'refer admin discharge'!H349</f>
        <v>00/00/0000</v>
      </c>
      <c r="G353" s="327"/>
      <c r="H353" s="594"/>
      <c r="I353" s="327"/>
      <c r="J353" s="605"/>
      <c r="K353" s="327"/>
      <c r="L353" s="594"/>
      <c r="M353" s="327"/>
      <c r="N353" s="575"/>
      <c r="O353" s="327"/>
      <c r="P353" s="594"/>
      <c r="Q353" s="327"/>
      <c r="R353" s="575"/>
      <c r="S353" s="327"/>
      <c r="T353" s="594"/>
      <c r="U353" s="327"/>
      <c r="V353" s="595" t="str">
        <f>'refer admin discharge'!H354</f>
        <v>00/00/0000</v>
      </c>
      <c r="W353" s="327"/>
      <c r="X353" s="577"/>
      <c r="Y353" s="327"/>
      <c r="Z353" s="604"/>
      <c r="AA353" s="327"/>
      <c r="AB353" s="577"/>
      <c r="AC353" s="327"/>
      <c r="AD353" s="576"/>
      <c r="AE353" s="327"/>
      <c r="AF353" s="577"/>
      <c r="AG353" s="327"/>
      <c r="AH353" s="576"/>
      <c r="AI353" s="327"/>
      <c r="AJ353" s="577"/>
      <c r="AK353" s="327"/>
      <c r="AL353" s="602"/>
      <c r="AM353" s="326"/>
      <c r="AN353" s="326"/>
      <c r="AO353" s="326"/>
      <c r="AP353" s="326"/>
      <c r="AQ353" s="326"/>
      <c r="AR353" s="326"/>
      <c r="AS353" s="326"/>
      <c r="AT353" s="326"/>
      <c r="AU353" s="326"/>
      <c r="AV353" s="326"/>
      <c r="AW353" s="326"/>
      <c r="AX353" s="326"/>
      <c r="AY353" s="326"/>
      <c r="AZ353" s="326"/>
      <c r="BA353" s="326"/>
      <c r="BB353" s="327"/>
    </row>
    <row r="354" spans="1:54" ht="15.75" customHeight="1" x14ac:dyDescent="0.25">
      <c r="A354" s="11">
        <f t="shared" si="1"/>
        <v>341</v>
      </c>
      <c r="B354" s="570" t="str">
        <f>'refer admin discharge'!B350</f>
        <v>x</v>
      </c>
      <c r="C354" s="327"/>
      <c r="D354" s="599" t="str">
        <f>'refer admin discharge'!D350</f>
        <v>xx</v>
      </c>
      <c r="E354" s="327"/>
      <c r="F354" s="600" t="str">
        <f>'refer admin discharge'!H350</f>
        <v>00/00/0000</v>
      </c>
      <c r="G354" s="327"/>
      <c r="H354" s="574"/>
      <c r="I354" s="327"/>
      <c r="J354" s="601"/>
      <c r="K354" s="327"/>
      <c r="L354" s="574"/>
      <c r="M354" s="327"/>
      <c r="N354" s="594"/>
      <c r="O354" s="327"/>
      <c r="P354" s="574"/>
      <c r="Q354" s="327"/>
      <c r="R354" s="594"/>
      <c r="S354" s="327"/>
      <c r="T354" s="574"/>
      <c r="U354" s="327"/>
      <c r="V354" s="595" t="str">
        <f>'refer admin discharge'!H355</f>
        <v>00/00/0000</v>
      </c>
      <c r="W354" s="327"/>
      <c r="X354" s="596"/>
      <c r="Y354" s="327"/>
      <c r="Z354" s="597"/>
      <c r="AA354" s="327"/>
      <c r="AB354" s="596"/>
      <c r="AC354" s="327"/>
      <c r="AD354" s="577"/>
      <c r="AE354" s="327"/>
      <c r="AF354" s="596"/>
      <c r="AG354" s="327"/>
      <c r="AH354" s="577"/>
      <c r="AI354" s="327"/>
      <c r="AJ354" s="596"/>
      <c r="AK354" s="327"/>
      <c r="AL354" s="598"/>
      <c r="AM354" s="326"/>
      <c r="AN354" s="326"/>
      <c r="AO354" s="326"/>
      <c r="AP354" s="326"/>
      <c r="AQ354" s="326"/>
      <c r="AR354" s="326"/>
      <c r="AS354" s="326"/>
      <c r="AT354" s="326"/>
      <c r="AU354" s="326"/>
      <c r="AV354" s="326"/>
      <c r="AW354" s="326"/>
      <c r="AX354" s="326"/>
      <c r="AY354" s="326"/>
      <c r="AZ354" s="326"/>
      <c r="BA354" s="326"/>
      <c r="BB354" s="327"/>
    </row>
    <row r="355" spans="1:54" ht="15.75" customHeight="1" x14ac:dyDescent="0.25">
      <c r="A355" s="11">
        <f t="shared" si="1"/>
        <v>342</v>
      </c>
      <c r="B355" s="504" t="str">
        <f>'refer admin discharge'!B351</f>
        <v>x</v>
      </c>
      <c r="C355" s="327"/>
      <c r="D355" s="505" t="str">
        <f>'refer admin discharge'!D351</f>
        <v>xx</v>
      </c>
      <c r="E355" s="327"/>
      <c r="F355" s="606" t="str">
        <f>'refer admin discharge'!H351</f>
        <v>00/00/0000</v>
      </c>
      <c r="G355" s="327"/>
      <c r="H355" s="594"/>
      <c r="I355" s="327"/>
      <c r="J355" s="605"/>
      <c r="K355" s="327"/>
      <c r="L355" s="594"/>
      <c r="M355" s="327"/>
      <c r="N355" s="575"/>
      <c r="O355" s="327"/>
      <c r="P355" s="594"/>
      <c r="Q355" s="327"/>
      <c r="R355" s="575"/>
      <c r="S355" s="327"/>
      <c r="T355" s="594"/>
      <c r="U355" s="327"/>
      <c r="V355" s="595" t="str">
        <f>'refer admin discharge'!H356</f>
        <v>00/00/0000</v>
      </c>
      <c r="W355" s="327"/>
      <c r="X355" s="577"/>
      <c r="Y355" s="327"/>
      <c r="Z355" s="604"/>
      <c r="AA355" s="327"/>
      <c r="AB355" s="577"/>
      <c r="AC355" s="327"/>
      <c r="AD355" s="576"/>
      <c r="AE355" s="327"/>
      <c r="AF355" s="577"/>
      <c r="AG355" s="327"/>
      <c r="AH355" s="576"/>
      <c r="AI355" s="327"/>
      <c r="AJ355" s="577"/>
      <c r="AK355" s="327"/>
      <c r="AL355" s="602"/>
      <c r="AM355" s="326"/>
      <c r="AN355" s="326"/>
      <c r="AO355" s="326"/>
      <c r="AP355" s="326"/>
      <c r="AQ355" s="326"/>
      <c r="AR355" s="326"/>
      <c r="AS355" s="326"/>
      <c r="AT355" s="326"/>
      <c r="AU355" s="326"/>
      <c r="AV355" s="326"/>
      <c r="AW355" s="326"/>
      <c r="AX355" s="326"/>
      <c r="AY355" s="326"/>
      <c r="AZ355" s="326"/>
      <c r="BA355" s="326"/>
      <c r="BB355" s="327"/>
    </row>
    <row r="356" spans="1:54" ht="15.75" customHeight="1" x14ac:dyDescent="0.25">
      <c r="A356" s="11">
        <f t="shared" si="1"/>
        <v>343</v>
      </c>
      <c r="B356" s="570" t="str">
        <f>'refer admin discharge'!B352</f>
        <v>x</v>
      </c>
      <c r="C356" s="327"/>
      <c r="D356" s="599" t="str">
        <f>'refer admin discharge'!D352</f>
        <v>xx</v>
      </c>
      <c r="E356" s="327"/>
      <c r="F356" s="600" t="str">
        <f>'refer admin discharge'!H352</f>
        <v>00/00/0000</v>
      </c>
      <c r="G356" s="327"/>
      <c r="H356" s="574"/>
      <c r="I356" s="327"/>
      <c r="J356" s="601"/>
      <c r="K356" s="327"/>
      <c r="L356" s="574"/>
      <c r="M356" s="327"/>
      <c r="N356" s="594"/>
      <c r="O356" s="327"/>
      <c r="P356" s="574"/>
      <c r="Q356" s="327"/>
      <c r="R356" s="594"/>
      <c r="S356" s="327"/>
      <c r="T356" s="574"/>
      <c r="U356" s="327"/>
      <c r="V356" s="595" t="str">
        <f>'refer admin discharge'!H357</f>
        <v>00/00/0000</v>
      </c>
      <c r="W356" s="327"/>
      <c r="X356" s="596"/>
      <c r="Y356" s="327"/>
      <c r="Z356" s="597"/>
      <c r="AA356" s="327"/>
      <c r="AB356" s="596"/>
      <c r="AC356" s="327"/>
      <c r="AD356" s="577"/>
      <c r="AE356" s="327"/>
      <c r="AF356" s="596"/>
      <c r="AG356" s="327"/>
      <c r="AH356" s="577"/>
      <c r="AI356" s="327"/>
      <c r="AJ356" s="596"/>
      <c r="AK356" s="327"/>
      <c r="AL356" s="598"/>
      <c r="AM356" s="326"/>
      <c r="AN356" s="326"/>
      <c r="AO356" s="326"/>
      <c r="AP356" s="326"/>
      <c r="AQ356" s="326"/>
      <c r="AR356" s="326"/>
      <c r="AS356" s="326"/>
      <c r="AT356" s="326"/>
      <c r="AU356" s="326"/>
      <c r="AV356" s="326"/>
      <c r="AW356" s="326"/>
      <c r="AX356" s="326"/>
      <c r="AY356" s="326"/>
      <c r="AZ356" s="326"/>
      <c r="BA356" s="326"/>
      <c r="BB356" s="327"/>
    </row>
    <row r="357" spans="1:54" ht="15.75" customHeight="1" x14ac:dyDescent="0.25">
      <c r="A357" s="11">
        <f t="shared" si="1"/>
        <v>344</v>
      </c>
      <c r="B357" s="504" t="str">
        <f>'refer admin discharge'!B353</f>
        <v>x</v>
      </c>
      <c r="C357" s="327"/>
      <c r="D357" s="505" t="str">
        <f>'refer admin discharge'!D353</f>
        <v>xx</v>
      </c>
      <c r="E357" s="327"/>
      <c r="F357" s="606" t="str">
        <f>'refer admin discharge'!H353</f>
        <v>00/00/0000</v>
      </c>
      <c r="G357" s="327"/>
      <c r="H357" s="594"/>
      <c r="I357" s="327"/>
      <c r="J357" s="605"/>
      <c r="K357" s="327"/>
      <c r="L357" s="594"/>
      <c r="M357" s="327"/>
      <c r="N357" s="575"/>
      <c r="O357" s="327"/>
      <c r="P357" s="594"/>
      <c r="Q357" s="327"/>
      <c r="R357" s="575"/>
      <c r="S357" s="327"/>
      <c r="T357" s="594"/>
      <c r="U357" s="327"/>
      <c r="V357" s="595" t="str">
        <f>'refer admin discharge'!H358</f>
        <v>00/00/0000</v>
      </c>
      <c r="W357" s="327"/>
      <c r="X357" s="577"/>
      <c r="Y357" s="327"/>
      <c r="Z357" s="604"/>
      <c r="AA357" s="327"/>
      <c r="AB357" s="577"/>
      <c r="AC357" s="327"/>
      <c r="AD357" s="576"/>
      <c r="AE357" s="327"/>
      <c r="AF357" s="577"/>
      <c r="AG357" s="327"/>
      <c r="AH357" s="576"/>
      <c r="AI357" s="327"/>
      <c r="AJ357" s="577"/>
      <c r="AK357" s="327"/>
      <c r="AL357" s="602"/>
      <c r="AM357" s="326"/>
      <c r="AN357" s="326"/>
      <c r="AO357" s="326"/>
      <c r="AP357" s="326"/>
      <c r="AQ357" s="326"/>
      <c r="AR357" s="326"/>
      <c r="AS357" s="326"/>
      <c r="AT357" s="326"/>
      <c r="AU357" s="326"/>
      <c r="AV357" s="326"/>
      <c r="AW357" s="326"/>
      <c r="AX357" s="326"/>
      <c r="AY357" s="326"/>
      <c r="AZ357" s="326"/>
      <c r="BA357" s="326"/>
      <c r="BB357" s="327"/>
    </row>
    <row r="358" spans="1:54" ht="15.75" customHeight="1" x14ac:dyDescent="0.25">
      <c r="A358" s="11">
        <f t="shared" si="1"/>
        <v>345</v>
      </c>
      <c r="B358" s="570" t="str">
        <f>'refer admin discharge'!B354</f>
        <v>x</v>
      </c>
      <c r="C358" s="327"/>
      <c r="D358" s="599" t="str">
        <f>'refer admin discharge'!D354</f>
        <v>xx</v>
      </c>
      <c r="E358" s="327"/>
      <c r="F358" s="600" t="str">
        <f>'refer admin discharge'!H354</f>
        <v>00/00/0000</v>
      </c>
      <c r="G358" s="327"/>
      <c r="H358" s="574"/>
      <c r="I358" s="327"/>
      <c r="J358" s="601"/>
      <c r="K358" s="327"/>
      <c r="L358" s="574"/>
      <c r="M358" s="327"/>
      <c r="N358" s="594"/>
      <c r="O358" s="327"/>
      <c r="P358" s="574"/>
      <c r="Q358" s="327"/>
      <c r="R358" s="594"/>
      <c r="S358" s="327"/>
      <c r="T358" s="574"/>
      <c r="U358" s="327"/>
      <c r="V358" s="595" t="str">
        <f>'refer admin discharge'!H359</f>
        <v>00/00/0000</v>
      </c>
      <c r="W358" s="327"/>
      <c r="X358" s="596"/>
      <c r="Y358" s="327"/>
      <c r="Z358" s="597"/>
      <c r="AA358" s="327"/>
      <c r="AB358" s="596"/>
      <c r="AC358" s="327"/>
      <c r="AD358" s="577"/>
      <c r="AE358" s="327"/>
      <c r="AF358" s="596"/>
      <c r="AG358" s="327"/>
      <c r="AH358" s="577"/>
      <c r="AI358" s="327"/>
      <c r="AJ358" s="596"/>
      <c r="AK358" s="327"/>
      <c r="AL358" s="598"/>
      <c r="AM358" s="326"/>
      <c r="AN358" s="326"/>
      <c r="AO358" s="326"/>
      <c r="AP358" s="326"/>
      <c r="AQ358" s="326"/>
      <c r="AR358" s="326"/>
      <c r="AS358" s="326"/>
      <c r="AT358" s="326"/>
      <c r="AU358" s="326"/>
      <c r="AV358" s="326"/>
      <c r="AW358" s="326"/>
      <c r="AX358" s="326"/>
      <c r="AY358" s="326"/>
      <c r="AZ358" s="326"/>
      <c r="BA358" s="326"/>
      <c r="BB358" s="327"/>
    </row>
    <row r="359" spans="1:54" ht="15.75" customHeight="1" x14ac:dyDescent="0.25">
      <c r="A359" s="11">
        <f t="shared" si="1"/>
        <v>346</v>
      </c>
      <c r="B359" s="504" t="str">
        <f>'refer admin discharge'!B355</f>
        <v>x</v>
      </c>
      <c r="C359" s="327"/>
      <c r="D359" s="505" t="str">
        <f>'refer admin discharge'!D355</f>
        <v>xx</v>
      </c>
      <c r="E359" s="327"/>
      <c r="F359" s="606" t="str">
        <f>'refer admin discharge'!H355</f>
        <v>00/00/0000</v>
      </c>
      <c r="G359" s="327"/>
      <c r="H359" s="594"/>
      <c r="I359" s="327"/>
      <c r="J359" s="605"/>
      <c r="K359" s="327"/>
      <c r="L359" s="594"/>
      <c r="M359" s="327"/>
      <c r="N359" s="575"/>
      <c r="O359" s="327"/>
      <c r="P359" s="594"/>
      <c r="Q359" s="327"/>
      <c r="R359" s="575"/>
      <c r="S359" s="327"/>
      <c r="T359" s="594"/>
      <c r="U359" s="327"/>
      <c r="V359" s="595" t="str">
        <f>'refer admin discharge'!H360</f>
        <v>00/00/0000</v>
      </c>
      <c r="W359" s="327"/>
      <c r="X359" s="577"/>
      <c r="Y359" s="327"/>
      <c r="Z359" s="604"/>
      <c r="AA359" s="327"/>
      <c r="AB359" s="577"/>
      <c r="AC359" s="327"/>
      <c r="AD359" s="576"/>
      <c r="AE359" s="327"/>
      <c r="AF359" s="577"/>
      <c r="AG359" s="327"/>
      <c r="AH359" s="576"/>
      <c r="AI359" s="327"/>
      <c r="AJ359" s="577"/>
      <c r="AK359" s="327"/>
      <c r="AL359" s="602"/>
      <c r="AM359" s="326"/>
      <c r="AN359" s="326"/>
      <c r="AO359" s="326"/>
      <c r="AP359" s="326"/>
      <c r="AQ359" s="326"/>
      <c r="AR359" s="326"/>
      <c r="AS359" s="326"/>
      <c r="AT359" s="326"/>
      <c r="AU359" s="326"/>
      <c r="AV359" s="326"/>
      <c r="AW359" s="326"/>
      <c r="AX359" s="326"/>
      <c r="AY359" s="326"/>
      <c r="AZ359" s="326"/>
      <c r="BA359" s="326"/>
      <c r="BB359" s="327"/>
    </row>
    <row r="360" spans="1:54" ht="15.75" customHeight="1" x14ac:dyDescent="0.25">
      <c r="A360" s="11">
        <f t="shared" si="1"/>
        <v>347</v>
      </c>
      <c r="B360" s="570" t="str">
        <f>'refer admin discharge'!B356</f>
        <v>x</v>
      </c>
      <c r="C360" s="327"/>
      <c r="D360" s="599" t="str">
        <f>'refer admin discharge'!D356</f>
        <v>xx</v>
      </c>
      <c r="E360" s="327"/>
      <c r="F360" s="600" t="str">
        <f>'refer admin discharge'!H356</f>
        <v>00/00/0000</v>
      </c>
      <c r="G360" s="327"/>
      <c r="H360" s="574"/>
      <c r="I360" s="327"/>
      <c r="J360" s="601"/>
      <c r="K360" s="327"/>
      <c r="L360" s="574"/>
      <c r="M360" s="327"/>
      <c r="N360" s="594"/>
      <c r="O360" s="327"/>
      <c r="P360" s="574"/>
      <c r="Q360" s="327"/>
      <c r="R360" s="594"/>
      <c r="S360" s="327"/>
      <c r="T360" s="574"/>
      <c r="U360" s="327"/>
      <c r="V360" s="595" t="str">
        <f>'refer admin discharge'!H361</f>
        <v>00/00/0000</v>
      </c>
      <c r="W360" s="327"/>
      <c r="X360" s="596"/>
      <c r="Y360" s="327"/>
      <c r="Z360" s="597"/>
      <c r="AA360" s="327"/>
      <c r="AB360" s="596"/>
      <c r="AC360" s="327"/>
      <c r="AD360" s="577"/>
      <c r="AE360" s="327"/>
      <c r="AF360" s="596"/>
      <c r="AG360" s="327"/>
      <c r="AH360" s="577"/>
      <c r="AI360" s="327"/>
      <c r="AJ360" s="596"/>
      <c r="AK360" s="327"/>
      <c r="AL360" s="598"/>
      <c r="AM360" s="326"/>
      <c r="AN360" s="326"/>
      <c r="AO360" s="326"/>
      <c r="AP360" s="326"/>
      <c r="AQ360" s="326"/>
      <c r="AR360" s="326"/>
      <c r="AS360" s="326"/>
      <c r="AT360" s="326"/>
      <c r="AU360" s="326"/>
      <c r="AV360" s="326"/>
      <c r="AW360" s="326"/>
      <c r="AX360" s="326"/>
      <c r="AY360" s="326"/>
      <c r="AZ360" s="326"/>
      <c r="BA360" s="326"/>
      <c r="BB360" s="327"/>
    </row>
    <row r="361" spans="1:54" ht="15.75" customHeight="1" x14ac:dyDescent="0.25">
      <c r="A361" s="11">
        <f t="shared" si="1"/>
        <v>348</v>
      </c>
      <c r="B361" s="504" t="str">
        <f>'refer admin discharge'!B357</f>
        <v>x</v>
      </c>
      <c r="C361" s="327"/>
      <c r="D361" s="505" t="str">
        <f>'refer admin discharge'!D357</f>
        <v>xx</v>
      </c>
      <c r="E361" s="327"/>
      <c r="F361" s="606" t="str">
        <f>'refer admin discharge'!H357</f>
        <v>00/00/0000</v>
      </c>
      <c r="G361" s="327"/>
      <c r="H361" s="594"/>
      <c r="I361" s="327"/>
      <c r="J361" s="605"/>
      <c r="K361" s="327"/>
      <c r="L361" s="594"/>
      <c r="M361" s="327"/>
      <c r="N361" s="575"/>
      <c r="O361" s="327"/>
      <c r="P361" s="594"/>
      <c r="Q361" s="327"/>
      <c r="R361" s="575"/>
      <c r="S361" s="327"/>
      <c r="T361" s="594"/>
      <c r="U361" s="327"/>
      <c r="V361" s="595" t="str">
        <f>'refer admin discharge'!H362</f>
        <v>00/00/0000</v>
      </c>
      <c r="W361" s="327"/>
      <c r="X361" s="577"/>
      <c r="Y361" s="327"/>
      <c r="Z361" s="604"/>
      <c r="AA361" s="327"/>
      <c r="AB361" s="577"/>
      <c r="AC361" s="327"/>
      <c r="AD361" s="576"/>
      <c r="AE361" s="327"/>
      <c r="AF361" s="577"/>
      <c r="AG361" s="327"/>
      <c r="AH361" s="576"/>
      <c r="AI361" s="327"/>
      <c r="AJ361" s="577"/>
      <c r="AK361" s="327"/>
      <c r="AL361" s="602"/>
      <c r="AM361" s="326"/>
      <c r="AN361" s="326"/>
      <c r="AO361" s="326"/>
      <c r="AP361" s="326"/>
      <c r="AQ361" s="326"/>
      <c r="AR361" s="326"/>
      <c r="AS361" s="326"/>
      <c r="AT361" s="326"/>
      <c r="AU361" s="326"/>
      <c r="AV361" s="326"/>
      <c r="AW361" s="326"/>
      <c r="AX361" s="326"/>
      <c r="AY361" s="326"/>
      <c r="AZ361" s="326"/>
      <c r="BA361" s="326"/>
      <c r="BB361" s="327"/>
    </row>
    <row r="362" spans="1:54" ht="15.75" customHeight="1" x14ac:dyDescent="0.25">
      <c r="A362" s="11">
        <f t="shared" si="1"/>
        <v>349</v>
      </c>
      <c r="B362" s="570" t="str">
        <f>'refer admin discharge'!B358</f>
        <v>x</v>
      </c>
      <c r="C362" s="327"/>
      <c r="D362" s="599" t="str">
        <f>'refer admin discharge'!D358</f>
        <v>xx</v>
      </c>
      <c r="E362" s="327"/>
      <c r="F362" s="600" t="str">
        <f>'refer admin discharge'!H358</f>
        <v>00/00/0000</v>
      </c>
      <c r="G362" s="327"/>
      <c r="H362" s="574"/>
      <c r="I362" s="327"/>
      <c r="J362" s="601"/>
      <c r="K362" s="327"/>
      <c r="L362" s="574"/>
      <c r="M362" s="327"/>
      <c r="N362" s="594"/>
      <c r="O362" s="327"/>
      <c r="P362" s="574"/>
      <c r="Q362" s="327"/>
      <c r="R362" s="594"/>
      <c r="S362" s="327"/>
      <c r="T362" s="574"/>
      <c r="U362" s="327"/>
      <c r="V362" s="595" t="str">
        <f>'refer admin discharge'!H363</f>
        <v>00/00/0000</v>
      </c>
      <c r="W362" s="327"/>
      <c r="X362" s="596"/>
      <c r="Y362" s="327"/>
      <c r="Z362" s="597"/>
      <c r="AA362" s="327"/>
      <c r="AB362" s="596"/>
      <c r="AC362" s="327"/>
      <c r="AD362" s="577"/>
      <c r="AE362" s="327"/>
      <c r="AF362" s="596"/>
      <c r="AG362" s="327"/>
      <c r="AH362" s="577"/>
      <c r="AI362" s="327"/>
      <c r="AJ362" s="596"/>
      <c r="AK362" s="327"/>
      <c r="AL362" s="598"/>
      <c r="AM362" s="326"/>
      <c r="AN362" s="326"/>
      <c r="AO362" s="326"/>
      <c r="AP362" s="326"/>
      <c r="AQ362" s="326"/>
      <c r="AR362" s="326"/>
      <c r="AS362" s="326"/>
      <c r="AT362" s="326"/>
      <c r="AU362" s="326"/>
      <c r="AV362" s="326"/>
      <c r="AW362" s="326"/>
      <c r="AX362" s="326"/>
      <c r="AY362" s="326"/>
      <c r="AZ362" s="326"/>
      <c r="BA362" s="326"/>
      <c r="BB362" s="327"/>
    </row>
    <row r="363" spans="1:54" ht="15.75" customHeight="1" x14ac:dyDescent="0.25">
      <c r="A363" s="11">
        <f t="shared" si="1"/>
        <v>350</v>
      </c>
      <c r="B363" s="504" t="str">
        <f>'refer admin discharge'!B359</f>
        <v>x</v>
      </c>
      <c r="C363" s="327"/>
      <c r="D363" s="505" t="str">
        <f>'refer admin discharge'!D359</f>
        <v>xx</v>
      </c>
      <c r="E363" s="327"/>
      <c r="F363" s="606" t="str">
        <f>'refer admin discharge'!H359</f>
        <v>00/00/0000</v>
      </c>
      <c r="G363" s="327"/>
      <c r="H363" s="594"/>
      <c r="I363" s="327"/>
      <c r="J363" s="605"/>
      <c r="K363" s="327"/>
      <c r="L363" s="594"/>
      <c r="M363" s="327"/>
      <c r="N363" s="575"/>
      <c r="O363" s="327"/>
      <c r="P363" s="594"/>
      <c r="Q363" s="327"/>
      <c r="R363" s="575"/>
      <c r="S363" s="327"/>
      <c r="T363" s="594"/>
      <c r="U363" s="327"/>
      <c r="V363" s="595" t="str">
        <f>'refer admin discharge'!H364</f>
        <v>00/00/0000</v>
      </c>
      <c r="W363" s="327"/>
      <c r="X363" s="577"/>
      <c r="Y363" s="327"/>
      <c r="Z363" s="604"/>
      <c r="AA363" s="327"/>
      <c r="AB363" s="577"/>
      <c r="AC363" s="327"/>
      <c r="AD363" s="576"/>
      <c r="AE363" s="327"/>
      <c r="AF363" s="577"/>
      <c r="AG363" s="327"/>
      <c r="AH363" s="576"/>
      <c r="AI363" s="327"/>
      <c r="AJ363" s="577"/>
      <c r="AK363" s="327"/>
      <c r="AL363" s="602"/>
      <c r="AM363" s="326"/>
      <c r="AN363" s="326"/>
      <c r="AO363" s="326"/>
      <c r="AP363" s="326"/>
      <c r="AQ363" s="326"/>
      <c r="AR363" s="326"/>
      <c r="AS363" s="326"/>
      <c r="AT363" s="326"/>
      <c r="AU363" s="326"/>
      <c r="AV363" s="326"/>
      <c r="AW363" s="326"/>
      <c r="AX363" s="326"/>
      <c r="AY363" s="326"/>
      <c r="AZ363" s="326"/>
      <c r="BA363" s="326"/>
      <c r="BB363" s="327"/>
    </row>
    <row r="364" spans="1:54" ht="15.75" customHeight="1" x14ac:dyDescent="0.25">
      <c r="A364" s="11">
        <f t="shared" si="1"/>
        <v>351</v>
      </c>
      <c r="B364" s="570" t="str">
        <f>'refer admin discharge'!B360</f>
        <v>x</v>
      </c>
      <c r="C364" s="327"/>
      <c r="D364" s="599" t="str">
        <f>'refer admin discharge'!D360</f>
        <v>xx</v>
      </c>
      <c r="E364" s="327"/>
      <c r="F364" s="600" t="str">
        <f>'refer admin discharge'!H360</f>
        <v>00/00/0000</v>
      </c>
      <c r="G364" s="327"/>
      <c r="H364" s="574"/>
      <c r="I364" s="327"/>
      <c r="J364" s="601"/>
      <c r="K364" s="327"/>
      <c r="L364" s="574"/>
      <c r="M364" s="327"/>
      <c r="N364" s="594"/>
      <c r="O364" s="327"/>
      <c r="P364" s="574"/>
      <c r="Q364" s="327"/>
      <c r="R364" s="594"/>
      <c r="S364" s="327"/>
      <c r="T364" s="574"/>
      <c r="U364" s="327"/>
      <c r="V364" s="595" t="str">
        <f>'refer admin discharge'!H365</f>
        <v>00/00/0000</v>
      </c>
      <c r="W364" s="327"/>
      <c r="X364" s="596"/>
      <c r="Y364" s="327"/>
      <c r="Z364" s="597"/>
      <c r="AA364" s="327"/>
      <c r="AB364" s="596"/>
      <c r="AC364" s="327"/>
      <c r="AD364" s="577"/>
      <c r="AE364" s="327"/>
      <c r="AF364" s="596"/>
      <c r="AG364" s="327"/>
      <c r="AH364" s="577"/>
      <c r="AI364" s="327"/>
      <c r="AJ364" s="596"/>
      <c r="AK364" s="327"/>
      <c r="AL364" s="598"/>
      <c r="AM364" s="326"/>
      <c r="AN364" s="326"/>
      <c r="AO364" s="326"/>
      <c r="AP364" s="326"/>
      <c r="AQ364" s="326"/>
      <c r="AR364" s="326"/>
      <c r="AS364" s="326"/>
      <c r="AT364" s="326"/>
      <c r="AU364" s="326"/>
      <c r="AV364" s="326"/>
      <c r="AW364" s="326"/>
      <c r="AX364" s="326"/>
      <c r="AY364" s="326"/>
      <c r="AZ364" s="326"/>
      <c r="BA364" s="326"/>
      <c r="BB364" s="327"/>
    </row>
    <row r="365" spans="1:54" ht="15.75" customHeight="1" x14ac:dyDescent="0.25">
      <c r="A365" s="11">
        <f t="shared" si="1"/>
        <v>352</v>
      </c>
      <c r="B365" s="504" t="str">
        <f>'refer admin discharge'!B361</f>
        <v>x</v>
      </c>
      <c r="C365" s="327"/>
      <c r="D365" s="505" t="str">
        <f>'refer admin discharge'!D361</f>
        <v>xx</v>
      </c>
      <c r="E365" s="327"/>
      <c r="F365" s="606" t="str">
        <f>'refer admin discharge'!H361</f>
        <v>00/00/0000</v>
      </c>
      <c r="G365" s="327"/>
      <c r="H365" s="594"/>
      <c r="I365" s="327"/>
      <c r="J365" s="605"/>
      <c r="K365" s="327"/>
      <c r="L365" s="594"/>
      <c r="M365" s="327"/>
      <c r="N365" s="575"/>
      <c r="O365" s="327"/>
      <c r="P365" s="594"/>
      <c r="Q365" s="327"/>
      <c r="R365" s="575"/>
      <c r="S365" s="327"/>
      <c r="T365" s="594"/>
      <c r="U365" s="327"/>
      <c r="V365" s="595" t="str">
        <f>'refer admin discharge'!H366</f>
        <v>00/00/0000</v>
      </c>
      <c r="W365" s="327"/>
      <c r="X365" s="577"/>
      <c r="Y365" s="327"/>
      <c r="Z365" s="604"/>
      <c r="AA365" s="327"/>
      <c r="AB365" s="577"/>
      <c r="AC365" s="327"/>
      <c r="AD365" s="576"/>
      <c r="AE365" s="327"/>
      <c r="AF365" s="577"/>
      <c r="AG365" s="327"/>
      <c r="AH365" s="576"/>
      <c r="AI365" s="327"/>
      <c r="AJ365" s="577"/>
      <c r="AK365" s="327"/>
      <c r="AL365" s="602"/>
      <c r="AM365" s="326"/>
      <c r="AN365" s="326"/>
      <c r="AO365" s="326"/>
      <c r="AP365" s="326"/>
      <c r="AQ365" s="326"/>
      <c r="AR365" s="326"/>
      <c r="AS365" s="326"/>
      <c r="AT365" s="326"/>
      <c r="AU365" s="326"/>
      <c r="AV365" s="326"/>
      <c r="AW365" s="326"/>
      <c r="AX365" s="326"/>
      <c r="AY365" s="326"/>
      <c r="AZ365" s="326"/>
      <c r="BA365" s="326"/>
      <c r="BB365" s="327"/>
    </row>
    <row r="366" spans="1:54" ht="15.75" customHeight="1" x14ac:dyDescent="0.25">
      <c r="A366" s="11">
        <f t="shared" si="1"/>
        <v>353</v>
      </c>
      <c r="B366" s="570" t="str">
        <f>'refer admin discharge'!B362</f>
        <v>x</v>
      </c>
      <c r="C366" s="327"/>
      <c r="D366" s="599" t="str">
        <f>'refer admin discharge'!D362</f>
        <v>xx</v>
      </c>
      <c r="E366" s="327"/>
      <c r="F366" s="600" t="str">
        <f>'refer admin discharge'!H362</f>
        <v>00/00/0000</v>
      </c>
      <c r="G366" s="327"/>
      <c r="H366" s="574"/>
      <c r="I366" s="327"/>
      <c r="J366" s="601"/>
      <c r="K366" s="327"/>
      <c r="L366" s="574"/>
      <c r="M366" s="327"/>
      <c r="N366" s="594"/>
      <c r="O366" s="327"/>
      <c r="P366" s="574"/>
      <c r="Q366" s="327"/>
      <c r="R366" s="594"/>
      <c r="S366" s="327"/>
      <c r="T366" s="574"/>
      <c r="U366" s="327"/>
      <c r="V366" s="595" t="str">
        <f>'refer admin discharge'!H367</f>
        <v>00/00/0000</v>
      </c>
      <c r="W366" s="327"/>
      <c r="X366" s="596"/>
      <c r="Y366" s="327"/>
      <c r="Z366" s="597"/>
      <c r="AA366" s="327"/>
      <c r="AB366" s="596"/>
      <c r="AC366" s="327"/>
      <c r="AD366" s="577"/>
      <c r="AE366" s="327"/>
      <c r="AF366" s="596"/>
      <c r="AG366" s="327"/>
      <c r="AH366" s="577"/>
      <c r="AI366" s="327"/>
      <c r="AJ366" s="596"/>
      <c r="AK366" s="327"/>
      <c r="AL366" s="598"/>
      <c r="AM366" s="326"/>
      <c r="AN366" s="326"/>
      <c r="AO366" s="326"/>
      <c r="AP366" s="326"/>
      <c r="AQ366" s="326"/>
      <c r="AR366" s="326"/>
      <c r="AS366" s="326"/>
      <c r="AT366" s="326"/>
      <c r="AU366" s="326"/>
      <c r="AV366" s="326"/>
      <c r="AW366" s="326"/>
      <c r="AX366" s="326"/>
      <c r="AY366" s="326"/>
      <c r="AZ366" s="326"/>
      <c r="BA366" s="326"/>
      <c r="BB366" s="327"/>
    </row>
    <row r="367" spans="1:54" ht="15.75" customHeight="1" x14ac:dyDescent="0.25">
      <c r="A367" s="11">
        <f t="shared" si="1"/>
        <v>354</v>
      </c>
      <c r="B367" s="504" t="str">
        <f>'refer admin discharge'!B363</f>
        <v>x</v>
      </c>
      <c r="C367" s="327"/>
      <c r="D367" s="505" t="str">
        <f>'refer admin discharge'!D363</f>
        <v>xx</v>
      </c>
      <c r="E367" s="327"/>
      <c r="F367" s="606" t="str">
        <f>'refer admin discharge'!H363</f>
        <v>00/00/0000</v>
      </c>
      <c r="G367" s="327"/>
      <c r="H367" s="594"/>
      <c r="I367" s="327"/>
      <c r="J367" s="605"/>
      <c r="K367" s="327"/>
      <c r="L367" s="594"/>
      <c r="M367" s="327"/>
      <c r="N367" s="575"/>
      <c r="O367" s="327"/>
      <c r="P367" s="594"/>
      <c r="Q367" s="327"/>
      <c r="R367" s="575"/>
      <c r="S367" s="327"/>
      <c r="T367" s="594"/>
      <c r="U367" s="327"/>
      <c r="V367" s="595" t="str">
        <f>'refer admin discharge'!H368</f>
        <v>00/00/0000</v>
      </c>
      <c r="W367" s="327"/>
      <c r="X367" s="577"/>
      <c r="Y367" s="327"/>
      <c r="Z367" s="604"/>
      <c r="AA367" s="327"/>
      <c r="AB367" s="577"/>
      <c r="AC367" s="327"/>
      <c r="AD367" s="576"/>
      <c r="AE367" s="327"/>
      <c r="AF367" s="577"/>
      <c r="AG367" s="327"/>
      <c r="AH367" s="576"/>
      <c r="AI367" s="327"/>
      <c r="AJ367" s="577"/>
      <c r="AK367" s="327"/>
      <c r="AL367" s="602"/>
      <c r="AM367" s="326"/>
      <c r="AN367" s="326"/>
      <c r="AO367" s="326"/>
      <c r="AP367" s="326"/>
      <c r="AQ367" s="326"/>
      <c r="AR367" s="326"/>
      <c r="AS367" s="326"/>
      <c r="AT367" s="326"/>
      <c r="AU367" s="326"/>
      <c r="AV367" s="326"/>
      <c r="AW367" s="326"/>
      <c r="AX367" s="326"/>
      <c r="AY367" s="326"/>
      <c r="AZ367" s="326"/>
      <c r="BA367" s="326"/>
      <c r="BB367" s="327"/>
    </row>
    <row r="368" spans="1:54" ht="15.75" customHeight="1" x14ac:dyDescent="0.25">
      <c r="A368" s="11">
        <f t="shared" si="1"/>
        <v>355</v>
      </c>
      <c r="B368" s="570" t="str">
        <f>'refer admin discharge'!B364</f>
        <v>x</v>
      </c>
      <c r="C368" s="327"/>
      <c r="D368" s="599" t="str">
        <f>'refer admin discharge'!D364</f>
        <v>xx</v>
      </c>
      <c r="E368" s="327"/>
      <c r="F368" s="600" t="str">
        <f>'refer admin discharge'!H364</f>
        <v>00/00/0000</v>
      </c>
      <c r="G368" s="327"/>
      <c r="H368" s="574"/>
      <c r="I368" s="327"/>
      <c r="J368" s="601"/>
      <c r="K368" s="327"/>
      <c r="L368" s="574"/>
      <c r="M368" s="327"/>
      <c r="N368" s="594"/>
      <c r="O368" s="327"/>
      <c r="P368" s="574"/>
      <c r="Q368" s="327"/>
      <c r="R368" s="594"/>
      <c r="S368" s="327"/>
      <c r="T368" s="574"/>
      <c r="U368" s="327"/>
      <c r="V368" s="595" t="str">
        <f>'refer admin discharge'!H369</f>
        <v>00/00/0000</v>
      </c>
      <c r="W368" s="327"/>
      <c r="X368" s="596"/>
      <c r="Y368" s="327"/>
      <c r="Z368" s="597"/>
      <c r="AA368" s="327"/>
      <c r="AB368" s="596"/>
      <c r="AC368" s="327"/>
      <c r="AD368" s="577"/>
      <c r="AE368" s="327"/>
      <c r="AF368" s="596"/>
      <c r="AG368" s="327"/>
      <c r="AH368" s="577"/>
      <c r="AI368" s="327"/>
      <c r="AJ368" s="596"/>
      <c r="AK368" s="327"/>
      <c r="AL368" s="598"/>
      <c r="AM368" s="326"/>
      <c r="AN368" s="326"/>
      <c r="AO368" s="326"/>
      <c r="AP368" s="326"/>
      <c r="AQ368" s="326"/>
      <c r="AR368" s="326"/>
      <c r="AS368" s="326"/>
      <c r="AT368" s="326"/>
      <c r="AU368" s="326"/>
      <c r="AV368" s="326"/>
      <c r="AW368" s="326"/>
      <c r="AX368" s="326"/>
      <c r="AY368" s="326"/>
      <c r="AZ368" s="326"/>
      <c r="BA368" s="326"/>
      <c r="BB368" s="327"/>
    </row>
    <row r="369" spans="1:54" ht="15.75" customHeight="1" x14ac:dyDescent="0.25">
      <c r="A369" s="11">
        <f t="shared" si="1"/>
        <v>356</v>
      </c>
      <c r="B369" s="504" t="str">
        <f>'refer admin discharge'!B365</f>
        <v>x</v>
      </c>
      <c r="C369" s="327"/>
      <c r="D369" s="505" t="str">
        <f>'refer admin discharge'!D365</f>
        <v>xx</v>
      </c>
      <c r="E369" s="327"/>
      <c r="F369" s="606" t="str">
        <f>'refer admin discharge'!H365</f>
        <v>00/00/0000</v>
      </c>
      <c r="G369" s="327"/>
      <c r="H369" s="594"/>
      <c r="I369" s="327"/>
      <c r="J369" s="605"/>
      <c r="K369" s="327"/>
      <c r="L369" s="594"/>
      <c r="M369" s="327"/>
      <c r="N369" s="575"/>
      <c r="O369" s="327"/>
      <c r="P369" s="594"/>
      <c r="Q369" s="327"/>
      <c r="R369" s="575"/>
      <c r="S369" s="327"/>
      <c r="T369" s="594"/>
      <c r="U369" s="327"/>
      <c r="V369" s="595" t="str">
        <f>'refer admin discharge'!H370</f>
        <v>00/00/0000</v>
      </c>
      <c r="W369" s="327"/>
      <c r="X369" s="577"/>
      <c r="Y369" s="327"/>
      <c r="Z369" s="604"/>
      <c r="AA369" s="327"/>
      <c r="AB369" s="577"/>
      <c r="AC369" s="327"/>
      <c r="AD369" s="576"/>
      <c r="AE369" s="327"/>
      <c r="AF369" s="577"/>
      <c r="AG369" s="327"/>
      <c r="AH369" s="576"/>
      <c r="AI369" s="327"/>
      <c r="AJ369" s="577"/>
      <c r="AK369" s="327"/>
      <c r="AL369" s="602"/>
      <c r="AM369" s="326"/>
      <c r="AN369" s="326"/>
      <c r="AO369" s="326"/>
      <c r="AP369" s="326"/>
      <c r="AQ369" s="326"/>
      <c r="AR369" s="326"/>
      <c r="AS369" s="326"/>
      <c r="AT369" s="326"/>
      <c r="AU369" s="326"/>
      <c r="AV369" s="326"/>
      <c r="AW369" s="326"/>
      <c r="AX369" s="326"/>
      <c r="AY369" s="326"/>
      <c r="AZ369" s="326"/>
      <c r="BA369" s="326"/>
      <c r="BB369" s="327"/>
    </row>
    <row r="370" spans="1:54" ht="15.75" customHeight="1" x14ac:dyDescent="0.25">
      <c r="A370" s="11">
        <f t="shared" si="1"/>
        <v>357</v>
      </c>
      <c r="B370" s="570" t="str">
        <f>'refer admin discharge'!B366</f>
        <v>x</v>
      </c>
      <c r="C370" s="327"/>
      <c r="D370" s="599" t="str">
        <f>'refer admin discharge'!D366</f>
        <v>xx</v>
      </c>
      <c r="E370" s="327"/>
      <c r="F370" s="600" t="str">
        <f>'refer admin discharge'!H366</f>
        <v>00/00/0000</v>
      </c>
      <c r="G370" s="327"/>
      <c r="H370" s="574"/>
      <c r="I370" s="327"/>
      <c r="J370" s="601"/>
      <c r="K370" s="327"/>
      <c r="L370" s="574"/>
      <c r="M370" s="327"/>
      <c r="N370" s="594"/>
      <c r="O370" s="327"/>
      <c r="P370" s="574"/>
      <c r="Q370" s="327"/>
      <c r="R370" s="594"/>
      <c r="S370" s="327"/>
      <c r="T370" s="574"/>
      <c r="U370" s="327"/>
      <c r="V370" s="595" t="str">
        <f>'refer admin discharge'!H371</f>
        <v>00/00/0000</v>
      </c>
      <c r="W370" s="327"/>
      <c r="X370" s="596"/>
      <c r="Y370" s="327"/>
      <c r="Z370" s="597"/>
      <c r="AA370" s="327"/>
      <c r="AB370" s="596"/>
      <c r="AC370" s="327"/>
      <c r="AD370" s="577"/>
      <c r="AE370" s="327"/>
      <c r="AF370" s="596"/>
      <c r="AG370" s="327"/>
      <c r="AH370" s="577"/>
      <c r="AI370" s="327"/>
      <c r="AJ370" s="596"/>
      <c r="AK370" s="327"/>
      <c r="AL370" s="598"/>
      <c r="AM370" s="326"/>
      <c r="AN370" s="326"/>
      <c r="AO370" s="326"/>
      <c r="AP370" s="326"/>
      <c r="AQ370" s="326"/>
      <c r="AR370" s="326"/>
      <c r="AS370" s="326"/>
      <c r="AT370" s="326"/>
      <c r="AU370" s="326"/>
      <c r="AV370" s="326"/>
      <c r="AW370" s="326"/>
      <c r="AX370" s="326"/>
      <c r="AY370" s="326"/>
      <c r="AZ370" s="326"/>
      <c r="BA370" s="326"/>
      <c r="BB370" s="327"/>
    </row>
    <row r="371" spans="1:54" ht="15.75" customHeight="1" x14ac:dyDescent="0.25">
      <c r="A371" s="11">
        <f t="shared" si="1"/>
        <v>358</v>
      </c>
      <c r="B371" s="504" t="str">
        <f>'refer admin discharge'!B367</f>
        <v>x</v>
      </c>
      <c r="C371" s="327"/>
      <c r="D371" s="505" t="str">
        <f>'refer admin discharge'!D367</f>
        <v>xx</v>
      </c>
      <c r="E371" s="327"/>
      <c r="F371" s="606" t="str">
        <f>'refer admin discharge'!H367</f>
        <v>00/00/0000</v>
      </c>
      <c r="G371" s="327"/>
      <c r="H371" s="594"/>
      <c r="I371" s="327"/>
      <c r="J371" s="605"/>
      <c r="K371" s="327"/>
      <c r="L371" s="594"/>
      <c r="M371" s="327"/>
      <c r="N371" s="575"/>
      <c r="O371" s="327"/>
      <c r="P371" s="594"/>
      <c r="Q371" s="327"/>
      <c r="R371" s="575"/>
      <c r="S371" s="327"/>
      <c r="T371" s="594"/>
      <c r="U371" s="327"/>
      <c r="V371" s="595" t="str">
        <f>'refer admin discharge'!H372</f>
        <v>00/00/0000</v>
      </c>
      <c r="W371" s="327"/>
      <c r="X371" s="577"/>
      <c r="Y371" s="327"/>
      <c r="Z371" s="604"/>
      <c r="AA371" s="327"/>
      <c r="AB371" s="577"/>
      <c r="AC371" s="327"/>
      <c r="AD371" s="576"/>
      <c r="AE371" s="327"/>
      <c r="AF371" s="577"/>
      <c r="AG371" s="327"/>
      <c r="AH371" s="576"/>
      <c r="AI371" s="327"/>
      <c r="AJ371" s="577"/>
      <c r="AK371" s="327"/>
      <c r="AL371" s="602"/>
      <c r="AM371" s="326"/>
      <c r="AN371" s="326"/>
      <c r="AO371" s="326"/>
      <c r="AP371" s="326"/>
      <c r="AQ371" s="326"/>
      <c r="AR371" s="326"/>
      <c r="AS371" s="326"/>
      <c r="AT371" s="326"/>
      <c r="AU371" s="326"/>
      <c r="AV371" s="326"/>
      <c r="AW371" s="326"/>
      <c r="AX371" s="326"/>
      <c r="AY371" s="326"/>
      <c r="AZ371" s="326"/>
      <c r="BA371" s="326"/>
      <c r="BB371" s="327"/>
    </row>
    <row r="372" spans="1:54" ht="15.75" customHeight="1" x14ac:dyDescent="0.25">
      <c r="A372" s="11">
        <f t="shared" si="1"/>
        <v>359</v>
      </c>
      <c r="B372" s="570" t="str">
        <f>'refer admin discharge'!B368</f>
        <v>x</v>
      </c>
      <c r="C372" s="327"/>
      <c r="D372" s="599" t="str">
        <f>'refer admin discharge'!D368</f>
        <v>xx</v>
      </c>
      <c r="E372" s="327"/>
      <c r="F372" s="600" t="str">
        <f>'refer admin discharge'!H368</f>
        <v>00/00/0000</v>
      </c>
      <c r="G372" s="327"/>
      <c r="H372" s="574"/>
      <c r="I372" s="327"/>
      <c r="J372" s="601"/>
      <c r="K372" s="327"/>
      <c r="L372" s="574"/>
      <c r="M372" s="327"/>
      <c r="N372" s="594"/>
      <c r="O372" s="327"/>
      <c r="P372" s="574"/>
      <c r="Q372" s="327"/>
      <c r="R372" s="594"/>
      <c r="S372" s="327"/>
      <c r="T372" s="574"/>
      <c r="U372" s="327"/>
      <c r="V372" s="595" t="str">
        <f>'refer admin discharge'!H373</f>
        <v>00/00/0000</v>
      </c>
      <c r="W372" s="327"/>
      <c r="X372" s="596"/>
      <c r="Y372" s="327"/>
      <c r="Z372" s="597"/>
      <c r="AA372" s="327"/>
      <c r="AB372" s="596"/>
      <c r="AC372" s="327"/>
      <c r="AD372" s="577"/>
      <c r="AE372" s="327"/>
      <c r="AF372" s="596"/>
      <c r="AG372" s="327"/>
      <c r="AH372" s="577"/>
      <c r="AI372" s="327"/>
      <c r="AJ372" s="596"/>
      <c r="AK372" s="327"/>
      <c r="AL372" s="598"/>
      <c r="AM372" s="326"/>
      <c r="AN372" s="326"/>
      <c r="AO372" s="326"/>
      <c r="AP372" s="326"/>
      <c r="AQ372" s="326"/>
      <c r="AR372" s="326"/>
      <c r="AS372" s="326"/>
      <c r="AT372" s="326"/>
      <c r="AU372" s="326"/>
      <c r="AV372" s="326"/>
      <c r="AW372" s="326"/>
      <c r="AX372" s="326"/>
      <c r="AY372" s="326"/>
      <c r="AZ372" s="326"/>
      <c r="BA372" s="326"/>
      <c r="BB372" s="327"/>
    </row>
    <row r="373" spans="1:54" ht="15.75" customHeight="1" x14ac:dyDescent="0.25">
      <c r="A373" s="11">
        <f t="shared" si="1"/>
        <v>360</v>
      </c>
      <c r="B373" s="504" t="str">
        <f>'refer admin discharge'!B369</f>
        <v>x</v>
      </c>
      <c r="C373" s="327"/>
      <c r="D373" s="505" t="str">
        <f>'refer admin discharge'!D369</f>
        <v>xx</v>
      </c>
      <c r="E373" s="327"/>
      <c r="F373" s="606" t="str">
        <f>'refer admin discharge'!H369</f>
        <v>00/00/0000</v>
      </c>
      <c r="G373" s="327"/>
      <c r="H373" s="594"/>
      <c r="I373" s="327"/>
      <c r="J373" s="605"/>
      <c r="K373" s="327"/>
      <c r="L373" s="594"/>
      <c r="M373" s="327"/>
      <c r="N373" s="575"/>
      <c r="O373" s="327"/>
      <c r="P373" s="594"/>
      <c r="Q373" s="327"/>
      <c r="R373" s="575"/>
      <c r="S373" s="327"/>
      <c r="T373" s="594"/>
      <c r="U373" s="327"/>
      <c r="V373" s="595" t="str">
        <f>'refer admin discharge'!H374</f>
        <v>00/00/0000</v>
      </c>
      <c r="W373" s="327"/>
      <c r="X373" s="577"/>
      <c r="Y373" s="327"/>
      <c r="Z373" s="604"/>
      <c r="AA373" s="327"/>
      <c r="AB373" s="577"/>
      <c r="AC373" s="327"/>
      <c r="AD373" s="576"/>
      <c r="AE373" s="327"/>
      <c r="AF373" s="577"/>
      <c r="AG373" s="327"/>
      <c r="AH373" s="576"/>
      <c r="AI373" s="327"/>
      <c r="AJ373" s="577"/>
      <c r="AK373" s="327"/>
      <c r="AL373" s="602"/>
      <c r="AM373" s="326"/>
      <c r="AN373" s="326"/>
      <c r="AO373" s="326"/>
      <c r="AP373" s="326"/>
      <c r="AQ373" s="326"/>
      <c r="AR373" s="326"/>
      <c r="AS373" s="326"/>
      <c r="AT373" s="326"/>
      <c r="AU373" s="326"/>
      <c r="AV373" s="326"/>
      <c r="AW373" s="326"/>
      <c r="AX373" s="326"/>
      <c r="AY373" s="326"/>
      <c r="AZ373" s="326"/>
      <c r="BA373" s="326"/>
      <c r="BB373" s="327"/>
    </row>
    <row r="374" spans="1:54" ht="15.75" customHeight="1" x14ac:dyDescent="0.25">
      <c r="A374" s="11">
        <f t="shared" si="1"/>
        <v>361</v>
      </c>
      <c r="B374" s="570" t="str">
        <f>'refer admin discharge'!B370</f>
        <v>x</v>
      </c>
      <c r="C374" s="327"/>
      <c r="D374" s="599" t="str">
        <f>'refer admin discharge'!D370</f>
        <v>xx</v>
      </c>
      <c r="E374" s="327"/>
      <c r="F374" s="600" t="str">
        <f>'refer admin discharge'!H370</f>
        <v>00/00/0000</v>
      </c>
      <c r="G374" s="327"/>
      <c r="H374" s="574"/>
      <c r="I374" s="327"/>
      <c r="J374" s="601"/>
      <c r="K374" s="327"/>
      <c r="L374" s="574"/>
      <c r="M374" s="327"/>
      <c r="N374" s="594"/>
      <c r="O374" s="327"/>
      <c r="P374" s="574"/>
      <c r="Q374" s="327"/>
      <c r="R374" s="594"/>
      <c r="S374" s="327"/>
      <c r="T374" s="574"/>
      <c r="U374" s="327"/>
      <c r="V374" s="595" t="str">
        <f>'refer admin discharge'!H375</f>
        <v>00/00/0000</v>
      </c>
      <c r="W374" s="327"/>
      <c r="X374" s="596"/>
      <c r="Y374" s="327"/>
      <c r="Z374" s="597"/>
      <c r="AA374" s="327"/>
      <c r="AB374" s="596"/>
      <c r="AC374" s="327"/>
      <c r="AD374" s="577"/>
      <c r="AE374" s="327"/>
      <c r="AF374" s="596"/>
      <c r="AG374" s="327"/>
      <c r="AH374" s="577"/>
      <c r="AI374" s="327"/>
      <c r="AJ374" s="596"/>
      <c r="AK374" s="327"/>
      <c r="AL374" s="598"/>
      <c r="AM374" s="326"/>
      <c r="AN374" s="326"/>
      <c r="AO374" s="326"/>
      <c r="AP374" s="326"/>
      <c r="AQ374" s="326"/>
      <c r="AR374" s="326"/>
      <c r="AS374" s="326"/>
      <c r="AT374" s="326"/>
      <c r="AU374" s="326"/>
      <c r="AV374" s="326"/>
      <c r="AW374" s="326"/>
      <c r="AX374" s="326"/>
      <c r="AY374" s="326"/>
      <c r="AZ374" s="326"/>
      <c r="BA374" s="326"/>
      <c r="BB374" s="327"/>
    </row>
    <row r="375" spans="1:54" ht="15.75" customHeight="1" x14ac:dyDescent="0.25">
      <c r="A375" s="11">
        <f t="shared" si="1"/>
        <v>362</v>
      </c>
      <c r="B375" s="504" t="str">
        <f>'refer admin discharge'!B371</f>
        <v>x</v>
      </c>
      <c r="C375" s="327"/>
      <c r="D375" s="505" t="str">
        <f>'refer admin discharge'!D371</f>
        <v>xx</v>
      </c>
      <c r="E375" s="327"/>
      <c r="F375" s="606" t="str">
        <f>'refer admin discharge'!H371</f>
        <v>00/00/0000</v>
      </c>
      <c r="G375" s="327"/>
      <c r="H375" s="594"/>
      <c r="I375" s="327"/>
      <c r="J375" s="605"/>
      <c r="K375" s="327"/>
      <c r="L375" s="594"/>
      <c r="M375" s="327"/>
      <c r="N375" s="575"/>
      <c r="O375" s="327"/>
      <c r="P375" s="594"/>
      <c r="Q375" s="327"/>
      <c r="R375" s="575"/>
      <c r="S375" s="327"/>
      <c r="T375" s="594"/>
      <c r="U375" s="327"/>
      <c r="V375" s="595" t="str">
        <f>'refer admin discharge'!H376</f>
        <v>00/00/0000</v>
      </c>
      <c r="W375" s="327"/>
      <c r="X375" s="577"/>
      <c r="Y375" s="327"/>
      <c r="Z375" s="604"/>
      <c r="AA375" s="327"/>
      <c r="AB375" s="577"/>
      <c r="AC375" s="327"/>
      <c r="AD375" s="576"/>
      <c r="AE375" s="327"/>
      <c r="AF375" s="577"/>
      <c r="AG375" s="327"/>
      <c r="AH375" s="576"/>
      <c r="AI375" s="327"/>
      <c r="AJ375" s="577"/>
      <c r="AK375" s="327"/>
      <c r="AL375" s="602"/>
      <c r="AM375" s="326"/>
      <c r="AN375" s="326"/>
      <c r="AO375" s="326"/>
      <c r="AP375" s="326"/>
      <c r="AQ375" s="326"/>
      <c r="AR375" s="326"/>
      <c r="AS375" s="326"/>
      <c r="AT375" s="326"/>
      <c r="AU375" s="326"/>
      <c r="AV375" s="326"/>
      <c r="AW375" s="326"/>
      <c r="AX375" s="326"/>
      <c r="AY375" s="326"/>
      <c r="AZ375" s="326"/>
      <c r="BA375" s="326"/>
      <c r="BB375" s="327"/>
    </row>
    <row r="376" spans="1:54" ht="15.75" customHeight="1" x14ac:dyDescent="0.25">
      <c r="A376" s="11">
        <f t="shared" si="1"/>
        <v>363</v>
      </c>
      <c r="B376" s="570" t="str">
        <f>'refer admin discharge'!B372</f>
        <v>x</v>
      </c>
      <c r="C376" s="327"/>
      <c r="D376" s="599" t="str">
        <f>'refer admin discharge'!D372</f>
        <v>xx</v>
      </c>
      <c r="E376" s="327"/>
      <c r="F376" s="600" t="str">
        <f>'refer admin discharge'!H372</f>
        <v>00/00/0000</v>
      </c>
      <c r="G376" s="327"/>
      <c r="H376" s="574"/>
      <c r="I376" s="327"/>
      <c r="J376" s="601"/>
      <c r="K376" s="327"/>
      <c r="L376" s="574"/>
      <c r="M376" s="327"/>
      <c r="N376" s="594"/>
      <c r="O376" s="327"/>
      <c r="P376" s="574"/>
      <c r="Q376" s="327"/>
      <c r="R376" s="594"/>
      <c r="S376" s="327"/>
      <c r="T376" s="574"/>
      <c r="U376" s="327"/>
      <c r="V376" s="595" t="str">
        <f>'refer admin discharge'!H377</f>
        <v>00/00/0000</v>
      </c>
      <c r="W376" s="327"/>
      <c r="X376" s="596"/>
      <c r="Y376" s="327"/>
      <c r="Z376" s="597"/>
      <c r="AA376" s="327"/>
      <c r="AB376" s="596"/>
      <c r="AC376" s="327"/>
      <c r="AD376" s="577"/>
      <c r="AE376" s="327"/>
      <c r="AF376" s="596"/>
      <c r="AG376" s="327"/>
      <c r="AH376" s="577"/>
      <c r="AI376" s="327"/>
      <c r="AJ376" s="596"/>
      <c r="AK376" s="327"/>
      <c r="AL376" s="598"/>
      <c r="AM376" s="326"/>
      <c r="AN376" s="326"/>
      <c r="AO376" s="326"/>
      <c r="AP376" s="326"/>
      <c r="AQ376" s="326"/>
      <c r="AR376" s="326"/>
      <c r="AS376" s="326"/>
      <c r="AT376" s="326"/>
      <c r="AU376" s="326"/>
      <c r="AV376" s="326"/>
      <c r="AW376" s="326"/>
      <c r="AX376" s="326"/>
      <c r="AY376" s="326"/>
      <c r="AZ376" s="326"/>
      <c r="BA376" s="326"/>
      <c r="BB376" s="327"/>
    </row>
    <row r="377" spans="1:54" ht="15.75" customHeight="1" x14ac:dyDescent="0.25">
      <c r="A377" s="11">
        <f t="shared" si="1"/>
        <v>364</v>
      </c>
      <c r="B377" s="504" t="str">
        <f>'refer admin discharge'!B373</f>
        <v>x</v>
      </c>
      <c r="C377" s="327"/>
      <c r="D377" s="505" t="str">
        <f>'refer admin discharge'!D373</f>
        <v>xx</v>
      </c>
      <c r="E377" s="327"/>
      <c r="F377" s="606" t="str">
        <f>'refer admin discharge'!H373</f>
        <v>00/00/0000</v>
      </c>
      <c r="G377" s="327"/>
      <c r="H377" s="594"/>
      <c r="I377" s="327"/>
      <c r="J377" s="605"/>
      <c r="K377" s="327"/>
      <c r="L377" s="594"/>
      <c r="M377" s="327"/>
      <c r="N377" s="575"/>
      <c r="O377" s="327"/>
      <c r="P377" s="594"/>
      <c r="Q377" s="327"/>
      <c r="R377" s="575"/>
      <c r="S377" s="327"/>
      <c r="T377" s="594"/>
      <c r="U377" s="327"/>
      <c r="V377" s="595" t="str">
        <f>'refer admin discharge'!H378</f>
        <v>00/00/0000</v>
      </c>
      <c r="W377" s="327"/>
      <c r="X377" s="577"/>
      <c r="Y377" s="327"/>
      <c r="Z377" s="604"/>
      <c r="AA377" s="327"/>
      <c r="AB377" s="577"/>
      <c r="AC377" s="327"/>
      <c r="AD377" s="576"/>
      <c r="AE377" s="327"/>
      <c r="AF377" s="577"/>
      <c r="AG377" s="327"/>
      <c r="AH377" s="576"/>
      <c r="AI377" s="327"/>
      <c r="AJ377" s="577"/>
      <c r="AK377" s="327"/>
      <c r="AL377" s="602"/>
      <c r="AM377" s="326"/>
      <c r="AN377" s="326"/>
      <c r="AO377" s="326"/>
      <c r="AP377" s="326"/>
      <c r="AQ377" s="326"/>
      <c r="AR377" s="326"/>
      <c r="AS377" s="326"/>
      <c r="AT377" s="326"/>
      <c r="AU377" s="326"/>
      <c r="AV377" s="326"/>
      <c r="AW377" s="326"/>
      <c r="AX377" s="326"/>
      <c r="AY377" s="326"/>
      <c r="AZ377" s="326"/>
      <c r="BA377" s="326"/>
      <c r="BB377" s="327"/>
    </row>
    <row r="378" spans="1:54" ht="15.75" customHeight="1" x14ac:dyDescent="0.25">
      <c r="A378" s="11">
        <f t="shared" si="1"/>
        <v>365</v>
      </c>
      <c r="B378" s="570" t="str">
        <f>'refer admin discharge'!B374</f>
        <v>x</v>
      </c>
      <c r="C378" s="327"/>
      <c r="D378" s="599" t="str">
        <f>'refer admin discharge'!D374</f>
        <v>xx</v>
      </c>
      <c r="E378" s="327"/>
      <c r="F378" s="600" t="str">
        <f>'refer admin discharge'!H374</f>
        <v>00/00/0000</v>
      </c>
      <c r="G378" s="327"/>
      <c r="H378" s="574"/>
      <c r="I378" s="327"/>
      <c r="J378" s="601"/>
      <c r="K378" s="327"/>
      <c r="L378" s="574"/>
      <c r="M378" s="327"/>
      <c r="N378" s="594"/>
      <c r="O378" s="327"/>
      <c r="P378" s="574"/>
      <c r="Q378" s="327"/>
      <c r="R378" s="594"/>
      <c r="S378" s="327"/>
      <c r="T378" s="574"/>
      <c r="U378" s="327"/>
      <c r="V378" s="595" t="str">
        <f>'refer admin discharge'!H379</f>
        <v>00/00/0000</v>
      </c>
      <c r="W378" s="327"/>
      <c r="X378" s="596"/>
      <c r="Y378" s="327"/>
      <c r="Z378" s="597"/>
      <c r="AA378" s="327"/>
      <c r="AB378" s="596"/>
      <c r="AC378" s="327"/>
      <c r="AD378" s="577"/>
      <c r="AE378" s="327"/>
      <c r="AF378" s="596"/>
      <c r="AG378" s="327"/>
      <c r="AH378" s="577"/>
      <c r="AI378" s="327"/>
      <c r="AJ378" s="596"/>
      <c r="AK378" s="327"/>
      <c r="AL378" s="598"/>
      <c r="AM378" s="326"/>
      <c r="AN378" s="326"/>
      <c r="AO378" s="326"/>
      <c r="AP378" s="326"/>
      <c r="AQ378" s="326"/>
      <c r="AR378" s="326"/>
      <c r="AS378" s="326"/>
      <c r="AT378" s="326"/>
      <c r="AU378" s="326"/>
      <c r="AV378" s="326"/>
      <c r="AW378" s="326"/>
      <c r="AX378" s="326"/>
      <c r="AY378" s="326"/>
      <c r="AZ378" s="326"/>
      <c r="BA378" s="326"/>
      <c r="BB378" s="327"/>
    </row>
    <row r="379" spans="1:54" ht="15.75" customHeight="1" x14ac:dyDescent="0.25">
      <c r="A379" s="11">
        <f t="shared" si="1"/>
        <v>366</v>
      </c>
      <c r="B379" s="504" t="str">
        <f>'refer admin discharge'!B375</f>
        <v>x</v>
      </c>
      <c r="C379" s="327"/>
      <c r="D379" s="505" t="str">
        <f>'refer admin discharge'!D375</f>
        <v>xx</v>
      </c>
      <c r="E379" s="327"/>
      <c r="F379" s="606" t="str">
        <f>'refer admin discharge'!H375</f>
        <v>00/00/0000</v>
      </c>
      <c r="G379" s="327"/>
      <c r="H379" s="594"/>
      <c r="I379" s="327"/>
      <c r="J379" s="605"/>
      <c r="K379" s="327"/>
      <c r="L379" s="594"/>
      <c r="M379" s="327"/>
      <c r="N379" s="575"/>
      <c r="O379" s="327"/>
      <c r="P379" s="594"/>
      <c r="Q379" s="327"/>
      <c r="R379" s="575"/>
      <c r="S379" s="327"/>
      <c r="T379" s="594"/>
      <c r="U379" s="327"/>
      <c r="V379" s="595" t="str">
        <f>'refer admin discharge'!H380</f>
        <v>00/00/0000</v>
      </c>
      <c r="W379" s="327"/>
      <c r="X379" s="577"/>
      <c r="Y379" s="327"/>
      <c r="Z379" s="604"/>
      <c r="AA379" s="327"/>
      <c r="AB379" s="577"/>
      <c r="AC379" s="327"/>
      <c r="AD379" s="576"/>
      <c r="AE379" s="327"/>
      <c r="AF379" s="577"/>
      <c r="AG379" s="327"/>
      <c r="AH379" s="576"/>
      <c r="AI379" s="327"/>
      <c r="AJ379" s="577"/>
      <c r="AK379" s="327"/>
      <c r="AL379" s="602"/>
      <c r="AM379" s="326"/>
      <c r="AN379" s="326"/>
      <c r="AO379" s="326"/>
      <c r="AP379" s="326"/>
      <c r="AQ379" s="326"/>
      <c r="AR379" s="326"/>
      <c r="AS379" s="326"/>
      <c r="AT379" s="326"/>
      <c r="AU379" s="326"/>
      <c r="AV379" s="326"/>
      <c r="AW379" s="326"/>
      <c r="AX379" s="326"/>
      <c r="AY379" s="326"/>
      <c r="AZ379" s="326"/>
      <c r="BA379" s="326"/>
      <c r="BB379" s="327"/>
    </row>
    <row r="380" spans="1:54" ht="15.75" customHeight="1" x14ac:dyDescent="0.25">
      <c r="A380" s="11">
        <f t="shared" si="1"/>
        <v>367</v>
      </c>
      <c r="B380" s="570" t="str">
        <f>'refer admin discharge'!B376</f>
        <v>x</v>
      </c>
      <c r="C380" s="327"/>
      <c r="D380" s="599" t="str">
        <f>'refer admin discharge'!D376</f>
        <v>xx</v>
      </c>
      <c r="E380" s="327"/>
      <c r="F380" s="600" t="str">
        <f>'refer admin discharge'!H376</f>
        <v>00/00/0000</v>
      </c>
      <c r="G380" s="327"/>
      <c r="H380" s="574"/>
      <c r="I380" s="327"/>
      <c r="J380" s="601"/>
      <c r="K380" s="327"/>
      <c r="L380" s="574"/>
      <c r="M380" s="327"/>
      <c r="N380" s="594"/>
      <c r="O380" s="327"/>
      <c r="P380" s="574"/>
      <c r="Q380" s="327"/>
      <c r="R380" s="594"/>
      <c r="S380" s="327"/>
      <c r="T380" s="574"/>
      <c r="U380" s="327"/>
      <c r="V380" s="595" t="str">
        <f>'refer admin discharge'!H381</f>
        <v>00/00/0000</v>
      </c>
      <c r="W380" s="327"/>
      <c r="X380" s="596"/>
      <c r="Y380" s="327"/>
      <c r="Z380" s="597"/>
      <c r="AA380" s="327"/>
      <c r="AB380" s="596"/>
      <c r="AC380" s="327"/>
      <c r="AD380" s="577"/>
      <c r="AE380" s="327"/>
      <c r="AF380" s="596"/>
      <c r="AG380" s="327"/>
      <c r="AH380" s="577"/>
      <c r="AI380" s="327"/>
      <c r="AJ380" s="596"/>
      <c r="AK380" s="327"/>
      <c r="AL380" s="598"/>
      <c r="AM380" s="326"/>
      <c r="AN380" s="326"/>
      <c r="AO380" s="326"/>
      <c r="AP380" s="326"/>
      <c r="AQ380" s="326"/>
      <c r="AR380" s="326"/>
      <c r="AS380" s="326"/>
      <c r="AT380" s="326"/>
      <c r="AU380" s="326"/>
      <c r="AV380" s="326"/>
      <c r="AW380" s="326"/>
      <c r="AX380" s="326"/>
      <c r="AY380" s="326"/>
      <c r="AZ380" s="326"/>
      <c r="BA380" s="326"/>
      <c r="BB380" s="327"/>
    </row>
    <row r="381" spans="1:54" ht="15.75" customHeight="1" x14ac:dyDescent="0.25">
      <c r="A381" s="11">
        <f t="shared" si="1"/>
        <v>368</v>
      </c>
      <c r="B381" s="504" t="str">
        <f>'refer admin discharge'!B377</f>
        <v>x</v>
      </c>
      <c r="C381" s="327"/>
      <c r="D381" s="505" t="str">
        <f>'refer admin discharge'!D377</f>
        <v>xx</v>
      </c>
      <c r="E381" s="327"/>
      <c r="F381" s="606" t="str">
        <f>'refer admin discharge'!H377</f>
        <v>00/00/0000</v>
      </c>
      <c r="G381" s="327"/>
      <c r="H381" s="594"/>
      <c r="I381" s="327"/>
      <c r="J381" s="605"/>
      <c r="K381" s="327"/>
      <c r="L381" s="594"/>
      <c r="M381" s="327"/>
      <c r="N381" s="575"/>
      <c r="O381" s="327"/>
      <c r="P381" s="594"/>
      <c r="Q381" s="327"/>
      <c r="R381" s="575"/>
      <c r="S381" s="327"/>
      <c r="T381" s="594"/>
      <c r="U381" s="327"/>
      <c r="V381" s="595" t="str">
        <f>'refer admin discharge'!H382</f>
        <v>00/00/0000</v>
      </c>
      <c r="W381" s="327"/>
      <c r="X381" s="577"/>
      <c r="Y381" s="327"/>
      <c r="Z381" s="604"/>
      <c r="AA381" s="327"/>
      <c r="AB381" s="577"/>
      <c r="AC381" s="327"/>
      <c r="AD381" s="576"/>
      <c r="AE381" s="327"/>
      <c r="AF381" s="577"/>
      <c r="AG381" s="327"/>
      <c r="AH381" s="576"/>
      <c r="AI381" s="327"/>
      <c r="AJ381" s="577"/>
      <c r="AK381" s="327"/>
      <c r="AL381" s="602"/>
      <c r="AM381" s="326"/>
      <c r="AN381" s="326"/>
      <c r="AO381" s="326"/>
      <c r="AP381" s="326"/>
      <c r="AQ381" s="326"/>
      <c r="AR381" s="326"/>
      <c r="AS381" s="326"/>
      <c r="AT381" s="326"/>
      <c r="AU381" s="326"/>
      <c r="AV381" s="326"/>
      <c r="AW381" s="326"/>
      <c r="AX381" s="326"/>
      <c r="AY381" s="326"/>
      <c r="AZ381" s="326"/>
      <c r="BA381" s="326"/>
      <c r="BB381" s="327"/>
    </row>
    <row r="382" spans="1:54" ht="15.75" customHeight="1" x14ac:dyDescent="0.25">
      <c r="A382" s="11">
        <f t="shared" si="1"/>
        <v>369</v>
      </c>
      <c r="B382" s="570" t="str">
        <f>'refer admin discharge'!B378</f>
        <v>x</v>
      </c>
      <c r="C382" s="327"/>
      <c r="D382" s="599" t="str">
        <f>'refer admin discharge'!D378</f>
        <v>xx</v>
      </c>
      <c r="E382" s="327"/>
      <c r="F382" s="600" t="str">
        <f>'refer admin discharge'!H378</f>
        <v>00/00/0000</v>
      </c>
      <c r="G382" s="327"/>
      <c r="H382" s="574"/>
      <c r="I382" s="327"/>
      <c r="J382" s="601"/>
      <c r="K382" s="327"/>
      <c r="L382" s="574"/>
      <c r="M382" s="327"/>
      <c r="N382" s="594"/>
      <c r="O382" s="327"/>
      <c r="P382" s="574"/>
      <c r="Q382" s="327"/>
      <c r="R382" s="594"/>
      <c r="S382" s="327"/>
      <c r="T382" s="574"/>
      <c r="U382" s="327"/>
      <c r="V382" s="595" t="str">
        <f>'refer admin discharge'!H383</f>
        <v>00/00/0000</v>
      </c>
      <c r="W382" s="327"/>
      <c r="X382" s="596"/>
      <c r="Y382" s="327"/>
      <c r="Z382" s="597"/>
      <c r="AA382" s="327"/>
      <c r="AB382" s="596"/>
      <c r="AC382" s="327"/>
      <c r="AD382" s="577"/>
      <c r="AE382" s="327"/>
      <c r="AF382" s="596"/>
      <c r="AG382" s="327"/>
      <c r="AH382" s="577"/>
      <c r="AI382" s="327"/>
      <c r="AJ382" s="596"/>
      <c r="AK382" s="327"/>
      <c r="AL382" s="598"/>
      <c r="AM382" s="326"/>
      <c r="AN382" s="326"/>
      <c r="AO382" s="326"/>
      <c r="AP382" s="326"/>
      <c r="AQ382" s="326"/>
      <c r="AR382" s="326"/>
      <c r="AS382" s="326"/>
      <c r="AT382" s="326"/>
      <c r="AU382" s="326"/>
      <c r="AV382" s="326"/>
      <c r="AW382" s="326"/>
      <c r="AX382" s="326"/>
      <c r="AY382" s="326"/>
      <c r="AZ382" s="326"/>
      <c r="BA382" s="326"/>
      <c r="BB382" s="327"/>
    </row>
    <row r="383" spans="1:54" ht="15.75" customHeight="1" x14ac:dyDescent="0.25">
      <c r="A383" s="11">
        <f t="shared" si="1"/>
        <v>370</v>
      </c>
      <c r="B383" s="504" t="str">
        <f>'refer admin discharge'!B379</f>
        <v>x</v>
      </c>
      <c r="C383" s="327"/>
      <c r="D383" s="505" t="str">
        <f>'refer admin discharge'!D379</f>
        <v>xx</v>
      </c>
      <c r="E383" s="327"/>
      <c r="F383" s="606" t="str">
        <f>'refer admin discharge'!H379</f>
        <v>00/00/0000</v>
      </c>
      <c r="G383" s="327"/>
      <c r="H383" s="594"/>
      <c r="I383" s="327"/>
      <c r="J383" s="605"/>
      <c r="K383" s="327"/>
      <c r="L383" s="594"/>
      <c r="M383" s="327"/>
      <c r="N383" s="575"/>
      <c r="O383" s="327"/>
      <c r="P383" s="594"/>
      <c r="Q383" s="327"/>
      <c r="R383" s="575"/>
      <c r="S383" s="327"/>
      <c r="T383" s="594"/>
      <c r="U383" s="327"/>
      <c r="V383" s="595" t="str">
        <f>'refer admin discharge'!H384</f>
        <v>00/00/0000</v>
      </c>
      <c r="W383" s="327"/>
      <c r="X383" s="577"/>
      <c r="Y383" s="327"/>
      <c r="Z383" s="604"/>
      <c r="AA383" s="327"/>
      <c r="AB383" s="577"/>
      <c r="AC383" s="327"/>
      <c r="AD383" s="576"/>
      <c r="AE383" s="327"/>
      <c r="AF383" s="577"/>
      <c r="AG383" s="327"/>
      <c r="AH383" s="576"/>
      <c r="AI383" s="327"/>
      <c r="AJ383" s="577"/>
      <c r="AK383" s="327"/>
      <c r="AL383" s="602"/>
      <c r="AM383" s="326"/>
      <c r="AN383" s="326"/>
      <c r="AO383" s="326"/>
      <c r="AP383" s="326"/>
      <c r="AQ383" s="326"/>
      <c r="AR383" s="326"/>
      <c r="AS383" s="326"/>
      <c r="AT383" s="326"/>
      <c r="AU383" s="326"/>
      <c r="AV383" s="326"/>
      <c r="AW383" s="326"/>
      <c r="AX383" s="326"/>
      <c r="AY383" s="326"/>
      <c r="AZ383" s="326"/>
      <c r="BA383" s="326"/>
      <c r="BB383" s="327"/>
    </row>
    <row r="384" spans="1:54" ht="15.75" customHeight="1" x14ac:dyDescent="0.25">
      <c r="A384" s="11">
        <f t="shared" si="1"/>
        <v>371</v>
      </c>
      <c r="B384" s="570" t="str">
        <f>'refer admin discharge'!B380</f>
        <v>x</v>
      </c>
      <c r="C384" s="327"/>
      <c r="D384" s="599" t="str">
        <f>'refer admin discharge'!D380</f>
        <v>xx</v>
      </c>
      <c r="E384" s="327"/>
      <c r="F384" s="600" t="str">
        <f>'refer admin discharge'!H380</f>
        <v>00/00/0000</v>
      </c>
      <c r="G384" s="327"/>
      <c r="H384" s="574"/>
      <c r="I384" s="327"/>
      <c r="J384" s="601"/>
      <c r="K384" s="327"/>
      <c r="L384" s="574"/>
      <c r="M384" s="327"/>
      <c r="N384" s="594"/>
      <c r="O384" s="327"/>
      <c r="P384" s="574"/>
      <c r="Q384" s="327"/>
      <c r="R384" s="594"/>
      <c r="S384" s="327"/>
      <c r="T384" s="574"/>
      <c r="U384" s="327"/>
      <c r="V384" s="595" t="str">
        <f>'refer admin discharge'!H385</f>
        <v>00/00/0000</v>
      </c>
      <c r="W384" s="327"/>
      <c r="X384" s="596"/>
      <c r="Y384" s="327"/>
      <c r="Z384" s="597"/>
      <c r="AA384" s="327"/>
      <c r="AB384" s="596"/>
      <c r="AC384" s="327"/>
      <c r="AD384" s="577"/>
      <c r="AE384" s="327"/>
      <c r="AF384" s="596"/>
      <c r="AG384" s="327"/>
      <c r="AH384" s="577"/>
      <c r="AI384" s="327"/>
      <c r="AJ384" s="596"/>
      <c r="AK384" s="327"/>
      <c r="AL384" s="598"/>
      <c r="AM384" s="326"/>
      <c r="AN384" s="326"/>
      <c r="AO384" s="326"/>
      <c r="AP384" s="326"/>
      <c r="AQ384" s="326"/>
      <c r="AR384" s="326"/>
      <c r="AS384" s="326"/>
      <c r="AT384" s="326"/>
      <c r="AU384" s="326"/>
      <c r="AV384" s="326"/>
      <c r="AW384" s="326"/>
      <c r="AX384" s="326"/>
      <c r="AY384" s="326"/>
      <c r="AZ384" s="326"/>
      <c r="BA384" s="326"/>
      <c r="BB384" s="327"/>
    </row>
    <row r="385" spans="1:54" ht="15.75" customHeight="1" x14ac:dyDescent="0.25">
      <c r="A385" s="11">
        <f t="shared" si="1"/>
        <v>372</v>
      </c>
      <c r="B385" s="504" t="str">
        <f>'refer admin discharge'!B381</f>
        <v>x</v>
      </c>
      <c r="C385" s="327"/>
      <c r="D385" s="505" t="str">
        <f>'refer admin discharge'!D381</f>
        <v>xx</v>
      </c>
      <c r="E385" s="327"/>
      <c r="F385" s="606" t="str">
        <f>'refer admin discharge'!H381</f>
        <v>00/00/0000</v>
      </c>
      <c r="G385" s="327"/>
      <c r="H385" s="594"/>
      <c r="I385" s="327"/>
      <c r="J385" s="605"/>
      <c r="K385" s="327"/>
      <c r="L385" s="594"/>
      <c r="M385" s="327"/>
      <c r="N385" s="575"/>
      <c r="O385" s="327"/>
      <c r="P385" s="594"/>
      <c r="Q385" s="327"/>
      <c r="R385" s="575"/>
      <c r="S385" s="327"/>
      <c r="T385" s="594"/>
      <c r="U385" s="327"/>
      <c r="V385" s="595" t="str">
        <f>'refer admin discharge'!H386</f>
        <v>00/00/0000</v>
      </c>
      <c r="W385" s="327"/>
      <c r="X385" s="577"/>
      <c r="Y385" s="327"/>
      <c r="Z385" s="604"/>
      <c r="AA385" s="327"/>
      <c r="AB385" s="577"/>
      <c r="AC385" s="327"/>
      <c r="AD385" s="576"/>
      <c r="AE385" s="327"/>
      <c r="AF385" s="577"/>
      <c r="AG385" s="327"/>
      <c r="AH385" s="576"/>
      <c r="AI385" s="327"/>
      <c r="AJ385" s="577"/>
      <c r="AK385" s="327"/>
      <c r="AL385" s="602"/>
      <c r="AM385" s="326"/>
      <c r="AN385" s="326"/>
      <c r="AO385" s="326"/>
      <c r="AP385" s="326"/>
      <c r="AQ385" s="326"/>
      <c r="AR385" s="326"/>
      <c r="AS385" s="326"/>
      <c r="AT385" s="326"/>
      <c r="AU385" s="326"/>
      <c r="AV385" s="326"/>
      <c r="AW385" s="326"/>
      <c r="AX385" s="326"/>
      <c r="AY385" s="326"/>
      <c r="AZ385" s="326"/>
      <c r="BA385" s="326"/>
      <c r="BB385" s="327"/>
    </row>
    <row r="386" spans="1:54" ht="15.75" customHeight="1" x14ac:dyDescent="0.25">
      <c r="A386" s="11">
        <f t="shared" si="1"/>
        <v>373</v>
      </c>
      <c r="B386" s="570" t="str">
        <f>'refer admin discharge'!B382</f>
        <v>x</v>
      </c>
      <c r="C386" s="327"/>
      <c r="D386" s="599" t="str">
        <f>'refer admin discharge'!D382</f>
        <v>xx</v>
      </c>
      <c r="E386" s="327"/>
      <c r="F386" s="600" t="str">
        <f>'refer admin discharge'!H382</f>
        <v>00/00/0000</v>
      </c>
      <c r="G386" s="327"/>
      <c r="H386" s="574"/>
      <c r="I386" s="327"/>
      <c r="J386" s="601"/>
      <c r="K386" s="327"/>
      <c r="L386" s="574"/>
      <c r="M386" s="327"/>
      <c r="N386" s="594"/>
      <c r="O386" s="327"/>
      <c r="P386" s="574"/>
      <c r="Q386" s="327"/>
      <c r="R386" s="594"/>
      <c r="S386" s="327"/>
      <c r="T386" s="574"/>
      <c r="U386" s="327"/>
      <c r="V386" s="595" t="str">
        <f>'refer admin discharge'!H387</f>
        <v>00/00/0000</v>
      </c>
      <c r="W386" s="327"/>
      <c r="X386" s="596"/>
      <c r="Y386" s="327"/>
      <c r="Z386" s="597"/>
      <c r="AA386" s="327"/>
      <c r="AB386" s="596"/>
      <c r="AC386" s="327"/>
      <c r="AD386" s="577"/>
      <c r="AE386" s="327"/>
      <c r="AF386" s="596"/>
      <c r="AG386" s="327"/>
      <c r="AH386" s="577"/>
      <c r="AI386" s="327"/>
      <c r="AJ386" s="596"/>
      <c r="AK386" s="327"/>
      <c r="AL386" s="598"/>
      <c r="AM386" s="326"/>
      <c r="AN386" s="326"/>
      <c r="AO386" s="326"/>
      <c r="AP386" s="326"/>
      <c r="AQ386" s="326"/>
      <c r="AR386" s="326"/>
      <c r="AS386" s="326"/>
      <c r="AT386" s="326"/>
      <c r="AU386" s="326"/>
      <c r="AV386" s="326"/>
      <c r="AW386" s="326"/>
      <c r="AX386" s="326"/>
      <c r="AY386" s="326"/>
      <c r="AZ386" s="326"/>
      <c r="BA386" s="326"/>
      <c r="BB386" s="327"/>
    </row>
    <row r="387" spans="1:54" ht="15.75" customHeight="1" x14ac:dyDescent="0.25">
      <c r="A387" s="11">
        <f t="shared" si="1"/>
        <v>374</v>
      </c>
      <c r="B387" s="504" t="str">
        <f>'refer admin discharge'!B383</f>
        <v>x</v>
      </c>
      <c r="C387" s="327"/>
      <c r="D387" s="505" t="str">
        <f>'refer admin discharge'!D383</f>
        <v>xx</v>
      </c>
      <c r="E387" s="327"/>
      <c r="F387" s="606" t="str">
        <f>'refer admin discharge'!H383</f>
        <v>00/00/0000</v>
      </c>
      <c r="G387" s="327"/>
      <c r="H387" s="594"/>
      <c r="I387" s="327"/>
      <c r="J387" s="605"/>
      <c r="K387" s="327"/>
      <c r="L387" s="594"/>
      <c r="M387" s="327"/>
      <c r="N387" s="575"/>
      <c r="O387" s="327"/>
      <c r="P387" s="594"/>
      <c r="Q387" s="327"/>
      <c r="R387" s="575"/>
      <c r="S387" s="327"/>
      <c r="T387" s="594"/>
      <c r="U387" s="327"/>
      <c r="V387" s="595" t="str">
        <f>'refer admin discharge'!H388</f>
        <v>00/00/0000</v>
      </c>
      <c r="W387" s="327"/>
      <c r="X387" s="577"/>
      <c r="Y387" s="327"/>
      <c r="Z387" s="604"/>
      <c r="AA387" s="327"/>
      <c r="AB387" s="577"/>
      <c r="AC387" s="327"/>
      <c r="AD387" s="576"/>
      <c r="AE387" s="327"/>
      <c r="AF387" s="577"/>
      <c r="AG387" s="327"/>
      <c r="AH387" s="576"/>
      <c r="AI387" s="327"/>
      <c r="AJ387" s="577"/>
      <c r="AK387" s="327"/>
      <c r="AL387" s="602"/>
      <c r="AM387" s="326"/>
      <c r="AN387" s="326"/>
      <c r="AO387" s="326"/>
      <c r="AP387" s="326"/>
      <c r="AQ387" s="326"/>
      <c r="AR387" s="326"/>
      <c r="AS387" s="326"/>
      <c r="AT387" s="326"/>
      <c r="AU387" s="326"/>
      <c r="AV387" s="326"/>
      <c r="AW387" s="326"/>
      <c r="AX387" s="326"/>
      <c r="AY387" s="326"/>
      <c r="AZ387" s="326"/>
      <c r="BA387" s="326"/>
      <c r="BB387" s="327"/>
    </row>
    <row r="388" spans="1:54" ht="15.75" customHeight="1" x14ac:dyDescent="0.25">
      <c r="A388" s="11">
        <f t="shared" si="1"/>
        <v>375</v>
      </c>
      <c r="B388" s="570" t="str">
        <f>'refer admin discharge'!B384</f>
        <v>x</v>
      </c>
      <c r="C388" s="327"/>
      <c r="D388" s="599" t="str">
        <f>'refer admin discharge'!D384</f>
        <v>xx</v>
      </c>
      <c r="E388" s="327"/>
      <c r="F388" s="600" t="str">
        <f>'refer admin discharge'!H384</f>
        <v>00/00/0000</v>
      </c>
      <c r="G388" s="327"/>
      <c r="H388" s="574"/>
      <c r="I388" s="327"/>
      <c r="J388" s="601"/>
      <c r="K388" s="327"/>
      <c r="L388" s="574"/>
      <c r="M388" s="327"/>
      <c r="N388" s="594"/>
      <c r="O388" s="327"/>
      <c r="P388" s="574"/>
      <c r="Q388" s="327"/>
      <c r="R388" s="594"/>
      <c r="S388" s="327"/>
      <c r="T388" s="574"/>
      <c r="U388" s="327"/>
      <c r="V388" s="595" t="str">
        <f>'refer admin discharge'!H389</f>
        <v>00/00/0000</v>
      </c>
      <c r="W388" s="327"/>
      <c r="X388" s="596"/>
      <c r="Y388" s="327"/>
      <c r="Z388" s="597"/>
      <c r="AA388" s="327"/>
      <c r="AB388" s="596"/>
      <c r="AC388" s="327"/>
      <c r="AD388" s="577"/>
      <c r="AE388" s="327"/>
      <c r="AF388" s="596"/>
      <c r="AG388" s="327"/>
      <c r="AH388" s="577"/>
      <c r="AI388" s="327"/>
      <c r="AJ388" s="596"/>
      <c r="AK388" s="327"/>
      <c r="AL388" s="598"/>
      <c r="AM388" s="326"/>
      <c r="AN388" s="326"/>
      <c r="AO388" s="326"/>
      <c r="AP388" s="326"/>
      <c r="AQ388" s="326"/>
      <c r="AR388" s="326"/>
      <c r="AS388" s="326"/>
      <c r="AT388" s="326"/>
      <c r="AU388" s="326"/>
      <c r="AV388" s="326"/>
      <c r="AW388" s="326"/>
      <c r="AX388" s="326"/>
      <c r="AY388" s="326"/>
      <c r="AZ388" s="326"/>
      <c r="BA388" s="326"/>
      <c r="BB388" s="327"/>
    </row>
    <row r="389" spans="1:54" ht="15.75" customHeight="1" x14ac:dyDescent="0.25">
      <c r="A389" s="11">
        <f t="shared" si="1"/>
        <v>376</v>
      </c>
      <c r="B389" s="504" t="str">
        <f>'refer admin discharge'!B385</f>
        <v>x</v>
      </c>
      <c r="C389" s="327"/>
      <c r="D389" s="505" t="str">
        <f>'refer admin discharge'!D385</f>
        <v>xx</v>
      </c>
      <c r="E389" s="327"/>
      <c r="F389" s="606" t="str">
        <f>'refer admin discharge'!H385</f>
        <v>00/00/0000</v>
      </c>
      <c r="G389" s="327"/>
      <c r="H389" s="594"/>
      <c r="I389" s="327"/>
      <c r="J389" s="605"/>
      <c r="K389" s="327"/>
      <c r="L389" s="594"/>
      <c r="M389" s="327"/>
      <c r="N389" s="575"/>
      <c r="O389" s="327"/>
      <c r="P389" s="594"/>
      <c r="Q389" s="327"/>
      <c r="R389" s="575"/>
      <c r="S389" s="327"/>
      <c r="T389" s="594"/>
      <c r="U389" s="327"/>
      <c r="V389" s="595" t="str">
        <f>'refer admin discharge'!H390</f>
        <v>00/00/0000</v>
      </c>
      <c r="W389" s="327"/>
      <c r="X389" s="577"/>
      <c r="Y389" s="327"/>
      <c r="Z389" s="604"/>
      <c r="AA389" s="327"/>
      <c r="AB389" s="577"/>
      <c r="AC389" s="327"/>
      <c r="AD389" s="576"/>
      <c r="AE389" s="327"/>
      <c r="AF389" s="577"/>
      <c r="AG389" s="327"/>
      <c r="AH389" s="576"/>
      <c r="AI389" s="327"/>
      <c r="AJ389" s="577"/>
      <c r="AK389" s="327"/>
      <c r="AL389" s="602"/>
      <c r="AM389" s="326"/>
      <c r="AN389" s="326"/>
      <c r="AO389" s="326"/>
      <c r="AP389" s="326"/>
      <c r="AQ389" s="326"/>
      <c r="AR389" s="326"/>
      <c r="AS389" s="326"/>
      <c r="AT389" s="326"/>
      <c r="AU389" s="326"/>
      <c r="AV389" s="326"/>
      <c r="AW389" s="326"/>
      <c r="AX389" s="326"/>
      <c r="AY389" s="326"/>
      <c r="AZ389" s="326"/>
      <c r="BA389" s="326"/>
      <c r="BB389" s="327"/>
    </row>
    <row r="390" spans="1:54" ht="15.75" customHeight="1" x14ac:dyDescent="0.25">
      <c r="A390" s="11">
        <f t="shared" si="1"/>
        <v>377</v>
      </c>
      <c r="B390" s="570" t="str">
        <f>'refer admin discharge'!B386</f>
        <v>x</v>
      </c>
      <c r="C390" s="327"/>
      <c r="D390" s="599" t="str">
        <f>'refer admin discharge'!D386</f>
        <v>xx</v>
      </c>
      <c r="E390" s="327"/>
      <c r="F390" s="600" t="str">
        <f>'refer admin discharge'!H386</f>
        <v>00/00/0000</v>
      </c>
      <c r="G390" s="327"/>
      <c r="H390" s="574"/>
      <c r="I390" s="327"/>
      <c r="J390" s="601"/>
      <c r="K390" s="327"/>
      <c r="L390" s="574"/>
      <c r="M390" s="327"/>
      <c r="N390" s="594"/>
      <c r="O390" s="327"/>
      <c r="P390" s="574"/>
      <c r="Q390" s="327"/>
      <c r="R390" s="594"/>
      <c r="S390" s="327"/>
      <c r="T390" s="574"/>
      <c r="U390" s="327"/>
      <c r="V390" s="595" t="str">
        <f>'refer admin discharge'!H391</f>
        <v>00/00/0000</v>
      </c>
      <c r="W390" s="327"/>
      <c r="X390" s="596"/>
      <c r="Y390" s="327"/>
      <c r="Z390" s="597"/>
      <c r="AA390" s="327"/>
      <c r="AB390" s="596"/>
      <c r="AC390" s="327"/>
      <c r="AD390" s="577"/>
      <c r="AE390" s="327"/>
      <c r="AF390" s="596"/>
      <c r="AG390" s="327"/>
      <c r="AH390" s="577"/>
      <c r="AI390" s="327"/>
      <c r="AJ390" s="596"/>
      <c r="AK390" s="327"/>
      <c r="AL390" s="598"/>
      <c r="AM390" s="326"/>
      <c r="AN390" s="326"/>
      <c r="AO390" s="326"/>
      <c r="AP390" s="326"/>
      <c r="AQ390" s="326"/>
      <c r="AR390" s="326"/>
      <c r="AS390" s="326"/>
      <c r="AT390" s="326"/>
      <c r="AU390" s="326"/>
      <c r="AV390" s="326"/>
      <c r="AW390" s="326"/>
      <c r="AX390" s="326"/>
      <c r="AY390" s="326"/>
      <c r="AZ390" s="326"/>
      <c r="BA390" s="326"/>
      <c r="BB390" s="327"/>
    </row>
    <row r="391" spans="1:54" ht="15.75" customHeight="1" x14ac:dyDescent="0.25">
      <c r="A391" s="11">
        <f t="shared" si="1"/>
        <v>378</v>
      </c>
      <c r="B391" s="504" t="str">
        <f>'refer admin discharge'!B387</f>
        <v>x</v>
      </c>
      <c r="C391" s="327"/>
      <c r="D391" s="505" t="str">
        <f>'refer admin discharge'!D387</f>
        <v>xx</v>
      </c>
      <c r="E391" s="327"/>
      <c r="F391" s="606" t="str">
        <f>'refer admin discharge'!H387</f>
        <v>00/00/0000</v>
      </c>
      <c r="G391" s="327"/>
      <c r="H391" s="594"/>
      <c r="I391" s="327"/>
      <c r="J391" s="605"/>
      <c r="K391" s="327"/>
      <c r="L391" s="594"/>
      <c r="M391" s="327"/>
      <c r="N391" s="575"/>
      <c r="O391" s="327"/>
      <c r="P391" s="594"/>
      <c r="Q391" s="327"/>
      <c r="R391" s="575"/>
      <c r="S391" s="327"/>
      <c r="T391" s="594"/>
      <c r="U391" s="327"/>
      <c r="V391" s="595" t="str">
        <f>'refer admin discharge'!H392</f>
        <v>00/00/0000</v>
      </c>
      <c r="W391" s="327"/>
      <c r="X391" s="577"/>
      <c r="Y391" s="327"/>
      <c r="Z391" s="604"/>
      <c r="AA391" s="327"/>
      <c r="AB391" s="577"/>
      <c r="AC391" s="327"/>
      <c r="AD391" s="576"/>
      <c r="AE391" s="327"/>
      <c r="AF391" s="577"/>
      <c r="AG391" s="327"/>
      <c r="AH391" s="576"/>
      <c r="AI391" s="327"/>
      <c r="AJ391" s="577"/>
      <c r="AK391" s="327"/>
      <c r="AL391" s="602"/>
      <c r="AM391" s="326"/>
      <c r="AN391" s="326"/>
      <c r="AO391" s="326"/>
      <c r="AP391" s="326"/>
      <c r="AQ391" s="326"/>
      <c r="AR391" s="326"/>
      <c r="AS391" s="326"/>
      <c r="AT391" s="326"/>
      <c r="AU391" s="326"/>
      <c r="AV391" s="326"/>
      <c r="AW391" s="326"/>
      <c r="AX391" s="326"/>
      <c r="AY391" s="326"/>
      <c r="AZ391" s="326"/>
      <c r="BA391" s="326"/>
      <c r="BB391" s="327"/>
    </row>
    <row r="392" spans="1:54" ht="15.75" customHeight="1" x14ac:dyDescent="0.25">
      <c r="A392" s="11">
        <f t="shared" si="1"/>
        <v>379</v>
      </c>
      <c r="B392" s="570" t="str">
        <f>'refer admin discharge'!B388</f>
        <v>x</v>
      </c>
      <c r="C392" s="327"/>
      <c r="D392" s="599" t="str">
        <f>'refer admin discharge'!D388</f>
        <v>xx</v>
      </c>
      <c r="E392" s="327"/>
      <c r="F392" s="600" t="str">
        <f>'refer admin discharge'!H388</f>
        <v>00/00/0000</v>
      </c>
      <c r="G392" s="327"/>
      <c r="H392" s="574"/>
      <c r="I392" s="327"/>
      <c r="J392" s="601"/>
      <c r="K392" s="327"/>
      <c r="L392" s="574"/>
      <c r="M392" s="327"/>
      <c r="N392" s="594"/>
      <c r="O392" s="327"/>
      <c r="P392" s="574"/>
      <c r="Q392" s="327"/>
      <c r="R392" s="594"/>
      <c r="S392" s="327"/>
      <c r="T392" s="574"/>
      <c r="U392" s="327"/>
      <c r="V392" s="595" t="str">
        <f>'refer admin discharge'!H393</f>
        <v>00/00/0000</v>
      </c>
      <c r="W392" s="327"/>
      <c r="X392" s="596"/>
      <c r="Y392" s="327"/>
      <c r="Z392" s="597"/>
      <c r="AA392" s="327"/>
      <c r="AB392" s="596"/>
      <c r="AC392" s="327"/>
      <c r="AD392" s="577"/>
      <c r="AE392" s="327"/>
      <c r="AF392" s="596"/>
      <c r="AG392" s="327"/>
      <c r="AH392" s="577"/>
      <c r="AI392" s="327"/>
      <c r="AJ392" s="596"/>
      <c r="AK392" s="327"/>
      <c r="AL392" s="598"/>
      <c r="AM392" s="326"/>
      <c r="AN392" s="326"/>
      <c r="AO392" s="326"/>
      <c r="AP392" s="326"/>
      <c r="AQ392" s="326"/>
      <c r="AR392" s="326"/>
      <c r="AS392" s="326"/>
      <c r="AT392" s="326"/>
      <c r="AU392" s="326"/>
      <c r="AV392" s="326"/>
      <c r="AW392" s="326"/>
      <c r="AX392" s="326"/>
      <c r="AY392" s="326"/>
      <c r="AZ392" s="326"/>
      <c r="BA392" s="326"/>
      <c r="BB392" s="327"/>
    </row>
    <row r="393" spans="1:54" ht="15.75" customHeight="1" x14ac:dyDescent="0.25">
      <c r="A393" s="11">
        <f t="shared" si="1"/>
        <v>380</v>
      </c>
      <c r="B393" s="504" t="str">
        <f>'refer admin discharge'!B389</f>
        <v>x</v>
      </c>
      <c r="C393" s="327"/>
      <c r="D393" s="505" t="str">
        <f>'refer admin discharge'!D389</f>
        <v>xx</v>
      </c>
      <c r="E393" s="327"/>
      <c r="F393" s="606" t="str">
        <f>'refer admin discharge'!H389</f>
        <v>00/00/0000</v>
      </c>
      <c r="G393" s="327"/>
      <c r="H393" s="594"/>
      <c r="I393" s="327"/>
      <c r="J393" s="605"/>
      <c r="K393" s="327"/>
      <c r="L393" s="594"/>
      <c r="M393" s="327"/>
      <c r="N393" s="575"/>
      <c r="O393" s="327"/>
      <c r="P393" s="594"/>
      <c r="Q393" s="327"/>
      <c r="R393" s="575"/>
      <c r="S393" s="327"/>
      <c r="T393" s="594"/>
      <c r="U393" s="327"/>
      <c r="V393" s="595" t="str">
        <f>'refer admin discharge'!H394</f>
        <v>00/00/0000</v>
      </c>
      <c r="W393" s="327"/>
      <c r="X393" s="577"/>
      <c r="Y393" s="327"/>
      <c r="Z393" s="604"/>
      <c r="AA393" s="327"/>
      <c r="AB393" s="577"/>
      <c r="AC393" s="327"/>
      <c r="AD393" s="576"/>
      <c r="AE393" s="327"/>
      <c r="AF393" s="577"/>
      <c r="AG393" s="327"/>
      <c r="AH393" s="576"/>
      <c r="AI393" s="327"/>
      <c r="AJ393" s="577"/>
      <c r="AK393" s="327"/>
      <c r="AL393" s="602"/>
      <c r="AM393" s="326"/>
      <c r="AN393" s="326"/>
      <c r="AO393" s="326"/>
      <c r="AP393" s="326"/>
      <c r="AQ393" s="326"/>
      <c r="AR393" s="326"/>
      <c r="AS393" s="326"/>
      <c r="AT393" s="326"/>
      <c r="AU393" s="326"/>
      <c r="AV393" s="326"/>
      <c r="AW393" s="326"/>
      <c r="AX393" s="326"/>
      <c r="AY393" s="326"/>
      <c r="AZ393" s="326"/>
      <c r="BA393" s="326"/>
      <c r="BB393" s="327"/>
    </row>
    <row r="394" spans="1:54" ht="15.75" customHeight="1" x14ac:dyDescent="0.25">
      <c r="A394" s="11">
        <f t="shared" si="1"/>
        <v>381</v>
      </c>
      <c r="B394" s="570" t="str">
        <f>'refer admin discharge'!B390</f>
        <v>x</v>
      </c>
      <c r="C394" s="327"/>
      <c r="D394" s="599" t="str">
        <f>'refer admin discharge'!D390</f>
        <v>xx</v>
      </c>
      <c r="E394" s="327"/>
      <c r="F394" s="600" t="str">
        <f>'refer admin discharge'!H390</f>
        <v>00/00/0000</v>
      </c>
      <c r="G394" s="327"/>
      <c r="H394" s="574"/>
      <c r="I394" s="327"/>
      <c r="J394" s="601"/>
      <c r="K394" s="327"/>
      <c r="L394" s="574"/>
      <c r="M394" s="327"/>
      <c r="N394" s="594"/>
      <c r="O394" s="327"/>
      <c r="P394" s="574"/>
      <c r="Q394" s="327"/>
      <c r="R394" s="594"/>
      <c r="S394" s="327"/>
      <c r="T394" s="574"/>
      <c r="U394" s="327"/>
      <c r="V394" s="595" t="str">
        <f>'refer admin discharge'!H395</f>
        <v>00/00/0000</v>
      </c>
      <c r="W394" s="327"/>
      <c r="X394" s="596"/>
      <c r="Y394" s="327"/>
      <c r="Z394" s="597"/>
      <c r="AA394" s="327"/>
      <c r="AB394" s="596"/>
      <c r="AC394" s="327"/>
      <c r="AD394" s="577"/>
      <c r="AE394" s="327"/>
      <c r="AF394" s="596"/>
      <c r="AG394" s="327"/>
      <c r="AH394" s="577"/>
      <c r="AI394" s="327"/>
      <c r="AJ394" s="596"/>
      <c r="AK394" s="327"/>
      <c r="AL394" s="598"/>
      <c r="AM394" s="326"/>
      <c r="AN394" s="326"/>
      <c r="AO394" s="326"/>
      <c r="AP394" s="326"/>
      <c r="AQ394" s="326"/>
      <c r="AR394" s="326"/>
      <c r="AS394" s="326"/>
      <c r="AT394" s="326"/>
      <c r="AU394" s="326"/>
      <c r="AV394" s="326"/>
      <c r="AW394" s="326"/>
      <c r="AX394" s="326"/>
      <c r="AY394" s="326"/>
      <c r="AZ394" s="326"/>
      <c r="BA394" s="326"/>
      <c r="BB394" s="327"/>
    </row>
    <row r="395" spans="1:54" ht="15.75" customHeight="1" x14ac:dyDescent="0.25">
      <c r="A395" s="11">
        <f t="shared" si="1"/>
        <v>382</v>
      </c>
      <c r="B395" s="504" t="str">
        <f>'refer admin discharge'!B391</f>
        <v>x</v>
      </c>
      <c r="C395" s="327"/>
      <c r="D395" s="505" t="str">
        <f>'refer admin discharge'!D391</f>
        <v>xx</v>
      </c>
      <c r="E395" s="327"/>
      <c r="F395" s="606" t="str">
        <f>'refer admin discharge'!H391</f>
        <v>00/00/0000</v>
      </c>
      <c r="G395" s="327"/>
      <c r="H395" s="594"/>
      <c r="I395" s="327"/>
      <c r="J395" s="605"/>
      <c r="K395" s="327"/>
      <c r="L395" s="594"/>
      <c r="M395" s="327"/>
      <c r="N395" s="575"/>
      <c r="O395" s="327"/>
      <c r="P395" s="594"/>
      <c r="Q395" s="327"/>
      <c r="R395" s="575"/>
      <c r="S395" s="327"/>
      <c r="T395" s="594"/>
      <c r="U395" s="327"/>
      <c r="V395" s="595" t="str">
        <f>'refer admin discharge'!H396</f>
        <v>00/00/0000</v>
      </c>
      <c r="W395" s="327"/>
      <c r="X395" s="577"/>
      <c r="Y395" s="327"/>
      <c r="Z395" s="604"/>
      <c r="AA395" s="327"/>
      <c r="AB395" s="577"/>
      <c r="AC395" s="327"/>
      <c r="AD395" s="576"/>
      <c r="AE395" s="327"/>
      <c r="AF395" s="577"/>
      <c r="AG395" s="327"/>
      <c r="AH395" s="576"/>
      <c r="AI395" s="327"/>
      <c r="AJ395" s="577"/>
      <c r="AK395" s="327"/>
      <c r="AL395" s="602"/>
      <c r="AM395" s="326"/>
      <c r="AN395" s="326"/>
      <c r="AO395" s="326"/>
      <c r="AP395" s="326"/>
      <c r="AQ395" s="326"/>
      <c r="AR395" s="326"/>
      <c r="AS395" s="326"/>
      <c r="AT395" s="326"/>
      <c r="AU395" s="326"/>
      <c r="AV395" s="326"/>
      <c r="AW395" s="326"/>
      <c r="AX395" s="326"/>
      <c r="AY395" s="326"/>
      <c r="AZ395" s="326"/>
      <c r="BA395" s="326"/>
      <c r="BB395" s="327"/>
    </row>
    <row r="396" spans="1:54" ht="15.75" customHeight="1" x14ac:dyDescent="0.25">
      <c r="A396" s="11">
        <f t="shared" si="1"/>
        <v>383</v>
      </c>
      <c r="B396" s="570" t="str">
        <f>'refer admin discharge'!B392</f>
        <v>x</v>
      </c>
      <c r="C396" s="327"/>
      <c r="D396" s="599" t="str">
        <f>'refer admin discharge'!D392</f>
        <v>xx</v>
      </c>
      <c r="E396" s="327"/>
      <c r="F396" s="600" t="str">
        <f>'refer admin discharge'!H392</f>
        <v>00/00/0000</v>
      </c>
      <c r="G396" s="327"/>
      <c r="H396" s="574"/>
      <c r="I396" s="327"/>
      <c r="J396" s="601"/>
      <c r="K396" s="327"/>
      <c r="L396" s="574"/>
      <c r="M396" s="327"/>
      <c r="N396" s="594"/>
      <c r="O396" s="327"/>
      <c r="P396" s="574"/>
      <c r="Q396" s="327"/>
      <c r="R396" s="594"/>
      <c r="S396" s="327"/>
      <c r="T396" s="574"/>
      <c r="U396" s="327"/>
      <c r="V396" s="595" t="str">
        <f>'refer admin discharge'!H397</f>
        <v>00/00/0000</v>
      </c>
      <c r="W396" s="327"/>
      <c r="X396" s="596"/>
      <c r="Y396" s="327"/>
      <c r="Z396" s="597"/>
      <c r="AA396" s="327"/>
      <c r="AB396" s="596"/>
      <c r="AC396" s="327"/>
      <c r="AD396" s="577"/>
      <c r="AE396" s="327"/>
      <c r="AF396" s="596"/>
      <c r="AG396" s="327"/>
      <c r="AH396" s="577"/>
      <c r="AI396" s="327"/>
      <c r="AJ396" s="596"/>
      <c r="AK396" s="327"/>
      <c r="AL396" s="598"/>
      <c r="AM396" s="326"/>
      <c r="AN396" s="326"/>
      <c r="AO396" s="326"/>
      <c r="AP396" s="326"/>
      <c r="AQ396" s="326"/>
      <c r="AR396" s="326"/>
      <c r="AS396" s="326"/>
      <c r="AT396" s="326"/>
      <c r="AU396" s="326"/>
      <c r="AV396" s="326"/>
      <c r="AW396" s="326"/>
      <c r="AX396" s="326"/>
      <c r="AY396" s="326"/>
      <c r="AZ396" s="326"/>
      <c r="BA396" s="326"/>
      <c r="BB396" s="327"/>
    </row>
    <row r="397" spans="1:54" ht="15.75" customHeight="1" x14ac:dyDescent="0.25">
      <c r="A397" s="11">
        <f t="shared" si="1"/>
        <v>384</v>
      </c>
      <c r="B397" s="504" t="str">
        <f>'refer admin discharge'!B393</f>
        <v>x</v>
      </c>
      <c r="C397" s="327"/>
      <c r="D397" s="505" t="str">
        <f>'refer admin discharge'!D393</f>
        <v>xx</v>
      </c>
      <c r="E397" s="327"/>
      <c r="F397" s="606" t="str">
        <f>'refer admin discharge'!H393</f>
        <v>00/00/0000</v>
      </c>
      <c r="G397" s="327"/>
      <c r="H397" s="594"/>
      <c r="I397" s="327"/>
      <c r="J397" s="605"/>
      <c r="K397" s="327"/>
      <c r="L397" s="594"/>
      <c r="M397" s="327"/>
      <c r="N397" s="575"/>
      <c r="O397" s="327"/>
      <c r="P397" s="594"/>
      <c r="Q397" s="327"/>
      <c r="R397" s="575"/>
      <c r="S397" s="327"/>
      <c r="T397" s="594"/>
      <c r="U397" s="327"/>
      <c r="V397" s="595" t="str">
        <f>'refer admin discharge'!H398</f>
        <v>00/00/0000</v>
      </c>
      <c r="W397" s="327"/>
      <c r="X397" s="577"/>
      <c r="Y397" s="327"/>
      <c r="Z397" s="604"/>
      <c r="AA397" s="327"/>
      <c r="AB397" s="577"/>
      <c r="AC397" s="327"/>
      <c r="AD397" s="576"/>
      <c r="AE397" s="327"/>
      <c r="AF397" s="577"/>
      <c r="AG397" s="327"/>
      <c r="AH397" s="576"/>
      <c r="AI397" s="327"/>
      <c r="AJ397" s="577"/>
      <c r="AK397" s="327"/>
      <c r="AL397" s="602"/>
      <c r="AM397" s="326"/>
      <c r="AN397" s="326"/>
      <c r="AO397" s="326"/>
      <c r="AP397" s="326"/>
      <c r="AQ397" s="326"/>
      <c r="AR397" s="326"/>
      <c r="AS397" s="326"/>
      <c r="AT397" s="326"/>
      <c r="AU397" s="326"/>
      <c r="AV397" s="326"/>
      <c r="AW397" s="326"/>
      <c r="AX397" s="326"/>
      <c r="AY397" s="326"/>
      <c r="AZ397" s="326"/>
      <c r="BA397" s="326"/>
      <c r="BB397" s="327"/>
    </row>
    <row r="398" spans="1:54" ht="15.75" customHeight="1" x14ac:dyDescent="0.25">
      <c r="A398" s="11">
        <f t="shared" si="1"/>
        <v>385</v>
      </c>
      <c r="B398" s="570" t="str">
        <f>'refer admin discharge'!B394</f>
        <v>x</v>
      </c>
      <c r="C398" s="327"/>
      <c r="D398" s="599" t="str">
        <f>'refer admin discharge'!D394</f>
        <v>xx</v>
      </c>
      <c r="E398" s="327"/>
      <c r="F398" s="600" t="str">
        <f>'refer admin discharge'!H394</f>
        <v>00/00/0000</v>
      </c>
      <c r="G398" s="327"/>
      <c r="H398" s="574"/>
      <c r="I398" s="327"/>
      <c r="J398" s="601"/>
      <c r="K398" s="327"/>
      <c r="L398" s="574"/>
      <c r="M398" s="327"/>
      <c r="N398" s="594"/>
      <c r="O398" s="327"/>
      <c r="P398" s="574"/>
      <c r="Q398" s="327"/>
      <c r="R398" s="594"/>
      <c r="S398" s="327"/>
      <c r="T398" s="574"/>
      <c r="U398" s="327"/>
      <c r="V398" s="595" t="str">
        <f>'refer admin discharge'!H399</f>
        <v>00/00/0000</v>
      </c>
      <c r="W398" s="327"/>
      <c r="X398" s="596"/>
      <c r="Y398" s="327"/>
      <c r="Z398" s="597"/>
      <c r="AA398" s="327"/>
      <c r="AB398" s="596"/>
      <c r="AC398" s="327"/>
      <c r="AD398" s="577"/>
      <c r="AE398" s="327"/>
      <c r="AF398" s="596"/>
      <c r="AG398" s="327"/>
      <c r="AH398" s="577"/>
      <c r="AI398" s="327"/>
      <c r="AJ398" s="596"/>
      <c r="AK398" s="327"/>
      <c r="AL398" s="598"/>
      <c r="AM398" s="326"/>
      <c r="AN398" s="326"/>
      <c r="AO398" s="326"/>
      <c r="AP398" s="326"/>
      <c r="AQ398" s="326"/>
      <c r="AR398" s="326"/>
      <c r="AS398" s="326"/>
      <c r="AT398" s="326"/>
      <c r="AU398" s="326"/>
      <c r="AV398" s="326"/>
      <c r="AW398" s="326"/>
      <c r="AX398" s="326"/>
      <c r="AY398" s="326"/>
      <c r="AZ398" s="326"/>
      <c r="BA398" s="326"/>
      <c r="BB398" s="327"/>
    </row>
    <row r="399" spans="1:54" ht="15.75" customHeight="1" x14ac:dyDescent="0.25">
      <c r="A399" s="11">
        <f t="shared" si="1"/>
        <v>386</v>
      </c>
      <c r="B399" s="504" t="str">
        <f>'refer admin discharge'!B395</f>
        <v>x</v>
      </c>
      <c r="C399" s="327"/>
      <c r="D399" s="505" t="str">
        <f>'refer admin discharge'!D395</f>
        <v>xx</v>
      </c>
      <c r="E399" s="327"/>
      <c r="F399" s="606" t="str">
        <f>'refer admin discharge'!H395</f>
        <v>00/00/0000</v>
      </c>
      <c r="G399" s="327"/>
      <c r="H399" s="594"/>
      <c r="I399" s="327"/>
      <c r="J399" s="605"/>
      <c r="K399" s="327"/>
      <c r="L399" s="594"/>
      <c r="M399" s="327"/>
      <c r="N399" s="575"/>
      <c r="O399" s="327"/>
      <c r="P399" s="594"/>
      <c r="Q399" s="327"/>
      <c r="R399" s="575"/>
      <c r="S399" s="327"/>
      <c r="T399" s="594"/>
      <c r="U399" s="327"/>
      <c r="V399" s="595" t="str">
        <f>'refer admin discharge'!H400</f>
        <v>00/00/0000</v>
      </c>
      <c r="W399" s="327"/>
      <c r="X399" s="577"/>
      <c r="Y399" s="327"/>
      <c r="Z399" s="604"/>
      <c r="AA399" s="327"/>
      <c r="AB399" s="577"/>
      <c r="AC399" s="327"/>
      <c r="AD399" s="576"/>
      <c r="AE399" s="327"/>
      <c r="AF399" s="577"/>
      <c r="AG399" s="327"/>
      <c r="AH399" s="576"/>
      <c r="AI399" s="327"/>
      <c r="AJ399" s="577"/>
      <c r="AK399" s="327"/>
      <c r="AL399" s="602"/>
      <c r="AM399" s="326"/>
      <c r="AN399" s="326"/>
      <c r="AO399" s="326"/>
      <c r="AP399" s="326"/>
      <c r="AQ399" s="326"/>
      <c r="AR399" s="326"/>
      <c r="AS399" s="326"/>
      <c r="AT399" s="326"/>
      <c r="AU399" s="326"/>
      <c r="AV399" s="326"/>
      <c r="AW399" s="326"/>
      <c r="AX399" s="326"/>
      <c r="AY399" s="326"/>
      <c r="AZ399" s="326"/>
      <c r="BA399" s="326"/>
      <c r="BB399" s="327"/>
    </row>
    <row r="400" spans="1:54" ht="15.75" customHeight="1" x14ac:dyDescent="0.25">
      <c r="A400" s="11">
        <f t="shared" si="1"/>
        <v>387</v>
      </c>
      <c r="B400" s="570" t="str">
        <f>'refer admin discharge'!B396</f>
        <v>x</v>
      </c>
      <c r="C400" s="327"/>
      <c r="D400" s="599" t="str">
        <f>'refer admin discharge'!D396</f>
        <v>xx</v>
      </c>
      <c r="E400" s="327"/>
      <c r="F400" s="600" t="str">
        <f>'refer admin discharge'!H396</f>
        <v>00/00/0000</v>
      </c>
      <c r="G400" s="327"/>
      <c r="H400" s="574"/>
      <c r="I400" s="327"/>
      <c r="J400" s="601"/>
      <c r="K400" s="327"/>
      <c r="L400" s="574"/>
      <c r="M400" s="327"/>
      <c r="N400" s="594"/>
      <c r="O400" s="327"/>
      <c r="P400" s="574"/>
      <c r="Q400" s="327"/>
      <c r="R400" s="594"/>
      <c r="S400" s="327"/>
      <c r="T400" s="574"/>
      <c r="U400" s="327"/>
      <c r="V400" s="595" t="str">
        <f>'refer admin discharge'!H401</f>
        <v>00/00/0000</v>
      </c>
      <c r="W400" s="327"/>
      <c r="X400" s="596"/>
      <c r="Y400" s="327"/>
      <c r="Z400" s="597"/>
      <c r="AA400" s="327"/>
      <c r="AB400" s="596"/>
      <c r="AC400" s="327"/>
      <c r="AD400" s="577"/>
      <c r="AE400" s="327"/>
      <c r="AF400" s="596"/>
      <c r="AG400" s="327"/>
      <c r="AH400" s="577"/>
      <c r="AI400" s="327"/>
      <c r="AJ400" s="596"/>
      <c r="AK400" s="327"/>
      <c r="AL400" s="598"/>
      <c r="AM400" s="326"/>
      <c r="AN400" s="326"/>
      <c r="AO400" s="326"/>
      <c r="AP400" s="326"/>
      <c r="AQ400" s="326"/>
      <c r="AR400" s="326"/>
      <c r="AS400" s="326"/>
      <c r="AT400" s="326"/>
      <c r="AU400" s="326"/>
      <c r="AV400" s="326"/>
      <c r="AW400" s="326"/>
      <c r="AX400" s="326"/>
      <c r="AY400" s="326"/>
      <c r="AZ400" s="326"/>
      <c r="BA400" s="326"/>
      <c r="BB400" s="327"/>
    </row>
    <row r="401" spans="1:54" ht="15.75" customHeight="1" x14ac:dyDescent="0.25">
      <c r="A401" s="11">
        <f t="shared" si="1"/>
        <v>388</v>
      </c>
      <c r="B401" s="504" t="str">
        <f>'refer admin discharge'!B397</f>
        <v>x</v>
      </c>
      <c r="C401" s="327"/>
      <c r="D401" s="505" t="str">
        <f>'refer admin discharge'!D397</f>
        <v>xx</v>
      </c>
      <c r="E401" s="327"/>
      <c r="F401" s="606" t="str">
        <f>'refer admin discharge'!H397</f>
        <v>00/00/0000</v>
      </c>
      <c r="G401" s="327"/>
      <c r="H401" s="594"/>
      <c r="I401" s="327"/>
      <c r="J401" s="605"/>
      <c r="K401" s="327"/>
      <c r="L401" s="594"/>
      <c r="M401" s="327"/>
      <c r="N401" s="575"/>
      <c r="O401" s="327"/>
      <c r="P401" s="594"/>
      <c r="Q401" s="327"/>
      <c r="R401" s="575"/>
      <c r="S401" s="327"/>
      <c r="T401" s="594"/>
      <c r="U401" s="327"/>
      <c r="V401" s="595" t="str">
        <f>'refer admin discharge'!H402</f>
        <v>00/00/0000</v>
      </c>
      <c r="W401" s="327"/>
      <c r="X401" s="577"/>
      <c r="Y401" s="327"/>
      <c r="Z401" s="604"/>
      <c r="AA401" s="327"/>
      <c r="AB401" s="577"/>
      <c r="AC401" s="327"/>
      <c r="AD401" s="576"/>
      <c r="AE401" s="327"/>
      <c r="AF401" s="577"/>
      <c r="AG401" s="327"/>
      <c r="AH401" s="576"/>
      <c r="AI401" s="327"/>
      <c r="AJ401" s="577"/>
      <c r="AK401" s="327"/>
      <c r="AL401" s="602"/>
      <c r="AM401" s="326"/>
      <c r="AN401" s="326"/>
      <c r="AO401" s="326"/>
      <c r="AP401" s="326"/>
      <c r="AQ401" s="326"/>
      <c r="AR401" s="326"/>
      <c r="AS401" s="326"/>
      <c r="AT401" s="326"/>
      <c r="AU401" s="326"/>
      <c r="AV401" s="326"/>
      <c r="AW401" s="326"/>
      <c r="AX401" s="326"/>
      <c r="AY401" s="326"/>
      <c r="AZ401" s="326"/>
      <c r="BA401" s="326"/>
      <c r="BB401" s="327"/>
    </row>
    <row r="402" spans="1:54" ht="15.75" customHeight="1" x14ac:dyDescent="0.25">
      <c r="A402" s="11">
        <f t="shared" si="1"/>
        <v>389</v>
      </c>
      <c r="B402" s="570" t="str">
        <f>'refer admin discharge'!B398</f>
        <v>x</v>
      </c>
      <c r="C402" s="327"/>
      <c r="D402" s="599" t="str">
        <f>'refer admin discharge'!D398</f>
        <v>xx</v>
      </c>
      <c r="E402" s="327"/>
      <c r="F402" s="600" t="str">
        <f>'refer admin discharge'!H398</f>
        <v>00/00/0000</v>
      </c>
      <c r="G402" s="327"/>
      <c r="H402" s="574"/>
      <c r="I402" s="327"/>
      <c r="J402" s="601"/>
      <c r="K402" s="327"/>
      <c r="L402" s="574"/>
      <c r="M402" s="327"/>
      <c r="N402" s="594"/>
      <c r="O402" s="327"/>
      <c r="P402" s="574"/>
      <c r="Q402" s="327"/>
      <c r="R402" s="594"/>
      <c r="S402" s="327"/>
      <c r="T402" s="574"/>
      <c r="U402" s="327"/>
      <c r="V402" s="595" t="str">
        <f>'refer admin discharge'!H403</f>
        <v>00/00/0000</v>
      </c>
      <c r="W402" s="327"/>
      <c r="X402" s="596"/>
      <c r="Y402" s="327"/>
      <c r="Z402" s="597"/>
      <c r="AA402" s="327"/>
      <c r="AB402" s="596"/>
      <c r="AC402" s="327"/>
      <c r="AD402" s="577"/>
      <c r="AE402" s="327"/>
      <c r="AF402" s="596"/>
      <c r="AG402" s="327"/>
      <c r="AH402" s="577"/>
      <c r="AI402" s="327"/>
      <c r="AJ402" s="596"/>
      <c r="AK402" s="327"/>
      <c r="AL402" s="598"/>
      <c r="AM402" s="326"/>
      <c r="AN402" s="326"/>
      <c r="AO402" s="326"/>
      <c r="AP402" s="326"/>
      <c r="AQ402" s="326"/>
      <c r="AR402" s="326"/>
      <c r="AS402" s="326"/>
      <c r="AT402" s="326"/>
      <c r="AU402" s="326"/>
      <c r="AV402" s="326"/>
      <c r="AW402" s="326"/>
      <c r="AX402" s="326"/>
      <c r="AY402" s="326"/>
      <c r="AZ402" s="326"/>
      <c r="BA402" s="326"/>
      <c r="BB402" s="327"/>
    </row>
    <row r="403" spans="1:54" ht="15.75" customHeight="1" x14ac:dyDescent="0.25">
      <c r="A403" s="11">
        <f t="shared" si="1"/>
        <v>390</v>
      </c>
      <c r="B403" s="504" t="str">
        <f>'refer admin discharge'!B399</f>
        <v>x</v>
      </c>
      <c r="C403" s="327"/>
      <c r="D403" s="505" t="str">
        <f>'refer admin discharge'!D399</f>
        <v>xx</v>
      </c>
      <c r="E403" s="327"/>
      <c r="F403" s="606" t="str">
        <f>'refer admin discharge'!H399</f>
        <v>00/00/0000</v>
      </c>
      <c r="G403" s="327"/>
      <c r="H403" s="594"/>
      <c r="I403" s="327"/>
      <c r="J403" s="605"/>
      <c r="K403" s="327"/>
      <c r="L403" s="594"/>
      <c r="M403" s="327"/>
      <c r="N403" s="575"/>
      <c r="O403" s="327"/>
      <c r="P403" s="594"/>
      <c r="Q403" s="327"/>
      <c r="R403" s="575"/>
      <c r="S403" s="327"/>
      <c r="T403" s="594"/>
      <c r="U403" s="327"/>
      <c r="V403" s="595" t="str">
        <f>'refer admin discharge'!H404</f>
        <v>00/00/0000</v>
      </c>
      <c r="W403" s="327"/>
      <c r="X403" s="577"/>
      <c r="Y403" s="327"/>
      <c r="Z403" s="604"/>
      <c r="AA403" s="327"/>
      <c r="AB403" s="577"/>
      <c r="AC403" s="327"/>
      <c r="AD403" s="576"/>
      <c r="AE403" s="327"/>
      <c r="AF403" s="577"/>
      <c r="AG403" s="327"/>
      <c r="AH403" s="576"/>
      <c r="AI403" s="327"/>
      <c r="AJ403" s="577"/>
      <c r="AK403" s="327"/>
      <c r="AL403" s="602"/>
      <c r="AM403" s="326"/>
      <c r="AN403" s="326"/>
      <c r="AO403" s="326"/>
      <c r="AP403" s="326"/>
      <c r="AQ403" s="326"/>
      <c r="AR403" s="326"/>
      <c r="AS403" s="326"/>
      <c r="AT403" s="326"/>
      <c r="AU403" s="326"/>
      <c r="AV403" s="326"/>
      <c r="AW403" s="326"/>
      <c r="AX403" s="326"/>
      <c r="AY403" s="326"/>
      <c r="AZ403" s="326"/>
      <c r="BA403" s="326"/>
      <c r="BB403" s="327"/>
    </row>
    <row r="404" spans="1:54" ht="15.75" customHeight="1" x14ac:dyDescent="0.25">
      <c r="A404" s="11">
        <f t="shared" si="1"/>
        <v>391</v>
      </c>
      <c r="B404" s="570" t="str">
        <f>'refer admin discharge'!B400</f>
        <v>x</v>
      </c>
      <c r="C404" s="327"/>
      <c r="D404" s="599" t="str">
        <f>'refer admin discharge'!D400</f>
        <v>xx</v>
      </c>
      <c r="E404" s="327"/>
      <c r="F404" s="600" t="str">
        <f>'refer admin discharge'!H400</f>
        <v>00/00/0000</v>
      </c>
      <c r="G404" s="327"/>
      <c r="H404" s="574"/>
      <c r="I404" s="327"/>
      <c r="J404" s="601"/>
      <c r="K404" s="327"/>
      <c r="L404" s="574"/>
      <c r="M404" s="327"/>
      <c r="N404" s="594"/>
      <c r="O404" s="327"/>
      <c r="P404" s="574"/>
      <c r="Q404" s="327"/>
      <c r="R404" s="594"/>
      <c r="S404" s="327"/>
      <c r="T404" s="574"/>
      <c r="U404" s="327"/>
      <c r="V404" s="595" t="str">
        <f>'refer admin discharge'!H405</f>
        <v>00/00/0000</v>
      </c>
      <c r="W404" s="327"/>
      <c r="X404" s="596"/>
      <c r="Y404" s="327"/>
      <c r="Z404" s="597"/>
      <c r="AA404" s="327"/>
      <c r="AB404" s="596"/>
      <c r="AC404" s="327"/>
      <c r="AD404" s="577"/>
      <c r="AE404" s="327"/>
      <c r="AF404" s="596"/>
      <c r="AG404" s="327"/>
      <c r="AH404" s="577"/>
      <c r="AI404" s="327"/>
      <c r="AJ404" s="596"/>
      <c r="AK404" s="327"/>
      <c r="AL404" s="598"/>
      <c r="AM404" s="326"/>
      <c r="AN404" s="326"/>
      <c r="AO404" s="326"/>
      <c r="AP404" s="326"/>
      <c r="AQ404" s="326"/>
      <c r="AR404" s="326"/>
      <c r="AS404" s="326"/>
      <c r="AT404" s="326"/>
      <c r="AU404" s="326"/>
      <c r="AV404" s="326"/>
      <c r="AW404" s="326"/>
      <c r="AX404" s="326"/>
      <c r="AY404" s="326"/>
      <c r="AZ404" s="326"/>
      <c r="BA404" s="326"/>
      <c r="BB404" s="327"/>
    </row>
    <row r="405" spans="1:54" ht="15.75" customHeight="1" x14ac:dyDescent="0.25">
      <c r="A405" s="11">
        <f t="shared" si="1"/>
        <v>392</v>
      </c>
      <c r="B405" s="504" t="str">
        <f>'refer admin discharge'!B401</f>
        <v>x</v>
      </c>
      <c r="C405" s="327"/>
      <c r="D405" s="505" t="str">
        <f>'refer admin discharge'!D401</f>
        <v>xx</v>
      </c>
      <c r="E405" s="327"/>
      <c r="F405" s="606" t="str">
        <f>'refer admin discharge'!H401</f>
        <v>00/00/0000</v>
      </c>
      <c r="G405" s="327"/>
      <c r="H405" s="594"/>
      <c r="I405" s="327"/>
      <c r="J405" s="605"/>
      <c r="K405" s="327"/>
      <c r="L405" s="594"/>
      <c r="M405" s="327"/>
      <c r="N405" s="575"/>
      <c r="O405" s="327"/>
      <c r="P405" s="594"/>
      <c r="Q405" s="327"/>
      <c r="R405" s="575"/>
      <c r="S405" s="327"/>
      <c r="T405" s="594"/>
      <c r="U405" s="327"/>
      <c r="V405" s="595" t="str">
        <f>'refer admin discharge'!H406</f>
        <v>00/00/0000</v>
      </c>
      <c r="W405" s="327"/>
      <c r="X405" s="577"/>
      <c r="Y405" s="327"/>
      <c r="Z405" s="604"/>
      <c r="AA405" s="327"/>
      <c r="AB405" s="577"/>
      <c r="AC405" s="327"/>
      <c r="AD405" s="576"/>
      <c r="AE405" s="327"/>
      <c r="AF405" s="577"/>
      <c r="AG405" s="327"/>
      <c r="AH405" s="576"/>
      <c r="AI405" s="327"/>
      <c r="AJ405" s="577"/>
      <c r="AK405" s="327"/>
      <c r="AL405" s="602"/>
      <c r="AM405" s="326"/>
      <c r="AN405" s="326"/>
      <c r="AO405" s="326"/>
      <c r="AP405" s="326"/>
      <c r="AQ405" s="326"/>
      <c r="AR405" s="326"/>
      <c r="AS405" s="326"/>
      <c r="AT405" s="326"/>
      <c r="AU405" s="326"/>
      <c r="AV405" s="326"/>
      <c r="AW405" s="326"/>
      <c r="AX405" s="326"/>
      <c r="AY405" s="326"/>
      <c r="AZ405" s="326"/>
      <c r="BA405" s="326"/>
      <c r="BB405" s="327"/>
    </row>
    <row r="406" spans="1:54" ht="15.75" customHeight="1" x14ac:dyDescent="0.25">
      <c r="A406" s="11">
        <f t="shared" si="1"/>
        <v>393</v>
      </c>
      <c r="B406" s="570" t="str">
        <f>'refer admin discharge'!B402</f>
        <v>x</v>
      </c>
      <c r="C406" s="327"/>
      <c r="D406" s="599" t="str">
        <f>'refer admin discharge'!D402</f>
        <v>xx</v>
      </c>
      <c r="E406" s="327"/>
      <c r="F406" s="600" t="str">
        <f>'refer admin discharge'!H402</f>
        <v>00/00/0000</v>
      </c>
      <c r="G406" s="327"/>
      <c r="H406" s="574"/>
      <c r="I406" s="327"/>
      <c r="J406" s="601"/>
      <c r="K406" s="327"/>
      <c r="L406" s="574"/>
      <c r="M406" s="327"/>
      <c r="N406" s="594"/>
      <c r="O406" s="327"/>
      <c r="P406" s="574"/>
      <c r="Q406" s="327"/>
      <c r="R406" s="594"/>
      <c r="S406" s="327"/>
      <c r="T406" s="574"/>
      <c r="U406" s="327"/>
      <c r="V406" s="595" t="str">
        <f>'refer admin discharge'!H407</f>
        <v>00/00/0000</v>
      </c>
      <c r="W406" s="327"/>
      <c r="X406" s="596"/>
      <c r="Y406" s="327"/>
      <c r="Z406" s="597"/>
      <c r="AA406" s="327"/>
      <c r="AB406" s="596"/>
      <c r="AC406" s="327"/>
      <c r="AD406" s="577"/>
      <c r="AE406" s="327"/>
      <c r="AF406" s="596"/>
      <c r="AG406" s="327"/>
      <c r="AH406" s="577"/>
      <c r="AI406" s="327"/>
      <c r="AJ406" s="596"/>
      <c r="AK406" s="327"/>
      <c r="AL406" s="598"/>
      <c r="AM406" s="326"/>
      <c r="AN406" s="326"/>
      <c r="AO406" s="326"/>
      <c r="AP406" s="326"/>
      <c r="AQ406" s="326"/>
      <c r="AR406" s="326"/>
      <c r="AS406" s="326"/>
      <c r="AT406" s="326"/>
      <c r="AU406" s="326"/>
      <c r="AV406" s="326"/>
      <c r="AW406" s="326"/>
      <c r="AX406" s="326"/>
      <c r="AY406" s="326"/>
      <c r="AZ406" s="326"/>
      <c r="BA406" s="326"/>
      <c r="BB406" s="327"/>
    </row>
    <row r="407" spans="1:54" ht="15.75" customHeight="1" x14ac:dyDescent="0.25">
      <c r="A407" s="11">
        <f t="shared" si="1"/>
        <v>394</v>
      </c>
      <c r="B407" s="504" t="str">
        <f>'refer admin discharge'!B403</f>
        <v>x</v>
      </c>
      <c r="C407" s="327"/>
      <c r="D407" s="505" t="str">
        <f>'refer admin discharge'!D403</f>
        <v>xx</v>
      </c>
      <c r="E407" s="327"/>
      <c r="F407" s="606" t="str">
        <f>'refer admin discharge'!H403</f>
        <v>00/00/0000</v>
      </c>
      <c r="G407" s="327"/>
      <c r="H407" s="594"/>
      <c r="I407" s="327"/>
      <c r="J407" s="605"/>
      <c r="K407" s="327"/>
      <c r="L407" s="594"/>
      <c r="M407" s="327"/>
      <c r="N407" s="575"/>
      <c r="O407" s="327"/>
      <c r="P407" s="594"/>
      <c r="Q407" s="327"/>
      <c r="R407" s="575"/>
      <c r="S407" s="327"/>
      <c r="T407" s="594"/>
      <c r="U407" s="327"/>
      <c r="V407" s="595" t="str">
        <f>'refer admin discharge'!H408</f>
        <v>00/00/0000</v>
      </c>
      <c r="W407" s="327"/>
      <c r="X407" s="577"/>
      <c r="Y407" s="327"/>
      <c r="Z407" s="604"/>
      <c r="AA407" s="327"/>
      <c r="AB407" s="577"/>
      <c r="AC407" s="327"/>
      <c r="AD407" s="576"/>
      <c r="AE407" s="327"/>
      <c r="AF407" s="577"/>
      <c r="AG407" s="327"/>
      <c r="AH407" s="576"/>
      <c r="AI407" s="327"/>
      <c r="AJ407" s="577"/>
      <c r="AK407" s="327"/>
      <c r="AL407" s="602"/>
      <c r="AM407" s="326"/>
      <c r="AN407" s="326"/>
      <c r="AO407" s="326"/>
      <c r="AP407" s="326"/>
      <c r="AQ407" s="326"/>
      <c r="AR407" s="326"/>
      <c r="AS407" s="326"/>
      <c r="AT407" s="326"/>
      <c r="AU407" s="326"/>
      <c r="AV407" s="326"/>
      <c r="AW407" s="326"/>
      <c r="AX407" s="326"/>
      <c r="AY407" s="326"/>
      <c r="AZ407" s="326"/>
      <c r="BA407" s="326"/>
      <c r="BB407" s="327"/>
    </row>
    <row r="408" spans="1:54" ht="15.75" customHeight="1" x14ac:dyDescent="0.25">
      <c r="A408" s="11">
        <f t="shared" si="1"/>
        <v>395</v>
      </c>
      <c r="B408" s="570" t="str">
        <f>'refer admin discharge'!B404</f>
        <v>x</v>
      </c>
      <c r="C408" s="327"/>
      <c r="D408" s="599" t="str">
        <f>'refer admin discharge'!D404</f>
        <v>xx</v>
      </c>
      <c r="E408" s="327"/>
      <c r="F408" s="600" t="str">
        <f>'refer admin discharge'!H404</f>
        <v>00/00/0000</v>
      </c>
      <c r="G408" s="327"/>
      <c r="H408" s="574"/>
      <c r="I408" s="327"/>
      <c r="J408" s="601"/>
      <c r="K408" s="327"/>
      <c r="L408" s="574"/>
      <c r="M408" s="327"/>
      <c r="N408" s="594"/>
      <c r="O408" s="327"/>
      <c r="P408" s="574"/>
      <c r="Q408" s="327"/>
      <c r="R408" s="594"/>
      <c r="S408" s="327"/>
      <c r="T408" s="574"/>
      <c r="U408" s="327"/>
      <c r="V408" s="595" t="str">
        <f>'refer admin discharge'!H409</f>
        <v>00/00/0000</v>
      </c>
      <c r="W408" s="327"/>
      <c r="X408" s="596"/>
      <c r="Y408" s="327"/>
      <c r="Z408" s="597"/>
      <c r="AA408" s="327"/>
      <c r="AB408" s="596"/>
      <c r="AC408" s="327"/>
      <c r="AD408" s="577"/>
      <c r="AE408" s="327"/>
      <c r="AF408" s="596"/>
      <c r="AG408" s="327"/>
      <c r="AH408" s="577"/>
      <c r="AI408" s="327"/>
      <c r="AJ408" s="596"/>
      <c r="AK408" s="327"/>
      <c r="AL408" s="598"/>
      <c r="AM408" s="326"/>
      <c r="AN408" s="326"/>
      <c r="AO408" s="326"/>
      <c r="AP408" s="326"/>
      <c r="AQ408" s="326"/>
      <c r="AR408" s="326"/>
      <c r="AS408" s="326"/>
      <c r="AT408" s="326"/>
      <c r="AU408" s="326"/>
      <c r="AV408" s="326"/>
      <c r="AW408" s="326"/>
      <c r="AX408" s="326"/>
      <c r="AY408" s="326"/>
      <c r="AZ408" s="326"/>
      <c r="BA408" s="326"/>
      <c r="BB408" s="327"/>
    </row>
    <row r="409" spans="1:54" ht="15.75" customHeight="1" x14ac:dyDescent="0.25">
      <c r="A409" s="11">
        <f t="shared" si="1"/>
        <v>396</v>
      </c>
      <c r="B409" s="504" t="str">
        <f>'refer admin discharge'!B405</f>
        <v>x</v>
      </c>
      <c r="C409" s="327"/>
      <c r="D409" s="505" t="str">
        <f>'refer admin discharge'!D405</f>
        <v>xx</v>
      </c>
      <c r="E409" s="327"/>
      <c r="F409" s="606" t="str">
        <f>'refer admin discharge'!H405</f>
        <v>00/00/0000</v>
      </c>
      <c r="G409" s="327"/>
      <c r="H409" s="594"/>
      <c r="I409" s="327"/>
      <c r="J409" s="605"/>
      <c r="K409" s="327"/>
      <c r="L409" s="594"/>
      <c r="M409" s="327"/>
      <c r="N409" s="575"/>
      <c r="O409" s="327"/>
      <c r="P409" s="594"/>
      <c r="Q409" s="327"/>
      <c r="R409" s="575"/>
      <c r="S409" s="327"/>
      <c r="T409" s="594"/>
      <c r="U409" s="327"/>
      <c r="V409" s="595" t="str">
        <f>'refer admin discharge'!H410</f>
        <v>00/00/0000</v>
      </c>
      <c r="W409" s="327"/>
      <c r="X409" s="577"/>
      <c r="Y409" s="327"/>
      <c r="Z409" s="604"/>
      <c r="AA409" s="327"/>
      <c r="AB409" s="577"/>
      <c r="AC409" s="327"/>
      <c r="AD409" s="576"/>
      <c r="AE409" s="327"/>
      <c r="AF409" s="577"/>
      <c r="AG409" s="327"/>
      <c r="AH409" s="576"/>
      <c r="AI409" s="327"/>
      <c r="AJ409" s="577"/>
      <c r="AK409" s="327"/>
      <c r="AL409" s="602"/>
      <c r="AM409" s="326"/>
      <c r="AN409" s="326"/>
      <c r="AO409" s="326"/>
      <c r="AP409" s="326"/>
      <c r="AQ409" s="326"/>
      <c r="AR409" s="326"/>
      <c r="AS409" s="326"/>
      <c r="AT409" s="326"/>
      <c r="AU409" s="326"/>
      <c r="AV409" s="326"/>
      <c r="AW409" s="326"/>
      <c r="AX409" s="326"/>
      <c r="AY409" s="326"/>
      <c r="AZ409" s="326"/>
      <c r="BA409" s="326"/>
      <c r="BB409" s="327"/>
    </row>
    <row r="410" spans="1:54" ht="15.75" customHeight="1" x14ac:dyDescent="0.25">
      <c r="A410" s="11">
        <f t="shared" si="1"/>
        <v>397</v>
      </c>
      <c r="B410" s="570" t="str">
        <f>'refer admin discharge'!B406</f>
        <v>x</v>
      </c>
      <c r="C410" s="327"/>
      <c r="D410" s="599" t="str">
        <f>'refer admin discharge'!D406</f>
        <v>xx</v>
      </c>
      <c r="E410" s="327"/>
      <c r="F410" s="600" t="str">
        <f>'refer admin discharge'!H406</f>
        <v>00/00/0000</v>
      </c>
      <c r="G410" s="327"/>
      <c r="H410" s="574"/>
      <c r="I410" s="327"/>
      <c r="J410" s="601"/>
      <c r="K410" s="327"/>
      <c r="L410" s="574"/>
      <c r="M410" s="327"/>
      <c r="N410" s="594"/>
      <c r="O410" s="327"/>
      <c r="P410" s="574"/>
      <c r="Q410" s="327"/>
      <c r="R410" s="594"/>
      <c r="S410" s="327"/>
      <c r="T410" s="574"/>
      <c r="U410" s="327"/>
      <c r="V410" s="595" t="str">
        <f>'refer admin discharge'!H411</f>
        <v>00/00/0000</v>
      </c>
      <c r="W410" s="327"/>
      <c r="X410" s="596"/>
      <c r="Y410" s="327"/>
      <c r="Z410" s="597"/>
      <c r="AA410" s="327"/>
      <c r="AB410" s="596"/>
      <c r="AC410" s="327"/>
      <c r="AD410" s="577"/>
      <c r="AE410" s="327"/>
      <c r="AF410" s="596"/>
      <c r="AG410" s="327"/>
      <c r="AH410" s="577"/>
      <c r="AI410" s="327"/>
      <c r="AJ410" s="596"/>
      <c r="AK410" s="327"/>
      <c r="AL410" s="598"/>
      <c r="AM410" s="326"/>
      <c r="AN410" s="326"/>
      <c r="AO410" s="326"/>
      <c r="AP410" s="326"/>
      <c r="AQ410" s="326"/>
      <c r="AR410" s="326"/>
      <c r="AS410" s="326"/>
      <c r="AT410" s="326"/>
      <c r="AU410" s="326"/>
      <c r="AV410" s="326"/>
      <c r="AW410" s="326"/>
      <c r="AX410" s="326"/>
      <c r="AY410" s="326"/>
      <c r="AZ410" s="326"/>
      <c r="BA410" s="326"/>
      <c r="BB410" s="327"/>
    </row>
    <row r="411" spans="1:54" ht="15.75" customHeight="1" x14ac:dyDescent="0.25">
      <c r="A411" s="11">
        <f t="shared" si="1"/>
        <v>398</v>
      </c>
      <c r="B411" s="504" t="str">
        <f>'refer admin discharge'!B407</f>
        <v>x</v>
      </c>
      <c r="C411" s="327"/>
      <c r="D411" s="505" t="str">
        <f>'refer admin discharge'!D407</f>
        <v>xx</v>
      </c>
      <c r="E411" s="327"/>
      <c r="F411" s="606" t="str">
        <f>'refer admin discharge'!H407</f>
        <v>00/00/0000</v>
      </c>
      <c r="G411" s="327"/>
      <c r="H411" s="594"/>
      <c r="I411" s="327"/>
      <c r="J411" s="605"/>
      <c r="K411" s="327"/>
      <c r="L411" s="594"/>
      <c r="M411" s="327"/>
      <c r="N411" s="575"/>
      <c r="O411" s="327"/>
      <c r="P411" s="594"/>
      <c r="Q411" s="327"/>
      <c r="R411" s="575"/>
      <c r="S411" s="327"/>
      <c r="T411" s="594"/>
      <c r="U411" s="327"/>
      <c r="V411" s="595" t="str">
        <f>'refer admin discharge'!H412</f>
        <v>00/00/0000</v>
      </c>
      <c r="W411" s="327"/>
      <c r="X411" s="577"/>
      <c r="Y411" s="327"/>
      <c r="Z411" s="604"/>
      <c r="AA411" s="327"/>
      <c r="AB411" s="577"/>
      <c r="AC411" s="327"/>
      <c r="AD411" s="576"/>
      <c r="AE411" s="327"/>
      <c r="AF411" s="577"/>
      <c r="AG411" s="327"/>
      <c r="AH411" s="576"/>
      <c r="AI411" s="327"/>
      <c r="AJ411" s="577"/>
      <c r="AK411" s="327"/>
      <c r="AL411" s="602"/>
      <c r="AM411" s="326"/>
      <c r="AN411" s="326"/>
      <c r="AO411" s="326"/>
      <c r="AP411" s="326"/>
      <c r="AQ411" s="326"/>
      <c r="AR411" s="326"/>
      <c r="AS411" s="326"/>
      <c r="AT411" s="326"/>
      <c r="AU411" s="326"/>
      <c r="AV411" s="326"/>
      <c r="AW411" s="326"/>
      <c r="AX411" s="326"/>
      <c r="AY411" s="326"/>
      <c r="AZ411" s="326"/>
      <c r="BA411" s="326"/>
      <c r="BB411" s="327"/>
    </row>
    <row r="412" spans="1:54" ht="15.75" customHeight="1" x14ac:dyDescent="0.25">
      <c r="A412" s="11">
        <f t="shared" si="1"/>
        <v>399</v>
      </c>
      <c r="B412" s="570" t="str">
        <f>'refer admin discharge'!B408</f>
        <v>x</v>
      </c>
      <c r="C412" s="327"/>
      <c r="D412" s="599" t="str">
        <f>'refer admin discharge'!D408</f>
        <v>xx</v>
      </c>
      <c r="E412" s="327"/>
      <c r="F412" s="600" t="str">
        <f>'refer admin discharge'!H408</f>
        <v>00/00/0000</v>
      </c>
      <c r="G412" s="327"/>
      <c r="H412" s="574"/>
      <c r="I412" s="327"/>
      <c r="J412" s="601"/>
      <c r="K412" s="327"/>
      <c r="L412" s="574"/>
      <c r="M412" s="327"/>
      <c r="N412" s="594"/>
      <c r="O412" s="327"/>
      <c r="P412" s="574"/>
      <c r="Q412" s="327"/>
      <c r="R412" s="594"/>
      <c r="S412" s="327"/>
      <c r="T412" s="574"/>
      <c r="U412" s="327"/>
      <c r="V412" s="595" t="str">
        <f>'refer admin discharge'!H413</f>
        <v>00/00/0000</v>
      </c>
      <c r="W412" s="327"/>
      <c r="X412" s="596"/>
      <c r="Y412" s="327"/>
      <c r="Z412" s="597"/>
      <c r="AA412" s="327"/>
      <c r="AB412" s="596"/>
      <c r="AC412" s="327"/>
      <c r="AD412" s="577"/>
      <c r="AE412" s="327"/>
      <c r="AF412" s="596"/>
      <c r="AG412" s="327"/>
      <c r="AH412" s="577"/>
      <c r="AI412" s="327"/>
      <c r="AJ412" s="596"/>
      <c r="AK412" s="327"/>
      <c r="AL412" s="598"/>
      <c r="AM412" s="326"/>
      <c r="AN412" s="326"/>
      <c r="AO412" s="326"/>
      <c r="AP412" s="326"/>
      <c r="AQ412" s="326"/>
      <c r="AR412" s="326"/>
      <c r="AS412" s="326"/>
      <c r="AT412" s="326"/>
      <c r="AU412" s="326"/>
      <c r="AV412" s="326"/>
      <c r="AW412" s="326"/>
      <c r="AX412" s="326"/>
      <c r="AY412" s="326"/>
      <c r="AZ412" s="326"/>
      <c r="BA412" s="326"/>
      <c r="BB412" s="327"/>
    </row>
    <row r="413" spans="1:54" ht="15.75" customHeight="1" x14ac:dyDescent="0.25">
      <c r="A413" s="11">
        <f t="shared" si="1"/>
        <v>400</v>
      </c>
      <c r="B413" s="504" t="str">
        <f>'refer admin discharge'!B409</f>
        <v>x</v>
      </c>
      <c r="C413" s="327"/>
      <c r="D413" s="505" t="str">
        <f>'refer admin discharge'!D409</f>
        <v>xx</v>
      </c>
      <c r="E413" s="327"/>
      <c r="F413" s="606" t="str">
        <f>'refer admin discharge'!H409</f>
        <v>00/00/0000</v>
      </c>
      <c r="G413" s="327"/>
      <c r="H413" s="594"/>
      <c r="I413" s="327"/>
      <c r="J413" s="605"/>
      <c r="K413" s="327"/>
      <c r="L413" s="594"/>
      <c r="M413" s="327"/>
      <c r="N413" s="575"/>
      <c r="O413" s="327"/>
      <c r="P413" s="594"/>
      <c r="Q413" s="327"/>
      <c r="R413" s="575"/>
      <c r="S413" s="327"/>
      <c r="T413" s="594"/>
      <c r="U413" s="327"/>
      <c r="V413" s="595" t="str">
        <f>'refer admin discharge'!H414</f>
        <v>00/00/0000</v>
      </c>
      <c r="W413" s="327"/>
      <c r="X413" s="577"/>
      <c r="Y413" s="327"/>
      <c r="Z413" s="604"/>
      <c r="AA413" s="327"/>
      <c r="AB413" s="577"/>
      <c r="AC413" s="327"/>
      <c r="AD413" s="576"/>
      <c r="AE413" s="327"/>
      <c r="AF413" s="577"/>
      <c r="AG413" s="327"/>
      <c r="AH413" s="576"/>
      <c r="AI413" s="327"/>
      <c r="AJ413" s="577"/>
      <c r="AK413" s="327"/>
      <c r="AL413" s="602"/>
      <c r="AM413" s="326"/>
      <c r="AN413" s="326"/>
      <c r="AO413" s="326"/>
      <c r="AP413" s="326"/>
      <c r="AQ413" s="326"/>
      <c r="AR413" s="326"/>
      <c r="AS413" s="326"/>
      <c r="AT413" s="326"/>
      <c r="AU413" s="326"/>
      <c r="AV413" s="326"/>
      <c r="AW413" s="326"/>
      <c r="AX413" s="326"/>
      <c r="AY413" s="326"/>
      <c r="AZ413" s="326"/>
      <c r="BA413" s="326"/>
      <c r="BB413" s="327"/>
    </row>
    <row r="414" spans="1:54" ht="15.75" customHeight="1" x14ac:dyDescent="0.25">
      <c r="A414" s="11">
        <f t="shared" si="1"/>
        <v>401</v>
      </c>
      <c r="B414" s="570" t="str">
        <f>'refer admin discharge'!B410</f>
        <v>x</v>
      </c>
      <c r="C414" s="327"/>
      <c r="D414" s="599" t="str">
        <f>'refer admin discharge'!D410</f>
        <v>xx</v>
      </c>
      <c r="E414" s="327"/>
      <c r="F414" s="600" t="str">
        <f>'refer admin discharge'!H410</f>
        <v>00/00/0000</v>
      </c>
      <c r="G414" s="327"/>
      <c r="H414" s="574"/>
      <c r="I414" s="327"/>
      <c r="J414" s="601"/>
      <c r="K414" s="327"/>
      <c r="L414" s="574"/>
      <c r="M414" s="327"/>
      <c r="N414" s="594"/>
      <c r="O414" s="327"/>
      <c r="P414" s="574"/>
      <c r="Q414" s="327"/>
      <c r="R414" s="594"/>
      <c r="S414" s="327"/>
      <c r="T414" s="574"/>
      <c r="U414" s="327"/>
      <c r="V414" s="595" t="str">
        <f>'refer admin discharge'!H415</f>
        <v>00/00/0000</v>
      </c>
      <c r="W414" s="327"/>
      <c r="X414" s="596"/>
      <c r="Y414" s="327"/>
      <c r="Z414" s="597"/>
      <c r="AA414" s="327"/>
      <c r="AB414" s="596"/>
      <c r="AC414" s="327"/>
      <c r="AD414" s="577"/>
      <c r="AE414" s="327"/>
      <c r="AF414" s="596"/>
      <c r="AG414" s="327"/>
      <c r="AH414" s="577"/>
      <c r="AI414" s="327"/>
      <c r="AJ414" s="596"/>
      <c r="AK414" s="327"/>
      <c r="AL414" s="598"/>
      <c r="AM414" s="326"/>
      <c r="AN414" s="326"/>
      <c r="AO414" s="326"/>
      <c r="AP414" s="326"/>
      <c r="AQ414" s="326"/>
      <c r="AR414" s="326"/>
      <c r="AS414" s="326"/>
      <c r="AT414" s="326"/>
      <c r="AU414" s="326"/>
      <c r="AV414" s="326"/>
      <c r="AW414" s="326"/>
      <c r="AX414" s="326"/>
      <c r="AY414" s="326"/>
      <c r="AZ414" s="326"/>
      <c r="BA414" s="326"/>
      <c r="BB414" s="327"/>
    </row>
    <row r="415" spans="1:54" ht="15.75" customHeight="1" x14ac:dyDescent="0.25">
      <c r="A415" s="11">
        <f t="shared" si="1"/>
        <v>402</v>
      </c>
      <c r="B415" s="504" t="str">
        <f>'refer admin discharge'!B411</f>
        <v>x</v>
      </c>
      <c r="C415" s="327"/>
      <c r="D415" s="505" t="str">
        <f>'refer admin discharge'!D411</f>
        <v>xx</v>
      </c>
      <c r="E415" s="327"/>
      <c r="F415" s="606" t="str">
        <f>'refer admin discharge'!H411</f>
        <v>00/00/0000</v>
      </c>
      <c r="G415" s="327"/>
      <c r="H415" s="594"/>
      <c r="I415" s="327"/>
      <c r="J415" s="605"/>
      <c r="K415" s="327"/>
      <c r="L415" s="594"/>
      <c r="M415" s="327"/>
      <c r="N415" s="575"/>
      <c r="O415" s="327"/>
      <c r="P415" s="594"/>
      <c r="Q415" s="327"/>
      <c r="R415" s="575"/>
      <c r="S415" s="327"/>
      <c r="T415" s="594"/>
      <c r="U415" s="327"/>
      <c r="V415" s="595" t="str">
        <f>'refer admin discharge'!H416</f>
        <v>00/00/0000</v>
      </c>
      <c r="W415" s="327"/>
      <c r="X415" s="577"/>
      <c r="Y415" s="327"/>
      <c r="Z415" s="604"/>
      <c r="AA415" s="327"/>
      <c r="AB415" s="577"/>
      <c r="AC415" s="327"/>
      <c r="AD415" s="576"/>
      <c r="AE415" s="327"/>
      <c r="AF415" s="577"/>
      <c r="AG415" s="327"/>
      <c r="AH415" s="576"/>
      <c r="AI415" s="327"/>
      <c r="AJ415" s="577"/>
      <c r="AK415" s="327"/>
      <c r="AL415" s="602"/>
      <c r="AM415" s="326"/>
      <c r="AN415" s="326"/>
      <c r="AO415" s="326"/>
      <c r="AP415" s="326"/>
      <c r="AQ415" s="326"/>
      <c r="AR415" s="326"/>
      <c r="AS415" s="326"/>
      <c r="AT415" s="326"/>
      <c r="AU415" s="326"/>
      <c r="AV415" s="326"/>
      <c r="AW415" s="326"/>
      <c r="AX415" s="326"/>
      <c r="AY415" s="326"/>
      <c r="AZ415" s="326"/>
      <c r="BA415" s="326"/>
      <c r="BB415" s="327"/>
    </row>
    <row r="416" spans="1:54" ht="15.75" customHeight="1" x14ac:dyDescent="0.25">
      <c r="A416" s="11">
        <f t="shared" si="1"/>
        <v>403</v>
      </c>
      <c r="B416" s="570" t="str">
        <f>'refer admin discharge'!B412</f>
        <v>x</v>
      </c>
      <c r="C416" s="327"/>
      <c r="D416" s="599" t="str">
        <f>'refer admin discharge'!D412</f>
        <v>xx</v>
      </c>
      <c r="E416" s="327"/>
      <c r="F416" s="600" t="str">
        <f>'refer admin discharge'!H412</f>
        <v>00/00/0000</v>
      </c>
      <c r="G416" s="327"/>
      <c r="H416" s="574"/>
      <c r="I416" s="327"/>
      <c r="J416" s="601"/>
      <c r="K416" s="327"/>
      <c r="L416" s="574"/>
      <c r="M416" s="327"/>
      <c r="N416" s="594"/>
      <c r="O416" s="327"/>
      <c r="P416" s="574"/>
      <c r="Q416" s="327"/>
      <c r="R416" s="594"/>
      <c r="S416" s="327"/>
      <c r="T416" s="574"/>
      <c r="U416" s="327"/>
      <c r="V416" s="595" t="str">
        <f>'refer admin discharge'!H417</f>
        <v>00/00/0000</v>
      </c>
      <c r="W416" s="327"/>
      <c r="X416" s="596"/>
      <c r="Y416" s="327"/>
      <c r="Z416" s="597"/>
      <c r="AA416" s="327"/>
      <c r="AB416" s="596"/>
      <c r="AC416" s="327"/>
      <c r="AD416" s="577"/>
      <c r="AE416" s="327"/>
      <c r="AF416" s="596"/>
      <c r="AG416" s="327"/>
      <c r="AH416" s="577"/>
      <c r="AI416" s="327"/>
      <c r="AJ416" s="596"/>
      <c r="AK416" s="327"/>
      <c r="AL416" s="598"/>
      <c r="AM416" s="326"/>
      <c r="AN416" s="326"/>
      <c r="AO416" s="326"/>
      <c r="AP416" s="326"/>
      <c r="AQ416" s="326"/>
      <c r="AR416" s="326"/>
      <c r="AS416" s="326"/>
      <c r="AT416" s="326"/>
      <c r="AU416" s="326"/>
      <c r="AV416" s="326"/>
      <c r="AW416" s="326"/>
      <c r="AX416" s="326"/>
      <c r="AY416" s="326"/>
      <c r="AZ416" s="326"/>
      <c r="BA416" s="326"/>
      <c r="BB416" s="327"/>
    </row>
    <row r="417" spans="1:54" ht="15.75" customHeight="1" x14ac:dyDescent="0.25">
      <c r="A417" s="11">
        <f t="shared" si="1"/>
        <v>404</v>
      </c>
      <c r="B417" s="504" t="str">
        <f>'refer admin discharge'!B413</f>
        <v>x</v>
      </c>
      <c r="C417" s="327"/>
      <c r="D417" s="505" t="str">
        <f>'refer admin discharge'!D413</f>
        <v>xx</v>
      </c>
      <c r="E417" s="327"/>
      <c r="F417" s="606" t="str">
        <f>'refer admin discharge'!H413</f>
        <v>00/00/0000</v>
      </c>
      <c r="G417" s="327"/>
      <c r="H417" s="594"/>
      <c r="I417" s="327"/>
      <c r="J417" s="605"/>
      <c r="K417" s="327"/>
      <c r="L417" s="594"/>
      <c r="M417" s="327"/>
      <c r="N417" s="575"/>
      <c r="O417" s="327"/>
      <c r="P417" s="594"/>
      <c r="Q417" s="327"/>
      <c r="R417" s="575"/>
      <c r="S417" s="327"/>
      <c r="T417" s="594"/>
      <c r="U417" s="327"/>
      <c r="V417" s="595" t="str">
        <f>'refer admin discharge'!H418</f>
        <v>00/00/0000</v>
      </c>
      <c r="W417" s="327"/>
      <c r="X417" s="577"/>
      <c r="Y417" s="327"/>
      <c r="Z417" s="604"/>
      <c r="AA417" s="327"/>
      <c r="AB417" s="577"/>
      <c r="AC417" s="327"/>
      <c r="AD417" s="576"/>
      <c r="AE417" s="327"/>
      <c r="AF417" s="577"/>
      <c r="AG417" s="327"/>
      <c r="AH417" s="576"/>
      <c r="AI417" s="327"/>
      <c r="AJ417" s="577"/>
      <c r="AK417" s="327"/>
      <c r="AL417" s="602"/>
      <c r="AM417" s="326"/>
      <c r="AN417" s="326"/>
      <c r="AO417" s="326"/>
      <c r="AP417" s="326"/>
      <c r="AQ417" s="326"/>
      <c r="AR417" s="326"/>
      <c r="AS417" s="326"/>
      <c r="AT417" s="326"/>
      <c r="AU417" s="326"/>
      <c r="AV417" s="326"/>
      <c r="AW417" s="326"/>
      <c r="AX417" s="326"/>
      <c r="AY417" s="326"/>
      <c r="AZ417" s="326"/>
      <c r="BA417" s="326"/>
      <c r="BB417" s="327"/>
    </row>
    <row r="418" spans="1:54" ht="15.75" customHeight="1" x14ac:dyDescent="0.25">
      <c r="A418" s="11">
        <f t="shared" si="1"/>
        <v>405</v>
      </c>
      <c r="B418" s="570" t="str">
        <f>'refer admin discharge'!B414</f>
        <v>x</v>
      </c>
      <c r="C418" s="327"/>
      <c r="D418" s="599" t="str">
        <f>'refer admin discharge'!D414</f>
        <v>xx</v>
      </c>
      <c r="E418" s="327"/>
      <c r="F418" s="600" t="str">
        <f>'refer admin discharge'!H414</f>
        <v>00/00/0000</v>
      </c>
      <c r="G418" s="327"/>
      <c r="H418" s="574"/>
      <c r="I418" s="327"/>
      <c r="J418" s="601"/>
      <c r="K418" s="327"/>
      <c r="L418" s="574"/>
      <c r="M418" s="327"/>
      <c r="N418" s="594"/>
      <c r="O418" s="327"/>
      <c r="P418" s="574"/>
      <c r="Q418" s="327"/>
      <c r="R418" s="594"/>
      <c r="S418" s="327"/>
      <c r="T418" s="574"/>
      <c r="U418" s="327"/>
      <c r="V418" s="595" t="str">
        <f>'refer admin discharge'!H419</f>
        <v>00/00/0000</v>
      </c>
      <c r="W418" s="327"/>
      <c r="X418" s="596"/>
      <c r="Y418" s="327"/>
      <c r="Z418" s="597"/>
      <c r="AA418" s="327"/>
      <c r="AB418" s="596"/>
      <c r="AC418" s="327"/>
      <c r="AD418" s="577"/>
      <c r="AE418" s="327"/>
      <c r="AF418" s="596"/>
      <c r="AG418" s="327"/>
      <c r="AH418" s="577"/>
      <c r="AI418" s="327"/>
      <c r="AJ418" s="596"/>
      <c r="AK418" s="327"/>
      <c r="AL418" s="598"/>
      <c r="AM418" s="326"/>
      <c r="AN418" s="326"/>
      <c r="AO418" s="326"/>
      <c r="AP418" s="326"/>
      <c r="AQ418" s="326"/>
      <c r="AR418" s="326"/>
      <c r="AS418" s="326"/>
      <c r="AT418" s="326"/>
      <c r="AU418" s="326"/>
      <c r="AV418" s="326"/>
      <c r="AW418" s="326"/>
      <c r="AX418" s="326"/>
      <c r="AY418" s="326"/>
      <c r="AZ418" s="326"/>
      <c r="BA418" s="326"/>
      <c r="BB418" s="327"/>
    </row>
    <row r="419" spans="1:54" ht="15.75" customHeight="1" x14ac:dyDescent="0.25">
      <c r="A419" s="11">
        <f t="shared" si="1"/>
        <v>406</v>
      </c>
      <c r="B419" s="504" t="str">
        <f>'refer admin discharge'!B415</f>
        <v>x</v>
      </c>
      <c r="C419" s="327"/>
      <c r="D419" s="505" t="str">
        <f>'refer admin discharge'!D415</f>
        <v>xx</v>
      </c>
      <c r="E419" s="327"/>
      <c r="F419" s="606" t="str">
        <f>'refer admin discharge'!H415</f>
        <v>00/00/0000</v>
      </c>
      <c r="G419" s="327"/>
      <c r="H419" s="594"/>
      <c r="I419" s="327"/>
      <c r="J419" s="605"/>
      <c r="K419" s="327"/>
      <c r="L419" s="594"/>
      <c r="M419" s="327"/>
      <c r="N419" s="575"/>
      <c r="O419" s="327"/>
      <c r="P419" s="594"/>
      <c r="Q419" s="327"/>
      <c r="R419" s="575"/>
      <c r="S419" s="327"/>
      <c r="T419" s="594"/>
      <c r="U419" s="327"/>
      <c r="V419" s="595" t="str">
        <f>'refer admin discharge'!H420</f>
        <v>00/00/0000</v>
      </c>
      <c r="W419" s="327"/>
      <c r="X419" s="577"/>
      <c r="Y419" s="327"/>
      <c r="Z419" s="604"/>
      <c r="AA419" s="327"/>
      <c r="AB419" s="577"/>
      <c r="AC419" s="327"/>
      <c r="AD419" s="576"/>
      <c r="AE419" s="327"/>
      <c r="AF419" s="577"/>
      <c r="AG419" s="327"/>
      <c r="AH419" s="576"/>
      <c r="AI419" s="327"/>
      <c r="AJ419" s="577"/>
      <c r="AK419" s="327"/>
      <c r="AL419" s="602"/>
      <c r="AM419" s="326"/>
      <c r="AN419" s="326"/>
      <c r="AO419" s="326"/>
      <c r="AP419" s="326"/>
      <c r="AQ419" s="326"/>
      <c r="AR419" s="326"/>
      <c r="AS419" s="326"/>
      <c r="AT419" s="326"/>
      <c r="AU419" s="326"/>
      <c r="AV419" s="326"/>
      <c r="AW419" s="326"/>
      <c r="AX419" s="326"/>
      <c r="AY419" s="326"/>
      <c r="AZ419" s="326"/>
      <c r="BA419" s="326"/>
      <c r="BB419" s="327"/>
    </row>
    <row r="420" spans="1:54" ht="15.75" customHeight="1" x14ac:dyDescent="0.25">
      <c r="A420" s="11">
        <f t="shared" si="1"/>
        <v>407</v>
      </c>
      <c r="B420" s="570" t="str">
        <f>'refer admin discharge'!B416</f>
        <v>x</v>
      </c>
      <c r="C420" s="327"/>
      <c r="D420" s="599" t="str">
        <f>'refer admin discharge'!D416</f>
        <v>xx</v>
      </c>
      <c r="E420" s="327"/>
      <c r="F420" s="600" t="str">
        <f>'refer admin discharge'!H416</f>
        <v>00/00/0000</v>
      </c>
      <c r="G420" s="327"/>
      <c r="H420" s="574"/>
      <c r="I420" s="327"/>
      <c r="J420" s="601"/>
      <c r="K420" s="327"/>
      <c r="L420" s="574"/>
      <c r="M420" s="327"/>
      <c r="N420" s="594"/>
      <c r="O420" s="327"/>
      <c r="P420" s="574"/>
      <c r="Q420" s="327"/>
      <c r="R420" s="594"/>
      <c r="S420" s="327"/>
      <c r="T420" s="574"/>
      <c r="U420" s="327"/>
      <c r="V420" s="595" t="str">
        <f>'refer admin discharge'!H421</f>
        <v>00/00/0000</v>
      </c>
      <c r="W420" s="327"/>
      <c r="X420" s="596"/>
      <c r="Y420" s="327"/>
      <c r="Z420" s="597"/>
      <c r="AA420" s="327"/>
      <c r="AB420" s="596"/>
      <c r="AC420" s="327"/>
      <c r="AD420" s="577"/>
      <c r="AE420" s="327"/>
      <c r="AF420" s="596"/>
      <c r="AG420" s="327"/>
      <c r="AH420" s="577"/>
      <c r="AI420" s="327"/>
      <c r="AJ420" s="596"/>
      <c r="AK420" s="327"/>
      <c r="AL420" s="598"/>
      <c r="AM420" s="326"/>
      <c r="AN420" s="326"/>
      <c r="AO420" s="326"/>
      <c r="AP420" s="326"/>
      <c r="AQ420" s="326"/>
      <c r="AR420" s="326"/>
      <c r="AS420" s="326"/>
      <c r="AT420" s="326"/>
      <c r="AU420" s="326"/>
      <c r="AV420" s="326"/>
      <c r="AW420" s="326"/>
      <c r="AX420" s="326"/>
      <c r="AY420" s="326"/>
      <c r="AZ420" s="326"/>
      <c r="BA420" s="326"/>
      <c r="BB420" s="327"/>
    </row>
    <row r="421" spans="1:54" ht="15.75" customHeight="1" x14ac:dyDescent="0.25">
      <c r="A421" s="11">
        <f t="shared" si="1"/>
        <v>408</v>
      </c>
      <c r="B421" s="504" t="str">
        <f>'refer admin discharge'!B417</f>
        <v>x</v>
      </c>
      <c r="C421" s="327"/>
      <c r="D421" s="505" t="str">
        <f>'refer admin discharge'!D417</f>
        <v>xx</v>
      </c>
      <c r="E421" s="327"/>
      <c r="F421" s="606" t="str">
        <f>'refer admin discharge'!H417</f>
        <v>00/00/0000</v>
      </c>
      <c r="G421" s="327"/>
      <c r="H421" s="594"/>
      <c r="I421" s="327"/>
      <c r="J421" s="605"/>
      <c r="K421" s="327"/>
      <c r="L421" s="594"/>
      <c r="M421" s="327"/>
      <c r="N421" s="575"/>
      <c r="O421" s="327"/>
      <c r="P421" s="594"/>
      <c r="Q421" s="327"/>
      <c r="R421" s="575"/>
      <c r="S421" s="327"/>
      <c r="T421" s="594"/>
      <c r="U421" s="327"/>
      <c r="V421" s="595" t="str">
        <f>'refer admin discharge'!H422</f>
        <v>00/00/0000</v>
      </c>
      <c r="W421" s="327"/>
      <c r="X421" s="577"/>
      <c r="Y421" s="327"/>
      <c r="Z421" s="604"/>
      <c r="AA421" s="327"/>
      <c r="AB421" s="577"/>
      <c r="AC421" s="327"/>
      <c r="AD421" s="576"/>
      <c r="AE421" s="327"/>
      <c r="AF421" s="577"/>
      <c r="AG421" s="327"/>
      <c r="AH421" s="576"/>
      <c r="AI421" s="327"/>
      <c r="AJ421" s="577"/>
      <c r="AK421" s="327"/>
      <c r="AL421" s="602"/>
      <c r="AM421" s="326"/>
      <c r="AN421" s="326"/>
      <c r="AO421" s="326"/>
      <c r="AP421" s="326"/>
      <c r="AQ421" s="326"/>
      <c r="AR421" s="326"/>
      <c r="AS421" s="326"/>
      <c r="AT421" s="326"/>
      <c r="AU421" s="326"/>
      <c r="AV421" s="326"/>
      <c r="AW421" s="326"/>
      <c r="AX421" s="326"/>
      <c r="AY421" s="326"/>
      <c r="AZ421" s="326"/>
      <c r="BA421" s="326"/>
      <c r="BB421" s="327"/>
    </row>
    <row r="422" spans="1:54" ht="15.75" customHeight="1" x14ac:dyDescent="0.25">
      <c r="A422" s="11">
        <f t="shared" si="1"/>
        <v>409</v>
      </c>
      <c r="B422" s="570" t="str">
        <f>'refer admin discharge'!B418</f>
        <v>x</v>
      </c>
      <c r="C422" s="327"/>
      <c r="D422" s="599" t="str">
        <f>'refer admin discharge'!D418</f>
        <v>xx</v>
      </c>
      <c r="E422" s="327"/>
      <c r="F422" s="600" t="str">
        <f>'refer admin discharge'!H418</f>
        <v>00/00/0000</v>
      </c>
      <c r="G422" s="327"/>
      <c r="H422" s="574"/>
      <c r="I422" s="327"/>
      <c r="J422" s="601"/>
      <c r="K422" s="327"/>
      <c r="L422" s="574"/>
      <c r="M422" s="327"/>
      <c r="N422" s="594"/>
      <c r="O422" s="327"/>
      <c r="P422" s="574"/>
      <c r="Q422" s="327"/>
      <c r="R422" s="594"/>
      <c r="S422" s="327"/>
      <c r="T422" s="574"/>
      <c r="U422" s="327"/>
      <c r="V422" s="595" t="str">
        <f>'refer admin discharge'!H423</f>
        <v>00/00/0000</v>
      </c>
      <c r="W422" s="327"/>
      <c r="X422" s="596"/>
      <c r="Y422" s="327"/>
      <c r="Z422" s="597"/>
      <c r="AA422" s="327"/>
      <c r="AB422" s="596"/>
      <c r="AC422" s="327"/>
      <c r="AD422" s="577"/>
      <c r="AE422" s="327"/>
      <c r="AF422" s="596"/>
      <c r="AG422" s="327"/>
      <c r="AH422" s="577"/>
      <c r="AI422" s="327"/>
      <c r="AJ422" s="596"/>
      <c r="AK422" s="327"/>
      <c r="AL422" s="598"/>
      <c r="AM422" s="326"/>
      <c r="AN422" s="326"/>
      <c r="AO422" s="326"/>
      <c r="AP422" s="326"/>
      <c r="AQ422" s="326"/>
      <c r="AR422" s="326"/>
      <c r="AS422" s="326"/>
      <c r="AT422" s="326"/>
      <c r="AU422" s="326"/>
      <c r="AV422" s="326"/>
      <c r="AW422" s="326"/>
      <c r="AX422" s="326"/>
      <c r="AY422" s="326"/>
      <c r="AZ422" s="326"/>
      <c r="BA422" s="326"/>
      <c r="BB422" s="327"/>
    </row>
    <row r="423" spans="1:54" ht="15.75" customHeight="1" x14ac:dyDescent="0.25">
      <c r="A423" s="11">
        <f t="shared" si="1"/>
        <v>410</v>
      </c>
      <c r="B423" s="504" t="str">
        <f>'refer admin discharge'!B419</f>
        <v>x</v>
      </c>
      <c r="C423" s="327"/>
      <c r="D423" s="505" t="str">
        <f>'refer admin discharge'!D419</f>
        <v>xx</v>
      </c>
      <c r="E423" s="327"/>
      <c r="F423" s="606" t="str">
        <f>'refer admin discharge'!H419</f>
        <v>00/00/0000</v>
      </c>
      <c r="G423" s="327"/>
      <c r="H423" s="594"/>
      <c r="I423" s="327"/>
      <c r="J423" s="605"/>
      <c r="K423" s="327"/>
      <c r="L423" s="594"/>
      <c r="M423" s="327"/>
      <c r="N423" s="575"/>
      <c r="O423" s="327"/>
      <c r="P423" s="594"/>
      <c r="Q423" s="327"/>
      <c r="R423" s="575"/>
      <c r="S423" s="327"/>
      <c r="T423" s="594"/>
      <c r="U423" s="327"/>
      <c r="V423" s="595" t="str">
        <f>'refer admin discharge'!H424</f>
        <v>00/00/0000</v>
      </c>
      <c r="W423" s="327"/>
      <c r="X423" s="577"/>
      <c r="Y423" s="327"/>
      <c r="Z423" s="604"/>
      <c r="AA423" s="327"/>
      <c r="AB423" s="577"/>
      <c r="AC423" s="327"/>
      <c r="AD423" s="576"/>
      <c r="AE423" s="327"/>
      <c r="AF423" s="577"/>
      <c r="AG423" s="327"/>
      <c r="AH423" s="576"/>
      <c r="AI423" s="327"/>
      <c r="AJ423" s="577"/>
      <c r="AK423" s="327"/>
      <c r="AL423" s="602"/>
      <c r="AM423" s="326"/>
      <c r="AN423" s="326"/>
      <c r="AO423" s="326"/>
      <c r="AP423" s="326"/>
      <c r="AQ423" s="326"/>
      <c r="AR423" s="326"/>
      <c r="AS423" s="326"/>
      <c r="AT423" s="326"/>
      <c r="AU423" s="326"/>
      <c r="AV423" s="326"/>
      <c r="AW423" s="326"/>
      <c r="AX423" s="326"/>
      <c r="AY423" s="326"/>
      <c r="AZ423" s="326"/>
      <c r="BA423" s="326"/>
      <c r="BB423" s="327"/>
    </row>
    <row r="424" spans="1:54" ht="15.75" customHeight="1" x14ac:dyDescent="0.25">
      <c r="A424" s="11">
        <f t="shared" si="1"/>
        <v>411</v>
      </c>
      <c r="B424" s="570" t="str">
        <f>'refer admin discharge'!B420</f>
        <v>x</v>
      </c>
      <c r="C424" s="327"/>
      <c r="D424" s="599" t="str">
        <f>'refer admin discharge'!D420</f>
        <v>xx</v>
      </c>
      <c r="E424" s="327"/>
      <c r="F424" s="600" t="str">
        <f>'refer admin discharge'!H420</f>
        <v>00/00/0000</v>
      </c>
      <c r="G424" s="327"/>
      <c r="H424" s="574"/>
      <c r="I424" s="327"/>
      <c r="J424" s="601"/>
      <c r="K424" s="327"/>
      <c r="L424" s="574"/>
      <c r="M424" s="327"/>
      <c r="N424" s="594"/>
      <c r="O424" s="327"/>
      <c r="P424" s="574"/>
      <c r="Q424" s="327"/>
      <c r="R424" s="594"/>
      <c r="S424" s="327"/>
      <c r="T424" s="574"/>
      <c r="U424" s="327"/>
      <c r="V424" s="595" t="str">
        <f>'refer admin discharge'!H425</f>
        <v>00/00/0000</v>
      </c>
      <c r="W424" s="327"/>
      <c r="X424" s="596"/>
      <c r="Y424" s="327"/>
      <c r="Z424" s="597"/>
      <c r="AA424" s="327"/>
      <c r="AB424" s="596"/>
      <c r="AC424" s="327"/>
      <c r="AD424" s="577"/>
      <c r="AE424" s="327"/>
      <c r="AF424" s="596"/>
      <c r="AG424" s="327"/>
      <c r="AH424" s="577"/>
      <c r="AI424" s="327"/>
      <c r="AJ424" s="596"/>
      <c r="AK424" s="327"/>
      <c r="AL424" s="598"/>
      <c r="AM424" s="326"/>
      <c r="AN424" s="326"/>
      <c r="AO424" s="326"/>
      <c r="AP424" s="326"/>
      <c r="AQ424" s="326"/>
      <c r="AR424" s="326"/>
      <c r="AS424" s="326"/>
      <c r="AT424" s="326"/>
      <c r="AU424" s="326"/>
      <c r="AV424" s="326"/>
      <c r="AW424" s="326"/>
      <c r="AX424" s="326"/>
      <c r="AY424" s="326"/>
      <c r="AZ424" s="326"/>
      <c r="BA424" s="326"/>
      <c r="BB424" s="327"/>
    </row>
    <row r="425" spans="1:54" ht="15.75" customHeight="1" x14ac:dyDescent="0.25">
      <c r="A425" s="11">
        <f t="shared" si="1"/>
        <v>412</v>
      </c>
      <c r="B425" s="504" t="str">
        <f>'refer admin discharge'!B421</f>
        <v>x</v>
      </c>
      <c r="C425" s="327"/>
      <c r="D425" s="505" t="str">
        <f>'refer admin discharge'!D421</f>
        <v>xx</v>
      </c>
      <c r="E425" s="327"/>
      <c r="F425" s="606" t="str">
        <f>'refer admin discharge'!H421</f>
        <v>00/00/0000</v>
      </c>
      <c r="G425" s="327"/>
      <c r="H425" s="594"/>
      <c r="I425" s="327"/>
      <c r="J425" s="605"/>
      <c r="K425" s="327"/>
      <c r="L425" s="594"/>
      <c r="M425" s="327"/>
      <c r="N425" s="575"/>
      <c r="O425" s="327"/>
      <c r="P425" s="594"/>
      <c r="Q425" s="327"/>
      <c r="R425" s="575"/>
      <c r="S425" s="327"/>
      <c r="T425" s="594"/>
      <c r="U425" s="327"/>
      <c r="V425" s="595" t="str">
        <f>'refer admin discharge'!H426</f>
        <v>00/00/0000</v>
      </c>
      <c r="W425" s="327"/>
      <c r="X425" s="577"/>
      <c r="Y425" s="327"/>
      <c r="Z425" s="604"/>
      <c r="AA425" s="327"/>
      <c r="AB425" s="577"/>
      <c r="AC425" s="327"/>
      <c r="AD425" s="576"/>
      <c r="AE425" s="327"/>
      <c r="AF425" s="577"/>
      <c r="AG425" s="327"/>
      <c r="AH425" s="576"/>
      <c r="AI425" s="327"/>
      <c r="AJ425" s="577"/>
      <c r="AK425" s="327"/>
      <c r="AL425" s="602"/>
      <c r="AM425" s="326"/>
      <c r="AN425" s="326"/>
      <c r="AO425" s="326"/>
      <c r="AP425" s="326"/>
      <c r="AQ425" s="326"/>
      <c r="AR425" s="326"/>
      <c r="AS425" s="326"/>
      <c r="AT425" s="326"/>
      <c r="AU425" s="326"/>
      <c r="AV425" s="326"/>
      <c r="AW425" s="326"/>
      <c r="AX425" s="326"/>
      <c r="AY425" s="326"/>
      <c r="AZ425" s="326"/>
      <c r="BA425" s="326"/>
      <c r="BB425" s="327"/>
    </row>
    <row r="426" spans="1:54" ht="15.75" customHeight="1" x14ac:dyDescent="0.25">
      <c r="A426" s="11">
        <f t="shared" si="1"/>
        <v>413</v>
      </c>
      <c r="B426" s="570" t="str">
        <f>'refer admin discharge'!B422</f>
        <v>x</v>
      </c>
      <c r="C426" s="327"/>
      <c r="D426" s="599" t="str">
        <f>'refer admin discharge'!D422</f>
        <v>xx</v>
      </c>
      <c r="E426" s="327"/>
      <c r="F426" s="600" t="str">
        <f>'refer admin discharge'!H422</f>
        <v>00/00/0000</v>
      </c>
      <c r="G426" s="327"/>
      <c r="H426" s="574"/>
      <c r="I426" s="327"/>
      <c r="J426" s="601"/>
      <c r="K426" s="327"/>
      <c r="L426" s="574"/>
      <c r="M426" s="327"/>
      <c r="N426" s="594"/>
      <c r="O426" s="327"/>
      <c r="P426" s="574"/>
      <c r="Q426" s="327"/>
      <c r="R426" s="594"/>
      <c r="S426" s="327"/>
      <c r="T426" s="574"/>
      <c r="U426" s="327"/>
      <c r="V426" s="595" t="str">
        <f>'refer admin discharge'!H427</f>
        <v>00/00/0000</v>
      </c>
      <c r="W426" s="327"/>
      <c r="X426" s="596"/>
      <c r="Y426" s="327"/>
      <c r="Z426" s="597"/>
      <c r="AA426" s="327"/>
      <c r="AB426" s="596"/>
      <c r="AC426" s="327"/>
      <c r="AD426" s="577"/>
      <c r="AE426" s="327"/>
      <c r="AF426" s="596"/>
      <c r="AG426" s="327"/>
      <c r="AH426" s="577"/>
      <c r="AI426" s="327"/>
      <c r="AJ426" s="596"/>
      <c r="AK426" s="327"/>
      <c r="AL426" s="598"/>
      <c r="AM426" s="326"/>
      <c r="AN426" s="326"/>
      <c r="AO426" s="326"/>
      <c r="AP426" s="326"/>
      <c r="AQ426" s="326"/>
      <c r="AR426" s="326"/>
      <c r="AS426" s="326"/>
      <c r="AT426" s="326"/>
      <c r="AU426" s="326"/>
      <c r="AV426" s="326"/>
      <c r="AW426" s="326"/>
      <c r="AX426" s="326"/>
      <c r="AY426" s="326"/>
      <c r="AZ426" s="326"/>
      <c r="BA426" s="326"/>
      <c r="BB426" s="327"/>
    </row>
    <row r="427" spans="1:54" ht="15.75" customHeight="1" x14ac:dyDescent="0.25">
      <c r="A427" s="11">
        <f t="shared" si="1"/>
        <v>414</v>
      </c>
      <c r="B427" s="504" t="str">
        <f>'refer admin discharge'!B423</f>
        <v>x</v>
      </c>
      <c r="C427" s="327"/>
      <c r="D427" s="505" t="str">
        <f>'refer admin discharge'!D423</f>
        <v>xx</v>
      </c>
      <c r="E427" s="327"/>
      <c r="F427" s="606" t="str">
        <f>'refer admin discharge'!H423</f>
        <v>00/00/0000</v>
      </c>
      <c r="G427" s="327"/>
      <c r="H427" s="594"/>
      <c r="I427" s="327"/>
      <c r="J427" s="605"/>
      <c r="K427" s="327"/>
      <c r="L427" s="594"/>
      <c r="M427" s="327"/>
      <c r="N427" s="575"/>
      <c r="O427" s="327"/>
      <c r="P427" s="594"/>
      <c r="Q427" s="327"/>
      <c r="R427" s="575"/>
      <c r="S427" s="327"/>
      <c r="T427" s="594"/>
      <c r="U427" s="327"/>
      <c r="V427" s="595" t="str">
        <f>'refer admin discharge'!H428</f>
        <v>00/00/0000</v>
      </c>
      <c r="W427" s="327"/>
      <c r="X427" s="577"/>
      <c r="Y427" s="327"/>
      <c r="Z427" s="604"/>
      <c r="AA427" s="327"/>
      <c r="AB427" s="577"/>
      <c r="AC427" s="327"/>
      <c r="AD427" s="576"/>
      <c r="AE427" s="327"/>
      <c r="AF427" s="577"/>
      <c r="AG427" s="327"/>
      <c r="AH427" s="576"/>
      <c r="AI427" s="327"/>
      <c r="AJ427" s="577"/>
      <c r="AK427" s="327"/>
      <c r="AL427" s="602"/>
      <c r="AM427" s="326"/>
      <c r="AN427" s="326"/>
      <c r="AO427" s="326"/>
      <c r="AP427" s="326"/>
      <c r="AQ427" s="326"/>
      <c r="AR427" s="326"/>
      <c r="AS427" s="326"/>
      <c r="AT427" s="326"/>
      <c r="AU427" s="326"/>
      <c r="AV427" s="326"/>
      <c r="AW427" s="326"/>
      <c r="AX427" s="326"/>
      <c r="AY427" s="326"/>
      <c r="AZ427" s="326"/>
      <c r="BA427" s="326"/>
      <c r="BB427" s="327"/>
    </row>
    <row r="428" spans="1:54" ht="15.75" customHeight="1" x14ac:dyDescent="0.25">
      <c r="A428" s="11">
        <f t="shared" si="1"/>
        <v>415</v>
      </c>
      <c r="B428" s="570" t="str">
        <f>'refer admin discharge'!B424</f>
        <v>x</v>
      </c>
      <c r="C428" s="327"/>
      <c r="D428" s="599" t="str">
        <f>'refer admin discharge'!D424</f>
        <v>xx</v>
      </c>
      <c r="E428" s="327"/>
      <c r="F428" s="600" t="str">
        <f>'refer admin discharge'!H424</f>
        <v>00/00/0000</v>
      </c>
      <c r="G428" s="327"/>
      <c r="H428" s="574"/>
      <c r="I428" s="327"/>
      <c r="J428" s="601"/>
      <c r="K428" s="327"/>
      <c r="L428" s="574"/>
      <c r="M428" s="327"/>
      <c r="N428" s="594"/>
      <c r="O428" s="327"/>
      <c r="P428" s="574"/>
      <c r="Q428" s="327"/>
      <c r="R428" s="594"/>
      <c r="S428" s="327"/>
      <c r="T428" s="574"/>
      <c r="U428" s="327"/>
      <c r="V428" s="595" t="str">
        <f>'refer admin discharge'!H429</f>
        <v>00/00/0000</v>
      </c>
      <c r="W428" s="327"/>
      <c r="X428" s="596"/>
      <c r="Y428" s="327"/>
      <c r="Z428" s="597"/>
      <c r="AA428" s="327"/>
      <c r="AB428" s="596"/>
      <c r="AC428" s="327"/>
      <c r="AD428" s="577"/>
      <c r="AE428" s="327"/>
      <c r="AF428" s="596"/>
      <c r="AG428" s="327"/>
      <c r="AH428" s="577"/>
      <c r="AI428" s="327"/>
      <c r="AJ428" s="596"/>
      <c r="AK428" s="327"/>
      <c r="AL428" s="598"/>
      <c r="AM428" s="326"/>
      <c r="AN428" s="326"/>
      <c r="AO428" s="326"/>
      <c r="AP428" s="326"/>
      <c r="AQ428" s="326"/>
      <c r="AR428" s="326"/>
      <c r="AS428" s="326"/>
      <c r="AT428" s="326"/>
      <c r="AU428" s="326"/>
      <c r="AV428" s="326"/>
      <c r="AW428" s="326"/>
      <c r="AX428" s="326"/>
      <c r="AY428" s="326"/>
      <c r="AZ428" s="326"/>
      <c r="BA428" s="326"/>
      <c r="BB428" s="327"/>
    </row>
    <row r="429" spans="1:54" ht="15.75" customHeight="1" x14ac:dyDescent="0.25">
      <c r="A429" s="11">
        <f t="shared" si="1"/>
        <v>416</v>
      </c>
      <c r="B429" s="504" t="str">
        <f>'refer admin discharge'!B425</f>
        <v>x</v>
      </c>
      <c r="C429" s="327"/>
      <c r="D429" s="505" t="str">
        <f>'refer admin discharge'!D425</f>
        <v>xx</v>
      </c>
      <c r="E429" s="327"/>
      <c r="F429" s="606" t="str">
        <f>'refer admin discharge'!H425</f>
        <v>00/00/0000</v>
      </c>
      <c r="G429" s="327"/>
      <c r="H429" s="594"/>
      <c r="I429" s="327"/>
      <c r="J429" s="605"/>
      <c r="K429" s="327"/>
      <c r="L429" s="594"/>
      <c r="M429" s="327"/>
      <c r="N429" s="575"/>
      <c r="O429" s="327"/>
      <c r="P429" s="594"/>
      <c r="Q429" s="327"/>
      <c r="R429" s="575"/>
      <c r="S429" s="327"/>
      <c r="T429" s="594"/>
      <c r="U429" s="327"/>
      <c r="V429" s="595" t="str">
        <f>'refer admin discharge'!H430</f>
        <v>00/00/0000</v>
      </c>
      <c r="W429" s="327"/>
      <c r="X429" s="577"/>
      <c r="Y429" s="327"/>
      <c r="Z429" s="604"/>
      <c r="AA429" s="327"/>
      <c r="AB429" s="577"/>
      <c r="AC429" s="327"/>
      <c r="AD429" s="576"/>
      <c r="AE429" s="327"/>
      <c r="AF429" s="577"/>
      <c r="AG429" s="327"/>
      <c r="AH429" s="576"/>
      <c r="AI429" s="327"/>
      <c r="AJ429" s="577"/>
      <c r="AK429" s="327"/>
      <c r="AL429" s="602"/>
      <c r="AM429" s="326"/>
      <c r="AN429" s="326"/>
      <c r="AO429" s="326"/>
      <c r="AP429" s="326"/>
      <c r="AQ429" s="326"/>
      <c r="AR429" s="326"/>
      <c r="AS429" s="326"/>
      <c r="AT429" s="326"/>
      <c r="AU429" s="326"/>
      <c r="AV429" s="326"/>
      <c r="AW429" s="326"/>
      <c r="AX429" s="326"/>
      <c r="AY429" s="326"/>
      <c r="AZ429" s="326"/>
      <c r="BA429" s="326"/>
      <c r="BB429" s="327"/>
    </row>
    <row r="430" spans="1:54" ht="15.75" customHeight="1" x14ac:dyDescent="0.25">
      <c r="A430" s="11">
        <f t="shared" si="1"/>
        <v>417</v>
      </c>
      <c r="B430" s="570" t="str">
        <f>'refer admin discharge'!B426</f>
        <v>x</v>
      </c>
      <c r="C430" s="327"/>
      <c r="D430" s="599" t="str">
        <f>'refer admin discharge'!D426</f>
        <v>xx</v>
      </c>
      <c r="E430" s="327"/>
      <c r="F430" s="600" t="str">
        <f>'refer admin discharge'!H426</f>
        <v>00/00/0000</v>
      </c>
      <c r="G430" s="327"/>
      <c r="H430" s="574"/>
      <c r="I430" s="327"/>
      <c r="J430" s="601"/>
      <c r="K430" s="327"/>
      <c r="L430" s="574"/>
      <c r="M430" s="327"/>
      <c r="N430" s="594"/>
      <c r="O430" s="327"/>
      <c r="P430" s="574"/>
      <c r="Q430" s="327"/>
      <c r="R430" s="594"/>
      <c r="S430" s="327"/>
      <c r="T430" s="574"/>
      <c r="U430" s="327"/>
      <c r="V430" s="595" t="str">
        <f>'refer admin discharge'!H431</f>
        <v>00/00/0000</v>
      </c>
      <c r="W430" s="327"/>
      <c r="X430" s="596"/>
      <c r="Y430" s="327"/>
      <c r="Z430" s="597"/>
      <c r="AA430" s="327"/>
      <c r="AB430" s="596"/>
      <c r="AC430" s="327"/>
      <c r="AD430" s="577"/>
      <c r="AE430" s="327"/>
      <c r="AF430" s="596"/>
      <c r="AG430" s="327"/>
      <c r="AH430" s="577"/>
      <c r="AI430" s="327"/>
      <c r="AJ430" s="596"/>
      <c r="AK430" s="327"/>
      <c r="AL430" s="598"/>
      <c r="AM430" s="326"/>
      <c r="AN430" s="326"/>
      <c r="AO430" s="326"/>
      <c r="AP430" s="326"/>
      <c r="AQ430" s="326"/>
      <c r="AR430" s="326"/>
      <c r="AS430" s="326"/>
      <c r="AT430" s="326"/>
      <c r="AU430" s="326"/>
      <c r="AV430" s="326"/>
      <c r="AW430" s="326"/>
      <c r="AX430" s="326"/>
      <c r="AY430" s="326"/>
      <c r="AZ430" s="326"/>
      <c r="BA430" s="326"/>
      <c r="BB430" s="327"/>
    </row>
    <row r="431" spans="1:54" ht="15.75" customHeight="1" x14ac:dyDescent="0.25">
      <c r="A431" s="11">
        <f t="shared" si="1"/>
        <v>418</v>
      </c>
      <c r="B431" s="504" t="str">
        <f>'refer admin discharge'!B427</f>
        <v>x</v>
      </c>
      <c r="C431" s="327"/>
      <c r="D431" s="505" t="str">
        <f>'refer admin discharge'!D427</f>
        <v>xx</v>
      </c>
      <c r="E431" s="327"/>
      <c r="F431" s="606" t="str">
        <f>'refer admin discharge'!H427</f>
        <v>00/00/0000</v>
      </c>
      <c r="G431" s="327"/>
      <c r="H431" s="594"/>
      <c r="I431" s="327"/>
      <c r="J431" s="605"/>
      <c r="K431" s="327"/>
      <c r="L431" s="594"/>
      <c r="M431" s="327"/>
      <c r="N431" s="575"/>
      <c r="O431" s="327"/>
      <c r="P431" s="594"/>
      <c r="Q431" s="327"/>
      <c r="R431" s="575"/>
      <c r="S431" s="327"/>
      <c r="T431" s="594"/>
      <c r="U431" s="327"/>
      <c r="V431" s="595" t="str">
        <f>'refer admin discharge'!H432</f>
        <v>00/00/0000</v>
      </c>
      <c r="W431" s="327"/>
      <c r="X431" s="577"/>
      <c r="Y431" s="327"/>
      <c r="Z431" s="604"/>
      <c r="AA431" s="327"/>
      <c r="AB431" s="577"/>
      <c r="AC431" s="327"/>
      <c r="AD431" s="576"/>
      <c r="AE431" s="327"/>
      <c r="AF431" s="577"/>
      <c r="AG431" s="327"/>
      <c r="AH431" s="576"/>
      <c r="AI431" s="327"/>
      <c r="AJ431" s="577"/>
      <c r="AK431" s="327"/>
      <c r="AL431" s="602"/>
      <c r="AM431" s="326"/>
      <c r="AN431" s="326"/>
      <c r="AO431" s="326"/>
      <c r="AP431" s="326"/>
      <c r="AQ431" s="326"/>
      <c r="AR431" s="326"/>
      <c r="AS431" s="326"/>
      <c r="AT431" s="326"/>
      <c r="AU431" s="326"/>
      <c r="AV431" s="326"/>
      <c r="AW431" s="326"/>
      <c r="AX431" s="326"/>
      <c r="AY431" s="326"/>
      <c r="AZ431" s="326"/>
      <c r="BA431" s="326"/>
      <c r="BB431" s="327"/>
    </row>
    <row r="432" spans="1:54" ht="15.75" customHeight="1" x14ac:dyDescent="0.25">
      <c r="A432" s="11">
        <f t="shared" si="1"/>
        <v>419</v>
      </c>
      <c r="B432" s="570" t="str">
        <f>'refer admin discharge'!B428</f>
        <v>x</v>
      </c>
      <c r="C432" s="327"/>
      <c r="D432" s="599" t="str">
        <f>'refer admin discharge'!D428</f>
        <v>xx</v>
      </c>
      <c r="E432" s="327"/>
      <c r="F432" s="600" t="str">
        <f>'refer admin discharge'!H428</f>
        <v>00/00/0000</v>
      </c>
      <c r="G432" s="327"/>
      <c r="H432" s="574"/>
      <c r="I432" s="327"/>
      <c r="J432" s="601"/>
      <c r="K432" s="327"/>
      <c r="L432" s="574"/>
      <c r="M432" s="327"/>
      <c r="N432" s="594"/>
      <c r="O432" s="327"/>
      <c r="P432" s="574"/>
      <c r="Q432" s="327"/>
      <c r="R432" s="594"/>
      <c r="S432" s="327"/>
      <c r="T432" s="574"/>
      <c r="U432" s="327"/>
      <c r="V432" s="595" t="str">
        <f>'refer admin discharge'!H433</f>
        <v>00/00/0000</v>
      </c>
      <c r="W432" s="327"/>
      <c r="X432" s="596"/>
      <c r="Y432" s="327"/>
      <c r="Z432" s="597"/>
      <c r="AA432" s="327"/>
      <c r="AB432" s="596"/>
      <c r="AC432" s="327"/>
      <c r="AD432" s="577"/>
      <c r="AE432" s="327"/>
      <c r="AF432" s="596"/>
      <c r="AG432" s="327"/>
      <c r="AH432" s="577"/>
      <c r="AI432" s="327"/>
      <c r="AJ432" s="596"/>
      <c r="AK432" s="327"/>
      <c r="AL432" s="598"/>
      <c r="AM432" s="326"/>
      <c r="AN432" s="326"/>
      <c r="AO432" s="326"/>
      <c r="AP432" s="326"/>
      <c r="AQ432" s="326"/>
      <c r="AR432" s="326"/>
      <c r="AS432" s="326"/>
      <c r="AT432" s="326"/>
      <c r="AU432" s="326"/>
      <c r="AV432" s="326"/>
      <c r="AW432" s="326"/>
      <c r="AX432" s="326"/>
      <c r="AY432" s="326"/>
      <c r="AZ432" s="326"/>
      <c r="BA432" s="326"/>
      <c r="BB432" s="327"/>
    </row>
    <row r="433" spans="1:54" ht="15.75" customHeight="1" x14ac:dyDescent="0.25">
      <c r="A433" s="11">
        <f t="shared" si="1"/>
        <v>420</v>
      </c>
      <c r="B433" s="504" t="str">
        <f>'refer admin discharge'!B429</f>
        <v>x</v>
      </c>
      <c r="C433" s="327"/>
      <c r="D433" s="505" t="str">
        <f>'refer admin discharge'!D429</f>
        <v>xx</v>
      </c>
      <c r="E433" s="327"/>
      <c r="F433" s="606" t="str">
        <f>'refer admin discharge'!H429</f>
        <v>00/00/0000</v>
      </c>
      <c r="G433" s="327"/>
      <c r="H433" s="594"/>
      <c r="I433" s="327"/>
      <c r="J433" s="605"/>
      <c r="K433" s="327"/>
      <c r="L433" s="594"/>
      <c r="M433" s="327"/>
      <c r="N433" s="575"/>
      <c r="O433" s="327"/>
      <c r="P433" s="594"/>
      <c r="Q433" s="327"/>
      <c r="R433" s="575"/>
      <c r="S433" s="327"/>
      <c r="T433" s="594"/>
      <c r="U433" s="327"/>
      <c r="V433" s="595" t="str">
        <f>'refer admin discharge'!H434</f>
        <v>00/00/0000</v>
      </c>
      <c r="W433" s="327"/>
      <c r="X433" s="577"/>
      <c r="Y433" s="327"/>
      <c r="Z433" s="604"/>
      <c r="AA433" s="327"/>
      <c r="AB433" s="577"/>
      <c r="AC433" s="327"/>
      <c r="AD433" s="576"/>
      <c r="AE433" s="327"/>
      <c r="AF433" s="577"/>
      <c r="AG433" s="327"/>
      <c r="AH433" s="576"/>
      <c r="AI433" s="327"/>
      <c r="AJ433" s="577"/>
      <c r="AK433" s="327"/>
      <c r="AL433" s="602"/>
      <c r="AM433" s="326"/>
      <c r="AN433" s="326"/>
      <c r="AO433" s="326"/>
      <c r="AP433" s="326"/>
      <c r="AQ433" s="326"/>
      <c r="AR433" s="326"/>
      <c r="AS433" s="326"/>
      <c r="AT433" s="326"/>
      <c r="AU433" s="326"/>
      <c r="AV433" s="326"/>
      <c r="AW433" s="326"/>
      <c r="AX433" s="326"/>
      <c r="AY433" s="326"/>
      <c r="AZ433" s="326"/>
      <c r="BA433" s="326"/>
      <c r="BB433" s="327"/>
    </row>
    <row r="434" spans="1:54" ht="15.75" customHeight="1" x14ac:dyDescent="0.25">
      <c r="A434" s="11">
        <f t="shared" si="1"/>
        <v>421</v>
      </c>
      <c r="B434" s="570" t="str">
        <f>'refer admin discharge'!B430</f>
        <v>x</v>
      </c>
      <c r="C434" s="327"/>
      <c r="D434" s="599" t="str">
        <f>'refer admin discharge'!D430</f>
        <v>xx</v>
      </c>
      <c r="E434" s="327"/>
      <c r="F434" s="600" t="str">
        <f>'refer admin discharge'!H430</f>
        <v>00/00/0000</v>
      </c>
      <c r="G434" s="327"/>
      <c r="H434" s="574"/>
      <c r="I434" s="327"/>
      <c r="J434" s="601"/>
      <c r="K434" s="327"/>
      <c r="L434" s="574"/>
      <c r="M434" s="327"/>
      <c r="N434" s="594"/>
      <c r="O434" s="327"/>
      <c r="P434" s="574"/>
      <c r="Q434" s="327"/>
      <c r="R434" s="594"/>
      <c r="S434" s="327"/>
      <c r="T434" s="574"/>
      <c r="U434" s="327"/>
      <c r="V434" s="595" t="str">
        <f>'refer admin discharge'!H435</f>
        <v>00/00/0000</v>
      </c>
      <c r="W434" s="327"/>
      <c r="X434" s="596"/>
      <c r="Y434" s="327"/>
      <c r="Z434" s="597"/>
      <c r="AA434" s="327"/>
      <c r="AB434" s="596"/>
      <c r="AC434" s="327"/>
      <c r="AD434" s="577"/>
      <c r="AE434" s="327"/>
      <c r="AF434" s="596"/>
      <c r="AG434" s="327"/>
      <c r="AH434" s="577"/>
      <c r="AI434" s="327"/>
      <c r="AJ434" s="596"/>
      <c r="AK434" s="327"/>
      <c r="AL434" s="598"/>
      <c r="AM434" s="326"/>
      <c r="AN434" s="326"/>
      <c r="AO434" s="326"/>
      <c r="AP434" s="326"/>
      <c r="AQ434" s="326"/>
      <c r="AR434" s="326"/>
      <c r="AS434" s="326"/>
      <c r="AT434" s="326"/>
      <c r="AU434" s="326"/>
      <c r="AV434" s="326"/>
      <c r="AW434" s="326"/>
      <c r="AX434" s="326"/>
      <c r="AY434" s="326"/>
      <c r="AZ434" s="326"/>
      <c r="BA434" s="326"/>
      <c r="BB434" s="327"/>
    </row>
    <row r="435" spans="1:54" ht="15.75" customHeight="1" x14ac:dyDescent="0.25">
      <c r="A435" s="11">
        <f t="shared" si="1"/>
        <v>422</v>
      </c>
      <c r="B435" s="504" t="str">
        <f>'refer admin discharge'!B431</f>
        <v>x</v>
      </c>
      <c r="C435" s="327"/>
      <c r="D435" s="505" t="str">
        <f>'refer admin discharge'!D431</f>
        <v>xx</v>
      </c>
      <c r="E435" s="327"/>
      <c r="F435" s="606" t="str">
        <f>'refer admin discharge'!H431</f>
        <v>00/00/0000</v>
      </c>
      <c r="G435" s="327"/>
      <c r="H435" s="594"/>
      <c r="I435" s="327"/>
      <c r="J435" s="605"/>
      <c r="K435" s="327"/>
      <c r="L435" s="594"/>
      <c r="M435" s="327"/>
      <c r="N435" s="575"/>
      <c r="O435" s="327"/>
      <c r="P435" s="594"/>
      <c r="Q435" s="327"/>
      <c r="R435" s="575"/>
      <c r="S435" s="327"/>
      <c r="T435" s="594"/>
      <c r="U435" s="327"/>
      <c r="V435" s="595" t="str">
        <f>'refer admin discharge'!H436</f>
        <v>00/00/0000</v>
      </c>
      <c r="W435" s="327"/>
      <c r="X435" s="577"/>
      <c r="Y435" s="327"/>
      <c r="Z435" s="604"/>
      <c r="AA435" s="327"/>
      <c r="AB435" s="577"/>
      <c r="AC435" s="327"/>
      <c r="AD435" s="576"/>
      <c r="AE435" s="327"/>
      <c r="AF435" s="577"/>
      <c r="AG435" s="327"/>
      <c r="AH435" s="576"/>
      <c r="AI435" s="327"/>
      <c r="AJ435" s="577"/>
      <c r="AK435" s="327"/>
      <c r="AL435" s="602"/>
      <c r="AM435" s="326"/>
      <c r="AN435" s="326"/>
      <c r="AO435" s="326"/>
      <c r="AP435" s="326"/>
      <c r="AQ435" s="326"/>
      <c r="AR435" s="326"/>
      <c r="AS435" s="326"/>
      <c r="AT435" s="326"/>
      <c r="AU435" s="326"/>
      <c r="AV435" s="326"/>
      <c r="AW435" s="326"/>
      <c r="AX435" s="326"/>
      <c r="AY435" s="326"/>
      <c r="AZ435" s="326"/>
      <c r="BA435" s="326"/>
      <c r="BB435" s="327"/>
    </row>
    <row r="436" spans="1:54" ht="15.75" customHeight="1" x14ac:dyDescent="0.25">
      <c r="A436" s="11">
        <f t="shared" si="1"/>
        <v>423</v>
      </c>
      <c r="B436" s="570" t="str">
        <f>'refer admin discharge'!B432</f>
        <v>x</v>
      </c>
      <c r="C436" s="327"/>
      <c r="D436" s="599" t="str">
        <f>'refer admin discharge'!D432</f>
        <v>xx</v>
      </c>
      <c r="E436" s="327"/>
      <c r="F436" s="600" t="str">
        <f>'refer admin discharge'!H432</f>
        <v>00/00/0000</v>
      </c>
      <c r="G436" s="327"/>
      <c r="H436" s="574"/>
      <c r="I436" s="327"/>
      <c r="J436" s="601"/>
      <c r="K436" s="327"/>
      <c r="L436" s="574"/>
      <c r="M436" s="327"/>
      <c r="N436" s="594"/>
      <c r="O436" s="327"/>
      <c r="P436" s="574"/>
      <c r="Q436" s="327"/>
      <c r="R436" s="594"/>
      <c r="S436" s="327"/>
      <c r="T436" s="574"/>
      <c r="U436" s="327"/>
      <c r="V436" s="595" t="str">
        <f>'refer admin discharge'!H437</f>
        <v>00/00/0000</v>
      </c>
      <c r="W436" s="327"/>
      <c r="X436" s="596"/>
      <c r="Y436" s="327"/>
      <c r="Z436" s="597"/>
      <c r="AA436" s="327"/>
      <c r="AB436" s="596"/>
      <c r="AC436" s="327"/>
      <c r="AD436" s="577"/>
      <c r="AE436" s="327"/>
      <c r="AF436" s="596"/>
      <c r="AG436" s="327"/>
      <c r="AH436" s="577"/>
      <c r="AI436" s="327"/>
      <c r="AJ436" s="596"/>
      <c r="AK436" s="327"/>
      <c r="AL436" s="598"/>
      <c r="AM436" s="326"/>
      <c r="AN436" s="326"/>
      <c r="AO436" s="326"/>
      <c r="AP436" s="326"/>
      <c r="AQ436" s="326"/>
      <c r="AR436" s="326"/>
      <c r="AS436" s="326"/>
      <c r="AT436" s="326"/>
      <c r="AU436" s="326"/>
      <c r="AV436" s="326"/>
      <c r="AW436" s="326"/>
      <c r="AX436" s="326"/>
      <c r="AY436" s="326"/>
      <c r="AZ436" s="326"/>
      <c r="BA436" s="326"/>
      <c r="BB436" s="327"/>
    </row>
    <row r="437" spans="1:54" ht="15.75" customHeight="1" x14ac:dyDescent="0.25">
      <c r="A437" s="11">
        <f t="shared" si="1"/>
        <v>424</v>
      </c>
      <c r="B437" s="504" t="str">
        <f>'refer admin discharge'!B433</f>
        <v>x</v>
      </c>
      <c r="C437" s="327"/>
      <c r="D437" s="505" t="str">
        <f>'refer admin discharge'!D433</f>
        <v>xx</v>
      </c>
      <c r="E437" s="327"/>
      <c r="F437" s="606" t="str">
        <f>'refer admin discharge'!H433</f>
        <v>00/00/0000</v>
      </c>
      <c r="G437" s="327"/>
      <c r="H437" s="594"/>
      <c r="I437" s="327"/>
      <c r="J437" s="605"/>
      <c r="K437" s="327"/>
      <c r="L437" s="594"/>
      <c r="M437" s="327"/>
      <c r="N437" s="575"/>
      <c r="O437" s="327"/>
      <c r="P437" s="594"/>
      <c r="Q437" s="327"/>
      <c r="R437" s="575"/>
      <c r="S437" s="327"/>
      <c r="T437" s="594"/>
      <c r="U437" s="327"/>
      <c r="V437" s="595" t="str">
        <f>'refer admin discharge'!H438</f>
        <v>00/00/0000</v>
      </c>
      <c r="W437" s="327"/>
      <c r="X437" s="577"/>
      <c r="Y437" s="327"/>
      <c r="Z437" s="604"/>
      <c r="AA437" s="327"/>
      <c r="AB437" s="577"/>
      <c r="AC437" s="327"/>
      <c r="AD437" s="576"/>
      <c r="AE437" s="327"/>
      <c r="AF437" s="577"/>
      <c r="AG437" s="327"/>
      <c r="AH437" s="576"/>
      <c r="AI437" s="327"/>
      <c r="AJ437" s="577"/>
      <c r="AK437" s="327"/>
      <c r="AL437" s="602"/>
      <c r="AM437" s="326"/>
      <c r="AN437" s="326"/>
      <c r="AO437" s="326"/>
      <c r="AP437" s="326"/>
      <c r="AQ437" s="326"/>
      <c r="AR437" s="326"/>
      <c r="AS437" s="326"/>
      <c r="AT437" s="326"/>
      <c r="AU437" s="326"/>
      <c r="AV437" s="326"/>
      <c r="AW437" s="326"/>
      <c r="AX437" s="326"/>
      <c r="AY437" s="326"/>
      <c r="AZ437" s="326"/>
      <c r="BA437" s="326"/>
      <c r="BB437" s="327"/>
    </row>
    <row r="438" spans="1:54" ht="15.75" customHeight="1" x14ac:dyDescent="0.25">
      <c r="A438" s="11">
        <f t="shared" si="1"/>
        <v>425</v>
      </c>
      <c r="B438" s="570" t="str">
        <f>'refer admin discharge'!B434</f>
        <v>x</v>
      </c>
      <c r="C438" s="327"/>
      <c r="D438" s="599" t="str">
        <f>'refer admin discharge'!D434</f>
        <v>xx</v>
      </c>
      <c r="E438" s="327"/>
      <c r="F438" s="600" t="str">
        <f>'refer admin discharge'!H434</f>
        <v>00/00/0000</v>
      </c>
      <c r="G438" s="327"/>
      <c r="H438" s="574"/>
      <c r="I438" s="327"/>
      <c r="J438" s="601"/>
      <c r="K438" s="327"/>
      <c r="L438" s="574"/>
      <c r="M438" s="327"/>
      <c r="N438" s="594"/>
      <c r="O438" s="327"/>
      <c r="P438" s="574"/>
      <c r="Q438" s="327"/>
      <c r="R438" s="594"/>
      <c r="S438" s="327"/>
      <c r="T438" s="574"/>
      <c r="U438" s="327"/>
      <c r="V438" s="595" t="str">
        <f>'refer admin discharge'!H439</f>
        <v>00/00/0000</v>
      </c>
      <c r="W438" s="327"/>
      <c r="X438" s="596"/>
      <c r="Y438" s="327"/>
      <c r="Z438" s="597"/>
      <c r="AA438" s="327"/>
      <c r="AB438" s="596"/>
      <c r="AC438" s="327"/>
      <c r="AD438" s="577"/>
      <c r="AE438" s="327"/>
      <c r="AF438" s="596"/>
      <c r="AG438" s="327"/>
      <c r="AH438" s="577"/>
      <c r="AI438" s="327"/>
      <c r="AJ438" s="596"/>
      <c r="AK438" s="327"/>
      <c r="AL438" s="598"/>
      <c r="AM438" s="326"/>
      <c r="AN438" s="326"/>
      <c r="AO438" s="326"/>
      <c r="AP438" s="326"/>
      <c r="AQ438" s="326"/>
      <c r="AR438" s="326"/>
      <c r="AS438" s="326"/>
      <c r="AT438" s="326"/>
      <c r="AU438" s="326"/>
      <c r="AV438" s="326"/>
      <c r="AW438" s="326"/>
      <c r="AX438" s="326"/>
      <c r="AY438" s="326"/>
      <c r="AZ438" s="326"/>
      <c r="BA438" s="326"/>
      <c r="BB438" s="327"/>
    </row>
    <row r="439" spans="1:54" ht="15.75" customHeight="1" x14ac:dyDescent="0.25">
      <c r="A439" s="11">
        <f t="shared" si="1"/>
        <v>426</v>
      </c>
      <c r="B439" s="504" t="str">
        <f>'refer admin discharge'!B435</f>
        <v>x</v>
      </c>
      <c r="C439" s="327"/>
      <c r="D439" s="505" t="str">
        <f>'refer admin discharge'!D435</f>
        <v>xx</v>
      </c>
      <c r="E439" s="327"/>
      <c r="F439" s="606" t="str">
        <f>'refer admin discharge'!H435</f>
        <v>00/00/0000</v>
      </c>
      <c r="G439" s="327"/>
      <c r="H439" s="594"/>
      <c r="I439" s="327"/>
      <c r="J439" s="605"/>
      <c r="K439" s="327"/>
      <c r="L439" s="594"/>
      <c r="M439" s="327"/>
      <c r="N439" s="575"/>
      <c r="O439" s="327"/>
      <c r="P439" s="594"/>
      <c r="Q439" s="327"/>
      <c r="R439" s="575"/>
      <c r="S439" s="327"/>
      <c r="T439" s="594"/>
      <c r="U439" s="327"/>
      <c r="V439" s="595" t="str">
        <f>'refer admin discharge'!H440</f>
        <v>00/00/0000</v>
      </c>
      <c r="W439" s="327"/>
      <c r="X439" s="577"/>
      <c r="Y439" s="327"/>
      <c r="Z439" s="604"/>
      <c r="AA439" s="327"/>
      <c r="AB439" s="577"/>
      <c r="AC439" s="327"/>
      <c r="AD439" s="576"/>
      <c r="AE439" s="327"/>
      <c r="AF439" s="577"/>
      <c r="AG439" s="327"/>
      <c r="AH439" s="576"/>
      <c r="AI439" s="327"/>
      <c r="AJ439" s="577"/>
      <c r="AK439" s="327"/>
      <c r="AL439" s="602"/>
      <c r="AM439" s="326"/>
      <c r="AN439" s="326"/>
      <c r="AO439" s="326"/>
      <c r="AP439" s="326"/>
      <c r="AQ439" s="326"/>
      <c r="AR439" s="326"/>
      <c r="AS439" s="326"/>
      <c r="AT439" s="326"/>
      <c r="AU439" s="326"/>
      <c r="AV439" s="326"/>
      <c r="AW439" s="326"/>
      <c r="AX439" s="326"/>
      <c r="AY439" s="326"/>
      <c r="AZ439" s="326"/>
      <c r="BA439" s="326"/>
      <c r="BB439" s="327"/>
    </row>
    <row r="440" spans="1:54" ht="15.75" customHeight="1" x14ac:dyDescent="0.25">
      <c r="A440" s="11">
        <f t="shared" si="1"/>
        <v>427</v>
      </c>
      <c r="B440" s="570" t="str">
        <f>'refer admin discharge'!B436</f>
        <v>x</v>
      </c>
      <c r="C440" s="327"/>
      <c r="D440" s="599" t="str">
        <f>'refer admin discharge'!D436</f>
        <v>xx</v>
      </c>
      <c r="E440" s="327"/>
      <c r="F440" s="600" t="str">
        <f>'refer admin discharge'!H436</f>
        <v>00/00/0000</v>
      </c>
      <c r="G440" s="327"/>
      <c r="H440" s="574"/>
      <c r="I440" s="327"/>
      <c r="J440" s="601"/>
      <c r="K440" s="327"/>
      <c r="L440" s="574"/>
      <c r="M440" s="327"/>
      <c r="N440" s="594"/>
      <c r="O440" s="327"/>
      <c r="P440" s="574"/>
      <c r="Q440" s="327"/>
      <c r="R440" s="594"/>
      <c r="S440" s="327"/>
      <c r="T440" s="574"/>
      <c r="U440" s="327"/>
      <c r="V440" s="595" t="str">
        <f>'refer admin discharge'!H441</f>
        <v>00/00/0000</v>
      </c>
      <c r="W440" s="327"/>
      <c r="X440" s="596"/>
      <c r="Y440" s="327"/>
      <c r="Z440" s="597"/>
      <c r="AA440" s="327"/>
      <c r="AB440" s="596"/>
      <c r="AC440" s="327"/>
      <c r="AD440" s="577"/>
      <c r="AE440" s="327"/>
      <c r="AF440" s="596"/>
      <c r="AG440" s="327"/>
      <c r="AH440" s="577"/>
      <c r="AI440" s="327"/>
      <c r="AJ440" s="596"/>
      <c r="AK440" s="327"/>
      <c r="AL440" s="598"/>
      <c r="AM440" s="326"/>
      <c r="AN440" s="326"/>
      <c r="AO440" s="326"/>
      <c r="AP440" s="326"/>
      <c r="AQ440" s="326"/>
      <c r="AR440" s="326"/>
      <c r="AS440" s="326"/>
      <c r="AT440" s="326"/>
      <c r="AU440" s="326"/>
      <c r="AV440" s="326"/>
      <c r="AW440" s="326"/>
      <c r="AX440" s="326"/>
      <c r="AY440" s="326"/>
      <c r="AZ440" s="326"/>
      <c r="BA440" s="326"/>
      <c r="BB440" s="327"/>
    </row>
    <row r="441" spans="1:54" ht="15.75" customHeight="1" x14ac:dyDescent="0.25">
      <c r="A441" s="11">
        <f t="shared" si="1"/>
        <v>428</v>
      </c>
      <c r="B441" s="504" t="str">
        <f>'refer admin discharge'!B437</f>
        <v>x</v>
      </c>
      <c r="C441" s="327"/>
      <c r="D441" s="505" t="str">
        <f>'refer admin discharge'!D437</f>
        <v>xx</v>
      </c>
      <c r="E441" s="327"/>
      <c r="F441" s="606" t="str">
        <f>'refer admin discharge'!H437</f>
        <v>00/00/0000</v>
      </c>
      <c r="G441" s="327"/>
      <c r="H441" s="594"/>
      <c r="I441" s="327"/>
      <c r="J441" s="605"/>
      <c r="K441" s="327"/>
      <c r="L441" s="594"/>
      <c r="M441" s="327"/>
      <c r="N441" s="575"/>
      <c r="O441" s="327"/>
      <c r="P441" s="594"/>
      <c r="Q441" s="327"/>
      <c r="R441" s="575"/>
      <c r="S441" s="327"/>
      <c r="T441" s="594"/>
      <c r="U441" s="327"/>
      <c r="V441" s="595" t="str">
        <f>'refer admin discharge'!H442</f>
        <v>00/00/0000</v>
      </c>
      <c r="W441" s="327"/>
      <c r="X441" s="577"/>
      <c r="Y441" s="327"/>
      <c r="Z441" s="604"/>
      <c r="AA441" s="327"/>
      <c r="AB441" s="577"/>
      <c r="AC441" s="327"/>
      <c r="AD441" s="576"/>
      <c r="AE441" s="327"/>
      <c r="AF441" s="577"/>
      <c r="AG441" s="327"/>
      <c r="AH441" s="576"/>
      <c r="AI441" s="327"/>
      <c r="AJ441" s="577"/>
      <c r="AK441" s="327"/>
      <c r="AL441" s="602"/>
      <c r="AM441" s="326"/>
      <c r="AN441" s="326"/>
      <c r="AO441" s="326"/>
      <c r="AP441" s="326"/>
      <c r="AQ441" s="326"/>
      <c r="AR441" s="326"/>
      <c r="AS441" s="326"/>
      <c r="AT441" s="326"/>
      <c r="AU441" s="326"/>
      <c r="AV441" s="326"/>
      <c r="AW441" s="326"/>
      <c r="AX441" s="326"/>
      <c r="AY441" s="326"/>
      <c r="AZ441" s="326"/>
      <c r="BA441" s="326"/>
      <c r="BB441" s="327"/>
    </row>
    <row r="442" spans="1:54" ht="15.75" customHeight="1" x14ac:dyDescent="0.25">
      <c r="A442" s="11">
        <f t="shared" si="1"/>
        <v>429</v>
      </c>
      <c r="B442" s="570" t="str">
        <f>'refer admin discharge'!B438</f>
        <v>x</v>
      </c>
      <c r="C442" s="327"/>
      <c r="D442" s="599" t="str">
        <f>'refer admin discharge'!D438</f>
        <v>xx</v>
      </c>
      <c r="E442" s="327"/>
      <c r="F442" s="600" t="str">
        <f>'refer admin discharge'!H438</f>
        <v>00/00/0000</v>
      </c>
      <c r="G442" s="327"/>
      <c r="H442" s="574"/>
      <c r="I442" s="327"/>
      <c r="J442" s="601"/>
      <c r="K442" s="327"/>
      <c r="L442" s="574"/>
      <c r="M442" s="327"/>
      <c r="N442" s="594"/>
      <c r="O442" s="327"/>
      <c r="P442" s="574"/>
      <c r="Q442" s="327"/>
      <c r="R442" s="594"/>
      <c r="S442" s="327"/>
      <c r="T442" s="574"/>
      <c r="U442" s="327"/>
      <c r="V442" s="595" t="str">
        <f>'refer admin discharge'!H443</f>
        <v>00/00/0000</v>
      </c>
      <c r="W442" s="327"/>
      <c r="X442" s="596"/>
      <c r="Y442" s="327"/>
      <c r="Z442" s="597"/>
      <c r="AA442" s="327"/>
      <c r="AB442" s="596"/>
      <c r="AC442" s="327"/>
      <c r="AD442" s="577"/>
      <c r="AE442" s="327"/>
      <c r="AF442" s="596"/>
      <c r="AG442" s="327"/>
      <c r="AH442" s="577"/>
      <c r="AI442" s="327"/>
      <c r="AJ442" s="596"/>
      <c r="AK442" s="327"/>
      <c r="AL442" s="598"/>
      <c r="AM442" s="326"/>
      <c r="AN442" s="326"/>
      <c r="AO442" s="326"/>
      <c r="AP442" s="326"/>
      <c r="AQ442" s="326"/>
      <c r="AR442" s="326"/>
      <c r="AS442" s="326"/>
      <c r="AT442" s="326"/>
      <c r="AU442" s="326"/>
      <c r="AV442" s="326"/>
      <c r="AW442" s="326"/>
      <c r="AX442" s="326"/>
      <c r="AY442" s="326"/>
      <c r="AZ442" s="326"/>
      <c r="BA442" s="326"/>
      <c r="BB442" s="327"/>
    </row>
    <row r="443" spans="1:54" ht="15.75" customHeight="1" x14ac:dyDescent="0.25">
      <c r="A443" s="11">
        <f t="shared" si="1"/>
        <v>430</v>
      </c>
      <c r="B443" s="504" t="str">
        <f>'refer admin discharge'!B439</f>
        <v>x</v>
      </c>
      <c r="C443" s="327"/>
      <c r="D443" s="505" t="str">
        <f>'refer admin discharge'!D439</f>
        <v>xx</v>
      </c>
      <c r="E443" s="327"/>
      <c r="F443" s="606" t="str">
        <f>'refer admin discharge'!H439</f>
        <v>00/00/0000</v>
      </c>
      <c r="G443" s="327"/>
      <c r="H443" s="594"/>
      <c r="I443" s="327"/>
      <c r="J443" s="605"/>
      <c r="K443" s="327"/>
      <c r="L443" s="594"/>
      <c r="M443" s="327"/>
      <c r="N443" s="575"/>
      <c r="O443" s="327"/>
      <c r="P443" s="594"/>
      <c r="Q443" s="327"/>
      <c r="R443" s="575"/>
      <c r="S443" s="327"/>
      <c r="T443" s="594"/>
      <c r="U443" s="327"/>
      <c r="V443" s="595" t="str">
        <f>'refer admin discharge'!H444</f>
        <v>00/00/0000</v>
      </c>
      <c r="W443" s="327"/>
      <c r="X443" s="577"/>
      <c r="Y443" s="327"/>
      <c r="Z443" s="604"/>
      <c r="AA443" s="327"/>
      <c r="AB443" s="577"/>
      <c r="AC443" s="327"/>
      <c r="AD443" s="576"/>
      <c r="AE443" s="327"/>
      <c r="AF443" s="577"/>
      <c r="AG443" s="327"/>
      <c r="AH443" s="576"/>
      <c r="AI443" s="327"/>
      <c r="AJ443" s="577"/>
      <c r="AK443" s="327"/>
      <c r="AL443" s="602"/>
      <c r="AM443" s="326"/>
      <c r="AN443" s="326"/>
      <c r="AO443" s="326"/>
      <c r="AP443" s="326"/>
      <c r="AQ443" s="326"/>
      <c r="AR443" s="326"/>
      <c r="AS443" s="326"/>
      <c r="AT443" s="326"/>
      <c r="AU443" s="326"/>
      <c r="AV443" s="326"/>
      <c r="AW443" s="326"/>
      <c r="AX443" s="326"/>
      <c r="AY443" s="326"/>
      <c r="AZ443" s="326"/>
      <c r="BA443" s="326"/>
      <c r="BB443" s="327"/>
    </row>
    <row r="444" spans="1:54" ht="15.75" customHeight="1" x14ac:dyDescent="0.25">
      <c r="A444" s="11">
        <f t="shared" si="1"/>
        <v>431</v>
      </c>
      <c r="B444" s="570" t="str">
        <f>'refer admin discharge'!B440</f>
        <v>x</v>
      </c>
      <c r="C444" s="327"/>
      <c r="D444" s="599" t="str">
        <f>'refer admin discharge'!D440</f>
        <v>xx</v>
      </c>
      <c r="E444" s="327"/>
      <c r="F444" s="600" t="str">
        <f>'refer admin discharge'!H440</f>
        <v>00/00/0000</v>
      </c>
      <c r="G444" s="327"/>
      <c r="H444" s="574"/>
      <c r="I444" s="327"/>
      <c r="J444" s="601"/>
      <c r="K444" s="327"/>
      <c r="L444" s="574"/>
      <c r="M444" s="327"/>
      <c r="N444" s="594"/>
      <c r="O444" s="327"/>
      <c r="P444" s="574"/>
      <c r="Q444" s="327"/>
      <c r="R444" s="594"/>
      <c r="S444" s="327"/>
      <c r="T444" s="574"/>
      <c r="U444" s="327"/>
      <c r="V444" s="595" t="str">
        <f>'refer admin discharge'!H445</f>
        <v>00/00/0000</v>
      </c>
      <c r="W444" s="327"/>
      <c r="X444" s="596"/>
      <c r="Y444" s="327"/>
      <c r="Z444" s="597"/>
      <c r="AA444" s="327"/>
      <c r="AB444" s="596"/>
      <c r="AC444" s="327"/>
      <c r="AD444" s="577"/>
      <c r="AE444" s="327"/>
      <c r="AF444" s="596"/>
      <c r="AG444" s="327"/>
      <c r="AH444" s="577"/>
      <c r="AI444" s="327"/>
      <c r="AJ444" s="596"/>
      <c r="AK444" s="327"/>
      <c r="AL444" s="598"/>
      <c r="AM444" s="326"/>
      <c r="AN444" s="326"/>
      <c r="AO444" s="326"/>
      <c r="AP444" s="326"/>
      <c r="AQ444" s="326"/>
      <c r="AR444" s="326"/>
      <c r="AS444" s="326"/>
      <c r="AT444" s="326"/>
      <c r="AU444" s="326"/>
      <c r="AV444" s="326"/>
      <c r="AW444" s="326"/>
      <c r="AX444" s="326"/>
      <c r="AY444" s="326"/>
      <c r="AZ444" s="326"/>
      <c r="BA444" s="326"/>
      <c r="BB444" s="327"/>
    </row>
    <row r="445" spans="1:54" ht="15.75" customHeight="1" x14ac:dyDescent="0.25">
      <c r="A445" s="11">
        <f t="shared" si="1"/>
        <v>432</v>
      </c>
      <c r="B445" s="504" t="str">
        <f>'refer admin discharge'!B441</f>
        <v>x</v>
      </c>
      <c r="C445" s="327"/>
      <c r="D445" s="505" t="str">
        <f>'refer admin discharge'!D441</f>
        <v>xx</v>
      </c>
      <c r="E445" s="327"/>
      <c r="F445" s="606" t="str">
        <f>'refer admin discharge'!H441</f>
        <v>00/00/0000</v>
      </c>
      <c r="G445" s="327"/>
      <c r="H445" s="594"/>
      <c r="I445" s="327"/>
      <c r="J445" s="605"/>
      <c r="K445" s="327"/>
      <c r="L445" s="594"/>
      <c r="M445" s="327"/>
      <c r="N445" s="575"/>
      <c r="O445" s="327"/>
      <c r="P445" s="594"/>
      <c r="Q445" s="327"/>
      <c r="R445" s="575"/>
      <c r="S445" s="327"/>
      <c r="T445" s="594"/>
      <c r="U445" s="327"/>
      <c r="V445" s="595" t="str">
        <f>'refer admin discharge'!H446</f>
        <v>00/00/0000</v>
      </c>
      <c r="W445" s="327"/>
      <c r="X445" s="577"/>
      <c r="Y445" s="327"/>
      <c r="Z445" s="604"/>
      <c r="AA445" s="327"/>
      <c r="AB445" s="577"/>
      <c r="AC445" s="327"/>
      <c r="AD445" s="576"/>
      <c r="AE445" s="327"/>
      <c r="AF445" s="577"/>
      <c r="AG445" s="327"/>
      <c r="AH445" s="576"/>
      <c r="AI445" s="327"/>
      <c r="AJ445" s="577"/>
      <c r="AK445" s="327"/>
      <c r="AL445" s="602"/>
      <c r="AM445" s="326"/>
      <c r="AN445" s="326"/>
      <c r="AO445" s="326"/>
      <c r="AP445" s="326"/>
      <c r="AQ445" s="326"/>
      <c r="AR445" s="326"/>
      <c r="AS445" s="326"/>
      <c r="AT445" s="326"/>
      <c r="AU445" s="326"/>
      <c r="AV445" s="326"/>
      <c r="AW445" s="326"/>
      <c r="AX445" s="326"/>
      <c r="AY445" s="326"/>
      <c r="AZ445" s="326"/>
      <c r="BA445" s="326"/>
      <c r="BB445" s="327"/>
    </row>
    <row r="446" spans="1:54" ht="15.75" customHeight="1" x14ac:dyDescent="0.25">
      <c r="A446" s="11">
        <f t="shared" si="1"/>
        <v>433</v>
      </c>
      <c r="B446" s="570" t="str">
        <f>'refer admin discharge'!B442</f>
        <v>x</v>
      </c>
      <c r="C446" s="327"/>
      <c r="D446" s="599" t="str">
        <f>'refer admin discharge'!D442</f>
        <v>xx</v>
      </c>
      <c r="E446" s="327"/>
      <c r="F446" s="600" t="str">
        <f>'refer admin discharge'!H442</f>
        <v>00/00/0000</v>
      </c>
      <c r="G446" s="327"/>
      <c r="H446" s="574"/>
      <c r="I446" s="327"/>
      <c r="J446" s="601"/>
      <c r="K446" s="327"/>
      <c r="L446" s="574"/>
      <c r="M446" s="327"/>
      <c r="N446" s="594"/>
      <c r="O446" s="327"/>
      <c r="P446" s="574"/>
      <c r="Q446" s="327"/>
      <c r="R446" s="594"/>
      <c r="S446" s="327"/>
      <c r="T446" s="574"/>
      <c r="U446" s="327"/>
      <c r="V446" s="595" t="str">
        <f>'refer admin discharge'!H447</f>
        <v>00/00/0000</v>
      </c>
      <c r="W446" s="327"/>
      <c r="X446" s="596"/>
      <c r="Y446" s="327"/>
      <c r="Z446" s="597"/>
      <c r="AA446" s="327"/>
      <c r="AB446" s="596"/>
      <c r="AC446" s="327"/>
      <c r="AD446" s="577"/>
      <c r="AE446" s="327"/>
      <c r="AF446" s="596"/>
      <c r="AG446" s="327"/>
      <c r="AH446" s="577"/>
      <c r="AI446" s="327"/>
      <c r="AJ446" s="596"/>
      <c r="AK446" s="327"/>
      <c r="AL446" s="598"/>
      <c r="AM446" s="326"/>
      <c r="AN446" s="326"/>
      <c r="AO446" s="326"/>
      <c r="AP446" s="326"/>
      <c r="AQ446" s="326"/>
      <c r="AR446" s="326"/>
      <c r="AS446" s="326"/>
      <c r="AT446" s="326"/>
      <c r="AU446" s="326"/>
      <c r="AV446" s="326"/>
      <c r="AW446" s="326"/>
      <c r="AX446" s="326"/>
      <c r="AY446" s="326"/>
      <c r="AZ446" s="326"/>
      <c r="BA446" s="326"/>
      <c r="BB446" s="327"/>
    </row>
    <row r="447" spans="1:54" ht="15.75" customHeight="1" x14ac:dyDescent="0.25">
      <c r="A447" s="11">
        <f t="shared" si="1"/>
        <v>434</v>
      </c>
      <c r="B447" s="504" t="str">
        <f>'refer admin discharge'!B443</f>
        <v>x</v>
      </c>
      <c r="C447" s="327"/>
      <c r="D447" s="505" t="str">
        <f>'refer admin discharge'!D443</f>
        <v>xx</v>
      </c>
      <c r="E447" s="327"/>
      <c r="F447" s="606" t="str">
        <f>'refer admin discharge'!H443</f>
        <v>00/00/0000</v>
      </c>
      <c r="G447" s="327"/>
      <c r="H447" s="594"/>
      <c r="I447" s="327"/>
      <c r="J447" s="605"/>
      <c r="K447" s="327"/>
      <c r="L447" s="594"/>
      <c r="M447" s="327"/>
      <c r="N447" s="575"/>
      <c r="O447" s="327"/>
      <c r="P447" s="594"/>
      <c r="Q447" s="327"/>
      <c r="R447" s="575"/>
      <c r="S447" s="327"/>
      <c r="T447" s="594"/>
      <c r="U447" s="327"/>
      <c r="V447" s="595" t="str">
        <f>'refer admin discharge'!H448</f>
        <v>00/00/0000</v>
      </c>
      <c r="W447" s="327"/>
      <c r="X447" s="577"/>
      <c r="Y447" s="327"/>
      <c r="Z447" s="604"/>
      <c r="AA447" s="327"/>
      <c r="AB447" s="577"/>
      <c r="AC447" s="327"/>
      <c r="AD447" s="576"/>
      <c r="AE447" s="327"/>
      <c r="AF447" s="577"/>
      <c r="AG447" s="327"/>
      <c r="AH447" s="576"/>
      <c r="AI447" s="327"/>
      <c r="AJ447" s="577"/>
      <c r="AK447" s="327"/>
      <c r="AL447" s="602"/>
      <c r="AM447" s="326"/>
      <c r="AN447" s="326"/>
      <c r="AO447" s="326"/>
      <c r="AP447" s="326"/>
      <c r="AQ447" s="326"/>
      <c r="AR447" s="326"/>
      <c r="AS447" s="326"/>
      <c r="AT447" s="326"/>
      <c r="AU447" s="326"/>
      <c r="AV447" s="326"/>
      <c r="AW447" s="326"/>
      <c r="AX447" s="326"/>
      <c r="AY447" s="326"/>
      <c r="AZ447" s="326"/>
      <c r="BA447" s="326"/>
      <c r="BB447" s="327"/>
    </row>
    <row r="448" spans="1:54" ht="15.75" customHeight="1" x14ac:dyDescent="0.25">
      <c r="A448" s="11">
        <f t="shared" si="1"/>
        <v>435</v>
      </c>
      <c r="B448" s="570" t="str">
        <f>'refer admin discharge'!B444</f>
        <v>x</v>
      </c>
      <c r="C448" s="327"/>
      <c r="D448" s="599" t="str">
        <f>'refer admin discharge'!D444</f>
        <v>xx</v>
      </c>
      <c r="E448" s="327"/>
      <c r="F448" s="600" t="str">
        <f>'refer admin discharge'!H444</f>
        <v>00/00/0000</v>
      </c>
      <c r="G448" s="327"/>
      <c r="H448" s="574"/>
      <c r="I448" s="327"/>
      <c r="J448" s="601"/>
      <c r="K448" s="327"/>
      <c r="L448" s="574"/>
      <c r="M448" s="327"/>
      <c r="N448" s="594"/>
      <c r="O448" s="327"/>
      <c r="P448" s="574"/>
      <c r="Q448" s="327"/>
      <c r="R448" s="594"/>
      <c r="S448" s="327"/>
      <c r="T448" s="574"/>
      <c r="U448" s="327"/>
      <c r="V448" s="595" t="str">
        <f>'refer admin discharge'!H449</f>
        <v>00/00/0000</v>
      </c>
      <c r="W448" s="327"/>
      <c r="X448" s="596"/>
      <c r="Y448" s="327"/>
      <c r="Z448" s="597"/>
      <c r="AA448" s="327"/>
      <c r="AB448" s="596"/>
      <c r="AC448" s="327"/>
      <c r="AD448" s="577"/>
      <c r="AE448" s="327"/>
      <c r="AF448" s="596"/>
      <c r="AG448" s="327"/>
      <c r="AH448" s="577"/>
      <c r="AI448" s="327"/>
      <c r="AJ448" s="596"/>
      <c r="AK448" s="327"/>
      <c r="AL448" s="598"/>
      <c r="AM448" s="326"/>
      <c r="AN448" s="326"/>
      <c r="AO448" s="326"/>
      <c r="AP448" s="326"/>
      <c r="AQ448" s="326"/>
      <c r="AR448" s="326"/>
      <c r="AS448" s="326"/>
      <c r="AT448" s="326"/>
      <c r="AU448" s="326"/>
      <c r="AV448" s="326"/>
      <c r="AW448" s="326"/>
      <c r="AX448" s="326"/>
      <c r="AY448" s="326"/>
      <c r="AZ448" s="326"/>
      <c r="BA448" s="326"/>
      <c r="BB448" s="327"/>
    </row>
    <row r="449" spans="1:54" ht="15.75" customHeight="1" x14ac:dyDescent="0.25">
      <c r="A449" s="11">
        <f t="shared" si="1"/>
        <v>436</v>
      </c>
      <c r="B449" s="504" t="str">
        <f>'refer admin discharge'!B445</f>
        <v>x</v>
      </c>
      <c r="C449" s="327"/>
      <c r="D449" s="505" t="str">
        <f>'refer admin discharge'!D445</f>
        <v>xx</v>
      </c>
      <c r="E449" s="327"/>
      <c r="F449" s="606" t="str">
        <f>'refer admin discharge'!H445</f>
        <v>00/00/0000</v>
      </c>
      <c r="G449" s="327"/>
      <c r="H449" s="594"/>
      <c r="I449" s="327"/>
      <c r="J449" s="605"/>
      <c r="K449" s="327"/>
      <c r="L449" s="594"/>
      <c r="M449" s="327"/>
      <c r="N449" s="575"/>
      <c r="O449" s="327"/>
      <c r="P449" s="594"/>
      <c r="Q449" s="327"/>
      <c r="R449" s="575"/>
      <c r="S449" s="327"/>
      <c r="T449" s="594"/>
      <c r="U449" s="327"/>
      <c r="V449" s="595" t="str">
        <f>'refer admin discharge'!H450</f>
        <v>00/00/0000</v>
      </c>
      <c r="W449" s="327"/>
      <c r="X449" s="577"/>
      <c r="Y449" s="327"/>
      <c r="Z449" s="604"/>
      <c r="AA449" s="327"/>
      <c r="AB449" s="577"/>
      <c r="AC449" s="327"/>
      <c r="AD449" s="576"/>
      <c r="AE449" s="327"/>
      <c r="AF449" s="577"/>
      <c r="AG449" s="327"/>
      <c r="AH449" s="576"/>
      <c r="AI449" s="327"/>
      <c r="AJ449" s="577"/>
      <c r="AK449" s="327"/>
      <c r="AL449" s="602"/>
      <c r="AM449" s="326"/>
      <c r="AN449" s="326"/>
      <c r="AO449" s="326"/>
      <c r="AP449" s="326"/>
      <c r="AQ449" s="326"/>
      <c r="AR449" s="326"/>
      <c r="AS449" s="326"/>
      <c r="AT449" s="326"/>
      <c r="AU449" s="326"/>
      <c r="AV449" s="326"/>
      <c r="AW449" s="326"/>
      <c r="AX449" s="326"/>
      <c r="AY449" s="326"/>
      <c r="AZ449" s="326"/>
      <c r="BA449" s="326"/>
      <c r="BB449" s="327"/>
    </row>
    <row r="450" spans="1:54" ht="15.75" customHeight="1" x14ac:dyDescent="0.25">
      <c r="A450" s="11">
        <f t="shared" si="1"/>
        <v>437</v>
      </c>
      <c r="B450" s="570" t="str">
        <f>'refer admin discharge'!B446</f>
        <v>x</v>
      </c>
      <c r="C450" s="327"/>
      <c r="D450" s="599" t="str">
        <f>'refer admin discharge'!D446</f>
        <v>xx</v>
      </c>
      <c r="E450" s="327"/>
      <c r="F450" s="600" t="str">
        <f>'refer admin discharge'!H446</f>
        <v>00/00/0000</v>
      </c>
      <c r="G450" s="327"/>
      <c r="H450" s="574"/>
      <c r="I450" s="327"/>
      <c r="J450" s="601"/>
      <c r="K450" s="327"/>
      <c r="L450" s="574"/>
      <c r="M450" s="327"/>
      <c r="N450" s="594"/>
      <c r="O450" s="327"/>
      <c r="P450" s="574"/>
      <c r="Q450" s="327"/>
      <c r="R450" s="594"/>
      <c r="S450" s="327"/>
      <c r="T450" s="574"/>
      <c r="U450" s="327"/>
      <c r="V450" s="595" t="str">
        <f>'refer admin discharge'!H451</f>
        <v>00/00/0000</v>
      </c>
      <c r="W450" s="327"/>
      <c r="X450" s="596"/>
      <c r="Y450" s="327"/>
      <c r="Z450" s="597"/>
      <c r="AA450" s="327"/>
      <c r="AB450" s="596"/>
      <c r="AC450" s="327"/>
      <c r="AD450" s="577"/>
      <c r="AE450" s="327"/>
      <c r="AF450" s="596"/>
      <c r="AG450" s="327"/>
      <c r="AH450" s="577"/>
      <c r="AI450" s="327"/>
      <c r="AJ450" s="596"/>
      <c r="AK450" s="327"/>
      <c r="AL450" s="598"/>
      <c r="AM450" s="326"/>
      <c r="AN450" s="326"/>
      <c r="AO450" s="326"/>
      <c r="AP450" s="326"/>
      <c r="AQ450" s="326"/>
      <c r="AR450" s="326"/>
      <c r="AS450" s="326"/>
      <c r="AT450" s="326"/>
      <c r="AU450" s="326"/>
      <c r="AV450" s="326"/>
      <c r="AW450" s="326"/>
      <c r="AX450" s="326"/>
      <c r="AY450" s="326"/>
      <c r="AZ450" s="326"/>
      <c r="BA450" s="326"/>
      <c r="BB450" s="327"/>
    </row>
    <row r="451" spans="1:54" ht="15.75" customHeight="1" x14ac:dyDescent="0.25">
      <c r="A451" s="11">
        <f t="shared" si="1"/>
        <v>438</v>
      </c>
      <c r="B451" s="504" t="str">
        <f>'refer admin discharge'!B447</f>
        <v>x</v>
      </c>
      <c r="C451" s="327"/>
      <c r="D451" s="505" t="str">
        <f>'refer admin discharge'!D447</f>
        <v>xx</v>
      </c>
      <c r="E451" s="327"/>
      <c r="F451" s="606" t="str">
        <f>'refer admin discharge'!H447</f>
        <v>00/00/0000</v>
      </c>
      <c r="G451" s="327"/>
      <c r="H451" s="594"/>
      <c r="I451" s="327"/>
      <c r="J451" s="605"/>
      <c r="K451" s="327"/>
      <c r="L451" s="594"/>
      <c r="M451" s="327"/>
      <c r="N451" s="575"/>
      <c r="O451" s="327"/>
      <c r="P451" s="594"/>
      <c r="Q451" s="327"/>
      <c r="R451" s="575"/>
      <c r="S451" s="327"/>
      <c r="T451" s="594"/>
      <c r="U451" s="327"/>
      <c r="V451" s="595" t="str">
        <f>'refer admin discharge'!H452</f>
        <v>00/00/0000</v>
      </c>
      <c r="W451" s="327"/>
      <c r="X451" s="577"/>
      <c r="Y451" s="327"/>
      <c r="Z451" s="604"/>
      <c r="AA451" s="327"/>
      <c r="AB451" s="577"/>
      <c r="AC451" s="327"/>
      <c r="AD451" s="576"/>
      <c r="AE451" s="327"/>
      <c r="AF451" s="577"/>
      <c r="AG451" s="327"/>
      <c r="AH451" s="576"/>
      <c r="AI451" s="327"/>
      <c r="AJ451" s="577"/>
      <c r="AK451" s="327"/>
      <c r="AL451" s="602"/>
      <c r="AM451" s="326"/>
      <c r="AN451" s="326"/>
      <c r="AO451" s="326"/>
      <c r="AP451" s="326"/>
      <c r="AQ451" s="326"/>
      <c r="AR451" s="326"/>
      <c r="AS451" s="326"/>
      <c r="AT451" s="326"/>
      <c r="AU451" s="326"/>
      <c r="AV451" s="326"/>
      <c r="AW451" s="326"/>
      <c r="AX451" s="326"/>
      <c r="AY451" s="326"/>
      <c r="AZ451" s="326"/>
      <c r="BA451" s="326"/>
      <c r="BB451" s="327"/>
    </row>
    <row r="452" spans="1:54" ht="15.75" customHeight="1" x14ac:dyDescent="0.25">
      <c r="A452" s="11">
        <f t="shared" si="1"/>
        <v>439</v>
      </c>
      <c r="B452" s="570" t="str">
        <f>'refer admin discharge'!B448</f>
        <v>x</v>
      </c>
      <c r="C452" s="327"/>
      <c r="D452" s="599" t="str">
        <f>'refer admin discharge'!D448</f>
        <v>xx</v>
      </c>
      <c r="E452" s="327"/>
      <c r="F452" s="600" t="str">
        <f>'refer admin discharge'!H448</f>
        <v>00/00/0000</v>
      </c>
      <c r="G452" s="327"/>
      <c r="H452" s="574"/>
      <c r="I452" s="327"/>
      <c r="J452" s="601"/>
      <c r="K452" s="327"/>
      <c r="L452" s="574"/>
      <c r="M452" s="327"/>
      <c r="N452" s="594"/>
      <c r="O452" s="327"/>
      <c r="P452" s="574"/>
      <c r="Q452" s="327"/>
      <c r="R452" s="594"/>
      <c r="S452" s="327"/>
      <c r="T452" s="574"/>
      <c r="U452" s="327"/>
      <c r="V452" s="595" t="str">
        <f>'refer admin discharge'!H453</f>
        <v>00/00/0000</v>
      </c>
      <c r="W452" s="327"/>
      <c r="X452" s="596"/>
      <c r="Y452" s="327"/>
      <c r="Z452" s="597"/>
      <c r="AA452" s="327"/>
      <c r="AB452" s="596"/>
      <c r="AC452" s="327"/>
      <c r="AD452" s="577"/>
      <c r="AE452" s="327"/>
      <c r="AF452" s="596"/>
      <c r="AG452" s="327"/>
      <c r="AH452" s="577"/>
      <c r="AI452" s="327"/>
      <c r="AJ452" s="596"/>
      <c r="AK452" s="327"/>
      <c r="AL452" s="598"/>
      <c r="AM452" s="326"/>
      <c r="AN452" s="326"/>
      <c r="AO452" s="326"/>
      <c r="AP452" s="326"/>
      <c r="AQ452" s="326"/>
      <c r="AR452" s="326"/>
      <c r="AS452" s="326"/>
      <c r="AT452" s="326"/>
      <c r="AU452" s="326"/>
      <c r="AV452" s="326"/>
      <c r="AW452" s="326"/>
      <c r="AX452" s="326"/>
      <c r="AY452" s="326"/>
      <c r="AZ452" s="326"/>
      <c r="BA452" s="326"/>
      <c r="BB452" s="327"/>
    </row>
    <row r="453" spans="1:54" ht="15.75" customHeight="1" x14ac:dyDescent="0.25">
      <c r="A453" s="11">
        <f t="shared" si="1"/>
        <v>440</v>
      </c>
      <c r="B453" s="504" t="str">
        <f>'refer admin discharge'!B449</f>
        <v>x</v>
      </c>
      <c r="C453" s="327"/>
      <c r="D453" s="505" t="str">
        <f>'refer admin discharge'!D449</f>
        <v>xx</v>
      </c>
      <c r="E453" s="327"/>
      <c r="F453" s="606" t="str">
        <f>'refer admin discharge'!H449</f>
        <v>00/00/0000</v>
      </c>
      <c r="G453" s="327"/>
      <c r="H453" s="594"/>
      <c r="I453" s="327"/>
      <c r="J453" s="605"/>
      <c r="K453" s="327"/>
      <c r="L453" s="594"/>
      <c r="M453" s="327"/>
      <c r="N453" s="575"/>
      <c r="O453" s="327"/>
      <c r="P453" s="594"/>
      <c r="Q453" s="327"/>
      <c r="R453" s="575"/>
      <c r="S453" s="327"/>
      <c r="T453" s="594"/>
      <c r="U453" s="327"/>
      <c r="V453" s="595" t="str">
        <f>'refer admin discharge'!H454</f>
        <v>00/00/0000</v>
      </c>
      <c r="W453" s="327"/>
      <c r="X453" s="577"/>
      <c r="Y453" s="327"/>
      <c r="Z453" s="604"/>
      <c r="AA453" s="327"/>
      <c r="AB453" s="577"/>
      <c r="AC453" s="327"/>
      <c r="AD453" s="576"/>
      <c r="AE453" s="327"/>
      <c r="AF453" s="577"/>
      <c r="AG453" s="327"/>
      <c r="AH453" s="576"/>
      <c r="AI453" s="327"/>
      <c r="AJ453" s="577"/>
      <c r="AK453" s="327"/>
      <c r="AL453" s="602"/>
      <c r="AM453" s="326"/>
      <c r="AN453" s="326"/>
      <c r="AO453" s="326"/>
      <c r="AP453" s="326"/>
      <c r="AQ453" s="326"/>
      <c r="AR453" s="326"/>
      <c r="AS453" s="326"/>
      <c r="AT453" s="326"/>
      <c r="AU453" s="326"/>
      <c r="AV453" s="326"/>
      <c r="AW453" s="326"/>
      <c r="AX453" s="326"/>
      <c r="AY453" s="326"/>
      <c r="AZ453" s="326"/>
      <c r="BA453" s="326"/>
      <c r="BB453" s="327"/>
    </row>
    <row r="454" spans="1:54" ht="15.75" customHeight="1" x14ac:dyDescent="0.25">
      <c r="A454" s="11">
        <f t="shared" si="1"/>
        <v>441</v>
      </c>
      <c r="B454" s="570" t="str">
        <f>'refer admin discharge'!B450</f>
        <v>x</v>
      </c>
      <c r="C454" s="327"/>
      <c r="D454" s="599" t="str">
        <f>'refer admin discharge'!D450</f>
        <v>xx</v>
      </c>
      <c r="E454" s="327"/>
      <c r="F454" s="600" t="str">
        <f>'refer admin discharge'!H450</f>
        <v>00/00/0000</v>
      </c>
      <c r="G454" s="327"/>
      <c r="H454" s="574"/>
      <c r="I454" s="327"/>
      <c r="J454" s="601"/>
      <c r="K454" s="327"/>
      <c r="L454" s="574"/>
      <c r="M454" s="327"/>
      <c r="N454" s="594"/>
      <c r="O454" s="327"/>
      <c r="P454" s="574"/>
      <c r="Q454" s="327"/>
      <c r="R454" s="594"/>
      <c r="S454" s="327"/>
      <c r="T454" s="574"/>
      <c r="U454" s="327"/>
      <c r="V454" s="595" t="str">
        <f>'refer admin discharge'!H455</f>
        <v>00/00/0000</v>
      </c>
      <c r="W454" s="327"/>
      <c r="X454" s="596"/>
      <c r="Y454" s="327"/>
      <c r="Z454" s="597"/>
      <c r="AA454" s="327"/>
      <c r="AB454" s="596"/>
      <c r="AC454" s="327"/>
      <c r="AD454" s="577"/>
      <c r="AE454" s="327"/>
      <c r="AF454" s="596"/>
      <c r="AG454" s="327"/>
      <c r="AH454" s="577"/>
      <c r="AI454" s="327"/>
      <c r="AJ454" s="596"/>
      <c r="AK454" s="327"/>
      <c r="AL454" s="598"/>
      <c r="AM454" s="326"/>
      <c r="AN454" s="326"/>
      <c r="AO454" s="326"/>
      <c r="AP454" s="326"/>
      <c r="AQ454" s="326"/>
      <c r="AR454" s="326"/>
      <c r="AS454" s="326"/>
      <c r="AT454" s="326"/>
      <c r="AU454" s="326"/>
      <c r="AV454" s="326"/>
      <c r="AW454" s="326"/>
      <c r="AX454" s="326"/>
      <c r="AY454" s="326"/>
      <c r="AZ454" s="326"/>
      <c r="BA454" s="326"/>
      <c r="BB454" s="327"/>
    </row>
    <row r="455" spans="1:54" ht="15.75" customHeight="1" x14ac:dyDescent="0.25">
      <c r="A455" s="11">
        <f t="shared" si="1"/>
        <v>442</v>
      </c>
      <c r="B455" s="504" t="str">
        <f>'refer admin discharge'!B451</f>
        <v>x</v>
      </c>
      <c r="C455" s="327"/>
      <c r="D455" s="505" t="str">
        <f>'refer admin discharge'!D451</f>
        <v>xx</v>
      </c>
      <c r="E455" s="327"/>
      <c r="F455" s="606" t="str">
        <f>'refer admin discharge'!H451</f>
        <v>00/00/0000</v>
      </c>
      <c r="G455" s="327"/>
      <c r="H455" s="594"/>
      <c r="I455" s="327"/>
      <c r="J455" s="605"/>
      <c r="K455" s="327"/>
      <c r="L455" s="594"/>
      <c r="M455" s="327"/>
      <c r="N455" s="575"/>
      <c r="O455" s="327"/>
      <c r="P455" s="594"/>
      <c r="Q455" s="327"/>
      <c r="R455" s="575"/>
      <c r="S455" s="327"/>
      <c r="T455" s="594"/>
      <c r="U455" s="327"/>
      <c r="V455" s="595" t="str">
        <f>'refer admin discharge'!H456</f>
        <v>00/00/0000</v>
      </c>
      <c r="W455" s="327"/>
      <c r="X455" s="577"/>
      <c r="Y455" s="327"/>
      <c r="Z455" s="604"/>
      <c r="AA455" s="327"/>
      <c r="AB455" s="577"/>
      <c r="AC455" s="327"/>
      <c r="AD455" s="576"/>
      <c r="AE455" s="327"/>
      <c r="AF455" s="577"/>
      <c r="AG455" s="327"/>
      <c r="AH455" s="576"/>
      <c r="AI455" s="327"/>
      <c r="AJ455" s="577"/>
      <c r="AK455" s="327"/>
      <c r="AL455" s="602"/>
      <c r="AM455" s="326"/>
      <c r="AN455" s="326"/>
      <c r="AO455" s="326"/>
      <c r="AP455" s="326"/>
      <c r="AQ455" s="326"/>
      <c r="AR455" s="326"/>
      <c r="AS455" s="326"/>
      <c r="AT455" s="326"/>
      <c r="AU455" s="326"/>
      <c r="AV455" s="326"/>
      <c r="AW455" s="326"/>
      <c r="AX455" s="326"/>
      <c r="AY455" s="326"/>
      <c r="AZ455" s="326"/>
      <c r="BA455" s="326"/>
      <c r="BB455" s="327"/>
    </row>
    <row r="456" spans="1:54" ht="15.75" customHeight="1" x14ac:dyDescent="0.25">
      <c r="A456" s="11">
        <f t="shared" si="1"/>
        <v>443</v>
      </c>
      <c r="B456" s="570" t="str">
        <f>'refer admin discharge'!B452</f>
        <v>x</v>
      </c>
      <c r="C456" s="327"/>
      <c r="D456" s="599" t="str">
        <f>'refer admin discharge'!D452</f>
        <v>xx</v>
      </c>
      <c r="E456" s="327"/>
      <c r="F456" s="600" t="str">
        <f>'refer admin discharge'!H452</f>
        <v>00/00/0000</v>
      </c>
      <c r="G456" s="327"/>
      <c r="H456" s="574"/>
      <c r="I456" s="327"/>
      <c r="J456" s="601"/>
      <c r="K456" s="327"/>
      <c r="L456" s="574"/>
      <c r="M456" s="327"/>
      <c r="N456" s="594"/>
      <c r="O456" s="327"/>
      <c r="P456" s="574"/>
      <c r="Q456" s="327"/>
      <c r="R456" s="594"/>
      <c r="S456" s="327"/>
      <c r="T456" s="574"/>
      <c r="U456" s="327"/>
      <c r="V456" s="595" t="str">
        <f>'refer admin discharge'!H457</f>
        <v>00/00/0000</v>
      </c>
      <c r="W456" s="327"/>
      <c r="X456" s="596"/>
      <c r="Y456" s="327"/>
      <c r="Z456" s="597"/>
      <c r="AA456" s="327"/>
      <c r="AB456" s="596"/>
      <c r="AC456" s="327"/>
      <c r="AD456" s="577"/>
      <c r="AE456" s="327"/>
      <c r="AF456" s="596"/>
      <c r="AG456" s="327"/>
      <c r="AH456" s="577"/>
      <c r="AI456" s="327"/>
      <c r="AJ456" s="596"/>
      <c r="AK456" s="327"/>
      <c r="AL456" s="598"/>
      <c r="AM456" s="326"/>
      <c r="AN456" s="326"/>
      <c r="AO456" s="326"/>
      <c r="AP456" s="326"/>
      <c r="AQ456" s="326"/>
      <c r="AR456" s="326"/>
      <c r="AS456" s="326"/>
      <c r="AT456" s="326"/>
      <c r="AU456" s="326"/>
      <c r="AV456" s="326"/>
      <c r="AW456" s="326"/>
      <c r="AX456" s="326"/>
      <c r="AY456" s="326"/>
      <c r="AZ456" s="326"/>
      <c r="BA456" s="326"/>
      <c r="BB456" s="327"/>
    </row>
    <row r="457" spans="1:54" ht="15.75" customHeight="1" x14ac:dyDescent="0.25">
      <c r="A457" s="11">
        <f t="shared" si="1"/>
        <v>444</v>
      </c>
      <c r="B457" s="504" t="str">
        <f>'refer admin discharge'!B453</f>
        <v>x</v>
      </c>
      <c r="C457" s="327"/>
      <c r="D457" s="505" t="str">
        <f>'refer admin discharge'!D453</f>
        <v>xx</v>
      </c>
      <c r="E457" s="327"/>
      <c r="F457" s="606" t="str">
        <f>'refer admin discharge'!H453</f>
        <v>00/00/0000</v>
      </c>
      <c r="G457" s="327"/>
      <c r="H457" s="594"/>
      <c r="I457" s="327"/>
      <c r="J457" s="605"/>
      <c r="K457" s="327"/>
      <c r="L457" s="594"/>
      <c r="M457" s="327"/>
      <c r="N457" s="575"/>
      <c r="O457" s="327"/>
      <c r="P457" s="594"/>
      <c r="Q457" s="327"/>
      <c r="R457" s="575"/>
      <c r="S457" s="327"/>
      <c r="T457" s="594"/>
      <c r="U457" s="327"/>
      <c r="V457" s="595" t="str">
        <f>'refer admin discharge'!H458</f>
        <v>00/00/0000</v>
      </c>
      <c r="W457" s="327"/>
      <c r="X457" s="577"/>
      <c r="Y457" s="327"/>
      <c r="Z457" s="604"/>
      <c r="AA457" s="327"/>
      <c r="AB457" s="577"/>
      <c r="AC457" s="327"/>
      <c r="AD457" s="576"/>
      <c r="AE457" s="327"/>
      <c r="AF457" s="577"/>
      <c r="AG457" s="327"/>
      <c r="AH457" s="576"/>
      <c r="AI457" s="327"/>
      <c r="AJ457" s="577"/>
      <c r="AK457" s="327"/>
      <c r="AL457" s="602"/>
      <c r="AM457" s="326"/>
      <c r="AN457" s="326"/>
      <c r="AO457" s="326"/>
      <c r="AP457" s="326"/>
      <c r="AQ457" s="326"/>
      <c r="AR457" s="326"/>
      <c r="AS457" s="326"/>
      <c r="AT457" s="326"/>
      <c r="AU457" s="326"/>
      <c r="AV457" s="326"/>
      <c r="AW457" s="326"/>
      <c r="AX457" s="326"/>
      <c r="AY457" s="326"/>
      <c r="AZ457" s="326"/>
      <c r="BA457" s="326"/>
      <c r="BB457" s="327"/>
    </row>
    <row r="458" spans="1:54" ht="15.75" customHeight="1" x14ac:dyDescent="0.25">
      <c r="A458" s="11">
        <f t="shared" si="1"/>
        <v>445</v>
      </c>
      <c r="B458" s="570" t="str">
        <f>'refer admin discharge'!B454</f>
        <v>x</v>
      </c>
      <c r="C458" s="327"/>
      <c r="D458" s="599" t="str">
        <f>'refer admin discharge'!D454</f>
        <v>xx</v>
      </c>
      <c r="E458" s="327"/>
      <c r="F458" s="600" t="str">
        <f>'refer admin discharge'!H454</f>
        <v>00/00/0000</v>
      </c>
      <c r="G458" s="327"/>
      <c r="H458" s="574"/>
      <c r="I458" s="327"/>
      <c r="J458" s="601"/>
      <c r="K458" s="327"/>
      <c r="L458" s="574"/>
      <c r="M458" s="327"/>
      <c r="N458" s="594"/>
      <c r="O458" s="327"/>
      <c r="P458" s="574"/>
      <c r="Q458" s="327"/>
      <c r="R458" s="594"/>
      <c r="S458" s="327"/>
      <c r="T458" s="574"/>
      <c r="U458" s="327"/>
      <c r="V458" s="595" t="str">
        <f>'refer admin discharge'!H459</f>
        <v>00/00/0000</v>
      </c>
      <c r="W458" s="327"/>
      <c r="X458" s="596"/>
      <c r="Y458" s="327"/>
      <c r="Z458" s="597"/>
      <c r="AA458" s="327"/>
      <c r="AB458" s="596"/>
      <c r="AC458" s="327"/>
      <c r="AD458" s="577"/>
      <c r="AE458" s="327"/>
      <c r="AF458" s="596"/>
      <c r="AG458" s="327"/>
      <c r="AH458" s="577"/>
      <c r="AI458" s="327"/>
      <c r="AJ458" s="596"/>
      <c r="AK458" s="327"/>
      <c r="AL458" s="598"/>
      <c r="AM458" s="326"/>
      <c r="AN458" s="326"/>
      <c r="AO458" s="326"/>
      <c r="AP458" s="326"/>
      <c r="AQ458" s="326"/>
      <c r="AR458" s="326"/>
      <c r="AS458" s="326"/>
      <c r="AT458" s="326"/>
      <c r="AU458" s="326"/>
      <c r="AV458" s="326"/>
      <c r="AW458" s="326"/>
      <c r="AX458" s="326"/>
      <c r="AY458" s="326"/>
      <c r="AZ458" s="326"/>
      <c r="BA458" s="326"/>
      <c r="BB458" s="327"/>
    </row>
    <row r="459" spans="1:54" ht="15.75" customHeight="1" x14ac:dyDescent="0.25">
      <c r="A459" s="11">
        <f t="shared" si="1"/>
        <v>446</v>
      </c>
      <c r="B459" s="504" t="str">
        <f>'refer admin discharge'!B455</f>
        <v>x</v>
      </c>
      <c r="C459" s="327"/>
      <c r="D459" s="505" t="str">
        <f>'refer admin discharge'!D455</f>
        <v>xx</v>
      </c>
      <c r="E459" s="327"/>
      <c r="F459" s="606" t="str">
        <f>'refer admin discharge'!H455</f>
        <v>00/00/0000</v>
      </c>
      <c r="G459" s="327"/>
      <c r="H459" s="594"/>
      <c r="I459" s="327"/>
      <c r="J459" s="605"/>
      <c r="K459" s="327"/>
      <c r="L459" s="594"/>
      <c r="M459" s="327"/>
      <c r="N459" s="575"/>
      <c r="O459" s="327"/>
      <c r="P459" s="594"/>
      <c r="Q459" s="327"/>
      <c r="R459" s="575"/>
      <c r="S459" s="327"/>
      <c r="T459" s="594"/>
      <c r="U459" s="327"/>
      <c r="V459" s="595" t="str">
        <f>'refer admin discharge'!H460</f>
        <v>00/00/0000</v>
      </c>
      <c r="W459" s="327"/>
      <c r="X459" s="577"/>
      <c r="Y459" s="327"/>
      <c r="Z459" s="604"/>
      <c r="AA459" s="327"/>
      <c r="AB459" s="577"/>
      <c r="AC459" s="327"/>
      <c r="AD459" s="576"/>
      <c r="AE459" s="327"/>
      <c r="AF459" s="577"/>
      <c r="AG459" s="327"/>
      <c r="AH459" s="576"/>
      <c r="AI459" s="327"/>
      <c r="AJ459" s="577"/>
      <c r="AK459" s="327"/>
      <c r="AL459" s="602"/>
      <c r="AM459" s="326"/>
      <c r="AN459" s="326"/>
      <c r="AO459" s="326"/>
      <c r="AP459" s="326"/>
      <c r="AQ459" s="326"/>
      <c r="AR459" s="326"/>
      <c r="AS459" s="326"/>
      <c r="AT459" s="326"/>
      <c r="AU459" s="326"/>
      <c r="AV459" s="326"/>
      <c r="AW459" s="326"/>
      <c r="AX459" s="326"/>
      <c r="AY459" s="326"/>
      <c r="AZ459" s="326"/>
      <c r="BA459" s="326"/>
      <c r="BB459" s="327"/>
    </row>
    <row r="460" spans="1:54" ht="15.75" customHeight="1" x14ac:dyDescent="0.25">
      <c r="A460" s="11">
        <f t="shared" si="1"/>
        <v>447</v>
      </c>
      <c r="B460" s="570" t="str">
        <f>'refer admin discharge'!B456</f>
        <v>x</v>
      </c>
      <c r="C460" s="327"/>
      <c r="D460" s="599" t="str">
        <f>'refer admin discharge'!D456</f>
        <v>xx</v>
      </c>
      <c r="E460" s="327"/>
      <c r="F460" s="600" t="str">
        <f>'refer admin discharge'!H456</f>
        <v>00/00/0000</v>
      </c>
      <c r="G460" s="327"/>
      <c r="H460" s="574"/>
      <c r="I460" s="327"/>
      <c r="J460" s="601"/>
      <c r="K460" s="327"/>
      <c r="L460" s="574"/>
      <c r="M460" s="327"/>
      <c r="N460" s="594"/>
      <c r="O460" s="327"/>
      <c r="P460" s="574"/>
      <c r="Q460" s="327"/>
      <c r="R460" s="594"/>
      <c r="S460" s="327"/>
      <c r="T460" s="574"/>
      <c r="U460" s="327"/>
      <c r="V460" s="595" t="str">
        <f>'refer admin discharge'!H461</f>
        <v>00/00/0000</v>
      </c>
      <c r="W460" s="327"/>
      <c r="X460" s="596"/>
      <c r="Y460" s="327"/>
      <c r="Z460" s="597"/>
      <c r="AA460" s="327"/>
      <c r="AB460" s="596"/>
      <c r="AC460" s="327"/>
      <c r="AD460" s="577"/>
      <c r="AE460" s="327"/>
      <c r="AF460" s="596"/>
      <c r="AG460" s="327"/>
      <c r="AH460" s="577"/>
      <c r="AI460" s="327"/>
      <c r="AJ460" s="596"/>
      <c r="AK460" s="327"/>
      <c r="AL460" s="598"/>
      <c r="AM460" s="326"/>
      <c r="AN460" s="326"/>
      <c r="AO460" s="326"/>
      <c r="AP460" s="326"/>
      <c r="AQ460" s="326"/>
      <c r="AR460" s="326"/>
      <c r="AS460" s="326"/>
      <c r="AT460" s="326"/>
      <c r="AU460" s="326"/>
      <c r="AV460" s="326"/>
      <c r="AW460" s="326"/>
      <c r="AX460" s="326"/>
      <c r="AY460" s="326"/>
      <c r="AZ460" s="326"/>
      <c r="BA460" s="326"/>
      <c r="BB460" s="327"/>
    </row>
    <row r="461" spans="1:54" ht="15.75" customHeight="1" x14ac:dyDescent="0.25">
      <c r="A461" s="11">
        <f t="shared" si="1"/>
        <v>448</v>
      </c>
      <c r="B461" s="504" t="str">
        <f>'refer admin discharge'!B457</f>
        <v>x</v>
      </c>
      <c r="C461" s="327"/>
      <c r="D461" s="505" t="str">
        <f>'refer admin discharge'!D457</f>
        <v>xx</v>
      </c>
      <c r="E461" s="327"/>
      <c r="F461" s="606" t="str">
        <f>'refer admin discharge'!H457</f>
        <v>00/00/0000</v>
      </c>
      <c r="G461" s="327"/>
      <c r="H461" s="594"/>
      <c r="I461" s="327"/>
      <c r="J461" s="605"/>
      <c r="K461" s="327"/>
      <c r="L461" s="594"/>
      <c r="M461" s="327"/>
      <c r="N461" s="575"/>
      <c r="O461" s="327"/>
      <c r="P461" s="594"/>
      <c r="Q461" s="327"/>
      <c r="R461" s="575"/>
      <c r="S461" s="327"/>
      <c r="T461" s="594"/>
      <c r="U461" s="327"/>
      <c r="V461" s="595" t="str">
        <f>'refer admin discharge'!H462</f>
        <v>00/00/0000</v>
      </c>
      <c r="W461" s="327"/>
      <c r="X461" s="577"/>
      <c r="Y461" s="327"/>
      <c r="Z461" s="604"/>
      <c r="AA461" s="327"/>
      <c r="AB461" s="577"/>
      <c r="AC461" s="327"/>
      <c r="AD461" s="576"/>
      <c r="AE461" s="327"/>
      <c r="AF461" s="577"/>
      <c r="AG461" s="327"/>
      <c r="AH461" s="576"/>
      <c r="AI461" s="327"/>
      <c r="AJ461" s="577"/>
      <c r="AK461" s="327"/>
      <c r="AL461" s="602"/>
      <c r="AM461" s="326"/>
      <c r="AN461" s="326"/>
      <c r="AO461" s="326"/>
      <c r="AP461" s="326"/>
      <c r="AQ461" s="326"/>
      <c r="AR461" s="326"/>
      <c r="AS461" s="326"/>
      <c r="AT461" s="326"/>
      <c r="AU461" s="326"/>
      <c r="AV461" s="326"/>
      <c r="AW461" s="326"/>
      <c r="AX461" s="326"/>
      <c r="AY461" s="326"/>
      <c r="AZ461" s="326"/>
      <c r="BA461" s="326"/>
      <c r="BB461" s="327"/>
    </row>
    <row r="462" spans="1:54" ht="15.75" customHeight="1" x14ac:dyDescent="0.25">
      <c r="A462" s="11">
        <f t="shared" si="1"/>
        <v>449</v>
      </c>
      <c r="B462" s="570" t="str">
        <f>'refer admin discharge'!B458</f>
        <v>x</v>
      </c>
      <c r="C462" s="327"/>
      <c r="D462" s="599" t="str">
        <f>'refer admin discharge'!D458</f>
        <v>xx</v>
      </c>
      <c r="E462" s="327"/>
      <c r="F462" s="600" t="str">
        <f>'refer admin discharge'!H458</f>
        <v>00/00/0000</v>
      </c>
      <c r="G462" s="327"/>
      <c r="H462" s="574"/>
      <c r="I462" s="327"/>
      <c r="J462" s="601"/>
      <c r="K462" s="327"/>
      <c r="L462" s="574"/>
      <c r="M462" s="327"/>
      <c r="N462" s="594"/>
      <c r="O462" s="327"/>
      <c r="P462" s="574"/>
      <c r="Q462" s="327"/>
      <c r="R462" s="594"/>
      <c r="S462" s="327"/>
      <c r="T462" s="574"/>
      <c r="U462" s="327"/>
      <c r="V462" s="595" t="str">
        <f>'refer admin discharge'!H463</f>
        <v>00/00/0000</v>
      </c>
      <c r="W462" s="327"/>
      <c r="X462" s="596"/>
      <c r="Y462" s="327"/>
      <c r="Z462" s="597"/>
      <c r="AA462" s="327"/>
      <c r="AB462" s="596"/>
      <c r="AC462" s="327"/>
      <c r="AD462" s="577"/>
      <c r="AE462" s="327"/>
      <c r="AF462" s="596"/>
      <c r="AG462" s="327"/>
      <c r="AH462" s="577"/>
      <c r="AI462" s="327"/>
      <c r="AJ462" s="596"/>
      <c r="AK462" s="327"/>
      <c r="AL462" s="598"/>
      <c r="AM462" s="326"/>
      <c r="AN462" s="326"/>
      <c r="AO462" s="326"/>
      <c r="AP462" s="326"/>
      <c r="AQ462" s="326"/>
      <c r="AR462" s="326"/>
      <c r="AS462" s="326"/>
      <c r="AT462" s="326"/>
      <c r="AU462" s="326"/>
      <c r="AV462" s="326"/>
      <c r="AW462" s="326"/>
      <c r="AX462" s="326"/>
      <c r="AY462" s="326"/>
      <c r="AZ462" s="326"/>
      <c r="BA462" s="326"/>
      <c r="BB462" s="327"/>
    </row>
    <row r="463" spans="1:54" ht="15.75" customHeight="1" x14ac:dyDescent="0.25">
      <c r="A463" s="11">
        <f t="shared" si="1"/>
        <v>450</v>
      </c>
      <c r="B463" s="504" t="str">
        <f>'refer admin discharge'!B459</f>
        <v>x</v>
      </c>
      <c r="C463" s="327"/>
      <c r="D463" s="505" t="str">
        <f>'refer admin discharge'!D459</f>
        <v>xx</v>
      </c>
      <c r="E463" s="327"/>
      <c r="F463" s="606" t="str">
        <f>'refer admin discharge'!H459</f>
        <v>00/00/0000</v>
      </c>
      <c r="G463" s="327"/>
      <c r="H463" s="594"/>
      <c r="I463" s="327"/>
      <c r="J463" s="605"/>
      <c r="K463" s="327"/>
      <c r="L463" s="594"/>
      <c r="M463" s="327"/>
      <c r="N463" s="575"/>
      <c r="O463" s="327"/>
      <c r="P463" s="594"/>
      <c r="Q463" s="327"/>
      <c r="R463" s="575"/>
      <c r="S463" s="327"/>
      <c r="T463" s="594"/>
      <c r="U463" s="327"/>
      <c r="V463" s="595" t="str">
        <f>'refer admin discharge'!H464</f>
        <v>00/00/0000</v>
      </c>
      <c r="W463" s="327"/>
      <c r="X463" s="577"/>
      <c r="Y463" s="327"/>
      <c r="Z463" s="604"/>
      <c r="AA463" s="327"/>
      <c r="AB463" s="577"/>
      <c r="AC463" s="327"/>
      <c r="AD463" s="576"/>
      <c r="AE463" s="327"/>
      <c r="AF463" s="577"/>
      <c r="AG463" s="327"/>
      <c r="AH463" s="576"/>
      <c r="AI463" s="327"/>
      <c r="AJ463" s="577"/>
      <c r="AK463" s="327"/>
      <c r="AL463" s="602"/>
      <c r="AM463" s="326"/>
      <c r="AN463" s="326"/>
      <c r="AO463" s="326"/>
      <c r="AP463" s="326"/>
      <c r="AQ463" s="326"/>
      <c r="AR463" s="326"/>
      <c r="AS463" s="326"/>
      <c r="AT463" s="326"/>
      <c r="AU463" s="326"/>
      <c r="AV463" s="326"/>
      <c r="AW463" s="326"/>
      <c r="AX463" s="326"/>
      <c r="AY463" s="326"/>
      <c r="AZ463" s="326"/>
      <c r="BA463" s="326"/>
      <c r="BB463" s="327"/>
    </row>
    <row r="464" spans="1:54" ht="15.75" customHeight="1" x14ac:dyDescent="0.25">
      <c r="A464" s="11">
        <f t="shared" si="1"/>
        <v>451</v>
      </c>
      <c r="B464" s="570" t="str">
        <f>'refer admin discharge'!B460</f>
        <v>x</v>
      </c>
      <c r="C464" s="327"/>
      <c r="D464" s="599" t="str">
        <f>'refer admin discharge'!D460</f>
        <v>xx</v>
      </c>
      <c r="E464" s="327"/>
      <c r="F464" s="600" t="str">
        <f>'refer admin discharge'!H460</f>
        <v>00/00/0000</v>
      </c>
      <c r="G464" s="327"/>
      <c r="H464" s="574"/>
      <c r="I464" s="327"/>
      <c r="J464" s="601"/>
      <c r="K464" s="327"/>
      <c r="L464" s="574"/>
      <c r="M464" s="327"/>
      <c r="N464" s="594"/>
      <c r="O464" s="327"/>
      <c r="P464" s="574"/>
      <c r="Q464" s="327"/>
      <c r="R464" s="594"/>
      <c r="S464" s="327"/>
      <c r="T464" s="574"/>
      <c r="U464" s="327"/>
      <c r="V464" s="595" t="str">
        <f>'refer admin discharge'!H465</f>
        <v>00/00/0000</v>
      </c>
      <c r="W464" s="327"/>
      <c r="X464" s="596"/>
      <c r="Y464" s="327"/>
      <c r="Z464" s="597"/>
      <c r="AA464" s="327"/>
      <c r="AB464" s="596"/>
      <c r="AC464" s="327"/>
      <c r="AD464" s="577"/>
      <c r="AE464" s="327"/>
      <c r="AF464" s="596"/>
      <c r="AG464" s="327"/>
      <c r="AH464" s="577"/>
      <c r="AI464" s="327"/>
      <c r="AJ464" s="596"/>
      <c r="AK464" s="327"/>
      <c r="AL464" s="598"/>
      <c r="AM464" s="326"/>
      <c r="AN464" s="326"/>
      <c r="AO464" s="326"/>
      <c r="AP464" s="326"/>
      <c r="AQ464" s="326"/>
      <c r="AR464" s="326"/>
      <c r="AS464" s="326"/>
      <c r="AT464" s="326"/>
      <c r="AU464" s="326"/>
      <c r="AV464" s="326"/>
      <c r="AW464" s="326"/>
      <c r="AX464" s="326"/>
      <c r="AY464" s="326"/>
      <c r="AZ464" s="326"/>
      <c r="BA464" s="326"/>
      <c r="BB464" s="327"/>
    </row>
    <row r="465" spans="1:54" ht="15.75" customHeight="1" x14ac:dyDescent="0.25">
      <c r="A465" s="11">
        <f t="shared" si="1"/>
        <v>452</v>
      </c>
      <c r="B465" s="504" t="str">
        <f>'refer admin discharge'!B461</f>
        <v>x</v>
      </c>
      <c r="C465" s="327"/>
      <c r="D465" s="505" t="str">
        <f>'refer admin discharge'!D461</f>
        <v>xx</v>
      </c>
      <c r="E465" s="327"/>
      <c r="F465" s="606" t="str">
        <f>'refer admin discharge'!H461</f>
        <v>00/00/0000</v>
      </c>
      <c r="G465" s="327"/>
      <c r="H465" s="594"/>
      <c r="I465" s="327"/>
      <c r="J465" s="605"/>
      <c r="K465" s="327"/>
      <c r="L465" s="594"/>
      <c r="M465" s="327"/>
      <c r="N465" s="575"/>
      <c r="O465" s="327"/>
      <c r="P465" s="594"/>
      <c r="Q465" s="327"/>
      <c r="R465" s="575"/>
      <c r="S465" s="327"/>
      <c r="T465" s="594"/>
      <c r="U465" s="327"/>
      <c r="V465" s="595" t="str">
        <f>'refer admin discharge'!H466</f>
        <v>00/00/0000</v>
      </c>
      <c r="W465" s="327"/>
      <c r="X465" s="577"/>
      <c r="Y465" s="327"/>
      <c r="Z465" s="604"/>
      <c r="AA465" s="327"/>
      <c r="AB465" s="577"/>
      <c r="AC465" s="327"/>
      <c r="AD465" s="576"/>
      <c r="AE465" s="327"/>
      <c r="AF465" s="577"/>
      <c r="AG465" s="327"/>
      <c r="AH465" s="576"/>
      <c r="AI465" s="327"/>
      <c r="AJ465" s="577"/>
      <c r="AK465" s="327"/>
      <c r="AL465" s="602"/>
      <c r="AM465" s="326"/>
      <c r="AN465" s="326"/>
      <c r="AO465" s="326"/>
      <c r="AP465" s="326"/>
      <c r="AQ465" s="326"/>
      <c r="AR465" s="326"/>
      <c r="AS465" s="326"/>
      <c r="AT465" s="326"/>
      <c r="AU465" s="326"/>
      <c r="AV465" s="326"/>
      <c r="AW465" s="326"/>
      <c r="AX465" s="326"/>
      <c r="AY465" s="326"/>
      <c r="AZ465" s="326"/>
      <c r="BA465" s="326"/>
      <c r="BB465" s="327"/>
    </row>
    <row r="466" spans="1:54" ht="15.75" customHeight="1" x14ac:dyDescent="0.25">
      <c r="A466" s="11">
        <f t="shared" si="1"/>
        <v>453</v>
      </c>
      <c r="B466" s="570" t="str">
        <f>'refer admin discharge'!B462</f>
        <v>x</v>
      </c>
      <c r="C466" s="327"/>
      <c r="D466" s="599" t="str">
        <f>'refer admin discharge'!D462</f>
        <v>xx</v>
      </c>
      <c r="E466" s="327"/>
      <c r="F466" s="600" t="str">
        <f>'refer admin discharge'!H462</f>
        <v>00/00/0000</v>
      </c>
      <c r="G466" s="327"/>
      <c r="H466" s="574"/>
      <c r="I466" s="327"/>
      <c r="J466" s="601"/>
      <c r="K466" s="327"/>
      <c r="L466" s="574"/>
      <c r="M466" s="327"/>
      <c r="N466" s="594"/>
      <c r="O466" s="327"/>
      <c r="P466" s="574"/>
      <c r="Q466" s="327"/>
      <c r="R466" s="594"/>
      <c r="S466" s="327"/>
      <c r="T466" s="574"/>
      <c r="U466" s="327"/>
      <c r="V466" s="595" t="str">
        <f>'refer admin discharge'!H467</f>
        <v>00/00/0000</v>
      </c>
      <c r="W466" s="327"/>
      <c r="X466" s="596"/>
      <c r="Y466" s="327"/>
      <c r="Z466" s="597"/>
      <c r="AA466" s="327"/>
      <c r="AB466" s="596"/>
      <c r="AC466" s="327"/>
      <c r="AD466" s="577"/>
      <c r="AE466" s="327"/>
      <c r="AF466" s="596"/>
      <c r="AG466" s="327"/>
      <c r="AH466" s="577"/>
      <c r="AI466" s="327"/>
      <c r="AJ466" s="596"/>
      <c r="AK466" s="327"/>
      <c r="AL466" s="598"/>
      <c r="AM466" s="326"/>
      <c r="AN466" s="326"/>
      <c r="AO466" s="326"/>
      <c r="AP466" s="326"/>
      <c r="AQ466" s="326"/>
      <c r="AR466" s="326"/>
      <c r="AS466" s="326"/>
      <c r="AT466" s="326"/>
      <c r="AU466" s="326"/>
      <c r="AV466" s="326"/>
      <c r="AW466" s="326"/>
      <c r="AX466" s="326"/>
      <c r="AY466" s="326"/>
      <c r="AZ466" s="326"/>
      <c r="BA466" s="326"/>
      <c r="BB466" s="327"/>
    </row>
    <row r="467" spans="1:54" ht="15.75" customHeight="1" x14ac:dyDescent="0.25">
      <c r="A467" s="11">
        <f t="shared" si="1"/>
        <v>454</v>
      </c>
      <c r="B467" s="504" t="str">
        <f>'refer admin discharge'!B463</f>
        <v>x</v>
      </c>
      <c r="C467" s="327"/>
      <c r="D467" s="505" t="str">
        <f>'refer admin discharge'!D463</f>
        <v>xx</v>
      </c>
      <c r="E467" s="327"/>
      <c r="F467" s="606" t="str">
        <f>'refer admin discharge'!H463</f>
        <v>00/00/0000</v>
      </c>
      <c r="G467" s="327"/>
      <c r="H467" s="594"/>
      <c r="I467" s="327"/>
      <c r="J467" s="605"/>
      <c r="K467" s="327"/>
      <c r="L467" s="594"/>
      <c r="M467" s="327"/>
      <c r="N467" s="575"/>
      <c r="O467" s="327"/>
      <c r="P467" s="594"/>
      <c r="Q467" s="327"/>
      <c r="R467" s="575"/>
      <c r="S467" s="327"/>
      <c r="T467" s="594"/>
      <c r="U467" s="327"/>
      <c r="V467" s="595" t="str">
        <f>'refer admin discharge'!H468</f>
        <v>00/00/0000</v>
      </c>
      <c r="W467" s="327"/>
      <c r="X467" s="577"/>
      <c r="Y467" s="327"/>
      <c r="Z467" s="604"/>
      <c r="AA467" s="327"/>
      <c r="AB467" s="577"/>
      <c r="AC467" s="327"/>
      <c r="AD467" s="576"/>
      <c r="AE467" s="327"/>
      <c r="AF467" s="577"/>
      <c r="AG467" s="327"/>
      <c r="AH467" s="576"/>
      <c r="AI467" s="327"/>
      <c r="AJ467" s="577"/>
      <c r="AK467" s="327"/>
      <c r="AL467" s="602"/>
      <c r="AM467" s="326"/>
      <c r="AN467" s="326"/>
      <c r="AO467" s="326"/>
      <c r="AP467" s="326"/>
      <c r="AQ467" s="326"/>
      <c r="AR467" s="326"/>
      <c r="AS467" s="326"/>
      <c r="AT467" s="326"/>
      <c r="AU467" s="326"/>
      <c r="AV467" s="326"/>
      <c r="AW467" s="326"/>
      <c r="AX467" s="326"/>
      <c r="AY467" s="326"/>
      <c r="AZ467" s="326"/>
      <c r="BA467" s="326"/>
      <c r="BB467" s="327"/>
    </row>
    <row r="468" spans="1:54" ht="15.75" customHeight="1" x14ac:dyDescent="0.25">
      <c r="A468" s="11">
        <f t="shared" si="1"/>
        <v>455</v>
      </c>
      <c r="B468" s="570" t="str">
        <f>'refer admin discharge'!B464</f>
        <v>x</v>
      </c>
      <c r="C468" s="327"/>
      <c r="D468" s="599" t="str">
        <f>'refer admin discharge'!D464</f>
        <v>xx</v>
      </c>
      <c r="E468" s="327"/>
      <c r="F468" s="600" t="str">
        <f>'refer admin discharge'!H464</f>
        <v>00/00/0000</v>
      </c>
      <c r="G468" s="327"/>
      <c r="H468" s="574"/>
      <c r="I468" s="327"/>
      <c r="J468" s="601"/>
      <c r="K468" s="327"/>
      <c r="L468" s="574"/>
      <c r="M468" s="327"/>
      <c r="N468" s="594"/>
      <c r="O468" s="327"/>
      <c r="P468" s="574"/>
      <c r="Q468" s="327"/>
      <c r="R468" s="594"/>
      <c r="S468" s="327"/>
      <c r="T468" s="574"/>
      <c r="U468" s="327"/>
      <c r="V468" s="595" t="str">
        <f>'refer admin discharge'!H469</f>
        <v>00/00/0000</v>
      </c>
      <c r="W468" s="327"/>
      <c r="X468" s="596"/>
      <c r="Y468" s="327"/>
      <c r="Z468" s="597"/>
      <c r="AA468" s="327"/>
      <c r="AB468" s="596"/>
      <c r="AC468" s="327"/>
      <c r="AD468" s="577"/>
      <c r="AE468" s="327"/>
      <c r="AF468" s="596"/>
      <c r="AG468" s="327"/>
      <c r="AH468" s="577"/>
      <c r="AI468" s="327"/>
      <c r="AJ468" s="596"/>
      <c r="AK468" s="327"/>
      <c r="AL468" s="598"/>
      <c r="AM468" s="326"/>
      <c r="AN468" s="326"/>
      <c r="AO468" s="326"/>
      <c r="AP468" s="326"/>
      <c r="AQ468" s="326"/>
      <c r="AR468" s="326"/>
      <c r="AS468" s="326"/>
      <c r="AT468" s="326"/>
      <c r="AU468" s="326"/>
      <c r="AV468" s="326"/>
      <c r="AW468" s="326"/>
      <c r="AX468" s="326"/>
      <c r="AY468" s="326"/>
      <c r="AZ468" s="326"/>
      <c r="BA468" s="326"/>
      <c r="BB468" s="327"/>
    </row>
    <row r="469" spans="1:54" ht="15.75" customHeight="1" x14ac:dyDescent="0.25">
      <c r="A469" s="11">
        <f t="shared" si="1"/>
        <v>456</v>
      </c>
      <c r="B469" s="504" t="str">
        <f>'refer admin discharge'!B465</f>
        <v>x</v>
      </c>
      <c r="C469" s="327"/>
      <c r="D469" s="505" t="str">
        <f>'refer admin discharge'!D465</f>
        <v>xx</v>
      </c>
      <c r="E469" s="327"/>
      <c r="F469" s="606" t="str">
        <f>'refer admin discharge'!H465</f>
        <v>00/00/0000</v>
      </c>
      <c r="G469" s="327"/>
      <c r="H469" s="594"/>
      <c r="I469" s="327"/>
      <c r="J469" s="605"/>
      <c r="K469" s="327"/>
      <c r="L469" s="594"/>
      <c r="M469" s="327"/>
      <c r="N469" s="575"/>
      <c r="O469" s="327"/>
      <c r="P469" s="594"/>
      <c r="Q469" s="327"/>
      <c r="R469" s="575"/>
      <c r="S469" s="327"/>
      <c r="T469" s="594"/>
      <c r="U469" s="327"/>
      <c r="V469" s="595" t="str">
        <f>'refer admin discharge'!H470</f>
        <v>00/00/0000</v>
      </c>
      <c r="W469" s="327"/>
      <c r="X469" s="577"/>
      <c r="Y469" s="327"/>
      <c r="Z469" s="604"/>
      <c r="AA469" s="327"/>
      <c r="AB469" s="577"/>
      <c r="AC469" s="327"/>
      <c r="AD469" s="576"/>
      <c r="AE469" s="327"/>
      <c r="AF469" s="577"/>
      <c r="AG469" s="327"/>
      <c r="AH469" s="576"/>
      <c r="AI469" s="327"/>
      <c r="AJ469" s="577"/>
      <c r="AK469" s="327"/>
      <c r="AL469" s="602"/>
      <c r="AM469" s="326"/>
      <c r="AN469" s="326"/>
      <c r="AO469" s="326"/>
      <c r="AP469" s="326"/>
      <c r="AQ469" s="326"/>
      <c r="AR469" s="326"/>
      <c r="AS469" s="326"/>
      <c r="AT469" s="326"/>
      <c r="AU469" s="326"/>
      <c r="AV469" s="326"/>
      <c r="AW469" s="326"/>
      <c r="AX469" s="326"/>
      <c r="AY469" s="326"/>
      <c r="AZ469" s="326"/>
      <c r="BA469" s="326"/>
      <c r="BB469" s="327"/>
    </row>
    <row r="470" spans="1:54" ht="15.75" customHeight="1" x14ac:dyDescent="0.25">
      <c r="A470" s="11">
        <f t="shared" si="1"/>
        <v>457</v>
      </c>
      <c r="B470" s="570" t="str">
        <f>'refer admin discharge'!B466</f>
        <v>x</v>
      </c>
      <c r="C470" s="327"/>
      <c r="D470" s="599" t="str">
        <f>'refer admin discharge'!D466</f>
        <v>xx</v>
      </c>
      <c r="E470" s="327"/>
      <c r="F470" s="600" t="str">
        <f>'refer admin discharge'!H466</f>
        <v>00/00/0000</v>
      </c>
      <c r="G470" s="327"/>
      <c r="H470" s="574"/>
      <c r="I470" s="327"/>
      <c r="J470" s="601"/>
      <c r="K470" s="327"/>
      <c r="L470" s="574"/>
      <c r="M470" s="327"/>
      <c r="N470" s="594"/>
      <c r="O470" s="327"/>
      <c r="P470" s="574"/>
      <c r="Q470" s="327"/>
      <c r="R470" s="594"/>
      <c r="S470" s="327"/>
      <c r="T470" s="574"/>
      <c r="U470" s="327"/>
      <c r="V470" s="595" t="str">
        <f>'refer admin discharge'!H471</f>
        <v>00/00/0000</v>
      </c>
      <c r="W470" s="327"/>
      <c r="X470" s="596"/>
      <c r="Y470" s="327"/>
      <c r="Z470" s="597"/>
      <c r="AA470" s="327"/>
      <c r="AB470" s="596"/>
      <c r="AC470" s="327"/>
      <c r="AD470" s="577"/>
      <c r="AE470" s="327"/>
      <c r="AF470" s="596"/>
      <c r="AG470" s="327"/>
      <c r="AH470" s="577"/>
      <c r="AI470" s="327"/>
      <c r="AJ470" s="596"/>
      <c r="AK470" s="327"/>
      <c r="AL470" s="598"/>
      <c r="AM470" s="326"/>
      <c r="AN470" s="326"/>
      <c r="AO470" s="326"/>
      <c r="AP470" s="326"/>
      <c r="AQ470" s="326"/>
      <c r="AR470" s="326"/>
      <c r="AS470" s="326"/>
      <c r="AT470" s="326"/>
      <c r="AU470" s="326"/>
      <c r="AV470" s="326"/>
      <c r="AW470" s="326"/>
      <c r="AX470" s="326"/>
      <c r="AY470" s="326"/>
      <c r="AZ470" s="326"/>
      <c r="BA470" s="326"/>
      <c r="BB470" s="327"/>
    </row>
    <row r="471" spans="1:54" ht="15.75" customHeight="1" x14ac:dyDescent="0.25">
      <c r="A471" s="11">
        <f t="shared" si="1"/>
        <v>458</v>
      </c>
      <c r="B471" s="504" t="str">
        <f>'refer admin discharge'!B467</f>
        <v>x</v>
      </c>
      <c r="C471" s="327"/>
      <c r="D471" s="505" t="str">
        <f>'refer admin discharge'!D467</f>
        <v>xx</v>
      </c>
      <c r="E471" s="327"/>
      <c r="F471" s="606" t="str">
        <f>'refer admin discharge'!H467</f>
        <v>00/00/0000</v>
      </c>
      <c r="G471" s="327"/>
      <c r="H471" s="594"/>
      <c r="I471" s="327"/>
      <c r="J471" s="605"/>
      <c r="K471" s="327"/>
      <c r="L471" s="594"/>
      <c r="M471" s="327"/>
      <c r="N471" s="575"/>
      <c r="O471" s="327"/>
      <c r="P471" s="594"/>
      <c r="Q471" s="327"/>
      <c r="R471" s="575"/>
      <c r="S471" s="327"/>
      <c r="T471" s="594"/>
      <c r="U471" s="327"/>
      <c r="V471" s="595" t="str">
        <f>'refer admin discharge'!H472</f>
        <v>00/00/0000</v>
      </c>
      <c r="W471" s="327"/>
      <c r="X471" s="577"/>
      <c r="Y471" s="327"/>
      <c r="Z471" s="604"/>
      <c r="AA471" s="327"/>
      <c r="AB471" s="577"/>
      <c r="AC471" s="327"/>
      <c r="AD471" s="576"/>
      <c r="AE471" s="327"/>
      <c r="AF471" s="577"/>
      <c r="AG471" s="327"/>
      <c r="AH471" s="576"/>
      <c r="AI471" s="327"/>
      <c r="AJ471" s="577"/>
      <c r="AK471" s="327"/>
      <c r="AL471" s="602"/>
      <c r="AM471" s="326"/>
      <c r="AN471" s="326"/>
      <c r="AO471" s="326"/>
      <c r="AP471" s="326"/>
      <c r="AQ471" s="326"/>
      <c r="AR471" s="326"/>
      <c r="AS471" s="326"/>
      <c r="AT471" s="326"/>
      <c r="AU471" s="326"/>
      <c r="AV471" s="326"/>
      <c r="AW471" s="326"/>
      <c r="AX471" s="326"/>
      <c r="AY471" s="326"/>
      <c r="AZ471" s="326"/>
      <c r="BA471" s="326"/>
      <c r="BB471" s="327"/>
    </row>
    <row r="472" spans="1:54" ht="15.75" customHeight="1" x14ac:dyDescent="0.25">
      <c r="A472" s="11">
        <f t="shared" si="1"/>
        <v>459</v>
      </c>
      <c r="B472" s="570" t="str">
        <f>'refer admin discharge'!B468</f>
        <v>x</v>
      </c>
      <c r="C472" s="327"/>
      <c r="D472" s="599" t="str">
        <f>'refer admin discharge'!D468</f>
        <v>xx</v>
      </c>
      <c r="E472" s="327"/>
      <c r="F472" s="600" t="str">
        <f>'refer admin discharge'!H468</f>
        <v>00/00/0000</v>
      </c>
      <c r="G472" s="327"/>
      <c r="H472" s="574"/>
      <c r="I472" s="327"/>
      <c r="J472" s="601"/>
      <c r="K472" s="327"/>
      <c r="L472" s="574"/>
      <c r="M472" s="327"/>
      <c r="N472" s="594"/>
      <c r="O472" s="327"/>
      <c r="P472" s="574"/>
      <c r="Q472" s="327"/>
      <c r="R472" s="594"/>
      <c r="S472" s="327"/>
      <c r="T472" s="574"/>
      <c r="U472" s="327"/>
      <c r="V472" s="595" t="str">
        <f>'refer admin discharge'!H473</f>
        <v>00/00/0000</v>
      </c>
      <c r="W472" s="327"/>
      <c r="X472" s="596"/>
      <c r="Y472" s="327"/>
      <c r="Z472" s="597"/>
      <c r="AA472" s="327"/>
      <c r="AB472" s="596"/>
      <c r="AC472" s="327"/>
      <c r="AD472" s="577"/>
      <c r="AE472" s="327"/>
      <c r="AF472" s="596"/>
      <c r="AG472" s="327"/>
      <c r="AH472" s="577"/>
      <c r="AI472" s="327"/>
      <c r="AJ472" s="596"/>
      <c r="AK472" s="327"/>
      <c r="AL472" s="598"/>
      <c r="AM472" s="326"/>
      <c r="AN472" s="326"/>
      <c r="AO472" s="326"/>
      <c r="AP472" s="326"/>
      <c r="AQ472" s="326"/>
      <c r="AR472" s="326"/>
      <c r="AS472" s="326"/>
      <c r="AT472" s="326"/>
      <c r="AU472" s="326"/>
      <c r="AV472" s="326"/>
      <c r="AW472" s="326"/>
      <c r="AX472" s="326"/>
      <c r="AY472" s="326"/>
      <c r="AZ472" s="326"/>
      <c r="BA472" s="326"/>
      <c r="BB472" s="327"/>
    </row>
    <row r="473" spans="1:54" ht="15.75" customHeight="1" x14ac:dyDescent="0.25">
      <c r="A473" s="11">
        <f t="shared" si="1"/>
        <v>460</v>
      </c>
      <c r="B473" s="504" t="str">
        <f>'refer admin discharge'!B469</f>
        <v>x</v>
      </c>
      <c r="C473" s="327"/>
      <c r="D473" s="505" t="str">
        <f>'refer admin discharge'!D469</f>
        <v>xx</v>
      </c>
      <c r="E473" s="327"/>
      <c r="F473" s="606" t="str">
        <f>'refer admin discharge'!H469</f>
        <v>00/00/0000</v>
      </c>
      <c r="G473" s="327"/>
      <c r="H473" s="594"/>
      <c r="I473" s="327"/>
      <c r="J473" s="605"/>
      <c r="K473" s="327"/>
      <c r="L473" s="594"/>
      <c r="M473" s="327"/>
      <c r="N473" s="575"/>
      <c r="O473" s="327"/>
      <c r="P473" s="594"/>
      <c r="Q473" s="327"/>
      <c r="R473" s="575"/>
      <c r="S473" s="327"/>
      <c r="T473" s="594"/>
      <c r="U473" s="327"/>
      <c r="V473" s="595" t="str">
        <f>'refer admin discharge'!H474</f>
        <v>00/00/0000</v>
      </c>
      <c r="W473" s="327"/>
      <c r="X473" s="577"/>
      <c r="Y473" s="327"/>
      <c r="Z473" s="604"/>
      <c r="AA473" s="327"/>
      <c r="AB473" s="577"/>
      <c r="AC473" s="327"/>
      <c r="AD473" s="576"/>
      <c r="AE473" s="327"/>
      <c r="AF473" s="577"/>
      <c r="AG473" s="327"/>
      <c r="AH473" s="576"/>
      <c r="AI473" s="327"/>
      <c r="AJ473" s="577"/>
      <c r="AK473" s="327"/>
      <c r="AL473" s="602"/>
      <c r="AM473" s="326"/>
      <c r="AN473" s="326"/>
      <c r="AO473" s="326"/>
      <c r="AP473" s="326"/>
      <c r="AQ473" s="326"/>
      <c r="AR473" s="326"/>
      <c r="AS473" s="326"/>
      <c r="AT473" s="326"/>
      <c r="AU473" s="326"/>
      <c r="AV473" s="326"/>
      <c r="AW473" s="326"/>
      <c r="AX473" s="326"/>
      <c r="AY473" s="326"/>
      <c r="AZ473" s="326"/>
      <c r="BA473" s="326"/>
      <c r="BB473" s="327"/>
    </row>
    <row r="474" spans="1:54" ht="15.75" customHeight="1" x14ac:dyDescent="0.25">
      <c r="A474" s="11">
        <f t="shared" si="1"/>
        <v>461</v>
      </c>
      <c r="B474" s="570" t="str">
        <f>'refer admin discharge'!B470</f>
        <v>x</v>
      </c>
      <c r="C474" s="327"/>
      <c r="D474" s="599" t="str">
        <f>'refer admin discharge'!D470</f>
        <v>xx</v>
      </c>
      <c r="E474" s="327"/>
      <c r="F474" s="600" t="str">
        <f>'refer admin discharge'!H470</f>
        <v>00/00/0000</v>
      </c>
      <c r="G474" s="327"/>
      <c r="H474" s="574"/>
      <c r="I474" s="327"/>
      <c r="J474" s="601"/>
      <c r="K474" s="327"/>
      <c r="L474" s="574"/>
      <c r="M474" s="327"/>
      <c r="N474" s="594"/>
      <c r="O474" s="327"/>
      <c r="P474" s="574"/>
      <c r="Q474" s="327"/>
      <c r="R474" s="594"/>
      <c r="S474" s="327"/>
      <c r="T474" s="574"/>
      <c r="U474" s="327"/>
      <c r="V474" s="595" t="str">
        <f>'refer admin discharge'!H475</f>
        <v>00/00/0000</v>
      </c>
      <c r="W474" s="327"/>
      <c r="X474" s="596"/>
      <c r="Y474" s="327"/>
      <c r="Z474" s="597"/>
      <c r="AA474" s="327"/>
      <c r="AB474" s="596"/>
      <c r="AC474" s="327"/>
      <c r="AD474" s="577"/>
      <c r="AE474" s="327"/>
      <c r="AF474" s="596"/>
      <c r="AG474" s="327"/>
      <c r="AH474" s="577"/>
      <c r="AI474" s="327"/>
      <c r="AJ474" s="596"/>
      <c r="AK474" s="327"/>
      <c r="AL474" s="598"/>
      <c r="AM474" s="326"/>
      <c r="AN474" s="326"/>
      <c r="AO474" s="326"/>
      <c r="AP474" s="326"/>
      <c r="AQ474" s="326"/>
      <c r="AR474" s="326"/>
      <c r="AS474" s="326"/>
      <c r="AT474" s="326"/>
      <c r="AU474" s="326"/>
      <c r="AV474" s="326"/>
      <c r="AW474" s="326"/>
      <c r="AX474" s="326"/>
      <c r="AY474" s="326"/>
      <c r="AZ474" s="326"/>
      <c r="BA474" s="326"/>
      <c r="BB474" s="327"/>
    </row>
    <row r="475" spans="1:54" ht="15.75" customHeight="1" x14ac:dyDescent="0.25">
      <c r="A475" s="11">
        <f t="shared" si="1"/>
        <v>462</v>
      </c>
      <c r="B475" s="504" t="str">
        <f>'refer admin discharge'!B471</f>
        <v>x</v>
      </c>
      <c r="C475" s="327"/>
      <c r="D475" s="505" t="str">
        <f>'refer admin discharge'!D471</f>
        <v>xx</v>
      </c>
      <c r="E475" s="327"/>
      <c r="F475" s="606" t="str">
        <f>'refer admin discharge'!H471</f>
        <v>00/00/0000</v>
      </c>
      <c r="G475" s="327"/>
      <c r="H475" s="594"/>
      <c r="I475" s="327"/>
      <c r="J475" s="605"/>
      <c r="K475" s="327"/>
      <c r="L475" s="594"/>
      <c r="M475" s="327"/>
      <c r="N475" s="575"/>
      <c r="O475" s="327"/>
      <c r="P475" s="594"/>
      <c r="Q475" s="327"/>
      <c r="R475" s="575"/>
      <c r="S475" s="327"/>
      <c r="T475" s="594"/>
      <c r="U475" s="327"/>
      <c r="V475" s="595" t="str">
        <f>'refer admin discharge'!H476</f>
        <v>00/00/0000</v>
      </c>
      <c r="W475" s="327"/>
      <c r="X475" s="577"/>
      <c r="Y475" s="327"/>
      <c r="Z475" s="604"/>
      <c r="AA475" s="327"/>
      <c r="AB475" s="577"/>
      <c r="AC475" s="327"/>
      <c r="AD475" s="576"/>
      <c r="AE475" s="327"/>
      <c r="AF475" s="577"/>
      <c r="AG475" s="327"/>
      <c r="AH475" s="576"/>
      <c r="AI475" s="327"/>
      <c r="AJ475" s="577"/>
      <c r="AK475" s="327"/>
      <c r="AL475" s="602"/>
      <c r="AM475" s="326"/>
      <c r="AN475" s="326"/>
      <c r="AO475" s="326"/>
      <c r="AP475" s="326"/>
      <c r="AQ475" s="326"/>
      <c r="AR475" s="326"/>
      <c r="AS475" s="326"/>
      <c r="AT475" s="326"/>
      <c r="AU475" s="326"/>
      <c r="AV475" s="326"/>
      <c r="AW475" s="326"/>
      <c r="AX475" s="326"/>
      <c r="AY475" s="326"/>
      <c r="AZ475" s="326"/>
      <c r="BA475" s="326"/>
      <c r="BB475" s="327"/>
    </row>
    <row r="476" spans="1:54" ht="15.75" customHeight="1" x14ac:dyDescent="0.25">
      <c r="A476" s="11">
        <f t="shared" si="1"/>
        <v>463</v>
      </c>
      <c r="B476" s="570" t="str">
        <f>'refer admin discharge'!B472</f>
        <v>x</v>
      </c>
      <c r="C476" s="327"/>
      <c r="D476" s="599" t="str">
        <f>'refer admin discharge'!D472</f>
        <v>xx</v>
      </c>
      <c r="E476" s="327"/>
      <c r="F476" s="600" t="str">
        <f>'refer admin discharge'!H472</f>
        <v>00/00/0000</v>
      </c>
      <c r="G476" s="327"/>
      <c r="H476" s="574"/>
      <c r="I476" s="327"/>
      <c r="J476" s="601"/>
      <c r="K476" s="327"/>
      <c r="L476" s="574"/>
      <c r="M476" s="327"/>
      <c r="N476" s="594"/>
      <c r="O476" s="327"/>
      <c r="P476" s="574"/>
      <c r="Q476" s="327"/>
      <c r="R476" s="594"/>
      <c r="S476" s="327"/>
      <c r="T476" s="574"/>
      <c r="U476" s="327"/>
      <c r="V476" s="595" t="str">
        <f>'refer admin discharge'!H477</f>
        <v>00/00/0000</v>
      </c>
      <c r="W476" s="327"/>
      <c r="X476" s="596"/>
      <c r="Y476" s="327"/>
      <c r="Z476" s="597"/>
      <c r="AA476" s="327"/>
      <c r="AB476" s="596"/>
      <c r="AC476" s="327"/>
      <c r="AD476" s="577"/>
      <c r="AE476" s="327"/>
      <c r="AF476" s="596"/>
      <c r="AG476" s="327"/>
      <c r="AH476" s="577"/>
      <c r="AI476" s="327"/>
      <c r="AJ476" s="596"/>
      <c r="AK476" s="327"/>
      <c r="AL476" s="598"/>
      <c r="AM476" s="326"/>
      <c r="AN476" s="326"/>
      <c r="AO476" s="326"/>
      <c r="AP476" s="326"/>
      <c r="AQ476" s="326"/>
      <c r="AR476" s="326"/>
      <c r="AS476" s="326"/>
      <c r="AT476" s="326"/>
      <c r="AU476" s="326"/>
      <c r="AV476" s="326"/>
      <c r="AW476" s="326"/>
      <c r="AX476" s="326"/>
      <c r="AY476" s="326"/>
      <c r="AZ476" s="326"/>
      <c r="BA476" s="326"/>
      <c r="BB476" s="327"/>
    </row>
    <row r="477" spans="1:54" ht="15.75" customHeight="1" x14ac:dyDescent="0.25">
      <c r="A477" s="11">
        <f t="shared" si="1"/>
        <v>464</v>
      </c>
      <c r="B477" s="504" t="str">
        <f>'refer admin discharge'!B473</f>
        <v>x</v>
      </c>
      <c r="C477" s="327"/>
      <c r="D477" s="505" t="str">
        <f>'refer admin discharge'!D473</f>
        <v>xx</v>
      </c>
      <c r="E477" s="327"/>
      <c r="F477" s="606" t="str">
        <f>'refer admin discharge'!H473</f>
        <v>00/00/0000</v>
      </c>
      <c r="G477" s="327"/>
      <c r="H477" s="594"/>
      <c r="I477" s="327"/>
      <c r="J477" s="605"/>
      <c r="K477" s="327"/>
      <c r="L477" s="594"/>
      <c r="M477" s="327"/>
      <c r="N477" s="575"/>
      <c r="O477" s="327"/>
      <c r="P477" s="594"/>
      <c r="Q477" s="327"/>
      <c r="R477" s="575"/>
      <c r="S477" s="327"/>
      <c r="T477" s="594"/>
      <c r="U477" s="327"/>
      <c r="V477" s="595" t="str">
        <f>'refer admin discharge'!H478</f>
        <v>00/00/0000</v>
      </c>
      <c r="W477" s="327"/>
      <c r="X477" s="577"/>
      <c r="Y477" s="327"/>
      <c r="Z477" s="604"/>
      <c r="AA477" s="327"/>
      <c r="AB477" s="577"/>
      <c r="AC477" s="327"/>
      <c r="AD477" s="576"/>
      <c r="AE477" s="327"/>
      <c r="AF477" s="577"/>
      <c r="AG477" s="327"/>
      <c r="AH477" s="576"/>
      <c r="AI477" s="327"/>
      <c r="AJ477" s="577"/>
      <c r="AK477" s="327"/>
      <c r="AL477" s="602"/>
      <c r="AM477" s="326"/>
      <c r="AN477" s="326"/>
      <c r="AO477" s="326"/>
      <c r="AP477" s="326"/>
      <c r="AQ477" s="326"/>
      <c r="AR477" s="326"/>
      <c r="AS477" s="326"/>
      <c r="AT477" s="326"/>
      <c r="AU477" s="326"/>
      <c r="AV477" s="326"/>
      <c r="AW477" s="326"/>
      <c r="AX477" s="326"/>
      <c r="AY477" s="326"/>
      <c r="AZ477" s="326"/>
      <c r="BA477" s="326"/>
      <c r="BB477" s="327"/>
    </row>
    <row r="478" spans="1:54" ht="15.75" customHeight="1" x14ac:dyDescent="0.25">
      <c r="A478" s="11">
        <f t="shared" si="1"/>
        <v>465</v>
      </c>
      <c r="B478" s="570" t="str">
        <f>'refer admin discharge'!B474</f>
        <v>x</v>
      </c>
      <c r="C478" s="327"/>
      <c r="D478" s="599" t="str">
        <f>'refer admin discharge'!D474</f>
        <v>xx</v>
      </c>
      <c r="E478" s="327"/>
      <c r="F478" s="600" t="str">
        <f>'refer admin discharge'!H474</f>
        <v>00/00/0000</v>
      </c>
      <c r="G478" s="327"/>
      <c r="H478" s="574"/>
      <c r="I478" s="327"/>
      <c r="J478" s="601"/>
      <c r="K478" s="327"/>
      <c r="L478" s="574"/>
      <c r="M478" s="327"/>
      <c r="N478" s="594"/>
      <c r="O478" s="327"/>
      <c r="P478" s="574"/>
      <c r="Q478" s="327"/>
      <c r="R478" s="594"/>
      <c r="S478" s="327"/>
      <c r="T478" s="574"/>
      <c r="U478" s="327"/>
      <c r="V478" s="595" t="str">
        <f>'refer admin discharge'!H479</f>
        <v>00/00/0000</v>
      </c>
      <c r="W478" s="327"/>
      <c r="X478" s="596"/>
      <c r="Y478" s="327"/>
      <c r="Z478" s="597"/>
      <c r="AA478" s="327"/>
      <c r="AB478" s="596"/>
      <c r="AC478" s="327"/>
      <c r="AD478" s="577"/>
      <c r="AE478" s="327"/>
      <c r="AF478" s="596"/>
      <c r="AG478" s="327"/>
      <c r="AH478" s="577"/>
      <c r="AI478" s="327"/>
      <c r="AJ478" s="596"/>
      <c r="AK478" s="327"/>
      <c r="AL478" s="598"/>
      <c r="AM478" s="326"/>
      <c r="AN478" s="326"/>
      <c r="AO478" s="326"/>
      <c r="AP478" s="326"/>
      <c r="AQ478" s="326"/>
      <c r="AR478" s="326"/>
      <c r="AS478" s="326"/>
      <c r="AT478" s="326"/>
      <c r="AU478" s="326"/>
      <c r="AV478" s="326"/>
      <c r="AW478" s="326"/>
      <c r="AX478" s="326"/>
      <c r="AY478" s="326"/>
      <c r="AZ478" s="326"/>
      <c r="BA478" s="326"/>
      <c r="BB478" s="327"/>
    </row>
    <row r="479" spans="1:54" ht="15.75" customHeight="1" x14ac:dyDescent="0.25">
      <c r="A479" s="11">
        <f t="shared" si="1"/>
        <v>466</v>
      </c>
      <c r="B479" s="504" t="str">
        <f>'refer admin discharge'!B475</f>
        <v>x</v>
      </c>
      <c r="C479" s="327"/>
      <c r="D479" s="505" t="str">
        <f>'refer admin discharge'!D475</f>
        <v>xx</v>
      </c>
      <c r="E479" s="327"/>
      <c r="F479" s="606" t="str">
        <f>'refer admin discharge'!H475</f>
        <v>00/00/0000</v>
      </c>
      <c r="G479" s="327"/>
      <c r="H479" s="594"/>
      <c r="I479" s="327"/>
      <c r="J479" s="605"/>
      <c r="K479" s="327"/>
      <c r="L479" s="594"/>
      <c r="M479" s="327"/>
      <c r="N479" s="575"/>
      <c r="O479" s="327"/>
      <c r="P479" s="594"/>
      <c r="Q479" s="327"/>
      <c r="R479" s="575"/>
      <c r="S479" s="327"/>
      <c r="T479" s="594"/>
      <c r="U479" s="327"/>
      <c r="V479" s="595" t="str">
        <f>'refer admin discharge'!H480</f>
        <v>00/00/0000</v>
      </c>
      <c r="W479" s="327"/>
      <c r="X479" s="577"/>
      <c r="Y479" s="327"/>
      <c r="Z479" s="604"/>
      <c r="AA479" s="327"/>
      <c r="AB479" s="577"/>
      <c r="AC479" s="327"/>
      <c r="AD479" s="576"/>
      <c r="AE479" s="327"/>
      <c r="AF479" s="577"/>
      <c r="AG479" s="327"/>
      <c r="AH479" s="576"/>
      <c r="AI479" s="327"/>
      <c r="AJ479" s="577"/>
      <c r="AK479" s="327"/>
      <c r="AL479" s="602"/>
      <c r="AM479" s="326"/>
      <c r="AN479" s="326"/>
      <c r="AO479" s="326"/>
      <c r="AP479" s="326"/>
      <c r="AQ479" s="326"/>
      <c r="AR479" s="326"/>
      <c r="AS479" s="326"/>
      <c r="AT479" s="326"/>
      <c r="AU479" s="326"/>
      <c r="AV479" s="326"/>
      <c r="AW479" s="326"/>
      <c r="AX479" s="326"/>
      <c r="AY479" s="326"/>
      <c r="AZ479" s="326"/>
      <c r="BA479" s="326"/>
      <c r="BB479" s="327"/>
    </row>
    <row r="480" spans="1:54" ht="15.75" customHeight="1" x14ac:dyDescent="0.25">
      <c r="A480" s="11">
        <f t="shared" si="1"/>
        <v>467</v>
      </c>
      <c r="B480" s="570" t="str">
        <f>'refer admin discharge'!B476</f>
        <v>x</v>
      </c>
      <c r="C480" s="327"/>
      <c r="D480" s="599" t="str">
        <f>'refer admin discharge'!D476</f>
        <v>xx</v>
      </c>
      <c r="E480" s="327"/>
      <c r="F480" s="600" t="str">
        <f>'refer admin discharge'!H476</f>
        <v>00/00/0000</v>
      </c>
      <c r="G480" s="327"/>
      <c r="H480" s="574"/>
      <c r="I480" s="327"/>
      <c r="J480" s="601"/>
      <c r="K480" s="327"/>
      <c r="L480" s="574"/>
      <c r="M480" s="327"/>
      <c r="N480" s="594"/>
      <c r="O480" s="327"/>
      <c r="P480" s="574"/>
      <c r="Q480" s="327"/>
      <c r="R480" s="594"/>
      <c r="S480" s="327"/>
      <c r="T480" s="574"/>
      <c r="U480" s="327"/>
      <c r="V480" s="595" t="str">
        <f>'refer admin discharge'!H481</f>
        <v>00/00/0000</v>
      </c>
      <c r="W480" s="327"/>
      <c r="X480" s="596"/>
      <c r="Y480" s="327"/>
      <c r="Z480" s="597"/>
      <c r="AA480" s="327"/>
      <c r="AB480" s="596"/>
      <c r="AC480" s="327"/>
      <c r="AD480" s="577"/>
      <c r="AE480" s="327"/>
      <c r="AF480" s="596"/>
      <c r="AG480" s="327"/>
      <c r="AH480" s="577"/>
      <c r="AI480" s="327"/>
      <c r="AJ480" s="596"/>
      <c r="AK480" s="327"/>
      <c r="AL480" s="598"/>
      <c r="AM480" s="326"/>
      <c r="AN480" s="326"/>
      <c r="AO480" s="326"/>
      <c r="AP480" s="326"/>
      <c r="AQ480" s="326"/>
      <c r="AR480" s="326"/>
      <c r="AS480" s="326"/>
      <c r="AT480" s="326"/>
      <c r="AU480" s="326"/>
      <c r="AV480" s="326"/>
      <c r="AW480" s="326"/>
      <c r="AX480" s="326"/>
      <c r="AY480" s="326"/>
      <c r="AZ480" s="326"/>
      <c r="BA480" s="326"/>
      <c r="BB480" s="327"/>
    </row>
    <row r="481" spans="1:54" ht="15.75" customHeight="1" x14ac:dyDescent="0.25">
      <c r="A481" s="11">
        <f t="shared" si="1"/>
        <v>468</v>
      </c>
      <c r="B481" s="504" t="str">
        <f>'refer admin discharge'!B477</f>
        <v>x</v>
      </c>
      <c r="C481" s="327"/>
      <c r="D481" s="505" t="str">
        <f>'refer admin discharge'!D477</f>
        <v>xx</v>
      </c>
      <c r="E481" s="327"/>
      <c r="F481" s="606" t="str">
        <f>'refer admin discharge'!H477</f>
        <v>00/00/0000</v>
      </c>
      <c r="G481" s="327"/>
      <c r="H481" s="594"/>
      <c r="I481" s="327"/>
      <c r="J481" s="605"/>
      <c r="K481" s="327"/>
      <c r="L481" s="594"/>
      <c r="M481" s="327"/>
      <c r="N481" s="575"/>
      <c r="O481" s="327"/>
      <c r="P481" s="594"/>
      <c r="Q481" s="327"/>
      <c r="R481" s="575"/>
      <c r="S481" s="327"/>
      <c r="T481" s="594"/>
      <c r="U481" s="327"/>
      <c r="V481" s="595" t="str">
        <f>'refer admin discharge'!H482</f>
        <v>00/00/0000</v>
      </c>
      <c r="W481" s="327"/>
      <c r="X481" s="577"/>
      <c r="Y481" s="327"/>
      <c r="Z481" s="604"/>
      <c r="AA481" s="327"/>
      <c r="AB481" s="577"/>
      <c r="AC481" s="327"/>
      <c r="AD481" s="576"/>
      <c r="AE481" s="327"/>
      <c r="AF481" s="577"/>
      <c r="AG481" s="327"/>
      <c r="AH481" s="576"/>
      <c r="AI481" s="327"/>
      <c r="AJ481" s="577"/>
      <c r="AK481" s="327"/>
      <c r="AL481" s="602"/>
      <c r="AM481" s="326"/>
      <c r="AN481" s="326"/>
      <c r="AO481" s="326"/>
      <c r="AP481" s="326"/>
      <c r="AQ481" s="326"/>
      <c r="AR481" s="326"/>
      <c r="AS481" s="326"/>
      <c r="AT481" s="326"/>
      <c r="AU481" s="326"/>
      <c r="AV481" s="326"/>
      <c r="AW481" s="326"/>
      <c r="AX481" s="326"/>
      <c r="AY481" s="326"/>
      <c r="AZ481" s="326"/>
      <c r="BA481" s="326"/>
      <c r="BB481" s="327"/>
    </row>
    <row r="482" spans="1:54" ht="15.75" customHeight="1" x14ac:dyDescent="0.25">
      <c r="A482" s="11">
        <f t="shared" si="1"/>
        <v>469</v>
      </c>
      <c r="B482" s="570" t="str">
        <f>'refer admin discharge'!B478</f>
        <v>x</v>
      </c>
      <c r="C482" s="327"/>
      <c r="D482" s="599" t="str">
        <f>'refer admin discharge'!D478</f>
        <v>xx</v>
      </c>
      <c r="E482" s="327"/>
      <c r="F482" s="600" t="str">
        <f>'refer admin discharge'!H478</f>
        <v>00/00/0000</v>
      </c>
      <c r="G482" s="327"/>
      <c r="H482" s="574"/>
      <c r="I482" s="327"/>
      <c r="J482" s="601"/>
      <c r="K482" s="327"/>
      <c r="L482" s="574"/>
      <c r="M482" s="327"/>
      <c r="N482" s="594"/>
      <c r="O482" s="327"/>
      <c r="P482" s="574"/>
      <c r="Q482" s="327"/>
      <c r="R482" s="594"/>
      <c r="S482" s="327"/>
      <c r="T482" s="574"/>
      <c r="U482" s="327"/>
      <c r="V482" s="595" t="str">
        <f>'refer admin discharge'!H483</f>
        <v>00/00/0000</v>
      </c>
      <c r="W482" s="327"/>
      <c r="X482" s="596"/>
      <c r="Y482" s="327"/>
      <c r="Z482" s="597"/>
      <c r="AA482" s="327"/>
      <c r="AB482" s="596"/>
      <c r="AC482" s="327"/>
      <c r="AD482" s="577"/>
      <c r="AE482" s="327"/>
      <c r="AF482" s="596"/>
      <c r="AG482" s="327"/>
      <c r="AH482" s="577"/>
      <c r="AI482" s="327"/>
      <c r="AJ482" s="596"/>
      <c r="AK482" s="327"/>
      <c r="AL482" s="598"/>
      <c r="AM482" s="326"/>
      <c r="AN482" s="326"/>
      <c r="AO482" s="326"/>
      <c r="AP482" s="326"/>
      <c r="AQ482" s="326"/>
      <c r="AR482" s="326"/>
      <c r="AS482" s="326"/>
      <c r="AT482" s="326"/>
      <c r="AU482" s="326"/>
      <c r="AV482" s="326"/>
      <c r="AW482" s="326"/>
      <c r="AX482" s="326"/>
      <c r="AY482" s="326"/>
      <c r="AZ482" s="326"/>
      <c r="BA482" s="326"/>
      <c r="BB482" s="327"/>
    </row>
    <row r="483" spans="1:54" ht="15.75" customHeight="1" x14ac:dyDescent="0.25">
      <c r="A483" s="11">
        <f t="shared" si="1"/>
        <v>470</v>
      </c>
      <c r="B483" s="504" t="str">
        <f>'refer admin discharge'!B479</f>
        <v>x</v>
      </c>
      <c r="C483" s="327"/>
      <c r="D483" s="505" t="str">
        <f>'refer admin discharge'!D479</f>
        <v>xx</v>
      </c>
      <c r="E483" s="327"/>
      <c r="F483" s="606" t="str">
        <f>'refer admin discharge'!H479</f>
        <v>00/00/0000</v>
      </c>
      <c r="G483" s="327"/>
      <c r="H483" s="594"/>
      <c r="I483" s="327"/>
      <c r="J483" s="605"/>
      <c r="K483" s="327"/>
      <c r="L483" s="594"/>
      <c r="M483" s="327"/>
      <c r="N483" s="575"/>
      <c r="O483" s="327"/>
      <c r="P483" s="594"/>
      <c r="Q483" s="327"/>
      <c r="R483" s="575"/>
      <c r="S483" s="327"/>
      <c r="T483" s="594"/>
      <c r="U483" s="327"/>
      <c r="V483" s="595" t="str">
        <f>'refer admin discharge'!H484</f>
        <v>00/00/0000</v>
      </c>
      <c r="W483" s="327"/>
      <c r="X483" s="577"/>
      <c r="Y483" s="327"/>
      <c r="Z483" s="604"/>
      <c r="AA483" s="327"/>
      <c r="AB483" s="577"/>
      <c r="AC483" s="327"/>
      <c r="AD483" s="576"/>
      <c r="AE483" s="327"/>
      <c r="AF483" s="577"/>
      <c r="AG483" s="327"/>
      <c r="AH483" s="576"/>
      <c r="AI483" s="327"/>
      <c r="AJ483" s="577"/>
      <c r="AK483" s="327"/>
      <c r="AL483" s="602"/>
      <c r="AM483" s="326"/>
      <c r="AN483" s="326"/>
      <c r="AO483" s="326"/>
      <c r="AP483" s="326"/>
      <c r="AQ483" s="326"/>
      <c r="AR483" s="326"/>
      <c r="AS483" s="326"/>
      <c r="AT483" s="326"/>
      <c r="AU483" s="326"/>
      <c r="AV483" s="326"/>
      <c r="AW483" s="326"/>
      <c r="AX483" s="326"/>
      <c r="AY483" s="326"/>
      <c r="AZ483" s="326"/>
      <c r="BA483" s="326"/>
      <c r="BB483" s="327"/>
    </row>
    <row r="484" spans="1:54" ht="15.75" customHeight="1" x14ac:dyDescent="0.25">
      <c r="A484" s="11">
        <f t="shared" si="1"/>
        <v>471</v>
      </c>
      <c r="B484" s="570" t="str">
        <f>'refer admin discharge'!B480</f>
        <v>x</v>
      </c>
      <c r="C484" s="327"/>
      <c r="D484" s="599" t="str">
        <f>'refer admin discharge'!D480</f>
        <v>xx</v>
      </c>
      <c r="E484" s="327"/>
      <c r="F484" s="600" t="str">
        <f>'refer admin discharge'!H480</f>
        <v>00/00/0000</v>
      </c>
      <c r="G484" s="327"/>
      <c r="H484" s="574"/>
      <c r="I484" s="327"/>
      <c r="J484" s="601"/>
      <c r="K484" s="327"/>
      <c r="L484" s="574"/>
      <c r="M484" s="327"/>
      <c r="N484" s="594"/>
      <c r="O484" s="327"/>
      <c r="P484" s="574"/>
      <c r="Q484" s="327"/>
      <c r="R484" s="594"/>
      <c r="S484" s="327"/>
      <c r="T484" s="574"/>
      <c r="U484" s="327"/>
      <c r="V484" s="595" t="str">
        <f>'refer admin discharge'!H485</f>
        <v>00/00/0000</v>
      </c>
      <c r="W484" s="327"/>
      <c r="X484" s="596"/>
      <c r="Y484" s="327"/>
      <c r="Z484" s="597"/>
      <c r="AA484" s="327"/>
      <c r="AB484" s="596"/>
      <c r="AC484" s="327"/>
      <c r="AD484" s="577"/>
      <c r="AE484" s="327"/>
      <c r="AF484" s="596"/>
      <c r="AG484" s="327"/>
      <c r="AH484" s="577"/>
      <c r="AI484" s="327"/>
      <c r="AJ484" s="596"/>
      <c r="AK484" s="327"/>
      <c r="AL484" s="598"/>
      <c r="AM484" s="326"/>
      <c r="AN484" s="326"/>
      <c r="AO484" s="326"/>
      <c r="AP484" s="326"/>
      <c r="AQ484" s="326"/>
      <c r="AR484" s="326"/>
      <c r="AS484" s="326"/>
      <c r="AT484" s="326"/>
      <c r="AU484" s="326"/>
      <c r="AV484" s="326"/>
      <c r="AW484" s="326"/>
      <c r="AX484" s="326"/>
      <c r="AY484" s="326"/>
      <c r="AZ484" s="326"/>
      <c r="BA484" s="326"/>
      <c r="BB484" s="327"/>
    </row>
    <row r="485" spans="1:54" ht="15.75" customHeight="1" x14ac:dyDescent="0.25">
      <c r="A485" s="11">
        <f t="shared" si="1"/>
        <v>472</v>
      </c>
      <c r="B485" s="504" t="str">
        <f>'refer admin discharge'!B481</f>
        <v>x</v>
      </c>
      <c r="C485" s="327"/>
      <c r="D485" s="505" t="str">
        <f>'refer admin discharge'!D481</f>
        <v>xx</v>
      </c>
      <c r="E485" s="327"/>
      <c r="F485" s="606" t="str">
        <f>'refer admin discharge'!H481</f>
        <v>00/00/0000</v>
      </c>
      <c r="G485" s="327"/>
      <c r="H485" s="594"/>
      <c r="I485" s="327"/>
      <c r="J485" s="605"/>
      <c r="K485" s="327"/>
      <c r="L485" s="594"/>
      <c r="M485" s="327"/>
      <c r="N485" s="575"/>
      <c r="O485" s="327"/>
      <c r="P485" s="594"/>
      <c r="Q485" s="327"/>
      <c r="R485" s="575"/>
      <c r="S485" s="327"/>
      <c r="T485" s="594"/>
      <c r="U485" s="327"/>
      <c r="V485" s="595" t="str">
        <f>'refer admin discharge'!H486</f>
        <v>00/00/0000</v>
      </c>
      <c r="W485" s="327"/>
      <c r="X485" s="577"/>
      <c r="Y485" s="327"/>
      <c r="Z485" s="604"/>
      <c r="AA485" s="327"/>
      <c r="AB485" s="577"/>
      <c r="AC485" s="327"/>
      <c r="AD485" s="576"/>
      <c r="AE485" s="327"/>
      <c r="AF485" s="577"/>
      <c r="AG485" s="327"/>
      <c r="AH485" s="576"/>
      <c r="AI485" s="327"/>
      <c r="AJ485" s="577"/>
      <c r="AK485" s="327"/>
      <c r="AL485" s="602"/>
      <c r="AM485" s="326"/>
      <c r="AN485" s="326"/>
      <c r="AO485" s="326"/>
      <c r="AP485" s="326"/>
      <c r="AQ485" s="326"/>
      <c r="AR485" s="326"/>
      <c r="AS485" s="326"/>
      <c r="AT485" s="326"/>
      <c r="AU485" s="326"/>
      <c r="AV485" s="326"/>
      <c r="AW485" s="326"/>
      <c r="AX485" s="326"/>
      <c r="AY485" s="326"/>
      <c r="AZ485" s="326"/>
      <c r="BA485" s="326"/>
      <c r="BB485" s="327"/>
    </row>
    <row r="486" spans="1:54" ht="15.75" customHeight="1" x14ac:dyDescent="0.25">
      <c r="A486" s="11">
        <f t="shared" si="1"/>
        <v>473</v>
      </c>
      <c r="B486" s="570" t="str">
        <f>'refer admin discharge'!B482</f>
        <v>x</v>
      </c>
      <c r="C486" s="327"/>
      <c r="D486" s="599" t="str">
        <f>'refer admin discharge'!D482</f>
        <v>xx</v>
      </c>
      <c r="E486" s="327"/>
      <c r="F486" s="600" t="str">
        <f>'refer admin discharge'!H482</f>
        <v>00/00/0000</v>
      </c>
      <c r="G486" s="327"/>
      <c r="H486" s="574"/>
      <c r="I486" s="327"/>
      <c r="J486" s="601"/>
      <c r="K486" s="327"/>
      <c r="L486" s="574"/>
      <c r="M486" s="327"/>
      <c r="N486" s="594"/>
      <c r="O486" s="327"/>
      <c r="P486" s="574"/>
      <c r="Q486" s="327"/>
      <c r="R486" s="594"/>
      <c r="S486" s="327"/>
      <c r="T486" s="574"/>
      <c r="U486" s="327"/>
      <c r="V486" s="595" t="str">
        <f>'refer admin discharge'!H487</f>
        <v>00/00/0000</v>
      </c>
      <c r="W486" s="327"/>
      <c r="X486" s="596"/>
      <c r="Y486" s="327"/>
      <c r="Z486" s="597"/>
      <c r="AA486" s="327"/>
      <c r="AB486" s="596"/>
      <c r="AC486" s="327"/>
      <c r="AD486" s="577"/>
      <c r="AE486" s="327"/>
      <c r="AF486" s="596"/>
      <c r="AG486" s="327"/>
      <c r="AH486" s="577"/>
      <c r="AI486" s="327"/>
      <c r="AJ486" s="596"/>
      <c r="AK486" s="327"/>
      <c r="AL486" s="598"/>
      <c r="AM486" s="326"/>
      <c r="AN486" s="326"/>
      <c r="AO486" s="326"/>
      <c r="AP486" s="326"/>
      <c r="AQ486" s="326"/>
      <c r="AR486" s="326"/>
      <c r="AS486" s="326"/>
      <c r="AT486" s="326"/>
      <c r="AU486" s="326"/>
      <c r="AV486" s="326"/>
      <c r="AW486" s="326"/>
      <c r="AX486" s="326"/>
      <c r="AY486" s="326"/>
      <c r="AZ486" s="326"/>
      <c r="BA486" s="326"/>
      <c r="BB486" s="327"/>
    </row>
    <row r="487" spans="1:54" ht="15.75" customHeight="1" x14ac:dyDescent="0.25">
      <c r="A487" s="11">
        <f t="shared" si="1"/>
        <v>474</v>
      </c>
      <c r="B487" s="504" t="str">
        <f>'refer admin discharge'!B483</f>
        <v>x</v>
      </c>
      <c r="C487" s="327"/>
      <c r="D487" s="505" t="str">
        <f>'refer admin discharge'!D483</f>
        <v>xx</v>
      </c>
      <c r="E487" s="327"/>
      <c r="F487" s="606" t="str">
        <f>'refer admin discharge'!H483</f>
        <v>00/00/0000</v>
      </c>
      <c r="G487" s="327"/>
      <c r="H487" s="594"/>
      <c r="I487" s="327"/>
      <c r="J487" s="605"/>
      <c r="K487" s="327"/>
      <c r="L487" s="594"/>
      <c r="M487" s="327"/>
      <c r="N487" s="575"/>
      <c r="O487" s="327"/>
      <c r="P487" s="594"/>
      <c r="Q487" s="327"/>
      <c r="R487" s="575"/>
      <c r="S487" s="327"/>
      <c r="T487" s="594"/>
      <c r="U487" s="327"/>
      <c r="V487" s="595" t="str">
        <f>'refer admin discharge'!H488</f>
        <v>00/00/0000</v>
      </c>
      <c r="W487" s="327"/>
      <c r="X487" s="577"/>
      <c r="Y487" s="327"/>
      <c r="Z487" s="604"/>
      <c r="AA487" s="327"/>
      <c r="AB487" s="577"/>
      <c r="AC487" s="327"/>
      <c r="AD487" s="576"/>
      <c r="AE487" s="327"/>
      <c r="AF487" s="577"/>
      <c r="AG487" s="327"/>
      <c r="AH487" s="576"/>
      <c r="AI487" s="327"/>
      <c r="AJ487" s="577"/>
      <c r="AK487" s="327"/>
      <c r="AL487" s="602"/>
      <c r="AM487" s="326"/>
      <c r="AN487" s="326"/>
      <c r="AO487" s="326"/>
      <c r="AP487" s="326"/>
      <c r="AQ487" s="326"/>
      <c r="AR487" s="326"/>
      <c r="AS487" s="326"/>
      <c r="AT487" s="326"/>
      <c r="AU487" s="326"/>
      <c r="AV487" s="326"/>
      <c r="AW487" s="326"/>
      <c r="AX487" s="326"/>
      <c r="AY487" s="326"/>
      <c r="AZ487" s="326"/>
      <c r="BA487" s="326"/>
      <c r="BB487" s="327"/>
    </row>
    <row r="488" spans="1:54" ht="15.75" customHeight="1" x14ac:dyDescent="0.25">
      <c r="A488" s="11">
        <f t="shared" si="1"/>
        <v>475</v>
      </c>
      <c r="B488" s="570" t="str">
        <f>'refer admin discharge'!B484</f>
        <v>x</v>
      </c>
      <c r="C488" s="327"/>
      <c r="D488" s="599" t="str">
        <f>'refer admin discharge'!D484</f>
        <v>xx</v>
      </c>
      <c r="E488" s="327"/>
      <c r="F488" s="600" t="str">
        <f>'refer admin discharge'!H484</f>
        <v>00/00/0000</v>
      </c>
      <c r="G488" s="327"/>
      <c r="H488" s="574"/>
      <c r="I488" s="327"/>
      <c r="J488" s="601"/>
      <c r="K488" s="327"/>
      <c r="L488" s="574"/>
      <c r="M488" s="327"/>
      <c r="N488" s="594"/>
      <c r="O488" s="327"/>
      <c r="P488" s="574"/>
      <c r="Q488" s="327"/>
      <c r="R488" s="594"/>
      <c r="S488" s="327"/>
      <c r="T488" s="574"/>
      <c r="U488" s="327"/>
      <c r="V488" s="595" t="str">
        <f>'refer admin discharge'!H489</f>
        <v>00/00/0000</v>
      </c>
      <c r="W488" s="327"/>
      <c r="X488" s="596"/>
      <c r="Y488" s="327"/>
      <c r="Z488" s="597"/>
      <c r="AA488" s="327"/>
      <c r="AB488" s="596"/>
      <c r="AC488" s="327"/>
      <c r="AD488" s="577"/>
      <c r="AE488" s="327"/>
      <c r="AF488" s="596"/>
      <c r="AG488" s="327"/>
      <c r="AH488" s="577"/>
      <c r="AI488" s="327"/>
      <c r="AJ488" s="596"/>
      <c r="AK488" s="327"/>
      <c r="AL488" s="598"/>
      <c r="AM488" s="326"/>
      <c r="AN488" s="326"/>
      <c r="AO488" s="326"/>
      <c r="AP488" s="326"/>
      <c r="AQ488" s="326"/>
      <c r="AR488" s="326"/>
      <c r="AS488" s="326"/>
      <c r="AT488" s="326"/>
      <c r="AU488" s="326"/>
      <c r="AV488" s="326"/>
      <c r="AW488" s="326"/>
      <c r="AX488" s="326"/>
      <c r="AY488" s="326"/>
      <c r="AZ488" s="326"/>
      <c r="BA488" s="326"/>
      <c r="BB488" s="327"/>
    </row>
    <row r="489" spans="1:54" ht="15.75" customHeight="1" x14ac:dyDescent="0.25">
      <c r="A489" s="11">
        <f t="shared" si="1"/>
        <v>476</v>
      </c>
      <c r="B489" s="504" t="str">
        <f>'refer admin discharge'!B485</f>
        <v>x</v>
      </c>
      <c r="C489" s="327"/>
      <c r="D489" s="505" t="str">
        <f>'refer admin discharge'!D485</f>
        <v>xx</v>
      </c>
      <c r="E489" s="327"/>
      <c r="F489" s="606" t="str">
        <f>'refer admin discharge'!H485</f>
        <v>00/00/0000</v>
      </c>
      <c r="G489" s="327"/>
      <c r="H489" s="594"/>
      <c r="I489" s="327"/>
      <c r="J489" s="605"/>
      <c r="K489" s="327"/>
      <c r="L489" s="594"/>
      <c r="M489" s="327"/>
      <c r="N489" s="575"/>
      <c r="O489" s="327"/>
      <c r="P489" s="594"/>
      <c r="Q489" s="327"/>
      <c r="R489" s="575"/>
      <c r="S489" s="327"/>
      <c r="T489" s="594"/>
      <c r="U489" s="327"/>
      <c r="V489" s="595" t="str">
        <f>'refer admin discharge'!H490</f>
        <v>00/00/0000</v>
      </c>
      <c r="W489" s="327"/>
      <c r="X489" s="577"/>
      <c r="Y489" s="327"/>
      <c r="Z489" s="604"/>
      <c r="AA489" s="327"/>
      <c r="AB489" s="577"/>
      <c r="AC489" s="327"/>
      <c r="AD489" s="576"/>
      <c r="AE489" s="327"/>
      <c r="AF489" s="577"/>
      <c r="AG489" s="327"/>
      <c r="AH489" s="576"/>
      <c r="AI489" s="327"/>
      <c r="AJ489" s="577"/>
      <c r="AK489" s="327"/>
      <c r="AL489" s="602"/>
      <c r="AM489" s="326"/>
      <c r="AN489" s="326"/>
      <c r="AO489" s="326"/>
      <c r="AP489" s="326"/>
      <c r="AQ489" s="326"/>
      <c r="AR489" s="326"/>
      <c r="AS489" s="326"/>
      <c r="AT489" s="326"/>
      <c r="AU489" s="326"/>
      <c r="AV489" s="326"/>
      <c r="AW489" s="326"/>
      <c r="AX489" s="326"/>
      <c r="AY489" s="326"/>
      <c r="AZ489" s="326"/>
      <c r="BA489" s="326"/>
      <c r="BB489" s="327"/>
    </row>
    <row r="490" spans="1:54" ht="15.75" customHeight="1" x14ac:dyDescent="0.25">
      <c r="A490" s="11">
        <f t="shared" si="1"/>
        <v>477</v>
      </c>
      <c r="B490" s="570" t="str">
        <f>'refer admin discharge'!B486</f>
        <v>x</v>
      </c>
      <c r="C490" s="327"/>
      <c r="D490" s="599" t="str">
        <f>'refer admin discharge'!D486</f>
        <v>xx</v>
      </c>
      <c r="E490" s="327"/>
      <c r="F490" s="600" t="str">
        <f>'refer admin discharge'!H486</f>
        <v>00/00/0000</v>
      </c>
      <c r="G490" s="327"/>
      <c r="H490" s="574"/>
      <c r="I490" s="327"/>
      <c r="J490" s="601"/>
      <c r="K490" s="327"/>
      <c r="L490" s="574"/>
      <c r="M490" s="327"/>
      <c r="N490" s="594"/>
      <c r="O490" s="327"/>
      <c r="P490" s="574"/>
      <c r="Q490" s="327"/>
      <c r="R490" s="594"/>
      <c r="S490" s="327"/>
      <c r="T490" s="574"/>
      <c r="U490" s="327"/>
      <c r="V490" s="595" t="str">
        <f>'refer admin discharge'!H491</f>
        <v>00/00/0000</v>
      </c>
      <c r="W490" s="327"/>
      <c r="X490" s="596"/>
      <c r="Y490" s="327"/>
      <c r="Z490" s="597"/>
      <c r="AA490" s="327"/>
      <c r="AB490" s="596"/>
      <c r="AC490" s="327"/>
      <c r="AD490" s="577"/>
      <c r="AE490" s="327"/>
      <c r="AF490" s="596"/>
      <c r="AG490" s="327"/>
      <c r="AH490" s="577"/>
      <c r="AI490" s="327"/>
      <c r="AJ490" s="596"/>
      <c r="AK490" s="327"/>
      <c r="AL490" s="598"/>
      <c r="AM490" s="326"/>
      <c r="AN490" s="326"/>
      <c r="AO490" s="326"/>
      <c r="AP490" s="326"/>
      <c r="AQ490" s="326"/>
      <c r="AR490" s="326"/>
      <c r="AS490" s="326"/>
      <c r="AT490" s="326"/>
      <c r="AU490" s="326"/>
      <c r="AV490" s="326"/>
      <c r="AW490" s="326"/>
      <c r="AX490" s="326"/>
      <c r="AY490" s="326"/>
      <c r="AZ490" s="326"/>
      <c r="BA490" s="326"/>
      <c r="BB490" s="327"/>
    </row>
    <row r="491" spans="1:54" ht="15.75" customHeight="1" x14ac:dyDescent="0.25">
      <c r="A491" s="11">
        <f t="shared" si="1"/>
        <v>478</v>
      </c>
      <c r="B491" s="504" t="str">
        <f>'refer admin discharge'!B487</f>
        <v>x</v>
      </c>
      <c r="C491" s="327"/>
      <c r="D491" s="505" t="str">
        <f>'refer admin discharge'!D487</f>
        <v>xx</v>
      </c>
      <c r="E491" s="327"/>
      <c r="F491" s="606" t="str">
        <f>'refer admin discharge'!H487</f>
        <v>00/00/0000</v>
      </c>
      <c r="G491" s="327"/>
      <c r="H491" s="594"/>
      <c r="I491" s="327"/>
      <c r="J491" s="605"/>
      <c r="K491" s="327"/>
      <c r="L491" s="594"/>
      <c r="M491" s="327"/>
      <c r="N491" s="575"/>
      <c r="O491" s="327"/>
      <c r="P491" s="594"/>
      <c r="Q491" s="327"/>
      <c r="R491" s="575"/>
      <c r="S491" s="327"/>
      <c r="T491" s="594"/>
      <c r="U491" s="327"/>
      <c r="V491" s="595" t="str">
        <f>'refer admin discharge'!H492</f>
        <v>00/00/0000</v>
      </c>
      <c r="W491" s="327"/>
      <c r="X491" s="577"/>
      <c r="Y491" s="327"/>
      <c r="Z491" s="604"/>
      <c r="AA491" s="327"/>
      <c r="AB491" s="577"/>
      <c r="AC491" s="327"/>
      <c r="AD491" s="576"/>
      <c r="AE491" s="327"/>
      <c r="AF491" s="577"/>
      <c r="AG491" s="327"/>
      <c r="AH491" s="576"/>
      <c r="AI491" s="327"/>
      <c r="AJ491" s="577"/>
      <c r="AK491" s="327"/>
      <c r="AL491" s="602"/>
      <c r="AM491" s="326"/>
      <c r="AN491" s="326"/>
      <c r="AO491" s="326"/>
      <c r="AP491" s="326"/>
      <c r="AQ491" s="326"/>
      <c r="AR491" s="326"/>
      <c r="AS491" s="326"/>
      <c r="AT491" s="326"/>
      <c r="AU491" s="326"/>
      <c r="AV491" s="326"/>
      <c r="AW491" s="326"/>
      <c r="AX491" s="326"/>
      <c r="AY491" s="326"/>
      <c r="AZ491" s="326"/>
      <c r="BA491" s="326"/>
      <c r="BB491" s="327"/>
    </row>
    <row r="492" spans="1:54" ht="15.75" customHeight="1" x14ac:dyDescent="0.25">
      <c r="A492" s="11">
        <f t="shared" si="1"/>
        <v>479</v>
      </c>
      <c r="B492" s="570" t="str">
        <f>'refer admin discharge'!B488</f>
        <v>x</v>
      </c>
      <c r="C492" s="327"/>
      <c r="D492" s="599" t="str">
        <f>'refer admin discharge'!D488</f>
        <v>xx</v>
      </c>
      <c r="E492" s="327"/>
      <c r="F492" s="600" t="str">
        <f>'refer admin discharge'!H488</f>
        <v>00/00/0000</v>
      </c>
      <c r="G492" s="327"/>
      <c r="H492" s="574"/>
      <c r="I492" s="327"/>
      <c r="J492" s="601"/>
      <c r="K492" s="327"/>
      <c r="L492" s="574"/>
      <c r="M492" s="327"/>
      <c r="N492" s="594"/>
      <c r="O492" s="327"/>
      <c r="P492" s="574"/>
      <c r="Q492" s="327"/>
      <c r="R492" s="594"/>
      <c r="S492" s="327"/>
      <c r="T492" s="574"/>
      <c r="U492" s="327"/>
      <c r="V492" s="595" t="str">
        <f>'refer admin discharge'!H493</f>
        <v>00/00/0000</v>
      </c>
      <c r="W492" s="327"/>
      <c r="X492" s="596"/>
      <c r="Y492" s="327"/>
      <c r="Z492" s="597"/>
      <c r="AA492" s="327"/>
      <c r="AB492" s="596"/>
      <c r="AC492" s="327"/>
      <c r="AD492" s="577"/>
      <c r="AE492" s="327"/>
      <c r="AF492" s="596"/>
      <c r="AG492" s="327"/>
      <c r="AH492" s="577"/>
      <c r="AI492" s="327"/>
      <c r="AJ492" s="596"/>
      <c r="AK492" s="327"/>
      <c r="AL492" s="598"/>
      <c r="AM492" s="326"/>
      <c r="AN492" s="326"/>
      <c r="AO492" s="326"/>
      <c r="AP492" s="326"/>
      <c r="AQ492" s="326"/>
      <c r="AR492" s="326"/>
      <c r="AS492" s="326"/>
      <c r="AT492" s="326"/>
      <c r="AU492" s="326"/>
      <c r="AV492" s="326"/>
      <c r="AW492" s="326"/>
      <c r="AX492" s="326"/>
      <c r="AY492" s="326"/>
      <c r="AZ492" s="326"/>
      <c r="BA492" s="326"/>
      <c r="BB492" s="327"/>
    </row>
    <row r="493" spans="1:54" ht="15.75" customHeight="1" x14ac:dyDescent="0.25">
      <c r="A493" s="11">
        <f t="shared" si="1"/>
        <v>480</v>
      </c>
      <c r="B493" s="504" t="str">
        <f>'refer admin discharge'!B489</f>
        <v>x</v>
      </c>
      <c r="C493" s="327"/>
      <c r="D493" s="505" t="str">
        <f>'refer admin discharge'!D489</f>
        <v>xx</v>
      </c>
      <c r="E493" s="327"/>
      <c r="F493" s="606" t="str">
        <f>'refer admin discharge'!H489</f>
        <v>00/00/0000</v>
      </c>
      <c r="G493" s="327"/>
      <c r="H493" s="594"/>
      <c r="I493" s="327"/>
      <c r="J493" s="605"/>
      <c r="K493" s="327"/>
      <c r="L493" s="594"/>
      <c r="M493" s="327"/>
      <c r="N493" s="575"/>
      <c r="O493" s="327"/>
      <c r="P493" s="594"/>
      <c r="Q493" s="327"/>
      <c r="R493" s="575"/>
      <c r="S493" s="327"/>
      <c r="T493" s="594"/>
      <c r="U493" s="327"/>
      <c r="V493" s="595" t="str">
        <f>'refer admin discharge'!H494</f>
        <v>00/00/0000</v>
      </c>
      <c r="W493" s="327"/>
      <c r="X493" s="577"/>
      <c r="Y493" s="327"/>
      <c r="Z493" s="604"/>
      <c r="AA493" s="327"/>
      <c r="AB493" s="577"/>
      <c r="AC493" s="327"/>
      <c r="AD493" s="576"/>
      <c r="AE493" s="327"/>
      <c r="AF493" s="577"/>
      <c r="AG493" s="327"/>
      <c r="AH493" s="576"/>
      <c r="AI493" s="327"/>
      <c r="AJ493" s="577"/>
      <c r="AK493" s="327"/>
      <c r="AL493" s="602"/>
      <c r="AM493" s="326"/>
      <c r="AN493" s="326"/>
      <c r="AO493" s="326"/>
      <c r="AP493" s="326"/>
      <c r="AQ493" s="326"/>
      <c r="AR493" s="326"/>
      <c r="AS493" s="326"/>
      <c r="AT493" s="326"/>
      <c r="AU493" s="326"/>
      <c r="AV493" s="326"/>
      <c r="AW493" s="326"/>
      <c r="AX493" s="326"/>
      <c r="AY493" s="326"/>
      <c r="AZ493" s="326"/>
      <c r="BA493" s="326"/>
      <c r="BB493" s="327"/>
    </row>
    <row r="494" spans="1:54" ht="15.75" customHeight="1" x14ac:dyDescent="0.25">
      <c r="A494" s="11">
        <f t="shared" si="1"/>
        <v>481</v>
      </c>
      <c r="B494" s="570" t="str">
        <f>'refer admin discharge'!B490</f>
        <v>x</v>
      </c>
      <c r="C494" s="327"/>
      <c r="D494" s="599" t="str">
        <f>'refer admin discharge'!D490</f>
        <v>xx</v>
      </c>
      <c r="E494" s="327"/>
      <c r="F494" s="600" t="str">
        <f>'refer admin discharge'!H490</f>
        <v>00/00/0000</v>
      </c>
      <c r="G494" s="327"/>
      <c r="H494" s="574"/>
      <c r="I494" s="327"/>
      <c r="J494" s="601"/>
      <c r="K494" s="327"/>
      <c r="L494" s="574"/>
      <c r="M494" s="327"/>
      <c r="N494" s="594"/>
      <c r="O494" s="327"/>
      <c r="P494" s="574"/>
      <c r="Q494" s="327"/>
      <c r="R494" s="594"/>
      <c r="S494" s="327"/>
      <c r="T494" s="574"/>
      <c r="U494" s="327"/>
      <c r="V494" s="595" t="str">
        <f>'refer admin discharge'!H495</f>
        <v>00/00/0000</v>
      </c>
      <c r="W494" s="327"/>
      <c r="X494" s="596"/>
      <c r="Y494" s="327"/>
      <c r="Z494" s="597"/>
      <c r="AA494" s="327"/>
      <c r="AB494" s="596"/>
      <c r="AC494" s="327"/>
      <c r="AD494" s="577"/>
      <c r="AE494" s="327"/>
      <c r="AF494" s="596"/>
      <c r="AG494" s="327"/>
      <c r="AH494" s="577"/>
      <c r="AI494" s="327"/>
      <c r="AJ494" s="596"/>
      <c r="AK494" s="327"/>
      <c r="AL494" s="598"/>
      <c r="AM494" s="326"/>
      <c r="AN494" s="326"/>
      <c r="AO494" s="326"/>
      <c r="AP494" s="326"/>
      <c r="AQ494" s="326"/>
      <c r="AR494" s="326"/>
      <c r="AS494" s="326"/>
      <c r="AT494" s="326"/>
      <c r="AU494" s="326"/>
      <c r="AV494" s="326"/>
      <c r="AW494" s="326"/>
      <c r="AX494" s="326"/>
      <c r="AY494" s="326"/>
      <c r="AZ494" s="326"/>
      <c r="BA494" s="326"/>
      <c r="BB494" s="327"/>
    </row>
    <row r="495" spans="1:54" ht="15.75" customHeight="1" x14ac:dyDescent="0.25">
      <c r="A495" s="11">
        <f t="shared" si="1"/>
        <v>482</v>
      </c>
      <c r="B495" s="504" t="str">
        <f>'refer admin discharge'!B491</f>
        <v>x</v>
      </c>
      <c r="C495" s="327"/>
      <c r="D495" s="505" t="str">
        <f>'refer admin discharge'!D491</f>
        <v>xx</v>
      </c>
      <c r="E495" s="327"/>
      <c r="F495" s="606" t="str">
        <f>'refer admin discharge'!H491</f>
        <v>00/00/0000</v>
      </c>
      <c r="G495" s="327"/>
      <c r="H495" s="594"/>
      <c r="I495" s="327"/>
      <c r="J495" s="605"/>
      <c r="K495" s="327"/>
      <c r="L495" s="594"/>
      <c r="M495" s="327"/>
      <c r="N495" s="575"/>
      <c r="O495" s="327"/>
      <c r="P495" s="594"/>
      <c r="Q495" s="327"/>
      <c r="R495" s="575"/>
      <c r="S495" s="327"/>
      <c r="T495" s="594"/>
      <c r="U495" s="327"/>
      <c r="V495" s="595" t="str">
        <f>'refer admin discharge'!H496</f>
        <v>00/00/0000</v>
      </c>
      <c r="W495" s="327"/>
      <c r="X495" s="577"/>
      <c r="Y495" s="327"/>
      <c r="Z495" s="604"/>
      <c r="AA495" s="327"/>
      <c r="AB495" s="577"/>
      <c r="AC495" s="327"/>
      <c r="AD495" s="576"/>
      <c r="AE495" s="327"/>
      <c r="AF495" s="577"/>
      <c r="AG495" s="327"/>
      <c r="AH495" s="576"/>
      <c r="AI495" s="327"/>
      <c r="AJ495" s="577"/>
      <c r="AK495" s="327"/>
      <c r="AL495" s="602"/>
      <c r="AM495" s="326"/>
      <c r="AN495" s="326"/>
      <c r="AO495" s="326"/>
      <c r="AP495" s="326"/>
      <c r="AQ495" s="326"/>
      <c r="AR495" s="326"/>
      <c r="AS495" s="326"/>
      <c r="AT495" s="326"/>
      <c r="AU495" s="326"/>
      <c r="AV495" s="326"/>
      <c r="AW495" s="326"/>
      <c r="AX495" s="326"/>
      <c r="AY495" s="326"/>
      <c r="AZ495" s="326"/>
      <c r="BA495" s="326"/>
      <c r="BB495" s="327"/>
    </row>
    <row r="496" spans="1:54" ht="15.75" customHeight="1" x14ac:dyDescent="0.25">
      <c r="A496" s="11">
        <f t="shared" si="1"/>
        <v>483</v>
      </c>
      <c r="B496" s="570" t="str">
        <f>'refer admin discharge'!B492</f>
        <v>x</v>
      </c>
      <c r="C496" s="327"/>
      <c r="D496" s="599" t="str">
        <f>'refer admin discharge'!D492</f>
        <v>xx</v>
      </c>
      <c r="E496" s="327"/>
      <c r="F496" s="600" t="str">
        <f>'refer admin discharge'!H492</f>
        <v>00/00/0000</v>
      </c>
      <c r="G496" s="327"/>
      <c r="H496" s="574"/>
      <c r="I496" s="327"/>
      <c r="J496" s="601"/>
      <c r="K496" s="327"/>
      <c r="L496" s="574"/>
      <c r="M496" s="327"/>
      <c r="N496" s="594"/>
      <c r="O496" s="327"/>
      <c r="P496" s="574"/>
      <c r="Q496" s="327"/>
      <c r="R496" s="594"/>
      <c r="S496" s="327"/>
      <c r="T496" s="574"/>
      <c r="U496" s="327"/>
      <c r="V496" s="595" t="str">
        <f>'refer admin discharge'!H497</f>
        <v>00/00/0000</v>
      </c>
      <c r="W496" s="327"/>
      <c r="X496" s="596"/>
      <c r="Y496" s="327"/>
      <c r="Z496" s="597"/>
      <c r="AA496" s="327"/>
      <c r="AB496" s="596"/>
      <c r="AC496" s="327"/>
      <c r="AD496" s="577"/>
      <c r="AE496" s="327"/>
      <c r="AF496" s="596"/>
      <c r="AG496" s="327"/>
      <c r="AH496" s="577"/>
      <c r="AI496" s="327"/>
      <c r="AJ496" s="596"/>
      <c r="AK496" s="327"/>
      <c r="AL496" s="598"/>
      <c r="AM496" s="326"/>
      <c r="AN496" s="326"/>
      <c r="AO496" s="326"/>
      <c r="AP496" s="326"/>
      <c r="AQ496" s="326"/>
      <c r="AR496" s="326"/>
      <c r="AS496" s="326"/>
      <c r="AT496" s="326"/>
      <c r="AU496" s="326"/>
      <c r="AV496" s="326"/>
      <c r="AW496" s="326"/>
      <c r="AX496" s="326"/>
      <c r="AY496" s="326"/>
      <c r="AZ496" s="326"/>
      <c r="BA496" s="326"/>
      <c r="BB496" s="327"/>
    </row>
    <row r="497" spans="1:54" ht="15.75" customHeight="1" x14ac:dyDescent="0.25">
      <c r="A497" s="11">
        <f t="shared" si="1"/>
        <v>484</v>
      </c>
      <c r="B497" s="504" t="str">
        <f>'refer admin discharge'!B493</f>
        <v>x</v>
      </c>
      <c r="C497" s="327"/>
      <c r="D497" s="505" t="str">
        <f>'refer admin discharge'!D493</f>
        <v>xx</v>
      </c>
      <c r="E497" s="327"/>
      <c r="F497" s="606" t="str">
        <f>'refer admin discharge'!H493</f>
        <v>00/00/0000</v>
      </c>
      <c r="G497" s="327"/>
      <c r="H497" s="594"/>
      <c r="I497" s="327"/>
      <c r="J497" s="605"/>
      <c r="K497" s="327"/>
      <c r="L497" s="594"/>
      <c r="M497" s="327"/>
      <c r="N497" s="575"/>
      <c r="O497" s="327"/>
      <c r="P497" s="594"/>
      <c r="Q497" s="327"/>
      <c r="R497" s="575"/>
      <c r="S497" s="327"/>
      <c r="T497" s="594"/>
      <c r="U497" s="327"/>
      <c r="V497" s="595" t="str">
        <f>'refer admin discharge'!H498</f>
        <v>00/00/0000</v>
      </c>
      <c r="W497" s="327"/>
      <c r="X497" s="577"/>
      <c r="Y497" s="327"/>
      <c r="Z497" s="604"/>
      <c r="AA497" s="327"/>
      <c r="AB497" s="577"/>
      <c r="AC497" s="327"/>
      <c r="AD497" s="576"/>
      <c r="AE497" s="327"/>
      <c r="AF497" s="577"/>
      <c r="AG497" s="327"/>
      <c r="AH497" s="576"/>
      <c r="AI497" s="327"/>
      <c r="AJ497" s="577"/>
      <c r="AK497" s="327"/>
      <c r="AL497" s="602"/>
      <c r="AM497" s="326"/>
      <c r="AN497" s="326"/>
      <c r="AO497" s="326"/>
      <c r="AP497" s="326"/>
      <c r="AQ497" s="326"/>
      <c r="AR497" s="326"/>
      <c r="AS497" s="326"/>
      <c r="AT497" s="326"/>
      <c r="AU497" s="326"/>
      <c r="AV497" s="326"/>
      <c r="AW497" s="326"/>
      <c r="AX497" s="326"/>
      <c r="AY497" s="326"/>
      <c r="AZ497" s="326"/>
      <c r="BA497" s="326"/>
      <c r="BB497" s="327"/>
    </row>
    <row r="498" spans="1:54" ht="15.75" customHeight="1" x14ac:dyDescent="0.25">
      <c r="A498" s="11">
        <f t="shared" si="1"/>
        <v>485</v>
      </c>
      <c r="B498" s="570" t="str">
        <f>'refer admin discharge'!B494</f>
        <v>x</v>
      </c>
      <c r="C498" s="327"/>
      <c r="D498" s="599" t="str">
        <f>'refer admin discharge'!D494</f>
        <v>xx</v>
      </c>
      <c r="E498" s="327"/>
      <c r="F498" s="600" t="str">
        <f>'refer admin discharge'!H494</f>
        <v>00/00/0000</v>
      </c>
      <c r="G498" s="327"/>
      <c r="H498" s="574"/>
      <c r="I498" s="327"/>
      <c r="J498" s="601"/>
      <c r="K498" s="327"/>
      <c r="L498" s="574"/>
      <c r="M498" s="327"/>
      <c r="N498" s="594"/>
      <c r="O498" s="327"/>
      <c r="P498" s="574"/>
      <c r="Q498" s="327"/>
      <c r="R498" s="594"/>
      <c r="S498" s="327"/>
      <c r="T498" s="574"/>
      <c r="U498" s="327"/>
      <c r="V498" s="595" t="str">
        <f>'refer admin discharge'!H499</f>
        <v>00/00/0000</v>
      </c>
      <c r="W498" s="327"/>
      <c r="X498" s="596"/>
      <c r="Y498" s="327"/>
      <c r="Z498" s="597"/>
      <c r="AA498" s="327"/>
      <c r="AB498" s="596"/>
      <c r="AC498" s="327"/>
      <c r="AD498" s="577"/>
      <c r="AE498" s="327"/>
      <c r="AF498" s="596"/>
      <c r="AG498" s="327"/>
      <c r="AH498" s="577"/>
      <c r="AI498" s="327"/>
      <c r="AJ498" s="596"/>
      <c r="AK498" s="327"/>
      <c r="AL498" s="598"/>
      <c r="AM498" s="326"/>
      <c r="AN498" s="326"/>
      <c r="AO498" s="326"/>
      <c r="AP498" s="326"/>
      <c r="AQ498" s="326"/>
      <c r="AR498" s="326"/>
      <c r="AS498" s="326"/>
      <c r="AT498" s="326"/>
      <c r="AU498" s="326"/>
      <c r="AV498" s="326"/>
      <c r="AW498" s="326"/>
      <c r="AX498" s="326"/>
      <c r="AY498" s="326"/>
      <c r="AZ498" s="326"/>
      <c r="BA498" s="326"/>
      <c r="BB498" s="327"/>
    </row>
    <row r="499" spans="1:54" ht="15.75" customHeight="1" x14ac:dyDescent="0.25">
      <c r="A499" s="11">
        <f t="shared" si="1"/>
        <v>486</v>
      </c>
      <c r="B499" s="504" t="str">
        <f>'refer admin discharge'!B495</f>
        <v>x</v>
      </c>
      <c r="C499" s="327"/>
      <c r="D499" s="505" t="str">
        <f>'refer admin discharge'!D495</f>
        <v>xx</v>
      </c>
      <c r="E499" s="327"/>
      <c r="F499" s="606" t="str">
        <f>'refer admin discharge'!H495</f>
        <v>00/00/0000</v>
      </c>
      <c r="G499" s="327"/>
      <c r="H499" s="594"/>
      <c r="I499" s="327"/>
      <c r="J499" s="605"/>
      <c r="K499" s="327"/>
      <c r="L499" s="594"/>
      <c r="M499" s="327"/>
      <c r="N499" s="575"/>
      <c r="O499" s="327"/>
      <c r="P499" s="594"/>
      <c r="Q499" s="327"/>
      <c r="R499" s="575"/>
      <c r="S499" s="327"/>
      <c r="T499" s="594"/>
      <c r="U499" s="327"/>
      <c r="V499" s="595" t="str">
        <f>'refer admin discharge'!H500</f>
        <v>00/00/0000</v>
      </c>
      <c r="W499" s="327"/>
      <c r="X499" s="577"/>
      <c r="Y499" s="327"/>
      <c r="Z499" s="604"/>
      <c r="AA499" s="327"/>
      <c r="AB499" s="577"/>
      <c r="AC499" s="327"/>
      <c r="AD499" s="576"/>
      <c r="AE499" s="327"/>
      <c r="AF499" s="577"/>
      <c r="AG499" s="327"/>
      <c r="AH499" s="576"/>
      <c r="AI499" s="327"/>
      <c r="AJ499" s="577"/>
      <c r="AK499" s="327"/>
      <c r="AL499" s="602"/>
      <c r="AM499" s="326"/>
      <c r="AN499" s="326"/>
      <c r="AO499" s="326"/>
      <c r="AP499" s="326"/>
      <c r="AQ499" s="326"/>
      <c r="AR499" s="326"/>
      <c r="AS499" s="326"/>
      <c r="AT499" s="326"/>
      <c r="AU499" s="326"/>
      <c r="AV499" s="326"/>
      <c r="AW499" s="326"/>
      <c r="AX499" s="326"/>
      <c r="AY499" s="326"/>
      <c r="AZ499" s="326"/>
      <c r="BA499" s="326"/>
      <c r="BB499" s="327"/>
    </row>
    <row r="500" spans="1:54" ht="15.75" customHeight="1" x14ac:dyDescent="0.25">
      <c r="A500" s="11">
        <f t="shared" si="1"/>
        <v>487</v>
      </c>
      <c r="B500" s="570" t="str">
        <f>'refer admin discharge'!B496</f>
        <v>x</v>
      </c>
      <c r="C500" s="327"/>
      <c r="D500" s="599" t="str">
        <f>'refer admin discharge'!D496</f>
        <v>xx</v>
      </c>
      <c r="E500" s="327"/>
      <c r="F500" s="600" t="str">
        <f>'refer admin discharge'!H496</f>
        <v>00/00/0000</v>
      </c>
      <c r="G500" s="327"/>
      <c r="H500" s="574"/>
      <c r="I500" s="327"/>
      <c r="J500" s="601"/>
      <c r="K500" s="327"/>
      <c r="L500" s="574"/>
      <c r="M500" s="327"/>
      <c r="N500" s="594"/>
      <c r="O500" s="327"/>
      <c r="P500" s="574"/>
      <c r="Q500" s="327"/>
      <c r="R500" s="594"/>
      <c r="S500" s="327"/>
      <c r="T500" s="574"/>
      <c r="U500" s="327"/>
      <c r="V500" s="595" t="str">
        <f>'refer admin discharge'!H501</f>
        <v>00/00/0000</v>
      </c>
      <c r="W500" s="327"/>
      <c r="X500" s="596"/>
      <c r="Y500" s="327"/>
      <c r="Z500" s="597"/>
      <c r="AA500" s="327"/>
      <c r="AB500" s="596"/>
      <c r="AC500" s="327"/>
      <c r="AD500" s="577"/>
      <c r="AE500" s="327"/>
      <c r="AF500" s="596"/>
      <c r="AG500" s="327"/>
      <c r="AH500" s="577"/>
      <c r="AI500" s="327"/>
      <c r="AJ500" s="596"/>
      <c r="AK500" s="327"/>
      <c r="AL500" s="598"/>
      <c r="AM500" s="326"/>
      <c r="AN500" s="326"/>
      <c r="AO500" s="326"/>
      <c r="AP500" s="326"/>
      <c r="AQ500" s="326"/>
      <c r="AR500" s="326"/>
      <c r="AS500" s="326"/>
      <c r="AT500" s="326"/>
      <c r="AU500" s="326"/>
      <c r="AV500" s="326"/>
      <c r="AW500" s="326"/>
      <c r="AX500" s="326"/>
      <c r="AY500" s="326"/>
      <c r="AZ500" s="326"/>
      <c r="BA500" s="326"/>
      <c r="BB500" s="327"/>
    </row>
    <row r="501" spans="1:54" ht="15.75" customHeight="1" x14ac:dyDescent="0.25">
      <c r="A501" s="11">
        <f t="shared" si="1"/>
        <v>488</v>
      </c>
      <c r="B501" s="504" t="str">
        <f>'refer admin discharge'!B497</f>
        <v>x</v>
      </c>
      <c r="C501" s="327"/>
      <c r="D501" s="505" t="str">
        <f>'refer admin discharge'!D497</f>
        <v>xx</v>
      </c>
      <c r="E501" s="327"/>
      <c r="F501" s="606" t="str">
        <f>'refer admin discharge'!H497</f>
        <v>00/00/0000</v>
      </c>
      <c r="G501" s="327"/>
      <c r="H501" s="594"/>
      <c r="I501" s="327"/>
      <c r="J501" s="605"/>
      <c r="K501" s="327"/>
      <c r="L501" s="594"/>
      <c r="M501" s="327"/>
      <c r="N501" s="575"/>
      <c r="O501" s="327"/>
      <c r="P501" s="594"/>
      <c r="Q501" s="327"/>
      <c r="R501" s="575"/>
      <c r="S501" s="327"/>
      <c r="T501" s="594"/>
      <c r="U501" s="327"/>
      <c r="V501" s="595" t="str">
        <f>'refer admin discharge'!H502</f>
        <v>00/00/0000</v>
      </c>
      <c r="W501" s="327"/>
      <c r="X501" s="577"/>
      <c r="Y501" s="327"/>
      <c r="Z501" s="604"/>
      <c r="AA501" s="327"/>
      <c r="AB501" s="577"/>
      <c r="AC501" s="327"/>
      <c r="AD501" s="576"/>
      <c r="AE501" s="327"/>
      <c r="AF501" s="577"/>
      <c r="AG501" s="327"/>
      <c r="AH501" s="576"/>
      <c r="AI501" s="327"/>
      <c r="AJ501" s="577"/>
      <c r="AK501" s="327"/>
      <c r="AL501" s="602"/>
      <c r="AM501" s="326"/>
      <c r="AN501" s="326"/>
      <c r="AO501" s="326"/>
      <c r="AP501" s="326"/>
      <c r="AQ501" s="326"/>
      <c r="AR501" s="326"/>
      <c r="AS501" s="326"/>
      <c r="AT501" s="326"/>
      <c r="AU501" s="326"/>
      <c r="AV501" s="326"/>
      <c r="AW501" s="326"/>
      <c r="AX501" s="326"/>
      <c r="AY501" s="326"/>
      <c r="AZ501" s="326"/>
      <c r="BA501" s="326"/>
      <c r="BB501" s="327"/>
    </row>
    <row r="502" spans="1:54" ht="15.75" customHeight="1" x14ac:dyDescent="0.25">
      <c r="A502" s="11">
        <f t="shared" si="1"/>
        <v>489</v>
      </c>
      <c r="B502" s="570" t="str">
        <f>'refer admin discharge'!B498</f>
        <v>x</v>
      </c>
      <c r="C502" s="327"/>
      <c r="D502" s="599" t="str">
        <f>'refer admin discharge'!D498</f>
        <v>xx</v>
      </c>
      <c r="E502" s="327"/>
      <c r="F502" s="600" t="str">
        <f>'refer admin discharge'!H498</f>
        <v>00/00/0000</v>
      </c>
      <c r="G502" s="327"/>
      <c r="H502" s="574"/>
      <c r="I502" s="327"/>
      <c r="J502" s="601"/>
      <c r="K502" s="327"/>
      <c r="L502" s="574"/>
      <c r="M502" s="327"/>
      <c r="N502" s="594"/>
      <c r="O502" s="327"/>
      <c r="P502" s="574"/>
      <c r="Q502" s="327"/>
      <c r="R502" s="594"/>
      <c r="S502" s="327"/>
      <c r="T502" s="574"/>
      <c r="U502" s="327"/>
      <c r="V502" s="595" t="str">
        <f>'refer admin discharge'!H503</f>
        <v>00/00/0000</v>
      </c>
      <c r="W502" s="327"/>
      <c r="X502" s="596"/>
      <c r="Y502" s="327"/>
      <c r="Z502" s="597"/>
      <c r="AA502" s="327"/>
      <c r="AB502" s="596"/>
      <c r="AC502" s="327"/>
      <c r="AD502" s="577"/>
      <c r="AE502" s="327"/>
      <c r="AF502" s="596"/>
      <c r="AG502" s="327"/>
      <c r="AH502" s="577"/>
      <c r="AI502" s="327"/>
      <c r="AJ502" s="596"/>
      <c r="AK502" s="327"/>
      <c r="AL502" s="598"/>
      <c r="AM502" s="326"/>
      <c r="AN502" s="326"/>
      <c r="AO502" s="326"/>
      <c r="AP502" s="326"/>
      <c r="AQ502" s="326"/>
      <c r="AR502" s="326"/>
      <c r="AS502" s="326"/>
      <c r="AT502" s="326"/>
      <c r="AU502" s="326"/>
      <c r="AV502" s="326"/>
      <c r="AW502" s="326"/>
      <c r="AX502" s="326"/>
      <c r="AY502" s="326"/>
      <c r="AZ502" s="326"/>
      <c r="BA502" s="326"/>
      <c r="BB502" s="327"/>
    </row>
    <row r="503" spans="1:54" ht="15.75" customHeight="1" x14ac:dyDescent="0.25">
      <c r="A503" s="11">
        <f t="shared" si="1"/>
        <v>490</v>
      </c>
      <c r="B503" s="504" t="str">
        <f>'refer admin discharge'!B499</f>
        <v>x</v>
      </c>
      <c r="C503" s="327"/>
      <c r="D503" s="505" t="str">
        <f>'refer admin discharge'!D499</f>
        <v>xx</v>
      </c>
      <c r="E503" s="327"/>
      <c r="F503" s="606" t="str">
        <f>'refer admin discharge'!H499</f>
        <v>00/00/0000</v>
      </c>
      <c r="G503" s="327"/>
      <c r="H503" s="594"/>
      <c r="I503" s="327"/>
      <c r="J503" s="605"/>
      <c r="K503" s="327"/>
      <c r="L503" s="594"/>
      <c r="M503" s="327"/>
      <c r="N503" s="575"/>
      <c r="O503" s="327"/>
      <c r="P503" s="594"/>
      <c r="Q503" s="327"/>
      <c r="R503" s="575"/>
      <c r="S503" s="327"/>
      <c r="T503" s="594"/>
      <c r="U503" s="327"/>
      <c r="V503" s="595" t="str">
        <f>'refer admin discharge'!H504</f>
        <v>00/00/0000</v>
      </c>
      <c r="W503" s="327"/>
      <c r="X503" s="577"/>
      <c r="Y503" s="327"/>
      <c r="Z503" s="604"/>
      <c r="AA503" s="327"/>
      <c r="AB503" s="577"/>
      <c r="AC503" s="327"/>
      <c r="AD503" s="576"/>
      <c r="AE503" s="327"/>
      <c r="AF503" s="577"/>
      <c r="AG503" s="327"/>
      <c r="AH503" s="576"/>
      <c r="AI503" s="327"/>
      <c r="AJ503" s="577"/>
      <c r="AK503" s="327"/>
      <c r="AL503" s="602"/>
      <c r="AM503" s="326"/>
      <c r="AN503" s="326"/>
      <c r="AO503" s="326"/>
      <c r="AP503" s="326"/>
      <c r="AQ503" s="326"/>
      <c r="AR503" s="326"/>
      <c r="AS503" s="326"/>
      <c r="AT503" s="326"/>
      <c r="AU503" s="326"/>
      <c r="AV503" s="326"/>
      <c r="AW503" s="326"/>
      <c r="AX503" s="326"/>
      <c r="AY503" s="326"/>
      <c r="AZ503" s="326"/>
      <c r="BA503" s="326"/>
      <c r="BB503" s="327"/>
    </row>
    <row r="504" spans="1:54" ht="15.75" customHeight="1" x14ac:dyDescent="0.25">
      <c r="A504" s="11">
        <f t="shared" si="1"/>
        <v>491</v>
      </c>
      <c r="B504" s="570" t="str">
        <f>'refer admin discharge'!B500</f>
        <v>x</v>
      </c>
      <c r="C504" s="327"/>
      <c r="D504" s="599" t="str">
        <f>'refer admin discharge'!D500</f>
        <v>xx</v>
      </c>
      <c r="E504" s="327"/>
      <c r="F504" s="600" t="str">
        <f>'refer admin discharge'!H500</f>
        <v>00/00/0000</v>
      </c>
      <c r="G504" s="327"/>
      <c r="H504" s="574"/>
      <c r="I504" s="327"/>
      <c r="J504" s="601"/>
      <c r="K504" s="327"/>
      <c r="L504" s="574"/>
      <c r="M504" s="327"/>
      <c r="N504" s="594"/>
      <c r="O504" s="327"/>
      <c r="P504" s="574"/>
      <c r="Q504" s="327"/>
      <c r="R504" s="594"/>
      <c r="S504" s="327"/>
      <c r="T504" s="574"/>
      <c r="U504" s="327"/>
      <c r="V504" s="595" t="str">
        <f>'refer admin discharge'!H505</f>
        <v>00/00/0000</v>
      </c>
      <c r="W504" s="327"/>
      <c r="X504" s="596"/>
      <c r="Y504" s="327"/>
      <c r="Z504" s="597"/>
      <c r="AA504" s="327"/>
      <c r="AB504" s="596"/>
      <c r="AC504" s="327"/>
      <c r="AD504" s="577"/>
      <c r="AE504" s="327"/>
      <c r="AF504" s="596"/>
      <c r="AG504" s="327"/>
      <c r="AH504" s="577"/>
      <c r="AI504" s="327"/>
      <c r="AJ504" s="596"/>
      <c r="AK504" s="327"/>
      <c r="AL504" s="598"/>
      <c r="AM504" s="326"/>
      <c r="AN504" s="326"/>
      <c r="AO504" s="326"/>
      <c r="AP504" s="326"/>
      <c r="AQ504" s="326"/>
      <c r="AR504" s="326"/>
      <c r="AS504" s="326"/>
      <c r="AT504" s="326"/>
      <c r="AU504" s="326"/>
      <c r="AV504" s="326"/>
      <c r="AW504" s="326"/>
      <c r="AX504" s="326"/>
      <c r="AY504" s="326"/>
      <c r="AZ504" s="326"/>
      <c r="BA504" s="326"/>
      <c r="BB504" s="327"/>
    </row>
    <row r="505" spans="1:54" ht="15.75" customHeight="1" x14ac:dyDescent="0.25">
      <c r="A505" s="11">
        <f t="shared" si="1"/>
        <v>492</v>
      </c>
      <c r="B505" s="504" t="str">
        <f>'refer admin discharge'!B501</f>
        <v>x</v>
      </c>
      <c r="C505" s="327"/>
      <c r="D505" s="505" t="str">
        <f>'refer admin discharge'!D501</f>
        <v>xx</v>
      </c>
      <c r="E505" s="327"/>
      <c r="F505" s="606" t="str">
        <f>'refer admin discharge'!H501</f>
        <v>00/00/0000</v>
      </c>
      <c r="G505" s="327"/>
      <c r="H505" s="594"/>
      <c r="I505" s="327"/>
      <c r="J505" s="605"/>
      <c r="K505" s="327"/>
      <c r="L505" s="594"/>
      <c r="M505" s="327"/>
      <c r="N505" s="575"/>
      <c r="O505" s="327"/>
      <c r="P505" s="594"/>
      <c r="Q505" s="327"/>
      <c r="R505" s="575"/>
      <c r="S505" s="327"/>
      <c r="T505" s="594"/>
      <c r="U505" s="327"/>
      <c r="V505" s="595" t="str">
        <f>'refer admin discharge'!H506</f>
        <v>00/00/0000</v>
      </c>
      <c r="W505" s="327"/>
      <c r="X505" s="577"/>
      <c r="Y505" s="327"/>
      <c r="Z505" s="604"/>
      <c r="AA505" s="327"/>
      <c r="AB505" s="577"/>
      <c r="AC505" s="327"/>
      <c r="AD505" s="576"/>
      <c r="AE505" s="327"/>
      <c r="AF505" s="577"/>
      <c r="AG505" s="327"/>
      <c r="AH505" s="576"/>
      <c r="AI505" s="327"/>
      <c r="AJ505" s="577"/>
      <c r="AK505" s="327"/>
      <c r="AL505" s="602"/>
      <c r="AM505" s="326"/>
      <c r="AN505" s="326"/>
      <c r="AO505" s="326"/>
      <c r="AP505" s="326"/>
      <c r="AQ505" s="326"/>
      <c r="AR505" s="326"/>
      <c r="AS505" s="326"/>
      <c r="AT505" s="326"/>
      <c r="AU505" s="326"/>
      <c r="AV505" s="326"/>
      <c r="AW505" s="326"/>
      <c r="AX505" s="326"/>
      <c r="AY505" s="326"/>
      <c r="AZ505" s="326"/>
      <c r="BA505" s="326"/>
      <c r="BB505" s="327"/>
    </row>
    <row r="506" spans="1:54" ht="15.75" customHeight="1" x14ac:dyDescent="0.25">
      <c r="A506" s="11">
        <f t="shared" si="1"/>
        <v>493</v>
      </c>
      <c r="B506" s="570" t="str">
        <f>'refer admin discharge'!B502</f>
        <v>x</v>
      </c>
      <c r="C506" s="327"/>
      <c r="D506" s="599" t="str">
        <f>'refer admin discharge'!D502</f>
        <v>xx</v>
      </c>
      <c r="E506" s="327"/>
      <c r="F506" s="600" t="str">
        <f>'refer admin discharge'!H502</f>
        <v>00/00/0000</v>
      </c>
      <c r="G506" s="327"/>
      <c r="H506" s="574"/>
      <c r="I506" s="327"/>
      <c r="J506" s="601"/>
      <c r="K506" s="327"/>
      <c r="L506" s="574"/>
      <c r="M506" s="327"/>
      <c r="N506" s="594"/>
      <c r="O506" s="327"/>
      <c r="P506" s="574"/>
      <c r="Q506" s="327"/>
      <c r="R506" s="594"/>
      <c r="S506" s="327"/>
      <c r="T506" s="574"/>
      <c r="U506" s="327"/>
      <c r="V506" s="595" t="str">
        <f>'refer admin discharge'!H507</f>
        <v>00/00/0000</v>
      </c>
      <c r="W506" s="327"/>
      <c r="X506" s="596"/>
      <c r="Y506" s="327"/>
      <c r="Z506" s="597"/>
      <c r="AA506" s="327"/>
      <c r="AB506" s="596"/>
      <c r="AC506" s="327"/>
      <c r="AD506" s="577"/>
      <c r="AE506" s="327"/>
      <c r="AF506" s="596"/>
      <c r="AG506" s="327"/>
      <c r="AH506" s="577"/>
      <c r="AI506" s="327"/>
      <c r="AJ506" s="596"/>
      <c r="AK506" s="327"/>
      <c r="AL506" s="598"/>
      <c r="AM506" s="326"/>
      <c r="AN506" s="326"/>
      <c r="AO506" s="326"/>
      <c r="AP506" s="326"/>
      <c r="AQ506" s="326"/>
      <c r="AR506" s="326"/>
      <c r="AS506" s="326"/>
      <c r="AT506" s="326"/>
      <c r="AU506" s="326"/>
      <c r="AV506" s="326"/>
      <c r="AW506" s="326"/>
      <c r="AX506" s="326"/>
      <c r="AY506" s="326"/>
      <c r="AZ506" s="326"/>
      <c r="BA506" s="326"/>
      <c r="BB506" s="327"/>
    </row>
    <row r="507" spans="1:54" ht="15.75" customHeight="1" x14ac:dyDescent="0.25">
      <c r="A507" s="11">
        <f t="shared" si="1"/>
        <v>494</v>
      </c>
      <c r="B507" s="504" t="str">
        <f>'refer admin discharge'!B503</f>
        <v>x</v>
      </c>
      <c r="C507" s="327"/>
      <c r="D507" s="505" t="str">
        <f>'refer admin discharge'!D503</f>
        <v>xx</v>
      </c>
      <c r="E507" s="327"/>
      <c r="F507" s="606" t="str">
        <f>'refer admin discharge'!H503</f>
        <v>00/00/0000</v>
      </c>
      <c r="G507" s="327"/>
      <c r="H507" s="594"/>
      <c r="I507" s="327"/>
      <c r="J507" s="605"/>
      <c r="K507" s="327"/>
      <c r="L507" s="594"/>
      <c r="M507" s="327"/>
      <c r="N507" s="575"/>
      <c r="O507" s="327"/>
      <c r="P507" s="594"/>
      <c r="Q507" s="327"/>
      <c r="R507" s="575"/>
      <c r="S507" s="327"/>
      <c r="T507" s="594"/>
      <c r="U507" s="327"/>
      <c r="V507" s="595" t="str">
        <f>'refer admin discharge'!H508</f>
        <v>00/00/0000</v>
      </c>
      <c r="W507" s="327"/>
      <c r="X507" s="577"/>
      <c r="Y507" s="327"/>
      <c r="Z507" s="604"/>
      <c r="AA507" s="327"/>
      <c r="AB507" s="577"/>
      <c r="AC507" s="327"/>
      <c r="AD507" s="576"/>
      <c r="AE507" s="327"/>
      <c r="AF507" s="577"/>
      <c r="AG507" s="327"/>
      <c r="AH507" s="576"/>
      <c r="AI507" s="327"/>
      <c r="AJ507" s="577"/>
      <c r="AK507" s="327"/>
      <c r="AL507" s="602"/>
      <c r="AM507" s="326"/>
      <c r="AN507" s="326"/>
      <c r="AO507" s="326"/>
      <c r="AP507" s="326"/>
      <c r="AQ507" s="326"/>
      <c r="AR507" s="326"/>
      <c r="AS507" s="326"/>
      <c r="AT507" s="326"/>
      <c r="AU507" s="326"/>
      <c r="AV507" s="326"/>
      <c r="AW507" s="326"/>
      <c r="AX507" s="326"/>
      <c r="AY507" s="326"/>
      <c r="AZ507" s="326"/>
      <c r="BA507" s="326"/>
      <c r="BB507" s="327"/>
    </row>
    <row r="508" spans="1:54" ht="15.75" customHeight="1" x14ac:dyDescent="0.25">
      <c r="A508" s="11">
        <f t="shared" si="1"/>
        <v>495</v>
      </c>
      <c r="B508" s="570" t="str">
        <f>'refer admin discharge'!B504</f>
        <v>x</v>
      </c>
      <c r="C508" s="327"/>
      <c r="D508" s="599" t="str">
        <f>'refer admin discharge'!D504</f>
        <v>xx</v>
      </c>
      <c r="E508" s="327"/>
      <c r="F508" s="600" t="str">
        <f>'refer admin discharge'!H504</f>
        <v>00/00/0000</v>
      </c>
      <c r="G508" s="327"/>
      <c r="H508" s="574"/>
      <c r="I508" s="327"/>
      <c r="J508" s="601"/>
      <c r="K508" s="327"/>
      <c r="L508" s="574"/>
      <c r="M508" s="327"/>
      <c r="N508" s="594"/>
      <c r="O508" s="327"/>
      <c r="P508" s="574"/>
      <c r="Q508" s="327"/>
      <c r="R508" s="594"/>
      <c r="S508" s="327"/>
      <c r="T508" s="574"/>
      <c r="U508" s="327"/>
      <c r="V508" s="595" t="str">
        <f>'refer admin discharge'!H509</f>
        <v>00/00/0000</v>
      </c>
      <c r="W508" s="327"/>
      <c r="X508" s="596"/>
      <c r="Y508" s="327"/>
      <c r="Z508" s="597"/>
      <c r="AA508" s="327"/>
      <c r="AB508" s="596"/>
      <c r="AC508" s="327"/>
      <c r="AD508" s="577"/>
      <c r="AE508" s="327"/>
      <c r="AF508" s="596"/>
      <c r="AG508" s="327"/>
      <c r="AH508" s="577"/>
      <c r="AI508" s="327"/>
      <c r="AJ508" s="596"/>
      <c r="AK508" s="327"/>
      <c r="AL508" s="598"/>
      <c r="AM508" s="326"/>
      <c r="AN508" s="326"/>
      <c r="AO508" s="326"/>
      <c r="AP508" s="326"/>
      <c r="AQ508" s="326"/>
      <c r="AR508" s="326"/>
      <c r="AS508" s="326"/>
      <c r="AT508" s="326"/>
      <c r="AU508" s="326"/>
      <c r="AV508" s="326"/>
      <c r="AW508" s="326"/>
      <c r="AX508" s="326"/>
      <c r="AY508" s="326"/>
      <c r="AZ508" s="326"/>
      <c r="BA508" s="326"/>
      <c r="BB508" s="327"/>
    </row>
    <row r="509" spans="1:54" ht="15.75" customHeight="1" x14ac:dyDescent="0.25">
      <c r="A509" s="11">
        <f t="shared" si="1"/>
        <v>496</v>
      </c>
      <c r="B509" s="504" t="str">
        <f>'refer admin discharge'!B505</f>
        <v>x</v>
      </c>
      <c r="C509" s="327"/>
      <c r="D509" s="505" t="str">
        <f>'refer admin discharge'!D505</f>
        <v>xx</v>
      </c>
      <c r="E509" s="327"/>
      <c r="F509" s="606" t="str">
        <f>'refer admin discharge'!H505</f>
        <v>00/00/0000</v>
      </c>
      <c r="G509" s="327"/>
      <c r="H509" s="594"/>
      <c r="I509" s="327"/>
      <c r="J509" s="605"/>
      <c r="K509" s="327"/>
      <c r="L509" s="594"/>
      <c r="M509" s="327"/>
      <c r="N509" s="575"/>
      <c r="O509" s="327"/>
      <c r="P509" s="594"/>
      <c r="Q509" s="327"/>
      <c r="R509" s="575"/>
      <c r="S509" s="327"/>
      <c r="T509" s="594"/>
      <c r="U509" s="327"/>
      <c r="V509" s="595" t="str">
        <f>'refer admin discharge'!H510</f>
        <v>00/00/0000</v>
      </c>
      <c r="W509" s="327"/>
      <c r="X509" s="577"/>
      <c r="Y509" s="327"/>
      <c r="Z509" s="604"/>
      <c r="AA509" s="327"/>
      <c r="AB509" s="577"/>
      <c r="AC509" s="327"/>
      <c r="AD509" s="576"/>
      <c r="AE509" s="327"/>
      <c r="AF509" s="577"/>
      <c r="AG509" s="327"/>
      <c r="AH509" s="576"/>
      <c r="AI509" s="327"/>
      <c r="AJ509" s="577"/>
      <c r="AK509" s="327"/>
      <c r="AL509" s="602"/>
      <c r="AM509" s="326"/>
      <c r="AN509" s="326"/>
      <c r="AO509" s="326"/>
      <c r="AP509" s="326"/>
      <c r="AQ509" s="326"/>
      <c r="AR509" s="326"/>
      <c r="AS509" s="326"/>
      <c r="AT509" s="326"/>
      <c r="AU509" s="326"/>
      <c r="AV509" s="326"/>
      <c r="AW509" s="326"/>
      <c r="AX509" s="326"/>
      <c r="AY509" s="326"/>
      <c r="AZ509" s="326"/>
      <c r="BA509" s="326"/>
      <c r="BB509" s="327"/>
    </row>
    <row r="510" spans="1:54" ht="15.75" customHeight="1" x14ac:dyDescent="0.25">
      <c r="A510" s="11">
        <f t="shared" si="1"/>
        <v>497</v>
      </c>
      <c r="B510" s="570" t="str">
        <f>'refer admin discharge'!B506</f>
        <v>x</v>
      </c>
      <c r="C510" s="327"/>
      <c r="D510" s="599" t="str">
        <f>'refer admin discharge'!D506</f>
        <v>xx</v>
      </c>
      <c r="E510" s="327"/>
      <c r="F510" s="600" t="str">
        <f>'refer admin discharge'!H506</f>
        <v>00/00/0000</v>
      </c>
      <c r="G510" s="327"/>
      <c r="H510" s="574"/>
      <c r="I510" s="327"/>
      <c r="J510" s="601"/>
      <c r="K510" s="327"/>
      <c r="L510" s="574"/>
      <c r="M510" s="327"/>
      <c r="N510" s="594"/>
      <c r="O510" s="327"/>
      <c r="P510" s="574"/>
      <c r="Q510" s="327"/>
      <c r="R510" s="594"/>
      <c r="S510" s="327"/>
      <c r="T510" s="574"/>
      <c r="U510" s="327"/>
      <c r="V510" s="595" t="str">
        <f>'refer admin discharge'!H511</f>
        <v>00/00/0000</v>
      </c>
      <c r="W510" s="327"/>
      <c r="X510" s="596"/>
      <c r="Y510" s="327"/>
      <c r="Z510" s="597"/>
      <c r="AA510" s="327"/>
      <c r="AB510" s="596"/>
      <c r="AC510" s="327"/>
      <c r="AD510" s="577"/>
      <c r="AE510" s="327"/>
      <c r="AF510" s="596"/>
      <c r="AG510" s="327"/>
      <c r="AH510" s="577"/>
      <c r="AI510" s="327"/>
      <c r="AJ510" s="596"/>
      <c r="AK510" s="327"/>
      <c r="AL510" s="598"/>
      <c r="AM510" s="326"/>
      <c r="AN510" s="326"/>
      <c r="AO510" s="326"/>
      <c r="AP510" s="326"/>
      <c r="AQ510" s="326"/>
      <c r="AR510" s="326"/>
      <c r="AS510" s="326"/>
      <c r="AT510" s="326"/>
      <c r="AU510" s="326"/>
      <c r="AV510" s="326"/>
      <c r="AW510" s="326"/>
      <c r="AX510" s="326"/>
      <c r="AY510" s="326"/>
      <c r="AZ510" s="326"/>
      <c r="BA510" s="326"/>
      <c r="BB510" s="327"/>
    </row>
    <row r="511" spans="1:54" ht="15.75" customHeight="1" x14ac:dyDescent="0.25">
      <c r="A511" s="11">
        <f t="shared" si="1"/>
        <v>498</v>
      </c>
      <c r="B511" s="504" t="str">
        <f>'refer admin discharge'!B507</f>
        <v>x</v>
      </c>
      <c r="C511" s="327"/>
      <c r="D511" s="505" t="str">
        <f>'refer admin discharge'!D507</f>
        <v>xx</v>
      </c>
      <c r="E511" s="327"/>
      <c r="F511" s="606" t="str">
        <f>'refer admin discharge'!H507</f>
        <v>00/00/0000</v>
      </c>
      <c r="G511" s="327"/>
      <c r="H511" s="594"/>
      <c r="I511" s="327"/>
      <c r="J511" s="605"/>
      <c r="K511" s="327"/>
      <c r="L511" s="594"/>
      <c r="M511" s="327"/>
      <c r="N511" s="575"/>
      <c r="O511" s="327"/>
      <c r="P511" s="594"/>
      <c r="Q511" s="327"/>
      <c r="R511" s="575"/>
      <c r="S511" s="327"/>
      <c r="T511" s="594"/>
      <c r="U511" s="327"/>
      <c r="V511" s="595" t="str">
        <f>'refer admin discharge'!H512</f>
        <v>00/00/0000</v>
      </c>
      <c r="W511" s="327"/>
      <c r="X511" s="577"/>
      <c r="Y511" s="327"/>
      <c r="Z511" s="604"/>
      <c r="AA511" s="327"/>
      <c r="AB511" s="577"/>
      <c r="AC511" s="327"/>
      <c r="AD511" s="576"/>
      <c r="AE511" s="327"/>
      <c r="AF511" s="577"/>
      <c r="AG511" s="327"/>
      <c r="AH511" s="576"/>
      <c r="AI511" s="327"/>
      <c r="AJ511" s="577"/>
      <c r="AK511" s="327"/>
      <c r="AL511" s="602"/>
      <c r="AM511" s="326"/>
      <c r="AN511" s="326"/>
      <c r="AO511" s="326"/>
      <c r="AP511" s="326"/>
      <c r="AQ511" s="326"/>
      <c r="AR511" s="326"/>
      <c r="AS511" s="326"/>
      <c r="AT511" s="326"/>
      <c r="AU511" s="326"/>
      <c r="AV511" s="326"/>
      <c r="AW511" s="326"/>
      <c r="AX511" s="326"/>
      <c r="AY511" s="326"/>
      <c r="AZ511" s="326"/>
      <c r="BA511" s="326"/>
      <c r="BB511" s="327"/>
    </row>
    <row r="512" spans="1:54" ht="15.75" customHeight="1" x14ac:dyDescent="0.25">
      <c r="A512" s="11">
        <f t="shared" si="1"/>
        <v>499</v>
      </c>
      <c r="B512" s="570" t="str">
        <f>'refer admin discharge'!B508</f>
        <v>x</v>
      </c>
      <c r="C512" s="327"/>
      <c r="D512" s="599" t="str">
        <f>'refer admin discharge'!D508</f>
        <v>xx</v>
      </c>
      <c r="E512" s="327"/>
      <c r="F512" s="600" t="str">
        <f>'refer admin discharge'!H508</f>
        <v>00/00/0000</v>
      </c>
      <c r="G512" s="327"/>
      <c r="H512" s="574"/>
      <c r="I512" s="327"/>
      <c r="J512" s="601"/>
      <c r="K512" s="327"/>
      <c r="L512" s="574"/>
      <c r="M512" s="327"/>
      <c r="N512" s="594"/>
      <c r="O512" s="327"/>
      <c r="P512" s="574"/>
      <c r="Q512" s="327"/>
      <c r="R512" s="594"/>
      <c r="S512" s="327"/>
      <c r="T512" s="574"/>
      <c r="U512" s="327"/>
      <c r="V512" s="595" t="str">
        <f>'refer admin discharge'!H513</f>
        <v>00/00/0000</v>
      </c>
      <c r="W512" s="327"/>
      <c r="X512" s="596"/>
      <c r="Y512" s="327"/>
      <c r="Z512" s="597"/>
      <c r="AA512" s="327"/>
      <c r="AB512" s="596"/>
      <c r="AC512" s="327"/>
      <c r="AD512" s="577"/>
      <c r="AE512" s="327"/>
      <c r="AF512" s="596"/>
      <c r="AG512" s="327"/>
      <c r="AH512" s="577"/>
      <c r="AI512" s="327"/>
      <c r="AJ512" s="596"/>
      <c r="AK512" s="327"/>
      <c r="AL512" s="598"/>
      <c r="AM512" s="326"/>
      <c r="AN512" s="326"/>
      <c r="AO512" s="326"/>
      <c r="AP512" s="326"/>
      <c r="AQ512" s="326"/>
      <c r="AR512" s="326"/>
      <c r="AS512" s="326"/>
      <c r="AT512" s="326"/>
      <c r="AU512" s="326"/>
      <c r="AV512" s="326"/>
      <c r="AW512" s="326"/>
      <c r="AX512" s="326"/>
      <c r="AY512" s="326"/>
      <c r="AZ512" s="326"/>
      <c r="BA512" s="326"/>
      <c r="BB512" s="327"/>
    </row>
    <row r="513" spans="1:54" ht="15.75" customHeight="1" x14ac:dyDescent="0.25">
      <c r="A513" s="11">
        <f t="shared" si="1"/>
        <v>500</v>
      </c>
      <c r="B513" s="504" t="str">
        <f>'refer admin discharge'!B509</f>
        <v>x</v>
      </c>
      <c r="C513" s="327"/>
      <c r="D513" s="505" t="str">
        <f>'refer admin discharge'!D509</f>
        <v>xx</v>
      </c>
      <c r="E513" s="327"/>
      <c r="F513" s="606" t="str">
        <f>'refer admin discharge'!H509</f>
        <v>00/00/0000</v>
      </c>
      <c r="G513" s="327"/>
      <c r="H513" s="594"/>
      <c r="I513" s="327"/>
      <c r="J513" s="605"/>
      <c r="K513" s="327"/>
      <c r="L513" s="594"/>
      <c r="M513" s="327"/>
      <c r="N513" s="575"/>
      <c r="O513" s="327"/>
      <c r="P513" s="594"/>
      <c r="Q513" s="327"/>
      <c r="R513" s="575"/>
      <c r="S513" s="327"/>
      <c r="T513" s="594"/>
      <c r="U513" s="327"/>
      <c r="V513" s="595" t="str">
        <f>'refer admin discharge'!H514</f>
        <v>00/00/0000</v>
      </c>
      <c r="W513" s="327"/>
      <c r="X513" s="577"/>
      <c r="Y513" s="327"/>
      <c r="Z513" s="604"/>
      <c r="AA513" s="327"/>
      <c r="AB513" s="577"/>
      <c r="AC513" s="327"/>
      <c r="AD513" s="576"/>
      <c r="AE513" s="327"/>
      <c r="AF513" s="577"/>
      <c r="AG513" s="327"/>
      <c r="AH513" s="576"/>
      <c r="AI513" s="327"/>
      <c r="AJ513" s="577"/>
      <c r="AK513" s="327"/>
      <c r="AL513" s="602"/>
      <c r="AM513" s="326"/>
      <c r="AN513" s="326"/>
      <c r="AO513" s="326"/>
      <c r="AP513" s="326"/>
      <c r="AQ513" s="326"/>
      <c r="AR513" s="326"/>
      <c r="AS513" s="326"/>
      <c r="AT513" s="326"/>
      <c r="AU513" s="326"/>
      <c r="AV513" s="326"/>
      <c r="AW513" s="326"/>
      <c r="AX513" s="326"/>
      <c r="AY513" s="326"/>
      <c r="AZ513" s="326"/>
      <c r="BA513" s="326"/>
      <c r="BB513" s="327"/>
    </row>
    <row r="514" spans="1:54" ht="15.75" customHeight="1" x14ac:dyDescent="0.25">
      <c r="A514" s="11">
        <f t="shared" si="1"/>
        <v>501</v>
      </c>
      <c r="B514" s="570" t="str">
        <f>'refer admin discharge'!B510</f>
        <v>x</v>
      </c>
      <c r="C514" s="327"/>
      <c r="D514" s="599" t="str">
        <f>'refer admin discharge'!D510</f>
        <v>xx</v>
      </c>
      <c r="E514" s="327"/>
      <c r="F514" s="600" t="str">
        <f>'refer admin discharge'!H510</f>
        <v>00/00/0000</v>
      </c>
      <c r="G514" s="327"/>
      <c r="H514" s="574"/>
      <c r="I514" s="327"/>
      <c r="J514" s="601"/>
      <c r="K514" s="327"/>
      <c r="L514" s="574"/>
      <c r="M514" s="327"/>
      <c r="N514" s="594"/>
      <c r="O514" s="327"/>
      <c r="P514" s="574"/>
      <c r="Q514" s="327"/>
      <c r="R514" s="594"/>
      <c r="S514" s="327"/>
      <c r="T514" s="574"/>
      <c r="U514" s="327"/>
      <c r="V514" s="595" t="str">
        <f>'refer admin discharge'!H515</f>
        <v>00/00/0000</v>
      </c>
      <c r="W514" s="327"/>
      <c r="X514" s="596"/>
      <c r="Y514" s="327"/>
      <c r="Z514" s="597"/>
      <c r="AA514" s="327"/>
      <c r="AB514" s="596"/>
      <c r="AC514" s="327"/>
      <c r="AD514" s="577"/>
      <c r="AE514" s="327"/>
      <c r="AF514" s="596"/>
      <c r="AG514" s="327"/>
      <c r="AH514" s="577"/>
      <c r="AI514" s="327"/>
      <c r="AJ514" s="596"/>
      <c r="AK514" s="327"/>
      <c r="AL514" s="598"/>
      <c r="AM514" s="326"/>
      <c r="AN514" s="326"/>
      <c r="AO514" s="326"/>
      <c r="AP514" s="326"/>
      <c r="AQ514" s="326"/>
      <c r="AR514" s="326"/>
      <c r="AS514" s="326"/>
      <c r="AT514" s="326"/>
      <c r="AU514" s="326"/>
      <c r="AV514" s="326"/>
      <c r="AW514" s="326"/>
      <c r="AX514" s="326"/>
      <c r="AY514" s="326"/>
      <c r="AZ514" s="326"/>
      <c r="BA514" s="326"/>
      <c r="BB514" s="327"/>
    </row>
    <row r="515" spans="1:54" ht="15.75" customHeight="1" x14ac:dyDescent="0.25">
      <c r="A515" s="11">
        <f t="shared" si="1"/>
        <v>502</v>
      </c>
      <c r="B515" s="504" t="str">
        <f>'refer admin discharge'!B511</f>
        <v>x</v>
      </c>
      <c r="C515" s="327"/>
      <c r="D515" s="505" t="str">
        <f>'refer admin discharge'!D511</f>
        <v>xx</v>
      </c>
      <c r="E515" s="327"/>
      <c r="F515" s="606" t="str">
        <f>'refer admin discharge'!H511</f>
        <v>00/00/0000</v>
      </c>
      <c r="G515" s="327"/>
      <c r="H515" s="594"/>
      <c r="I515" s="327"/>
      <c r="J515" s="605"/>
      <c r="K515" s="327"/>
      <c r="L515" s="594"/>
      <c r="M515" s="327"/>
      <c r="N515" s="575"/>
      <c r="O515" s="327"/>
      <c r="P515" s="594"/>
      <c r="Q515" s="327"/>
      <c r="R515" s="575"/>
      <c r="S515" s="327"/>
      <c r="T515" s="594"/>
      <c r="U515" s="327"/>
      <c r="V515" s="595" t="str">
        <f>'refer admin discharge'!H516</f>
        <v>00/00/0000</v>
      </c>
      <c r="W515" s="327"/>
      <c r="X515" s="577"/>
      <c r="Y515" s="327"/>
      <c r="Z515" s="604"/>
      <c r="AA515" s="327"/>
      <c r="AB515" s="577"/>
      <c r="AC515" s="327"/>
      <c r="AD515" s="576"/>
      <c r="AE515" s="327"/>
      <c r="AF515" s="577"/>
      <c r="AG515" s="327"/>
      <c r="AH515" s="576"/>
      <c r="AI515" s="327"/>
      <c r="AJ515" s="577"/>
      <c r="AK515" s="327"/>
      <c r="AL515" s="602"/>
      <c r="AM515" s="326"/>
      <c r="AN515" s="326"/>
      <c r="AO515" s="326"/>
      <c r="AP515" s="326"/>
      <c r="AQ515" s="326"/>
      <c r="AR515" s="326"/>
      <c r="AS515" s="326"/>
      <c r="AT515" s="326"/>
      <c r="AU515" s="326"/>
      <c r="AV515" s="326"/>
      <c r="AW515" s="326"/>
      <c r="AX515" s="326"/>
      <c r="AY515" s="326"/>
      <c r="AZ515" s="326"/>
      <c r="BA515" s="326"/>
      <c r="BB515" s="327"/>
    </row>
    <row r="516" spans="1:54" ht="15.75" customHeight="1" x14ac:dyDescent="0.25">
      <c r="A516" s="11">
        <f t="shared" si="1"/>
        <v>503</v>
      </c>
      <c r="B516" s="570" t="str">
        <f>'refer admin discharge'!B512</f>
        <v>x</v>
      </c>
      <c r="C516" s="327"/>
      <c r="D516" s="599" t="str">
        <f>'refer admin discharge'!D512</f>
        <v>xx</v>
      </c>
      <c r="E516" s="327"/>
      <c r="F516" s="600" t="str">
        <f>'refer admin discharge'!H512</f>
        <v>00/00/0000</v>
      </c>
      <c r="G516" s="327"/>
      <c r="H516" s="574"/>
      <c r="I516" s="327"/>
      <c r="J516" s="601"/>
      <c r="K516" s="327"/>
      <c r="L516" s="574"/>
      <c r="M516" s="327"/>
      <c r="N516" s="594"/>
      <c r="O516" s="327"/>
      <c r="P516" s="574"/>
      <c r="Q516" s="327"/>
      <c r="R516" s="594"/>
      <c r="S516" s="327"/>
      <c r="T516" s="574"/>
      <c r="U516" s="327"/>
      <c r="V516" s="595" t="str">
        <f>'refer admin discharge'!H517</f>
        <v>00/00/0000</v>
      </c>
      <c r="W516" s="327"/>
      <c r="X516" s="596"/>
      <c r="Y516" s="327"/>
      <c r="Z516" s="597"/>
      <c r="AA516" s="327"/>
      <c r="AB516" s="596"/>
      <c r="AC516" s="327"/>
      <c r="AD516" s="577"/>
      <c r="AE516" s="327"/>
      <c r="AF516" s="596"/>
      <c r="AG516" s="327"/>
      <c r="AH516" s="577"/>
      <c r="AI516" s="327"/>
      <c r="AJ516" s="596"/>
      <c r="AK516" s="327"/>
      <c r="AL516" s="598"/>
      <c r="AM516" s="326"/>
      <c r="AN516" s="326"/>
      <c r="AO516" s="326"/>
      <c r="AP516" s="326"/>
      <c r="AQ516" s="326"/>
      <c r="AR516" s="326"/>
      <c r="AS516" s="326"/>
      <c r="AT516" s="326"/>
      <c r="AU516" s="326"/>
      <c r="AV516" s="326"/>
      <c r="AW516" s="326"/>
      <c r="AX516" s="326"/>
      <c r="AY516" s="326"/>
      <c r="AZ516" s="326"/>
      <c r="BA516" s="326"/>
      <c r="BB516" s="327"/>
    </row>
    <row r="517" spans="1:54" ht="15.75" customHeight="1" x14ac:dyDescent="0.25">
      <c r="A517" s="11">
        <f t="shared" si="1"/>
        <v>504</v>
      </c>
      <c r="B517" s="504" t="str">
        <f>'refer admin discharge'!B513</f>
        <v>x</v>
      </c>
      <c r="C517" s="327"/>
      <c r="D517" s="505" t="str">
        <f>'refer admin discharge'!D513</f>
        <v>xx</v>
      </c>
      <c r="E517" s="327"/>
      <c r="F517" s="606" t="str">
        <f>'refer admin discharge'!H513</f>
        <v>00/00/0000</v>
      </c>
      <c r="G517" s="327"/>
      <c r="H517" s="594"/>
      <c r="I517" s="327"/>
      <c r="J517" s="605"/>
      <c r="K517" s="327"/>
      <c r="L517" s="594"/>
      <c r="M517" s="327"/>
      <c r="N517" s="575"/>
      <c r="O517" s="327"/>
      <c r="P517" s="594"/>
      <c r="Q517" s="327"/>
      <c r="R517" s="575"/>
      <c r="S517" s="327"/>
      <c r="T517" s="594"/>
      <c r="U517" s="327"/>
      <c r="V517" s="595" t="str">
        <f>'refer admin discharge'!H518</f>
        <v>00/00/0000</v>
      </c>
      <c r="W517" s="327"/>
      <c r="X517" s="577"/>
      <c r="Y517" s="327"/>
      <c r="Z517" s="604"/>
      <c r="AA517" s="327"/>
      <c r="AB517" s="577"/>
      <c r="AC517" s="327"/>
      <c r="AD517" s="576"/>
      <c r="AE517" s="327"/>
      <c r="AF517" s="577"/>
      <c r="AG517" s="327"/>
      <c r="AH517" s="576"/>
      <c r="AI517" s="327"/>
      <c r="AJ517" s="577"/>
      <c r="AK517" s="327"/>
      <c r="AL517" s="602"/>
      <c r="AM517" s="326"/>
      <c r="AN517" s="326"/>
      <c r="AO517" s="326"/>
      <c r="AP517" s="326"/>
      <c r="AQ517" s="326"/>
      <c r="AR517" s="326"/>
      <c r="AS517" s="326"/>
      <c r="AT517" s="326"/>
      <c r="AU517" s="326"/>
      <c r="AV517" s="326"/>
      <c r="AW517" s="326"/>
      <c r="AX517" s="326"/>
      <c r="AY517" s="326"/>
      <c r="AZ517" s="326"/>
      <c r="BA517" s="326"/>
      <c r="BB517" s="327"/>
    </row>
    <row r="518" spans="1:54" ht="15.75" customHeight="1" x14ac:dyDescent="0.25">
      <c r="A518" s="11">
        <f t="shared" si="1"/>
        <v>505</v>
      </c>
      <c r="B518" s="570" t="str">
        <f>'refer admin discharge'!B514</f>
        <v>x</v>
      </c>
      <c r="C518" s="327"/>
      <c r="D518" s="599" t="str">
        <f>'refer admin discharge'!D514</f>
        <v>xx</v>
      </c>
      <c r="E518" s="327"/>
      <c r="F518" s="600" t="str">
        <f>'refer admin discharge'!H514</f>
        <v>00/00/0000</v>
      </c>
      <c r="G518" s="327"/>
      <c r="H518" s="574"/>
      <c r="I518" s="327"/>
      <c r="J518" s="601"/>
      <c r="K518" s="327"/>
      <c r="L518" s="574"/>
      <c r="M518" s="327"/>
      <c r="N518" s="594"/>
      <c r="O518" s="327"/>
      <c r="P518" s="574"/>
      <c r="Q518" s="327"/>
      <c r="R518" s="594"/>
      <c r="S518" s="327"/>
      <c r="T518" s="574"/>
      <c r="U518" s="327"/>
      <c r="V518" s="595" t="str">
        <f>'refer admin discharge'!H519</f>
        <v>00/00/0000</v>
      </c>
      <c r="W518" s="327"/>
      <c r="X518" s="596"/>
      <c r="Y518" s="327"/>
      <c r="Z518" s="597"/>
      <c r="AA518" s="327"/>
      <c r="AB518" s="596"/>
      <c r="AC518" s="327"/>
      <c r="AD518" s="577"/>
      <c r="AE518" s="327"/>
      <c r="AF518" s="596"/>
      <c r="AG518" s="327"/>
      <c r="AH518" s="577"/>
      <c r="AI518" s="327"/>
      <c r="AJ518" s="596"/>
      <c r="AK518" s="327"/>
      <c r="AL518" s="598"/>
      <c r="AM518" s="326"/>
      <c r="AN518" s="326"/>
      <c r="AO518" s="326"/>
      <c r="AP518" s="326"/>
      <c r="AQ518" s="326"/>
      <c r="AR518" s="326"/>
      <c r="AS518" s="326"/>
      <c r="AT518" s="326"/>
      <c r="AU518" s="326"/>
      <c r="AV518" s="326"/>
      <c r="AW518" s="326"/>
      <c r="AX518" s="326"/>
      <c r="AY518" s="326"/>
      <c r="AZ518" s="326"/>
      <c r="BA518" s="326"/>
      <c r="BB518" s="327"/>
    </row>
    <row r="519" spans="1:54" ht="15.75" customHeight="1" x14ac:dyDescent="0.25">
      <c r="A519" s="11">
        <f t="shared" si="1"/>
        <v>506</v>
      </c>
      <c r="B519" s="504" t="str">
        <f>'refer admin discharge'!B515</f>
        <v>x</v>
      </c>
      <c r="C519" s="327"/>
      <c r="D519" s="505" t="str">
        <f>'refer admin discharge'!D515</f>
        <v>xx</v>
      </c>
      <c r="E519" s="327"/>
      <c r="F519" s="606" t="str">
        <f>'refer admin discharge'!H515</f>
        <v>00/00/0000</v>
      </c>
      <c r="G519" s="327"/>
      <c r="H519" s="594"/>
      <c r="I519" s="327"/>
      <c r="J519" s="605"/>
      <c r="K519" s="327"/>
      <c r="L519" s="594"/>
      <c r="M519" s="327"/>
      <c r="N519" s="575"/>
      <c r="O519" s="327"/>
      <c r="P519" s="594"/>
      <c r="Q519" s="327"/>
      <c r="R519" s="575"/>
      <c r="S519" s="327"/>
      <c r="T519" s="594"/>
      <c r="U519" s="327"/>
      <c r="V519" s="595" t="str">
        <f>'refer admin discharge'!H520</f>
        <v>00/00/0000</v>
      </c>
      <c r="W519" s="327"/>
      <c r="X519" s="577"/>
      <c r="Y519" s="327"/>
      <c r="Z519" s="604"/>
      <c r="AA519" s="327"/>
      <c r="AB519" s="577"/>
      <c r="AC519" s="327"/>
      <c r="AD519" s="576"/>
      <c r="AE519" s="327"/>
      <c r="AF519" s="577"/>
      <c r="AG519" s="327"/>
      <c r="AH519" s="576"/>
      <c r="AI519" s="327"/>
      <c r="AJ519" s="577"/>
      <c r="AK519" s="327"/>
      <c r="AL519" s="602"/>
      <c r="AM519" s="326"/>
      <c r="AN519" s="326"/>
      <c r="AO519" s="326"/>
      <c r="AP519" s="326"/>
      <c r="AQ519" s="326"/>
      <c r="AR519" s="326"/>
      <c r="AS519" s="326"/>
      <c r="AT519" s="326"/>
      <c r="AU519" s="326"/>
      <c r="AV519" s="326"/>
      <c r="AW519" s="326"/>
      <c r="AX519" s="326"/>
      <c r="AY519" s="326"/>
      <c r="AZ519" s="326"/>
      <c r="BA519" s="326"/>
      <c r="BB519" s="327"/>
    </row>
    <row r="520" spans="1:54" ht="15.75" customHeight="1" x14ac:dyDescent="0.25">
      <c r="A520" s="11">
        <f t="shared" si="1"/>
        <v>507</v>
      </c>
      <c r="B520" s="570" t="str">
        <f>'refer admin discharge'!B516</f>
        <v>x</v>
      </c>
      <c r="C520" s="327"/>
      <c r="D520" s="599" t="str">
        <f>'refer admin discharge'!D516</f>
        <v>xx</v>
      </c>
      <c r="E520" s="327"/>
      <c r="F520" s="600" t="str">
        <f>'refer admin discharge'!H516</f>
        <v>00/00/0000</v>
      </c>
      <c r="G520" s="327"/>
      <c r="H520" s="574"/>
      <c r="I520" s="327"/>
      <c r="J520" s="601"/>
      <c r="K520" s="327"/>
      <c r="L520" s="574"/>
      <c r="M520" s="327"/>
      <c r="N520" s="594"/>
      <c r="O520" s="327"/>
      <c r="P520" s="574"/>
      <c r="Q520" s="327"/>
      <c r="R520" s="594"/>
      <c r="S520" s="327"/>
      <c r="T520" s="574"/>
      <c r="U520" s="327"/>
      <c r="V520" s="595" t="str">
        <f>'refer admin discharge'!H521</f>
        <v>00/00/0000</v>
      </c>
      <c r="W520" s="327"/>
      <c r="X520" s="596"/>
      <c r="Y520" s="327"/>
      <c r="Z520" s="597"/>
      <c r="AA520" s="327"/>
      <c r="AB520" s="596"/>
      <c r="AC520" s="327"/>
      <c r="AD520" s="577"/>
      <c r="AE520" s="327"/>
      <c r="AF520" s="596"/>
      <c r="AG520" s="327"/>
      <c r="AH520" s="577"/>
      <c r="AI520" s="327"/>
      <c r="AJ520" s="596"/>
      <c r="AK520" s="327"/>
      <c r="AL520" s="598"/>
      <c r="AM520" s="326"/>
      <c r="AN520" s="326"/>
      <c r="AO520" s="326"/>
      <c r="AP520" s="326"/>
      <c r="AQ520" s="326"/>
      <c r="AR520" s="326"/>
      <c r="AS520" s="326"/>
      <c r="AT520" s="326"/>
      <c r="AU520" s="326"/>
      <c r="AV520" s="326"/>
      <c r="AW520" s="326"/>
      <c r="AX520" s="326"/>
      <c r="AY520" s="326"/>
      <c r="AZ520" s="326"/>
      <c r="BA520" s="326"/>
      <c r="BB520" s="327"/>
    </row>
    <row r="521" spans="1:54" ht="15.75" customHeight="1" x14ac:dyDescent="0.25">
      <c r="A521" s="11">
        <f t="shared" si="1"/>
        <v>508</v>
      </c>
      <c r="B521" s="504" t="str">
        <f>'refer admin discharge'!B517</f>
        <v>x</v>
      </c>
      <c r="C521" s="327"/>
      <c r="D521" s="505" t="str">
        <f>'refer admin discharge'!D517</f>
        <v>xx</v>
      </c>
      <c r="E521" s="327"/>
      <c r="F521" s="606" t="str">
        <f>'refer admin discharge'!H517</f>
        <v>00/00/0000</v>
      </c>
      <c r="G521" s="327"/>
      <c r="H521" s="594"/>
      <c r="I521" s="327"/>
      <c r="J521" s="605"/>
      <c r="K521" s="327"/>
      <c r="L521" s="594"/>
      <c r="M521" s="327"/>
      <c r="N521" s="575"/>
      <c r="O521" s="327"/>
      <c r="P521" s="594"/>
      <c r="Q521" s="327"/>
      <c r="R521" s="575"/>
      <c r="S521" s="327"/>
      <c r="T521" s="594"/>
      <c r="U521" s="327"/>
      <c r="V521" s="595" t="str">
        <f>'refer admin discharge'!H522</f>
        <v>00/00/0000</v>
      </c>
      <c r="W521" s="327"/>
      <c r="X521" s="577"/>
      <c r="Y521" s="327"/>
      <c r="Z521" s="604"/>
      <c r="AA521" s="327"/>
      <c r="AB521" s="577"/>
      <c r="AC521" s="327"/>
      <c r="AD521" s="576"/>
      <c r="AE521" s="327"/>
      <c r="AF521" s="577"/>
      <c r="AG521" s="327"/>
      <c r="AH521" s="576"/>
      <c r="AI521" s="327"/>
      <c r="AJ521" s="577"/>
      <c r="AK521" s="327"/>
      <c r="AL521" s="602"/>
      <c r="AM521" s="326"/>
      <c r="AN521" s="326"/>
      <c r="AO521" s="326"/>
      <c r="AP521" s="326"/>
      <c r="AQ521" s="326"/>
      <c r="AR521" s="326"/>
      <c r="AS521" s="326"/>
      <c r="AT521" s="326"/>
      <c r="AU521" s="326"/>
      <c r="AV521" s="326"/>
      <c r="AW521" s="326"/>
      <c r="AX521" s="326"/>
      <c r="AY521" s="326"/>
      <c r="AZ521" s="326"/>
      <c r="BA521" s="326"/>
      <c r="BB521" s="327"/>
    </row>
    <row r="522" spans="1:54" ht="15.75" customHeight="1" x14ac:dyDescent="0.25">
      <c r="A522" s="11">
        <f t="shared" si="1"/>
        <v>509</v>
      </c>
      <c r="B522" s="570" t="str">
        <f>'refer admin discharge'!B518</f>
        <v>x</v>
      </c>
      <c r="C522" s="327"/>
      <c r="D522" s="599" t="str">
        <f>'refer admin discharge'!D518</f>
        <v>xx</v>
      </c>
      <c r="E522" s="327"/>
      <c r="F522" s="600" t="str">
        <f>'refer admin discharge'!H518</f>
        <v>00/00/0000</v>
      </c>
      <c r="G522" s="327"/>
      <c r="H522" s="574"/>
      <c r="I522" s="327"/>
      <c r="J522" s="601"/>
      <c r="K522" s="327"/>
      <c r="L522" s="574"/>
      <c r="M522" s="327"/>
      <c r="N522" s="594"/>
      <c r="O522" s="327"/>
      <c r="P522" s="574"/>
      <c r="Q522" s="327"/>
      <c r="R522" s="594"/>
      <c r="S522" s="327"/>
      <c r="T522" s="574"/>
      <c r="U522" s="327"/>
      <c r="V522" s="595" t="str">
        <f>'refer admin discharge'!H523</f>
        <v>00/00/0000</v>
      </c>
      <c r="W522" s="327"/>
      <c r="X522" s="596"/>
      <c r="Y522" s="327"/>
      <c r="Z522" s="597"/>
      <c r="AA522" s="327"/>
      <c r="AB522" s="596"/>
      <c r="AC522" s="327"/>
      <c r="AD522" s="577"/>
      <c r="AE522" s="327"/>
      <c r="AF522" s="596"/>
      <c r="AG522" s="327"/>
      <c r="AH522" s="577"/>
      <c r="AI522" s="327"/>
      <c r="AJ522" s="596"/>
      <c r="AK522" s="327"/>
      <c r="AL522" s="598"/>
      <c r="AM522" s="326"/>
      <c r="AN522" s="326"/>
      <c r="AO522" s="326"/>
      <c r="AP522" s="326"/>
      <c r="AQ522" s="326"/>
      <c r="AR522" s="326"/>
      <c r="AS522" s="326"/>
      <c r="AT522" s="326"/>
      <c r="AU522" s="326"/>
      <c r="AV522" s="326"/>
      <c r="AW522" s="326"/>
      <c r="AX522" s="326"/>
      <c r="AY522" s="326"/>
      <c r="AZ522" s="326"/>
      <c r="BA522" s="326"/>
      <c r="BB522" s="327"/>
    </row>
    <row r="523" spans="1:54" ht="15.75" customHeight="1" x14ac:dyDescent="0.25">
      <c r="A523" s="11">
        <f t="shared" si="1"/>
        <v>510</v>
      </c>
      <c r="B523" s="504" t="str">
        <f>'refer admin discharge'!B519</f>
        <v>x</v>
      </c>
      <c r="C523" s="327"/>
      <c r="D523" s="505" t="str">
        <f>'refer admin discharge'!D519</f>
        <v>xx</v>
      </c>
      <c r="E523" s="327"/>
      <c r="F523" s="606" t="str">
        <f>'refer admin discharge'!H519</f>
        <v>00/00/0000</v>
      </c>
      <c r="G523" s="327"/>
      <c r="H523" s="594"/>
      <c r="I523" s="327"/>
      <c r="J523" s="605"/>
      <c r="K523" s="327"/>
      <c r="L523" s="594"/>
      <c r="M523" s="327"/>
      <c r="N523" s="575"/>
      <c r="O523" s="327"/>
      <c r="P523" s="594"/>
      <c r="Q523" s="327"/>
      <c r="R523" s="575"/>
      <c r="S523" s="327"/>
      <c r="T523" s="594"/>
      <c r="U523" s="327"/>
      <c r="V523" s="595" t="str">
        <f>'refer admin discharge'!H524</f>
        <v>00/00/0000</v>
      </c>
      <c r="W523" s="327"/>
      <c r="X523" s="577"/>
      <c r="Y523" s="327"/>
      <c r="Z523" s="604"/>
      <c r="AA523" s="327"/>
      <c r="AB523" s="577"/>
      <c r="AC523" s="327"/>
      <c r="AD523" s="576"/>
      <c r="AE523" s="327"/>
      <c r="AF523" s="577"/>
      <c r="AG523" s="327"/>
      <c r="AH523" s="576"/>
      <c r="AI523" s="327"/>
      <c r="AJ523" s="577"/>
      <c r="AK523" s="327"/>
      <c r="AL523" s="602"/>
      <c r="AM523" s="326"/>
      <c r="AN523" s="326"/>
      <c r="AO523" s="326"/>
      <c r="AP523" s="326"/>
      <c r="AQ523" s="326"/>
      <c r="AR523" s="326"/>
      <c r="AS523" s="326"/>
      <c r="AT523" s="326"/>
      <c r="AU523" s="326"/>
      <c r="AV523" s="326"/>
      <c r="AW523" s="326"/>
      <c r="AX523" s="326"/>
      <c r="AY523" s="326"/>
      <c r="AZ523" s="326"/>
      <c r="BA523" s="326"/>
      <c r="BB523" s="327"/>
    </row>
    <row r="524" spans="1:54" ht="15.75" customHeight="1" x14ac:dyDescent="0.25">
      <c r="A524" s="11">
        <f t="shared" ref="A524:A778" si="2">ROW(A511)</f>
        <v>511</v>
      </c>
      <c r="B524" s="570" t="str">
        <f>'refer admin discharge'!B520</f>
        <v>x</v>
      </c>
      <c r="C524" s="327"/>
      <c r="D524" s="599" t="str">
        <f>'refer admin discharge'!D520</f>
        <v>xx</v>
      </c>
      <c r="E524" s="327"/>
      <c r="F524" s="600" t="str">
        <f>'refer admin discharge'!H520</f>
        <v>00/00/0000</v>
      </c>
      <c r="G524" s="327"/>
      <c r="H524" s="574"/>
      <c r="I524" s="327"/>
      <c r="J524" s="601"/>
      <c r="K524" s="327"/>
      <c r="L524" s="574"/>
      <c r="M524" s="327"/>
      <c r="N524" s="594"/>
      <c r="O524" s="327"/>
      <c r="P524" s="574"/>
      <c r="Q524" s="327"/>
      <c r="R524" s="594"/>
      <c r="S524" s="327"/>
      <c r="T524" s="574"/>
      <c r="U524" s="327"/>
      <c r="V524" s="595" t="str">
        <f>'refer admin discharge'!H525</f>
        <v>00/00/0000</v>
      </c>
      <c r="W524" s="327"/>
      <c r="X524" s="596"/>
      <c r="Y524" s="327"/>
      <c r="Z524" s="597"/>
      <c r="AA524" s="327"/>
      <c r="AB524" s="596"/>
      <c r="AC524" s="327"/>
      <c r="AD524" s="577"/>
      <c r="AE524" s="327"/>
      <c r="AF524" s="596"/>
      <c r="AG524" s="327"/>
      <c r="AH524" s="577"/>
      <c r="AI524" s="327"/>
      <c r="AJ524" s="596"/>
      <c r="AK524" s="327"/>
      <c r="AL524" s="598"/>
      <c r="AM524" s="326"/>
      <c r="AN524" s="326"/>
      <c r="AO524" s="326"/>
      <c r="AP524" s="326"/>
      <c r="AQ524" s="326"/>
      <c r="AR524" s="326"/>
      <c r="AS524" s="326"/>
      <c r="AT524" s="326"/>
      <c r="AU524" s="326"/>
      <c r="AV524" s="326"/>
      <c r="AW524" s="326"/>
      <c r="AX524" s="326"/>
      <c r="AY524" s="326"/>
      <c r="AZ524" s="326"/>
      <c r="BA524" s="326"/>
      <c r="BB524" s="327"/>
    </row>
    <row r="525" spans="1:54" ht="15.75" customHeight="1" x14ac:dyDescent="0.25">
      <c r="A525" s="11">
        <f t="shared" si="2"/>
        <v>512</v>
      </c>
      <c r="B525" s="504" t="str">
        <f>'refer admin discharge'!B521</f>
        <v>x</v>
      </c>
      <c r="C525" s="327"/>
      <c r="D525" s="505" t="str">
        <f>'refer admin discharge'!D521</f>
        <v>xx</v>
      </c>
      <c r="E525" s="327"/>
      <c r="F525" s="606" t="str">
        <f>'refer admin discharge'!H521</f>
        <v>00/00/0000</v>
      </c>
      <c r="G525" s="327"/>
      <c r="H525" s="594"/>
      <c r="I525" s="327"/>
      <c r="J525" s="605"/>
      <c r="K525" s="327"/>
      <c r="L525" s="594"/>
      <c r="M525" s="327"/>
      <c r="N525" s="575"/>
      <c r="O525" s="327"/>
      <c r="P525" s="594"/>
      <c r="Q525" s="327"/>
      <c r="R525" s="575"/>
      <c r="S525" s="327"/>
      <c r="T525" s="594"/>
      <c r="U525" s="327"/>
      <c r="V525" s="595" t="str">
        <f>'refer admin discharge'!H526</f>
        <v>00/00/0000</v>
      </c>
      <c r="W525" s="327"/>
      <c r="X525" s="577"/>
      <c r="Y525" s="327"/>
      <c r="Z525" s="604"/>
      <c r="AA525" s="327"/>
      <c r="AB525" s="577"/>
      <c r="AC525" s="327"/>
      <c r="AD525" s="576"/>
      <c r="AE525" s="327"/>
      <c r="AF525" s="577"/>
      <c r="AG525" s="327"/>
      <c r="AH525" s="576"/>
      <c r="AI525" s="327"/>
      <c r="AJ525" s="577"/>
      <c r="AK525" s="327"/>
      <c r="AL525" s="602"/>
      <c r="AM525" s="326"/>
      <c r="AN525" s="326"/>
      <c r="AO525" s="326"/>
      <c r="AP525" s="326"/>
      <c r="AQ525" s="326"/>
      <c r="AR525" s="326"/>
      <c r="AS525" s="326"/>
      <c r="AT525" s="326"/>
      <c r="AU525" s="326"/>
      <c r="AV525" s="326"/>
      <c r="AW525" s="326"/>
      <c r="AX525" s="326"/>
      <c r="AY525" s="326"/>
      <c r="AZ525" s="326"/>
      <c r="BA525" s="326"/>
      <c r="BB525" s="327"/>
    </row>
    <row r="526" spans="1:54" ht="15.75" customHeight="1" x14ac:dyDescent="0.25">
      <c r="A526" s="11">
        <f t="shared" si="2"/>
        <v>513</v>
      </c>
      <c r="B526" s="570" t="str">
        <f>'refer admin discharge'!B522</f>
        <v>x</v>
      </c>
      <c r="C526" s="327"/>
      <c r="D526" s="599" t="str">
        <f>'refer admin discharge'!D522</f>
        <v>xx</v>
      </c>
      <c r="E526" s="327"/>
      <c r="F526" s="600" t="str">
        <f>'refer admin discharge'!H522</f>
        <v>00/00/0000</v>
      </c>
      <c r="G526" s="327"/>
      <c r="H526" s="574"/>
      <c r="I526" s="327"/>
      <c r="J526" s="601"/>
      <c r="K526" s="327"/>
      <c r="L526" s="574"/>
      <c r="M526" s="327"/>
      <c r="N526" s="594"/>
      <c r="O526" s="327"/>
      <c r="P526" s="574"/>
      <c r="Q526" s="327"/>
      <c r="R526" s="594"/>
      <c r="S526" s="327"/>
      <c r="T526" s="574"/>
      <c r="U526" s="327"/>
      <c r="V526" s="595" t="str">
        <f>'refer admin discharge'!H527</f>
        <v>00/00/0000</v>
      </c>
      <c r="W526" s="327"/>
      <c r="X526" s="596"/>
      <c r="Y526" s="327"/>
      <c r="Z526" s="597"/>
      <c r="AA526" s="327"/>
      <c r="AB526" s="596"/>
      <c r="AC526" s="327"/>
      <c r="AD526" s="577"/>
      <c r="AE526" s="327"/>
      <c r="AF526" s="596"/>
      <c r="AG526" s="327"/>
      <c r="AH526" s="577"/>
      <c r="AI526" s="327"/>
      <c r="AJ526" s="596"/>
      <c r="AK526" s="327"/>
      <c r="AL526" s="598"/>
      <c r="AM526" s="326"/>
      <c r="AN526" s="326"/>
      <c r="AO526" s="326"/>
      <c r="AP526" s="326"/>
      <c r="AQ526" s="326"/>
      <c r="AR526" s="326"/>
      <c r="AS526" s="326"/>
      <c r="AT526" s="326"/>
      <c r="AU526" s="326"/>
      <c r="AV526" s="326"/>
      <c r="AW526" s="326"/>
      <c r="AX526" s="326"/>
      <c r="AY526" s="326"/>
      <c r="AZ526" s="326"/>
      <c r="BA526" s="326"/>
      <c r="BB526" s="327"/>
    </row>
    <row r="527" spans="1:54" ht="15.75" customHeight="1" x14ac:dyDescent="0.25">
      <c r="A527" s="11">
        <f t="shared" si="2"/>
        <v>514</v>
      </c>
      <c r="B527" s="504" t="str">
        <f>'refer admin discharge'!B523</f>
        <v>x</v>
      </c>
      <c r="C527" s="327"/>
      <c r="D527" s="505" t="str">
        <f>'refer admin discharge'!D523</f>
        <v>xx</v>
      </c>
      <c r="E527" s="327"/>
      <c r="F527" s="606" t="str">
        <f>'refer admin discharge'!H523</f>
        <v>00/00/0000</v>
      </c>
      <c r="G527" s="327"/>
      <c r="H527" s="594"/>
      <c r="I527" s="327"/>
      <c r="J527" s="605"/>
      <c r="K527" s="327"/>
      <c r="L527" s="594"/>
      <c r="M527" s="327"/>
      <c r="N527" s="575"/>
      <c r="O527" s="327"/>
      <c r="P527" s="594"/>
      <c r="Q527" s="327"/>
      <c r="R527" s="575"/>
      <c r="S527" s="327"/>
      <c r="T527" s="594"/>
      <c r="U527" s="327"/>
      <c r="V527" s="595" t="str">
        <f>'refer admin discharge'!H528</f>
        <v>00/00/0000</v>
      </c>
      <c r="W527" s="327"/>
      <c r="X527" s="577"/>
      <c r="Y527" s="327"/>
      <c r="Z527" s="604"/>
      <c r="AA527" s="327"/>
      <c r="AB527" s="577"/>
      <c r="AC527" s="327"/>
      <c r="AD527" s="576"/>
      <c r="AE527" s="327"/>
      <c r="AF527" s="577"/>
      <c r="AG527" s="327"/>
      <c r="AH527" s="576"/>
      <c r="AI527" s="327"/>
      <c r="AJ527" s="577"/>
      <c r="AK527" s="327"/>
      <c r="AL527" s="602"/>
      <c r="AM527" s="326"/>
      <c r="AN527" s="326"/>
      <c r="AO527" s="326"/>
      <c r="AP527" s="326"/>
      <c r="AQ527" s="326"/>
      <c r="AR527" s="326"/>
      <c r="AS527" s="326"/>
      <c r="AT527" s="326"/>
      <c r="AU527" s="326"/>
      <c r="AV527" s="326"/>
      <c r="AW527" s="326"/>
      <c r="AX527" s="326"/>
      <c r="AY527" s="326"/>
      <c r="AZ527" s="326"/>
      <c r="BA527" s="326"/>
      <c r="BB527" s="327"/>
    </row>
    <row r="528" spans="1:54" ht="15.75" customHeight="1" x14ac:dyDescent="0.25">
      <c r="A528" s="11">
        <f t="shared" si="2"/>
        <v>515</v>
      </c>
      <c r="B528" s="570" t="str">
        <f>'refer admin discharge'!B524</f>
        <v>x</v>
      </c>
      <c r="C528" s="327"/>
      <c r="D528" s="599" t="str">
        <f>'refer admin discharge'!D524</f>
        <v>xx</v>
      </c>
      <c r="E528" s="327"/>
      <c r="F528" s="600" t="str">
        <f>'refer admin discharge'!H524</f>
        <v>00/00/0000</v>
      </c>
      <c r="G528" s="327"/>
      <c r="H528" s="574"/>
      <c r="I528" s="327"/>
      <c r="J528" s="601"/>
      <c r="K528" s="327"/>
      <c r="L528" s="574"/>
      <c r="M528" s="327"/>
      <c r="N528" s="594"/>
      <c r="O528" s="327"/>
      <c r="P528" s="574"/>
      <c r="Q528" s="327"/>
      <c r="R528" s="594"/>
      <c r="S528" s="327"/>
      <c r="T528" s="574"/>
      <c r="U528" s="327"/>
      <c r="V528" s="595" t="str">
        <f>'refer admin discharge'!H529</f>
        <v>00/00/0000</v>
      </c>
      <c r="W528" s="327"/>
      <c r="X528" s="596"/>
      <c r="Y528" s="327"/>
      <c r="Z528" s="597"/>
      <c r="AA528" s="327"/>
      <c r="AB528" s="596"/>
      <c r="AC528" s="327"/>
      <c r="AD528" s="577"/>
      <c r="AE528" s="327"/>
      <c r="AF528" s="596"/>
      <c r="AG528" s="327"/>
      <c r="AH528" s="577"/>
      <c r="AI528" s="327"/>
      <c r="AJ528" s="596"/>
      <c r="AK528" s="327"/>
      <c r="AL528" s="598"/>
      <c r="AM528" s="326"/>
      <c r="AN528" s="326"/>
      <c r="AO528" s="326"/>
      <c r="AP528" s="326"/>
      <c r="AQ528" s="326"/>
      <c r="AR528" s="326"/>
      <c r="AS528" s="326"/>
      <c r="AT528" s="326"/>
      <c r="AU528" s="326"/>
      <c r="AV528" s="326"/>
      <c r="AW528" s="326"/>
      <c r="AX528" s="326"/>
      <c r="AY528" s="326"/>
      <c r="AZ528" s="326"/>
      <c r="BA528" s="326"/>
      <c r="BB528" s="327"/>
    </row>
    <row r="529" spans="1:54" ht="15.75" customHeight="1" x14ac:dyDescent="0.25">
      <c r="A529" s="11">
        <f t="shared" si="2"/>
        <v>516</v>
      </c>
      <c r="B529" s="504" t="str">
        <f>'refer admin discharge'!B525</f>
        <v>x</v>
      </c>
      <c r="C529" s="327"/>
      <c r="D529" s="505" t="str">
        <f>'refer admin discharge'!D525</f>
        <v>xx</v>
      </c>
      <c r="E529" s="327"/>
      <c r="F529" s="606" t="str">
        <f>'refer admin discharge'!H525</f>
        <v>00/00/0000</v>
      </c>
      <c r="G529" s="327"/>
      <c r="H529" s="594"/>
      <c r="I529" s="327"/>
      <c r="J529" s="605"/>
      <c r="K529" s="327"/>
      <c r="L529" s="594"/>
      <c r="M529" s="327"/>
      <c r="N529" s="575"/>
      <c r="O529" s="327"/>
      <c r="P529" s="594"/>
      <c r="Q529" s="327"/>
      <c r="R529" s="575"/>
      <c r="S529" s="327"/>
      <c r="T529" s="594"/>
      <c r="U529" s="327"/>
      <c r="V529" s="595" t="str">
        <f>'refer admin discharge'!H530</f>
        <v>00/00/0000</v>
      </c>
      <c r="W529" s="327"/>
      <c r="X529" s="577"/>
      <c r="Y529" s="327"/>
      <c r="Z529" s="604"/>
      <c r="AA529" s="327"/>
      <c r="AB529" s="577"/>
      <c r="AC529" s="327"/>
      <c r="AD529" s="576"/>
      <c r="AE529" s="327"/>
      <c r="AF529" s="577"/>
      <c r="AG529" s="327"/>
      <c r="AH529" s="576"/>
      <c r="AI529" s="327"/>
      <c r="AJ529" s="577"/>
      <c r="AK529" s="327"/>
      <c r="AL529" s="602"/>
      <c r="AM529" s="326"/>
      <c r="AN529" s="326"/>
      <c r="AO529" s="326"/>
      <c r="AP529" s="326"/>
      <c r="AQ529" s="326"/>
      <c r="AR529" s="326"/>
      <c r="AS529" s="326"/>
      <c r="AT529" s="326"/>
      <c r="AU529" s="326"/>
      <c r="AV529" s="326"/>
      <c r="AW529" s="326"/>
      <c r="AX529" s="326"/>
      <c r="AY529" s="326"/>
      <c r="AZ529" s="326"/>
      <c r="BA529" s="326"/>
      <c r="BB529" s="327"/>
    </row>
    <row r="530" spans="1:54" ht="15.75" customHeight="1" x14ac:dyDescent="0.25">
      <c r="A530" s="11">
        <f t="shared" si="2"/>
        <v>517</v>
      </c>
      <c r="B530" s="570" t="str">
        <f>'refer admin discharge'!B526</f>
        <v>x</v>
      </c>
      <c r="C530" s="327"/>
      <c r="D530" s="599" t="str">
        <f>'refer admin discharge'!D526</f>
        <v>xx</v>
      </c>
      <c r="E530" s="327"/>
      <c r="F530" s="600" t="str">
        <f>'refer admin discharge'!H526</f>
        <v>00/00/0000</v>
      </c>
      <c r="G530" s="327"/>
      <c r="H530" s="574"/>
      <c r="I530" s="327"/>
      <c r="J530" s="601"/>
      <c r="K530" s="327"/>
      <c r="L530" s="574"/>
      <c r="M530" s="327"/>
      <c r="N530" s="594"/>
      <c r="O530" s="327"/>
      <c r="P530" s="574"/>
      <c r="Q530" s="327"/>
      <c r="R530" s="594"/>
      <c r="S530" s="327"/>
      <c r="T530" s="574"/>
      <c r="U530" s="327"/>
      <c r="V530" s="595" t="str">
        <f>'refer admin discharge'!H531</f>
        <v>00/00/0000</v>
      </c>
      <c r="W530" s="327"/>
      <c r="X530" s="596"/>
      <c r="Y530" s="327"/>
      <c r="Z530" s="597"/>
      <c r="AA530" s="327"/>
      <c r="AB530" s="596"/>
      <c r="AC530" s="327"/>
      <c r="AD530" s="577"/>
      <c r="AE530" s="327"/>
      <c r="AF530" s="596"/>
      <c r="AG530" s="327"/>
      <c r="AH530" s="577"/>
      <c r="AI530" s="327"/>
      <c r="AJ530" s="596"/>
      <c r="AK530" s="327"/>
      <c r="AL530" s="598"/>
      <c r="AM530" s="326"/>
      <c r="AN530" s="326"/>
      <c r="AO530" s="326"/>
      <c r="AP530" s="326"/>
      <c r="AQ530" s="326"/>
      <c r="AR530" s="326"/>
      <c r="AS530" s="326"/>
      <c r="AT530" s="326"/>
      <c r="AU530" s="326"/>
      <c r="AV530" s="326"/>
      <c r="AW530" s="326"/>
      <c r="AX530" s="326"/>
      <c r="AY530" s="326"/>
      <c r="AZ530" s="326"/>
      <c r="BA530" s="326"/>
      <c r="BB530" s="327"/>
    </row>
    <row r="531" spans="1:54" ht="15.75" customHeight="1" x14ac:dyDescent="0.25">
      <c r="A531" s="11">
        <f t="shared" si="2"/>
        <v>518</v>
      </c>
      <c r="B531" s="504" t="str">
        <f>'refer admin discharge'!B527</f>
        <v>x</v>
      </c>
      <c r="C531" s="327"/>
      <c r="D531" s="505" t="str">
        <f>'refer admin discharge'!D527</f>
        <v>xx</v>
      </c>
      <c r="E531" s="327"/>
      <c r="F531" s="606" t="str">
        <f>'refer admin discharge'!H527</f>
        <v>00/00/0000</v>
      </c>
      <c r="G531" s="327"/>
      <c r="H531" s="594"/>
      <c r="I531" s="327"/>
      <c r="J531" s="605"/>
      <c r="K531" s="327"/>
      <c r="L531" s="594"/>
      <c r="M531" s="327"/>
      <c r="N531" s="575"/>
      <c r="O531" s="327"/>
      <c r="P531" s="594"/>
      <c r="Q531" s="327"/>
      <c r="R531" s="575"/>
      <c r="S531" s="327"/>
      <c r="T531" s="594"/>
      <c r="U531" s="327"/>
      <c r="V531" s="595" t="str">
        <f>'refer admin discharge'!H532</f>
        <v>00/00/0000</v>
      </c>
      <c r="W531" s="327"/>
      <c r="X531" s="577"/>
      <c r="Y531" s="327"/>
      <c r="Z531" s="604"/>
      <c r="AA531" s="327"/>
      <c r="AB531" s="577"/>
      <c r="AC531" s="327"/>
      <c r="AD531" s="576"/>
      <c r="AE531" s="327"/>
      <c r="AF531" s="577"/>
      <c r="AG531" s="327"/>
      <c r="AH531" s="576"/>
      <c r="AI531" s="327"/>
      <c r="AJ531" s="577"/>
      <c r="AK531" s="327"/>
      <c r="AL531" s="602"/>
      <c r="AM531" s="326"/>
      <c r="AN531" s="326"/>
      <c r="AO531" s="326"/>
      <c r="AP531" s="326"/>
      <c r="AQ531" s="326"/>
      <c r="AR531" s="326"/>
      <c r="AS531" s="326"/>
      <c r="AT531" s="326"/>
      <c r="AU531" s="326"/>
      <c r="AV531" s="326"/>
      <c r="AW531" s="326"/>
      <c r="AX531" s="326"/>
      <c r="AY531" s="326"/>
      <c r="AZ531" s="326"/>
      <c r="BA531" s="326"/>
      <c r="BB531" s="327"/>
    </row>
    <row r="532" spans="1:54" ht="15.75" customHeight="1" x14ac:dyDescent="0.25">
      <c r="A532" s="11">
        <f t="shared" si="2"/>
        <v>519</v>
      </c>
      <c r="B532" s="570" t="str">
        <f>'refer admin discharge'!B528</f>
        <v>x</v>
      </c>
      <c r="C532" s="327"/>
      <c r="D532" s="599" t="str">
        <f>'refer admin discharge'!D528</f>
        <v>xx</v>
      </c>
      <c r="E532" s="327"/>
      <c r="F532" s="600" t="str">
        <f>'refer admin discharge'!H528</f>
        <v>00/00/0000</v>
      </c>
      <c r="G532" s="327"/>
      <c r="H532" s="574"/>
      <c r="I532" s="327"/>
      <c r="J532" s="601"/>
      <c r="K532" s="327"/>
      <c r="L532" s="574"/>
      <c r="M532" s="327"/>
      <c r="N532" s="594"/>
      <c r="O532" s="327"/>
      <c r="P532" s="574"/>
      <c r="Q532" s="327"/>
      <c r="R532" s="594"/>
      <c r="S532" s="327"/>
      <c r="T532" s="574"/>
      <c r="U532" s="327"/>
      <c r="V532" s="595" t="str">
        <f>'refer admin discharge'!H533</f>
        <v>00/00/0000</v>
      </c>
      <c r="W532" s="327"/>
      <c r="X532" s="596"/>
      <c r="Y532" s="327"/>
      <c r="Z532" s="597"/>
      <c r="AA532" s="327"/>
      <c r="AB532" s="596"/>
      <c r="AC532" s="327"/>
      <c r="AD532" s="577"/>
      <c r="AE532" s="327"/>
      <c r="AF532" s="596"/>
      <c r="AG532" s="327"/>
      <c r="AH532" s="577"/>
      <c r="AI532" s="327"/>
      <c r="AJ532" s="596"/>
      <c r="AK532" s="327"/>
      <c r="AL532" s="598"/>
      <c r="AM532" s="326"/>
      <c r="AN532" s="326"/>
      <c r="AO532" s="326"/>
      <c r="AP532" s="326"/>
      <c r="AQ532" s="326"/>
      <c r="AR532" s="326"/>
      <c r="AS532" s="326"/>
      <c r="AT532" s="326"/>
      <c r="AU532" s="326"/>
      <c r="AV532" s="326"/>
      <c r="AW532" s="326"/>
      <c r="AX532" s="326"/>
      <c r="AY532" s="326"/>
      <c r="AZ532" s="326"/>
      <c r="BA532" s="326"/>
      <c r="BB532" s="327"/>
    </row>
    <row r="533" spans="1:54" ht="15.75" customHeight="1" x14ac:dyDescent="0.25">
      <c r="A533" s="11">
        <f t="shared" si="2"/>
        <v>520</v>
      </c>
      <c r="B533" s="504" t="str">
        <f>'refer admin discharge'!B529</f>
        <v>x</v>
      </c>
      <c r="C533" s="327"/>
      <c r="D533" s="505" t="str">
        <f>'refer admin discharge'!D529</f>
        <v>xx</v>
      </c>
      <c r="E533" s="327"/>
      <c r="F533" s="606" t="str">
        <f>'refer admin discharge'!H529</f>
        <v>00/00/0000</v>
      </c>
      <c r="G533" s="327"/>
      <c r="H533" s="594"/>
      <c r="I533" s="327"/>
      <c r="J533" s="605"/>
      <c r="K533" s="327"/>
      <c r="L533" s="594"/>
      <c r="M533" s="327"/>
      <c r="N533" s="575"/>
      <c r="O533" s="327"/>
      <c r="P533" s="594"/>
      <c r="Q533" s="327"/>
      <c r="R533" s="575"/>
      <c r="S533" s="327"/>
      <c r="T533" s="594"/>
      <c r="U533" s="327"/>
      <c r="V533" s="595" t="str">
        <f>'refer admin discharge'!H534</f>
        <v>00/00/0000</v>
      </c>
      <c r="W533" s="327"/>
      <c r="X533" s="577"/>
      <c r="Y533" s="327"/>
      <c r="Z533" s="604"/>
      <c r="AA533" s="327"/>
      <c r="AB533" s="577"/>
      <c r="AC533" s="327"/>
      <c r="AD533" s="576"/>
      <c r="AE533" s="327"/>
      <c r="AF533" s="577"/>
      <c r="AG533" s="327"/>
      <c r="AH533" s="576"/>
      <c r="AI533" s="327"/>
      <c r="AJ533" s="577"/>
      <c r="AK533" s="327"/>
      <c r="AL533" s="602"/>
      <c r="AM533" s="326"/>
      <c r="AN533" s="326"/>
      <c r="AO533" s="326"/>
      <c r="AP533" s="326"/>
      <c r="AQ533" s="326"/>
      <c r="AR533" s="326"/>
      <c r="AS533" s="326"/>
      <c r="AT533" s="326"/>
      <c r="AU533" s="326"/>
      <c r="AV533" s="326"/>
      <c r="AW533" s="326"/>
      <c r="AX533" s="326"/>
      <c r="AY533" s="326"/>
      <c r="AZ533" s="326"/>
      <c r="BA533" s="326"/>
      <c r="BB533" s="327"/>
    </row>
    <row r="534" spans="1:54" ht="15.75" customHeight="1" x14ac:dyDescent="0.25">
      <c r="A534" s="11">
        <f t="shared" si="2"/>
        <v>521</v>
      </c>
      <c r="B534" s="570" t="str">
        <f>'refer admin discharge'!B530</f>
        <v>x</v>
      </c>
      <c r="C534" s="327"/>
      <c r="D534" s="599" t="str">
        <f>'refer admin discharge'!D530</f>
        <v>xx</v>
      </c>
      <c r="E534" s="327"/>
      <c r="F534" s="600" t="str">
        <f>'refer admin discharge'!H530</f>
        <v>00/00/0000</v>
      </c>
      <c r="G534" s="327"/>
      <c r="H534" s="574"/>
      <c r="I534" s="327"/>
      <c r="J534" s="601"/>
      <c r="K534" s="327"/>
      <c r="L534" s="574"/>
      <c r="M534" s="327"/>
      <c r="N534" s="594"/>
      <c r="O534" s="327"/>
      <c r="P534" s="574"/>
      <c r="Q534" s="327"/>
      <c r="R534" s="594"/>
      <c r="S534" s="327"/>
      <c r="T534" s="574"/>
      <c r="U534" s="327"/>
      <c r="V534" s="595" t="str">
        <f>'refer admin discharge'!H535</f>
        <v>00/00/0000</v>
      </c>
      <c r="W534" s="327"/>
      <c r="X534" s="596"/>
      <c r="Y534" s="327"/>
      <c r="Z534" s="597"/>
      <c r="AA534" s="327"/>
      <c r="AB534" s="596"/>
      <c r="AC534" s="327"/>
      <c r="AD534" s="577"/>
      <c r="AE534" s="327"/>
      <c r="AF534" s="596"/>
      <c r="AG534" s="327"/>
      <c r="AH534" s="577"/>
      <c r="AI534" s="327"/>
      <c r="AJ534" s="596"/>
      <c r="AK534" s="327"/>
      <c r="AL534" s="598"/>
      <c r="AM534" s="326"/>
      <c r="AN534" s="326"/>
      <c r="AO534" s="326"/>
      <c r="AP534" s="326"/>
      <c r="AQ534" s="326"/>
      <c r="AR534" s="326"/>
      <c r="AS534" s="326"/>
      <c r="AT534" s="326"/>
      <c r="AU534" s="326"/>
      <c r="AV534" s="326"/>
      <c r="AW534" s="326"/>
      <c r="AX534" s="326"/>
      <c r="AY534" s="326"/>
      <c r="AZ534" s="326"/>
      <c r="BA534" s="326"/>
      <c r="BB534" s="327"/>
    </row>
    <row r="535" spans="1:54" ht="15.75" customHeight="1" x14ac:dyDescent="0.25">
      <c r="A535" s="11">
        <f t="shared" si="2"/>
        <v>522</v>
      </c>
      <c r="B535" s="504" t="str">
        <f>'refer admin discharge'!B531</f>
        <v>x</v>
      </c>
      <c r="C535" s="327"/>
      <c r="D535" s="505" t="str">
        <f>'refer admin discharge'!D531</f>
        <v>xx</v>
      </c>
      <c r="E535" s="327"/>
      <c r="F535" s="606" t="str">
        <f>'refer admin discharge'!H531</f>
        <v>00/00/0000</v>
      </c>
      <c r="G535" s="327"/>
      <c r="H535" s="594"/>
      <c r="I535" s="327"/>
      <c r="J535" s="605"/>
      <c r="K535" s="327"/>
      <c r="L535" s="594"/>
      <c r="M535" s="327"/>
      <c r="N535" s="575"/>
      <c r="O535" s="327"/>
      <c r="P535" s="594"/>
      <c r="Q535" s="327"/>
      <c r="R535" s="575"/>
      <c r="S535" s="327"/>
      <c r="T535" s="594"/>
      <c r="U535" s="327"/>
      <c r="V535" s="595" t="str">
        <f>'refer admin discharge'!H536</f>
        <v>00/00/0000</v>
      </c>
      <c r="W535" s="327"/>
      <c r="X535" s="577"/>
      <c r="Y535" s="327"/>
      <c r="Z535" s="604"/>
      <c r="AA535" s="327"/>
      <c r="AB535" s="577"/>
      <c r="AC535" s="327"/>
      <c r="AD535" s="576"/>
      <c r="AE535" s="327"/>
      <c r="AF535" s="577"/>
      <c r="AG535" s="327"/>
      <c r="AH535" s="576"/>
      <c r="AI535" s="327"/>
      <c r="AJ535" s="577"/>
      <c r="AK535" s="327"/>
      <c r="AL535" s="602"/>
      <c r="AM535" s="326"/>
      <c r="AN535" s="326"/>
      <c r="AO535" s="326"/>
      <c r="AP535" s="326"/>
      <c r="AQ535" s="326"/>
      <c r="AR535" s="326"/>
      <c r="AS535" s="326"/>
      <c r="AT535" s="326"/>
      <c r="AU535" s="326"/>
      <c r="AV535" s="326"/>
      <c r="AW535" s="326"/>
      <c r="AX535" s="326"/>
      <c r="AY535" s="326"/>
      <c r="AZ535" s="326"/>
      <c r="BA535" s="326"/>
      <c r="BB535" s="327"/>
    </row>
    <row r="536" spans="1:54" ht="15.75" customHeight="1" x14ac:dyDescent="0.25">
      <c r="A536" s="11">
        <f t="shared" si="2"/>
        <v>523</v>
      </c>
      <c r="B536" s="570" t="str">
        <f>'refer admin discharge'!B532</f>
        <v>x</v>
      </c>
      <c r="C536" s="327"/>
      <c r="D536" s="599" t="str">
        <f>'refer admin discharge'!D532</f>
        <v>xx</v>
      </c>
      <c r="E536" s="327"/>
      <c r="F536" s="600" t="str">
        <f>'refer admin discharge'!H532</f>
        <v>00/00/0000</v>
      </c>
      <c r="G536" s="327"/>
      <c r="H536" s="574"/>
      <c r="I536" s="327"/>
      <c r="J536" s="601"/>
      <c r="K536" s="327"/>
      <c r="L536" s="574"/>
      <c r="M536" s="327"/>
      <c r="N536" s="594"/>
      <c r="O536" s="327"/>
      <c r="P536" s="574"/>
      <c r="Q536" s="327"/>
      <c r="R536" s="594"/>
      <c r="S536" s="327"/>
      <c r="T536" s="574"/>
      <c r="U536" s="327"/>
      <c r="V536" s="595" t="str">
        <f>'refer admin discharge'!H537</f>
        <v>00/00/0000</v>
      </c>
      <c r="W536" s="327"/>
      <c r="X536" s="596"/>
      <c r="Y536" s="327"/>
      <c r="Z536" s="597"/>
      <c r="AA536" s="327"/>
      <c r="AB536" s="596"/>
      <c r="AC536" s="327"/>
      <c r="AD536" s="577"/>
      <c r="AE536" s="327"/>
      <c r="AF536" s="596"/>
      <c r="AG536" s="327"/>
      <c r="AH536" s="577"/>
      <c r="AI536" s="327"/>
      <c r="AJ536" s="596"/>
      <c r="AK536" s="327"/>
      <c r="AL536" s="598"/>
      <c r="AM536" s="326"/>
      <c r="AN536" s="326"/>
      <c r="AO536" s="326"/>
      <c r="AP536" s="326"/>
      <c r="AQ536" s="326"/>
      <c r="AR536" s="326"/>
      <c r="AS536" s="326"/>
      <c r="AT536" s="326"/>
      <c r="AU536" s="326"/>
      <c r="AV536" s="326"/>
      <c r="AW536" s="326"/>
      <c r="AX536" s="326"/>
      <c r="AY536" s="326"/>
      <c r="AZ536" s="326"/>
      <c r="BA536" s="326"/>
      <c r="BB536" s="327"/>
    </row>
    <row r="537" spans="1:54" ht="15.75" customHeight="1" x14ac:dyDescent="0.25">
      <c r="A537" s="11">
        <f t="shared" si="2"/>
        <v>524</v>
      </c>
      <c r="B537" s="504" t="str">
        <f>'refer admin discharge'!B533</f>
        <v>x</v>
      </c>
      <c r="C537" s="327"/>
      <c r="D537" s="505" t="str">
        <f>'refer admin discharge'!D533</f>
        <v>xx</v>
      </c>
      <c r="E537" s="327"/>
      <c r="F537" s="606" t="str">
        <f>'refer admin discharge'!H533</f>
        <v>00/00/0000</v>
      </c>
      <c r="G537" s="327"/>
      <c r="H537" s="594"/>
      <c r="I537" s="327"/>
      <c r="J537" s="605"/>
      <c r="K537" s="327"/>
      <c r="L537" s="594"/>
      <c r="M537" s="327"/>
      <c r="N537" s="575"/>
      <c r="O537" s="327"/>
      <c r="P537" s="594"/>
      <c r="Q537" s="327"/>
      <c r="R537" s="575"/>
      <c r="S537" s="327"/>
      <c r="T537" s="594"/>
      <c r="U537" s="327"/>
      <c r="V537" s="595" t="str">
        <f>'refer admin discharge'!H538</f>
        <v>00/00/0000</v>
      </c>
      <c r="W537" s="327"/>
      <c r="X537" s="577"/>
      <c r="Y537" s="327"/>
      <c r="Z537" s="604"/>
      <c r="AA537" s="327"/>
      <c r="AB537" s="577"/>
      <c r="AC537" s="327"/>
      <c r="AD537" s="576"/>
      <c r="AE537" s="327"/>
      <c r="AF537" s="577"/>
      <c r="AG537" s="327"/>
      <c r="AH537" s="576"/>
      <c r="AI537" s="327"/>
      <c r="AJ537" s="577"/>
      <c r="AK537" s="327"/>
      <c r="AL537" s="602"/>
      <c r="AM537" s="326"/>
      <c r="AN537" s="326"/>
      <c r="AO537" s="326"/>
      <c r="AP537" s="326"/>
      <c r="AQ537" s="326"/>
      <c r="AR537" s="326"/>
      <c r="AS537" s="326"/>
      <c r="AT537" s="326"/>
      <c r="AU537" s="326"/>
      <c r="AV537" s="326"/>
      <c r="AW537" s="326"/>
      <c r="AX537" s="326"/>
      <c r="AY537" s="326"/>
      <c r="AZ537" s="326"/>
      <c r="BA537" s="326"/>
      <c r="BB537" s="327"/>
    </row>
    <row r="538" spans="1:54" ht="15.75" customHeight="1" x14ac:dyDescent="0.25">
      <c r="A538" s="11">
        <f t="shared" si="2"/>
        <v>525</v>
      </c>
      <c r="B538" s="570" t="str">
        <f>'refer admin discharge'!B534</f>
        <v>x</v>
      </c>
      <c r="C538" s="327"/>
      <c r="D538" s="599" t="str">
        <f>'refer admin discharge'!D534</f>
        <v>xx</v>
      </c>
      <c r="E538" s="327"/>
      <c r="F538" s="600" t="str">
        <f>'refer admin discharge'!H534</f>
        <v>00/00/0000</v>
      </c>
      <c r="G538" s="327"/>
      <c r="H538" s="574"/>
      <c r="I538" s="327"/>
      <c r="J538" s="601"/>
      <c r="K538" s="327"/>
      <c r="L538" s="574"/>
      <c r="M538" s="327"/>
      <c r="N538" s="594"/>
      <c r="O538" s="327"/>
      <c r="P538" s="574"/>
      <c r="Q538" s="327"/>
      <c r="R538" s="594"/>
      <c r="S538" s="327"/>
      <c r="T538" s="574"/>
      <c r="U538" s="327"/>
      <c r="V538" s="595" t="str">
        <f>'refer admin discharge'!H539</f>
        <v>00/00/0000</v>
      </c>
      <c r="W538" s="327"/>
      <c r="X538" s="596"/>
      <c r="Y538" s="327"/>
      <c r="Z538" s="597"/>
      <c r="AA538" s="327"/>
      <c r="AB538" s="596"/>
      <c r="AC538" s="327"/>
      <c r="AD538" s="577"/>
      <c r="AE538" s="327"/>
      <c r="AF538" s="596"/>
      <c r="AG538" s="327"/>
      <c r="AH538" s="577"/>
      <c r="AI538" s="327"/>
      <c r="AJ538" s="596"/>
      <c r="AK538" s="327"/>
      <c r="AL538" s="598"/>
      <c r="AM538" s="326"/>
      <c r="AN538" s="326"/>
      <c r="AO538" s="326"/>
      <c r="AP538" s="326"/>
      <c r="AQ538" s="326"/>
      <c r="AR538" s="326"/>
      <c r="AS538" s="326"/>
      <c r="AT538" s="326"/>
      <c r="AU538" s="326"/>
      <c r="AV538" s="326"/>
      <c r="AW538" s="326"/>
      <c r="AX538" s="326"/>
      <c r="AY538" s="326"/>
      <c r="AZ538" s="326"/>
      <c r="BA538" s="326"/>
      <c r="BB538" s="327"/>
    </row>
    <row r="539" spans="1:54" ht="15.75" customHeight="1" x14ac:dyDescent="0.25">
      <c r="A539" s="11">
        <f t="shared" si="2"/>
        <v>526</v>
      </c>
      <c r="B539" s="504" t="str">
        <f>'refer admin discharge'!B535</f>
        <v>x</v>
      </c>
      <c r="C539" s="327"/>
      <c r="D539" s="505" t="str">
        <f>'refer admin discharge'!D535</f>
        <v>xx</v>
      </c>
      <c r="E539" s="327"/>
      <c r="F539" s="606" t="str">
        <f>'refer admin discharge'!H535</f>
        <v>00/00/0000</v>
      </c>
      <c r="G539" s="327"/>
      <c r="H539" s="594"/>
      <c r="I539" s="327"/>
      <c r="J539" s="605"/>
      <c r="K539" s="327"/>
      <c r="L539" s="594"/>
      <c r="M539" s="327"/>
      <c r="N539" s="575"/>
      <c r="O539" s="327"/>
      <c r="P539" s="594"/>
      <c r="Q539" s="327"/>
      <c r="R539" s="575"/>
      <c r="S539" s="327"/>
      <c r="T539" s="594"/>
      <c r="U539" s="327"/>
      <c r="V539" s="595" t="str">
        <f>'refer admin discharge'!H540</f>
        <v>00/00/0000</v>
      </c>
      <c r="W539" s="327"/>
      <c r="X539" s="577"/>
      <c r="Y539" s="327"/>
      <c r="Z539" s="604"/>
      <c r="AA539" s="327"/>
      <c r="AB539" s="577"/>
      <c r="AC539" s="327"/>
      <c r="AD539" s="576"/>
      <c r="AE539" s="327"/>
      <c r="AF539" s="577"/>
      <c r="AG539" s="327"/>
      <c r="AH539" s="576"/>
      <c r="AI539" s="327"/>
      <c r="AJ539" s="577"/>
      <c r="AK539" s="327"/>
      <c r="AL539" s="602"/>
      <c r="AM539" s="326"/>
      <c r="AN539" s="326"/>
      <c r="AO539" s="326"/>
      <c r="AP539" s="326"/>
      <c r="AQ539" s="326"/>
      <c r="AR539" s="326"/>
      <c r="AS539" s="326"/>
      <c r="AT539" s="326"/>
      <c r="AU539" s="326"/>
      <c r="AV539" s="326"/>
      <c r="AW539" s="326"/>
      <c r="AX539" s="326"/>
      <c r="AY539" s="326"/>
      <c r="AZ539" s="326"/>
      <c r="BA539" s="326"/>
      <c r="BB539" s="327"/>
    </row>
    <row r="540" spans="1:54" ht="15.75" customHeight="1" x14ac:dyDescent="0.25">
      <c r="A540" s="11">
        <f t="shared" si="2"/>
        <v>527</v>
      </c>
      <c r="B540" s="570" t="str">
        <f>'refer admin discharge'!B536</f>
        <v>x</v>
      </c>
      <c r="C540" s="327"/>
      <c r="D540" s="599" t="str">
        <f>'refer admin discharge'!D536</f>
        <v>xx</v>
      </c>
      <c r="E540" s="327"/>
      <c r="F540" s="600" t="str">
        <f>'refer admin discharge'!H536</f>
        <v>00/00/0000</v>
      </c>
      <c r="G540" s="327"/>
      <c r="H540" s="574"/>
      <c r="I540" s="327"/>
      <c r="J540" s="601"/>
      <c r="K540" s="327"/>
      <c r="L540" s="574"/>
      <c r="M540" s="327"/>
      <c r="N540" s="594"/>
      <c r="O540" s="327"/>
      <c r="P540" s="574"/>
      <c r="Q540" s="327"/>
      <c r="R540" s="594"/>
      <c r="S540" s="327"/>
      <c r="T540" s="574"/>
      <c r="U540" s="327"/>
      <c r="V540" s="595" t="str">
        <f>'refer admin discharge'!H541</f>
        <v>00/00/0000</v>
      </c>
      <c r="W540" s="327"/>
      <c r="X540" s="596"/>
      <c r="Y540" s="327"/>
      <c r="Z540" s="597"/>
      <c r="AA540" s="327"/>
      <c r="AB540" s="596"/>
      <c r="AC540" s="327"/>
      <c r="AD540" s="577"/>
      <c r="AE540" s="327"/>
      <c r="AF540" s="596"/>
      <c r="AG540" s="327"/>
      <c r="AH540" s="577"/>
      <c r="AI540" s="327"/>
      <c r="AJ540" s="596"/>
      <c r="AK540" s="327"/>
      <c r="AL540" s="598"/>
      <c r="AM540" s="326"/>
      <c r="AN540" s="326"/>
      <c r="AO540" s="326"/>
      <c r="AP540" s="326"/>
      <c r="AQ540" s="326"/>
      <c r="AR540" s="326"/>
      <c r="AS540" s="326"/>
      <c r="AT540" s="326"/>
      <c r="AU540" s="326"/>
      <c r="AV540" s="326"/>
      <c r="AW540" s="326"/>
      <c r="AX540" s="326"/>
      <c r="AY540" s="326"/>
      <c r="AZ540" s="326"/>
      <c r="BA540" s="326"/>
      <c r="BB540" s="327"/>
    </row>
    <row r="541" spans="1:54" ht="15.75" customHeight="1" x14ac:dyDescent="0.25">
      <c r="A541" s="11">
        <f t="shared" si="2"/>
        <v>528</v>
      </c>
      <c r="B541" s="504" t="str">
        <f>'refer admin discharge'!B537</f>
        <v>x</v>
      </c>
      <c r="C541" s="327"/>
      <c r="D541" s="505" t="str">
        <f>'refer admin discharge'!D537</f>
        <v>xx</v>
      </c>
      <c r="E541" s="327"/>
      <c r="F541" s="606" t="str">
        <f>'refer admin discharge'!H537</f>
        <v>00/00/0000</v>
      </c>
      <c r="G541" s="327"/>
      <c r="H541" s="594"/>
      <c r="I541" s="327"/>
      <c r="J541" s="605"/>
      <c r="K541" s="327"/>
      <c r="L541" s="594"/>
      <c r="M541" s="327"/>
      <c r="N541" s="575"/>
      <c r="O541" s="327"/>
      <c r="P541" s="594"/>
      <c r="Q541" s="327"/>
      <c r="R541" s="575"/>
      <c r="S541" s="327"/>
      <c r="T541" s="594"/>
      <c r="U541" s="327"/>
      <c r="V541" s="595" t="str">
        <f>'refer admin discharge'!H542</f>
        <v>00/00/0000</v>
      </c>
      <c r="W541" s="327"/>
      <c r="X541" s="577"/>
      <c r="Y541" s="327"/>
      <c r="Z541" s="604"/>
      <c r="AA541" s="327"/>
      <c r="AB541" s="577"/>
      <c r="AC541" s="327"/>
      <c r="AD541" s="576"/>
      <c r="AE541" s="327"/>
      <c r="AF541" s="577"/>
      <c r="AG541" s="327"/>
      <c r="AH541" s="576"/>
      <c r="AI541" s="327"/>
      <c r="AJ541" s="577"/>
      <c r="AK541" s="327"/>
      <c r="AL541" s="602"/>
      <c r="AM541" s="326"/>
      <c r="AN541" s="326"/>
      <c r="AO541" s="326"/>
      <c r="AP541" s="326"/>
      <c r="AQ541" s="326"/>
      <c r="AR541" s="326"/>
      <c r="AS541" s="326"/>
      <c r="AT541" s="326"/>
      <c r="AU541" s="326"/>
      <c r="AV541" s="326"/>
      <c r="AW541" s="326"/>
      <c r="AX541" s="326"/>
      <c r="AY541" s="326"/>
      <c r="AZ541" s="326"/>
      <c r="BA541" s="326"/>
      <c r="BB541" s="327"/>
    </row>
    <row r="542" spans="1:54" ht="15.75" customHeight="1" x14ac:dyDescent="0.25">
      <c r="A542" s="11">
        <f t="shared" si="2"/>
        <v>529</v>
      </c>
      <c r="B542" s="570" t="str">
        <f>'refer admin discharge'!B538</f>
        <v>x</v>
      </c>
      <c r="C542" s="327"/>
      <c r="D542" s="599" t="str">
        <f>'refer admin discharge'!D538</f>
        <v>xx</v>
      </c>
      <c r="E542" s="327"/>
      <c r="F542" s="600" t="str">
        <f>'refer admin discharge'!H538</f>
        <v>00/00/0000</v>
      </c>
      <c r="G542" s="327"/>
      <c r="H542" s="574"/>
      <c r="I542" s="327"/>
      <c r="J542" s="601"/>
      <c r="K542" s="327"/>
      <c r="L542" s="574"/>
      <c r="M542" s="327"/>
      <c r="N542" s="594"/>
      <c r="O542" s="327"/>
      <c r="P542" s="574"/>
      <c r="Q542" s="327"/>
      <c r="R542" s="594"/>
      <c r="S542" s="327"/>
      <c r="T542" s="574"/>
      <c r="U542" s="327"/>
      <c r="V542" s="595" t="str">
        <f>'refer admin discharge'!H543</f>
        <v>00/00/0000</v>
      </c>
      <c r="W542" s="327"/>
      <c r="X542" s="596"/>
      <c r="Y542" s="327"/>
      <c r="Z542" s="597"/>
      <c r="AA542" s="327"/>
      <c r="AB542" s="596"/>
      <c r="AC542" s="327"/>
      <c r="AD542" s="577"/>
      <c r="AE542" s="327"/>
      <c r="AF542" s="596"/>
      <c r="AG542" s="327"/>
      <c r="AH542" s="577"/>
      <c r="AI542" s="327"/>
      <c r="AJ542" s="596"/>
      <c r="AK542" s="327"/>
      <c r="AL542" s="598"/>
      <c r="AM542" s="326"/>
      <c r="AN542" s="326"/>
      <c r="AO542" s="326"/>
      <c r="AP542" s="326"/>
      <c r="AQ542" s="326"/>
      <c r="AR542" s="326"/>
      <c r="AS542" s="326"/>
      <c r="AT542" s="326"/>
      <c r="AU542" s="326"/>
      <c r="AV542" s="326"/>
      <c r="AW542" s="326"/>
      <c r="AX542" s="326"/>
      <c r="AY542" s="326"/>
      <c r="AZ542" s="326"/>
      <c r="BA542" s="326"/>
      <c r="BB542" s="327"/>
    </row>
    <row r="543" spans="1:54" ht="15.75" customHeight="1" x14ac:dyDescent="0.25">
      <c r="A543" s="11">
        <f t="shared" si="2"/>
        <v>530</v>
      </c>
      <c r="B543" s="504" t="str">
        <f>'refer admin discharge'!B539</f>
        <v>x</v>
      </c>
      <c r="C543" s="327"/>
      <c r="D543" s="505" t="str">
        <f>'refer admin discharge'!D539</f>
        <v>xx</v>
      </c>
      <c r="E543" s="327"/>
      <c r="F543" s="606" t="str">
        <f>'refer admin discharge'!H539</f>
        <v>00/00/0000</v>
      </c>
      <c r="G543" s="327"/>
      <c r="H543" s="594"/>
      <c r="I543" s="327"/>
      <c r="J543" s="605"/>
      <c r="K543" s="327"/>
      <c r="L543" s="594"/>
      <c r="M543" s="327"/>
      <c r="N543" s="575"/>
      <c r="O543" s="327"/>
      <c r="P543" s="594"/>
      <c r="Q543" s="327"/>
      <c r="R543" s="575"/>
      <c r="S543" s="327"/>
      <c r="T543" s="594"/>
      <c r="U543" s="327"/>
      <c r="V543" s="595" t="str">
        <f>'refer admin discharge'!H544</f>
        <v>00/00/0000</v>
      </c>
      <c r="W543" s="327"/>
      <c r="X543" s="577"/>
      <c r="Y543" s="327"/>
      <c r="Z543" s="604"/>
      <c r="AA543" s="327"/>
      <c r="AB543" s="577"/>
      <c r="AC543" s="327"/>
      <c r="AD543" s="576"/>
      <c r="AE543" s="327"/>
      <c r="AF543" s="577"/>
      <c r="AG543" s="327"/>
      <c r="AH543" s="576"/>
      <c r="AI543" s="327"/>
      <c r="AJ543" s="577"/>
      <c r="AK543" s="327"/>
      <c r="AL543" s="602"/>
      <c r="AM543" s="326"/>
      <c r="AN543" s="326"/>
      <c r="AO543" s="326"/>
      <c r="AP543" s="326"/>
      <c r="AQ543" s="326"/>
      <c r="AR543" s="326"/>
      <c r="AS543" s="326"/>
      <c r="AT543" s="326"/>
      <c r="AU543" s="326"/>
      <c r="AV543" s="326"/>
      <c r="AW543" s="326"/>
      <c r="AX543" s="326"/>
      <c r="AY543" s="326"/>
      <c r="AZ543" s="326"/>
      <c r="BA543" s="326"/>
      <c r="BB543" s="327"/>
    </row>
    <row r="544" spans="1:54" ht="15.75" customHeight="1" x14ac:dyDescent="0.25">
      <c r="A544" s="11">
        <f t="shared" si="2"/>
        <v>531</v>
      </c>
      <c r="B544" s="570" t="str">
        <f>'refer admin discharge'!B540</f>
        <v>x</v>
      </c>
      <c r="C544" s="327"/>
      <c r="D544" s="599" t="str">
        <f>'refer admin discharge'!D540</f>
        <v>xx</v>
      </c>
      <c r="E544" s="327"/>
      <c r="F544" s="600" t="str">
        <f>'refer admin discharge'!H540</f>
        <v>00/00/0000</v>
      </c>
      <c r="G544" s="327"/>
      <c r="H544" s="574"/>
      <c r="I544" s="327"/>
      <c r="J544" s="601"/>
      <c r="K544" s="327"/>
      <c r="L544" s="574"/>
      <c r="M544" s="327"/>
      <c r="N544" s="594"/>
      <c r="O544" s="327"/>
      <c r="P544" s="574"/>
      <c r="Q544" s="327"/>
      <c r="R544" s="594"/>
      <c r="S544" s="327"/>
      <c r="T544" s="574"/>
      <c r="U544" s="327"/>
      <c r="V544" s="595" t="str">
        <f>'refer admin discharge'!H545</f>
        <v>00/00/0000</v>
      </c>
      <c r="W544" s="327"/>
      <c r="X544" s="596"/>
      <c r="Y544" s="327"/>
      <c r="Z544" s="597"/>
      <c r="AA544" s="327"/>
      <c r="AB544" s="596"/>
      <c r="AC544" s="327"/>
      <c r="AD544" s="577"/>
      <c r="AE544" s="327"/>
      <c r="AF544" s="596"/>
      <c r="AG544" s="327"/>
      <c r="AH544" s="577"/>
      <c r="AI544" s="327"/>
      <c r="AJ544" s="596"/>
      <c r="AK544" s="327"/>
      <c r="AL544" s="598"/>
      <c r="AM544" s="326"/>
      <c r="AN544" s="326"/>
      <c r="AO544" s="326"/>
      <c r="AP544" s="326"/>
      <c r="AQ544" s="326"/>
      <c r="AR544" s="326"/>
      <c r="AS544" s="326"/>
      <c r="AT544" s="326"/>
      <c r="AU544" s="326"/>
      <c r="AV544" s="326"/>
      <c r="AW544" s="326"/>
      <c r="AX544" s="326"/>
      <c r="AY544" s="326"/>
      <c r="AZ544" s="326"/>
      <c r="BA544" s="326"/>
      <c r="BB544" s="327"/>
    </row>
    <row r="545" spans="1:54" ht="15.75" customHeight="1" x14ac:dyDescent="0.25">
      <c r="A545" s="11">
        <f t="shared" si="2"/>
        <v>532</v>
      </c>
      <c r="B545" s="504" t="str">
        <f>'refer admin discharge'!B541</f>
        <v>x</v>
      </c>
      <c r="C545" s="327"/>
      <c r="D545" s="505" t="str">
        <f>'refer admin discharge'!D541</f>
        <v>xx</v>
      </c>
      <c r="E545" s="327"/>
      <c r="F545" s="606" t="str">
        <f>'refer admin discharge'!H541</f>
        <v>00/00/0000</v>
      </c>
      <c r="G545" s="327"/>
      <c r="H545" s="594"/>
      <c r="I545" s="327"/>
      <c r="J545" s="605"/>
      <c r="K545" s="327"/>
      <c r="L545" s="594"/>
      <c r="M545" s="327"/>
      <c r="N545" s="575"/>
      <c r="O545" s="327"/>
      <c r="P545" s="594"/>
      <c r="Q545" s="327"/>
      <c r="R545" s="575"/>
      <c r="S545" s="327"/>
      <c r="T545" s="594"/>
      <c r="U545" s="327"/>
      <c r="V545" s="595" t="str">
        <f>'refer admin discharge'!H546</f>
        <v>00/00/0000</v>
      </c>
      <c r="W545" s="327"/>
      <c r="X545" s="577"/>
      <c r="Y545" s="327"/>
      <c r="Z545" s="604"/>
      <c r="AA545" s="327"/>
      <c r="AB545" s="577"/>
      <c r="AC545" s="327"/>
      <c r="AD545" s="576"/>
      <c r="AE545" s="327"/>
      <c r="AF545" s="577"/>
      <c r="AG545" s="327"/>
      <c r="AH545" s="576"/>
      <c r="AI545" s="327"/>
      <c r="AJ545" s="577"/>
      <c r="AK545" s="327"/>
      <c r="AL545" s="602"/>
      <c r="AM545" s="326"/>
      <c r="AN545" s="326"/>
      <c r="AO545" s="326"/>
      <c r="AP545" s="326"/>
      <c r="AQ545" s="326"/>
      <c r="AR545" s="326"/>
      <c r="AS545" s="326"/>
      <c r="AT545" s="326"/>
      <c r="AU545" s="326"/>
      <c r="AV545" s="326"/>
      <c r="AW545" s="326"/>
      <c r="AX545" s="326"/>
      <c r="AY545" s="326"/>
      <c r="AZ545" s="326"/>
      <c r="BA545" s="326"/>
      <c r="BB545" s="327"/>
    </row>
    <row r="546" spans="1:54" ht="15.75" customHeight="1" x14ac:dyDescent="0.25">
      <c r="A546" s="11">
        <f t="shared" si="2"/>
        <v>533</v>
      </c>
      <c r="B546" s="570" t="str">
        <f>'refer admin discharge'!B542</f>
        <v>x</v>
      </c>
      <c r="C546" s="327"/>
      <c r="D546" s="599" t="str">
        <f>'refer admin discharge'!D542</f>
        <v>xx</v>
      </c>
      <c r="E546" s="327"/>
      <c r="F546" s="600" t="str">
        <f>'refer admin discharge'!H542</f>
        <v>00/00/0000</v>
      </c>
      <c r="G546" s="327"/>
      <c r="H546" s="574"/>
      <c r="I546" s="327"/>
      <c r="J546" s="601"/>
      <c r="K546" s="327"/>
      <c r="L546" s="574"/>
      <c r="M546" s="327"/>
      <c r="N546" s="594"/>
      <c r="O546" s="327"/>
      <c r="P546" s="574"/>
      <c r="Q546" s="327"/>
      <c r="R546" s="594"/>
      <c r="S546" s="327"/>
      <c r="T546" s="574"/>
      <c r="U546" s="327"/>
      <c r="V546" s="595" t="str">
        <f>'refer admin discharge'!H547</f>
        <v>00/00/0000</v>
      </c>
      <c r="W546" s="327"/>
      <c r="X546" s="596"/>
      <c r="Y546" s="327"/>
      <c r="Z546" s="597"/>
      <c r="AA546" s="327"/>
      <c r="AB546" s="596"/>
      <c r="AC546" s="327"/>
      <c r="AD546" s="577"/>
      <c r="AE546" s="327"/>
      <c r="AF546" s="596"/>
      <c r="AG546" s="327"/>
      <c r="AH546" s="577"/>
      <c r="AI546" s="327"/>
      <c r="AJ546" s="596"/>
      <c r="AK546" s="327"/>
      <c r="AL546" s="598"/>
      <c r="AM546" s="326"/>
      <c r="AN546" s="326"/>
      <c r="AO546" s="326"/>
      <c r="AP546" s="326"/>
      <c r="AQ546" s="326"/>
      <c r="AR546" s="326"/>
      <c r="AS546" s="326"/>
      <c r="AT546" s="326"/>
      <c r="AU546" s="326"/>
      <c r="AV546" s="326"/>
      <c r="AW546" s="326"/>
      <c r="AX546" s="326"/>
      <c r="AY546" s="326"/>
      <c r="AZ546" s="326"/>
      <c r="BA546" s="326"/>
      <c r="BB546" s="327"/>
    </row>
    <row r="547" spans="1:54" ht="15.75" customHeight="1" x14ac:dyDescent="0.25">
      <c r="A547" s="11">
        <f t="shared" si="2"/>
        <v>534</v>
      </c>
      <c r="B547" s="504" t="str">
        <f>'refer admin discharge'!B543</f>
        <v>x</v>
      </c>
      <c r="C547" s="327"/>
      <c r="D547" s="505" t="str">
        <f>'refer admin discharge'!D543</f>
        <v>xx</v>
      </c>
      <c r="E547" s="327"/>
      <c r="F547" s="606" t="str">
        <f>'refer admin discharge'!H543</f>
        <v>00/00/0000</v>
      </c>
      <c r="G547" s="327"/>
      <c r="H547" s="594"/>
      <c r="I547" s="327"/>
      <c r="J547" s="605"/>
      <c r="K547" s="327"/>
      <c r="L547" s="594"/>
      <c r="M547" s="327"/>
      <c r="N547" s="575"/>
      <c r="O547" s="327"/>
      <c r="P547" s="594"/>
      <c r="Q547" s="327"/>
      <c r="R547" s="575"/>
      <c r="S547" s="327"/>
      <c r="T547" s="594"/>
      <c r="U547" s="327"/>
      <c r="V547" s="595" t="str">
        <f>'refer admin discharge'!H548</f>
        <v>00/00/0000</v>
      </c>
      <c r="W547" s="327"/>
      <c r="X547" s="577"/>
      <c r="Y547" s="327"/>
      <c r="Z547" s="604"/>
      <c r="AA547" s="327"/>
      <c r="AB547" s="577"/>
      <c r="AC547" s="327"/>
      <c r="AD547" s="576"/>
      <c r="AE547" s="327"/>
      <c r="AF547" s="577"/>
      <c r="AG547" s="327"/>
      <c r="AH547" s="576"/>
      <c r="AI547" s="327"/>
      <c r="AJ547" s="577"/>
      <c r="AK547" s="327"/>
      <c r="AL547" s="602"/>
      <c r="AM547" s="326"/>
      <c r="AN547" s="326"/>
      <c r="AO547" s="326"/>
      <c r="AP547" s="326"/>
      <c r="AQ547" s="326"/>
      <c r="AR547" s="326"/>
      <c r="AS547" s="326"/>
      <c r="AT547" s="326"/>
      <c r="AU547" s="326"/>
      <c r="AV547" s="326"/>
      <c r="AW547" s="326"/>
      <c r="AX547" s="326"/>
      <c r="AY547" s="326"/>
      <c r="AZ547" s="326"/>
      <c r="BA547" s="326"/>
      <c r="BB547" s="327"/>
    </row>
    <row r="548" spans="1:54" ht="15.75" customHeight="1" x14ac:dyDescent="0.25">
      <c r="A548" s="11">
        <f t="shared" si="2"/>
        <v>535</v>
      </c>
      <c r="B548" s="570" t="str">
        <f>'refer admin discharge'!B544</f>
        <v>x</v>
      </c>
      <c r="C548" s="327"/>
      <c r="D548" s="599" t="str">
        <f>'refer admin discharge'!D544</f>
        <v>xx</v>
      </c>
      <c r="E548" s="327"/>
      <c r="F548" s="600" t="str">
        <f>'refer admin discharge'!H544</f>
        <v>00/00/0000</v>
      </c>
      <c r="G548" s="327"/>
      <c r="H548" s="574"/>
      <c r="I548" s="327"/>
      <c r="J548" s="601"/>
      <c r="K548" s="327"/>
      <c r="L548" s="574"/>
      <c r="M548" s="327"/>
      <c r="N548" s="594"/>
      <c r="O548" s="327"/>
      <c r="P548" s="574"/>
      <c r="Q548" s="327"/>
      <c r="R548" s="594"/>
      <c r="S548" s="327"/>
      <c r="T548" s="574"/>
      <c r="U548" s="327"/>
      <c r="V548" s="595" t="str">
        <f>'refer admin discharge'!H549</f>
        <v>00/00/0000</v>
      </c>
      <c r="W548" s="327"/>
      <c r="X548" s="596"/>
      <c r="Y548" s="327"/>
      <c r="Z548" s="597"/>
      <c r="AA548" s="327"/>
      <c r="AB548" s="596"/>
      <c r="AC548" s="327"/>
      <c r="AD548" s="577"/>
      <c r="AE548" s="327"/>
      <c r="AF548" s="596"/>
      <c r="AG548" s="327"/>
      <c r="AH548" s="577"/>
      <c r="AI548" s="327"/>
      <c r="AJ548" s="596"/>
      <c r="AK548" s="327"/>
      <c r="AL548" s="598"/>
      <c r="AM548" s="326"/>
      <c r="AN548" s="326"/>
      <c r="AO548" s="326"/>
      <c r="AP548" s="326"/>
      <c r="AQ548" s="326"/>
      <c r="AR548" s="326"/>
      <c r="AS548" s="326"/>
      <c r="AT548" s="326"/>
      <c r="AU548" s="326"/>
      <c r="AV548" s="326"/>
      <c r="AW548" s="326"/>
      <c r="AX548" s="326"/>
      <c r="AY548" s="326"/>
      <c r="AZ548" s="326"/>
      <c r="BA548" s="326"/>
      <c r="BB548" s="327"/>
    </row>
    <row r="549" spans="1:54" ht="15.75" customHeight="1" x14ac:dyDescent="0.25">
      <c r="A549" s="11">
        <f t="shared" si="2"/>
        <v>536</v>
      </c>
      <c r="B549" s="504" t="str">
        <f>'refer admin discharge'!B545</f>
        <v>x</v>
      </c>
      <c r="C549" s="327"/>
      <c r="D549" s="505" t="str">
        <f>'refer admin discharge'!D545</f>
        <v>xx</v>
      </c>
      <c r="E549" s="327"/>
      <c r="F549" s="606" t="str">
        <f>'refer admin discharge'!H545</f>
        <v>00/00/0000</v>
      </c>
      <c r="G549" s="327"/>
      <c r="H549" s="594"/>
      <c r="I549" s="327"/>
      <c r="J549" s="605"/>
      <c r="K549" s="327"/>
      <c r="L549" s="594"/>
      <c r="M549" s="327"/>
      <c r="N549" s="575"/>
      <c r="O549" s="327"/>
      <c r="P549" s="594"/>
      <c r="Q549" s="327"/>
      <c r="R549" s="575"/>
      <c r="S549" s="327"/>
      <c r="T549" s="594"/>
      <c r="U549" s="327"/>
      <c r="V549" s="595" t="str">
        <f>'refer admin discharge'!H550</f>
        <v>00/00/0000</v>
      </c>
      <c r="W549" s="327"/>
      <c r="X549" s="577"/>
      <c r="Y549" s="327"/>
      <c r="Z549" s="604"/>
      <c r="AA549" s="327"/>
      <c r="AB549" s="577"/>
      <c r="AC549" s="327"/>
      <c r="AD549" s="576"/>
      <c r="AE549" s="327"/>
      <c r="AF549" s="577"/>
      <c r="AG549" s="327"/>
      <c r="AH549" s="576"/>
      <c r="AI549" s="327"/>
      <c r="AJ549" s="577"/>
      <c r="AK549" s="327"/>
      <c r="AL549" s="602"/>
      <c r="AM549" s="326"/>
      <c r="AN549" s="326"/>
      <c r="AO549" s="326"/>
      <c r="AP549" s="326"/>
      <c r="AQ549" s="326"/>
      <c r="AR549" s="326"/>
      <c r="AS549" s="326"/>
      <c r="AT549" s="326"/>
      <c r="AU549" s="326"/>
      <c r="AV549" s="326"/>
      <c r="AW549" s="326"/>
      <c r="AX549" s="326"/>
      <c r="AY549" s="326"/>
      <c r="AZ549" s="326"/>
      <c r="BA549" s="326"/>
      <c r="BB549" s="327"/>
    </row>
    <row r="550" spans="1:54" ht="15.75" customHeight="1" x14ac:dyDescent="0.25">
      <c r="A550" s="11">
        <f t="shared" si="2"/>
        <v>537</v>
      </c>
      <c r="B550" s="570" t="str">
        <f>'refer admin discharge'!B546</f>
        <v>x</v>
      </c>
      <c r="C550" s="327"/>
      <c r="D550" s="599" t="str">
        <f>'refer admin discharge'!D546</f>
        <v>xx</v>
      </c>
      <c r="E550" s="327"/>
      <c r="F550" s="600" t="str">
        <f>'refer admin discharge'!H546</f>
        <v>00/00/0000</v>
      </c>
      <c r="G550" s="327"/>
      <c r="H550" s="574"/>
      <c r="I550" s="327"/>
      <c r="J550" s="601"/>
      <c r="K550" s="327"/>
      <c r="L550" s="574"/>
      <c r="M550" s="327"/>
      <c r="N550" s="594"/>
      <c r="O550" s="327"/>
      <c r="P550" s="574"/>
      <c r="Q550" s="327"/>
      <c r="R550" s="594"/>
      <c r="S550" s="327"/>
      <c r="T550" s="574"/>
      <c r="U550" s="327"/>
      <c r="V550" s="595" t="str">
        <f>'refer admin discharge'!H551</f>
        <v>00/00/0000</v>
      </c>
      <c r="W550" s="327"/>
      <c r="X550" s="596"/>
      <c r="Y550" s="327"/>
      <c r="Z550" s="597"/>
      <c r="AA550" s="327"/>
      <c r="AB550" s="596"/>
      <c r="AC550" s="327"/>
      <c r="AD550" s="577"/>
      <c r="AE550" s="327"/>
      <c r="AF550" s="596"/>
      <c r="AG550" s="327"/>
      <c r="AH550" s="577"/>
      <c r="AI550" s="327"/>
      <c r="AJ550" s="596"/>
      <c r="AK550" s="327"/>
      <c r="AL550" s="598"/>
      <c r="AM550" s="326"/>
      <c r="AN550" s="326"/>
      <c r="AO550" s="326"/>
      <c r="AP550" s="326"/>
      <c r="AQ550" s="326"/>
      <c r="AR550" s="326"/>
      <c r="AS550" s="326"/>
      <c r="AT550" s="326"/>
      <c r="AU550" s="326"/>
      <c r="AV550" s="326"/>
      <c r="AW550" s="326"/>
      <c r="AX550" s="326"/>
      <c r="AY550" s="326"/>
      <c r="AZ550" s="326"/>
      <c r="BA550" s="326"/>
      <c r="BB550" s="327"/>
    </row>
    <row r="551" spans="1:54" ht="15.75" customHeight="1" x14ac:dyDescent="0.25">
      <c r="A551" s="11">
        <f t="shared" si="2"/>
        <v>538</v>
      </c>
      <c r="B551" s="504" t="str">
        <f>'refer admin discharge'!B547</f>
        <v>x</v>
      </c>
      <c r="C551" s="327"/>
      <c r="D551" s="505" t="str">
        <f>'refer admin discharge'!D547</f>
        <v>xx</v>
      </c>
      <c r="E551" s="327"/>
      <c r="F551" s="606" t="str">
        <f>'refer admin discharge'!H547</f>
        <v>00/00/0000</v>
      </c>
      <c r="G551" s="327"/>
      <c r="H551" s="594"/>
      <c r="I551" s="327"/>
      <c r="J551" s="605"/>
      <c r="K551" s="327"/>
      <c r="L551" s="594"/>
      <c r="M551" s="327"/>
      <c r="N551" s="575"/>
      <c r="O551" s="327"/>
      <c r="P551" s="594"/>
      <c r="Q551" s="327"/>
      <c r="R551" s="575"/>
      <c r="S551" s="327"/>
      <c r="T551" s="594"/>
      <c r="U551" s="327"/>
      <c r="V551" s="595" t="str">
        <f>'refer admin discharge'!H552</f>
        <v>00/00/0000</v>
      </c>
      <c r="W551" s="327"/>
      <c r="X551" s="577"/>
      <c r="Y551" s="327"/>
      <c r="Z551" s="604"/>
      <c r="AA551" s="327"/>
      <c r="AB551" s="577"/>
      <c r="AC551" s="327"/>
      <c r="AD551" s="576"/>
      <c r="AE551" s="327"/>
      <c r="AF551" s="577"/>
      <c r="AG551" s="327"/>
      <c r="AH551" s="576"/>
      <c r="AI551" s="327"/>
      <c r="AJ551" s="577"/>
      <c r="AK551" s="327"/>
      <c r="AL551" s="602"/>
      <c r="AM551" s="326"/>
      <c r="AN551" s="326"/>
      <c r="AO551" s="326"/>
      <c r="AP551" s="326"/>
      <c r="AQ551" s="326"/>
      <c r="AR551" s="326"/>
      <c r="AS551" s="326"/>
      <c r="AT551" s="326"/>
      <c r="AU551" s="326"/>
      <c r="AV551" s="326"/>
      <c r="AW551" s="326"/>
      <c r="AX551" s="326"/>
      <c r="AY551" s="326"/>
      <c r="AZ551" s="326"/>
      <c r="BA551" s="326"/>
      <c r="BB551" s="327"/>
    </row>
    <row r="552" spans="1:54" ht="15.75" customHeight="1" x14ac:dyDescent="0.25">
      <c r="A552" s="11">
        <f t="shared" si="2"/>
        <v>539</v>
      </c>
      <c r="B552" s="570" t="str">
        <f>'refer admin discharge'!B548</f>
        <v>x</v>
      </c>
      <c r="C552" s="327"/>
      <c r="D552" s="599" t="str">
        <f>'refer admin discharge'!D548</f>
        <v>xx</v>
      </c>
      <c r="E552" s="327"/>
      <c r="F552" s="600" t="str">
        <f>'refer admin discharge'!H548</f>
        <v>00/00/0000</v>
      </c>
      <c r="G552" s="327"/>
      <c r="H552" s="574"/>
      <c r="I552" s="327"/>
      <c r="J552" s="601"/>
      <c r="K552" s="327"/>
      <c r="L552" s="574"/>
      <c r="M552" s="327"/>
      <c r="N552" s="594"/>
      <c r="O552" s="327"/>
      <c r="P552" s="574"/>
      <c r="Q552" s="327"/>
      <c r="R552" s="594"/>
      <c r="S552" s="327"/>
      <c r="T552" s="574"/>
      <c r="U552" s="327"/>
      <c r="V552" s="595" t="str">
        <f>'refer admin discharge'!H553</f>
        <v>00/00/0000</v>
      </c>
      <c r="W552" s="327"/>
      <c r="X552" s="596"/>
      <c r="Y552" s="327"/>
      <c r="Z552" s="597"/>
      <c r="AA552" s="327"/>
      <c r="AB552" s="596"/>
      <c r="AC552" s="327"/>
      <c r="AD552" s="577"/>
      <c r="AE552" s="327"/>
      <c r="AF552" s="596"/>
      <c r="AG552" s="327"/>
      <c r="AH552" s="577"/>
      <c r="AI552" s="327"/>
      <c r="AJ552" s="596"/>
      <c r="AK552" s="327"/>
      <c r="AL552" s="598"/>
      <c r="AM552" s="326"/>
      <c r="AN552" s="326"/>
      <c r="AO552" s="326"/>
      <c r="AP552" s="326"/>
      <c r="AQ552" s="326"/>
      <c r="AR552" s="326"/>
      <c r="AS552" s="326"/>
      <c r="AT552" s="326"/>
      <c r="AU552" s="326"/>
      <c r="AV552" s="326"/>
      <c r="AW552" s="326"/>
      <c r="AX552" s="326"/>
      <c r="AY552" s="326"/>
      <c r="AZ552" s="326"/>
      <c r="BA552" s="326"/>
      <c r="BB552" s="327"/>
    </row>
    <row r="553" spans="1:54" ht="15.75" customHeight="1" x14ac:dyDescent="0.25">
      <c r="A553" s="11">
        <f t="shared" si="2"/>
        <v>540</v>
      </c>
      <c r="B553" s="504" t="str">
        <f>'refer admin discharge'!B549</f>
        <v>x</v>
      </c>
      <c r="C553" s="327"/>
      <c r="D553" s="505" t="str">
        <f>'refer admin discharge'!D549</f>
        <v>xx</v>
      </c>
      <c r="E553" s="327"/>
      <c r="F553" s="606" t="str">
        <f>'refer admin discharge'!H549</f>
        <v>00/00/0000</v>
      </c>
      <c r="G553" s="327"/>
      <c r="H553" s="594"/>
      <c r="I553" s="327"/>
      <c r="J553" s="605"/>
      <c r="K553" s="327"/>
      <c r="L553" s="594"/>
      <c r="M553" s="327"/>
      <c r="N553" s="575"/>
      <c r="O553" s="327"/>
      <c r="P553" s="594"/>
      <c r="Q553" s="327"/>
      <c r="R553" s="575"/>
      <c r="S553" s="327"/>
      <c r="T553" s="594"/>
      <c r="U553" s="327"/>
      <c r="V553" s="595" t="str">
        <f>'refer admin discharge'!H554</f>
        <v>00/00/0000</v>
      </c>
      <c r="W553" s="327"/>
      <c r="X553" s="577"/>
      <c r="Y553" s="327"/>
      <c r="Z553" s="604"/>
      <c r="AA553" s="327"/>
      <c r="AB553" s="577"/>
      <c r="AC553" s="327"/>
      <c r="AD553" s="576"/>
      <c r="AE553" s="327"/>
      <c r="AF553" s="577"/>
      <c r="AG553" s="327"/>
      <c r="AH553" s="576"/>
      <c r="AI553" s="327"/>
      <c r="AJ553" s="577"/>
      <c r="AK553" s="327"/>
      <c r="AL553" s="602"/>
      <c r="AM553" s="326"/>
      <c r="AN553" s="326"/>
      <c r="AO553" s="326"/>
      <c r="AP553" s="326"/>
      <c r="AQ553" s="326"/>
      <c r="AR553" s="326"/>
      <c r="AS553" s="326"/>
      <c r="AT553" s="326"/>
      <c r="AU553" s="326"/>
      <c r="AV553" s="326"/>
      <c r="AW553" s="326"/>
      <c r="AX553" s="326"/>
      <c r="AY553" s="326"/>
      <c r="AZ553" s="326"/>
      <c r="BA553" s="326"/>
      <c r="BB553" s="327"/>
    </row>
    <row r="554" spans="1:54" ht="15.75" customHeight="1" x14ac:dyDescent="0.25">
      <c r="A554" s="11">
        <f t="shared" si="2"/>
        <v>541</v>
      </c>
      <c r="B554" s="570" t="str">
        <f>'refer admin discharge'!B550</f>
        <v>x</v>
      </c>
      <c r="C554" s="327"/>
      <c r="D554" s="599" t="str">
        <f>'refer admin discharge'!D550</f>
        <v>xx</v>
      </c>
      <c r="E554" s="327"/>
      <c r="F554" s="600" t="str">
        <f>'refer admin discharge'!H550</f>
        <v>00/00/0000</v>
      </c>
      <c r="G554" s="327"/>
      <c r="H554" s="574"/>
      <c r="I554" s="327"/>
      <c r="J554" s="601"/>
      <c r="K554" s="327"/>
      <c r="L554" s="574"/>
      <c r="M554" s="327"/>
      <c r="N554" s="594"/>
      <c r="O554" s="327"/>
      <c r="P554" s="574"/>
      <c r="Q554" s="327"/>
      <c r="R554" s="594"/>
      <c r="S554" s="327"/>
      <c r="T554" s="574"/>
      <c r="U554" s="327"/>
      <c r="V554" s="595" t="str">
        <f>'refer admin discharge'!H555</f>
        <v>00/00/0000</v>
      </c>
      <c r="W554" s="327"/>
      <c r="X554" s="596"/>
      <c r="Y554" s="327"/>
      <c r="Z554" s="597"/>
      <c r="AA554" s="327"/>
      <c r="AB554" s="596"/>
      <c r="AC554" s="327"/>
      <c r="AD554" s="577"/>
      <c r="AE554" s="327"/>
      <c r="AF554" s="596"/>
      <c r="AG554" s="327"/>
      <c r="AH554" s="577"/>
      <c r="AI554" s="327"/>
      <c r="AJ554" s="596"/>
      <c r="AK554" s="327"/>
      <c r="AL554" s="598"/>
      <c r="AM554" s="326"/>
      <c r="AN554" s="326"/>
      <c r="AO554" s="326"/>
      <c r="AP554" s="326"/>
      <c r="AQ554" s="326"/>
      <c r="AR554" s="326"/>
      <c r="AS554" s="326"/>
      <c r="AT554" s="326"/>
      <c r="AU554" s="326"/>
      <c r="AV554" s="326"/>
      <c r="AW554" s="326"/>
      <c r="AX554" s="326"/>
      <c r="AY554" s="326"/>
      <c r="AZ554" s="326"/>
      <c r="BA554" s="326"/>
      <c r="BB554" s="327"/>
    </row>
    <row r="555" spans="1:54" ht="15.75" customHeight="1" x14ac:dyDescent="0.25">
      <c r="A555" s="11">
        <f t="shared" si="2"/>
        <v>542</v>
      </c>
      <c r="B555" s="504" t="str">
        <f>'refer admin discharge'!B551</f>
        <v>x</v>
      </c>
      <c r="C555" s="327"/>
      <c r="D555" s="505" t="str">
        <f>'refer admin discharge'!D551</f>
        <v>xx</v>
      </c>
      <c r="E555" s="327"/>
      <c r="F555" s="606" t="str">
        <f>'refer admin discharge'!H551</f>
        <v>00/00/0000</v>
      </c>
      <c r="G555" s="327"/>
      <c r="H555" s="594"/>
      <c r="I555" s="327"/>
      <c r="J555" s="605"/>
      <c r="K555" s="327"/>
      <c r="L555" s="594"/>
      <c r="M555" s="327"/>
      <c r="N555" s="575"/>
      <c r="O555" s="327"/>
      <c r="P555" s="594"/>
      <c r="Q555" s="327"/>
      <c r="R555" s="575"/>
      <c r="S555" s="327"/>
      <c r="T555" s="594"/>
      <c r="U555" s="327"/>
      <c r="V555" s="595" t="str">
        <f>'refer admin discharge'!H556</f>
        <v>00/00/0000</v>
      </c>
      <c r="W555" s="327"/>
      <c r="X555" s="577"/>
      <c r="Y555" s="327"/>
      <c r="Z555" s="604"/>
      <c r="AA555" s="327"/>
      <c r="AB555" s="577"/>
      <c r="AC555" s="327"/>
      <c r="AD555" s="576"/>
      <c r="AE555" s="327"/>
      <c r="AF555" s="577"/>
      <c r="AG555" s="327"/>
      <c r="AH555" s="576"/>
      <c r="AI555" s="327"/>
      <c r="AJ555" s="577"/>
      <c r="AK555" s="327"/>
      <c r="AL555" s="602"/>
      <c r="AM555" s="326"/>
      <c r="AN555" s="326"/>
      <c r="AO555" s="326"/>
      <c r="AP555" s="326"/>
      <c r="AQ555" s="326"/>
      <c r="AR555" s="326"/>
      <c r="AS555" s="326"/>
      <c r="AT555" s="326"/>
      <c r="AU555" s="326"/>
      <c r="AV555" s="326"/>
      <c r="AW555" s="326"/>
      <c r="AX555" s="326"/>
      <c r="AY555" s="326"/>
      <c r="AZ555" s="326"/>
      <c r="BA555" s="326"/>
      <c r="BB555" s="327"/>
    </row>
    <row r="556" spans="1:54" ht="15.75" customHeight="1" x14ac:dyDescent="0.25">
      <c r="A556" s="11">
        <f t="shared" si="2"/>
        <v>543</v>
      </c>
      <c r="B556" s="570" t="str">
        <f>'refer admin discharge'!B552</f>
        <v>x</v>
      </c>
      <c r="C556" s="327"/>
      <c r="D556" s="599" t="str">
        <f>'refer admin discharge'!D552</f>
        <v>xx</v>
      </c>
      <c r="E556" s="327"/>
      <c r="F556" s="600" t="str">
        <f>'refer admin discharge'!H552</f>
        <v>00/00/0000</v>
      </c>
      <c r="G556" s="327"/>
      <c r="H556" s="574"/>
      <c r="I556" s="327"/>
      <c r="J556" s="601"/>
      <c r="K556" s="327"/>
      <c r="L556" s="574"/>
      <c r="M556" s="327"/>
      <c r="N556" s="594"/>
      <c r="O556" s="327"/>
      <c r="P556" s="574"/>
      <c r="Q556" s="327"/>
      <c r="R556" s="594"/>
      <c r="S556" s="327"/>
      <c r="T556" s="574"/>
      <c r="U556" s="327"/>
      <c r="V556" s="595" t="str">
        <f>'refer admin discharge'!H557</f>
        <v>00/00/0000</v>
      </c>
      <c r="W556" s="327"/>
      <c r="X556" s="596"/>
      <c r="Y556" s="327"/>
      <c r="Z556" s="597"/>
      <c r="AA556" s="327"/>
      <c r="AB556" s="596"/>
      <c r="AC556" s="327"/>
      <c r="AD556" s="577"/>
      <c r="AE556" s="327"/>
      <c r="AF556" s="596"/>
      <c r="AG556" s="327"/>
      <c r="AH556" s="577"/>
      <c r="AI556" s="327"/>
      <c r="AJ556" s="596"/>
      <c r="AK556" s="327"/>
      <c r="AL556" s="598"/>
      <c r="AM556" s="326"/>
      <c r="AN556" s="326"/>
      <c r="AO556" s="326"/>
      <c r="AP556" s="326"/>
      <c r="AQ556" s="326"/>
      <c r="AR556" s="326"/>
      <c r="AS556" s="326"/>
      <c r="AT556" s="326"/>
      <c r="AU556" s="326"/>
      <c r="AV556" s="326"/>
      <c r="AW556" s="326"/>
      <c r="AX556" s="326"/>
      <c r="AY556" s="326"/>
      <c r="AZ556" s="326"/>
      <c r="BA556" s="326"/>
      <c r="BB556" s="327"/>
    </row>
    <row r="557" spans="1:54" ht="15.75" customHeight="1" x14ac:dyDescent="0.25">
      <c r="A557" s="11">
        <f t="shared" si="2"/>
        <v>544</v>
      </c>
      <c r="B557" s="504" t="str">
        <f>'refer admin discharge'!B553</f>
        <v>x</v>
      </c>
      <c r="C557" s="327"/>
      <c r="D557" s="505" t="str">
        <f>'refer admin discharge'!D553</f>
        <v>xx</v>
      </c>
      <c r="E557" s="327"/>
      <c r="F557" s="606" t="str">
        <f>'refer admin discharge'!H553</f>
        <v>00/00/0000</v>
      </c>
      <c r="G557" s="327"/>
      <c r="H557" s="594"/>
      <c r="I557" s="327"/>
      <c r="J557" s="605"/>
      <c r="K557" s="327"/>
      <c r="L557" s="594"/>
      <c r="M557" s="327"/>
      <c r="N557" s="575"/>
      <c r="O557" s="327"/>
      <c r="P557" s="594"/>
      <c r="Q557" s="327"/>
      <c r="R557" s="575"/>
      <c r="S557" s="327"/>
      <c r="T557" s="594"/>
      <c r="U557" s="327"/>
      <c r="V557" s="595" t="str">
        <f>'refer admin discharge'!H558</f>
        <v>00/00/0000</v>
      </c>
      <c r="W557" s="327"/>
      <c r="X557" s="577"/>
      <c r="Y557" s="327"/>
      <c r="Z557" s="604"/>
      <c r="AA557" s="327"/>
      <c r="AB557" s="577"/>
      <c r="AC557" s="327"/>
      <c r="AD557" s="576"/>
      <c r="AE557" s="327"/>
      <c r="AF557" s="577"/>
      <c r="AG557" s="327"/>
      <c r="AH557" s="576"/>
      <c r="AI557" s="327"/>
      <c r="AJ557" s="577"/>
      <c r="AK557" s="327"/>
      <c r="AL557" s="602"/>
      <c r="AM557" s="326"/>
      <c r="AN557" s="326"/>
      <c r="AO557" s="326"/>
      <c r="AP557" s="326"/>
      <c r="AQ557" s="326"/>
      <c r="AR557" s="326"/>
      <c r="AS557" s="326"/>
      <c r="AT557" s="326"/>
      <c r="AU557" s="326"/>
      <c r="AV557" s="326"/>
      <c r="AW557" s="326"/>
      <c r="AX557" s="326"/>
      <c r="AY557" s="326"/>
      <c r="AZ557" s="326"/>
      <c r="BA557" s="326"/>
      <c r="BB557" s="327"/>
    </row>
    <row r="558" spans="1:54" ht="15.75" customHeight="1" x14ac:dyDescent="0.25">
      <c r="A558" s="11">
        <f t="shared" si="2"/>
        <v>545</v>
      </c>
      <c r="B558" s="570" t="str">
        <f>'refer admin discharge'!B554</f>
        <v>x</v>
      </c>
      <c r="C558" s="327"/>
      <c r="D558" s="599" t="str">
        <f>'refer admin discharge'!D554</f>
        <v>xx</v>
      </c>
      <c r="E558" s="327"/>
      <c r="F558" s="600" t="str">
        <f>'refer admin discharge'!H554</f>
        <v>00/00/0000</v>
      </c>
      <c r="G558" s="327"/>
      <c r="H558" s="574"/>
      <c r="I558" s="327"/>
      <c r="J558" s="601"/>
      <c r="K558" s="327"/>
      <c r="L558" s="574"/>
      <c r="M558" s="327"/>
      <c r="N558" s="594"/>
      <c r="O558" s="327"/>
      <c r="P558" s="574"/>
      <c r="Q558" s="327"/>
      <c r="R558" s="594"/>
      <c r="S558" s="327"/>
      <c r="T558" s="574"/>
      <c r="U558" s="327"/>
      <c r="V558" s="595" t="str">
        <f>'refer admin discharge'!H559</f>
        <v>00/00/0000</v>
      </c>
      <c r="W558" s="327"/>
      <c r="X558" s="596"/>
      <c r="Y558" s="327"/>
      <c r="Z558" s="597"/>
      <c r="AA558" s="327"/>
      <c r="AB558" s="596"/>
      <c r="AC558" s="327"/>
      <c r="AD558" s="577"/>
      <c r="AE558" s="327"/>
      <c r="AF558" s="596"/>
      <c r="AG558" s="327"/>
      <c r="AH558" s="577"/>
      <c r="AI558" s="327"/>
      <c r="AJ558" s="596"/>
      <c r="AK558" s="327"/>
      <c r="AL558" s="598"/>
      <c r="AM558" s="326"/>
      <c r="AN558" s="326"/>
      <c r="AO558" s="326"/>
      <c r="AP558" s="326"/>
      <c r="AQ558" s="326"/>
      <c r="AR558" s="326"/>
      <c r="AS558" s="326"/>
      <c r="AT558" s="326"/>
      <c r="AU558" s="326"/>
      <c r="AV558" s="326"/>
      <c r="AW558" s="326"/>
      <c r="AX558" s="326"/>
      <c r="AY558" s="326"/>
      <c r="AZ558" s="326"/>
      <c r="BA558" s="326"/>
      <c r="BB558" s="327"/>
    </row>
    <row r="559" spans="1:54" ht="15.75" customHeight="1" x14ac:dyDescent="0.25">
      <c r="A559" s="11">
        <f t="shared" si="2"/>
        <v>546</v>
      </c>
      <c r="B559" s="504" t="str">
        <f>'refer admin discharge'!B555</f>
        <v>x</v>
      </c>
      <c r="C559" s="327"/>
      <c r="D559" s="505" t="str">
        <f>'refer admin discharge'!D555</f>
        <v>xx</v>
      </c>
      <c r="E559" s="327"/>
      <c r="F559" s="606" t="str">
        <f>'refer admin discharge'!H555</f>
        <v>00/00/0000</v>
      </c>
      <c r="G559" s="327"/>
      <c r="H559" s="594"/>
      <c r="I559" s="327"/>
      <c r="J559" s="605"/>
      <c r="K559" s="327"/>
      <c r="L559" s="594"/>
      <c r="M559" s="327"/>
      <c r="N559" s="575"/>
      <c r="O559" s="327"/>
      <c r="P559" s="594"/>
      <c r="Q559" s="327"/>
      <c r="R559" s="575"/>
      <c r="S559" s="327"/>
      <c r="T559" s="594"/>
      <c r="U559" s="327"/>
      <c r="V559" s="595" t="str">
        <f>'refer admin discharge'!H560</f>
        <v>00/00/0000</v>
      </c>
      <c r="W559" s="327"/>
      <c r="X559" s="577"/>
      <c r="Y559" s="327"/>
      <c r="Z559" s="604"/>
      <c r="AA559" s="327"/>
      <c r="AB559" s="577"/>
      <c r="AC559" s="327"/>
      <c r="AD559" s="576"/>
      <c r="AE559" s="327"/>
      <c r="AF559" s="577"/>
      <c r="AG559" s="327"/>
      <c r="AH559" s="576"/>
      <c r="AI559" s="327"/>
      <c r="AJ559" s="577"/>
      <c r="AK559" s="327"/>
      <c r="AL559" s="602"/>
      <c r="AM559" s="326"/>
      <c r="AN559" s="326"/>
      <c r="AO559" s="326"/>
      <c r="AP559" s="326"/>
      <c r="AQ559" s="326"/>
      <c r="AR559" s="326"/>
      <c r="AS559" s="326"/>
      <c r="AT559" s="326"/>
      <c r="AU559" s="326"/>
      <c r="AV559" s="326"/>
      <c r="AW559" s="326"/>
      <c r="AX559" s="326"/>
      <c r="AY559" s="326"/>
      <c r="AZ559" s="326"/>
      <c r="BA559" s="326"/>
      <c r="BB559" s="327"/>
    </row>
    <row r="560" spans="1:54" ht="15.75" customHeight="1" x14ac:dyDescent="0.25">
      <c r="A560" s="11">
        <f t="shared" si="2"/>
        <v>547</v>
      </c>
      <c r="B560" s="570" t="str">
        <f>'refer admin discharge'!B556</f>
        <v>x</v>
      </c>
      <c r="C560" s="327"/>
      <c r="D560" s="599" t="str">
        <f>'refer admin discharge'!D556</f>
        <v>xx</v>
      </c>
      <c r="E560" s="327"/>
      <c r="F560" s="600" t="str">
        <f>'refer admin discharge'!H556</f>
        <v>00/00/0000</v>
      </c>
      <c r="G560" s="327"/>
      <c r="H560" s="574"/>
      <c r="I560" s="327"/>
      <c r="J560" s="601"/>
      <c r="K560" s="327"/>
      <c r="L560" s="574"/>
      <c r="M560" s="327"/>
      <c r="N560" s="594"/>
      <c r="O560" s="327"/>
      <c r="P560" s="574"/>
      <c r="Q560" s="327"/>
      <c r="R560" s="594"/>
      <c r="S560" s="327"/>
      <c r="T560" s="574"/>
      <c r="U560" s="327"/>
      <c r="V560" s="595" t="str">
        <f>'refer admin discharge'!H561</f>
        <v>00/00/0000</v>
      </c>
      <c r="W560" s="327"/>
      <c r="X560" s="596"/>
      <c r="Y560" s="327"/>
      <c r="Z560" s="597"/>
      <c r="AA560" s="327"/>
      <c r="AB560" s="596"/>
      <c r="AC560" s="327"/>
      <c r="AD560" s="577"/>
      <c r="AE560" s="327"/>
      <c r="AF560" s="596"/>
      <c r="AG560" s="327"/>
      <c r="AH560" s="577"/>
      <c r="AI560" s="327"/>
      <c r="AJ560" s="596"/>
      <c r="AK560" s="327"/>
      <c r="AL560" s="598"/>
      <c r="AM560" s="326"/>
      <c r="AN560" s="326"/>
      <c r="AO560" s="326"/>
      <c r="AP560" s="326"/>
      <c r="AQ560" s="326"/>
      <c r="AR560" s="326"/>
      <c r="AS560" s="326"/>
      <c r="AT560" s="326"/>
      <c r="AU560" s="326"/>
      <c r="AV560" s="326"/>
      <c r="AW560" s="326"/>
      <c r="AX560" s="326"/>
      <c r="AY560" s="326"/>
      <c r="AZ560" s="326"/>
      <c r="BA560" s="326"/>
      <c r="BB560" s="327"/>
    </row>
    <row r="561" spans="1:54" ht="15.75" customHeight="1" x14ac:dyDescent="0.25">
      <c r="A561" s="11">
        <f t="shared" si="2"/>
        <v>548</v>
      </c>
      <c r="B561" s="504" t="str">
        <f>'refer admin discharge'!B557</f>
        <v>x</v>
      </c>
      <c r="C561" s="327"/>
      <c r="D561" s="505" t="str">
        <f>'refer admin discharge'!D557</f>
        <v>xx</v>
      </c>
      <c r="E561" s="327"/>
      <c r="F561" s="606" t="str">
        <f>'refer admin discharge'!H557</f>
        <v>00/00/0000</v>
      </c>
      <c r="G561" s="327"/>
      <c r="H561" s="594"/>
      <c r="I561" s="327"/>
      <c r="J561" s="605"/>
      <c r="K561" s="327"/>
      <c r="L561" s="594"/>
      <c r="M561" s="327"/>
      <c r="N561" s="575"/>
      <c r="O561" s="327"/>
      <c r="P561" s="594"/>
      <c r="Q561" s="327"/>
      <c r="R561" s="575"/>
      <c r="S561" s="327"/>
      <c r="T561" s="594"/>
      <c r="U561" s="327"/>
      <c r="V561" s="595" t="str">
        <f>'refer admin discharge'!H562</f>
        <v>00/00/0000</v>
      </c>
      <c r="W561" s="327"/>
      <c r="X561" s="577"/>
      <c r="Y561" s="327"/>
      <c r="Z561" s="604"/>
      <c r="AA561" s="327"/>
      <c r="AB561" s="577"/>
      <c r="AC561" s="327"/>
      <c r="AD561" s="576"/>
      <c r="AE561" s="327"/>
      <c r="AF561" s="577"/>
      <c r="AG561" s="327"/>
      <c r="AH561" s="576"/>
      <c r="AI561" s="327"/>
      <c r="AJ561" s="577"/>
      <c r="AK561" s="327"/>
      <c r="AL561" s="602"/>
      <c r="AM561" s="326"/>
      <c r="AN561" s="326"/>
      <c r="AO561" s="326"/>
      <c r="AP561" s="326"/>
      <c r="AQ561" s="326"/>
      <c r="AR561" s="326"/>
      <c r="AS561" s="326"/>
      <c r="AT561" s="326"/>
      <c r="AU561" s="326"/>
      <c r="AV561" s="326"/>
      <c r="AW561" s="326"/>
      <c r="AX561" s="326"/>
      <c r="AY561" s="326"/>
      <c r="AZ561" s="326"/>
      <c r="BA561" s="326"/>
      <c r="BB561" s="327"/>
    </row>
    <row r="562" spans="1:54" ht="15.75" customHeight="1" x14ac:dyDescent="0.25">
      <c r="A562" s="11">
        <f t="shared" si="2"/>
        <v>549</v>
      </c>
      <c r="B562" s="570" t="str">
        <f>'refer admin discharge'!B558</f>
        <v>x</v>
      </c>
      <c r="C562" s="327"/>
      <c r="D562" s="599" t="str">
        <f>'refer admin discharge'!D558</f>
        <v>xx</v>
      </c>
      <c r="E562" s="327"/>
      <c r="F562" s="600" t="str">
        <f>'refer admin discharge'!H558</f>
        <v>00/00/0000</v>
      </c>
      <c r="G562" s="327"/>
      <c r="H562" s="574"/>
      <c r="I562" s="327"/>
      <c r="J562" s="601"/>
      <c r="K562" s="327"/>
      <c r="L562" s="574"/>
      <c r="M562" s="327"/>
      <c r="N562" s="594"/>
      <c r="O562" s="327"/>
      <c r="P562" s="574"/>
      <c r="Q562" s="327"/>
      <c r="R562" s="594"/>
      <c r="S562" s="327"/>
      <c r="T562" s="574"/>
      <c r="U562" s="327"/>
      <c r="V562" s="595" t="str">
        <f>'refer admin discharge'!H563</f>
        <v>00/00/0000</v>
      </c>
      <c r="W562" s="327"/>
      <c r="X562" s="596"/>
      <c r="Y562" s="327"/>
      <c r="Z562" s="597"/>
      <c r="AA562" s="327"/>
      <c r="AB562" s="596"/>
      <c r="AC562" s="327"/>
      <c r="AD562" s="577"/>
      <c r="AE562" s="327"/>
      <c r="AF562" s="596"/>
      <c r="AG562" s="327"/>
      <c r="AH562" s="577"/>
      <c r="AI562" s="327"/>
      <c r="AJ562" s="596"/>
      <c r="AK562" s="327"/>
      <c r="AL562" s="598"/>
      <c r="AM562" s="326"/>
      <c r="AN562" s="326"/>
      <c r="AO562" s="326"/>
      <c r="AP562" s="326"/>
      <c r="AQ562" s="326"/>
      <c r="AR562" s="326"/>
      <c r="AS562" s="326"/>
      <c r="AT562" s="326"/>
      <c r="AU562" s="326"/>
      <c r="AV562" s="326"/>
      <c r="AW562" s="326"/>
      <c r="AX562" s="326"/>
      <c r="AY562" s="326"/>
      <c r="AZ562" s="326"/>
      <c r="BA562" s="326"/>
      <c r="BB562" s="327"/>
    </row>
    <row r="563" spans="1:54" ht="15.75" customHeight="1" x14ac:dyDescent="0.25">
      <c r="A563" s="11">
        <f t="shared" si="2"/>
        <v>550</v>
      </c>
      <c r="B563" s="504" t="str">
        <f>'refer admin discharge'!B559</f>
        <v>x</v>
      </c>
      <c r="C563" s="327"/>
      <c r="D563" s="505" t="str">
        <f>'refer admin discharge'!D559</f>
        <v>xx</v>
      </c>
      <c r="E563" s="327"/>
      <c r="F563" s="606" t="str">
        <f>'refer admin discharge'!H559</f>
        <v>00/00/0000</v>
      </c>
      <c r="G563" s="327"/>
      <c r="H563" s="594"/>
      <c r="I563" s="327"/>
      <c r="J563" s="605"/>
      <c r="K563" s="327"/>
      <c r="L563" s="594"/>
      <c r="M563" s="327"/>
      <c r="N563" s="575"/>
      <c r="O563" s="327"/>
      <c r="P563" s="594"/>
      <c r="Q563" s="327"/>
      <c r="R563" s="575"/>
      <c r="S563" s="327"/>
      <c r="T563" s="594"/>
      <c r="U563" s="327"/>
      <c r="V563" s="595" t="str">
        <f>'refer admin discharge'!H564</f>
        <v>00/00/0000</v>
      </c>
      <c r="W563" s="327"/>
      <c r="X563" s="577"/>
      <c r="Y563" s="327"/>
      <c r="Z563" s="604"/>
      <c r="AA563" s="327"/>
      <c r="AB563" s="577"/>
      <c r="AC563" s="327"/>
      <c r="AD563" s="576"/>
      <c r="AE563" s="327"/>
      <c r="AF563" s="577"/>
      <c r="AG563" s="327"/>
      <c r="AH563" s="576"/>
      <c r="AI563" s="327"/>
      <c r="AJ563" s="577"/>
      <c r="AK563" s="327"/>
      <c r="AL563" s="602"/>
      <c r="AM563" s="326"/>
      <c r="AN563" s="326"/>
      <c r="AO563" s="326"/>
      <c r="AP563" s="326"/>
      <c r="AQ563" s="326"/>
      <c r="AR563" s="326"/>
      <c r="AS563" s="326"/>
      <c r="AT563" s="326"/>
      <c r="AU563" s="326"/>
      <c r="AV563" s="326"/>
      <c r="AW563" s="326"/>
      <c r="AX563" s="326"/>
      <c r="AY563" s="326"/>
      <c r="AZ563" s="326"/>
      <c r="BA563" s="326"/>
      <c r="BB563" s="327"/>
    </row>
    <row r="564" spans="1:54" ht="15.75" customHeight="1" x14ac:dyDescent="0.25">
      <c r="A564" s="11">
        <f t="shared" si="2"/>
        <v>551</v>
      </c>
      <c r="B564" s="570" t="str">
        <f>'refer admin discharge'!B560</f>
        <v>x</v>
      </c>
      <c r="C564" s="327"/>
      <c r="D564" s="599" t="str">
        <f>'refer admin discharge'!D560</f>
        <v>xx</v>
      </c>
      <c r="E564" s="327"/>
      <c r="F564" s="600" t="str">
        <f>'refer admin discharge'!H560</f>
        <v>00/00/0000</v>
      </c>
      <c r="G564" s="327"/>
      <c r="H564" s="574"/>
      <c r="I564" s="327"/>
      <c r="J564" s="601"/>
      <c r="K564" s="327"/>
      <c r="L564" s="574"/>
      <c r="M564" s="327"/>
      <c r="N564" s="594"/>
      <c r="O564" s="327"/>
      <c r="P564" s="574"/>
      <c r="Q564" s="327"/>
      <c r="R564" s="594"/>
      <c r="S564" s="327"/>
      <c r="T564" s="574"/>
      <c r="U564" s="327"/>
      <c r="V564" s="595" t="str">
        <f>'refer admin discharge'!H565</f>
        <v>00/00/0000</v>
      </c>
      <c r="W564" s="327"/>
      <c r="X564" s="596"/>
      <c r="Y564" s="327"/>
      <c r="Z564" s="597"/>
      <c r="AA564" s="327"/>
      <c r="AB564" s="596"/>
      <c r="AC564" s="327"/>
      <c r="AD564" s="577"/>
      <c r="AE564" s="327"/>
      <c r="AF564" s="596"/>
      <c r="AG564" s="327"/>
      <c r="AH564" s="577"/>
      <c r="AI564" s="327"/>
      <c r="AJ564" s="596"/>
      <c r="AK564" s="327"/>
      <c r="AL564" s="598"/>
      <c r="AM564" s="326"/>
      <c r="AN564" s="326"/>
      <c r="AO564" s="326"/>
      <c r="AP564" s="326"/>
      <c r="AQ564" s="326"/>
      <c r="AR564" s="326"/>
      <c r="AS564" s="326"/>
      <c r="AT564" s="326"/>
      <c r="AU564" s="326"/>
      <c r="AV564" s="326"/>
      <c r="AW564" s="326"/>
      <c r="AX564" s="326"/>
      <c r="AY564" s="326"/>
      <c r="AZ564" s="326"/>
      <c r="BA564" s="326"/>
      <c r="BB564" s="327"/>
    </row>
    <row r="565" spans="1:54" ht="15.75" customHeight="1" x14ac:dyDescent="0.25">
      <c r="A565" s="11">
        <f t="shared" si="2"/>
        <v>552</v>
      </c>
      <c r="B565" s="504" t="str">
        <f>'refer admin discharge'!B561</f>
        <v>x</v>
      </c>
      <c r="C565" s="327"/>
      <c r="D565" s="505" t="str">
        <f>'refer admin discharge'!D561</f>
        <v>xx</v>
      </c>
      <c r="E565" s="327"/>
      <c r="F565" s="606" t="str">
        <f>'refer admin discharge'!H561</f>
        <v>00/00/0000</v>
      </c>
      <c r="G565" s="327"/>
      <c r="H565" s="594"/>
      <c r="I565" s="327"/>
      <c r="J565" s="605"/>
      <c r="K565" s="327"/>
      <c r="L565" s="594"/>
      <c r="M565" s="327"/>
      <c r="N565" s="575"/>
      <c r="O565" s="327"/>
      <c r="P565" s="594"/>
      <c r="Q565" s="327"/>
      <c r="R565" s="575"/>
      <c r="S565" s="327"/>
      <c r="T565" s="594"/>
      <c r="U565" s="327"/>
      <c r="V565" s="595" t="str">
        <f>'refer admin discharge'!H566</f>
        <v>00/00/0000</v>
      </c>
      <c r="W565" s="327"/>
      <c r="X565" s="577"/>
      <c r="Y565" s="327"/>
      <c r="Z565" s="604"/>
      <c r="AA565" s="327"/>
      <c r="AB565" s="577"/>
      <c r="AC565" s="327"/>
      <c r="AD565" s="576"/>
      <c r="AE565" s="327"/>
      <c r="AF565" s="577"/>
      <c r="AG565" s="327"/>
      <c r="AH565" s="576"/>
      <c r="AI565" s="327"/>
      <c r="AJ565" s="577"/>
      <c r="AK565" s="327"/>
      <c r="AL565" s="602"/>
      <c r="AM565" s="326"/>
      <c r="AN565" s="326"/>
      <c r="AO565" s="326"/>
      <c r="AP565" s="326"/>
      <c r="AQ565" s="326"/>
      <c r="AR565" s="326"/>
      <c r="AS565" s="326"/>
      <c r="AT565" s="326"/>
      <c r="AU565" s="326"/>
      <c r="AV565" s="326"/>
      <c r="AW565" s="326"/>
      <c r="AX565" s="326"/>
      <c r="AY565" s="326"/>
      <c r="AZ565" s="326"/>
      <c r="BA565" s="326"/>
      <c r="BB565" s="327"/>
    </row>
    <row r="566" spans="1:54" ht="15.75" customHeight="1" x14ac:dyDescent="0.25">
      <c r="A566" s="11">
        <f t="shared" si="2"/>
        <v>553</v>
      </c>
      <c r="B566" s="570" t="str">
        <f>'refer admin discharge'!B562</f>
        <v>x</v>
      </c>
      <c r="C566" s="327"/>
      <c r="D566" s="599" t="str">
        <f>'refer admin discharge'!D562</f>
        <v>xx</v>
      </c>
      <c r="E566" s="327"/>
      <c r="F566" s="600" t="str">
        <f>'refer admin discharge'!H562</f>
        <v>00/00/0000</v>
      </c>
      <c r="G566" s="327"/>
      <c r="H566" s="574"/>
      <c r="I566" s="327"/>
      <c r="J566" s="601"/>
      <c r="K566" s="327"/>
      <c r="L566" s="574"/>
      <c r="M566" s="327"/>
      <c r="N566" s="594"/>
      <c r="O566" s="327"/>
      <c r="P566" s="574"/>
      <c r="Q566" s="327"/>
      <c r="R566" s="594"/>
      <c r="S566" s="327"/>
      <c r="T566" s="574"/>
      <c r="U566" s="327"/>
      <c r="V566" s="595" t="str">
        <f>'refer admin discharge'!H567</f>
        <v>00/00/0000</v>
      </c>
      <c r="W566" s="327"/>
      <c r="X566" s="596"/>
      <c r="Y566" s="327"/>
      <c r="Z566" s="597"/>
      <c r="AA566" s="327"/>
      <c r="AB566" s="596"/>
      <c r="AC566" s="327"/>
      <c r="AD566" s="577"/>
      <c r="AE566" s="327"/>
      <c r="AF566" s="596"/>
      <c r="AG566" s="327"/>
      <c r="AH566" s="577"/>
      <c r="AI566" s="327"/>
      <c r="AJ566" s="596"/>
      <c r="AK566" s="327"/>
      <c r="AL566" s="598"/>
      <c r="AM566" s="326"/>
      <c r="AN566" s="326"/>
      <c r="AO566" s="326"/>
      <c r="AP566" s="326"/>
      <c r="AQ566" s="326"/>
      <c r="AR566" s="326"/>
      <c r="AS566" s="326"/>
      <c r="AT566" s="326"/>
      <c r="AU566" s="326"/>
      <c r="AV566" s="326"/>
      <c r="AW566" s="326"/>
      <c r="AX566" s="326"/>
      <c r="AY566" s="326"/>
      <c r="AZ566" s="326"/>
      <c r="BA566" s="326"/>
      <c r="BB566" s="327"/>
    </row>
    <row r="567" spans="1:54" ht="15.75" customHeight="1" x14ac:dyDescent="0.25">
      <c r="A567" s="11">
        <f t="shared" si="2"/>
        <v>554</v>
      </c>
      <c r="B567" s="504" t="str">
        <f>'refer admin discharge'!B563</f>
        <v>x</v>
      </c>
      <c r="C567" s="327"/>
      <c r="D567" s="505" t="str">
        <f>'refer admin discharge'!D563</f>
        <v>xx</v>
      </c>
      <c r="E567" s="327"/>
      <c r="F567" s="606" t="str">
        <f>'refer admin discharge'!H563</f>
        <v>00/00/0000</v>
      </c>
      <c r="G567" s="327"/>
      <c r="H567" s="594"/>
      <c r="I567" s="327"/>
      <c r="J567" s="605"/>
      <c r="K567" s="327"/>
      <c r="L567" s="594"/>
      <c r="M567" s="327"/>
      <c r="N567" s="575"/>
      <c r="O567" s="327"/>
      <c r="P567" s="594"/>
      <c r="Q567" s="327"/>
      <c r="R567" s="575"/>
      <c r="S567" s="327"/>
      <c r="T567" s="594"/>
      <c r="U567" s="327"/>
      <c r="V567" s="595" t="str">
        <f>'refer admin discharge'!H568</f>
        <v>00/00/0000</v>
      </c>
      <c r="W567" s="327"/>
      <c r="X567" s="577"/>
      <c r="Y567" s="327"/>
      <c r="Z567" s="604"/>
      <c r="AA567" s="327"/>
      <c r="AB567" s="577"/>
      <c r="AC567" s="327"/>
      <c r="AD567" s="576"/>
      <c r="AE567" s="327"/>
      <c r="AF567" s="577"/>
      <c r="AG567" s="327"/>
      <c r="AH567" s="576"/>
      <c r="AI567" s="327"/>
      <c r="AJ567" s="577"/>
      <c r="AK567" s="327"/>
      <c r="AL567" s="602"/>
      <c r="AM567" s="326"/>
      <c r="AN567" s="326"/>
      <c r="AO567" s="326"/>
      <c r="AP567" s="326"/>
      <c r="AQ567" s="326"/>
      <c r="AR567" s="326"/>
      <c r="AS567" s="326"/>
      <c r="AT567" s="326"/>
      <c r="AU567" s="326"/>
      <c r="AV567" s="326"/>
      <c r="AW567" s="326"/>
      <c r="AX567" s="326"/>
      <c r="AY567" s="326"/>
      <c r="AZ567" s="326"/>
      <c r="BA567" s="326"/>
      <c r="BB567" s="327"/>
    </row>
    <row r="568" spans="1:54" ht="15.75" customHeight="1" x14ac:dyDescent="0.25">
      <c r="A568" s="11">
        <f t="shared" si="2"/>
        <v>555</v>
      </c>
      <c r="B568" s="570" t="str">
        <f>'refer admin discharge'!B564</f>
        <v>x</v>
      </c>
      <c r="C568" s="327"/>
      <c r="D568" s="599" t="str">
        <f>'refer admin discharge'!D564</f>
        <v>xx</v>
      </c>
      <c r="E568" s="327"/>
      <c r="F568" s="600" t="str">
        <f>'refer admin discharge'!H564</f>
        <v>00/00/0000</v>
      </c>
      <c r="G568" s="327"/>
      <c r="H568" s="574"/>
      <c r="I568" s="327"/>
      <c r="J568" s="601"/>
      <c r="K568" s="327"/>
      <c r="L568" s="574"/>
      <c r="M568" s="327"/>
      <c r="N568" s="594"/>
      <c r="O568" s="327"/>
      <c r="P568" s="574"/>
      <c r="Q568" s="327"/>
      <c r="R568" s="594"/>
      <c r="S568" s="327"/>
      <c r="T568" s="574"/>
      <c r="U568" s="327"/>
      <c r="V568" s="595" t="str">
        <f>'refer admin discharge'!H569</f>
        <v>00/00/0000</v>
      </c>
      <c r="W568" s="327"/>
      <c r="X568" s="596"/>
      <c r="Y568" s="327"/>
      <c r="Z568" s="597"/>
      <c r="AA568" s="327"/>
      <c r="AB568" s="596"/>
      <c r="AC568" s="327"/>
      <c r="AD568" s="577"/>
      <c r="AE568" s="327"/>
      <c r="AF568" s="596"/>
      <c r="AG568" s="327"/>
      <c r="AH568" s="577"/>
      <c r="AI568" s="327"/>
      <c r="AJ568" s="596"/>
      <c r="AK568" s="327"/>
      <c r="AL568" s="598"/>
      <c r="AM568" s="326"/>
      <c r="AN568" s="326"/>
      <c r="AO568" s="326"/>
      <c r="AP568" s="326"/>
      <c r="AQ568" s="326"/>
      <c r="AR568" s="326"/>
      <c r="AS568" s="326"/>
      <c r="AT568" s="326"/>
      <c r="AU568" s="326"/>
      <c r="AV568" s="326"/>
      <c r="AW568" s="326"/>
      <c r="AX568" s="326"/>
      <c r="AY568" s="326"/>
      <c r="AZ568" s="326"/>
      <c r="BA568" s="326"/>
      <c r="BB568" s="327"/>
    </row>
    <row r="569" spans="1:54" ht="15.75" customHeight="1" x14ac:dyDescent="0.25">
      <c r="A569" s="11">
        <f t="shared" si="2"/>
        <v>556</v>
      </c>
      <c r="B569" s="504" t="str">
        <f>'refer admin discharge'!B565</f>
        <v>x</v>
      </c>
      <c r="C569" s="327"/>
      <c r="D569" s="505" t="str">
        <f>'refer admin discharge'!D565</f>
        <v>xx</v>
      </c>
      <c r="E569" s="327"/>
      <c r="F569" s="606" t="str">
        <f>'refer admin discharge'!H565</f>
        <v>00/00/0000</v>
      </c>
      <c r="G569" s="327"/>
      <c r="H569" s="594"/>
      <c r="I569" s="327"/>
      <c r="J569" s="605"/>
      <c r="K569" s="327"/>
      <c r="L569" s="594"/>
      <c r="M569" s="327"/>
      <c r="N569" s="575"/>
      <c r="O569" s="327"/>
      <c r="P569" s="594"/>
      <c r="Q569" s="327"/>
      <c r="R569" s="575"/>
      <c r="S569" s="327"/>
      <c r="T569" s="594"/>
      <c r="U569" s="327"/>
      <c r="V569" s="595" t="str">
        <f>'refer admin discharge'!H570</f>
        <v>00/00/0000</v>
      </c>
      <c r="W569" s="327"/>
      <c r="X569" s="577"/>
      <c r="Y569" s="327"/>
      <c r="Z569" s="604"/>
      <c r="AA569" s="327"/>
      <c r="AB569" s="577"/>
      <c r="AC569" s="327"/>
      <c r="AD569" s="576"/>
      <c r="AE569" s="327"/>
      <c r="AF569" s="577"/>
      <c r="AG569" s="327"/>
      <c r="AH569" s="576"/>
      <c r="AI569" s="327"/>
      <c r="AJ569" s="577"/>
      <c r="AK569" s="327"/>
      <c r="AL569" s="602"/>
      <c r="AM569" s="326"/>
      <c r="AN569" s="326"/>
      <c r="AO569" s="326"/>
      <c r="AP569" s="326"/>
      <c r="AQ569" s="326"/>
      <c r="AR569" s="326"/>
      <c r="AS569" s="326"/>
      <c r="AT569" s="326"/>
      <c r="AU569" s="326"/>
      <c r="AV569" s="326"/>
      <c r="AW569" s="326"/>
      <c r="AX569" s="326"/>
      <c r="AY569" s="326"/>
      <c r="AZ569" s="326"/>
      <c r="BA569" s="326"/>
      <c r="BB569" s="327"/>
    </row>
    <row r="570" spans="1:54" ht="15.75" customHeight="1" x14ac:dyDescent="0.25">
      <c r="A570" s="11">
        <f t="shared" si="2"/>
        <v>557</v>
      </c>
      <c r="B570" s="570" t="str">
        <f>'refer admin discharge'!B566</f>
        <v>x</v>
      </c>
      <c r="C570" s="327"/>
      <c r="D570" s="599" t="str">
        <f>'refer admin discharge'!D566</f>
        <v>xx</v>
      </c>
      <c r="E570" s="327"/>
      <c r="F570" s="600" t="str">
        <f>'refer admin discharge'!H566</f>
        <v>00/00/0000</v>
      </c>
      <c r="G570" s="327"/>
      <c r="H570" s="574"/>
      <c r="I570" s="327"/>
      <c r="J570" s="601"/>
      <c r="K570" s="327"/>
      <c r="L570" s="574"/>
      <c r="M570" s="327"/>
      <c r="N570" s="594"/>
      <c r="O570" s="327"/>
      <c r="P570" s="574"/>
      <c r="Q570" s="327"/>
      <c r="R570" s="594"/>
      <c r="S570" s="327"/>
      <c r="T570" s="574"/>
      <c r="U570" s="327"/>
      <c r="V570" s="595" t="str">
        <f>'refer admin discharge'!H571</f>
        <v>00/00/0000</v>
      </c>
      <c r="W570" s="327"/>
      <c r="X570" s="596"/>
      <c r="Y570" s="327"/>
      <c r="Z570" s="597"/>
      <c r="AA570" s="327"/>
      <c r="AB570" s="596"/>
      <c r="AC570" s="327"/>
      <c r="AD570" s="577"/>
      <c r="AE570" s="327"/>
      <c r="AF570" s="596"/>
      <c r="AG570" s="327"/>
      <c r="AH570" s="577"/>
      <c r="AI570" s="327"/>
      <c r="AJ570" s="596"/>
      <c r="AK570" s="327"/>
      <c r="AL570" s="598"/>
      <c r="AM570" s="326"/>
      <c r="AN570" s="326"/>
      <c r="AO570" s="326"/>
      <c r="AP570" s="326"/>
      <c r="AQ570" s="326"/>
      <c r="AR570" s="326"/>
      <c r="AS570" s="326"/>
      <c r="AT570" s="326"/>
      <c r="AU570" s="326"/>
      <c r="AV570" s="326"/>
      <c r="AW570" s="326"/>
      <c r="AX570" s="326"/>
      <c r="AY570" s="326"/>
      <c r="AZ570" s="326"/>
      <c r="BA570" s="326"/>
      <c r="BB570" s="327"/>
    </row>
    <row r="571" spans="1:54" ht="15.75" customHeight="1" x14ac:dyDescent="0.25">
      <c r="A571" s="11">
        <f t="shared" si="2"/>
        <v>558</v>
      </c>
      <c r="B571" s="504" t="str">
        <f>'refer admin discharge'!B567</f>
        <v>x</v>
      </c>
      <c r="C571" s="327"/>
      <c r="D571" s="505" t="str">
        <f>'refer admin discharge'!D567</f>
        <v>xx</v>
      </c>
      <c r="E571" s="327"/>
      <c r="F571" s="606" t="str">
        <f>'refer admin discharge'!H567</f>
        <v>00/00/0000</v>
      </c>
      <c r="G571" s="327"/>
      <c r="H571" s="594"/>
      <c r="I571" s="327"/>
      <c r="J571" s="605"/>
      <c r="K571" s="327"/>
      <c r="L571" s="594"/>
      <c r="M571" s="327"/>
      <c r="N571" s="575"/>
      <c r="O571" s="327"/>
      <c r="P571" s="594"/>
      <c r="Q571" s="327"/>
      <c r="R571" s="575"/>
      <c r="S571" s="327"/>
      <c r="T571" s="594"/>
      <c r="U571" s="327"/>
      <c r="V571" s="595" t="str">
        <f>'refer admin discharge'!H572</f>
        <v>00/00/0000</v>
      </c>
      <c r="W571" s="327"/>
      <c r="X571" s="577"/>
      <c r="Y571" s="327"/>
      <c r="Z571" s="604"/>
      <c r="AA571" s="327"/>
      <c r="AB571" s="577"/>
      <c r="AC571" s="327"/>
      <c r="AD571" s="576"/>
      <c r="AE571" s="327"/>
      <c r="AF571" s="577"/>
      <c r="AG571" s="327"/>
      <c r="AH571" s="576"/>
      <c r="AI571" s="327"/>
      <c r="AJ571" s="577"/>
      <c r="AK571" s="327"/>
      <c r="AL571" s="602"/>
      <c r="AM571" s="326"/>
      <c r="AN571" s="326"/>
      <c r="AO571" s="326"/>
      <c r="AP571" s="326"/>
      <c r="AQ571" s="326"/>
      <c r="AR571" s="326"/>
      <c r="AS571" s="326"/>
      <c r="AT571" s="326"/>
      <c r="AU571" s="326"/>
      <c r="AV571" s="326"/>
      <c r="AW571" s="326"/>
      <c r="AX571" s="326"/>
      <c r="AY571" s="326"/>
      <c r="AZ571" s="326"/>
      <c r="BA571" s="326"/>
      <c r="BB571" s="327"/>
    </row>
    <row r="572" spans="1:54" ht="15.75" customHeight="1" x14ac:dyDescent="0.25">
      <c r="A572" s="11">
        <f t="shared" si="2"/>
        <v>559</v>
      </c>
      <c r="B572" s="570" t="str">
        <f>'refer admin discharge'!B568</f>
        <v>x</v>
      </c>
      <c r="C572" s="327"/>
      <c r="D572" s="599" t="str">
        <f>'refer admin discharge'!D568</f>
        <v>xx</v>
      </c>
      <c r="E572" s="327"/>
      <c r="F572" s="600" t="str">
        <f>'refer admin discharge'!H568</f>
        <v>00/00/0000</v>
      </c>
      <c r="G572" s="327"/>
      <c r="H572" s="574"/>
      <c r="I572" s="327"/>
      <c r="J572" s="601"/>
      <c r="K572" s="327"/>
      <c r="L572" s="574"/>
      <c r="M572" s="327"/>
      <c r="N572" s="594"/>
      <c r="O572" s="327"/>
      <c r="P572" s="574"/>
      <c r="Q572" s="327"/>
      <c r="R572" s="594"/>
      <c r="S572" s="327"/>
      <c r="T572" s="574"/>
      <c r="U572" s="327"/>
      <c r="V572" s="595" t="str">
        <f>'refer admin discharge'!H573</f>
        <v>00/00/0000</v>
      </c>
      <c r="W572" s="327"/>
      <c r="X572" s="596"/>
      <c r="Y572" s="327"/>
      <c r="Z572" s="597"/>
      <c r="AA572" s="327"/>
      <c r="AB572" s="596"/>
      <c r="AC572" s="327"/>
      <c r="AD572" s="577"/>
      <c r="AE572" s="327"/>
      <c r="AF572" s="596"/>
      <c r="AG572" s="327"/>
      <c r="AH572" s="577"/>
      <c r="AI572" s="327"/>
      <c r="AJ572" s="596"/>
      <c r="AK572" s="327"/>
      <c r="AL572" s="598"/>
      <c r="AM572" s="326"/>
      <c r="AN572" s="326"/>
      <c r="AO572" s="326"/>
      <c r="AP572" s="326"/>
      <c r="AQ572" s="326"/>
      <c r="AR572" s="326"/>
      <c r="AS572" s="326"/>
      <c r="AT572" s="326"/>
      <c r="AU572" s="326"/>
      <c r="AV572" s="326"/>
      <c r="AW572" s="326"/>
      <c r="AX572" s="326"/>
      <c r="AY572" s="326"/>
      <c r="AZ572" s="326"/>
      <c r="BA572" s="326"/>
      <c r="BB572" s="327"/>
    </row>
    <row r="573" spans="1:54" ht="15.75" customHeight="1" x14ac:dyDescent="0.25">
      <c r="A573" s="11">
        <f t="shared" si="2"/>
        <v>560</v>
      </c>
      <c r="B573" s="504" t="str">
        <f>'refer admin discharge'!B569</f>
        <v>x</v>
      </c>
      <c r="C573" s="327"/>
      <c r="D573" s="505" t="str">
        <f>'refer admin discharge'!D569</f>
        <v>xx</v>
      </c>
      <c r="E573" s="327"/>
      <c r="F573" s="606" t="str">
        <f>'refer admin discharge'!H569</f>
        <v>00/00/0000</v>
      </c>
      <c r="G573" s="327"/>
      <c r="H573" s="594"/>
      <c r="I573" s="327"/>
      <c r="J573" s="605"/>
      <c r="K573" s="327"/>
      <c r="L573" s="594"/>
      <c r="M573" s="327"/>
      <c r="N573" s="575"/>
      <c r="O573" s="327"/>
      <c r="P573" s="594"/>
      <c r="Q573" s="327"/>
      <c r="R573" s="575"/>
      <c r="S573" s="327"/>
      <c r="T573" s="594"/>
      <c r="U573" s="327"/>
      <c r="V573" s="595" t="str">
        <f>'refer admin discharge'!H574</f>
        <v>00/00/0000</v>
      </c>
      <c r="W573" s="327"/>
      <c r="X573" s="577"/>
      <c r="Y573" s="327"/>
      <c r="Z573" s="604"/>
      <c r="AA573" s="327"/>
      <c r="AB573" s="577"/>
      <c r="AC573" s="327"/>
      <c r="AD573" s="576"/>
      <c r="AE573" s="327"/>
      <c r="AF573" s="577"/>
      <c r="AG573" s="327"/>
      <c r="AH573" s="576"/>
      <c r="AI573" s="327"/>
      <c r="AJ573" s="577"/>
      <c r="AK573" s="327"/>
      <c r="AL573" s="602"/>
      <c r="AM573" s="326"/>
      <c r="AN573" s="326"/>
      <c r="AO573" s="326"/>
      <c r="AP573" s="326"/>
      <c r="AQ573" s="326"/>
      <c r="AR573" s="326"/>
      <c r="AS573" s="326"/>
      <c r="AT573" s="326"/>
      <c r="AU573" s="326"/>
      <c r="AV573" s="326"/>
      <c r="AW573" s="326"/>
      <c r="AX573" s="326"/>
      <c r="AY573" s="326"/>
      <c r="AZ573" s="326"/>
      <c r="BA573" s="326"/>
      <c r="BB573" s="327"/>
    </row>
    <row r="574" spans="1:54" ht="15.75" customHeight="1" x14ac:dyDescent="0.25">
      <c r="A574" s="11">
        <f t="shared" si="2"/>
        <v>561</v>
      </c>
      <c r="B574" s="570" t="str">
        <f>'refer admin discharge'!B570</f>
        <v>x</v>
      </c>
      <c r="C574" s="327"/>
      <c r="D574" s="599" t="str">
        <f>'refer admin discharge'!D570</f>
        <v>xx</v>
      </c>
      <c r="E574" s="327"/>
      <c r="F574" s="600" t="str">
        <f>'refer admin discharge'!H570</f>
        <v>00/00/0000</v>
      </c>
      <c r="G574" s="327"/>
      <c r="H574" s="574"/>
      <c r="I574" s="327"/>
      <c r="J574" s="601"/>
      <c r="K574" s="327"/>
      <c r="L574" s="574"/>
      <c r="M574" s="327"/>
      <c r="N574" s="594"/>
      <c r="O574" s="327"/>
      <c r="P574" s="574"/>
      <c r="Q574" s="327"/>
      <c r="R574" s="594"/>
      <c r="S574" s="327"/>
      <c r="T574" s="574"/>
      <c r="U574" s="327"/>
      <c r="V574" s="595" t="str">
        <f>'refer admin discharge'!H575</f>
        <v>00/00/0000</v>
      </c>
      <c r="W574" s="327"/>
      <c r="X574" s="596"/>
      <c r="Y574" s="327"/>
      <c r="Z574" s="597"/>
      <c r="AA574" s="327"/>
      <c r="AB574" s="596"/>
      <c r="AC574" s="327"/>
      <c r="AD574" s="577"/>
      <c r="AE574" s="327"/>
      <c r="AF574" s="596"/>
      <c r="AG574" s="327"/>
      <c r="AH574" s="577"/>
      <c r="AI574" s="327"/>
      <c r="AJ574" s="596"/>
      <c r="AK574" s="327"/>
      <c r="AL574" s="598"/>
      <c r="AM574" s="326"/>
      <c r="AN574" s="326"/>
      <c r="AO574" s="326"/>
      <c r="AP574" s="326"/>
      <c r="AQ574" s="326"/>
      <c r="AR574" s="326"/>
      <c r="AS574" s="326"/>
      <c r="AT574" s="326"/>
      <c r="AU574" s="326"/>
      <c r="AV574" s="326"/>
      <c r="AW574" s="326"/>
      <c r="AX574" s="326"/>
      <c r="AY574" s="326"/>
      <c r="AZ574" s="326"/>
      <c r="BA574" s="326"/>
      <c r="BB574" s="327"/>
    </row>
    <row r="575" spans="1:54" ht="15.75" customHeight="1" x14ac:dyDescent="0.25">
      <c r="A575" s="11">
        <f t="shared" si="2"/>
        <v>562</v>
      </c>
      <c r="B575" s="504" t="str">
        <f>'refer admin discharge'!B571</f>
        <v>x</v>
      </c>
      <c r="C575" s="327"/>
      <c r="D575" s="505" t="str">
        <f>'refer admin discharge'!D571</f>
        <v>xx</v>
      </c>
      <c r="E575" s="327"/>
      <c r="F575" s="606" t="str">
        <f>'refer admin discharge'!H571</f>
        <v>00/00/0000</v>
      </c>
      <c r="G575" s="327"/>
      <c r="H575" s="594"/>
      <c r="I575" s="327"/>
      <c r="J575" s="605"/>
      <c r="K575" s="327"/>
      <c r="L575" s="594"/>
      <c r="M575" s="327"/>
      <c r="N575" s="575"/>
      <c r="O575" s="327"/>
      <c r="P575" s="594"/>
      <c r="Q575" s="327"/>
      <c r="R575" s="575"/>
      <c r="S575" s="327"/>
      <c r="T575" s="594"/>
      <c r="U575" s="327"/>
      <c r="V575" s="595" t="str">
        <f>'refer admin discharge'!H576</f>
        <v>00/00/0000</v>
      </c>
      <c r="W575" s="327"/>
      <c r="X575" s="577"/>
      <c r="Y575" s="327"/>
      <c r="Z575" s="604"/>
      <c r="AA575" s="327"/>
      <c r="AB575" s="577"/>
      <c r="AC575" s="327"/>
      <c r="AD575" s="576"/>
      <c r="AE575" s="327"/>
      <c r="AF575" s="577"/>
      <c r="AG575" s="327"/>
      <c r="AH575" s="576"/>
      <c r="AI575" s="327"/>
      <c r="AJ575" s="577"/>
      <c r="AK575" s="327"/>
      <c r="AL575" s="602"/>
      <c r="AM575" s="326"/>
      <c r="AN575" s="326"/>
      <c r="AO575" s="326"/>
      <c r="AP575" s="326"/>
      <c r="AQ575" s="326"/>
      <c r="AR575" s="326"/>
      <c r="AS575" s="326"/>
      <c r="AT575" s="326"/>
      <c r="AU575" s="326"/>
      <c r="AV575" s="326"/>
      <c r="AW575" s="326"/>
      <c r="AX575" s="326"/>
      <c r="AY575" s="326"/>
      <c r="AZ575" s="326"/>
      <c r="BA575" s="326"/>
      <c r="BB575" s="327"/>
    </row>
    <row r="576" spans="1:54" ht="15.75" customHeight="1" x14ac:dyDescent="0.25">
      <c r="A576" s="11">
        <f t="shared" si="2"/>
        <v>563</v>
      </c>
      <c r="B576" s="570" t="str">
        <f>'refer admin discharge'!B572</f>
        <v>x</v>
      </c>
      <c r="C576" s="327"/>
      <c r="D576" s="599" t="str">
        <f>'refer admin discharge'!D572</f>
        <v>xx</v>
      </c>
      <c r="E576" s="327"/>
      <c r="F576" s="600" t="str">
        <f>'refer admin discharge'!H572</f>
        <v>00/00/0000</v>
      </c>
      <c r="G576" s="327"/>
      <c r="H576" s="574"/>
      <c r="I576" s="327"/>
      <c r="J576" s="601"/>
      <c r="K576" s="327"/>
      <c r="L576" s="574"/>
      <c r="M576" s="327"/>
      <c r="N576" s="594"/>
      <c r="O576" s="327"/>
      <c r="P576" s="574"/>
      <c r="Q576" s="327"/>
      <c r="R576" s="594"/>
      <c r="S576" s="327"/>
      <c r="T576" s="574"/>
      <c r="U576" s="327"/>
      <c r="V576" s="595" t="str">
        <f>'refer admin discharge'!H577</f>
        <v>00/00/0000</v>
      </c>
      <c r="W576" s="327"/>
      <c r="X576" s="596"/>
      <c r="Y576" s="327"/>
      <c r="Z576" s="597"/>
      <c r="AA576" s="327"/>
      <c r="AB576" s="596"/>
      <c r="AC576" s="327"/>
      <c r="AD576" s="577"/>
      <c r="AE576" s="327"/>
      <c r="AF576" s="596"/>
      <c r="AG576" s="327"/>
      <c r="AH576" s="577"/>
      <c r="AI576" s="327"/>
      <c r="AJ576" s="596"/>
      <c r="AK576" s="327"/>
      <c r="AL576" s="598"/>
      <c r="AM576" s="326"/>
      <c r="AN576" s="326"/>
      <c r="AO576" s="326"/>
      <c r="AP576" s="326"/>
      <c r="AQ576" s="326"/>
      <c r="AR576" s="326"/>
      <c r="AS576" s="326"/>
      <c r="AT576" s="326"/>
      <c r="AU576" s="326"/>
      <c r="AV576" s="326"/>
      <c r="AW576" s="326"/>
      <c r="AX576" s="326"/>
      <c r="AY576" s="326"/>
      <c r="AZ576" s="326"/>
      <c r="BA576" s="326"/>
      <c r="BB576" s="327"/>
    </row>
    <row r="577" spans="1:54" ht="15.75" customHeight="1" x14ac:dyDescent="0.25">
      <c r="A577" s="11">
        <f t="shared" si="2"/>
        <v>564</v>
      </c>
      <c r="B577" s="504" t="str">
        <f>'refer admin discharge'!B573</f>
        <v>x</v>
      </c>
      <c r="C577" s="327"/>
      <c r="D577" s="505" t="str">
        <f>'refer admin discharge'!D573</f>
        <v>xx</v>
      </c>
      <c r="E577" s="327"/>
      <c r="F577" s="606" t="str">
        <f>'refer admin discharge'!H573</f>
        <v>00/00/0000</v>
      </c>
      <c r="G577" s="327"/>
      <c r="H577" s="594"/>
      <c r="I577" s="327"/>
      <c r="J577" s="605"/>
      <c r="K577" s="327"/>
      <c r="L577" s="594"/>
      <c r="M577" s="327"/>
      <c r="N577" s="575"/>
      <c r="O577" s="327"/>
      <c r="P577" s="594"/>
      <c r="Q577" s="327"/>
      <c r="R577" s="575"/>
      <c r="S577" s="327"/>
      <c r="T577" s="594"/>
      <c r="U577" s="327"/>
      <c r="V577" s="595" t="str">
        <f>'refer admin discharge'!H578</f>
        <v>00/00/0000</v>
      </c>
      <c r="W577" s="327"/>
      <c r="X577" s="577"/>
      <c r="Y577" s="327"/>
      <c r="Z577" s="604"/>
      <c r="AA577" s="327"/>
      <c r="AB577" s="577"/>
      <c r="AC577" s="327"/>
      <c r="AD577" s="576"/>
      <c r="AE577" s="327"/>
      <c r="AF577" s="577"/>
      <c r="AG577" s="327"/>
      <c r="AH577" s="576"/>
      <c r="AI577" s="327"/>
      <c r="AJ577" s="577"/>
      <c r="AK577" s="327"/>
      <c r="AL577" s="602"/>
      <c r="AM577" s="326"/>
      <c r="AN577" s="326"/>
      <c r="AO577" s="326"/>
      <c r="AP577" s="326"/>
      <c r="AQ577" s="326"/>
      <c r="AR577" s="326"/>
      <c r="AS577" s="326"/>
      <c r="AT577" s="326"/>
      <c r="AU577" s="326"/>
      <c r="AV577" s="326"/>
      <c r="AW577" s="326"/>
      <c r="AX577" s="326"/>
      <c r="AY577" s="326"/>
      <c r="AZ577" s="326"/>
      <c r="BA577" s="326"/>
      <c r="BB577" s="327"/>
    </row>
    <row r="578" spans="1:54" ht="15.75" customHeight="1" x14ac:dyDescent="0.25">
      <c r="A578" s="11">
        <f t="shared" si="2"/>
        <v>565</v>
      </c>
      <c r="B578" s="570" t="str">
        <f>'refer admin discharge'!B574</f>
        <v>x</v>
      </c>
      <c r="C578" s="327"/>
      <c r="D578" s="599" t="str">
        <f>'refer admin discharge'!D574</f>
        <v>xx</v>
      </c>
      <c r="E578" s="327"/>
      <c r="F578" s="600" t="str">
        <f>'refer admin discharge'!H574</f>
        <v>00/00/0000</v>
      </c>
      <c r="G578" s="327"/>
      <c r="H578" s="574"/>
      <c r="I578" s="327"/>
      <c r="J578" s="601"/>
      <c r="K578" s="327"/>
      <c r="L578" s="574"/>
      <c r="M578" s="327"/>
      <c r="N578" s="594"/>
      <c r="O578" s="327"/>
      <c r="P578" s="574"/>
      <c r="Q578" s="327"/>
      <c r="R578" s="594"/>
      <c r="S578" s="327"/>
      <c r="T578" s="574"/>
      <c r="U578" s="327"/>
      <c r="V578" s="595" t="str">
        <f>'refer admin discharge'!H579</f>
        <v>00/00/0000</v>
      </c>
      <c r="W578" s="327"/>
      <c r="X578" s="596"/>
      <c r="Y578" s="327"/>
      <c r="Z578" s="597"/>
      <c r="AA578" s="327"/>
      <c r="AB578" s="596"/>
      <c r="AC578" s="327"/>
      <c r="AD578" s="577"/>
      <c r="AE578" s="327"/>
      <c r="AF578" s="596"/>
      <c r="AG578" s="327"/>
      <c r="AH578" s="577"/>
      <c r="AI578" s="327"/>
      <c r="AJ578" s="596"/>
      <c r="AK578" s="327"/>
      <c r="AL578" s="598"/>
      <c r="AM578" s="326"/>
      <c r="AN578" s="326"/>
      <c r="AO578" s="326"/>
      <c r="AP578" s="326"/>
      <c r="AQ578" s="326"/>
      <c r="AR578" s="326"/>
      <c r="AS578" s="326"/>
      <c r="AT578" s="326"/>
      <c r="AU578" s="326"/>
      <c r="AV578" s="326"/>
      <c r="AW578" s="326"/>
      <c r="AX578" s="326"/>
      <c r="AY578" s="326"/>
      <c r="AZ578" s="326"/>
      <c r="BA578" s="326"/>
      <c r="BB578" s="327"/>
    </row>
    <row r="579" spans="1:54" ht="15.75" customHeight="1" x14ac:dyDescent="0.25">
      <c r="A579" s="11">
        <f t="shared" si="2"/>
        <v>566</v>
      </c>
      <c r="B579" s="504" t="str">
        <f>'refer admin discharge'!B575</f>
        <v>x</v>
      </c>
      <c r="C579" s="327"/>
      <c r="D579" s="505" t="str">
        <f>'refer admin discharge'!D575</f>
        <v>xx</v>
      </c>
      <c r="E579" s="327"/>
      <c r="F579" s="606" t="str">
        <f>'refer admin discharge'!H575</f>
        <v>00/00/0000</v>
      </c>
      <c r="G579" s="327"/>
      <c r="H579" s="594"/>
      <c r="I579" s="327"/>
      <c r="J579" s="605"/>
      <c r="K579" s="327"/>
      <c r="L579" s="594"/>
      <c r="M579" s="327"/>
      <c r="N579" s="575"/>
      <c r="O579" s="327"/>
      <c r="P579" s="594"/>
      <c r="Q579" s="327"/>
      <c r="R579" s="575"/>
      <c r="S579" s="327"/>
      <c r="T579" s="594"/>
      <c r="U579" s="327"/>
      <c r="V579" s="595" t="str">
        <f>'refer admin discharge'!H580</f>
        <v>00/00/0000</v>
      </c>
      <c r="W579" s="327"/>
      <c r="X579" s="577"/>
      <c r="Y579" s="327"/>
      <c r="Z579" s="604"/>
      <c r="AA579" s="327"/>
      <c r="AB579" s="577"/>
      <c r="AC579" s="327"/>
      <c r="AD579" s="576"/>
      <c r="AE579" s="327"/>
      <c r="AF579" s="577"/>
      <c r="AG579" s="327"/>
      <c r="AH579" s="576"/>
      <c r="AI579" s="327"/>
      <c r="AJ579" s="577"/>
      <c r="AK579" s="327"/>
      <c r="AL579" s="602"/>
      <c r="AM579" s="326"/>
      <c r="AN579" s="326"/>
      <c r="AO579" s="326"/>
      <c r="AP579" s="326"/>
      <c r="AQ579" s="326"/>
      <c r="AR579" s="326"/>
      <c r="AS579" s="326"/>
      <c r="AT579" s="326"/>
      <c r="AU579" s="326"/>
      <c r="AV579" s="326"/>
      <c r="AW579" s="326"/>
      <c r="AX579" s="326"/>
      <c r="AY579" s="326"/>
      <c r="AZ579" s="326"/>
      <c r="BA579" s="326"/>
      <c r="BB579" s="327"/>
    </row>
    <row r="580" spans="1:54" ht="15.75" customHeight="1" x14ac:dyDescent="0.25">
      <c r="A580" s="11">
        <f t="shared" si="2"/>
        <v>567</v>
      </c>
      <c r="B580" s="570" t="str">
        <f>'refer admin discharge'!B576</f>
        <v>x</v>
      </c>
      <c r="C580" s="327"/>
      <c r="D580" s="599" t="str">
        <f>'refer admin discharge'!D576</f>
        <v>xx</v>
      </c>
      <c r="E580" s="327"/>
      <c r="F580" s="600" t="str">
        <f>'refer admin discharge'!H576</f>
        <v>00/00/0000</v>
      </c>
      <c r="G580" s="327"/>
      <c r="H580" s="574"/>
      <c r="I580" s="327"/>
      <c r="J580" s="601"/>
      <c r="K580" s="327"/>
      <c r="L580" s="574"/>
      <c r="M580" s="327"/>
      <c r="N580" s="594"/>
      <c r="O580" s="327"/>
      <c r="P580" s="574"/>
      <c r="Q580" s="327"/>
      <c r="R580" s="594"/>
      <c r="S580" s="327"/>
      <c r="T580" s="574"/>
      <c r="U580" s="327"/>
      <c r="V580" s="595" t="str">
        <f>'refer admin discharge'!H581</f>
        <v>00/00/0000</v>
      </c>
      <c r="W580" s="327"/>
      <c r="X580" s="596"/>
      <c r="Y580" s="327"/>
      <c r="Z580" s="597"/>
      <c r="AA580" s="327"/>
      <c r="AB580" s="596"/>
      <c r="AC580" s="327"/>
      <c r="AD580" s="577"/>
      <c r="AE580" s="327"/>
      <c r="AF580" s="596"/>
      <c r="AG580" s="327"/>
      <c r="AH580" s="577"/>
      <c r="AI580" s="327"/>
      <c r="AJ580" s="596"/>
      <c r="AK580" s="327"/>
      <c r="AL580" s="598"/>
      <c r="AM580" s="326"/>
      <c r="AN580" s="326"/>
      <c r="AO580" s="326"/>
      <c r="AP580" s="326"/>
      <c r="AQ580" s="326"/>
      <c r="AR580" s="326"/>
      <c r="AS580" s="326"/>
      <c r="AT580" s="326"/>
      <c r="AU580" s="326"/>
      <c r="AV580" s="326"/>
      <c r="AW580" s="326"/>
      <c r="AX580" s="326"/>
      <c r="AY580" s="326"/>
      <c r="AZ580" s="326"/>
      <c r="BA580" s="326"/>
      <c r="BB580" s="327"/>
    </row>
    <row r="581" spans="1:54" ht="15.75" customHeight="1" x14ac:dyDescent="0.25">
      <c r="A581" s="11">
        <f t="shared" si="2"/>
        <v>568</v>
      </c>
      <c r="B581" s="504" t="str">
        <f>'refer admin discharge'!B577</f>
        <v>x</v>
      </c>
      <c r="C581" s="327"/>
      <c r="D581" s="505" t="str">
        <f>'refer admin discharge'!D577</f>
        <v>xx</v>
      </c>
      <c r="E581" s="327"/>
      <c r="F581" s="606" t="str">
        <f>'refer admin discharge'!H577</f>
        <v>00/00/0000</v>
      </c>
      <c r="G581" s="327"/>
      <c r="H581" s="594"/>
      <c r="I581" s="327"/>
      <c r="J581" s="605"/>
      <c r="K581" s="327"/>
      <c r="L581" s="594"/>
      <c r="M581" s="327"/>
      <c r="N581" s="575"/>
      <c r="O581" s="327"/>
      <c r="P581" s="594"/>
      <c r="Q581" s="327"/>
      <c r="R581" s="575"/>
      <c r="S581" s="327"/>
      <c r="T581" s="594"/>
      <c r="U581" s="327"/>
      <c r="V581" s="595" t="str">
        <f>'refer admin discharge'!H582</f>
        <v>00/00/0000</v>
      </c>
      <c r="W581" s="327"/>
      <c r="X581" s="577"/>
      <c r="Y581" s="327"/>
      <c r="Z581" s="604"/>
      <c r="AA581" s="327"/>
      <c r="AB581" s="577"/>
      <c r="AC581" s="327"/>
      <c r="AD581" s="576"/>
      <c r="AE581" s="327"/>
      <c r="AF581" s="577"/>
      <c r="AG581" s="327"/>
      <c r="AH581" s="576"/>
      <c r="AI581" s="327"/>
      <c r="AJ581" s="577"/>
      <c r="AK581" s="327"/>
      <c r="AL581" s="602"/>
      <c r="AM581" s="326"/>
      <c r="AN581" s="326"/>
      <c r="AO581" s="326"/>
      <c r="AP581" s="326"/>
      <c r="AQ581" s="326"/>
      <c r="AR581" s="326"/>
      <c r="AS581" s="326"/>
      <c r="AT581" s="326"/>
      <c r="AU581" s="326"/>
      <c r="AV581" s="326"/>
      <c r="AW581" s="326"/>
      <c r="AX581" s="326"/>
      <c r="AY581" s="326"/>
      <c r="AZ581" s="326"/>
      <c r="BA581" s="326"/>
      <c r="BB581" s="327"/>
    </row>
    <row r="582" spans="1:54" ht="15.75" customHeight="1" x14ac:dyDescent="0.25">
      <c r="A582" s="11">
        <f t="shared" si="2"/>
        <v>569</v>
      </c>
      <c r="B582" s="570" t="str">
        <f>'refer admin discharge'!B578</f>
        <v>x</v>
      </c>
      <c r="C582" s="327"/>
      <c r="D582" s="599" t="str">
        <f>'refer admin discharge'!D578</f>
        <v>xx</v>
      </c>
      <c r="E582" s="327"/>
      <c r="F582" s="600" t="str">
        <f>'refer admin discharge'!H578</f>
        <v>00/00/0000</v>
      </c>
      <c r="G582" s="327"/>
      <c r="H582" s="574"/>
      <c r="I582" s="327"/>
      <c r="J582" s="601"/>
      <c r="K582" s="327"/>
      <c r="L582" s="574"/>
      <c r="M582" s="327"/>
      <c r="N582" s="594"/>
      <c r="O582" s="327"/>
      <c r="P582" s="574"/>
      <c r="Q582" s="327"/>
      <c r="R582" s="594"/>
      <c r="S582" s="327"/>
      <c r="T582" s="574"/>
      <c r="U582" s="327"/>
      <c r="V582" s="595" t="str">
        <f>'refer admin discharge'!H583</f>
        <v>00/00/0000</v>
      </c>
      <c r="W582" s="327"/>
      <c r="X582" s="596"/>
      <c r="Y582" s="327"/>
      <c r="Z582" s="597"/>
      <c r="AA582" s="327"/>
      <c r="AB582" s="596"/>
      <c r="AC582" s="327"/>
      <c r="AD582" s="577"/>
      <c r="AE582" s="327"/>
      <c r="AF582" s="596"/>
      <c r="AG582" s="327"/>
      <c r="AH582" s="577"/>
      <c r="AI582" s="327"/>
      <c r="AJ582" s="596"/>
      <c r="AK582" s="327"/>
      <c r="AL582" s="598"/>
      <c r="AM582" s="326"/>
      <c r="AN582" s="326"/>
      <c r="AO582" s="326"/>
      <c r="AP582" s="326"/>
      <c r="AQ582" s="326"/>
      <c r="AR582" s="326"/>
      <c r="AS582" s="326"/>
      <c r="AT582" s="326"/>
      <c r="AU582" s="326"/>
      <c r="AV582" s="326"/>
      <c r="AW582" s="326"/>
      <c r="AX582" s="326"/>
      <c r="AY582" s="326"/>
      <c r="AZ582" s="326"/>
      <c r="BA582" s="326"/>
      <c r="BB582" s="327"/>
    </row>
    <row r="583" spans="1:54" ht="15.75" customHeight="1" x14ac:dyDescent="0.25">
      <c r="A583" s="11">
        <f t="shared" si="2"/>
        <v>570</v>
      </c>
      <c r="B583" s="504" t="str">
        <f>'refer admin discharge'!B579</f>
        <v>x</v>
      </c>
      <c r="C583" s="327"/>
      <c r="D583" s="505" t="str">
        <f>'refer admin discharge'!D579</f>
        <v>xx</v>
      </c>
      <c r="E583" s="327"/>
      <c r="F583" s="606" t="str">
        <f>'refer admin discharge'!H579</f>
        <v>00/00/0000</v>
      </c>
      <c r="G583" s="327"/>
      <c r="H583" s="594"/>
      <c r="I583" s="327"/>
      <c r="J583" s="605"/>
      <c r="K583" s="327"/>
      <c r="L583" s="594"/>
      <c r="M583" s="327"/>
      <c r="N583" s="575"/>
      <c r="O583" s="327"/>
      <c r="P583" s="594"/>
      <c r="Q583" s="327"/>
      <c r="R583" s="575"/>
      <c r="S583" s="327"/>
      <c r="T583" s="594"/>
      <c r="U583" s="327"/>
      <c r="V583" s="595" t="str">
        <f>'refer admin discharge'!H584</f>
        <v>00/00/0000</v>
      </c>
      <c r="W583" s="327"/>
      <c r="X583" s="577"/>
      <c r="Y583" s="327"/>
      <c r="Z583" s="604"/>
      <c r="AA583" s="327"/>
      <c r="AB583" s="577"/>
      <c r="AC583" s="327"/>
      <c r="AD583" s="576"/>
      <c r="AE583" s="327"/>
      <c r="AF583" s="577"/>
      <c r="AG583" s="327"/>
      <c r="AH583" s="576"/>
      <c r="AI583" s="327"/>
      <c r="AJ583" s="577"/>
      <c r="AK583" s="327"/>
      <c r="AL583" s="602"/>
      <c r="AM583" s="326"/>
      <c r="AN583" s="326"/>
      <c r="AO583" s="326"/>
      <c r="AP583" s="326"/>
      <c r="AQ583" s="326"/>
      <c r="AR583" s="326"/>
      <c r="AS583" s="326"/>
      <c r="AT583" s="326"/>
      <c r="AU583" s="326"/>
      <c r="AV583" s="326"/>
      <c r="AW583" s="326"/>
      <c r="AX583" s="326"/>
      <c r="AY583" s="326"/>
      <c r="AZ583" s="326"/>
      <c r="BA583" s="326"/>
      <c r="BB583" s="327"/>
    </row>
    <row r="584" spans="1:54" ht="15.75" customHeight="1" x14ac:dyDescent="0.25">
      <c r="A584" s="11">
        <f t="shared" si="2"/>
        <v>571</v>
      </c>
      <c r="B584" s="570" t="str">
        <f>'refer admin discharge'!B580</f>
        <v>x</v>
      </c>
      <c r="C584" s="327"/>
      <c r="D584" s="599" t="str">
        <f>'refer admin discharge'!D580</f>
        <v>xx</v>
      </c>
      <c r="E584" s="327"/>
      <c r="F584" s="600" t="str">
        <f>'refer admin discharge'!H580</f>
        <v>00/00/0000</v>
      </c>
      <c r="G584" s="327"/>
      <c r="H584" s="574"/>
      <c r="I584" s="327"/>
      <c r="J584" s="601"/>
      <c r="K584" s="327"/>
      <c r="L584" s="574"/>
      <c r="M584" s="327"/>
      <c r="N584" s="594"/>
      <c r="O584" s="327"/>
      <c r="P584" s="574"/>
      <c r="Q584" s="327"/>
      <c r="R584" s="594"/>
      <c r="S584" s="327"/>
      <c r="T584" s="574"/>
      <c r="U584" s="327"/>
      <c r="V584" s="595" t="str">
        <f>'refer admin discharge'!H585</f>
        <v>00/00/0000</v>
      </c>
      <c r="W584" s="327"/>
      <c r="X584" s="596"/>
      <c r="Y584" s="327"/>
      <c r="Z584" s="597"/>
      <c r="AA584" s="327"/>
      <c r="AB584" s="596"/>
      <c r="AC584" s="327"/>
      <c r="AD584" s="577"/>
      <c r="AE584" s="327"/>
      <c r="AF584" s="596"/>
      <c r="AG584" s="327"/>
      <c r="AH584" s="577"/>
      <c r="AI584" s="327"/>
      <c r="AJ584" s="596"/>
      <c r="AK584" s="327"/>
      <c r="AL584" s="598"/>
      <c r="AM584" s="326"/>
      <c r="AN584" s="326"/>
      <c r="AO584" s="326"/>
      <c r="AP584" s="326"/>
      <c r="AQ584" s="326"/>
      <c r="AR584" s="326"/>
      <c r="AS584" s="326"/>
      <c r="AT584" s="326"/>
      <c r="AU584" s="326"/>
      <c r="AV584" s="326"/>
      <c r="AW584" s="326"/>
      <c r="AX584" s="326"/>
      <c r="AY584" s="326"/>
      <c r="AZ584" s="326"/>
      <c r="BA584" s="326"/>
      <c r="BB584" s="327"/>
    </row>
    <row r="585" spans="1:54" ht="15.75" customHeight="1" x14ac:dyDescent="0.25">
      <c r="A585" s="11">
        <f t="shared" si="2"/>
        <v>572</v>
      </c>
      <c r="B585" s="504" t="str">
        <f>'refer admin discharge'!B581</f>
        <v>x</v>
      </c>
      <c r="C585" s="327"/>
      <c r="D585" s="505" t="str">
        <f>'refer admin discharge'!D581</f>
        <v>xx</v>
      </c>
      <c r="E585" s="327"/>
      <c r="F585" s="606" t="str">
        <f>'refer admin discharge'!H581</f>
        <v>00/00/0000</v>
      </c>
      <c r="G585" s="327"/>
      <c r="H585" s="594"/>
      <c r="I585" s="327"/>
      <c r="J585" s="605"/>
      <c r="K585" s="327"/>
      <c r="L585" s="594"/>
      <c r="M585" s="327"/>
      <c r="N585" s="575"/>
      <c r="O585" s="327"/>
      <c r="P585" s="594"/>
      <c r="Q585" s="327"/>
      <c r="R585" s="575"/>
      <c r="S585" s="327"/>
      <c r="T585" s="594"/>
      <c r="U585" s="327"/>
      <c r="V585" s="595" t="str">
        <f>'refer admin discharge'!H586</f>
        <v>00/00/0000</v>
      </c>
      <c r="W585" s="327"/>
      <c r="X585" s="577"/>
      <c r="Y585" s="327"/>
      <c r="Z585" s="604"/>
      <c r="AA585" s="327"/>
      <c r="AB585" s="577"/>
      <c r="AC585" s="327"/>
      <c r="AD585" s="576"/>
      <c r="AE585" s="327"/>
      <c r="AF585" s="577"/>
      <c r="AG585" s="327"/>
      <c r="AH585" s="576"/>
      <c r="AI585" s="327"/>
      <c r="AJ585" s="577"/>
      <c r="AK585" s="327"/>
      <c r="AL585" s="602"/>
      <c r="AM585" s="326"/>
      <c r="AN585" s="326"/>
      <c r="AO585" s="326"/>
      <c r="AP585" s="326"/>
      <c r="AQ585" s="326"/>
      <c r="AR585" s="326"/>
      <c r="AS585" s="326"/>
      <c r="AT585" s="326"/>
      <c r="AU585" s="326"/>
      <c r="AV585" s="326"/>
      <c r="AW585" s="326"/>
      <c r="AX585" s="326"/>
      <c r="AY585" s="326"/>
      <c r="AZ585" s="326"/>
      <c r="BA585" s="326"/>
      <c r="BB585" s="327"/>
    </row>
    <row r="586" spans="1:54" ht="15.75" customHeight="1" x14ac:dyDescent="0.25">
      <c r="A586" s="11">
        <f t="shared" si="2"/>
        <v>573</v>
      </c>
      <c r="B586" s="570" t="str">
        <f>'refer admin discharge'!B582</f>
        <v>x</v>
      </c>
      <c r="C586" s="327"/>
      <c r="D586" s="599" t="str">
        <f>'refer admin discharge'!D582</f>
        <v>xx</v>
      </c>
      <c r="E586" s="327"/>
      <c r="F586" s="600" t="str">
        <f>'refer admin discharge'!H582</f>
        <v>00/00/0000</v>
      </c>
      <c r="G586" s="327"/>
      <c r="H586" s="574"/>
      <c r="I586" s="327"/>
      <c r="J586" s="601"/>
      <c r="K586" s="327"/>
      <c r="L586" s="574"/>
      <c r="M586" s="327"/>
      <c r="N586" s="594"/>
      <c r="O586" s="327"/>
      <c r="P586" s="574"/>
      <c r="Q586" s="327"/>
      <c r="R586" s="594"/>
      <c r="S586" s="327"/>
      <c r="T586" s="574"/>
      <c r="U586" s="327"/>
      <c r="V586" s="595" t="str">
        <f>'refer admin discharge'!H587</f>
        <v>00/00/0000</v>
      </c>
      <c r="W586" s="327"/>
      <c r="X586" s="596"/>
      <c r="Y586" s="327"/>
      <c r="Z586" s="597"/>
      <c r="AA586" s="327"/>
      <c r="AB586" s="596"/>
      <c r="AC586" s="327"/>
      <c r="AD586" s="577"/>
      <c r="AE586" s="327"/>
      <c r="AF586" s="596"/>
      <c r="AG586" s="327"/>
      <c r="AH586" s="577"/>
      <c r="AI586" s="327"/>
      <c r="AJ586" s="596"/>
      <c r="AK586" s="327"/>
      <c r="AL586" s="598"/>
      <c r="AM586" s="326"/>
      <c r="AN586" s="326"/>
      <c r="AO586" s="326"/>
      <c r="AP586" s="326"/>
      <c r="AQ586" s="326"/>
      <c r="AR586" s="326"/>
      <c r="AS586" s="326"/>
      <c r="AT586" s="326"/>
      <c r="AU586" s="326"/>
      <c r="AV586" s="326"/>
      <c r="AW586" s="326"/>
      <c r="AX586" s="326"/>
      <c r="AY586" s="326"/>
      <c r="AZ586" s="326"/>
      <c r="BA586" s="326"/>
      <c r="BB586" s="327"/>
    </row>
    <row r="587" spans="1:54" ht="15.75" customHeight="1" x14ac:dyDescent="0.25">
      <c r="A587" s="11">
        <f t="shared" si="2"/>
        <v>574</v>
      </c>
      <c r="B587" s="504" t="str">
        <f>'refer admin discharge'!B583</f>
        <v>x</v>
      </c>
      <c r="C587" s="327"/>
      <c r="D587" s="505" t="str">
        <f>'refer admin discharge'!D583</f>
        <v>xx</v>
      </c>
      <c r="E587" s="327"/>
      <c r="F587" s="606" t="str">
        <f>'refer admin discharge'!H583</f>
        <v>00/00/0000</v>
      </c>
      <c r="G587" s="327"/>
      <c r="H587" s="594"/>
      <c r="I587" s="327"/>
      <c r="J587" s="605"/>
      <c r="K587" s="327"/>
      <c r="L587" s="594"/>
      <c r="M587" s="327"/>
      <c r="N587" s="575"/>
      <c r="O587" s="327"/>
      <c r="P587" s="594"/>
      <c r="Q587" s="327"/>
      <c r="R587" s="575"/>
      <c r="S587" s="327"/>
      <c r="T587" s="594"/>
      <c r="U587" s="327"/>
      <c r="V587" s="595" t="str">
        <f>'refer admin discharge'!H588</f>
        <v>00/00/0000</v>
      </c>
      <c r="W587" s="327"/>
      <c r="X587" s="577"/>
      <c r="Y587" s="327"/>
      <c r="Z587" s="604"/>
      <c r="AA587" s="327"/>
      <c r="AB587" s="577"/>
      <c r="AC587" s="327"/>
      <c r="AD587" s="576"/>
      <c r="AE587" s="327"/>
      <c r="AF587" s="577"/>
      <c r="AG587" s="327"/>
      <c r="AH587" s="576"/>
      <c r="AI587" s="327"/>
      <c r="AJ587" s="577"/>
      <c r="AK587" s="327"/>
      <c r="AL587" s="602"/>
      <c r="AM587" s="326"/>
      <c r="AN587" s="326"/>
      <c r="AO587" s="326"/>
      <c r="AP587" s="326"/>
      <c r="AQ587" s="326"/>
      <c r="AR587" s="326"/>
      <c r="AS587" s="326"/>
      <c r="AT587" s="326"/>
      <c r="AU587" s="326"/>
      <c r="AV587" s="326"/>
      <c r="AW587" s="326"/>
      <c r="AX587" s="326"/>
      <c r="AY587" s="326"/>
      <c r="AZ587" s="326"/>
      <c r="BA587" s="326"/>
      <c r="BB587" s="327"/>
    </row>
    <row r="588" spans="1:54" ht="15.75" customHeight="1" x14ac:dyDescent="0.25">
      <c r="A588" s="11">
        <f t="shared" si="2"/>
        <v>575</v>
      </c>
      <c r="B588" s="570" t="str">
        <f>'refer admin discharge'!B584</f>
        <v>x</v>
      </c>
      <c r="C588" s="327"/>
      <c r="D588" s="599" t="str">
        <f>'refer admin discharge'!D584</f>
        <v>xx</v>
      </c>
      <c r="E588" s="327"/>
      <c r="F588" s="600" t="str">
        <f>'refer admin discharge'!H584</f>
        <v>00/00/0000</v>
      </c>
      <c r="G588" s="327"/>
      <c r="H588" s="574"/>
      <c r="I588" s="327"/>
      <c r="J588" s="601"/>
      <c r="K588" s="327"/>
      <c r="L588" s="574"/>
      <c r="M588" s="327"/>
      <c r="N588" s="594"/>
      <c r="O588" s="327"/>
      <c r="P588" s="574"/>
      <c r="Q588" s="327"/>
      <c r="R588" s="594"/>
      <c r="S588" s="327"/>
      <c r="T588" s="574"/>
      <c r="U588" s="327"/>
      <c r="V588" s="595" t="str">
        <f>'refer admin discharge'!H589</f>
        <v>00/00/0000</v>
      </c>
      <c r="W588" s="327"/>
      <c r="X588" s="596"/>
      <c r="Y588" s="327"/>
      <c r="Z588" s="597"/>
      <c r="AA588" s="327"/>
      <c r="AB588" s="596"/>
      <c r="AC588" s="327"/>
      <c r="AD588" s="577"/>
      <c r="AE588" s="327"/>
      <c r="AF588" s="596"/>
      <c r="AG588" s="327"/>
      <c r="AH588" s="577"/>
      <c r="AI588" s="327"/>
      <c r="AJ588" s="596"/>
      <c r="AK588" s="327"/>
      <c r="AL588" s="598"/>
      <c r="AM588" s="326"/>
      <c r="AN588" s="326"/>
      <c r="AO588" s="326"/>
      <c r="AP588" s="326"/>
      <c r="AQ588" s="326"/>
      <c r="AR588" s="326"/>
      <c r="AS588" s="326"/>
      <c r="AT588" s="326"/>
      <c r="AU588" s="326"/>
      <c r="AV588" s="326"/>
      <c r="AW588" s="326"/>
      <c r="AX588" s="326"/>
      <c r="AY588" s="326"/>
      <c r="AZ588" s="326"/>
      <c r="BA588" s="326"/>
      <c r="BB588" s="327"/>
    </row>
    <row r="589" spans="1:54" ht="15.75" customHeight="1" x14ac:dyDescent="0.25">
      <c r="A589" s="11">
        <f t="shared" si="2"/>
        <v>576</v>
      </c>
      <c r="B589" s="504" t="str">
        <f>'refer admin discharge'!B585</f>
        <v>x</v>
      </c>
      <c r="C589" s="327"/>
      <c r="D589" s="505" t="str">
        <f>'refer admin discharge'!D585</f>
        <v>xx</v>
      </c>
      <c r="E589" s="327"/>
      <c r="F589" s="606" t="str">
        <f>'refer admin discharge'!H585</f>
        <v>00/00/0000</v>
      </c>
      <c r="G589" s="327"/>
      <c r="H589" s="594"/>
      <c r="I589" s="327"/>
      <c r="J589" s="605"/>
      <c r="K589" s="327"/>
      <c r="L589" s="594"/>
      <c r="M589" s="327"/>
      <c r="N589" s="575"/>
      <c r="O589" s="327"/>
      <c r="P589" s="594"/>
      <c r="Q589" s="327"/>
      <c r="R589" s="575"/>
      <c r="S589" s="327"/>
      <c r="T589" s="594"/>
      <c r="U589" s="327"/>
      <c r="V589" s="595" t="str">
        <f>'refer admin discharge'!H590</f>
        <v>00/00/0000</v>
      </c>
      <c r="W589" s="327"/>
      <c r="X589" s="577"/>
      <c r="Y589" s="327"/>
      <c r="Z589" s="604"/>
      <c r="AA589" s="327"/>
      <c r="AB589" s="577"/>
      <c r="AC589" s="327"/>
      <c r="AD589" s="576"/>
      <c r="AE589" s="327"/>
      <c r="AF589" s="577"/>
      <c r="AG589" s="327"/>
      <c r="AH589" s="576"/>
      <c r="AI589" s="327"/>
      <c r="AJ589" s="577"/>
      <c r="AK589" s="327"/>
      <c r="AL589" s="602"/>
      <c r="AM589" s="326"/>
      <c r="AN589" s="326"/>
      <c r="AO589" s="326"/>
      <c r="AP589" s="326"/>
      <c r="AQ589" s="326"/>
      <c r="AR589" s="326"/>
      <c r="AS589" s="326"/>
      <c r="AT589" s="326"/>
      <c r="AU589" s="326"/>
      <c r="AV589" s="326"/>
      <c r="AW589" s="326"/>
      <c r="AX589" s="326"/>
      <c r="AY589" s="326"/>
      <c r="AZ589" s="326"/>
      <c r="BA589" s="326"/>
      <c r="BB589" s="327"/>
    </row>
    <row r="590" spans="1:54" ht="15.75" customHeight="1" x14ac:dyDescent="0.25">
      <c r="A590" s="11">
        <f t="shared" si="2"/>
        <v>577</v>
      </c>
      <c r="B590" s="570" t="str">
        <f>'refer admin discharge'!B586</f>
        <v>x</v>
      </c>
      <c r="C590" s="327"/>
      <c r="D590" s="599" t="str">
        <f>'refer admin discharge'!D586</f>
        <v>xx</v>
      </c>
      <c r="E590" s="327"/>
      <c r="F590" s="600" t="str">
        <f>'refer admin discharge'!H586</f>
        <v>00/00/0000</v>
      </c>
      <c r="G590" s="327"/>
      <c r="H590" s="574"/>
      <c r="I590" s="327"/>
      <c r="J590" s="601"/>
      <c r="K590" s="327"/>
      <c r="L590" s="574"/>
      <c r="M590" s="327"/>
      <c r="N590" s="594"/>
      <c r="O590" s="327"/>
      <c r="P590" s="574"/>
      <c r="Q590" s="327"/>
      <c r="R590" s="594"/>
      <c r="S590" s="327"/>
      <c r="T590" s="574"/>
      <c r="U590" s="327"/>
      <c r="V590" s="595" t="str">
        <f>'refer admin discharge'!H591</f>
        <v>00/00/0000</v>
      </c>
      <c r="W590" s="327"/>
      <c r="X590" s="596"/>
      <c r="Y590" s="327"/>
      <c r="Z590" s="597"/>
      <c r="AA590" s="327"/>
      <c r="AB590" s="596"/>
      <c r="AC590" s="327"/>
      <c r="AD590" s="577"/>
      <c r="AE590" s="327"/>
      <c r="AF590" s="596"/>
      <c r="AG590" s="327"/>
      <c r="AH590" s="577"/>
      <c r="AI590" s="327"/>
      <c r="AJ590" s="596"/>
      <c r="AK590" s="327"/>
      <c r="AL590" s="598"/>
      <c r="AM590" s="326"/>
      <c r="AN590" s="326"/>
      <c r="AO590" s="326"/>
      <c r="AP590" s="326"/>
      <c r="AQ590" s="326"/>
      <c r="AR590" s="326"/>
      <c r="AS590" s="326"/>
      <c r="AT590" s="326"/>
      <c r="AU590" s="326"/>
      <c r="AV590" s="326"/>
      <c r="AW590" s="326"/>
      <c r="AX590" s="326"/>
      <c r="AY590" s="326"/>
      <c r="AZ590" s="326"/>
      <c r="BA590" s="326"/>
      <c r="BB590" s="327"/>
    </row>
    <row r="591" spans="1:54" ht="15.75" customHeight="1" x14ac:dyDescent="0.25">
      <c r="A591" s="11">
        <f t="shared" si="2"/>
        <v>578</v>
      </c>
      <c r="B591" s="504" t="str">
        <f>'refer admin discharge'!B587</f>
        <v>x</v>
      </c>
      <c r="C591" s="327"/>
      <c r="D591" s="505" t="str">
        <f>'refer admin discharge'!D587</f>
        <v>xx</v>
      </c>
      <c r="E591" s="327"/>
      <c r="F591" s="606" t="str">
        <f>'refer admin discharge'!H587</f>
        <v>00/00/0000</v>
      </c>
      <c r="G591" s="327"/>
      <c r="H591" s="594"/>
      <c r="I591" s="327"/>
      <c r="J591" s="605"/>
      <c r="K591" s="327"/>
      <c r="L591" s="594"/>
      <c r="M591" s="327"/>
      <c r="N591" s="575"/>
      <c r="O591" s="327"/>
      <c r="P591" s="594"/>
      <c r="Q591" s="327"/>
      <c r="R591" s="575"/>
      <c r="S591" s="327"/>
      <c r="T591" s="594"/>
      <c r="U591" s="327"/>
      <c r="V591" s="595" t="str">
        <f>'refer admin discharge'!H592</f>
        <v>00/00/0000</v>
      </c>
      <c r="W591" s="327"/>
      <c r="X591" s="577"/>
      <c r="Y591" s="327"/>
      <c r="Z591" s="604"/>
      <c r="AA591" s="327"/>
      <c r="AB591" s="577"/>
      <c r="AC591" s="327"/>
      <c r="AD591" s="576"/>
      <c r="AE591" s="327"/>
      <c r="AF591" s="577"/>
      <c r="AG591" s="327"/>
      <c r="AH591" s="576"/>
      <c r="AI591" s="327"/>
      <c r="AJ591" s="577"/>
      <c r="AK591" s="327"/>
      <c r="AL591" s="602"/>
      <c r="AM591" s="326"/>
      <c r="AN591" s="326"/>
      <c r="AO591" s="326"/>
      <c r="AP591" s="326"/>
      <c r="AQ591" s="326"/>
      <c r="AR591" s="326"/>
      <c r="AS591" s="326"/>
      <c r="AT591" s="326"/>
      <c r="AU591" s="326"/>
      <c r="AV591" s="326"/>
      <c r="AW591" s="326"/>
      <c r="AX591" s="326"/>
      <c r="AY591" s="326"/>
      <c r="AZ591" s="326"/>
      <c r="BA591" s="326"/>
      <c r="BB591" s="327"/>
    </row>
    <row r="592" spans="1:54" ht="15.75" customHeight="1" x14ac:dyDescent="0.25">
      <c r="A592" s="11">
        <f t="shared" si="2"/>
        <v>579</v>
      </c>
      <c r="B592" s="570" t="str">
        <f>'refer admin discharge'!B588</f>
        <v>x</v>
      </c>
      <c r="C592" s="327"/>
      <c r="D592" s="599" t="str">
        <f>'refer admin discharge'!D588</f>
        <v>xx</v>
      </c>
      <c r="E592" s="327"/>
      <c r="F592" s="600" t="str">
        <f>'refer admin discharge'!H588</f>
        <v>00/00/0000</v>
      </c>
      <c r="G592" s="327"/>
      <c r="H592" s="574"/>
      <c r="I592" s="327"/>
      <c r="J592" s="601"/>
      <c r="K592" s="327"/>
      <c r="L592" s="574"/>
      <c r="M592" s="327"/>
      <c r="N592" s="594"/>
      <c r="O592" s="327"/>
      <c r="P592" s="574"/>
      <c r="Q592" s="327"/>
      <c r="R592" s="594"/>
      <c r="S592" s="327"/>
      <c r="T592" s="574"/>
      <c r="U592" s="327"/>
      <c r="V592" s="595" t="str">
        <f>'refer admin discharge'!H593</f>
        <v>00/00/0000</v>
      </c>
      <c r="W592" s="327"/>
      <c r="X592" s="596"/>
      <c r="Y592" s="327"/>
      <c r="Z592" s="597"/>
      <c r="AA592" s="327"/>
      <c r="AB592" s="596"/>
      <c r="AC592" s="327"/>
      <c r="AD592" s="577"/>
      <c r="AE592" s="327"/>
      <c r="AF592" s="596"/>
      <c r="AG592" s="327"/>
      <c r="AH592" s="577"/>
      <c r="AI592" s="327"/>
      <c r="AJ592" s="596"/>
      <c r="AK592" s="327"/>
      <c r="AL592" s="598"/>
      <c r="AM592" s="326"/>
      <c r="AN592" s="326"/>
      <c r="AO592" s="326"/>
      <c r="AP592" s="326"/>
      <c r="AQ592" s="326"/>
      <c r="AR592" s="326"/>
      <c r="AS592" s="326"/>
      <c r="AT592" s="326"/>
      <c r="AU592" s="326"/>
      <c r="AV592" s="326"/>
      <c r="AW592" s="326"/>
      <c r="AX592" s="326"/>
      <c r="AY592" s="326"/>
      <c r="AZ592" s="326"/>
      <c r="BA592" s="326"/>
      <c r="BB592" s="327"/>
    </row>
    <row r="593" spans="1:54" ht="15.75" customHeight="1" x14ac:dyDescent="0.25">
      <c r="A593" s="11">
        <f t="shared" si="2"/>
        <v>580</v>
      </c>
      <c r="B593" s="504" t="str">
        <f>'refer admin discharge'!B589</f>
        <v>x</v>
      </c>
      <c r="C593" s="327"/>
      <c r="D593" s="505" t="str">
        <f>'refer admin discharge'!D589</f>
        <v>xx</v>
      </c>
      <c r="E593" s="327"/>
      <c r="F593" s="606" t="str">
        <f>'refer admin discharge'!H589</f>
        <v>00/00/0000</v>
      </c>
      <c r="G593" s="327"/>
      <c r="H593" s="594"/>
      <c r="I593" s="327"/>
      <c r="J593" s="605"/>
      <c r="K593" s="327"/>
      <c r="L593" s="594"/>
      <c r="M593" s="327"/>
      <c r="N593" s="575"/>
      <c r="O593" s="327"/>
      <c r="P593" s="594"/>
      <c r="Q593" s="327"/>
      <c r="R593" s="575"/>
      <c r="S593" s="327"/>
      <c r="T593" s="594"/>
      <c r="U593" s="327"/>
      <c r="V593" s="595" t="str">
        <f>'refer admin discharge'!H594</f>
        <v>00/00/0000</v>
      </c>
      <c r="W593" s="327"/>
      <c r="X593" s="577"/>
      <c r="Y593" s="327"/>
      <c r="Z593" s="604"/>
      <c r="AA593" s="327"/>
      <c r="AB593" s="577"/>
      <c r="AC593" s="327"/>
      <c r="AD593" s="576"/>
      <c r="AE593" s="327"/>
      <c r="AF593" s="577"/>
      <c r="AG593" s="327"/>
      <c r="AH593" s="576"/>
      <c r="AI593" s="327"/>
      <c r="AJ593" s="577"/>
      <c r="AK593" s="327"/>
      <c r="AL593" s="602"/>
      <c r="AM593" s="326"/>
      <c r="AN593" s="326"/>
      <c r="AO593" s="326"/>
      <c r="AP593" s="326"/>
      <c r="AQ593" s="326"/>
      <c r="AR593" s="326"/>
      <c r="AS593" s="326"/>
      <c r="AT593" s="326"/>
      <c r="AU593" s="326"/>
      <c r="AV593" s="326"/>
      <c r="AW593" s="326"/>
      <c r="AX593" s="326"/>
      <c r="AY593" s="326"/>
      <c r="AZ593" s="326"/>
      <c r="BA593" s="326"/>
      <c r="BB593" s="327"/>
    </row>
    <row r="594" spans="1:54" ht="15.75" customHeight="1" x14ac:dyDescent="0.25">
      <c r="A594" s="11">
        <f t="shared" si="2"/>
        <v>581</v>
      </c>
      <c r="B594" s="570" t="str">
        <f>'refer admin discharge'!B590</f>
        <v>x</v>
      </c>
      <c r="C594" s="327"/>
      <c r="D594" s="599" t="str">
        <f>'refer admin discharge'!D590</f>
        <v>xx</v>
      </c>
      <c r="E594" s="327"/>
      <c r="F594" s="600" t="str">
        <f>'refer admin discharge'!H590</f>
        <v>00/00/0000</v>
      </c>
      <c r="G594" s="327"/>
      <c r="H594" s="574"/>
      <c r="I594" s="327"/>
      <c r="J594" s="601"/>
      <c r="K594" s="327"/>
      <c r="L594" s="574"/>
      <c r="M594" s="327"/>
      <c r="N594" s="594"/>
      <c r="O594" s="327"/>
      <c r="P594" s="574"/>
      <c r="Q594" s="327"/>
      <c r="R594" s="594"/>
      <c r="S594" s="327"/>
      <c r="T594" s="574"/>
      <c r="U594" s="327"/>
      <c r="V594" s="595" t="str">
        <f>'refer admin discharge'!H595</f>
        <v>00/00/0000</v>
      </c>
      <c r="W594" s="327"/>
      <c r="X594" s="596"/>
      <c r="Y594" s="327"/>
      <c r="Z594" s="597"/>
      <c r="AA594" s="327"/>
      <c r="AB594" s="596"/>
      <c r="AC594" s="327"/>
      <c r="AD594" s="577"/>
      <c r="AE594" s="327"/>
      <c r="AF594" s="596"/>
      <c r="AG594" s="327"/>
      <c r="AH594" s="577"/>
      <c r="AI594" s="327"/>
      <c r="AJ594" s="596"/>
      <c r="AK594" s="327"/>
      <c r="AL594" s="598"/>
      <c r="AM594" s="326"/>
      <c r="AN594" s="326"/>
      <c r="AO594" s="326"/>
      <c r="AP594" s="326"/>
      <c r="AQ594" s="326"/>
      <c r="AR594" s="326"/>
      <c r="AS594" s="326"/>
      <c r="AT594" s="326"/>
      <c r="AU594" s="326"/>
      <c r="AV594" s="326"/>
      <c r="AW594" s="326"/>
      <c r="AX594" s="326"/>
      <c r="AY594" s="326"/>
      <c r="AZ594" s="326"/>
      <c r="BA594" s="326"/>
      <c r="BB594" s="327"/>
    </row>
    <row r="595" spans="1:54" ht="15.75" customHeight="1" x14ac:dyDescent="0.25">
      <c r="A595" s="11">
        <f t="shared" si="2"/>
        <v>582</v>
      </c>
      <c r="B595" s="504" t="str">
        <f>'refer admin discharge'!B591</f>
        <v>x</v>
      </c>
      <c r="C595" s="327"/>
      <c r="D595" s="505" t="str">
        <f>'refer admin discharge'!D591</f>
        <v>xx</v>
      </c>
      <c r="E595" s="327"/>
      <c r="F595" s="606" t="str">
        <f>'refer admin discharge'!H591</f>
        <v>00/00/0000</v>
      </c>
      <c r="G595" s="327"/>
      <c r="H595" s="594"/>
      <c r="I595" s="327"/>
      <c r="J595" s="605"/>
      <c r="K595" s="327"/>
      <c r="L595" s="594"/>
      <c r="M595" s="327"/>
      <c r="N595" s="575"/>
      <c r="O595" s="327"/>
      <c r="P595" s="594"/>
      <c r="Q595" s="327"/>
      <c r="R595" s="575"/>
      <c r="S595" s="327"/>
      <c r="T595" s="594"/>
      <c r="U595" s="327"/>
      <c r="V595" s="595" t="str">
        <f>'refer admin discharge'!H596</f>
        <v>00/00/0000</v>
      </c>
      <c r="W595" s="327"/>
      <c r="X595" s="577"/>
      <c r="Y595" s="327"/>
      <c r="Z595" s="604"/>
      <c r="AA595" s="327"/>
      <c r="AB595" s="577"/>
      <c r="AC595" s="327"/>
      <c r="AD595" s="576"/>
      <c r="AE595" s="327"/>
      <c r="AF595" s="577"/>
      <c r="AG595" s="327"/>
      <c r="AH595" s="576"/>
      <c r="AI595" s="327"/>
      <c r="AJ595" s="577"/>
      <c r="AK595" s="327"/>
      <c r="AL595" s="602"/>
      <c r="AM595" s="326"/>
      <c r="AN595" s="326"/>
      <c r="AO595" s="326"/>
      <c r="AP595" s="326"/>
      <c r="AQ595" s="326"/>
      <c r="AR595" s="326"/>
      <c r="AS595" s="326"/>
      <c r="AT595" s="326"/>
      <c r="AU595" s="326"/>
      <c r="AV595" s="326"/>
      <c r="AW595" s="326"/>
      <c r="AX595" s="326"/>
      <c r="AY595" s="326"/>
      <c r="AZ595" s="326"/>
      <c r="BA595" s="326"/>
      <c r="BB595" s="327"/>
    </row>
    <row r="596" spans="1:54" ht="15.75" customHeight="1" x14ac:dyDescent="0.25">
      <c r="A596" s="11">
        <f t="shared" si="2"/>
        <v>583</v>
      </c>
      <c r="B596" s="570" t="str">
        <f>'refer admin discharge'!B592</f>
        <v>x</v>
      </c>
      <c r="C596" s="327"/>
      <c r="D596" s="599" t="str">
        <f>'refer admin discharge'!D592</f>
        <v>xx</v>
      </c>
      <c r="E596" s="327"/>
      <c r="F596" s="600" t="str">
        <f>'refer admin discharge'!H592</f>
        <v>00/00/0000</v>
      </c>
      <c r="G596" s="327"/>
      <c r="H596" s="574"/>
      <c r="I596" s="327"/>
      <c r="J596" s="601"/>
      <c r="K596" s="327"/>
      <c r="L596" s="574"/>
      <c r="M596" s="327"/>
      <c r="N596" s="594"/>
      <c r="O596" s="327"/>
      <c r="P596" s="574"/>
      <c r="Q596" s="327"/>
      <c r="R596" s="594"/>
      <c r="S596" s="327"/>
      <c r="T596" s="574"/>
      <c r="U596" s="327"/>
      <c r="V596" s="595" t="str">
        <f>'refer admin discharge'!H597</f>
        <v>00/00/0000</v>
      </c>
      <c r="W596" s="327"/>
      <c r="X596" s="596"/>
      <c r="Y596" s="327"/>
      <c r="Z596" s="597"/>
      <c r="AA596" s="327"/>
      <c r="AB596" s="596"/>
      <c r="AC596" s="327"/>
      <c r="AD596" s="577"/>
      <c r="AE596" s="327"/>
      <c r="AF596" s="596"/>
      <c r="AG596" s="327"/>
      <c r="AH596" s="577"/>
      <c r="AI596" s="327"/>
      <c r="AJ596" s="596"/>
      <c r="AK596" s="327"/>
      <c r="AL596" s="598"/>
      <c r="AM596" s="326"/>
      <c r="AN596" s="326"/>
      <c r="AO596" s="326"/>
      <c r="AP596" s="326"/>
      <c r="AQ596" s="326"/>
      <c r="AR596" s="326"/>
      <c r="AS596" s="326"/>
      <c r="AT596" s="326"/>
      <c r="AU596" s="326"/>
      <c r="AV596" s="326"/>
      <c r="AW596" s="326"/>
      <c r="AX596" s="326"/>
      <c r="AY596" s="326"/>
      <c r="AZ596" s="326"/>
      <c r="BA596" s="326"/>
      <c r="BB596" s="327"/>
    </row>
    <row r="597" spans="1:54" ht="15.75" customHeight="1" x14ac:dyDescent="0.25">
      <c r="A597" s="11">
        <f t="shared" si="2"/>
        <v>584</v>
      </c>
      <c r="B597" s="504" t="str">
        <f>'refer admin discharge'!B593</f>
        <v>x</v>
      </c>
      <c r="C597" s="327"/>
      <c r="D597" s="505" t="str">
        <f>'refer admin discharge'!D593</f>
        <v>xx</v>
      </c>
      <c r="E597" s="327"/>
      <c r="F597" s="606" t="str">
        <f>'refer admin discharge'!H593</f>
        <v>00/00/0000</v>
      </c>
      <c r="G597" s="327"/>
      <c r="H597" s="594"/>
      <c r="I597" s="327"/>
      <c r="J597" s="605"/>
      <c r="K597" s="327"/>
      <c r="L597" s="594"/>
      <c r="M597" s="327"/>
      <c r="N597" s="575"/>
      <c r="O597" s="327"/>
      <c r="P597" s="594"/>
      <c r="Q597" s="327"/>
      <c r="R597" s="575"/>
      <c r="S597" s="327"/>
      <c r="T597" s="594"/>
      <c r="U597" s="327"/>
      <c r="V597" s="595" t="str">
        <f>'refer admin discharge'!H598</f>
        <v>00/00/0000</v>
      </c>
      <c r="W597" s="327"/>
      <c r="X597" s="577"/>
      <c r="Y597" s="327"/>
      <c r="Z597" s="604"/>
      <c r="AA597" s="327"/>
      <c r="AB597" s="577"/>
      <c r="AC597" s="327"/>
      <c r="AD597" s="576"/>
      <c r="AE597" s="327"/>
      <c r="AF597" s="577"/>
      <c r="AG597" s="327"/>
      <c r="AH597" s="576"/>
      <c r="AI597" s="327"/>
      <c r="AJ597" s="577"/>
      <c r="AK597" s="327"/>
      <c r="AL597" s="602"/>
      <c r="AM597" s="326"/>
      <c r="AN597" s="326"/>
      <c r="AO597" s="326"/>
      <c r="AP597" s="326"/>
      <c r="AQ597" s="326"/>
      <c r="AR597" s="326"/>
      <c r="AS597" s="326"/>
      <c r="AT597" s="326"/>
      <c r="AU597" s="326"/>
      <c r="AV597" s="326"/>
      <c r="AW597" s="326"/>
      <c r="AX597" s="326"/>
      <c r="AY597" s="326"/>
      <c r="AZ597" s="326"/>
      <c r="BA597" s="326"/>
      <c r="BB597" s="327"/>
    </row>
    <row r="598" spans="1:54" ht="15.75" customHeight="1" x14ac:dyDescent="0.25">
      <c r="A598" s="11">
        <f t="shared" si="2"/>
        <v>585</v>
      </c>
      <c r="B598" s="570" t="str">
        <f>'refer admin discharge'!B594</f>
        <v>x</v>
      </c>
      <c r="C598" s="327"/>
      <c r="D598" s="599" t="str">
        <f>'refer admin discharge'!D594</f>
        <v>xx</v>
      </c>
      <c r="E598" s="327"/>
      <c r="F598" s="600" t="str">
        <f>'refer admin discharge'!H594</f>
        <v>00/00/0000</v>
      </c>
      <c r="G598" s="327"/>
      <c r="H598" s="574"/>
      <c r="I598" s="327"/>
      <c r="J598" s="601"/>
      <c r="K598" s="327"/>
      <c r="L598" s="574"/>
      <c r="M598" s="327"/>
      <c r="N598" s="594"/>
      <c r="O598" s="327"/>
      <c r="P598" s="574"/>
      <c r="Q598" s="327"/>
      <c r="R598" s="594"/>
      <c r="S598" s="327"/>
      <c r="T598" s="574"/>
      <c r="U598" s="327"/>
      <c r="V598" s="595" t="str">
        <f>'refer admin discharge'!H599</f>
        <v>00/00/0000</v>
      </c>
      <c r="W598" s="327"/>
      <c r="X598" s="596"/>
      <c r="Y598" s="327"/>
      <c r="Z598" s="597"/>
      <c r="AA598" s="327"/>
      <c r="AB598" s="596"/>
      <c r="AC598" s="327"/>
      <c r="AD598" s="577"/>
      <c r="AE598" s="327"/>
      <c r="AF598" s="596"/>
      <c r="AG598" s="327"/>
      <c r="AH598" s="577"/>
      <c r="AI598" s="327"/>
      <c r="AJ598" s="596"/>
      <c r="AK598" s="327"/>
      <c r="AL598" s="598"/>
      <c r="AM598" s="326"/>
      <c r="AN598" s="326"/>
      <c r="AO598" s="326"/>
      <c r="AP598" s="326"/>
      <c r="AQ598" s="326"/>
      <c r="AR598" s="326"/>
      <c r="AS598" s="326"/>
      <c r="AT598" s="326"/>
      <c r="AU598" s="326"/>
      <c r="AV598" s="326"/>
      <c r="AW598" s="326"/>
      <c r="AX598" s="326"/>
      <c r="AY598" s="326"/>
      <c r="AZ598" s="326"/>
      <c r="BA598" s="326"/>
      <c r="BB598" s="327"/>
    </row>
    <row r="599" spans="1:54" ht="15.75" customHeight="1" x14ac:dyDescent="0.25">
      <c r="A599" s="11">
        <f t="shared" si="2"/>
        <v>586</v>
      </c>
      <c r="B599" s="504" t="str">
        <f>'refer admin discharge'!B595</f>
        <v>x</v>
      </c>
      <c r="C599" s="327"/>
      <c r="D599" s="505" t="str">
        <f>'refer admin discharge'!D595</f>
        <v>xx</v>
      </c>
      <c r="E599" s="327"/>
      <c r="F599" s="606" t="str">
        <f>'refer admin discharge'!H595</f>
        <v>00/00/0000</v>
      </c>
      <c r="G599" s="327"/>
      <c r="H599" s="594"/>
      <c r="I599" s="327"/>
      <c r="J599" s="605"/>
      <c r="K599" s="327"/>
      <c r="L599" s="594"/>
      <c r="M599" s="327"/>
      <c r="N599" s="575"/>
      <c r="O599" s="327"/>
      <c r="P599" s="594"/>
      <c r="Q599" s="327"/>
      <c r="R599" s="575"/>
      <c r="S599" s="327"/>
      <c r="T599" s="594"/>
      <c r="U599" s="327"/>
      <c r="V599" s="595" t="str">
        <f>'refer admin discharge'!H600</f>
        <v>00/00/0000</v>
      </c>
      <c r="W599" s="327"/>
      <c r="X599" s="577"/>
      <c r="Y599" s="327"/>
      <c r="Z599" s="604"/>
      <c r="AA599" s="327"/>
      <c r="AB599" s="577"/>
      <c r="AC599" s="327"/>
      <c r="AD599" s="576"/>
      <c r="AE599" s="327"/>
      <c r="AF599" s="577"/>
      <c r="AG599" s="327"/>
      <c r="AH599" s="576"/>
      <c r="AI599" s="327"/>
      <c r="AJ599" s="577"/>
      <c r="AK599" s="327"/>
      <c r="AL599" s="602"/>
      <c r="AM599" s="326"/>
      <c r="AN599" s="326"/>
      <c r="AO599" s="326"/>
      <c r="AP599" s="326"/>
      <c r="AQ599" s="326"/>
      <c r="AR599" s="326"/>
      <c r="AS599" s="326"/>
      <c r="AT599" s="326"/>
      <c r="AU599" s="326"/>
      <c r="AV599" s="326"/>
      <c r="AW599" s="326"/>
      <c r="AX599" s="326"/>
      <c r="AY599" s="326"/>
      <c r="AZ599" s="326"/>
      <c r="BA599" s="326"/>
      <c r="BB599" s="327"/>
    </row>
    <row r="600" spans="1:54" ht="15.75" customHeight="1" x14ac:dyDescent="0.25">
      <c r="A600" s="11">
        <f t="shared" si="2"/>
        <v>587</v>
      </c>
      <c r="B600" s="570" t="str">
        <f>'refer admin discharge'!B596</f>
        <v>x</v>
      </c>
      <c r="C600" s="327"/>
      <c r="D600" s="599" t="str">
        <f>'refer admin discharge'!D596</f>
        <v>xx</v>
      </c>
      <c r="E600" s="327"/>
      <c r="F600" s="600" t="str">
        <f>'refer admin discharge'!H596</f>
        <v>00/00/0000</v>
      </c>
      <c r="G600" s="327"/>
      <c r="H600" s="574"/>
      <c r="I600" s="327"/>
      <c r="J600" s="601"/>
      <c r="K600" s="327"/>
      <c r="L600" s="574"/>
      <c r="M600" s="327"/>
      <c r="N600" s="594"/>
      <c r="O600" s="327"/>
      <c r="P600" s="574"/>
      <c r="Q600" s="327"/>
      <c r="R600" s="594"/>
      <c r="S600" s="327"/>
      <c r="T600" s="574"/>
      <c r="U600" s="327"/>
      <c r="V600" s="595" t="str">
        <f>'refer admin discharge'!H601</f>
        <v>00/00/0000</v>
      </c>
      <c r="W600" s="327"/>
      <c r="X600" s="596"/>
      <c r="Y600" s="327"/>
      <c r="Z600" s="597"/>
      <c r="AA600" s="327"/>
      <c r="AB600" s="596"/>
      <c r="AC600" s="327"/>
      <c r="AD600" s="577"/>
      <c r="AE600" s="327"/>
      <c r="AF600" s="596"/>
      <c r="AG600" s="327"/>
      <c r="AH600" s="577"/>
      <c r="AI600" s="327"/>
      <c r="AJ600" s="596"/>
      <c r="AK600" s="327"/>
      <c r="AL600" s="598"/>
      <c r="AM600" s="326"/>
      <c r="AN600" s="326"/>
      <c r="AO600" s="326"/>
      <c r="AP600" s="326"/>
      <c r="AQ600" s="326"/>
      <c r="AR600" s="326"/>
      <c r="AS600" s="326"/>
      <c r="AT600" s="326"/>
      <c r="AU600" s="326"/>
      <c r="AV600" s="326"/>
      <c r="AW600" s="326"/>
      <c r="AX600" s="326"/>
      <c r="AY600" s="326"/>
      <c r="AZ600" s="326"/>
      <c r="BA600" s="326"/>
      <c r="BB600" s="327"/>
    </row>
    <row r="601" spans="1:54" ht="15.75" customHeight="1" x14ac:dyDescent="0.25">
      <c r="A601" s="11">
        <f t="shared" si="2"/>
        <v>588</v>
      </c>
      <c r="B601" s="504" t="str">
        <f>'refer admin discharge'!B597</f>
        <v>x</v>
      </c>
      <c r="C601" s="327"/>
      <c r="D601" s="505" t="str">
        <f>'refer admin discharge'!D597</f>
        <v>xx</v>
      </c>
      <c r="E601" s="327"/>
      <c r="F601" s="606" t="str">
        <f>'refer admin discharge'!H597</f>
        <v>00/00/0000</v>
      </c>
      <c r="G601" s="327"/>
      <c r="H601" s="594"/>
      <c r="I601" s="327"/>
      <c r="J601" s="605"/>
      <c r="K601" s="327"/>
      <c r="L601" s="594"/>
      <c r="M601" s="327"/>
      <c r="N601" s="575"/>
      <c r="O601" s="327"/>
      <c r="P601" s="594"/>
      <c r="Q601" s="327"/>
      <c r="R601" s="575"/>
      <c r="S601" s="327"/>
      <c r="T601" s="594"/>
      <c r="U601" s="327"/>
      <c r="V601" s="595" t="str">
        <f>'refer admin discharge'!H602</f>
        <v>00/00/0000</v>
      </c>
      <c r="W601" s="327"/>
      <c r="X601" s="577"/>
      <c r="Y601" s="327"/>
      <c r="Z601" s="604"/>
      <c r="AA601" s="327"/>
      <c r="AB601" s="577"/>
      <c r="AC601" s="327"/>
      <c r="AD601" s="576"/>
      <c r="AE601" s="327"/>
      <c r="AF601" s="577"/>
      <c r="AG601" s="327"/>
      <c r="AH601" s="576"/>
      <c r="AI601" s="327"/>
      <c r="AJ601" s="577"/>
      <c r="AK601" s="327"/>
      <c r="AL601" s="602"/>
      <c r="AM601" s="326"/>
      <c r="AN601" s="326"/>
      <c r="AO601" s="326"/>
      <c r="AP601" s="326"/>
      <c r="AQ601" s="326"/>
      <c r="AR601" s="326"/>
      <c r="AS601" s="326"/>
      <c r="AT601" s="326"/>
      <c r="AU601" s="326"/>
      <c r="AV601" s="326"/>
      <c r="AW601" s="326"/>
      <c r="AX601" s="326"/>
      <c r="AY601" s="326"/>
      <c r="AZ601" s="326"/>
      <c r="BA601" s="326"/>
      <c r="BB601" s="327"/>
    </row>
    <row r="602" spans="1:54" ht="15.75" customHeight="1" x14ac:dyDescent="0.25">
      <c r="A602" s="11">
        <f t="shared" si="2"/>
        <v>589</v>
      </c>
      <c r="B602" s="570" t="str">
        <f>'refer admin discharge'!B598</f>
        <v>x</v>
      </c>
      <c r="C602" s="327"/>
      <c r="D602" s="599" t="str">
        <f>'refer admin discharge'!D598</f>
        <v>xx</v>
      </c>
      <c r="E602" s="327"/>
      <c r="F602" s="600" t="str">
        <f>'refer admin discharge'!H598</f>
        <v>00/00/0000</v>
      </c>
      <c r="G602" s="327"/>
      <c r="H602" s="574"/>
      <c r="I602" s="327"/>
      <c r="J602" s="601"/>
      <c r="K602" s="327"/>
      <c r="L602" s="574"/>
      <c r="M602" s="327"/>
      <c r="N602" s="594"/>
      <c r="O602" s="327"/>
      <c r="P602" s="574"/>
      <c r="Q602" s="327"/>
      <c r="R602" s="594"/>
      <c r="S602" s="327"/>
      <c r="T602" s="574"/>
      <c r="U602" s="327"/>
      <c r="V602" s="595" t="str">
        <f>'refer admin discharge'!H603</f>
        <v>00/00/0000</v>
      </c>
      <c r="W602" s="327"/>
      <c r="X602" s="596"/>
      <c r="Y602" s="327"/>
      <c r="Z602" s="597"/>
      <c r="AA602" s="327"/>
      <c r="AB602" s="596"/>
      <c r="AC602" s="327"/>
      <c r="AD602" s="577"/>
      <c r="AE602" s="327"/>
      <c r="AF602" s="596"/>
      <c r="AG602" s="327"/>
      <c r="AH602" s="577"/>
      <c r="AI602" s="327"/>
      <c r="AJ602" s="596"/>
      <c r="AK602" s="327"/>
      <c r="AL602" s="598"/>
      <c r="AM602" s="326"/>
      <c r="AN602" s="326"/>
      <c r="AO602" s="326"/>
      <c r="AP602" s="326"/>
      <c r="AQ602" s="326"/>
      <c r="AR602" s="326"/>
      <c r="AS602" s="326"/>
      <c r="AT602" s="326"/>
      <c r="AU602" s="326"/>
      <c r="AV602" s="326"/>
      <c r="AW602" s="326"/>
      <c r="AX602" s="326"/>
      <c r="AY602" s="326"/>
      <c r="AZ602" s="326"/>
      <c r="BA602" s="326"/>
      <c r="BB602" s="327"/>
    </row>
    <row r="603" spans="1:54" ht="15.75" customHeight="1" x14ac:dyDescent="0.25">
      <c r="A603" s="11">
        <f t="shared" si="2"/>
        <v>590</v>
      </c>
      <c r="B603" s="504" t="str">
        <f>'refer admin discharge'!B599</f>
        <v>x</v>
      </c>
      <c r="C603" s="327"/>
      <c r="D603" s="505" t="str">
        <f>'refer admin discharge'!D599</f>
        <v>xx</v>
      </c>
      <c r="E603" s="327"/>
      <c r="F603" s="606" t="str">
        <f>'refer admin discharge'!H599</f>
        <v>00/00/0000</v>
      </c>
      <c r="G603" s="327"/>
      <c r="H603" s="594"/>
      <c r="I603" s="327"/>
      <c r="J603" s="605"/>
      <c r="K603" s="327"/>
      <c r="L603" s="594"/>
      <c r="M603" s="327"/>
      <c r="N603" s="575"/>
      <c r="O603" s="327"/>
      <c r="P603" s="594"/>
      <c r="Q603" s="327"/>
      <c r="R603" s="575"/>
      <c r="S603" s="327"/>
      <c r="T603" s="594"/>
      <c r="U603" s="327"/>
      <c r="V603" s="595" t="str">
        <f>'refer admin discharge'!H604</f>
        <v>00/00/0000</v>
      </c>
      <c r="W603" s="327"/>
      <c r="X603" s="577"/>
      <c r="Y603" s="327"/>
      <c r="Z603" s="604"/>
      <c r="AA603" s="327"/>
      <c r="AB603" s="577"/>
      <c r="AC603" s="327"/>
      <c r="AD603" s="576"/>
      <c r="AE603" s="327"/>
      <c r="AF603" s="577"/>
      <c r="AG603" s="327"/>
      <c r="AH603" s="576"/>
      <c r="AI603" s="327"/>
      <c r="AJ603" s="577"/>
      <c r="AK603" s="327"/>
      <c r="AL603" s="602"/>
      <c r="AM603" s="326"/>
      <c r="AN603" s="326"/>
      <c r="AO603" s="326"/>
      <c r="AP603" s="326"/>
      <c r="AQ603" s="326"/>
      <c r="AR603" s="326"/>
      <c r="AS603" s="326"/>
      <c r="AT603" s="326"/>
      <c r="AU603" s="326"/>
      <c r="AV603" s="326"/>
      <c r="AW603" s="326"/>
      <c r="AX603" s="326"/>
      <c r="AY603" s="326"/>
      <c r="AZ603" s="326"/>
      <c r="BA603" s="326"/>
      <c r="BB603" s="327"/>
    </row>
    <row r="604" spans="1:54" ht="15.75" customHeight="1" x14ac:dyDescent="0.25">
      <c r="A604" s="11">
        <f t="shared" si="2"/>
        <v>591</v>
      </c>
      <c r="B604" s="570" t="str">
        <f>'refer admin discharge'!B600</f>
        <v>x</v>
      </c>
      <c r="C604" s="327"/>
      <c r="D604" s="599" t="str">
        <f>'refer admin discharge'!D600</f>
        <v>xx</v>
      </c>
      <c r="E604" s="327"/>
      <c r="F604" s="600" t="str">
        <f>'refer admin discharge'!H600</f>
        <v>00/00/0000</v>
      </c>
      <c r="G604" s="327"/>
      <c r="H604" s="574"/>
      <c r="I604" s="327"/>
      <c r="J604" s="601"/>
      <c r="K604" s="327"/>
      <c r="L604" s="574"/>
      <c r="M604" s="327"/>
      <c r="N604" s="594"/>
      <c r="O604" s="327"/>
      <c r="P604" s="574"/>
      <c r="Q604" s="327"/>
      <c r="R604" s="594"/>
      <c r="S604" s="327"/>
      <c r="T604" s="574"/>
      <c r="U604" s="327"/>
      <c r="V604" s="595" t="str">
        <f>'refer admin discharge'!H605</f>
        <v>00/00/0000</v>
      </c>
      <c r="W604" s="327"/>
      <c r="X604" s="596"/>
      <c r="Y604" s="327"/>
      <c r="Z604" s="597"/>
      <c r="AA604" s="327"/>
      <c r="AB604" s="596"/>
      <c r="AC604" s="327"/>
      <c r="AD604" s="577"/>
      <c r="AE604" s="327"/>
      <c r="AF604" s="596"/>
      <c r="AG604" s="327"/>
      <c r="AH604" s="577"/>
      <c r="AI604" s="327"/>
      <c r="AJ604" s="596"/>
      <c r="AK604" s="327"/>
      <c r="AL604" s="598"/>
      <c r="AM604" s="326"/>
      <c r="AN604" s="326"/>
      <c r="AO604" s="326"/>
      <c r="AP604" s="326"/>
      <c r="AQ604" s="326"/>
      <c r="AR604" s="326"/>
      <c r="AS604" s="326"/>
      <c r="AT604" s="326"/>
      <c r="AU604" s="326"/>
      <c r="AV604" s="326"/>
      <c r="AW604" s="326"/>
      <c r="AX604" s="326"/>
      <c r="AY604" s="326"/>
      <c r="AZ604" s="326"/>
      <c r="BA604" s="326"/>
      <c r="BB604" s="327"/>
    </row>
    <row r="605" spans="1:54" ht="15.75" customHeight="1" x14ac:dyDescent="0.25">
      <c r="A605" s="11">
        <f t="shared" si="2"/>
        <v>592</v>
      </c>
      <c r="B605" s="504" t="str">
        <f>'refer admin discharge'!B601</f>
        <v>x</v>
      </c>
      <c r="C605" s="327"/>
      <c r="D605" s="505" t="str">
        <f>'refer admin discharge'!D601</f>
        <v>xx</v>
      </c>
      <c r="E605" s="327"/>
      <c r="F605" s="606" t="str">
        <f>'refer admin discharge'!H601</f>
        <v>00/00/0000</v>
      </c>
      <c r="G605" s="327"/>
      <c r="H605" s="594"/>
      <c r="I605" s="327"/>
      <c r="J605" s="605"/>
      <c r="K605" s="327"/>
      <c r="L605" s="594"/>
      <c r="M605" s="327"/>
      <c r="N605" s="575"/>
      <c r="O605" s="327"/>
      <c r="P605" s="594"/>
      <c r="Q605" s="327"/>
      <c r="R605" s="575"/>
      <c r="S605" s="327"/>
      <c r="T605" s="594"/>
      <c r="U605" s="327"/>
      <c r="V605" s="595" t="str">
        <f>'refer admin discharge'!H606</f>
        <v>00/00/0000</v>
      </c>
      <c r="W605" s="327"/>
      <c r="X605" s="577"/>
      <c r="Y605" s="327"/>
      <c r="Z605" s="604"/>
      <c r="AA605" s="327"/>
      <c r="AB605" s="577"/>
      <c r="AC605" s="327"/>
      <c r="AD605" s="576"/>
      <c r="AE605" s="327"/>
      <c r="AF605" s="577"/>
      <c r="AG605" s="327"/>
      <c r="AH605" s="576"/>
      <c r="AI605" s="327"/>
      <c r="AJ605" s="577"/>
      <c r="AK605" s="327"/>
      <c r="AL605" s="602"/>
      <c r="AM605" s="326"/>
      <c r="AN605" s="326"/>
      <c r="AO605" s="326"/>
      <c r="AP605" s="326"/>
      <c r="AQ605" s="326"/>
      <c r="AR605" s="326"/>
      <c r="AS605" s="326"/>
      <c r="AT605" s="326"/>
      <c r="AU605" s="326"/>
      <c r="AV605" s="326"/>
      <c r="AW605" s="326"/>
      <c r="AX605" s="326"/>
      <c r="AY605" s="326"/>
      <c r="AZ605" s="326"/>
      <c r="BA605" s="326"/>
      <c r="BB605" s="327"/>
    </row>
    <row r="606" spans="1:54" ht="15.75" customHeight="1" x14ac:dyDescent="0.25">
      <c r="A606" s="11">
        <f t="shared" si="2"/>
        <v>593</v>
      </c>
      <c r="B606" s="570" t="str">
        <f>'refer admin discharge'!B602</f>
        <v>x</v>
      </c>
      <c r="C606" s="327"/>
      <c r="D606" s="599" t="str">
        <f>'refer admin discharge'!D602</f>
        <v>xx</v>
      </c>
      <c r="E606" s="327"/>
      <c r="F606" s="600" t="str">
        <f>'refer admin discharge'!H602</f>
        <v>00/00/0000</v>
      </c>
      <c r="G606" s="327"/>
      <c r="H606" s="574"/>
      <c r="I606" s="327"/>
      <c r="J606" s="601"/>
      <c r="K606" s="327"/>
      <c r="L606" s="574"/>
      <c r="M606" s="327"/>
      <c r="N606" s="594"/>
      <c r="O606" s="327"/>
      <c r="P606" s="574"/>
      <c r="Q606" s="327"/>
      <c r="R606" s="594"/>
      <c r="S606" s="327"/>
      <c r="T606" s="574"/>
      <c r="U606" s="327"/>
      <c r="V606" s="595" t="str">
        <f>'refer admin discharge'!H607</f>
        <v>00/00/0000</v>
      </c>
      <c r="W606" s="327"/>
      <c r="X606" s="596"/>
      <c r="Y606" s="327"/>
      <c r="Z606" s="597"/>
      <c r="AA606" s="327"/>
      <c r="AB606" s="596"/>
      <c r="AC606" s="327"/>
      <c r="AD606" s="577"/>
      <c r="AE606" s="327"/>
      <c r="AF606" s="596"/>
      <c r="AG606" s="327"/>
      <c r="AH606" s="577"/>
      <c r="AI606" s="327"/>
      <c r="AJ606" s="596"/>
      <c r="AK606" s="327"/>
      <c r="AL606" s="598"/>
      <c r="AM606" s="326"/>
      <c r="AN606" s="326"/>
      <c r="AO606" s="326"/>
      <c r="AP606" s="326"/>
      <c r="AQ606" s="326"/>
      <c r="AR606" s="326"/>
      <c r="AS606" s="326"/>
      <c r="AT606" s="326"/>
      <c r="AU606" s="326"/>
      <c r="AV606" s="326"/>
      <c r="AW606" s="326"/>
      <c r="AX606" s="326"/>
      <c r="AY606" s="326"/>
      <c r="AZ606" s="326"/>
      <c r="BA606" s="326"/>
      <c r="BB606" s="327"/>
    </row>
    <row r="607" spans="1:54" ht="15.75" customHeight="1" x14ac:dyDescent="0.25">
      <c r="A607" s="11">
        <f t="shared" si="2"/>
        <v>594</v>
      </c>
      <c r="B607" s="504" t="str">
        <f>'refer admin discharge'!B603</f>
        <v>x</v>
      </c>
      <c r="C607" s="327"/>
      <c r="D607" s="505" t="str">
        <f>'refer admin discharge'!D603</f>
        <v>xx</v>
      </c>
      <c r="E607" s="327"/>
      <c r="F607" s="606" t="str">
        <f>'refer admin discharge'!H603</f>
        <v>00/00/0000</v>
      </c>
      <c r="G607" s="327"/>
      <c r="H607" s="594"/>
      <c r="I607" s="327"/>
      <c r="J607" s="605"/>
      <c r="K607" s="327"/>
      <c r="L607" s="594"/>
      <c r="M607" s="327"/>
      <c r="N607" s="575"/>
      <c r="O607" s="327"/>
      <c r="P607" s="594"/>
      <c r="Q607" s="327"/>
      <c r="R607" s="575"/>
      <c r="S607" s="327"/>
      <c r="T607" s="594"/>
      <c r="U607" s="327"/>
      <c r="V607" s="595" t="str">
        <f>'refer admin discharge'!H608</f>
        <v>00/00/0000</v>
      </c>
      <c r="W607" s="327"/>
      <c r="X607" s="577"/>
      <c r="Y607" s="327"/>
      <c r="Z607" s="604"/>
      <c r="AA607" s="327"/>
      <c r="AB607" s="577"/>
      <c r="AC607" s="327"/>
      <c r="AD607" s="576"/>
      <c r="AE607" s="327"/>
      <c r="AF607" s="577"/>
      <c r="AG607" s="327"/>
      <c r="AH607" s="576"/>
      <c r="AI607" s="327"/>
      <c r="AJ607" s="577"/>
      <c r="AK607" s="327"/>
      <c r="AL607" s="602"/>
      <c r="AM607" s="326"/>
      <c r="AN607" s="326"/>
      <c r="AO607" s="326"/>
      <c r="AP607" s="326"/>
      <c r="AQ607" s="326"/>
      <c r="AR607" s="326"/>
      <c r="AS607" s="326"/>
      <c r="AT607" s="326"/>
      <c r="AU607" s="326"/>
      <c r="AV607" s="326"/>
      <c r="AW607" s="326"/>
      <c r="AX607" s="326"/>
      <c r="AY607" s="326"/>
      <c r="AZ607" s="326"/>
      <c r="BA607" s="326"/>
      <c r="BB607" s="327"/>
    </row>
    <row r="608" spans="1:54" ht="15.75" customHeight="1" x14ac:dyDescent="0.25">
      <c r="A608" s="11">
        <f t="shared" si="2"/>
        <v>595</v>
      </c>
      <c r="B608" s="570" t="str">
        <f>'refer admin discharge'!B604</f>
        <v>x</v>
      </c>
      <c r="C608" s="327"/>
      <c r="D608" s="599" t="str">
        <f>'refer admin discharge'!D604</f>
        <v>xx</v>
      </c>
      <c r="E608" s="327"/>
      <c r="F608" s="600" t="str">
        <f>'refer admin discharge'!H604</f>
        <v>00/00/0000</v>
      </c>
      <c r="G608" s="327"/>
      <c r="H608" s="574"/>
      <c r="I608" s="327"/>
      <c r="J608" s="601"/>
      <c r="K608" s="327"/>
      <c r="L608" s="574"/>
      <c r="M608" s="327"/>
      <c r="N608" s="594"/>
      <c r="O608" s="327"/>
      <c r="P608" s="574"/>
      <c r="Q608" s="327"/>
      <c r="R608" s="594"/>
      <c r="S608" s="327"/>
      <c r="T608" s="574"/>
      <c r="U608" s="327"/>
      <c r="V608" s="595" t="str">
        <f>'refer admin discharge'!H609</f>
        <v>00/00/0000</v>
      </c>
      <c r="W608" s="327"/>
      <c r="X608" s="596"/>
      <c r="Y608" s="327"/>
      <c r="Z608" s="597"/>
      <c r="AA608" s="327"/>
      <c r="AB608" s="596"/>
      <c r="AC608" s="327"/>
      <c r="AD608" s="577"/>
      <c r="AE608" s="327"/>
      <c r="AF608" s="596"/>
      <c r="AG608" s="327"/>
      <c r="AH608" s="577"/>
      <c r="AI608" s="327"/>
      <c r="AJ608" s="596"/>
      <c r="AK608" s="327"/>
      <c r="AL608" s="598"/>
      <c r="AM608" s="326"/>
      <c r="AN608" s="326"/>
      <c r="AO608" s="326"/>
      <c r="AP608" s="326"/>
      <c r="AQ608" s="326"/>
      <c r="AR608" s="326"/>
      <c r="AS608" s="326"/>
      <c r="AT608" s="326"/>
      <c r="AU608" s="326"/>
      <c r="AV608" s="326"/>
      <c r="AW608" s="326"/>
      <c r="AX608" s="326"/>
      <c r="AY608" s="326"/>
      <c r="AZ608" s="326"/>
      <c r="BA608" s="326"/>
      <c r="BB608" s="327"/>
    </row>
    <row r="609" spans="1:54" ht="15.75" customHeight="1" x14ac:dyDescent="0.25">
      <c r="A609" s="11">
        <f t="shared" si="2"/>
        <v>596</v>
      </c>
      <c r="B609" s="504" t="str">
        <f>'refer admin discharge'!B605</f>
        <v>x</v>
      </c>
      <c r="C609" s="327"/>
      <c r="D609" s="505" t="str">
        <f>'refer admin discharge'!D605</f>
        <v>xx</v>
      </c>
      <c r="E609" s="327"/>
      <c r="F609" s="606" t="str">
        <f>'refer admin discharge'!H605</f>
        <v>00/00/0000</v>
      </c>
      <c r="G609" s="327"/>
      <c r="H609" s="594"/>
      <c r="I609" s="327"/>
      <c r="J609" s="605"/>
      <c r="K609" s="327"/>
      <c r="L609" s="594"/>
      <c r="M609" s="327"/>
      <c r="N609" s="575"/>
      <c r="O609" s="327"/>
      <c r="P609" s="594"/>
      <c r="Q609" s="327"/>
      <c r="R609" s="575"/>
      <c r="S609" s="327"/>
      <c r="T609" s="594"/>
      <c r="U609" s="327"/>
      <c r="V609" s="595" t="str">
        <f>'refer admin discharge'!H610</f>
        <v>00/00/0000</v>
      </c>
      <c r="W609" s="327"/>
      <c r="X609" s="577"/>
      <c r="Y609" s="327"/>
      <c r="Z609" s="604"/>
      <c r="AA609" s="327"/>
      <c r="AB609" s="577"/>
      <c r="AC609" s="327"/>
      <c r="AD609" s="576"/>
      <c r="AE609" s="327"/>
      <c r="AF609" s="577"/>
      <c r="AG609" s="327"/>
      <c r="AH609" s="576"/>
      <c r="AI609" s="327"/>
      <c r="AJ609" s="577"/>
      <c r="AK609" s="327"/>
      <c r="AL609" s="602"/>
      <c r="AM609" s="326"/>
      <c r="AN609" s="326"/>
      <c r="AO609" s="326"/>
      <c r="AP609" s="326"/>
      <c r="AQ609" s="326"/>
      <c r="AR609" s="326"/>
      <c r="AS609" s="326"/>
      <c r="AT609" s="326"/>
      <c r="AU609" s="326"/>
      <c r="AV609" s="326"/>
      <c r="AW609" s="326"/>
      <c r="AX609" s="326"/>
      <c r="AY609" s="326"/>
      <c r="AZ609" s="326"/>
      <c r="BA609" s="326"/>
      <c r="BB609" s="327"/>
    </row>
    <row r="610" spans="1:54" ht="15.75" customHeight="1" x14ac:dyDescent="0.25">
      <c r="A610" s="11">
        <f t="shared" si="2"/>
        <v>597</v>
      </c>
      <c r="B610" s="570" t="str">
        <f>'refer admin discharge'!B606</f>
        <v>x</v>
      </c>
      <c r="C610" s="327"/>
      <c r="D610" s="599" t="str">
        <f>'refer admin discharge'!D606</f>
        <v>xx</v>
      </c>
      <c r="E610" s="327"/>
      <c r="F610" s="600" t="str">
        <f>'refer admin discharge'!H606</f>
        <v>00/00/0000</v>
      </c>
      <c r="G610" s="327"/>
      <c r="H610" s="574"/>
      <c r="I610" s="327"/>
      <c r="J610" s="601"/>
      <c r="K610" s="327"/>
      <c r="L610" s="574"/>
      <c r="M610" s="327"/>
      <c r="N610" s="594"/>
      <c r="O610" s="327"/>
      <c r="P610" s="574"/>
      <c r="Q610" s="327"/>
      <c r="R610" s="594"/>
      <c r="S610" s="327"/>
      <c r="T610" s="574"/>
      <c r="U610" s="327"/>
      <c r="V610" s="595" t="str">
        <f>'refer admin discharge'!H611</f>
        <v>00/00/0000</v>
      </c>
      <c r="W610" s="327"/>
      <c r="X610" s="596"/>
      <c r="Y610" s="327"/>
      <c r="Z610" s="597"/>
      <c r="AA610" s="327"/>
      <c r="AB610" s="596"/>
      <c r="AC610" s="327"/>
      <c r="AD610" s="577"/>
      <c r="AE610" s="327"/>
      <c r="AF610" s="596"/>
      <c r="AG610" s="327"/>
      <c r="AH610" s="577"/>
      <c r="AI610" s="327"/>
      <c r="AJ610" s="596"/>
      <c r="AK610" s="327"/>
      <c r="AL610" s="598"/>
      <c r="AM610" s="326"/>
      <c r="AN610" s="326"/>
      <c r="AO610" s="326"/>
      <c r="AP610" s="326"/>
      <c r="AQ610" s="326"/>
      <c r="AR610" s="326"/>
      <c r="AS610" s="326"/>
      <c r="AT610" s="326"/>
      <c r="AU610" s="326"/>
      <c r="AV610" s="326"/>
      <c r="AW610" s="326"/>
      <c r="AX610" s="326"/>
      <c r="AY610" s="326"/>
      <c r="AZ610" s="326"/>
      <c r="BA610" s="326"/>
      <c r="BB610" s="327"/>
    </row>
    <row r="611" spans="1:54" ht="15.75" customHeight="1" x14ac:dyDescent="0.25">
      <c r="A611" s="11">
        <f t="shared" si="2"/>
        <v>598</v>
      </c>
      <c r="B611" s="504" t="str">
        <f>'refer admin discharge'!B607</f>
        <v>x</v>
      </c>
      <c r="C611" s="327"/>
      <c r="D611" s="505" t="str">
        <f>'refer admin discharge'!D607</f>
        <v>xx</v>
      </c>
      <c r="E611" s="327"/>
      <c r="F611" s="606" t="str">
        <f>'refer admin discharge'!H607</f>
        <v>00/00/0000</v>
      </c>
      <c r="G611" s="327"/>
      <c r="H611" s="594"/>
      <c r="I611" s="327"/>
      <c r="J611" s="605"/>
      <c r="K611" s="327"/>
      <c r="L611" s="594"/>
      <c r="M611" s="327"/>
      <c r="N611" s="575"/>
      <c r="O611" s="327"/>
      <c r="P611" s="594"/>
      <c r="Q611" s="327"/>
      <c r="R611" s="575"/>
      <c r="S611" s="327"/>
      <c r="T611" s="594"/>
      <c r="U611" s="327"/>
      <c r="V611" s="595" t="str">
        <f>'refer admin discharge'!H612</f>
        <v>00/00/0000</v>
      </c>
      <c r="W611" s="327"/>
      <c r="X611" s="577"/>
      <c r="Y611" s="327"/>
      <c r="Z611" s="604"/>
      <c r="AA611" s="327"/>
      <c r="AB611" s="577"/>
      <c r="AC611" s="327"/>
      <c r="AD611" s="576"/>
      <c r="AE611" s="327"/>
      <c r="AF611" s="577"/>
      <c r="AG611" s="327"/>
      <c r="AH611" s="576"/>
      <c r="AI611" s="327"/>
      <c r="AJ611" s="577"/>
      <c r="AK611" s="327"/>
      <c r="AL611" s="602"/>
      <c r="AM611" s="326"/>
      <c r="AN611" s="326"/>
      <c r="AO611" s="326"/>
      <c r="AP611" s="326"/>
      <c r="AQ611" s="326"/>
      <c r="AR611" s="326"/>
      <c r="AS611" s="326"/>
      <c r="AT611" s="326"/>
      <c r="AU611" s="326"/>
      <c r="AV611" s="326"/>
      <c r="AW611" s="326"/>
      <c r="AX611" s="326"/>
      <c r="AY611" s="326"/>
      <c r="AZ611" s="326"/>
      <c r="BA611" s="326"/>
      <c r="BB611" s="327"/>
    </row>
    <row r="612" spans="1:54" ht="15.75" customHeight="1" x14ac:dyDescent="0.25">
      <c r="A612" s="11">
        <f t="shared" si="2"/>
        <v>599</v>
      </c>
      <c r="B612" s="570" t="str">
        <f>'refer admin discharge'!B608</f>
        <v>x</v>
      </c>
      <c r="C612" s="327"/>
      <c r="D612" s="599" t="str">
        <f>'refer admin discharge'!D608</f>
        <v>xx</v>
      </c>
      <c r="E612" s="327"/>
      <c r="F612" s="600" t="str">
        <f>'refer admin discharge'!H608</f>
        <v>00/00/0000</v>
      </c>
      <c r="G612" s="327"/>
      <c r="H612" s="574"/>
      <c r="I612" s="327"/>
      <c r="J612" s="601"/>
      <c r="K612" s="327"/>
      <c r="L612" s="574"/>
      <c r="M612" s="327"/>
      <c r="N612" s="594"/>
      <c r="O612" s="327"/>
      <c r="P612" s="574"/>
      <c r="Q612" s="327"/>
      <c r="R612" s="594"/>
      <c r="S612" s="327"/>
      <c r="T612" s="574"/>
      <c r="U612" s="327"/>
      <c r="V612" s="595" t="str">
        <f>'refer admin discharge'!H613</f>
        <v>00/00/0000</v>
      </c>
      <c r="W612" s="327"/>
      <c r="X612" s="596"/>
      <c r="Y612" s="327"/>
      <c r="Z612" s="597"/>
      <c r="AA612" s="327"/>
      <c r="AB612" s="596"/>
      <c r="AC612" s="327"/>
      <c r="AD612" s="577"/>
      <c r="AE612" s="327"/>
      <c r="AF612" s="596"/>
      <c r="AG612" s="327"/>
      <c r="AH612" s="577"/>
      <c r="AI612" s="327"/>
      <c r="AJ612" s="596"/>
      <c r="AK612" s="327"/>
      <c r="AL612" s="598"/>
      <c r="AM612" s="326"/>
      <c r="AN612" s="326"/>
      <c r="AO612" s="326"/>
      <c r="AP612" s="326"/>
      <c r="AQ612" s="326"/>
      <c r="AR612" s="326"/>
      <c r="AS612" s="326"/>
      <c r="AT612" s="326"/>
      <c r="AU612" s="326"/>
      <c r="AV612" s="326"/>
      <c r="AW612" s="326"/>
      <c r="AX612" s="326"/>
      <c r="AY612" s="326"/>
      <c r="AZ612" s="326"/>
      <c r="BA612" s="326"/>
      <c r="BB612" s="327"/>
    </row>
    <row r="613" spans="1:54" ht="15.75" customHeight="1" x14ac:dyDescent="0.25">
      <c r="A613" s="11">
        <f t="shared" si="2"/>
        <v>600</v>
      </c>
      <c r="B613" s="504" t="str">
        <f>'refer admin discharge'!B609</f>
        <v>x</v>
      </c>
      <c r="C613" s="327"/>
      <c r="D613" s="505" t="str">
        <f>'refer admin discharge'!D609</f>
        <v>xx</v>
      </c>
      <c r="E613" s="327"/>
      <c r="F613" s="606" t="str">
        <f>'refer admin discharge'!H609</f>
        <v>00/00/0000</v>
      </c>
      <c r="G613" s="327"/>
      <c r="H613" s="594"/>
      <c r="I613" s="327"/>
      <c r="J613" s="605"/>
      <c r="K613" s="327"/>
      <c r="L613" s="594"/>
      <c r="M613" s="327"/>
      <c r="N613" s="575"/>
      <c r="O613" s="327"/>
      <c r="P613" s="594"/>
      <c r="Q613" s="327"/>
      <c r="R613" s="575"/>
      <c r="S613" s="327"/>
      <c r="T613" s="594"/>
      <c r="U613" s="327"/>
      <c r="V613" s="595" t="str">
        <f>'refer admin discharge'!H614</f>
        <v>00/00/0000</v>
      </c>
      <c r="W613" s="327"/>
      <c r="X613" s="577"/>
      <c r="Y613" s="327"/>
      <c r="Z613" s="604"/>
      <c r="AA613" s="327"/>
      <c r="AB613" s="577"/>
      <c r="AC613" s="327"/>
      <c r="AD613" s="576"/>
      <c r="AE613" s="327"/>
      <c r="AF613" s="577"/>
      <c r="AG613" s="327"/>
      <c r="AH613" s="576"/>
      <c r="AI613" s="327"/>
      <c r="AJ613" s="577"/>
      <c r="AK613" s="327"/>
      <c r="AL613" s="602"/>
      <c r="AM613" s="326"/>
      <c r="AN613" s="326"/>
      <c r="AO613" s="326"/>
      <c r="AP613" s="326"/>
      <c r="AQ613" s="326"/>
      <c r="AR613" s="326"/>
      <c r="AS613" s="326"/>
      <c r="AT613" s="326"/>
      <c r="AU613" s="326"/>
      <c r="AV613" s="326"/>
      <c r="AW613" s="326"/>
      <c r="AX613" s="326"/>
      <c r="AY613" s="326"/>
      <c r="AZ613" s="326"/>
      <c r="BA613" s="326"/>
      <c r="BB613" s="327"/>
    </row>
    <row r="614" spans="1:54" ht="15.75" customHeight="1" x14ac:dyDescent="0.25">
      <c r="A614" s="11">
        <f t="shared" si="2"/>
        <v>601</v>
      </c>
      <c r="B614" s="570" t="str">
        <f>'refer admin discharge'!B610</f>
        <v>x</v>
      </c>
      <c r="C614" s="327"/>
      <c r="D614" s="599" t="str">
        <f>'refer admin discharge'!D610</f>
        <v>xx</v>
      </c>
      <c r="E614" s="327"/>
      <c r="F614" s="600" t="str">
        <f>'refer admin discharge'!H610</f>
        <v>00/00/0000</v>
      </c>
      <c r="G614" s="327"/>
      <c r="H614" s="574"/>
      <c r="I614" s="327"/>
      <c r="J614" s="601"/>
      <c r="K614" s="327"/>
      <c r="L614" s="574"/>
      <c r="M614" s="327"/>
      <c r="N614" s="594"/>
      <c r="O614" s="327"/>
      <c r="P614" s="574"/>
      <c r="Q614" s="327"/>
      <c r="R614" s="594"/>
      <c r="S614" s="327"/>
      <c r="T614" s="574"/>
      <c r="U614" s="327"/>
      <c r="V614" s="595" t="str">
        <f>'refer admin discharge'!H615</f>
        <v>00/00/0000</v>
      </c>
      <c r="W614" s="327"/>
      <c r="X614" s="596"/>
      <c r="Y614" s="327"/>
      <c r="Z614" s="597"/>
      <c r="AA614" s="327"/>
      <c r="AB614" s="596"/>
      <c r="AC614" s="327"/>
      <c r="AD614" s="577"/>
      <c r="AE614" s="327"/>
      <c r="AF614" s="596"/>
      <c r="AG614" s="327"/>
      <c r="AH614" s="577"/>
      <c r="AI614" s="327"/>
      <c r="AJ614" s="596"/>
      <c r="AK614" s="327"/>
      <c r="AL614" s="598"/>
      <c r="AM614" s="326"/>
      <c r="AN614" s="326"/>
      <c r="AO614" s="326"/>
      <c r="AP614" s="326"/>
      <c r="AQ614" s="326"/>
      <c r="AR614" s="326"/>
      <c r="AS614" s="326"/>
      <c r="AT614" s="326"/>
      <c r="AU614" s="326"/>
      <c r="AV614" s="326"/>
      <c r="AW614" s="326"/>
      <c r="AX614" s="326"/>
      <c r="AY614" s="326"/>
      <c r="AZ614" s="326"/>
      <c r="BA614" s="326"/>
      <c r="BB614" s="327"/>
    </row>
    <row r="615" spans="1:54" ht="15.75" customHeight="1" x14ac:dyDescent="0.25">
      <c r="A615" s="11">
        <f t="shared" si="2"/>
        <v>602</v>
      </c>
      <c r="B615" s="504" t="str">
        <f>'refer admin discharge'!B611</f>
        <v>x</v>
      </c>
      <c r="C615" s="327"/>
      <c r="D615" s="505" t="str">
        <f>'refer admin discharge'!D611</f>
        <v>xx</v>
      </c>
      <c r="E615" s="327"/>
      <c r="F615" s="606" t="str">
        <f>'refer admin discharge'!H611</f>
        <v>00/00/0000</v>
      </c>
      <c r="G615" s="327"/>
      <c r="H615" s="594"/>
      <c r="I615" s="327"/>
      <c r="J615" s="605"/>
      <c r="K615" s="327"/>
      <c r="L615" s="594"/>
      <c r="M615" s="327"/>
      <c r="N615" s="575"/>
      <c r="O615" s="327"/>
      <c r="P615" s="594"/>
      <c r="Q615" s="327"/>
      <c r="R615" s="575"/>
      <c r="S615" s="327"/>
      <c r="T615" s="594"/>
      <c r="U615" s="327"/>
      <c r="V615" s="595" t="str">
        <f>'refer admin discharge'!H616</f>
        <v>00/00/0000</v>
      </c>
      <c r="W615" s="327"/>
      <c r="X615" s="577"/>
      <c r="Y615" s="327"/>
      <c r="Z615" s="604"/>
      <c r="AA615" s="327"/>
      <c r="AB615" s="577"/>
      <c r="AC615" s="327"/>
      <c r="AD615" s="576"/>
      <c r="AE615" s="327"/>
      <c r="AF615" s="577"/>
      <c r="AG615" s="327"/>
      <c r="AH615" s="576"/>
      <c r="AI615" s="327"/>
      <c r="AJ615" s="577"/>
      <c r="AK615" s="327"/>
      <c r="AL615" s="602"/>
      <c r="AM615" s="326"/>
      <c r="AN615" s="326"/>
      <c r="AO615" s="326"/>
      <c r="AP615" s="326"/>
      <c r="AQ615" s="326"/>
      <c r="AR615" s="326"/>
      <c r="AS615" s="326"/>
      <c r="AT615" s="326"/>
      <c r="AU615" s="326"/>
      <c r="AV615" s="326"/>
      <c r="AW615" s="326"/>
      <c r="AX615" s="326"/>
      <c r="AY615" s="326"/>
      <c r="AZ615" s="326"/>
      <c r="BA615" s="326"/>
      <c r="BB615" s="327"/>
    </row>
    <row r="616" spans="1:54" ht="15.75" customHeight="1" x14ac:dyDescent="0.25">
      <c r="A616" s="11">
        <f t="shared" si="2"/>
        <v>603</v>
      </c>
      <c r="B616" s="570" t="str">
        <f>'refer admin discharge'!B612</f>
        <v>x</v>
      </c>
      <c r="C616" s="327"/>
      <c r="D616" s="599" t="str">
        <f>'refer admin discharge'!D612</f>
        <v>xx</v>
      </c>
      <c r="E616" s="327"/>
      <c r="F616" s="600" t="str">
        <f>'refer admin discharge'!H612</f>
        <v>00/00/0000</v>
      </c>
      <c r="G616" s="327"/>
      <c r="H616" s="574"/>
      <c r="I616" s="327"/>
      <c r="J616" s="601"/>
      <c r="K616" s="327"/>
      <c r="L616" s="574"/>
      <c r="M616" s="327"/>
      <c r="N616" s="594"/>
      <c r="O616" s="327"/>
      <c r="P616" s="574"/>
      <c r="Q616" s="327"/>
      <c r="R616" s="594"/>
      <c r="S616" s="327"/>
      <c r="T616" s="574"/>
      <c r="U616" s="327"/>
      <c r="V616" s="595" t="str">
        <f>'refer admin discharge'!H617</f>
        <v>00/00/0000</v>
      </c>
      <c r="W616" s="327"/>
      <c r="X616" s="596"/>
      <c r="Y616" s="327"/>
      <c r="Z616" s="597"/>
      <c r="AA616" s="327"/>
      <c r="AB616" s="596"/>
      <c r="AC616" s="327"/>
      <c r="AD616" s="577"/>
      <c r="AE616" s="327"/>
      <c r="AF616" s="596"/>
      <c r="AG616" s="327"/>
      <c r="AH616" s="577"/>
      <c r="AI616" s="327"/>
      <c r="AJ616" s="596"/>
      <c r="AK616" s="327"/>
      <c r="AL616" s="598"/>
      <c r="AM616" s="326"/>
      <c r="AN616" s="326"/>
      <c r="AO616" s="326"/>
      <c r="AP616" s="326"/>
      <c r="AQ616" s="326"/>
      <c r="AR616" s="326"/>
      <c r="AS616" s="326"/>
      <c r="AT616" s="326"/>
      <c r="AU616" s="326"/>
      <c r="AV616" s="326"/>
      <c r="AW616" s="326"/>
      <c r="AX616" s="326"/>
      <c r="AY616" s="326"/>
      <c r="AZ616" s="326"/>
      <c r="BA616" s="326"/>
      <c r="BB616" s="327"/>
    </row>
    <row r="617" spans="1:54" ht="15.75" customHeight="1" x14ac:dyDescent="0.25">
      <c r="A617" s="11">
        <f t="shared" si="2"/>
        <v>604</v>
      </c>
      <c r="B617" s="504" t="str">
        <f>'refer admin discharge'!B613</f>
        <v>x</v>
      </c>
      <c r="C617" s="327"/>
      <c r="D617" s="505" t="str">
        <f>'refer admin discharge'!D613</f>
        <v>xx</v>
      </c>
      <c r="E617" s="327"/>
      <c r="F617" s="606" t="str">
        <f>'refer admin discharge'!H613</f>
        <v>00/00/0000</v>
      </c>
      <c r="G617" s="327"/>
      <c r="H617" s="594"/>
      <c r="I617" s="327"/>
      <c r="J617" s="605"/>
      <c r="K617" s="327"/>
      <c r="L617" s="594"/>
      <c r="M617" s="327"/>
      <c r="N617" s="575"/>
      <c r="O617" s="327"/>
      <c r="P617" s="594"/>
      <c r="Q617" s="327"/>
      <c r="R617" s="575"/>
      <c r="S617" s="327"/>
      <c r="T617" s="594"/>
      <c r="U617" s="327"/>
      <c r="V617" s="595" t="str">
        <f>'refer admin discharge'!H618</f>
        <v>00/00/0000</v>
      </c>
      <c r="W617" s="327"/>
      <c r="X617" s="577"/>
      <c r="Y617" s="327"/>
      <c r="Z617" s="604"/>
      <c r="AA617" s="327"/>
      <c r="AB617" s="577"/>
      <c r="AC617" s="327"/>
      <c r="AD617" s="576"/>
      <c r="AE617" s="327"/>
      <c r="AF617" s="577"/>
      <c r="AG617" s="327"/>
      <c r="AH617" s="576"/>
      <c r="AI617" s="327"/>
      <c r="AJ617" s="577"/>
      <c r="AK617" s="327"/>
      <c r="AL617" s="602"/>
      <c r="AM617" s="326"/>
      <c r="AN617" s="326"/>
      <c r="AO617" s="326"/>
      <c r="AP617" s="326"/>
      <c r="AQ617" s="326"/>
      <c r="AR617" s="326"/>
      <c r="AS617" s="326"/>
      <c r="AT617" s="326"/>
      <c r="AU617" s="326"/>
      <c r="AV617" s="326"/>
      <c r="AW617" s="326"/>
      <c r="AX617" s="326"/>
      <c r="AY617" s="326"/>
      <c r="AZ617" s="326"/>
      <c r="BA617" s="326"/>
      <c r="BB617" s="327"/>
    </row>
    <row r="618" spans="1:54" ht="15.75" customHeight="1" x14ac:dyDescent="0.25">
      <c r="A618" s="11">
        <f t="shared" si="2"/>
        <v>605</v>
      </c>
      <c r="B618" s="570" t="str">
        <f>'refer admin discharge'!B614</f>
        <v>x</v>
      </c>
      <c r="C618" s="327"/>
      <c r="D618" s="599" t="str">
        <f>'refer admin discharge'!D614</f>
        <v>xx</v>
      </c>
      <c r="E618" s="327"/>
      <c r="F618" s="600" t="str">
        <f>'refer admin discharge'!H614</f>
        <v>00/00/0000</v>
      </c>
      <c r="G618" s="327"/>
      <c r="H618" s="574"/>
      <c r="I618" s="327"/>
      <c r="J618" s="601"/>
      <c r="K618" s="327"/>
      <c r="L618" s="574"/>
      <c r="M618" s="327"/>
      <c r="N618" s="594"/>
      <c r="O618" s="327"/>
      <c r="P618" s="574"/>
      <c r="Q618" s="327"/>
      <c r="R618" s="594"/>
      <c r="S618" s="327"/>
      <c r="T618" s="574"/>
      <c r="U618" s="327"/>
      <c r="V618" s="595" t="str">
        <f>'refer admin discharge'!H619</f>
        <v>00/00/0000</v>
      </c>
      <c r="W618" s="327"/>
      <c r="X618" s="596"/>
      <c r="Y618" s="327"/>
      <c r="Z618" s="597"/>
      <c r="AA618" s="327"/>
      <c r="AB618" s="596"/>
      <c r="AC618" s="327"/>
      <c r="AD618" s="577"/>
      <c r="AE618" s="327"/>
      <c r="AF618" s="596"/>
      <c r="AG618" s="327"/>
      <c r="AH618" s="577"/>
      <c r="AI618" s="327"/>
      <c r="AJ618" s="596"/>
      <c r="AK618" s="327"/>
      <c r="AL618" s="598"/>
      <c r="AM618" s="326"/>
      <c r="AN618" s="326"/>
      <c r="AO618" s="326"/>
      <c r="AP618" s="326"/>
      <c r="AQ618" s="326"/>
      <c r="AR618" s="326"/>
      <c r="AS618" s="326"/>
      <c r="AT618" s="326"/>
      <c r="AU618" s="326"/>
      <c r="AV618" s="326"/>
      <c r="AW618" s="326"/>
      <c r="AX618" s="326"/>
      <c r="AY618" s="326"/>
      <c r="AZ618" s="326"/>
      <c r="BA618" s="326"/>
      <c r="BB618" s="327"/>
    </row>
    <row r="619" spans="1:54" ht="15.75" customHeight="1" x14ac:dyDescent="0.25">
      <c r="A619" s="11">
        <f t="shared" si="2"/>
        <v>606</v>
      </c>
      <c r="B619" s="504" t="str">
        <f>'refer admin discharge'!B615</f>
        <v>x</v>
      </c>
      <c r="C619" s="327"/>
      <c r="D619" s="505" t="str">
        <f>'refer admin discharge'!D615</f>
        <v>xx</v>
      </c>
      <c r="E619" s="327"/>
      <c r="F619" s="606" t="str">
        <f>'refer admin discharge'!H615</f>
        <v>00/00/0000</v>
      </c>
      <c r="G619" s="327"/>
      <c r="H619" s="594"/>
      <c r="I619" s="327"/>
      <c r="J619" s="605"/>
      <c r="K619" s="327"/>
      <c r="L619" s="594"/>
      <c r="M619" s="327"/>
      <c r="N619" s="575"/>
      <c r="O619" s="327"/>
      <c r="P619" s="594"/>
      <c r="Q619" s="327"/>
      <c r="R619" s="575"/>
      <c r="S619" s="327"/>
      <c r="T619" s="594"/>
      <c r="U619" s="327"/>
      <c r="V619" s="595" t="str">
        <f>'refer admin discharge'!H620</f>
        <v>00/00/0000</v>
      </c>
      <c r="W619" s="327"/>
      <c r="X619" s="577"/>
      <c r="Y619" s="327"/>
      <c r="Z619" s="604"/>
      <c r="AA619" s="327"/>
      <c r="AB619" s="577"/>
      <c r="AC619" s="327"/>
      <c r="AD619" s="576"/>
      <c r="AE619" s="327"/>
      <c r="AF619" s="577"/>
      <c r="AG619" s="327"/>
      <c r="AH619" s="576"/>
      <c r="AI619" s="327"/>
      <c r="AJ619" s="577"/>
      <c r="AK619" s="327"/>
      <c r="AL619" s="602"/>
      <c r="AM619" s="326"/>
      <c r="AN619" s="326"/>
      <c r="AO619" s="326"/>
      <c r="AP619" s="326"/>
      <c r="AQ619" s="326"/>
      <c r="AR619" s="326"/>
      <c r="AS619" s="326"/>
      <c r="AT619" s="326"/>
      <c r="AU619" s="326"/>
      <c r="AV619" s="326"/>
      <c r="AW619" s="326"/>
      <c r="AX619" s="326"/>
      <c r="AY619" s="326"/>
      <c r="AZ619" s="326"/>
      <c r="BA619" s="326"/>
      <c r="BB619" s="327"/>
    </row>
    <row r="620" spans="1:54" ht="15.75" customHeight="1" x14ac:dyDescent="0.25">
      <c r="A620" s="11">
        <f t="shared" si="2"/>
        <v>607</v>
      </c>
      <c r="B620" s="570" t="str">
        <f>'refer admin discharge'!B616</f>
        <v>x</v>
      </c>
      <c r="C620" s="327"/>
      <c r="D620" s="599" t="str">
        <f>'refer admin discharge'!D616</f>
        <v>xx</v>
      </c>
      <c r="E620" s="327"/>
      <c r="F620" s="600" t="str">
        <f>'refer admin discharge'!H616</f>
        <v>00/00/0000</v>
      </c>
      <c r="G620" s="327"/>
      <c r="H620" s="574"/>
      <c r="I620" s="327"/>
      <c r="J620" s="601"/>
      <c r="K620" s="327"/>
      <c r="L620" s="574"/>
      <c r="M620" s="327"/>
      <c r="N620" s="594"/>
      <c r="O620" s="327"/>
      <c r="P620" s="574"/>
      <c r="Q620" s="327"/>
      <c r="R620" s="594"/>
      <c r="S620" s="327"/>
      <c r="T620" s="574"/>
      <c r="U620" s="327"/>
      <c r="V620" s="595" t="str">
        <f>'refer admin discharge'!H621</f>
        <v>00/00/0000</v>
      </c>
      <c r="W620" s="327"/>
      <c r="X620" s="596"/>
      <c r="Y620" s="327"/>
      <c r="Z620" s="597"/>
      <c r="AA620" s="327"/>
      <c r="AB620" s="596"/>
      <c r="AC620" s="327"/>
      <c r="AD620" s="577"/>
      <c r="AE620" s="327"/>
      <c r="AF620" s="596"/>
      <c r="AG620" s="327"/>
      <c r="AH620" s="577"/>
      <c r="AI620" s="327"/>
      <c r="AJ620" s="596"/>
      <c r="AK620" s="327"/>
      <c r="AL620" s="598"/>
      <c r="AM620" s="326"/>
      <c r="AN620" s="326"/>
      <c r="AO620" s="326"/>
      <c r="AP620" s="326"/>
      <c r="AQ620" s="326"/>
      <c r="AR620" s="326"/>
      <c r="AS620" s="326"/>
      <c r="AT620" s="326"/>
      <c r="AU620" s="326"/>
      <c r="AV620" s="326"/>
      <c r="AW620" s="326"/>
      <c r="AX620" s="326"/>
      <c r="AY620" s="326"/>
      <c r="AZ620" s="326"/>
      <c r="BA620" s="326"/>
      <c r="BB620" s="327"/>
    </row>
    <row r="621" spans="1:54" ht="15.75" customHeight="1" x14ac:dyDescent="0.25">
      <c r="A621" s="11">
        <f t="shared" si="2"/>
        <v>608</v>
      </c>
      <c r="B621" s="504" t="str">
        <f>'refer admin discharge'!B617</f>
        <v>x</v>
      </c>
      <c r="C621" s="327"/>
      <c r="D621" s="505" t="str">
        <f>'refer admin discharge'!D617</f>
        <v>xx</v>
      </c>
      <c r="E621" s="327"/>
      <c r="F621" s="606" t="str">
        <f>'refer admin discharge'!H617</f>
        <v>00/00/0000</v>
      </c>
      <c r="G621" s="327"/>
      <c r="H621" s="594"/>
      <c r="I621" s="327"/>
      <c r="J621" s="605"/>
      <c r="K621" s="327"/>
      <c r="L621" s="594"/>
      <c r="M621" s="327"/>
      <c r="N621" s="575"/>
      <c r="O621" s="327"/>
      <c r="P621" s="594"/>
      <c r="Q621" s="327"/>
      <c r="R621" s="575"/>
      <c r="S621" s="327"/>
      <c r="T621" s="594"/>
      <c r="U621" s="327"/>
      <c r="V621" s="595" t="str">
        <f>'refer admin discharge'!H622</f>
        <v>00/00/0000</v>
      </c>
      <c r="W621" s="327"/>
      <c r="X621" s="577"/>
      <c r="Y621" s="327"/>
      <c r="Z621" s="604"/>
      <c r="AA621" s="327"/>
      <c r="AB621" s="577"/>
      <c r="AC621" s="327"/>
      <c r="AD621" s="576"/>
      <c r="AE621" s="327"/>
      <c r="AF621" s="577"/>
      <c r="AG621" s="327"/>
      <c r="AH621" s="576"/>
      <c r="AI621" s="327"/>
      <c r="AJ621" s="577"/>
      <c r="AK621" s="327"/>
      <c r="AL621" s="602"/>
      <c r="AM621" s="326"/>
      <c r="AN621" s="326"/>
      <c r="AO621" s="326"/>
      <c r="AP621" s="326"/>
      <c r="AQ621" s="326"/>
      <c r="AR621" s="326"/>
      <c r="AS621" s="326"/>
      <c r="AT621" s="326"/>
      <c r="AU621" s="326"/>
      <c r="AV621" s="326"/>
      <c r="AW621" s="326"/>
      <c r="AX621" s="326"/>
      <c r="AY621" s="326"/>
      <c r="AZ621" s="326"/>
      <c r="BA621" s="326"/>
      <c r="BB621" s="327"/>
    </row>
    <row r="622" spans="1:54" ht="15.75" customHeight="1" x14ac:dyDescent="0.25">
      <c r="A622" s="11">
        <f t="shared" si="2"/>
        <v>609</v>
      </c>
      <c r="B622" s="570" t="str">
        <f>'refer admin discharge'!B618</f>
        <v>x</v>
      </c>
      <c r="C622" s="327"/>
      <c r="D622" s="599" t="str">
        <f>'refer admin discharge'!D618</f>
        <v>xx</v>
      </c>
      <c r="E622" s="327"/>
      <c r="F622" s="600" t="str">
        <f>'refer admin discharge'!H618</f>
        <v>00/00/0000</v>
      </c>
      <c r="G622" s="327"/>
      <c r="H622" s="574"/>
      <c r="I622" s="327"/>
      <c r="J622" s="601"/>
      <c r="K622" s="327"/>
      <c r="L622" s="574"/>
      <c r="M622" s="327"/>
      <c r="N622" s="594"/>
      <c r="O622" s="327"/>
      <c r="P622" s="574"/>
      <c r="Q622" s="327"/>
      <c r="R622" s="594"/>
      <c r="S622" s="327"/>
      <c r="T622" s="574"/>
      <c r="U622" s="327"/>
      <c r="V622" s="595" t="str">
        <f>'refer admin discharge'!H623</f>
        <v>00/00/0000</v>
      </c>
      <c r="W622" s="327"/>
      <c r="X622" s="596"/>
      <c r="Y622" s="327"/>
      <c r="Z622" s="597"/>
      <c r="AA622" s="327"/>
      <c r="AB622" s="596"/>
      <c r="AC622" s="327"/>
      <c r="AD622" s="577"/>
      <c r="AE622" s="327"/>
      <c r="AF622" s="596"/>
      <c r="AG622" s="327"/>
      <c r="AH622" s="577"/>
      <c r="AI622" s="327"/>
      <c r="AJ622" s="596"/>
      <c r="AK622" s="327"/>
      <c r="AL622" s="598"/>
      <c r="AM622" s="326"/>
      <c r="AN622" s="326"/>
      <c r="AO622" s="326"/>
      <c r="AP622" s="326"/>
      <c r="AQ622" s="326"/>
      <c r="AR622" s="326"/>
      <c r="AS622" s="326"/>
      <c r="AT622" s="326"/>
      <c r="AU622" s="326"/>
      <c r="AV622" s="326"/>
      <c r="AW622" s="326"/>
      <c r="AX622" s="326"/>
      <c r="AY622" s="326"/>
      <c r="AZ622" s="326"/>
      <c r="BA622" s="326"/>
      <c r="BB622" s="327"/>
    </row>
    <row r="623" spans="1:54" ht="15.75" customHeight="1" x14ac:dyDescent="0.25">
      <c r="A623" s="11">
        <f t="shared" si="2"/>
        <v>610</v>
      </c>
      <c r="B623" s="504" t="str">
        <f>'refer admin discharge'!B619</f>
        <v>x</v>
      </c>
      <c r="C623" s="327"/>
      <c r="D623" s="505" t="str">
        <f>'refer admin discharge'!D619</f>
        <v>xx</v>
      </c>
      <c r="E623" s="327"/>
      <c r="F623" s="606" t="str">
        <f>'refer admin discharge'!H619</f>
        <v>00/00/0000</v>
      </c>
      <c r="G623" s="327"/>
      <c r="H623" s="594"/>
      <c r="I623" s="327"/>
      <c r="J623" s="605"/>
      <c r="K623" s="327"/>
      <c r="L623" s="594"/>
      <c r="M623" s="327"/>
      <c r="N623" s="575"/>
      <c r="O623" s="327"/>
      <c r="P623" s="594"/>
      <c r="Q623" s="327"/>
      <c r="R623" s="575"/>
      <c r="S623" s="327"/>
      <c r="T623" s="594"/>
      <c r="U623" s="327"/>
      <c r="V623" s="595" t="str">
        <f>'refer admin discharge'!H624</f>
        <v>00/00/0000</v>
      </c>
      <c r="W623" s="327"/>
      <c r="X623" s="577"/>
      <c r="Y623" s="327"/>
      <c r="Z623" s="604"/>
      <c r="AA623" s="327"/>
      <c r="AB623" s="577"/>
      <c r="AC623" s="327"/>
      <c r="AD623" s="576"/>
      <c r="AE623" s="327"/>
      <c r="AF623" s="577"/>
      <c r="AG623" s="327"/>
      <c r="AH623" s="576"/>
      <c r="AI623" s="327"/>
      <c r="AJ623" s="577"/>
      <c r="AK623" s="327"/>
      <c r="AL623" s="602"/>
      <c r="AM623" s="326"/>
      <c r="AN623" s="326"/>
      <c r="AO623" s="326"/>
      <c r="AP623" s="326"/>
      <c r="AQ623" s="326"/>
      <c r="AR623" s="326"/>
      <c r="AS623" s="326"/>
      <c r="AT623" s="326"/>
      <c r="AU623" s="326"/>
      <c r="AV623" s="326"/>
      <c r="AW623" s="326"/>
      <c r="AX623" s="326"/>
      <c r="AY623" s="326"/>
      <c r="AZ623" s="326"/>
      <c r="BA623" s="326"/>
      <c r="BB623" s="327"/>
    </row>
    <row r="624" spans="1:54" ht="15.75" customHeight="1" x14ac:dyDescent="0.25">
      <c r="A624" s="11">
        <f t="shared" si="2"/>
        <v>611</v>
      </c>
      <c r="B624" s="570" t="str">
        <f>'refer admin discharge'!B620</f>
        <v>x</v>
      </c>
      <c r="C624" s="327"/>
      <c r="D624" s="599" t="str">
        <f>'refer admin discharge'!D620</f>
        <v>xx</v>
      </c>
      <c r="E624" s="327"/>
      <c r="F624" s="600" t="str">
        <f>'refer admin discharge'!H620</f>
        <v>00/00/0000</v>
      </c>
      <c r="G624" s="327"/>
      <c r="H624" s="574"/>
      <c r="I624" s="327"/>
      <c r="J624" s="601"/>
      <c r="K624" s="327"/>
      <c r="L624" s="574"/>
      <c r="M624" s="327"/>
      <c r="N624" s="594"/>
      <c r="O624" s="327"/>
      <c r="P624" s="574"/>
      <c r="Q624" s="327"/>
      <c r="R624" s="594"/>
      <c r="S624" s="327"/>
      <c r="T624" s="574"/>
      <c r="U624" s="327"/>
      <c r="V624" s="595" t="str">
        <f>'refer admin discharge'!H625</f>
        <v>00/00/0000</v>
      </c>
      <c r="W624" s="327"/>
      <c r="X624" s="596"/>
      <c r="Y624" s="327"/>
      <c r="Z624" s="597"/>
      <c r="AA624" s="327"/>
      <c r="AB624" s="596"/>
      <c r="AC624" s="327"/>
      <c r="AD624" s="577"/>
      <c r="AE624" s="327"/>
      <c r="AF624" s="596"/>
      <c r="AG624" s="327"/>
      <c r="AH624" s="577"/>
      <c r="AI624" s="327"/>
      <c r="AJ624" s="596"/>
      <c r="AK624" s="327"/>
      <c r="AL624" s="598"/>
      <c r="AM624" s="326"/>
      <c r="AN624" s="326"/>
      <c r="AO624" s="326"/>
      <c r="AP624" s="326"/>
      <c r="AQ624" s="326"/>
      <c r="AR624" s="326"/>
      <c r="AS624" s="326"/>
      <c r="AT624" s="326"/>
      <c r="AU624" s="326"/>
      <c r="AV624" s="326"/>
      <c r="AW624" s="326"/>
      <c r="AX624" s="326"/>
      <c r="AY624" s="326"/>
      <c r="AZ624" s="326"/>
      <c r="BA624" s="326"/>
      <c r="BB624" s="327"/>
    </row>
    <row r="625" spans="1:54" ht="15.75" customHeight="1" x14ac:dyDescent="0.25">
      <c r="A625" s="11">
        <f t="shared" si="2"/>
        <v>612</v>
      </c>
      <c r="B625" s="504" t="str">
        <f>'refer admin discharge'!B621</f>
        <v>x</v>
      </c>
      <c r="C625" s="327"/>
      <c r="D625" s="505" t="str">
        <f>'refer admin discharge'!D621</f>
        <v>xx</v>
      </c>
      <c r="E625" s="327"/>
      <c r="F625" s="606" t="str">
        <f>'refer admin discharge'!H621</f>
        <v>00/00/0000</v>
      </c>
      <c r="G625" s="327"/>
      <c r="H625" s="594"/>
      <c r="I625" s="327"/>
      <c r="J625" s="605"/>
      <c r="K625" s="327"/>
      <c r="L625" s="594"/>
      <c r="M625" s="327"/>
      <c r="N625" s="575"/>
      <c r="O625" s="327"/>
      <c r="P625" s="594"/>
      <c r="Q625" s="327"/>
      <c r="R625" s="575"/>
      <c r="S625" s="327"/>
      <c r="T625" s="594"/>
      <c r="U625" s="327"/>
      <c r="V625" s="595" t="str">
        <f>'refer admin discharge'!H626</f>
        <v>00/00/0000</v>
      </c>
      <c r="W625" s="327"/>
      <c r="X625" s="577"/>
      <c r="Y625" s="327"/>
      <c r="Z625" s="604"/>
      <c r="AA625" s="327"/>
      <c r="AB625" s="577"/>
      <c r="AC625" s="327"/>
      <c r="AD625" s="576"/>
      <c r="AE625" s="327"/>
      <c r="AF625" s="577"/>
      <c r="AG625" s="327"/>
      <c r="AH625" s="576"/>
      <c r="AI625" s="327"/>
      <c r="AJ625" s="577"/>
      <c r="AK625" s="327"/>
      <c r="AL625" s="602"/>
      <c r="AM625" s="326"/>
      <c r="AN625" s="326"/>
      <c r="AO625" s="326"/>
      <c r="AP625" s="326"/>
      <c r="AQ625" s="326"/>
      <c r="AR625" s="326"/>
      <c r="AS625" s="326"/>
      <c r="AT625" s="326"/>
      <c r="AU625" s="326"/>
      <c r="AV625" s="326"/>
      <c r="AW625" s="326"/>
      <c r="AX625" s="326"/>
      <c r="AY625" s="326"/>
      <c r="AZ625" s="326"/>
      <c r="BA625" s="326"/>
      <c r="BB625" s="327"/>
    </row>
    <row r="626" spans="1:54" ht="15.75" customHeight="1" x14ac:dyDescent="0.25">
      <c r="A626" s="11">
        <f t="shared" si="2"/>
        <v>613</v>
      </c>
      <c r="B626" s="570" t="str">
        <f>'refer admin discharge'!B622</f>
        <v>x</v>
      </c>
      <c r="C626" s="327"/>
      <c r="D626" s="599" t="str">
        <f>'refer admin discharge'!D622</f>
        <v>xx</v>
      </c>
      <c r="E626" s="327"/>
      <c r="F626" s="600" t="str">
        <f>'refer admin discharge'!H622</f>
        <v>00/00/0000</v>
      </c>
      <c r="G626" s="327"/>
      <c r="H626" s="574"/>
      <c r="I626" s="327"/>
      <c r="J626" s="601"/>
      <c r="K626" s="327"/>
      <c r="L626" s="574"/>
      <c r="M626" s="327"/>
      <c r="N626" s="594"/>
      <c r="O626" s="327"/>
      <c r="P626" s="574"/>
      <c r="Q626" s="327"/>
      <c r="R626" s="594"/>
      <c r="S626" s="327"/>
      <c r="T626" s="574"/>
      <c r="U626" s="327"/>
      <c r="V626" s="595" t="str">
        <f>'refer admin discharge'!H627</f>
        <v>00/00/0000</v>
      </c>
      <c r="W626" s="327"/>
      <c r="X626" s="596"/>
      <c r="Y626" s="327"/>
      <c r="Z626" s="597"/>
      <c r="AA626" s="327"/>
      <c r="AB626" s="596"/>
      <c r="AC626" s="327"/>
      <c r="AD626" s="577"/>
      <c r="AE626" s="327"/>
      <c r="AF626" s="596"/>
      <c r="AG626" s="327"/>
      <c r="AH626" s="577"/>
      <c r="AI626" s="327"/>
      <c r="AJ626" s="596"/>
      <c r="AK626" s="327"/>
      <c r="AL626" s="598"/>
      <c r="AM626" s="326"/>
      <c r="AN626" s="326"/>
      <c r="AO626" s="326"/>
      <c r="AP626" s="326"/>
      <c r="AQ626" s="326"/>
      <c r="AR626" s="326"/>
      <c r="AS626" s="326"/>
      <c r="AT626" s="326"/>
      <c r="AU626" s="326"/>
      <c r="AV626" s="326"/>
      <c r="AW626" s="326"/>
      <c r="AX626" s="326"/>
      <c r="AY626" s="326"/>
      <c r="AZ626" s="326"/>
      <c r="BA626" s="326"/>
      <c r="BB626" s="327"/>
    </row>
    <row r="627" spans="1:54" ht="15.75" customHeight="1" x14ac:dyDescent="0.25">
      <c r="A627" s="11">
        <f t="shared" si="2"/>
        <v>614</v>
      </c>
      <c r="B627" s="504" t="str">
        <f>'refer admin discharge'!B623</f>
        <v>x</v>
      </c>
      <c r="C627" s="327"/>
      <c r="D627" s="505" t="str">
        <f>'refer admin discharge'!D623</f>
        <v>xx</v>
      </c>
      <c r="E627" s="327"/>
      <c r="F627" s="606" t="str">
        <f>'refer admin discharge'!H623</f>
        <v>00/00/0000</v>
      </c>
      <c r="G627" s="327"/>
      <c r="H627" s="594"/>
      <c r="I627" s="327"/>
      <c r="J627" s="605"/>
      <c r="K627" s="327"/>
      <c r="L627" s="594"/>
      <c r="M627" s="327"/>
      <c r="N627" s="575"/>
      <c r="O627" s="327"/>
      <c r="P627" s="594"/>
      <c r="Q627" s="327"/>
      <c r="R627" s="575"/>
      <c r="S627" s="327"/>
      <c r="T627" s="594"/>
      <c r="U627" s="327"/>
      <c r="V627" s="595" t="str">
        <f>'refer admin discharge'!H628</f>
        <v>00/00/0000</v>
      </c>
      <c r="W627" s="327"/>
      <c r="X627" s="577"/>
      <c r="Y627" s="327"/>
      <c r="Z627" s="604"/>
      <c r="AA627" s="327"/>
      <c r="AB627" s="577"/>
      <c r="AC627" s="327"/>
      <c r="AD627" s="576"/>
      <c r="AE627" s="327"/>
      <c r="AF627" s="577"/>
      <c r="AG627" s="327"/>
      <c r="AH627" s="576"/>
      <c r="AI627" s="327"/>
      <c r="AJ627" s="577"/>
      <c r="AK627" s="327"/>
      <c r="AL627" s="602"/>
      <c r="AM627" s="326"/>
      <c r="AN627" s="326"/>
      <c r="AO627" s="326"/>
      <c r="AP627" s="326"/>
      <c r="AQ627" s="326"/>
      <c r="AR627" s="326"/>
      <c r="AS627" s="326"/>
      <c r="AT627" s="326"/>
      <c r="AU627" s="326"/>
      <c r="AV627" s="326"/>
      <c r="AW627" s="326"/>
      <c r="AX627" s="326"/>
      <c r="AY627" s="326"/>
      <c r="AZ627" s="326"/>
      <c r="BA627" s="326"/>
      <c r="BB627" s="327"/>
    </row>
    <row r="628" spans="1:54" ht="15.75" customHeight="1" x14ac:dyDescent="0.25">
      <c r="A628" s="11">
        <f t="shared" si="2"/>
        <v>615</v>
      </c>
      <c r="B628" s="570" t="str">
        <f>'refer admin discharge'!B624</f>
        <v>x</v>
      </c>
      <c r="C628" s="327"/>
      <c r="D628" s="599" t="str">
        <f>'refer admin discharge'!D624</f>
        <v>xx</v>
      </c>
      <c r="E628" s="327"/>
      <c r="F628" s="600" t="str">
        <f>'refer admin discharge'!H624</f>
        <v>00/00/0000</v>
      </c>
      <c r="G628" s="327"/>
      <c r="H628" s="574"/>
      <c r="I628" s="327"/>
      <c r="J628" s="601"/>
      <c r="K628" s="327"/>
      <c r="L628" s="574"/>
      <c r="M628" s="327"/>
      <c r="N628" s="594"/>
      <c r="O628" s="327"/>
      <c r="P628" s="574"/>
      <c r="Q628" s="327"/>
      <c r="R628" s="594"/>
      <c r="S628" s="327"/>
      <c r="T628" s="574"/>
      <c r="U628" s="327"/>
      <c r="V628" s="595" t="str">
        <f>'refer admin discharge'!H629</f>
        <v>00/00/0000</v>
      </c>
      <c r="W628" s="327"/>
      <c r="X628" s="596"/>
      <c r="Y628" s="327"/>
      <c r="Z628" s="597"/>
      <c r="AA628" s="327"/>
      <c r="AB628" s="596"/>
      <c r="AC628" s="327"/>
      <c r="AD628" s="577"/>
      <c r="AE628" s="327"/>
      <c r="AF628" s="596"/>
      <c r="AG628" s="327"/>
      <c r="AH628" s="577"/>
      <c r="AI628" s="327"/>
      <c r="AJ628" s="596"/>
      <c r="AK628" s="327"/>
      <c r="AL628" s="598"/>
      <c r="AM628" s="326"/>
      <c r="AN628" s="326"/>
      <c r="AO628" s="326"/>
      <c r="AP628" s="326"/>
      <c r="AQ628" s="326"/>
      <c r="AR628" s="326"/>
      <c r="AS628" s="326"/>
      <c r="AT628" s="326"/>
      <c r="AU628" s="326"/>
      <c r="AV628" s="326"/>
      <c r="AW628" s="326"/>
      <c r="AX628" s="326"/>
      <c r="AY628" s="326"/>
      <c r="AZ628" s="326"/>
      <c r="BA628" s="326"/>
      <c r="BB628" s="327"/>
    </row>
    <row r="629" spans="1:54" ht="15.75" customHeight="1" x14ac:dyDescent="0.25">
      <c r="A629" s="11">
        <f t="shared" si="2"/>
        <v>616</v>
      </c>
      <c r="B629" s="504" t="str">
        <f>'refer admin discharge'!B625</f>
        <v>x</v>
      </c>
      <c r="C629" s="327"/>
      <c r="D629" s="505" t="str">
        <f>'refer admin discharge'!D625</f>
        <v>xx</v>
      </c>
      <c r="E629" s="327"/>
      <c r="F629" s="606" t="str">
        <f>'refer admin discharge'!H625</f>
        <v>00/00/0000</v>
      </c>
      <c r="G629" s="327"/>
      <c r="H629" s="594"/>
      <c r="I629" s="327"/>
      <c r="J629" s="605"/>
      <c r="K629" s="327"/>
      <c r="L629" s="594"/>
      <c r="M629" s="327"/>
      <c r="N629" s="575"/>
      <c r="O629" s="327"/>
      <c r="P629" s="594"/>
      <c r="Q629" s="327"/>
      <c r="R629" s="575"/>
      <c r="S629" s="327"/>
      <c r="T629" s="594"/>
      <c r="U629" s="327"/>
      <c r="V629" s="595" t="str">
        <f>'refer admin discharge'!H630</f>
        <v>00/00/0000</v>
      </c>
      <c r="W629" s="327"/>
      <c r="X629" s="577"/>
      <c r="Y629" s="327"/>
      <c r="Z629" s="604"/>
      <c r="AA629" s="327"/>
      <c r="AB629" s="577"/>
      <c r="AC629" s="327"/>
      <c r="AD629" s="576"/>
      <c r="AE629" s="327"/>
      <c r="AF629" s="577"/>
      <c r="AG629" s="327"/>
      <c r="AH629" s="576"/>
      <c r="AI629" s="327"/>
      <c r="AJ629" s="577"/>
      <c r="AK629" s="327"/>
      <c r="AL629" s="602"/>
      <c r="AM629" s="326"/>
      <c r="AN629" s="326"/>
      <c r="AO629" s="326"/>
      <c r="AP629" s="326"/>
      <c r="AQ629" s="326"/>
      <c r="AR629" s="326"/>
      <c r="AS629" s="326"/>
      <c r="AT629" s="326"/>
      <c r="AU629" s="326"/>
      <c r="AV629" s="326"/>
      <c r="AW629" s="326"/>
      <c r="AX629" s="326"/>
      <c r="AY629" s="326"/>
      <c r="AZ629" s="326"/>
      <c r="BA629" s="326"/>
      <c r="BB629" s="327"/>
    </row>
    <row r="630" spans="1:54" ht="15.75" customHeight="1" x14ac:dyDescent="0.25">
      <c r="A630" s="11">
        <f t="shared" si="2"/>
        <v>617</v>
      </c>
      <c r="B630" s="570" t="str">
        <f>'refer admin discharge'!B626</f>
        <v>x</v>
      </c>
      <c r="C630" s="327"/>
      <c r="D630" s="599" t="str">
        <f>'refer admin discharge'!D626</f>
        <v>xx</v>
      </c>
      <c r="E630" s="327"/>
      <c r="F630" s="600" t="str">
        <f>'refer admin discharge'!H626</f>
        <v>00/00/0000</v>
      </c>
      <c r="G630" s="327"/>
      <c r="H630" s="574"/>
      <c r="I630" s="327"/>
      <c r="J630" s="601"/>
      <c r="K630" s="327"/>
      <c r="L630" s="574"/>
      <c r="M630" s="327"/>
      <c r="N630" s="594"/>
      <c r="O630" s="327"/>
      <c r="P630" s="574"/>
      <c r="Q630" s="327"/>
      <c r="R630" s="594"/>
      <c r="S630" s="327"/>
      <c r="T630" s="574"/>
      <c r="U630" s="327"/>
      <c r="V630" s="595" t="str">
        <f>'refer admin discharge'!H631</f>
        <v>00/00/0000</v>
      </c>
      <c r="W630" s="327"/>
      <c r="X630" s="596"/>
      <c r="Y630" s="327"/>
      <c r="Z630" s="597"/>
      <c r="AA630" s="327"/>
      <c r="AB630" s="596"/>
      <c r="AC630" s="327"/>
      <c r="AD630" s="577"/>
      <c r="AE630" s="327"/>
      <c r="AF630" s="596"/>
      <c r="AG630" s="327"/>
      <c r="AH630" s="577"/>
      <c r="AI630" s="327"/>
      <c r="AJ630" s="596"/>
      <c r="AK630" s="327"/>
      <c r="AL630" s="598"/>
      <c r="AM630" s="326"/>
      <c r="AN630" s="326"/>
      <c r="AO630" s="326"/>
      <c r="AP630" s="326"/>
      <c r="AQ630" s="326"/>
      <c r="AR630" s="326"/>
      <c r="AS630" s="326"/>
      <c r="AT630" s="326"/>
      <c r="AU630" s="326"/>
      <c r="AV630" s="326"/>
      <c r="AW630" s="326"/>
      <c r="AX630" s="326"/>
      <c r="AY630" s="326"/>
      <c r="AZ630" s="326"/>
      <c r="BA630" s="326"/>
      <c r="BB630" s="327"/>
    </row>
    <row r="631" spans="1:54" ht="15.75" customHeight="1" x14ac:dyDescent="0.25">
      <c r="A631" s="11">
        <f t="shared" si="2"/>
        <v>618</v>
      </c>
      <c r="B631" s="504" t="str">
        <f>'refer admin discharge'!B627</f>
        <v>x</v>
      </c>
      <c r="C631" s="327"/>
      <c r="D631" s="505" t="str">
        <f>'refer admin discharge'!D627</f>
        <v>xx</v>
      </c>
      <c r="E631" s="327"/>
      <c r="F631" s="606" t="str">
        <f>'refer admin discharge'!H627</f>
        <v>00/00/0000</v>
      </c>
      <c r="G631" s="327"/>
      <c r="H631" s="594"/>
      <c r="I631" s="327"/>
      <c r="J631" s="605"/>
      <c r="K631" s="327"/>
      <c r="L631" s="594"/>
      <c r="M631" s="327"/>
      <c r="N631" s="575"/>
      <c r="O631" s="327"/>
      <c r="P631" s="594"/>
      <c r="Q631" s="327"/>
      <c r="R631" s="575"/>
      <c r="S631" s="327"/>
      <c r="T631" s="594"/>
      <c r="U631" s="327"/>
      <c r="V631" s="595" t="str">
        <f>'refer admin discharge'!H632</f>
        <v>00/00/0000</v>
      </c>
      <c r="W631" s="327"/>
      <c r="X631" s="577"/>
      <c r="Y631" s="327"/>
      <c r="Z631" s="604"/>
      <c r="AA631" s="327"/>
      <c r="AB631" s="577"/>
      <c r="AC631" s="327"/>
      <c r="AD631" s="576"/>
      <c r="AE631" s="327"/>
      <c r="AF631" s="577"/>
      <c r="AG631" s="327"/>
      <c r="AH631" s="576"/>
      <c r="AI631" s="327"/>
      <c r="AJ631" s="577"/>
      <c r="AK631" s="327"/>
      <c r="AL631" s="602"/>
      <c r="AM631" s="326"/>
      <c r="AN631" s="326"/>
      <c r="AO631" s="326"/>
      <c r="AP631" s="326"/>
      <c r="AQ631" s="326"/>
      <c r="AR631" s="326"/>
      <c r="AS631" s="326"/>
      <c r="AT631" s="326"/>
      <c r="AU631" s="326"/>
      <c r="AV631" s="326"/>
      <c r="AW631" s="326"/>
      <c r="AX631" s="326"/>
      <c r="AY631" s="326"/>
      <c r="AZ631" s="326"/>
      <c r="BA631" s="326"/>
      <c r="BB631" s="327"/>
    </row>
    <row r="632" spans="1:54" ht="15.75" customHeight="1" x14ac:dyDescent="0.25">
      <c r="A632" s="11">
        <f t="shared" si="2"/>
        <v>619</v>
      </c>
      <c r="B632" s="570" t="str">
        <f>'refer admin discharge'!B628</f>
        <v>x</v>
      </c>
      <c r="C632" s="327"/>
      <c r="D632" s="599" t="str">
        <f>'refer admin discharge'!D628</f>
        <v>xx</v>
      </c>
      <c r="E632" s="327"/>
      <c r="F632" s="600" t="str">
        <f>'refer admin discharge'!H628</f>
        <v>00/00/0000</v>
      </c>
      <c r="G632" s="327"/>
      <c r="H632" s="574"/>
      <c r="I632" s="327"/>
      <c r="J632" s="601"/>
      <c r="K632" s="327"/>
      <c r="L632" s="574"/>
      <c r="M632" s="327"/>
      <c r="N632" s="594"/>
      <c r="O632" s="327"/>
      <c r="P632" s="574"/>
      <c r="Q632" s="327"/>
      <c r="R632" s="594"/>
      <c r="S632" s="327"/>
      <c r="T632" s="574"/>
      <c r="U632" s="327"/>
      <c r="V632" s="595" t="str">
        <f>'refer admin discharge'!H633</f>
        <v>00/00/0000</v>
      </c>
      <c r="W632" s="327"/>
      <c r="X632" s="596"/>
      <c r="Y632" s="327"/>
      <c r="Z632" s="597"/>
      <c r="AA632" s="327"/>
      <c r="AB632" s="596"/>
      <c r="AC632" s="327"/>
      <c r="AD632" s="577"/>
      <c r="AE632" s="327"/>
      <c r="AF632" s="596"/>
      <c r="AG632" s="327"/>
      <c r="AH632" s="577"/>
      <c r="AI632" s="327"/>
      <c r="AJ632" s="596"/>
      <c r="AK632" s="327"/>
      <c r="AL632" s="598"/>
      <c r="AM632" s="326"/>
      <c r="AN632" s="326"/>
      <c r="AO632" s="326"/>
      <c r="AP632" s="326"/>
      <c r="AQ632" s="326"/>
      <c r="AR632" s="326"/>
      <c r="AS632" s="326"/>
      <c r="AT632" s="326"/>
      <c r="AU632" s="326"/>
      <c r="AV632" s="326"/>
      <c r="AW632" s="326"/>
      <c r="AX632" s="326"/>
      <c r="AY632" s="326"/>
      <c r="AZ632" s="326"/>
      <c r="BA632" s="326"/>
      <c r="BB632" s="327"/>
    </row>
    <row r="633" spans="1:54" ht="15.75" customHeight="1" x14ac:dyDescent="0.25">
      <c r="A633" s="11">
        <f t="shared" si="2"/>
        <v>620</v>
      </c>
      <c r="B633" s="504" t="str">
        <f>'refer admin discharge'!B629</f>
        <v>x</v>
      </c>
      <c r="C633" s="327"/>
      <c r="D633" s="505" t="str">
        <f>'refer admin discharge'!D629</f>
        <v>xx</v>
      </c>
      <c r="E633" s="327"/>
      <c r="F633" s="606" t="str">
        <f>'refer admin discharge'!H629</f>
        <v>00/00/0000</v>
      </c>
      <c r="G633" s="327"/>
      <c r="H633" s="594"/>
      <c r="I633" s="327"/>
      <c r="J633" s="605"/>
      <c r="K633" s="327"/>
      <c r="L633" s="594"/>
      <c r="M633" s="327"/>
      <c r="N633" s="575"/>
      <c r="O633" s="327"/>
      <c r="P633" s="594"/>
      <c r="Q633" s="327"/>
      <c r="R633" s="575"/>
      <c r="S633" s="327"/>
      <c r="T633" s="594"/>
      <c r="U633" s="327"/>
      <c r="V633" s="595" t="str">
        <f>'refer admin discharge'!H634</f>
        <v>00/00/0000</v>
      </c>
      <c r="W633" s="327"/>
      <c r="X633" s="577"/>
      <c r="Y633" s="327"/>
      <c r="Z633" s="604"/>
      <c r="AA633" s="327"/>
      <c r="AB633" s="577"/>
      <c r="AC633" s="327"/>
      <c r="AD633" s="576"/>
      <c r="AE633" s="327"/>
      <c r="AF633" s="577"/>
      <c r="AG633" s="327"/>
      <c r="AH633" s="576"/>
      <c r="AI633" s="327"/>
      <c r="AJ633" s="577"/>
      <c r="AK633" s="327"/>
      <c r="AL633" s="602"/>
      <c r="AM633" s="326"/>
      <c r="AN633" s="326"/>
      <c r="AO633" s="326"/>
      <c r="AP633" s="326"/>
      <c r="AQ633" s="326"/>
      <c r="AR633" s="326"/>
      <c r="AS633" s="326"/>
      <c r="AT633" s="326"/>
      <c r="AU633" s="326"/>
      <c r="AV633" s="326"/>
      <c r="AW633" s="326"/>
      <c r="AX633" s="326"/>
      <c r="AY633" s="326"/>
      <c r="AZ633" s="326"/>
      <c r="BA633" s="326"/>
      <c r="BB633" s="327"/>
    </row>
    <row r="634" spans="1:54" ht="15.75" customHeight="1" x14ac:dyDescent="0.25">
      <c r="A634" s="11">
        <f t="shared" si="2"/>
        <v>621</v>
      </c>
      <c r="B634" s="570" t="str">
        <f>'refer admin discharge'!B630</f>
        <v>x</v>
      </c>
      <c r="C634" s="327"/>
      <c r="D634" s="599" t="str">
        <f>'refer admin discharge'!D630</f>
        <v>xx</v>
      </c>
      <c r="E634" s="327"/>
      <c r="F634" s="600" t="str">
        <f>'refer admin discharge'!H630</f>
        <v>00/00/0000</v>
      </c>
      <c r="G634" s="327"/>
      <c r="H634" s="574"/>
      <c r="I634" s="327"/>
      <c r="J634" s="601"/>
      <c r="K634" s="327"/>
      <c r="L634" s="574"/>
      <c r="M634" s="327"/>
      <c r="N634" s="594"/>
      <c r="O634" s="327"/>
      <c r="P634" s="574"/>
      <c r="Q634" s="327"/>
      <c r="R634" s="594"/>
      <c r="S634" s="327"/>
      <c r="T634" s="574"/>
      <c r="U634" s="327"/>
      <c r="V634" s="595" t="str">
        <f>'refer admin discharge'!H635</f>
        <v>00/00/0000</v>
      </c>
      <c r="W634" s="327"/>
      <c r="X634" s="596"/>
      <c r="Y634" s="327"/>
      <c r="Z634" s="597"/>
      <c r="AA634" s="327"/>
      <c r="AB634" s="596"/>
      <c r="AC634" s="327"/>
      <c r="AD634" s="577"/>
      <c r="AE634" s="327"/>
      <c r="AF634" s="596"/>
      <c r="AG634" s="327"/>
      <c r="AH634" s="577"/>
      <c r="AI634" s="327"/>
      <c r="AJ634" s="596"/>
      <c r="AK634" s="327"/>
      <c r="AL634" s="598"/>
      <c r="AM634" s="326"/>
      <c r="AN634" s="326"/>
      <c r="AO634" s="326"/>
      <c r="AP634" s="326"/>
      <c r="AQ634" s="326"/>
      <c r="AR634" s="326"/>
      <c r="AS634" s="326"/>
      <c r="AT634" s="326"/>
      <c r="AU634" s="326"/>
      <c r="AV634" s="326"/>
      <c r="AW634" s="326"/>
      <c r="AX634" s="326"/>
      <c r="AY634" s="326"/>
      <c r="AZ634" s="326"/>
      <c r="BA634" s="326"/>
      <c r="BB634" s="327"/>
    </row>
    <row r="635" spans="1:54" ht="15.75" customHeight="1" x14ac:dyDescent="0.25">
      <c r="A635" s="11">
        <f t="shared" si="2"/>
        <v>622</v>
      </c>
      <c r="B635" s="504" t="str">
        <f>'refer admin discharge'!B631</f>
        <v>x</v>
      </c>
      <c r="C635" s="327"/>
      <c r="D635" s="505" t="str">
        <f>'refer admin discharge'!D631</f>
        <v>xx</v>
      </c>
      <c r="E635" s="327"/>
      <c r="F635" s="606" t="str">
        <f>'refer admin discharge'!H631</f>
        <v>00/00/0000</v>
      </c>
      <c r="G635" s="327"/>
      <c r="H635" s="594"/>
      <c r="I635" s="327"/>
      <c r="J635" s="605"/>
      <c r="K635" s="327"/>
      <c r="L635" s="594"/>
      <c r="M635" s="327"/>
      <c r="N635" s="575"/>
      <c r="O635" s="327"/>
      <c r="P635" s="594"/>
      <c r="Q635" s="327"/>
      <c r="R635" s="575"/>
      <c r="S635" s="327"/>
      <c r="T635" s="594"/>
      <c r="U635" s="327"/>
      <c r="V635" s="595" t="str">
        <f>'refer admin discharge'!H636</f>
        <v>00/00/0000</v>
      </c>
      <c r="W635" s="327"/>
      <c r="X635" s="577"/>
      <c r="Y635" s="327"/>
      <c r="Z635" s="604"/>
      <c r="AA635" s="327"/>
      <c r="AB635" s="577"/>
      <c r="AC635" s="327"/>
      <c r="AD635" s="576"/>
      <c r="AE635" s="327"/>
      <c r="AF635" s="577"/>
      <c r="AG635" s="327"/>
      <c r="AH635" s="576"/>
      <c r="AI635" s="327"/>
      <c r="AJ635" s="577"/>
      <c r="AK635" s="327"/>
      <c r="AL635" s="602"/>
      <c r="AM635" s="326"/>
      <c r="AN635" s="326"/>
      <c r="AO635" s="326"/>
      <c r="AP635" s="326"/>
      <c r="AQ635" s="326"/>
      <c r="AR635" s="326"/>
      <c r="AS635" s="326"/>
      <c r="AT635" s="326"/>
      <c r="AU635" s="326"/>
      <c r="AV635" s="326"/>
      <c r="AW635" s="326"/>
      <c r="AX635" s="326"/>
      <c r="AY635" s="326"/>
      <c r="AZ635" s="326"/>
      <c r="BA635" s="326"/>
      <c r="BB635" s="327"/>
    </row>
    <row r="636" spans="1:54" ht="15.75" customHeight="1" x14ac:dyDescent="0.25">
      <c r="A636" s="11">
        <f t="shared" si="2"/>
        <v>623</v>
      </c>
      <c r="B636" s="570" t="str">
        <f>'refer admin discharge'!B632</f>
        <v>x</v>
      </c>
      <c r="C636" s="327"/>
      <c r="D636" s="599" t="str">
        <f>'refer admin discharge'!D632</f>
        <v>xx</v>
      </c>
      <c r="E636" s="327"/>
      <c r="F636" s="600" t="str">
        <f>'refer admin discharge'!H632</f>
        <v>00/00/0000</v>
      </c>
      <c r="G636" s="327"/>
      <c r="H636" s="574"/>
      <c r="I636" s="327"/>
      <c r="J636" s="601"/>
      <c r="K636" s="327"/>
      <c r="L636" s="574"/>
      <c r="M636" s="327"/>
      <c r="N636" s="594"/>
      <c r="O636" s="327"/>
      <c r="P636" s="574"/>
      <c r="Q636" s="327"/>
      <c r="R636" s="594"/>
      <c r="S636" s="327"/>
      <c r="T636" s="574"/>
      <c r="U636" s="327"/>
      <c r="V636" s="595" t="str">
        <f>'refer admin discharge'!H637</f>
        <v>00/00/0000</v>
      </c>
      <c r="W636" s="327"/>
      <c r="X636" s="596"/>
      <c r="Y636" s="327"/>
      <c r="Z636" s="597"/>
      <c r="AA636" s="327"/>
      <c r="AB636" s="596"/>
      <c r="AC636" s="327"/>
      <c r="AD636" s="577"/>
      <c r="AE636" s="327"/>
      <c r="AF636" s="596"/>
      <c r="AG636" s="327"/>
      <c r="AH636" s="577"/>
      <c r="AI636" s="327"/>
      <c r="AJ636" s="596"/>
      <c r="AK636" s="327"/>
      <c r="AL636" s="598"/>
      <c r="AM636" s="326"/>
      <c r="AN636" s="326"/>
      <c r="AO636" s="326"/>
      <c r="AP636" s="326"/>
      <c r="AQ636" s="326"/>
      <c r="AR636" s="326"/>
      <c r="AS636" s="326"/>
      <c r="AT636" s="326"/>
      <c r="AU636" s="326"/>
      <c r="AV636" s="326"/>
      <c r="AW636" s="326"/>
      <c r="AX636" s="326"/>
      <c r="AY636" s="326"/>
      <c r="AZ636" s="326"/>
      <c r="BA636" s="326"/>
      <c r="BB636" s="327"/>
    </row>
    <row r="637" spans="1:54" ht="15.75" customHeight="1" x14ac:dyDescent="0.25">
      <c r="A637" s="11">
        <f t="shared" si="2"/>
        <v>624</v>
      </c>
      <c r="B637" s="504" t="str">
        <f>'refer admin discharge'!B633</f>
        <v>x</v>
      </c>
      <c r="C637" s="327"/>
      <c r="D637" s="505" t="str">
        <f>'refer admin discharge'!D633</f>
        <v>xx</v>
      </c>
      <c r="E637" s="327"/>
      <c r="F637" s="606" t="str">
        <f>'refer admin discharge'!H633</f>
        <v>00/00/0000</v>
      </c>
      <c r="G637" s="327"/>
      <c r="H637" s="594"/>
      <c r="I637" s="327"/>
      <c r="J637" s="605"/>
      <c r="K637" s="327"/>
      <c r="L637" s="594"/>
      <c r="M637" s="327"/>
      <c r="N637" s="575"/>
      <c r="O637" s="327"/>
      <c r="P637" s="594"/>
      <c r="Q637" s="327"/>
      <c r="R637" s="575"/>
      <c r="S637" s="327"/>
      <c r="T637" s="594"/>
      <c r="U637" s="327"/>
      <c r="V637" s="595" t="str">
        <f>'refer admin discharge'!H638</f>
        <v>00/00/0000</v>
      </c>
      <c r="W637" s="327"/>
      <c r="X637" s="577"/>
      <c r="Y637" s="327"/>
      <c r="Z637" s="604"/>
      <c r="AA637" s="327"/>
      <c r="AB637" s="577"/>
      <c r="AC637" s="327"/>
      <c r="AD637" s="576"/>
      <c r="AE637" s="327"/>
      <c r="AF637" s="577"/>
      <c r="AG637" s="327"/>
      <c r="AH637" s="576"/>
      <c r="AI637" s="327"/>
      <c r="AJ637" s="577"/>
      <c r="AK637" s="327"/>
      <c r="AL637" s="602"/>
      <c r="AM637" s="326"/>
      <c r="AN637" s="326"/>
      <c r="AO637" s="326"/>
      <c r="AP637" s="326"/>
      <c r="AQ637" s="326"/>
      <c r="AR637" s="326"/>
      <c r="AS637" s="326"/>
      <c r="AT637" s="326"/>
      <c r="AU637" s="326"/>
      <c r="AV637" s="326"/>
      <c r="AW637" s="326"/>
      <c r="AX637" s="326"/>
      <c r="AY637" s="326"/>
      <c r="AZ637" s="326"/>
      <c r="BA637" s="326"/>
      <c r="BB637" s="327"/>
    </row>
    <row r="638" spans="1:54" ht="15.75" customHeight="1" x14ac:dyDescent="0.25">
      <c r="A638" s="11">
        <f t="shared" si="2"/>
        <v>625</v>
      </c>
      <c r="B638" s="570" t="str">
        <f>'refer admin discharge'!B634</f>
        <v>x</v>
      </c>
      <c r="C638" s="327"/>
      <c r="D638" s="599" t="str">
        <f>'refer admin discharge'!D634</f>
        <v>xx</v>
      </c>
      <c r="E638" s="327"/>
      <c r="F638" s="600" t="str">
        <f>'refer admin discharge'!H634</f>
        <v>00/00/0000</v>
      </c>
      <c r="G638" s="327"/>
      <c r="H638" s="574"/>
      <c r="I638" s="327"/>
      <c r="J638" s="601"/>
      <c r="K638" s="327"/>
      <c r="L638" s="574"/>
      <c r="M638" s="327"/>
      <c r="N638" s="594"/>
      <c r="O638" s="327"/>
      <c r="P638" s="574"/>
      <c r="Q638" s="327"/>
      <c r="R638" s="594"/>
      <c r="S638" s="327"/>
      <c r="T638" s="574"/>
      <c r="U638" s="327"/>
      <c r="V638" s="595" t="str">
        <f>'refer admin discharge'!H639</f>
        <v>00/00/0000</v>
      </c>
      <c r="W638" s="327"/>
      <c r="X638" s="596"/>
      <c r="Y638" s="327"/>
      <c r="Z638" s="597"/>
      <c r="AA638" s="327"/>
      <c r="AB638" s="596"/>
      <c r="AC638" s="327"/>
      <c r="AD638" s="577"/>
      <c r="AE638" s="327"/>
      <c r="AF638" s="596"/>
      <c r="AG638" s="327"/>
      <c r="AH638" s="577"/>
      <c r="AI638" s="327"/>
      <c r="AJ638" s="596"/>
      <c r="AK638" s="327"/>
      <c r="AL638" s="598"/>
      <c r="AM638" s="326"/>
      <c r="AN638" s="326"/>
      <c r="AO638" s="326"/>
      <c r="AP638" s="326"/>
      <c r="AQ638" s="326"/>
      <c r="AR638" s="326"/>
      <c r="AS638" s="326"/>
      <c r="AT638" s="326"/>
      <c r="AU638" s="326"/>
      <c r="AV638" s="326"/>
      <c r="AW638" s="326"/>
      <c r="AX638" s="326"/>
      <c r="AY638" s="326"/>
      <c r="AZ638" s="326"/>
      <c r="BA638" s="326"/>
      <c r="BB638" s="327"/>
    </row>
    <row r="639" spans="1:54" ht="15.75" customHeight="1" x14ac:dyDescent="0.25">
      <c r="A639" s="11">
        <f t="shared" si="2"/>
        <v>626</v>
      </c>
      <c r="B639" s="504" t="str">
        <f>'refer admin discharge'!B635</f>
        <v>x</v>
      </c>
      <c r="C639" s="327"/>
      <c r="D639" s="505" t="str">
        <f>'refer admin discharge'!D635</f>
        <v>xx</v>
      </c>
      <c r="E639" s="327"/>
      <c r="F639" s="606" t="str">
        <f>'refer admin discharge'!H635</f>
        <v>00/00/0000</v>
      </c>
      <c r="G639" s="327"/>
      <c r="H639" s="594"/>
      <c r="I639" s="327"/>
      <c r="J639" s="605"/>
      <c r="K639" s="327"/>
      <c r="L639" s="594"/>
      <c r="M639" s="327"/>
      <c r="N639" s="575"/>
      <c r="O639" s="327"/>
      <c r="P639" s="594"/>
      <c r="Q639" s="327"/>
      <c r="R639" s="575"/>
      <c r="S639" s="327"/>
      <c r="T639" s="594"/>
      <c r="U639" s="327"/>
      <c r="V639" s="595" t="str">
        <f>'refer admin discharge'!H640</f>
        <v>00/00/0000</v>
      </c>
      <c r="W639" s="327"/>
      <c r="X639" s="577"/>
      <c r="Y639" s="327"/>
      <c r="Z639" s="604"/>
      <c r="AA639" s="327"/>
      <c r="AB639" s="577"/>
      <c r="AC639" s="327"/>
      <c r="AD639" s="576"/>
      <c r="AE639" s="327"/>
      <c r="AF639" s="577"/>
      <c r="AG639" s="327"/>
      <c r="AH639" s="576"/>
      <c r="AI639" s="327"/>
      <c r="AJ639" s="577"/>
      <c r="AK639" s="327"/>
      <c r="AL639" s="602"/>
      <c r="AM639" s="326"/>
      <c r="AN639" s="326"/>
      <c r="AO639" s="326"/>
      <c r="AP639" s="326"/>
      <c r="AQ639" s="326"/>
      <c r="AR639" s="326"/>
      <c r="AS639" s="326"/>
      <c r="AT639" s="326"/>
      <c r="AU639" s="326"/>
      <c r="AV639" s="326"/>
      <c r="AW639" s="326"/>
      <c r="AX639" s="326"/>
      <c r="AY639" s="326"/>
      <c r="AZ639" s="326"/>
      <c r="BA639" s="326"/>
      <c r="BB639" s="327"/>
    </row>
    <row r="640" spans="1:54" ht="15.75" customHeight="1" x14ac:dyDescent="0.25">
      <c r="A640" s="11">
        <f t="shared" si="2"/>
        <v>627</v>
      </c>
      <c r="B640" s="570" t="str">
        <f>'refer admin discharge'!B636</f>
        <v>x</v>
      </c>
      <c r="C640" s="327"/>
      <c r="D640" s="599" t="str">
        <f>'refer admin discharge'!D636</f>
        <v>xx</v>
      </c>
      <c r="E640" s="327"/>
      <c r="F640" s="600" t="str">
        <f>'refer admin discharge'!H636</f>
        <v>00/00/0000</v>
      </c>
      <c r="G640" s="327"/>
      <c r="H640" s="574"/>
      <c r="I640" s="327"/>
      <c r="J640" s="601"/>
      <c r="K640" s="327"/>
      <c r="L640" s="574"/>
      <c r="M640" s="327"/>
      <c r="N640" s="594"/>
      <c r="O640" s="327"/>
      <c r="P640" s="574"/>
      <c r="Q640" s="327"/>
      <c r="R640" s="594"/>
      <c r="S640" s="327"/>
      <c r="T640" s="574"/>
      <c r="U640" s="327"/>
      <c r="V640" s="595" t="str">
        <f>'refer admin discharge'!H641</f>
        <v>00/00/0000</v>
      </c>
      <c r="W640" s="327"/>
      <c r="X640" s="596"/>
      <c r="Y640" s="327"/>
      <c r="Z640" s="597"/>
      <c r="AA640" s="327"/>
      <c r="AB640" s="596"/>
      <c r="AC640" s="327"/>
      <c r="AD640" s="577"/>
      <c r="AE640" s="327"/>
      <c r="AF640" s="596"/>
      <c r="AG640" s="327"/>
      <c r="AH640" s="577"/>
      <c r="AI640" s="327"/>
      <c r="AJ640" s="596"/>
      <c r="AK640" s="327"/>
      <c r="AL640" s="598"/>
      <c r="AM640" s="326"/>
      <c r="AN640" s="326"/>
      <c r="AO640" s="326"/>
      <c r="AP640" s="326"/>
      <c r="AQ640" s="326"/>
      <c r="AR640" s="326"/>
      <c r="AS640" s="326"/>
      <c r="AT640" s="326"/>
      <c r="AU640" s="326"/>
      <c r="AV640" s="326"/>
      <c r="AW640" s="326"/>
      <c r="AX640" s="326"/>
      <c r="AY640" s="326"/>
      <c r="AZ640" s="326"/>
      <c r="BA640" s="326"/>
      <c r="BB640" s="327"/>
    </row>
    <row r="641" spans="1:54" ht="15.75" customHeight="1" x14ac:dyDescent="0.25">
      <c r="A641" s="11">
        <f t="shared" si="2"/>
        <v>628</v>
      </c>
      <c r="B641" s="504" t="str">
        <f>'refer admin discharge'!B637</f>
        <v>x</v>
      </c>
      <c r="C641" s="327"/>
      <c r="D641" s="505" t="str">
        <f>'refer admin discharge'!D637</f>
        <v>xx</v>
      </c>
      <c r="E641" s="327"/>
      <c r="F641" s="606" t="str">
        <f>'refer admin discharge'!H637</f>
        <v>00/00/0000</v>
      </c>
      <c r="G641" s="327"/>
      <c r="H641" s="594"/>
      <c r="I641" s="327"/>
      <c r="J641" s="605"/>
      <c r="K641" s="327"/>
      <c r="L641" s="594"/>
      <c r="M641" s="327"/>
      <c r="N641" s="575"/>
      <c r="O641" s="327"/>
      <c r="P641" s="594"/>
      <c r="Q641" s="327"/>
      <c r="R641" s="575"/>
      <c r="S641" s="327"/>
      <c r="T641" s="594"/>
      <c r="U641" s="327"/>
      <c r="V641" s="595" t="str">
        <f>'refer admin discharge'!H642</f>
        <v>00/00/0000</v>
      </c>
      <c r="W641" s="327"/>
      <c r="X641" s="577"/>
      <c r="Y641" s="327"/>
      <c r="Z641" s="604"/>
      <c r="AA641" s="327"/>
      <c r="AB641" s="577"/>
      <c r="AC641" s="327"/>
      <c r="AD641" s="576"/>
      <c r="AE641" s="327"/>
      <c r="AF641" s="577"/>
      <c r="AG641" s="327"/>
      <c r="AH641" s="576"/>
      <c r="AI641" s="327"/>
      <c r="AJ641" s="577"/>
      <c r="AK641" s="327"/>
      <c r="AL641" s="602"/>
      <c r="AM641" s="326"/>
      <c r="AN641" s="326"/>
      <c r="AO641" s="326"/>
      <c r="AP641" s="326"/>
      <c r="AQ641" s="326"/>
      <c r="AR641" s="326"/>
      <c r="AS641" s="326"/>
      <c r="AT641" s="326"/>
      <c r="AU641" s="326"/>
      <c r="AV641" s="326"/>
      <c r="AW641" s="326"/>
      <c r="AX641" s="326"/>
      <c r="AY641" s="326"/>
      <c r="AZ641" s="326"/>
      <c r="BA641" s="326"/>
      <c r="BB641" s="327"/>
    </row>
    <row r="642" spans="1:54" ht="15.75" customHeight="1" x14ac:dyDescent="0.25">
      <c r="A642" s="11">
        <f t="shared" si="2"/>
        <v>629</v>
      </c>
      <c r="B642" s="570" t="str">
        <f>'refer admin discharge'!B638</f>
        <v>x</v>
      </c>
      <c r="C642" s="327"/>
      <c r="D642" s="599" t="str">
        <f>'refer admin discharge'!D638</f>
        <v>xx</v>
      </c>
      <c r="E642" s="327"/>
      <c r="F642" s="600" t="str">
        <f>'refer admin discharge'!H638</f>
        <v>00/00/0000</v>
      </c>
      <c r="G642" s="327"/>
      <c r="H642" s="574"/>
      <c r="I642" s="327"/>
      <c r="J642" s="601"/>
      <c r="K642" s="327"/>
      <c r="L642" s="574"/>
      <c r="M642" s="327"/>
      <c r="N642" s="594"/>
      <c r="O642" s="327"/>
      <c r="P642" s="574"/>
      <c r="Q642" s="327"/>
      <c r="R642" s="594"/>
      <c r="S642" s="327"/>
      <c r="T642" s="574"/>
      <c r="U642" s="327"/>
      <c r="V642" s="595" t="str">
        <f>'refer admin discharge'!H643</f>
        <v>00/00/0000</v>
      </c>
      <c r="W642" s="327"/>
      <c r="X642" s="596"/>
      <c r="Y642" s="327"/>
      <c r="Z642" s="597"/>
      <c r="AA642" s="327"/>
      <c r="AB642" s="596"/>
      <c r="AC642" s="327"/>
      <c r="AD642" s="577"/>
      <c r="AE642" s="327"/>
      <c r="AF642" s="596"/>
      <c r="AG642" s="327"/>
      <c r="AH642" s="577"/>
      <c r="AI642" s="327"/>
      <c r="AJ642" s="596"/>
      <c r="AK642" s="327"/>
      <c r="AL642" s="598"/>
      <c r="AM642" s="326"/>
      <c r="AN642" s="326"/>
      <c r="AO642" s="326"/>
      <c r="AP642" s="326"/>
      <c r="AQ642" s="326"/>
      <c r="AR642" s="326"/>
      <c r="AS642" s="326"/>
      <c r="AT642" s="326"/>
      <c r="AU642" s="326"/>
      <c r="AV642" s="326"/>
      <c r="AW642" s="326"/>
      <c r="AX642" s="326"/>
      <c r="AY642" s="326"/>
      <c r="AZ642" s="326"/>
      <c r="BA642" s="326"/>
      <c r="BB642" s="327"/>
    </row>
    <row r="643" spans="1:54" ht="15.75" customHeight="1" x14ac:dyDescent="0.25">
      <c r="A643" s="11">
        <f t="shared" si="2"/>
        <v>630</v>
      </c>
      <c r="B643" s="504" t="str">
        <f>'refer admin discharge'!B639</f>
        <v>x</v>
      </c>
      <c r="C643" s="327"/>
      <c r="D643" s="505" t="str">
        <f>'refer admin discharge'!D639</f>
        <v>xx</v>
      </c>
      <c r="E643" s="327"/>
      <c r="F643" s="606" t="str">
        <f>'refer admin discharge'!H639</f>
        <v>00/00/0000</v>
      </c>
      <c r="G643" s="327"/>
      <c r="H643" s="594"/>
      <c r="I643" s="327"/>
      <c r="J643" s="605"/>
      <c r="K643" s="327"/>
      <c r="L643" s="594"/>
      <c r="M643" s="327"/>
      <c r="N643" s="575"/>
      <c r="O643" s="327"/>
      <c r="P643" s="594"/>
      <c r="Q643" s="327"/>
      <c r="R643" s="575"/>
      <c r="S643" s="327"/>
      <c r="T643" s="594"/>
      <c r="U643" s="327"/>
      <c r="V643" s="595" t="str">
        <f>'refer admin discharge'!H644</f>
        <v>00/00/0000</v>
      </c>
      <c r="W643" s="327"/>
      <c r="X643" s="577"/>
      <c r="Y643" s="327"/>
      <c r="Z643" s="604"/>
      <c r="AA643" s="327"/>
      <c r="AB643" s="577"/>
      <c r="AC643" s="327"/>
      <c r="AD643" s="576"/>
      <c r="AE643" s="327"/>
      <c r="AF643" s="577"/>
      <c r="AG643" s="327"/>
      <c r="AH643" s="576"/>
      <c r="AI643" s="327"/>
      <c r="AJ643" s="577"/>
      <c r="AK643" s="327"/>
      <c r="AL643" s="602"/>
      <c r="AM643" s="326"/>
      <c r="AN643" s="326"/>
      <c r="AO643" s="326"/>
      <c r="AP643" s="326"/>
      <c r="AQ643" s="326"/>
      <c r="AR643" s="326"/>
      <c r="AS643" s="326"/>
      <c r="AT643" s="326"/>
      <c r="AU643" s="326"/>
      <c r="AV643" s="326"/>
      <c r="AW643" s="326"/>
      <c r="AX643" s="326"/>
      <c r="AY643" s="326"/>
      <c r="AZ643" s="326"/>
      <c r="BA643" s="326"/>
      <c r="BB643" s="327"/>
    </row>
    <row r="644" spans="1:54" ht="15.75" customHeight="1" x14ac:dyDescent="0.25">
      <c r="A644" s="11">
        <f t="shared" si="2"/>
        <v>631</v>
      </c>
      <c r="B644" s="570" t="str">
        <f>'refer admin discharge'!B640</f>
        <v>x</v>
      </c>
      <c r="C644" s="327"/>
      <c r="D644" s="599" t="str">
        <f>'refer admin discharge'!D640</f>
        <v>xx</v>
      </c>
      <c r="E644" s="327"/>
      <c r="F644" s="600" t="str">
        <f>'refer admin discharge'!H640</f>
        <v>00/00/0000</v>
      </c>
      <c r="G644" s="327"/>
      <c r="H644" s="574"/>
      <c r="I644" s="327"/>
      <c r="J644" s="601"/>
      <c r="K644" s="327"/>
      <c r="L644" s="574"/>
      <c r="M644" s="327"/>
      <c r="N644" s="594"/>
      <c r="O644" s="327"/>
      <c r="P644" s="574"/>
      <c r="Q644" s="327"/>
      <c r="R644" s="594"/>
      <c r="S644" s="327"/>
      <c r="T644" s="574"/>
      <c r="U644" s="327"/>
      <c r="V644" s="595" t="str">
        <f>'refer admin discharge'!H645</f>
        <v>00/00/0000</v>
      </c>
      <c r="W644" s="327"/>
      <c r="X644" s="596"/>
      <c r="Y644" s="327"/>
      <c r="Z644" s="597"/>
      <c r="AA644" s="327"/>
      <c r="AB644" s="596"/>
      <c r="AC644" s="327"/>
      <c r="AD644" s="577"/>
      <c r="AE644" s="327"/>
      <c r="AF644" s="596"/>
      <c r="AG644" s="327"/>
      <c r="AH644" s="577"/>
      <c r="AI644" s="327"/>
      <c r="AJ644" s="596"/>
      <c r="AK644" s="327"/>
      <c r="AL644" s="598"/>
      <c r="AM644" s="326"/>
      <c r="AN644" s="326"/>
      <c r="AO644" s="326"/>
      <c r="AP644" s="326"/>
      <c r="AQ644" s="326"/>
      <c r="AR644" s="326"/>
      <c r="AS644" s="326"/>
      <c r="AT644" s="326"/>
      <c r="AU644" s="326"/>
      <c r="AV644" s="326"/>
      <c r="AW644" s="326"/>
      <c r="AX644" s="326"/>
      <c r="AY644" s="326"/>
      <c r="AZ644" s="326"/>
      <c r="BA644" s="326"/>
      <c r="BB644" s="327"/>
    </row>
    <row r="645" spans="1:54" ht="15.75" customHeight="1" x14ac:dyDescent="0.25">
      <c r="A645" s="11">
        <f t="shared" si="2"/>
        <v>632</v>
      </c>
      <c r="B645" s="504" t="str">
        <f>'refer admin discharge'!B641</f>
        <v>x</v>
      </c>
      <c r="C645" s="327"/>
      <c r="D645" s="505" t="str">
        <f>'refer admin discharge'!D641</f>
        <v>xx</v>
      </c>
      <c r="E645" s="327"/>
      <c r="F645" s="606" t="str">
        <f>'refer admin discharge'!H641</f>
        <v>00/00/0000</v>
      </c>
      <c r="G645" s="327"/>
      <c r="H645" s="594"/>
      <c r="I645" s="327"/>
      <c r="J645" s="605"/>
      <c r="K645" s="327"/>
      <c r="L645" s="594"/>
      <c r="M645" s="327"/>
      <c r="N645" s="575"/>
      <c r="O645" s="327"/>
      <c r="P645" s="594"/>
      <c r="Q645" s="327"/>
      <c r="R645" s="575"/>
      <c r="S645" s="327"/>
      <c r="T645" s="594"/>
      <c r="U645" s="327"/>
      <c r="V645" s="595" t="str">
        <f>'refer admin discharge'!H646</f>
        <v>00/00/0000</v>
      </c>
      <c r="W645" s="327"/>
      <c r="X645" s="577"/>
      <c r="Y645" s="327"/>
      <c r="Z645" s="604"/>
      <c r="AA645" s="327"/>
      <c r="AB645" s="577"/>
      <c r="AC645" s="327"/>
      <c r="AD645" s="576"/>
      <c r="AE645" s="327"/>
      <c r="AF645" s="577"/>
      <c r="AG645" s="327"/>
      <c r="AH645" s="576"/>
      <c r="AI645" s="327"/>
      <c r="AJ645" s="577"/>
      <c r="AK645" s="327"/>
      <c r="AL645" s="602"/>
      <c r="AM645" s="326"/>
      <c r="AN645" s="326"/>
      <c r="AO645" s="326"/>
      <c r="AP645" s="326"/>
      <c r="AQ645" s="326"/>
      <c r="AR645" s="326"/>
      <c r="AS645" s="326"/>
      <c r="AT645" s="326"/>
      <c r="AU645" s="326"/>
      <c r="AV645" s="326"/>
      <c r="AW645" s="326"/>
      <c r="AX645" s="326"/>
      <c r="AY645" s="326"/>
      <c r="AZ645" s="326"/>
      <c r="BA645" s="326"/>
      <c r="BB645" s="327"/>
    </row>
    <row r="646" spans="1:54" ht="15.75" customHeight="1" x14ac:dyDescent="0.25">
      <c r="A646" s="11">
        <f t="shared" si="2"/>
        <v>633</v>
      </c>
      <c r="B646" s="570" t="str">
        <f>'refer admin discharge'!B642</f>
        <v>x</v>
      </c>
      <c r="C646" s="327"/>
      <c r="D646" s="599" t="str">
        <f>'refer admin discharge'!D642</f>
        <v>xx</v>
      </c>
      <c r="E646" s="327"/>
      <c r="F646" s="600" t="str">
        <f>'refer admin discharge'!H642</f>
        <v>00/00/0000</v>
      </c>
      <c r="G646" s="327"/>
      <c r="H646" s="574"/>
      <c r="I646" s="327"/>
      <c r="J646" s="601"/>
      <c r="K646" s="327"/>
      <c r="L646" s="574"/>
      <c r="M646" s="327"/>
      <c r="N646" s="594"/>
      <c r="O646" s="327"/>
      <c r="P646" s="574"/>
      <c r="Q646" s="327"/>
      <c r="R646" s="594"/>
      <c r="S646" s="327"/>
      <c r="T646" s="574"/>
      <c r="U646" s="327"/>
      <c r="V646" s="595" t="str">
        <f>'refer admin discharge'!H647</f>
        <v>00/00/0000</v>
      </c>
      <c r="W646" s="327"/>
      <c r="X646" s="596"/>
      <c r="Y646" s="327"/>
      <c r="Z646" s="597"/>
      <c r="AA646" s="327"/>
      <c r="AB646" s="596"/>
      <c r="AC646" s="327"/>
      <c r="AD646" s="577"/>
      <c r="AE646" s="327"/>
      <c r="AF646" s="596"/>
      <c r="AG646" s="327"/>
      <c r="AH646" s="577"/>
      <c r="AI646" s="327"/>
      <c r="AJ646" s="596"/>
      <c r="AK646" s="327"/>
      <c r="AL646" s="598"/>
      <c r="AM646" s="326"/>
      <c r="AN646" s="326"/>
      <c r="AO646" s="326"/>
      <c r="AP646" s="326"/>
      <c r="AQ646" s="326"/>
      <c r="AR646" s="326"/>
      <c r="AS646" s="326"/>
      <c r="AT646" s="326"/>
      <c r="AU646" s="326"/>
      <c r="AV646" s="326"/>
      <c r="AW646" s="326"/>
      <c r="AX646" s="326"/>
      <c r="AY646" s="326"/>
      <c r="AZ646" s="326"/>
      <c r="BA646" s="326"/>
      <c r="BB646" s="327"/>
    </row>
    <row r="647" spans="1:54" ht="15.75" customHeight="1" x14ac:dyDescent="0.25">
      <c r="A647" s="11">
        <f t="shared" si="2"/>
        <v>634</v>
      </c>
      <c r="B647" s="504" t="str">
        <f>'refer admin discharge'!B643</f>
        <v>x</v>
      </c>
      <c r="C647" s="327"/>
      <c r="D647" s="505" t="str">
        <f>'refer admin discharge'!D643</f>
        <v>xx</v>
      </c>
      <c r="E647" s="327"/>
      <c r="F647" s="606" t="str">
        <f>'refer admin discharge'!H643</f>
        <v>00/00/0000</v>
      </c>
      <c r="G647" s="327"/>
      <c r="H647" s="594"/>
      <c r="I647" s="327"/>
      <c r="J647" s="605"/>
      <c r="K647" s="327"/>
      <c r="L647" s="594"/>
      <c r="M647" s="327"/>
      <c r="N647" s="575"/>
      <c r="O647" s="327"/>
      <c r="P647" s="594"/>
      <c r="Q647" s="327"/>
      <c r="R647" s="575"/>
      <c r="S647" s="327"/>
      <c r="T647" s="594"/>
      <c r="U647" s="327"/>
      <c r="V647" s="595" t="str">
        <f>'refer admin discharge'!H648</f>
        <v>00/00/0000</v>
      </c>
      <c r="W647" s="327"/>
      <c r="X647" s="577"/>
      <c r="Y647" s="327"/>
      <c r="Z647" s="604"/>
      <c r="AA647" s="327"/>
      <c r="AB647" s="577"/>
      <c r="AC647" s="327"/>
      <c r="AD647" s="576"/>
      <c r="AE647" s="327"/>
      <c r="AF647" s="577"/>
      <c r="AG647" s="327"/>
      <c r="AH647" s="576"/>
      <c r="AI647" s="327"/>
      <c r="AJ647" s="577"/>
      <c r="AK647" s="327"/>
      <c r="AL647" s="602"/>
      <c r="AM647" s="326"/>
      <c r="AN647" s="326"/>
      <c r="AO647" s="326"/>
      <c r="AP647" s="326"/>
      <c r="AQ647" s="326"/>
      <c r="AR647" s="326"/>
      <c r="AS647" s="326"/>
      <c r="AT647" s="326"/>
      <c r="AU647" s="326"/>
      <c r="AV647" s="326"/>
      <c r="AW647" s="326"/>
      <c r="AX647" s="326"/>
      <c r="AY647" s="326"/>
      <c r="AZ647" s="326"/>
      <c r="BA647" s="326"/>
      <c r="BB647" s="327"/>
    </row>
    <row r="648" spans="1:54" ht="15.75" customHeight="1" x14ac:dyDescent="0.25">
      <c r="A648" s="11">
        <f t="shared" si="2"/>
        <v>635</v>
      </c>
      <c r="B648" s="570" t="str">
        <f>'refer admin discharge'!B644</f>
        <v>x</v>
      </c>
      <c r="C648" s="327"/>
      <c r="D648" s="599" t="str">
        <f>'refer admin discharge'!D644</f>
        <v>xx</v>
      </c>
      <c r="E648" s="327"/>
      <c r="F648" s="600" t="str">
        <f>'refer admin discharge'!H644</f>
        <v>00/00/0000</v>
      </c>
      <c r="G648" s="327"/>
      <c r="H648" s="574"/>
      <c r="I648" s="327"/>
      <c r="J648" s="601"/>
      <c r="K648" s="327"/>
      <c r="L648" s="574"/>
      <c r="M648" s="327"/>
      <c r="N648" s="594"/>
      <c r="O648" s="327"/>
      <c r="P648" s="574"/>
      <c r="Q648" s="327"/>
      <c r="R648" s="594"/>
      <c r="S648" s="327"/>
      <c r="T648" s="574"/>
      <c r="U648" s="327"/>
      <c r="V648" s="595" t="str">
        <f>'refer admin discharge'!H649</f>
        <v>00/00/0000</v>
      </c>
      <c r="W648" s="327"/>
      <c r="X648" s="596"/>
      <c r="Y648" s="327"/>
      <c r="Z648" s="597"/>
      <c r="AA648" s="327"/>
      <c r="AB648" s="596"/>
      <c r="AC648" s="327"/>
      <c r="AD648" s="577"/>
      <c r="AE648" s="327"/>
      <c r="AF648" s="596"/>
      <c r="AG648" s="327"/>
      <c r="AH648" s="577"/>
      <c r="AI648" s="327"/>
      <c r="AJ648" s="596"/>
      <c r="AK648" s="327"/>
      <c r="AL648" s="598"/>
      <c r="AM648" s="326"/>
      <c r="AN648" s="326"/>
      <c r="AO648" s="326"/>
      <c r="AP648" s="326"/>
      <c r="AQ648" s="326"/>
      <c r="AR648" s="326"/>
      <c r="AS648" s="326"/>
      <c r="AT648" s="326"/>
      <c r="AU648" s="326"/>
      <c r="AV648" s="326"/>
      <c r="AW648" s="326"/>
      <c r="AX648" s="326"/>
      <c r="AY648" s="326"/>
      <c r="AZ648" s="326"/>
      <c r="BA648" s="326"/>
      <c r="BB648" s="327"/>
    </row>
    <row r="649" spans="1:54" ht="15.75" customHeight="1" x14ac:dyDescent="0.25">
      <c r="A649" s="11">
        <f t="shared" si="2"/>
        <v>636</v>
      </c>
      <c r="B649" s="504" t="str">
        <f>'refer admin discharge'!B645</f>
        <v>x</v>
      </c>
      <c r="C649" s="327"/>
      <c r="D649" s="505" t="str">
        <f>'refer admin discharge'!D645</f>
        <v>xx</v>
      </c>
      <c r="E649" s="327"/>
      <c r="F649" s="606" t="str">
        <f>'refer admin discharge'!H645</f>
        <v>00/00/0000</v>
      </c>
      <c r="G649" s="327"/>
      <c r="H649" s="594"/>
      <c r="I649" s="327"/>
      <c r="J649" s="605"/>
      <c r="K649" s="327"/>
      <c r="L649" s="594"/>
      <c r="M649" s="327"/>
      <c r="N649" s="575"/>
      <c r="O649" s="327"/>
      <c r="P649" s="594"/>
      <c r="Q649" s="327"/>
      <c r="R649" s="575"/>
      <c r="S649" s="327"/>
      <c r="T649" s="594"/>
      <c r="U649" s="327"/>
      <c r="V649" s="595" t="str">
        <f>'refer admin discharge'!H650</f>
        <v>00/00/0000</v>
      </c>
      <c r="W649" s="327"/>
      <c r="X649" s="577"/>
      <c r="Y649" s="327"/>
      <c r="Z649" s="604"/>
      <c r="AA649" s="327"/>
      <c r="AB649" s="577"/>
      <c r="AC649" s="327"/>
      <c r="AD649" s="576"/>
      <c r="AE649" s="327"/>
      <c r="AF649" s="577"/>
      <c r="AG649" s="327"/>
      <c r="AH649" s="576"/>
      <c r="AI649" s="327"/>
      <c r="AJ649" s="577"/>
      <c r="AK649" s="327"/>
      <c r="AL649" s="602"/>
      <c r="AM649" s="326"/>
      <c r="AN649" s="326"/>
      <c r="AO649" s="326"/>
      <c r="AP649" s="326"/>
      <c r="AQ649" s="326"/>
      <c r="AR649" s="326"/>
      <c r="AS649" s="326"/>
      <c r="AT649" s="326"/>
      <c r="AU649" s="326"/>
      <c r="AV649" s="326"/>
      <c r="AW649" s="326"/>
      <c r="AX649" s="326"/>
      <c r="AY649" s="326"/>
      <c r="AZ649" s="326"/>
      <c r="BA649" s="326"/>
      <c r="BB649" s="327"/>
    </row>
    <row r="650" spans="1:54" ht="15.75" customHeight="1" x14ac:dyDescent="0.25">
      <c r="A650" s="11">
        <f t="shared" si="2"/>
        <v>637</v>
      </c>
      <c r="B650" s="570" t="str">
        <f>'refer admin discharge'!B646</f>
        <v>x</v>
      </c>
      <c r="C650" s="327"/>
      <c r="D650" s="599" t="str">
        <f>'refer admin discharge'!D646</f>
        <v>xx</v>
      </c>
      <c r="E650" s="327"/>
      <c r="F650" s="600" t="str">
        <f>'refer admin discharge'!H646</f>
        <v>00/00/0000</v>
      </c>
      <c r="G650" s="327"/>
      <c r="H650" s="574"/>
      <c r="I650" s="327"/>
      <c r="J650" s="601"/>
      <c r="K650" s="327"/>
      <c r="L650" s="574"/>
      <c r="M650" s="327"/>
      <c r="N650" s="594"/>
      <c r="O650" s="327"/>
      <c r="P650" s="574"/>
      <c r="Q650" s="327"/>
      <c r="R650" s="594"/>
      <c r="S650" s="327"/>
      <c r="T650" s="574"/>
      <c r="U650" s="327"/>
      <c r="V650" s="595" t="str">
        <f>'refer admin discharge'!H651</f>
        <v>00/00/0000</v>
      </c>
      <c r="W650" s="327"/>
      <c r="X650" s="596"/>
      <c r="Y650" s="327"/>
      <c r="Z650" s="597"/>
      <c r="AA650" s="327"/>
      <c r="AB650" s="596"/>
      <c r="AC650" s="327"/>
      <c r="AD650" s="577"/>
      <c r="AE650" s="327"/>
      <c r="AF650" s="596"/>
      <c r="AG650" s="327"/>
      <c r="AH650" s="577"/>
      <c r="AI650" s="327"/>
      <c r="AJ650" s="596"/>
      <c r="AK650" s="327"/>
      <c r="AL650" s="598"/>
      <c r="AM650" s="326"/>
      <c r="AN650" s="326"/>
      <c r="AO650" s="326"/>
      <c r="AP650" s="326"/>
      <c r="AQ650" s="326"/>
      <c r="AR650" s="326"/>
      <c r="AS650" s="326"/>
      <c r="AT650" s="326"/>
      <c r="AU650" s="326"/>
      <c r="AV650" s="326"/>
      <c r="AW650" s="326"/>
      <c r="AX650" s="326"/>
      <c r="AY650" s="326"/>
      <c r="AZ650" s="326"/>
      <c r="BA650" s="326"/>
      <c r="BB650" s="327"/>
    </row>
    <row r="651" spans="1:54" ht="15.75" customHeight="1" x14ac:dyDescent="0.25">
      <c r="A651" s="11">
        <f t="shared" si="2"/>
        <v>638</v>
      </c>
      <c r="B651" s="504" t="str">
        <f>'refer admin discharge'!B647</f>
        <v>x</v>
      </c>
      <c r="C651" s="327"/>
      <c r="D651" s="505" t="str">
        <f>'refer admin discharge'!D647</f>
        <v>xx</v>
      </c>
      <c r="E651" s="327"/>
      <c r="F651" s="606" t="str">
        <f>'refer admin discharge'!H647</f>
        <v>00/00/0000</v>
      </c>
      <c r="G651" s="327"/>
      <c r="H651" s="594"/>
      <c r="I651" s="327"/>
      <c r="J651" s="605"/>
      <c r="K651" s="327"/>
      <c r="L651" s="594"/>
      <c r="M651" s="327"/>
      <c r="N651" s="575"/>
      <c r="O651" s="327"/>
      <c r="P651" s="594"/>
      <c r="Q651" s="327"/>
      <c r="R651" s="575"/>
      <c r="S651" s="327"/>
      <c r="T651" s="594"/>
      <c r="U651" s="327"/>
      <c r="V651" s="595" t="str">
        <f>'refer admin discharge'!H652</f>
        <v>00/00/0000</v>
      </c>
      <c r="W651" s="327"/>
      <c r="X651" s="577"/>
      <c r="Y651" s="327"/>
      <c r="Z651" s="604"/>
      <c r="AA651" s="327"/>
      <c r="AB651" s="577"/>
      <c r="AC651" s="327"/>
      <c r="AD651" s="576"/>
      <c r="AE651" s="327"/>
      <c r="AF651" s="577"/>
      <c r="AG651" s="327"/>
      <c r="AH651" s="576"/>
      <c r="AI651" s="327"/>
      <c r="AJ651" s="577"/>
      <c r="AK651" s="327"/>
      <c r="AL651" s="602"/>
      <c r="AM651" s="326"/>
      <c r="AN651" s="326"/>
      <c r="AO651" s="326"/>
      <c r="AP651" s="326"/>
      <c r="AQ651" s="326"/>
      <c r="AR651" s="326"/>
      <c r="AS651" s="326"/>
      <c r="AT651" s="326"/>
      <c r="AU651" s="326"/>
      <c r="AV651" s="326"/>
      <c r="AW651" s="326"/>
      <c r="AX651" s="326"/>
      <c r="AY651" s="326"/>
      <c r="AZ651" s="326"/>
      <c r="BA651" s="326"/>
      <c r="BB651" s="327"/>
    </row>
    <row r="652" spans="1:54" ht="15.75" customHeight="1" x14ac:dyDescent="0.25">
      <c r="A652" s="11">
        <f t="shared" si="2"/>
        <v>639</v>
      </c>
      <c r="B652" s="570" t="str">
        <f>'refer admin discharge'!B648</f>
        <v>x</v>
      </c>
      <c r="C652" s="327"/>
      <c r="D652" s="599" t="str">
        <f>'refer admin discharge'!D648</f>
        <v>xx</v>
      </c>
      <c r="E652" s="327"/>
      <c r="F652" s="600" t="str">
        <f>'refer admin discharge'!H648</f>
        <v>00/00/0000</v>
      </c>
      <c r="G652" s="327"/>
      <c r="H652" s="574"/>
      <c r="I652" s="327"/>
      <c r="J652" s="601"/>
      <c r="K652" s="327"/>
      <c r="L652" s="574"/>
      <c r="M652" s="327"/>
      <c r="N652" s="594"/>
      <c r="O652" s="327"/>
      <c r="P652" s="574"/>
      <c r="Q652" s="327"/>
      <c r="R652" s="594"/>
      <c r="S652" s="327"/>
      <c r="T652" s="574"/>
      <c r="U652" s="327"/>
      <c r="V652" s="595" t="str">
        <f>'refer admin discharge'!H653</f>
        <v>00/00/0000</v>
      </c>
      <c r="W652" s="327"/>
      <c r="X652" s="596"/>
      <c r="Y652" s="327"/>
      <c r="Z652" s="597"/>
      <c r="AA652" s="327"/>
      <c r="AB652" s="596"/>
      <c r="AC652" s="327"/>
      <c r="AD652" s="577"/>
      <c r="AE652" s="327"/>
      <c r="AF652" s="596"/>
      <c r="AG652" s="327"/>
      <c r="AH652" s="577"/>
      <c r="AI652" s="327"/>
      <c r="AJ652" s="596"/>
      <c r="AK652" s="327"/>
      <c r="AL652" s="598"/>
      <c r="AM652" s="326"/>
      <c r="AN652" s="326"/>
      <c r="AO652" s="326"/>
      <c r="AP652" s="326"/>
      <c r="AQ652" s="326"/>
      <c r="AR652" s="326"/>
      <c r="AS652" s="326"/>
      <c r="AT652" s="326"/>
      <c r="AU652" s="326"/>
      <c r="AV652" s="326"/>
      <c r="AW652" s="326"/>
      <c r="AX652" s="326"/>
      <c r="AY652" s="326"/>
      <c r="AZ652" s="326"/>
      <c r="BA652" s="326"/>
      <c r="BB652" s="327"/>
    </row>
    <row r="653" spans="1:54" ht="15.75" customHeight="1" x14ac:dyDescent="0.25">
      <c r="A653" s="11">
        <f t="shared" si="2"/>
        <v>640</v>
      </c>
      <c r="B653" s="504" t="str">
        <f>'refer admin discharge'!B649</f>
        <v>x</v>
      </c>
      <c r="C653" s="327"/>
      <c r="D653" s="505" t="str">
        <f>'refer admin discharge'!D649</f>
        <v>xx</v>
      </c>
      <c r="E653" s="327"/>
      <c r="F653" s="606" t="str">
        <f>'refer admin discharge'!H649</f>
        <v>00/00/0000</v>
      </c>
      <c r="G653" s="327"/>
      <c r="H653" s="594"/>
      <c r="I653" s="327"/>
      <c r="J653" s="605"/>
      <c r="K653" s="327"/>
      <c r="L653" s="594"/>
      <c r="M653" s="327"/>
      <c r="N653" s="575"/>
      <c r="O653" s="327"/>
      <c r="P653" s="594"/>
      <c r="Q653" s="327"/>
      <c r="R653" s="575"/>
      <c r="S653" s="327"/>
      <c r="T653" s="594"/>
      <c r="U653" s="327"/>
      <c r="V653" s="595" t="str">
        <f>'refer admin discharge'!H654</f>
        <v>00/00/0000</v>
      </c>
      <c r="W653" s="327"/>
      <c r="X653" s="577"/>
      <c r="Y653" s="327"/>
      <c r="Z653" s="604"/>
      <c r="AA653" s="327"/>
      <c r="AB653" s="577"/>
      <c r="AC653" s="327"/>
      <c r="AD653" s="576"/>
      <c r="AE653" s="327"/>
      <c r="AF653" s="577"/>
      <c r="AG653" s="327"/>
      <c r="AH653" s="576"/>
      <c r="AI653" s="327"/>
      <c r="AJ653" s="577"/>
      <c r="AK653" s="327"/>
      <c r="AL653" s="602"/>
      <c r="AM653" s="326"/>
      <c r="AN653" s="326"/>
      <c r="AO653" s="326"/>
      <c r="AP653" s="326"/>
      <c r="AQ653" s="326"/>
      <c r="AR653" s="326"/>
      <c r="AS653" s="326"/>
      <c r="AT653" s="326"/>
      <c r="AU653" s="326"/>
      <c r="AV653" s="326"/>
      <c r="AW653" s="326"/>
      <c r="AX653" s="326"/>
      <c r="AY653" s="326"/>
      <c r="AZ653" s="326"/>
      <c r="BA653" s="326"/>
      <c r="BB653" s="327"/>
    </row>
    <row r="654" spans="1:54" ht="15.75" customHeight="1" x14ac:dyDescent="0.25">
      <c r="A654" s="11">
        <f t="shared" si="2"/>
        <v>641</v>
      </c>
      <c r="B654" s="570" t="str">
        <f>'refer admin discharge'!B650</f>
        <v>x</v>
      </c>
      <c r="C654" s="327"/>
      <c r="D654" s="599" t="str">
        <f>'refer admin discharge'!D650</f>
        <v>xx</v>
      </c>
      <c r="E654" s="327"/>
      <c r="F654" s="600" t="str">
        <f>'refer admin discharge'!H650</f>
        <v>00/00/0000</v>
      </c>
      <c r="G654" s="327"/>
      <c r="H654" s="574"/>
      <c r="I654" s="327"/>
      <c r="J654" s="601"/>
      <c r="K654" s="327"/>
      <c r="L654" s="574"/>
      <c r="M654" s="327"/>
      <c r="N654" s="594"/>
      <c r="O654" s="327"/>
      <c r="P654" s="574"/>
      <c r="Q654" s="327"/>
      <c r="R654" s="594"/>
      <c r="S654" s="327"/>
      <c r="T654" s="574"/>
      <c r="U654" s="327"/>
      <c r="V654" s="595" t="str">
        <f>'refer admin discharge'!H655</f>
        <v>00/00/0000</v>
      </c>
      <c r="W654" s="327"/>
      <c r="X654" s="596"/>
      <c r="Y654" s="327"/>
      <c r="Z654" s="597"/>
      <c r="AA654" s="327"/>
      <c r="AB654" s="596"/>
      <c r="AC654" s="327"/>
      <c r="AD654" s="577"/>
      <c r="AE654" s="327"/>
      <c r="AF654" s="596"/>
      <c r="AG654" s="327"/>
      <c r="AH654" s="577"/>
      <c r="AI654" s="327"/>
      <c r="AJ654" s="596"/>
      <c r="AK654" s="327"/>
      <c r="AL654" s="598"/>
      <c r="AM654" s="326"/>
      <c r="AN654" s="326"/>
      <c r="AO654" s="326"/>
      <c r="AP654" s="326"/>
      <c r="AQ654" s="326"/>
      <c r="AR654" s="326"/>
      <c r="AS654" s="326"/>
      <c r="AT654" s="326"/>
      <c r="AU654" s="326"/>
      <c r="AV654" s="326"/>
      <c r="AW654" s="326"/>
      <c r="AX654" s="326"/>
      <c r="AY654" s="326"/>
      <c r="AZ654" s="326"/>
      <c r="BA654" s="326"/>
      <c r="BB654" s="327"/>
    </row>
    <row r="655" spans="1:54" ht="15.75" customHeight="1" x14ac:dyDescent="0.25">
      <c r="A655" s="11">
        <f t="shared" si="2"/>
        <v>642</v>
      </c>
      <c r="B655" s="504" t="str">
        <f>'refer admin discharge'!B651</f>
        <v>x</v>
      </c>
      <c r="C655" s="327"/>
      <c r="D655" s="505" t="str">
        <f>'refer admin discharge'!D651</f>
        <v>xx</v>
      </c>
      <c r="E655" s="327"/>
      <c r="F655" s="606" t="str">
        <f>'refer admin discharge'!H651</f>
        <v>00/00/0000</v>
      </c>
      <c r="G655" s="327"/>
      <c r="H655" s="594"/>
      <c r="I655" s="327"/>
      <c r="J655" s="605"/>
      <c r="K655" s="327"/>
      <c r="L655" s="594"/>
      <c r="M655" s="327"/>
      <c r="N655" s="575"/>
      <c r="O655" s="327"/>
      <c r="P655" s="594"/>
      <c r="Q655" s="327"/>
      <c r="R655" s="575"/>
      <c r="S655" s="327"/>
      <c r="T655" s="594"/>
      <c r="U655" s="327"/>
      <c r="V655" s="595" t="str">
        <f>'refer admin discharge'!H656</f>
        <v>00/00/0000</v>
      </c>
      <c r="W655" s="327"/>
      <c r="X655" s="577"/>
      <c r="Y655" s="327"/>
      <c r="Z655" s="604"/>
      <c r="AA655" s="327"/>
      <c r="AB655" s="577"/>
      <c r="AC655" s="327"/>
      <c r="AD655" s="576"/>
      <c r="AE655" s="327"/>
      <c r="AF655" s="577"/>
      <c r="AG655" s="327"/>
      <c r="AH655" s="576"/>
      <c r="AI655" s="327"/>
      <c r="AJ655" s="577"/>
      <c r="AK655" s="327"/>
      <c r="AL655" s="602"/>
      <c r="AM655" s="326"/>
      <c r="AN655" s="326"/>
      <c r="AO655" s="326"/>
      <c r="AP655" s="326"/>
      <c r="AQ655" s="326"/>
      <c r="AR655" s="326"/>
      <c r="AS655" s="326"/>
      <c r="AT655" s="326"/>
      <c r="AU655" s="326"/>
      <c r="AV655" s="326"/>
      <c r="AW655" s="326"/>
      <c r="AX655" s="326"/>
      <c r="AY655" s="326"/>
      <c r="AZ655" s="326"/>
      <c r="BA655" s="326"/>
      <c r="BB655" s="327"/>
    </row>
    <row r="656" spans="1:54" ht="15.75" customHeight="1" x14ac:dyDescent="0.25">
      <c r="A656" s="11">
        <f t="shared" si="2"/>
        <v>643</v>
      </c>
      <c r="B656" s="570" t="str">
        <f>'refer admin discharge'!B652</f>
        <v>x</v>
      </c>
      <c r="C656" s="327"/>
      <c r="D656" s="599" t="str">
        <f>'refer admin discharge'!D652</f>
        <v>xx</v>
      </c>
      <c r="E656" s="327"/>
      <c r="F656" s="600" t="str">
        <f>'refer admin discharge'!H652</f>
        <v>00/00/0000</v>
      </c>
      <c r="G656" s="327"/>
      <c r="H656" s="574"/>
      <c r="I656" s="327"/>
      <c r="J656" s="601"/>
      <c r="K656" s="327"/>
      <c r="L656" s="574"/>
      <c r="M656" s="327"/>
      <c r="N656" s="594"/>
      <c r="O656" s="327"/>
      <c r="P656" s="574"/>
      <c r="Q656" s="327"/>
      <c r="R656" s="594"/>
      <c r="S656" s="327"/>
      <c r="T656" s="574"/>
      <c r="U656" s="327"/>
      <c r="V656" s="595" t="str">
        <f>'refer admin discharge'!H657</f>
        <v>00/00/0000</v>
      </c>
      <c r="W656" s="327"/>
      <c r="X656" s="596"/>
      <c r="Y656" s="327"/>
      <c r="Z656" s="597"/>
      <c r="AA656" s="327"/>
      <c r="AB656" s="596"/>
      <c r="AC656" s="327"/>
      <c r="AD656" s="577"/>
      <c r="AE656" s="327"/>
      <c r="AF656" s="596"/>
      <c r="AG656" s="327"/>
      <c r="AH656" s="577"/>
      <c r="AI656" s="327"/>
      <c r="AJ656" s="596"/>
      <c r="AK656" s="327"/>
      <c r="AL656" s="598"/>
      <c r="AM656" s="326"/>
      <c r="AN656" s="326"/>
      <c r="AO656" s="326"/>
      <c r="AP656" s="326"/>
      <c r="AQ656" s="326"/>
      <c r="AR656" s="326"/>
      <c r="AS656" s="326"/>
      <c r="AT656" s="326"/>
      <c r="AU656" s="326"/>
      <c r="AV656" s="326"/>
      <c r="AW656" s="326"/>
      <c r="AX656" s="326"/>
      <c r="AY656" s="326"/>
      <c r="AZ656" s="326"/>
      <c r="BA656" s="326"/>
      <c r="BB656" s="327"/>
    </row>
    <row r="657" spans="1:54" ht="15.75" customHeight="1" x14ac:dyDescent="0.25">
      <c r="A657" s="11">
        <f t="shared" si="2"/>
        <v>644</v>
      </c>
      <c r="B657" s="504" t="str">
        <f>'refer admin discharge'!B653</f>
        <v>x</v>
      </c>
      <c r="C657" s="327"/>
      <c r="D657" s="505" t="str">
        <f>'refer admin discharge'!D653</f>
        <v>xx</v>
      </c>
      <c r="E657" s="327"/>
      <c r="F657" s="606" t="str">
        <f>'refer admin discharge'!H653</f>
        <v>00/00/0000</v>
      </c>
      <c r="G657" s="327"/>
      <c r="H657" s="594"/>
      <c r="I657" s="327"/>
      <c r="J657" s="605"/>
      <c r="K657" s="327"/>
      <c r="L657" s="594"/>
      <c r="M657" s="327"/>
      <c r="N657" s="575"/>
      <c r="O657" s="327"/>
      <c r="P657" s="594"/>
      <c r="Q657" s="327"/>
      <c r="R657" s="575"/>
      <c r="S657" s="327"/>
      <c r="T657" s="594"/>
      <c r="U657" s="327"/>
      <c r="V657" s="595" t="str">
        <f>'refer admin discharge'!H658</f>
        <v>00/00/0000</v>
      </c>
      <c r="W657" s="327"/>
      <c r="X657" s="577"/>
      <c r="Y657" s="327"/>
      <c r="Z657" s="604"/>
      <c r="AA657" s="327"/>
      <c r="AB657" s="577"/>
      <c r="AC657" s="327"/>
      <c r="AD657" s="576"/>
      <c r="AE657" s="327"/>
      <c r="AF657" s="577"/>
      <c r="AG657" s="327"/>
      <c r="AH657" s="576"/>
      <c r="AI657" s="327"/>
      <c r="AJ657" s="577"/>
      <c r="AK657" s="327"/>
      <c r="AL657" s="602"/>
      <c r="AM657" s="326"/>
      <c r="AN657" s="326"/>
      <c r="AO657" s="326"/>
      <c r="AP657" s="326"/>
      <c r="AQ657" s="326"/>
      <c r="AR657" s="326"/>
      <c r="AS657" s="326"/>
      <c r="AT657" s="326"/>
      <c r="AU657" s="326"/>
      <c r="AV657" s="326"/>
      <c r="AW657" s="326"/>
      <c r="AX657" s="326"/>
      <c r="AY657" s="326"/>
      <c r="AZ657" s="326"/>
      <c r="BA657" s="326"/>
      <c r="BB657" s="327"/>
    </row>
    <row r="658" spans="1:54" ht="15.75" customHeight="1" x14ac:dyDescent="0.25">
      <c r="A658" s="11">
        <f t="shared" si="2"/>
        <v>645</v>
      </c>
      <c r="B658" s="570" t="str">
        <f>'refer admin discharge'!B654</f>
        <v>x</v>
      </c>
      <c r="C658" s="327"/>
      <c r="D658" s="599" t="str">
        <f>'refer admin discharge'!D654</f>
        <v>xx</v>
      </c>
      <c r="E658" s="327"/>
      <c r="F658" s="600" t="str">
        <f>'refer admin discharge'!H654</f>
        <v>00/00/0000</v>
      </c>
      <c r="G658" s="327"/>
      <c r="H658" s="574"/>
      <c r="I658" s="327"/>
      <c r="J658" s="601"/>
      <c r="K658" s="327"/>
      <c r="L658" s="574"/>
      <c r="M658" s="327"/>
      <c r="N658" s="594"/>
      <c r="O658" s="327"/>
      <c r="P658" s="574"/>
      <c r="Q658" s="327"/>
      <c r="R658" s="594"/>
      <c r="S658" s="327"/>
      <c r="T658" s="574"/>
      <c r="U658" s="327"/>
      <c r="V658" s="595" t="str">
        <f>'refer admin discharge'!H659</f>
        <v>00/00/0000</v>
      </c>
      <c r="W658" s="327"/>
      <c r="X658" s="596"/>
      <c r="Y658" s="327"/>
      <c r="Z658" s="597"/>
      <c r="AA658" s="327"/>
      <c r="AB658" s="596"/>
      <c r="AC658" s="327"/>
      <c r="AD658" s="577"/>
      <c r="AE658" s="327"/>
      <c r="AF658" s="596"/>
      <c r="AG658" s="327"/>
      <c r="AH658" s="577"/>
      <c r="AI658" s="327"/>
      <c r="AJ658" s="596"/>
      <c r="AK658" s="327"/>
      <c r="AL658" s="598"/>
      <c r="AM658" s="326"/>
      <c r="AN658" s="326"/>
      <c r="AO658" s="326"/>
      <c r="AP658" s="326"/>
      <c r="AQ658" s="326"/>
      <c r="AR658" s="326"/>
      <c r="AS658" s="326"/>
      <c r="AT658" s="326"/>
      <c r="AU658" s="326"/>
      <c r="AV658" s="326"/>
      <c r="AW658" s="326"/>
      <c r="AX658" s="326"/>
      <c r="AY658" s="326"/>
      <c r="AZ658" s="326"/>
      <c r="BA658" s="326"/>
      <c r="BB658" s="327"/>
    </row>
    <row r="659" spans="1:54" ht="15.75" customHeight="1" x14ac:dyDescent="0.25">
      <c r="A659" s="11">
        <f t="shared" si="2"/>
        <v>646</v>
      </c>
      <c r="B659" s="504" t="str">
        <f>'refer admin discharge'!B655</f>
        <v>x</v>
      </c>
      <c r="C659" s="327"/>
      <c r="D659" s="505" t="str">
        <f>'refer admin discharge'!D655</f>
        <v>xx</v>
      </c>
      <c r="E659" s="327"/>
      <c r="F659" s="606" t="str">
        <f>'refer admin discharge'!H655</f>
        <v>00/00/0000</v>
      </c>
      <c r="G659" s="327"/>
      <c r="H659" s="594"/>
      <c r="I659" s="327"/>
      <c r="J659" s="605"/>
      <c r="K659" s="327"/>
      <c r="L659" s="594"/>
      <c r="M659" s="327"/>
      <c r="N659" s="575"/>
      <c r="O659" s="327"/>
      <c r="P659" s="594"/>
      <c r="Q659" s="327"/>
      <c r="R659" s="575"/>
      <c r="S659" s="327"/>
      <c r="T659" s="594"/>
      <c r="U659" s="327"/>
      <c r="V659" s="595" t="str">
        <f>'refer admin discharge'!H660</f>
        <v>00/00/0000</v>
      </c>
      <c r="W659" s="327"/>
      <c r="X659" s="577"/>
      <c r="Y659" s="327"/>
      <c r="Z659" s="604"/>
      <c r="AA659" s="327"/>
      <c r="AB659" s="577"/>
      <c r="AC659" s="327"/>
      <c r="AD659" s="576"/>
      <c r="AE659" s="327"/>
      <c r="AF659" s="577"/>
      <c r="AG659" s="327"/>
      <c r="AH659" s="576"/>
      <c r="AI659" s="327"/>
      <c r="AJ659" s="577"/>
      <c r="AK659" s="327"/>
      <c r="AL659" s="602"/>
      <c r="AM659" s="326"/>
      <c r="AN659" s="326"/>
      <c r="AO659" s="326"/>
      <c r="AP659" s="326"/>
      <c r="AQ659" s="326"/>
      <c r="AR659" s="326"/>
      <c r="AS659" s="326"/>
      <c r="AT659" s="326"/>
      <c r="AU659" s="326"/>
      <c r="AV659" s="326"/>
      <c r="AW659" s="326"/>
      <c r="AX659" s="326"/>
      <c r="AY659" s="326"/>
      <c r="AZ659" s="326"/>
      <c r="BA659" s="326"/>
      <c r="BB659" s="327"/>
    </row>
    <row r="660" spans="1:54" ht="15.75" customHeight="1" x14ac:dyDescent="0.25">
      <c r="A660" s="11">
        <f t="shared" si="2"/>
        <v>647</v>
      </c>
      <c r="B660" s="570" t="str">
        <f>'refer admin discharge'!B656</f>
        <v>x</v>
      </c>
      <c r="C660" s="327"/>
      <c r="D660" s="599" t="str">
        <f>'refer admin discharge'!D656</f>
        <v>xx</v>
      </c>
      <c r="E660" s="327"/>
      <c r="F660" s="600" t="str">
        <f>'refer admin discharge'!H656</f>
        <v>00/00/0000</v>
      </c>
      <c r="G660" s="327"/>
      <c r="H660" s="574"/>
      <c r="I660" s="327"/>
      <c r="J660" s="601"/>
      <c r="K660" s="327"/>
      <c r="L660" s="574"/>
      <c r="M660" s="327"/>
      <c r="N660" s="594"/>
      <c r="O660" s="327"/>
      <c r="P660" s="574"/>
      <c r="Q660" s="327"/>
      <c r="R660" s="594"/>
      <c r="S660" s="327"/>
      <c r="T660" s="574"/>
      <c r="U660" s="327"/>
      <c r="V660" s="595" t="str">
        <f>'refer admin discharge'!H661</f>
        <v>00/00/0000</v>
      </c>
      <c r="W660" s="327"/>
      <c r="X660" s="596"/>
      <c r="Y660" s="327"/>
      <c r="Z660" s="597"/>
      <c r="AA660" s="327"/>
      <c r="AB660" s="596"/>
      <c r="AC660" s="327"/>
      <c r="AD660" s="577"/>
      <c r="AE660" s="327"/>
      <c r="AF660" s="596"/>
      <c r="AG660" s="327"/>
      <c r="AH660" s="577"/>
      <c r="AI660" s="327"/>
      <c r="AJ660" s="596"/>
      <c r="AK660" s="327"/>
      <c r="AL660" s="598"/>
      <c r="AM660" s="326"/>
      <c r="AN660" s="326"/>
      <c r="AO660" s="326"/>
      <c r="AP660" s="326"/>
      <c r="AQ660" s="326"/>
      <c r="AR660" s="326"/>
      <c r="AS660" s="326"/>
      <c r="AT660" s="326"/>
      <c r="AU660" s="326"/>
      <c r="AV660" s="326"/>
      <c r="AW660" s="326"/>
      <c r="AX660" s="326"/>
      <c r="AY660" s="326"/>
      <c r="AZ660" s="326"/>
      <c r="BA660" s="326"/>
      <c r="BB660" s="327"/>
    </row>
    <row r="661" spans="1:54" ht="15.75" customHeight="1" x14ac:dyDescent="0.25">
      <c r="A661" s="11">
        <f t="shared" si="2"/>
        <v>648</v>
      </c>
      <c r="B661" s="504" t="str">
        <f>'refer admin discharge'!B657</f>
        <v>x</v>
      </c>
      <c r="C661" s="327"/>
      <c r="D661" s="505" t="str">
        <f>'refer admin discharge'!D657</f>
        <v>xx</v>
      </c>
      <c r="E661" s="327"/>
      <c r="F661" s="606" t="str">
        <f>'refer admin discharge'!H657</f>
        <v>00/00/0000</v>
      </c>
      <c r="G661" s="327"/>
      <c r="H661" s="594"/>
      <c r="I661" s="327"/>
      <c r="J661" s="605"/>
      <c r="K661" s="327"/>
      <c r="L661" s="594"/>
      <c r="M661" s="327"/>
      <c r="N661" s="575"/>
      <c r="O661" s="327"/>
      <c r="P661" s="594"/>
      <c r="Q661" s="327"/>
      <c r="R661" s="575"/>
      <c r="S661" s="327"/>
      <c r="T661" s="594"/>
      <c r="U661" s="327"/>
      <c r="V661" s="595" t="str">
        <f>'refer admin discharge'!H662</f>
        <v>00/00/0000</v>
      </c>
      <c r="W661" s="327"/>
      <c r="X661" s="577"/>
      <c r="Y661" s="327"/>
      <c r="Z661" s="604"/>
      <c r="AA661" s="327"/>
      <c r="AB661" s="577"/>
      <c r="AC661" s="327"/>
      <c r="AD661" s="576"/>
      <c r="AE661" s="327"/>
      <c r="AF661" s="577"/>
      <c r="AG661" s="327"/>
      <c r="AH661" s="576"/>
      <c r="AI661" s="327"/>
      <c r="AJ661" s="577"/>
      <c r="AK661" s="327"/>
      <c r="AL661" s="602"/>
      <c r="AM661" s="326"/>
      <c r="AN661" s="326"/>
      <c r="AO661" s="326"/>
      <c r="AP661" s="326"/>
      <c r="AQ661" s="326"/>
      <c r="AR661" s="326"/>
      <c r="AS661" s="326"/>
      <c r="AT661" s="326"/>
      <c r="AU661" s="326"/>
      <c r="AV661" s="326"/>
      <c r="AW661" s="326"/>
      <c r="AX661" s="326"/>
      <c r="AY661" s="326"/>
      <c r="AZ661" s="326"/>
      <c r="BA661" s="326"/>
      <c r="BB661" s="327"/>
    </row>
    <row r="662" spans="1:54" ht="15.75" customHeight="1" x14ac:dyDescent="0.25">
      <c r="A662" s="11">
        <f t="shared" si="2"/>
        <v>649</v>
      </c>
      <c r="B662" s="570" t="str">
        <f>'refer admin discharge'!B658</f>
        <v>x</v>
      </c>
      <c r="C662" s="327"/>
      <c r="D662" s="599" t="str">
        <f>'refer admin discharge'!D658</f>
        <v>xx</v>
      </c>
      <c r="E662" s="327"/>
      <c r="F662" s="600" t="str">
        <f>'refer admin discharge'!H658</f>
        <v>00/00/0000</v>
      </c>
      <c r="G662" s="327"/>
      <c r="H662" s="574"/>
      <c r="I662" s="327"/>
      <c r="J662" s="601"/>
      <c r="K662" s="327"/>
      <c r="L662" s="574"/>
      <c r="M662" s="327"/>
      <c r="N662" s="594"/>
      <c r="O662" s="327"/>
      <c r="P662" s="574"/>
      <c r="Q662" s="327"/>
      <c r="R662" s="594"/>
      <c r="S662" s="327"/>
      <c r="T662" s="574"/>
      <c r="U662" s="327"/>
      <c r="V662" s="595" t="str">
        <f>'refer admin discharge'!H663</f>
        <v>00/00/0000</v>
      </c>
      <c r="W662" s="327"/>
      <c r="X662" s="596"/>
      <c r="Y662" s="327"/>
      <c r="Z662" s="597"/>
      <c r="AA662" s="327"/>
      <c r="AB662" s="596"/>
      <c r="AC662" s="327"/>
      <c r="AD662" s="577"/>
      <c r="AE662" s="327"/>
      <c r="AF662" s="596"/>
      <c r="AG662" s="327"/>
      <c r="AH662" s="577"/>
      <c r="AI662" s="327"/>
      <c r="AJ662" s="596"/>
      <c r="AK662" s="327"/>
      <c r="AL662" s="598"/>
      <c r="AM662" s="326"/>
      <c r="AN662" s="326"/>
      <c r="AO662" s="326"/>
      <c r="AP662" s="326"/>
      <c r="AQ662" s="326"/>
      <c r="AR662" s="326"/>
      <c r="AS662" s="326"/>
      <c r="AT662" s="326"/>
      <c r="AU662" s="326"/>
      <c r="AV662" s="326"/>
      <c r="AW662" s="326"/>
      <c r="AX662" s="326"/>
      <c r="AY662" s="326"/>
      <c r="AZ662" s="326"/>
      <c r="BA662" s="326"/>
      <c r="BB662" s="327"/>
    </row>
    <row r="663" spans="1:54" ht="15.75" customHeight="1" x14ac:dyDescent="0.25">
      <c r="A663" s="11">
        <f t="shared" si="2"/>
        <v>650</v>
      </c>
      <c r="B663" s="504" t="str">
        <f>'refer admin discharge'!B659</f>
        <v>x</v>
      </c>
      <c r="C663" s="327"/>
      <c r="D663" s="505" t="str">
        <f>'refer admin discharge'!D659</f>
        <v>xx</v>
      </c>
      <c r="E663" s="327"/>
      <c r="F663" s="606" t="str">
        <f>'refer admin discharge'!H659</f>
        <v>00/00/0000</v>
      </c>
      <c r="G663" s="327"/>
      <c r="H663" s="594"/>
      <c r="I663" s="327"/>
      <c r="J663" s="605"/>
      <c r="K663" s="327"/>
      <c r="L663" s="594"/>
      <c r="M663" s="327"/>
      <c r="N663" s="575"/>
      <c r="O663" s="327"/>
      <c r="P663" s="594"/>
      <c r="Q663" s="327"/>
      <c r="R663" s="575"/>
      <c r="S663" s="327"/>
      <c r="T663" s="594"/>
      <c r="U663" s="327"/>
      <c r="V663" s="595" t="str">
        <f>'refer admin discharge'!H664</f>
        <v>00/00/0000</v>
      </c>
      <c r="W663" s="327"/>
      <c r="X663" s="577"/>
      <c r="Y663" s="327"/>
      <c r="Z663" s="604"/>
      <c r="AA663" s="327"/>
      <c r="AB663" s="577"/>
      <c r="AC663" s="327"/>
      <c r="AD663" s="576"/>
      <c r="AE663" s="327"/>
      <c r="AF663" s="577"/>
      <c r="AG663" s="327"/>
      <c r="AH663" s="576"/>
      <c r="AI663" s="327"/>
      <c r="AJ663" s="577"/>
      <c r="AK663" s="327"/>
      <c r="AL663" s="602"/>
      <c r="AM663" s="326"/>
      <c r="AN663" s="326"/>
      <c r="AO663" s="326"/>
      <c r="AP663" s="326"/>
      <c r="AQ663" s="326"/>
      <c r="AR663" s="326"/>
      <c r="AS663" s="326"/>
      <c r="AT663" s="326"/>
      <c r="AU663" s="326"/>
      <c r="AV663" s="326"/>
      <c r="AW663" s="326"/>
      <c r="AX663" s="326"/>
      <c r="AY663" s="326"/>
      <c r="AZ663" s="326"/>
      <c r="BA663" s="326"/>
      <c r="BB663" s="327"/>
    </row>
    <row r="664" spans="1:54" ht="15.75" customHeight="1" x14ac:dyDescent="0.25">
      <c r="A664" s="11">
        <f t="shared" si="2"/>
        <v>651</v>
      </c>
      <c r="B664" s="570" t="str">
        <f>'refer admin discharge'!B660</f>
        <v>x</v>
      </c>
      <c r="C664" s="327"/>
      <c r="D664" s="599" t="str">
        <f>'refer admin discharge'!D660</f>
        <v>xx</v>
      </c>
      <c r="E664" s="327"/>
      <c r="F664" s="600" t="str">
        <f>'refer admin discharge'!H660</f>
        <v>00/00/0000</v>
      </c>
      <c r="G664" s="327"/>
      <c r="H664" s="574"/>
      <c r="I664" s="327"/>
      <c r="J664" s="601"/>
      <c r="K664" s="327"/>
      <c r="L664" s="574"/>
      <c r="M664" s="327"/>
      <c r="N664" s="594"/>
      <c r="O664" s="327"/>
      <c r="P664" s="574"/>
      <c r="Q664" s="327"/>
      <c r="R664" s="594"/>
      <c r="S664" s="327"/>
      <c r="T664" s="574"/>
      <c r="U664" s="327"/>
      <c r="V664" s="595" t="str">
        <f>'refer admin discharge'!H665</f>
        <v>00/00/0000</v>
      </c>
      <c r="W664" s="327"/>
      <c r="X664" s="596"/>
      <c r="Y664" s="327"/>
      <c r="Z664" s="597"/>
      <c r="AA664" s="327"/>
      <c r="AB664" s="596"/>
      <c r="AC664" s="327"/>
      <c r="AD664" s="577"/>
      <c r="AE664" s="327"/>
      <c r="AF664" s="596"/>
      <c r="AG664" s="327"/>
      <c r="AH664" s="577"/>
      <c r="AI664" s="327"/>
      <c r="AJ664" s="596"/>
      <c r="AK664" s="327"/>
      <c r="AL664" s="598"/>
      <c r="AM664" s="326"/>
      <c r="AN664" s="326"/>
      <c r="AO664" s="326"/>
      <c r="AP664" s="326"/>
      <c r="AQ664" s="326"/>
      <c r="AR664" s="326"/>
      <c r="AS664" s="326"/>
      <c r="AT664" s="326"/>
      <c r="AU664" s="326"/>
      <c r="AV664" s="326"/>
      <c r="AW664" s="326"/>
      <c r="AX664" s="326"/>
      <c r="AY664" s="326"/>
      <c r="AZ664" s="326"/>
      <c r="BA664" s="326"/>
      <c r="BB664" s="327"/>
    </row>
    <row r="665" spans="1:54" ht="15.75" customHeight="1" x14ac:dyDescent="0.25">
      <c r="A665" s="11">
        <f t="shared" si="2"/>
        <v>652</v>
      </c>
      <c r="B665" s="504" t="str">
        <f>'refer admin discharge'!B661</f>
        <v>x</v>
      </c>
      <c r="C665" s="327"/>
      <c r="D665" s="505" t="str">
        <f>'refer admin discharge'!D661</f>
        <v>xx</v>
      </c>
      <c r="E665" s="327"/>
      <c r="F665" s="606" t="str">
        <f>'refer admin discharge'!H661</f>
        <v>00/00/0000</v>
      </c>
      <c r="G665" s="327"/>
      <c r="H665" s="594"/>
      <c r="I665" s="327"/>
      <c r="J665" s="605"/>
      <c r="K665" s="327"/>
      <c r="L665" s="594"/>
      <c r="M665" s="327"/>
      <c r="N665" s="575"/>
      <c r="O665" s="327"/>
      <c r="P665" s="594"/>
      <c r="Q665" s="327"/>
      <c r="R665" s="575"/>
      <c r="S665" s="327"/>
      <c r="T665" s="594"/>
      <c r="U665" s="327"/>
      <c r="V665" s="595" t="str">
        <f>'refer admin discharge'!H666</f>
        <v>00/00/0000</v>
      </c>
      <c r="W665" s="327"/>
      <c r="X665" s="577"/>
      <c r="Y665" s="327"/>
      <c r="Z665" s="604"/>
      <c r="AA665" s="327"/>
      <c r="AB665" s="577"/>
      <c r="AC665" s="327"/>
      <c r="AD665" s="576"/>
      <c r="AE665" s="327"/>
      <c r="AF665" s="577"/>
      <c r="AG665" s="327"/>
      <c r="AH665" s="576"/>
      <c r="AI665" s="327"/>
      <c r="AJ665" s="577"/>
      <c r="AK665" s="327"/>
      <c r="AL665" s="602"/>
      <c r="AM665" s="326"/>
      <c r="AN665" s="326"/>
      <c r="AO665" s="326"/>
      <c r="AP665" s="326"/>
      <c r="AQ665" s="326"/>
      <c r="AR665" s="326"/>
      <c r="AS665" s="326"/>
      <c r="AT665" s="326"/>
      <c r="AU665" s="326"/>
      <c r="AV665" s="326"/>
      <c r="AW665" s="326"/>
      <c r="AX665" s="326"/>
      <c r="AY665" s="326"/>
      <c r="AZ665" s="326"/>
      <c r="BA665" s="326"/>
      <c r="BB665" s="327"/>
    </row>
    <row r="666" spans="1:54" ht="15.75" customHeight="1" x14ac:dyDescent="0.25">
      <c r="A666" s="11">
        <f t="shared" si="2"/>
        <v>653</v>
      </c>
      <c r="B666" s="570" t="str">
        <f>'refer admin discharge'!B662</f>
        <v>x</v>
      </c>
      <c r="C666" s="327"/>
      <c r="D666" s="599" t="str">
        <f>'refer admin discharge'!D662</f>
        <v>xx</v>
      </c>
      <c r="E666" s="327"/>
      <c r="F666" s="600" t="str">
        <f>'refer admin discharge'!H662</f>
        <v>00/00/0000</v>
      </c>
      <c r="G666" s="327"/>
      <c r="H666" s="574"/>
      <c r="I666" s="327"/>
      <c r="J666" s="601"/>
      <c r="K666" s="327"/>
      <c r="L666" s="574"/>
      <c r="M666" s="327"/>
      <c r="N666" s="594"/>
      <c r="O666" s="327"/>
      <c r="P666" s="574"/>
      <c r="Q666" s="327"/>
      <c r="R666" s="594"/>
      <c r="S666" s="327"/>
      <c r="T666" s="574"/>
      <c r="U666" s="327"/>
      <c r="V666" s="595" t="str">
        <f>'refer admin discharge'!H667</f>
        <v>00/00/0000</v>
      </c>
      <c r="W666" s="327"/>
      <c r="X666" s="596"/>
      <c r="Y666" s="327"/>
      <c r="Z666" s="597"/>
      <c r="AA666" s="327"/>
      <c r="AB666" s="596"/>
      <c r="AC666" s="327"/>
      <c r="AD666" s="577"/>
      <c r="AE666" s="327"/>
      <c r="AF666" s="596"/>
      <c r="AG666" s="327"/>
      <c r="AH666" s="577"/>
      <c r="AI666" s="327"/>
      <c r="AJ666" s="596"/>
      <c r="AK666" s="327"/>
      <c r="AL666" s="598"/>
      <c r="AM666" s="326"/>
      <c r="AN666" s="326"/>
      <c r="AO666" s="326"/>
      <c r="AP666" s="326"/>
      <c r="AQ666" s="326"/>
      <c r="AR666" s="326"/>
      <c r="AS666" s="326"/>
      <c r="AT666" s="326"/>
      <c r="AU666" s="326"/>
      <c r="AV666" s="326"/>
      <c r="AW666" s="326"/>
      <c r="AX666" s="326"/>
      <c r="AY666" s="326"/>
      <c r="AZ666" s="326"/>
      <c r="BA666" s="326"/>
      <c r="BB666" s="327"/>
    </row>
    <row r="667" spans="1:54" ht="15.75" customHeight="1" x14ac:dyDescent="0.25">
      <c r="A667" s="11">
        <f t="shared" si="2"/>
        <v>654</v>
      </c>
      <c r="B667" s="504" t="str">
        <f>'refer admin discharge'!B663</f>
        <v>x</v>
      </c>
      <c r="C667" s="327"/>
      <c r="D667" s="505" t="str">
        <f>'refer admin discharge'!D663</f>
        <v>xx</v>
      </c>
      <c r="E667" s="327"/>
      <c r="F667" s="606" t="str">
        <f>'refer admin discharge'!H663</f>
        <v>00/00/0000</v>
      </c>
      <c r="G667" s="327"/>
      <c r="H667" s="594"/>
      <c r="I667" s="327"/>
      <c r="J667" s="605"/>
      <c r="K667" s="327"/>
      <c r="L667" s="594"/>
      <c r="M667" s="327"/>
      <c r="N667" s="575"/>
      <c r="O667" s="327"/>
      <c r="P667" s="594"/>
      <c r="Q667" s="327"/>
      <c r="R667" s="575"/>
      <c r="S667" s="327"/>
      <c r="T667" s="594"/>
      <c r="U667" s="327"/>
      <c r="V667" s="595" t="str">
        <f>'refer admin discharge'!H668</f>
        <v>00/00/0000</v>
      </c>
      <c r="W667" s="327"/>
      <c r="X667" s="577"/>
      <c r="Y667" s="327"/>
      <c r="Z667" s="604"/>
      <c r="AA667" s="327"/>
      <c r="AB667" s="577"/>
      <c r="AC667" s="327"/>
      <c r="AD667" s="576"/>
      <c r="AE667" s="327"/>
      <c r="AF667" s="577"/>
      <c r="AG667" s="327"/>
      <c r="AH667" s="576"/>
      <c r="AI667" s="327"/>
      <c r="AJ667" s="577"/>
      <c r="AK667" s="327"/>
      <c r="AL667" s="602"/>
      <c r="AM667" s="326"/>
      <c r="AN667" s="326"/>
      <c r="AO667" s="326"/>
      <c r="AP667" s="326"/>
      <c r="AQ667" s="326"/>
      <c r="AR667" s="326"/>
      <c r="AS667" s="326"/>
      <c r="AT667" s="326"/>
      <c r="AU667" s="326"/>
      <c r="AV667" s="326"/>
      <c r="AW667" s="326"/>
      <c r="AX667" s="326"/>
      <c r="AY667" s="326"/>
      <c r="AZ667" s="326"/>
      <c r="BA667" s="326"/>
      <c r="BB667" s="327"/>
    </row>
    <row r="668" spans="1:54" ht="15.75" customHeight="1" x14ac:dyDescent="0.25">
      <c r="A668" s="11">
        <f t="shared" si="2"/>
        <v>655</v>
      </c>
      <c r="B668" s="570" t="str">
        <f>'refer admin discharge'!B664</f>
        <v>x</v>
      </c>
      <c r="C668" s="327"/>
      <c r="D668" s="599" t="str">
        <f>'refer admin discharge'!D664</f>
        <v>xx</v>
      </c>
      <c r="E668" s="327"/>
      <c r="F668" s="600" t="str">
        <f>'refer admin discharge'!H664</f>
        <v>00/00/0000</v>
      </c>
      <c r="G668" s="327"/>
      <c r="H668" s="574"/>
      <c r="I668" s="327"/>
      <c r="J668" s="601"/>
      <c r="K668" s="327"/>
      <c r="L668" s="574"/>
      <c r="M668" s="327"/>
      <c r="N668" s="594"/>
      <c r="O668" s="327"/>
      <c r="P668" s="574"/>
      <c r="Q668" s="327"/>
      <c r="R668" s="594"/>
      <c r="S668" s="327"/>
      <c r="T668" s="574"/>
      <c r="U668" s="327"/>
      <c r="V668" s="595" t="str">
        <f>'refer admin discharge'!H669</f>
        <v>00/00/0000</v>
      </c>
      <c r="W668" s="327"/>
      <c r="X668" s="596"/>
      <c r="Y668" s="327"/>
      <c r="Z668" s="597"/>
      <c r="AA668" s="327"/>
      <c r="AB668" s="596"/>
      <c r="AC668" s="327"/>
      <c r="AD668" s="577"/>
      <c r="AE668" s="327"/>
      <c r="AF668" s="596"/>
      <c r="AG668" s="327"/>
      <c r="AH668" s="577"/>
      <c r="AI668" s="327"/>
      <c r="AJ668" s="596"/>
      <c r="AK668" s="327"/>
      <c r="AL668" s="598"/>
      <c r="AM668" s="326"/>
      <c r="AN668" s="326"/>
      <c r="AO668" s="326"/>
      <c r="AP668" s="326"/>
      <c r="AQ668" s="326"/>
      <c r="AR668" s="326"/>
      <c r="AS668" s="326"/>
      <c r="AT668" s="326"/>
      <c r="AU668" s="326"/>
      <c r="AV668" s="326"/>
      <c r="AW668" s="326"/>
      <c r="AX668" s="326"/>
      <c r="AY668" s="326"/>
      <c r="AZ668" s="326"/>
      <c r="BA668" s="326"/>
      <c r="BB668" s="327"/>
    </row>
    <row r="669" spans="1:54" ht="15.75" customHeight="1" x14ac:dyDescent="0.25">
      <c r="A669" s="11">
        <f t="shared" si="2"/>
        <v>656</v>
      </c>
      <c r="B669" s="504" t="str">
        <f>'refer admin discharge'!B665</f>
        <v>x</v>
      </c>
      <c r="C669" s="327"/>
      <c r="D669" s="505" t="str">
        <f>'refer admin discharge'!D665</f>
        <v>xx</v>
      </c>
      <c r="E669" s="327"/>
      <c r="F669" s="606" t="str">
        <f>'refer admin discharge'!H665</f>
        <v>00/00/0000</v>
      </c>
      <c r="G669" s="327"/>
      <c r="H669" s="594"/>
      <c r="I669" s="327"/>
      <c r="J669" s="605"/>
      <c r="K669" s="327"/>
      <c r="L669" s="594"/>
      <c r="M669" s="327"/>
      <c r="N669" s="575"/>
      <c r="O669" s="327"/>
      <c r="P669" s="594"/>
      <c r="Q669" s="327"/>
      <c r="R669" s="575"/>
      <c r="S669" s="327"/>
      <c r="T669" s="594"/>
      <c r="U669" s="327"/>
      <c r="V669" s="595" t="str">
        <f>'refer admin discharge'!H670</f>
        <v>00/00/0000</v>
      </c>
      <c r="W669" s="327"/>
      <c r="X669" s="577"/>
      <c r="Y669" s="327"/>
      <c r="Z669" s="604"/>
      <c r="AA669" s="327"/>
      <c r="AB669" s="577"/>
      <c r="AC669" s="327"/>
      <c r="AD669" s="576"/>
      <c r="AE669" s="327"/>
      <c r="AF669" s="577"/>
      <c r="AG669" s="327"/>
      <c r="AH669" s="576"/>
      <c r="AI669" s="327"/>
      <c r="AJ669" s="577"/>
      <c r="AK669" s="327"/>
      <c r="AL669" s="602"/>
      <c r="AM669" s="326"/>
      <c r="AN669" s="326"/>
      <c r="AO669" s="326"/>
      <c r="AP669" s="326"/>
      <c r="AQ669" s="326"/>
      <c r="AR669" s="326"/>
      <c r="AS669" s="326"/>
      <c r="AT669" s="326"/>
      <c r="AU669" s="326"/>
      <c r="AV669" s="326"/>
      <c r="AW669" s="326"/>
      <c r="AX669" s="326"/>
      <c r="AY669" s="326"/>
      <c r="AZ669" s="326"/>
      <c r="BA669" s="326"/>
      <c r="BB669" s="327"/>
    </row>
    <row r="670" spans="1:54" ht="15.75" customHeight="1" x14ac:dyDescent="0.25">
      <c r="A670" s="11">
        <f t="shared" si="2"/>
        <v>657</v>
      </c>
      <c r="B670" s="570" t="str">
        <f>'refer admin discharge'!B666</f>
        <v>x</v>
      </c>
      <c r="C670" s="327"/>
      <c r="D670" s="599" t="str">
        <f>'refer admin discharge'!D666</f>
        <v>xx</v>
      </c>
      <c r="E670" s="327"/>
      <c r="F670" s="600" t="str">
        <f>'refer admin discharge'!H666</f>
        <v>00/00/0000</v>
      </c>
      <c r="G670" s="327"/>
      <c r="H670" s="574"/>
      <c r="I670" s="327"/>
      <c r="J670" s="601"/>
      <c r="K670" s="327"/>
      <c r="L670" s="574"/>
      <c r="M670" s="327"/>
      <c r="N670" s="594"/>
      <c r="O670" s="327"/>
      <c r="P670" s="574"/>
      <c r="Q670" s="327"/>
      <c r="R670" s="594"/>
      <c r="S670" s="327"/>
      <c r="T670" s="574"/>
      <c r="U670" s="327"/>
      <c r="V670" s="595" t="str">
        <f>'refer admin discharge'!H671</f>
        <v>00/00/0000</v>
      </c>
      <c r="W670" s="327"/>
      <c r="X670" s="596"/>
      <c r="Y670" s="327"/>
      <c r="Z670" s="597"/>
      <c r="AA670" s="327"/>
      <c r="AB670" s="596"/>
      <c r="AC670" s="327"/>
      <c r="AD670" s="577"/>
      <c r="AE670" s="327"/>
      <c r="AF670" s="596"/>
      <c r="AG670" s="327"/>
      <c r="AH670" s="577"/>
      <c r="AI670" s="327"/>
      <c r="AJ670" s="596"/>
      <c r="AK670" s="327"/>
      <c r="AL670" s="598"/>
      <c r="AM670" s="326"/>
      <c r="AN670" s="326"/>
      <c r="AO670" s="326"/>
      <c r="AP670" s="326"/>
      <c r="AQ670" s="326"/>
      <c r="AR670" s="326"/>
      <c r="AS670" s="326"/>
      <c r="AT670" s="326"/>
      <c r="AU670" s="326"/>
      <c r="AV670" s="326"/>
      <c r="AW670" s="326"/>
      <c r="AX670" s="326"/>
      <c r="AY670" s="326"/>
      <c r="AZ670" s="326"/>
      <c r="BA670" s="326"/>
      <c r="BB670" s="327"/>
    </row>
    <row r="671" spans="1:54" ht="15.75" customHeight="1" x14ac:dyDescent="0.25">
      <c r="A671" s="11">
        <f t="shared" si="2"/>
        <v>658</v>
      </c>
      <c r="B671" s="504" t="str">
        <f>'refer admin discharge'!B667</f>
        <v>x</v>
      </c>
      <c r="C671" s="327"/>
      <c r="D671" s="505" t="str">
        <f>'refer admin discharge'!D667</f>
        <v>xx</v>
      </c>
      <c r="E671" s="327"/>
      <c r="F671" s="606" t="str">
        <f>'refer admin discharge'!H667</f>
        <v>00/00/0000</v>
      </c>
      <c r="G671" s="327"/>
      <c r="H671" s="594"/>
      <c r="I671" s="327"/>
      <c r="J671" s="605"/>
      <c r="K671" s="327"/>
      <c r="L671" s="594"/>
      <c r="M671" s="327"/>
      <c r="N671" s="575"/>
      <c r="O671" s="327"/>
      <c r="P671" s="594"/>
      <c r="Q671" s="327"/>
      <c r="R671" s="575"/>
      <c r="S671" s="327"/>
      <c r="T671" s="594"/>
      <c r="U671" s="327"/>
      <c r="V671" s="595" t="str">
        <f>'refer admin discharge'!H672</f>
        <v>00/00/0000</v>
      </c>
      <c r="W671" s="327"/>
      <c r="X671" s="577"/>
      <c r="Y671" s="327"/>
      <c r="Z671" s="604"/>
      <c r="AA671" s="327"/>
      <c r="AB671" s="577"/>
      <c r="AC671" s="327"/>
      <c r="AD671" s="576"/>
      <c r="AE671" s="327"/>
      <c r="AF671" s="577"/>
      <c r="AG671" s="327"/>
      <c r="AH671" s="576"/>
      <c r="AI671" s="327"/>
      <c r="AJ671" s="577"/>
      <c r="AK671" s="327"/>
      <c r="AL671" s="602"/>
      <c r="AM671" s="326"/>
      <c r="AN671" s="326"/>
      <c r="AO671" s="326"/>
      <c r="AP671" s="326"/>
      <c r="AQ671" s="326"/>
      <c r="AR671" s="326"/>
      <c r="AS671" s="326"/>
      <c r="AT671" s="326"/>
      <c r="AU671" s="326"/>
      <c r="AV671" s="326"/>
      <c r="AW671" s="326"/>
      <c r="AX671" s="326"/>
      <c r="AY671" s="326"/>
      <c r="AZ671" s="326"/>
      <c r="BA671" s="326"/>
      <c r="BB671" s="327"/>
    </row>
    <row r="672" spans="1:54" ht="15.75" customHeight="1" x14ac:dyDescent="0.25">
      <c r="A672" s="11">
        <f t="shared" si="2"/>
        <v>659</v>
      </c>
      <c r="B672" s="570" t="str">
        <f>'refer admin discharge'!B668</f>
        <v>x</v>
      </c>
      <c r="C672" s="327"/>
      <c r="D672" s="599" t="str">
        <f>'refer admin discharge'!D668</f>
        <v>xx</v>
      </c>
      <c r="E672" s="327"/>
      <c r="F672" s="600" t="str">
        <f>'refer admin discharge'!H668</f>
        <v>00/00/0000</v>
      </c>
      <c r="G672" s="327"/>
      <c r="H672" s="574"/>
      <c r="I672" s="327"/>
      <c r="J672" s="601"/>
      <c r="K672" s="327"/>
      <c r="L672" s="574"/>
      <c r="M672" s="327"/>
      <c r="N672" s="594"/>
      <c r="O672" s="327"/>
      <c r="P672" s="574"/>
      <c r="Q672" s="327"/>
      <c r="R672" s="594"/>
      <c r="S672" s="327"/>
      <c r="T672" s="574"/>
      <c r="U672" s="327"/>
      <c r="V672" s="595" t="str">
        <f>'refer admin discharge'!H673</f>
        <v>00/00/0000</v>
      </c>
      <c r="W672" s="327"/>
      <c r="X672" s="596"/>
      <c r="Y672" s="327"/>
      <c r="Z672" s="597"/>
      <c r="AA672" s="327"/>
      <c r="AB672" s="596"/>
      <c r="AC672" s="327"/>
      <c r="AD672" s="577"/>
      <c r="AE672" s="327"/>
      <c r="AF672" s="596"/>
      <c r="AG672" s="327"/>
      <c r="AH672" s="577"/>
      <c r="AI672" s="327"/>
      <c r="AJ672" s="596"/>
      <c r="AK672" s="327"/>
      <c r="AL672" s="598"/>
      <c r="AM672" s="326"/>
      <c r="AN672" s="326"/>
      <c r="AO672" s="326"/>
      <c r="AP672" s="326"/>
      <c r="AQ672" s="326"/>
      <c r="AR672" s="326"/>
      <c r="AS672" s="326"/>
      <c r="AT672" s="326"/>
      <c r="AU672" s="326"/>
      <c r="AV672" s="326"/>
      <c r="AW672" s="326"/>
      <c r="AX672" s="326"/>
      <c r="AY672" s="326"/>
      <c r="AZ672" s="326"/>
      <c r="BA672" s="326"/>
      <c r="BB672" s="327"/>
    </row>
    <row r="673" spans="1:54" ht="15.75" customHeight="1" x14ac:dyDescent="0.25">
      <c r="A673" s="11">
        <f t="shared" si="2"/>
        <v>660</v>
      </c>
      <c r="B673" s="504" t="str">
        <f>'refer admin discharge'!B669</f>
        <v>x</v>
      </c>
      <c r="C673" s="327"/>
      <c r="D673" s="505" t="str">
        <f>'refer admin discharge'!D669</f>
        <v>xx</v>
      </c>
      <c r="E673" s="327"/>
      <c r="F673" s="606" t="str">
        <f>'refer admin discharge'!H669</f>
        <v>00/00/0000</v>
      </c>
      <c r="G673" s="327"/>
      <c r="H673" s="594"/>
      <c r="I673" s="327"/>
      <c r="J673" s="605"/>
      <c r="K673" s="327"/>
      <c r="L673" s="594"/>
      <c r="M673" s="327"/>
      <c r="N673" s="575"/>
      <c r="O673" s="327"/>
      <c r="P673" s="594"/>
      <c r="Q673" s="327"/>
      <c r="R673" s="575"/>
      <c r="S673" s="327"/>
      <c r="T673" s="594"/>
      <c r="U673" s="327"/>
      <c r="V673" s="595" t="str">
        <f>'refer admin discharge'!H674</f>
        <v>00/00/0000</v>
      </c>
      <c r="W673" s="327"/>
      <c r="X673" s="577"/>
      <c r="Y673" s="327"/>
      <c r="Z673" s="604"/>
      <c r="AA673" s="327"/>
      <c r="AB673" s="577"/>
      <c r="AC673" s="327"/>
      <c r="AD673" s="576"/>
      <c r="AE673" s="327"/>
      <c r="AF673" s="577"/>
      <c r="AG673" s="327"/>
      <c r="AH673" s="576"/>
      <c r="AI673" s="327"/>
      <c r="AJ673" s="577"/>
      <c r="AK673" s="327"/>
      <c r="AL673" s="602"/>
      <c r="AM673" s="326"/>
      <c r="AN673" s="326"/>
      <c r="AO673" s="326"/>
      <c r="AP673" s="326"/>
      <c r="AQ673" s="326"/>
      <c r="AR673" s="326"/>
      <c r="AS673" s="326"/>
      <c r="AT673" s="326"/>
      <c r="AU673" s="326"/>
      <c r="AV673" s="326"/>
      <c r="AW673" s="326"/>
      <c r="AX673" s="326"/>
      <c r="AY673" s="326"/>
      <c r="AZ673" s="326"/>
      <c r="BA673" s="326"/>
      <c r="BB673" s="327"/>
    </row>
    <row r="674" spans="1:54" ht="15.75" customHeight="1" x14ac:dyDescent="0.25">
      <c r="A674" s="11">
        <f t="shared" si="2"/>
        <v>661</v>
      </c>
      <c r="B674" s="570" t="str">
        <f>'refer admin discharge'!B670</f>
        <v>x</v>
      </c>
      <c r="C674" s="327"/>
      <c r="D674" s="599" t="str">
        <f>'refer admin discharge'!D670</f>
        <v>xx</v>
      </c>
      <c r="E674" s="327"/>
      <c r="F674" s="600" t="str">
        <f>'refer admin discharge'!H670</f>
        <v>00/00/0000</v>
      </c>
      <c r="G674" s="327"/>
      <c r="H674" s="574"/>
      <c r="I674" s="327"/>
      <c r="J674" s="601"/>
      <c r="K674" s="327"/>
      <c r="L674" s="574"/>
      <c r="M674" s="327"/>
      <c r="N674" s="594"/>
      <c r="O674" s="327"/>
      <c r="P674" s="574"/>
      <c r="Q674" s="327"/>
      <c r="R674" s="594"/>
      <c r="S674" s="327"/>
      <c r="T674" s="574"/>
      <c r="U674" s="327"/>
      <c r="V674" s="595" t="str">
        <f>'refer admin discharge'!H675</f>
        <v>00/00/0000</v>
      </c>
      <c r="W674" s="327"/>
      <c r="X674" s="596"/>
      <c r="Y674" s="327"/>
      <c r="Z674" s="597"/>
      <c r="AA674" s="327"/>
      <c r="AB674" s="596"/>
      <c r="AC674" s="327"/>
      <c r="AD674" s="577"/>
      <c r="AE674" s="327"/>
      <c r="AF674" s="596"/>
      <c r="AG674" s="327"/>
      <c r="AH674" s="577"/>
      <c r="AI674" s="327"/>
      <c r="AJ674" s="596"/>
      <c r="AK674" s="327"/>
      <c r="AL674" s="598"/>
      <c r="AM674" s="326"/>
      <c r="AN674" s="326"/>
      <c r="AO674" s="326"/>
      <c r="AP674" s="326"/>
      <c r="AQ674" s="326"/>
      <c r="AR674" s="326"/>
      <c r="AS674" s="326"/>
      <c r="AT674" s="326"/>
      <c r="AU674" s="326"/>
      <c r="AV674" s="326"/>
      <c r="AW674" s="326"/>
      <c r="AX674" s="326"/>
      <c r="AY674" s="326"/>
      <c r="AZ674" s="326"/>
      <c r="BA674" s="326"/>
      <c r="BB674" s="327"/>
    </row>
    <row r="675" spans="1:54" ht="15.75" customHeight="1" x14ac:dyDescent="0.25">
      <c r="A675" s="11">
        <f t="shared" si="2"/>
        <v>662</v>
      </c>
      <c r="B675" s="504" t="str">
        <f>'refer admin discharge'!B671</f>
        <v>x</v>
      </c>
      <c r="C675" s="327"/>
      <c r="D675" s="505" t="str">
        <f>'refer admin discharge'!D671</f>
        <v>xx</v>
      </c>
      <c r="E675" s="327"/>
      <c r="F675" s="606" t="str">
        <f>'refer admin discharge'!H671</f>
        <v>00/00/0000</v>
      </c>
      <c r="G675" s="327"/>
      <c r="H675" s="594"/>
      <c r="I675" s="327"/>
      <c r="J675" s="605"/>
      <c r="K675" s="327"/>
      <c r="L675" s="594"/>
      <c r="M675" s="327"/>
      <c r="N675" s="575"/>
      <c r="O675" s="327"/>
      <c r="P675" s="594"/>
      <c r="Q675" s="327"/>
      <c r="R675" s="575"/>
      <c r="S675" s="327"/>
      <c r="T675" s="594"/>
      <c r="U675" s="327"/>
      <c r="V675" s="595" t="str">
        <f>'refer admin discharge'!H676</f>
        <v>00/00/0000</v>
      </c>
      <c r="W675" s="327"/>
      <c r="X675" s="577"/>
      <c r="Y675" s="327"/>
      <c r="Z675" s="604"/>
      <c r="AA675" s="327"/>
      <c r="AB675" s="577"/>
      <c r="AC675" s="327"/>
      <c r="AD675" s="576"/>
      <c r="AE675" s="327"/>
      <c r="AF675" s="577"/>
      <c r="AG675" s="327"/>
      <c r="AH675" s="576"/>
      <c r="AI675" s="327"/>
      <c r="AJ675" s="577"/>
      <c r="AK675" s="327"/>
      <c r="AL675" s="602"/>
      <c r="AM675" s="326"/>
      <c r="AN675" s="326"/>
      <c r="AO675" s="326"/>
      <c r="AP675" s="326"/>
      <c r="AQ675" s="326"/>
      <c r="AR675" s="326"/>
      <c r="AS675" s="326"/>
      <c r="AT675" s="326"/>
      <c r="AU675" s="326"/>
      <c r="AV675" s="326"/>
      <c r="AW675" s="326"/>
      <c r="AX675" s="326"/>
      <c r="AY675" s="326"/>
      <c r="AZ675" s="326"/>
      <c r="BA675" s="326"/>
      <c r="BB675" s="327"/>
    </row>
    <row r="676" spans="1:54" ht="15.75" customHeight="1" x14ac:dyDescent="0.25">
      <c r="A676" s="11">
        <f t="shared" si="2"/>
        <v>663</v>
      </c>
      <c r="B676" s="570" t="str">
        <f>'refer admin discharge'!B672</f>
        <v>x</v>
      </c>
      <c r="C676" s="327"/>
      <c r="D676" s="599" t="str">
        <f>'refer admin discharge'!D672</f>
        <v>xx</v>
      </c>
      <c r="E676" s="327"/>
      <c r="F676" s="600" t="str">
        <f>'refer admin discharge'!H672</f>
        <v>00/00/0000</v>
      </c>
      <c r="G676" s="327"/>
      <c r="H676" s="574"/>
      <c r="I676" s="327"/>
      <c r="J676" s="601"/>
      <c r="K676" s="327"/>
      <c r="L676" s="574"/>
      <c r="M676" s="327"/>
      <c r="N676" s="594"/>
      <c r="O676" s="327"/>
      <c r="P676" s="574"/>
      <c r="Q676" s="327"/>
      <c r="R676" s="594"/>
      <c r="S676" s="327"/>
      <c r="T676" s="574"/>
      <c r="U676" s="327"/>
      <c r="V676" s="595" t="str">
        <f>'refer admin discharge'!H677</f>
        <v>00/00/0000</v>
      </c>
      <c r="W676" s="327"/>
      <c r="X676" s="596"/>
      <c r="Y676" s="327"/>
      <c r="Z676" s="597"/>
      <c r="AA676" s="327"/>
      <c r="AB676" s="596"/>
      <c r="AC676" s="327"/>
      <c r="AD676" s="577"/>
      <c r="AE676" s="327"/>
      <c r="AF676" s="596"/>
      <c r="AG676" s="327"/>
      <c r="AH676" s="577"/>
      <c r="AI676" s="327"/>
      <c r="AJ676" s="596"/>
      <c r="AK676" s="327"/>
      <c r="AL676" s="598"/>
      <c r="AM676" s="326"/>
      <c r="AN676" s="326"/>
      <c r="AO676" s="326"/>
      <c r="AP676" s="326"/>
      <c r="AQ676" s="326"/>
      <c r="AR676" s="326"/>
      <c r="AS676" s="326"/>
      <c r="AT676" s="326"/>
      <c r="AU676" s="326"/>
      <c r="AV676" s="326"/>
      <c r="AW676" s="326"/>
      <c r="AX676" s="326"/>
      <c r="AY676" s="326"/>
      <c r="AZ676" s="326"/>
      <c r="BA676" s="326"/>
      <c r="BB676" s="327"/>
    </row>
    <row r="677" spans="1:54" ht="15.75" customHeight="1" x14ac:dyDescent="0.25">
      <c r="A677" s="11">
        <f t="shared" si="2"/>
        <v>664</v>
      </c>
      <c r="B677" s="504" t="str">
        <f>'refer admin discharge'!B673</f>
        <v>x</v>
      </c>
      <c r="C677" s="327"/>
      <c r="D677" s="505" t="str">
        <f>'refer admin discharge'!D673</f>
        <v>xx</v>
      </c>
      <c r="E677" s="327"/>
      <c r="F677" s="606" t="str">
        <f>'refer admin discharge'!H673</f>
        <v>00/00/0000</v>
      </c>
      <c r="G677" s="327"/>
      <c r="H677" s="594"/>
      <c r="I677" s="327"/>
      <c r="J677" s="605"/>
      <c r="K677" s="327"/>
      <c r="L677" s="594"/>
      <c r="M677" s="327"/>
      <c r="N677" s="575"/>
      <c r="O677" s="327"/>
      <c r="P677" s="594"/>
      <c r="Q677" s="327"/>
      <c r="R677" s="575"/>
      <c r="S677" s="327"/>
      <c r="T677" s="594"/>
      <c r="U677" s="327"/>
      <c r="V677" s="595" t="str">
        <f>'refer admin discharge'!H678</f>
        <v>00/00/0000</v>
      </c>
      <c r="W677" s="327"/>
      <c r="X677" s="577"/>
      <c r="Y677" s="327"/>
      <c r="Z677" s="604"/>
      <c r="AA677" s="327"/>
      <c r="AB677" s="577"/>
      <c r="AC677" s="327"/>
      <c r="AD677" s="576"/>
      <c r="AE677" s="327"/>
      <c r="AF677" s="577"/>
      <c r="AG677" s="327"/>
      <c r="AH677" s="576"/>
      <c r="AI677" s="327"/>
      <c r="AJ677" s="577"/>
      <c r="AK677" s="327"/>
      <c r="AL677" s="602"/>
      <c r="AM677" s="326"/>
      <c r="AN677" s="326"/>
      <c r="AO677" s="326"/>
      <c r="AP677" s="326"/>
      <c r="AQ677" s="326"/>
      <c r="AR677" s="326"/>
      <c r="AS677" s="326"/>
      <c r="AT677" s="326"/>
      <c r="AU677" s="326"/>
      <c r="AV677" s="326"/>
      <c r="AW677" s="326"/>
      <c r="AX677" s="326"/>
      <c r="AY677" s="326"/>
      <c r="AZ677" s="326"/>
      <c r="BA677" s="326"/>
      <c r="BB677" s="327"/>
    </row>
    <row r="678" spans="1:54" ht="15.75" customHeight="1" x14ac:dyDescent="0.25">
      <c r="A678" s="11">
        <f t="shared" si="2"/>
        <v>665</v>
      </c>
      <c r="B678" s="570" t="str">
        <f>'refer admin discharge'!B674</f>
        <v>x</v>
      </c>
      <c r="C678" s="327"/>
      <c r="D678" s="599" t="str">
        <f>'refer admin discharge'!D674</f>
        <v>xx</v>
      </c>
      <c r="E678" s="327"/>
      <c r="F678" s="600" t="str">
        <f>'refer admin discharge'!H674</f>
        <v>00/00/0000</v>
      </c>
      <c r="G678" s="327"/>
      <c r="H678" s="574"/>
      <c r="I678" s="327"/>
      <c r="J678" s="601"/>
      <c r="K678" s="327"/>
      <c r="L678" s="574"/>
      <c r="M678" s="327"/>
      <c r="N678" s="594"/>
      <c r="O678" s="327"/>
      <c r="P678" s="574"/>
      <c r="Q678" s="327"/>
      <c r="R678" s="594"/>
      <c r="S678" s="327"/>
      <c r="T678" s="574"/>
      <c r="U678" s="327"/>
      <c r="V678" s="595" t="str">
        <f>'refer admin discharge'!H679</f>
        <v>00/00/0000</v>
      </c>
      <c r="W678" s="327"/>
      <c r="X678" s="596"/>
      <c r="Y678" s="327"/>
      <c r="Z678" s="597"/>
      <c r="AA678" s="327"/>
      <c r="AB678" s="596"/>
      <c r="AC678" s="327"/>
      <c r="AD678" s="577"/>
      <c r="AE678" s="327"/>
      <c r="AF678" s="596"/>
      <c r="AG678" s="327"/>
      <c r="AH678" s="577"/>
      <c r="AI678" s="327"/>
      <c r="AJ678" s="596"/>
      <c r="AK678" s="327"/>
      <c r="AL678" s="598"/>
      <c r="AM678" s="326"/>
      <c r="AN678" s="326"/>
      <c r="AO678" s="326"/>
      <c r="AP678" s="326"/>
      <c r="AQ678" s="326"/>
      <c r="AR678" s="326"/>
      <c r="AS678" s="326"/>
      <c r="AT678" s="326"/>
      <c r="AU678" s="326"/>
      <c r="AV678" s="326"/>
      <c r="AW678" s="326"/>
      <c r="AX678" s="326"/>
      <c r="AY678" s="326"/>
      <c r="AZ678" s="326"/>
      <c r="BA678" s="326"/>
      <c r="BB678" s="327"/>
    </row>
    <row r="679" spans="1:54" ht="15.75" customHeight="1" x14ac:dyDescent="0.25">
      <c r="A679" s="11">
        <f t="shared" si="2"/>
        <v>666</v>
      </c>
      <c r="B679" s="504" t="str">
        <f>'refer admin discharge'!B675</f>
        <v>x</v>
      </c>
      <c r="C679" s="327"/>
      <c r="D679" s="505" t="str">
        <f>'refer admin discharge'!D675</f>
        <v>xx</v>
      </c>
      <c r="E679" s="327"/>
      <c r="F679" s="606" t="str">
        <f>'refer admin discharge'!H675</f>
        <v>00/00/0000</v>
      </c>
      <c r="G679" s="327"/>
      <c r="H679" s="594"/>
      <c r="I679" s="327"/>
      <c r="J679" s="605"/>
      <c r="K679" s="327"/>
      <c r="L679" s="594"/>
      <c r="M679" s="327"/>
      <c r="N679" s="575"/>
      <c r="O679" s="327"/>
      <c r="P679" s="594"/>
      <c r="Q679" s="327"/>
      <c r="R679" s="575"/>
      <c r="S679" s="327"/>
      <c r="T679" s="594"/>
      <c r="U679" s="327"/>
      <c r="V679" s="595" t="str">
        <f>'refer admin discharge'!H680</f>
        <v>00/00/0000</v>
      </c>
      <c r="W679" s="327"/>
      <c r="X679" s="577"/>
      <c r="Y679" s="327"/>
      <c r="Z679" s="604"/>
      <c r="AA679" s="327"/>
      <c r="AB679" s="577"/>
      <c r="AC679" s="327"/>
      <c r="AD679" s="576"/>
      <c r="AE679" s="327"/>
      <c r="AF679" s="577"/>
      <c r="AG679" s="327"/>
      <c r="AH679" s="576"/>
      <c r="AI679" s="327"/>
      <c r="AJ679" s="577"/>
      <c r="AK679" s="327"/>
      <c r="AL679" s="602"/>
      <c r="AM679" s="326"/>
      <c r="AN679" s="326"/>
      <c r="AO679" s="326"/>
      <c r="AP679" s="326"/>
      <c r="AQ679" s="326"/>
      <c r="AR679" s="326"/>
      <c r="AS679" s="326"/>
      <c r="AT679" s="326"/>
      <c r="AU679" s="326"/>
      <c r="AV679" s="326"/>
      <c r="AW679" s="326"/>
      <c r="AX679" s="326"/>
      <c r="AY679" s="326"/>
      <c r="AZ679" s="326"/>
      <c r="BA679" s="326"/>
      <c r="BB679" s="327"/>
    </row>
    <row r="680" spans="1:54" ht="15.75" customHeight="1" x14ac:dyDescent="0.25">
      <c r="A680" s="11">
        <f t="shared" si="2"/>
        <v>667</v>
      </c>
      <c r="B680" s="570" t="str">
        <f>'refer admin discharge'!B676</f>
        <v>x</v>
      </c>
      <c r="C680" s="327"/>
      <c r="D680" s="599" t="str">
        <f>'refer admin discharge'!D676</f>
        <v>xx</v>
      </c>
      <c r="E680" s="327"/>
      <c r="F680" s="600" t="str">
        <f>'refer admin discharge'!H676</f>
        <v>00/00/0000</v>
      </c>
      <c r="G680" s="327"/>
      <c r="H680" s="574"/>
      <c r="I680" s="327"/>
      <c r="J680" s="601"/>
      <c r="K680" s="327"/>
      <c r="L680" s="574"/>
      <c r="M680" s="327"/>
      <c r="N680" s="594"/>
      <c r="O680" s="327"/>
      <c r="P680" s="574"/>
      <c r="Q680" s="327"/>
      <c r="R680" s="594"/>
      <c r="S680" s="327"/>
      <c r="T680" s="574"/>
      <c r="U680" s="327"/>
      <c r="V680" s="595" t="str">
        <f>'refer admin discharge'!H681</f>
        <v>00/00/0000</v>
      </c>
      <c r="W680" s="327"/>
      <c r="X680" s="596"/>
      <c r="Y680" s="327"/>
      <c r="Z680" s="597"/>
      <c r="AA680" s="327"/>
      <c r="AB680" s="596"/>
      <c r="AC680" s="327"/>
      <c r="AD680" s="577"/>
      <c r="AE680" s="327"/>
      <c r="AF680" s="596"/>
      <c r="AG680" s="327"/>
      <c r="AH680" s="577"/>
      <c r="AI680" s="327"/>
      <c r="AJ680" s="596"/>
      <c r="AK680" s="327"/>
      <c r="AL680" s="598"/>
      <c r="AM680" s="326"/>
      <c r="AN680" s="326"/>
      <c r="AO680" s="326"/>
      <c r="AP680" s="326"/>
      <c r="AQ680" s="326"/>
      <c r="AR680" s="326"/>
      <c r="AS680" s="326"/>
      <c r="AT680" s="326"/>
      <c r="AU680" s="326"/>
      <c r="AV680" s="326"/>
      <c r="AW680" s="326"/>
      <c r="AX680" s="326"/>
      <c r="AY680" s="326"/>
      <c r="AZ680" s="326"/>
      <c r="BA680" s="326"/>
      <c r="BB680" s="327"/>
    </row>
    <row r="681" spans="1:54" ht="15.75" customHeight="1" x14ac:dyDescent="0.25">
      <c r="A681" s="11">
        <f t="shared" si="2"/>
        <v>668</v>
      </c>
      <c r="B681" s="504" t="str">
        <f>'refer admin discharge'!B677</f>
        <v>x</v>
      </c>
      <c r="C681" s="327"/>
      <c r="D681" s="505" t="str">
        <f>'refer admin discharge'!D677</f>
        <v>xx</v>
      </c>
      <c r="E681" s="327"/>
      <c r="F681" s="606" t="str">
        <f>'refer admin discharge'!H677</f>
        <v>00/00/0000</v>
      </c>
      <c r="G681" s="327"/>
      <c r="H681" s="594"/>
      <c r="I681" s="327"/>
      <c r="J681" s="605"/>
      <c r="K681" s="327"/>
      <c r="L681" s="594"/>
      <c r="M681" s="327"/>
      <c r="N681" s="575"/>
      <c r="O681" s="327"/>
      <c r="P681" s="594"/>
      <c r="Q681" s="327"/>
      <c r="R681" s="575"/>
      <c r="S681" s="327"/>
      <c r="T681" s="594"/>
      <c r="U681" s="327"/>
      <c r="V681" s="595" t="str">
        <f>'refer admin discharge'!H682</f>
        <v>00/00/0000</v>
      </c>
      <c r="W681" s="327"/>
      <c r="X681" s="577"/>
      <c r="Y681" s="327"/>
      <c r="Z681" s="604"/>
      <c r="AA681" s="327"/>
      <c r="AB681" s="577"/>
      <c r="AC681" s="327"/>
      <c r="AD681" s="576"/>
      <c r="AE681" s="327"/>
      <c r="AF681" s="577"/>
      <c r="AG681" s="327"/>
      <c r="AH681" s="576"/>
      <c r="AI681" s="327"/>
      <c r="AJ681" s="577"/>
      <c r="AK681" s="327"/>
      <c r="AL681" s="602"/>
      <c r="AM681" s="326"/>
      <c r="AN681" s="326"/>
      <c r="AO681" s="326"/>
      <c r="AP681" s="326"/>
      <c r="AQ681" s="326"/>
      <c r="AR681" s="326"/>
      <c r="AS681" s="326"/>
      <c r="AT681" s="326"/>
      <c r="AU681" s="326"/>
      <c r="AV681" s="326"/>
      <c r="AW681" s="326"/>
      <c r="AX681" s="326"/>
      <c r="AY681" s="326"/>
      <c r="AZ681" s="326"/>
      <c r="BA681" s="326"/>
      <c r="BB681" s="327"/>
    </row>
    <row r="682" spans="1:54" ht="15.75" customHeight="1" x14ac:dyDescent="0.25">
      <c r="A682" s="11">
        <f t="shared" si="2"/>
        <v>669</v>
      </c>
      <c r="B682" s="570" t="str">
        <f>'refer admin discharge'!B678</f>
        <v>x</v>
      </c>
      <c r="C682" s="327"/>
      <c r="D682" s="599" t="str">
        <f>'refer admin discharge'!D678</f>
        <v>xx</v>
      </c>
      <c r="E682" s="327"/>
      <c r="F682" s="600" t="str">
        <f>'refer admin discharge'!H678</f>
        <v>00/00/0000</v>
      </c>
      <c r="G682" s="327"/>
      <c r="H682" s="574"/>
      <c r="I682" s="327"/>
      <c r="J682" s="601"/>
      <c r="K682" s="327"/>
      <c r="L682" s="574"/>
      <c r="M682" s="327"/>
      <c r="N682" s="594"/>
      <c r="O682" s="327"/>
      <c r="P682" s="574"/>
      <c r="Q682" s="327"/>
      <c r="R682" s="594"/>
      <c r="S682" s="327"/>
      <c r="T682" s="574"/>
      <c r="U682" s="327"/>
      <c r="V682" s="595" t="str">
        <f>'refer admin discharge'!H683</f>
        <v>00/00/0000</v>
      </c>
      <c r="W682" s="327"/>
      <c r="X682" s="596"/>
      <c r="Y682" s="327"/>
      <c r="Z682" s="597"/>
      <c r="AA682" s="327"/>
      <c r="AB682" s="596"/>
      <c r="AC682" s="327"/>
      <c r="AD682" s="577"/>
      <c r="AE682" s="327"/>
      <c r="AF682" s="596"/>
      <c r="AG682" s="327"/>
      <c r="AH682" s="577"/>
      <c r="AI682" s="327"/>
      <c r="AJ682" s="596"/>
      <c r="AK682" s="327"/>
      <c r="AL682" s="598"/>
      <c r="AM682" s="326"/>
      <c r="AN682" s="326"/>
      <c r="AO682" s="326"/>
      <c r="AP682" s="326"/>
      <c r="AQ682" s="326"/>
      <c r="AR682" s="326"/>
      <c r="AS682" s="326"/>
      <c r="AT682" s="326"/>
      <c r="AU682" s="326"/>
      <c r="AV682" s="326"/>
      <c r="AW682" s="326"/>
      <c r="AX682" s="326"/>
      <c r="AY682" s="326"/>
      <c r="AZ682" s="326"/>
      <c r="BA682" s="326"/>
      <c r="BB682" s="327"/>
    </row>
    <row r="683" spans="1:54" ht="15.75" customHeight="1" x14ac:dyDescent="0.25">
      <c r="A683" s="11">
        <f t="shared" si="2"/>
        <v>670</v>
      </c>
      <c r="B683" s="504" t="str">
        <f>'refer admin discharge'!B679</f>
        <v>x</v>
      </c>
      <c r="C683" s="327"/>
      <c r="D683" s="505" t="str">
        <f>'refer admin discharge'!D679</f>
        <v>xx</v>
      </c>
      <c r="E683" s="327"/>
      <c r="F683" s="606" t="str">
        <f>'refer admin discharge'!H679</f>
        <v>00/00/0000</v>
      </c>
      <c r="G683" s="327"/>
      <c r="H683" s="594"/>
      <c r="I683" s="327"/>
      <c r="J683" s="605"/>
      <c r="K683" s="327"/>
      <c r="L683" s="594"/>
      <c r="M683" s="327"/>
      <c r="N683" s="575"/>
      <c r="O683" s="327"/>
      <c r="P683" s="594"/>
      <c r="Q683" s="327"/>
      <c r="R683" s="575"/>
      <c r="S683" s="327"/>
      <c r="T683" s="594"/>
      <c r="U683" s="327"/>
      <c r="V683" s="595" t="str">
        <f>'refer admin discharge'!H684</f>
        <v>00/00/0000</v>
      </c>
      <c r="W683" s="327"/>
      <c r="X683" s="577"/>
      <c r="Y683" s="327"/>
      <c r="Z683" s="604"/>
      <c r="AA683" s="327"/>
      <c r="AB683" s="577"/>
      <c r="AC683" s="327"/>
      <c r="AD683" s="576"/>
      <c r="AE683" s="327"/>
      <c r="AF683" s="577"/>
      <c r="AG683" s="327"/>
      <c r="AH683" s="576"/>
      <c r="AI683" s="327"/>
      <c r="AJ683" s="577"/>
      <c r="AK683" s="327"/>
      <c r="AL683" s="602"/>
      <c r="AM683" s="326"/>
      <c r="AN683" s="326"/>
      <c r="AO683" s="326"/>
      <c r="AP683" s="326"/>
      <c r="AQ683" s="326"/>
      <c r="AR683" s="326"/>
      <c r="AS683" s="326"/>
      <c r="AT683" s="326"/>
      <c r="AU683" s="326"/>
      <c r="AV683" s="326"/>
      <c r="AW683" s="326"/>
      <c r="AX683" s="326"/>
      <c r="AY683" s="326"/>
      <c r="AZ683" s="326"/>
      <c r="BA683" s="326"/>
      <c r="BB683" s="327"/>
    </row>
    <row r="684" spans="1:54" ht="15.75" customHeight="1" x14ac:dyDescent="0.25">
      <c r="A684" s="11">
        <f t="shared" si="2"/>
        <v>671</v>
      </c>
      <c r="B684" s="570" t="str">
        <f>'refer admin discharge'!B680</f>
        <v>x</v>
      </c>
      <c r="C684" s="327"/>
      <c r="D684" s="599" t="str">
        <f>'refer admin discharge'!D680</f>
        <v>xx</v>
      </c>
      <c r="E684" s="327"/>
      <c r="F684" s="600" t="str">
        <f>'refer admin discharge'!H680</f>
        <v>00/00/0000</v>
      </c>
      <c r="G684" s="327"/>
      <c r="H684" s="574"/>
      <c r="I684" s="327"/>
      <c r="J684" s="601"/>
      <c r="K684" s="327"/>
      <c r="L684" s="574"/>
      <c r="M684" s="327"/>
      <c r="N684" s="594"/>
      <c r="O684" s="327"/>
      <c r="P684" s="574"/>
      <c r="Q684" s="327"/>
      <c r="R684" s="594"/>
      <c r="S684" s="327"/>
      <c r="T684" s="574"/>
      <c r="U684" s="327"/>
      <c r="V684" s="595" t="str">
        <f>'refer admin discharge'!H685</f>
        <v>00/00/0000</v>
      </c>
      <c r="W684" s="327"/>
      <c r="X684" s="596"/>
      <c r="Y684" s="327"/>
      <c r="Z684" s="597"/>
      <c r="AA684" s="327"/>
      <c r="AB684" s="596"/>
      <c r="AC684" s="327"/>
      <c r="AD684" s="577"/>
      <c r="AE684" s="327"/>
      <c r="AF684" s="596"/>
      <c r="AG684" s="327"/>
      <c r="AH684" s="577"/>
      <c r="AI684" s="327"/>
      <c r="AJ684" s="596"/>
      <c r="AK684" s="327"/>
      <c r="AL684" s="598"/>
      <c r="AM684" s="326"/>
      <c r="AN684" s="326"/>
      <c r="AO684" s="326"/>
      <c r="AP684" s="326"/>
      <c r="AQ684" s="326"/>
      <c r="AR684" s="326"/>
      <c r="AS684" s="326"/>
      <c r="AT684" s="326"/>
      <c r="AU684" s="326"/>
      <c r="AV684" s="326"/>
      <c r="AW684" s="326"/>
      <c r="AX684" s="326"/>
      <c r="AY684" s="326"/>
      <c r="AZ684" s="326"/>
      <c r="BA684" s="326"/>
      <c r="BB684" s="327"/>
    </row>
    <row r="685" spans="1:54" ht="15.75" customHeight="1" x14ac:dyDescent="0.25">
      <c r="A685" s="11">
        <f t="shared" si="2"/>
        <v>672</v>
      </c>
      <c r="B685" s="504" t="str">
        <f>'refer admin discharge'!B681</f>
        <v>x</v>
      </c>
      <c r="C685" s="327"/>
      <c r="D685" s="505" t="str">
        <f>'refer admin discharge'!D681</f>
        <v>xx</v>
      </c>
      <c r="E685" s="327"/>
      <c r="F685" s="606" t="str">
        <f>'refer admin discharge'!H681</f>
        <v>00/00/0000</v>
      </c>
      <c r="G685" s="327"/>
      <c r="H685" s="594"/>
      <c r="I685" s="327"/>
      <c r="J685" s="605"/>
      <c r="K685" s="327"/>
      <c r="L685" s="594"/>
      <c r="M685" s="327"/>
      <c r="N685" s="575"/>
      <c r="O685" s="327"/>
      <c r="P685" s="594"/>
      <c r="Q685" s="327"/>
      <c r="R685" s="575"/>
      <c r="S685" s="327"/>
      <c r="T685" s="594"/>
      <c r="U685" s="327"/>
      <c r="V685" s="595" t="str">
        <f>'refer admin discharge'!H686</f>
        <v>00/00/0000</v>
      </c>
      <c r="W685" s="327"/>
      <c r="X685" s="577"/>
      <c r="Y685" s="327"/>
      <c r="Z685" s="604"/>
      <c r="AA685" s="327"/>
      <c r="AB685" s="577"/>
      <c r="AC685" s="327"/>
      <c r="AD685" s="576"/>
      <c r="AE685" s="327"/>
      <c r="AF685" s="577"/>
      <c r="AG685" s="327"/>
      <c r="AH685" s="576"/>
      <c r="AI685" s="327"/>
      <c r="AJ685" s="577"/>
      <c r="AK685" s="327"/>
      <c r="AL685" s="602"/>
      <c r="AM685" s="326"/>
      <c r="AN685" s="326"/>
      <c r="AO685" s="326"/>
      <c r="AP685" s="326"/>
      <c r="AQ685" s="326"/>
      <c r="AR685" s="326"/>
      <c r="AS685" s="326"/>
      <c r="AT685" s="326"/>
      <c r="AU685" s="326"/>
      <c r="AV685" s="326"/>
      <c r="AW685" s="326"/>
      <c r="AX685" s="326"/>
      <c r="AY685" s="326"/>
      <c r="AZ685" s="326"/>
      <c r="BA685" s="326"/>
      <c r="BB685" s="327"/>
    </row>
    <row r="686" spans="1:54" ht="15.75" customHeight="1" x14ac:dyDescent="0.25">
      <c r="A686" s="11">
        <f t="shared" si="2"/>
        <v>673</v>
      </c>
      <c r="B686" s="570" t="str">
        <f>'refer admin discharge'!B682</f>
        <v>x</v>
      </c>
      <c r="C686" s="327"/>
      <c r="D686" s="599" t="str">
        <f>'refer admin discharge'!D682</f>
        <v>xx</v>
      </c>
      <c r="E686" s="327"/>
      <c r="F686" s="600" t="str">
        <f>'refer admin discharge'!H682</f>
        <v>00/00/0000</v>
      </c>
      <c r="G686" s="327"/>
      <c r="H686" s="574"/>
      <c r="I686" s="327"/>
      <c r="J686" s="601"/>
      <c r="K686" s="327"/>
      <c r="L686" s="574"/>
      <c r="M686" s="327"/>
      <c r="N686" s="594"/>
      <c r="O686" s="327"/>
      <c r="P686" s="574"/>
      <c r="Q686" s="327"/>
      <c r="R686" s="594"/>
      <c r="S686" s="327"/>
      <c r="T686" s="574"/>
      <c r="U686" s="327"/>
      <c r="V686" s="595" t="str">
        <f>'refer admin discharge'!H687</f>
        <v>00/00/0000</v>
      </c>
      <c r="W686" s="327"/>
      <c r="X686" s="596"/>
      <c r="Y686" s="327"/>
      <c r="Z686" s="597"/>
      <c r="AA686" s="327"/>
      <c r="AB686" s="596"/>
      <c r="AC686" s="327"/>
      <c r="AD686" s="577"/>
      <c r="AE686" s="327"/>
      <c r="AF686" s="596"/>
      <c r="AG686" s="327"/>
      <c r="AH686" s="577"/>
      <c r="AI686" s="327"/>
      <c r="AJ686" s="596"/>
      <c r="AK686" s="327"/>
      <c r="AL686" s="598"/>
      <c r="AM686" s="326"/>
      <c r="AN686" s="326"/>
      <c r="AO686" s="326"/>
      <c r="AP686" s="326"/>
      <c r="AQ686" s="326"/>
      <c r="AR686" s="326"/>
      <c r="AS686" s="326"/>
      <c r="AT686" s="326"/>
      <c r="AU686" s="326"/>
      <c r="AV686" s="326"/>
      <c r="AW686" s="326"/>
      <c r="AX686" s="326"/>
      <c r="AY686" s="326"/>
      <c r="AZ686" s="326"/>
      <c r="BA686" s="326"/>
      <c r="BB686" s="327"/>
    </row>
    <row r="687" spans="1:54" ht="15.75" customHeight="1" x14ac:dyDescent="0.25">
      <c r="A687" s="11">
        <f t="shared" si="2"/>
        <v>674</v>
      </c>
      <c r="B687" s="504" t="str">
        <f>'refer admin discharge'!B683</f>
        <v>x</v>
      </c>
      <c r="C687" s="327"/>
      <c r="D687" s="505" t="str">
        <f>'refer admin discharge'!D683</f>
        <v>xx</v>
      </c>
      <c r="E687" s="327"/>
      <c r="F687" s="606" t="str">
        <f>'refer admin discharge'!H683</f>
        <v>00/00/0000</v>
      </c>
      <c r="G687" s="327"/>
      <c r="H687" s="594"/>
      <c r="I687" s="327"/>
      <c r="J687" s="605"/>
      <c r="K687" s="327"/>
      <c r="L687" s="594"/>
      <c r="M687" s="327"/>
      <c r="N687" s="575"/>
      <c r="O687" s="327"/>
      <c r="P687" s="594"/>
      <c r="Q687" s="327"/>
      <c r="R687" s="575"/>
      <c r="S687" s="327"/>
      <c r="T687" s="594"/>
      <c r="U687" s="327"/>
      <c r="V687" s="595" t="str">
        <f>'refer admin discharge'!H688</f>
        <v>00/00/0000</v>
      </c>
      <c r="W687" s="327"/>
      <c r="X687" s="577"/>
      <c r="Y687" s="327"/>
      <c r="Z687" s="604"/>
      <c r="AA687" s="327"/>
      <c r="AB687" s="577"/>
      <c r="AC687" s="327"/>
      <c r="AD687" s="576"/>
      <c r="AE687" s="327"/>
      <c r="AF687" s="577"/>
      <c r="AG687" s="327"/>
      <c r="AH687" s="576"/>
      <c r="AI687" s="327"/>
      <c r="AJ687" s="577"/>
      <c r="AK687" s="327"/>
      <c r="AL687" s="602"/>
      <c r="AM687" s="326"/>
      <c r="AN687" s="326"/>
      <c r="AO687" s="326"/>
      <c r="AP687" s="326"/>
      <c r="AQ687" s="326"/>
      <c r="AR687" s="326"/>
      <c r="AS687" s="326"/>
      <c r="AT687" s="326"/>
      <c r="AU687" s="326"/>
      <c r="AV687" s="326"/>
      <c r="AW687" s="326"/>
      <c r="AX687" s="326"/>
      <c r="AY687" s="326"/>
      <c r="AZ687" s="326"/>
      <c r="BA687" s="326"/>
      <c r="BB687" s="327"/>
    </row>
    <row r="688" spans="1:54" ht="15.75" customHeight="1" x14ac:dyDescent="0.25">
      <c r="A688" s="11">
        <f t="shared" si="2"/>
        <v>675</v>
      </c>
      <c r="B688" s="570" t="str">
        <f>'refer admin discharge'!B684</f>
        <v>x</v>
      </c>
      <c r="C688" s="327"/>
      <c r="D688" s="599" t="str">
        <f>'refer admin discharge'!D684</f>
        <v>xx</v>
      </c>
      <c r="E688" s="327"/>
      <c r="F688" s="600" t="str">
        <f>'refer admin discharge'!H684</f>
        <v>00/00/0000</v>
      </c>
      <c r="G688" s="327"/>
      <c r="H688" s="574"/>
      <c r="I688" s="327"/>
      <c r="J688" s="601"/>
      <c r="K688" s="327"/>
      <c r="L688" s="574"/>
      <c r="M688" s="327"/>
      <c r="N688" s="594"/>
      <c r="O688" s="327"/>
      <c r="P688" s="574"/>
      <c r="Q688" s="327"/>
      <c r="R688" s="594"/>
      <c r="S688" s="327"/>
      <c r="T688" s="574"/>
      <c r="U688" s="327"/>
      <c r="V688" s="595" t="str">
        <f>'refer admin discharge'!H689</f>
        <v>00/00/0000</v>
      </c>
      <c r="W688" s="327"/>
      <c r="X688" s="596"/>
      <c r="Y688" s="327"/>
      <c r="Z688" s="597"/>
      <c r="AA688" s="327"/>
      <c r="AB688" s="596"/>
      <c r="AC688" s="327"/>
      <c r="AD688" s="577"/>
      <c r="AE688" s="327"/>
      <c r="AF688" s="596"/>
      <c r="AG688" s="327"/>
      <c r="AH688" s="577"/>
      <c r="AI688" s="327"/>
      <c r="AJ688" s="596"/>
      <c r="AK688" s="327"/>
      <c r="AL688" s="598"/>
      <c r="AM688" s="326"/>
      <c r="AN688" s="326"/>
      <c r="AO688" s="326"/>
      <c r="AP688" s="326"/>
      <c r="AQ688" s="326"/>
      <c r="AR688" s="326"/>
      <c r="AS688" s="326"/>
      <c r="AT688" s="326"/>
      <c r="AU688" s="326"/>
      <c r="AV688" s="326"/>
      <c r="AW688" s="326"/>
      <c r="AX688" s="326"/>
      <c r="AY688" s="326"/>
      <c r="AZ688" s="326"/>
      <c r="BA688" s="326"/>
      <c r="BB688" s="327"/>
    </row>
    <row r="689" spans="1:54" ht="15.75" customHeight="1" x14ac:dyDescent="0.25">
      <c r="A689" s="11">
        <f t="shared" si="2"/>
        <v>676</v>
      </c>
      <c r="B689" s="504" t="str">
        <f>'refer admin discharge'!B685</f>
        <v>x</v>
      </c>
      <c r="C689" s="327"/>
      <c r="D689" s="505" t="str">
        <f>'refer admin discharge'!D685</f>
        <v>xx</v>
      </c>
      <c r="E689" s="327"/>
      <c r="F689" s="606" t="str">
        <f>'refer admin discharge'!H685</f>
        <v>00/00/0000</v>
      </c>
      <c r="G689" s="327"/>
      <c r="H689" s="594"/>
      <c r="I689" s="327"/>
      <c r="J689" s="605"/>
      <c r="K689" s="327"/>
      <c r="L689" s="594"/>
      <c r="M689" s="327"/>
      <c r="N689" s="575"/>
      <c r="O689" s="327"/>
      <c r="P689" s="594"/>
      <c r="Q689" s="327"/>
      <c r="R689" s="575"/>
      <c r="S689" s="327"/>
      <c r="T689" s="594"/>
      <c r="U689" s="327"/>
      <c r="V689" s="595" t="str">
        <f>'refer admin discharge'!H690</f>
        <v>00/00/0000</v>
      </c>
      <c r="W689" s="327"/>
      <c r="X689" s="577"/>
      <c r="Y689" s="327"/>
      <c r="Z689" s="604"/>
      <c r="AA689" s="327"/>
      <c r="AB689" s="577"/>
      <c r="AC689" s="327"/>
      <c r="AD689" s="576"/>
      <c r="AE689" s="327"/>
      <c r="AF689" s="577"/>
      <c r="AG689" s="327"/>
      <c r="AH689" s="576"/>
      <c r="AI689" s="327"/>
      <c r="AJ689" s="577"/>
      <c r="AK689" s="327"/>
      <c r="AL689" s="602"/>
      <c r="AM689" s="326"/>
      <c r="AN689" s="326"/>
      <c r="AO689" s="326"/>
      <c r="AP689" s="326"/>
      <c r="AQ689" s="326"/>
      <c r="AR689" s="326"/>
      <c r="AS689" s="326"/>
      <c r="AT689" s="326"/>
      <c r="AU689" s="326"/>
      <c r="AV689" s="326"/>
      <c r="AW689" s="326"/>
      <c r="AX689" s="326"/>
      <c r="AY689" s="326"/>
      <c r="AZ689" s="326"/>
      <c r="BA689" s="326"/>
      <c r="BB689" s="327"/>
    </row>
    <row r="690" spans="1:54" ht="15.75" customHeight="1" x14ac:dyDescent="0.25">
      <c r="A690" s="11">
        <f t="shared" si="2"/>
        <v>677</v>
      </c>
      <c r="B690" s="570" t="str">
        <f>'refer admin discharge'!B686</f>
        <v>x</v>
      </c>
      <c r="C690" s="327"/>
      <c r="D690" s="599" t="str">
        <f>'refer admin discharge'!D686</f>
        <v>xx</v>
      </c>
      <c r="E690" s="327"/>
      <c r="F690" s="600" t="str">
        <f>'refer admin discharge'!H686</f>
        <v>00/00/0000</v>
      </c>
      <c r="G690" s="327"/>
      <c r="H690" s="574"/>
      <c r="I690" s="327"/>
      <c r="J690" s="601"/>
      <c r="K690" s="327"/>
      <c r="L690" s="574"/>
      <c r="M690" s="327"/>
      <c r="N690" s="594"/>
      <c r="O690" s="327"/>
      <c r="P690" s="574"/>
      <c r="Q690" s="327"/>
      <c r="R690" s="594"/>
      <c r="S690" s="327"/>
      <c r="T690" s="574"/>
      <c r="U690" s="327"/>
      <c r="V690" s="595" t="str">
        <f>'refer admin discharge'!H691</f>
        <v>00/00/0000</v>
      </c>
      <c r="W690" s="327"/>
      <c r="X690" s="596"/>
      <c r="Y690" s="327"/>
      <c r="Z690" s="597"/>
      <c r="AA690" s="327"/>
      <c r="AB690" s="596"/>
      <c r="AC690" s="327"/>
      <c r="AD690" s="577"/>
      <c r="AE690" s="327"/>
      <c r="AF690" s="596"/>
      <c r="AG690" s="327"/>
      <c r="AH690" s="577"/>
      <c r="AI690" s="327"/>
      <c r="AJ690" s="596"/>
      <c r="AK690" s="327"/>
      <c r="AL690" s="598"/>
      <c r="AM690" s="326"/>
      <c r="AN690" s="326"/>
      <c r="AO690" s="326"/>
      <c r="AP690" s="326"/>
      <c r="AQ690" s="326"/>
      <c r="AR690" s="326"/>
      <c r="AS690" s="326"/>
      <c r="AT690" s="326"/>
      <c r="AU690" s="326"/>
      <c r="AV690" s="326"/>
      <c r="AW690" s="326"/>
      <c r="AX690" s="326"/>
      <c r="AY690" s="326"/>
      <c r="AZ690" s="326"/>
      <c r="BA690" s="326"/>
      <c r="BB690" s="327"/>
    </row>
    <row r="691" spans="1:54" ht="15.75" customHeight="1" x14ac:dyDescent="0.25">
      <c r="A691" s="11">
        <f t="shared" si="2"/>
        <v>678</v>
      </c>
      <c r="B691" s="504" t="str">
        <f>'refer admin discharge'!B687</f>
        <v>x</v>
      </c>
      <c r="C691" s="327"/>
      <c r="D691" s="505" t="str">
        <f>'refer admin discharge'!D687</f>
        <v>xx</v>
      </c>
      <c r="E691" s="327"/>
      <c r="F691" s="606" t="str">
        <f>'refer admin discharge'!H687</f>
        <v>00/00/0000</v>
      </c>
      <c r="G691" s="327"/>
      <c r="H691" s="594"/>
      <c r="I691" s="327"/>
      <c r="J691" s="605"/>
      <c r="K691" s="327"/>
      <c r="L691" s="594"/>
      <c r="M691" s="327"/>
      <c r="N691" s="575"/>
      <c r="O691" s="327"/>
      <c r="P691" s="594"/>
      <c r="Q691" s="327"/>
      <c r="R691" s="575"/>
      <c r="S691" s="327"/>
      <c r="T691" s="594"/>
      <c r="U691" s="327"/>
      <c r="V691" s="595" t="str">
        <f>'refer admin discharge'!H692</f>
        <v>00/00/0000</v>
      </c>
      <c r="W691" s="327"/>
      <c r="X691" s="577"/>
      <c r="Y691" s="327"/>
      <c r="Z691" s="604"/>
      <c r="AA691" s="327"/>
      <c r="AB691" s="577"/>
      <c r="AC691" s="327"/>
      <c r="AD691" s="576"/>
      <c r="AE691" s="327"/>
      <c r="AF691" s="577"/>
      <c r="AG691" s="327"/>
      <c r="AH691" s="576"/>
      <c r="AI691" s="327"/>
      <c r="AJ691" s="577"/>
      <c r="AK691" s="327"/>
      <c r="AL691" s="602"/>
      <c r="AM691" s="326"/>
      <c r="AN691" s="326"/>
      <c r="AO691" s="326"/>
      <c r="AP691" s="326"/>
      <c r="AQ691" s="326"/>
      <c r="AR691" s="326"/>
      <c r="AS691" s="326"/>
      <c r="AT691" s="326"/>
      <c r="AU691" s="326"/>
      <c r="AV691" s="326"/>
      <c r="AW691" s="326"/>
      <c r="AX691" s="326"/>
      <c r="AY691" s="326"/>
      <c r="AZ691" s="326"/>
      <c r="BA691" s="326"/>
      <c r="BB691" s="327"/>
    </row>
    <row r="692" spans="1:54" ht="15.75" customHeight="1" x14ac:dyDescent="0.25">
      <c r="A692" s="11">
        <f t="shared" si="2"/>
        <v>679</v>
      </c>
      <c r="B692" s="570" t="str">
        <f>'refer admin discharge'!B688</f>
        <v>x</v>
      </c>
      <c r="C692" s="327"/>
      <c r="D692" s="599" t="str">
        <f>'refer admin discharge'!D688</f>
        <v>xx</v>
      </c>
      <c r="E692" s="327"/>
      <c r="F692" s="600" t="str">
        <f>'refer admin discharge'!H688</f>
        <v>00/00/0000</v>
      </c>
      <c r="G692" s="327"/>
      <c r="H692" s="574"/>
      <c r="I692" s="327"/>
      <c r="J692" s="601"/>
      <c r="K692" s="327"/>
      <c r="L692" s="574"/>
      <c r="M692" s="327"/>
      <c r="N692" s="594"/>
      <c r="O692" s="327"/>
      <c r="P692" s="574"/>
      <c r="Q692" s="327"/>
      <c r="R692" s="594"/>
      <c r="S692" s="327"/>
      <c r="T692" s="574"/>
      <c r="U692" s="327"/>
      <c r="V692" s="595" t="str">
        <f>'refer admin discharge'!H693</f>
        <v>00/00/0000</v>
      </c>
      <c r="W692" s="327"/>
      <c r="X692" s="596"/>
      <c r="Y692" s="327"/>
      <c r="Z692" s="597"/>
      <c r="AA692" s="327"/>
      <c r="AB692" s="596"/>
      <c r="AC692" s="327"/>
      <c r="AD692" s="577"/>
      <c r="AE692" s="327"/>
      <c r="AF692" s="596"/>
      <c r="AG692" s="327"/>
      <c r="AH692" s="577"/>
      <c r="AI692" s="327"/>
      <c r="AJ692" s="596"/>
      <c r="AK692" s="327"/>
      <c r="AL692" s="598"/>
      <c r="AM692" s="326"/>
      <c r="AN692" s="326"/>
      <c r="AO692" s="326"/>
      <c r="AP692" s="326"/>
      <c r="AQ692" s="326"/>
      <c r="AR692" s="326"/>
      <c r="AS692" s="326"/>
      <c r="AT692" s="326"/>
      <c r="AU692" s="326"/>
      <c r="AV692" s="326"/>
      <c r="AW692" s="326"/>
      <c r="AX692" s="326"/>
      <c r="AY692" s="326"/>
      <c r="AZ692" s="326"/>
      <c r="BA692" s="326"/>
      <c r="BB692" s="327"/>
    </row>
    <row r="693" spans="1:54" ht="15.75" customHeight="1" x14ac:dyDescent="0.25">
      <c r="A693" s="11">
        <f t="shared" si="2"/>
        <v>680</v>
      </c>
      <c r="B693" s="504" t="str">
        <f>'refer admin discharge'!B689</f>
        <v>x</v>
      </c>
      <c r="C693" s="327"/>
      <c r="D693" s="505" t="str">
        <f>'refer admin discharge'!D689</f>
        <v>xx</v>
      </c>
      <c r="E693" s="327"/>
      <c r="F693" s="606" t="str">
        <f>'refer admin discharge'!H689</f>
        <v>00/00/0000</v>
      </c>
      <c r="G693" s="327"/>
      <c r="H693" s="594"/>
      <c r="I693" s="327"/>
      <c r="J693" s="605"/>
      <c r="K693" s="327"/>
      <c r="L693" s="594"/>
      <c r="M693" s="327"/>
      <c r="N693" s="575"/>
      <c r="O693" s="327"/>
      <c r="P693" s="594"/>
      <c r="Q693" s="327"/>
      <c r="R693" s="575"/>
      <c r="S693" s="327"/>
      <c r="T693" s="594"/>
      <c r="U693" s="327"/>
      <c r="V693" s="595" t="str">
        <f>'refer admin discharge'!H694</f>
        <v>00/00/0000</v>
      </c>
      <c r="W693" s="327"/>
      <c r="X693" s="577"/>
      <c r="Y693" s="327"/>
      <c r="Z693" s="604"/>
      <c r="AA693" s="327"/>
      <c r="AB693" s="577"/>
      <c r="AC693" s="327"/>
      <c r="AD693" s="576"/>
      <c r="AE693" s="327"/>
      <c r="AF693" s="577"/>
      <c r="AG693" s="327"/>
      <c r="AH693" s="576"/>
      <c r="AI693" s="327"/>
      <c r="AJ693" s="577"/>
      <c r="AK693" s="327"/>
      <c r="AL693" s="602"/>
      <c r="AM693" s="326"/>
      <c r="AN693" s="326"/>
      <c r="AO693" s="326"/>
      <c r="AP693" s="326"/>
      <c r="AQ693" s="326"/>
      <c r="AR693" s="326"/>
      <c r="AS693" s="326"/>
      <c r="AT693" s="326"/>
      <c r="AU693" s="326"/>
      <c r="AV693" s="326"/>
      <c r="AW693" s="326"/>
      <c r="AX693" s="326"/>
      <c r="AY693" s="326"/>
      <c r="AZ693" s="326"/>
      <c r="BA693" s="326"/>
      <c r="BB693" s="327"/>
    </row>
    <row r="694" spans="1:54" ht="15.75" customHeight="1" x14ac:dyDescent="0.25">
      <c r="A694" s="11">
        <f t="shared" si="2"/>
        <v>681</v>
      </c>
      <c r="B694" s="570" t="str">
        <f>'refer admin discharge'!B690</f>
        <v>x</v>
      </c>
      <c r="C694" s="327"/>
      <c r="D694" s="599" t="str">
        <f>'refer admin discharge'!D690</f>
        <v>xx</v>
      </c>
      <c r="E694" s="327"/>
      <c r="F694" s="600" t="str">
        <f>'refer admin discharge'!H690</f>
        <v>00/00/0000</v>
      </c>
      <c r="G694" s="327"/>
      <c r="H694" s="574"/>
      <c r="I694" s="327"/>
      <c r="J694" s="601"/>
      <c r="K694" s="327"/>
      <c r="L694" s="574"/>
      <c r="M694" s="327"/>
      <c r="N694" s="594"/>
      <c r="O694" s="327"/>
      <c r="P694" s="574"/>
      <c r="Q694" s="327"/>
      <c r="R694" s="594"/>
      <c r="S694" s="327"/>
      <c r="T694" s="574"/>
      <c r="U694" s="327"/>
      <c r="V694" s="595" t="str">
        <f>'refer admin discharge'!H695</f>
        <v>00/00/0000</v>
      </c>
      <c r="W694" s="327"/>
      <c r="X694" s="596"/>
      <c r="Y694" s="327"/>
      <c r="Z694" s="597"/>
      <c r="AA694" s="327"/>
      <c r="AB694" s="596"/>
      <c r="AC694" s="327"/>
      <c r="AD694" s="577"/>
      <c r="AE694" s="327"/>
      <c r="AF694" s="596"/>
      <c r="AG694" s="327"/>
      <c r="AH694" s="577"/>
      <c r="AI694" s="327"/>
      <c r="AJ694" s="596"/>
      <c r="AK694" s="327"/>
      <c r="AL694" s="598"/>
      <c r="AM694" s="326"/>
      <c r="AN694" s="326"/>
      <c r="AO694" s="326"/>
      <c r="AP694" s="326"/>
      <c r="AQ694" s="326"/>
      <c r="AR694" s="326"/>
      <c r="AS694" s="326"/>
      <c r="AT694" s="326"/>
      <c r="AU694" s="326"/>
      <c r="AV694" s="326"/>
      <c r="AW694" s="326"/>
      <c r="AX694" s="326"/>
      <c r="AY694" s="326"/>
      <c r="AZ694" s="326"/>
      <c r="BA694" s="326"/>
      <c r="BB694" s="327"/>
    </row>
    <row r="695" spans="1:54" ht="15.75" customHeight="1" x14ac:dyDescent="0.25">
      <c r="A695" s="11">
        <f t="shared" si="2"/>
        <v>682</v>
      </c>
      <c r="B695" s="504" t="str">
        <f>'refer admin discharge'!B691</f>
        <v>x</v>
      </c>
      <c r="C695" s="327"/>
      <c r="D695" s="505" t="str">
        <f>'refer admin discharge'!D691</f>
        <v>xx</v>
      </c>
      <c r="E695" s="327"/>
      <c r="F695" s="606" t="str">
        <f>'refer admin discharge'!H691</f>
        <v>00/00/0000</v>
      </c>
      <c r="G695" s="327"/>
      <c r="H695" s="594"/>
      <c r="I695" s="327"/>
      <c r="J695" s="605"/>
      <c r="K695" s="327"/>
      <c r="L695" s="594"/>
      <c r="M695" s="327"/>
      <c r="N695" s="575"/>
      <c r="O695" s="327"/>
      <c r="P695" s="594"/>
      <c r="Q695" s="327"/>
      <c r="R695" s="575"/>
      <c r="S695" s="327"/>
      <c r="T695" s="594"/>
      <c r="U695" s="327"/>
      <c r="V695" s="595" t="str">
        <f>'refer admin discharge'!H696</f>
        <v>00/00/0000</v>
      </c>
      <c r="W695" s="327"/>
      <c r="X695" s="577"/>
      <c r="Y695" s="327"/>
      <c r="Z695" s="604"/>
      <c r="AA695" s="327"/>
      <c r="AB695" s="577"/>
      <c r="AC695" s="327"/>
      <c r="AD695" s="576"/>
      <c r="AE695" s="327"/>
      <c r="AF695" s="577"/>
      <c r="AG695" s="327"/>
      <c r="AH695" s="576"/>
      <c r="AI695" s="327"/>
      <c r="AJ695" s="577"/>
      <c r="AK695" s="327"/>
      <c r="AL695" s="602"/>
      <c r="AM695" s="326"/>
      <c r="AN695" s="326"/>
      <c r="AO695" s="326"/>
      <c r="AP695" s="326"/>
      <c r="AQ695" s="326"/>
      <c r="AR695" s="326"/>
      <c r="AS695" s="326"/>
      <c r="AT695" s="326"/>
      <c r="AU695" s="326"/>
      <c r="AV695" s="326"/>
      <c r="AW695" s="326"/>
      <c r="AX695" s="326"/>
      <c r="AY695" s="326"/>
      <c r="AZ695" s="326"/>
      <c r="BA695" s="326"/>
      <c r="BB695" s="327"/>
    </row>
    <row r="696" spans="1:54" ht="15.75" customHeight="1" x14ac:dyDescent="0.25">
      <c r="A696" s="11">
        <f t="shared" si="2"/>
        <v>683</v>
      </c>
      <c r="B696" s="570" t="str">
        <f>'refer admin discharge'!B692</f>
        <v>x</v>
      </c>
      <c r="C696" s="327"/>
      <c r="D696" s="599" t="str">
        <f>'refer admin discharge'!D692</f>
        <v>xx</v>
      </c>
      <c r="E696" s="327"/>
      <c r="F696" s="600" t="str">
        <f>'refer admin discharge'!H692</f>
        <v>00/00/0000</v>
      </c>
      <c r="G696" s="327"/>
      <c r="H696" s="574"/>
      <c r="I696" s="327"/>
      <c r="J696" s="601"/>
      <c r="K696" s="327"/>
      <c r="L696" s="574"/>
      <c r="M696" s="327"/>
      <c r="N696" s="594"/>
      <c r="O696" s="327"/>
      <c r="P696" s="574"/>
      <c r="Q696" s="327"/>
      <c r="R696" s="594"/>
      <c r="S696" s="327"/>
      <c r="T696" s="574"/>
      <c r="U696" s="327"/>
      <c r="V696" s="595" t="str">
        <f>'refer admin discharge'!H697</f>
        <v>00/00/0000</v>
      </c>
      <c r="W696" s="327"/>
      <c r="X696" s="596"/>
      <c r="Y696" s="327"/>
      <c r="Z696" s="597"/>
      <c r="AA696" s="327"/>
      <c r="AB696" s="596"/>
      <c r="AC696" s="327"/>
      <c r="AD696" s="577"/>
      <c r="AE696" s="327"/>
      <c r="AF696" s="596"/>
      <c r="AG696" s="327"/>
      <c r="AH696" s="577"/>
      <c r="AI696" s="327"/>
      <c r="AJ696" s="596"/>
      <c r="AK696" s="327"/>
      <c r="AL696" s="598"/>
      <c r="AM696" s="326"/>
      <c r="AN696" s="326"/>
      <c r="AO696" s="326"/>
      <c r="AP696" s="326"/>
      <c r="AQ696" s="326"/>
      <c r="AR696" s="326"/>
      <c r="AS696" s="326"/>
      <c r="AT696" s="326"/>
      <c r="AU696" s="326"/>
      <c r="AV696" s="326"/>
      <c r="AW696" s="326"/>
      <c r="AX696" s="326"/>
      <c r="AY696" s="326"/>
      <c r="AZ696" s="326"/>
      <c r="BA696" s="326"/>
      <c r="BB696" s="327"/>
    </row>
    <row r="697" spans="1:54" ht="15.75" customHeight="1" x14ac:dyDescent="0.25">
      <c r="A697" s="11">
        <f t="shared" si="2"/>
        <v>684</v>
      </c>
      <c r="B697" s="504" t="str">
        <f>'refer admin discharge'!B693</f>
        <v>x</v>
      </c>
      <c r="C697" s="327"/>
      <c r="D697" s="505" t="str">
        <f>'refer admin discharge'!D693</f>
        <v>xx</v>
      </c>
      <c r="E697" s="327"/>
      <c r="F697" s="606" t="str">
        <f>'refer admin discharge'!H693</f>
        <v>00/00/0000</v>
      </c>
      <c r="G697" s="327"/>
      <c r="H697" s="594"/>
      <c r="I697" s="327"/>
      <c r="J697" s="605"/>
      <c r="K697" s="327"/>
      <c r="L697" s="594"/>
      <c r="M697" s="327"/>
      <c r="N697" s="575"/>
      <c r="O697" s="327"/>
      <c r="P697" s="594"/>
      <c r="Q697" s="327"/>
      <c r="R697" s="575"/>
      <c r="S697" s="327"/>
      <c r="T697" s="594"/>
      <c r="U697" s="327"/>
      <c r="V697" s="595" t="str">
        <f>'refer admin discharge'!H698</f>
        <v>00/00/0000</v>
      </c>
      <c r="W697" s="327"/>
      <c r="X697" s="577"/>
      <c r="Y697" s="327"/>
      <c r="Z697" s="604"/>
      <c r="AA697" s="327"/>
      <c r="AB697" s="577"/>
      <c r="AC697" s="327"/>
      <c r="AD697" s="576"/>
      <c r="AE697" s="327"/>
      <c r="AF697" s="577"/>
      <c r="AG697" s="327"/>
      <c r="AH697" s="576"/>
      <c r="AI697" s="327"/>
      <c r="AJ697" s="577"/>
      <c r="AK697" s="327"/>
      <c r="AL697" s="602"/>
      <c r="AM697" s="326"/>
      <c r="AN697" s="326"/>
      <c r="AO697" s="326"/>
      <c r="AP697" s="326"/>
      <c r="AQ697" s="326"/>
      <c r="AR697" s="326"/>
      <c r="AS697" s="326"/>
      <c r="AT697" s="326"/>
      <c r="AU697" s="326"/>
      <c r="AV697" s="326"/>
      <c r="AW697" s="326"/>
      <c r="AX697" s="326"/>
      <c r="AY697" s="326"/>
      <c r="AZ697" s="326"/>
      <c r="BA697" s="326"/>
      <c r="BB697" s="327"/>
    </row>
    <row r="698" spans="1:54" ht="15.75" customHeight="1" x14ac:dyDescent="0.25">
      <c r="A698" s="11">
        <f t="shared" si="2"/>
        <v>685</v>
      </c>
      <c r="B698" s="570" t="str">
        <f>'refer admin discharge'!B694</f>
        <v>x</v>
      </c>
      <c r="C698" s="327"/>
      <c r="D698" s="599" t="str">
        <f>'refer admin discharge'!D694</f>
        <v>xx</v>
      </c>
      <c r="E698" s="327"/>
      <c r="F698" s="600" t="str">
        <f>'refer admin discharge'!H694</f>
        <v>00/00/0000</v>
      </c>
      <c r="G698" s="327"/>
      <c r="H698" s="574"/>
      <c r="I698" s="327"/>
      <c r="J698" s="601"/>
      <c r="K698" s="327"/>
      <c r="L698" s="574"/>
      <c r="M698" s="327"/>
      <c r="N698" s="594"/>
      <c r="O698" s="327"/>
      <c r="P698" s="574"/>
      <c r="Q698" s="327"/>
      <c r="R698" s="594"/>
      <c r="S698" s="327"/>
      <c r="T698" s="574"/>
      <c r="U698" s="327"/>
      <c r="V698" s="595" t="str">
        <f>'refer admin discharge'!H699</f>
        <v>00/00/0000</v>
      </c>
      <c r="W698" s="327"/>
      <c r="X698" s="596"/>
      <c r="Y698" s="327"/>
      <c r="Z698" s="597"/>
      <c r="AA698" s="327"/>
      <c r="AB698" s="596"/>
      <c r="AC698" s="327"/>
      <c r="AD698" s="577"/>
      <c r="AE698" s="327"/>
      <c r="AF698" s="596"/>
      <c r="AG698" s="327"/>
      <c r="AH698" s="577"/>
      <c r="AI698" s="327"/>
      <c r="AJ698" s="596"/>
      <c r="AK698" s="327"/>
      <c r="AL698" s="598"/>
      <c r="AM698" s="326"/>
      <c r="AN698" s="326"/>
      <c r="AO698" s="326"/>
      <c r="AP698" s="326"/>
      <c r="AQ698" s="326"/>
      <c r="AR698" s="326"/>
      <c r="AS698" s="326"/>
      <c r="AT698" s="326"/>
      <c r="AU698" s="326"/>
      <c r="AV698" s="326"/>
      <c r="AW698" s="326"/>
      <c r="AX698" s="326"/>
      <c r="AY698" s="326"/>
      <c r="AZ698" s="326"/>
      <c r="BA698" s="326"/>
      <c r="BB698" s="327"/>
    </row>
    <row r="699" spans="1:54" ht="15.75" customHeight="1" x14ac:dyDescent="0.25">
      <c r="A699" s="11">
        <f t="shared" si="2"/>
        <v>686</v>
      </c>
      <c r="B699" s="504" t="str">
        <f>'refer admin discharge'!B695</f>
        <v>x</v>
      </c>
      <c r="C699" s="327"/>
      <c r="D699" s="505" t="str">
        <f>'refer admin discharge'!D695</f>
        <v>xx</v>
      </c>
      <c r="E699" s="327"/>
      <c r="F699" s="606" t="str">
        <f>'refer admin discharge'!H695</f>
        <v>00/00/0000</v>
      </c>
      <c r="G699" s="327"/>
      <c r="H699" s="594"/>
      <c r="I699" s="327"/>
      <c r="J699" s="605"/>
      <c r="K699" s="327"/>
      <c r="L699" s="594"/>
      <c r="M699" s="327"/>
      <c r="N699" s="575"/>
      <c r="O699" s="327"/>
      <c r="P699" s="594"/>
      <c r="Q699" s="327"/>
      <c r="R699" s="575"/>
      <c r="S699" s="327"/>
      <c r="T699" s="594"/>
      <c r="U699" s="327"/>
      <c r="V699" s="595" t="str">
        <f>'refer admin discharge'!H700</f>
        <v>00/00/0000</v>
      </c>
      <c r="W699" s="327"/>
      <c r="X699" s="577"/>
      <c r="Y699" s="327"/>
      <c r="Z699" s="604"/>
      <c r="AA699" s="327"/>
      <c r="AB699" s="577"/>
      <c r="AC699" s="327"/>
      <c r="AD699" s="576"/>
      <c r="AE699" s="327"/>
      <c r="AF699" s="577"/>
      <c r="AG699" s="327"/>
      <c r="AH699" s="576"/>
      <c r="AI699" s="327"/>
      <c r="AJ699" s="577"/>
      <c r="AK699" s="327"/>
      <c r="AL699" s="602"/>
      <c r="AM699" s="326"/>
      <c r="AN699" s="326"/>
      <c r="AO699" s="326"/>
      <c r="AP699" s="326"/>
      <c r="AQ699" s="326"/>
      <c r="AR699" s="326"/>
      <c r="AS699" s="326"/>
      <c r="AT699" s="326"/>
      <c r="AU699" s="326"/>
      <c r="AV699" s="326"/>
      <c r="AW699" s="326"/>
      <c r="AX699" s="326"/>
      <c r="AY699" s="326"/>
      <c r="AZ699" s="326"/>
      <c r="BA699" s="326"/>
      <c r="BB699" s="327"/>
    </row>
    <row r="700" spans="1:54" ht="15.75" customHeight="1" x14ac:dyDescent="0.25">
      <c r="A700" s="11">
        <f t="shared" si="2"/>
        <v>687</v>
      </c>
      <c r="B700" s="570" t="str">
        <f>'refer admin discharge'!B696</f>
        <v>x</v>
      </c>
      <c r="C700" s="327"/>
      <c r="D700" s="599" t="str">
        <f>'refer admin discharge'!D696</f>
        <v>xx</v>
      </c>
      <c r="E700" s="327"/>
      <c r="F700" s="600" t="str">
        <f>'refer admin discharge'!H696</f>
        <v>00/00/0000</v>
      </c>
      <c r="G700" s="327"/>
      <c r="H700" s="574"/>
      <c r="I700" s="327"/>
      <c r="J700" s="601"/>
      <c r="K700" s="327"/>
      <c r="L700" s="574"/>
      <c r="M700" s="327"/>
      <c r="N700" s="594"/>
      <c r="O700" s="327"/>
      <c r="P700" s="574"/>
      <c r="Q700" s="327"/>
      <c r="R700" s="594"/>
      <c r="S700" s="327"/>
      <c r="T700" s="574"/>
      <c r="U700" s="327"/>
      <c r="V700" s="595" t="str">
        <f>'refer admin discharge'!H701</f>
        <v>00/00/0000</v>
      </c>
      <c r="W700" s="327"/>
      <c r="X700" s="596"/>
      <c r="Y700" s="327"/>
      <c r="Z700" s="597"/>
      <c r="AA700" s="327"/>
      <c r="AB700" s="596"/>
      <c r="AC700" s="327"/>
      <c r="AD700" s="577"/>
      <c r="AE700" s="327"/>
      <c r="AF700" s="596"/>
      <c r="AG700" s="327"/>
      <c r="AH700" s="577"/>
      <c r="AI700" s="327"/>
      <c r="AJ700" s="596"/>
      <c r="AK700" s="327"/>
      <c r="AL700" s="598"/>
      <c r="AM700" s="326"/>
      <c r="AN700" s="326"/>
      <c r="AO700" s="326"/>
      <c r="AP700" s="326"/>
      <c r="AQ700" s="326"/>
      <c r="AR700" s="326"/>
      <c r="AS700" s="326"/>
      <c r="AT700" s="326"/>
      <c r="AU700" s="326"/>
      <c r="AV700" s="326"/>
      <c r="AW700" s="326"/>
      <c r="AX700" s="326"/>
      <c r="AY700" s="326"/>
      <c r="AZ700" s="326"/>
      <c r="BA700" s="326"/>
      <c r="BB700" s="327"/>
    </row>
    <row r="701" spans="1:54" ht="15.75" customHeight="1" x14ac:dyDescent="0.25">
      <c r="A701" s="11">
        <f t="shared" si="2"/>
        <v>688</v>
      </c>
      <c r="B701" s="504" t="str">
        <f>'refer admin discharge'!B697</f>
        <v>x</v>
      </c>
      <c r="C701" s="327"/>
      <c r="D701" s="505" t="str">
        <f>'refer admin discharge'!D697</f>
        <v>xx</v>
      </c>
      <c r="E701" s="327"/>
      <c r="F701" s="606" t="str">
        <f>'refer admin discharge'!H697</f>
        <v>00/00/0000</v>
      </c>
      <c r="G701" s="327"/>
      <c r="H701" s="594"/>
      <c r="I701" s="327"/>
      <c r="J701" s="605"/>
      <c r="K701" s="327"/>
      <c r="L701" s="594"/>
      <c r="M701" s="327"/>
      <c r="N701" s="575"/>
      <c r="O701" s="327"/>
      <c r="P701" s="594"/>
      <c r="Q701" s="327"/>
      <c r="R701" s="575"/>
      <c r="S701" s="327"/>
      <c r="T701" s="594"/>
      <c r="U701" s="327"/>
      <c r="V701" s="595" t="str">
        <f>'refer admin discharge'!H702</f>
        <v>00/00/0000</v>
      </c>
      <c r="W701" s="327"/>
      <c r="X701" s="577"/>
      <c r="Y701" s="327"/>
      <c r="Z701" s="604"/>
      <c r="AA701" s="327"/>
      <c r="AB701" s="577"/>
      <c r="AC701" s="327"/>
      <c r="AD701" s="576"/>
      <c r="AE701" s="327"/>
      <c r="AF701" s="577"/>
      <c r="AG701" s="327"/>
      <c r="AH701" s="576"/>
      <c r="AI701" s="327"/>
      <c r="AJ701" s="577"/>
      <c r="AK701" s="327"/>
      <c r="AL701" s="602"/>
      <c r="AM701" s="326"/>
      <c r="AN701" s="326"/>
      <c r="AO701" s="326"/>
      <c r="AP701" s="326"/>
      <c r="AQ701" s="326"/>
      <c r="AR701" s="326"/>
      <c r="AS701" s="326"/>
      <c r="AT701" s="326"/>
      <c r="AU701" s="326"/>
      <c r="AV701" s="326"/>
      <c r="AW701" s="326"/>
      <c r="AX701" s="326"/>
      <c r="AY701" s="326"/>
      <c r="AZ701" s="326"/>
      <c r="BA701" s="326"/>
      <c r="BB701" s="327"/>
    </row>
    <row r="702" spans="1:54" ht="15.75" customHeight="1" x14ac:dyDescent="0.25">
      <c r="A702" s="11">
        <f t="shared" si="2"/>
        <v>689</v>
      </c>
      <c r="B702" s="570" t="str">
        <f>'refer admin discharge'!B698</f>
        <v>x</v>
      </c>
      <c r="C702" s="327"/>
      <c r="D702" s="599" t="str">
        <f>'refer admin discharge'!D698</f>
        <v>xx</v>
      </c>
      <c r="E702" s="327"/>
      <c r="F702" s="600" t="str">
        <f>'refer admin discharge'!H698</f>
        <v>00/00/0000</v>
      </c>
      <c r="G702" s="327"/>
      <c r="H702" s="574"/>
      <c r="I702" s="327"/>
      <c r="J702" s="601"/>
      <c r="K702" s="327"/>
      <c r="L702" s="574"/>
      <c r="M702" s="327"/>
      <c r="N702" s="594"/>
      <c r="O702" s="327"/>
      <c r="P702" s="574"/>
      <c r="Q702" s="327"/>
      <c r="R702" s="594"/>
      <c r="S702" s="327"/>
      <c r="T702" s="574"/>
      <c r="U702" s="327"/>
      <c r="V702" s="595" t="str">
        <f>'refer admin discharge'!H703</f>
        <v>00/00/0000</v>
      </c>
      <c r="W702" s="327"/>
      <c r="X702" s="596"/>
      <c r="Y702" s="327"/>
      <c r="Z702" s="597"/>
      <c r="AA702" s="327"/>
      <c r="AB702" s="596"/>
      <c r="AC702" s="327"/>
      <c r="AD702" s="577"/>
      <c r="AE702" s="327"/>
      <c r="AF702" s="596"/>
      <c r="AG702" s="327"/>
      <c r="AH702" s="577"/>
      <c r="AI702" s="327"/>
      <c r="AJ702" s="596"/>
      <c r="AK702" s="327"/>
      <c r="AL702" s="598"/>
      <c r="AM702" s="326"/>
      <c r="AN702" s="326"/>
      <c r="AO702" s="326"/>
      <c r="AP702" s="326"/>
      <c r="AQ702" s="326"/>
      <c r="AR702" s="326"/>
      <c r="AS702" s="326"/>
      <c r="AT702" s="326"/>
      <c r="AU702" s="326"/>
      <c r="AV702" s="326"/>
      <c r="AW702" s="326"/>
      <c r="AX702" s="326"/>
      <c r="AY702" s="326"/>
      <c r="AZ702" s="326"/>
      <c r="BA702" s="326"/>
      <c r="BB702" s="327"/>
    </row>
    <row r="703" spans="1:54" ht="15.75" customHeight="1" x14ac:dyDescent="0.25">
      <c r="A703" s="11">
        <f t="shared" si="2"/>
        <v>690</v>
      </c>
      <c r="B703" s="504" t="str">
        <f>'refer admin discharge'!B699</f>
        <v>x</v>
      </c>
      <c r="C703" s="327"/>
      <c r="D703" s="505" t="str">
        <f>'refer admin discharge'!D699</f>
        <v>xx</v>
      </c>
      <c r="E703" s="327"/>
      <c r="F703" s="606" t="str">
        <f>'refer admin discharge'!H699</f>
        <v>00/00/0000</v>
      </c>
      <c r="G703" s="327"/>
      <c r="H703" s="594"/>
      <c r="I703" s="327"/>
      <c r="J703" s="605"/>
      <c r="K703" s="327"/>
      <c r="L703" s="594"/>
      <c r="M703" s="327"/>
      <c r="N703" s="575"/>
      <c r="O703" s="327"/>
      <c r="P703" s="594"/>
      <c r="Q703" s="327"/>
      <c r="R703" s="575"/>
      <c r="S703" s="327"/>
      <c r="T703" s="594"/>
      <c r="U703" s="327"/>
      <c r="V703" s="595" t="str">
        <f>'refer admin discharge'!H704</f>
        <v>00/00/0000</v>
      </c>
      <c r="W703" s="327"/>
      <c r="X703" s="577"/>
      <c r="Y703" s="327"/>
      <c r="Z703" s="604"/>
      <c r="AA703" s="327"/>
      <c r="AB703" s="577"/>
      <c r="AC703" s="327"/>
      <c r="AD703" s="576"/>
      <c r="AE703" s="327"/>
      <c r="AF703" s="577"/>
      <c r="AG703" s="327"/>
      <c r="AH703" s="576"/>
      <c r="AI703" s="327"/>
      <c r="AJ703" s="577"/>
      <c r="AK703" s="327"/>
      <c r="AL703" s="602"/>
      <c r="AM703" s="326"/>
      <c r="AN703" s="326"/>
      <c r="AO703" s="326"/>
      <c r="AP703" s="326"/>
      <c r="AQ703" s="326"/>
      <c r="AR703" s="326"/>
      <c r="AS703" s="326"/>
      <c r="AT703" s="326"/>
      <c r="AU703" s="326"/>
      <c r="AV703" s="326"/>
      <c r="AW703" s="326"/>
      <c r="AX703" s="326"/>
      <c r="AY703" s="326"/>
      <c r="AZ703" s="326"/>
      <c r="BA703" s="326"/>
      <c r="BB703" s="327"/>
    </row>
    <row r="704" spans="1:54" ht="15.75" customHeight="1" x14ac:dyDescent="0.25">
      <c r="A704" s="11">
        <f t="shared" si="2"/>
        <v>691</v>
      </c>
      <c r="B704" s="570" t="str">
        <f>'refer admin discharge'!B700</f>
        <v>x</v>
      </c>
      <c r="C704" s="327"/>
      <c r="D704" s="599" t="str">
        <f>'refer admin discharge'!D700</f>
        <v>xx</v>
      </c>
      <c r="E704" s="327"/>
      <c r="F704" s="600" t="str">
        <f>'refer admin discharge'!H700</f>
        <v>00/00/0000</v>
      </c>
      <c r="G704" s="327"/>
      <c r="H704" s="574"/>
      <c r="I704" s="327"/>
      <c r="J704" s="601"/>
      <c r="K704" s="327"/>
      <c r="L704" s="574"/>
      <c r="M704" s="327"/>
      <c r="N704" s="594"/>
      <c r="O704" s="327"/>
      <c r="P704" s="574"/>
      <c r="Q704" s="327"/>
      <c r="R704" s="594"/>
      <c r="S704" s="327"/>
      <c r="T704" s="574"/>
      <c r="U704" s="327"/>
      <c r="V704" s="595" t="str">
        <f>'refer admin discharge'!H705</f>
        <v>00/00/0000</v>
      </c>
      <c r="W704" s="327"/>
      <c r="X704" s="596"/>
      <c r="Y704" s="327"/>
      <c r="Z704" s="597"/>
      <c r="AA704" s="327"/>
      <c r="AB704" s="596"/>
      <c r="AC704" s="327"/>
      <c r="AD704" s="577"/>
      <c r="AE704" s="327"/>
      <c r="AF704" s="596"/>
      <c r="AG704" s="327"/>
      <c r="AH704" s="577"/>
      <c r="AI704" s="327"/>
      <c r="AJ704" s="596"/>
      <c r="AK704" s="327"/>
      <c r="AL704" s="598"/>
      <c r="AM704" s="326"/>
      <c r="AN704" s="326"/>
      <c r="AO704" s="326"/>
      <c r="AP704" s="326"/>
      <c r="AQ704" s="326"/>
      <c r="AR704" s="326"/>
      <c r="AS704" s="326"/>
      <c r="AT704" s="326"/>
      <c r="AU704" s="326"/>
      <c r="AV704" s="326"/>
      <c r="AW704" s="326"/>
      <c r="AX704" s="326"/>
      <c r="AY704" s="326"/>
      <c r="AZ704" s="326"/>
      <c r="BA704" s="326"/>
      <c r="BB704" s="327"/>
    </row>
    <row r="705" spans="1:54" ht="15.75" customHeight="1" x14ac:dyDescent="0.25">
      <c r="A705" s="11">
        <f t="shared" si="2"/>
        <v>692</v>
      </c>
      <c r="B705" s="504" t="str">
        <f>'refer admin discharge'!B701</f>
        <v>x</v>
      </c>
      <c r="C705" s="327"/>
      <c r="D705" s="505" t="str">
        <f>'refer admin discharge'!D701</f>
        <v>xx</v>
      </c>
      <c r="E705" s="327"/>
      <c r="F705" s="606" t="str">
        <f>'refer admin discharge'!H701</f>
        <v>00/00/0000</v>
      </c>
      <c r="G705" s="327"/>
      <c r="H705" s="594"/>
      <c r="I705" s="327"/>
      <c r="J705" s="605"/>
      <c r="K705" s="327"/>
      <c r="L705" s="594"/>
      <c r="M705" s="327"/>
      <c r="N705" s="575"/>
      <c r="O705" s="327"/>
      <c r="P705" s="594"/>
      <c r="Q705" s="327"/>
      <c r="R705" s="575"/>
      <c r="S705" s="327"/>
      <c r="T705" s="594"/>
      <c r="U705" s="327"/>
      <c r="V705" s="595" t="str">
        <f>'refer admin discharge'!H706</f>
        <v>00/00/0000</v>
      </c>
      <c r="W705" s="327"/>
      <c r="X705" s="577"/>
      <c r="Y705" s="327"/>
      <c r="Z705" s="604"/>
      <c r="AA705" s="327"/>
      <c r="AB705" s="577"/>
      <c r="AC705" s="327"/>
      <c r="AD705" s="576"/>
      <c r="AE705" s="327"/>
      <c r="AF705" s="577"/>
      <c r="AG705" s="327"/>
      <c r="AH705" s="576"/>
      <c r="AI705" s="327"/>
      <c r="AJ705" s="577"/>
      <c r="AK705" s="327"/>
      <c r="AL705" s="602"/>
      <c r="AM705" s="326"/>
      <c r="AN705" s="326"/>
      <c r="AO705" s="326"/>
      <c r="AP705" s="326"/>
      <c r="AQ705" s="326"/>
      <c r="AR705" s="326"/>
      <c r="AS705" s="326"/>
      <c r="AT705" s="326"/>
      <c r="AU705" s="326"/>
      <c r="AV705" s="326"/>
      <c r="AW705" s="326"/>
      <c r="AX705" s="326"/>
      <c r="AY705" s="326"/>
      <c r="AZ705" s="326"/>
      <c r="BA705" s="326"/>
      <c r="BB705" s="327"/>
    </row>
    <row r="706" spans="1:54" ht="15.75" customHeight="1" x14ac:dyDescent="0.25">
      <c r="A706" s="11">
        <f t="shared" si="2"/>
        <v>693</v>
      </c>
      <c r="B706" s="570" t="str">
        <f>'refer admin discharge'!B702</f>
        <v>x</v>
      </c>
      <c r="C706" s="327"/>
      <c r="D706" s="599" t="str">
        <f>'refer admin discharge'!D702</f>
        <v>xx</v>
      </c>
      <c r="E706" s="327"/>
      <c r="F706" s="600" t="str">
        <f>'refer admin discharge'!H702</f>
        <v>00/00/0000</v>
      </c>
      <c r="G706" s="327"/>
      <c r="H706" s="574"/>
      <c r="I706" s="327"/>
      <c r="J706" s="601"/>
      <c r="K706" s="327"/>
      <c r="L706" s="574"/>
      <c r="M706" s="327"/>
      <c r="N706" s="594"/>
      <c r="O706" s="327"/>
      <c r="P706" s="574"/>
      <c r="Q706" s="327"/>
      <c r="R706" s="594"/>
      <c r="S706" s="327"/>
      <c r="T706" s="574"/>
      <c r="U706" s="327"/>
      <c r="V706" s="595" t="str">
        <f>'refer admin discharge'!H707</f>
        <v>00/00/0000</v>
      </c>
      <c r="W706" s="327"/>
      <c r="X706" s="596"/>
      <c r="Y706" s="327"/>
      <c r="Z706" s="597"/>
      <c r="AA706" s="327"/>
      <c r="AB706" s="596"/>
      <c r="AC706" s="327"/>
      <c r="AD706" s="577"/>
      <c r="AE706" s="327"/>
      <c r="AF706" s="596"/>
      <c r="AG706" s="327"/>
      <c r="AH706" s="577"/>
      <c r="AI706" s="327"/>
      <c r="AJ706" s="596"/>
      <c r="AK706" s="327"/>
      <c r="AL706" s="598"/>
      <c r="AM706" s="326"/>
      <c r="AN706" s="326"/>
      <c r="AO706" s="326"/>
      <c r="AP706" s="326"/>
      <c r="AQ706" s="326"/>
      <c r="AR706" s="326"/>
      <c r="AS706" s="326"/>
      <c r="AT706" s="326"/>
      <c r="AU706" s="326"/>
      <c r="AV706" s="326"/>
      <c r="AW706" s="326"/>
      <c r="AX706" s="326"/>
      <c r="AY706" s="326"/>
      <c r="AZ706" s="326"/>
      <c r="BA706" s="326"/>
      <c r="BB706" s="327"/>
    </row>
    <row r="707" spans="1:54" ht="15.75" customHeight="1" x14ac:dyDescent="0.25">
      <c r="A707" s="11">
        <f t="shared" si="2"/>
        <v>694</v>
      </c>
      <c r="B707" s="504" t="str">
        <f>'refer admin discharge'!B703</f>
        <v>x</v>
      </c>
      <c r="C707" s="327"/>
      <c r="D707" s="505" t="str">
        <f>'refer admin discharge'!D703</f>
        <v>xx</v>
      </c>
      <c r="E707" s="327"/>
      <c r="F707" s="606" t="str">
        <f>'refer admin discharge'!H703</f>
        <v>00/00/0000</v>
      </c>
      <c r="G707" s="327"/>
      <c r="H707" s="594"/>
      <c r="I707" s="327"/>
      <c r="J707" s="605"/>
      <c r="K707" s="327"/>
      <c r="L707" s="594"/>
      <c r="M707" s="327"/>
      <c r="N707" s="575"/>
      <c r="O707" s="327"/>
      <c r="P707" s="594"/>
      <c r="Q707" s="327"/>
      <c r="R707" s="575"/>
      <c r="S707" s="327"/>
      <c r="T707" s="594"/>
      <c r="U707" s="327"/>
      <c r="V707" s="595" t="str">
        <f>'refer admin discharge'!H708</f>
        <v>00/00/0000</v>
      </c>
      <c r="W707" s="327"/>
      <c r="X707" s="577"/>
      <c r="Y707" s="327"/>
      <c r="Z707" s="604"/>
      <c r="AA707" s="327"/>
      <c r="AB707" s="577"/>
      <c r="AC707" s="327"/>
      <c r="AD707" s="576"/>
      <c r="AE707" s="327"/>
      <c r="AF707" s="577"/>
      <c r="AG707" s="327"/>
      <c r="AH707" s="576"/>
      <c r="AI707" s="327"/>
      <c r="AJ707" s="577"/>
      <c r="AK707" s="327"/>
      <c r="AL707" s="602"/>
      <c r="AM707" s="326"/>
      <c r="AN707" s="326"/>
      <c r="AO707" s="326"/>
      <c r="AP707" s="326"/>
      <c r="AQ707" s="326"/>
      <c r="AR707" s="326"/>
      <c r="AS707" s="326"/>
      <c r="AT707" s="326"/>
      <c r="AU707" s="326"/>
      <c r="AV707" s="326"/>
      <c r="AW707" s="326"/>
      <c r="AX707" s="326"/>
      <c r="AY707" s="326"/>
      <c r="AZ707" s="326"/>
      <c r="BA707" s="326"/>
      <c r="BB707" s="327"/>
    </row>
    <row r="708" spans="1:54" ht="15.75" customHeight="1" x14ac:dyDescent="0.25">
      <c r="A708" s="11">
        <f t="shared" si="2"/>
        <v>695</v>
      </c>
      <c r="B708" s="570" t="str">
        <f>'refer admin discharge'!B704</f>
        <v>x</v>
      </c>
      <c r="C708" s="327"/>
      <c r="D708" s="599" t="str">
        <f>'refer admin discharge'!D704</f>
        <v>xx</v>
      </c>
      <c r="E708" s="327"/>
      <c r="F708" s="600" t="str">
        <f>'refer admin discharge'!H704</f>
        <v>00/00/0000</v>
      </c>
      <c r="G708" s="327"/>
      <c r="H708" s="574"/>
      <c r="I708" s="327"/>
      <c r="J708" s="601"/>
      <c r="K708" s="327"/>
      <c r="L708" s="574"/>
      <c r="M708" s="327"/>
      <c r="N708" s="594"/>
      <c r="O708" s="327"/>
      <c r="P708" s="574"/>
      <c r="Q708" s="327"/>
      <c r="R708" s="594"/>
      <c r="S708" s="327"/>
      <c r="T708" s="574"/>
      <c r="U708" s="327"/>
      <c r="V708" s="595" t="str">
        <f>'refer admin discharge'!H709</f>
        <v>00/00/0000</v>
      </c>
      <c r="W708" s="327"/>
      <c r="X708" s="596"/>
      <c r="Y708" s="327"/>
      <c r="Z708" s="597"/>
      <c r="AA708" s="327"/>
      <c r="AB708" s="596"/>
      <c r="AC708" s="327"/>
      <c r="AD708" s="577"/>
      <c r="AE708" s="327"/>
      <c r="AF708" s="596"/>
      <c r="AG708" s="327"/>
      <c r="AH708" s="577"/>
      <c r="AI708" s="327"/>
      <c r="AJ708" s="596"/>
      <c r="AK708" s="327"/>
      <c r="AL708" s="598"/>
      <c r="AM708" s="326"/>
      <c r="AN708" s="326"/>
      <c r="AO708" s="326"/>
      <c r="AP708" s="326"/>
      <c r="AQ708" s="326"/>
      <c r="AR708" s="326"/>
      <c r="AS708" s="326"/>
      <c r="AT708" s="326"/>
      <c r="AU708" s="326"/>
      <c r="AV708" s="326"/>
      <c r="AW708" s="326"/>
      <c r="AX708" s="326"/>
      <c r="AY708" s="326"/>
      <c r="AZ708" s="326"/>
      <c r="BA708" s="326"/>
      <c r="BB708" s="327"/>
    </row>
    <row r="709" spans="1:54" ht="15.75" customHeight="1" x14ac:dyDescent="0.25">
      <c r="A709" s="11">
        <f t="shared" si="2"/>
        <v>696</v>
      </c>
      <c r="B709" s="504" t="str">
        <f>'refer admin discharge'!B705</f>
        <v>x</v>
      </c>
      <c r="C709" s="327"/>
      <c r="D709" s="505" t="str">
        <f>'refer admin discharge'!D705</f>
        <v>xx</v>
      </c>
      <c r="E709" s="327"/>
      <c r="F709" s="606" t="str">
        <f>'refer admin discharge'!H705</f>
        <v>00/00/0000</v>
      </c>
      <c r="G709" s="327"/>
      <c r="H709" s="594"/>
      <c r="I709" s="327"/>
      <c r="J709" s="605"/>
      <c r="K709" s="327"/>
      <c r="L709" s="594"/>
      <c r="M709" s="327"/>
      <c r="N709" s="575"/>
      <c r="O709" s="327"/>
      <c r="P709" s="594"/>
      <c r="Q709" s="327"/>
      <c r="R709" s="575"/>
      <c r="S709" s="327"/>
      <c r="T709" s="594"/>
      <c r="U709" s="327"/>
      <c r="V709" s="595" t="str">
        <f>'refer admin discharge'!H710</f>
        <v>00/00/0000</v>
      </c>
      <c r="W709" s="327"/>
      <c r="X709" s="577"/>
      <c r="Y709" s="327"/>
      <c r="Z709" s="604"/>
      <c r="AA709" s="327"/>
      <c r="AB709" s="577"/>
      <c r="AC709" s="327"/>
      <c r="AD709" s="576"/>
      <c r="AE709" s="327"/>
      <c r="AF709" s="577"/>
      <c r="AG709" s="327"/>
      <c r="AH709" s="576"/>
      <c r="AI709" s="327"/>
      <c r="AJ709" s="577"/>
      <c r="AK709" s="327"/>
      <c r="AL709" s="602"/>
      <c r="AM709" s="326"/>
      <c r="AN709" s="326"/>
      <c r="AO709" s="326"/>
      <c r="AP709" s="326"/>
      <c r="AQ709" s="326"/>
      <c r="AR709" s="326"/>
      <c r="AS709" s="326"/>
      <c r="AT709" s="326"/>
      <c r="AU709" s="326"/>
      <c r="AV709" s="326"/>
      <c r="AW709" s="326"/>
      <c r="AX709" s="326"/>
      <c r="AY709" s="326"/>
      <c r="AZ709" s="326"/>
      <c r="BA709" s="326"/>
      <c r="BB709" s="327"/>
    </row>
    <row r="710" spans="1:54" ht="15.75" customHeight="1" x14ac:dyDescent="0.25">
      <c r="A710" s="11">
        <f t="shared" si="2"/>
        <v>697</v>
      </c>
      <c r="B710" s="570" t="str">
        <f>'refer admin discharge'!B706</f>
        <v>x</v>
      </c>
      <c r="C710" s="327"/>
      <c r="D710" s="599" t="str">
        <f>'refer admin discharge'!D706</f>
        <v>xx</v>
      </c>
      <c r="E710" s="327"/>
      <c r="F710" s="600" t="str">
        <f>'refer admin discharge'!H706</f>
        <v>00/00/0000</v>
      </c>
      <c r="G710" s="327"/>
      <c r="H710" s="574"/>
      <c r="I710" s="327"/>
      <c r="J710" s="601"/>
      <c r="K710" s="327"/>
      <c r="L710" s="574"/>
      <c r="M710" s="327"/>
      <c r="N710" s="594"/>
      <c r="O710" s="327"/>
      <c r="P710" s="574"/>
      <c r="Q710" s="327"/>
      <c r="R710" s="594"/>
      <c r="S710" s="327"/>
      <c r="T710" s="574"/>
      <c r="U710" s="327"/>
      <c r="V710" s="595" t="str">
        <f>'refer admin discharge'!H711</f>
        <v>00/00/0000</v>
      </c>
      <c r="W710" s="327"/>
      <c r="X710" s="596"/>
      <c r="Y710" s="327"/>
      <c r="Z710" s="597"/>
      <c r="AA710" s="327"/>
      <c r="AB710" s="596"/>
      <c r="AC710" s="327"/>
      <c r="AD710" s="577"/>
      <c r="AE710" s="327"/>
      <c r="AF710" s="596"/>
      <c r="AG710" s="327"/>
      <c r="AH710" s="577"/>
      <c r="AI710" s="327"/>
      <c r="AJ710" s="596"/>
      <c r="AK710" s="327"/>
      <c r="AL710" s="598"/>
      <c r="AM710" s="326"/>
      <c r="AN710" s="326"/>
      <c r="AO710" s="326"/>
      <c r="AP710" s="326"/>
      <c r="AQ710" s="326"/>
      <c r="AR710" s="326"/>
      <c r="AS710" s="326"/>
      <c r="AT710" s="326"/>
      <c r="AU710" s="326"/>
      <c r="AV710" s="326"/>
      <c r="AW710" s="326"/>
      <c r="AX710" s="326"/>
      <c r="AY710" s="326"/>
      <c r="AZ710" s="326"/>
      <c r="BA710" s="326"/>
      <c r="BB710" s="327"/>
    </row>
    <row r="711" spans="1:54" ht="15.75" customHeight="1" x14ac:dyDescent="0.25">
      <c r="A711" s="11">
        <f t="shared" si="2"/>
        <v>698</v>
      </c>
      <c r="B711" s="504" t="str">
        <f>'refer admin discharge'!B707</f>
        <v>x</v>
      </c>
      <c r="C711" s="327"/>
      <c r="D711" s="505" t="str">
        <f>'refer admin discharge'!D707</f>
        <v>xx</v>
      </c>
      <c r="E711" s="327"/>
      <c r="F711" s="606" t="str">
        <f>'refer admin discharge'!H707</f>
        <v>00/00/0000</v>
      </c>
      <c r="G711" s="327"/>
      <c r="H711" s="594"/>
      <c r="I711" s="327"/>
      <c r="J711" s="605"/>
      <c r="K711" s="327"/>
      <c r="L711" s="594"/>
      <c r="M711" s="327"/>
      <c r="N711" s="575"/>
      <c r="O711" s="327"/>
      <c r="P711" s="594"/>
      <c r="Q711" s="327"/>
      <c r="R711" s="575"/>
      <c r="S711" s="327"/>
      <c r="T711" s="594"/>
      <c r="U711" s="327"/>
      <c r="V711" s="595" t="str">
        <f>'refer admin discharge'!H712</f>
        <v>00/00/0000</v>
      </c>
      <c r="W711" s="327"/>
      <c r="X711" s="577"/>
      <c r="Y711" s="327"/>
      <c r="Z711" s="604"/>
      <c r="AA711" s="327"/>
      <c r="AB711" s="577"/>
      <c r="AC711" s="327"/>
      <c r="AD711" s="576"/>
      <c r="AE711" s="327"/>
      <c r="AF711" s="577"/>
      <c r="AG711" s="327"/>
      <c r="AH711" s="576"/>
      <c r="AI711" s="327"/>
      <c r="AJ711" s="577"/>
      <c r="AK711" s="327"/>
      <c r="AL711" s="602"/>
      <c r="AM711" s="326"/>
      <c r="AN711" s="326"/>
      <c r="AO711" s="326"/>
      <c r="AP711" s="326"/>
      <c r="AQ711" s="326"/>
      <c r="AR711" s="326"/>
      <c r="AS711" s="326"/>
      <c r="AT711" s="326"/>
      <c r="AU711" s="326"/>
      <c r="AV711" s="326"/>
      <c r="AW711" s="326"/>
      <c r="AX711" s="326"/>
      <c r="AY711" s="326"/>
      <c r="AZ711" s="326"/>
      <c r="BA711" s="326"/>
      <c r="BB711" s="327"/>
    </row>
    <row r="712" spans="1:54" ht="15.75" customHeight="1" x14ac:dyDescent="0.25">
      <c r="A712" s="11">
        <f t="shared" si="2"/>
        <v>699</v>
      </c>
      <c r="B712" s="570" t="str">
        <f>'refer admin discharge'!B708</f>
        <v>x</v>
      </c>
      <c r="C712" s="327"/>
      <c r="D712" s="599" t="str">
        <f>'refer admin discharge'!D708</f>
        <v>xx</v>
      </c>
      <c r="E712" s="327"/>
      <c r="F712" s="600" t="str">
        <f>'refer admin discharge'!H708</f>
        <v>00/00/0000</v>
      </c>
      <c r="G712" s="327"/>
      <c r="H712" s="574"/>
      <c r="I712" s="327"/>
      <c r="J712" s="601"/>
      <c r="K712" s="327"/>
      <c r="L712" s="574"/>
      <c r="M712" s="327"/>
      <c r="N712" s="594"/>
      <c r="O712" s="327"/>
      <c r="P712" s="574"/>
      <c r="Q712" s="327"/>
      <c r="R712" s="594"/>
      <c r="S712" s="327"/>
      <c r="T712" s="574"/>
      <c r="U712" s="327"/>
      <c r="V712" s="595" t="str">
        <f>'refer admin discharge'!H713</f>
        <v>00/00/0000</v>
      </c>
      <c r="W712" s="327"/>
      <c r="X712" s="596"/>
      <c r="Y712" s="327"/>
      <c r="Z712" s="597"/>
      <c r="AA712" s="327"/>
      <c r="AB712" s="596"/>
      <c r="AC712" s="327"/>
      <c r="AD712" s="577"/>
      <c r="AE712" s="327"/>
      <c r="AF712" s="596"/>
      <c r="AG712" s="327"/>
      <c r="AH712" s="577"/>
      <c r="AI712" s="327"/>
      <c r="AJ712" s="596"/>
      <c r="AK712" s="327"/>
      <c r="AL712" s="598"/>
      <c r="AM712" s="326"/>
      <c r="AN712" s="326"/>
      <c r="AO712" s="326"/>
      <c r="AP712" s="326"/>
      <c r="AQ712" s="326"/>
      <c r="AR712" s="326"/>
      <c r="AS712" s="326"/>
      <c r="AT712" s="326"/>
      <c r="AU712" s="326"/>
      <c r="AV712" s="326"/>
      <c r="AW712" s="326"/>
      <c r="AX712" s="326"/>
      <c r="AY712" s="326"/>
      <c r="AZ712" s="326"/>
      <c r="BA712" s="326"/>
      <c r="BB712" s="327"/>
    </row>
    <row r="713" spans="1:54" ht="15.75" customHeight="1" x14ac:dyDescent="0.25">
      <c r="A713" s="11">
        <f t="shared" si="2"/>
        <v>700</v>
      </c>
      <c r="B713" s="504" t="str">
        <f>'refer admin discharge'!B709</f>
        <v>x</v>
      </c>
      <c r="C713" s="327"/>
      <c r="D713" s="505" t="str">
        <f>'refer admin discharge'!D709</f>
        <v>xx</v>
      </c>
      <c r="E713" s="327"/>
      <c r="F713" s="606" t="str">
        <f>'refer admin discharge'!H709</f>
        <v>00/00/0000</v>
      </c>
      <c r="G713" s="327"/>
      <c r="H713" s="594"/>
      <c r="I713" s="327"/>
      <c r="J713" s="605"/>
      <c r="K713" s="327"/>
      <c r="L713" s="594"/>
      <c r="M713" s="327"/>
      <c r="N713" s="575"/>
      <c r="O713" s="327"/>
      <c r="P713" s="594"/>
      <c r="Q713" s="327"/>
      <c r="R713" s="575"/>
      <c r="S713" s="327"/>
      <c r="T713" s="594"/>
      <c r="U713" s="327"/>
      <c r="V713" s="595" t="str">
        <f>'refer admin discharge'!H714</f>
        <v>00/00/0000</v>
      </c>
      <c r="W713" s="327"/>
      <c r="X713" s="577"/>
      <c r="Y713" s="327"/>
      <c r="Z713" s="604"/>
      <c r="AA713" s="327"/>
      <c r="AB713" s="577"/>
      <c r="AC713" s="327"/>
      <c r="AD713" s="576"/>
      <c r="AE713" s="327"/>
      <c r="AF713" s="577"/>
      <c r="AG713" s="327"/>
      <c r="AH713" s="576"/>
      <c r="AI713" s="327"/>
      <c r="AJ713" s="577"/>
      <c r="AK713" s="327"/>
      <c r="AL713" s="602"/>
      <c r="AM713" s="326"/>
      <c r="AN713" s="326"/>
      <c r="AO713" s="326"/>
      <c r="AP713" s="326"/>
      <c r="AQ713" s="326"/>
      <c r="AR713" s="326"/>
      <c r="AS713" s="326"/>
      <c r="AT713" s="326"/>
      <c r="AU713" s="326"/>
      <c r="AV713" s="326"/>
      <c r="AW713" s="326"/>
      <c r="AX713" s="326"/>
      <c r="AY713" s="326"/>
      <c r="AZ713" s="326"/>
      <c r="BA713" s="326"/>
      <c r="BB713" s="327"/>
    </row>
    <row r="714" spans="1:54" ht="15.75" customHeight="1" x14ac:dyDescent="0.25">
      <c r="A714" s="11">
        <f t="shared" si="2"/>
        <v>701</v>
      </c>
      <c r="B714" s="570" t="str">
        <f>'refer admin discharge'!B710</f>
        <v>x</v>
      </c>
      <c r="C714" s="327"/>
      <c r="D714" s="599" t="str">
        <f>'refer admin discharge'!D710</f>
        <v>xx</v>
      </c>
      <c r="E714" s="327"/>
      <c r="F714" s="600" t="str">
        <f>'refer admin discharge'!H710</f>
        <v>00/00/0000</v>
      </c>
      <c r="G714" s="327"/>
      <c r="H714" s="574"/>
      <c r="I714" s="327"/>
      <c r="J714" s="601"/>
      <c r="K714" s="327"/>
      <c r="L714" s="574"/>
      <c r="M714" s="327"/>
      <c r="N714" s="594"/>
      <c r="O714" s="327"/>
      <c r="P714" s="574"/>
      <c r="Q714" s="327"/>
      <c r="R714" s="594"/>
      <c r="S714" s="327"/>
      <c r="T714" s="574"/>
      <c r="U714" s="327"/>
      <c r="V714" s="595" t="str">
        <f>'refer admin discharge'!H715</f>
        <v>00/00/0000</v>
      </c>
      <c r="W714" s="327"/>
      <c r="X714" s="596"/>
      <c r="Y714" s="327"/>
      <c r="Z714" s="597"/>
      <c r="AA714" s="327"/>
      <c r="AB714" s="596"/>
      <c r="AC714" s="327"/>
      <c r="AD714" s="577"/>
      <c r="AE714" s="327"/>
      <c r="AF714" s="596"/>
      <c r="AG714" s="327"/>
      <c r="AH714" s="577"/>
      <c r="AI714" s="327"/>
      <c r="AJ714" s="596"/>
      <c r="AK714" s="327"/>
      <c r="AL714" s="598"/>
      <c r="AM714" s="326"/>
      <c r="AN714" s="326"/>
      <c r="AO714" s="326"/>
      <c r="AP714" s="326"/>
      <c r="AQ714" s="326"/>
      <c r="AR714" s="326"/>
      <c r="AS714" s="326"/>
      <c r="AT714" s="326"/>
      <c r="AU714" s="326"/>
      <c r="AV714" s="326"/>
      <c r="AW714" s="326"/>
      <c r="AX714" s="326"/>
      <c r="AY714" s="326"/>
      <c r="AZ714" s="326"/>
      <c r="BA714" s="326"/>
      <c r="BB714" s="327"/>
    </row>
    <row r="715" spans="1:54" ht="15.75" customHeight="1" x14ac:dyDescent="0.25">
      <c r="A715" s="11">
        <f t="shared" si="2"/>
        <v>702</v>
      </c>
      <c r="B715" s="504" t="str">
        <f>'refer admin discharge'!B711</f>
        <v>x</v>
      </c>
      <c r="C715" s="327"/>
      <c r="D715" s="505" t="str">
        <f>'refer admin discharge'!D711</f>
        <v>xx</v>
      </c>
      <c r="E715" s="327"/>
      <c r="F715" s="606" t="str">
        <f>'refer admin discharge'!H711</f>
        <v>00/00/0000</v>
      </c>
      <c r="G715" s="327"/>
      <c r="H715" s="594"/>
      <c r="I715" s="327"/>
      <c r="J715" s="605"/>
      <c r="K715" s="327"/>
      <c r="L715" s="594"/>
      <c r="M715" s="327"/>
      <c r="N715" s="575"/>
      <c r="O715" s="327"/>
      <c r="P715" s="594"/>
      <c r="Q715" s="327"/>
      <c r="R715" s="575"/>
      <c r="S715" s="327"/>
      <c r="T715" s="594"/>
      <c r="U715" s="327"/>
      <c r="V715" s="595" t="str">
        <f>'refer admin discharge'!H716</f>
        <v>00/00/0000</v>
      </c>
      <c r="W715" s="327"/>
      <c r="X715" s="577"/>
      <c r="Y715" s="327"/>
      <c r="Z715" s="604"/>
      <c r="AA715" s="327"/>
      <c r="AB715" s="577"/>
      <c r="AC715" s="327"/>
      <c r="AD715" s="576"/>
      <c r="AE715" s="327"/>
      <c r="AF715" s="577"/>
      <c r="AG715" s="327"/>
      <c r="AH715" s="576"/>
      <c r="AI715" s="327"/>
      <c r="AJ715" s="577"/>
      <c r="AK715" s="327"/>
      <c r="AL715" s="602"/>
      <c r="AM715" s="326"/>
      <c r="AN715" s="326"/>
      <c r="AO715" s="326"/>
      <c r="AP715" s="326"/>
      <c r="AQ715" s="326"/>
      <c r="AR715" s="326"/>
      <c r="AS715" s="326"/>
      <c r="AT715" s="326"/>
      <c r="AU715" s="326"/>
      <c r="AV715" s="326"/>
      <c r="AW715" s="326"/>
      <c r="AX715" s="326"/>
      <c r="AY715" s="326"/>
      <c r="AZ715" s="326"/>
      <c r="BA715" s="326"/>
      <c r="BB715" s="327"/>
    </row>
    <row r="716" spans="1:54" ht="15.75" customHeight="1" x14ac:dyDescent="0.25">
      <c r="A716" s="11">
        <f t="shared" si="2"/>
        <v>703</v>
      </c>
      <c r="B716" s="570" t="str">
        <f>'refer admin discharge'!B712</f>
        <v>x</v>
      </c>
      <c r="C716" s="327"/>
      <c r="D716" s="599" t="str">
        <f>'refer admin discharge'!D712</f>
        <v>xx</v>
      </c>
      <c r="E716" s="327"/>
      <c r="F716" s="600" t="str">
        <f>'refer admin discharge'!H712</f>
        <v>00/00/0000</v>
      </c>
      <c r="G716" s="327"/>
      <c r="H716" s="574"/>
      <c r="I716" s="327"/>
      <c r="J716" s="601"/>
      <c r="K716" s="327"/>
      <c r="L716" s="574"/>
      <c r="M716" s="327"/>
      <c r="N716" s="594"/>
      <c r="O716" s="327"/>
      <c r="P716" s="574"/>
      <c r="Q716" s="327"/>
      <c r="R716" s="594"/>
      <c r="S716" s="327"/>
      <c r="T716" s="574"/>
      <c r="U716" s="327"/>
      <c r="V716" s="595" t="str">
        <f>'refer admin discharge'!H717</f>
        <v>00/00/0000</v>
      </c>
      <c r="W716" s="327"/>
      <c r="X716" s="596"/>
      <c r="Y716" s="327"/>
      <c r="Z716" s="597"/>
      <c r="AA716" s="327"/>
      <c r="AB716" s="596"/>
      <c r="AC716" s="327"/>
      <c r="AD716" s="577"/>
      <c r="AE716" s="327"/>
      <c r="AF716" s="596"/>
      <c r="AG716" s="327"/>
      <c r="AH716" s="577"/>
      <c r="AI716" s="327"/>
      <c r="AJ716" s="596"/>
      <c r="AK716" s="327"/>
      <c r="AL716" s="598"/>
      <c r="AM716" s="326"/>
      <c r="AN716" s="326"/>
      <c r="AO716" s="326"/>
      <c r="AP716" s="326"/>
      <c r="AQ716" s="326"/>
      <c r="AR716" s="326"/>
      <c r="AS716" s="326"/>
      <c r="AT716" s="326"/>
      <c r="AU716" s="326"/>
      <c r="AV716" s="326"/>
      <c r="AW716" s="326"/>
      <c r="AX716" s="326"/>
      <c r="AY716" s="326"/>
      <c r="AZ716" s="326"/>
      <c r="BA716" s="326"/>
      <c r="BB716" s="327"/>
    </row>
    <row r="717" spans="1:54" ht="15.75" customHeight="1" x14ac:dyDescent="0.25">
      <c r="A717" s="11">
        <f t="shared" si="2"/>
        <v>704</v>
      </c>
      <c r="B717" s="504" t="str">
        <f>'refer admin discharge'!B713</f>
        <v>x</v>
      </c>
      <c r="C717" s="327"/>
      <c r="D717" s="505" t="str">
        <f>'refer admin discharge'!D713</f>
        <v>xx</v>
      </c>
      <c r="E717" s="327"/>
      <c r="F717" s="606" t="str">
        <f>'refer admin discharge'!H713</f>
        <v>00/00/0000</v>
      </c>
      <c r="G717" s="327"/>
      <c r="H717" s="594"/>
      <c r="I717" s="327"/>
      <c r="J717" s="605"/>
      <c r="K717" s="327"/>
      <c r="L717" s="594"/>
      <c r="M717" s="327"/>
      <c r="N717" s="575"/>
      <c r="O717" s="327"/>
      <c r="P717" s="594"/>
      <c r="Q717" s="327"/>
      <c r="R717" s="575"/>
      <c r="S717" s="327"/>
      <c r="T717" s="594"/>
      <c r="U717" s="327"/>
      <c r="V717" s="595" t="str">
        <f>'refer admin discharge'!H718</f>
        <v>00/00/0000</v>
      </c>
      <c r="W717" s="327"/>
      <c r="X717" s="577"/>
      <c r="Y717" s="327"/>
      <c r="Z717" s="604"/>
      <c r="AA717" s="327"/>
      <c r="AB717" s="577"/>
      <c r="AC717" s="327"/>
      <c r="AD717" s="576"/>
      <c r="AE717" s="327"/>
      <c r="AF717" s="577"/>
      <c r="AG717" s="327"/>
      <c r="AH717" s="576"/>
      <c r="AI717" s="327"/>
      <c r="AJ717" s="577"/>
      <c r="AK717" s="327"/>
      <c r="AL717" s="602"/>
      <c r="AM717" s="326"/>
      <c r="AN717" s="326"/>
      <c r="AO717" s="326"/>
      <c r="AP717" s="326"/>
      <c r="AQ717" s="326"/>
      <c r="AR717" s="326"/>
      <c r="AS717" s="326"/>
      <c r="AT717" s="326"/>
      <c r="AU717" s="326"/>
      <c r="AV717" s="326"/>
      <c r="AW717" s="326"/>
      <c r="AX717" s="326"/>
      <c r="AY717" s="326"/>
      <c r="AZ717" s="326"/>
      <c r="BA717" s="326"/>
      <c r="BB717" s="327"/>
    </row>
    <row r="718" spans="1:54" ht="15.75" customHeight="1" x14ac:dyDescent="0.25">
      <c r="A718" s="11">
        <f t="shared" si="2"/>
        <v>705</v>
      </c>
      <c r="B718" s="570" t="str">
        <f>'refer admin discharge'!B714</f>
        <v>x</v>
      </c>
      <c r="C718" s="327"/>
      <c r="D718" s="599" t="str">
        <f>'refer admin discharge'!D714</f>
        <v>xx</v>
      </c>
      <c r="E718" s="327"/>
      <c r="F718" s="600" t="str">
        <f>'refer admin discharge'!H714</f>
        <v>00/00/0000</v>
      </c>
      <c r="G718" s="327"/>
      <c r="H718" s="574"/>
      <c r="I718" s="327"/>
      <c r="J718" s="601"/>
      <c r="K718" s="327"/>
      <c r="L718" s="574"/>
      <c r="M718" s="327"/>
      <c r="N718" s="594"/>
      <c r="O718" s="327"/>
      <c r="P718" s="574"/>
      <c r="Q718" s="327"/>
      <c r="R718" s="594"/>
      <c r="S718" s="327"/>
      <c r="T718" s="574"/>
      <c r="U718" s="327"/>
      <c r="V718" s="595" t="str">
        <f>'refer admin discharge'!H719</f>
        <v>00/00/0000</v>
      </c>
      <c r="W718" s="327"/>
      <c r="X718" s="596"/>
      <c r="Y718" s="327"/>
      <c r="Z718" s="597"/>
      <c r="AA718" s="327"/>
      <c r="AB718" s="596"/>
      <c r="AC718" s="327"/>
      <c r="AD718" s="577"/>
      <c r="AE718" s="327"/>
      <c r="AF718" s="596"/>
      <c r="AG718" s="327"/>
      <c r="AH718" s="577"/>
      <c r="AI718" s="327"/>
      <c r="AJ718" s="596"/>
      <c r="AK718" s="327"/>
      <c r="AL718" s="598"/>
      <c r="AM718" s="326"/>
      <c r="AN718" s="326"/>
      <c r="AO718" s="326"/>
      <c r="AP718" s="326"/>
      <c r="AQ718" s="326"/>
      <c r="AR718" s="326"/>
      <c r="AS718" s="326"/>
      <c r="AT718" s="326"/>
      <c r="AU718" s="326"/>
      <c r="AV718" s="326"/>
      <c r="AW718" s="326"/>
      <c r="AX718" s="326"/>
      <c r="AY718" s="326"/>
      <c r="AZ718" s="326"/>
      <c r="BA718" s="326"/>
      <c r="BB718" s="327"/>
    </row>
    <row r="719" spans="1:54" ht="15.75" customHeight="1" x14ac:dyDescent="0.25">
      <c r="A719" s="11">
        <f t="shared" si="2"/>
        <v>706</v>
      </c>
      <c r="B719" s="504" t="str">
        <f>'refer admin discharge'!B715</f>
        <v>x</v>
      </c>
      <c r="C719" s="327"/>
      <c r="D719" s="505" t="str">
        <f>'refer admin discharge'!D715</f>
        <v>xx</v>
      </c>
      <c r="E719" s="327"/>
      <c r="F719" s="606" t="str">
        <f>'refer admin discharge'!H715</f>
        <v>00/00/0000</v>
      </c>
      <c r="G719" s="327"/>
      <c r="H719" s="594"/>
      <c r="I719" s="327"/>
      <c r="J719" s="605"/>
      <c r="K719" s="327"/>
      <c r="L719" s="594"/>
      <c r="M719" s="327"/>
      <c r="N719" s="575"/>
      <c r="O719" s="327"/>
      <c r="P719" s="594"/>
      <c r="Q719" s="327"/>
      <c r="R719" s="575"/>
      <c r="S719" s="327"/>
      <c r="T719" s="594"/>
      <c r="U719" s="327"/>
      <c r="V719" s="595" t="str">
        <f>'refer admin discharge'!H720</f>
        <v>00/00/0000</v>
      </c>
      <c r="W719" s="327"/>
      <c r="X719" s="577"/>
      <c r="Y719" s="327"/>
      <c r="Z719" s="604"/>
      <c r="AA719" s="327"/>
      <c r="AB719" s="577"/>
      <c r="AC719" s="327"/>
      <c r="AD719" s="576"/>
      <c r="AE719" s="327"/>
      <c r="AF719" s="577"/>
      <c r="AG719" s="327"/>
      <c r="AH719" s="576"/>
      <c r="AI719" s="327"/>
      <c r="AJ719" s="577"/>
      <c r="AK719" s="327"/>
      <c r="AL719" s="602"/>
      <c r="AM719" s="326"/>
      <c r="AN719" s="326"/>
      <c r="AO719" s="326"/>
      <c r="AP719" s="326"/>
      <c r="AQ719" s="326"/>
      <c r="AR719" s="326"/>
      <c r="AS719" s="326"/>
      <c r="AT719" s="326"/>
      <c r="AU719" s="326"/>
      <c r="AV719" s="326"/>
      <c r="AW719" s="326"/>
      <c r="AX719" s="326"/>
      <c r="AY719" s="326"/>
      <c r="AZ719" s="326"/>
      <c r="BA719" s="326"/>
      <c r="BB719" s="327"/>
    </row>
    <row r="720" spans="1:54" ht="15.75" customHeight="1" x14ac:dyDescent="0.25">
      <c r="A720" s="11">
        <f t="shared" si="2"/>
        <v>707</v>
      </c>
      <c r="B720" s="570" t="str">
        <f>'refer admin discharge'!B716</f>
        <v>x</v>
      </c>
      <c r="C720" s="327"/>
      <c r="D720" s="599" t="str">
        <f>'refer admin discharge'!D716</f>
        <v>xx</v>
      </c>
      <c r="E720" s="327"/>
      <c r="F720" s="600" t="str">
        <f>'refer admin discharge'!H716</f>
        <v>00/00/0000</v>
      </c>
      <c r="G720" s="327"/>
      <c r="H720" s="574"/>
      <c r="I720" s="327"/>
      <c r="J720" s="601"/>
      <c r="K720" s="327"/>
      <c r="L720" s="574"/>
      <c r="M720" s="327"/>
      <c r="N720" s="594"/>
      <c r="O720" s="327"/>
      <c r="P720" s="574"/>
      <c r="Q720" s="327"/>
      <c r="R720" s="594"/>
      <c r="S720" s="327"/>
      <c r="T720" s="574"/>
      <c r="U720" s="327"/>
      <c r="V720" s="595" t="str">
        <f>'refer admin discharge'!H721</f>
        <v>00/00/0000</v>
      </c>
      <c r="W720" s="327"/>
      <c r="X720" s="596"/>
      <c r="Y720" s="327"/>
      <c r="Z720" s="597"/>
      <c r="AA720" s="327"/>
      <c r="AB720" s="596"/>
      <c r="AC720" s="327"/>
      <c r="AD720" s="577"/>
      <c r="AE720" s="327"/>
      <c r="AF720" s="596"/>
      <c r="AG720" s="327"/>
      <c r="AH720" s="577"/>
      <c r="AI720" s="327"/>
      <c r="AJ720" s="596"/>
      <c r="AK720" s="327"/>
      <c r="AL720" s="598"/>
      <c r="AM720" s="326"/>
      <c r="AN720" s="326"/>
      <c r="AO720" s="326"/>
      <c r="AP720" s="326"/>
      <c r="AQ720" s="326"/>
      <c r="AR720" s="326"/>
      <c r="AS720" s="326"/>
      <c r="AT720" s="326"/>
      <c r="AU720" s="326"/>
      <c r="AV720" s="326"/>
      <c r="AW720" s="326"/>
      <c r="AX720" s="326"/>
      <c r="AY720" s="326"/>
      <c r="AZ720" s="326"/>
      <c r="BA720" s="326"/>
      <c r="BB720" s="327"/>
    </row>
    <row r="721" spans="1:54" ht="15.75" customHeight="1" x14ac:dyDescent="0.25">
      <c r="A721" s="11">
        <f t="shared" si="2"/>
        <v>708</v>
      </c>
      <c r="B721" s="504" t="str">
        <f>'refer admin discharge'!B717</f>
        <v>x</v>
      </c>
      <c r="C721" s="327"/>
      <c r="D721" s="505" t="str">
        <f>'refer admin discharge'!D717</f>
        <v>xx</v>
      </c>
      <c r="E721" s="327"/>
      <c r="F721" s="606" t="str">
        <f>'refer admin discharge'!H717</f>
        <v>00/00/0000</v>
      </c>
      <c r="G721" s="327"/>
      <c r="H721" s="594"/>
      <c r="I721" s="327"/>
      <c r="J721" s="605"/>
      <c r="K721" s="327"/>
      <c r="L721" s="594"/>
      <c r="M721" s="327"/>
      <c r="N721" s="575"/>
      <c r="O721" s="327"/>
      <c r="P721" s="594"/>
      <c r="Q721" s="327"/>
      <c r="R721" s="575"/>
      <c r="S721" s="327"/>
      <c r="T721" s="594"/>
      <c r="U721" s="327"/>
      <c r="V721" s="595" t="str">
        <f>'refer admin discharge'!H722</f>
        <v>00/00/0000</v>
      </c>
      <c r="W721" s="327"/>
      <c r="X721" s="577"/>
      <c r="Y721" s="327"/>
      <c r="Z721" s="604"/>
      <c r="AA721" s="327"/>
      <c r="AB721" s="577"/>
      <c r="AC721" s="327"/>
      <c r="AD721" s="576"/>
      <c r="AE721" s="327"/>
      <c r="AF721" s="577"/>
      <c r="AG721" s="327"/>
      <c r="AH721" s="576"/>
      <c r="AI721" s="327"/>
      <c r="AJ721" s="577"/>
      <c r="AK721" s="327"/>
      <c r="AL721" s="602"/>
      <c r="AM721" s="326"/>
      <c r="AN721" s="326"/>
      <c r="AO721" s="326"/>
      <c r="AP721" s="326"/>
      <c r="AQ721" s="326"/>
      <c r="AR721" s="326"/>
      <c r="AS721" s="326"/>
      <c r="AT721" s="326"/>
      <c r="AU721" s="326"/>
      <c r="AV721" s="326"/>
      <c r="AW721" s="326"/>
      <c r="AX721" s="326"/>
      <c r="AY721" s="326"/>
      <c r="AZ721" s="326"/>
      <c r="BA721" s="326"/>
      <c r="BB721" s="327"/>
    </row>
    <row r="722" spans="1:54" ht="15.75" customHeight="1" x14ac:dyDescent="0.25">
      <c r="A722" s="11">
        <f t="shared" si="2"/>
        <v>709</v>
      </c>
      <c r="B722" s="570" t="str">
        <f>'refer admin discharge'!B718</f>
        <v>x</v>
      </c>
      <c r="C722" s="327"/>
      <c r="D722" s="599" t="str">
        <f>'refer admin discharge'!D718</f>
        <v>xx</v>
      </c>
      <c r="E722" s="327"/>
      <c r="F722" s="600" t="str">
        <f>'refer admin discharge'!H718</f>
        <v>00/00/0000</v>
      </c>
      <c r="G722" s="327"/>
      <c r="H722" s="574"/>
      <c r="I722" s="327"/>
      <c r="J722" s="601"/>
      <c r="K722" s="327"/>
      <c r="L722" s="574"/>
      <c r="M722" s="327"/>
      <c r="N722" s="594"/>
      <c r="O722" s="327"/>
      <c r="P722" s="574"/>
      <c r="Q722" s="327"/>
      <c r="R722" s="594"/>
      <c r="S722" s="327"/>
      <c r="T722" s="574"/>
      <c r="U722" s="327"/>
      <c r="V722" s="595" t="str">
        <f>'refer admin discharge'!H723</f>
        <v>00/00/0000</v>
      </c>
      <c r="W722" s="327"/>
      <c r="X722" s="596"/>
      <c r="Y722" s="327"/>
      <c r="Z722" s="597"/>
      <c r="AA722" s="327"/>
      <c r="AB722" s="596"/>
      <c r="AC722" s="327"/>
      <c r="AD722" s="577"/>
      <c r="AE722" s="327"/>
      <c r="AF722" s="596"/>
      <c r="AG722" s="327"/>
      <c r="AH722" s="577"/>
      <c r="AI722" s="327"/>
      <c r="AJ722" s="596"/>
      <c r="AK722" s="327"/>
      <c r="AL722" s="598"/>
      <c r="AM722" s="326"/>
      <c r="AN722" s="326"/>
      <c r="AO722" s="326"/>
      <c r="AP722" s="326"/>
      <c r="AQ722" s="326"/>
      <c r="AR722" s="326"/>
      <c r="AS722" s="326"/>
      <c r="AT722" s="326"/>
      <c r="AU722" s="326"/>
      <c r="AV722" s="326"/>
      <c r="AW722" s="326"/>
      <c r="AX722" s="326"/>
      <c r="AY722" s="326"/>
      <c r="AZ722" s="326"/>
      <c r="BA722" s="326"/>
      <c r="BB722" s="327"/>
    </row>
    <row r="723" spans="1:54" ht="15.75" customHeight="1" x14ac:dyDescent="0.25">
      <c r="A723" s="11">
        <f t="shared" si="2"/>
        <v>710</v>
      </c>
      <c r="B723" s="504" t="str">
        <f>'refer admin discharge'!B719</f>
        <v>x</v>
      </c>
      <c r="C723" s="327"/>
      <c r="D723" s="505" t="str">
        <f>'refer admin discharge'!D719</f>
        <v>xx</v>
      </c>
      <c r="E723" s="327"/>
      <c r="F723" s="606" t="str">
        <f>'refer admin discharge'!H719</f>
        <v>00/00/0000</v>
      </c>
      <c r="G723" s="327"/>
      <c r="H723" s="594"/>
      <c r="I723" s="327"/>
      <c r="J723" s="605"/>
      <c r="K723" s="327"/>
      <c r="L723" s="594"/>
      <c r="M723" s="327"/>
      <c r="N723" s="575"/>
      <c r="O723" s="327"/>
      <c r="P723" s="594"/>
      <c r="Q723" s="327"/>
      <c r="R723" s="575"/>
      <c r="S723" s="327"/>
      <c r="T723" s="594"/>
      <c r="U723" s="327"/>
      <c r="V723" s="595" t="str">
        <f>'refer admin discharge'!H724</f>
        <v>00/00/0000</v>
      </c>
      <c r="W723" s="327"/>
      <c r="X723" s="577"/>
      <c r="Y723" s="327"/>
      <c r="Z723" s="604"/>
      <c r="AA723" s="327"/>
      <c r="AB723" s="577"/>
      <c r="AC723" s="327"/>
      <c r="AD723" s="576"/>
      <c r="AE723" s="327"/>
      <c r="AF723" s="577"/>
      <c r="AG723" s="327"/>
      <c r="AH723" s="576"/>
      <c r="AI723" s="327"/>
      <c r="AJ723" s="577"/>
      <c r="AK723" s="327"/>
      <c r="AL723" s="602"/>
      <c r="AM723" s="326"/>
      <c r="AN723" s="326"/>
      <c r="AO723" s="326"/>
      <c r="AP723" s="326"/>
      <c r="AQ723" s="326"/>
      <c r="AR723" s="326"/>
      <c r="AS723" s="326"/>
      <c r="AT723" s="326"/>
      <c r="AU723" s="326"/>
      <c r="AV723" s="326"/>
      <c r="AW723" s="326"/>
      <c r="AX723" s="326"/>
      <c r="AY723" s="326"/>
      <c r="AZ723" s="326"/>
      <c r="BA723" s="326"/>
      <c r="BB723" s="327"/>
    </row>
    <row r="724" spans="1:54" ht="15.75" customHeight="1" x14ac:dyDescent="0.25">
      <c r="A724" s="11">
        <f t="shared" si="2"/>
        <v>711</v>
      </c>
      <c r="B724" s="570" t="str">
        <f>'refer admin discharge'!B720</f>
        <v>x</v>
      </c>
      <c r="C724" s="327"/>
      <c r="D724" s="599" t="str">
        <f>'refer admin discharge'!D720</f>
        <v>xx</v>
      </c>
      <c r="E724" s="327"/>
      <c r="F724" s="600" t="str">
        <f>'refer admin discharge'!H720</f>
        <v>00/00/0000</v>
      </c>
      <c r="G724" s="327"/>
      <c r="H724" s="574"/>
      <c r="I724" s="327"/>
      <c r="J724" s="601"/>
      <c r="K724" s="327"/>
      <c r="L724" s="574"/>
      <c r="M724" s="327"/>
      <c r="N724" s="594"/>
      <c r="O724" s="327"/>
      <c r="P724" s="574"/>
      <c r="Q724" s="327"/>
      <c r="R724" s="594"/>
      <c r="S724" s="327"/>
      <c r="T724" s="574"/>
      <c r="U724" s="327"/>
      <c r="V724" s="595" t="str">
        <f>'refer admin discharge'!H725</f>
        <v>00/00/0000</v>
      </c>
      <c r="W724" s="327"/>
      <c r="X724" s="596"/>
      <c r="Y724" s="327"/>
      <c r="Z724" s="597"/>
      <c r="AA724" s="327"/>
      <c r="AB724" s="596"/>
      <c r="AC724" s="327"/>
      <c r="AD724" s="577"/>
      <c r="AE724" s="327"/>
      <c r="AF724" s="596"/>
      <c r="AG724" s="327"/>
      <c r="AH724" s="577"/>
      <c r="AI724" s="327"/>
      <c r="AJ724" s="596"/>
      <c r="AK724" s="327"/>
      <c r="AL724" s="598"/>
      <c r="AM724" s="326"/>
      <c r="AN724" s="326"/>
      <c r="AO724" s="326"/>
      <c r="AP724" s="326"/>
      <c r="AQ724" s="326"/>
      <c r="AR724" s="326"/>
      <c r="AS724" s="326"/>
      <c r="AT724" s="326"/>
      <c r="AU724" s="326"/>
      <c r="AV724" s="326"/>
      <c r="AW724" s="326"/>
      <c r="AX724" s="326"/>
      <c r="AY724" s="326"/>
      <c r="AZ724" s="326"/>
      <c r="BA724" s="326"/>
      <c r="BB724" s="327"/>
    </row>
    <row r="725" spans="1:54" ht="15.75" customHeight="1" x14ac:dyDescent="0.25">
      <c r="A725" s="11">
        <f t="shared" si="2"/>
        <v>712</v>
      </c>
      <c r="B725" s="504" t="str">
        <f>'refer admin discharge'!B721</f>
        <v>x</v>
      </c>
      <c r="C725" s="327"/>
      <c r="D725" s="505" t="str">
        <f>'refer admin discharge'!D721</f>
        <v>xx</v>
      </c>
      <c r="E725" s="327"/>
      <c r="F725" s="606" t="str">
        <f>'refer admin discharge'!H721</f>
        <v>00/00/0000</v>
      </c>
      <c r="G725" s="327"/>
      <c r="H725" s="594"/>
      <c r="I725" s="327"/>
      <c r="J725" s="605"/>
      <c r="K725" s="327"/>
      <c r="L725" s="594"/>
      <c r="M725" s="327"/>
      <c r="N725" s="575"/>
      <c r="O725" s="327"/>
      <c r="P725" s="594"/>
      <c r="Q725" s="327"/>
      <c r="R725" s="575"/>
      <c r="S725" s="327"/>
      <c r="T725" s="594"/>
      <c r="U725" s="327"/>
      <c r="V725" s="595" t="str">
        <f>'refer admin discharge'!H726</f>
        <v>00/00/0000</v>
      </c>
      <c r="W725" s="327"/>
      <c r="X725" s="577"/>
      <c r="Y725" s="327"/>
      <c r="Z725" s="604"/>
      <c r="AA725" s="327"/>
      <c r="AB725" s="577"/>
      <c r="AC725" s="327"/>
      <c r="AD725" s="576"/>
      <c r="AE725" s="327"/>
      <c r="AF725" s="577"/>
      <c r="AG725" s="327"/>
      <c r="AH725" s="576"/>
      <c r="AI725" s="327"/>
      <c r="AJ725" s="577"/>
      <c r="AK725" s="327"/>
      <c r="AL725" s="602"/>
      <c r="AM725" s="326"/>
      <c r="AN725" s="326"/>
      <c r="AO725" s="326"/>
      <c r="AP725" s="326"/>
      <c r="AQ725" s="326"/>
      <c r="AR725" s="326"/>
      <c r="AS725" s="326"/>
      <c r="AT725" s="326"/>
      <c r="AU725" s="326"/>
      <c r="AV725" s="326"/>
      <c r="AW725" s="326"/>
      <c r="AX725" s="326"/>
      <c r="AY725" s="326"/>
      <c r="AZ725" s="326"/>
      <c r="BA725" s="326"/>
      <c r="BB725" s="327"/>
    </row>
    <row r="726" spans="1:54" ht="15.75" customHeight="1" x14ac:dyDescent="0.25">
      <c r="A726" s="11">
        <f t="shared" si="2"/>
        <v>713</v>
      </c>
      <c r="B726" s="570" t="str">
        <f>'refer admin discharge'!B722</f>
        <v>x</v>
      </c>
      <c r="C726" s="327"/>
      <c r="D726" s="599" t="str">
        <f>'refer admin discharge'!D722</f>
        <v>xx</v>
      </c>
      <c r="E726" s="327"/>
      <c r="F726" s="600" t="str">
        <f>'refer admin discharge'!H722</f>
        <v>00/00/0000</v>
      </c>
      <c r="G726" s="327"/>
      <c r="H726" s="574"/>
      <c r="I726" s="327"/>
      <c r="J726" s="601"/>
      <c r="K726" s="327"/>
      <c r="L726" s="574"/>
      <c r="M726" s="327"/>
      <c r="N726" s="594"/>
      <c r="O726" s="327"/>
      <c r="P726" s="574"/>
      <c r="Q726" s="327"/>
      <c r="R726" s="594"/>
      <c r="S726" s="327"/>
      <c r="T726" s="574"/>
      <c r="U726" s="327"/>
      <c r="V726" s="595" t="str">
        <f>'refer admin discharge'!H727</f>
        <v>00/00/0000</v>
      </c>
      <c r="W726" s="327"/>
      <c r="X726" s="596"/>
      <c r="Y726" s="327"/>
      <c r="Z726" s="597"/>
      <c r="AA726" s="327"/>
      <c r="AB726" s="596"/>
      <c r="AC726" s="327"/>
      <c r="AD726" s="577"/>
      <c r="AE726" s="327"/>
      <c r="AF726" s="596"/>
      <c r="AG726" s="327"/>
      <c r="AH726" s="577"/>
      <c r="AI726" s="327"/>
      <c r="AJ726" s="596"/>
      <c r="AK726" s="327"/>
      <c r="AL726" s="598"/>
      <c r="AM726" s="326"/>
      <c r="AN726" s="326"/>
      <c r="AO726" s="326"/>
      <c r="AP726" s="326"/>
      <c r="AQ726" s="326"/>
      <c r="AR726" s="326"/>
      <c r="AS726" s="326"/>
      <c r="AT726" s="326"/>
      <c r="AU726" s="326"/>
      <c r="AV726" s="326"/>
      <c r="AW726" s="326"/>
      <c r="AX726" s="326"/>
      <c r="AY726" s="326"/>
      <c r="AZ726" s="326"/>
      <c r="BA726" s="326"/>
      <c r="BB726" s="327"/>
    </row>
    <row r="727" spans="1:54" ht="15.75" customHeight="1" x14ac:dyDescent="0.25">
      <c r="A727" s="11">
        <f t="shared" si="2"/>
        <v>714</v>
      </c>
      <c r="B727" s="504" t="str">
        <f>'refer admin discharge'!B723</f>
        <v>x</v>
      </c>
      <c r="C727" s="327"/>
      <c r="D727" s="505" t="str">
        <f>'refer admin discharge'!D723</f>
        <v>xx</v>
      </c>
      <c r="E727" s="327"/>
      <c r="F727" s="606" t="str">
        <f>'refer admin discharge'!H723</f>
        <v>00/00/0000</v>
      </c>
      <c r="G727" s="327"/>
      <c r="H727" s="594"/>
      <c r="I727" s="327"/>
      <c r="J727" s="605"/>
      <c r="K727" s="327"/>
      <c r="L727" s="594"/>
      <c r="M727" s="327"/>
      <c r="N727" s="575"/>
      <c r="O727" s="327"/>
      <c r="P727" s="594"/>
      <c r="Q727" s="327"/>
      <c r="R727" s="575"/>
      <c r="S727" s="327"/>
      <c r="T727" s="594"/>
      <c r="U727" s="327"/>
      <c r="V727" s="595" t="str">
        <f>'refer admin discharge'!H728</f>
        <v>00/00/0000</v>
      </c>
      <c r="W727" s="327"/>
      <c r="X727" s="577"/>
      <c r="Y727" s="327"/>
      <c r="Z727" s="604"/>
      <c r="AA727" s="327"/>
      <c r="AB727" s="577"/>
      <c r="AC727" s="327"/>
      <c r="AD727" s="576"/>
      <c r="AE727" s="327"/>
      <c r="AF727" s="577"/>
      <c r="AG727" s="327"/>
      <c r="AH727" s="576"/>
      <c r="AI727" s="327"/>
      <c r="AJ727" s="577"/>
      <c r="AK727" s="327"/>
      <c r="AL727" s="602"/>
      <c r="AM727" s="326"/>
      <c r="AN727" s="326"/>
      <c r="AO727" s="326"/>
      <c r="AP727" s="326"/>
      <c r="AQ727" s="326"/>
      <c r="AR727" s="326"/>
      <c r="AS727" s="326"/>
      <c r="AT727" s="326"/>
      <c r="AU727" s="326"/>
      <c r="AV727" s="326"/>
      <c r="AW727" s="326"/>
      <c r="AX727" s="326"/>
      <c r="AY727" s="326"/>
      <c r="AZ727" s="326"/>
      <c r="BA727" s="326"/>
      <c r="BB727" s="327"/>
    </row>
    <row r="728" spans="1:54" ht="15.75" customHeight="1" x14ac:dyDescent="0.25">
      <c r="A728" s="11">
        <f t="shared" si="2"/>
        <v>715</v>
      </c>
      <c r="B728" s="570" t="str">
        <f>'refer admin discharge'!B724</f>
        <v>x</v>
      </c>
      <c r="C728" s="327"/>
      <c r="D728" s="599" t="str">
        <f>'refer admin discharge'!D724</f>
        <v>xx</v>
      </c>
      <c r="E728" s="327"/>
      <c r="F728" s="600" t="str">
        <f>'refer admin discharge'!H724</f>
        <v>00/00/0000</v>
      </c>
      <c r="G728" s="327"/>
      <c r="H728" s="574"/>
      <c r="I728" s="327"/>
      <c r="J728" s="601"/>
      <c r="K728" s="327"/>
      <c r="L728" s="574"/>
      <c r="M728" s="327"/>
      <c r="N728" s="594"/>
      <c r="O728" s="327"/>
      <c r="P728" s="574"/>
      <c r="Q728" s="327"/>
      <c r="R728" s="594"/>
      <c r="S728" s="327"/>
      <c r="T728" s="574"/>
      <c r="U728" s="327"/>
      <c r="V728" s="595" t="str">
        <f>'refer admin discharge'!H729</f>
        <v>00/00/0000</v>
      </c>
      <c r="W728" s="327"/>
      <c r="X728" s="596"/>
      <c r="Y728" s="327"/>
      <c r="Z728" s="597"/>
      <c r="AA728" s="327"/>
      <c r="AB728" s="596"/>
      <c r="AC728" s="327"/>
      <c r="AD728" s="577"/>
      <c r="AE728" s="327"/>
      <c r="AF728" s="596"/>
      <c r="AG728" s="327"/>
      <c r="AH728" s="577"/>
      <c r="AI728" s="327"/>
      <c r="AJ728" s="596"/>
      <c r="AK728" s="327"/>
      <c r="AL728" s="598"/>
      <c r="AM728" s="326"/>
      <c r="AN728" s="326"/>
      <c r="AO728" s="326"/>
      <c r="AP728" s="326"/>
      <c r="AQ728" s="326"/>
      <c r="AR728" s="326"/>
      <c r="AS728" s="326"/>
      <c r="AT728" s="326"/>
      <c r="AU728" s="326"/>
      <c r="AV728" s="326"/>
      <c r="AW728" s="326"/>
      <c r="AX728" s="326"/>
      <c r="AY728" s="326"/>
      <c r="AZ728" s="326"/>
      <c r="BA728" s="326"/>
      <c r="BB728" s="327"/>
    </row>
    <row r="729" spans="1:54" ht="15.75" customHeight="1" x14ac:dyDescent="0.25">
      <c r="A729" s="11">
        <f t="shared" si="2"/>
        <v>716</v>
      </c>
      <c r="B729" s="504" t="str">
        <f>'refer admin discharge'!B725</f>
        <v>x</v>
      </c>
      <c r="C729" s="327"/>
      <c r="D729" s="505" t="str">
        <f>'refer admin discharge'!D725</f>
        <v>xx</v>
      </c>
      <c r="E729" s="327"/>
      <c r="F729" s="606" t="str">
        <f>'refer admin discharge'!H725</f>
        <v>00/00/0000</v>
      </c>
      <c r="G729" s="327"/>
      <c r="H729" s="594"/>
      <c r="I729" s="327"/>
      <c r="J729" s="605"/>
      <c r="K729" s="327"/>
      <c r="L729" s="594"/>
      <c r="M729" s="327"/>
      <c r="N729" s="575"/>
      <c r="O729" s="327"/>
      <c r="P729" s="594"/>
      <c r="Q729" s="327"/>
      <c r="R729" s="575"/>
      <c r="S729" s="327"/>
      <c r="T729" s="594"/>
      <c r="U729" s="327"/>
      <c r="V729" s="595" t="str">
        <f>'refer admin discharge'!H730</f>
        <v>00/00/0000</v>
      </c>
      <c r="W729" s="327"/>
      <c r="X729" s="577"/>
      <c r="Y729" s="327"/>
      <c r="Z729" s="604"/>
      <c r="AA729" s="327"/>
      <c r="AB729" s="577"/>
      <c r="AC729" s="327"/>
      <c r="AD729" s="576"/>
      <c r="AE729" s="327"/>
      <c r="AF729" s="577"/>
      <c r="AG729" s="327"/>
      <c r="AH729" s="576"/>
      <c r="AI729" s="327"/>
      <c r="AJ729" s="577"/>
      <c r="AK729" s="327"/>
      <c r="AL729" s="602"/>
      <c r="AM729" s="326"/>
      <c r="AN729" s="326"/>
      <c r="AO729" s="326"/>
      <c r="AP729" s="326"/>
      <c r="AQ729" s="326"/>
      <c r="AR729" s="326"/>
      <c r="AS729" s="326"/>
      <c r="AT729" s="326"/>
      <c r="AU729" s="326"/>
      <c r="AV729" s="326"/>
      <c r="AW729" s="326"/>
      <c r="AX729" s="326"/>
      <c r="AY729" s="326"/>
      <c r="AZ729" s="326"/>
      <c r="BA729" s="326"/>
      <c r="BB729" s="327"/>
    </row>
    <row r="730" spans="1:54" ht="15.75" customHeight="1" x14ac:dyDescent="0.25">
      <c r="A730" s="11">
        <f t="shared" si="2"/>
        <v>717</v>
      </c>
      <c r="B730" s="570" t="str">
        <f>'refer admin discharge'!B726</f>
        <v>x</v>
      </c>
      <c r="C730" s="327"/>
      <c r="D730" s="599" t="str">
        <f>'refer admin discharge'!D726</f>
        <v>xx</v>
      </c>
      <c r="E730" s="327"/>
      <c r="F730" s="600" t="str">
        <f>'refer admin discharge'!H726</f>
        <v>00/00/0000</v>
      </c>
      <c r="G730" s="327"/>
      <c r="H730" s="574"/>
      <c r="I730" s="327"/>
      <c r="J730" s="601"/>
      <c r="K730" s="327"/>
      <c r="L730" s="574"/>
      <c r="M730" s="327"/>
      <c r="N730" s="594"/>
      <c r="O730" s="327"/>
      <c r="P730" s="574"/>
      <c r="Q730" s="327"/>
      <c r="R730" s="594"/>
      <c r="S730" s="327"/>
      <c r="T730" s="574"/>
      <c r="U730" s="327"/>
      <c r="V730" s="595" t="str">
        <f>'refer admin discharge'!H731</f>
        <v>00/00/0000</v>
      </c>
      <c r="W730" s="327"/>
      <c r="X730" s="596"/>
      <c r="Y730" s="327"/>
      <c r="Z730" s="597"/>
      <c r="AA730" s="327"/>
      <c r="AB730" s="596"/>
      <c r="AC730" s="327"/>
      <c r="AD730" s="577"/>
      <c r="AE730" s="327"/>
      <c r="AF730" s="596"/>
      <c r="AG730" s="327"/>
      <c r="AH730" s="577"/>
      <c r="AI730" s="327"/>
      <c r="AJ730" s="596"/>
      <c r="AK730" s="327"/>
      <c r="AL730" s="598"/>
      <c r="AM730" s="326"/>
      <c r="AN730" s="326"/>
      <c r="AO730" s="326"/>
      <c r="AP730" s="326"/>
      <c r="AQ730" s="326"/>
      <c r="AR730" s="326"/>
      <c r="AS730" s="326"/>
      <c r="AT730" s="326"/>
      <c r="AU730" s="326"/>
      <c r="AV730" s="326"/>
      <c r="AW730" s="326"/>
      <c r="AX730" s="326"/>
      <c r="AY730" s="326"/>
      <c r="AZ730" s="326"/>
      <c r="BA730" s="326"/>
      <c r="BB730" s="327"/>
    </row>
    <row r="731" spans="1:54" ht="15.75" customHeight="1" x14ac:dyDescent="0.25">
      <c r="A731" s="11">
        <f t="shared" si="2"/>
        <v>718</v>
      </c>
      <c r="B731" s="504" t="str">
        <f>'refer admin discharge'!B727</f>
        <v>x</v>
      </c>
      <c r="C731" s="327"/>
      <c r="D731" s="505" t="str">
        <f>'refer admin discharge'!D727</f>
        <v>xx</v>
      </c>
      <c r="E731" s="327"/>
      <c r="F731" s="606" t="str">
        <f>'refer admin discharge'!H727</f>
        <v>00/00/0000</v>
      </c>
      <c r="G731" s="327"/>
      <c r="H731" s="594"/>
      <c r="I731" s="327"/>
      <c r="J731" s="605"/>
      <c r="K731" s="327"/>
      <c r="L731" s="594"/>
      <c r="M731" s="327"/>
      <c r="N731" s="575"/>
      <c r="O731" s="327"/>
      <c r="P731" s="594"/>
      <c r="Q731" s="327"/>
      <c r="R731" s="575"/>
      <c r="S731" s="327"/>
      <c r="T731" s="594"/>
      <c r="U731" s="327"/>
      <c r="V731" s="595" t="str">
        <f>'refer admin discharge'!H732</f>
        <v>00/00/0000</v>
      </c>
      <c r="W731" s="327"/>
      <c r="X731" s="577"/>
      <c r="Y731" s="327"/>
      <c r="Z731" s="604"/>
      <c r="AA731" s="327"/>
      <c r="AB731" s="577"/>
      <c r="AC731" s="327"/>
      <c r="AD731" s="576"/>
      <c r="AE731" s="327"/>
      <c r="AF731" s="577"/>
      <c r="AG731" s="327"/>
      <c r="AH731" s="576"/>
      <c r="AI731" s="327"/>
      <c r="AJ731" s="577"/>
      <c r="AK731" s="327"/>
      <c r="AL731" s="602"/>
      <c r="AM731" s="326"/>
      <c r="AN731" s="326"/>
      <c r="AO731" s="326"/>
      <c r="AP731" s="326"/>
      <c r="AQ731" s="326"/>
      <c r="AR731" s="326"/>
      <c r="AS731" s="326"/>
      <c r="AT731" s="326"/>
      <c r="AU731" s="326"/>
      <c r="AV731" s="326"/>
      <c r="AW731" s="326"/>
      <c r="AX731" s="326"/>
      <c r="AY731" s="326"/>
      <c r="AZ731" s="326"/>
      <c r="BA731" s="326"/>
      <c r="BB731" s="327"/>
    </row>
    <row r="732" spans="1:54" ht="15.75" customHeight="1" x14ac:dyDescent="0.25">
      <c r="A732" s="11">
        <f t="shared" si="2"/>
        <v>719</v>
      </c>
      <c r="B732" s="570" t="str">
        <f>'refer admin discharge'!B728</f>
        <v>x</v>
      </c>
      <c r="C732" s="327"/>
      <c r="D732" s="599" t="str">
        <f>'refer admin discharge'!D728</f>
        <v>xx</v>
      </c>
      <c r="E732" s="327"/>
      <c r="F732" s="600" t="str">
        <f>'refer admin discharge'!H728</f>
        <v>00/00/0000</v>
      </c>
      <c r="G732" s="327"/>
      <c r="H732" s="574"/>
      <c r="I732" s="327"/>
      <c r="J732" s="601"/>
      <c r="K732" s="327"/>
      <c r="L732" s="574"/>
      <c r="M732" s="327"/>
      <c r="N732" s="594"/>
      <c r="O732" s="327"/>
      <c r="P732" s="574"/>
      <c r="Q732" s="327"/>
      <c r="R732" s="594"/>
      <c r="S732" s="327"/>
      <c r="T732" s="574"/>
      <c r="U732" s="327"/>
      <c r="V732" s="595" t="str">
        <f>'refer admin discharge'!H733</f>
        <v>00/00/0000</v>
      </c>
      <c r="W732" s="327"/>
      <c r="X732" s="596"/>
      <c r="Y732" s="327"/>
      <c r="Z732" s="597"/>
      <c r="AA732" s="327"/>
      <c r="AB732" s="596"/>
      <c r="AC732" s="327"/>
      <c r="AD732" s="577"/>
      <c r="AE732" s="327"/>
      <c r="AF732" s="596"/>
      <c r="AG732" s="327"/>
      <c r="AH732" s="577"/>
      <c r="AI732" s="327"/>
      <c r="AJ732" s="596"/>
      <c r="AK732" s="327"/>
      <c r="AL732" s="598"/>
      <c r="AM732" s="326"/>
      <c r="AN732" s="326"/>
      <c r="AO732" s="326"/>
      <c r="AP732" s="326"/>
      <c r="AQ732" s="326"/>
      <c r="AR732" s="326"/>
      <c r="AS732" s="326"/>
      <c r="AT732" s="326"/>
      <c r="AU732" s="326"/>
      <c r="AV732" s="326"/>
      <c r="AW732" s="326"/>
      <c r="AX732" s="326"/>
      <c r="AY732" s="326"/>
      <c r="AZ732" s="326"/>
      <c r="BA732" s="326"/>
      <c r="BB732" s="327"/>
    </row>
    <row r="733" spans="1:54" ht="15.75" customHeight="1" x14ac:dyDescent="0.25">
      <c r="A733" s="11">
        <f t="shared" si="2"/>
        <v>720</v>
      </c>
      <c r="B733" s="504" t="str">
        <f>'refer admin discharge'!B729</f>
        <v>x</v>
      </c>
      <c r="C733" s="327"/>
      <c r="D733" s="505" t="str">
        <f>'refer admin discharge'!D729</f>
        <v>xx</v>
      </c>
      <c r="E733" s="327"/>
      <c r="F733" s="606" t="str">
        <f>'refer admin discharge'!H729</f>
        <v>00/00/0000</v>
      </c>
      <c r="G733" s="327"/>
      <c r="H733" s="594"/>
      <c r="I733" s="327"/>
      <c r="J733" s="605"/>
      <c r="K733" s="327"/>
      <c r="L733" s="594"/>
      <c r="M733" s="327"/>
      <c r="N733" s="575"/>
      <c r="O733" s="327"/>
      <c r="P733" s="594"/>
      <c r="Q733" s="327"/>
      <c r="R733" s="575"/>
      <c r="S733" s="327"/>
      <c r="T733" s="594"/>
      <c r="U733" s="327"/>
      <c r="V733" s="595" t="str">
        <f>'refer admin discharge'!H734</f>
        <v>00/00/0000</v>
      </c>
      <c r="W733" s="327"/>
      <c r="X733" s="577"/>
      <c r="Y733" s="327"/>
      <c r="Z733" s="604"/>
      <c r="AA733" s="327"/>
      <c r="AB733" s="577"/>
      <c r="AC733" s="327"/>
      <c r="AD733" s="576"/>
      <c r="AE733" s="327"/>
      <c r="AF733" s="577"/>
      <c r="AG733" s="327"/>
      <c r="AH733" s="576"/>
      <c r="AI733" s="327"/>
      <c r="AJ733" s="577"/>
      <c r="AK733" s="327"/>
      <c r="AL733" s="602"/>
      <c r="AM733" s="326"/>
      <c r="AN733" s="326"/>
      <c r="AO733" s="326"/>
      <c r="AP733" s="326"/>
      <c r="AQ733" s="326"/>
      <c r="AR733" s="326"/>
      <c r="AS733" s="326"/>
      <c r="AT733" s="326"/>
      <c r="AU733" s="326"/>
      <c r="AV733" s="326"/>
      <c r="AW733" s="326"/>
      <c r="AX733" s="326"/>
      <c r="AY733" s="326"/>
      <c r="AZ733" s="326"/>
      <c r="BA733" s="326"/>
      <c r="BB733" s="327"/>
    </row>
    <row r="734" spans="1:54" ht="15.75" customHeight="1" x14ac:dyDescent="0.25">
      <c r="A734" s="11">
        <f t="shared" si="2"/>
        <v>721</v>
      </c>
      <c r="B734" s="570" t="str">
        <f>'refer admin discharge'!B730</f>
        <v>x</v>
      </c>
      <c r="C734" s="327"/>
      <c r="D734" s="599" t="str">
        <f>'refer admin discharge'!D730</f>
        <v>xx</v>
      </c>
      <c r="E734" s="327"/>
      <c r="F734" s="600" t="str">
        <f>'refer admin discharge'!H730</f>
        <v>00/00/0000</v>
      </c>
      <c r="G734" s="327"/>
      <c r="H734" s="574"/>
      <c r="I734" s="327"/>
      <c r="J734" s="601"/>
      <c r="K734" s="327"/>
      <c r="L734" s="574"/>
      <c r="M734" s="327"/>
      <c r="N734" s="594"/>
      <c r="O734" s="327"/>
      <c r="P734" s="574"/>
      <c r="Q734" s="327"/>
      <c r="R734" s="594"/>
      <c r="S734" s="327"/>
      <c r="T734" s="574"/>
      <c r="U734" s="327"/>
      <c r="V734" s="595" t="str">
        <f>'refer admin discharge'!H735</f>
        <v>00/00/0000</v>
      </c>
      <c r="W734" s="327"/>
      <c r="X734" s="596"/>
      <c r="Y734" s="327"/>
      <c r="Z734" s="597"/>
      <c r="AA734" s="327"/>
      <c r="AB734" s="596"/>
      <c r="AC734" s="327"/>
      <c r="AD734" s="577"/>
      <c r="AE734" s="327"/>
      <c r="AF734" s="596"/>
      <c r="AG734" s="327"/>
      <c r="AH734" s="577"/>
      <c r="AI734" s="327"/>
      <c r="AJ734" s="596"/>
      <c r="AK734" s="327"/>
      <c r="AL734" s="598"/>
      <c r="AM734" s="326"/>
      <c r="AN734" s="326"/>
      <c r="AO734" s="326"/>
      <c r="AP734" s="326"/>
      <c r="AQ734" s="326"/>
      <c r="AR734" s="326"/>
      <c r="AS734" s="326"/>
      <c r="AT734" s="326"/>
      <c r="AU734" s="326"/>
      <c r="AV734" s="326"/>
      <c r="AW734" s="326"/>
      <c r="AX734" s="326"/>
      <c r="AY734" s="326"/>
      <c r="AZ734" s="326"/>
      <c r="BA734" s="326"/>
      <c r="BB734" s="327"/>
    </row>
    <row r="735" spans="1:54" ht="15.75" customHeight="1" x14ac:dyDescent="0.25">
      <c r="A735" s="11">
        <f t="shared" si="2"/>
        <v>722</v>
      </c>
      <c r="B735" s="504" t="str">
        <f>'refer admin discharge'!B731</f>
        <v>x</v>
      </c>
      <c r="C735" s="327"/>
      <c r="D735" s="505" t="str">
        <f>'refer admin discharge'!D731</f>
        <v>xx</v>
      </c>
      <c r="E735" s="327"/>
      <c r="F735" s="606" t="str">
        <f>'refer admin discharge'!H731</f>
        <v>00/00/0000</v>
      </c>
      <c r="G735" s="327"/>
      <c r="H735" s="594"/>
      <c r="I735" s="327"/>
      <c r="J735" s="605"/>
      <c r="K735" s="327"/>
      <c r="L735" s="594"/>
      <c r="M735" s="327"/>
      <c r="N735" s="575"/>
      <c r="O735" s="327"/>
      <c r="P735" s="594"/>
      <c r="Q735" s="327"/>
      <c r="R735" s="575"/>
      <c r="S735" s="327"/>
      <c r="T735" s="594"/>
      <c r="U735" s="327"/>
      <c r="V735" s="595" t="str">
        <f>'refer admin discharge'!H736</f>
        <v>00/00/0000</v>
      </c>
      <c r="W735" s="327"/>
      <c r="X735" s="577"/>
      <c r="Y735" s="327"/>
      <c r="Z735" s="604"/>
      <c r="AA735" s="327"/>
      <c r="AB735" s="577"/>
      <c r="AC735" s="327"/>
      <c r="AD735" s="576"/>
      <c r="AE735" s="327"/>
      <c r="AF735" s="577"/>
      <c r="AG735" s="327"/>
      <c r="AH735" s="576"/>
      <c r="AI735" s="327"/>
      <c r="AJ735" s="577"/>
      <c r="AK735" s="327"/>
      <c r="AL735" s="602"/>
      <c r="AM735" s="326"/>
      <c r="AN735" s="326"/>
      <c r="AO735" s="326"/>
      <c r="AP735" s="326"/>
      <c r="AQ735" s="326"/>
      <c r="AR735" s="326"/>
      <c r="AS735" s="326"/>
      <c r="AT735" s="326"/>
      <c r="AU735" s="326"/>
      <c r="AV735" s="326"/>
      <c r="AW735" s="326"/>
      <c r="AX735" s="326"/>
      <c r="AY735" s="326"/>
      <c r="AZ735" s="326"/>
      <c r="BA735" s="326"/>
      <c r="BB735" s="327"/>
    </row>
    <row r="736" spans="1:54" ht="15.75" customHeight="1" x14ac:dyDescent="0.25">
      <c r="A736" s="11">
        <f t="shared" si="2"/>
        <v>723</v>
      </c>
      <c r="B736" s="570" t="str">
        <f>'refer admin discharge'!B732</f>
        <v>x</v>
      </c>
      <c r="C736" s="327"/>
      <c r="D736" s="599" t="str">
        <f>'refer admin discharge'!D732</f>
        <v>xx</v>
      </c>
      <c r="E736" s="327"/>
      <c r="F736" s="600" t="str">
        <f>'refer admin discharge'!H732</f>
        <v>00/00/0000</v>
      </c>
      <c r="G736" s="327"/>
      <c r="H736" s="574"/>
      <c r="I736" s="327"/>
      <c r="J736" s="601"/>
      <c r="K736" s="327"/>
      <c r="L736" s="574"/>
      <c r="M736" s="327"/>
      <c r="N736" s="594"/>
      <c r="O736" s="327"/>
      <c r="P736" s="574"/>
      <c r="Q736" s="327"/>
      <c r="R736" s="594"/>
      <c r="S736" s="327"/>
      <c r="T736" s="574"/>
      <c r="U736" s="327"/>
      <c r="V736" s="595" t="str">
        <f>'refer admin discharge'!H737</f>
        <v>00/00/0000</v>
      </c>
      <c r="W736" s="327"/>
      <c r="X736" s="596"/>
      <c r="Y736" s="327"/>
      <c r="Z736" s="597"/>
      <c r="AA736" s="327"/>
      <c r="AB736" s="596"/>
      <c r="AC736" s="327"/>
      <c r="AD736" s="577"/>
      <c r="AE736" s="327"/>
      <c r="AF736" s="596"/>
      <c r="AG736" s="327"/>
      <c r="AH736" s="577"/>
      <c r="AI736" s="327"/>
      <c r="AJ736" s="596"/>
      <c r="AK736" s="327"/>
      <c r="AL736" s="598"/>
      <c r="AM736" s="326"/>
      <c r="AN736" s="326"/>
      <c r="AO736" s="326"/>
      <c r="AP736" s="326"/>
      <c r="AQ736" s="326"/>
      <c r="AR736" s="326"/>
      <c r="AS736" s="326"/>
      <c r="AT736" s="326"/>
      <c r="AU736" s="326"/>
      <c r="AV736" s="326"/>
      <c r="AW736" s="326"/>
      <c r="AX736" s="326"/>
      <c r="AY736" s="326"/>
      <c r="AZ736" s="326"/>
      <c r="BA736" s="326"/>
      <c r="BB736" s="327"/>
    </row>
    <row r="737" spans="1:54" ht="15.75" customHeight="1" x14ac:dyDescent="0.25">
      <c r="A737" s="11">
        <f t="shared" si="2"/>
        <v>724</v>
      </c>
      <c r="B737" s="504" t="str">
        <f>'refer admin discharge'!B733</f>
        <v>x</v>
      </c>
      <c r="C737" s="327"/>
      <c r="D737" s="505" t="str">
        <f>'refer admin discharge'!D733</f>
        <v>xx</v>
      </c>
      <c r="E737" s="327"/>
      <c r="F737" s="606" t="str">
        <f>'refer admin discharge'!H733</f>
        <v>00/00/0000</v>
      </c>
      <c r="G737" s="327"/>
      <c r="H737" s="594"/>
      <c r="I737" s="327"/>
      <c r="J737" s="605"/>
      <c r="K737" s="327"/>
      <c r="L737" s="594"/>
      <c r="M737" s="327"/>
      <c r="N737" s="575"/>
      <c r="O737" s="327"/>
      <c r="P737" s="594"/>
      <c r="Q737" s="327"/>
      <c r="R737" s="575"/>
      <c r="S737" s="327"/>
      <c r="T737" s="594"/>
      <c r="U737" s="327"/>
      <c r="V737" s="595" t="str">
        <f>'refer admin discharge'!H738</f>
        <v>00/00/0000</v>
      </c>
      <c r="W737" s="327"/>
      <c r="X737" s="577"/>
      <c r="Y737" s="327"/>
      <c r="Z737" s="604"/>
      <c r="AA737" s="327"/>
      <c r="AB737" s="577"/>
      <c r="AC737" s="327"/>
      <c r="AD737" s="576"/>
      <c r="AE737" s="327"/>
      <c r="AF737" s="577"/>
      <c r="AG737" s="327"/>
      <c r="AH737" s="576"/>
      <c r="AI737" s="327"/>
      <c r="AJ737" s="577"/>
      <c r="AK737" s="327"/>
      <c r="AL737" s="602"/>
      <c r="AM737" s="326"/>
      <c r="AN737" s="326"/>
      <c r="AO737" s="326"/>
      <c r="AP737" s="326"/>
      <c r="AQ737" s="326"/>
      <c r="AR737" s="326"/>
      <c r="AS737" s="326"/>
      <c r="AT737" s="326"/>
      <c r="AU737" s="326"/>
      <c r="AV737" s="326"/>
      <c r="AW737" s="326"/>
      <c r="AX737" s="326"/>
      <c r="AY737" s="326"/>
      <c r="AZ737" s="326"/>
      <c r="BA737" s="326"/>
      <c r="BB737" s="327"/>
    </row>
    <row r="738" spans="1:54" ht="15.75" customHeight="1" x14ac:dyDescent="0.25">
      <c r="A738" s="11">
        <f t="shared" si="2"/>
        <v>725</v>
      </c>
      <c r="B738" s="570" t="str">
        <f>'refer admin discharge'!B734</f>
        <v>x</v>
      </c>
      <c r="C738" s="327"/>
      <c r="D738" s="599" t="str">
        <f>'refer admin discharge'!D734</f>
        <v>xx</v>
      </c>
      <c r="E738" s="327"/>
      <c r="F738" s="600" t="str">
        <f>'refer admin discharge'!H734</f>
        <v>00/00/0000</v>
      </c>
      <c r="G738" s="327"/>
      <c r="H738" s="574"/>
      <c r="I738" s="327"/>
      <c r="J738" s="601"/>
      <c r="K738" s="327"/>
      <c r="L738" s="574"/>
      <c r="M738" s="327"/>
      <c r="N738" s="594"/>
      <c r="O738" s="327"/>
      <c r="P738" s="574"/>
      <c r="Q738" s="327"/>
      <c r="R738" s="594"/>
      <c r="S738" s="327"/>
      <c r="T738" s="574"/>
      <c r="U738" s="327"/>
      <c r="V738" s="595" t="str">
        <f>'refer admin discharge'!H739</f>
        <v>00/00/0000</v>
      </c>
      <c r="W738" s="327"/>
      <c r="X738" s="596"/>
      <c r="Y738" s="327"/>
      <c r="Z738" s="597"/>
      <c r="AA738" s="327"/>
      <c r="AB738" s="596"/>
      <c r="AC738" s="327"/>
      <c r="AD738" s="577"/>
      <c r="AE738" s="327"/>
      <c r="AF738" s="596"/>
      <c r="AG738" s="327"/>
      <c r="AH738" s="577"/>
      <c r="AI738" s="327"/>
      <c r="AJ738" s="596"/>
      <c r="AK738" s="327"/>
      <c r="AL738" s="598"/>
      <c r="AM738" s="326"/>
      <c r="AN738" s="326"/>
      <c r="AO738" s="326"/>
      <c r="AP738" s="326"/>
      <c r="AQ738" s="326"/>
      <c r="AR738" s="326"/>
      <c r="AS738" s="326"/>
      <c r="AT738" s="326"/>
      <c r="AU738" s="326"/>
      <c r="AV738" s="326"/>
      <c r="AW738" s="326"/>
      <c r="AX738" s="326"/>
      <c r="AY738" s="326"/>
      <c r="AZ738" s="326"/>
      <c r="BA738" s="326"/>
      <c r="BB738" s="327"/>
    </row>
    <row r="739" spans="1:54" ht="15.75" customHeight="1" x14ac:dyDescent="0.25">
      <c r="A739" s="11">
        <f t="shared" si="2"/>
        <v>726</v>
      </c>
      <c r="B739" s="504" t="str">
        <f>'refer admin discharge'!B735</f>
        <v>x</v>
      </c>
      <c r="C739" s="327"/>
      <c r="D739" s="505" t="str">
        <f>'refer admin discharge'!D735</f>
        <v>xx</v>
      </c>
      <c r="E739" s="327"/>
      <c r="F739" s="606" t="str">
        <f>'refer admin discharge'!H735</f>
        <v>00/00/0000</v>
      </c>
      <c r="G739" s="327"/>
      <c r="H739" s="594"/>
      <c r="I739" s="327"/>
      <c r="J739" s="605"/>
      <c r="K739" s="327"/>
      <c r="L739" s="594"/>
      <c r="M739" s="327"/>
      <c r="N739" s="575"/>
      <c r="O739" s="327"/>
      <c r="P739" s="594"/>
      <c r="Q739" s="327"/>
      <c r="R739" s="575"/>
      <c r="S739" s="327"/>
      <c r="T739" s="594"/>
      <c r="U739" s="327"/>
      <c r="V739" s="595" t="str">
        <f>'refer admin discharge'!H740</f>
        <v>00/00/0000</v>
      </c>
      <c r="W739" s="327"/>
      <c r="X739" s="577"/>
      <c r="Y739" s="327"/>
      <c r="Z739" s="604"/>
      <c r="AA739" s="327"/>
      <c r="AB739" s="577"/>
      <c r="AC739" s="327"/>
      <c r="AD739" s="576"/>
      <c r="AE739" s="327"/>
      <c r="AF739" s="577"/>
      <c r="AG739" s="327"/>
      <c r="AH739" s="576"/>
      <c r="AI739" s="327"/>
      <c r="AJ739" s="577"/>
      <c r="AK739" s="327"/>
      <c r="AL739" s="602"/>
      <c r="AM739" s="326"/>
      <c r="AN739" s="326"/>
      <c r="AO739" s="326"/>
      <c r="AP739" s="326"/>
      <c r="AQ739" s="326"/>
      <c r="AR739" s="326"/>
      <c r="AS739" s="326"/>
      <c r="AT739" s="326"/>
      <c r="AU739" s="326"/>
      <c r="AV739" s="326"/>
      <c r="AW739" s="326"/>
      <c r="AX739" s="326"/>
      <c r="AY739" s="326"/>
      <c r="AZ739" s="326"/>
      <c r="BA739" s="326"/>
      <c r="BB739" s="327"/>
    </row>
    <row r="740" spans="1:54" ht="15.75" customHeight="1" x14ac:dyDescent="0.25">
      <c r="A740" s="11">
        <f t="shared" si="2"/>
        <v>727</v>
      </c>
      <c r="B740" s="570" t="str">
        <f>'refer admin discharge'!B736</f>
        <v>x</v>
      </c>
      <c r="C740" s="327"/>
      <c r="D740" s="599" t="str">
        <f>'refer admin discharge'!D736</f>
        <v>xx</v>
      </c>
      <c r="E740" s="327"/>
      <c r="F740" s="600" t="str">
        <f>'refer admin discharge'!H736</f>
        <v>00/00/0000</v>
      </c>
      <c r="G740" s="327"/>
      <c r="H740" s="574"/>
      <c r="I740" s="327"/>
      <c r="J740" s="601"/>
      <c r="K740" s="327"/>
      <c r="L740" s="574"/>
      <c r="M740" s="327"/>
      <c r="N740" s="594"/>
      <c r="O740" s="327"/>
      <c r="P740" s="574"/>
      <c r="Q740" s="327"/>
      <c r="R740" s="594"/>
      <c r="S740" s="327"/>
      <c r="T740" s="574"/>
      <c r="U740" s="327"/>
      <c r="V740" s="595" t="str">
        <f>'refer admin discharge'!H741</f>
        <v>00/00/0000</v>
      </c>
      <c r="W740" s="327"/>
      <c r="X740" s="596"/>
      <c r="Y740" s="327"/>
      <c r="Z740" s="597"/>
      <c r="AA740" s="327"/>
      <c r="AB740" s="596"/>
      <c r="AC740" s="327"/>
      <c r="AD740" s="577"/>
      <c r="AE740" s="327"/>
      <c r="AF740" s="596"/>
      <c r="AG740" s="327"/>
      <c r="AH740" s="577"/>
      <c r="AI740" s="327"/>
      <c r="AJ740" s="596"/>
      <c r="AK740" s="327"/>
      <c r="AL740" s="598"/>
      <c r="AM740" s="326"/>
      <c r="AN740" s="326"/>
      <c r="AO740" s="326"/>
      <c r="AP740" s="326"/>
      <c r="AQ740" s="326"/>
      <c r="AR740" s="326"/>
      <c r="AS740" s="326"/>
      <c r="AT740" s="326"/>
      <c r="AU740" s="326"/>
      <c r="AV740" s="326"/>
      <c r="AW740" s="326"/>
      <c r="AX740" s="326"/>
      <c r="AY740" s="326"/>
      <c r="AZ740" s="326"/>
      <c r="BA740" s="326"/>
      <c r="BB740" s="327"/>
    </row>
    <row r="741" spans="1:54" ht="15.75" customHeight="1" x14ac:dyDescent="0.25">
      <c r="A741" s="11">
        <f t="shared" si="2"/>
        <v>728</v>
      </c>
      <c r="B741" s="504" t="str">
        <f>'refer admin discharge'!B737</f>
        <v>x</v>
      </c>
      <c r="C741" s="327"/>
      <c r="D741" s="505" t="str">
        <f>'refer admin discharge'!D737</f>
        <v>xx</v>
      </c>
      <c r="E741" s="327"/>
      <c r="F741" s="606" t="str">
        <f>'refer admin discharge'!H737</f>
        <v>00/00/0000</v>
      </c>
      <c r="G741" s="327"/>
      <c r="H741" s="594"/>
      <c r="I741" s="327"/>
      <c r="J741" s="605"/>
      <c r="K741" s="327"/>
      <c r="L741" s="594"/>
      <c r="M741" s="327"/>
      <c r="N741" s="575"/>
      <c r="O741" s="327"/>
      <c r="P741" s="594"/>
      <c r="Q741" s="327"/>
      <c r="R741" s="575"/>
      <c r="S741" s="327"/>
      <c r="T741" s="594"/>
      <c r="U741" s="327"/>
      <c r="V741" s="595" t="str">
        <f>'refer admin discharge'!H742</f>
        <v>00/00/0000</v>
      </c>
      <c r="W741" s="327"/>
      <c r="X741" s="577"/>
      <c r="Y741" s="327"/>
      <c r="Z741" s="604"/>
      <c r="AA741" s="327"/>
      <c r="AB741" s="577"/>
      <c r="AC741" s="327"/>
      <c r="AD741" s="576"/>
      <c r="AE741" s="327"/>
      <c r="AF741" s="577"/>
      <c r="AG741" s="327"/>
      <c r="AH741" s="576"/>
      <c r="AI741" s="327"/>
      <c r="AJ741" s="577"/>
      <c r="AK741" s="327"/>
      <c r="AL741" s="602"/>
      <c r="AM741" s="326"/>
      <c r="AN741" s="326"/>
      <c r="AO741" s="326"/>
      <c r="AP741" s="326"/>
      <c r="AQ741" s="326"/>
      <c r="AR741" s="326"/>
      <c r="AS741" s="326"/>
      <c r="AT741" s="326"/>
      <c r="AU741" s="326"/>
      <c r="AV741" s="326"/>
      <c r="AW741" s="326"/>
      <c r="AX741" s="326"/>
      <c r="AY741" s="326"/>
      <c r="AZ741" s="326"/>
      <c r="BA741" s="326"/>
      <c r="BB741" s="327"/>
    </row>
    <row r="742" spans="1:54" ht="15.75" customHeight="1" x14ac:dyDescent="0.25">
      <c r="A742" s="11">
        <f t="shared" si="2"/>
        <v>729</v>
      </c>
      <c r="B742" s="570" t="str">
        <f>'refer admin discharge'!B738</f>
        <v>x</v>
      </c>
      <c r="C742" s="327"/>
      <c r="D742" s="599" t="str">
        <f>'refer admin discharge'!D738</f>
        <v>xx</v>
      </c>
      <c r="E742" s="327"/>
      <c r="F742" s="600" t="str">
        <f>'refer admin discharge'!H738</f>
        <v>00/00/0000</v>
      </c>
      <c r="G742" s="327"/>
      <c r="H742" s="574"/>
      <c r="I742" s="327"/>
      <c r="J742" s="601"/>
      <c r="K742" s="327"/>
      <c r="L742" s="574"/>
      <c r="M742" s="327"/>
      <c r="N742" s="594"/>
      <c r="O742" s="327"/>
      <c r="P742" s="574"/>
      <c r="Q742" s="327"/>
      <c r="R742" s="594"/>
      <c r="S742" s="327"/>
      <c r="T742" s="574"/>
      <c r="U742" s="327"/>
      <c r="V742" s="595" t="str">
        <f>'refer admin discharge'!H743</f>
        <v>00/00/0000</v>
      </c>
      <c r="W742" s="327"/>
      <c r="X742" s="596"/>
      <c r="Y742" s="327"/>
      <c r="Z742" s="597"/>
      <c r="AA742" s="327"/>
      <c r="AB742" s="596"/>
      <c r="AC742" s="327"/>
      <c r="AD742" s="577"/>
      <c r="AE742" s="327"/>
      <c r="AF742" s="596"/>
      <c r="AG742" s="327"/>
      <c r="AH742" s="577"/>
      <c r="AI742" s="327"/>
      <c r="AJ742" s="596"/>
      <c r="AK742" s="327"/>
      <c r="AL742" s="598"/>
      <c r="AM742" s="326"/>
      <c r="AN742" s="326"/>
      <c r="AO742" s="326"/>
      <c r="AP742" s="326"/>
      <c r="AQ742" s="326"/>
      <c r="AR742" s="326"/>
      <c r="AS742" s="326"/>
      <c r="AT742" s="326"/>
      <c r="AU742" s="326"/>
      <c r="AV742" s="326"/>
      <c r="AW742" s="326"/>
      <c r="AX742" s="326"/>
      <c r="AY742" s="326"/>
      <c r="AZ742" s="326"/>
      <c r="BA742" s="326"/>
      <c r="BB742" s="327"/>
    </row>
    <row r="743" spans="1:54" ht="15.75" customHeight="1" x14ac:dyDescent="0.25">
      <c r="A743" s="11">
        <f t="shared" si="2"/>
        <v>730</v>
      </c>
      <c r="B743" s="504" t="str">
        <f>'refer admin discharge'!B739</f>
        <v>x</v>
      </c>
      <c r="C743" s="327"/>
      <c r="D743" s="505" t="str">
        <f>'refer admin discharge'!D739</f>
        <v>xx</v>
      </c>
      <c r="E743" s="327"/>
      <c r="F743" s="606" t="str">
        <f>'refer admin discharge'!H739</f>
        <v>00/00/0000</v>
      </c>
      <c r="G743" s="327"/>
      <c r="H743" s="594"/>
      <c r="I743" s="327"/>
      <c r="J743" s="605"/>
      <c r="K743" s="327"/>
      <c r="L743" s="594"/>
      <c r="M743" s="327"/>
      <c r="N743" s="575"/>
      <c r="O743" s="327"/>
      <c r="P743" s="594"/>
      <c r="Q743" s="327"/>
      <c r="R743" s="575"/>
      <c r="S743" s="327"/>
      <c r="T743" s="594"/>
      <c r="U743" s="327"/>
      <c r="V743" s="595" t="str">
        <f>'refer admin discharge'!H744</f>
        <v>00/00/0000</v>
      </c>
      <c r="W743" s="327"/>
      <c r="X743" s="577"/>
      <c r="Y743" s="327"/>
      <c r="Z743" s="604"/>
      <c r="AA743" s="327"/>
      <c r="AB743" s="577"/>
      <c r="AC743" s="327"/>
      <c r="AD743" s="576"/>
      <c r="AE743" s="327"/>
      <c r="AF743" s="577"/>
      <c r="AG743" s="327"/>
      <c r="AH743" s="576"/>
      <c r="AI743" s="327"/>
      <c r="AJ743" s="577"/>
      <c r="AK743" s="327"/>
      <c r="AL743" s="602"/>
      <c r="AM743" s="326"/>
      <c r="AN743" s="326"/>
      <c r="AO743" s="326"/>
      <c r="AP743" s="326"/>
      <c r="AQ743" s="326"/>
      <c r="AR743" s="326"/>
      <c r="AS743" s="326"/>
      <c r="AT743" s="326"/>
      <c r="AU743" s="326"/>
      <c r="AV743" s="326"/>
      <c r="AW743" s="326"/>
      <c r="AX743" s="326"/>
      <c r="AY743" s="326"/>
      <c r="AZ743" s="326"/>
      <c r="BA743" s="326"/>
      <c r="BB743" s="327"/>
    </row>
    <row r="744" spans="1:54" ht="15.75" customHeight="1" x14ac:dyDescent="0.25">
      <c r="A744" s="11">
        <f t="shared" si="2"/>
        <v>731</v>
      </c>
      <c r="B744" s="570" t="str">
        <f>'refer admin discharge'!B740</f>
        <v>x</v>
      </c>
      <c r="C744" s="327"/>
      <c r="D744" s="599" t="str">
        <f>'refer admin discharge'!D740</f>
        <v>xx</v>
      </c>
      <c r="E744" s="327"/>
      <c r="F744" s="600" t="str">
        <f>'refer admin discharge'!H740</f>
        <v>00/00/0000</v>
      </c>
      <c r="G744" s="327"/>
      <c r="H744" s="574"/>
      <c r="I744" s="327"/>
      <c r="J744" s="601"/>
      <c r="K744" s="327"/>
      <c r="L744" s="574"/>
      <c r="M744" s="327"/>
      <c r="N744" s="594"/>
      <c r="O744" s="327"/>
      <c r="P744" s="574"/>
      <c r="Q744" s="327"/>
      <c r="R744" s="594"/>
      <c r="S744" s="327"/>
      <c r="T744" s="574"/>
      <c r="U744" s="327"/>
      <c r="V744" s="595" t="str">
        <f>'refer admin discharge'!H745</f>
        <v>00/00/0000</v>
      </c>
      <c r="W744" s="327"/>
      <c r="X744" s="596"/>
      <c r="Y744" s="327"/>
      <c r="Z744" s="597"/>
      <c r="AA744" s="327"/>
      <c r="AB744" s="596"/>
      <c r="AC744" s="327"/>
      <c r="AD744" s="577"/>
      <c r="AE744" s="327"/>
      <c r="AF744" s="596"/>
      <c r="AG744" s="327"/>
      <c r="AH744" s="577"/>
      <c r="AI744" s="327"/>
      <c r="AJ744" s="596"/>
      <c r="AK744" s="327"/>
      <c r="AL744" s="598"/>
      <c r="AM744" s="326"/>
      <c r="AN744" s="326"/>
      <c r="AO744" s="326"/>
      <c r="AP744" s="326"/>
      <c r="AQ744" s="326"/>
      <c r="AR744" s="326"/>
      <c r="AS744" s="326"/>
      <c r="AT744" s="326"/>
      <c r="AU744" s="326"/>
      <c r="AV744" s="326"/>
      <c r="AW744" s="326"/>
      <c r="AX744" s="326"/>
      <c r="AY744" s="326"/>
      <c r="AZ744" s="326"/>
      <c r="BA744" s="326"/>
      <c r="BB744" s="327"/>
    </row>
    <row r="745" spans="1:54" ht="15.75" customHeight="1" x14ac:dyDescent="0.25">
      <c r="A745" s="11">
        <f t="shared" si="2"/>
        <v>732</v>
      </c>
      <c r="B745" s="504" t="str">
        <f>'refer admin discharge'!B741</f>
        <v>x</v>
      </c>
      <c r="C745" s="327"/>
      <c r="D745" s="505" t="str">
        <f>'refer admin discharge'!D741</f>
        <v>xx</v>
      </c>
      <c r="E745" s="327"/>
      <c r="F745" s="606" t="str">
        <f>'refer admin discharge'!H741</f>
        <v>00/00/0000</v>
      </c>
      <c r="G745" s="327"/>
      <c r="H745" s="594"/>
      <c r="I745" s="327"/>
      <c r="J745" s="605"/>
      <c r="K745" s="327"/>
      <c r="L745" s="594"/>
      <c r="M745" s="327"/>
      <c r="N745" s="575"/>
      <c r="O745" s="327"/>
      <c r="P745" s="594"/>
      <c r="Q745" s="327"/>
      <c r="R745" s="575"/>
      <c r="S745" s="327"/>
      <c r="T745" s="594"/>
      <c r="U745" s="327"/>
      <c r="V745" s="595" t="str">
        <f>'refer admin discharge'!H746</f>
        <v>00/00/0000</v>
      </c>
      <c r="W745" s="327"/>
      <c r="X745" s="577"/>
      <c r="Y745" s="327"/>
      <c r="Z745" s="604"/>
      <c r="AA745" s="327"/>
      <c r="AB745" s="577"/>
      <c r="AC745" s="327"/>
      <c r="AD745" s="576"/>
      <c r="AE745" s="327"/>
      <c r="AF745" s="577"/>
      <c r="AG745" s="327"/>
      <c r="AH745" s="576"/>
      <c r="AI745" s="327"/>
      <c r="AJ745" s="577"/>
      <c r="AK745" s="327"/>
      <c r="AL745" s="602"/>
      <c r="AM745" s="326"/>
      <c r="AN745" s="326"/>
      <c r="AO745" s="326"/>
      <c r="AP745" s="326"/>
      <c r="AQ745" s="326"/>
      <c r="AR745" s="326"/>
      <c r="AS745" s="326"/>
      <c r="AT745" s="326"/>
      <c r="AU745" s="326"/>
      <c r="AV745" s="326"/>
      <c r="AW745" s="326"/>
      <c r="AX745" s="326"/>
      <c r="AY745" s="326"/>
      <c r="AZ745" s="326"/>
      <c r="BA745" s="326"/>
      <c r="BB745" s="327"/>
    </row>
    <row r="746" spans="1:54" ht="15.75" customHeight="1" x14ac:dyDescent="0.25">
      <c r="A746" s="11">
        <f t="shared" si="2"/>
        <v>733</v>
      </c>
      <c r="B746" s="570" t="str">
        <f>'refer admin discharge'!B742</f>
        <v>x</v>
      </c>
      <c r="C746" s="327"/>
      <c r="D746" s="599" t="str">
        <f>'refer admin discharge'!D742</f>
        <v>xx</v>
      </c>
      <c r="E746" s="327"/>
      <c r="F746" s="600" t="str">
        <f>'refer admin discharge'!H742</f>
        <v>00/00/0000</v>
      </c>
      <c r="G746" s="327"/>
      <c r="H746" s="574"/>
      <c r="I746" s="327"/>
      <c r="J746" s="601"/>
      <c r="K746" s="327"/>
      <c r="L746" s="574"/>
      <c r="M746" s="327"/>
      <c r="N746" s="594"/>
      <c r="O746" s="327"/>
      <c r="P746" s="574"/>
      <c r="Q746" s="327"/>
      <c r="R746" s="594"/>
      <c r="S746" s="327"/>
      <c r="T746" s="574"/>
      <c r="U746" s="327"/>
      <c r="V746" s="595" t="str">
        <f>'refer admin discharge'!H747</f>
        <v>00/00/0000</v>
      </c>
      <c r="W746" s="327"/>
      <c r="X746" s="596"/>
      <c r="Y746" s="327"/>
      <c r="Z746" s="597"/>
      <c r="AA746" s="327"/>
      <c r="AB746" s="596"/>
      <c r="AC746" s="327"/>
      <c r="AD746" s="577"/>
      <c r="AE746" s="327"/>
      <c r="AF746" s="596"/>
      <c r="AG746" s="327"/>
      <c r="AH746" s="577"/>
      <c r="AI746" s="327"/>
      <c r="AJ746" s="596"/>
      <c r="AK746" s="327"/>
      <c r="AL746" s="598"/>
      <c r="AM746" s="326"/>
      <c r="AN746" s="326"/>
      <c r="AO746" s="326"/>
      <c r="AP746" s="326"/>
      <c r="AQ746" s="326"/>
      <c r="AR746" s="326"/>
      <c r="AS746" s="326"/>
      <c r="AT746" s="326"/>
      <c r="AU746" s="326"/>
      <c r="AV746" s="326"/>
      <c r="AW746" s="326"/>
      <c r="AX746" s="326"/>
      <c r="AY746" s="326"/>
      <c r="AZ746" s="326"/>
      <c r="BA746" s="326"/>
      <c r="BB746" s="327"/>
    </row>
    <row r="747" spans="1:54" ht="15.75" customHeight="1" x14ac:dyDescent="0.25">
      <c r="A747" s="11">
        <f t="shared" si="2"/>
        <v>734</v>
      </c>
      <c r="B747" s="504" t="str">
        <f>'refer admin discharge'!B743</f>
        <v>x</v>
      </c>
      <c r="C747" s="327"/>
      <c r="D747" s="505" t="str">
        <f>'refer admin discharge'!D743</f>
        <v>xx</v>
      </c>
      <c r="E747" s="327"/>
      <c r="F747" s="606" t="str">
        <f>'refer admin discharge'!H743</f>
        <v>00/00/0000</v>
      </c>
      <c r="G747" s="327"/>
      <c r="H747" s="594"/>
      <c r="I747" s="327"/>
      <c r="J747" s="605"/>
      <c r="K747" s="327"/>
      <c r="L747" s="594"/>
      <c r="M747" s="327"/>
      <c r="N747" s="575"/>
      <c r="O747" s="327"/>
      <c r="P747" s="594"/>
      <c r="Q747" s="327"/>
      <c r="R747" s="575"/>
      <c r="S747" s="327"/>
      <c r="T747" s="594"/>
      <c r="U747" s="327"/>
      <c r="V747" s="595" t="str">
        <f>'refer admin discharge'!H748</f>
        <v>00/00/0000</v>
      </c>
      <c r="W747" s="327"/>
      <c r="X747" s="577"/>
      <c r="Y747" s="327"/>
      <c r="Z747" s="604"/>
      <c r="AA747" s="327"/>
      <c r="AB747" s="577"/>
      <c r="AC747" s="327"/>
      <c r="AD747" s="576"/>
      <c r="AE747" s="327"/>
      <c r="AF747" s="577"/>
      <c r="AG747" s="327"/>
      <c r="AH747" s="576"/>
      <c r="AI747" s="327"/>
      <c r="AJ747" s="577"/>
      <c r="AK747" s="327"/>
      <c r="AL747" s="602"/>
      <c r="AM747" s="326"/>
      <c r="AN747" s="326"/>
      <c r="AO747" s="326"/>
      <c r="AP747" s="326"/>
      <c r="AQ747" s="326"/>
      <c r="AR747" s="326"/>
      <c r="AS747" s="326"/>
      <c r="AT747" s="326"/>
      <c r="AU747" s="326"/>
      <c r="AV747" s="326"/>
      <c r="AW747" s="326"/>
      <c r="AX747" s="326"/>
      <c r="AY747" s="326"/>
      <c r="AZ747" s="326"/>
      <c r="BA747" s="326"/>
      <c r="BB747" s="327"/>
    </row>
    <row r="748" spans="1:54" ht="15.75" customHeight="1" x14ac:dyDescent="0.25">
      <c r="A748" s="11">
        <f t="shared" si="2"/>
        <v>735</v>
      </c>
      <c r="B748" s="570" t="str">
        <f>'refer admin discharge'!B744</f>
        <v>x</v>
      </c>
      <c r="C748" s="327"/>
      <c r="D748" s="599" t="str">
        <f>'refer admin discharge'!D744</f>
        <v>xx</v>
      </c>
      <c r="E748" s="327"/>
      <c r="F748" s="600" t="str">
        <f>'refer admin discharge'!H744</f>
        <v>00/00/0000</v>
      </c>
      <c r="G748" s="327"/>
      <c r="H748" s="574"/>
      <c r="I748" s="327"/>
      <c r="J748" s="601"/>
      <c r="K748" s="327"/>
      <c r="L748" s="574"/>
      <c r="M748" s="327"/>
      <c r="N748" s="594"/>
      <c r="O748" s="327"/>
      <c r="P748" s="574"/>
      <c r="Q748" s="327"/>
      <c r="R748" s="594"/>
      <c r="S748" s="327"/>
      <c r="T748" s="574"/>
      <c r="U748" s="327"/>
      <c r="V748" s="595" t="str">
        <f>'refer admin discharge'!H749</f>
        <v>00/00/0000</v>
      </c>
      <c r="W748" s="327"/>
      <c r="X748" s="596"/>
      <c r="Y748" s="327"/>
      <c r="Z748" s="597"/>
      <c r="AA748" s="327"/>
      <c r="AB748" s="596"/>
      <c r="AC748" s="327"/>
      <c r="AD748" s="577"/>
      <c r="AE748" s="327"/>
      <c r="AF748" s="596"/>
      <c r="AG748" s="327"/>
      <c r="AH748" s="577"/>
      <c r="AI748" s="327"/>
      <c r="AJ748" s="596"/>
      <c r="AK748" s="327"/>
      <c r="AL748" s="598"/>
      <c r="AM748" s="326"/>
      <c r="AN748" s="326"/>
      <c r="AO748" s="326"/>
      <c r="AP748" s="326"/>
      <c r="AQ748" s="326"/>
      <c r="AR748" s="326"/>
      <c r="AS748" s="326"/>
      <c r="AT748" s="326"/>
      <c r="AU748" s="326"/>
      <c r="AV748" s="326"/>
      <c r="AW748" s="326"/>
      <c r="AX748" s="326"/>
      <c r="AY748" s="326"/>
      <c r="AZ748" s="326"/>
      <c r="BA748" s="326"/>
      <c r="BB748" s="327"/>
    </row>
    <row r="749" spans="1:54" ht="15.75" customHeight="1" x14ac:dyDescent="0.25">
      <c r="A749" s="11">
        <f t="shared" si="2"/>
        <v>736</v>
      </c>
      <c r="B749" s="504" t="str">
        <f>'refer admin discharge'!B745</f>
        <v>x</v>
      </c>
      <c r="C749" s="327"/>
      <c r="D749" s="505" t="str">
        <f>'refer admin discharge'!D745</f>
        <v>xx</v>
      </c>
      <c r="E749" s="327"/>
      <c r="F749" s="606" t="str">
        <f>'refer admin discharge'!H745</f>
        <v>00/00/0000</v>
      </c>
      <c r="G749" s="327"/>
      <c r="H749" s="594"/>
      <c r="I749" s="327"/>
      <c r="J749" s="605"/>
      <c r="K749" s="327"/>
      <c r="L749" s="594"/>
      <c r="M749" s="327"/>
      <c r="N749" s="575"/>
      <c r="O749" s="327"/>
      <c r="P749" s="594"/>
      <c r="Q749" s="327"/>
      <c r="R749" s="575"/>
      <c r="S749" s="327"/>
      <c r="T749" s="594"/>
      <c r="U749" s="327"/>
      <c r="V749" s="595" t="str">
        <f>'refer admin discharge'!H750</f>
        <v>00/00/0000</v>
      </c>
      <c r="W749" s="327"/>
      <c r="X749" s="577"/>
      <c r="Y749" s="327"/>
      <c r="Z749" s="604"/>
      <c r="AA749" s="327"/>
      <c r="AB749" s="577"/>
      <c r="AC749" s="327"/>
      <c r="AD749" s="576"/>
      <c r="AE749" s="327"/>
      <c r="AF749" s="577"/>
      <c r="AG749" s="327"/>
      <c r="AH749" s="576"/>
      <c r="AI749" s="327"/>
      <c r="AJ749" s="577"/>
      <c r="AK749" s="327"/>
      <c r="AL749" s="602"/>
      <c r="AM749" s="326"/>
      <c r="AN749" s="326"/>
      <c r="AO749" s="326"/>
      <c r="AP749" s="326"/>
      <c r="AQ749" s="326"/>
      <c r="AR749" s="326"/>
      <c r="AS749" s="326"/>
      <c r="AT749" s="326"/>
      <c r="AU749" s="326"/>
      <c r="AV749" s="326"/>
      <c r="AW749" s="326"/>
      <c r="AX749" s="326"/>
      <c r="AY749" s="326"/>
      <c r="AZ749" s="326"/>
      <c r="BA749" s="326"/>
      <c r="BB749" s="327"/>
    </row>
    <row r="750" spans="1:54" ht="15.75" customHeight="1" x14ac:dyDescent="0.25">
      <c r="A750" s="11">
        <f t="shared" si="2"/>
        <v>737</v>
      </c>
      <c r="B750" s="570" t="str">
        <f>'refer admin discharge'!B746</f>
        <v>x</v>
      </c>
      <c r="C750" s="327"/>
      <c r="D750" s="599" t="str">
        <f>'refer admin discharge'!D746</f>
        <v>xx</v>
      </c>
      <c r="E750" s="327"/>
      <c r="F750" s="600" t="str">
        <f>'refer admin discharge'!H746</f>
        <v>00/00/0000</v>
      </c>
      <c r="G750" s="327"/>
      <c r="H750" s="574"/>
      <c r="I750" s="327"/>
      <c r="J750" s="601"/>
      <c r="K750" s="327"/>
      <c r="L750" s="574"/>
      <c r="M750" s="327"/>
      <c r="N750" s="594"/>
      <c r="O750" s="327"/>
      <c r="P750" s="574"/>
      <c r="Q750" s="327"/>
      <c r="R750" s="594"/>
      <c r="S750" s="327"/>
      <c r="T750" s="574"/>
      <c r="U750" s="327"/>
      <c r="V750" s="595" t="str">
        <f>'refer admin discharge'!H751</f>
        <v>00/00/0000</v>
      </c>
      <c r="W750" s="327"/>
      <c r="X750" s="596"/>
      <c r="Y750" s="327"/>
      <c r="Z750" s="597"/>
      <c r="AA750" s="327"/>
      <c r="AB750" s="596"/>
      <c r="AC750" s="327"/>
      <c r="AD750" s="577"/>
      <c r="AE750" s="327"/>
      <c r="AF750" s="596"/>
      <c r="AG750" s="327"/>
      <c r="AH750" s="577"/>
      <c r="AI750" s="327"/>
      <c r="AJ750" s="596"/>
      <c r="AK750" s="327"/>
      <c r="AL750" s="598"/>
      <c r="AM750" s="326"/>
      <c r="AN750" s="326"/>
      <c r="AO750" s="326"/>
      <c r="AP750" s="326"/>
      <c r="AQ750" s="326"/>
      <c r="AR750" s="326"/>
      <c r="AS750" s="326"/>
      <c r="AT750" s="326"/>
      <c r="AU750" s="326"/>
      <c r="AV750" s="326"/>
      <c r="AW750" s="326"/>
      <c r="AX750" s="326"/>
      <c r="AY750" s="326"/>
      <c r="AZ750" s="326"/>
      <c r="BA750" s="326"/>
      <c r="BB750" s="327"/>
    </row>
    <row r="751" spans="1:54" ht="15.75" customHeight="1" x14ac:dyDescent="0.25">
      <c r="A751" s="11">
        <f t="shared" si="2"/>
        <v>738</v>
      </c>
      <c r="B751" s="504" t="str">
        <f>'refer admin discharge'!B747</f>
        <v>x</v>
      </c>
      <c r="C751" s="327"/>
      <c r="D751" s="505" t="str">
        <f>'refer admin discharge'!D747</f>
        <v>xx</v>
      </c>
      <c r="E751" s="327"/>
      <c r="F751" s="606" t="str">
        <f>'refer admin discharge'!H747</f>
        <v>00/00/0000</v>
      </c>
      <c r="G751" s="327"/>
      <c r="H751" s="594"/>
      <c r="I751" s="327"/>
      <c r="J751" s="605"/>
      <c r="K751" s="327"/>
      <c r="L751" s="594"/>
      <c r="M751" s="327"/>
      <c r="N751" s="575"/>
      <c r="O751" s="327"/>
      <c r="P751" s="594"/>
      <c r="Q751" s="327"/>
      <c r="R751" s="575"/>
      <c r="S751" s="327"/>
      <c r="T751" s="594"/>
      <c r="U751" s="327"/>
      <c r="V751" s="595" t="str">
        <f>'refer admin discharge'!H752</f>
        <v>00/00/0000</v>
      </c>
      <c r="W751" s="327"/>
      <c r="X751" s="577"/>
      <c r="Y751" s="327"/>
      <c r="Z751" s="604"/>
      <c r="AA751" s="327"/>
      <c r="AB751" s="577"/>
      <c r="AC751" s="327"/>
      <c r="AD751" s="576"/>
      <c r="AE751" s="327"/>
      <c r="AF751" s="577"/>
      <c r="AG751" s="327"/>
      <c r="AH751" s="576"/>
      <c r="AI751" s="327"/>
      <c r="AJ751" s="577"/>
      <c r="AK751" s="327"/>
      <c r="AL751" s="602"/>
      <c r="AM751" s="326"/>
      <c r="AN751" s="326"/>
      <c r="AO751" s="326"/>
      <c r="AP751" s="326"/>
      <c r="AQ751" s="326"/>
      <c r="AR751" s="326"/>
      <c r="AS751" s="326"/>
      <c r="AT751" s="326"/>
      <c r="AU751" s="326"/>
      <c r="AV751" s="326"/>
      <c r="AW751" s="326"/>
      <c r="AX751" s="326"/>
      <c r="AY751" s="326"/>
      <c r="AZ751" s="326"/>
      <c r="BA751" s="326"/>
      <c r="BB751" s="327"/>
    </row>
    <row r="752" spans="1:54" ht="15.75" customHeight="1" x14ac:dyDescent="0.25">
      <c r="A752" s="11">
        <f t="shared" si="2"/>
        <v>739</v>
      </c>
      <c r="B752" s="570" t="str">
        <f>'refer admin discharge'!B748</f>
        <v>x</v>
      </c>
      <c r="C752" s="327"/>
      <c r="D752" s="599" t="str">
        <f>'refer admin discharge'!D748</f>
        <v>xx</v>
      </c>
      <c r="E752" s="327"/>
      <c r="F752" s="600" t="str">
        <f>'refer admin discharge'!H748</f>
        <v>00/00/0000</v>
      </c>
      <c r="G752" s="327"/>
      <c r="H752" s="574"/>
      <c r="I752" s="327"/>
      <c r="J752" s="601"/>
      <c r="K752" s="327"/>
      <c r="L752" s="574"/>
      <c r="M752" s="327"/>
      <c r="N752" s="594"/>
      <c r="O752" s="327"/>
      <c r="P752" s="574"/>
      <c r="Q752" s="327"/>
      <c r="R752" s="594"/>
      <c r="S752" s="327"/>
      <c r="T752" s="574"/>
      <c r="U752" s="327"/>
      <c r="V752" s="595" t="str">
        <f>'refer admin discharge'!H753</f>
        <v>00/00/0000</v>
      </c>
      <c r="W752" s="327"/>
      <c r="X752" s="596"/>
      <c r="Y752" s="327"/>
      <c r="Z752" s="597"/>
      <c r="AA752" s="327"/>
      <c r="AB752" s="596"/>
      <c r="AC752" s="327"/>
      <c r="AD752" s="577"/>
      <c r="AE752" s="327"/>
      <c r="AF752" s="596"/>
      <c r="AG752" s="327"/>
      <c r="AH752" s="577"/>
      <c r="AI752" s="327"/>
      <c r="AJ752" s="596"/>
      <c r="AK752" s="327"/>
      <c r="AL752" s="598"/>
      <c r="AM752" s="326"/>
      <c r="AN752" s="326"/>
      <c r="AO752" s="326"/>
      <c r="AP752" s="326"/>
      <c r="AQ752" s="326"/>
      <c r="AR752" s="326"/>
      <c r="AS752" s="326"/>
      <c r="AT752" s="326"/>
      <c r="AU752" s="326"/>
      <c r="AV752" s="326"/>
      <c r="AW752" s="326"/>
      <c r="AX752" s="326"/>
      <c r="AY752" s="326"/>
      <c r="AZ752" s="326"/>
      <c r="BA752" s="326"/>
      <c r="BB752" s="327"/>
    </row>
    <row r="753" spans="1:54" ht="15.75" customHeight="1" x14ac:dyDescent="0.25">
      <c r="A753" s="11">
        <f t="shared" si="2"/>
        <v>740</v>
      </c>
      <c r="B753" s="504" t="str">
        <f>'refer admin discharge'!B749</f>
        <v>x</v>
      </c>
      <c r="C753" s="327"/>
      <c r="D753" s="505" t="str">
        <f>'refer admin discharge'!D749</f>
        <v>xx</v>
      </c>
      <c r="E753" s="327"/>
      <c r="F753" s="606" t="str">
        <f>'refer admin discharge'!H749</f>
        <v>00/00/0000</v>
      </c>
      <c r="G753" s="327"/>
      <c r="H753" s="594"/>
      <c r="I753" s="327"/>
      <c r="J753" s="605"/>
      <c r="K753" s="327"/>
      <c r="L753" s="594"/>
      <c r="M753" s="327"/>
      <c r="N753" s="575"/>
      <c r="O753" s="327"/>
      <c r="P753" s="594"/>
      <c r="Q753" s="327"/>
      <c r="R753" s="575"/>
      <c r="S753" s="327"/>
      <c r="T753" s="594"/>
      <c r="U753" s="327"/>
      <c r="V753" s="595" t="str">
        <f>'refer admin discharge'!H754</f>
        <v>00/00/0000</v>
      </c>
      <c r="W753" s="327"/>
      <c r="X753" s="577"/>
      <c r="Y753" s="327"/>
      <c r="Z753" s="604"/>
      <c r="AA753" s="327"/>
      <c r="AB753" s="577"/>
      <c r="AC753" s="327"/>
      <c r="AD753" s="576"/>
      <c r="AE753" s="327"/>
      <c r="AF753" s="577"/>
      <c r="AG753" s="327"/>
      <c r="AH753" s="576"/>
      <c r="AI753" s="327"/>
      <c r="AJ753" s="577"/>
      <c r="AK753" s="327"/>
      <c r="AL753" s="602"/>
      <c r="AM753" s="326"/>
      <c r="AN753" s="326"/>
      <c r="AO753" s="326"/>
      <c r="AP753" s="326"/>
      <c r="AQ753" s="326"/>
      <c r="AR753" s="326"/>
      <c r="AS753" s="326"/>
      <c r="AT753" s="326"/>
      <c r="AU753" s="326"/>
      <c r="AV753" s="326"/>
      <c r="AW753" s="326"/>
      <c r="AX753" s="326"/>
      <c r="AY753" s="326"/>
      <c r="AZ753" s="326"/>
      <c r="BA753" s="326"/>
      <c r="BB753" s="327"/>
    </row>
    <row r="754" spans="1:54" ht="15.75" customHeight="1" x14ac:dyDescent="0.25">
      <c r="A754" s="11">
        <f t="shared" si="2"/>
        <v>741</v>
      </c>
      <c r="B754" s="570" t="str">
        <f>'refer admin discharge'!B750</f>
        <v>x</v>
      </c>
      <c r="C754" s="327"/>
      <c r="D754" s="599" t="str">
        <f>'refer admin discharge'!D750</f>
        <v>xx</v>
      </c>
      <c r="E754" s="327"/>
      <c r="F754" s="600" t="str">
        <f>'refer admin discharge'!H750</f>
        <v>00/00/0000</v>
      </c>
      <c r="G754" s="327"/>
      <c r="H754" s="574"/>
      <c r="I754" s="327"/>
      <c r="J754" s="601"/>
      <c r="K754" s="327"/>
      <c r="L754" s="574"/>
      <c r="M754" s="327"/>
      <c r="N754" s="594"/>
      <c r="O754" s="327"/>
      <c r="P754" s="574"/>
      <c r="Q754" s="327"/>
      <c r="R754" s="594"/>
      <c r="S754" s="327"/>
      <c r="T754" s="574"/>
      <c r="U754" s="327"/>
      <c r="V754" s="595" t="str">
        <f>'refer admin discharge'!H755</f>
        <v>00/00/0000</v>
      </c>
      <c r="W754" s="327"/>
      <c r="X754" s="596"/>
      <c r="Y754" s="327"/>
      <c r="Z754" s="597"/>
      <c r="AA754" s="327"/>
      <c r="AB754" s="596"/>
      <c r="AC754" s="327"/>
      <c r="AD754" s="577"/>
      <c r="AE754" s="327"/>
      <c r="AF754" s="596"/>
      <c r="AG754" s="327"/>
      <c r="AH754" s="577"/>
      <c r="AI754" s="327"/>
      <c r="AJ754" s="596"/>
      <c r="AK754" s="327"/>
      <c r="AL754" s="598"/>
      <c r="AM754" s="326"/>
      <c r="AN754" s="326"/>
      <c r="AO754" s="326"/>
      <c r="AP754" s="326"/>
      <c r="AQ754" s="326"/>
      <c r="AR754" s="326"/>
      <c r="AS754" s="326"/>
      <c r="AT754" s="326"/>
      <c r="AU754" s="326"/>
      <c r="AV754" s="326"/>
      <c r="AW754" s="326"/>
      <c r="AX754" s="326"/>
      <c r="AY754" s="326"/>
      <c r="AZ754" s="326"/>
      <c r="BA754" s="326"/>
      <c r="BB754" s="327"/>
    </row>
    <row r="755" spans="1:54" ht="15.75" customHeight="1" x14ac:dyDescent="0.25">
      <c r="A755" s="11">
        <f t="shared" si="2"/>
        <v>742</v>
      </c>
      <c r="B755" s="504" t="str">
        <f>'refer admin discharge'!B751</f>
        <v>x</v>
      </c>
      <c r="C755" s="327"/>
      <c r="D755" s="505" t="str">
        <f>'refer admin discharge'!D751</f>
        <v>xx</v>
      </c>
      <c r="E755" s="327"/>
      <c r="F755" s="606" t="str">
        <f>'refer admin discharge'!H751</f>
        <v>00/00/0000</v>
      </c>
      <c r="G755" s="327"/>
      <c r="H755" s="594"/>
      <c r="I755" s="327"/>
      <c r="J755" s="605"/>
      <c r="K755" s="327"/>
      <c r="L755" s="594"/>
      <c r="M755" s="327"/>
      <c r="N755" s="575"/>
      <c r="O755" s="327"/>
      <c r="P755" s="594"/>
      <c r="Q755" s="327"/>
      <c r="R755" s="575"/>
      <c r="S755" s="327"/>
      <c r="T755" s="594"/>
      <c r="U755" s="327"/>
      <c r="V755" s="595" t="str">
        <f>'refer admin discharge'!H756</f>
        <v>00/00/0000</v>
      </c>
      <c r="W755" s="327"/>
      <c r="X755" s="577"/>
      <c r="Y755" s="327"/>
      <c r="Z755" s="604"/>
      <c r="AA755" s="327"/>
      <c r="AB755" s="577"/>
      <c r="AC755" s="327"/>
      <c r="AD755" s="576"/>
      <c r="AE755" s="327"/>
      <c r="AF755" s="577"/>
      <c r="AG755" s="327"/>
      <c r="AH755" s="576"/>
      <c r="AI755" s="327"/>
      <c r="AJ755" s="577"/>
      <c r="AK755" s="327"/>
      <c r="AL755" s="602"/>
      <c r="AM755" s="326"/>
      <c r="AN755" s="326"/>
      <c r="AO755" s="326"/>
      <c r="AP755" s="326"/>
      <c r="AQ755" s="326"/>
      <c r="AR755" s="326"/>
      <c r="AS755" s="326"/>
      <c r="AT755" s="326"/>
      <c r="AU755" s="326"/>
      <c r="AV755" s="326"/>
      <c r="AW755" s="326"/>
      <c r="AX755" s="326"/>
      <c r="AY755" s="326"/>
      <c r="AZ755" s="326"/>
      <c r="BA755" s="326"/>
      <c r="BB755" s="327"/>
    </row>
    <row r="756" spans="1:54" ht="15.75" customHeight="1" x14ac:dyDescent="0.25">
      <c r="A756" s="11">
        <f t="shared" si="2"/>
        <v>743</v>
      </c>
      <c r="B756" s="570" t="str">
        <f>'refer admin discharge'!B752</f>
        <v>x</v>
      </c>
      <c r="C756" s="327"/>
      <c r="D756" s="599" t="str">
        <f>'refer admin discharge'!D752</f>
        <v>xx</v>
      </c>
      <c r="E756" s="327"/>
      <c r="F756" s="600" t="str">
        <f>'refer admin discharge'!H752</f>
        <v>00/00/0000</v>
      </c>
      <c r="G756" s="327"/>
      <c r="H756" s="574"/>
      <c r="I756" s="327"/>
      <c r="J756" s="601"/>
      <c r="K756" s="327"/>
      <c r="L756" s="574"/>
      <c r="M756" s="327"/>
      <c r="N756" s="594"/>
      <c r="O756" s="327"/>
      <c r="P756" s="574"/>
      <c r="Q756" s="327"/>
      <c r="R756" s="594"/>
      <c r="S756" s="327"/>
      <c r="T756" s="574"/>
      <c r="U756" s="327"/>
      <c r="V756" s="595" t="str">
        <f>'refer admin discharge'!H757</f>
        <v>00/00/0000</v>
      </c>
      <c r="W756" s="327"/>
      <c r="X756" s="596"/>
      <c r="Y756" s="327"/>
      <c r="Z756" s="597"/>
      <c r="AA756" s="327"/>
      <c r="AB756" s="596"/>
      <c r="AC756" s="327"/>
      <c r="AD756" s="577"/>
      <c r="AE756" s="327"/>
      <c r="AF756" s="596"/>
      <c r="AG756" s="327"/>
      <c r="AH756" s="577"/>
      <c r="AI756" s="327"/>
      <c r="AJ756" s="596"/>
      <c r="AK756" s="327"/>
      <c r="AL756" s="598"/>
      <c r="AM756" s="326"/>
      <c r="AN756" s="326"/>
      <c r="AO756" s="326"/>
      <c r="AP756" s="326"/>
      <c r="AQ756" s="326"/>
      <c r="AR756" s="326"/>
      <c r="AS756" s="326"/>
      <c r="AT756" s="326"/>
      <c r="AU756" s="326"/>
      <c r="AV756" s="326"/>
      <c r="AW756" s="326"/>
      <c r="AX756" s="326"/>
      <c r="AY756" s="326"/>
      <c r="AZ756" s="326"/>
      <c r="BA756" s="326"/>
      <c r="BB756" s="327"/>
    </row>
    <row r="757" spans="1:54" ht="15.75" customHeight="1" x14ac:dyDescent="0.25">
      <c r="A757" s="11">
        <f t="shared" si="2"/>
        <v>744</v>
      </c>
      <c r="B757" s="504" t="str">
        <f>'refer admin discharge'!B753</f>
        <v>x</v>
      </c>
      <c r="C757" s="327"/>
      <c r="D757" s="505" t="str">
        <f>'refer admin discharge'!D753</f>
        <v>xx</v>
      </c>
      <c r="E757" s="327"/>
      <c r="F757" s="606" t="str">
        <f>'refer admin discharge'!H753</f>
        <v>00/00/0000</v>
      </c>
      <c r="G757" s="327"/>
      <c r="H757" s="594"/>
      <c r="I757" s="327"/>
      <c r="J757" s="605"/>
      <c r="K757" s="327"/>
      <c r="L757" s="594"/>
      <c r="M757" s="327"/>
      <c r="N757" s="575"/>
      <c r="O757" s="327"/>
      <c r="P757" s="594"/>
      <c r="Q757" s="327"/>
      <c r="R757" s="575"/>
      <c r="S757" s="327"/>
      <c r="T757" s="594"/>
      <c r="U757" s="327"/>
      <c r="V757" s="595" t="str">
        <f>'refer admin discharge'!H758</f>
        <v>00/00/0000</v>
      </c>
      <c r="W757" s="327"/>
      <c r="X757" s="577"/>
      <c r="Y757" s="327"/>
      <c r="Z757" s="604"/>
      <c r="AA757" s="327"/>
      <c r="AB757" s="577"/>
      <c r="AC757" s="327"/>
      <c r="AD757" s="576"/>
      <c r="AE757" s="327"/>
      <c r="AF757" s="577"/>
      <c r="AG757" s="327"/>
      <c r="AH757" s="576"/>
      <c r="AI757" s="327"/>
      <c r="AJ757" s="577"/>
      <c r="AK757" s="327"/>
      <c r="AL757" s="602"/>
      <c r="AM757" s="326"/>
      <c r="AN757" s="326"/>
      <c r="AO757" s="326"/>
      <c r="AP757" s="326"/>
      <c r="AQ757" s="326"/>
      <c r="AR757" s="326"/>
      <c r="AS757" s="326"/>
      <c r="AT757" s="326"/>
      <c r="AU757" s="326"/>
      <c r="AV757" s="326"/>
      <c r="AW757" s="326"/>
      <c r="AX757" s="326"/>
      <c r="AY757" s="326"/>
      <c r="AZ757" s="326"/>
      <c r="BA757" s="326"/>
      <c r="BB757" s="327"/>
    </row>
    <row r="758" spans="1:54" ht="15.75" customHeight="1" x14ac:dyDescent="0.25">
      <c r="A758" s="11">
        <f t="shared" si="2"/>
        <v>745</v>
      </c>
      <c r="B758" s="570" t="str">
        <f>'refer admin discharge'!B754</f>
        <v>x</v>
      </c>
      <c r="C758" s="327"/>
      <c r="D758" s="599" t="str">
        <f>'refer admin discharge'!D754</f>
        <v>xx</v>
      </c>
      <c r="E758" s="327"/>
      <c r="F758" s="600" t="str">
        <f>'refer admin discharge'!H754</f>
        <v>00/00/0000</v>
      </c>
      <c r="G758" s="327"/>
      <c r="H758" s="574"/>
      <c r="I758" s="327"/>
      <c r="J758" s="601"/>
      <c r="K758" s="327"/>
      <c r="L758" s="574"/>
      <c r="M758" s="327"/>
      <c r="N758" s="594"/>
      <c r="O758" s="327"/>
      <c r="P758" s="574"/>
      <c r="Q758" s="327"/>
      <c r="R758" s="594"/>
      <c r="S758" s="327"/>
      <c r="T758" s="574"/>
      <c r="U758" s="327"/>
      <c r="V758" s="595" t="str">
        <f>'refer admin discharge'!H759</f>
        <v>00/00/0000</v>
      </c>
      <c r="W758" s="327"/>
      <c r="X758" s="596"/>
      <c r="Y758" s="327"/>
      <c r="Z758" s="597"/>
      <c r="AA758" s="327"/>
      <c r="AB758" s="596"/>
      <c r="AC758" s="327"/>
      <c r="AD758" s="577"/>
      <c r="AE758" s="327"/>
      <c r="AF758" s="596"/>
      <c r="AG758" s="327"/>
      <c r="AH758" s="577"/>
      <c r="AI758" s="327"/>
      <c r="AJ758" s="596"/>
      <c r="AK758" s="327"/>
      <c r="AL758" s="598"/>
      <c r="AM758" s="326"/>
      <c r="AN758" s="326"/>
      <c r="AO758" s="326"/>
      <c r="AP758" s="326"/>
      <c r="AQ758" s="326"/>
      <c r="AR758" s="326"/>
      <c r="AS758" s="326"/>
      <c r="AT758" s="326"/>
      <c r="AU758" s="326"/>
      <c r="AV758" s="326"/>
      <c r="AW758" s="326"/>
      <c r="AX758" s="326"/>
      <c r="AY758" s="326"/>
      <c r="AZ758" s="326"/>
      <c r="BA758" s="326"/>
      <c r="BB758" s="327"/>
    </row>
    <row r="759" spans="1:54" ht="15.75" customHeight="1" x14ac:dyDescent="0.25">
      <c r="A759" s="11">
        <f t="shared" si="2"/>
        <v>746</v>
      </c>
      <c r="B759" s="504" t="str">
        <f>'refer admin discharge'!B755</f>
        <v>x</v>
      </c>
      <c r="C759" s="327"/>
      <c r="D759" s="505" t="str">
        <f>'refer admin discharge'!D755</f>
        <v>xx</v>
      </c>
      <c r="E759" s="327"/>
      <c r="F759" s="606" t="str">
        <f>'refer admin discharge'!H755</f>
        <v>00/00/0000</v>
      </c>
      <c r="G759" s="327"/>
      <c r="H759" s="594"/>
      <c r="I759" s="327"/>
      <c r="J759" s="605"/>
      <c r="K759" s="327"/>
      <c r="L759" s="594"/>
      <c r="M759" s="327"/>
      <c r="N759" s="575"/>
      <c r="O759" s="327"/>
      <c r="P759" s="594"/>
      <c r="Q759" s="327"/>
      <c r="R759" s="575"/>
      <c r="S759" s="327"/>
      <c r="T759" s="594"/>
      <c r="U759" s="327"/>
      <c r="V759" s="595" t="str">
        <f>'refer admin discharge'!H760</f>
        <v>00/00/0000</v>
      </c>
      <c r="W759" s="327"/>
      <c r="X759" s="577"/>
      <c r="Y759" s="327"/>
      <c r="Z759" s="604"/>
      <c r="AA759" s="327"/>
      <c r="AB759" s="577"/>
      <c r="AC759" s="327"/>
      <c r="AD759" s="576"/>
      <c r="AE759" s="327"/>
      <c r="AF759" s="577"/>
      <c r="AG759" s="327"/>
      <c r="AH759" s="576"/>
      <c r="AI759" s="327"/>
      <c r="AJ759" s="577"/>
      <c r="AK759" s="327"/>
      <c r="AL759" s="602"/>
      <c r="AM759" s="326"/>
      <c r="AN759" s="326"/>
      <c r="AO759" s="326"/>
      <c r="AP759" s="326"/>
      <c r="AQ759" s="326"/>
      <c r="AR759" s="326"/>
      <c r="AS759" s="326"/>
      <c r="AT759" s="326"/>
      <c r="AU759" s="326"/>
      <c r="AV759" s="326"/>
      <c r="AW759" s="326"/>
      <c r="AX759" s="326"/>
      <c r="AY759" s="326"/>
      <c r="AZ759" s="326"/>
      <c r="BA759" s="326"/>
      <c r="BB759" s="327"/>
    </row>
    <row r="760" spans="1:54" ht="15.75" customHeight="1" x14ac:dyDescent="0.25">
      <c r="A760" s="11">
        <f t="shared" si="2"/>
        <v>747</v>
      </c>
      <c r="B760" s="570" t="str">
        <f>'refer admin discharge'!B756</f>
        <v>x</v>
      </c>
      <c r="C760" s="327"/>
      <c r="D760" s="599" t="str">
        <f>'refer admin discharge'!D756</f>
        <v>xx</v>
      </c>
      <c r="E760" s="327"/>
      <c r="F760" s="600" t="str">
        <f>'refer admin discharge'!H756</f>
        <v>00/00/0000</v>
      </c>
      <c r="G760" s="327"/>
      <c r="H760" s="574"/>
      <c r="I760" s="327"/>
      <c r="J760" s="601"/>
      <c r="K760" s="327"/>
      <c r="L760" s="574"/>
      <c r="M760" s="327"/>
      <c r="N760" s="594"/>
      <c r="O760" s="327"/>
      <c r="P760" s="574"/>
      <c r="Q760" s="327"/>
      <c r="R760" s="594"/>
      <c r="S760" s="327"/>
      <c r="T760" s="574"/>
      <c r="U760" s="327"/>
      <c r="V760" s="595" t="str">
        <f>'refer admin discharge'!H761</f>
        <v>00/00/0000</v>
      </c>
      <c r="W760" s="327"/>
      <c r="X760" s="596"/>
      <c r="Y760" s="327"/>
      <c r="Z760" s="597"/>
      <c r="AA760" s="327"/>
      <c r="AB760" s="596"/>
      <c r="AC760" s="327"/>
      <c r="AD760" s="577"/>
      <c r="AE760" s="327"/>
      <c r="AF760" s="596"/>
      <c r="AG760" s="327"/>
      <c r="AH760" s="577"/>
      <c r="AI760" s="327"/>
      <c r="AJ760" s="596"/>
      <c r="AK760" s="327"/>
      <c r="AL760" s="598"/>
      <c r="AM760" s="326"/>
      <c r="AN760" s="326"/>
      <c r="AO760" s="326"/>
      <c r="AP760" s="326"/>
      <c r="AQ760" s="326"/>
      <c r="AR760" s="326"/>
      <c r="AS760" s="326"/>
      <c r="AT760" s="326"/>
      <c r="AU760" s="326"/>
      <c r="AV760" s="326"/>
      <c r="AW760" s="326"/>
      <c r="AX760" s="326"/>
      <c r="AY760" s="326"/>
      <c r="AZ760" s="326"/>
      <c r="BA760" s="326"/>
      <c r="BB760" s="327"/>
    </row>
    <row r="761" spans="1:54" ht="15.75" customHeight="1" x14ac:dyDescent="0.25">
      <c r="A761" s="11">
        <f t="shared" si="2"/>
        <v>748</v>
      </c>
      <c r="B761" s="504" t="str">
        <f>'refer admin discharge'!B757</f>
        <v>x</v>
      </c>
      <c r="C761" s="327"/>
      <c r="D761" s="505" t="str">
        <f>'refer admin discharge'!D757</f>
        <v>xx</v>
      </c>
      <c r="E761" s="327"/>
      <c r="F761" s="606" t="str">
        <f>'refer admin discharge'!H757</f>
        <v>00/00/0000</v>
      </c>
      <c r="G761" s="327"/>
      <c r="H761" s="594"/>
      <c r="I761" s="327"/>
      <c r="J761" s="605"/>
      <c r="K761" s="327"/>
      <c r="L761" s="594"/>
      <c r="M761" s="327"/>
      <c r="N761" s="575"/>
      <c r="O761" s="327"/>
      <c r="P761" s="594"/>
      <c r="Q761" s="327"/>
      <c r="R761" s="575"/>
      <c r="S761" s="327"/>
      <c r="T761" s="594"/>
      <c r="U761" s="327"/>
      <c r="V761" s="595" t="str">
        <f>'refer admin discharge'!H762</f>
        <v>00/00/0000</v>
      </c>
      <c r="W761" s="327"/>
      <c r="X761" s="577"/>
      <c r="Y761" s="327"/>
      <c r="Z761" s="604"/>
      <c r="AA761" s="327"/>
      <c r="AB761" s="577"/>
      <c r="AC761" s="327"/>
      <c r="AD761" s="576"/>
      <c r="AE761" s="327"/>
      <c r="AF761" s="577"/>
      <c r="AG761" s="327"/>
      <c r="AH761" s="576"/>
      <c r="AI761" s="327"/>
      <c r="AJ761" s="577"/>
      <c r="AK761" s="327"/>
      <c r="AL761" s="602"/>
      <c r="AM761" s="326"/>
      <c r="AN761" s="326"/>
      <c r="AO761" s="326"/>
      <c r="AP761" s="326"/>
      <c r="AQ761" s="326"/>
      <c r="AR761" s="326"/>
      <c r="AS761" s="326"/>
      <c r="AT761" s="326"/>
      <c r="AU761" s="326"/>
      <c r="AV761" s="326"/>
      <c r="AW761" s="326"/>
      <c r="AX761" s="326"/>
      <c r="AY761" s="326"/>
      <c r="AZ761" s="326"/>
      <c r="BA761" s="326"/>
      <c r="BB761" s="327"/>
    </row>
    <row r="762" spans="1:54" ht="15.75" customHeight="1" x14ac:dyDescent="0.25">
      <c r="A762" s="11">
        <f t="shared" si="2"/>
        <v>749</v>
      </c>
      <c r="B762" s="570" t="str">
        <f>'refer admin discharge'!B758</f>
        <v>x</v>
      </c>
      <c r="C762" s="327"/>
      <c r="D762" s="599" t="str">
        <f>'refer admin discharge'!D758</f>
        <v>xx</v>
      </c>
      <c r="E762" s="327"/>
      <c r="F762" s="600" t="str">
        <f>'refer admin discharge'!H758</f>
        <v>00/00/0000</v>
      </c>
      <c r="G762" s="327"/>
      <c r="H762" s="574"/>
      <c r="I762" s="327"/>
      <c r="J762" s="601"/>
      <c r="K762" s="327"/>
      <c r="L762" s="574"/>
      <c r="M762" s="327"/>
      <c r="N762" s="594"/>
      <c r="O762" s="327"/>
      <c r="P762" s="574"/>
      <c r="Q762" s="327"/>
      <c r="R762" s="594"/>
      <c r="S762" s="327"/>
      <c r="T762" s="574"/>
      <c r="U762" s="327"/>
      <c r="V762" s="595" t="str">
        <f>'refer admin discharge'!H763</f>
        <v>00/00/0000</v>
      </c>
      <c r="W762" s="327"/>
      <c r="X762" s="596"/>
      <c r="Y762" s="327"/>
      <c r="Z762" s="597"/>
      <c r="AA762" s="327"/>
      <c r="AB762" s="596"/>
      <c r="AC762" s="327"/>
      <c r="AD762" s="577"/>
      <c r="AE762" s="327"/>
      <c r="AF762" s="596"/>
      <c r="AG762" s="327"/>
      <c r="AH762" s="577"/>
      <c r="AI762" s="327"/>
      <c r="AJ762" s="596"/>
      <c r="AK762" s="327"/>
      <c r="AL762" s="598"/>
      <c r="AM762" s="326"/>
      <c r="AN762" s="326"/>
      <c r="AO762" s="326"/>
      <c r="AP762" s="326"/>
      <c r="AQ762" s="326"/>
      <c r="AR762" s="326"/>
      <c r="AS762" s="326"/>
      <c r="AT762" s="326"/>
      <c r="AU762" s="326"/>
      <c r="AV762" s="326"/>
      <c r="AW762" s="326"/>
      <c r="AX762" s="326"/>
      <c r="AY762" s="326"/>
      <c r="AZ762" s="326"/>
      <c r="BA762" s="326"/>
      <c r="BB762" s="327"/>
    </row>
    <row r="763" spans="1:54" ht="15.75" customHeight="1" x14ac:dyDescent="0.25">
      <c r="A763" s="11">
        <f t="shared" si="2"/>
        <v>750</v>
      </c>
      <c r="B763" s="504" t="str">
        <f>'refer admin discharge'!B759</f>
        <v>x</v>
      </c>
      <c r="C763" s="327"/>
      <c r="D763" s="505" t="str">
        <f>'refer admin discharge'!D759</f>
        <v>xx</v>
      </c>
      <c r="E763" s="327"/>
      <c r="F763" s="606" t="str">
        <f>'refer admin discharge'!H759</f>
        <v>00/00/0000</v>
      </c>
      <c r="G763" s="327"/>
      <c r="H763" s="594"/>
      <c r="I763" s="327"/>
      <c r="J763" s="605"/>
      <c r="K763" s="327"/>
      <c r="L763" s="594"/>
      <c r="M763" s="327"/>
      <c r="N763" s="575"/>
      <c r="O763" s="327"/>
      <c r="P763" s="594"/>
      <c r="Q763" s="327"/>
      <c r="R763" s="575"/>
      <c r="S763" s="327"/>
      <c r="T763" s="594"/>
      <c r="U763" s="327"/>
      <c r="V763" s="595" t="str">
        <f>'refer admin discharge'!H764</f>
        <v>00/00/0000</v>
      </c>
      <c r="W763" s="327"/>
      <c r="X763" s="577"/>
      <c r="Y763" s="327"/>
      <c r="Z763" s="604"/>
      <c r="AA763" s="327"/>
      <c r="AB763" s="577"/>
      <c r="AC763" s="327"/>
      <c r="AD763" s="576"/>
      <c r="AE763" s="327"/>
      <c r="AF763" s="577"/>
      <c r="AG763" s="327"/>
      <c r="AH763" s="576"/>
      <c r="AI763" s="327"/>
      <c r="AJ763" s="577"/>
      <c r="AK763" s="327"/>
      <c r="AL763" s="602"/>
      <c r="AM763" s="326"/>
      <c r="AN763" s="326"/>
      <c r="AO763" s="326"/>
      <c r="AP763" s="326"/>
      <c r="AQ763" s="326"/>
      <c r="AR763" s="326"/>
      <c r="AS763" s="326"/>
      <c r="AT763" s="326"/>
      <c r="AU763" s="326"/>
      <c r="AV763" s="326"/>
      <c r="AW763" s="326"/>
      <c r="AX763" s="326"/>
      <c r="AY763" s="326"/>
      <c r="AZ763" s="326"/>
      <c r="BA763" s="326"/>
      <c r="BB763" s="327"/>
    </row>
    <row r="764" spans="1:54" ht="15.75" customHeight="1" x14ac:dyDescent="0.25">
      <c r="A764" s="11">
        <f t="shared" si="2"/>
        <v>751</v>
      </c>
      <c r="B764" s="570" t="str">
        <f>'refer admin discharge'!B760</f>
        <v>x</v>
      </c>
      <c r="C764" s="327"/>
      <c r="D764" s="599" t="str">
        <f>'refer admin discharge'!D760</f>
        <v>xx</v>
      </c>
      <c r="E764" s="327"/>
      <c r="F764" s="600" t="str">
        <f>'refer admin discharge'!H760</f>
        <v>00/00/0000</v>
      </c>
      <c r="G764" s="327"/>
      <c r="H764" s="574"/>
      <c r="I764" s="327"/>
      <c r="J764" s="601"/>
      <c r="K764" s="327"/>
      <c r="L764" s="574"/>
      <c r="M764" s="327"/>
      <c r="N764" s="594"/>
      <c r="O764" s="327"/>
      <c r="P764" s="574"/>
      <c r="Q764" s="327"/>
      <c r="R764" s="594"/>
      <c r="S764" s="327"/>
      <c r="T764" s="574"/>
      <c r="U764" s="327"/>
      <c r="V764" s="595" t="str">
        <f>'refer admin discharge'!H765</f>
        <v>00/00/0000</v>
      </c>
      <c r="W764" s="327"/>
      <c r="X764" s="596"/>
      <c r="Y764" s="327"/>
      <c r="Z764" s="597"/>
      <c r="AA764" s="327"/>
      <c r="AB764" s="596"/>
      <c r="AC764" s="327"/>
      <c r="AD764" s="577"/>
      <c r="AE764" s="327"/>
      <c r="AF764" s="596"/>
      <c r="AG764" s="327"/>
      <c r="AH764" s="577"/>
      <c r="AI764" s="327"/>
      <c r="AJ764" s="596"/>
      <c r="AK764" s="327"/>
      <c r="AL764" s="598"/>
      <c r="AM764" s="326"/>
      <c r="AN764" s="326"/>
      <c r="AO764" s="326"/>
      <c r="AP764" s="326"/>
      <c r="AQ764" s="326"/>
      <c r="AR764" s="326"/>
      <c r="AS764" s="326"/>
      <c r="AT764" s="326"/>
      <c r="AU764" s="326"/>
      <c r="AV764" s="326"/>
      <c r="AW764" s="326"/>
      <c r="AX764" s="326"/>
      <c r="AY764" s="326"/>
      <c r="AZ764" s="326"/>
      <c r="BA764" s="326"/>
      <c r="BB764" s="327"/>
    </row>
    <row r="765" spans="1:54" ht="15.75" customHeight="1" x14ac:dyDescent="0.25">
      <c r="A765" s="11">
        <f t="shared" si="2"/>
        <v>752</v>
      </c>
      <c r="B765" s="504" t="str">
        <f>'refer admin discharge'!B761</f>
        <v>x</v>
      </c>
      <c r="C765" s="327"/>
      <c r="D765" s="505" t="str">
        <f>'refer admin discharge'!D761</f>
        <v>xx</v>
      </c>
      <c r="E765" s="327"/>
      <c r="F765" s="606" t="str">
        <f>'refer admin discharge'!H761</f>
        <v>00/00/0000</v>
      </c>
      <c r="G765" s="327"/>
      <c r="H765" s="594"/>
      <c r="I765" s="327"/>
      <c r="J765" s="605"/>
      <c r="K765" s="327"/>
      <c r="L765" s="594"/>
      <c r="M765" s="327"/>
      <c r="N765" s="575"/>
      <c r="O765" s="327"/>
      <c r="P765" s="594"/>
      <c r="Q765" s="327"/>
      <c r="R765" s="575"/>
      <c r="S765" s="327"/>
      <c r="T765" s="594"/>
      <c r="U765" s="327"/>
      <c r="V765" s="595" t="str">
        <f>'refer admin discharge'!H766</f>
        <v>00/00/0000</v>
      </c>
      <c r="W765" s="327"/>
      <c r="X765" s="577"/>
      <c r="Y765" s="327"/>
      <c r="Z765" s="604"/>
      <c r="AA765" s="327"/>
      <c r="AB765" s="577"/>
      <c r="AC765" s="327"/>
      <c r="AD765" s="576"/>
      <c r="AE765" s="327"/>
      <c r="AF765" s="577"/>
      <c r="AG765" s="327"/>
      <c r="AH765" s="576"/>
      <c r="AI765" s="327"/>
      <c r="AJ765" s="577"/>
      <c r="AK765" s="327"/>
      <c r="AL765" s="602"/>
      <c r="AM765" s="326"/>
      <c r="AN765" s="326"/>
      <c r="AO765" s="326"/>
      <c r="AP765" s="326"/>
      <c r="AQ765" s="326"/>
      <c r="AR765" s="326"/>
      <c r="AS765" s="326"/>
      <c r="AT765" s="326"/>
      <c r="AU765" s="326"/>
      <c r="AV765" s="326"/>
      <c r="AW765" s="326"/>
      <c r="AX765" s="326"/>
      <c r="AY765" s="326"/>
      <c r="AZ765" s="326"/>
      <c r="BA765" s="326"/>
      <c r="BB765" s="327"/>
    </row>
    <row r="766" spans="1:54" ht="15.75" customHeight="1" x14ac:dyDescent="0.25">
      <c r="A766" s="11">
        <f t="shared" si="2"/>
        <v>753</v>
      </c>
      <c r="B766" s="570" t="str">
        <f>'refer admin discharge'!B762</f>
        <v>x</v>
      </c>
      <c r="C766" s="327"/>
      <c r="D766" s="599" t="str">
        <f>'refer admin discharge'!D762</f>
        <v>xx</v>
      </c>
      <c r="E766" s="327"/>
      <c r="F766" s="600" t="str">
        <f>'refer admin discharge'!H762</f>
        <v>00/00/0000</v>
      </c>
      <c r="G766" s="327"/>
      <c r="H766" s="574"/>
      <c r="I766" s="327"/>
      <c r="J766" s="601"/>
      <c r="K766" s="327"/>
      <c r="L766" s="574"/>
      <c r="M766" s="327"/>
      <c r="N766" s="594"/>
      <c r="O766" s="327"/>
      <c r="P766" s="574"/>
      <c r="Q766" s="327"/>
      <c r="R766" s="594"/>
      <c r="S766" s="327"/>
      <c r="T766" s="574"/>
      <c r="U766" s="327"/>
      <c r="V766" s="595" t="str">
        <f>'refer admin discharge'!H767</f>
        <v>00/00/0000</v>
      </c>
      <c r="W766" s="327"/>
      <c r="X766" s="596"/>
      <c r="Y766" s="327"/>
      <c r="Z766" s="597"/>
      <c r="AA766" s="327"/>
      <c r="AB766" s="596"/>
      <c r="AC766" s="327"/>
      <c r="AD766" s="577"/>
      <c r="AE766" s="327"/>
      <c r="AF766" s="596"/>
      <c r="AG766" s="327"/>
      <c r="AH766" s="577"/>
      <c r="AI766" s="327"/>
      <c r="AJ766" s="596"/>
      <c r="AK766" s="327"/>
      <c r="AL766" s="598"/>
      <c r="AM766" s="326"/>
      <c r="AN766" s="326"/>
      <c r="AO766" s="326"/>
      <c r="AP766" s="326"/>
      <c r="AQ766" s="326"/>
      <c r="AR766" s="326"/>
      <c r="AS766" s="326"/>
      <c r="AT766" s="326"/>
      <c r="AU766" s="326"/>
      <c r="AV766" s="326"/>
      <c r="AW766" s="326"/>
      <c r="AX766" s="326"/>
      <c r="AY766" s="326"/>
      <c r="AZ766" s="326"/>
      <c r="BA766" s="326"/>
      <c r="BB766" s="327"/>
    </row>
    <row r="767" spans="1:54" ht="15.75" customHeight="1" x14ac:dyDescent="0.25">
      <c r="A767" s="11">
        <f t="shared" si="2"/>
        <v>754</v>
      </c>
      <c r="B767" s="504" t="str">
        <f>'refer admin discharge'!B763</f>
        <v>x</v>
      </c>
      <c r="C767" s="327"/>
      <c r="D767" s="505" t="str">
        <f>'refer admin discharge'!D763</f>
        <v>xx</v>
      </c>
      <c r="E767" s="327"/>
      <c r="F767" s="606" t="str">
        <f>'refer admin discharge'!H763</f>
        <v>00/00/0000</v>
      </c>
      <c r="G767" s="327"/>
      <c r="H767" s="594"/>
      <c r="I767" s="327"/>
      <c r="J767" s="605"/>
      <c r="K767" s="327"/>
      <c r="L767" s="594"/>
      <c r="M767" s="327"/>
      <c r="N767" s="575"/>
      <c r="O767" s="327"/>
      <c r="P767" s="594"/>
      <c r="Q767" s="327"/>
      <c r="R767" s="575"/>
      <c r="S767" s="327"/>
      <c r="T767" s="594"/>
      <c r="U767" s="327"/>
      <c r="V767" s="595" t="str">
        <f>'refer admin discharge'!H768</f>
        <v>00/00/0000</v>
      </c>
      <c r="W767" s="327"/>
      <c r="X767" s="577"/>
      <c r="Y767" s="327"/>
      <c r="Z767" s="604"/>
      <c r="AA767" s="327"/>
      <c r="AB767" s="577"/>
      <c r="AC767" s="327"/>
      <c r="AD767" s="576"/>
      <c r="AE767" s="327"/>
      <c r="AF767" s="577"/>
      <c r="AG767" s="327"/>
      <c r="AH767" s="576"/>
      <c r="AI767" s="327"/>
      <c r="AJ767" s="577"/>
      <c r="AK767" s="327"/>
      <c r="AL767" s="602"/>
      <c r="AM767" s="326"/>
      <c r="AN767" s="326"/>
      <c r="AO767" s="326"/>
      <c r="AP767" s="326"/>
      <c r="AQ767" s="326"/>
      <c r="AR767" s="326"/>
      <c r="AS767" s="326"/>
      <c r="AT767" s="326"/>
      <c r="AU767" s="326"/>
      <c r="AV767" s="326"/>
      <c r="AW767" s="326"/>
      <c r="AX767" s="326"/>
      <c r="AY767" s="326"/>
      <c r="AZ767" s="326"/>
      <c r="BA767" s="326"/>
      <c r="BB767" s="327"/>
    </row>
    <row r="768" spans="1:54" ht="15.75" customHeight="1" x14ac:dyDescent="0.25">
      <c r="A768" s="11">
        <f t="shared" si="2"/>
        <v>755</v>
      </c>
      <c r="B768" s="570" t="str">
        <f>'refer admin discharge'!B764</f>
        <v>x</v>
      </c>
      <c r="C768" s="327"/>
      <c r="D768" s="599" t="str">
        <f>'refer admin discharge'!D764</f>
        <v>xx</v>
      </c>
      <c r="E768" s="327"/>
      <c r="F768" s="600" t="str">
        <f>'refer admin discharge'!H764</f>
        <v>00/00/0000</v>
      </c>
      <c r="G768" s="327"/>
      <c r="H768" s="574"/>
      <c r="I768" s="327"/>
      <c r="J768" s="601"/>
      <c r="K768" s="327"/>
      <c r="L768" s="574"/>
      <c r="M768" s="327"/>
      <c r="N768" s="594"/>
      <c r="O768" s="327"/>
      <c r="P768" s="574"/>
      <c r="Q768" s="327"/>
      <c r="R768" s="594"/>
      <c r="S768" s="327"/>
      <c r="T768" s="574"/>
      <c r="U768" s="327"/>
      <c r="V768" s="595" t="str">
        <f>'refer admin discharge'!H769</f>
        <v>00/00/0000</v>
      </c>
      <c r="W768" s="327"/>
      <c r="X768" s="596"/>
      <c r="Y768" s="327"/>
      <c r="Z768" s="597"/>
      <c r="AA768" s="327"/>
      <c r="AB768" s="596"/>
      <c r="AC768" s="327"/>
      <c r="AD768" s="577"/>
      <c r="AE768" s="327"/>
      <c r="AF768" s="596"/>
      <c r="AG768" s="327"/>
      <c r="AH768" s="577"/>
      <c r="AI768" s="327"/>
      <c r="AJ768" s="596"/>
      <c r="AK768" s="327"/>
      <c r="AL768" s="598"/>
      <c r="AM768" s="326"/>
      <c r="AN768" s="326"/>
      <c r="AO768" s="326"/>
      <c r="AP768" s="326"/>
      <c r="AQ768" s="326"/>
      <c r="AR768" s="326"/>
      <c r="AS768" s="326"/>
      <c r="AT768" s="326"/>
      <c r="AU768" s="326"/>
      <c r="AV768" s="326"/>
      <c r="AW768" s="326"/>
      <c r="AX768" s="326"/>
      <c r="AY768" s="326"/>
      <c r="AZ768" s="326"/>
      <c r="BA768" s="326"/>
      <c r="BB768" s="327"/>
    </row>
    <row r="769" spans="1:54" ht="15.75" customHeight="1" x14ac:dyDescent="0.25">
      <c r="A769" s="11">
        <f t="shared" si="2"/>
        <v>756</v>
      </c>
      <c r="B769" s="504" t="str">
        <f>'refer admin discharge'!B765</f>
        <v>x</v>
      </c>
      <c r="C769" s="327"/>
      <c r="D769" s="505" t="str">
        <f>'refer admin discharge'!D765</f>
        <v>xx</v>
      </c>
      <c r="E769" s="327"/>
      <c r="F769" s="606" t="str">
        <f>'refer admin discharge'!H765</f>
        <v>00/00/0000</v>
      </c>
      <c r="G769" s="327"/>
      <c r="H769" s="594"/>
      <c r="I769" s="327"/>
      <c r="J769" s="605"/>
      <c r="K769" s="327"/>
      <c r="L769" s="594"/>
      <c r="M769" s="327"/>
      <c r="N769" s="575"/>
      <c r="O769" s="327"/>
      <c r="P769" s="594"/>
      <c r="Q769" s="327"/>
      <c r="R769" s="575"/>
      <c r="S769" s="327"/>
      <c r="T769" s="594"/>
      <c r="U769" s="327"/>
      <c r="V769" s="595" t="str">
        <f>'refer admin discharge'!H770</f>
        <v>00/00/0000</v>
      </c>
      <c r="W769" s="327"/>
      <c r="X769" s="577"/>
      <c r="Y769" s="327"/>
      <c r="Z769" s="604"/>
      <c r="AA769" s="327"/>
      <c r="AB769" s="577"/>
      <c r="AC769" s="327"/>
      <c r="AD769" s="576"/>
      <c r="AE769" s="327"/>
      <c r="AF769" s="577"/>
      <c r="AG769" s="327"/>
      <c r="AH769" s="576"/>
      <c r="AI769" s="327"/>
      <c r="AJ769" s="577"/>
      <c r="AK769" s="327"/>
      <c r="AL769" s="602"/>
      <c r="AM769" s="326"/>
      <c r="AN769" s="326"/>
      <c r="AO769" s="326"/>
      <c r="AP769" s="326"/>
      <c r="AQ769" s="326"/>
      <c r="AR769" s="326"/>
      <c r="AS769" s="326"/>
      <c r="AT769" s="326"/>
      <c r="AU769" s="326"/>
      <c r="AV769" s="326"/>
      <c r="AW769" s="326"/>
      <c r="AX769" s="326"/>
      <c r="AY769" s="326"/>
      <c r="AZ769" s="326"/>
      <c r="BA769" s="326"/>
      <c r="BB769" s="327"/>
    </row>
    <row r="770" spans="1:54" ht="15.75" customHeight="1" x14ac:dyDescent="0.25">
      <c r="A770" s="11">
        <f t="shared" si="2"/>
        <v>757</v>
      </c>
      <c r="B770" s="570" t="str">
        <f>'refer admin discharge'!B766</f>
        <v>x</v>
      </c>
      <c r="C770" s="327"/>
      <c r="D770" s="599" t="str">
        <f>'refer admin discharge'!D766</f>
        <v>xx</v>
      </c>
      <c r="E770" s="327"/>
      <c r="F770" s="600" t="str">
        <f>'refer admin discharge'!H766</f>
        <v>00/00/0000</v>
      </c>
      <c r="G770" s="327"/>
      <c r="H770" s="574"/>
      <c r="I770" s="327"/>
      <c r="J770" s="601"/>
      <c r="K770" s="327"/>
      <c r="L770" s="574"/>
      <c r="M770" s="327"/>
      <c r="N770" s="594"/>
      <c r="O770" s="327"/>
      <c r="P770" s="574"/>
      <c r="Q770" s="327"/>
      <c r="R770" s="594"/>
      <c r="S770" s="327"/>
      <c r="T770" s="574"/>
      <c r="U770" s="327"/>
      <c r="V770" s="595" t="str">
        <f>'refer admin discharge'!H771</f>
        <v>00/00/0000</v>
      </c>
      <c r="W770" s="327"/>
      <c r="X770" s="596"/>
      <c r="Y770" s="327"/>
      <c r="Z770" s="597"/>
      <c r="AA770" s="327"/>
      <c r="AB770" s="596"/>
      <c r="AC770" s="327"/>
      <c r="AD770" s="577"/>
      <c r="AE770" s="327"/>
      <c r="AF770" s="596"/>
      <c r="AG770" s="327"/>
      <c r="AH770" s="577"/>
      <c r="AI770" s="327"/>
      <c r="AJ770" s="596"/>
      <c r="AK770" s="327"/>
      <c r="AL770" s="598"/>
      <c r="AM770" s="326"/>
      <c r="AN770" s="326"/>
      <c r="AO770" s="326"/>
      <c r="AP770" s="326"/>
      <c r="AQ770" s="326"/>
      <c r="AR770" s="326"/>
      <c r="AS770" s="326"/>
      <c r="AT770" s="326"/>
      <c r="AU770" s="326"/>
      <c r="AV770" s="326"/>
      <c r="AW770" s="326"/>
      <c r="AX770" s="326"/>
      <c r="AY770" s="326"/>
      <c r="AZ770" s="326"/>
      <c r="BA770" s="326"/>
      <c r="BB770" s="327"/>
    </row>
    <row r="771" spans="1:54" ht="15.75" customHeight="1" x14ac:dyDescent="0.25">
      <c r="A771" s="11">
        <f t="shared" si="2"/>
        <v>758</v>
      </c>
      <c r="B771" s="504" t="str">
        <f>'refer admin discharge'!B767</f>
        <v>x</v>
      </c>
      <c r="C771" s="327"/>
      <c r="D771" s="505" t="str">
        <f>'refer admin discharge'!D767</f>
        <v>xx</v>
      </c>
      <c r="E771" s="327"/>
      <c r="F771" s="606" t="str">
        <f>'refer admin discharge'!H767</f>
        <v>00/00/0000</v>
      </c>
      <c r="G771" s="327"/>
      <c r="H771" s="594"/>
      <c r="I771" s="327"/>
      <c r="J771" s="605"/>
      <c r="K771" s="327"/>
      <c r="L771" s="594"/>
      <c r="M771" s="327"/>
      <c r="N771" s="575"/>
      <c r="O771" s="327"/>
      <c r="P771" s="594"/>
      <c r="Q771" s="327"/>
      <c r="R771" s="575"/>
      <c r="S771" s="327"/>
      <c r="T771" s="594"/>
      <c r="U771" s="327"/>
      <c r="V771" s="595" t="str">
        <f>'refer admin discharge'!H772</f>
        <v>00/00/0000</v>
      </c>
      <c r="W771" s="327"/>
      <c r="X771" s="577"/>
      <c r="Y771" s="327"/>
      <c r="Z771" s="604"/>
      <c r="AA771" s="327"/>
      <c r="AB771" s="577"/>
      <c r="AC771" s="327"/>
      <c r="AD771" s="576"/>
      <c r="AE771" s="327"/>
      <c r="AF771" s="577"/>
      <c r="AG771" s="327"/>
      <c r="AH771" s="576"/>
      <c r="AI771" s="327"/>
      <c r="AJ771" s="577"/>
      <c r="AK771" s="327"/>
      <c r="AL771" s="602"/>
      <c r="AM771" s="326"/>
      <c r="AN771" s="326"/>
      <c r="AO771" s="326"/>
      <c r="AP771" s="326"/>
      <c r="AQ771" s="326"/>
      <c r="AR771" s="326"/>
      <c r="AS771" s="326"/>
      <c r="AT771" s="326"/>
      <c r="AU771" s="326"/>
      <c r="AV771" s="326"/>
      <c r="AW771" s="326"/>
      <c r="AX771" s="326"/>
      <c r="AY771" s="326"/>
      <c r="AZ771" s="326"/>
      <c r="BA771" s="326"/>
      <c r="BB771" s="327"/>
    </row>
    <row r="772" spans="1:54" ht="15.75" customHeight="1" x14ac:dyDescent="0.25">
      <c r="A772" s="11">
        <f t="shared" si="2"/>
        <v>759</v>
      </c>
      <c r="B772" s="570" t="str">
        <f>'refer admin discharge'!B768</f>
        <v>x</v>
      </c>
      <c r="C772" s="327"/>
      <c r="D772" s="599" t="str">
        <f>'refer admin discharge'!D768</f>
        <v>xx</v>
      </c>
      <c r="E772" s="327"/>
      <c r="F772" s="600" t="str">
        <f>'refer admin discharge'!H768</f>
        <v>00/00/0000</v>
      </c>
      <c r="G772" s="327"/>
      <c r="H772" s="574"/>
      <c r="I772" s="327"/>
      <c r="J772" s="601"/>
      <c r="K772" s="327"/>
      <c r="L772" s="574"/>
      <c r="M772" s="327"/>
      <c r="N772" s="594"/>
      <c r="O772" s="327"/>
      <c r="P772" s="574"/>
      <c r="Q772" s="327"/>
      <c r="R772" s="594"/>
      <c r="S772" s="327"/>
      <c r="T772" s="574"/>
      <c r="U772" s="327"/>
      <c r="V772" s="595" t="str">
        <f>'refer admin discharge'!H773</f>
        <v>00/00/0000</v>
      </c>
      <c r="W772" s="327"/>
      <c r="X772" s="596"/>
      <c r="Y772" s="327"/>
      <c r="Z772" s="597"/>
      <c r="AA772" s="327"/>
      <c r="AB772" s="596"/>
      <c r="AC772" s="327"/>
      <c r="AD772" s="577"/>
      <c r="AE772" s="327"/>
      <c r="AF772" s="596"/>
      <c r="AG772" s="327"/>
      <c r="AH772" s="577"/>
      <c r="AI772" s="327"/>
      <c r="AJ772" s="596"/>
      <c r="AK772" s="327"/>
      <c r="AL772" s="598"/>
      <c r="AM772" s="326"/>
      <c r="AN772" s="326"/>
      <c r="AO772" s="326"/>
      <c r="AP772" s="326"/>
      <c r="AQ772" s="326"/>
      <c r="AR772" s="326"/>
      <c r="AS772" s="326"/>
      <c r="AT772" s="326"/>
      <c r="AU772" s="326"/>
      <c r="AV772" s="326"/>
      <c r="AW772" s="326"/>
      <c r="AX772" s="326"/>
      <c r="AY772" s="326"/>
      <c r="AZ772" s="326"/>
      <c r="BA772" s="326"/>
      <c r="BB772" s="327"/>
    </row>
    <row r="773" spans="1:54" ht="15.75" customHeight="1" x14ac:dyDescent="0.25">
      <c r="A773" s="11">
        <f t="shared" si="2"/>
        <v>760</v>
      </c>
      <c r="B773" s="504" t="str">
        <f>'refer admin discharge'!B769</f>
        <v>x</v>
      </c>
      <c r="C773" s="327"/>
      <c r="D773" s="505" t="str">
        <f>'refer admin discharge'!D769</f>
        <v>xx</v>
      </c>
      <c r="E773" s="327"/>
      <c r="F773" s="606" t="str">
        <f>'refer admin discharge'!H769</f>
        <v>00/00/0000</v>
      </c>
      <c r="G773" s="327"/>
      <c r="H773" s="594"/>
      <c r="I773" s="327"/>
      <c r="J773" s="605"/>
      <c r="K773" s="327"/>
      <c r="L773" s="594"/>
      <c r="M773" s="327"/>
      <c r="N773" s="575"/>
      <c r="O773" s="327"/>
      <c r="P773" s="594"/>
      <c r="Q773" s="327"/>
      <c r="R773" s="575"/>
      <c r="S773" s="327"/>
      <c r="T773" s="594"/>
      <c r="U773" s="327"/>
      <c r="V773" s="595" t="str">
        <f>'refer admin discharge'!H774</f>
        <v>00/00/0000</v>
      </c>
      <c r="W773" s="327"/>
      <c r="X773" s="577"/>
      <c r="Y773" s="327"/>
      <c r="Z773" s="604"/>
      <c r="AA773" s="327"/>
      <c r="AB773" s="577"/>
      <c r="AC773" s="327"/>
      <c r="AD773" s="576"/>
      <c r="AE773" s="327"/>
      <c r="AF773" s="577"/>
      <c r="AG773" s="327"/>
      <c r="AH773" s="576"/>
      <c r="AI773" s="327"/>
      <c r="AJ773" s="577"/>
      <c r="AK773" s="327"/>
      <c r="AL773" s="602"/>
      <c r="AM773" s="326"/>
      <c r="AN773" s="326"/>
      <c r="AO773" s="326"/>
      <c r="AP773" s="326"/>
      <c r="AQ773" s="326"/>
      <c r="AR773" s="326"/>
      <c r="AS773" s="326"/>
      <c r="AT773" s="326"/>
      <c r="AU773" s="326"/>
      <c r="AV773" s="326"/>
      <c r="AW773" s="326"/>
      <c r="AX773" s="326"/>
      <c r="AY773" s="326"/>
      <c r="AZ773" s="326"/>
      <c r="BA773" s="326"/>
      <c r="BB773" s="327"/>
    </row>
    <row r="774" spans="1:54" ht="15.75" customHeight="1" x14ac:dyDescent="0.25">
      <c r="A774" s="11">
        <f t="shared" si="2"/>
        <v>761</v>
      </c>
      <c r="B774" s="570" t="str">
        <f>'refer admin discharge'!B770</f>
        <v>x</v>
      </c>
      <c r="C774" s="327"/>
      <c r="D774" s="599" t="str">
        <f>'refer admin discharge'!D770</f>
        <v>xx</v>
      </c>
      <c r="E774" s="327"/>
      <c r="F774" s="600" t="str">
        <f>'refer admin discharge'!H770</f>
        <v>00/00/0000</v>
      </c>
      <c r="G774" s="327"/>
      <c r="H774" s="574"/>
      <c r="I774" s="327"/>
      <c r="J774" s="601"/>
      <c r="K774" s="327"/>
      <c r="L774" s="574"/>
      <c r="M774" s="327"/>
      <c r="N774" s="594"/>
      <c r="O774" s="327"/>
      <c r="P774" s="574"/>
      <c r="Q774" s="327"/>
      <c r="R774" s="594"/>
      <c r="S774" s="327"/>
      <c r="T774" s="574"/>
      <c r="U774" s="327"/>
      <c r="V774" s="595" t="str">
        <f>'refer admin discharge'!H775</f>
        <v>00/00/0000</v>
      </c>
      <c r="W774" s="327"/>
      <c r="X774" s="596"/>
      <c r="Y774" s="327"/>
      <c r="Z774" s="597"/>
      <c r="AA774" s="327"/>
      <c r="AB774" s="596"/>
      <c r="AC774" s="327"/>
      <c r="AD774" s="577"/>
      <c r="AE774" s="327"/>
      <c r="AF774" s="596"/>
      <c r="AG774" s="327"/>
      <c r="AH774" s="577"/>
      <c r="AI774" s="327"/>
      <c r="AJ774" s="596"/>
      <c r="AK774" s="327"/>
      <c r="AL774" s="598"/>
      <c r="AM774" s="326"/>
      <c r="AN774" s="326"/>
      <c r="AO774" s="326"/>
      <c r="AP774" s="326"/>
      <c r="AQ774" s="326"/>
      <c r="AR774" s="326"/>
      <c r="AS774" s="326"/>
      <c r="AT774" s="326"/>
      <c r="AU774" s="326"/>
      <c r="AV774" s="326"/>
      <c r="AW774" s="326"/>
      <c r="AX774" s="326"/>
      <c r="AY774" s="326"/>
      <c r="AZ774" s="326"/>
      <c r="BA774" s="326"/>
      <c r="BB774" s="327"/>
    </row>
    <row r="775" spans="1:54" ht="15.75" customHeight="1" x14ac:dyDescent="0.25">
      <c r="A775" s="11">
        <f t="shared" si="2"/>
        <v>762</v>
      </c>
      <c r="B775" s="504" t="str">
        <f>'refer admin discharge'!B771</f>
        <v>x</v>
      </c>
      <c r="C775" s="327"/>
      <c r="D775" s="505" t="str">
        <f>'refer admin discharge'!D771</f>
        <v>xx</v>
      </c>
      <c r="E775" s="327"/>
      <c r="F775" s="606" t="str">
        <f>'refer admin discharge'!H771</f>
        <v>00/00/0000</v>
      </c>
      <c r="G775" s="327"/>
      <c r="H775" s="594"/>
      <c r="I775" s="327"/>
      <c r="J775" s="605"/>
      <c r="K775" s="327"/>
      <c r="L775" s="594"/>
      <c r="M775" s="327"/>
      <c r="N775" s="575"/>
      <c r="O775" s="327"/>
      <c r="P775" s="594"/>
      <c r="Q775" s="327"/>
      <c r="R775" s="575"/>
      <c r="S775" s="327"/>
      <c r="T775" s="594"/>
      <c r="U775" s="327"/>
      <c r="V775" s="595" t="str">
        <f>'refer admin discharge'!H776</f>
        <v>00/00/0000</v>
      </c>
      <c r="W775" s="327"/>
      <c r="X775" s="577"/>
      <c r="Y775" s="327"/>
      <c r="Z775" s="604"/>
      <c r="AA775" s="327"/>
      <c r="AB775" s="577"/>
      <c r="AC775" s="327"/>
      <c r="AD775" s="576"/>
      <c r="AE775" s="327"/>
      <c r="AF775" s="577"/>
      <c r="AG775" s="327"/>
      <c r="AH775" s="576"/>
      <c r="AI775" s="327"/>
      <c r="AJ775" s="577"/>
      <c r="AK775" s="327"/>
      <c r="AL775" s="602"/>
      <c r="AM775" s="326"/>
      <c r="AN775" s="326"/>
      <c r="AO775" s="326"/>
      <c r="AP775" s="326"/>
      <c r="AQ775" s="326"/>
      <c r="AR775" s="326"/>
      <c r="AS775" s="326"/>
      <c r="AT775" s="326"/>
      <c r="AU775" s="326"/>
      <c r="AV775" s="326"/>
      <c r="AW775" s="326"/>
      <c r="AX775" s="326"/>
      <c r="AY775" s="326"/>
      <c r="AZ775" s="326"/>
      <c r="BA775" s="326"/>
      <c r="BB775" s="327"/>
    </row>
    <row r="776" spans="1:54" ht="15.75" customHeight="1" x14ac:dyDescent="0.25">
      <c r="A776" s="11">
        <f t="shared" si="2"/>
        <v>763</v>
      </c>
      <c r="B776" s="570" t="str">
        <f>'refer admin discharge'!B772</f>
        <v>x</v>
      </c>
      <c r="C776" s="327"/>
      <c r="D776" s="599" t="str">
        <f>'refer admin discharge'!D772</f>
        <v>xx</v>
      </c>
      <c r="E776" s="327"/>
      <c r="F776" s="600" t="str">
        <f>'refer admin discharge'!H772</f>
        <v>00/00/0000</v>
      </c>
      <c r="G776" s="327"/>
      <c r="H776" s="574"/>
      <c r="I776" s="327"/>
      <c r="J776" s="601"/>
      <c r="K776" s="327"/>
      <c r="L776" s="574"/>
      <c r="M776" s="327"/>
      <c r="N776" s="594"/>
      <c r="O776" s="327"/>
      <c r="P776" s="574"/>
      <c r="Q776" s="327"/>
      <c r="R776" s="594"/>
      <c r="S776" s="327"/>
      <c r="T776" s="574"/>
      <c r="U776" s="327"/>
      <c r="V776" s="595" t="str">
        <f>'refer admin discharge'!H777</f>
        <v>00/00/0000</v>
      </c>
      <c r="W776" s="327"/>
      <c r="X776" s="596"/>
      <c r="Y776" s="327"/>
      <c r="Z776" s="597"/>
      <c r="AA776" s="327"/>
      <c r="AB776" s="596"/>
      <c r="AC776" s="327"/>
      <c r="AD776" s="577"/>
      <c r="AE776" s="327"/>
      <c r="AF776" s="596"/>
      <c r="AG776" s="327"/>
      <c r="AH776" s="577"/>
      <c r="AI776" s="327"/>
      <c r="AJ776" s="596"/>
      <c r="AK776" s="327"/>
      <c r="AL776" s="598"/>
      <c r="AM776" s="326"/>
      <c r="AN776" s="326"/>
      <c r="AO776" s="326"/>
      <c r="AP776" s="326"/>
      <c r="AQ776" s="326"/>
      <c r="AR776" s="326"/>
      <c r="AS776" s="326"/>
      <c r="AT776" s="326"/>
      <c r="AU776" s="326"/>
      <c r="AV776" s="326"/>
      <c r="AW776" s="326"/>
      <c r="AX776" s="326"/>
      <c r="AY776" s="326"/>
      <c r="AZ776" s="326"/>
      <c r="BA776" s="326"/>
      <c r="BB776" s="327"/>
    </row>
    <row r="777" spans="1:54" ht="15.75" customHeight="1" x14ac:dyDescent="0.25">
      <c r="A777" s="11">
        <f t="shared" si="2"/>
        <v>764</v>
      </c>
      <c r="B777" s="504" t="str">
        <f>'refer admin discharge'!B773</f>
        <v>x</v>
      </c>
      <c r="C777" s="327"/>
      <c r="D777" s="505" t="str">
        <f>'refer admin discharge'!D773</f>
        <v>xx</v>
      </c>
      <c r="E777" s="327"/>
      <c r="F777" s="606" t="str">
        <f>'refer admin discharge'!H773</f>
        <v>00/00/0000</v>
      </c>
      <c r="G777" s="327"/>
      <c r="H777" s="594"/>
      <c r="I777" s="327"/>
      <c r="J777" s="605"/>
      <c r="K777" s="327"/>
      <c r="L777" s="594"/>
      <c r="M777" s="327"/>
      <c r="N777" s="575"/>
      <c r="O777" s="327"/>
      <c r="P777" s="594"/>
      <c r="Q777" s="327"/>
      <c r="R777" s="575"/>
      <c r="S777" s="327"/>
      <c r="T777" s="594"/>
      <c r="U777" s="327"/>
      <c r="V777" s="595" t="str">
        <f>'refer admin discharge'!H778</f>
        <v>00/00/0000</v>
      </c>
      <c r="W777" s="327"/>
      <c r="X777" s="577"/>
      <c r="Y777" s="327"/>
      <c r="Z777" s="604"/>
      <c r="AA777" s="327"/>
      <c r="AB777" s="577"/>
      <c r="AC777" s="327"/>
      <c r="AD777" s="576"/>
      <c r="AE777" s="327"/>
      <c r="AF777" s="577"/>
      <c r="AG777" s="327"/>
      <c r="AH777" s="576"/>
      <c r="AI777" s="327"/>
      <c r="AJ777" s="577"/>
      <c r="AK777" s="327"/>
      <c r="AL777" s="602"/>
      <c r="AM777" s="326"/>
      <c r="AN777" s="326"/>
      <c r="AO777" s="326"/>
      <c r="AP777" s="326"/>
      <c r="AQ777" s="326"/>
      <c r="AR777" s="326"/>
      <c r="AS777" s="326"/>
      <c r="AT777" s="326"/>
      <c r="AU777" s="326"/>
      <c r="AV777" s="326"/>
      <c r="AW777" s="326"/>
      <c r="AX777" s="326"/>
      <c r="AY777" s="326"/>
      <c r="AZ777" s="326"/>
      <c r="BA777" s="326"/>
      <c r="BB777" s="327"/>
    </row>
    <row r="778" spans="1:54" ht="15.75" customHeight="1" x14ac:dyDescent="0.25">
      <c r="A778" s="11">
        <f t="shared" si="2"/>
        <v>765</v>
      </c>
      <c r="B778" s="570" t="str">
        <f>'refer admin discharge'!B774</f>
        <v>x</v>
      </c>
      <c r="C778" s="327"/>
      <c r="D778" s="599" t="str">
        <f>'refer admin discharge'!D774</f>
        <v>xx</v>
      </c>
      <c r="E778" s="327"/>
      <c r="F778" s="600" t="str">
        <f>'refer admin discharge'!H774</f>
        <v>00/00/0000</v>
      </c>
      <c r="G778" s="327"/>
      <c r="H778" s="574"/>
      <c r="I778" s="327"/>
      <c r="J778" s="601"/>
      <c r="K778" s="327"/>
      <c r="L778" s="574"/>
      <c r="M778" s="327"/>
      <c r="N778" s="594"/>
      <c r="O778" s="327"/>
      <c r="P778" s="574"/>
      <c r="Q778" s="327"/>
      <c r="R778" s="594"/>
      <c r="S778" s="327"/>
      <c r="T778" s="574"/>
      <c r="U778" s="327"/>
      <c r="V778" s="595" t="str">
        <f>'refer admin discharge'!H779</f>
        <v>00/00/0000</v>
      </c>
      <c r="W778" s="327"/>
      <c r="X778" s="596"/>
      <c r="Y778" s="327"/>
      <c r="Z778" s="597"/>
      <c r="AA778" s="327"/>
      <c r="AB778" s="596"/>
      <c r="AC778" s="327"/>
      <c r="AD778" s="577"/>
      <c r="AE778" s="327"/>
      <c r="AF778" s="596"/>
      <c r="AG778" s="327"/>
      <c r="AH778" s="577"/>
      <c r="AI778" s="327"/>
      <c r="AJ778" s="596"/>
      <c r="AK778" s="327"/>
      <c r="AL778" s="598"/>
      <c r="AM778" s="326"/>
      <c r="AN778" s="326"/>
      <c r="AO778" s="326"/>
      <c r="AP778" s="326"/>
      <c r="AQ778" s="326"/>
      <c r="AR778" s="326"/>
      <c r="AS778" s="326"/>
      <c r="AT778" s="326"/>
      <c r="AU778" s="326"/>
      <c r="AV778" s="326"/>
      <c r="AW778" s="326"/>
      <c r="AX778" s="326"/>
      <c r="AY778" s="326"/>
      <c r="AZ778" s="326"/>
      <c r="BA778" s="326"/>
      <c r="BB778" s="327"/>
    </row>
    <row r="779" spans="1:54" ht="15.75" customHeight="1" x14ac:dyDescent="0.25">
      <c r="A779" s="11">
        <f t="shared" ref="A779:A1033" si="3">ROW(A766)</f>
        <v>766</v>
      </c>
      <c r="B779" s="504" t="str">
        <f>'refer admin discharge'!B775</f>
        <v>x</v>
      </c>
      <c r="C779" s="327"/>
      <c r="D779" s="505" t="str">
        <f>'refer admin discharge'!D775</f>
        <v>xx</v>
      </c>
      <c r="E779" s="327"/>
      <c r="F779" s="606" t="str">
        <f>'refer admin discharge'!H775</f>
        <v>00/00/0000</v>
      </c>
      <c r="G779" s="327"/>
      <c r="H779" s="594"/>
      <c r="I779" s="327"/>
      <c r="J779" s="605"/>
      <c r="K779" s="327"/>
      <c r="L779" s="594"/>
      <c r="M779" s="327"/>
      <c r="N779" s="575"/>
      <c r="O779" s="327"/>
      <c r="P779" s="594"/>
      <c r="Q779" s="327"/>
      <c r="R779" s="575"/>
      <c r="S779" s="327"/>
      <c r="T779" s="594"/>
      <c r="U779" s="327"/>
      <c r="V779" s="595" t="str">
        <f>'refer admin discharge'!H780</f>
        <v>00/00/0000</v>
      </c>
      <c r="W779" s="327"/>
      <c r="X779" s="577"/>
      <c r="Y779" s="327"/>
      <c r="Z779" s="604"/>
      <c r="AA779" s="327"/>
      <c r="AB779" s="577"/>
      <c r="AC779" s="327"/>
      <c r="AD779" s="576"/>
      <c r="AE779" s="327"/>
      <c r="AF779" s="577"/>
      <c r="AG779" s="327"/>
      <c r="AH779" s="576"/>
      <c r="AI779" s="327"/>
      <c r="AJ779" s="577"/>
      <c r="AK779" s="327"/>
      <c r="AL779" s="602"/>
      <c r="AM779" s="326"/>
      <c r="AN779" s="326"/>
      <c r="AO779" s="326"/>
      <c r="AP779" s="326"/>
      <c r="AQ779" s="326"/>
      <c r="AR779" s="326"/>
      <c r="AS779" s="326"/>
      <c r="AT779" s="326"/>
      <c r="AU779" s="326"/>
      <c r="AV779" s="326"/>
      <c r="AW779" s="326"/>
      <c r="AX779" s="326"/>
      <c r="AY779" s="326"/>
      <c r="AZ779" s="326"/>
      <c r="BA779" s="326"/>
      <c r="BB779" s="327"/>
    </row>
    <row r="780" spans="1:54" ht="15.75" customHeight="1" x14ac:dyDescent="0.25">
      <c r="A780" s="11">
        <f t="shared" si="3"/>
        <v>767</v>
      </c>
      <c r="B780" s="570" t="str">
        <f>'refer admin discharge'!B776</f>
        <v>x</v>
      </c>
      <c r="C780" s="327"/>
      <c r="D780" s="599" t="str">
        <f>'refer admin discharge'!D776</f>
        <v>xx</v>
      </c>
      <c r="E780" s="327"/>
      <c r="F780" s="600" t="str">
        <f>'refer admin discharge'!H776</f>
        <v>00/00/0000</v>
      </c>
      <c r="G780" s="327"/>
      <c r="H780" s="574"/>
      <c r="I780" s="327"/>
      <c r="J780" s="601"/>
      <c r="K780" s="327"/>
      <c r="L780" s="574"/>
      <c r="M780" s="327"/>
      <c r="N780" s="594"/>
      <c r="O780" s="327"/>
      <c r="P780" s="574"/>
      <c r="Q780" s="327"/>
      <c r="R780" s="594"/>
      <c r="S780" s="327"/>
      <c r="T780" s="574"/>
      <c r="U780" s="327"/>
      <c r="V780" s="595" t="str">
        <f>'refer admin discharge'!H781</f>
        <v>00/00/0000</v>
      </c>
      <c r="W780" s="327"/>
      <c r="X780" s="596"/>
      <c r="Y780" s="327"/>
      <c r="Z780" s="597"/>
      <c r="AA780" s="327"/>
      <c r="AB780" s="596"/>
      <c r="AC780" s="327"/>
      <c r="AD780" s="577"/>
      <c r="AE780" s="327"/>
      <c r="AF780" s="596"/>
      <c r="AG780" s="327"/>
      <c r="AH780" s="577"/>
      <c r="AI780" s="327"/>
      <c r="AJ780" s="596"/>
      <c r="AK780" s="327"/>
      <c r="AL780" s="598"/>
      <c r="AM780" s="326"/>
      <c r="AN780" s="326"/>
      <c r="AO780" s="326"/>
      <c r="AP780" s="326"/>
      <c r="AQ780" s="326"/>
      <c r="AR780" s="326"/>
      <c r="AS780" s="326"/>
      <c r="AT780" s="326"/>
      <c r="AU780" s="326"/>
      <c r="AV780" s="326"/>
      <c r="AW780" s="326"/>
      <c r="AX780" s="326"/>
      <c r="AY780" s="326"/>
      <c r="AZ780" s="326"/>
      <c r="BA780" s="326"/>
      <c r="BB780" s="327"/>
    </row>
    <row r="781" spans="1:54" ht="15.75" customHeight="1" x14ac:dyDescent="0.25">
      <c r="A781" s="11">
        <f t="shared" si="3"/>
        <v>768</v>
      </c>
      <c r="B781" s="504" t="str">
        <f>'refer admin discharge'!B777</f>
        <v>x</v>
      </c>
      <c r="C781" s="327"/>
      <c r="D781" s="505" t="str">
        <f>'refer admin discharge'!D777</f>
        <v>xx</v>
      </c>
      <c r="E781" s="327"/>
      <c r="F781" s="606" t="str">
        <f>'refer admin discharge'!H777</f>
        <v>00/00/0000</v>
      </c>
      <c r="G781" s="327"/>
      <c r="H781" s="594"/>
      <c r="I781" s="327"/>
      <c r="J781" s="605"/>
      <c r="K781" s="327"/>
      <c r="L781" s="594"/>
      <c r="M781" s="327"/>
      <c r="N781" s="575"/>
      <c r="O781" s="327"/>
      <c r="P781" s="594"/>
      <c r="Q781" s="327"/>
      <c r="R781" s="575"/>
      <c r="S781" s="327"/>
      <c r="T781" s="594"/>
      <c r="U781" s="327"/>
      <c r="V781" s="595" t="str">
        <f>'refer admin discharge'!H782</f>
        <v>00/00/0000</v>
      </c>
      <c r="W781" s="327"/>
      <c r="X781" s="577"/>
      <c r="Y781" s="327"/>
      <c r="Z781" s="604"/>
      <c r="AA781" s="327"/>
      <c r="AB781" s="577"/>
      <c r="AC781" s="327"/>
      <c r="AD781" s="576"/>
      <c r="AE781" s="327"/>
      <c r="AF781" s="577"/>
      <c r="AG781" s="327"/>
      <c r="AH781" s="576"/>
      <c r="AI781" s="327"/>
      <c r="AJ781" s="577"/>
      <c r="AK781" s="327"/>
      <c r="AL781" s="602"/>
      <c r="AM781" s="326"/>
      <c r="AN781" s="326"/>
      <c r="AO781" s="326"/>
      <c r="AP781" s="326"/>
      <c r="AQ781" s="326"/>
      <c r="AR781" s="326"/>
      <c r="AS781" s="326"/>
      <c r="AT781" s="326"/>
      <c r="AU781" s="326"/>
      <c r="AV781" s="326"/>
      <c r="AW781" s="326"/>
      <c r="AX781" s="326"/>
      <c r="AY781" s="326"/>
      <c r="AZ781" s="326"/>
      <c r="BA781" s="326"/>
      <c r="BB781" s="327"/>
    </row>
    <row r="782" spans="1:54" ht="15.75" customHeight="1" x14ac:dyDescent="0.25">
      <c r="A782" s="11">
        <f t="shared" si="3"/>
        <v>769</v>
      </c>
      <c r="B782" s="570" t="str">
        <f>'refer admin discharge'!B778</f>
        <v>x</v>
      </c>
      <c r="C782" s="327"/>
      <c r="D782" s="599" t="str">
        <f>'refer admin discharge'!D778</f>
        <v>xx</v>
      </c>
      <c r="E782" s="327"/>
      <c r="F782" s="600" t="str">
        <f>'refer admin discharge'!H778</f>
        <v>00/00/0000</v>
      </c>
      <c r="G782" s="327"/>
      <c r="H782" s="574"/>
      <c r="I782" s="327"/>
      <c r="J782" s="601"/>
      <c r="K782" s="327"/>
      <c r="L782" s="574"/>
      <c r="M782" s="327"/>
      <c r="N782" s="594"/>
      <c r="O782" s="327"/>
      <c r="P782" s="574"/>
      <c r="Q782" s="327"/>
      <c r="R782" s="594"/>
      <c r="S782" s="327"/>
      <c r="T782" s="574"/>
      <c r="U782" s="327"/>
      <c r="V782" s="595" t="str">
        <f>'refer admin discharge'!H783</f>
        <v>00/00/0000</v>
      </c>
      <c r="W782" s="327"/>
      <c r="X782" s="596"/>
      <c r="Y782" s="327"/>
      <c r="Z782" s="597"/>
      <c r="AA782" s="327"/>
      <c r="AB782" s="596"/>
      <c r="AC782" s="327"/>
      <c r="AD782" s="577"/>
      <c r="AE782" s="327"/>
      <c r="AF782" s="596"/>
      <c r="AG782" s="327"/>
      <c r="AH782" s="577"/>
      <c r="AI782" s="327"/>
      <c r="AJ782" s="596"/>
      <c r="AK782" s="327"/>
      <c r="AL782" s="598"/>
      <c r="AM782" s="326"/>
      <c r="AN782" s="326"/>
      <c r="AO782" s="326"/>
      <c r="AP782" s="326"/>
      <c r="AQ782" s="326"/>
      <c r="AR782" s="326"/>
      <c r="AS782" s="326"/>
      <c r="AT782" s="326"/>
      <c r="AU782" s="326"/>
      <c r="AV782" s="326"/>
      <c r="AW782" s="326"/>
      <c r="AX782" s="326"/>
      <c r="AY782" s="326"/>
      <c r="AZ782" s="326"/>
      <c r="BA782" s="326"/>
      <c r="BB782" s="327"/>
    </row>
    <row r="783" spans="1:54" ht="15.75" customHeight="1" x14ac:dyDescent="0.25">
      <c r="A783" s="11">
        <f t="shared" si="3"/>
        <v>770</v>
      </c>
      <c r="B783" s="504" t="str">
        <f>'refer admin discharge'!B779</f>
        <v>x</v>
      </c>
      <c r="C783" s="327"/>
      <c r="D783" s="505" t="str">
        <f>'refer admin discharge'!D779</f>
        <v>xx</v>
      </c>
      <c r="E783" s="327"/>
      <c r="F783" s="606" t="str">
        <f>'refer admin discharge'!H779</f>
        <v>00/00/0000</v>
      </c>
      <c r="G783" s="327"/>
      <c r="H783" s="594"/>
      <c r="I783" s="327"/>
      <c r="J783" s="605"/>
      <c r="K783" s="327"/>
      <c r="L783" s="594"/>
      <c r="M783" s="327"/>
      <c r="N783" s="575"/>
      <c r="O783" s="327"/>
      <c r="P783" s="594"/>
      <c r="Q783" s="327"/>
      <c r="R783" s="575"/>
      <c r="S783" s="327"/>
      <c r="T783" s="594"/>
      <c r="U783" s="327"/>
      <c r="V783" s="595" t="str">
        <f>'refer admin discharge'!H784</f>
        <v>00/00/0000</v>
      </c>
      <c r="W783" s="327"/>
      <c r="X783" s="577"/>
      <c r="Y783" s="327"/>
      <c r="Z783" s="604"/>
      <c r="AA783" s="327"/>
      <c r="AB783" s="577"/>
      <c r="AC783" s="327"/>
      <c r="AD783" s="576"/>
      <c r="AE783" s="327"/>
      <c r="AF783" s="577"/>
      <c r="AG783" s="327"/>
      <c r="AH783" s="576"/>
      <c r="AI783" s="327"/>
      <c r="AJ783" s="577"/>
      <c r="AK783" s="327"/>
      <c r="AL783" s="602"/>
      <c r="AM783" s="326"/>
      <c r="AN783" s="326"/>
      <c r="AO783" s="326"/>
      <c r="AP783" s="326"/>
      <c r="AQ783" s="326"/>
      <c r="AR783" s="326"/>
      <c r="AS783" s="326"/>
      <c r="AT783" s="326"/>
      <c r="AU783" s="326"/>
      <c r="AV783" s="326"/>
      <c r="AW783" s="326"/>
      <c r="AX783" s="326"/>
      <c r="AY783" s="326"/>
      <c r="AZ783" s="326"/>
      <c r="BA783" s="326"/>
      <c r="BB783" s="327"/>
    </row>
    <row r="784" spans="1:54" ht="15.75" customHeight="1" x14ac:dyDescent="0.25">
      <c r="A784" s="11">
        <f t="shared" si="3"/>
        <v>771</v>
      </c>
      <c r="B784" s="570" t="str">
        <f>'refer admin discharge'!B780</f>
        <v>x</v>
      </c>
      <c r="C784" s="327"/>
      <c r="D784" s="599" t="str">
        <f>'refer admin discharge'!D780</f>
        <v>xx</v>
      </c>
      <c r="E784" s="327"/>
      <c r="F784" s="600" t="str">
        <f>'refer admin discharge'!H780</f>
        <v>00/00/0000</v>
      </c>
      <c r="G784" s="327"/>
      <c r="H784" s="574"/>
      <c r="I784" s="327"/>
      <c r="J784" s="601"/>
      <c r="K784" s="327"/>
      <c r="L784" s="574"/>
      <c r="M784" s="327"/>
      <c r="N784" s="594"/>
      <c r="O784" s="327"/>
      <c r="P784" s="574"/>
      <c r="Q784" s="327"/>
      <c r="R784" s="594"/>
      <c r="S784" s="327"/>
      <c r="T784" s="574"/>
      <c r="U784" s="327"/>
      <c r="V784" s="595" t="str">
        <f>'refer admin discharge'!H785</f>
        <v>00/00/0000</v>
      </c>
      <c r="W784" s="327"/>
      <c r="X784" s="596"/>
      <c r="Y784" s="327"/>
      <c r="Z784" s="597"/>
      <c r="AA784" s="327"/>
      <c r="AB784" s="596"/>
      <c r="AC784" s="327"/>
      <c r="AD784" s="577"/>
      <c r="AE784" s="327"/>
      <c r="AF784" s="596"/>
      <c r="AG784" s="327"/>
      <c r="AH784" s="577"/>
      <c r="AI784" s="327"/>
      <c r="AJ784" s="596"/>
      <c r="AK784" s="327"/>
      <c r="AL784" s="598"/>
      <c r="AM784" s="326"/>
      <c r="AN784" s="326"/>
      <c r="AO784" s="326"/>
      <c r="AP784" s="326"/>
      <c r="AQ784" s="326"/>
      <c r="AR784" s="326"/>
      <c r="AS784" s="326"/>
      <c r="AT784" s="326"/>
      <c r="AU784" s="326"/>
      <c r="AV784" s="326"/>
      <c r="AW784" s="326"/>
      <c r="AX784" s="326"/>
      <c r="AY784" s="326"/>
      <c r="AZ784" s="326"/>
      <c r="BA784" s="326"/>
      <c r="BB784" s="327"/>
    </row>
    <row r="785" spans="1:54" ht="15.75" customHeight="1" x14ac:dyDescent="0.25">
      <c r="A785" s="11">
        <f t="shared" si="3"/>
        <v>772</v>
      </c>
      <c r="B785" s="504" t="str">
        <f>'refer admin discharge'!B781</f>
        <v>x</v>
      </c>
      <c r="C785" s="327"/>
      <c r="D785" s="505" t="str">
        <f>'refer admin discharge'!D781</f>
        <v>xx</v>
      </c>
      <c r="E785" s="327"/>
      <c r="F785" s="606" t="str">
        <f>'refer admin discharge'!H781</f>
        <v>00/00/0000</v>
      </c>
      <c r="G785" s="327"/>
      <c r="H785" s="594"/>
      <c r="I785" s="327"/>
      <c r="J785" s="605"/>
      <c r="K785" s="327"/>
      <c r="L785" s="594"/>
      <c r="M785" s="327"/>
      <c r="N785" s="575"/>
      <c r="O785" s="327"/>
      <c r="P785" s="594"/>
      <c r="Q785" s="327"/>
      <c r="R785" s="575"/>
      <c r="S785" s="327"/>
      <c r="T785" s="594"/>
      <c r="U785" s="327"/>
      <c r="V785" s="595" t="str">
        <f>'refer admin discharge'!H786</f>
        <v>00/00/0000</v>
      </c>
      <c r="W785" s="327"/>
      <c r="X785" s="577"/>
      <c r="Y785" s="327"/>
      <c r="Z785" s="604"/>
      <c r="AA785" s="327"/>
      <c r="AB785" s="577"/>
      <c r="AC785" s="327"/>
      <c r="AD785" s="576"/>
      <c r="AE785" s="327"/>
      <c r="AF785" s="577"/>
      <c r="AG785" s="327"/>
      <c r="AH785" s="576"/>
      <c r="AI785" s="327"/>
      <c r="AJ785" s="577"/>
      <c r="AK785" s="327"/>
      <c r="AL785" s="602"/>
      <c r="AM785" s="326"/>
      <c r="AN785" s="326"/>
      <c r="AO785" s="326"/>
      <c r="AP785" s="326"/>
      <c r="AQ785" s="326"/>
      <c r="AR785" s="326"/>
      <c r="AS785" s="326"/>
      <c r="AT785" s="326"/>
      <c r="AU785" s="326"/>
      <c r="AV785" s="326"/>
      <c r="AW785" s="326"/>
      <c r="AX785" s="326"/>
      <c r="AY785" s="326"/>
      <c r="AZ785" s="326"/>
      <c r="BA785" s="326"/>
      <c r="BB785" s="327"/>
    </row>
    <row r="786" spans="1:54" ht="15.75" customHeight="1" x14ac:dyDescent="0.25">
      <c r="A786" s="11">
        <f t="shared" si="3"/>
        <v>773</v>
      </c>
      <c r="B786" s="570" t="str">
        <f>'refer admin discharge'!B782</f>
        <v>x</v>
      </c>
      <c r="C786" s="327"/>
      <c r="D786" s="599" t="str">
        <f>'refer admin discharge'!D782</f>
        <v>xx</v>
      </c>
      <c r="E786" s="327"/>
      <c r="F786" s="600" t="str">
        <f>'refer admin discharge'!H782</f>
        <v>00/00/0000</v>
      </c>
      <c r="G786" s="327"/>
      <c r="H786" s="574"/>
      <c r="I786" s="327"/>
      <c r="J786" s="601"/>
      <c r="K786" s="327"/>
      <c r="L786" s="574"/>
      <c r="M786" s="327"/>
      <c r="N786" s="594"/>
      <c r="O786" s="327"/>
      <c r="P786" s="574"/>
      <c r="Q786" s="327"/>
      <c r="R786" s="594"/>
      <c r="S786" s="327"/>
      <c r="T786" s="574"/>
      <c r="U786" s="327"/>
      <c r="V786" s="595" t="str">
        <f>'refer admin discharge'!H787</f>
        <v>00/00/0000</v>
      </c>
      <c r="W786" s="327"/>
      <c r="X786" s="596"/>
      <c r="Y786" s="327"/>
      <c r="Z786" s="597"/>
      <c r="AA786" s="327"/>
      <c r="AB786" s="596"/>
      <c r="AC786" s="327"/>
      <c r="AD786" s="577"/>
      <c r="AE786" s="327"/>
      <c r="AF786" s="596"/>
      <c r="AG786" s="327"/>
      <c r="AH786" s="577"/>
      <c r="AI786" s="327"/>
      <c r="AJ786" s="596"/>
      <c r="AK786" s="327"/>
      <c r="AL786" s="598"/>
      <c r="AM786" s="326"/>
      <c r="AN786" s="326"/>
      <c r="AO786" s="326"/>
      <c r="AP786" s="326"/>
      <c r="AQ786" s="326"/>
      <c r="AR786" s="326"/>
      <c r="AS786" s="326"/>
      <c r="AT786" s="326"/>
      <c r="AU786" s="326"/>
      <c r="AV786" s="326"/>
      <c r="AW786" s="326"/>
      <c r="AX786" s="326"/>
      <c r="AY786" s="326"/>
      <c r="AZ786" s="326"/>
      <c r="BA786" s="326"/>
      <c r="BB786" s="327"/>
    </row>
    <row r="787" spans="1:54" ht="15.75" customHeight="1" x14ac:dyDescent="0.25">
      <c r="A787" s="11">
        <f t="shared" si="3"/>
        <v>774</v>
      </c>
      <c r="B787" s="504" t="str">
        <f>'refer admin discharge'!B783</f>
        <v>x</v>
      </c>
      <c r="C787" s="327"/>
      <c r="D787" s="505" t="str">
        <f>'refer admin discharge'!D783</f>
        <v>xx</v>
      </c>
      <c r="E787" s="327"/>
      <c r="F787" s="606" t="str">
        <f>'refer admin discharge'!H783</f>
        <v>00/00/0000</v>
      </c>
      <c r="G787" s="327"/>
      <c r="H787" s="594"/>
      <c r="I787" s="327"/>
      <c r="J787" s="605"/>
      <c r="K787" s="327"/>
      <c r="L787" s="594"/>
      <c r="M787" s="327"/>
      <c r="N787" s="575"/>
      <c r="O787" s="327"/>
      <c r="P787" s="594"/>
      <c r="Q787" s="327"/>
      <c r="R787" s="575"/>
      <c r="S787" s="327"/>
      <c r="T787" s="594"/>
      <c r="U787" s="327"/>
      <c r="V787" s="595" t="str">
        <f>'refer admin discharge'!H788</f>
        <v>00/00/0000</v>
      </c>
      <c r="W787" s="327"/>
      <c r="X787" s="577"/>
      <c r="Y787" s="327"/>
      <c r="Z787" s="604"/>
      <c r="AA787" s="327"/>
      <c r="AB787" s="577"/>
      <c r="AC787" s="327"/>
      <c r="AD787" s="576"/>
      <c r="AE787" s="327"/>
      <c r="AF787" s="577"/>
      <c r="AG787" s="327"/>
      <c r="AH787" s="576"/>
      <c r="AI787" s="327"/>
      <c r="AJ787" s="577"/>
      <c r="AK787" s="327"/>
      <c r="AL787" s="602"/>
      <c r="AM787" s="326"/>
      <c r="AN787" s="326"/>
      <c r="AO787" s="326"/>
      <c r="AP787" s="326"/>
      <c r="AQ787" s="326"/>
      <c r="AR787" s="326"/>
      <c r="AS787" s="326"/>
      <c r="AT787" s="326"/>
      <c r="AU787" s="326"/>
      <c r="AV787" s="326"/>
      <c r="AW787" s="326"/>
      <c r="AX787" s="326"/>
      <c r="AY787" s="326"/>
      <c r="AZ787" s="326"/>
      <c r="BA787" s="326"/>
      <c r="BB787" s="327"/>
    </row>
    <row r="788" spans="1:54" ht="15.75" customHeight="1" x14ac:dyDescent="0.25">
      <c r="A788" s="11">
        <f t="shared" si="3"/>
        <v>775</v>
      </c>
      <c r="B788" s="570" t="str">
        <f>'refer admin discharge'!B784</f>
        <v>x</v>
      </c>
      <c r="C788" s="327"/>
      <c r="D788" s="599" t="str">
        <f>'refer admin discharge'!D784</f>
        <v>xx</v>
      </c>
      <c r="E788" s="327"/>
      <c r="F788" s="600" t="str">
        <f>'refer admin discharge'!H784</f>
        <v>00/00/0000</v>
      </c>
      <c r="G788" s="327"/>
      <c r="H788" s="574"/>
      <c r="I788" s="327"/>
      <c r="J788" s="601"/>
      <c r="K788" s="327"/>
      <c r="L788" s="574"/>
      <c r="M788" s="327"/>
      <c r="N788" s="594"/>
      <c r="O788" s="327"/>
      <c r="P788" s="574"/>
      <c r="Q788" s="327"/>
      <c r="R788" s="594"/>
      <c r="S788" s="327"/>
      <c r="T788" s="574"/>
      <c r="U788" s="327"/>
      <c r="V788" s="595" t="str">
        <f>'refer admin discharge'!H789</f>
        <v>00/00/0000</v>
      </c>
      <c r="W788" s="327"/>
      <c r="X788" s="596"/>
      <c r="Y788" s="327"/>
      <c r="Z788" s="597"/>
      <c r="AA788" s="327"/>
      <c r="AB788" s="596"/>
      <c r="AC788" s="327"/>
      <c r="AD788" s="577"/>
      <c r="AE788" s="327"/>
      <c r="AF788" s="596"/>
      <c r="AG788" s="327"/>
      <c r="AH788" s="577"/>
      <c r="AI788" s="327"/>
      <c r="AJ788" s="596"/>
      <c r="AK788" s="327"/>
      <c r="AL788" s="598"/>
      <c r="AM788" s="326"/>
      <c r="AN788" s="326"/>
      <c r="AO788" s="326"/>
      <c r="AP788" s="326"/>
      <c r="AQ788" s="326"/>
      <c r="AR788" s="326"/>
      <c r="AS788" s="326"/>
      <c r="AT788" s="326"/>
      <c r="AU788" s="326"/>
      <c r="AV788" s="326"/>
      <c r="AW788" s="326"/>
      <c r="AX788" s="326"/>
      <c r="AY788" s="326"/>
      <c r="AZ788" s="326"/>
      <c r="BA788" s="326"/>
      <c r="BB788" s="327"/>
    </row>
    <row r="789" spans="1:54" ht="15.75" customHeight="1" x14ac:dyDescent="0.25">
      <c r="A789" s="11">
        <f t="shared" si="3"/>
        <v>776</v>
      </c>
      <c r="B789" s="504" t="str">
        <f>'refer admin discharge'!B785</f>
        <v>x</v>
      </c>
      <c r="C789" s="327"/>
      <c r="D789" s="505" t="str">
        <f>'refer admin discharge'!D785</f>
        <v>xx</v>
      </c>
      <c r="E789" s="327"/>
      <c r="F789" s="606" t="str">
        <f>'refer admin discharge'!H785</f>
        <v>00/00/0000</v>
      </c>
      <c r="G789" s="327"/>
      <c r="H789" s="594"/>
      <c r="I789" s="327"/>
      <c r="J789" s="605"/>
      <c r="K789" s="327"/>
      <c r="L789" s="594"/>
      <c r="M789" s="327"/>
      <c r="N789" s="575"/>
      <c r="O789" s="327"/>
      <c r="P789" s="594"/>
      <c r="Q789" s="327"/>
      <c r="R789" s="575"/>
      <c r="S789" s="327"/>
      <c r="T789" s="594"/>
      <c r="U789" s="327"/>
      <c r="V789" s="595" t="str">
        <f>'refer admin discharge'!H790</f>
        <v>00/00/0000</v>
      </c>
      <c r="W789" s="327"/>
      <c r="X789" s="577"/>
      <c r="Y789" s="327"/>
      <c r="Z789" s="604"/>
      <c r="AA789" s="327"/>
      <c r="AB789" s="577"/>
      <c r="AC789" s="327"/>
      <c r="AD789" s="576"/>
      <c r="AE789" s="327"/>
      <c r="AF789" s="577"/>
      <c r="AG789" s="327"/>
      <c r="AH789" s="576"/>
      <c r="AI789" s="327"/>
      <c r="AJ789" s="577"/>
      <c r="AK789" s="327"/>
      <c r="AL789" s="602"/>
      <c r="AM789" s="326"/>
      <c r="AN789" s="326"/>
      <c r="AO789" s="326"/>
      <c r="AP789" s="326"/>
      <c r="AQ789" s="326"/>
      <c r="AR789" s="326"/>
      <c r="AS789" s="326"/>
      <c r="AT789" s="326"/>
      <c r="AU789" s="326"/>
      <c r="AV789" s="326"/>
      <c r="AW789" s="326"/>
      <c r="AX789" s="326"/>
      <c r="AY789" s="326"/>
      <c r="AZ789" s="326"/>
      <c r="BA789" s="326"/>
      <c r="BB789" s="327"/>
    </row>
    <row r="790" spans="1:54" ht="15.75" customHeight="1" x14ac:dyDescent="0.25">
      <c r="A790" s="11">
        <f t="shared" si="3"/>
        <v>777</v>
      </c>
      <c r="B790" s="570" t="str">
        <f>'refer admin discharge'!B786</f>
        <v>x</v>
      </c>
      <c r="C790" s="327"/>
      <c r="D790" s="599" t="str">
        <f>'refer admin discharge'!D786</f>
        <v>xx</v>
      </c>
      <c r="E790" s="327"/>
      <c r="F790" s="600" t="str">
        <f>'refer admin discharge'!H786</f>
        <v>00/00/0000</v>
      </c>
      <c r="G790" s="327"/>
      <c r="H790" s="574"/>
      <c r="I790" s="327"/>
      <c r="J790" s="601"/>
      <c r="K790" s="327"/>
      <c r="L790" s="574"/>
      <c r="M790" s="327"/>
      <c r="N790" s="594"/>
      <c r="O790" s="327"/>
      <c r="P790" s="574"/>
      <c r="Q790" s="327"/>
      <c r="R790" s="594"/>
      <c r="S790" s="327"/>
      <c r="T790" s="574"/>
      <c r="U790" s="327"/>
      <c r="V790" s="595" t="str">
        <f>'refer admin discharge'!H791</f>
        <v>00/00/0000</v>
      </c>
      <c r="W790" s="327"/>
      <c r="X790" s="596"/>
      <c r="Y790" s="327"/>
      <c r="Z790" s="597"/>
      <c r="AA790" s="327"/>
      <c r="AB790" s="596"/>
      <c r="AC790" s="327"/>
      <c r="AD790" s="577"/>
      <c r="AE790" s="327"/>
      <c r="AF790" s="596"/>
      <c r="AG790" s="327"/>
      <c r="AH790" s="577"/>
      <c r="AI790" s="327"/>
      <c r="AJ790" s="596"/>
      <c r="AK790" s="327"/>
      <c r="AL790" s="598"/>
      <c r="AM790" s="326"/>
      <c r="AN790" s="326"/>
      <c r="AO790" s="326"/>
      <c r="AP790" s="326"/>
      <c r="AQ790" s="326"/>
      <c r="AR790" s="326"/>
      <c r="AS790" s="326"/>
      <c r="AT790" s="326"/>
      <c r="AU790" s="326"/>
      <c r="AV790" s="326"/>
      <c r="AW790" s="326"/>
      <c r="AX790" s="326"/>
      <c r="AY790" s="326"/>
      <c r="AZ790" s="326"/>
      <c r="BA790" s="326"/>
      <c r="BB790" s="327"/>
    </row>
    <row r="791" spans="1:54" ht="15.75" customHeight="1" x14ac:dyDescent="0.25">
      <c r="A791" s="11">
        <f t="shared" si="3"/>
        <v>778</v>
      </c>
      <c r="B791" s="504" t="str">
        <f>'refer admin discharge'!B787</f>
        <v>x</v>
      </c>
      <c r="C791" s="327"/>
      <c r="D791" s="505" t="str">
        <f>'refer admin discharge'!D787</f>
        <v>xx</v>
      </c>
      <c r="E791" s="327"/>
      <c r="F791" s="606" t="str">
        <f>'refer admin discharge'!H787</f>
        <v>00/00/0000</v>
      </c>
      <c r="G791" s="327"/>
      <c r="H791" s="594"/>
      <c r="I791" s="327"/>
      <c r="J791" s="605"/>
      <c r="K791" s="327"/>
      <c r="L791" s="594"/>
      <c r="M791" s="327"/>
      <c r="N791" s="575"/>
      <c r="O791" s="327"/>
      <c r="P791" s="594"/>
      <c r="Q791" s="327"/>
      <c r="R791" s="575"/>
      <c r="S791" s="327"/>
      <c r="T791" s="594"/>
      <c r="U791" s="327"/>
      <c r="V791" s="595" t="str">
        <f>'refer admin discharge'!H792</f>
        <v>00/00/0000</v>
      </c>
      <c r="W791" s="327"/>
      <c r="X791" s="577"/>
      <c r="Y791" s="327"/>
      <c r="Z791" s="604"/>
      <c r="AA791" s="327"/>
      <c r="AB791" s="577"/>
      <c r="AC791" s="327"/>
      <c r="AD791" s="576"/>
      <c r="AE791" s="327"/>
      <c r="AF791" s="577"/>
      <c r="AG791" s="327"/>
      <c r="AH791" s="576"/>
      <c r="AI791" s="327"/>
      <c r="AJ791" s="577"/>
      <c r="AK791" s="327"/>
      <c r="AL791" s="602"/>
      <c r="AM791" s="326"/>
      <c r="AN791" s="326"/>
      <c r="AO791" s="326"/>
      <c r="AP791" s="326"/>
      <c r="AQ791" s="326"/>
      <c r="AR791" s="326"/>
      <c r="AS791" s="326"/>
      <c r="AT791" s="326"/>
      <c r="AU791" s="326"/>
      <c r="AV791" s="326"/>
      <c r="AW791" s="326"/>
      <c r="AX791" s="326"/>
      <c r="AY791" s="326"/>
      <c r="AZ791" s="326"/>
      <c r="BA791" s="326"/>
      <c r="BB791" s="327"/>
    </row>
    <row r="792" spans="1:54" ht="15.75" customHeight="1" x14ac:dyDescent="0.25">
      <c r="A792" s="11">
        <f t="shared" si="3"/>
        <v>779</v>
      </c>
      <c r="B792" s="570" t="str">
        <f>'refer admin discharge'!B788</f>
        <v>x</v>
      </c>
      <c r="C792" s="327"/>
      <c r="D792" s="599" t="str">
        <f>'refer admin discharge'!D788</f>
        <v>xx</v>
      </c>
      <c r="E792" s="327"/>
      <c r="F792" s="600" t="str">
        <f>'refer admin discharge'!H788</f>
        <v>00/00/0000</v>
      </c>
      <c r="G792" s="327"/>
      <c r="H792" s="574"/>
      <c r="I792" s="327"/>
      <c r="J792" s="601"/>
      <c r="K792" s="327"/>
      <c r="L792" s="574"/>
      <c r="M792" s="327"/>
      <c r="N792" s="594"/>
      <c r="O792" s="327"/>
      <c r="P792" s="574"/>
      <c r="Q792" s="327"/>
      <c r="R792" s="594"/>
      <c r="S792" s="327"/>
      <c r="T792" s="574"/>
      <c r="U792" s="327"/>
      <c r="V792" s="595" t="str">
        <f>'refer admin discharge'!H793</f>
        <v>00/00/0000</v>
      </c>
      <c r="W792" s="327"/>
      <c r="X792" s="596"/>
      <c r="Y792" s="327"/>
      <c r="Z792" s="597"/>
      <c r="AA792" s="327"/>
      <c r="AB792" s="596"/>
      <c r="AC792" s="327"/>
      <c r="AD792" s="577"/>
      <c r="AE792" s="327"/>
      <c r="AF792" s="596"/>
      <c r="AG792" s="327"/>
      <c r="AH792" s="577"/>
      <c r="AI792" s="327"/>
      <c r="AJ792" s="596"/>
      <c r="AK792" s="327"/>
      <c r="AL792" s="598"/>
      <c r="AM792" s="326"/>
      <c r="AN792" s="326"/>
      <c r="AO792" s="326"/>
      <c r="AP792" s="326"/>
      <c r="AQ792" s="326"/>
      <c r="AR792" s="326"/>
      <c r="AS792" s="326"/>
      <c r="AT792" s="326"/>
      <c r="AU792" s="326"/>
      <c r="AV792" s="326"/>
      <c r="AW792" s="326"/>
      <c r="AX792" s="326"/>
      <c r="AY792" s="326"/>
      <c r="AZ792" s="326"/>
      <c r="BA792" s="326"/>
      <c r="BB792" s="327"/>
    </row>
    <row r="793" spans="1:54" ht="15.75" customHeight="1" x14ac:dyDescent="0.25">
      <c r="A793" s="11">
        <f t="shared" si="3"/>
        <v>780</v>
      </c>
      <c r="B793" s="504" t="str">
        <f>'refer admin discharge'!B789</f>
        <v>x</v>
      </c>
      <c r="C793" s="327"/>
      <c r="D793" s="505" t="str">
        <f>'refer admin discharge'!D789</f>
        <v>xx</v>
      </c>
      <c r="E793" s="327"/>
      <c r="F793" s="606" t="str">
        <f>'refer admin discharge'!H789</f>
        <v>00/00/0000</v>
      </c>
      <c r="G793" s="327"/>
      <c r="H793" s="594"/>
      <c r="I793" s="327"/>
      <c r="J793" s="605"/>
      <c r="K793" s="327"/>
      <c r="L793" s="594"/>
      <c r="M793" s="327"/>
      <c r="N793" s="575"/>
      <c r="O793" s="327"/>
      <c r="P793" s="594"/>
      <c r="Q793" s="327"/>
      <c r="R793" s="575"/>
      <c r="S793" s="327"/>
      <c r="T793" s="594"/>
      <c r="U793" s="327"/>
      <c r="V793" s="595" t="str">
        <f>'refer admin discharge'!H794</f>
        <v>00/00/0000</v>
      </c>
      <c r="W793" s="327"/>
      <c r="X793" s="577"/>
      <c r="Y793" s="327"/>
      <c r="Z793" s="604"/>
      <c r="AA793" s="327"/>
      <c r="AB793" s="577"/>
      <c r="AC793" s="327"/>
      <c r="AD793" s="576"/>
      <c r="AE793" s="327"/>
      <c r="AF793" s="577"/>
      <c r="AG793" s="327"/>
      <c r="AH793" s="576"/>
      <c r="AI793" s="327"/>
      <c r="AJ793" s="577"/>
      <c r="AK793" s="327"/>
      <c r="AL793" s="602"/>
      <c r="AM793" s="326"/>
      <c r="AN793" s="326"/>
      <c r="AO793" s="326"/>
      <c r="AP793" s="326"/>
      <c r="AQ793" s="326"/>
      <c r="AR793" s="326"/>
      <c r="AS793" s="326"/>
      <c r="AT793" s="326"/>
      <c r="AU793" s="326"/>
      <c r="AV793" s="326"/>
      <c r="AW793" s="326"/>
      <c r="AX793" s="326"/>
      <c r="AY793" s="326"/>
      <c r="AZ793" s="326"/>
      <c r="BA793" s="326"/>
      <c r="BB793" s="327"/>
    </row>
    <row r="794" spans="1:54" ht="15.75" customHeight="1" x14ac:dyDescent="0.25">
      <c r="A794" s="11">
        <f t="shared" si="3"/>
        <v>781</v>
      </c>
      <c r="B794" s="570" t="str">
        <f>'refer admin discharge'!B790</f>
        <v>x</v>
      </c>
      <c r="C794" s="327"/>
      <c r="D794" s="599" t="str">
        <f>'refer admin discharge'!D790</f>
        <v>xx</v>
      </c>
      <c r="E794" s="327"/>
      <c r="F794" s="600" t="str">
        <f>'refer admin discharge'!H790</f>
        <v>00/00/0000</v>
      </c>
      <c r="G794" s="327"/>
      <c r="H794" s="574"/>
      <c r="I794" s="327"/>
      <c r="J794" s="601"/>
      <c r="K794" s="327"/>
      <c r="L794" s="574"/>
      <c r="M794" s="327"/>
      <c r="N794" s="594"/>
      <c r="O794" s="327"/>
      <c r="P794" s="574"/>
      <c r="Q794" s="327"/>
      <c r="R794" s="594"/>
      <c r="S794" s="327"/>
      <c r="T794" s="574"/>
      <c r="U794" s="327"/>
      <c r="V794" s="595" t="str">
        <f>'refer admin discharge'!H795</f>
        <v>00/00/0000</v>
      </c>
      <c r="W794" s="327"/>
      <c r="X794" s="596"/>
      <c r="Y794" s="327"/>
      <c r="Z794" s="597"/>
      <c r="AA794" s="327"/>
      <c r="AB794" s="596"/>
      <c r="AC794" s="327"/>
      <c r="AD794" s="577"/>
      <c r="AE794" s="327"/>
      <c r="AF794" s="596"/>
      <c r="AG794" s="327"/>
      <c r="AH794" s="577"/>
      <c r="AI794" s="327"/>
      <c r="AJ794" s="596"/>
      <c r="AK794" s="327"/>
      <c r="AL794" s="598"/>
      <c r="AM794" s="326"/>
      <c r="AN794" s="326"/>
      <c r="AO794" s="326"/>
      <c r="AP794" s="326"/>
      <c r="AQ794" s="326"/>
      <c r="AR794" s="326"/>
      <c r="AS794" s="326"/>
      <c r="AT794" s="326"/>
      <c r="AU794" s="326"/>
      <c r="AV794" s="326"/>
      <c r="AW794" s="326"/>
      <c r="AX794" s="326"/>
      <c r="AY794" s="326"/>
      <c r="AZ794" s="326"/>
      <c r="BA794" s="326"/>
      <c r="BB794" s="327"/>
    </row>
    <row r="795" spans="1:54" ht="15.75" customHeight="1" x14ac:dyDescent="0.25">
      <c r="A795" s="11">
        <f t="shared" si="3"/>
        <v>782</v>
      </c>
      <c r="B795" s="504" t="str">
        <f>'refer admin discharge'!B791</f>
        <v>x</v>
      </c>
      <c r="C795" s="327"/>
      <c r="D795" s="505" t="str">
        <f>'refer admin discharge'!D791</f>
        <v>xx</v>
      </c>
      <c r="E795" s="327"/>
      <c r="F795" s="606" t="str">
        <f>'refer admin discharge'!H791</f>
        <v>00/00/0000</v>
      </c>
      <c r="G795" s="327"/>
      <c r="H795" s="594"/>
      <c r="I795" s="327"/>
      <c r="J795" s="605"/>
      <c r="K795" s="327"/>
      <c r="L795" s="594"/>
      <c r="M795" s="327"/>
      <c r="N795" s="575"/>
      <c r="O795" s="327"/>
      <c r="P795" s="594"/>
      <c r="Q795" s="327"/>
      <c r="R795" s="575"/>
      <c r="S795" s="327"/>
      <c r="T795" s="594"/>
      <c r="U795" s="327"/>
      <c r="V795" s="595" t="str">
        <f>'refer admin discharge'!H796</f>
        <v>00/00/0000</v>
      </c>
      <c r="W795" s="327"/>
      <c r="X795" s="577"/>
      <c r="Y795" s="327"/>
      <c r="Z795" s="604"/>
      <c r="AA795" s="327"/>
      <c r="AB795" s="577"/>
      <c r="AC795" s="327"/>
      <c r="AD795" s="576"/>
      <c r="AE795" s="327"/>
      <c r="AF795" s="577"/>
      <c r="AG795" s="327"/>
      <c r="AH795" s="576"/>
      <c r="AI795" s="327"/>
      <c r="AJ795" s="577"/>
      <c r="AK795" s="327"/>
      <c r="AL795" s="602"/>
      <c r="AM795" s="326"/>
      <c r="AN795" s="326"/>
      <c r="AO795" s="326"/>
      <c r="AP795" s="326"/>
      <c r="AQ795" s="326"/>
      <c r="AR795" s="326"/>
      <c r="AS795" s="326"/>
      <c r="AT795" s="326"/>
      <c r="AU795" s="326"/>
      <c r="AV795" s="326"/>
      <c r="AW795" s="326"/>
      <c r="AX795" s="326"/>
      <c r="AY795" s="326"/>
      <c r="AZ795" s="326"/>
      <c r="BA795" s="326"/>
      <c r="BB795" s="327"/>
    </row>
    <row r="796" spans="1:54" ht="15.75" customHeight="1" x14ac:dyDescent="0.25">
      <c r="A796" s="11">
        <f t="shared" si="3"/>
        <v>783</v>
      </c>
      <c r="B796" s="570" t="str">
        <f>'refer admin discharge'!B792</f>
        <v>x</v>
      </c>
      <c r="C796" s="327"/>
      <c r="D796" s="599" t="str">
        <f>'refer admin discharge'!D792</f>
        <v>xx</v>
      </c>
      <c r="E796" s="327"/>
      <c r="F796" s="600" t="str">
        <f>'refer admin discharge'!H792</f>
        <v>00/00/0000</v>
      </c>
      <c r="G796" s="327"/>
      <c r="H796" s="574"/>
      <c r="I796" s="327"/>
      <c r="J796" s="601"/>
      <c r="K796" s="327"/>
      <c r="L796" s="574"/>
      <c r="M796" s="327"/>
      <c r="N796" s="594"/>
      <c r="O796" s="327"/>
      <c r="P796" s="574"/>
      <c r="Q796" s="327"/>
      <c r="R796" s="594"/>
      <c r="S796" s="327"/>
      <c r="T796" s="574"/>
      <c r="U796" s="327"/>
      <c r="V796" s="595" t="str">
        <f>'refer admin discharge'!H797</f>
        <v>00/00/0000</v>
      </c>
      <c r="W796" s="327"/>
      <c r="X796" s="596"/>
      <c r="Y796" s="327"/>
      <c r="Z796" s="597"/>
      <c r="AA796" s="327"/>
      <c r="AB796" s="596"/>
      <c r="AC796" s="327"/>
      <c r="AD796" s="577"/>
      <c r="AE796" s="327"/>
      <c r="AF796" s="596"/>
      <c r="AG796" s="327"/>
      <c r="AH796" s="577"/>
      <c r="AI796" s="327"/>
      <c r="AJ796" s="596"/>
      <c r="AK796" s="327"/>
      <c r="AL796" s="598"/>
      <c r="AM796" s="326"/>
      <c r="AN796" s="326"/>
      <c r="AO796" s="326"/>
      <c r="AP796" s="326"/>
      <c r="AQ796" s="326"/>
      <c r="AR796" s="326"/>
      <c r="AS796" s="326"/>
      <c r="AT796" s="326"/>
      <c r="AU796" s="326"/>
      <c r="AV796" s="326"/>
      <c r="AW796" s="326"/>
      <c r="AX796" s="326"/>
      <c r="AY796" s="326"/>
      <c r="AZ796" s="326"/>
      <c r="BA796" s="326"/>
      <c r="BB796" s="327"/>
    </row>
    <row r="797" spans="1:54" ht="15.75" customHeight="1" x14ac:dyDescent="0.25">
      <c r="A797" s="11">
        <f t="shared" si="3"/>
        <v>784</v>
      </c>
      <c r="B797" s="504" t="str">
        <f>'refer admin discharge'!B793</f>
        <v>x</v>
      </c>
      <c r="C797" s="327"/>
      <c r="D797" s="505" t="str">
        <f>'refer admin discharge'!D793</f>
        <v>xx</v>
      </c>
      <c r="E797" s="327"/>
      <c r="F797" s="606" t="str">
        <f>'refer admin discharge'!H793</f>
        <v>00/00/0000</v>
      </c>
      <c r="G797" s="327"/>
      <c r="H797" s="594"/>
      <c r="I797" s="327"/>
      <c r="J797" s="605"/>
      <c r="K797" s="327"/>
      <c r="L797" s="594"/>
      <c r="M797" s="327"/>
      <c r="N797" s="575"/>
      <c r="O797" s="327"/>
      <c r="P797" s="594"/>
      <c r="Q797" s="327"/>
      <c r="R797" s="575"/>
      <c r="S797" s="327"/>
      <c r="T797" s="594"/>
      <c r="U797" s="327"/>
      <c r="V797" s="595" t="str">
        <f>'refer admin discharge'!H798</f>
        <v>00/00/0000</v>
      </c>
      <c r="W797" s="327"/>
      <c r="X797" s="577"/>
      <c r="Y797" s="327"/>
      <c r="Z797" s="604"/>
      <c r="AA797" s="327"/>
      <c r="AB797" s="577"/>
      <c r="AC797" s="327"/>
      <c r="AD797" s="576"/>
      <c r="AE797" s="327"/>
      <c r="AF797" s="577"/>
      <c r="AG797" s="327"/>
      <c r="AH797" s="576"/>
      <c r="AI797" s="327"/>
      <c r="AJ797" s="577"/>
      <c r="AK797" s="327"/>
      <c r="AL797" s="602"/>
      <c r="AM797" s="326"/>
      <c r="AN797" s="326"/>
      <c r="AO797" s="326"/>
      <c r="AP797" s="326"/>
      <c r="AQ797" s="326"/>
      <c r="AR797" s="326"/>
      <c r="AS797" s="326"/>
      <c r="AT797" s="326"/>
      <c r="AU797" s="326"/>
      <c r="AV797" s="326"/>
      <c r="AW797" s="326"/>
      <c r="AX797" s="326"/>
      <c r="AY797" s="326"/>
      <c r="AZ797" s="326"/>
      <c r="BA797" s="326"/>
      <c r="BB797" s="327"/>
    </row>
    <row r="798" spans="1:54" ht="15.75" customHeight="1" x14ac:dyDescent="0.25">
      <c r="A798" s="11">
        <f t="shared" si="3"/>
        <v>785</v>
      </c>
      <c r="B798" s="570" t="str">
        <f>'refer admin discharge'!B794</f>
        <v>x</v>
      </c>
      <c r="C798" s="327"/>
      <c r="D798" s="599" t="str">
        <f>'refer admin discharge'!D794</f>
        <v>xx</v>
      </c>
      <c r="E798" s="327"/>
      <c r="F798" s="600" t="str">
        <f>'refer admin discharge'!H794</f>
        <v>00/00/0000</v>
      </c>
      <c r="G798" s="327"/>
      <c r="H798" s="574"/>
      <c r="I798" s="327"/>
      <c r="J798" s="601"/>
      <c r="K798" s="327"/>
      <c r="L798" s="574"/>
      <c r="M798" s="327"/>
      <c r="N798" s="594"/>
      <c r="O798" s="327"/>
      <c r="P798" s="574"/>
      <c r="Q798" s="327"/>
      <c r="R798" s="594"/>
      <c r="S798" s="327"/>
      <c r="T798" s="574"/>
      <c r="U798" s="327"/>
      <c r="V798" s="595" t="str">
        <f>'refer admin discharge'!H799</f>
        <v>00/00/0000</v>
      </c>
      <c r="W798" s="327"/>
      <c r="X798" s="596"/>
      <c r="Y798" s="327"/>
      <c r="Z798" s="597"/>
      <c r="AA798" s="327"/>
      <c r="AB798" s="596"/>
      <c r="AC798" s="327"/>
      <c r="AD798" s="577"/>
      <c r="AE798" s="327"/>
      <c r="AF798" s="596"/>
      <c r="AG798" s="327"/>
      <c r="AH798" s="577"/>
      <c r="AI798" s="327"/>
      <c r="AJ798" s="596"/>
      <c r="AK798" s="327"/>
      <c r="AL798" s="598"/>
      <c r="AM798" s="326"/>
      <c r="AN798" s="326"/>
      <c r="AO798" s="326"/>
      <c r="AP798" s="326"/>
      <c r="AQ798" s="326"/>
      <c r="AR798" s="326"/>
      <c r="AS798" s="326"/>
      <c r="AT798" s="326"/>
      <c r="AU798" s="326"/>
      <c r="AV798" s="326"/>
      <c r="AW798" s="326"/>
      <c r="AX798" s="326"/>
      <c r="AY798" s="326"/>
      <c r="AZ798" s="326"/>
      <c r="BA798" s="326"/>
      <c r="BB798" s="327"/>
    </row>
    <row r="799" spans="1:54" ht="15.75" customHeight="1" x14ac:dyDescent="0.25">
      <c r="A799" s="11">
        <f t="shared" si="3"/>
        <v>786</v>
      </c>
      <c r="B799" s="504" t="str">
        <f>'refer admin discharge'!B795</f>
        <v>x</v>
      </c>
      <c r="C799" s="327"/>
      <c r="D799" s="505" t="str">
        <f>'refer admin discharge'!D795</f>
        <v>xx</v>
      </c>
      <c r="E799" s="327"/>
      <c r="F799" s="606" t="str">
        <f>'refer admin discharge'!H795</f>
        <v>00/00/0000</v>
      </c>
      <c r="G799" s="327"/>
      <c r="H799" s="594"/>
      <c r="I799" s="327"/>
      <c r="J799" s="605"/>
      <c r="K799" s="327"/>
      <c r="L799" s="594"/>
      <c r="M799" s="327"/>
      <c r="N799" s="575"/>
      <c r="O799" s="327"/>
      <c r="P799" s="594"/>
      <c r="Q799" s="327"/>
      <c r="R799" s="575"/>
      <c r="S799" s="327"/>
      <c r="T799" s="594"/>
      <c r="U799" s="327"/>
      <c r="V799" s="595" t="str">
        <f>'refer admin discharge'!H800</f>
        <v>00/00/0000</v>
      </c>
      <c r="W799" s="327"/>
      <c r="X799" s="577"/>
      <c r="Y799" s="327"/>
      <c r="Z799" s="604"/>
      <c r="AA799" s="327"/>
      <c r="AB799" s="577"/>
      <c r="AC799" s="327"/>
      <c r="AD799" s="576"/>
      <c r="AE799" s="327"/>
      <c r="AF799" s="577"/>
      <c r="AG799" s="327"/>
      <c r="AH799" s="576"/>
      <c r="AI799" s="327"/>
      <c r="AJ799" s="577"/>
      <c r="AK799" s="327"/>
      <c r="AL799" s="602"/>
      <c r="AM799" s="326"/>
      <c r="AN799" s="326"/>
      <c r="AO799" s="326"/>
      <c r="AP799" s="326"/>
      <c r="AQ799" s="326"/>
      <c r="AR799" s="326"/>
      <c r="AS799" s="326"/>
      <c r="AT799" s="326"/>
      <c r="AU799" s="326"/>
      <c r="AV799" s="326"/>
      <c r="AW799" s="326"/>
      <c r="AX799" s="326"/>
      <c r="AY799" s="326"/>
      <c r="AZ799" s="326"/>
      <c r="BA799" s="326"/>
      <c r="BB799" s="327"/>
    </row>
    <row r="800" spans="1:54" ht="15.75" customHeight="1" x14ac:dyDescent="0.25">
      <c r="A800" s="11">
        <f t="shared" si="3"/>
        <v>787</v>
      </c>
      <c r="B800" s="570" t="str">
        <f>'refer admin discharge'!B796</f>
        <v>x</v>
      </c>
      <c r="C800" s="327"/>
      <c r="D800" s="599" t="str">
        <f>'refer admin discharge'!D796</f>
        <v>xx</v>
      </c>
      <c r="E800" s="327"/>
      <c r="F800" s="600" t="str">
        <f>'refer admin discharge'!H796</f>
        <v>00/00/0000</v>
      </c>
      <c r="G800" s="327"/>
      <c r="H800" s="574"/>
      <c r="I800" s="327"/>
      <c r="J800" s="601"/>
      <c r="K800" s="327"/>
      <c r="L800" s="574"/>
      <c r="M800" s="327"/>
      <c r="N800" s="594"/>
      <c r="O800" s="327"/>
      <c r="P800" s="574"/>
      <c r="Q800" s="327"/>
      <c r="R800" s="594"/>
      <c r="S800" s="327"/>
      <c r="T800" s="574"/>
      <c r="U800" s="327"/>
      <c r="V800" s="595" t="str">
        <f>'refer admin discharge'!H801</f>
        <v>00/00/0000</v>
      </c>
      <c r="W800" s="327"/>
      <c r="X800" s="596"/>
      <c r="Y800" s="327"/>
      <c r="Z800" s="597"/>
      <c r="AA800" s="327"/>
      <c r="AB800" s="596"/>
      <c r="AC800" s="327"/>
      <c r="AD800" s="577"/>
      <c r="AE800" s="327"/>
      <c r="AF800" s="596"/>
      <c r="AG800" s="327"/>
      <c r="AH800" s="577"/>
      <c r="AI800" s="327"/>
      <c r="AJ800" s="596"/>
      <c r="AK800" s="327"/>
      <c r="AL800" s="598"/>
      <c r="AM800" s="326"/>
      <c r="AN800" s="326"/>
      <c r="AO800" s="326"/>
      <c r="AP800" s="326"/>
      <c r="AQ800" s="326"/>
      <c r="AR800" s="326"/>
      <c r="AS800" s="326"/>
      <c r="AT800" s="326"/>
      <c r="AU800" s="326"/>
      <c r="AV800" s="326"/>
      <c r="AW800" s="326"/>
      <c r="AX800" s="326"/>
      <c r="AY800" s="326"/>
      <c r="AZ800" s="326"/>
      <c r="BA800" s="326"/>
      <c r="BB800" s="327"/>
    </row>
    <row r="801" spans="1:54" ht="15.75" customHeight="1" x14ac:dyDescent="0.25">
      <c r="A801" s="11">
        <f t="shared" si="3"/>
        <v>788</v>
      </c>
      <c r="B801" s="504" t="str">
        <f>'refer admin discharge'!B797</f>
        <v>x</v>
      </c>
      <c r="C801" s="327"/>
      <c r="D801" s="505" t="str">
        <f>'refer admin discharge'!D797</f>
        <v>xx</v>
      </c>
      <c r="E801" s="327"/>
      <c r="F801" s="606" t="str">
        <f>'refer admin discharge'!H797</f>
        <v>00/00/0000</v>
      </c>
      <c r="G801" s="327"/>
      <c r="H801" s="594"/>
      <c r="I801" s="327"/>
      <c r="J801" s="605"/>
      <c r="K801" s="327"/>
      <c r="L801" s="594"/>
      <c r="M801" s="327"/>
      <c r="N801" s="575"/>
      <c r="O801" s="327"/>
      <c r="P801" s="594"/>
      <c r="Q801" s="327"/>
      <c r="R801" s="575"/>
      <c r="S801" s="327"/>
      <c r="T801" s="594"/>
      <c r="U801" s="327"/>
      <c r="V801" s="595" t="str">
        <f>'refer admin discharge'!H802</f>
        <v>00/00/0000</v>
      </c>
      <c r="W801" s="327"/>
      <c r="X801" s="577"/>
      <c r="Y801" s="327"/>
      <c r="Z801" s="604"/>
      <c r="AA801" s="327"/>
      <c r="AB801" s="577"/>
      <c r="AC801" s="327"/>
      <c r="AD801" s="576"/>
      <c r="AE801" s="327"/>
      <c r="AF801" s="577"/>
      <c r="AG801" s="327"/>
      <c r="AH801" s="576"/>
      <c r="AI801" s="327"/>
      <c r="AJ801" s="577"/>
      <c r="AK801" s="327"/>
      <c r="AL801" s="602"/>
      <c r="AM801" s="326"/>
      <c r="AN801" s="326"/>
      <c r="AO801" s="326"/>
      <c r="AP801" s="326"/>
      <c r="AQ801" s="326"/>
      <c r="AR801" s="326"/>
      <c r="AS801" s="326"/>
      <c r="AT801" s="326"/>
      <c r="AU801" s="326"/>
      <c r="AV801" s="326"/>
      <c r="AW801" s="326"/>
      <c r="AX801" s="326"/>
      <c r="AY801" s="326"/>
      <c r="AZ801" s="326"/>
      <c r="BA801" s="326"/>
      <c r="BB801" s="327"/>
    </row>
    <row r="802" spans="1:54" ht="15.75" customHeight="1" x14ac:dyDescent="0.25">
      <c r="A802" s="11">
        <f t="shared" si="3"/>
        <v>789</v>
      </c>
      <c r="B802" s="570" t="str">
        <f>'refer admin discharge'!B798</f>
        <v>x</v>
      </c>
      <c r="C802" s="327"/>
      <c r="D802" s="599" t="str">
        <f>'refer admin discharge'!D798</f>
        <v>xx</v>
      </c>
      <c r="E802" s="327"/>
      <c r="F802" s="600" t="str">
        <f>'refer admin discharge'!H798</f>
        <v>00/00/0000</v>
      </c>
      <c r="G802" s="327"/>
      <c r="H802" s="574"/>
      <c r="I802" s="327"/>
      <c r="J802" s="601"/>
      <c r="K802" s="327"/>
      <c r="L802" s="574"/>
      <c r="M802" s="327"/>
      <c r="N802" s="594"/>
      <c r="O802" s="327"/>
      <c r="P802" s="574"/>
      <c r="Q802" s="327"/>
      <c r="R802" s="594"/>
      <c r="S802" s="327"/>
      <c r="T802" s="574"/>
      <c r="U802" s="327"/>
      <c r="V802" s="595" t="str">
        <f>'refer admin discharge'!H803</f>
        <v>00/00/0000</v>
      </c>
      <c r="W802" s="327"/>
      <c r="X802" s="596"/>
      <c r="Y802" s="327"/>
      <c r="Z802" s="597"/>
      <c r="AA802" s="327"/>
      <c r="AB802" s="596"/>
      <c r="AC802" s="327"/>
      <c r="AD802" s="577"/>
      <c r="AE802" s="327"/>
      <c r="AF802" s="596"/>
      <c r="AG802" s="327"/>
      <c r="AH802" s="577"/>
      <c r="AI802" s="327"/>
      <c r="AJ802" s="596"/>
      <c r="AK802" s="327"/>
      <c r="AL802" s="598"/>
      <c r="AM802" s="326"/>
      <c r="AN802" s="326"/>
      <c r="AO802" s="326"/>
      <c r="AP802" s="326"/>
      <c r="AQ802" s="326"/>
      <c r="AR802" s="326"/>
      <c r="AS802" s="326"/>
      <c r="AT802" s="326"/>
      <c r="AU802" s="326"/>
      <c r="AV802" s="326"/>
      <c r="AW802" s="326"/>
      <c r="AX802" s="326"/>
      <c r="AY802" s="326"/>
      <c r="AZ802" s="326"/>
      <c r="BA802" s="326"/>
      <c r="BB802" s="327"/>
    </row>
    <row r="803" spans="1:54" ht="15.75" customHeight="1" x14ac:dyDescent="0.25">
      <c r="A803" s="11">
        <f t="shared" si="3"/>
        <v>790</v>
      </c>
      <c r="B803" s="504" t="str">
        <f>'refer admin discharge'!B799</f>
        <v>x</v>
      </c>
      <c r="C803" s="327"/>
      <c r="D803" s="505" t="str">
        <f>'refer admin discharge'!D799</f>
        <v>xx</v>
      </c>
      <c r="E803" s="327"/>
      <c r="F803" s="606" t="str">
        <f>'refer admin discharge'!H799</f>
        <v>00/00/0000</v>
      </c>
      <c r="G803" s="327"/>
      <c r="H803" s="594"/>
      <c r="I803" s="327"/>
      <c r="J803" s="605"/>
      <c r="K803" s="327"/>
      <c r="L803" s="594"/>
      <c r="M803" s="327"/>
      <c r="N803" s="575"/>
      <c r="O803" s="327"/>
      <c r="P803" s="594"/>
      <c r="Q803" s="327"/>
      <c r="R803" s="575"/>
      <c r="S803" s="327"/>
      <c r="T803" s="594"/>
      <c r="U803" s="327"/>
      <c r="V803" s="595" t="str">
        <f>'refer admin discharge'!H804</f>
        <v>00/00/0000</v>
      </c>
      <c r="W803" s="327"/>
      <c r="X803" s="577"/>
      <c r="Y803" s="327"/>
      <c r="Z803" s="604"/>
      <c r="AA803" s="327"/>
      <c r="AB803" s="577"/>
      <c r="AC803" s="327"/>
      <c r="AD803" s="576"/>
      <c r="AE803" s="327"/>
      <c r="AF803" s="577"/>
      <c r="AG803" s="327"/>
      <c r="AH803" s="576"/>
      <c r="AI803" s="327"/>
      <c r="AJ803" s="577"/>
      <c r="AK803" s="327"/>
      <c r="AL803" s="602"/>
      <c r="AM803" s="326"/>
      <c r="AN803" s="326"/>
      <c r="AO803" s="326"/>
      <c r="AP803" s="326"/>
      <c r="AQ803" s="326"/>
      <c r="AR803" s="326"/>
      <c r="AS803" s="326"/>
      <c r="AT803" s="326"/>
      <c r="AU803" s="326"/>
      <c r="AV803" s="326"/>
      <c r="AW803" s="326"/>
      <c r="AX803" s="326"/>
      <c r="AY803" s="326"/>
      <c r="AZ803" s="326"/>
      <c r="BA803" s="326"/>
      <c r="BB803" s="327"/>
    </row>
    <row r="804" spans="1:54" ht="15.75" customHeight="1" x14ac:dyDescent="0.25">
      <c r="A804" s="11">
        <f t="shared" si="3"/>
        <v>791</v>
      </c>
      <c r="B804" s="570" t="str">
        <f>'refer admin discharge'!B800</f>
        <v>x</v>
      </c>
      <c r="C804" s="327"/>
      <c r="D804" s="599" t="str">
        <f>'refer admin discharge'!D800</f>
        <v>xx</v>
      </c>
      <c r="E804" s="327"/>
      <c r="F804" s="600" t="str">
        <f>'refer admin discharge'!H800</f>
        <v>00/00/0000</v>
      </c>
      <c r="G804" s="327"/>
      <c r="H804" s="574"/>
      <c r="I804" s="327"/>
      <c r="J804" s="601"/>
      <c r="K804" s="327"/>
      <c r="L804" s="574"/>
      <c r="M804" s="327"/>
      <c r="N804" s="594"/>
      <c r="O804" s="327"/>
      <c r="P804" s="574"/>
      <c r="Q804" s="327"/>
      <c r="R804" s="594"/>
      <c r="S804" s="327"/>
      <c r="T804" s="574"/>
      <c r="U804" s="327"/>
      <c r="V804" s="595" t="str">
        <f>'refer admin discharge'!H805</f>
        <v>00/00/0000</v>
      </c>
      <c r="W804" s="327"/>
      <c r="X804" s="596"/>
      <c r="Y804" s="327"/>
      <c r="Z804" s="597"/>
      <c r="AA804" s="327"/>
      <c r="AB804" s="596"/>
      <c r="AC804" s="327"/>
      <c r="AD804" s="577"/>
      <c r="AE804" s="327"/>
      <c r="AF804" s="596"/>
      <c r="AG804" s="327"/>
      <c r="AH804" s="577"/>
      <c r="AI804" s="327"/>
      <c r="AJ804" s="596"/>
      <c r="AK804" s="327"/>
      <c r="AL804" s="598"/>
      <c r="AM804" s="326"/>
      <c r="AN804" s="326"/>
      <c r="AO804" s="326"/>
      <c r="AP804" s="326"/>
      <c r="AQ804" s="326"/>
      <c r="AR804" s="326"/>
      <c r="AS804" s="326"/>
      <c r="AT804" s="326"/>
      <c r="AU804" s="326"/>
      <c r="AV804" s="326"/>
      <c r="AW804" s="326"/>
      <c r="AX804" s="326"/>
      <c r="AY804" s="326"/>
      <c r="AZ804" s="326"/>
      <c r="BA804" s="326"/>
      <c r="BB804" s="327"/>
    </row>
    <row r="805" spans="1:54" ht="15.75" customHeight="1" x14ac:dyDescent="0.25">
      <c r="A805" s="11">
        <f t="shared" si="3"/>
        <v>792</v>
      </c>
      <c r="B805" s="504" t="str">
        <f>'refer admin discharge'!B801</f>
        <v>x</v>
      </c>
      <c r="C805" s="327"/>
      <c r="D805" s="505" t="str">
        <f>'refer admin discharge'!D801</f>
        <v>xx</v>
      </c>
      <c r="E805" s="327"/>
      <c r="F805" s="606" t="str">
        <f>'refer admin discharge'!H801</f>
        <v>00/00/0000</v>
      </c>
      <c r="G805" s="327"/>
      <c r="H805" s="594"/>
      <c r="I805" s="327"/>
      <c r="J805" s="605"/>
      <c r="K805" s="327"/>
      <c r="L805" s="594"/>
      <c r="M805" s="327"/>
      <c r="N805" s="575"/>
      <c r="O805" s="327"/>
      <c r="P805" s="594"/>
      <c r="Q805" s="327"/>
      <c r="R805" s="575"/>
      <c r="S805" s="327"/>
      <c r="T805" s="594"/>
      <c r="U805" s="327"/>
      <c r="V805" s="595" t="str">
        <f>'refer admin discharge'!H806</f>
        <v>00/00/0000</v>
      </c>
      <c r="W805" s="327"/>
      <c r="X805" s="577"/>
      <c r="Y805" s="327"/>
      <c r="Z805" s="604"/>
      <c r="AA805" s="327"/>
      <c r="AB805" s="577"/>
      <c r="AC805" s="327"/>
      <c r="AD805" s="576"/>
      <c r="AE805" s="327"/>
      <c r="AF805" s="577"/>
      <c r="AG805" s="327"/>
      <c r="AH805" s="576"/>
      <c r="AI805" s="327"/>
      <c r="AJ805" s="577"/>
      <c r="AK805" s="327"/>
      <c r="AL805" s="602"/>
      <c r="AM805" s="326"/>
      <c r="AN805" s="326"/>
      <c r="AO805" s="326"/>
      <c r="AP805" s="326"/>
      <c r="AQ805" s="326"/>
      <c r="AR805" s="326"/>
      <c r="AS805" s="326"/>
      <c r="AT805" s="326"/>
      <c r="AU805" s="326"/>
      <c r="AV805" s="326"/>
      <c r="AW805" s="326"/>
      <c r="AX805" s="326"/>
      <c r="AY805" s="326"/>
      <c r="AZ805" s="326"/>
      <c r="BA805" s="326"/>
      <c r="BB805" s="327"/>
    </row>
    <row r="806" spans="1:54" ht="15.75" customHeight="1" x14ac:dyDescent="0.25">
      <c r="A806" s="11">
        <f t="shared" si="3"/>
        <v>793</v>
      </c>
      <c r="B806" s="570" t="str">
        <f>'refer admin discharge'!B802</f>
        <v>x</v>
      </c>
      <c r="C806" s="327"/>
      <c r="D806" s="599" t="str">
        <f>'refer admin discharge'!D802</f>
        <v>xx</v>
      </c>
      <c r="E806" s="327"/>
      <c r="F806" s="600" t="str">
        <f>'refer admin discharge'!H802</f>
        <v>00/00/0000</v>
      </c>
      <c r="G806" s="327"/>
      <c r="H806" s="574"/>
      <c r="I806" s="327"/>
      <c r="J806" s="601"/>
      <c r="K806" s="327"/>
      <c r="L806" s="574"/>
      <c r="M806" s="327"/>
      <c r="N806" s="594"/>
      <c r="O806" s="327"/>
      <c r="P806" s="574"/>
      <c r="Q806" s="327"/>
      <c r="R806" s="594"/>
      <c r="S806" s="327"/>
      <c r="T806" s="574"/>
      <c r="U806" s="327"/>
      <c r="V806" s="595" t="str">
        <f>'refer admin discharge'!H807</f>
        <v>00/00/0000</v>
      </c>
      <c r="W806" s="327"/>
      <c r="X806" s="596"/>
      <c r="Y806" s="327"/>
      <c r="Z806" s="597"/>
      <c r="AA806" s="327"/>
      <c r="AB806" s="596"/>
      <c r="AC806" s="327"/>
      <c r="AD806" s="577"/>
      <c r="AE806" s="327"/>
      <c r="AF806" s="596"/>
      <c r="AG806" s="327"/>
      <c r="AH806" s="577"/>
      <c r="AI806" s="327"/>
      <c r="AJ806" s="596"/>
      <c r="AK806" s="327"/>
      <c r="AL806" s="598"/>
      <c r="AM806" s="326"/>
      <c r="AN806" s="326"/>
      <c r="AO806" s="326"/>
      <c r="AP806" s="326"/>
      <c r="AQ806" s="326"/>
      <c r="AR806" s="326"/>
      <c r="AS806" s="326"/>
      <c r="AT806" s="326"/>
      <c r="AU806" s="326"/>
      <c r="AV806" s="326"/>
      <c r="AW806" s="326"/>
      <c r="AX806" s="326"/>
      <c r="AY806" s="326"/>
      <c r="AZ806" s="326"/>
      <c r="BA806" s="326"/>
      <c r="BB806" s="327"/>
    </row>
    <row r="807" spans="1:54" ht="15.75" customHeight="1" x14ac:dyDescent="0.25">
      <c r="A807" s="11">
        <f t="shared" si="3"/>
        <v>794</v>
      </c>
      <c r="B807" s="504" t="str">
        <f>'refer admin discharge'!B803</f>
        <v>x</v>
      </c>
      <c r="C807" s="327"/>
      <c r="D807" s="505" t="str">
        <f>'refer admin discharge'!D803</f>
        <v>xx</v>
      </c>
      <c r="E807" s="327"/>
      <c r="F807" s="606" t="str">
        <f>'refer admin discharge'!H803</f>
        <v>00/00/0000</v>
      </c>
      <c r="G807" s="327"/>
      <c r="H807" s="594"/>
      <c r="I807" s="327"/>
      <c r="J807" s="605"/>
      <c r="K807" s="327"/>
      <c r="L807" s="594"/>
      <c r="M807" s="327"/>
      <c r="N807" s="575"/>
      <c r="O807" s="327"/>
      <c r="P807" s="594"/>
      <c r="Q807" s="327"/>
      <c r="R807" s="575"/>
      <c r="S807" s="327"/>
      <c r="T807" s="594"/>
      <c r="U807" s="327"/>
      <c r="V807" s="595" t="str">
        <f>'refer admin discharge'!H808</f>
        <v>00/00/0000</v>
      </c>
      <c r="W807" s="327"/>
      <c r="X807" s="577"/>
      <c r="Y807" s="327"/>
      <c r="Z807" s="604"/>
      <c r="AA807" s="327"/>
      <c r="AB807" s="577"/>
      <c r="AC807" s="327"/>
      <c r="AD807" s="576"/>
      <c r="AE807" s="327"/>
      <c r="AF807" s="577"/>
      <c r="AG807" s="327"/>
      <c r="AH807" s="576"/>
      <c r="AI807" s="327"/>
      <c r="AJ807" s="577"/>
      <c r="AK807" s="327"/>
      <c r="AL807" s="602"/>
      <c r="AM807" s="326"/>
      <c r="AN807" s="326"/>
      <c r="AO807" s="326"/>
      <c r="AP807" s="326"/>
      <c r="AQ807" s="326"/>
      <c r="AR807" s="326"/>
      <c r="AS807" s="326"/>
      <c r="AT807" s="326"/>
      <c r="AU807" s="326"/>
      <c r="AV807" s="326"/>
      <c r="AW807" s="326"/>
      <c r="AX807" s="326"/>
      <c r="AY807" s="326"/>
      <c r="AZ807" s="326"/>
      <c r="BA807" s="326"/>
      <c r="BB807" s="327"/>
    </row>
    <row r="808" spans="1:54" ht="15.75" customHeight="1" x14ac:dyDescent="0.25">
      <c r="A808" s="11">
        <f t="shared" si="3"/>
        <v>795</v>
      </c>
      <c r="B808" s="570" t="str">
        <f>'refer admin discharge'!B804</f>
        <v>x</v>
      </c>
      <c r="C808" s="327"/>
      <c r="D808" s="599" t="str">
        <f>'refer admin discharge'!D804</f>
        <v>xx</v>
      </c>
      <c r="E808" s="327"/>
      <c r="F808" s="600" t="str">
        <f>'refer admin discharge'!H804</f>
        <v>00/00/0000</v>
      </c>
      <c r="G808" s="327"/>
      <c r="H808" s="574"/>
      <c r="I808" s="327"/>
      <c r="J808" s="601"/>
      <c r="K808" s="327"/>
      <c r="L808" s="574"/>
      <c r="M808" s="327"/>
      <c r="N808" s="594"/>
      <c r="O808" s="327"/>
      <c r="P808" s="574"/>
      <c r="Q808" s="327"/>
      <c r="R808" s="594"/>
      <c r="S808" s="327"/>
      <c r="T808" s="574"/>
      <c r="U808" s="327"/>
      <c r="V808" s="595" t="str">
        <f>'refer admin discharge'!H809</f>
        <v>00/00/0000</v>
      </c>
      <c r="W808" s="327"/>
      <c r="X808" s="596"/>
      <c r="Y808" s="327"/>
      <c r="Z808" s="597"/>
      <c r="AA808" s="327"/>
      <c r="AB808" s="596"/>
      <c r="AC808" s="327"/>
      <c r="AD808" s="577"/>
      <c r="AE808" s="327"/>
      <c r="AF808" s="596"/>
      <c r="AG808" s="327"/>
      <c r="AH808" s="577"/>
      <c r="AI808" s="327"/>
      <c r="AJ808" s="596"/>
      <c r="AK808" s="327"/>
      <c r="AL808" s="598"/>
      <c r="AM808" s="326"/>
      <c r="AN808" s="326"/>
      <c r="AO808" s="326"/>
      <c r="AP808" s="326"/>
      <c r="AQ808" s="326"/>
      <c r="AR808" s="326"/>
      <c r="AS808" s="326"/>
      <c r="AT808" s="326"/>
      <c r="AU808" s="326"/>
      <c r="AV808" s="326"/>
      <c r="AW808" s="326"/>
      <c r="AX808" s="326"/>
      <c r="AY808" s="326"/>
      <c r="AZ808" s="326"/>
      <c r="BA808" s="326"/>
      <c r="BB808" s="327"/>
    </row>
    <row r="809" spans="1:54" ht="15.75" customHeight="1" x14ac:dyDescent="0.25">
      <c r="A809" s="11">
        <f t="shared" si="3"/>
        <v>796</v>
      </c>
      <c r="B809" s="504" t="str">
        <f>'refer admin discharge'!B805</f>
        <v>x</v>
      </c>
      <c r="C809" s="327"/>
      <c r="D809" s="505" t="str">
        <f>'refer admin discharge'!D805</f>
        <v>xx</v>
      </c>
      <c r="E809" s="327"/>
      <c r="F809" s="606" t="str">
        <f>'refer admin discharge'!H805</f>
        <v>00/00/0000</v>
      </c>
      <c r="G809" s="327"/>
      <c r="H809" s="594"/>
      <c r="I809" s="327"/>
      <c r="J809" s="605"/>
      <c r="K809" s="327"/>
      <c r="L809" s="594"/>
      <c r="M809" s="327"/>
      <c r="N809" s="575"/>
      <c r="O809" s="327"/>
      <c r="P809" s="594"/>
      <c r="Q809" s="327"/>
      <c r="R809" s="575"/>
      <c r="S809" s="327"/>
      <c r="T809" s="594"/>
      <c r="U809" s="327"/>
      <c r="V809" s="595" t="str">
        <f>'refer admin discharge'!H810</f>
        <v>00/00/0000</v>
      </c>
      <c r="W809" s="327"/>
      <c r="X809" s="577"/>
      <c r="Y809" s="327"/>
      <c r="Z809" s="604"/>
      <c r="AA809" s="327"/>
      <c r="AB809" s="577"/>
      <c r="AC809" s="327"/>
      <c r="AD809" s="576"/>
      <c r="AE809" s="327"/>
      <c r="AF809" s="577"/>
      <c r="AG809" s="327"/>
      <c r="AH809" s="576"/>
      <c r="AI809" s="327"/>
      <c r="AJ809" s="577"/>
      <c r="AK809" s="327"/>
      <c r="AL809" s="602"/>
      <c r="AM809" s="326"/>
      <c r="AN809" s="326"/>
      <c r="AO809" s="326"/>
      <c r="AP809" s="326"/>
      <c r="AQ809" s="326"/>
      <c r="AR809" s="326"/>
      <c r="AS809" s="326"/>
      <c r="AT809" s="326"/>
      <c r="AU809" s="326"/>
      <c r="AV809" s="326"/>
      <c r="AW809" s="326"/>
      <c r="AX809" s="326"/>
      <c r="AY809" s="326"/>
      <c r="AZ809" s="326"/>
      <c r="BA809" s="326"/>
      <c r="BB809" s="327"/>
    </row>
    <row r="810" spans="1:54" ht="15.75" customHeight="1" x14ac:dyDescent="0.25">
      <c r="A810" s="11">
        <f t="shared" si="3"/>
        <v>797</v>
      </c>
      <c r="B810" s="570" t="str">
        <f>'refer admin discharge'!B806</f>
        <v>x</v>
      </c>
      <c r="C810" s="327"/>
      <c r="D810" s="599" t="str">
        <f>'refer admin discharge'!D806</f>
        <v>xx</v>
      </c>
      <c r="E810" s="327"/>
      <c r="F810" s="600" t="str">
        <f>'refer admin discharge'!H806</f>
        <v>00/00/0000</v>
      </c>
      <c r="G810" s="327"/>
      <c r="H810" s="574"/>
      <c r="I810" s="327"/>
      <c r="J810" s="601"/>
      <c r="K810" s="327"/>
      <c r="L810" s="574"/>
      <c r="M810" s="327"/>
      <c r="N810" s="594"/>
      <c r="O810" s="327"/>
      <c r="P810" s="574"/>
      <c r="Q810" s="327"/>
      <c r="R810" s="594"/>
      <c r="S810" s="327"/>
      <c r="T810" s="574"/>
      <c r="U810" s="327"/>
      <c r="V810" s="595" t="str">
        <f>'refer admin discharge'!H811</f>
        <v>00/00/0000</v>
      </c>
      <c r="W810" s="327"/>
      <c r="X810" s="596"/>
      <c r="Y810" s="327"/>
      <c r="Z810" s="597"/>
      <c r="AA810" s="327"/>
      <c r="AB810" s="596"/>
      <c r="AC810" s="327"/>
      <c r="AD810" s="577"/>
      <c r="AE810" s="327"/>
      <c r="AF810" s="596"/>
      <c r="AG810" s="327"/>
      <c r="AH810" s="577"/>
      <c r="AI810" s="327"/>
      <c r="AJ810" s="596"/>
      <c r="AK810" s="327"/>
      <c r="AL810" s="598"/>
      <c r="AM810" s="326"/>
      <c r="AN810" s="326"/>
      <c r="AO810" s="326"/>
      <c r="AP810" s="326"/>
      <c r="AQ810" s="326"/>
      <c r="AR810" s="326"/>
      <c r="AS810" s="326"/>
      <c r="AT810" s="326"/>
      <c r="AU810" s="326"/>
      <c r="AV810" s="326"/>
      <c r="AW810" s="326"/>
      <c r="AX810" s="326"/>
      <c r="AY810" s="326"/>
      <c r="AZ810" s="326"/>
      <c r="BA810" s="326"/>
      <c r="BB810" s="327"/>
    </row>
    <row r="811" spans="1:54" ht="15.75" customHeight="1" x14ac:dyDescent="0.25">
      <c r="A811" s="11">
        <f t="shared" si="3"/>
        <v>798</v>
      </c>
      <c r="B811" s="504" t="str">
        <f>'refer admin discharge'!B807</f>
        <v>x</v>
      </c>
      <c r="C811" s="327"/>
      <c r="D811" s="505" t="str">
        <f>'refer admin discharge'!D807</f>
        <v>xx</v>
      </c>
      <c r="E811" s="327"/>
      <c r="F811" s="606" t="str">
        <f>'refer admin discharge'!H807</f>
        <v>00/00/0000</v>
      </c>
      <c r="G811" s="327"/>
      <c r="H811" s="594"/>
      <c r="I811" s="327"/>
      <c r="J811" s="605"/>
      <c r="K811" s="327"/>
      <c r="L811" s="594"/>
      <c r="M811" s="327"/>
      <c r="N811" s="575"/>
      <c r="O811" s="327"/>
      <c r="P811" s="594"/>
      <c r="Q811" s="327"/>
      <c r="R811" s="575"/>
      <c r="S811" s="327"/>
      <c r="T811" s="594"/>
      <c r="U811" s="327"/>
      <c r="V811" s="595" t="str">
        <f>'refer admin discharge'!H812</f>
        <v>00/00/0000</v>
      </c>
      <c r="W811" s="327"/>
      <c r="X811" s="577"/>
      <c r="Y811" s="327"/>
      <c r="Z811" s="604"/>
      <c r="AA811" s="327"/>
      <c r="AB811" s="577"/>
      <c r="AC811" s="327"/>
      <c r="AD811" s="576"/>
      <c r="AE811" s="327"/>
      <c r="AF811" s="577"/>
      <c r="AG811" s="327"/>
      <c r="AH811" s="576"/>
      <c r="AI811" s="327"/>
      <c r="AJ811" s="577"/>
      <c r="AK811" s="327"/>
      <c r="AL811" s="602"/>
      <c r="AM811" s="326"/>
      <c r="AN811" s="326"/>
      <c r="AO811" s="326"/>
      <c r="AP811" s="326"/>
      <c r="AQ811" s="326"/>
      <c r="AR811" s="326"/>
      <c r="AS811" s="326"/>
      <c r="AT811" s="326"/>
      <c r="AU811" s="326"/>
      <c r="AV811" s="326"/>
      <c r="AW811" s="326"/>
      <c r="AX811" s="326"/>
      <c r="AY811" s="326"/>
      <c r="AZ811" s="326"/>
      <c r="BA811" s="326"/>
      <c r="BB811" s="327"/>
    </row>
    <row r="812" spans="1:54" ht="15.75" customHeight="1" x14ac:dyDescent="0.25">
      <c r="A812" s="11">
        <f t="shared" si="3"/>
        <v>799</v>
      </c>
      <c r="B812" s="570" t="str">
        <f>'refer admin discharge'!B808</f>
        <v>x</v>
      </c>
      <c r="C812" s="327"/>
      <c r="D812" s="599" t="str">
        <f>'refer admin discharge'!D808</f>
        <v>xx</v>
      </c>
      <c r="E812" s="327"/>
      <c r="F812" s="600" t="str">
        <f>'refer admin discharge'!H808</f>
        <v>00/00/0000</v>
      </c>
      <c r="G812" s="327"/>
      <c r="H812" s="574"/>
      <c r="I812" s="327"/>
      <c r="J812" s="601"/>
      <c r="K812" s="327"/>
      <c r="L812" s="574"/>
      <c r="M812" s="327"/>
      <c r="N812" s="594"/>
      <c r="O812" s="327"/>
      <c r="P812" s="574"/>
      <c r="Q812" s="327"/>
      <c r="R812" s="594"/>
      <c r="S812" s="327"/>
      <c r="T812" s="574"/>
      <c r="U812" s="327"/>
      <c r="V812" s="595" t="str">
        <f>'refer admin discharge'!H813</f>
        <v>00/00/0000</v>
      </c>
      <c r="W812" s="327"/>
      <c r="X812" s="596"/>
      <c r="Y812" s="327"/>
      <c r="Z812" s="597"/>
      <c r="AA812" s="327"/>
      <c r="AB812" s="596"/>
      <c r="AC812" s="327"/>
      <c r="AD812" s="577"/>
      <c r="AE812" s="327"/>
      <c r="AF812" s="596"/>
      <c r="AG812" s="327"/>
      <c r="AH812" s="577"/>
      <c r="AI812" s="327"/>
      <c r="AJ812" s="596"/>
      <c r="AK812" s="327"/>
      <c r="AL812" s="598"/>
      <c r="AM812" s="326"/>
      <c r="AN812" s="326"/>
      <c r="AO812" s="326"/>
      <c r="AP812" s="326"/>
      <c r="AQ812" s="326"/>
      <c r="AR812" s="326"/>
      <c r="AS812" s="326"/>
      <c r="AT812" s="326"/>
      <c r="AU812" s="326"/>
      <c r="AV812" s="326"/>
      <c r="AW812" s="326"/>
      <c r="AX812" s="326"/>
      <c r="AY812" s="326"/>
      <c r="AZ812" s="326"/>
      <c r="BA812" s="326"/>
      <c r="BB812" s="327"/>
    </row>
    <row r="813" spans="1:54" ht="15.75" customHeight="1" x14ac:dyDescent="0.25">
      <c r="A813" s="11">
        <f t="shared" si="3"/>
        <v>800</v>
      </c>
      <c r="B813" s="504" t="str">
        <f>'refer admin discharge'!B809</f>
        <v>x</v>
      </c>
      <c r="C813" s="327"/>
      <c r="D813" s="505" t="str">
        <f>'refer admin discharge'!D809</f>
        <v>xx</v>
      </c>
      <c r="E813" s="327"/>
      <c r="F813" s="606" t="str">
        <f>'refer admin discharge'!H809</f>
        <v>00/00/0000</v>
      </c>
      <c r="G813" s="327"/>
      <c r="H813" s="594"/>
      <c r="I813" s="327"/>
      <c r="J813" s="605"/>
      <c r="K813" s="327"/>
      <c r="L813" s="594"/>
      <c r="M813" s="327"/>
      <c r="N813" s="575"/>
      <c r="O813" s="327"/>
      <c r="P813" s="594"/>
      <c r="Q813" s="327"/>
      <c r="R813" s="575"/>
      <c r="S813" s="327"/>
      <c r="T813" s="594"/>
      <c r="U813" s="327"/>
      <c r="V813" s="595" t="str">
        <f>'refer admin discharge'!H814</f>
        <v>00/00/0000</v>
      </c>
      <c r="W813" s="327"/>
      <c r="X813" s="577"/>
      <c r="Y813" s="327"/>
      <c r="Z813" s="604"/>
      <c r="AA813" s="327"/>
      <c r="AB813" s="577"/>
      <c r="AC813" s="327"/>
      <c r="AD813" s="576"/>
      <c r="AE813" s="327"/>
      <c r="AF813" s="577"/>
      <c r="AG813" s="327"/>
      <c r="AH813" s="576"/>
      <c r="AI813" s="327"/>
      <c r="AJ813" s="577"/>
      <c r="AK813" s="327"/>
      <c r="AL813" s="602"/>
      <c r="AM813" s="326"/>
      <c r="AN813" s="326"/>
      <c r="AO813" s="326"/>
      <c r="AP813" s="326"/>
      <c r="AQ813" s="326"/>
      <c r="AR813" s="326"/>
      <c r="AS813" s="326"/>
      <c r="AT813" s="326"/>
      <c r="AU813" s="326"/>
      <c r="AV813" s="326"/>
      <c r="AW813" s="326"/>
      <c r="AX813" s="326"/>
      <c r="AY813" s="326"/>
      <c r="AZ813" s="326"/>
      <c r="BA813" s="326"/>
      <c r="BB813" s="327"/>
    </row>
    <row r="814" spans="1:54" ht="15.75" customHeight="1" x14ac:dyDescent="0.25">
      <c r="A814" s="11">
        <f t="shared" si="3"/>
        <v>801</v>
      </c>
      <c r="B814" s="570" t="str">
        <f>'refer admin discharge'!B810</f>
        <v>x</v>
      </c>
      <c r="C814" s="327"/>
      <c r="D814" s="599" t="str">
        <f>'refer admin discharge'!D810</f>
        <v>xx</v>
      </c>
      <c r="E814" s="327"/>
      <c r="F814" s="600" t="str">
        <f>'refer admin discharge'!H810</f>
        <v>00/00/0000</v>
      </c>
      <c r="G814" s="327"/>
      <c r="H814" s="574"/>
      <c r="I814" s="327"/>
      <c r="J814" s="601"/>
      <c r="K814" s="327"/>
      <c r="L814" s="574"/>
      <c r="M814" s="327"/>
      <c r="N814" s="594"/>
      <c r="O814" s="327"/>
      <c r="P814" s="574"/>
      <c r="Q814" s="327"/>
      <c r="R814" s="594"/>
      <c r="S814" s="327"/>
      <c r="T814" s="574"/>
      <c r="U814" s="327"/>
      <c r="V814" s="595" t="str">
        <f>'refer admin discharge'!H815</f>
        <v>00/00/0000</v>
      </c>
      <c r="W814" s="327"/>
      <c r="X814" s="596"/>
      <c r="Y814" s="327"/>
      <c r="Z814" s="597"/>
      <c r="AA814" s="327"/>
      <c r="AB814" s="596"/>
      <c r="AC814" s="327"/>
      <c r="AD814" s="577"/>
      <c r="AE814" s="327"/>
      <c r="AF814" s="596"/>
      <c r="AG814" s="327"/>
      <c r="AH814" s="577"/>
      <c r="AI814" s="327"/>
      <c r="AJ814" s="596"/>
      <c r="AK814" s="327"/>
      <c r="AL814" s="598"/>
      <c r="AM814" s="326"/>
      <c r="AN814" s="326"/>
      <c r="AO814" s="326"/>
      <c r="AP814" s="326"/>
      <c r="AQ814" s="326"/>
      <c r="AR814" s="326"/>
      <c r="AS814" s="326"/>
      <c r="AT814" s="326"/>
      <c r="AU814" s="326"/>
      <c r="AV814" s="326"/>
      <c r="AW814" s="326"/>
      <c r="AX814" s="326"/>
      <c r="AY814" s="326"/>
      <c r="AZ814" s="326"/>
      <c r="BA814" s="326"/>
      <c r="BB814" s="327"/>
    </row>
    <row r="815" spans="1:54" ht="15.75" customHeight="1" x14ac:dyDescent="0.25">
      <c r="A815" s="11">
        <f t="shared" si="3"/>
        <v>802</v>
      </c>
      <c r="B815" s="504" t="str">
        <f>'refer admin discharge'!B811</f>
        <v>x</v>
      </c>
      <c r="C815" s="327"/>
      <c r="D815" s="505" t="str">
        <f>'refer admin discharge'!D811</f>
        <v>xx</v>
      </c>
      <c r="E815" s="327"/>
      <c r="F815" s="606" t="str">
        <f>'refer admin discharge'!H811</f>
        <v>00/00/0000</v>
      </c>
      <c r="G815" s="327"/>
      <c r="H815" s="594"/>
      <c r="I815" s="327"/>
      <c r="J815" s="605"/>
      <c r="K815" s="327"/>
      <c r="L815" s="594"/>
      <c r="M815" s="327"/>
      <c r="N815" s="575"/>
      <c r="O815" s="327"/>
      <c r="P815" s="594"/>
      <c r="Q815" s="327"/>
      <c r="R815" s="575"/>
      <c r="S815" s="327"/>
      <c r="T815" s="594"/>
      <c r="U815" s="327"/>
      <c r="V815" s="595" t="str">
        <f>'refer admin discharge'!H816</f>
        <v>00/00/0000</v>
      </c>
      <c r="W815" s="327"/>
      <c r="X815" s="577"/>
      <c r="Y815" s="327"/>
      <c r="Z815" s="604"/>
      <c r="AA815" s="327"/>
      <c r="AB815" s="577"/>
      <c r="AC815" s="327"/>
      <c r="AD815" s="576"/>
      <c r="AE815" s="327"/>
      <c r="AF815" s="577"/>
      <c r="AG815" s="327"/>
      <c r="AH815" s="576"/>
      <c r="AI815" s="327"/>
      <c r="AJ815" s="577"/>
      <c r="AK815" s="327"/>
      <c r="AL815" s="602"/>
      <c r="AM815" s="326"/>
      <c r="AN815" s="326"/>
      <c r="AO815" s="326"/>
      <c r="AP815" s="326"/>
      <c r="AQ815" s="326"/>
      <c r="AR815" s="326"/>
      <c r="AS815" s="326"/>
      <c r="AT815" s="326"/>
      <c r="AU815" s="326"/>
      <c r="AV815" s="326"/>
      <c r="AW815" s="326"/>
      <c r="AX815" s="326"/>
      <c r="AY815" s="326"/>
      <c r="AZ815" s="326"/>
      <c r="BA815" s="326"/>
      <c r="BB815" s="327"/>
    </row>
    <row r="816" spans="1:54" ht="15.75" customHeight="1" x14ac:dyDescent="0.25">
      <c r="A816" s="11">
        <f t="shared" si="3"/>
        <v>803</v>
      </c>
      <c r="B816" s="570" t="str">
        <f>'refer admin discharge'!B812</f>
        <v>x</v>
      </c>
      <c r="C816" s="327"/>
      <c r="D816" s="599" t="str">
        <f>'refer admin discharge'!D812</f>
        <v>xx</v>
      </c>
      <c r="E816" s="327"/>
      <c r="F816" s="600" t="str">
        <f>'refer admin discharge'!H812</f>
        <v>00/00/0000</v>
      </c>
      <c r="G816" s="327"/>
      <c r="H816" s="574"/>
      <c r="I816" s="327"/>
      <c r="J816" s="601"/>
      <c r="K816" s="327"/>
      <c r="L816" s="574"/>
      <c r="M816" s="327"/>
      <c r="N816" s="594"/>
      <c r="O816" s="327"/>
      <c r="P816" s="574"/>
      <c r="Q816" s="327"/>
      <c r="R816" s="594"/>
      <c r="S816" s="327"/>
      <c r="T816" s="574"/>
      <c r="U816" s="327"/>
      <c r="V816" s="595" t="str">
        <f>'refer admin discharge'!H817</f>
        <v>00/00/0000</v>
      </c>
      <c r="W816" s="327"/>
      <c r="X816" s="596"/>
      <c r="Y816" s="327"/>
      <c r="Z816" s="597"/>
      <c r="AA816" s="327"/>
      <c r="AB816" s="596"/>
      <c r="AC816" s="327"/>
      <c r="AD816" s="577"/>
      <c r="AE816" s="327"/>
      <c r="AF816" s="596"/>
      <c r="AG816" s="327"/>
      <c r="AH816" s="577"/>
      <c r="AI816" s="327"/>
      <c r="AJ816" s="596"/>
      <c r="AK816" s="327"/>
      <c r="AL816" s="598"/>
      <c r="AM816" s="326"/>
      <c r="AN816" s="326"/>
      <c r="AO816" s="326"/>
      <c r="AP816" s="326"/>
      <c r="AQ816" s="326"/>
      <c r="AR816" s="326"/>
      <c r="AS816" s="326"/>
      <c r="AT816" s="326"/>
      <c r="AU816" s="326"/>
      <c r="AV816" s="326"/>
      <c r="AW816" s="326"/>
      <c r="AX816" s="326"/>
      <c r="AY816" s="326"/>
      <c r="AZ816" s="326"/>
      <c r="BA816" s="326"/>
      <c r="BB816" s="327"/>
    </row>
    <row r="817" spans="1:54" ht="15.75" customHeight="1" x14ac:dyDescent="0.25">
      <c r="A817" s="11">
        <f t="shared" si="3"/>
        <v>804</v>
      </c>
      <c r="B817" s="504" t="str">
        <f>'refer admin discharge'!B813</f>
        <v>x</v>
      </c>
      <c r="C817" s="327"/>
      <c r="D817" s="505" t="str">
        <f>'refer admin discharge'!D813</f>
        <v>xx</v>
      </c>
      <c r="E817" s="327"/>
      <c r="F817" s="606" t="str">
        <f>'refer admin discharge'!H813</f>
        <v>00/00/0000</v>
      </c>
      <c r="G817" s="327"/>
      <c r="H817" s="594"/>
      <c r="I817" s="327"/>
      <c r="J817" s="605"/>
      <c r="K817" s="327"/>
      <c r="L817" s="594"/>
      <c r="M817" s="327"/>
      <c r="N817" s="575"/>
      <c r="O817" s="327"/>
      <c r="P817" s="594"/>
      <c r="Q817" s="327"/>
      <c r="R817" s="575"/>
      <c r="S817" s="327"/>
      <c r="T817" s="594"/>
      <c r="U817" s="327"/>
      <c r="V817" s="595" t="str">
        <f>'refer admin discharge'!H818</f>
        <v>00/00/0000</v>
      </c>
      <c r="W817" s="327"/>
      <c r="X817" s="577"/>
      <c r="Y817" s="327"/>
      <c r="Z817" s="604"/>
      <c r="AA817" s="327"/>
      <c r="AB817" s="577"/>
      <c r="AC817" s="327"/>
      <c r="AD817" s="576"/>
      <c r="AE817" s="327"/>
      <c r="AF817" s="577"/>
      <c r="AG817" s="327"/>
      <c r="AH817" s="576"/>
      <c r="AI817" s="327"/>
      <c r="AJ817" s="577"/>
      <c r="AK817" s="327"/>
      <c r="AL817" s="602"/>
      <c r="AM817" s="326"/>
      <c r="AN817" s="326"/>
      <c r="AO817" s="326"/>
      <c r="AP817" s="326"/>
      <c r="AQ817" s="326"/>
      <c r="AR817" s="326"/>
      <c r="AS817" s="326"/>
      <c r="AT817" s="326"/>
      <c r="AU817" s="326"/>
      <c r="AV817" s="326"/>
      <c r="AW817" s="326"/>
      <c r="AX817" s="326"/>
      <c r="AY817" s="326"/>
      <c r="AZ817" s="326"/>
      <c r="BA817" s="326"/>
      <c r="BB817" s="327"/>
    </row>
    <row r="818" spans="1:54" ht="15.75" customHeight="1" x14ac:dyDescent="0.25">
      <c r="A818" s="11">
        <f t="shared" si="3"/>
        <v>805</v>
      </c>
      <c r="B818" s="570" t="str">
        <f>'refer admin discharge'!B814</f>
        <v>x</v>
      </c>
      <c r="C818" s="327"/>
      <c r="D818" s="599" t="str">
        <f>'refer admin discharge'!D814</f>
        <v>xx</v>
      </c>
      <c r="E818" s="327"/>
      <c r="F818" s="600" t="str">
        <f>'refer admin discharge'!H814</f>
        <v>00/00/0000</v>
      </c>
      <c r="G818" s="327"/>
      <c r="H818" s="574"/>
      <c r="I818" s="327"/>
      <c r="J818" s="601"/>
      <c r="K818" s="327"/>
      <c r="L818" s="574"/>
      <c r="M818" s="327"/>
      <c r="N818" s="594"/>
      <c r="O818" s="327"/>
      <c r="P818" s="574"/>
      <c r="Q818" s="327"/>
      <c r="R818" s="594"/>
      <c r="S818" s="327"/>
      <c r="T818" s="574"/>
      <c r="U818" s="327"/>
      <c r="V818" s="595" t="str">
        <f>'refer admin discharge'!H819</f>
        <v>00/00/0000</v>
      </c>
      <c r="W818" s="327"/>
      <c r="X818" s="596"/>
      <c r="Y818" s="327"/>
      <c r="Z818" s="597"/>
      <c r="AA818" s="327"/>
      <c r="AB818" s="596"/>
      <c r="AC818" s="327"/>
      <c r="AD818" s="577"/>
      <c r="AE818" s="327"/>
      <c r="AF818" s="596"/>
      <c r="AG818" s="327"/>
      <c r="AH818" s="577"/>
      <c r="AI818" s="327"/>
      <c r="AJ818" s="596"/>
      <c r="AK818" s="327"/>
      <c r="AL818" s="598"/>
      <c r="AM818" s="326"/>
      <c r="AN818" s="326"/>
      <c r="AO818" s="326"/>
      <c r="AP818" s="326"/>
      <c r="AQ818" s="326"/>
      <c r="AR818" s="326"/>
      <c r="AS818" s="326"/>
      <c r="AT818" s="326"/>
      <c r="AU818" s="326"/>
      <c r="AV818" s="326"/>
      <c r="AW818" s="326"/>
      <c r="AX818" s="326"/>
      <c r="AY818" s="326"/>
      <c r="AZ818" s="326"/>
      <c r="BA818" s="326"/>
      <c r="BB818" s="327"/>
    </row>
    <row r="819" spans="1:54" ht="15.75" customHeight="1" x14ac:dyDescent="0.25">
      <c r="A819" s="11">
        <f t="shared" si="3"/>
        <v>806</v>
      </c>
      <c r="B819" s="504" t="str">
        <f>'refer admin discharge'!B815</f>
        <v>x</v>
      </c>
      <c r="C819" s="327"/>
      <c r="D819" s="505" t="str">
        <f>'refer admin discharge'!D815</f>
        <v>xx</v>
      </c>
      <c r="E819" s="327"/>
      <c r="F819" s="606" t="str">
        <f>'refer admin discharge'!H815</f>
        <v>00/00/0000</v>
      </c>
      <c r="G819" s="327"/>
      <c r="H819" s="594"/>
      <c r="I819" s="327"/>
      <c r="J819" s="605"/>
      <c r="K819" s="327"/>
      <c r="L819" s="594"/>
      <c r="M819" s="327"/>
      <c r="N819" s="575"/>
      <c r="O819" s="327"/>
      <c r="P819" s="594"/>
      <c r="Q819" s="327"/>
      <c r="R819" s="575"/>
      <c r="S819" s="327"/>
      <c r="T819" s="594"/>
      <c r="U819" s="327"/>
      <c r="V819" s="595" t="str">
        <f>'refer admin discharge'!H820</f>
        <v>00/00/0000</v>
      </c>
      <c r="W819" s="327"/>
      <c r="X819" s="577"/>
      <c r="Y819" s="327"/>
      <c r="Z819" s="604"/>
      <c r="AA819" s="327"/>
      <c r="AB819" s="577"/>
      <c r="AC819" s="327"/>
      <c r="AD819" s="576"/>
      <c r="AE819" s="327"/>
      <c r="AF819" s="577"/>
      <c r="AG819" s="327"/>
      <c r="AH819" s="576"/>
      <c r="AI819" s="327"/>
      <c r="AJ819" s="577"/>
      <c r="AK819" s="327"/>
      <c r="AL819" s="602"/>
      <c r="AM819" s="326"/>
      <c r="AN819" s="326"/>
      <c r="AO819" s="326"/>
      <c r="AP819" s="326"/>
      <c r="AQ819" s="326"/>
      <c r="AR819" s="326"/>
      <c r="AS819" s="326"/>
      <c r="AT819" s="326"/>
      <c r="AU819" s="326"/>
      <c r="AV819" s="326"/>
      <c r="AW819" s="326"/>
      <c r="AX819" s="326"/>
      <c r="AY819" s="326"/>
      <c r="AZ819" s="326"/>
      <c r="BA819" s="326"/>
      <c r="BB819" s="327"/>
    </row>
    <row r="820" spans="1:54" ht="15.75" customHeight="1" x14ac:dyDescent="0.25">
      <c r="A820" s="11">
        <f t="shared" si="3"/>
        <v>807</v>
      </c>
      <c r="B820" s="570" t="str">
        <f>'refer admin discharge'!B816</f>
        <v>x</v>
      </c>
      <c r="C820" s="327"/>
      <c r="D820" s="599" t="str">
        <f>'refer admin discharge'!D816</f>
        <v>xx</v>
      </c>
      <c r="E820" s="327"/>
      <c r="F820" s="600" t="str">
        <f>'refer admin discharge'!H816</f>
        <v>00/00/0000</v>
      </c>
      <c r="G820" s="327"/>
      <c r="H820" s="574"/>
      <c r="I820" s="327"/>
      <c r="J820" s="601"/>
      <c r="K820" s="327"/>
      <c r="L820" s="574"/>
      <c r="M820" s="327"/>
      <c r="N820" s="594"/>
      <c r="O820" s="327"/>
      <c r="P820" s="574"/>
      <c r="Q820" s="327"/>
      <c r="R820" s="594"/>
      <c r="S820" s="327"/>
      <c r="T820" s="574"/>
      <c r="U820" s="327"/>
      <c r="V820" s="595" t="str">
        <f>'refer admin discharge'!H821</f>
        <v>00/00/0000</v>
      </c>
      <c r="W820" s="327"/>
      <c r="X820" s="596"/>
      <c r="Y820" s="327"/>
      <c r="Z820" s="597"/>
      <c r="AA820" s="327"/>
      <c r="AB820" s="596"/>
      <c r="AC820" s="327"/>
      <c r="AD820" s="577"/>
      <c r="AE820" s="327"/>
      <c r="AF820" s="596"/>
      <c r="AG820" s="327"/>
      <c r="AH820" s="577"/>
      <c r="AI820" s="327"/>
      <c r="AJ820" s="596"/>
      <c r="AK820" s="327"/>
      <c r="AL820" s="598"/>
      <c r="AM820" s="326"/>
      <c r="AN820" s="326"/>
      <c r="AO820" s="326"/>
      <c r="AP820" s="326"/>
      <c r="AQ820" s="326"/>
      <c r="AR820" s="326"/>
      <c r="AS820" s="326"/>
      <c r="AT820" s="326"/>
      <c r="AU820" s="326"/>
      <c r="AV820" s="326"/>
      <c r="AW820" s="326"/>
      <c r="AX820" s="326"/>
      <c r="AY820" s="326"/>
      <c r="AZ820" s="326"/>
      <c r="BA820" s="326"/>
      <c r="BB820" s="327"/>
    </row>
    <row r="821" spans="1:54" ht="15.75" customHeight="1" x14ac:dyDescent="0.25">
      <c r="A821" s="11">
        <f t="shared" si="3"/>
        <v>808</v>
      </c>
      <c r="B821" s="504" t="str">
        <f>'refer admin discharge'!B817</f>
        <v>x</v>
      </c>
      <c r="C821" s="327"/>
      <c r="D821" s="505" t="str">
        <f>'refer admin discharge'!D817</f>
        <v>xx</v>
      </c>
      <c r="E821" s="327"/>
      <c r="F821" s="606" t="str">
        <f>'refer admin discharge'!H817</f>
        <v>00/00/0000</v>
      </c>
      <c r="G821" s="327"/>
      <c r="H821" s="594"/>
      <c r="I821" s="327"/>
      <c r="J821" s="605"/>
      <c r="K821" s="327"/>
      <c r="L821" s="594"/>
      <c r="M821" s="327"/>
      <c r="N821" s="575"/>
      <c r="O821" s="327"/>
      <c r="P821" s="594"/>
      <c r="Q821" s="327"/>
      <c r="R821" s="575"/>
      <c r="S821" s="327"/>
      <c r="T821" s="594"/>
      <c r="U821" s="327"/>
      <c r="V821" s="595" t="str">
        <f>'refer admin discharge'!H822</f>
        <v>00/00/0000</v>
      </c>
      <c r="W821" s="327"/>
      <c r="X821" s="577"/>
      <c r="Y821" s="327"/>
      <c r="Z821" s="604"/>
      <c r="AA821" s="327"/>
      <c r="AB821" s="577"/>
      <c r="AC821" s="327"/>
      <c r="AD821" s="576"/>
      <c r="AE821" s="327"/>
      <c r="AF821" s="577"/>
      <c r="AG821" s="327"/>
      <c r="AH821" s="576"/>
      <c r="AI821" s="327"/>
      <c r="AJ821" s="577"/>
      <c r="AK821" s="327"/>
      <c r="AL821" s="602"/>
      <c r="AM821" s="326"/>
      <c r="AN821" s="326"/>
      <c r="AO821" s="326"/>
      <c r="AP821" s="326"/>
      <c r="AQ821" s="326"/>
      <c r="AR821" s="326"/>
      <c r="AS821" s="326"/>
      <c r="AT821" s="326"/>
      <c r="AU821" s="326"/>
      <c r="AV821" s="326"/>
      <c r="AW821" s="326"/>
      <c r="AX821" s="326"/>
      <c r="AY821" s="326"/>
      <c r="AZ821" s="326"/>
      <c r="BA821" s="326"/>
      <c r="BB821" s="327"/>
    </row>
    <row r="822" spans="1:54" ht="15.75" customHeight="1" x14ac:dyDescent="0.25">
      <c r="A822" s="11">
        <f t="shared" si="3"/>
        <v>809</v>
      </c>
      <c r="B822" s="570" t="str">
        <f>'refer admin discharge'!B818</f>
        <v>x</v>
      </c>
      <c r="C822" s="327"/>
      <c r="D822" s="599" t="str">
        <f>'refer admin discharge'!D818</f>
        <v>xx</v>
      </c>
      <c r="E822" s="327"/>
      <c r="F822" s="600" t="str">
        <f>'refer admin discharge'!H818</f>
        <v>00/00/0000</v>
      </c>
      <c r="G822" s="327"/>
      <c r="H822" s="574"/>
      <c r="I822" s="327"/>
      <c r="J822" s="601"/>
      <c r="K822" s="327"/>
      <c r="L822" s="574"/>
      <c r="M822" s="327"/>
      <c r="N822" s="594"/>
      <c r="O822" s="327"/>
      <c r="P822" s="574"/>
      <c r="Q822" s="327"/>
      <c r="R822" s="594"/>
      <c r="S822" s="327"/>
      <c r="T822" s="574"/>
      <c r="U822" s="327"/>
      <c r="V822" s="595" t="str">
        <f>'refer admin discharge'!H823</f>
        <v>00/00/0000</v>
      </c>
      <c r="W822" s="327"/>
      <c r="X822" s="596"/>
      <c r="Y822" s="327"/>
      <c r="Z822" s="597"/>
      <c r="AA822" s="327"/>
      <c r="AB822" s="596"/>
      <c r="AC822" s="327"/>
      <c r="AD822" s="577"/>
      <c r="AE822" s="327"/>
      <c r="AF822" s="596"/>
      <c r="AG822" s="327"/>
      <c r="AH822" s="577"/>
      <c r="AI822" s="327"/>
      <c r="AJ822" s="596"/>
      <c r="AK822" s="327"/>
      <c r="AL822" s="598"/>
      <c r="AM822" s="326"/>
      <c r="AN822" s="326"/>
      <c r="AO822" s="326"/>
      <c r="AP822" s="326"/>
      <c r="AQ822" s="326"/>
      <c r="AR822" s="326"/>
      <c r="AS822" s="326"/>
      <c r="AT822" s="326"/>
      <c r="AU822" s="326"/>
      <c r="AV822" s="326"/>
      <c r="AW822" s="326"/>
      <c r="AX822" s="326"/>
      <c r="AY822" s="326"/>
      <c r="AZ822" s="326"/>
      <c r="BA822" s="326"/>
      <c r="BB822" s="327"/>
    </row>
    <row r="823" spans="1:54" ht="15.75" customHeight="1" x14ac:dyDescent="0.25">
      <c r="A823" s="11">
        <f t="shared" si="3"/>
        <v>810</v>
      </c>
      <c r="B823" s="504" t="str">
        <f>'refer admin discharge'!B819</f>
        <v>x</v>
      </c>
      <c r="C823" s="327"/>
      <c r="D823" s="505" t="str">
        <f>'refer admin discharge'!D819</f>
        <v>xx</v>
      </c>
      <c r="E823" s="327"/>
      <c r="F823" s="606" t="str">
        <f>'refer admin discharge'!H819</f>
        <v>00/00/0000</v>
      </c>
      <c r="G823" s="327"/>
      <c r="H823" s="594"/>
      <c r="I823" s="327"/>
      <c r="J823" s="605"/>
      <c r="K823" s="327"/>
      <c r="L823" s="594"/>
      <c r="M823" s="327"/>
      <c r="N823" s="575"/>
      <c r="O823" s="327"/>
      <c r="P823" s="594"/>
      <c r="Q823" s="327"/>
      <c r="R823" s="575"/>
      <c r="S823" s="327"/>
      <c r="T823" s="594"/>
      <c r="U823" s="327"/>
      <c r="V823" s="595" t="str">
        <f>'refer admin discharge'!H824</f>
        <v>00/00/0000</v>
      </c>
      <c r="W823" s="327"/>
      <c r="X823" s="577"/>
      <c r="Y823" s="327"/>
      <c r="Z823" s="604"/>
      <c r="AA823" s="327"/>
      <c r="AB823" s="577"/>
      <c r="AC823" s="327"/>
      <c r="AD823" s="576"/>
      <c r="AE823" s="327"/>
      <c r="AF823" s="577"/>
      <c r="AG823" s="327"/>
      <c r="AH823" s="576"/>
      <c r="AI823" s="327"/>
      <c r="AJ823" s="577"/>
      <c r="AK823" s="327"/>
      <c r="AL823" s="602"/>
      <c r="AM823" s="326"/>
      <c r="AN823" s="326"/>
      <c r="AO823" s="326"/>
      <c r="AP823" s="326"/>
      <c r="AQ823" s="326"/>
      <c r="AR823" s="326"/>
      <c r="AS823" s="326"/>
      <c r="AT823" s="326"/>
      <c r="AU823" s="326"/>
      <c r="AV823" s="326"/>
      <c r="AW823" s="326"/>
      <c r="AX823" s="326"/>
      <c r="AY823" s="326"/>
      <c r="AZ823" s="326"/>
      <c r="BA823" s="326"/>
      <c r="BB823" s="327"/>
    </row>
    <row r="824" spans="1:54" ht="15.75" customHeight="1" x14ac:dyDescent="0.25">
      <c r="A824" s="11">
        <f t="shared" si="3"/>
        <v>811</v>
      </c>
      <c r="B824" s="570" t="str">
        <f>'refer admin discharge'!B820</f>
        <v>x</v>
      </c>
      <c r="C824" s="327"/>
      <c r="D824" s="599" t="str">
        <f>'refer admin discharge'!D820</f>
        <v>xx</v>
      </c>
      <c r="E824" s="327"/>
      <c r="F824" s="600" t="str">
        <f>'refer admin discharge'!H820</f>
        <v>00/00/0000</v>
      </c>
      <c r="G824" s="327"/>
      <c r="H824" s="574"/>
      <c r="I824" s="327"/>
      <c r="J824" s="601"/>
      <c r="K824" s="327"/>
      <c r="L824" s="574"/>
      <c r="M824" s="327"/>
      <c r="N824" s="594"/>
      <c r="O824" s="327"/>
      <c r="P824" s="574"/>
      <c r="Q824" s="327"/>
      <c r="R824" s="594"/>
      <c r="S824" s="327"/>
      <c r="T824" s="574"/>
      <c r="U824" s="327"/>
      <c r="V824" s="595" t="str">
        <f>'refer admin discharge'!H825</f>
        <v>00/00/0000</v>
      </c>
      <c r="W824" s="327"/>
      <c r="X824" s="596"/>
      <c r="Y824" s="327"/>
      <c r="Z824" s="597"/>
      <c r="AA824" s="327"/>
      <c r="AB824" s="596"/>
      <c r="AC824" s="327"/>
      <c r="AD824" s="577"/>
      <c r="AE824" s="327"/>
      <c r="AF824" s="596"/>
      <c r="AG824" s="327"/>
      <c r="AH824" s="577"/>
      <c r="AI824" s="327"/>
      <c r="AJ824" s="596"/>
      <c r="AK824" s="327"/>
      <c r="AL824" s="598"/>
      <c r="AM824" s="326"/>
      <c r="AN824" s="326"/>
      <c r="AO824" s="326"/>
      <c r="AP824" s="326"/>
      <c r="AQ824" s="326"/>
      <c r="AR824" s="326"/>
      <c r="AS824" s="326"/>
      <c r="AT824" s="326"/>
      <c r="AU824" s="326"/>
      <c r="AV824" s="326"/>
      <c r="AW824" s="326"/>
      <c r="AX824" s="326"/>
      <c r="AY824" s="326"/>
      <c r="AZ824" s="326"/>
      <c r="BA824" s="326"/>
      <c r="BB824" s="327"/>
    </row>
    <row r="825" spans="1:54" ht="15.75" customHeight="1" x14ac:dyDescent="0.25">
      <c r="A825" s="11">
        <f t="shared" si="3"/>
        <v>812</v>
      </c>
      <c r="B825" s="504" t="str">
        <f>'refer admin discharge'!B821</f>
        <v>x</v>
      </c>
      <c r="C825" s="327"/>
      <c r="D825" s="505" t="str">
        <f>'refer admin discharge'!D821</f>
        <v>xx</v>
      </c>
      <c r="E825" s="327"/>
      <c r="F825" s="606" t="str">
        <f>'refer admin discharge'!H821</f>
        <v>00/00/0000</v>
      </c>
      <c r="G825" s="327"/>
      <c r="H825" s="594"/>
      <c r="I825" s="327"/>
      <c r="J825" s="605"/>
      <c r="K825" s="327"/>
      <c r="L825" s="594"/>
      <c r="M825" s="327"/>
      <c r="N825" s="575"/>
      <c r="O825" s="327"/>
      <c r="P825" s="594"/>
      <c r="Q825" s="327"/>
      <c r="R825" s="575"/>
      <c r="S825" s="327"/>
      <c r="T825" s="594"/>
      <c r="U825" s="327"/>
      <c r="V825" s="595" t="str">
        <f>'refer admin discharge'!H826</f>
        <v>00/00/0000</v>
      </c>
      <c r="W825" s="327"/>
      <c r="X825" s="577"/>
      <c r="Y825" s="327"/>
      <c r="Z825" s="604"/>
      <c r="AA825" s="327"/>
      <c r="AB825" s="577"/>
      <c r="AC825" s="327"/>
      <c r="AD825" s="576"/>
      <c r="AE825" s="327"/>
      <c r="AF825" s="577"/>
      <c r="AG825" s="327"/>
      <c r="AH825" s="576"/>
      <c r="AI825" s="327"/>
      <c r="AJ825" s="577"/>
      <c r="AK825" s="327"/>
      <c r="AL825" s="602"/>
      <c r="AM825" s="326"/>
      <c r="AN825" s="326"/>
      <c r="AO825" s="326"/>
      <c r="AP825" s="326"/>
      <c r="AQ825" s="326"/>
      <c r="AR825" s="326"/>
      <c r="AS825" s="326"/>
      <c r="AT825" s="326"/>
      <c r="AU825" s="326"/>
      <c r="AV825" s="326"/>
      <c r="AW825" s="326"/>
      <c r="AX825" s="326"/>
      <c r="AY825" s="326"/>
      <c r="AZ825" s="326"/>
      <c r="BA825" s="326"/>
      <c r="BB825" s="327"/>
    </row>
    <row r="826" spans="1:54" ht="15.75" customHeight="1" x14ac:dyDescent="0.25">
      <c r="A826" s="11">
        <f t="shared" si="3"/>
        <v>813</v>
      </c>
      <c r="B826" s="570" t="str">
        <f>'refer admin discharge'!B822</f>
        <v>x</v>
      </c>
      <c r="C826" s="327"/>
      <c r="D826" s="599" t="str">
        <f>'refer admin discharge'!D822</f>
        <v>xx</v>
      </c>
      <c r="E826" s="327"/>
      <c r="F826" s="600" t="str">
        <f>'refer admin discharge'!H822</f>
        <v>00/00/0000</v>
      </c>
      <c r="G826" s="327"/>
      <c r="H826" s="574"/>
      <c r="I826" s="327"/>
      <c r="J826" s="601"/>
      <c r="K826" s="327"/>
      <c r="L826" s="574"/>
      <c r="M826" s="327"/>
      <c r="N826" s="594"/>
      <c r="O826" s="327"/>
      <c r="P826" s="574"/>
      <c r="Q826" s="327"/>
      <c r="R826" s="594"/>
      <c r="S826" s="327"/>
      <c r="T826" s="574"/>
      <c r="U826" s="327"/>
      <c r="V826" s="595" t="str">
        <f>'refer admin discharge'!H827</f>
        <v>00/00/0000</v>
      </c>
      <c r="W826" s="327"/>
      <c r="X826" s="596"/>
      <c r="Y826" s="327"/>
      <c r="Z826" s="597"/>
      <c r="AA826" s="327"/>
      <c r="AB826" s="596"/>
      <c r="AC826" s="327"/>
      <c r="AD826" s="577"/>
      <c r="AE826" s="327"/>
      <c r="AF826" s="596"/>
      <c r="AG826" s="327"/>
      <c r="AH826" s="577"/>
      <c r="AI826" s="327"/>
      <c r="AJ826" s="596"/>
      <c r="AK826" s="327"/>
      <c r="AL826" s="598"/>
      <c r="AM826" s="326"/>
      <c r="AN826" s="326"/>
      <c r="AO826" s="326"/>
      <c r="AP826" s="326"/>
      <c r="AQ826" s="326"/>
      <c r="AR826" s="326"/>
      <c r="AS826" s="326"/>
      <c r="AT826" s="326"/>
      <c r="AU826" s="326"/>
      <c r="AV826" s="326"/>
      <c r="AW826" s="326"/>
      <c r="AX826" s="326"/>
      <c r="AY826" s="326"/>
      <c r="AZ826" s="326"/>
      <c r="BA826" s="326"/>
      <c r="BB826" s="327"/>
    </row>
    <row r="827" spans="1:54" ht="15.75" customHeight="1" x14ac:dyDescent="0.25">
      <c r="A827" s="11">
        <f t="shared" si="3"/>
        <v>814</v>
      </c>
      <c r="B827" s="504" t="str">
        <f>'refer admin discharge'!B823</f>
        <v>x</v>
      </c>
      <c r="C827" s="327"/>
      <c r="D827" s="505" t="str">
        <f>'refer admin discharge'!D823</f>
        <v>xx</v>
      </c>
      <c r="E827" s="327"/>
      <c r="F827" s="606" t="str">
        <f>'refer admin discharge'!H823</f>
        <v>00/00/0000</v>
      </c>
      <c r="G827" s="327"/>
      <c r="H827" s="594"/>
      <c r="I827" s="327"/>
      <c r="J827" s="605"/>
      <c r="K827" s="327"/>
      <c r="L827" s="594"/>
      <c r="M827" s="327"/>
      <c r="N827" s="575"/>
      <c r="O827" s="327"/>
      <c r="P827" s="594"/>
      <c r="Q827" s="327"/>
      <c r="R827" s="575"/>
      <c r="S827" s="327"/>
      <c r="T827" s="594"/>
      <c r="U827" s="327"/>
      <c r="V827" s="595" t="str">
        <f>'refer admin discharge'!H828</f>
        <v>00/00/0000</v>
      </c>
      <c r="W827" s="327"/>
      <c r="X827" s="577"/>
      <c r="Y827" s="327"/>
      <c r="Z827" s="604"/>
      <c r="AA827" s="327"/>
      <c r="AB827" s="577"/>
      <c r="AC827" s="327"/>
      <c r="AD827" s="576"/>
      <c r="AE827" s="327"/>
      <c r="AF827" s="577"/>
      <c r="AG827" s="327"/>
      <c r="AH827" s="576"/>
      <c r="AI827" s="327"/>
      <c r="AJ827" s="577"/>
      <c r="AK827" s="327"/>
      <c r="AL827" s="602"/>
      <c r="AM827" s="326"/>
      <c r="AN827" s="326"/>
      <c r="AO827" s="326"/>
      <c r="AP827" s="326"/>
      <c r="AQ827" s="326"/>
      <c r="AR827" s="326"/>
      <c r="AS827" s="326"/>
      <c r="AT827" s="326"/>
      <c r="AU827" s="326"/>
      <c r="AV827" s="326"/>
      <c r="AW827" s="326"/>
      <c r="AX827" s="326"/>
      <c r="AY827" s="326"/>
      <c r="AZ827" s="326"/>
      <c r="BA827" s="326"/>
      <c r="BB827" s="327"/>
    </row>
    <row r="828" spans="1:54" ht="15.75" customHeight="1" x14ac:dyDescent="0.25">
      <c r="A828" s="11">
        <f t="shared" si="3"/>
        <v>815</v>
      </c>
      <c r="B828" s="570" t="str">
        <f>'refer admin discharge'!B824</f>
        <v>x</v>
      </c>
      <c r="C828" s="327"/>
      <c r="D828" s="599" t="str">
        <f>'refer admin discharge'!D824</f>
        <v>xx</v>
      </c>
      <c r="E828" s="327"/>
      <c r="F828" s="600" t="str">
        <f>'refer admin discharge'!H824</f>
        <v>00/00/0000</v>
      </c>
      <c r="G828" s="327"/>
      <c r="H828" s="574"/>
      <c r="I828" s="327"/>
      <c r="J828" s="601"/>
      <c r="K828" s="327"/>
      <c r="L828" s="574"/>
      <c r="M828" s="327"/>
      <c r="N828" s="594"/>
      <c r="O828" s="327"/>
      <c r="P828" s="574"/>
      <c r="Q828" s="327"/>
      <c r="R828" s="594"/>
      <c r="S828" s="327"/>
      <c r="T828" s="574"/>
      <c r="U828" s="327"/>
      <c r="V828" s="595" t="str">
        <f>'refer admin discharge'!H829</f>
        <v>00/00/0000</v>
      </c>
      <c r="W828" s="327"/>
      <c r="X828" s="596"/>
      <c r="Y828" s="327"/>
      <c r="Z828" s="597"/>
      <c r="AA828" s="327"/>
      <c r="AB828" s="596"/>
      <c r="AC828" s="327"/>
      <c r="AD828" s="577"/>
      <c r="AE828" s="327"/>
      <c r="AF828" s="596"/>
      <c r="AG828" s="327"/>
      <c r="AH828" s="577"/>
      <c r="AI828" s="327"/>
      <c r="AJ828" s="596"/>
      <c r="AK828" s="327"/>
      <c r="AL828" s="598"/>
      <c r="AM828" s="326"/>
      <c r="AN828" s="326"/>
      <c r="AO828" s="326"/>
      <c r="AP828" s="326"/>
      <c r="AQ828" s="326"/>
      <c r="AR828" s="326"/>
      <c r="AS828" s="326"/>
      <c r="AT828" s="326"/>
      <c r="AU828" s="326"/>
      <c r="AV828" s="326"/>
      <c r="AW828" s="326"/>
      <c r="AX828" s="326"/>
      <c r="AY828" s="326"/>
      <c r="AZ828" s="326"/>
      <c r="BA828" s="326"/>
      <c r="BB828" s="327"/>
    </row>
    <row r="829" spans="1:54" ht="15.75" customHeight="1" x14ac:dyDescent="0.25">
      <c r="A829" s="11">
        <f t="shared" si="3"/>
        <v>816</v>
      </c>
      <c r="B829" s="504" t="str">
        <f>'refer admin discharge'!B825</f>
        <v>x</v>
      </c>
      <c r="C829" s="327"/>
      <c r="D829" s="505" t="str">
        <f>'refer admin discharge'!D825</f>
        <v>xx</v>
      </c>
      <c r="E829" s="327"/>
      <c r="F829" s="606" t="str">
        <f>'refer admin discharge'!H825</f>
        <v>00/00/0000</v>
      </c>
      <c r="G829" s="327"/>
      <c r="H829" s="594"/>
      <c r="I829" s="327"/>
      <c r="J829" s="605"/>
      <c r="K829" s="327"/>
      <c r="L829" s="594"/>
      <c r="M829" s="327"/>
      <c r="N829" s="575"/>
      <c r="O829" s="327"/>
      <c r="P829" s="594"/>
      <c r="Q829" s="327"/>
      <c r="R829" s="575"/>
      <c r="S829" s="327"/>
      <c r="T829" s="594"/>
      <c r="U829" s="327"/>
      <c r="V829" s="595" t="str">
        <f>'refer admin discharge'!H830</f>
        <v>00/00/0000</v>
      </c>
      <c r="W829" s="327"/>
      <c r="X829" s="577"/>
      <c r="Y829" s="327"/>
      <c r="Z829" s="604"/>
      <c r="AA829" s="327"/>
      <c r="AB829" s="577"/>
      <c r="AC829" s="327"/>
      <c r="AD829" s="576"/>
      <c r="AE829" s="327"/>
      <c r="AF829" s="577"/>
      <c r="AG829" s="327"/>
      <c r="AH829" s="576"/>
      <c r="AI829" s="327"/>
      <c r="AJ829" s="577"/>
      <c r="AK829" s="327"/>
      <c r="AL829" s="602"/>
      <c r="AM829" s="326"/>
      <c r="AN829" s="326"/>
      <c r="AO829" s="326"/>
      <c r="AP829" s="326"/>
      <c r="AQ829" s="326"/>
      <c r="AR829" s="326"/>
      <c r="AS829" s="326"/>
      <c r="AT829" s="326"/>
      <c r="AU829" s="326"/>
      <c r="AV829" s="326"/>
      <c r="AW829" s="326"/>
      <c r="AX829" s="326"/>
      <c r="AY829" s="326"/>
      <c r="AZ829" s="326"/>
      <c r="BA829" s="326"/>
      <c r="BB829" s="327"/>
    </row>
    <row r="830" spans="1:54" ht="15.75" customHeight="1" x14ac:dyDescent="0.25">
      <c r="A830" s="11">
        <f t="shared" si="3"/>
        <v>817</v>
      </c>
      <c r="B830" s="570" t="str">
        <f>'refer admin discharge'!B826</f>
        <v>x</v>
      </c>
      <c r="C830" s="327"/>
      <c r="D830" s="599" t="str">
        <f>'refer admin discharge'!D826</f>
        <v>xx</v>
      </c>
      <c r="E830" s="327"/>
      <c r="F830" s="600" t="str">
        <f>'refer admin discharge'!H826</f>
        <v>00/00/0000</v>
      </c>
      <c r="G830" s="327"/>
      <c r="H830" s="574"/>
      <c r="I830" s="327"/>
      <c r="J830" s="601"/>
      <c r="K830" s="327"/>
      <c r="L830" s="574"/>
      <c r="M830" s="327"/>
      <c r="N830" s="594"/>
      <c r="O830" s="327"/>
      <c r="P830" s="574"/>
      <c r="Q830" s="327"/>
      <c r="R830" s="594"/>
      <c r="S830" s="327"/>
      <c r="T830" s="574"/>
      <c r="U830" s="327"/>
      <c r="V830" s="595" t="str">
        <f>'refer admin discharge'!H831</f>
        <v>00/00/0000</v>
      </c>
      <c r="W830" s="327"/>
      <c r="X830" s="596"/>
      <c r="Y830" s="327"/>
      <c r="Z830" s="597"/>
      <c r="AA830" s="327"/>
      <c r="AB830" s="596"/>
      <c r="AC830" s="327"/>
      <c r="AD830" s="577"/>
      <c r="AE830" s="327"/>
      <c r="AF830" s="596"/>
      <c r="AG830" s="327"/>
      <c r="AH830" s="577"/>
      <c r="AI830" s="327"/>
      <c r="AJ830" s="596"/>
      <c r="AK830" s="327"/>
      <c r="AL830" s="598"/>
      <c r="AM830" s="326"/>
      <c r="AN830" s="326"/>
      <c r="AO830" s="326"/>
      <c r="AP830" s="326"/>
      <c r="AQ830" s="326"/>
      <c r="AR830" s="326"/>
      <c r="AS830" s="326"/>
      <c r="AT830" s="326"/>
      <c r="AU830" s="326"/>
      <c r="AV830" s="326"/>
      <c r="AW830" s="326"/>
      <c r="AX830" s="326"/>
      <c r="AY830" s="326"/>
      <c r="AZ830" s="326"/>
      <c r="BA830" s="326"/>
      <c r="BB830" s="327"/>
    </row>
    <row r="831" spans="1:54" ht="15.75" customHeight="1" x14ac:dyDescent="0.25">
      <c r="A831" s="11">
        <f t="shared" si="3"/>
        <v>818</v>
      </c>
      <c r="B831" s="504" t="str">
        <f>'refer admin discharge'!B827</f>
        <v>x</v>
      </c>
      <c r="C831" s="327"/>
      <c r="D831" s="505" t="str">
        <f>'refer admin discharge'!D827</f>
        <v>xx</v>
      </c>
      <c r="E831" s="327"/>
      <c r="F831" s="606" t="str">
        <f>'refer admin discharge'!H827</f>
        <v>00/00/0000</v>
      </c>
      <c r="G831" s="327"/>
      <c r="H831" s="594"/>
      <c r="I831" s="327"/>
      <c r="J831" s="605"/>
      <c r="K831" s="327"/>
      <c r="L831" s="594"/>
      <c r="M831" s="327"/>
      <c r="N831" s="575"/>
      <c r="O831" s="327"/>
      <c r="P831" s="594"/>
      <c r="Q831" s="327"/>
      <c r="R831" s="575"/>
      <c r="S831" s="327"/>
      <c r="T831" s="594"/>
      <c r="U831" s="327"/>
      <c r="V831" s="595" t="str">
        <f>'refer admin discharge'!H832</f>
        <v>00/00/0000</v>
      </c>
      <c r="W831" s="327"/>
      <c r="X831" s="577"/>
      <c r="Y831" s="327"/>
      <c r="Z831" s="604"/>
      <c r="AA831" s="327"/>
      <c r="AB831" s="577"/>
      <c r="AC831" s="327"/>
      <c r="AD831" s="576"/>
      <c r="AE831" s="327"/>
      <c r="AF831" s="577"/>
      <c r="AG831" s="327"/>
      <c r="AH831" s="576"/>
      <c r="AI831" s="327"/>
      <c r="AJ831" s="577"/>
      <c r="AK831" s="327"/>
      <c r="AL831" s="602"/>
      <c r="AM831" s="326"/>
      <c r="AN831" s="326"/>
      <c r="AO831" s="326"/>
      <c r="AP831" s="326"/>
      <c r="AQ831" s="326"/>
      <c r="AR831" s="326"/>
      <c r="AS831" s="326"/>
      <c r="AT831" s="326"/>
      <c r="AU831" s="326"/>
      <c r="AV831" s="326"/>
      <c r="AW831" s="326"/>
      <c r="AX831" s="326"/>
      <c r="AY831" s="326"/>
      <c r="AZ831" s="326"/>
      <c r="BA831" s="326"/>
      <c r="BB831" s="327"/>
    </row>
    <row r="832" spans="1:54" ht="15.75" customHeight="1" x14ac:dyDescent="0.25">
      <c r="A832" s="11">
        <f t="shared" si="3"/>
        <v>819</v>
      </c>
      <c r="B832" s="570" t="str">
        <f>'refer admin discharge'!B828</f>
        <v>x</v>
      </c>
      <c r="C832" s="327"/>
      <c r="D832" s="599" t="str">
        <f>'refer admin discharge'!D828</f>
        <v>xx</v>
      </c>
      <c r="E832" s="327"/>
      <c r="F832" s="600" t="str">
        <f>'refer admin discharge'!H828</f>
        <v>00/00/0000</v>
      </c>
      <c r="G832" s="327"/>
      <c r="H832" s="574"/>
      <c r="I832" s="327"/>
      <c r="J832" s="601"/>
      <c r="K832" s="327"/>
      <c r="L832" s="574"/>
      <c r="M832" s="327"/>
      <c r="N832" s="594"/>
      <c r="O832" s="327"/>
      <c r="P832" s="574"/>
      <c r="Q832" s="327"/>
      <c r="R832" s="594"/>
      <c r="S832" s="327"/>
      <c r="T832" s="574"/>
      <c r="U832" s="327"/>
      <c r="V832" s="595" t="str">
        <f>'refer admin discharge'!H833</f>
        <v>00/00/0000</v>
      </c>
      <c r="W832" s="327"/>
      <c r="X832" s="596"/>
      <c r="Y832" s="327"/>
      <c r="Z832" s="597"/>
      <c r="AA832" s="327"/>
      <c r="AB832" s="596"/>
      <c r="AC832" s="327"/>
      <c r="AD832" s="577"/>
      <c r="AE832" s="327"/>
      <c r="AF832" s="596"/>
      <c r="AG832" s="327"/>
      <c r="AH832" s="577"/>
      <c r="AI832" s="327"/>
      <c r="AJ832" s="596"/>
      <c r="AK832" s="327"/>
      <c r="AL832" s="598"/>
      <c r="AM832" s="326"/>
      <c r="AN832" s="326"/>
      <c r="AO832" s="326"/>
      <c r="AP832" s="326"/>
      <c r="AQ832" s="326"/>
      <c r="AR832" s="326"/>
      <c r="AS832" s="326"/>
      <c r="AT832" s="326"/>
      <c r="AU832" s="326"/>
      <c r="AV832" s="326"/>
      <c r="AW832" s="326"/>
      <c r="AX832" s="326"/>
      <c r="AY832" s="326"/>
      <c r="AZ832" s="326"/>
      <c r="BA832" s="326"/>
      <c r="BB832" s="327"/>
    </row>
    <row r="833" spans="1:54" ht="15.75" customHeight="1" x14ac:dyDescent="0.25">
      <c r="A833" s="11">
        <f t="shared" si="3"/>
        <v>820</v>
      </c>
      <c r="B833" s="504" t="str">
        <f>'refer admin discharge'!B829</f>
        <v>x</v>
      </c>
      <c r="C833" s="327"/>
      <c r="D833" s="505" t="str">
        <f>'refer admin discharge'!D829</f>
        <v>xx</v>
      </c>
      <c r="E833" s="327"/>
      <c r="F833" s="606" t="str">
        <f>'refer admin discharge'!H829</f>
        <v>00/00/0000</v>
      </c>
      <c r="G833" s="327"/>
      <c r="H833" s="594"/>
      <c r="I833" s="327"/>
      <c r="J833" s="605"/>
      <c r="K833" s="327"/>
      <c r="L833" s="594"/>
      <c r="M833" s="327"/>
      <c r="N833" s="575"/>
      <c r="O833" s="327"/>
      <c r="P833" s="594"/>
      <c r="Q833" s="327"/>
      <c r="R833" s="575"/>
      <c r="S833" s="327"/>
      <c r="T833" s="594"/>
      <c r="U833" s="327"/>
      <c r="V833" s="595" t="str">
        <f>'refer admin discharge'!H834</f>
        <v>00/00/0000</v>
      </c>
      <c r="W833" s="327"/>
      <c r="X833" s="577"/>
      <c r="Y833" s="327"/>
      <c r="Z833" s="604"/>
      <c r="AA833" s="327"/>
      <c r="AB833" s="577"/>
      <c r="AC833" s="327"/>
      <c r="AD833" s="576"/>
      <c r="AE833" s="327"/>
      <c r="AF833" s="577"/>
      <c r="AG833" s="327"/>
      <c r="AH833" s="576"/>
      <c r="AI833" s="327"/>
      <c r="AJ833" s="577"/>
      <c r="AK833" s="327"/>
      <c r="AL833" s="602"/>
      <c r="AM833" s="326"/>
      <c r="AN833" s="326"/>
      <c r="AO833" s="326"/>
      <c r="AP833" s="326"/>
      <c r="AQ833" s="326"/>
      <c r="AR833" s="326"/>
      <c r="AS833" s="326"/>
      <c r="AT833" s="326"/>
      <c r="AU833" s="326"/>
      <c r="AV833" s="326"/>
      <c r="AW833" s="326"/>
      <c r="AX833" s="326"/>
      <c r="AY833" s="326"/>
      <c r="AZ833" s="326"/>
      <c r="BA833" s="326"/>
      <c r="BB833" s="327"/>
    </row>
    <row r="834" spans="1:54" ht="15.75" customHeight="1" x14ac:dyDescent="0.25">
      <c r="A834" s="11">
        <f t="shared" si="3"/>
        <v>821</v>
      </c>
      <c r="B834" s="570" t="str">
        <f>'refer admin discharge'!B830</f>
        <v>x</v>
      </c>
      <c r="C834" s="327"/>
      <c r="D834" s="599" t="str">
        <f>'refer admin discharge'!D830</f>
        <v>xx</v>
      </c>
      <c r="E834" s="327"/>
      <c r="F834" s="600" t="str">
        <f>'refer admin discharge'!H830</f>
        <v>00/00/0000</v>
      </c>
      <c r="G834" s="327"/>
      <c r="H834" s="574"/>
      <c r="I834" s="327"/>
      <c r="J834" s="601"/>
      <c r="K834" s="327"/>
      <c r="L834" s="574"/>
      <c r="M834" s="327"/>
      <c r="N834" s="594"/>
      <c r="O834" s="327"/>
      <c r="P834" s="574"/>
      <c r="Q834" s="327"/>
      <c r="R834" s="594"/>
      <c r="S834" s="327"/>
      <c r="T834" s="574"/>
      <c r="U834" s="327"/>
      <c r="V834" s="595" t="str">
        <f>'refer admin discharge'!H835</f>
        <v>00/00/0000</v>
      </c>
      <c r="W834" s="327"/>
      <c r="X834" s="596"/>
      <c r="Y834" s="327"/>
      <c r="Z834" s="597"/>
      <c r="AA834" s="327"/>
      <c r="AB834" s="596"/>
      <c r="AC834" s="327"/>
      <c r="AD834" s="577"/>
      <c r="AE834" s="327"/>
      <c r="AF834" s="596"/>
      <c r="AG834" s="327"/>
      <c r="AH834" s="577"/>
      <c r="AI834" s="327"/>
      <c r="AJ834" s="596"/>
      <c r="AK834" s="327"/>
      <c r="AL834" s="598"/>
      <c r="AM834" s="326"/>
      <c r="AN834" s="326"/>
      <c r="AO834" s="326"/>
      <c r="AP834" s="326"/>
      <c r="AQ834" s="326"/>
      <c r="AR834" s="326"/>
      <c r="AS834" s="326"/>
      <c r="AT834" s="326"/>
      <c r="AU834" s="326"/>
      <c r="AV834" s="326"/>
      <c r="AW834" s="326"/>
      <c r="AX834" s="326"/>
      <c r="AY834" s="326"/>
      <c r="AZ834" s="326"/>
      <c r="BA834" s="326"/>
      <c r="BB834" s="327"/>
    </row>
    <row r="835" spans="1:54" ht="15.75" customHeight="1" x14ac:dyDescent="0.25">
      <c r="A835" s="11">
        <f t="shared" si="3"/>
        <v>822</v>
      </c>
      <c r="B835" s="504" t="str">
        <f>'refer admin discharge'!B831</f>
        <v>x</v>
      </c>
      <c r="C835" s="327"/>
      <c r="D835" s="505" t="str">
        <f>'refer admin discharge'!D831</f>
        <v>xx</v>
      </c>
      <c r="E835" s="327"/>
      <c r="F835" s="606" t="str">
        <f>'refer admin discharge'!H831</f>
        <v>00/00/0000</v>
      </c>
      <c r="G835" s="327"/>
      <c r="H835" s="594"/>
      <c r="I835" s="327"/>
      <c r="J835" s="605"/>
      <c r="K835" s="327"/>
      <c r="L835" s="594"/>
      <c r="M835" s="327"/>
      <c r="N835" s="575"/>
      <c r="O835" s="327"/>
      <c r="P835" s="594"/>
      <c r="Q835" s="327"/>
      <c r="R835" s="575"/>
      <c r="S835" s="327"/>
      <c r="T835" s="594"/>
      <c r="U835" s="327"/>
      <c r="V835" s="595" t="str">
        <f>'refer admin discharge'!H836</f>
        <v>00/00/0000</v>
      </c>
      <c r="W835" s="327"/>
      <c r="X835" s="577"/>
      <c r="Y835" s="327"/>
      <c r="Z835" s="604"/>
      <c r="AA835" s="327"/>
      <c r="AB835" s="577"/>
      <c r="AC835" s="327"/>
      <c r="AD835" s="576"/>
      <c r="AE835" s="327"/>
      <c r="AF835" s="577"/>
      <c r="AG835" s="327"/>
      <c r="AH835" s="576"/>
      <c r="AI835" s="327"/>
      <c r="AJ835" s="577"/>
      <c r="AK835" s="327"/>
      <c r="AL835" s="602"/>
      <c r="AM835" s="326"/>
      <c r="AN835" s="326"/>
      <c r="AO835" s="326"/>
      <c r="AP835" s="326"/>
      <c r="AQ835" s="326"/>
      <c r="AR835" s="326"/>
      <c r="AS835" s="326"/>
      <c r="AT835" s="326"/>
      <c r="AU835" s="326"/>
      <c r="AV835" s="326"/>
      <c r="AW835" s="326"/>
      <c r="AX835" s="326"/>
      <c r="AY835" s="326"/>
      <c r="AZ835" s="326"/>
      <c r="BA835" s="326"/>
      <c r="BB835" s="327"/>
    </row>
    <row r="836" spans="1:54" ht="15.75" customHeight="1" x14ac:dyDescent="0.25">
      <c r="A836" s="11">
        <f t="shared" si="3"/>
        <v>823</v>
      </c>
      <c r="B836" s="570" t="str">
        <f>'refer admin discharge'!B832</f>
        <v>x</v>
      </c>
      <c r="C836" s="327"/>
      <c r="D836" s="599" t="str">
        <f>'refer admin discharge'!D832</f>
        <v>xx</v>
      </c>
      <c r="E836" s="327"/>
      <c r="F836" s="600" t="str">
        <f>'refer admin discharge'!H832</f>
        <v>00/00/0000</v>
      </c>
      <c r="G836" s="327"/>
      <c r="H836" s="574"/>
      <c r="I836" s="327"/>
      <c r="J836" s="601"/>
      <c r="K836" s="327"/>
      <c r="L836" s="574"/>
      <c r="M836" s="327"/>
      <c r="N836" s="594"/>
      <c r="O836" s="327"/>
      <c r="P836" s="574"/>
      <c r="Q836" s="327"/>
      <c r="R836" s="594"/>
      <c r="S836" s="327"/>
      <c r="T836" s="574"/>
      <c r="U836" s="327"/>
      <c r="V836" s="595" t="str">
        <f>'refer admin discharge'!H837</f>
        <v>00/00/0000</v>
      </c>
      <c r="W836" s="327"/>
      <c r="X836" s="596"/>
      <c r="Y836" s="327"/>
      <c r="Z836" s="597"/>
      <c r="AA836" s="327"/>
      <c r="AB836" s="596"/>
      <c r="AC836" s="327"/>
      <c r="AD836" s="577"/>
      <c r="AE836" s="327"/>
      <c r="AF836" s="596"/>
      <c r="AG836" s="327"/>
      <c r="AH836" s="577"/>
      <c r="AI836" s="327"/>
      <c r="AJ836" s="596"/>
      <c r="AK836" s="327"/>
      <c r="AL836" s="598"/>
      <c r="AM836" s="326"/>
      <c r="AN836" s="326"/>
      <c r="AO836" s="326"/>
      <c r="AP836" s="326"/>
      <c r="AQ836" s="326"/>
      <c r="AR836" s="326"/>
      <c r="AS836" s="326"/>
      <c r="AT836" s="326"/>
      <c r="AU836" s="326"/>
      <c r="AV836" s="326"/>
      <c r="AW836" s="326"/>
      <c r="AX836" s="326"/>
      <c r="AY836" s="326"/>
      <c r="AZ836" s="326"/>
      <c r="BA836" s="326"/>
      <c r="BB836" s="327"/>
    </row>
    <row r="837" spans="1:54" ht="15.75" customHeight="1" x14ac:dyDescent="0.25">
      <c r="A837" s="11">
        <f t="shared" si="3"/>
        <v>824</v>
      </c>
      <c r="B837" s="504" t="str">
        <f>'refer admin discharge'!B833</f>
        <v>x</v>
      </c>
      <c r="C837" s="327"/>
      <c r="D837" s="505" t="str">
        <f>'refer admin discharge'!D833</f>
        <v>xx</v>
      </c>
      <c r="E837" s="327"/>
      <c r="F837" s="606" t="str">
        <f>'refer admin discharge'!H833</f>
        <v>00/00/0000</v>
      </c>
      <c r="G837" s="327"/>
      <c r="H837" s="594"/>
      <c r="I837" s="327"/>
      <c r="J837" s="605"/>
      <c r="K837" s="327"/>
      <c r="L837" s="594"/>
      <c r="M837" s="327"/>
      <c r="N837" s="575"/>
      <c r="O837" s="327"/>
      <c r="P837" s="594"/>
      <c r="Q837" s="327"/>
      <c r="R837" s="575"/>
      <c r="S837" s="327"/>
      <c r="T837" s="594"/>
      <c r="U837" s="327"/>
      <c r="V837" s="595" t="str">
        <f>'refer admin discharge'!H838</f>
        <v>00/00/0000</v>
      </c>
      <c r="W837" s="327"/>
      <c r="X837" s="577"/>
      <c r="Y837" s="327"/>
      <c r="Z837" s="604"/>
      <c r="AA837" s="327"/>
      <c r="AB837" s="577"/>
      <c r="AC837" s="327"/>
      <c r="AD837" s="576"/>
      <c r="AE837" s="327"/>
      <c r="AF837" s="577"/>
      <c r="AG837" s="327"/>
      <c r="AH837" s="576"/>
      <c r="AI837" s="327"/>
      <c r="AJ837" s="577"/>
      <c r="AK837" s="327"/>
      <c r="AL837" s="602"/>
      <c r="AM837" s="326"/>
      <c r="AN837" s="326"/>
      <c r="AO837" s="326"/>
      <c r="AP837" s="326"/>
      <c r="AQ837" s="326"/>
      <c r="AR837" s="326"/>
      <c r="AS837" s="326"/>
      <c r="AT837" s="326"/>
      <c r="AU837" s="326"/>
      <c r="AV837" s="326"/>
      <c r="AW837" s="326"/>
      <c r="AX837" s="326"/>
      <c r="AY837" s="326"/>
      <c r="AZ837" s="326"/>
      <c r="BA837" s="326"/>
      <c r="BB837" s="327"/>
    </row>
    <row r="838" spans="1:54" ht="15.75" customHeight="1" x14ac:dyDescent="0.25">
      <c r="A838" s="11">
        <f t="shared" si="3"/>
        <v>825</v>
      </c>
      <c r="B838" s="570" t="str">
        <f>'refer admin discharge'!B834</f>
        <v>x</v>
      </c>
      <c r="C838" s="327"/>
      <c r="D838" s="599" t="str">
        <f>'refer admin discharge'!D834</f>
        <v>xx</v>
      </c>
      <c r="E838" s="327"/>
      <c r="F838" s="600" t="str">
        <f>'refer admin discharge'!H834</f>
        <v>00/00/0000</v>
      </c>
      <c r="G838" s="327"/>
      <c r="H838" s="574"/>
      <c r="I838" s="327"/>
      <c r="J838" s="601"/>
      <c r="K838" s="327"/>
      <c r="L838" s="574"/>
      <c r="M838" s="327"/>
      <c r="N838" s="594"/>
      <c r="O838" s="327"/>
      <c r="P838" s="574"/>
      <c r="Q838" s="327"/>
      <c r="R838" s="594"/>
      <c r="S838" s="327"/>
      <c r="T838" s="574"/>
      <c r="U838" s="327"/>
      <c r="V838" s="595" t="str">
        <f>'refer admin discharge'!H839</f>
        <v>00/00/0000</v>
      </c>
      <c r="W838" s="327"/>
      <c r="X838" s="596"/>
      <c r="Y838" s="327"/>
      <c r="Z838" s="597"/>
      <c r="AA838" s="327"/>
      <c r="AB838" s="596"/>
      <c r="AC838" s="327"/>
      <c r="AD838" s="577"/>
      <c r="AE838" s="327"/>
      <c r="AF838" s="596"/>
      <c r="AG838" s="327"/>
      <c r="AH838" s="577"/>
      <c r="AI838" s="327"/>
      <c r="AJ838" s="596"/>
      <c r="AK838" s="327"/>
      <c r="AL838" s="598"/>
      <c r="AM838" s="326"/>
      <c r="AN838" s="326"/>
      <c r="AO838" s="326"/>
      <c r="AP838" s="326"/>
      <c r="AQ838" s="326"/>
      <c r="AR838" s="326"/>
      <c r="AS838" s="326"/>
      <c r="AT838" s="326"/>
      <c r="AU838" s="326"/>
      <c r="AV838" s="326"/>
      <c r="AW838" s="326"/>
      <c r="AX838" s="326"/>
      <c r="AY838" s="326"/>
      <c r="AZ838" s="326"/>
      <c r="BA838" s="326"/>
      <c r="BB838" s="327"/>
    </row>
    <row r="839" spans="1:54" ht="15.75" customHeight="1" x14ac:dyDescent="0.25">
      <c r="A839" s="11">
        <f t="shared" si="3"/>
        <v>826</v>
      </c>
      <c r="B839" s="504" t="str">
        <f>'refer admin discharge'!B835</f>
        <v>x</v>
      </c>
      <c r="C839" s="327"/>
      <c r="D839" s="505" t="str">
        <f>'refer admin discharge'!D835</f>
        <v>xx</v>
      </c>
      <c r="E839" s="327"/>
      <c r="F839" s="606" t="str">
        <f>'refer admin discharge'!H835</f>
        <v>00/00/0000</v>
      </c>
      <c r="G839" s="327"/>
      <c r="H839" s="594"/>
      <c r="I839" s="327"/>
      <c r="J839" s="605"/>
      <c r="K839" s="327"/>
      <c r="L839" s="594"/>
      <c r="M839" s="327"/>
      <c r="N839" s="575"/>
      <c r="O839" s="327"/>
      <c r="P839" s="594"/>
      <c r="Q839" s="327"/>
      <c r="R839" s="575"/>
      <c r="S839" s="327"/>
      <c r="T839" s="594"/>
      <c r="U839" s="327"/>
      <c r="V839" s="595" t="str">
        <f>'refer admin discharge'!H840</f>
        <v>00/00/0000</v>
      </c>
      <c r="W839" s="327"/>
      <c r="X839" s="577"/>
      <c r="Y839" s="327"/>
      <c r="Z839" s="604"/>
      <c r="AA839" s="327"/>
      <c r="AB839" s="577"/>
      <c r="AC839" s="327"/>
      <c r="AD839" s="576"/>
      <c r="AE839" s="327"/>
      <c r="AF839" s="577"/>
      <c r="AG839" s="327"/>
      <c r="AH839" s="576"/>
      <c r="AI839" s="327"/>
      <c r="AJ839" s="577"/>
      <c r="AK839" s="327"/>
      <c r="AL839" s="602"/>
      <c r="AM839" s="326"/>
      <c r="AN839" s="326"/>
      <c r="AO839" s="326"/>
      <c r="AP839" s="326"/>
      <c r="AQ839" s="326"/>
      <c r="AR839" s="326"/>
      <c r="AS839" s="326"/>
      <c r="AT839" s="326"/>
      <c r="AU839" s="326"/>
      <c r="AV839" s="326"/>
      <c r="AW839" s="326"/>
      <c r="AX839" s="326"/>
      <c r="AY839" s="326"/>
      <c r="AZ839" s="326"/>
      <c r="BA839" s="326"/>
      <c r="BB839" s="327"/>
    </row>
    <row r="840" spans="1:54" ht="15.75" customHeight="1" x14ac:dyDescent="0.25">
      <c r="A840" s="11">
        <f t="shared" si="3"/>
        <v>827</v>
      </c>
      <c r="B840" s="570" t="str">
        <f>'refer admin discharge'!B836</f>
        <v>x</v>
      </c>
      <c r="C840" s="327"/>
      <c r="D840" s="599" t="str">
        <f>'refer admin discharge'!D836</f>
        <v>xx</v>
      </c>
      <c r="E840" s="327"/>
      <c r="F840" s="600" t="str">
        <f>'refer admin discharge'!H836</f>
        <v>00/00/0000</v>
      </c>
      <c r="G840" s="327"/>
      <c r="H840" s="574"/>
      <c r="I840" s="327"/>
      <c r="J840" s="601"/>
      <c r="K840" s="327"/>
      <c r="L840" s="574"/>
      <c r="M840" s="327"/>
      <c r="N840" s="594"/>
      <c r="O840" s="327"/>
      <c r="P840" s="574"/>
      <c r="Q840" s="327"/>
      <c r="R840" s="594"/>
      <c r="S840" s="327"/>
      <c r="T840" s="574"/>
      <c r="U840" s="327"/>
      <c r="V840" s="595" t="str">
        <f>'refer admin discharge'!H841</f>
        <v>00/00/0000</v>
      </c>
      <c r="W840" s="327"/>
      <c r="X840" s="596"/>
      <c r="Y840" s="327"/>
      <c r="Z840" s="597"/>
      <c r="AA840" s="327"/>
      <c r="AB840" s="596"/>
      <c r="AC840" s="327"/>
      <c r="AD840" s="577"/>
      <c r="AE840" s="327"/>
      <c r="AF840" s="596"/>
      <c r="AG840" s="327"/>
      <c r="AH840" s="577"/>
      <c r="AI840" s="327"/>
      <c r="AJ840" s="596"/>
      <c r="AK840" s="327"/>
      <c r="AL840" s="598"/>
      <c r="AM840" s="326"/>
      <c r="AN840" s="326"/>
      <c r="AO840" s="326"/>
      <c r="AP840" s="326"/>
      <c r="AQ840" s="326"/>
      <c r="AR840" s="326"/>
      <c r="AS840" s="326"/>
      <c r="AT840" s="326"/>
      <c r="AU840" s="326"/>
      <c r="AV840" s="326"/>
      <c r="AW840" s="326"/>
      <c r="AX840" s="326"/>
      <c r="AY840" s="326"/>
      <c r="AZ840" s="326"/>
      <c r="BA840" s="326"/>
      <c r="BB840" s="327"/>
    </row>
    <row r="841" spans="1:54" ht="15.75" customHeight="1" x14ac:dyDescent="0.25">
      <c r="A841" s="11">
        <f t="shared" si="3"/>
        <v>828</v>
      </c>
      <c r="B841" s="504" t="str">
        <f>'refer admin discharge'!B837</f>
        <v>x</v>
      </c>
      <c r="C841" s="327"/>
      <c r="D841" s="505" t="str">
        <f>'refer admin discharge'!D837</f>
        <v>xx</v>
      </c>
      <c r="E841" s="327"/>
      <c r="F841" s="606" t="str">
        <f>'refer admin discharge'!H837</f>
        <v>00/00/0000</v>
      </c>
      <c r="G841" s="327"/>
      <c r="H841" s="594"/>
      <c r="I841" s="327"/>
      <c r="J841" s="605"/>
      <c r="K841" s="327"/>
      <c r="L841" s="594"/>
      <c r="M841" s="327"/>
      <c r="N841" s="575"/>
      <c r="O841" s="327"/>
      <c r="P841" s="594"/>
      <c r="Q841" s="327"/>
      <c r="R841" s="575"/>
      <c r="S841" s="327"/>
      <c r="T841" s="594"/>
      <c r="U841" s="327"/>
      <c r="V841" s="595" t="str">
        <f>'refer admin discharge'!H842</f>
        <v>00/00/0000</v>
      </c>
      <c r="W841" s="327"/>
      <c r="X841" s="577"/>
      <c r="Y841" s="327"/>
      <c r="Z841" s="604"/>
      <c r="AA841" s="327"/>
      <c r="AB841" s="577"/>
      <c r="AC841" s="327"/>
      <c r="AD841" s="576"/>
      <c r="AE841" s="327"/>
      <c r="AF841" s="577"/>
      <c r="AG841" s="327"/>
      <c r="AH841" s="576"/>
      <c r="AI841" s="327"/>
      <c r="AJ841" s="577"/>
      <c r="AK841" s="327"/>
      <c r="AL841" s="602"/>
      <c r="AM841" s="326"/>
      <c r="AN841" s="326"/>
      <c r="AO841" s="326"/>
      <c r="AP841" s="326"/>
      <c r="AQ841" s="326"/>
      <c r="AR841" s="326"/>
      <c r="AS841" s="326"/>
      <c r="AT841" s="326"/>
      <c r="AU841" s="326"/>
      <c r="AV841" s="326"/>
      <c r="AW841" s="326"/>
      <c r="AX841" s="326"/>
      <c r="AY841" s="326"/>
      <c r="AZ841" s="326"/>
      <c r="BA841" s="326"/>
      <c r="BB841" s="327"/>
    </row>
    <row r="842" spans="1:54" ht="15.75" customHeight="1" x14ac:dyDescent="0.25">
      <c r="A842" s="11">
        <f t="shared" si="3"/>
        <v>829</v>
      </c>
      <c r="B842" s="570" t="str">
        <f>'refer admin discharge'!B838</f>
        <v>x</v>
      </c>
      <c r="C842" s="327"/>
      <c r="D842" s="599" t="str">
        <f>'refer admin discharge'!D838</f>
        <v>xx</v>
      </c>
      <c r="E842" s="327"/>
      <c r="F842" s="600" t="str">
        <f>'refer admin discharge'!H838</f>
        <v>00/00/0000</v>
      </c>
      <c r="G842" s="327"/>
      <c r="H842" s="574"/>
      <c r="I842" s="327"/>
      <c r="J842" s="601"/>
      <c r="K842" s="327"/>
      <c r="L842" s="574"/>
      <c r="M842" s="327"/>
      <c r="N842" s="594"/>
      <c r="O842" s="327"/>
      <c r="P842" s="574"/>
      <c r="Q842" s="327"/>
      <c r="R842" s="594"/>
      <c r="S842" s="327"/>
      <c r="T842" s="574"/>
      <c r="U842" s="327"/>
      <c r="V842" s="595" t="str">
        <f>'refer admin discharge'!H843</f>
        <v>00/00/0000</v>
      </c>
      <c r="W842" s="327"/>
      <c r="X842" s="596"/>
      <c r="Y842" s="327"/>
      <c r="Z842" s="597"/>
      <c r="AA842" s="327"/>
      <c r="AB842" s="596"/>
      <c r="AC842" s="327"/>
      <c r="AD842" s="577"/>
      <c r="AE842" s="327"/>
      <c r="AF842" s="596"/>
      <c r="AG842" s="327"/>
      <c r="AH842" s="577"/>
      <c r="AI842" s="327"/>
      <c r="AJ842" s="596"/>
      <c r="AK842" s="327"/>
      <c r="AL842" s="598"/>
      <c r="AM842" s="326"/>
      <c r="AN842" s="326"/>
      <c r="AO842" s="326"/>
      <c r="AP842" s="326"/>
      <c r="AQ842" s="326"/>
      <c r="AR842" s="326"/>
      <c r="AS842" s="326"/>
      <c r="AT842" s="326"/>
      <c r="AU842" s="326"/>
      <c r="AV842" s="326"/>
      <c r="AW842" s="326"/>
      <c r="AX842" s="326"/>
      <c r="AY842" s="326"/>
      <c r="AZ842" s="326"/>
      <c r="BA842" s="326"/>
      <c r="BB842" s="327"/>
    </row>
    <row r="843" spans="1:54" ht="15.75" customHeight="1" x14ac:dyDescent="0.25">
      <c r="A843" s="11">
        <f t="shared" si="3"/>
        <v>830</v>
      </c>
      <c r="B843" s="504" t="str">
        <f>'refer admin discharge'!B839</f>
        <v>x</v>
      </c>
      <c r="C843" s="327"/>
      <c r="D843" s="505" t="str">
        <f>'refer admin discharge'!D839</f>
        <v>xx</v>
      </c>
      <c r="E843" s="327"/>
      <c r="F843" s="606" t="str">
        <f>'refer admin discharge'!H839</f>
        <v>00/00/0000</v>
      </c>
      <c r="G843" s="327"/>
      <c r="H843" s="594"/>
      <c r="I843" s="327"/>
      <c r="J843" s="605"/>
      <c r="K843" s="327"/>
      <c r="L843" s="594"/>
      <c r="M843" s="327"/>
      <c r="N843" s="575"/>
      <c r="O843" s="327"/>
      <c r="P843" s="594"/>
      <c r="Q843" s="327"/>
      <c r="R843" s="575"/>
      <c r="S843" s="327"/>
      <c r="T843" s="594"/>
      <c r="U843" s="327"/>
      <c r="V843" s="595" t="str">
        <f>'refer admin discharge'!H844</f>
        <v>00/00/0000</v>
      </c>
      <c r="W843" s="327"/>
      <c r="X843" s="577"/>
      <c r="Y843" s="327"/>
      <c r="Z843" s="604"/>
      <c r="AA843" s="327"/>
      <c r="AB843" s="577"/>
      <c r="AC843" s="327"/>
      <c r="AD843" s="576"/>
      <c r="AE843" s="327"/>
      <c r="AF843" s="577"/>
      <c r="AG843" s="327"/>
      <c r="AH843" s="576"/>
      <c r="AI843" s="327"/>
      <c r="AJ843" s="577"/>
      <c r="AK843" s="327"/>
      <c r="AL843" s="602"/>
      <c r="AM843" s="326"/>
      <c r="AN843" s="326"/>
      <c r="AO843" s="326"/>
      <c r="AP843" s="326"/>
      <c r="AQ843" s="326"/>
      <c r="AR843" s="326"/>
      <c r="AS843" s="326"/>
      <c r="AT843" s="326"/>
      <c r="AU843" s="326"/>
      <c r="AV843" s="326"/>
      <c r="AW843" s="326"/>
      <c r="AX843" s="326"/>
      <c r="AY843" s="326"/>
      <c r="AZ843" s="326"/>
      <c r="BA843" s="326"/>
      <c r="BB843" s="327"/>
    </row>
    <row r="844" spans="1:54" ht="15.75" customHeight="1" x14ac:dyDescent="0.25">
      <c r="A844" s="11">
        <f t="shared" si="3"/>
        <v>831</v>
      </c>
      <c r="B844" s="570" t="str">
        <f>'refer admin discharge'!B840</f>
        <v>x</v>
      </c>
      <c r="C844" s="327"/>
      <c r="D844" s="599" t="str">
        <f>'refer admin discharge'!D840</f>
        <v>xx</v>
      </c>
      <c r="E844" s="327"/>
      <c r="F844" s="600" t="str">
        <f>'refer admin discharge'!H840</f>
        <v>00/00/0000</v>
      </c>
      <c r="G844" s="327"/>
      <c r="H844" s="574"/>
      <c r="I844" s="327"/>
      <c r="J844" s="601"/>
      <c r="K844" s="327"/>
      <c r="L844" s="574"/>
      <c r="M844" s="327"/>
      <c r="N844" s="594"/>
      <c r="O844" s="327"/>
      <c r="P844" s="574"/>
      <c r="Q844" s="327"/>
      <c r="R844" s="594"/>
      <c r="S844" s="327"/>
      <c r="T844" s="574"/>
      <c r="U844" s="327"/>
      <c r="V844" s="595" t="str">
        <f>'refer admin discharge'!H845</f>
        <v>00/00/0000</v>
      </c>
      <c r="W844" s="327"/>
      <c r="X844" s="596"/>
      <c r="Y844" s="327"/>
      <c r="Z844" s="597"/>
      <c r="AA844" s="327"/>
      <c r="AB844" s="596"/>
      <c r="AC844" s="327"/>
      <c r="AD844" s="577"/>
      <c r="AE844" s="327"/>
      <c r="AF844" s="596"/>
      <c r="AG844" s="327"/>
      <c r="AH844" s="577"/>
      <c r="AI844" s="327"/>
      <c r="AJ844" s="596"/>
      <c r="AK844" s="327"/>
      <c r="AL844" s="598"/>
      <c r="AM844" s="326"/>
      <c r="AN844" s="326"/>
      <c r="AO844" s="326"/>
      <c r="AP844" s="326"/>
      <c r="AQ844" s="326"/>
      <c r="AR844" s="326"/>
      <c r="AS844" s="326"/>
      <c r="AT844" s="326"/>
      <c r="AU844" s="326"/>
      <c r="AV844" s="326"/>
      <c r="AW844" s="326"/>
      <c r="AX844" s="326"/>
      <c r="AY844" s="326"/>
      <c r="AZ844" s="326"/>
      <c r="BA844" s="326"/>
      <c r="BB844" s="327"/>
    </row>
    <row r="845" spans="1:54" ht="15.75" customHeight="1" x14ac:dyDescent="0.25">
      <c r="A845" s="11">
        <f t="shared" si="3"/>
        <v>832</v>
      </c>
      <c r="B845" s="504" t="str">
        <f>'refer admin discharge'!B841</f>
        <v>x</v>
      </c>
      <c r="C845" s="327"/>
      <c r="D845" s="505" t="str">
        <f>'refer admin discharge'!D841</f>
        <v>xx</v>
      </c>
      <c r="E845" s="327"/>
      <c r="F845" s="606" t="str">
        <f>'refer admin discharge'!H841</f>
        <v>00/00/0000</v>
      </c>
      <c r="G845" s="327"/>
      <c r="H845" s="594"/>
      <c r="I845" s="327"/>
      <c r="J845" s="605"/>
      <c r="K845" s="327"/>
      <c r="L845" s="594"/>
      <c r="M845" s="327"/>
      <c r="N845" s="575"/>
      <c r="O845" s="327"/>
      <c r="P845" s="594"/>
      <c r="Q845" s="327"/>
      <c r="R845" s="575"/>
      <c r="S845" s="327"/>
      <c r="T845" s="594"/>
      <c r="U845" s="327"/>
      <c r="V845" s="595" t="str">
        <f>'refer admin discharge'!H846</f>
        <v>00/00/0000</v>
      </c>
      <c r="W845" s="327"/>
      <c r="X845" s="577"/>
      <c r="Y845" s="327"/>
      <c r="Z845" s="604"/>
      <c r="AA845" s="327"/>
      <c r="AB845" s="577"/>
      <c r="AC845" s="327"/>
      <c r="AD845" s="576"/>
      <c r="AE845" s="327"/>
      <c r="AF845" s="577"/>
      <c r="AG845" s="327"/>
      <c r="AH845" s="576"/>
      <c r="AI845" s="327"/>
      <c r="AJ845" s="577"/>
      <c r="AK845" s="327"/>
      <c r="AL845" s="602"/>
      <c r="AM845" s="326"/>
      <c r="AN845" s="326"/>
      <c r="AO845" s="326"/>
      <c r="AP845" s="326"/>
      <c r="AQ845" s="326"/>
      <c r="AR845" s="326"/>
      <c r="AS845" s="326"/>
      <c r="AT845" s="326"/>
      <c r="AU845" s="326"/>
      <c r="AV845" s="326"/>
      <c r="AW845" s="326"/>
      <c r="AX845" s="326"/>
      <c r="AY845" s="326"/>
      <c r="AZ845" s="326"/>
      <c r="BA845" s="326"/>
      <c r="BB845" s="327"/>
    </row>
    <row r="846" spans="1:54" ht="15.75" customHeight="1" x14ac:dyDescent="0.25">
      <c r="A846" s="11">
        <f t="shared" si="3"/>
        <v>833</v>
      </c>
      <c r="B846" s="570" t="str">
        <f>'refer admin discharge'!B842</f>
        <v>x</v>
      </c>
      <c r="C846" s="327"/>
      <c r="D846" s="599" t="str">
        <f>'refer admin discharge'!D842</f>
        <v>xx</v>
      </c>
      <c r="E846" s="327"/>
      <c r="F846" s="600" t="str">
        <f>'refer admin discharge'!H842</f>
        <v>00/00/0000</v>
      </c>
      <c r="G846" s="327"/>
      <c r="H846" s="574"/>
      <c r="I846" s="327"/>
      <c r="J846" s="601"/>
      <c r="K846" s="327"/>
      <c r="L846" s="574"/>
      <c r="M846" s="327"/>
      <c r="N846" s="594"/>
      <c r="O846" s="327"/>
      <c r="P846" s="574"/>
      <c r="Q846" s="327"/>
      <c r="R846" s="594"/>
      <c r="S846" s="327"/>
      <c r="T846" s="574"/>
      <c r="U846" s="327"/>
      <c r="V846" s="595" t="str">
        <f>'refer admin discharge'!H847</f>
        <v>00/00/0000</v>
      </c>
      <c r="W846" s="327"/>
      <c r="X846" s="596"/>
      <c r="Y846" s="327"/>
      <c r="Z846" s="597"/>
      <c r="AA846" s="327"/>
      <c r="AB846" s="596"/>
      <c r="AC846" s="327"/>
      <c r="AD846" s="577"/>
      <c r="AE846" s="327"/>
      <c r="AF846" s="596"/>
      <c r="AG846" s="327"/>
      <c r="AH846" s="577"/>
      <c r="AI846" s="327"/>
      <c r="AJ846" s="596"/>
      <c r="AK846" s="327"/>
      <c r="AL846" s="598"/>
      <c r="AM846" s="326"/>
      <c r="AN846" s="326"/>
      <c r="AO846" s="326"/>
      <c r="AP846" s="326"/>
      <c r="AQ846" s="326"/>
      <c r="AR846" s="326"/>
      <c r="AS846" s="326"/>
      <c r="AT846" s="326"/>
      <c r="AU846" s="326"/>
      <c r="AV846" s="326"/>
      <c r="AW846" s="326"/>
      <c r="AX846" s="326"/>
      <c r="AY846" s="326"/>
      <c r="AZ846" s="326"/>
      <c r="BA846" s="326"/>
      <c r="BB846" s="327"/>
    </row>
    <row r="847" spans="1:54" ht="15.75" customHeight="1" x14ac:dyDescent="0.25">
      <c r="A847" s="11">
        <f t="shared" si="3"/>
        <v>834</v>
      </c>
      <c r="B847" s="504" t="str">
        <f>'refer admin discharge'!B843</f>
        <v>x</v>
      </c>
      <c r="C847" s="327"/>
      <c r="D847" s="505" t="str">
        <f>'refer admin discharge'!D843</f>
        <v>xx</v>
      </c>
      <c r="E847" s="327"/>
      <c r="F847" s="606" t="str">
        <f>'refer admin discharge'!H843</f>
        <v>00/00/0000</v>
      </c>
      <c r="G847" s="327"/>
      <c r="H847" s="594"/>
      <c r="I847" s="327"/>
      <c r="J847" s="605"/>
      <c r="K847" s="327"/>
      <c r="L847" s="594"/>
      <c r="M847" s="327"/>
      <c r="N847" s="575"/>
      <c r="O847" s="327"/>
      <c r="P847" s="594"/>
      <c r="Q847" s="327"/>
      <c r="R847" s="575"/>
      <c r="S847" s="327"/>
      <c r="T847" s="594"/>
      <c r="U847" s="327"/>
      <c r="V847" s="595" t="str">
        <f>'refer admin discharge'!H848</f>
        <v>00/00/0000</v>
      </c>
      <c r="W847" s="327"/>
      <c r="X847" s="577"/>
      <c r="Y847" s="327"/>
      <c r="Z847" s="604"/>
      <c r="AA847" s="327"/>
      <c r="AB847" s="577"/>
      <c r="AC847" s="327"/>
      <c r="AD847" s="576"/>
      <c r="AE847" s="327"/>
      <c r="AF847" s="577"/>
      <c r="AG847" s="327"/>
      <c r="AH847" s="576"/>
      <c r="AI847" s="327"/>
      <c r="AJ847" s="577"/>
      <c r="AK847" s="327"/>
      <c r="AL847" s="602"/>
      <c r="AM847" s="326"/>
      <c r="AN847" s="326"/>
      <c r="AO847" s="326"/>
      <c r="AP847" s="326"/>
      <c r="AQ847" s="326"/>
      <c r="AR847" s="326"/>
      <c r="AS847" s="326"/>
      <c r="AT847" s="326"/>
      <c r="AU847" s="326"/>
      <c r="AV847" s="326"/>
      <c r="AW847" s="326"/>
      <c r="AX847" s="326"/>
      <c r="AY847" s="326"/>
      <c r="AZ847" s="326"/>
      <c r="BA847" s="326"/>
      <c r="BB847" s="327"/>
    </row>
    <row r="848" spans="1:54" ht="15.75" customHeight="1" x14ac:dyDescent="0.25">
      <c r="A848" s="11">
        <f t="shared" si="3"/>
        <v>835</v>
      </c>
      <c r="B848" s="570" t="str">
        <f>'refer admin discharge'!B844</f>
        <v>x</v>
      </c>
      <c r="C848" s="327"/>
      <c r="D848" s="599" t="str">
        <f>'refer admin discharge'!D844</f>
        <v>xx</v>
      </c>
      <c r="E848" s="327"/>
      <c r="F848" s="600" t="str">
        <f>'refer admin discharge'!H844</f>
        <v>00/00/0000</v>
      </c>
      <c r="G848" s="327"/>
      <c r="H848" s="574"/>
      <c r="I848" s="327"/>
      <c r="J848" s="601"/>
      <c r="K848" s="327"/>
      <c r="L848" s="574"/>
      <c r="M848" s="327"/>
      <c r="N848" s="594"/>
      <c r="O848" s="327"/>
      <c r="P848" s="574"/>
      <c r="Q848" s="327"/>
      <c r="R848" s="594"/>
      <c r="S848" s="327"/>
      <c r="T848" s="574"/>
      <c r="U848" s="327"/>
      <c r="V848" s="595" t="str">
        <f>'refer admin discharge'!H849</f>
        <v>00/00/0000</v>
      </c>
      <c r="W848" s="327"/>
      <c r="X848" s="596"/>
      <c r="Y848" s="327"/>
      <c r="Z848" s="597"/>
      <c r="AA848" s="327"/>
      <c r="AB848" s="596"/>
      <c r="AC848" s="327"/>
      <c r="AD848" s="577"/>
      <c r="AE848" s="327"/>
      <c r="AF848" s="596"/>
      <c r="AG848" s="327"/>
      <c r="AH848" s="577"/>
      <c r="AI848" s="327"/>
      <c r="AJ848" s="596"/>
      <c r="AK848" s="327"/>
      <c r="AL848" s="598"/>
      <c r="AM848" s="326"/>
      <c r="AN848" s="326"/>
      <c r="AO848" s="326"/>
      <c r="AP848" s="326"/>
      <c r="AQ848" s="326"/>
      <c r="AR848" s="326"/>
      <c r="AS848" s="326"/>
      <c r="AT848" s="326"/>
      <c r="AU848" s="326"/>
      <c r="AV848" s="326"/>
      <c r="AW848" s="326"/>
      <c r="AX848" s="326"/>
      <c r="AY848" s="326"/>
      <c r="AZ848" s="326"/>
      <c r="BA848" s="326"/>
      <c r="BB848" s="327"/>
    </row>
    <row r="849" spans="1:54" ht="15.75" customHeight="1" x14ac:dyDescent="0.25">
      <c r="A849" s="11">
        <f t="shared" si="3"/>
        <v>836</v>
      </c>
      <c r="B849" s="504" t="str">
        <f>'refer admin discharge'!B845</f>
        <v>x</v>
      </c>
      <c r="C849" s="327"/>
      <c r="D849" s="505" t="str">
        <f>'refer admin discharge'!D845</f>
        <v>xx</v>
      </c>
      <c r="E849" s="327"/>
      <c r="F849" s="606" t="str">
        <f>'refer admin discharge'!H845</f>
        <v>00/00/0000</v>
      </c>
      <c r="G849" s="327"/>
      <c r="H849" s="594"/>
      <c r="I849" s="327"/>
      <c r="J849" s="605"/>
      <c r="K849" s="327"/>
      <c r="L849" s="594"/>
      <c r="M849" s="327"/>
      <c r="N849" s="575"/>
      <c r="O849" s="327"/>
      <c r="P849" s="594"/>
      <c r="Q849" s="327"/>
      <c r="R849" s="575"/>
      <c r="S849" s="327"/>
      <c r="T849" s="594"/>
      <c r="U849" s="327"/>
      <c r="V849" s="595" t="str">
        <f>'refer admin discharge'!H850</f>
        <v>00/00/0000</v>
      </c>
      <c r="W849" s="327"/>
      <c r="X849" s="577"/>
      <c r="Y849" s="327"/>
      <c r="Z849" s="604"/>
      <c r="AA849" s="327"/>
      <c r="AB849" s="577"/>
      <c r="AC849" s="327"/>
      <c r="AD849" s="576"/>
      <c r="AE849" s="327"/>
      <c r="AF849" s="577"/>
      <c r="AG849" s="327"/>
      <c r="AH849" s="576"/>
      <c r="AI849" s="327"/>
      <c r="AJ849" s="577"/>
      <c r="AK849" s="327"/>
      <c r="AL849" s="602"/>
      <c r="AM849" s="326"/>
      <c r="AN849" s="326"/>
      <c r="AO849" s="326"/>
      <c r="AP849" s="326"/>
      <c r="AQ849" s="326"/>
      <c r="AR849" s="326"/>
      <c r="AS849" s="326"/>
      <c r="AT849" s="326"/>
      <c r="AU849" s="326"/>
      <c r="AV849" s="326"/>
      <c r="AW849" s="326"/>
      <c r="AX849" s="326"/>
      <c r="AY849" s="326"/>
      <c r="AZ849" s="326"/>
      <c r="BA849" s="326"/>
      <c r="BB849" s="327"/>
    </row>
    <row r="850" spans="1:54" ht="15.75" customHeight="1" x14ac:dyDescent="0.25">
      <c r="A850" s="11">
        <f t="shared" si="3"/>
        <v>837</v>
      </c>
      <c r="B850" s="570" t="str">
        <f>'refer admin discharge'!B846</f>
        <v>x</v>
      </c>
      <c r="C850" s="327"/>
      <c r="D850" s="599" t="str">
        <f>'refer admin discharge'!D846</f>
        <v>xx</v>
      </c>
      <c r="E850" s="327"/>
      <c r="F850" s="600" t="str">
        <f>'refer admin discharge'!H846</f>
        <v>00/00/0000</v>
      </c>
      <c r="G850" s="327"/>
      <c r="H850" s="574"/>
      <c r="I850" s="327"/>
      <c r="J850" s="601"/>
      <c r="K850" s="327"/>
      <c r="L850" s="574"/>
      <c r="M850" s="327"/>
      <c r="N850" s="594"/>
      <c r="O850" s="327"/>
      <c r="P850" s="574"/>
      <c r="Q850" s="327"/>
      <c r="R850" s="594"/>
      <c r="S850" s="327"/>
      <c r="T850" s="574"/>
      <c r="U850" s="327"/>
      <c r="V850" s="595" t="str">
        <f>'refer admin discharge'!H851</f>
        <v>00/00/0000</v>
      </c>
      <c r="W850" s="327"/>
      <c r="X850" s="596"/>
      <c r="Y850" s="327"/>
      <c r="Z850" s="597"/>
      <c r="AA850" s="327"/>
      <c r="AB850" s="596"/>
      <c r="AC850" s="327"/>
      <c r="AD850" s="577"/>
      <c r="AE850" s="327"/>
      <c r="AF850" s="596"/>
      <c r="AG850" s="327"/>
      <c r="AH850" s="577"/>
      <c r="AI850" s="327"/>
      <c r="AJ850" s="596"/>
      <c r="AK850" s="327"/>
      <c r="AL850" s="598"/>
      <c r="AM850" s="326"/>
      <c r="AN850" s="326"/>
      <c r="AO850" s="326"/>
      <c r="AP850" s="326"/>
      <c r="AQ850" s="326"/>
      <c r="AR850" s="326"/>
      <c r="AS850" s="326"/>
      <c r="AT850" s="326"/>
      <c r="AU850" s="326"/>
      <c r="AV850" s="326"/>
      <c r="AW850" s="326"/>
      <c r="AX850" s="326"/>
      <c r="AY850" s="326"/>
      <c r="AZ850" s="326"/>
      <c r="BA850" s="326"/>
      <c r="BB850" s="327"/>
    </row>
    <row r="851" spans="1:54" ht="15.75" customHeight="1" x14ac:dyDescent="0.25">
      <c r="A851" s="11">
        <f t="shared" si="3"/>
        <v>838</v>
      </c>
      <c r="B851" s="504" t="str">
        <f>'refer admin discharge'!B847</f>
        <v>x</v>
      </c>
      <c r="C851" s="327"/>
      <c r="D851" s="505" t="str">
        <f>'refer admin discharge'!D847</f>
        <v>xx</v>
      </c>
      <c r="E851" s="327"/>
      <c r="F851" s="606" t="str">
        <f>'refer admin discharge'!H847</f>
        <v>00/00/0000</v>
      </c>
      <c r="G851" s="327"/>
      <c r="H851" s="594"/>
      <c r="I851" s="327"/>
      <c r="J851" s="605"/>
      <c r="K851" s="327"/>
      <c r="L851" s="594"/>
      <c r="M851" s="327"/>
      <c r="N851" s="575"/>
      <c r="O851" s="327"/>
      <c r="P851" s="594"/>
      <c r="Q851" s="327"/>
      <c r="R851" s="575"/>
      <c r="S851" s="327"/>
      <c r="T851" s="594"/>
      <c r="U851" s="327"/>
      <c r="V851" s="595" t="str">
        <f>'refer admin discharge'!H852</f>
        <v>00/00/0000</v>
      </c>
      <c r="W851" s="327"/>
      <c r="X851" s="577"/>
      <c r="Y851" s="327"/>
      <c r="Z851" s="604"/>
      <c r="AA851" s="327"/>
      <c r="AB851" s="577"/>
      <c r="AC851" s="327"/>
      <c r="AD851" s="576"/>
      <c r="AE851" s="327"/>
      <c r="AF851" s="577"/>
      <c r="AG851" s="327"/>
      <c r="AH851" s="576"/>
      <c r="AI851" s="327"/>
      <c r="AJ851" s="577"/>
      <c r="AK851" s="327"/>
      <c r="AL851" s="602"/>
      <c r="AM851" s="326"/>
      <c r="AN851" s="326"/>
      <c r="AO851" s="326"/>
      <c r="AP851" s="326"/>
      <c r="AQ851" s="326"/>
      <c r="AR851" s="326"/>
      <c r="AS851" s="326"/>
      <c r="AT851" s="326"/>
      <c r="AU851" s="326"/>
      <c r="AV851" s="326"/>
      <c r="AW851" s="326"/>
      <c r="AX851" s="326"/>
      <c r="AY851" s="326"/>
      <c r="AZ851" s="326"/>
      <c r="BA851" s="326"/>
      <c r="BB851" s="327"/>
    </row>
    <row r="852" spans="1:54" ht="15.75" customHeight="1" x14ac:dyDescent="0.25">
      <c r="A852" s="11">
        <f t="shared" si="3"/>
        <v>839</v>
      </c>
      <c r="B852" s="570" t="str">
        <f>'refer admin discharge'!B848</f>
        <v>x</v>
      </c>
      <c r="C852" s="327"/>
      <c r="D852" s="599" t="str">
        <f>'refer admin discharge'!D848</f>
        <v>xx</v>
      </c>
      <c r="E852" s="327"/>
      <c r="F852" s="600" t="str">
        <f>'refer admin discharge'!H848</f>
        <v>00/00/0000</v>
      </c>
      <c r="G852" s="327"/>
      <c r="H852" s="574"/>
      <c r="I852" s="327"/>
      <c r="J852" s="601"/>
      <c r="K852" s="327"/>
      <c r="L852" s="574"/>
      <c r="M852" s="327"/>
      <c r="N852" s="594"/>
      <c r="O852" s="327"/>
      <c r="P852" s="574"/>
      <c r="Q852" s="327"/>
      <c r="R852" s="594"/>
      <c r="S852" s="327"/>
      <c r="T852" s="574"/>
      <c r="U852" s="327"/>
      <c r="V852" s="595" t="str">
        <f>'refer admin discharge'!H853</f>
        <v>00/00/0000</v>
      </c>
      <c r="W852" s="327"/>
      <c r="X852" s="596"/>
      <c r="Y852" s="327"/>
      <c r="Z852" s="597"/>
      <c r="AA852" s="327"/>
      <c r="AB852" s="596"/>
      <c r="AC852" s="327"/>
      <c r="AD852" s="577"/>
      <c r="AE852" s="327"/>
      <c r="AF852" s="596"/>
      <c r="AG852" s="327"/>
      <c r="AH852" s="577"/>
      <c r="AI852" s="327"/>
      <c r="AJ852" s="596"/>
      <c r="AK852" s="327"/>
      <c r="AL852" s="598"/>
      <c r="AM852" s="326"/>
      <c r="AN852" s="326"/>
      <c r="AO852" s="326"/>
      <c r="AP852" s="326"/>
      <c r="AQ852" s="326"/>
      <c r="AR852" s="326"/>
      <c r="AS852" s="326"/>
      <c r="AT852" s="326"/>
      <c r="AU852" s="326"/>
      <c r="AV852" s="326"/>
      <c r="AW852" s="326"/>
      <c r="AX852" s="326"/>
      <c r="AY852" s="326"/>
      <c r="AZ852" s="326"/>
      <c r="BA852" s="326"/>
      <c r="BB852" s="327"/>
    </row>
    <row r="853" spans="1:54" ht="15.75" customHeight="1" x14ac:dyDescent="0.25">
      <c r="A853" s="11">
        <f t="shared" si="3"/>
        <v>840</v>
      </c>
      <c r="B853" s="504" t="str">
        <f>'refer admin discharge'!B849</f>
        <v>x</v>
      </c>
      <c r="C853" s="327"/>
      <c r="D853" s="505" t="str">
        <f>'refer admin discharge'!D849</f>
        <v>xx</v>
      </c>
      <c r="E853" s="327"/>
      <c r="F853" s="606" t="str">
        <f>'refer admin discharge'!H849</f>
        <v>00/00/0000</v>
      </c>
      <c r="G853" s="327"/>
      <c r="H853" s="594"/>
      <c r="I853" s="327"/>
      <c r="J853" s="605"/>
      <c r="K853" s="327"/>
      <c r="L853" s="594"/>
      <c r="M853" s="327"/>
      <c r="N853" s="575"/>
      <c r="O853" s="327"/>
      <c r="P853" s="594"/>
      <c r="Q853" s="327"/>
      <c r="R853" s="575"/>
      <c r="S853" s="327"/>
      <c r="T853" s="594"/>
      <c r="U853" s="327"/>
      <c r="V853" s="595" t="str">
        <f>'refer admin discharge'!H854</f>
        <v>00/00/0000</v>
      </c>
      <c r="W853" s="327"/>
      <c r="X853" s="577"/>
      <c r="Y853" s="327"/>
      <c r="Z853" s="604"/>
      <c r="AA853" s="327"/>
      <c r="AB853" s="577"/>
      <c r="AC853" s="327"/>
      <c r="AD853" s="576"/>
      <c r="AE853" s="327"/>
      <c r="AF853" s="577"/>
      <c r="AG853" s="327"/>
      <c r="AH853" s="576"/>
      <c r="AI853" s="327"/>
      <c r="AJ853" s="577"/>
      <c r="AK853" s="327"/>
      <c r="AL853" s="602"/>
      <c r="AM853" s="326"/>
      <c r="AN853" s="326"/>
      <c r="AO853" s="326"/>
      <c r="AP853" s="326"/>
      <c r="AQ853" s="326"/>
      <c r="AR853" s="326"/>
      <c r="AS853" s="326"/>
      <c r="AT853" s="326"/>
      <c r="AU853" s="326"/>
      <c r="AV853" s="326"/>
      <c r="AW853" s="326"/>
      <c r="AX853" s="326"/>
      <c r="AY853" s="326"/>
      <c r="AZ853" s="326"/>
      <c r="BA853" s="326"/>
      <c r="BB853" s="327"/>
    </row>
    <row r="854" spans="1:54" ht="15.75" customHeight="1" x14ac:dyDescent="0.25">
      <c r="A854" s="11">
        <f t="shared" si="3"/>
        <v>841</v>
      </c>
      <c r="B854" s="570" t="str">
        <f>'refer admin discharge'!B850</f>
        <v>x</v>
      </c>
      <c r="C854" s="327"/>
      <c r="D854" s="599" t="str">
        <f>'refer admin discharge'!D850</f>
        <v>xx</v>
      </c>
      <c r="E854" s="327"/>
      <c r="F854" s="600" t="str">
        <f>'refer admin discharge'!H850</f>
        <v>00/00/0000</v>
      </c>
      <c r="G854" s="327"/>
      <c r="H854" s="574"/>
      <c r="I854" s="327"/>
      <c r="J854" s="601"/>
      <c r="K854" s="327"/>
      <c r="L854" s="574"/>
      <c r="M854" s="327"/>
      <c r="N854" s="594"/>
      <c r="O854" s="327"/>
      <c r="P854" s="574"/>
      <c r="Q854" s="327"/>
      <c r="R854" s="594"/>
      <c r="S854" s="327"/>
      <c r="T854" s="574"/>
      <c r="U854" s="327"/>
      <c r="V854" s="595" t="str">
        <f>'refer admin discharge'!H855</f>
        <v>00/00/0000</v>
      </c>
      <c r="W854" s="327"/>
      <c r="X854" s="596"/>
      <c r="Y854" s="327"/>
      <c r="Z854" s="597"/>
      <c r="AA854" s="327"/>
      <c r="AB854" s="596"/>
      <c r="AC854" s="327"/>
      <c r="AD854" s="577"/>
      <c r="AE854" s="327"/>
      <c r="AF854" s="596"/>
      <c r="AG854" s="327"/>
      <c r="AH854" s="577"/>
      <c r="AI854" s="327"/>
      <c r="AJ854" s="596"/>
      <c r="AK854" s="327"/>
      <c r="AL854" s="598"/>
      <c r="AM854" s="326"/>
      <c r="AN854" s="326"/>
      <c r="AO854" s="326"/>
      <c r="AP854" s="326"/>
      <c r="AQ854" s="326"/>
      <c r="AR854" s="326"/>
      <c r="AS854" s="326"/>
      <c r="AT854" s="326"/>
      <c r="AU854" s="326"/>
      <c r="AV854" s="326"/>
      <c r="AW854" s="326"/>
      <c r="AX854" s="326"/>
      <c r="AY854" s="326"/>
      <c r="AZ854" s="326"/>
      <c r="BA854" s="326"/>
      <c r="BB854" s="327"/>
    </row>
    <row r="855" spans="1:54" ht="15.75" customHeight="1" x14ac:dyDescent="0.25">
      <c r="A855" s="11">
        <f t="shared" si="3"/>
        <v>842</v>
      </c>
      <c r="B855" s="504" t="str">
        <f>'refer admin discharge'!B851</f>
        <v>x</v>
      </c>
      <c r="C855" s="327"/>
      <c r="D855" s="505" t="str">
        <f>'refer admin discharge'!D851</f>
        <v>xx</v>
      </c>
      <c r="E855" s="327"/>
      <c r="F855" s="606" t="str">
        <f>'refer admin discharge'!H851</f>
        <v>00/00/0000</v>
      </c>
      <c r="G855" s="327"/>
      <c r="H855" s="594"/>
      <c r="I855" s="327"/>
      <c r="J855" s="605"/>
      <c r="K855" s="327"/>
      <c r="L855" s="594"/>
      <c r="M855" s="327"/>
      <c r="N855" s="575"/>
      <c r="O855" s="327"/>
      <c r="P855" s="594"/>
      <c r="Q855" s="327"/>
      <c r="R855" s="575"/>
      <c r="S855" s="327"/>
      <c r="T855" s="594"/>
      <c r="U855" s="327"/>
      <c r="V855" s="595" t="str">
        <f>'refer admin discharge'!H856</f>
        <v>00/00/0000</v>
      </c>
      <c r="W855" s="327"/>
      <c r="X855" s="577"/>
      <c r="Y855" s="327"/>
      <c r="Z855" s="604"/>
      <c r="AA855" s="327"/>
      <c r="AB855" s="577"/>
      <c r="AC855" s="327"/>
      <c r="AD855" s="576"/>
      <c r="AE855" s="327"/>
      <c r="AF855" s="577"/>
      <c r="AG855" s="327"/>
      <c r="AH855" s="576"/>
      <c r="AI855" s="327"/>
      <c r="AJ855" s="577"/>
      <c r="AK855" s="327"/>
      <c r="AL855" s="602"/>
      <c r="AM855" s="326"/>
      <c r="AN855" s="326"/>
      <c r="AO855" s="326"/>
      <c r="AP855" s="326"/>
      <c r="AQ855" s="326"/>
      <c r="AR855" s="326"/>
      <c r="AS855" s="326"/>
      <c r="AT855" s="326"/>
      <c r="AU855" s="326"/>
      <c r="AV855" s="326"/>
      <c r="AW855" s="326"/>
      <c r="AX855" s="326"/>
      <c r="AY855" s="326"/>
      <c r="AZ855" s="326"/>
      <c r="BA855" s="326"/>
      <c r="BB855" s="327"/>
    </row>
    <row r="856" spans="1:54" ht="15.75" customHeight="1" x14ac:dyDescent="0.25">
      <c r="A856" s="11">
        <f t="shared" si="3"/>
        <v>843</v>
      </c>
      <c r="B856" s="570" t="str">
        <f>'refer admin discharge'!B852</f>
        <v>x</v>
      </c>
      <c r="C856" s="327"/>
      <c r="D856" s="599" t="str">
        <f>'refer admin discharge'!D852</f>
        <v>xx</v>
      </c>
      <c r="E856" s="327"/>
      <c r="F856" s="600" t="str">
        <f>'refer admin discharge'!H852</f>
        <v>00/00/0000</v>
      </c>
      <c r="G856" s="327"/>
      <c r="H856" s="574"/>
      <c r="I856" s="327"/>
      <c r="J856" s="601"/>
      <c r="K856" s="327"/>
      <c r="L856" s="574"/>
      <c r="M856" s="327"/>
      <c r="N856" s="594"/>
      <c r="O856" s="327"/>
      <c r="P856" s="574"/>
      <c r="Q856" s="327"/>
      <c r="R856" s="594"/>
      <c r="S856" s="327"/>
      <c r="T856" s="574"/>
      <c r="U856" s="327"/>
      <c r="V856" s="595" t="str">
        <f>'refer admin discharge'!H857</f>
        <v>00/00/0000</v>
      </c>
      <c r="W856" s="327"/>
      <c r="X856" s="596"/>
      <c r="Y856" s="327"/>
      <c r="Z856" s="597"/>
      <c r="AA856" s="327"/>
      <c r="AB856" s="596"/>
      <c r="AC856" s="327"/>
      <c r="AD856" s="577"/>
      <c r="AE856" s="327"/>
      <c r="AF856" s="596"/>
      <c r="AG856" s="327"/>
      <c r="AH856" s="577"/>
      <c r="AI856" s="327"/>
      <c r="AJ856" s="596"/>
      <c r="AK856" s="327"/>
      <c r="AL856" s="598"/>
      <c r="AM856" s="326"/>
      <c r="AN856" s="326"/>
      <c r="AO856" s="326"/>
      <c r="AP856" s="326"/>
      <c r="AQ856" s="326"/>
      <c r="AR856" s="326"/>
      <c r="AS856" s="326"/>
      <c r="AT856" s="326"/>
      <c r="AU856" s="326"/>
      <c r="AV856" s="326"/>
      <c r="AW856" s="326"/>
      <c r="AX856" s="326"/>
      <c r="AY856" s="326"/>
      <c r="AZ856" s="326"/>
      <c r="BA856" s="326"/>
      <c r="BB856" s="327"/>
    </row>
    <row r="857" spans="1:54" ht="15.75" customHeight="1" x14ac:dyDescent="0.25">
      <c r="A857" s="11">
        <f t="shared" si="3"/>
        <v>844</v>
      </c>
      <c r="B857" s="504" t="str">
        <f>'refer admin discharge'!B853</f>
        <v>x</v>
      </c>
      <c r="C857" s="327"/>
      <c r="D857" s="505" t="str">
        <f>'refer admin discharge'!D853</f>
        <v>xx</v>
      </c>
      <c r="E857" s="327"/>
      <c r="F857" s="606" t="str">
        <f>'refer admin discharge'!H853</f>
        <v>00/00/0000</v>
      </c>
      <c r="G857" s="327"/>
      <c r="H857" s="594"/>
      <c r="I857" s="327"/>
      <c r="J857" s="605"/>
      <c r="K857" s="327"/>
      <c r="L857" s="594"/>
      <c r="M857" s="327"/>
      <c r="N857" s="575"/>
      <c r="O857" s="327"/>
      <c r="P857" s="594"/>
      <c r="Q857" s="327"/>
      <c r="R857" s="575"/>
      <c r="S857" s="327"/>
      <c r="T857" s="594"/>
      <c r="U857" s="327"/>
      <c r="V857" s="595" t="str">
        <f>'refer admin discharge'!H858</f>
        <v>00/00/0000</v>
      </c>
      <c r="W857" s="327"/>
      <c r="X857" s="577"/>
      <c r="Y857" s="327"/>
      <c r="Z857" s="604"/>
      <c r="AA857" s="327"/>
      <c r="AB857" s="577"/>
      <c r="AC857" s="327"/>
      <c r="AD857" s="576"/>
      <c r="AE857" s="327"/>
      <c r="AF857" s="577"/>
      <c r="AG857" s="327"/>
      <c r="AH857" s="576"/>
      <c r="AI857" s="327"/>
      <c r="AJ857" s="577"/>
      <c r="AK857" s="327"/>
      <c r="AL857" s="602"/>
      <c r="AM857" s="326"/>
      <c r="AN857" s="326"/>
      <c r="AO857" s="326"/>
      <c r="AP857" s="326"/>
      <c r="AQ857" s="326"/>
      <c r="AR857" s="326"/>
      <c r="AS857" s="326"/>
      <c r="AT857" s="326"/>
      <c r="AU857" s="326"/>
      <c r="AV857" s="326"/>
      <c r="AW857" s="326"/>
      <c r="AX857" s="326"/>
      <c r="AY857" s="326"/>
      <c r="AZ857" s="326"/>
      <c r="BA857" s="326"/>
      <c r="BB857" s="327"/>
    </row>
    <row r="858" spans="1:54" ht="15.75" customHeight="1" x14ac:dyDescent="0.25">
      <c r="A858" s="11">
        <f t="shared" si="3"/>
        <v>845</v>
      </c>
      <c r="B858" s="570" t="str">
        <f>'refer admin discharge'!B854</f>
        <v>x</v>
      </c>
      <c r="C858" s="327"/>
      <c r="D858" s="599" t="str">
        <f>'refer admin discharge'!D854</f>
        <v>xx</v>
      </c>
      <c r="E858" s="327"/>
      <c r="F858" s="600" t="str">
        <f>'refer admin discharge'!H854</f>
        <v>00/00/0000</v>
      </c>
      <c r="G858" s="327"/>
      <c r="H858" s="574"/>
      <c r="I858" s="327"/>
      <c r="J858" s="601"/>
      <c r="K858" s="327"/>
      <c r="L858" s="574"/>
      <c r="M858" s="327"/>
      <c r="N858" s="594"/>
      <c r="O858" s="327"/>
      <c r="P858" s="574"/>
      <c r="Q858" s="327"/>
      <c r="R858" s="594"/>
      <c r="S858" s="327"/>
      <c r="T858" s="574"/>
      <c r="U858" s="327"/>
      <c r="V858" s="595" t="str">
        <f>'refer admin discharge'!H859</f>
        <v>00/00/0000</v>
      </c>
      <c r="W858" s="327"/>
      <c r="X858" s="596"/>
      <c r="Y858" s="327"/>
      <c r="Z858" s="597"/>
      <c r="AA858" s="327"/>
      <c r="AB858" s="596"/>
      <c r="AC858" s="327"/>
      <c r="AD858" s="577"/>
      <c r="AE858" s="327"/>
      <c r="AF858" s="596"/>
      <c r="AG858" s="327"/>
      <c r="AH858" s="577"/>
      <c r="AI858" s="327"/>
      <c r="AJ858" s="596"/>
      <c r="AK858" s="327"/>
      <c r="AL858" s="598"/>
      <c r="AM858" s="326"/>
      <c r="AN858" s="326"/>
      <c r="AO858" s="326"/>
      <c r="AP858" s="326"/>
      <c r="AQ858" s="326"/>
      <c r="AR858" s="326"/>
      <c r="AS858" s="326"/>
      <c r="AT858" s="326"/>
      <c r="AU858" s="326"/>
      <c r="AV858" s="326"/>
      <c r="AW858" s="326"/>
      <c r="AX858" s="326"/>
      <c r="AY858" s="326"/>
      <c r="AZ858" s="326"/>
      <c r="BA858" s="326"/>
      <c r="BB858" s="327"/>
    </row>
    <row r="859" spans="1:54" ht="15.75" customHeight="1" x14ac:dyDescent="0.25">
      <c r="A859" s="11">
        <f t="shared" si="3"/>
        <v>846</v>
      </c>
      <c r="B859" s="504" t="str">
        <f>'refer admin discharge'!B855</f>
        <v>x</v>
      </c>
      <c r="C859" s="327"/>
      <c r="D859" s="505" t="str">
        <f>'refer admin discharge'!D855</f>
        <v>xx</v>
      </c>
      <c r="E859" s="327"/>
      <c r="F859" s="606" t="str">
        <f>'refer admin discharge'!H855</f>
        <v>00/00/0000</v>
      </c>
      <c r="G859" s="327"/>
      <c r="H859" s="594"/>
      <c r="I859" s="327"/>
      <c r="J859" s="605"/>
      <c r="K859" s="327"/>
      <c r="L859" s="594"/>
      <c r="M859" s="327"/>
      <c r="N859" s="575"/>
      <c r="O859" s="327"/>
      <c r="P859" s="594"/>
      <c r="Q859" s="327"/>
      <c r="R859" s="575"/>
      <c r="S859" s="327"/>
      <c r="T859" s="594"/>
      <c r="U859" s="327"/>
      <c r="V859" s="595" t="str">
        <f>'refer admin discharge'!H860</f>
        <v>00/00/0000</v>
      </c>
      <c r="W859" s="327"/>
      <c r="X859" s="577"/>
      <c r="Y859" s="327"/>
      <c r="Z859" s="604"/>
      <c r="AA859" s="327"/>
      <c r="AB859" s="577"/>
      <c r="AC859" s="327"/>
      <c r="AD859" s="576"/>
      <c r="AE859" s="327"/>
      <c r="AF859" s="577"/>
      <c r="AG859" s="327"/>
      <c r="AH859" s="576"/>
      <c r="AI859" s="327"/>
      <c r="AJ859" s="577"/>
      <c r="AK859" s="327"/>
      <c r="AL859" s="602"/>
      <c r="AM859" s="326"/>
      <c r="AN859" s="326"/>
      <c r="AO859" s="326"/>
      <c r="AP859" s="326"/>
      <c r="AQ859" s="326"/>
      <c r="AR859" s="326"/>
      <c r="AS859" s="326"/>
      <c r="AT859" s="326"/>
      <c r="AU859" s="326"/>
      <c r="AV859" s="326"/>
      <c r="AW859" s="326"/>
      <c r="AX859" s="326"/>
      <c r="AY859" s="326"/>
      <c r="AZ859" s="326"/>
      <c r="BA859" s="326"/>
      <c r="BB859" s="327"/>
    </row>
    <row r="860" spans="1:54" ht="15.75" customHeight="1" x14ac:dyDescent="0.25">
      <c r="A860" s="11">
        <f t="shared" si="3"/>
        <v>847</v>
      </c>
      <c r="B860" s="570" t="str">
        <f>'refer admin discharge'!B856</f>
        <v>x</v>
      </c>
      <c r="C860" s="327"/>
      <c r="D860" s="599" t="str">
        <f>'refer admin discharge'!D856</f>
        <v>xx</v>
      </c>
      <c r="E860" s="327"/>
      <c r="F860" s="600" t="str">
        <f>'refer admin discharge'!H856</f>
        <v>00/00/0000</v>
      </c>
      <c r="G860" s="327"/>
      <c r="H860" s="574"/>
      <c r="I860" s="327"/>
      <c r="J860" s="601"/>
      <c r="K860" s="327"/>
      <c r="L860" s="574"/>
      <c r="M860" s="327"/>
      <c r="N860" s="594"/>
      <c r="O860" s="327"/>
      <c r="P860" s="574"/>
      <c r="Q860" s="327"/>
      <c r="R860" s="594"/>
      <c r="S860" s="327"/>
      <c r="T860" s="574"/>
      <c r="U860" s="327"/>
      <c r="V860" s="595" t="str">
        <f>'refer admin discharge'!H861</f>
        <v>00/00/0000</v>
      </c>
      <c r="W860" s="327"/>
      <c r="X860" s="596"/>
      <c r="Y860" s="327"/>
      <c r="Z860" s="597"/>
      <c r="AA860" s="327"/>
      <c r="AB860" s="596"/>
      <c r="AC860" s="327"/>
      <c r="AD860" s="577"/>
      <c r="AE860" s="327"/>
      <c r="AF860" s="596"/>
      <c r="AG860" s="327"/>
      <c r="AH860" s="577"/>
      <c r="AI860" s="327"/>
      <c r="AJ860" s="596"/>
      <c r="AK860" s="327"/>
      <c r="AL860" s="598"/>
      <c r="AM860" s="326"/>
      <c r="AN860" s="326"/>
      <c r="AO860" s="326"/>
      <c r="AP860" s="326"/>
      <c r="AQ860" s="326"/>
      <c r="AR860" s="326"/>
      <c r="AS860" s="326"/>
      <c r="AT860" s="326"/>
      <c r="AU860" s="326"/>
      <c r="AV860" s="326"/>
      <c r="AW860" s="326"/>
      <c r="AX860" s="326"/>
      <c r="AY860" s="326"/>
      <c r="AZ860" s="326"/>
      <c r="BA860" s="326"/>
      <c r="BB860" s="327"/>
    </row>
    <row r="861" spans="1:54" ht="15.75" customHeight="1" x14ac:dyDescent="0.25">
      <c r="A861" s="11">
        <f t="shared" si="3"/>
        <v>848</v>
      </c>
      <c r="B861" s="504" t="str">
        <f>'refer admin discharge'!B857</f>
        <v>x</v>
      </c>
      <c r="C861" s="327"/>
      <c r="D861" s="505" t="str">
        <f>'refer admin discharge'!D857</f>
        <v>xx</v>
      </c>
      <c r="E861" s="327"/>
      <c r="F861" s="606" t="str">
        <f>'refer admin discharge'!H857</f>
        <v>00/00/0000</v>
      </c>
      <c r="G861" s="327"/>
      <c r="H861" s="594"/>
      <c r="I861" s="327"/>
      <c r="J861" s="605"/>
      <c r="K861" s="327"/>
      <c r="L861" s="594"/>
      <c r="M861" s="327"/>
      <c r="N861" s="575"/>
      <c r="O861" s="327"/>
      <c r="P861" s="594"/>
      <c r="Q861" s="327"/>
      <c r="R861" s="575"/>
      <c r="S861" s="327"/>
      <c r="T861" s="594"/>
      <c r="U861" s="327"/>
      <c r="V861" s="595" t="str">
        <f>'refer admin discharge'!H862</f>
        <v>00/00/0000</v>
      </c>
      <c r="W861" s="327"/>
      <c r="X861" s="577"/>
      <c r="Y861" s="327"/>
      <c r="Z861" s="604"/>
      <c r="AA861" s="327"/>
      <c r="AB861" s="577"/>
      <c r="AC861" s="327"/>
      <c r="AD861" s="576"/>
      <c r="AE861" s="327"/>
      <c r="AF861" s="577"/>
      <c r="AG861" s="327"/>
      <c r="AH861" s="576"/>
      <c r="AI861" s="327"/>
      <c r="AJ861" s="577"/>
      <c r="AK861" s="327"/>
      <c r="AL861" s="602"/>
      <c r="AM861" s="326"/>
      <c r="AN861" s="326"/>
      <c r="AO861" s="326"/>
      <c r="AP861" s="326"/>
      <c r="AQ861" s="326"/>
      <c r="AR861" s="326"/>
      <c r="AS861" s="326"/>
      <c r="AT861" s="326"/>
      <c r="AU861" s="326"/>
      <c r="AV861" s="326"/>
      <c r="AW861" s="326"/>
      <c r="AX861" s="326"/>
      <c r="AY861" s="326"/>
      <c r="AZ861" s="326"/>
      <c r="BA861" s="326"/>
      <c r="BB861" s="327"/>
    </row>
    <row r="862" spans="1:54" ht="15.75" customHeight="1" x14ac:dyDescent="0.25">
      <c r="A862" s="11">
        <f t="shared" si="3"/>
        <v>849</v>
      </c>
      <c r="B862" s="570" t="str">
        <f>'refer admin discharge'!B858</f>
        <v>x</v>
      </c>
      <c r="C862" s="327"/>
      <c r="D862" s="599" t="str">
        <f>'refer admin discharge'!D858</f>
        <v>xx</v>
      </c>
      <c r="E862" s="327"/>
      <c r="F862" s="600" t="str">
        <f>'refer admin discharge'!H858</f>
        <v>00/00/0000</v>
      </c>
      <c r="G862" s="327"/>
      <c r="H862" s="574"/>
      <c r="I862" s="327"/>
      <c r="J862" s="601"/>
      <c r="K862" s="327"/>
      <c r="L862" s="574"/>
      <c r="M862" s="327"/>
      <c r="N862" s="594"/>
      <c r="O862" s="327"/>
      <c r="P862" s="574"/>
      <c r="Q862" s="327"/>
      <c r="R862" s="594"/>
      <c r="S862" s="327"/>
      <c r="T862" s="574"/>
      <c r="U862" s="327"/>
      <c r="V862" s="595" t="str">
        <f>'refer admin discharge'!H863</f>
        <v>00/00/0000</v>
      </c>
      <c r="W862" s="327"/>
      <c r="X862" s="596"/>
      <c r="Y862" s="327"/>
      <c r="Z862" s="597"/>
      <c r="AA862" s="327"/>
      <c r="AB862" s="596"/>
      <c r="AC862" s="327"/>
      <c r="AD862" s="577"/>
      <c r="AE862" s="327"/>
      <c r="AF862" s="596"/>
      <c r="AG862" s="327"/>
      <c r="AH862" s="577"/>
      <c r="AI862" s="327"/>
      <c r="AJ862" s="596"/>
      <c r="AK862" s="327"/>
      <c r="AL862" s="598"/>
      <c r="AM862" s="326"/>
      <c r="AN862" s="326"/>
      <c r="AO862" s="326"/>
      <c r="AP862" s="326"/>
      <c r="AQ862" s="326"/>
      <c r="AR862" s="326"/>
      <c r="AS862" s="326"/>
      <c r="AT862" s="326"/>
      <c r="AU862" s="326"/>
      <c r="AV862" s="326"/>
      <c r="AW862" s="326"/>
      <c r="AX862" s="326"/>
      <c r="AY862" s="326"/>
      <c r="AZ862" s="326"/>
      <c r="BA862" s="326"/>
      <c r="BB862" s="327"/>
    </row>
    <row r="863" spans="1:54" ht="15.75" customHeight="1" x14ac:dyDescent="0.25">
      <c r="A863" s="11">
        <f t="shared" si="3"/>
        <v>850</v>
      </c>
      <c r="B863" s="504" t="str">
        <f>'refer admin discharge'!B859</f>
        <v>x</v>
      </c>
      <c r="C863" s="327"/>
      <c r="D863" s="505" t="str">
        <f>'refer admin discharge'!D859</f>
        <v>xx</v>
      </c>
      <c r="E863" s="327"/>
      <c r="F863" s="606" t="str">
        <f>'refer admin discharge'!H859</f>
        <v>00/00/0000</v>
      </c>
      <c r="G863" s="327"/>
      <c r="H863" s="594"/>
      <c r="I863" s="327"/>
      <c r="J863" s="605"/>
      <c r="K863" s="327"/>
      <c r="L863" s="594"/>
      <c r="M863" s="327"/>
      <c r="N863" s="575"/>
      <c r="O863" s="327"/>
      <c r="P863" s="594"/>
      <c r="Q863" s="327"/>
      <c r="R863" s="575"/>
      <c r="S863" s="327"/>
      <c r="T863" s="594"/>
      <c r="U863" s="327"/>
      <c r="V863" s="595" t="str">
        <f>'refer admin discharge'!H864</f>
        <v>00/00/0000</v>
      </c>
      <c r="W863" s="327"/>
      <c r="X863" s="577"/>
      <c r="Y863" s="327"/>
      <c r="Z863" s="604"/>
      <c r="AA863" s="327"/>
      <c r="AB863" s="577"/>
      <c r="AC863" s="327"/>
      <c r="AD863" s="576"/>
      <c r="AE863" s="327"/>
      <c r="AF863" s="577"/>
      <c r="AG863" s="327"/>
      <c r="AH863" s="576"/>
      <c r="AI863" s="327"/>
      <c r="AJ863" s="577"/>
      <c r="AK863" s="327"/>
      <c r="AL863" s="602"/>
      <c r="AM863" s="326"/>
      <c r="AN863" s="326"/>
      <c r="AO863" s="326"/>
      <c r="AP863" s="326"/>
      <c r="AQ863" s="326"/>
      <c r="AR863" s="326"/>
      <c r="AS863" s="326"/>
      <c r="AT863" s="326"/>
      <c r="AU863" s="326"/>
      <c r="AV863" s="326"/>
      <c r="AW863" s="326"/>
      <c r="AX863" s="326"/>
      <c r="AY863" s="326"/>
      <c r="AZ863" s="326"/>
      <c r="BA863" s="326"/>
      <c r="BB863" s="327"/>
    </row>
    <row r="864" spans="1:54" ht="15.75" customHeight="1" x14ac:dyDescent="0.25">
      <c r="A864" s="11">
        <f t="shared" si="3"/>
        <v>851</v>
      </c>
      <c r="B864" s="570" t="str">
        <f>'refer admin discharge'!B860</f>
        <v>x</v>
      </c>
      <c r="C864" s="327"/>
      <c r="D864" s="599" t="str">
        <f>'refer admin discharge'!D860</f>
        <v>xx</v>
      </c>
      <c r="E864" s="327"/>
      <c r="F864" s="600" t="str">
        <f>'refer admin discharge'!H860</f>
        <v>00/00/0000</v>
      </c>
      <c r="G864" s="327"/>
      <c r="H864" s="574"/>
      <c r="I864" s="327"/>
      <c r="J864" s="601"/>
      <c r="K864" s="327"/>
      <c r="L864" s="574"/>
      <c r="M864" s="327"/>
      <c r="N864" s="594"/>
      <c r="O864" s="327"/>
      <c r="P864" s="574"/>
      <c r="Q864" s="327"/>
      <c r="R864" s="594"/>
      <c r="S864" s="327"/>
      <c r="T864" s="574"/>
      <c r="U864" s="327"/>
      <c r="V864" s="595" t="str">
        <f>'refer admin discharge'!H865</f>
        <v>00/00/0000</v>
      </c>
      <c r="W864" s="327"/>
      <c r="X864" s="596"/>
      <c r="Y864" s="327"/>
      <c r="Z864" s="597"/>
      <c r="AA864" s="327"/>
      <c r="AB864" s="596"/>
      <c r="AC864" s="327"/>
      <c r="AD864" s="577"/>
      <c r="AE864" s="327"/>
      <c r="AF864" s="596"/>
      <c r="AG864" s="327"/>
      <c r="AH864" s="577"/>
      <c r="AI864" s="327"/>
      <c r="AJ864" s="596"/>
      <c r="AK864" s="327"/>
      <c r="AL864" s="598"/>
      <c r="AM864" s="326"/>
      <c r="AN864" s="326"/>
      <c r="AO864" s="326"/>
      <c r="AP864" s="326"/>
      <c r="AQ864" s="326"/>
      <c r="AR864" s="326"/>
      <c r="AS864" s="326"/>
      <c r="AT864" s="326"/>
      <c r="AU864" s="326"/>
      <c r="AV864" s="326"/>
      <c r="AW864" s="326"/>
      <c r="AX864" s="326"/>
      <c r="AY864" s="326"/>
      <c r="AZ864" s="326"/>
      <c r="BA864" s="326"/>
      <c r="BB864" s="327"/>
    </row>
    <row r="865" spans="1:54" ht="15.75" customHeight="1" x14ac:dyDescent="0.25">
      <c r="A865" s="11">
        <f t="shared" si="3"/>
        <v>852</v>
      </c>
      <c r="B865" s="504" t="str">
        <f>'refer admin discharge'!B861</f>
        <v>x</v>
      </c>
      <c r="C865" s="327"/>
      <c r="D865" s="505" t="str">
        <f>'refer admin discharge'!D861</f>
        <v>xx</v>
      </c>
      <c r="E865" s="327"/>
      <c r="F865" s="606" t="str">
        <f>'refer admin discharge'!H861</f>
        <v>00/00/0000</v>
      </c>
      <c r="G865" s="327"/>
      <c r="H865" s="594"/>
      <c r="I865" s="327"/>
      <c r="J865" s="605"/>
      <c r="K865" s="327"/>
      <c r="L865" s="594"/>
      <c r="M865" s="327"/>
      <c r="N865" s="575"/>
      <c r="O865" s="327"/>
      <c r="P865" s="594"/>
      <c r="Q865" s="327"/>
      <c r="R865" s="575"/>
      <c r="S865" s="327"/>
      <c r="T865" s="594"/>
      <c r="U865" s="327"/>
      <c r="V865" s="595" t="str">
        <f>'refer admin discharge'!H866</f>
        <v>00/00/0000</v>
      </c>
      <c r="W865" s="327"/>
      <c r="X865" s="577"/>
      <c r="Y865" s="327"/>
      <c r="Z865" s="604"/>
      <c r="AA865" s="327"/>
      <c r="AB865" s="577"/>
      <c r="AC865" s="327"/>
      <c r="AD865" s="576"/>
      <c r="AE865" s="327"/>
      <c r="AF865" s="577"/>
      <c r="AG865" s="327"/>
      <c r="AH865" s="576"/>
      <c r="AI865" s="327"/>
      <c r="AJ865" s="577"/>
      <c r="AK865" s="327"/>
      <c r="AL865" s="602"/>
      <c r="AM865" s="326"/>
      <c r="AN865" s="326"/>
      <c r="AO865" s="326"/>
      <c r="AP865" s="326"/>
      <c r="AQ865" s="326"/>
      <c r="AR865" s="326"/>
      <c r="AS865" s="326"/>
      <c r="AT865" s="326"/>
      <c r="AU865" s="326"/>
      <c r="AV865" s="326"/>
      <c r="AW865" s="326"/>
      <c r="AX865" s="326"/>
      <c r="AY865" s="326"/>
      <c r="AZ865" s="326"/>
      <c r="BA865" s="326"/>
      <c r="BB865" s="327"/>
    </row>
    <row r="866" spans="1:54" ht="15.75" customHeight="1" x14ac:dyDescent="0.25">
      <c r="A866" s="11">
        <f t="shared" si="3"/>
        <v>853</v>
      </c>
      <c r="B866" s="570" t="str">
        <f>'refer admin discharge'!B862</f>
        <v>x</v>
      </c>
      <c r="C866" s="327"/>
      <c r="D866" s="599" t="str">
        <f>'refer admin discharge'!D862</f>
        <v>xx</v>
      </c>
      <c r="E866" s="327"/>
      <c r="F866" s="600" t="str">
        <f>'refer admin discharge'!H862</f>
        <v>00/00/0000</v>
      </c>
      <c r="G866" s="327"/>
      <c r="H866" s="574"/>
      <c r="I866" s="327"/>
      <c r="J866" s="601"/>
      <c r="K866" s="327"/>
      <c r="L866" s="574"/>
      <c r="M866" s="327"/>
      <c r="N866" s="594"/>
      <c r="O866" s="327"/>
      <c r="P866" s="574"/>
      <c r="Q866" s="327"/>
      <c r="R866" s="594"/>
      <c r="S866" s="327"/>
      <c r="T866" s="574"/>
      <c r="U866" s="327"/>
      <c r="V866" s="595" t="str">
        <f>'refer admin discharge'!H867</f>
        <v>00/00/0000</v>
      </c>
      <c r="W866" s="327"/>
      <c r="X866" s="596"/>
      <c r="Y866" s="327"/>
      <c r="Z866" s="597"/>
      <c r="AA866" s="327"/>
      <c r="AB866" s="596"/>
      <c r="AC866" s="327"/>
      <c r="AD866" s="577"/>
      <c r="AE866" s="327"/>
      <c r="AF866" s="596"/>
      <c r="AG866" s="327"/>
      <c r="AH866" s="577"/>
      <c r="AI866" s="327"/>
      <c r="AJ866" s="596"/>
      <c r="AK866" s="327"/>
      <c r="AL866" s="598"/>
      <c r="AM866" s="326"/>
      <c r="AN866" s="326"/>
      <c r="AO866" s="326"/>
      <c r="AP866" s="326"/>
      <c r="AQ866" s="326"/>
      <c r="AR866" s="326"/>
      <c r="AS866" s="326"/>
      <c r="AT866" s="326"/>
      <c r="AU866" s="326"/>
      <c r="AV866" s="326"/>
      <c r="AW866" s="326"/>
      <c r="AX866" s="326"/>
      <c r="AY866" s="326"/>
      <c r="AZ866" s="326"/>
      <c r="BA866" s="326"/>
      <c r="BB866" s="327"/>
    </row>
    <row r="867" spans="1:54" ht="15.75" customHeight="1" x14ac:dyDescent="0.25">
      <c r="A867" s="11">
        <f t="shared" si="3"/>
        <v>854</v>
      </c>
      <c r="B867" s="504" t="str">
        <f>'refer admin discharge'!B863</f>
        <v>x</v>
      </c>
      <c r="C867" s="327"/>
      <c r="D867" s="505" t="str">
        <f>'refer admin discharge'!D863</f>
        <v>xx</v>
      </c>
      <c r="E867" s="327"/>
      <c r="F867" s="606" t="str">
        <f>'refer admin discharge'!H863</f>
        <v>00/00/0000</v>
      </c>
      <c r="G867" s="327"/>
      <c r="H867" s="594"/>
      <c r="I867" s="327"/>
      <c r="J867" s="605"/>
      <c r="K867" s="327"/>
      <c r="L867" s="594"/>
      <c r="M867" s="327"/>
      <c r="N867" s="575"/>
      <c r="O867" s="327"/>
      <c r="P867" s="594"/>
      <c r="Q867" s="327"/>
      <c r="R867" s="575"/>
      <c r="S867" s="327"/>
      <c r="T867" s="594"/>
      <c r="U867" s="327"/>
      <c r="V867" s="595" t="str">
        <f>'refer admin discharge'!H868</f>
        <v>00/00/0000</v>
      </c>
      <c r="W867" s="327"/>
      <c r="X867" s="577"/>
      <c r="Y867" s="327"/>
      <c r="Z867" s="604"/>
      <c r="AA867" s="327"/>
      <c r="AB867" s="577"/>
      <c r="AC867" s="327"/>
      <c r="AD867" s="576"/>
      <c r="AE867" s="327"/>
      <c r="AF867" s="577"/>
      <c r="AG867" s="327"/>
      <c r="AH867" s="576"/>
      <c r="AI867" s="327"/>
      <c r="AJ867" s="577"/>
      <c r="AK867" s="327"/>
      <c r="AL867" s="602"/>
      <c r="AM867" s="326"/>
      <c r="AN867" s="326"/>
      <c r="AO867" s="326"/>
      <c r="AP867" s="326"/>
      <c r="AQ867" s="326"/>
      <c r="AR867" s="326"/>
      <c r="AS867" s="326"/>
      <c r="AT867" s="326"/>
      <c r="AU867" s="326"/>
      <c r="AV867" s="326"/>
      <c r="AW867" s="326"/>
      <c r="AX867" s="326"/>
      <c r="AY867" s="326"/>
      <c r="AZ867" s="326"/>
      <c r="BA867" s="326"/>
      <c r="BB867" s="327"/>
    </row>
    <row r="868" spans="1:54" ht="15.75" customHeight="1" x14ac:dyDescent="0.25">
      <c r="A868" s="11">
        <f t="shared" si="3"/>
        <v>855</v>
      </c>
      <c r="B868" s="570" t="str">
        <f>'refer admin discharge'!B864</f>
        <v>x</v>
      </c>
      <c r="C868" s="327"/>
      <c r="D868" s="599" t="str">
        <f>'refer admin discharge'!D864</f>
        <v>xx</v>
      </c>
      <c r="E868" s="327"/>
      <c r="F868" s="600" t="str">
        <f>'refer admin discharge'!H864</f>
        <v>00/00/0000</v>
      </c>
      <c r="G868" s="327"/>
      <c r="H868" s="574"/>
      <c r="I868" s="327"/>
      <c r="J868" s="601"/>
      <c r="K868" s="327"/>
      <c r="L868" s="574"/>
      <c r="M868" s="327"/>
      <c r="N868" s="594"/>
      <c r="O868" s="327"/>
      <c r="P868" s="574"/>
      <c r="Q868" s="327"/>
      <c r="R868" s="594"/>
      <c r="S868" s="327"/>
      <c r="T868" s="574"/>
      <c r="U868" s="327"/>
      <c r="V868" s="595" t="str">
        <f>'refer admin discharge'!H869</f>
        <v>00/00/0000</v>
      </c>
      <c r="W868" s="327"/>
      <c r="X868" s="596"/>
      <c r="Y868" s="327"/>
      <c r="Z868" s="597"/>
      <c r="AA868" s="327"/>
      <c r="AB868" s="596"/>
      <c r="AC868" s="327"/>
      <c r="AD868" s="577"/>
      <c r="AE868" s="327"/>
      <c r="AF868" s="596"/>
      <c r="AG868" s="327"/>
      <c r="AH868" s="577"/>
      <c r="AI868" s="327"/>
      <c r="AJ868" s="596"/>
      <c r="AK868" s="327"/>
      <c r="AL868" s="598"/>
      <c r="AM868" s="326"/>
      <c r="AN868" s="326"/>
      <c r="AO868" s="326"/>
      <c r="AP868" s="326"/>
      <c r="AQ868" s="326"/>
      <c r="AR868" s="326"/>
      <c r="AS868" s="326"/>
      <c r="AT868" s="326"/>
      <c r="AU868" s="326"/>
      <c r="AV868" s="326"/>
      <c r="AW868" s="326"/>
      <c r="AX868" s="326"/>
      <c r="AY868" s="326"/>
      <c r="AZ868" s="326"/>
      <c r="BA868" s="326"/>
      <c r="BB868" s="327"/>
    </row>
    <row r="869" spans="1:54" ht="15.75" customHeight="1" x14ac:dyDescent="0.25">
      <c r="A869" s="11">
        <f t="shared" si="3"/>
        <v>856</v>
      </c>
      <c r="B869" s="504" t="str">
        <f>'refer admin discharge'!B865</f>
        <v>x</v>
      </c>
      <c r="C869" s="327"/>
      <c r="D869" s="505" t="str">
        <f>'refer admin discharge'!D865</f>
        <v>xx</v>
      </c>
      <c r="E869" s="327"/>
      <c r="F869" s="606" t="str">
        <f>'refer admin discharge'!H865</f>
        <v>00/00/0000</v>
      </c>
      <c r="G869" s="327"/>
      <c r="H869" s="594"/>
      <c r="I869" s="327"/>
      <c r="J869" s="605"/>
      <c r="K869" s="327"/>
      <c r="L869" s="594"/>
      <c r="M869" s="327"/>
      <c r="N869" s="575"/>
      <c r="O869" s="327"/>
      <c r="P869" s="594"/>
      <c r="Q869" s="327"/>
      <c r="R869" s="575"/>
      <c r="S869" s="327"/>
      <c r="T869" s="594"/>
      <c r="U869" s="327"/>
      <c r="V869" s="595" t="str">
        <f>'refer admin discharge'!H870</f>
        <v>00/00/0000</v>
      </c>
      <c r="W869" s="327"/>
      <c r="X869" s="577"/>
      <c r="Y869" s="327"/>
      <c r="Z869" s="604"/>
      <c r="AA869" s="327"/>
      <c r="AB869" s="577"/>
      <c r="AC869" s="327"/>
      <c r="AD869" s="576"/>
      <c r="AE869" s="327"/>
      <c r="AF869" s="577"/>
      <c r="AG869" s="327"/>
      <c r="AH869" s="576"/>
      <c r="AI869" s="327"/>
      <c r="AJ869" s="577"/>
      <c r="AK869" s="327"/>
      <c r="AL869" s="602"/>
      <c r="AM869" s="326"/>
      <c r="AN869" s="326"/>
      <c r="AO869" s="326"/>
      <c r="AP869" s="326"/>
      <c r="AQ869" s="326"/>
      <c r="AR869" s="326"/>
      <c r="AS869" s="326"/>
      <c r="AT869" s="326"/>
      <c r="AU869" s="326"/>
      <c r="AV869" s="326"/>
      <c r="AW869" s="326"/>
      <c r="AX869" s="326"/>
      <c r="AY869" s="326"/>
      <c r="AZ869" s="326"/>
      <c r="BA869" s="326"/>
      <c r="BB869" s="327"/>
    </row>
    <row r="870" spans="1:54" ht="15.75" customHeight="1" x14ac:dyDescent="0.25">
      <c r="A870" s="11">
        <f t="shared" si="3"/>
        <v>857</v>
      </c>
      <c r="B870" s="570" t="str">
        <f>'refer admin discharge'!B866</f>
        <v>x</v>
      </c>
      <c r="C870" s="327"/>
      <c r="D870" s="599" t="str">
        <f>'refer admin discharge'!D866</f>
        <v>xx</v>
      </c>
      <c r="E870" s="327"/>
      <c r="F870" s="600" t="str">
        <f>'refer admin discharge'!H866</f>
        <v>00/00/0000</v>
      </c>
      <c r="G870" s="327"/>
      <c r="H870" s="574"/>
      <c r="I870" s="327"/>
      <c r="J870" s="601"/>
      <c r="K870" s="327"/>
      <c r="L870" s="574"/>
      <c r="M870" s="327"/>
      <c r="N870" s="594"/>
      <c r="O870" s="327"/>
      <c r="P870" s="574"/>
      <c r="Q870" s="327"/>
      <c r="R870" s="594"/>
      <c r="S870" s="327"/>
      <c r="T870" s="574"/>
      <c r="U870" s="327"/>
      <c r="V870" s="595" t="str">
        <f>'refer admin discharge'!H871</f>
        <v>00/00/0000</v>
      </c>
      <c r="W870" s="327"/>
      <c r="X870" s="596"/>
      <c r="Y870" s="327"/>
      <c r="Z870" s="597"/>
      <c r="AA870" s="327"/>
      <c r="AB870" s="596"/>
      <c r="AC870" s="327"/>
      <c r="AD870" s="577"/>
      <c r="AE870" s="327"/>
      <c r="AF870" s="596"/>
      <c r="AG870" s="327"/>
      <c r="AH870" s="577"/>
      <c r="AI870" s="327"/>
      <c r="AJ870" s="596"/>
      <c r="AK870" s="327"/>
      <c r="AL870" s="598"/>
      <c r="AM870" s="326"/>
      <c r="AN870" s="326"/>
      <c r="AO870" s="326"/>
      <c r="AP870" s="326"/>
      <c r="AQ870" s="326"/>
      <c r="AR870" s="326"/>
      <c r="AS870" s="326"/>
      <c r="AT870" s="326"/>
      <c r="AU870" s="326"/>
      <c r="AV870" s="326"/>
      <c r="AW870" s="326"/>
      <c r="AX870" s="326"/>
      <c r="AY870" s="326"/>
      <c r="AZ870" s="326"/>
      <c r="BA870" s="326"/>
      <c r="BB870" s="327"/>
    </row>
    <row r="871" spans="1:54" ht="15.75" customHeight="1" x14ac:dyDescent="0.25">
      <c r="A871" s="11">
        <f t="shared" si="3"/>
        <v>858</v>
      </c>
      <c r="B871" s="504" t="str">
        <f>'refer admin discharge'!B867</f>
        <v>x</v>
      </c>
      <c r="C871" s="327"/>
      <c r="D871" s="505" t="str">
        <f>'refer admin discharge'!D867</f>
        <v>xx</v>
      </c>
      <c r="E871" s="327"/>
      <c r="F871" s="606" t="str">
        <f>'refer admin discharge'!H867</f>
        <v>00/00/0000</v>
      </c>
      <c r="G871" s="327"/>
      <c r="H871" s="594"/>
      <c r="I871" s="327"/>
      <c r="J871" s="605"/>
      <c r="K871" s="327"/>
      <c r="L871" s="594"/>
      <c r="M871" s="327"/>
      <c r="N871" s="575"/>
      <c r="O871" s="327"/>
      <c r="P871" s="594"/>
      <c r="Q871" s="327"/>
      <c r="R871" s="575"/>
      <c r="S871" s="327"/>
      <c r="T871" s="594"/>
      <c r="U871" s="327"/>
      <c r="V871" s="595" t="str">
        <f>'refer admin discharge'!H872</f>
        <v>00/00/0000</v>
      </c>
      <c r="W871" s="327"/>
      <c r="X871" s="577"/>
      <c r="Y871" s="327"/>
      <c r="Z871" s="604"/>
      <c r="AA871" s="327"/>
      <c r="AB871" s="577"/>
      <c r="AC871" s="327"/>
      <c r="AD871" s="576"/>
      <c r="AE871" s="327"/>
      <c r="AF871" s="577"/>
      <c r="AG871" s="327"/>
      <c r="AH871" s="576"/>
      <c r="AI871" s="327"/>
      <c r="AJ871" s="577"/>
      <c r="AK871" s="327"/>
      <c r="AL871" s="602"/>
      <c r="AM871" s="326"/>
      <c r="AN871" s="326"/>
      <c r="AO871" s="326"/>
      <c r="AP871" s="326"/>
      <c r="AQ871" s="326"/>
      <c r="AR871" s="326"/>
      <c r="AS871" s="326"/>
      <c r="AT871" s="326"/>
      <c r="AU871" s="326"/>
      <c r="AV871" s="326"/>
      <c r="AW871" s="326"/>
      <c r="AX871" s="326"/>
      <c r="AY871" s="326"/>
      <c r="AZ871" s="326"/>
      <c r="BA871" s="326"/>
      <c r="BB871" s="327"/>
    </row>
    <row r="872" spans="1:54" ht="15.75" customHeight="1" x14ac:dyDescent="0.25">
      <c r="A872" s="11">
        <f t="shared" si="3"/>
        <v>859</v>
      </c>
      <c r="B872" s="570" t="str">
        <f>'refer admin discharge'!B868</f>
        <v>x</v>
      </c>
      <c r="C872" s="327"/>
      <c r="D872" s="599" t="str">
        <f>'refer admin discharge'!D868</f>
        <v>xx</v>
      </c>
      <c r="E872" s="327"/>
      <c r="F872" s="600" t="str">
        <f>'refer admin discharge'!H868</f>
        <v>00/00/0000</v>
      </c>
      <c r="G872" s="327"/>
      <c r="H872" s="574"/>
      <c r="I872" s="327"/>
      <c r="J872" s="601"/>
      <c r="K872" s="327"/>
      <c r="L872" s="574"/>
      <c r="M872" s="327"/>
      <c r="N872" s="594"/>
      <c r="O872" s="327"/>
      <c r="P872" s="574"/>
      <c r="Q872" s="327"/>
      <c r="R872" s="594"/>
      <c r="S872" s="327"/>
      <c r="T872" s="574"/>
      <c r="U872" s="327"/>
      <c r="V872" s="595" t="str">
        <f>'refer admin discharge'!H873</f>
        <v>00/00/0000</v>
      </c>
      <c r="W872" s="327"/>
      <c r="X872" s="596"/>
      <c r="Y872" s="327"/>
      <c r="Z872" s="597"/>
      <c r="AA872" s="327"/>
      <c r="AB872" s="596"/>
      <c r="AC872" s="327"/>
      <c r="AD872" s="577"/>
      <c r="AE872" s="327"/>
      <c r="AF872" s="596"/>
      <c r="AG872" s="327"/>
      <c r="AH872" s="577"/>
      <c r="AI872" s="327"/>
      <c r="AJ872" s="596"/>
      <c r="AK872" s="327"/>
      <c r="AL872" s="598"/>
      <c r="AM872" s="326"/>
      <c r="AN872" s="326"/>
      <c r="AO872" s="326"/>
      <c r="AP872" s="326"/>
      <c r="AQ872" s="326"/>
      <c r="AR872" s="326"/>
      <c r="AS872" s="326"/>
      <c r="AT872" s="326"/>
      <c r="AU872" s="326"/>
      <c r="AV872" s="326"/>
      <c r="AW872" s="326"/>
      <c r="AX872" s="326"/>
      <c r="AY872" s="326"/>
      <c r="AZ872" s="326"/>
      <c r="BA872" s="326"/>
      <c r="BB872" s="327"/>
    </row>
    <row r="873" spans="1:54" ht="15.75" customHeight="1" x14ac:dyDescent="0.25">
      <c r="A873" s="11">
        <f t="shared" si="3"/>
        <v>860</v>
      </c>
      <c r="B873" s="504" t="str">
        <f>'refer admin discharge'!B869</f>
        <v>x</v>
      </c>
      <c r="C873" s="327"/>
      <c r="D873" s="505" t="str">
        <f>'refer admin discharge'!D869</f>
        <v>xx</v>
      </c>
      <c r="E873" s="327"/>
      <c r="F873" s="606" t="str">
        <f>'refer admin discharge'!H869</f>
        <v>00/00/0000</v>
      </c>
      <c r="G873" s="327"/>
      <c r="H873" s="594"/>
      <c r="I873" s="327"/>
      <c r="J873" s="605"/>
      <c r="K873" s="327"/>
      <c r="L873" s="594"/>
      <c r="M873" s="327"/>
      <c r="N873" s="575"/>
      <c r="O873" s="327"/>
      <c r="P873" s="594"/>
      <c r="Q873" s="327"/>
      <c r="R873" s="575"/>
      <c r="S873" s="327"/>
      <c r="T873" s="594"/>
      <c r="U873" s="327"/>
      <c r="V873" s="595" t="str">
        <f>'refer admin discharge'!H874</f>
        <v>00/00/0000</v>
      </c>
      <c r="W873" s="327"/>
      <c r="X873" s="577"/>
      <c r="Y873" s="327"/>
      <c r="Z873" s="604"/>
      <c r="AA873" s="327"/>
      <c r="AB873" s="577"/>
      <c r="AC873" s="327"/>
      <c r="AD873" s="576"/>
      <c r="AE873" s="327"/>
      <c r="AF873" s="577"/>
      <c r="AG873" s="327"/>
      <c r="AH873" s="576"/>
      <c r="AI873" s="327"/>
      <c r="AJ873" s="577"/>
      <c r="AK873" s="327"/>
      <c r="AL873" s="602"/>
      <c r="AM873" s="326"/>
      <c r="AN873" s="326"/>
      <c r="AO873" s="326"/>
      <c r="AP873" s="326"/>
      <c r="AQ873" s="326"/>
      <c r="AR873" s="326"/>
      <c r="AS873" s="326"/>
      <c r="AT873" s="326"/>
      <c r="AU873" s="326"/>
      <c r="AV873" s="326"/>
      <c r="AW873" s="326"/>
      <c r="AX873" s="326"/>
      <c r="AY873" s="326"/>
      <c r="AZ873" s="326"/>
      <c r="BA873" s="326"/>
      <c r="BB873" s="327"/>
    </row>
    <row r="874" spans="1:54" ht="15.75" customHeight="1" x14ac:dyDescent="0.25">
      <c r="A874" s="11">
        <f t="shared" si="3"/>
        <v>861</v>
      </c>
      <c r="B874" s="570" t="str">
        <f>'refer admin discharge'!B870</f>
        <v>x</v>
      </c>
      <c r="C874" s="327"/>
      <c r="D874" s="599" t="str">
        <f>'refer admin discharge'!D870</f>
        <v>xx</v>
      </c>
      <c r="E874" s="327"/>
      <c r="F874" s="600" t="str">
        <f>'refer admin discharge'!H870</f>
        <v>00/00/0000</v>
      </c>
      <c r="G874" s="327"/>
      <c r="H874" s="574"/>
      <c r="I874" s="327"/>
      <c r="J874" s="601"/>
      <c r="K874" s="327"/>
      <c r="L874" s="574"/>
      <c r="M874" s="327"/>
      <c r="N874" s="594"/>
      <c r="O874" s="327"/>
      <c r="P874" s="574"/>
      <c r="Q874" s="327"/>
      <c r="R874" s="594"/>
      <c r="S874" s="327"/>
      <c r="T874" s="574"/>
      <c r="U874" s="327"/>
      <c r="V874" s="595" t="str">
        <f>'refer admin discharge'!H875</f>
        <v>00/00/0000</v>
      </c>
      <c r="W874" s="327"/>
      <c r="X874" s="596"/>
      <c r="Y874" s="327"/>
      <c r="Z874" s="597"/>
      <c r="AA874" s="327"/>
      <c r="AB874" s="596"/>
      <c r="AC874" s="327"/>
      <c r="AD874" s="577"/>
      <c r="AE874" s="327"/>
      <c r="AF874" s="596"/>
      <c r="AG874" s="327"/>
      <c r="AH874" s="577"/>
      <c r="AI874" s="327"/>
      <c r="AJ874" s="596"/>
      <c r="AK874" s="327"/>
      <c r="AL874" s="598"/>
      <c r="AM874" s="326"/>
      <c r="AN874" s="326"/>
      <c r="AO874" s="326"/>
      <c r="AP874" s="326"/>
      <c r="AQ874" s="326"/>
      <c r="AR874" s="326"/>
      <c r="AS874" s="326"/>
      <c r="AT874" s="326"/>
      <c r="AU874" s="326"/>
      <c r="AV874" s="326"/>
      <c r="AW874" s="326"/>
      <c r="AX874" s="326"/>
      <c r="AY874" s="326"/>
      <c r="AZ874" s="326"/>
      <c r="BA874" s="326"/>
      <c r="BB874" s="327"/>
    </row>
    <row r="875" spans="1:54" ht="15.75" customHeight="1" x14ac:dyDescent="0.25">
      <c r="A875" s="11">
        <f t="shared" si="3"/>
        <v>862</v>
      </c>
      <c r="B875" s="504" t="str">
        <f>'refer admin discharge'!B871</f>
        <v>x</v>
      </c>
      <c r="C875" s="327"/>
      <c r="D875" s="505" t="str">
        <f>'refer admin discharge'!D871</f>
        <v>xx</v>
      </c>
      <c r="E875" s="327"/>
      <c r="F875" s="606" t="str">
        <f>'refer admin discharge'!H871</f>
        <v>00/00/0000</v>
      </c>
      <c r="G875" s="327"/>
      <c r="H875" s="594"/>
      <c r="I875" s="327"/>
      <c r="J875" s="605"/>
      <c r="K875" s="327"/>
      <c r="L875" s="594"/>
      <c r="M875" s="327"/>
      <c r="N875" s="575"/>
      <c r="O875" s="327"/>
      <c r="P875" s="594"/>
      <c r="Q875" s="327"/>
      <c r="R875" s="575"/>
      <c r="S875" s="327"/>
      <c r="T875" s="594"/>
      <c r="U875" s="327"/>
      <c r="V875" s="595" t="str">
        <f>'refer admin discharge'!H876</f>
        <v>00/00/0000</v>
      </c>
      <c r="W875" s="327"/>
      <c r="X875" s="577"/>
      <c r="Y875" s="327"/>
      <c r="Z875" s="604"/>
      <c r="AA875" s="327"/>
      <c r="AB875" s="577"/>
      <c r="AC875" s="327"/>
      <c r="AD875" s="576"/>
      <c r="AE875" s="327"/>
      <c r="AF875" s="577"/>
      <c r="AG875" s="327"/>
      <c r="AH875" s="576"/>
      <c r="AI875" s="327"/>
      <c r="AJ875" s="577"/>
      <c r="AK875" s="327"/>
      <c r="AL875" s="602"/>
      <c r="AM875" s="326"/>
      <c r="AN875" s="326"/>
      <c r="AO875" s="326"/>
      <c r="AP875" s="326"/>
      <c r="AQ875" s="326"/>
      <c r="AR875" s="326"/>
      <c r="AS875" s="326"/>
      <c r="AT875" s="326"/>
      <c r="AU875" s="326"/>
      <c r="AV875" s="326"/>
      <c r="AW875" s="326"/>
      <c r="AX875" s="326"/>
      <c r="AY875" s="326"/>
      <c r="AZ875" s="326"/>
      <c r="BA875" s="326"/>
      <c r="BB875" s="327"/>
    </row>
    <row r="876" spans="1:54" ht="15.75" customHeight="1" x14ac:dyDescent="0.25">
      <c r="A876" s="11">
        <f t="shared" si="3"/>
        <v>863</v>
      </c>
      <c r="B876" s="570" t="str">
        <f>'refer admin discharge'!B872</f>
        <v>x</v>
      </c>
      <c r="C876" s="327"/>
      <c r="D876" s="599" t="str">
        <f>'refer admin discharge'!D872</f>
        <v>xx</v>
      </c>
      <c r="E876" s="327"/>
      <c r="F876" s="600" t="str">
        <f>'refer admin discharge'!H872</f>
        <v>00/00/0000</v>
      </c>
      <c r="G876" s="327"/>
      <c r="H876" s="574"/>
      <c r="I876" s="327"/>
      <c r="J876" s="601"/>
      <c r="K876" s="327"/>
      <c r="L876" s="574"/>
      <c r="M876" s="327"/>
      <c r="N876" s="594"/>
      <c r="O876" s="327"/>
      <c r="P876" s="574"/>
      <c r="Q876" s="327"/>
      <c r="R876" s="594"/>
      <c r="S876" s="327"/>
      <c r="T876" s="574"/>
      <c r="U876" s="327"/>
      <c r="V876" s="595" t="str">
        <f>'refer admin discharge'!H877</f>
        <v>00/00/0000</v>
      </c>
      <c r="W876" s="327"/>
      <c r="X876" s="596"/>
      <c r="Y876" s="327"/>
      <c r="Z876" s="597"/>
      <c r="AA876" s="327"/>
      <c r="AB876" s="596"/>
      <c r="AC876" s="327"/>
      <c r="AD876" s="577"/>
      <c r="AE876" s="327"/>
      <c r="AF876" s="596"/>
      <c r="AG876" s="327"/>
      <c r="AH876" s="577"/>
      <c r="AI876" s="327"/>
      <c r="AJ876" s="596"/>
      <c r="AK876" s="327"/>
      <c r="AL876" s="598"/>
      <c r="AM876" s="326"/>
      <c r="AN876" s="326"/>
      <c r="AO876" s="326"/>
      <c r="AP876" s="326"/>
      <c r="AQ876" s="326"/>
      <c r="AR876" s="326"/>
      <c r="AS876" s="326"/>
      <c r="AT876" s="326"/>
      <c r="AU876" s="326"/>
      <c r="AV876" s="326"/>
      <c r="AW876" s="326"/>
      <c r="AX876" s="326"/>
      <c r="AY876" s="326"/>
      <c r="AZ876" s="326"/>
      <c r="BA876" s="326"/>
      <c r="BB876" s="327"/>
    </row>
    <row r="877" spans="1:54" ht="15.75" customHeight="1" x14ac:dyDescent="0.25">
      <c r="A877" s="11">
        <f t="shared" si="3"/>
        <v>864</v>
      </c>
      <c r="B877" s="504" t="str">
        <f>'refer admin discharge'!B873</f>
        <v>x</v>
      </c>
      <c r="C877" s="327"/>
      <c r="D877" s="505" t="str">
        <f>'refer admin discharge'!D873</f>
        <v>xx</v>
      </c>
      <c r="E877" s="327"/>
      <c r="F877" s="606" t="str">
        <f>'refer admin discharge'!H873</f>
        <v>00/00/0000</v>
      </c>
      <c r="G877" s="327"/>
      <c r="H877" s="594"/>
      <c r="I877" s="327"/>
      <c r="J877" s="605"/>
      <c r="K877" s="327"/>
      <c r="L877" s="594"/>
      <c r="M877" s="327"/>
      <c r="N877" s="575"/>
      <c r="O877" s="327"/>
      <c r="P877" s="594"/>
      <c r="Q877" s="327"/>
      <c r="R877" s="575"/>
      <c r="S877" s="327"/>
      <c r="T877" s="594"/>
      <c r="U877" s="327"/>
      <c r="V877" s="595" t="str">
        <f>'refer admin discharge'!H878</f>
        <v>00/00/0000</v>
      </c>
      <c r="W877" s="327"/>
      <c r="X877" s="577"/>
      <c r="Y877" s="327"/>
      <c r="Z877" s="604"/>
      <c r="AA877" s="327"/>
      <c r="AB877" s="577"/>
      <c r="AC877" s="327"/>
      <c r="AD877" s="576"/>
      <c r="AE877" s="327"/>
      <c r="AF877" s="577"/>
      <c r="AG877" s="327"/>
      <c r="AH877" s="576"/>
      <c r="AI877" s="327"/>
      <c r="AJ877" s="577"/>
      <c r="AK877" s="327"/>
      <c r="AL877" s="602"/>
      <c r="AM877" s="326"/>
      <c r="AN877" s="326"/>
      <c r="AO877" s="326"/>
      <c r="AP877" s="326"/>
      <c r="AQ877" s="326"/>
      <c r="AR877" s="326"/>
      <c r="AS877" s="326"/>
      <c r="AT877" s="326"/>
      <c r="AU877" s="326"/>
      <c r="AV877" s="326"/>
      <c r="AW877" s="326"/>
      <c r="AX877" s="326"/>
      <c r="AY877" s="326"/>
      <c r="AZ877" s="326"/>
      <c r="BA877" s="326"/>
      <c r="BB877" s="327"/>
    </row>
    <row r="878" spans="1:54" ht="15.75" customHeight="1" x14ac:dyDescent="0.25">
      <c r="A878" s="11">
        <f t="shared" si="3"/>
        <v>865</v>
      </c>
      <c r="B878" s="570" t="str">
        <f>'refer admin discharge'!B874</f>
        <v>x</v>
      </c>
      <c r="C878" s="327"/>
      <c r="D878" s="599" t="str">
        <f>'refer admin discharge'!D874</f>
        <v>xx</v>
      </c>
      <c r="E878" s="327"/>
      <c r="F878" s="600" t="str">
        <f>'refer admin discharge'!H874</f>
        <v>00/00/0000</v>
      </c>
      <c r="G878" s="327"/>
      <c r="H878" s="574"/>
      <c r="I878" s="327"/>
      <c r="J878" s="601"/>
      <c r="K878" s="327"/>
      <c r="L878" s="574"/>
      <c r="M878" s="327"/>
      <c r="N878" s="594"/>
      <c r="O878" s="327"/>
      <c r="P878" s="574"/>
      <c r="Q878" s="327"/>
      <c r="R878" s="594"/>
      <c r="S878" s="327"/>
      <c r="T878" s="574"/>
      <c r="U878" s="327"/>
      <c r="V878" s="595" t="str">
        <f>'refer admin discharge'!H879</f>
        <v>00/00/0000</v>
      </c>
      <c r="W878" s="327"/>
      <c r="X878" s="596"/>
      <c r="Y878" s="327"/>
      <c r="Z878" s="597"/>
      <c r="AA878" s="327"/>
      <c r="AB878" s="596"/>
      <c r="AC878" s="327"/>
      <c r="AD878" s="577"/>
      <c r="AE878" s="327"/>
      <c r="AF878" s="596"/>
      <c r="AG878" s="327"/>
      <c r="AH878" s="577"/>
      <c r="AI878" s="327"/>
      <c r="AJ878" s="596"/>
      <c r="AK878" s="327"/>
      <c r="AL878" s="598"/>
      <c r="AM878" s="326"/>
      <c r="AN878" s="326"/>
      <c r="AO878" s="326"/>
      <c r="AP878" s="326"/>
      <c r="AQ878" s="326"/>
      <c r="AR878" s="326"/>
      <c r="AS878" s="326"/>
      <c r="AT878" s="326"/>
      <c r="AU878" s="326"/>
      <c r="AV878" s="326"/>
      <c r="AW878" s="326"/>
      <c r="AX878" s="326"/>
      <c r="AY878" s="326"/>
      <c r="AZ878" s="326"/>
      <c r="BA878" s="326"/>
      <c r="BB878" s="327"/>
    </row>
    <row r="879" spans="1:54" ht="15.75" customHeight="1" x14ac:dyDescent="0.25">
      <c r="A879" s="11">
        <f t="shared" si="3"/>
        <v>866</v>
      </c>
      <c r="B879" s="504" t="str">
        <f>'refer admin discharge'!B875</f>
        <v>x</v>
      </c>
      <c r="C879" s="327"/>
      <c r="D879" s="505" t="str">
        <f>'refer admin discharge'!D875</f>
        <v>xx</v>
      </c>
      <c r="E879" s="327"/>
      <c r="F879" s="606" t="str">
        <f>'refer admin discharge'!H875</f>
        <v>00/00/0000</v>
      </c>
      <c r="G879" s="327"/>
      <c r="H879" s="594"/>
      <c r="I879" s="327"/>
      <c r="J879" s="605"/>
      <c r="K879" s="327"/>
      <c r="L879" s="594"/>
      <c r="M879" s="327"/>
      <c r="N879" s="575"/>
      <c r="O879" s="327"/>
      <c r="P879" s="594"/>
      <c r="Q879" s="327"/>
      <c r="R879" s="575"/>
      <c r="S879" s="327"/>
      <c r="T879" s="594"/>
      <c r="U879" s="327"/>
      <c r="V879" s="595" t="str">
        <f>'refer admin discharge'!H880</f>
        <v>00/00/0000</v>
      </c>
      <c r="W879" s="327"/>
      <c r="X879" s="577"/>
      <c r="Y879" s="327"/>
      <c r="Z879" s="604"/>
      <c r="AA879" s="327"/>
      <c r="AB879" s="577"/>
      <c r="AC879" s="327"/>
      <c r="AD879" s="576"/>
      <c r="AE879" s="327"/>
      <c r="AF879" s="577"/>
      <c r="AG879" s="327"/>
      <c r="AH879" s="576"/>
      <c r="AI879" s="327"/>
      <c r="AJ879" s="577"/>
      <c r="AK879" s="327"/>
      <c r="AL879" s="602"/>
      <c r="AM879" s="326"/>
      <c r="AN879" s="326"/>
      <c r="AO879" s="326"/>
      <c r="AP879" s="326"/>
      <c r="AQ879" s="326"/>
      <c r="AR879" s="326"/>
      <c r="AS879" s="326"/>
      <c r="AT879" s="326"/>
      <c r="AU879" s="326"/>
      <c r="AV879" s="326"/>
      <c r="AW879" s="326"/>
      <c r="AX879" s="326"/>
      <c r="AY879" s="326"/>
      <c r="AZ879" s="326"/>
      <c r="BA879" s="326"/>
      <c r="BB879" s="327"/>
    </row>
    <row r="880" spans="1:54" ht="15.75" customHeight="1" x14ac:dyDescent="0.25">
      <c r="A880" s="11">
        <f t="shared" si="3"/>
        <v>867</v>
      </c>
      <c r="B880" s="570" t="str">
        <f>'refer admin discharge'!B876</f>
        <v>x</v>
      </c>
      <c r="C880" s="327"/>
      <c r="D880" s="599" t="str">
        <f>'refer admin discharge'!D876</f>
        <v>xx</v>
      </c>
      <c r="E880" s="327"/>
      <c r="F880" s="600" t="str">
        <f>'refer admin discharge'!H876</f>
        <v>00/00/0000</v>
      </c>
      <c r="G880" s="327"/>
      <c r="H880" s="574"/>
      <c r="I880" s="327"/>
      <c r="J880" s="601"/>
      <c r="K880" s="327"/>
      <c r="L880" s="574"/>
      <c r="M880" s="327"/>
      <c r="N880" s="594"/>
      <c r="O880" s="327"/>
      <c r="P880" s="574"/>
      <c r="Q880" s="327"/>
      <c r="R880" s="594"/>
      <c r="S880" s="327"/>
      <c r="T880" s="574"/>
      <c r="U880" s="327"/>
      <c r="V880" s="595" t="str">
        <f>'refer admin discharge'!H881</f>
        <v>00/00/0000</v>
      </c>
      <c r="W880" s="327"/>
      <c r="X880" s="596"/>
      <c r="Y880" s="327"/>
      <c r="Z880" s="597"/>
      <c r="AA880" s="327"/>
      <c r="AB880" s="596"/>
      <c r="AC880" s="327"/>
      <c r="AD880" s="577"/>
      <c r="AE880" s="327"/>
      <c r="AF880" s="596"/>
      <c r="AG880" s="327"/>
      <c r="AH880" s="577"/>
      <c r="AI880" s="327"/>
      <c r="AJ880" s="596"/>
      <c r="AK880" s="327"/>
      <c r="AL880" s="598"/>
      <c r="AM880" s="326"/>
      <c r="AN880" s="326"/>
      <c r="AO880" s="326"/>
      <c r="AP880" s="326"/>
      <c r="AQ880" s="326"/>
      <c r="AR880" s="326"/>
      <c r="AS880" s="326"/>
      <c r="AT880" s="326"/>
      <c r="AU880" s="326"/>
      <c r="AV880" s="326"/>
      <c r="AW880" s="326"/>
      <c r="AX880" s="326"/>
      <c r="AY880" s="326"/>
      <c r="AZ880" s="326"/>
      <c r="BA880" s="326"/>
      <c r="BB880" s="327"/>
    </row>
    <row r="881" spans="1:54" ht="15.75" customHeight="1" x14ac:dyDescent="0.25">
      <c r="A881" s="11">
        <f t="shared" si="3"/>
        <v>868</v>
      </c>
      <c r="B881" s="504" t="str">
        <f>'refer admin discharge'!B877</f>
        <v>x</v>
      </c>
      <c r="C881" s="327"/>
      <c r="D881" s="505" t="str">
        <f>'refer admin discharge'!D877</f>
        <v>xx</v>
      </c>
      <c r="E881" s="327"/>
      <c r="F881" s="606" t="str">
        <f>'refer admin discharge'!H877</f>
        <v>00/00/0000</v>
      </c>
      <c r="G881" s="327"/>
      <c r="H881" s="594"/>
      <c r="I881" s="327"/>
      <c r="J881" s="605"/>
      <c r="K881" s="327"/>
      <c r="L881" s="594"/>
      <c r="M881" s="327"/>
      <c r="N881" s="575"/>
      <c r="O881" s="327"/>
      <c r="P881" s="594"/>
      <c r="Q881" s="327"/>
      <c r="R881" s="575"/>
      <c r="S881" s="327"/>
      <c r="T881" s="594"/>
      <c r="U881" s="327"/>
      <c r="V881" s="595" t="str">
        <f>'refer admin discharge'!H882</f>
        <v>00/00/0000</v>
      </c>
      <c r="W881" s="327"/>
      <c r="X881" s="577"/>
      <c r="Y881" s="327"/>
      <c r="Z881" s="604"/>
      <c r="AA881" s="327"/>
      <c r="AB881" s="577"/>
      <c r="AC881" s="327"/>
      <c r="AD881" s="576"/>
      <c r="AE881" s="327"/>
      <c r="AF881" s="577"/>
      <c r="AG881" s="327"/>
      <c r="AH881" s="576"/>
      <c r="AI881" s="327"/>
      <c r="AJ881" s="577"/>
      <c r="AK881" s="327"/>
      <c r="AL881" s="602"/>
      <c r="AM881" s="326"/>
      <c r="AN881" s="326"/>
      <c r="AO881" s="326"/>
      <c r="AP881" s="326"/>
      <c r="AQ881" s="326"/>
      <c r="AR881" s="326"/>
      <c r="AS881" s="326"/>
      <c r="AT881" s="326"/>
      <c r="AU881" s="326"/>
      <c r="AV881" s="326"/>
      <c r="AW881" s="326"/>
      <c r="AX881" s="326"/>
      <c r="AY881" s="326"/>
      <c r="AZ881" s="326"/>
      <c r="BA881" s="326"/>
      <c r="BB881" s="327"/>
    </row>
    <row r="882" spans="1:54" ht="15.75" customHeight="1" x14ac:dyDescent="0.25">
      <c r="A882" s="11">
        <f t="shared" si="3"/>
        <v>869</v>
      </c>
      <c r="B882" s="570" t="str">
        <f>'refer admin discharge'!B878</f>
        <v>x</v>
      </c>
      <c r="C882" s="327"/>
      <c r="D882" s="599" t="str">
        <f>'refer admin discharge'!D878</f>
        <v>xx</v>
      </c>
      <c r="E882" s="327"/>
      <c r="F882" s="600" t="str">
        <f>'refer admin discharge'!H878</f>
        <v>00/00/0000</v>
      </c>
      <c r="G882" s="327"/>
      <c r="H882" s="574"/>
      <c r="I882" s="327"/>
      <c r="J882" s="601"/>
      <c r="K882" s="327"/>
      <c r="L882" s="574"/>
      <c r="M882" s="327"/>
      <c r="N882" s="594"/>
      <c r="O882" s="327"/>
      <c r="P882" s="574"/>
      <c r="Q882" s="327"/>
      <c r="R882" s="594"/>
      <c r="S882" s="327"/>
      <c r="T882" s="574"/>
      <c r="U882" s="327"/>
      <c r="V882" s="595" t="str">
        <f>'refer admin discharge'!H883</f>
        <v>00/00/0000</v>
      </c>
      <c r="W882" s="327"/>
      <c r="X882" s="596"/>
      <c r="Y882" s="327"/>
      <c r="Z882" s="597"/>
      <c r="AA882" s="327"/>
      <c r="AB882" s="596"/>
      <c r="AC882" s="327"/>
      <c r="AD882" s="577"/>
      <c r="AE882" s="327"/>
      <c r="AF882" s="596"/>
      <c r="AG882" s="327"/>
      <c r="AH882" s="577"/>
      <c r="AI882" s="327"/>
      <c r="AJ882" s="596"/>
      <c r="AK882" s="327"/>
      <c r="AL882" s="598"/>
      <c r="AM882" s="326"/>
      <c r="AN882" s="326"/>
      <c r="AO882" s="326"/>
      <c r="AP882" s="326"/>
      <c r="AQ882" s="326"/>
      <c r="AR882" s="326"/>
      <c r="AS882" s="326"/>
      <c r="AT882" s="326"/>
      <c r="AU882" s="326"/>
      <c r="AV882" s="326"/>
      <c r="AW882" s="326"/>
      <c r="AX882" s="326"/>
      <c r="AY882" s="326"/>
      <c r="AZ882" s="326"/>
      <c r="BA882" s="326"/>
      <c r="BB882" s="327"/>
    </row>
    <row r="883" spans="1:54" ht="15.75" customHeight="1" x14ac:dyDescent="0.25">
      <c r="A883" s="11">
        <f t="shared" si="3"/>
        <v>870</v>
      </c>
      <c r="B883" s="504" t="str">
        <f>'refer admin discharge'!B879</f>
        <v>x</v>
      </c>
      <c r="C883" s="327"/>
      <c r="D883" s="505" t="str">
        <f>'refer admin discharge'!D879</f>
        <v>xx</v>
      </c>
      <c r="E883" s="327"/>
      <c r="F883" s="606" t="str">
        <f>'refer admin discharge'!H879</f>
        <v>00/00/0000</v>
      </c>
      <c r="G883" s="327"/>
      <c r="H883" s="594"/>
      <c r="I883" s="327"/>
      <c r="J883" s="605"/>
      <c r="K883" s="327"/>
      <c r="L883" s="594"/>
      <c r="M883" s="327"/>
      <c r="N883" s="575"/>
      <c r="O883" s="327"/>
      <c r="P883" s="594"/>
      <c r="Q883" s="327"/>
      <c r="R883" s="575"/>
      <c r="S883" s="327"/>
      <c r="T883" s="594"/>
      <c r="U883" s="327"/>
      <c r="V883" s="595" t="str">
        <f>'refer admin discharge'!H884</f>
        <v>00/00/0000</v>
      </c>
      <c r="W883" s="327"/>
      <c r="X883" s="577"/>
      <c r="Y883" s="327"/>
      <c r="Z883" s="604"/>
      <c r="AA883" s="327"/>
      <c r="AB883" s="577"/>
      <c r="AC883" s="327"/>
      <c r="AD883" s="576"/>
      <c r="AE883" s="327"/>
      <c r="AF883" s="577"/>
      <c r="AG883" s="327"/>
      <c r="AH883" s="576"/>
      <c r="AI883" s="327"/>
      <c r="AJ883" s="577"/>
      <c r="AK883" s="327"/>
      <c r="AL883" s="602"/>
      <c r="AM883" s="326"/>
      <c r="AN883" s="326"/>
      <c r="AO883" s="326"/>
      <c r="AP883" s="326"/>
      <c r="AQ883" s="326"/>
      <c r="AR883" s="326"/>
      <c r="AS883" s="326"/>
      <c r="AT883" s="326"/>
      <c r="AU883" s="326"/>
      <c r="AV883" s="326"/>
      <c r="AW883" s="326"/>
      <c r="AX883" s="326"/>
      <c r="AY883" s="326"/>
      <c r="AZ883" s="326"/>
      <c r="BA883" s="326"/>
      <c r="BB883" s="327"/>
    </row>
    <row r="884" spans="1:54" ht="15.75" customHeight="1" x14ac:dyDescent="0.25">
      <c r="A884" s="11">
        <f t="shared" si="3"/>
        <v>871</v>
      </c>
      <c r="B884" s="570" t="str">
        <f>'refer admin discharge'!B880</f>
        <v>x</v>
      </c>
      <c r="C884" s="327"/>
      <c r="D884" s="599" t="str">
        <f>'refer admin discharge'!D880</f>
        <v>xx</v>
      </c>
      <c r="E884" s="327"/>
      <c r="F884" s="600" t="str">
        <f>'refer admin discharge'!H880</f>
        <v>00/00/0000</v>
      </c>
      <c r="G884" s="327"/>
      <c r="H884" s="574"/>
      <c r="I884" s="327"/>
      <c r="J884" s="601"/>
      <c r="K884" s="327"/>
      <c r="L884" s="574"/>
      <c r="M884" s="327"/>
      <c r="N884" s="594"/>
      <c r="O884" s="327"/>
      <c r="P884" s="574"/>
      <c r="Q884" s="327"/>
      <c r="R884" s="594"/>
      <c r="S884" s="327"/>
      <c r="T884" s="574"/>
      <c r="U884" s="327"/>
      <c r="V884" s="595" t="str">
        <f>'refer admin discharge'!H885</f>
        <v>00/00/0000</v>
      </c>
      <c r="W884" s="327"/>
      <c r="X884" s="596"/>
      <c r="Y884" s="327"/>
      <c r="Z884" s="597"/>
      <c r="AA884" s="327"/>
      <c r="AB884" s="596"/>
      <c r="AC884" s="327"/>
      <c r="AD884" s="577"/>
      <c r="AE884" s="327"/>
      <c r="AF884" s="596"/>
      <c r="AG884" s="327"/>
      <c r="AH884" s="577"/>
      <c r="AI884" s="327"/>
      <c r="AJ884" s="596"/>
      <c r="AK884" s="327"/>
      <c r="AL884" s="598"/>
      <c r="AM884" s="326"/>
      <c r="AN884" s="326"/>
      <c r="AO884" s="326"/>
      <c r="AP884" s="326"/>
      <c r="AQ884" s="326"/>
      <c r="AR884" s="326"/>
      <c r="AS884" s="326"/>
      <c r="AT884" s="326"/>
      <c r="AU884" s="326"/>
      <c r="AV884" s="326"/>
      <c r="AW884" s="326"/>
      <c r="AX884" s="326"/>
      <c r="AY884" s="326"/>
      <c r="AZ884" s="326"/>
      <c r="BA884" s="326"/>
      <c r="BB884" s="327"/>
    </row>
    <row r="885" spans="1:54" ht="15.75" customHeight="1" x14ac:dyDescent="0.25">
      <c r="A885" s="11">
        <f t="shared" si="3"/>
        <v>872</v>
      </c>
      <c r="B885" s="504" t="str">
        <f>'refer admin discharge'!B881</f>
        <v>x</v>
      </c>
      <c r="C885" s="327"/>
      <c r="D885" s="505" t="str">
        <f>'refer admin discharge'!D881</f>
        <v>xx</v>
      </c>
      <c r="E885" s="327"/>
      <c r="F885" s="606" t="str">
        <f>'refer admin discharge'!H881</f>
        <v>00/00/0000</v>
      </c>
      <c r="G885" s="327"/>
      <c r="H885" s="594"/>
      <c r="I885" s="327"/>
      <c r="J885" s="605"/>
      <c r="K885" s="327"/>
      <c r="L885" s="594"/>
      <c r="M885" s="327"/>
      <c r="N885" s="575"/>
      <c r="O885" s="327"/>
      <c r="P885" s="594"/>
      <c r="Q885" s="327"/>
      <c r="R885" s="575"/>
      <c r="S885" s="327"/>
      <c r="T885" s="594"/>
      <c r="U885" s="327"/>
      <c r="V885" s="595" t="str">
        <f>'refer admin discharge'!H886</f>
        <v>00/00/0000</v>
      </c>
      <c r="W885" s="327"/>
      <c r="X885" s="577"/>
      <c r="Y885" s="327"/>
      <c r="Z885" s="604"/>
      <c r="AA885" s="327"/>
      <c r="AB885" s="577"/>
      <c r="AC885" s="327"/>
      <c r="AD885" s="576"/>
      <c r="AE885" s="327"/>
      <c r="AF885" s="577"/>
      <c r="AG885" s="327"/>
      <c r="AH885" s="576"/>
      <c r="AI885" s="327"/>
      <c r="AJ885" s="577"/>
      <c r="AK885" s="327"/>
      <c r="AL885" s="602"/>
      <c r="AM885" s="326"/>
      <c r="AN885" s="326"/>
      <c r="AO885" s="326"/>
      <c r="AP885" s="326"/>
      <c r="AQ885" s="326"/>
      <c r="AR885" s="326"/>
      <c r="AS885" s="326"/>
      <c r="AT885" s="326"/>
      <c r="AU885" s="326"/>
      <c r="AV885" s="326"/>
      <c r="AW885" s="326"/>
      <c r="AX885" s="326"/>
      <c r="AY885" s="326"/>
      <c r="AZ885" s="326"/>
      <c r="BA885" s="326"/>
      <c r="BB885" s="327"/>
    </row>
    <row r="886" spans="1:54" ht="15.75" customHeight="1" x14ac:dyDescent="0.25">
      <c r="A886" s="11">
        <f t="shared" si="3"/>
        <v>873</v>
      </c>
      <c r="B886" s="570" t="str">
        <f>'refer admin discharge'!B882</f>
        <v>x</v>
      </c>
      <c r="C886" s="327"/>
      <c r="D886" s="599" t="str">
        <f>'refer admin discharge'!D882</f>
        <v>xx</v>
      </c>
      <c r="E886" s="327"/>
      <c r="F886" s="600" t="str">
        <f>'refer admin discharge'!H882</f>
        <v>00/00/0000</v>
      </c>
      <c r="G886" s="327"/>
      <c r="H886" s="574"/>
      <c r="I886" s="327"/>
      <c r="J886" s="601"/>
      <c r="K886" s="327"/>
      <c r="L886" s="574"/>
      <c r="M886" s="327"/>
      <c r="N886" s="594"/>
      <c r="O886" s="327"/>
      <c r="P886" s="574"/>
      <c r="Q886" s="327"/>
      <c r="R886" s="594"/>
      <c r="S886" s="327"/>
      <c r="T886" s="574"/>
      <c r="U886" s="327"/>
      <c r="V886" s="595" t="str">
        <f>'refer admin discharge'!H887</f>
        <v>00/00/0000</v>
      </c>
      <c r="W886" s="327"/>
      <c r="X886" s="596"/>
      <c r="Y886" s="327"/>
      <c r="Z886" s="597"/>
      <c r="AA886" s="327"/>
      <c r="AB886" s="596"/>
      <c r="AC886" s="327"/>
      <c r="AD886" s="577"/>
      <c r="AE886" s="327"/>
      <c r="AF886" s="596"/>
      <c r="AG886" s="327"/>
      <c r="AH886" s="577"/>
      <c r="AI886" s="327"/>
      <c r="AJ886" s="596"/>
      <c r="AK886" s="327"/>
      <c r="AL886" s="598"/>
      <c r="AM886" s="326"/>
      <c r="AN886" s="326"/>
      <c r="AO886" s="326"/>
      <c r="AP886" s="326"/>
      <c r="AQ886" s="326"/>
      <c r="AR886" s="326"/>
      <c r="AS886" s="326"/>
      <c r="AT886" s="326"/>
      <c r="AU886" s="326"/>
      <c r="AV886" s="326"/>
      <c r="AW886" s="326"/>
      <c r="AX886" s="326"/>
      <c r="AY886" s="326"/>
      <c r="AZ886" s="326"/>
      <c r="BA886" s="326"/>
      <c r="BB886" s="327"/>
    </row>
    <row r="887" spans="1:54" ht="15.75" customHeight="1" x14ac:dyDescent="0.25">
      <c r="A887" s="11">
        <f t="shared" si="3"/>
        <v>874</v>
      </c>
      <c r="B887" s="504" t="str">
        <f>'refer admin discharge'!B883</f>
        <v>x</v>
      </c>
      <c r="C887" s="327"/>
      <c r="D887" s="505" t="str">
        <f>'refer admin discharge'!D883</f>
        <v>xx</v>
      </c>
      <c r="E887" s="327"/>
      <c r="F887" s="606" t="str">
        <f>'refer admin discharge'!H883</f>
        <v>00/00/0000</v>
      </c>
      <c r="G887" s="327"/>
      <c r="H887" s="594"/>
      <c r="I887" s="327"/>
      <c r="J887" s="605"/>
      <c r="K887" s="327"/>
      <c r="L887" s="594"/>
      <c r="M887" s="327"/>
      <c r="N887" s="575"/>
      <c r="O887" s="327"/>
      <c r="P887" s="594"/>
      <c r="Q887" s="327"/>
      <c r="R887" s="575"/>
      <c r="S887" s="327"/>
      <c r="T887" s="594"/>
      <c r="U887" s="327"/>
      <c r="V887" s="595" t="str">
        <f>'refer admin discharge'!H888</f>
        <v>00/00/0000</v>
      </c>
      <c r="W887" s="327"/>
      <c r="X887" s="577"/>
      <c r="Y887" s="327"/>
      <c r="Z887" s="604"/>
      <c r="AA887" s="327"/>
      <c r="AB887" s="577"/>
      <c r="AC887" s="327"/>
      <c r="AD887" s="576"/>
      <c r="AE887" s="327"/>
      <c r="AF887" s="577"/>
      <c r="AG887" s="327"/>
      <c r="AH887" s="576"/>
      <c r="AI887" s="327"/>
      <c r="AJ887" s="577"/>
      <c r="AK887" s="327"/>
      <c r="AL887" s="602"/>
      <c r="AM887" s="326"/>
      <c r="AN887" s="326"/>
      <c r="AO887" s="326"/>
      <c r="AP887" s="326"/>
      <c r="AQ887" s="326"/>
      <c r="AR887" s="326"/>
      <c r="AS887" s="326"/>
      <c r="AT887" s="326"/>
      <c r="AU887" s="326"/>
      <c r="AV887" s="326"/>
      <c r="AW887" s="326"/>
      <c r="AX887" s="326"/>
      <c r="AY887" s="326"/>
      <c r="AZ887" s="326"/>
      <c r="BA887" s="326"/>
      <c r="BB887" s="327"/>
    </row>
    <row r="888" spans="1:54" ht="15.75" customHeight="1" x14ac:dyDescent="0.25">
      <c r="A888" s="11">
        <f t="shared" si="3"/>
        <v>875</v>
      </c>
      <c r="B888" s="570" t="str">
        <f>'refer admin discharge'!B884</f>
        <v>x</v>
      </c>
      <c r="C888" s="327"/>
      <c r="D888" s="599" t="str">
        <f>'refer admin discharge'!D884</f>
        <v>xx</v>
      </c>
      <c r="E888" s="327"/>
      <c r="F888" s="600" t="str">
        <f>'refer admin discharge'!H884</f>
        <v>00/00/0000</v>
      </c>
      <c r="G888" s="327"/>
      <c r="H888" s="574"/>
      <c r="I888" s="327"/>
      <c r="J888" s="601"/>
      <c r="K888" s="327"/>
      <c r="L888" s="574"/>
      <c r="M888" s="327"/>
      <c r="N888" s="594"/>
      <c r="O888" s="327"/>
      <c r="P888" s="574"/>
      <c r="Q888" s="327"/>
      <c r="R888" s="594"/>
      <c r="S888" s="327"/>
      <c r="T888" s="574"/>
      <c r="U888" s="327"/>
      <c r="V888" s="595" t="str">
        <f>'refer admin discharge'!H889</f>
        <v>00/00/0000</v>
      </c>
      <c r="W888" s="327"/>
      <c r="X888" s="596"/>
      <c r="Y888" s="327"/>
      <c r="Z888" s="597"/>
      <c r="AA888" s="327"/>
      <c r="AB888" s="596"/>
      <c r="AC888" s="327"/>
      <c r="AD888" s="577"/>
      <c r="AE888" s="327"/>
      <c r="AF888" s="596"/>
      <c r="AG888" s="327"/>
      <c r="AH888" s="577"/>
      <c r="AI888" s="327"/>
      <c r="AJ888" s="596"/>
      <c r="AK888" s="327"/>
      <c r="AL888" s="598"/>
      <c r="AM888" s="326"/>
      <c r="AN888" s="326"/>
      <c r="AO888" s="326"/>
      <c r="AP888" s="326"/>
      <c r="AQ888" s="326"/>
      <c r="AR888" s="326"/>
      <c r="AS888" s="326"/>
      <c r="AT888" s="326"/>
      <c r="AU888" s="326"/>
      <c r="AV888" s="326"/>
      <c r="AW888" s="326"/>
      <c r="AX888" s="326"/>
      <c r="AY888" s="326"/>
      <c r="AZ888" s="326"/>
      <c r="BA888" s="326"/>
      <c r="BB888" s="327"/>
    </row>
    <row r="889" spans="1:54" ht="15.75" customHeight="1" x14ac:dyDescent="0.25">
      <c r="A889" s="11">
        <f t="shared" si="3"/>
        <v>876</v>
      </c>
      <c r="B889" s="504" t="str">
        <f>'refer admin discharge'!B885</f>
        <v>x</v>
      </c>
      <c r="C889" s="327"/>
      <c r="D889" s="505" t="str">
        <f>'refer admin discharge'!D885</f>
        <v>xx</v>
      </c>
      <c r="E889" s="327"/>
      <c r="F889" s="606" t="str">
        <f>'refer admin discharge'!H885</f>
        <v>00/00/0000</v>
      </c>
      <c r="G889" s="327"/>
      <c r="H889" s="594"/>
      <c r="I889" s="327"/>
      <c r="J889" s="605"/>
      <c r="K889" s="327"/>
      <c r="L889" s="594"/>
      <c r="M889" s="327"/>
      <c r="N889" s="575"/>
      <c r="O889" s="327"/>
      <c r="P889" s="594"/>
      <c r="Q889" s="327"/>
      <c r="R889" s="575"/>
      <c r="S889" s="327"/>
      <c r="T889" s="594"/>
      <c r="U889" s="327"/>
      <c r="V889" s="595" t="str">
        <f>'refer admin discharge'!H890</f>
        <v>00/00/0000</v>
      </c>
      <c r="W889" s="327"/>
      <c r="X889" s="577"/>
      <c r="Y889" s="327"/>
      <c r="Z889" s="604"/>
      <c r="AA889" s="327"/>
      <c r="AB889" s="577"/>
      <c r="AC889" s="327"/>
      <c r="AD889" s="576"/>
      <c r="AE889" s="327"/>
      <c r="AF889" s="577"/>
      <c r="AG889" s="327"/>
      <c r="AH889" s="576"/>
      <c r="AI889" s="327"/>
      <c r="AJ889" s="577"/>
      <c r="AK889" s="327"/>
      <c r="AL889" s="602"/>
      <c r="AM889" s="326"/>
      <c r="AN889" s="326"/>
      <c r="AO889" s="326"/>
      <c r="AP889" s="326"/>
      <c r="AQ889" s="326"/>
      <c r="AR889" s="326"/>
      <c r="AS889" s="326"/>
      <c r="AT889" s="326"/>
      <c r="AU889" s="326"/>
      <c r="AV889" s="326"/>
      <c r="AW889" s="326"/>
      <c r="AX889" s="326"/>
      <c r="AY889" s="326"/>
      <c r="AZ889" s="326"/>
      <c r="BA889" s="326"/>
      <c r="BB889" s="327"/>
    </row>
    <row r="890" spans="1:54" ht="15.75" customHeight="1" x14ac:dyDescent="0.25">
      <c r="A890" s="11">
        <f t="shared" si="3"/>
        <v>877</v>
      </c>
      <c r="B890" s="570" t="str">
        <f>'refer admin discharge'!B886</f>
        <v>x</v>
      </c>
      <c r="C890" s="327"/>
      <c r="D890" s="599" t="str">
        <f>'refer admin discharge'!D886</f>
        <v>xx</v>
      </c>
      <c r="E890" s="327"/>
      <c r="F890" s="600" t="str">
        <f>'refer admin discharge'!H886</f>
        <v>00/00/0000</v>
      </c>
      <c r="G890" s="327"/>
      <c r="H890" s="574"/>
      <c r="I890" s="327"/>
      <c r="J890" s="601"/>
      <c r="K890" s="327"/>
      <c r="L890" s="574"/>
      <c r="M890" s="327"/>
      <c r="N890" s="594"/>
      <c r="O890" s="327"/>
      <c r="P890" s="574"/>
      <c r="Q890" s="327"/>
      <c r="R890" s="594"/>
      <c r="S890" s="327"/>
      <c r="T890" s="574"/>
      <c r="U890" s="327"/>
      <c r="V890" s="595" t="str">
        <f>'refer admin discharge'!H891</f>
        <v>00/00/0000</v>
      </c>
      <c r="W890" s="327"/>
      <c r="X890" s="596"/>
      <c r="Y890" s="327"/>
      <c r="Z890" s="597"/>
      <c r="AA890" s="327"/>
      <c r="AB890" s="596"/>
      <c r="AC890" s="327"/>
      <c r="AD890" s="577"/>
      <c r="AE890" s="327"/>
      <c r="AF890" s="596"/>
      <c r="AG890" s="327"/>
      <c r="AH890" s="577"/>
      <c r="AI890" s="327"/>
      <c r="AJ890" s="596"/>
      <c r="AK890" s="327"/>
      <c r="AL890" s="598"/>
      <c r="AM890" s="326"/>
      <c r="AN890" s="326"/>
      <c r="AO890" s="326"/>
      <c r="AP890" s="326"/>
      <c r="AQ890" s="326"/>
      <c r="AR890" s="326"/>
      <c r="AS890" s="326"/>
      <c r="AT890" s="326"/>
      <c r="AU890" s="326"/>
      <c r="AV890" s="326"/>
      <c r="AW890" s="326"/>
      <c r="AX890" s="326"/>
      <c r="AY890" s="326"/>
      <c r="AZ890" s="326"/>
      <c r="BA890" s="326"/>
      <c r="BB890" s="327"/>
    </row>
    <row r="891" spans="1:54" ht="15.75" customHeight="1" x14ac:dyDescent="0.25">
      <c r="A891" s="11">
        <f t="shared" si="3"/>
        <v>878</v>
      </c>
      <c r="B891" s="504" t="str">
        <f>'refer admin discharge'!B887</f>
        <v>x</v>
      </c>
      <c r="C891" s="327"/>
      <c r="D891" s="505" t="str">
        <f>'refer admin discharge'!D887</f>
        <v>xx</v>
      </c>
      <c r="E891" s="327"/>
      <c r="F891" s="606" t="str">
        <f>'refer admin discharge'!H887</f>
        <v>00/00/0000</v>
      </c>
      <c r="G891" s="327"/>
      <c r="H891" s="594"/>
      <c r="I891" s="327"/>
      <c r="J891" s="605"/>
      <c r="K891" s="327"/>
      <c r="L891" s="594"/>
      <c r="M891" s="327"/>
      <c r="N891" s="575"/>
      <c r="O891" s="327"/>
      <c r="P891" s="594"/>
      <c r="Q891" s="327"/>
      <c r="R891" s="575"/>
      <c r="S891" s="327"/>
      <c r="T891" s="594"/>
      <c r="U891" s="327"/>
      <c r="V891" s="595" t="str">
        <f>'refer admin discharge'!H892</f>
        <v>00/00/0000</v>
      </c>
      <c r="W891" s="327"/>
      <c r="X891" s="577"/>
      <c r="Y891" s="327"/>
      <c r="Z891" s="604"/>
      <c r="AA891" s="327"/>
      <c r="AB891" s="577"/>
      <c r="AC891" s="327"/>
      <c r="AD891" s="576"/>
      <c r="AE891" s="327"/>
      <c r="AF891" s="577"/>
      <c r="AG891" s="327"/>
      <c r="AH891" s="576"/>
      <c r="AI891" s="327"/>
      <c r="AJ891" s="577"/>
      <c r="AK891" s="327"/>
      <c r="AL891" s="602"/>
      <c r="AM891" s="326"/>
      <c r="AN891" s="326"/>
      <c r="AO891" s="326"/>
      <c r="AP891" s="326"/>
      <c r="AQ891" s="326"/>
      <c r="AR891" s="326"/>
      <c r="AS891" s="326"/>
      <c r="AT891" s="326"/>
      <c r="AU891" s="326"/>
      <c r="AV891" s="326"/>
      <c r="AW891" s="326"/>
      <c r="AX891" s="326"/>
      <c r="AY891" s="326"/>
      <c r="AZ891" s="326"/>
      <c r="BA891" s="326"/>
      <c r="BB891" s="327"/>
    </row>
    <row r="892" spans="1:54" ht="15.75" customHeight="1" x14ac:dyDescent="0.25">
      <c r="A892" s="11">
        <f t="shared" si="3"/>
        <v>879</v>
      </c>
      <c r="B892" s="570" t="str">
        <f>'refer admin discharge'!B888</f>
        <v>x</v>
      </c>
      <c r="C892" s="327"/>
      <c r="D892" s="599" t="str">
        <f>'refer admin discharge'!D888</f>
        <v>xx</v>
      </c>
      <c r="E892" s="327"/>
      <c r="F892" s="600" t="str">
        <f>'refer admin discharge'!H888</f>
        <v>00/00/0000</v>
      </c>
      <c r="G892" s="327"/>
      <c r="H892" s="574"/>
      <c r="I892" s="327"/>
      <c r="J892" s="601"/>
      <c r="K892" s="327"/>
      <c r="L892" s="574"/>
      <c r="M892" s="327"/>
      <c r="N892" s="594"/>
      <c r="O892" s="327"/>
      <c r="P892" s="574"/>
      <c r="Q892" s="327"/>
      <c r="R892" s="594"/>
      <c r="S892" s="327"/>
      <c r="T892" s="574"/>
      <c r="U892" s="327"/>
      <c r="V892" s="595" t="str">
        <f>'refer admin discharge'!H893</f>
        <v>00/00/0000</v>
      </c>
      <c r="W892" s="327"/>
      <c r="X892" s="596"/>
      <c r="Y892" s="327"/>
      <c r="Z892" s="597"/>
      <c r="AA892" s="327"/>
      <c r="AB892" s="596"/>
      <c r="AC892" s="327"/>
      <c r="AD892" s="577"/>
      <c r="AE892" s="327"/>
      <c r="AF892" s="596"/>
      <c r="AG892" s="327"/>
      <c r="AH892" s="577"/>
      <c r="AI892" s="327"/>
      <c r="AJ892" s="596"/>
      <c r="AK892" s="327"/>
      <c r="AL892" s="598"/>
      <c r="AM892" s="326"/>
      <c r="AN892" s="326"/>
      <c r="AO892" s="326"/>
      <c r="AP892" s="326"/>
      <c r="AQ892" s="326"/>
      <c r="AR892" s="326"/>
      <c r="AS892" s="326"/>
      <c r="AT892" s="326"/>
      <c r="AU892" s="326"/>
      <c r="AV892" s="326"/>
      <c r="AW892" s="326"/>
      <c r="AX892" s="326"/>
      <c r="AY892" s="326"/>
      <c r="AZ892" s="326"/>
      <c r="BA892" s="326"/>
      <c r="BB892" s="327"/>
    </row>
    <row r="893" spans="1:54" ht="15.75" customHeight="1" x14ac:dyDescent="0.25">
      <c r="A893" s="11">
        <f t="shared" si="3"/>
        <v>880</v>
      </c>
      <c r="B893" s="504" t="str">
        <f>'refer admin discharge'!B889</f>
        <v>x</v>
      </c>
      <c r="C893" s="327"/>
      <c r="D893" s="505" t="str">
        <f>'refer admin discharge'!D889</f>
        <v>xx</v>
      </c>
      <c r="E893" s="327"/>
      <c r="F893" s="606" t="str">
        <f>'refer admin discharge'!H889</f>
        <v>00/00/0000</v>
      </c>
      <c r="G893" s="327"/>
      <c r="H893" s="594"/>
      <c r="I893" s="327"/>
      <c r="J893" s="605"/>
      <c r="K893" s="327"/>
      <c r="L893" s="594"/>
      <c r="M893" s="327"/>
      <c r="N893" s="575"/>
      <c r="O893" s="327"/>
      <c r="P893" s="594"/>
      <c r="Q893" s="327"/>
      <c r="R893" s="575"/>
      <c r="S893" s="327"/>
      <c r="T893" s="594"/>
      <c r="U893" s="327"/>
      <c r="V893" s="595" t="str">
        <f>'refer admin discharge'!H894</f>
        <v>00/00/0000</v>
      </c>
      <c r="W893" s="327"/>
      <c r="X893" s="577"/>
      <c r="Y893" s="327"/>
      <c r="Z893" s="604"/>
      <c r="AA893" s="327"/>
      <c r="AB893" s="577"/>
      <c r="AC893" s="327"/>
      <c r="AD893" s="576"/>
      <c r="AE893" s="327"/>
      <c r="AF893" s="577"/>
      <c r="AG893" s="327"/>
      <c r="AH893" s="576"/>
      <c r="AI893" s="327"/>
      <c r="AJ893" s="577"/>
      <c r="AK893" s="327"/>
      <c r="AL893" s="602"/>
      <c r="AM893" s="326"/>
      <c r="AN893" s="326"/>
      <c r="AO893" s="326"/>
      <c r="AP893" s="326"/>
      <c r="AQ893" s="326"/>
      <c r="AR893" s="326"/>
      <c r="AS893" s="326"/>
      <c r="AT893" s="326"/>
      <c r="AU893" s="326"/>
      <c r="AV893" s="326"/>
      <c r="AW893" s="326"/>
      <c r="AX893" s="326"/>
      <c r="AY893" s="326"/>
      <c r="AZ893" s="326"/>
      <c r="BA893" s="326"/>
      <c r="BB893" s="327"/>
    </row>
    <row r="894" spans="1:54" ht="15.75" customHeight="1" x14ac:dyDescent="0.25">
      <c r="A894" s="11">
        <f t="shared" si="3"/>
        <v>881</v>
      </c>
      <c r="B894" s="570" t="str">
        <f>'refer admin discharge'!B890</f>
        <v>x</v>
      </c>
      <c r="C894" s="327"/>
      <c r="D894" s="599" t="str">
        <f>'refer admin discharge'!D890</f>
        <v>xx</v>
      </c>
      <c r="E894" s="327"/>
      <c r="F894" s="600" t="str">
        <f>'refer admin discharge'!H890</f>
        <v>00/00/0000</v>
      </c>
      <c r="G894" s="327"/>
      <c r="H894" s="574"/>
      <c r="I894" s="327"/>
      <c r="J894" s="601"/>
      <c r="K894" s="327"/>
      <c r="L894" s="574"/>
      <c r="M894" s="327"/>
      <c r="N894" s="594"/>
      <c r="O894" s="327"/>
      <c r="P894" s="574"/>
      <c r="Q894" s="327"/>
      <c r="R894" s="594"/>
      <c r="S894" s="327"/>
      <c r="T894" s="574"/>
      <c r="U894" s="327"/>
      <c r="V894" s="595" t="str">
        <f>'refer admin discharge'!H895</f>
        <v>00/00/0000</v>
      </c>
      <c r="W894" s="327"/>
      <c r="X894" s="596"/>
      <c r="Y894" s="327"/>
      <c r="Z894" s="597"/>
      <c r="AA894" s="327"/>
      <c r="AB894" s="596"/>
      <c r="AC894" s="327"/>
      <c r="AD894" s="577"/>
      <c r="AE894" s="327"/>
      <c r="AF894" s="596"/>
      <c r="AG894" s="327"/>
      <c r="AH894" s="577"/>
      <c r="AI894" s="327"/>
      <c r="AJ894" s="596"/>
      <c r="AK894" s="327"/>
      <c r="AL894" s="598"/>
      <c r="AM894" s="326"/>
      <c r="AN894" s="326"/>
      <c r="AO894" s="326"/>
      <c r="AP894" s="326"/>
      <c r="AQ894" s="326"/>
      <c r="AR894" s="326"/>
      <c r="AS894" s="326"/>
      <c r="AT894" s="326"/>
      <c r="AU894" s="326"/>
      <c r="AV894" s="326"/>
      <c r="AW894" s="326"/>
      <c r="AX894" s="326"/>
      <c r="AY894" s="326"/>
      <c r="AZ894" s="326"/>
      <c r="BA894" s="326"/>
      <c r="BB894" s="327"/>
    </row>
    <row r="895" spans="1:54" ht="15.75" customHeight="1" x14ac:dyDescent="0.25">
      <c r="A895" s="11">
        <f t="shared" si="3"/>
        <v>882</v>
      </c>
      <c r="B895" s="504" t="str">
        <f>'refer admin discharge'!B891</f>
        <v>x</v>
      </c>
      <c r="C895" s="327"/>
      <c r="D895" s="505" t="str">
        <f>'refer admin discharge'!D891</f>
        <v>xx</v>
      </c>
      <c r="E895" s="327"/>
      <c r="F895" s="606" t="str">
        <f>'refer admin discharge'!H891</f>
        <v>00/00/0000</v>
      </c>
      <c r="G895" s="327"/>
      <c r="H895" s="594"/>
      <c r="I895" s="327"/>
      <c r="J895" s="605"/>
      <c r="K895" s="327"/>
      <c r="L895" s="594"/>
      <c r="M895" s="327"/>
      <c r="N895" s="575"/>
      <c r="O895" s="327"/>
      <c r="P895" s="594"/>
      <c r="Q895" s="327"/>
      <c r="R895" s="575"/>
      <c r="S895" s="327"/>
      <c r="T895" s="594"/>
      <c r="U895" s="327"/>
      <c r="V895" s="595" t="str">
        <f>'refer admin discharge'!H896</f>
        <v>00/00/0000</v>
      </c>
      <c r="W895" s="327"/>
      <c r="X895" s="577"/>
      <c r="Y895" s="327"/>
      <c r="Z895" s="604"/>
      <c r="AA895" s="327"/>
      <c r="AB895" s="577"/>
      <c r="AC895" s="327"/>
      <c r="AD895" s="576"/>
      <c r="AE895" s="327"/>
      <c r="AF895" s="577"/>
      <c r="AG895" s="327"/>
      <c r="AH895" s="576"/>
      <c r="AI895" s="327"/>
      <c r="AJ895" s="577"/>
      <c r="AK895" s="327"/>
      <c r="AL895" s="602"/>
      <c r="AM895" s="326"/>
      <c r="AN895" s="326"/>
      <c r="AO895" s="326"/>
      <c r="AP895" s="326"/>
      <c r="AQ895" s="326"/>
      <c r="AR895" s="326"/>
      <c r="AS895" s="326"/>
      <c r="AT895" s="326"/>
      <c r="AU895" s="326"/>
      <c r="AV895" s="326"/>
      <c r="AW895" s="326"/>
      <c r="AX895" s="326"/>
      <c r="AY895" s="326"/>
      <c r="AZ895" s="326"/>
      <c r="BA895" s="326"/>
      <c r="BB895" s="327"/>
    </row>
    <row r="896" spans="1:54" ht="15.75" customHeight="1" x14ac:dyDescent="0.25">
      <c r="A896" s="11">
        <f t="shared" si="3"/>
        <v>883</v>
      </c>
      <c r="B896" s="570" t="str">
        <f>'refer admin discharge'!B892</f>
        <v>x</v>
      </c>
      <c r="C896" s="327"/>
      <c r="D896" s="599" t="str">
        <f>'refer admin discharge'!D892</f>
        <v>xx</v>
      </c>
      <c r="E896" s="327"/>
      <c r="F896" s="600" t="str">
        <f>'refer admin discharge'!H892</f>
        <v>00/00/0000</v>
      </c>
      <c r="G896" s="327"/>
      <c r="H896" s="574"/>
      <c r="I896" s="327"/>
      <c r="J896" s="601"/>
      <c r="K896" s="327"/>
      <c r="L896" s="574"/>
      <c r="M896" s="327"/>
      <c r="N896" s="594"/>
      <c r="O896" s="327"/>
      <c r="P896" s="574"/>
      <c r="Q896" s="327"/>
      <c r="R896" s="594"/>
      <c r="S896" s="327"/>
      <c r="T896" s="574"/>
      <c r="U896" s="327"/>
      <c r="V896" s="595" t="str">
        <f>'refer admin discharge'!H897</f>
        <v>00/00/0000</v>
      </c>
      <c r="W896" s="327"/>
      <c r="X896" s="596"/>
      <c r="Y896" s="327"/>
      <c r="Z896" s="597"/>
      <c r="AA896" s="327"/>
      <c r="AB896" s="596"/>
      <c r="AC896" s="327"/>
      <c r="AD896" s="577"/>
      <c r="AE896" s="327"/>
      <c r="AF896" s="596"/>
      <c r="AG896" s="327"/>
      <c r="AH896" s="577"/>
      <c r="AI896" s="327"/>
      <c r="AJ896" s="596"/>
      <c r="AK896" s="327"/>
      <c r="AL896" s="598"/>
      <c r="AM896" s="326"/>
      <c r="AN896" s="326"/>
      <c r="AO896" s="326"/>
      <c r="AP896" s="326"/>
      <c r="AQ896" s="326"/>
      <c r="AR896" s="326"/>
      <c r="AS896" s="326"/>
      <c r="AT896" s="326"/>
      <c r="AU896" s="326"/>
      <c r="AV896" s="326"/>
      <c r="AW896" s="326"/>
      <c r="AX896" s="326"/>
      <c r="AY896" s="326"/>
      <c r="AZ896" s="326"/>
      <c r="BA896" s="326"/>
      <c r="BB896" s="327"/>
    </row>
    <row r="897" spans="1:54" ht="15.75" customHeight="1" x14ac:dyDescent="0.25">
      <c r="A897" s="11">
        <f t="shared" si="3"/>
        <v>884</v>
      </c>
      <c r="B897" s="504" t="str">
        <f>'refer admin discharge'!B893</f>
        <v>x</v>
      </c>
      <c r="C897" s="327"/>
      <c r="D897" s="505" t="str">
        <f>'refer admin discharge'!D893</f>
        <v>xx</v>
      </c>
      <c r="E897" s="327"/>
      <c r="F897" s="606" t="str">
        <f>'refer admin discharge'!H893</f>
        <v>00/00/0000</v>
      </c>
      <c r="G897" s="327"/>
      <c r="H897" s="594"/>
      <c r="I897" s="327"/>
      <c r="J897" s="605"/>
      <c r="K897" s="327"/>
      <c r="L897" s="594"/>
      <c r="M897" s="327"/>
      <c r="N897" s="575"/>
      <c r="O897" s="327"/>
      <c r="P897" s="594"/>
      <c r="Q897" s="327"/>
      <c r="R897" s="575"/>
      <c r="S897" s="327"/>
      <c r="T897" s="594"/>
      <c r="U897" s="327"/>
      <c r="V897" s="595" t="str">
        <f>'refer admin discharge'!H898</f>
        <v>00/00/0000</v>
      </c>
      <c r="W897" s="327"/>
      <c r="X897" s="577"/>
      <c r="Y897" s="327"/>
      <c r="Z897" s="604"/>
      <c r="AA897" s="327"/>
      <c r="AB897" s="577"/>
      <c r="AC897" s="327"/>
      <c r="AD897" s="576"/>
      <c r="AE897" s="327"/>
      <c r="AF897" s="577"/>
      <c r="AG897" s="327"/>
      <c r="AH897" s="576"/>
      <c r="AI897" s="327"/>
      <c r="AJ897" s="577"/>
      <c r="AK897" s="327"/>
      <c r="AL897" s="602"/>
      <c r="AM897" s="326"/>
      <c r="AN897" s="326"/>
      <c r="AO897" s="326"/>
      <c r="AP897" s="326"/>
      <c r="AQ897" s="326"/>
      <c r="AR897" s="326"/>
      <c r="AS897" s="326"/>
      <c r="AT897" s="326"/>
      <c r="AU897" s="326"/>
      <c r="AV897" s="326"/>
      <c r="AW897" s="326"/>
      <c r="AX897" s="326"/>
      <c r="AY897" s="326"/>
      <c r="AZ897" s="326"/>
      <c r="BA897" s="326"/>
      <c r="BB897" s="327"/>
    </row>
    <row r="898" spans="1:54" ht="15.75" customHeight="1" x14ac:dyDescent="0.25">
      <c r="A898" s="11">
        <f t="shared" si="3"/>
        <v>885</v>
      </c>
      <c r="B898" s="570" t="str">
        <f>'refer admin discharge'!B894</f>
        <v>x</v>
      </c>
      <c r="C898" s="327"/>
      <c r="D898" s="599" t="str">
        <f>'refer admin discharge'!D894</f>
        <v>xx</v>
      </c>
      <c r="E898" s="327"/>
      <c r="F898" s="600" t="str">
        <f>'refer admin discharge'!H894</f>
        <v>00/00/0000</v>
      </c>
      <c r="G898" s="327"/>
      <c r="H898" s="574"/>
      <c r="I898" s="327"/>
      <c r="J898" s="601"/>
      <c r="K898" s="327"/>
      <c r="L898" s="574"/>
      <c r="M898" s="327"/>
      <c r="N898" s="594"/>
      <c r="O898" s="327"/>
      <c r="P898" s="574"/>
      <c r="Q898" s="327"/>
      <c r="R898" s="594"/>
      <c r="S898" s="327"/>
      <c r="T898" s="574"/>
      <c r="U898" s="327"/>
      <c r="V898" s="595" t="str">
        <f>'refer admin discharge'!H899</f>
        <v>00/00/0000</v>
      </c>
      <c r="W898" s="327"/>
      <c r="X898" s="596"/>
      <c r="Y898" s="327"/>
      <c r="Z898" s="597"/>
      <c r="AA898" s="327"/>
      <c r="AB898" s="596"/>
      <c r="AC898" s="327"/>
      <c r="AD898" s="577"/>
      <c r="AE898" s="327"/>
      <c r="AF898" s="596"/>
      <c r="AG898" s="327"/>
      <c r="AH898" s="577"/>
      <c r="AI898" s="327"/>
      <c r="AJ898" s="596"/>
      <c r="AK898" s="327"/>
      <c r="AL898" s="598"/>
      <c r="AM898" s="326"/>
      <c r="AN898" s="326"/>
      <c r="AO898" s="326"/>
      <c r="AP898" s="326"/>
      <c r="AQ898" s="326"/>
      <c r="AR898" s="326"/>
      <c r="AS898" s="326"/>
      <c r="AT898" s="326"/>
      <c r="AU898" s="326"/>
      <c r="AV898" s="326"/>
      <c r="AW898" s="326"/>
      <c r="AX898" s="326"/>
      <c r="AY898" s="326"/>
      <c r="AZ898" s="326"/>
      <c r="BA898" s="326"/>
      <c r="BB898" s="327"/>
    </row>
    <row r="899" spans="1:54" ht="15.75" customHeight="1" x14ac:dyDescent="0.25">
      <c r="A899" s="11">
        <f t="shared" si="3"/>
        <v>886</v>
      </c>
      <c r="B899" s="504" t="str">
        <f>'refer admin discharge'!B895</f>
        <v>x</v>
      </c>
      <c r="C899" s="327"/>
      <c r="D899" s="505" t="str">
        <f>'refer admin discharge'!D895</f>
        <v>xx</v>
      </c>
      <c r="E899" s="327"/>
      <c r="F899" s="606" t="str">
        <f>'refer admin discharge'!H895</f>
        <v>00/00/0000</v>
      </c>
      <c r="G899" s="327"/>
      <c r="H899" s="594"/>
      <c r="I899" s="327"/>
      <c r="J899" s="605"/>
      <c r="K899" s="327"/>
      <c r="L899" s="594"/>
      <c r="M899" s="327"/>
      <c r="N899" s="575"/>
      <c r="O899" s="327"/>
      <c r="P899" s="594"/>
      <c r="Q899" s="327"/>
      <c r="R899" s="575"/>
      <c r="S899" s="327"/>
      <c r="T899" s="594"/>
      <c r="U899" s="327"/>
      <c r="V899" s="595" t="str">
        <f>'refer admin discharge'!H900</f>
        <v>00/00/0000</v>
      </c>
      <c r="W899" s="327"/>
      <c r="X899" s="577"/>
      <c r="Y899" s="327"/>
      <c r="Z899" s="604"/>
      <c r="AA899" s="327"/>
      <c r="AB899" s="577"/>
      <c r="AC899" s="327"/>
      <c r="AD899" s="576"/>
      <c r="AE899" s="327"/>
      <c r="AF899" s="577"/>
      <c r="AG899" s="327"/>
      <c r="AH899" s="576"/>
      <c r="AI899" s="327"/>
      <c r="AJ899" s="577"/>
      <c r="AK899" s="327"/>
      <c r="AL899" s="602"/>
      <c r="AM899" s="326"/>
      <c r="AN899" s="326"/>
      <c r="AO899" s="326"/>
      <c r="AP899" s="326"/>
      <c r="AQ899" s="326"/>
      <c r="AR899" s="326"/>
      <c r="AS899" s="326"/>
      <c r="AT899" s="326"/>
      <c r="AU899" s="326"/>
      <c r="AV899" s="326"/>
      <c r="AW899" s="326"/>
      <c r="AX899" s="326"/>
      <c r="AY899" s="326"/>
      <c r="AZ899" s="326"/>
      <c r="BA899" s="326"/>
      <c r="BB899" s="327"/>
    </row>
    <row r="900" spans="1:54" ht="15.75" customHeight="1" x14ac:dyDescent="0.25">
      <c r="A900" s="11">
        <f t="shared" si="3"/>
        <v>887</v>
      </c>
      <c r="B900" s="570" t="str">
        <f>'refer admin discharge'!B896</f>
        <v>x</v>
      </c>
      <c r="C900" s="327"/>
      <c r="D900" s="599" t="str">
        <f>'refer admin discharge'!D896</f>
        <v>xx</v>
      </c>
      <c r="E900" s="327"/>
      <c r="F900" s="600" t="str">
        <f>'refer admin discharge'!H896</f>
        <v>00/00/0000</v>
      </c>
      <c r="G900" s="327"/>
      <c r="H900" s="574"/>
      <c r="I900" s="327"/>
      <c r="J900" s="601"/>
      <c r="K900" s="327"/>
      <c r="L900" s="574"/>
      <c r="M900" s="327"/>
      <c r="N900" s="594"/>
      <c r="O900" s="327"/>
      <c r="P900" s="574"/>
      <c r="Q900" s="327"/>
      <c r="R900" s="594"/>
      <c r="S900" s="327"/>
      <c r="T900" s="574"/>
      <c r="U900" s="327"/>
      <c r="V900" s="595" t="str">
        <f>'refer admin discharge'!H901</f>
        <v>00/00/0000</v>
      </c>
      <c r="W900" s="327"/>
      <c r="X900" s="596"/>
      <c r="Y900" s="327"/>
      <c r="Z900" s="597"/>
      <c r="AA900" s="327"/>
      <c r="AB900" s="596"/>
      <c r="AC900" s="327"/>
      <c r="AD900" s="577"/>
      <c r="AE900" s="327"/>
      <c r="AF900" s="596"/>
      <c r="AG900" s="327"/>
      <c r="AH900" s="577"/>
      <c r="AI900" s="327"/>
      <c r="AJ900" s="596"/>
      <c r="AK900" s="327"/>
      <c r="AL900" s="598"/>
      <c r="AM900" s="326"/>
      <c r="AN900" s="326"/>
      <c r="AO900" s="326"/>
      <c r="AP900" s="326"/>
      <c r="AQ900" s="326"/>
      <c r="AR900" s="326"/>
      <c r="AS900" s="326"/>
      <c r="AT900" s="326"/>
      <c r="AU900" s="326"/>
      <c r="AV900" s="326"/>
      <c r="AW900" s="326"/>
      <c r="AX900" s="326"/>
      <c r="AY900" s="326"/>
      <c r="AZ900" s="326"/>
      <c r="BA900" s="326"/>
      <c r="BB900" s="327"/>
    </row>
    <row r="901" spans="1:54" ht="15.75" customHeight="1" x14ac:dyDescent="0.25">
      <c r="A901" s="11">
        <f t="shared" si="3"/>
        <v>888</v>
      </c>
      <c r="B901" s="504" t="str">
        <f>'refer admin discharge'!B897</f>
        <v>x</v>
      </c>
      <c r="C901" s="327"/>
      <c r="D901" s="505" t="str">
        <f>'refer admin discharge'!D897</f>
        <v>xx</v>
      </c>
      <c r="E901" s="327"/>
      <c r="F901" s="606" t="str">
        <f>'refer admin discharge'!H897</f>
        <v>00/00/0000</v>
      </c>
      <c r="G901" s="327"/>
      <c r="H901" s="594"/>
      <c r="I901" s="327"/>
      <c r="J901" s="605"/>
      <c r="K901" s="327"/>
      <c r="L901" s="594"/>
      <c r="M901" s="327"/>
      <c r="N901" s="575"/>
      <c r="O901" s="327"/>
      <c r="P901" s="594"/>
      <c r="Q901" s="327"/>
      <c r="R901" s="575"/>
      <c r="S901" s="327"/>
      <c r="T901" s="594"/>
      <c r="U901" s="327"/>
      <c r="V901" s="595" t="str">
        <f>'refer admin discharge'!H902</f>
        <v>00/00/0000</v>
      </c>
      <c r="W901" s="327"/>
      <c r="X901" s="577"/>
      <c r="Y901" s="327"/>
      <c r="Z901" s="604"/>
      <c r="AA901" s="327"/>
      <c r="AB901" s="577"/>
      <c r="AC901" s="327"/>
      <c r="AD901" s="576"/>
      <c r="AE901" s="327"/>
      <c r="AF901" s="577"/>
      <c r="AG901" s="327"/>
      <c r="AH901" s="576"/>
      <c r="AI901" s="327"/>
      <c r="AJ901" s="577"/>
      <c r="AK901" s="327"/>
      <c r="AL901" s="602"/>
      <c r="AM901" s="326"/>
      <c r="AN901" s="326"/>
      <c r="AO901" s="326"/>
      <c r="AP901" s="326"/>
      <c r="AQ901" s="326"/>
      <c r="AR901" s="326"/>
      <c r="AS901" s="326"/>
      <c r="AT901" s="326"/>
      <c r="AU901" s="326"/>
      <c r="AV901" s="326"/>
      <c r="AW901" s="326"/>
      <c r="AX901" s="326"/>
      <c r="AY901" s="326"/>
      <c r="AZ901" s="326"/>
      <c r="BA901" s="326"/>
      <c r="BB901" s="327"/>
    </row>
    <row r="902" spans="1:54" ht="15.75" customHeight="1" x14ac:dyDescent="0.25">
      <c r="A902" s="11">
        <f t="shared" si="3"/>
        <v>889</v>
      </c>
      <c r="B902" s="570" t="str">
        <f>'refer admin discharge'!B898</f>
        <v>x</v>
      </c>
      <c r="C902" s="327"/>
      <c r="D902" s="599" t="str">
        <f>'refer admin discharge'!D898</f>
        <v>xx</v>
      </c>
      <c r="E902" s="327"/>
      <c r="F902" s="600" t="str">
        <f>'refer admin discharge'!H898</f>
        <v>00/00/0000</v>
      </c>
      <c r="G902" s="327"/>
      <c r="H902" s="574"/>
      <c r="I902" s="327"/>
      <c r="J902" s="601"/>
      <c r="K902" s="327"/>
      <c r="L902" s="574"/>
      <c r="M902" s="327"/>
      <c r="N902" s="594"/>
      <c r="O902" s="327"/>
      <c r="P902" s="574"/>
      <c r="Q902" s="327"/>
      <c r="R902" s="594"/>
      <c r="S902" s="327"/>
      <c r="T902" s="574"/>
      <c r="U902" s="327"/>
      <c r="V902" s="595" t="str">
        <f>'refer admin discharge'!H903</f>
        <v>00/00/0000</v>
      </c>
      <c r="W902" s="327"/>
      <c r="X902" s="596"/>
      <c r="Y902" s="327"/>
      <c r="Z902" s="597"/>
      <c r="AA902" s="327"/>
      <c r="AB902" s="596"/>
      <c r="AC902" s="327"/>
      <c r="AD902" s="577"/>
      <c r="AE902" s="327"/>
      <c r="AF902" s="596"/>
      <c r="AG902" s="327"/>
      <c r="AH902" s="577"/>
      <c r="AI902" s="327"/>
      <c r="AJ902" s="596"/>
      <c r="AK902" s="327"/>
      <c r="AL902" s="598"/>
      <c r="AM902" s="326"/>
      <c r="AN902" s="326"/>
      <c r="AO902" s="326"/>
      <c r="AP902" s="326"/>
      <c r="AQ902" s="326"/>
      <c r="AR902" s="326"/>
      <c r="AS902" s="326"/>
      <c r="AT902" s="326"/>
      <c r="AU902" s="326"/>
      <c r="AV902" s="326"/>
      <c r="AW902" s="326"/>
      <c r="AX902" s="326"/>
      <c r="AY902" s="326"/>
      <c r="AZ902" s="326"/>
      <c r="BA902" s="326"/>
      <c r="BB902" s="327"/>
    </row>
    <row r="903" spans="1:54" ht="15.75" customHeight="1" x14ac:dyDescent="0.25">
      <c r="A903" s="11">
        <f t="shared" si="3"/>
        <v>890</v>
      </c>
      <c r="B903" s="504" t="str">
        <f>'refer admin discharge'!B899</f>
        <v>x</v>
      </c>
      <c r="C903" s="327"/>
      <c r="D903" s="505" t="str">
        <f>'refer admin discharge'!D899</f>
        <v>xx</v>
      </c>
      <c r="E903" s="327"/>
      <c r="F903" s="606" t="str">
        <f>'refer admin discharge'!H899</f>
        <v>00/00/0000</v>
      </c>
      <c r="G903" s="327"/>
      <c r="H903" s="594"/>
      <c r="I903" s="327"/>
      <c r="J903" s="605"/>
      <c r="K903" s="327"/>
      <c r="L903" s="594"/>
      <c r="M903" s="327"/>
      <c r="N903" s="575"/>
      <c r="O903" s="327"/>
      <c r="P903" s="594"/>
      <c r="Q903" s="327"/>
      <c r="R903" s="575"/>
      <c r="S903" s="327"/>
      <c r="T903" s="594"/>
      <c r="U903" s="327"/>
      <c r="V903" s="595" t="str">
        <f>'refer admin discharge'!H904</f>
        <v>00/00/0000</v>
      </c>
      <c r="W903" s="327"/>
      <c r="X903" s="577"/>
      <c r="Y903" s="327"/>
      <c r="Z903" s="604"/>
      <c r="AA903" s="327"/>
      <c r="AB903" s="577"/>
      <c r="AC903" s="327"/>
      <c r="AD903" s="576"/>
      <c r="AE903" s="327"/>
      <c r="AF903" s="577"/>
      <c r="AG903" s="327"/>
      <c r="AH903" s="576"/>
      <c r="AI903" s="327"/>
      <c r="AJ903" s="577"/>
      <c r="AK903" s="327"/>
      <c r="AL903" s="602"/>
      <c r="AM903" s="326"/>
      <c r="AN903" s="326"/>
      <c r="AO903" s="326"/>
      <c r="AP903" s="326"/>
      <c r="AQ903" s="326"/>
      <c r="AR903" s="326"/>
      <c r="AS903" s="326"/>
      <c r="AT903" s="326"/>
      <c r="AU903" s="326"/>
      <c r="AV903" s="326"/>
      <c r="AW903" s="326"/>
      <c r="AX903" s="326"/>
      <c r="AY903" s="326"/>
      <c r="AZ903" s="326"/>
      <c r="BA903" s="326"/>
      <c r="BB903" s="327"/>
    </row>
    <row r="904" spans="1:54" ht="15.75" customHeight="1" x14ac:dyDescent="0.25">
      <c r="A904" s="11">
        <f t="shared" si="3"/>
        <v>891</v>
      </c>
      <c r="B904" s="570" t="str">
        <f>'refer admin discharge'!B900</f>
        <v>x</v>
      </c>
      <c r="C904" s="327"/>
      <c r="D904" s="599" t="str">
        <f>'refer admin discharge'!D900</f>
        <v>xx</v>
      </c>
      <c r="E904" s="327"/>
      <c r="F904" s="600" t="str">
        <f>'refer admin discharge'!H900</f>
        <v>00/00/0000</v>
      </c>
      <c r="G904" s="327"/>
      <c r="H904" s="574"/>
      <c r="I904" s="327"/>
      <c r="J904" s="601"/>
      <c r="K904" s="327"/>
      <c r="L904" s="574"/>
      <c r="M904" s="327"/>
      <c r="N904" s="594"/>
      <c r="O904" s="327"/>
      <c r="P904" s="574"/>
      <c r="Q904" s="327"/>
      <c r="R904" s="594"/>
      <c r="S904" s="327"/>
      <c r="T904" s="574"/>
      <c r="U904" s="327"/>
      <c r="V904" s="595" t="str">
        <f>'refer admin discharge'!H905</f>
        <v>00/00/0000</v>
      </c>
      <c r="W904" s="327"/>
      <c r="X904" s="596"/>
      <c r="Y904" s="327"/>
      <c r="Z904" s="597"/>
      <c r="AA904" s="327"/>
      <c r="AB904" s="596"/>
      <c r="AC904" s="327"/>
      <c r="AD904" s="577"/>
      <c r="AE904" s="327"/>
      <c r="AF904" s="596"/>
      <c r="AG904" s="327"/>
      <c r="AH904" s="577"/>
      <c r="AI904" s="327"/>
      <c r="AJ904" s="596"/>
      <c r="AK904" s="327"/>
      <c r="AL904" s="598"/>
      <c r="AM904" s="326"/>
      <c r="AN904" s="326"/>
      <c r="AO904" s="326"/>
      <c r="AP904" s="326"/>
      <c r="AQ904" s="326"/>
      <c r="AR904" s="326"/>
      <c r="AS904" s="326"/>
      <c r="AT904" s="326"/>
      <c r="AU904" s="326"/>
      <c r="AV904" s="326"/>
      <c r="AW904" s="326"/>
      <c r="AX904" s="326"/>
      <c r="AY904" s="326"/>
      <c r="AZ904" s="326"/>
      <c r="BA904" s="326"/>
      <c r="BB904" s="327"/>
    </row>
    <row r="905" spans="1:54" ht="15.75" customHeight="1" x14ac:dyDescent="0.25">
      <c r="A905" s="11">
        <f t="shared" si="3"/>
        <v>892</v>
      </c>
      <c r="B905" s="504" t="str">
        <f>'refer admin discharge'!B901</f>
        <v>x</v>
      </c>
      <c r="C905" s="327"/>
      <c r="D905" s="505" t="str">
        <f>'refer admin discharge'!D901</f>
        <v>xx</v>
      </c>
      <c r="E905" s="327"/>
      <c r="F905" s="606" t="str">
        <f>'refer admin discharge'!H901</f>
        <v>00/00/0000</v>
      </c>
      <c r="G905" s="327"/>
      <c r="H905" s="594"/>
      <c r="I905" s="327"/>
      <c r="J905" s="605"/>
      <c r="K905" s="327"/>
      <c r="L905" s="594"/>
      <c r="M905" s="327"/>
      <c r="N905" s="575"/>
      <c r="O905" s="327"/>
      <c r="P905" s="594"/>
      <c r="Q905" s="327"/>
      <c r="R905" s="575"/>
      <c r="S905" s="327"/>
      <c r="T905" s="594"/>
      <c r="U905" s="327"/>
      <c r="V905" s="595" t="str">
        <f>'refer admin discharge'!H906</f>
        <v>00/00/0000</v>
      </c>
      <c r="W905" s="327"/>
      <c r="X905" s="577"/>
      <c r="Y905" s="327"/>
      <c r="Z905" s="604"/>
      <c r="AA905" s="327"/>
      <c r="AB905" s="577"/>
      <c r="AC905" s="327"/>
      <c r="AD905" s="576"/>
      <c r="AE905" s="327"/>
      <c r="AF905" s="577"/>
      <c r="AG905" s="327"/>
      <c r="AH905" s="576"/>
      <c r="AI905" s="327"/>
      <c r="AJ905" s="577"/>
      <c r="AK905" s="327"/>
      <c r="AL905" s="602"/>
      <c r="AM905" s="326"/>
      <c r="AN905" s="326"/>
      <c r="AO905" s="326"/>
      <c r="AP905" s="326"/>
      <c r="AQ905" s="326"/>
      <c r="AR905" s="326"/>
      <c r="AS905" s="326"/>
      <c r="AT905" s="326"/>
      <c r="AU905" s="326"/>
      <c r="AV905" s="326"/>
      <c r="AW905" s="326"/>
      <c r="AX905" s="326"/>
      <c r="AY905" s="326"/>
      <c r="AZ905" s="326"/>
      <c r="BA905" s="326"/>
      <c r="BB905" s="327"/>
    </row>
    <row r="906" spans="1:54" ht="15.75" customHeight="1" x14ac:dyDescent="0.25">
      <c r="A906" s="11">
        <f t="shared" si="3"/>
        <v>893</v>
      </c>
      <c r="B906" s="570" t="str">
        <f>'refer admin discharge'!B902</f>
        <v>x</v>
      </c>
      <c r="C906" s="327"/>
      <c r="D906" s="599" t="str">
        <f>'refer admin discharge'!D902</f>
        <v>xx</v>
      </c>
      <c r="E906" s="327"/>
      <c r="F906" s="600" t="str">
        <f>'refer admin discharge'!H902</f>
        <v>00/00/0000</v>
      </c>
      <c r="G906" s="327"/>
      <c r="H906" s="574"/>
      <c r="I906" s="327"/>
      <c r="J906" s="601"/>
      <c r="K906" s="327"/>
      <c r="L906" s="574"/>
      <c r="M906" s="327"/>
      <c r="N906" s="594"/>
      <c r="O906" s="327"/>
      <c r="P906" s="574"/>
      <c r="Q906" s="327"/>
      <c r="R906" s="594"/>
      <c r="S906" s="327"/>
      <c r="T906" s="574"/>
      <c r="U906" s="327"/>
      <c r="V906" s="595" t="str">
        <f>'refer admin discharge'!H907</f>
        <v>00/00/0000</v>
      </c>
      <c r="W906" s="327"/>
      <c r="X906" s="596"/>
      <c r="Y906" s="327"/>
      <c r="Z906" s="597"/>
      <c r="AA906" s="327"/>
      <c r="AB906" s="596"/>
      <c r="AC906" s="327"/>
      <c r="AD906" s="577"/>
      <c r="AE906" s="327"/>
      <c r="AF906" s="596"/>
      <c r="AG906" s="327"/>
      <c r="AH906" s="577"/>
      <c r="AI906" s="327"/>
      <c r="AJ906" s="596"/>
      <c r="AK906" s="327"/>
      <c r="AL906" s="598"/>
      <c r="AM906" s="326"/>
      <c r="AN906" s="326"/>
      <c r="AO906" s="326"/>
      <c r="AP906" s="326"/>
      <c r="AQ906" s="326"/>
      <c r="AR906" s="326"/>
      <c r="AS906" s="326"/>
      <c r="AT906" s="326"/>
      <c r="AU906" s="326"/>
      <c r="AV906" s="326"/>
      <c r="AW906" s="326"/>
      <c r="AX906" s="326"/>
      <c r="AY906" s="326"/>
      <c r="AZ906" s="326"/>
      <c r="BA906" s="326"/>
      <c r="BB906" s="327"/>
    </row>
    <row r="907" spans="1:54" ht="15.75" customHeight="1" x14ac:dyDescent="0.25">
      <c r="A907" s="11">
        <f t="shared" si="3"/>
        <v>894</v>
      </c>
      <c r="B907" s="504" t="str">
        <f>'refer admin discharge'!B903</f>
        <v>x</v>
      </c>
      <c r="C907" s="327"/>
      <c r="D907" s="505" t="str">
        <f>'refer admin discharge'!D903</f>
        <v>xx</v>
      </c>
      <c r="E907" s="327"/>
      <c r="F907" s="606" t="str">
        <f>'refer admin discharge'!H903</f>
        <v>00/00/0000</v>
      </c>
      <c r="G907" s="327"/>
      <c r="H907" s="594"/>
      <c r="I907" s="327"/>
      <c r="J907" s="605"/>
      <c r="K907" s="327"/>
      <c r="L907" s="594"/>
      <c r="M907" s="327"/>
      <c r="N907" s="575"/>
      <c r="O907" s="327"/>
      <c r="P907" s="594"/>
      <c r="Q907" s="327"/>
      <c r="R907" s="575"/>
      <c r="S907" s="327"/>
      <c r="T907" s="594"/>
      <c r="U907" s="327"/>
      <c r="V907" s="595" t="str">
        <f>'refer admin discharge'!H908</f>
        <v>00/00/0000</v>
      </c>
      <c r="W907" s="327"/>
      <c r="X907" s="577"/>
      <c r="Y907" s="327"/>
      <c r="Z907" s="604"/>
      <c r="AA907" s="327"/>
      <c r="AB907" s="577"/>
      <c r="AC907" s="327"/>
      <c r="AD907" s="576"/>
      <c r="AE907" s="327"/>
      <c r="AF907" s="577"/>
      <c r="AG907" s="327"/>
      <c r="AH907" s="576"/>
      <c r="AI907" s="327"/>
      <c r="AJ907" s="577"/>
      <c r="AK907" s="327"/>
      <c r="AL907" s="602"/>
      <c r="AM907" s="326"/>
      <c r="AN907" s="326"/>
      <c r="AO907" s="326"/>
      <c r="AP907" s="326"/>
      <c r="AQ907" s="326"/>
      <c r="AR907" s="326"/>
      <c r="AS907" s="326"/>
      <c r="AT907" s="326"/>
      <c r="AU907" s="326"/>
      <c r="AV907" s="326"/>
      <c r="AW907" s="326"/>
      <c r="AX907" s="326"/>
      <c r="AY907" s="326"/>
      <c r="AZ907" s="326"/>
      <c r="BA907" s="326"/>
      <c r="BB907" s="327"/>
    </row>
    <row r="908" spans="1:54" ht="15.75" customHeight="1" x14ac:dyDescent="0.25">
      <c r="A908" s="11">
        <f t="shared" si="3"/>
        <v>895</v>
      </c>
      <c r="B908" s="570" t="str">
        <f>'refer admin discharge'!B904</f>
        <v>x</v>
      </c>
      <c r="C908" s="327"/>
      <c r="D908" s="599" t="str">
        <f>'refer admin discharge'!D904</f>
        <v>xx</v>
      </c>
      <c r="E908" s="327"/>
      <c r="F908" s="600" t="str">
        <f>'refer admin discharge'!H904</f>
        <v>00/00/0000</v>
      </c>
      <c r="G908" s="327"/>
      <c r="H908" s="574"/>
      <c r="I908" s="327"/>
      <c r="J908" s="601"/>
      <c r="K908" s="327"/>
      <c r="L908" s="574"/>
      <c r="M908" s="327"/>
      <c r="N908" s="594"/>
      <c r="O908" s="327"/>
      <c r="P908" s="574"/>
      <c r="Q908" s="327"/>
      <c r="R908" s="594"/>
      <c r="S908" s="327"/>
      <c r="T908" s="574"/>
      <c r="U908" s="327"/>
      <c r="V908" s="595" t="str">
        <f>'refer admin discharge'!H909</f>
        <v>00/00/0000</v>
      </c>
      <c r="W908" s="327"/>
      <c r="X908" s="596"/>
      <c r="Y908" s="327"/>
      <c r="Z908" s="597"/>
      <c r="AA908" s="327"/>
      <c r="AB908" s="596"/>
      <c r="AC908" s="327"/>
      <c r="AD908" s="577"/>
      <c r="AE908" s="327"/>
      <c r="AF908" s="596"/>
      <c r="AG908" s="327"/>
      <c r="AH908" s="577"/>
      <c r="AI908" s="327"/>
      <c r="AJ908" s="596"/>
      <c r="AK908" s="327"/>
      <c r="AL908" s="598"/>
      <c r="AM908" s="326"/>
      <c r="AN908" s="326"/>
      <c r="AO908" s="326"/>
      <c r="AP908" s="326"/>
      <c r="AQ908" s="326"/>
      <c r="AR908" s="326"/>
      <c r="AS908" s="326"/>
      <c r="AT908" s="326"/>
      <c r="AU908" s="326"/>
      <c r="AV908" s="326"/>
      <c r="AW908" s="326"/>
      <c r="AX908" s="326"/>
      <c r="AY908" s="326"/>
      <c r="AZ908" s="326"/>
      <c r="BA908" s="326"/>
      <c r="BB908" s="327"/>
    </row>
    <row r="909" spans="1:54" ht="15.75" customHeight="1" x14ac:dyDescent="0.25">
      <c r="A909" s="11">
        <f t="shared" si="3"/>
        <v>896</v>
      </c>
      <c r="B909" s="504" t="str">
        <f>'refer admin discharge'!B905</f>
        <v>x</v>
      </c>
      <c r="C909" s="327"/>
      <c r="D909" s="505" t="str">
        <f>'refer admin discharge'!D905</f>
        <v>xx</v>
      </c>
      <c r="E909" s="327"/>
      <c r="F909" s="606" t="str">
        <f>'refer admin discharge'!H905</f>
        <v>00/00/0000</v>
      </c>
      <c r="G909" s="327"/>
      <c r="H909" s="594"/>
      <c r="I909" s="327"/>
      <c r="J909" s="605"/>
      <c r="K909" s="327"/>
      <c r="L909" s="594"/>
      <c r="M909" s="327"/>
      <c r="N909" s="575"/>
      <c r="O909" s="327"/>
      <c r="P909" s="594"/>
      <c r="Q909" s="327"/>
      <c r="R909" s="575"/>
      <c r="S909" s="327"/>
      <c r="T909" s="594"/>
      <c r="U909" s="327"/>
      <c r="V909" s="595" t="str">
        <f>'refer admin discharge'!H910</f>
        <v>00/00/0000</v>
      </c>
      <c r="W909" s="327"/>
      <c r="X909" s="577"/>
      <c r="Y909" s="327"/>
      <c r="Z909" s="604"/>
      <c r="AA909" s="327"/>
      <c r="AB909" s="577"/>
      <c r="AC909" s="327"/>
      <c r="AD909" s="576"/>
      <c r="AE909" s="327"/>
      <c r="AF909" s="577"/>
      <c r="AG909" s="327"/>
      <c r="AH909" s="576"/>
      <c r="AI909" s="327"/>
      <c r="AJ909" s="577"/>
      <c r="AK909" s="327"/>
      <c r="AL909" s="602"/>
      <c r="AM909" s="326"/>
      <c r="AN909" s="326"/>
      <c r="AO909" s="326"/>
      <c r="AP909" s="326"/>
      <c r="AQ909" s="326"/>
      <c r="AR909" s="326"/>
      <c r="AS909" s="326"/>
      <c r="AT909" s="326"/>
      <c r="AU909" s="326"/>
      <c r="AV909" s="326"/>
      <c r="AW909" s="326"/>
      <c r="AX909" s="326"/>
      <c r="AY909" s="326"/>
      <c r="AZ909" s="326"/>
      <c r="BA909" s="326"/>
      <c r="BB909" s="327"/>
    </row>
    <row r="910" spans="1:54" ht="15.75" customHeight="1" x14ac:dyDescent="0.25">
      <c r="A910" s="11">
        <f t="shared" si="3"/>
        <v>897</v>
      </c>
      <c r="B910" s="570" t="str">
        <f>'refer admin discharge'!B906</f>
        <v>x</v>
      </c>
      <c r="C910" s="327"/>
      <c r="D910" s="599" t="str">
        <f>'refer admin discharge'!D906</f>
        <v>xx</v>
      </c>
      <c r="E910" s="327"/>
      <c r="F910" s="600" t="str">
        <f>'refer admin discharge'!H906</f>
        <v>00/00/0000</v>
      </c>
      <c r="G910" s="327"/>
      <c r="H910" s="574"/>
      <c r="I910" s="327"/>
      <c r="J910" s="601"/>
      <c r="K910" s="327"/>
      <c r="L910" s="574"/>
      <c r="M910" s="327"/>
      <c r="N910" s="594"/>
      <c r="O910" s="327"/>
      <c r="P910" s="574"/>
      <c r="Q910" s="327"/>
      <c r="R910" s="594"/>
      <c r="S910" s="327"/>
      <c r="T910" s="574"/>
      <c r="U910" s="327"/>
      <c r="V910" s="595" t="str">
        <f>'refer admin discharge'!H911</f>
        <v>00/00/0000</v>
      </c>
      <c r="W910" s="327"/>
      <c r="X910" s="596"/>
      <c r="Y910" s="327"/>
      <c r="Z910" s="597"/>
      <c r="AA910" s="327"/>
      <c r="AB910" s="596"/>
      <c r="AC910" s="327"/>
      <c r="AD910" s="577"/>
      <c r="AE910" s="327"/>
      <c r="AF910" s="596"/>
      <c r="AG910" s="327"/>
      <c r="AH910" s="577"/>
      <c r="AI910" s="327"/>
      <c r="AJ910" s="596"/>
      <c r="AK910" s="327"/>
      <c r="AL910" s="598"/>
      <c r="AM910" s="326"/>
      <c r="AN910" s="326"/>
      <c r="AO910" s="326"/>
      <c r="AP910" s="326"/>
      <c r="AQ910" s="326"/>
      <c r="AR910" s="326"/>
      <c r="AS910" s="326"/>
      <c r="AT910" s="326"/>
      <c r="AU910" s="326"/>
      <c r="AV910" s="326"/>
      <c r="AW910" s="326"/>
      <c r="AX910" s="326"/>
      <c r="AY910" s="326"/>
      <c r="AZ910" s="326"/>
      <c r="BA910" s="326"/>
      <c r="BB910" s="327"/>
    </row>
    <row r="911" spans="1:54" ht="15.75" customHeight="1" x14ac:dyDescent="0.25">
      <c r="A911" s="11">
        <f t="shared" si="3"/>
        <v>898</v>
      </c>
      <c r="B911" s="504" t="str">
        <f>'refer admin discharge'!B907</f>
        <v>x</v>
      </c>
      <c r="C911" s="327"/>
      <c r="D911" s="505" t="str">
        <f>'refer admin discharge'!D907</f>
        <v>xx</v>
      </c>
      <c r="E911" s="327"/>
      <c r="F911" s="606" t="str">
        <f>'refer admin discharge'!H907</f>
        <v>00/00/0000</v>
      </c>
      <c r="G911" s="327"/>
      <c r="H911" s="594"/>
      <c r="I911" s="327"/>
      <c r="J911" s="605"/>
      <c r="K911" s="327"/>
      <c r="L911" s="594"/>
      <c r="M911" s="327"/>
      <c r="N911" s="575"/>
      <c r="O911" s="327"/>
      <c r="P911" s="594"/>
      <c r="Q911" s="327"/>
      <c r="R911" s="575"/>
      <c r="S911" s="327"/>
      <c r="T911" s="594"/>
      <c r="U911" s="327"/>
      <c r="V911" s="595" t="str">
        <f>'refer admin discharge'!H912</f>
        <v>00/00/0000</v>
      </c>
      <c r="W911" s="327"/>
      <c r="X911" s="577"/>
      <c r="Y911" s="327"/>
      <c r="Z911" s="604"/>
      <c r="AA911" s="327"/>
      <c r="AB911" s="577"/>
      <c r="AC911" s="327"/>
      <c r="AD911" s="576"/>
      <c r="AE911" s="327"/>
      <c r="AF911" s="577"/>
      <c r="AG911" s="327"/>
      <c r="AH911" s="576"/>
      <c r="AI911" s="327"/>
      <c r="AJ911" s="577"/>
      <c r="AK911" s="327"/>
      <c r="AL911" s="602"/>
      <c r="AM911" s="326"/>
      <c r="AN911" s="326"/>
      <c r="AO911" s="326"/>
      <c r="AP911" s="326"/>
      <c r="AQ911" s="326"/>
      <c r="AR911" s="326"/>
      <c r="AS911" s="326"/>
      <c r="AT911" s="326"/>
      <c r="AU911" s="326"/>
      <c r="AV911" s="326"/>
      <c r="AW911" s="326"/>
      <c r="AX911" s="326"/>
      <c r="AY911" s="326"/>
      <c r="AZ911" s="326"/>
      <c r="BA911" s="326"/>
      <c r="BB911" s="327"/>
    </row>
    <row r="912" spans="1:54" ht="15.75" customHeight="1" x14ac:dyDescent="0.25">
      <c r="A912" s="11">
        <f t="shared" si="3"/>
        <v>899</v>
      </c>
      <c r="B912" s="570" t="str">
        <f>'refer admin discharge'!B908</f>
        <v>x</v>
      </c>
      <c r="C912" s="327"/>
      <c r="D912" s="599" t="str">
        <f>'refer admin discharge'!D908</f>
        <v>xx</v>
      </c>
      <c r="E912" s="327"/>
      <c r="F912" s="600" t="str">
        <f>'refer admin discharge'!H908</f>
        <v>00/00/0000</v>
      </c>
      <c r="G912" s="327"/>
      <c r="H912" s="574"/>
      <c r="I912" s="327"/>
      <c r="J912" s="601"/>
      <c r="K912" s="327"/>
      <c r="L912" s="574"/>
      <c r="M912" s="327"/>
      <c r="N912" s="594"/>
      <c r="O912" s="327"/>
      <c r="P912" s="574"/>
      <c r="Q912" s="327"/>
      <c r="R912" s="594"/>
      <c r="S912" s="327"/>
      <c r="T912" s="574"/>
      <c r="U912" s="327"/>
      <c r="V912" s="595" t="str">
        <f>'refer admin discharge'!H913</f>
        <v>00/00/0000</v>
      </c>
      <c r="W912" s="327"/>
      <c r="X912" s="596"/>
      <c r="Y912" s="327"/>
      <c r="Z912" s="597"/>
      <c r="AA912" s="327"/>
      <c r="AB912" s="596"/>
      <c r="AC912" s="327"/>
      <c r="AD912" s="577"/>
      <c r="AE912" s="327"/>
      <c r="AF912" s="596"/>
      <c r="AG912" s="327"/>
      <c r="AH912" s="577"/>
      <c r="AI912" s="327"/>
      <c r="AJ912" s="596"/>
      <c r="AK912" s="327"/>
      <c r="AL912" s="598"/>
      <c r="AM912" s="326"/>
      <c r="AN912" s="326"/>
      <c r="AO912" s="326"/>
      <c r="AP912" s="326"/>
      <c r="AQ912" s="326"/>
      <c r="AR912" s="326"/>
      <c r="AS912" s="326"/>
      <c r="AT912" s="326"/>
      <c r="AU912" s="326"/>
      <c r="AV912" s="326"/>
      <c r="AW912" s="326"/>
      <c r="AX912" s="326"/>
      <c r="AY912" s="326"/>
      <c r="AZ912" s="326"/>
      <c r="BA912" s="326"/>
      <c r="BB912" s="327"/>
    </row>
    <row r="913" spans="1:54" ht="15.75" customHeight="1" x14ac:dyDescent="0.25">
      <c r="A913" s="11">
        <f t="shared" si="3"/>
        <v>900</v>
      </c>
      <c r="B913" s="504" t="str">
        <f>'refer admin discharge'!B909</f>
        <v>x</v>
      </c>
      <c r="C913" s="327"/>
      <c r="D913" s="505" t="str">
        <f>'refer admin discharge'!D909</f>
        <v>xx</v>
      </c>
      <c r="E913" s="327"/>
      <c r="F913" s="606" t="str">
        <f>'refer admin discharge'!H909</f>
        <v>00/00/0000</v>
      </c>
      <c r="G913" s="327"/>
      <c r="H913" s="594"/>
      <c r="I913" s="327"/>
      <c r="J913" s="605"/>
      <c r="K913" s="327"/>
      <c r="L913" s="594"/>
      <c r="M913" s="327"/>
      <c r="N913" s="575"/>
      <c r="O913" s="327"/>
      <c r="P913" s="594"/>
      <c r="Q913" s="327"/>
      <c r="R913" s="575"/>
      <c r="S913" s="327"/>
      <c r="T913" s="594"/>
      <c r="U913" s="327"/>
      <c r="V913" s="595" t="str">
        <f>'refer admin discharge'!H914</f>
        <v>00/00/0000</v>
      </c>
      <c r="W913" s="327"/>
      <c r="X913" s="577"/>
      <c r="Y913" s="327"/>
      <c r="Z913" s="604"/>
      <c r="AA913" s="327"/>
      <c r="AB913" s="577"/>
      <c r="AC913" s="327"/>
      <c r="AD913" s="576"/>
      <c r="AE913" s="327"/>
      <c r="AF913" s="577"/>
      <c r="AG913" s="327"/>
      <c r="AH913" s="576"/>
      <c r="AI913" s="327"/>
      <c r="AJ913" s="577"/>
      <c r="AK913" s="327"/>
      <c r="AL913" s="602"/>
      <c r="AM913" s="326"/>
      <c r="AN913" s="326"/>
      <c r="AO913" s="326"/>
      <c r="AP913" s="326"/>
      <c r="AQ913" s="326"/>
      <c r="AR913" s="326"/>
      <c r="AS913" s="326"/>
      <c r="AT913" s="326"/>
      <c r="AU913" s="326"/>
      <c r="AV913" s="326"/>
      <c r="AW913" s="326"/>
      <c r="AX913" s="326"/>
      <c r="AY913" s="326"/>
      <c r="AZ913" s="326"/>
      <c r="BA913" s="326"/>
      <c r="BB913" s="327"/>
    </row>
    <row r="914" spans="1:54" ht="15.75" customHeight="1" x14ac:dyDescent="0.25">
      <c r="A914" s="11">
        <f t="shared" si="3"/>
        <v>901</v>
      </c>
      <c r="B914" s="570" t="str">
        <f>'refer admin discharge'!B910</f>
        <v>x</v>
      </c>
      <c r="C914" s="327"/>
      <c r="D914" s="599" t="str">
        <f>'refer admin discharge'!D910</f>
        <v>xx</v>
      </c>
      <c r="E914" s="327"/>
      <c r="F914" s="600" t="str">
        <f>'refer admin discharge'!H910</f>
        <v>00/00/0000</v>
      </c>
      <c r="G914" s="327"/>
      <c r="H914" s="574"/>
      <c r="I914" s="327"/>
      <c r="J914" s="601"/>
      <c r="K914" s="327"/>
      <c r="L914" s="574"/>
      <c r="M914" s="327"/>
      <c r="N914" s="594"/>
      <c r="O914" s="327"/>
      <c r="P914" s="574"/>
      <c r="Q914" s="327"/>
      <c r="R914" s="594"/>
      <c r="S914" s="327"/>
      <c r="T914" s="574"/>
      <c r="U914" s="327"/>
      <c r="V914" s="595" t="str">
        <f>'refer admin discharge'!H915</f>
        <v>00/00/0000</v>
      </c>
      <c r="W914" s="327"/>
      <c r="X914" s="596"/>
      <c r="Y914" s="327"/>
      <c r="Z914" s="597"/>
      <c r="AA914" s="327"/>
      <c r="AB914" s="596"/>
      <c r="AC914" s="327"/>
      <c r="AD914" s="577"/>
      <c r="AE914" s="327"/>
      <c r="AF914" s="596"/>
      <c r="AG914" s="327"/>
      <c r="AH914" s="577"/>
      <c r="AI914" s="327"/>
      <c r="AJ914" s="596"/>
      <c r="AK914" s="327"/>
      <c r="AL914" s="598"/>
      <c r="AM914" s="326"/>
      <c r="AN914" s="326"/>
      <c r="AO914" s="326"/>
      <c r="AP914" s="326"/>
      <c r="AQ914" s="326"/>
      <c r="AR914" s="326"/>
      <c r="AS914" s="326"/>
      <c r="AT914" s="326"/>
      <c r="AU914" s="326"/>
      <c r="AV914" s="326"/>
      <c r="AW914" s="326"/>
      <c r="AX914" s="326"/>
      <c r="AY914" s="326"/>
      <c r="AZ914" s="326"/>
      <c r="BA914" s="326"/>
      <c r="BB914" s="327"/>
    </row>
    <row r="915" spans="1:54" ht="15.75" customHeight="1" x14ac:dyDescent="0.25">
      <c r="A915" s="11">
        <f t="shared" si="3"/>
        <v>902</v>
      </c>
      <c r="B915" s="504" t="str">
        <f>'refer admin discharge'!B911</f>
        <v>x</v>
      </c>
      <c r="C915" s="327"/>
      <c r="D915" s="505" t="str">
        <f>'refer admin discharge'!D911</f>
        <v>xx</v>
      </c>
      <c r="E915" s="327"/>
      <c r="F915" s="606" t="str">
        <f>'refer admin discharge'!H911</f>
        <v>00/00/0000</v>
      </c>
      <c r="G915" s="327"/>
      <c r="H915" s="594"/>
      <c r="I915" s="327"/>
      <c r="J915" s="605"/>
      <c r="K915" s="327"/>
      <c r="L915" s="594"/>
      <c r="M915" s="327"/>
      <c r="N915" s="575"/>
      <c r="O915" s="327"/>
      <c r="P915" s="594"/>
      <c r="Q915" s="327"/>
      <c r="R915" s="575"/>
      <c r="S915" s="327"/>
      <c r="T915" s="594"/>
      <c r="U915" s="327"/>
      <c r="V915" s="595" t="str">
        <f>'refer admin discharge'!H916</f>
        <v>00/00/0000</v>
      </c>
      <c r="W915" s="327"/>
      <c r="X915" s="577"/>
      <c r="Y915" s="327"/>
      <c r="Z915" s="604"/>
      <c r="AA915" s="327"/>
      <c r="AB915" s="577"/>
      <c r="AC915" s="327"/>
      <c r="AD915" s="576"/>
      <c r="AE915" s="327"/>
      <c r="AF915" s="577"/>
      <c r="AG915" s="327"/>
      <c r="AH915" s="576"/>
      <c r="AI915" s="327"/>
      <c r="AJ915" s="577"/>
      <c r="AK915" s="327"/>
      <c r="AL915" s="602"/>
      <c r="AM915" s="326"/>
      <c r="AN915" s="326"/>
      <c r="AO915" s="326"/>
      <c r="AP915" s="326"/>
      <c r="AQ915" s="326"/>
      <c r="AR915" s="326"/>
      <c r="AS915" s="326"/>
      <c r="AT915" s="326"/>
      <c r="AU915" s="326"/>
      <c r="AV915" s="326"/>
      <c r="AW915" s="326"/>
      <c r="AX915" s="326"/>
      <c r="AY915" s="326"/>
      <c r="AZ915" s="326"/>
      <c r="BA915" s="326"/>
      <c r="BB915" s="327"/>
    </row>
    <row r="916" spans="1:54" ht="15.75" customHeight="1" x14ac:dyDescent="0.25">
      <c r="A916" s="11">
        <f t="shared" si="3"/>
        <v>903</v>
      </c>
      <c r="B916" s="570" t="str">
        <f>'refer admin discharge'!B912</f>
        <v>x</v>
      </c>
      <c r="C916" s="327"/>
      <c r="D916" s="599" t="str">
        <f>'refer admin discharge'!D912</f>
        <v>xx</v>
      </c>
      <c r="E916" s="327"/>
      <c r="F916" s="600" t="str">
        <f>'refer admin discharge'!H912</f>
        <v>00/00/0000</v>
      </c>
      <c r="G916" s="327"/>
      <c r="H916" s="574"/>
      <c r="I916" s="327"/>
      <c r="J916" s="601"/>
      <c r="K916" s="327"/>
      <c r="L916" s="574"/>
      <c r="M916" s="327"/>
      <c r="N916" s="594"/>
      <c r="O916" s="327"/>
      <c r="P916" s="574"/>
      <c r="Q916" s="327"/>
      <c r="R916" s="594"/>
      <c r="S916" s="327"/>
      <c r="T916" s="574"/>
      <c r="U916" s="327"/>
      <c r="V916" s="595" t="str">
        <f>'refer admin discharge'!H917</f>
        <v>00/00/0000</v>
      </c>
      <c r="W916" s="327"/>
      <c r="X916" s="596"/>
      <c r="Y916" s="327"/>
      <c r="Z916" s="597"/>
      <c r="AA916" s="327"/>
      <c r="AB916" s="596"/>
      <c r="AC916" s="327"/>
      <c r="AD916" s="577"/>
      <c r="AE916" s="327"/>
      <c r="AF916" s="596"/>
      <c r="AG916" s="327"/>
      <c r="AH916" s="577"/>
      <c r="AI916" s="327"/>
      <c r="AJ916" s="596"/>
      <c r="AK916" s="327"/>
      <c r="AL916" s="598"/>
      <c r="AM916" s="326"/>
      <c r="AN916" s="326"/>
      <c r="AO916" s="326"/>
      <c r="AP916" s="326"/>
      <c r="AQ916" s="326"/>
      <c r="AR916" s="326"/>
      <c r="AS916" s="326"/>
      <c r="AT916" s="326"/>
      <c r="AU916" s="326"/>
      <c r="AV916" s="326"/>
      <c r="AW916" s="326"/>
      <c r="AX916" s="326"/>
      <c r="AY916" s="326"/>
      <c r="AZ916" s="326"/>
      <c r="BA916" s="326"/>
      <c r="BB916" s="327"/>
    </row>
    <row r="917" spans="1:54" ht="15.75" customHeight="1" x14ac:dyDescent="0.25">
      <c r="A917" s="11">
        <f t="shared" si="3"/>
        <v>904</v>
      </c>
      <c r="B917" s="504" t="str">
        <f>'refer admin discharge'!B913</f>
        <v>x</v>
      </c>
      <c r="C917" s="327"/>
      <c r="D917" s="505" t="str">
        <f>'refer admin discharge'!D913</f>
        <v>xx</v>
      </c>
      <c r="E917" s="327"/>
      <c r="F917" s="606" t="str">
        <f>'refer admin discharge'!H913</f>
        <v>00/00/0000</v>
      </c>
      <c r="G917" s="327"/>
      <c r="H917" s="594"/>
      <c r="I917" s="327"/>
      <c r="J917" s="605"/>
      <c r="K917" s="327"/>
      <c r="L917" s="594"/>
      <c r="M917" s="327"/>
      <c r="N917" s="575"/>
      <c r="O917" s="327"/>
      <c r="P917" s="594"/>
      <c r="Q917" s="327"/>
      <c r="R917" s="575"/>
      <c r="S917" s="327"/>
      <c r="T917" s="594"/>
      <c r="U917" s="327"/>
      <c r="V917" s="595" t="str">
        <f>'refer admin discharge'!H918</f>
        <v>00/00/0000</v>
      </c>
      <c r="W917" s="327"/>
      <c r="X917" s="577"/>
      <c r="Y917" s="327"/>
      <c r="Z917" s="604"/>
      <c r="AA917" s="327"/>
      <c r="AB917" s="577"/>
      <c r="AC917" s="327"/>
      <c r="AD917" s="576"/>
      <c r="AE917" s="327"/>
      <c r="AF917" s="577"/>
      <c r="AG917" s="327"/>
      <c r="AH917" s="576"/>
      <c r="AI917" s="327"/>
      <c r="AJ917" s="577"/>
      <c r="AK917" s="327"/>
      <c r="AL917" s="602"/>
      <c r="AM917" s="326"/>
      <c r="AN917" s="326"/>
      <c r="AO917" s="326"/>
      <c r="AP917" s="326"/>
      <c r="AQ917" s="326"/>
      <c r="AR917" s="326"/>
      <c r="AS917" s="326"/>
      <c r="AT917" s="326"/>
      <c r="AU917" s="326"/>
      <c r="AV917" s="326"/>
      <c r="AW917" s="326"/>
      <c r="AX917" s="326"/>
      <c r="AY917" s="326"/>
      <c r="AZ917" s="326"/>
      <c r="BA917" s="326"/>
      <c r="BB917" s="327"/>
    </row>
    <row r="918" spans="1:54" ht="15.75" customHeight="1" x14ac:dyDescent="0.25">
      <c r="A918" s="11">
        <f t="shared" si="3"/>
        <v>905</v>
      </c>
      <c r="B918" s="570" t="str">
        <f>'refer admin discharge'!B914</f>
        <v>x</v>
      </c>
      <c r="C918" s="327"/>
      <c r="D918" s="599" t="str">
        <f>'refer admin discharge'!D914</f>
        <v>xx</v>
      </c>
      <c r="E918" s="327"/>
      <c r="F918" s="600" t="str">
        <f>'refer admin discharge'!H914</f>
        <v>00/00/0000</v>
      </c>
      <c r="G918" s="327"/>
      <c r="H918" s="574"/>
      <c r="I918" s="327"/>
      <c r="J918" s="601"/>
      <c r="K918" s="327"/>
      <c r="L918" s="574"/>
      <c r="M918" s="327"/>
      <c r="N918" s="594"/>
      <c r="O918" s="327"/>
      <c r="P918" s="574"/>
      <c r="Q918" s="327"/>
      <c r="R918" s="594"/>
      <c r="S918" s="327"/>
      <c r="T918" s="574"/>
      <c r="U918" s="327"/>
      <c r="V918" s="595" t="str">
        <f>'refer admin discharge'!H919</f>
        <v>00/00/0000</v>
      </c>
      <c r="W918" s="327"/>
      <c r="X918" s="596"/>
      <c r="Y918" s="327"/>
      <c r="Z918" s="597"/>
      <c r="AA918" s="327"/>
      <c r="AB918" s="596"/>
      <c r="AC918" s="327"/>
      <c r="AD918" s="577"/>
      <c r="AE918" s="327"/>
      <c r="AF918" s="596"/>
      <c r="AG918" s="327"/>
      <c r="AH918" s="577"/>
      <c r="AI918" s="327"/>
      <c r="AJ918" s="596"/>
      <c r="AK918" s="327"/>
      <c r="AL918" s="598"/>
      <c r="AM918" s="326"/>
      <c r="AN918" s="326"/>
      <c r="AO918" s="326"/>
      <c r="AP918" s="326"/>
      <c r="AQ918" s="326"/>
      <c r="AR918" s="326"/>
      <c r="AS918" s="326"/>
      <c r="AT918" s="326"/>
      <c r="AU918" s="326"/>
      <c r="AV918" s="326"/>
      <c r="AW918" s="326"/>
      <c r="AX918" s="326"/>
      <c r="AY918" s="326"/>
      <c r="AZ918" s="326"/>
      <c r="BA918" s="326"/>
      <c r="BB918" s="327"/>
    </row>
    <row r="919" spans="1:54" ht="15.75" customHeight="1" x14ac:dyDescent="0.25">
      <c r="A919" s="11">
        <f t="shared" si="3"/>
        <v>906</v>
      </c>
      <c r="B919" s="504" t="str">
        <f>'refer admin discharge'!B915</f>
        <v>x</v>
      </c>
      <c r="C919" s="327"/>
      <c r="D919" s="505" t="str">
        <f>'refer admin discharge'!D915</f>
        <v>xx</v>
      </c>
      <c r="E919" s="327"/>
      <c r="F919" s="606" t="str">
        <f>'refer admin discharge'!H915</f>
        <v>00/00/0000</v>
      </c>
      <c r="G919" s="327"/>
      <c r="H919" s="594"/>
      <c r="I919" s="327"/>
      <c r="J919" s="605"/>
      <c r="K919" s="327"/>
      <c r="L919" s="594"/>
      <c r="M919" s="327"/>
      <c r="N919" s="575"/>
      <c r="O919" s="327"/>
      <c r="P919" s="594"/>
      <c r="Q919" s="327"/>
      <c r="R919" s="575"/>
      <c r="S919" s="327"/>
      <c r="T919" s="594"/>
      <c r="U919" s="327"/>
      <c r="V919" s="595" t="str">
        <f>'refer admin discharge'!H920</f>
        <v>00/00/0000</v>
      </c>
      <c r="W919" s="327"/>
      <c r="X919" s="577"/>
      <c r="Y919" s="327"/>
      <c r="Z919" s="604"/>
      <c r="AA919" s="327"/>
      <c r="AB919" s="577"/>
      <c r="AC919" s="327"/>
      <c r="AD919" s="576"/>
      <c r="AE919" s="327"/>
      <c r="AF919" s="577"/>
      <c r="AG919" s="327"/>
      <c r="AH919" s="576"/>
      <c r="AI919" s="327"/>
      <c r="AJ919" s="577"/>
      <c r="AK919" s="327"/>
      <c r="AL919" s="602"/>
      <c r="AM919" s="326"/>
      <c r="AN919" s="326"/>
      <c r="AO919" s="326"/>
      <c r="AP919" s="326"/>
      <c r="AQ919" s="326"/>
      <c r="AR919" s="326"/>
      <c r="AS919" s="326"/>
      <c r="AT919" s="326"/>
      <c r="AU919" s="326"/>
      <c r="AV919" s="326"/>
      <c r="AW919" s="326"/>
      <c r="AX919" s="326"/>
      <c r="AY919" s="326"/>
      <c r="AZ919" s="326"/>
      <c r="BA919" s="326"/>
      <c r="BB919" s="327"/>
    </row>
    <row r="920" spans="1:54" ht="15.75" customHeight="1" x14ac:dyDescent="0.25">
      <c r="A920" s="11">
        <f t="shared" si="3"/>
        <v>907</v>
      </c>
      <c r="B920" s="570" t="str">
        <f>'refer admin discharge'!B916</f>
        <v>x</v>
      </c>
      <c r="C920" s="327"/>
      <c r="D920" s="599" t="str">
        <f>'refer admin discharge'!D916</f>
        <v>xx</v>
      </c>
      <c r="E920" s="327"/>
      <c r="F920" s="600" t="str">
        <f>'refer admin discharge'!H916</f>
        <v>00/00/0000</v>
      </c>
      <c r="G920" s="327"/>
      <c r="H920" s="574"/>
      <c r="I920" s="327"/>
      <c r="J920" s="601"/>
      <c r="K920" s="327"/>
      <c r="L920" s="574"/>
      <c r="M920" s="327"/>
      <c r="N920" s="594"/>
      <c r="O920" s="327"/>
      <c r="P920" s="574"/>
      <c r="Q920" s="327"/>
      <c r="R920" s="594"/>
      <c r="S920" s="327"/>
      <c r="T920" s="574"/>
      <c r="U920" s="327"/>
      <c r="V920" s="595" t="str">
        <f>'refer admin discharge'!H921</f>
        <v>00/00/0000</v>
      </c>
      <c r="W920" s="327"/>
      <c r="X920" s="596"/>
      <c r="Y920" s="327"/>
      <c r="Z920" s="597"/>
      <c r="AA920" s="327"/>
      <c r="AB920" s="596"/>
      <c r="AC920" s="327"/>
      <c r="AD920" s="577"/>
      <c r="AE920" s="327"/>
      <c r="AF920" s="596"/>
      <c r="AG920" s="327"/>
      <c r="AH920" s="577"/>
      <c r="AI920" s="327"/>
      <c r="AJ920" s="596"/>
      <c r="AK920" s="327"/>
      <c r="AL920" s="598"/>
      <c r="AM920" s="326"/>
      <c r="AN920" s="326"/>
      <c r="AO920" s="326"/>
      <c r="AP920" s="326"/>
      <c r="AQ920" s="326"/>
      <c r="AR920" s="326"/>
      <c r="AS920" s="326"/>
      <c r="AT920" s="326"/>
      <c r="AU920" s="326"/>
      <c r="AV920" s="326"/>
      <c r="AW920" s="326"/>
      <c r="AX920" s="326"/>
      <c r="AY920" s="326"/>
      <c r="AZ920" s="326"/>
      <c r="BA920" s="326"/>
      <c r="BB920" s="327"/>
    </row>
    <row r="921" spans="1:54" ht="15.75" customHeight="1" x14ac:dyDescent="0.25">
      <c r="A921" s="11">
        <f t="shared" si="3"/>
        <v>908</v>
      </c>
      <c r="B921" s="504" t="str">
        <f>'refer admin discharge'!B917</f>
        <v>x</v>
      </c>
      <c r="C921" s="327"/>
      <c r="D921" s="505" t="str">
        <f>'refer admin discharge'!D917</f>
        <v>xx</v>
      </c>
      <c r="E921" s="327"/>
      <c r="F921" s="606" t="str">
        <f>'refer admin discharge'!H917</f>
        <v>00/00/0000</v>
      </c>
      <c r="G921" s="327"/>
      <c r="H921" s="594"/>
      <c r="I921" s="327"/>
      <c r="J921" s="605"/>
      <c r="K921" s="327"/>
      <c r="L921" s="594"/>
      <c r="M921" s="327"/>
      <c r="N921" s="575"/>
      <c r="O921" s="327"/>
      <c r="P921" s="594"/>
      <c r="Q921" s="327"/>
      <c r="R921" s="575"/>
      <c r="S921" s="327"/>
      <c r="T921" s="594"/>
      <c r="U921" s="327"/>
      <c r="V921" s="595" t="str">
        <f>'refer admin discharge'!H922</f>
        <v>00/00/0000</v>
      </c>
      <c r="W921" s="327"/>
      <c r="X921" s="577"/>
      <c r="Y921" s="327"/>
      <c r="Z921" s="604"/>
      <c r="AA921" s="327"/>
      <c r="AB921" s="577"/>
      <c r="AC921" s="327"/>
      <c r="AD921" s="576"/>
      <c r="AE921" s="327"/>
      <c r="AF921" s="577"/>
      <c r="AG921" s="327"/>
      <c r="AH921" s="576"/>
      <c r="AI921" s="327"/>
      <c r="AJ921" s="577"/>
      <c r="AK921" s="327"/>
      <c r="AL921" s="602"/>
      <c r="AM921" s="326"/>
      <c r="AN921" s="326"/>
      <c r="AO921" s="326"/>
      <c r="AP921" s="326"/>
      <c r="AQ921" s="326"/>
      <c r="AR921" s="326"/>
      <c r="AS921" s="326"/>
      <c r="AT921" s="326"/>
      <c r="AU921" s="326"/>
      <c r="AV921" s="326"/>
      <c r="AW921" s="326"/>
      <c r="AX921" s="326"/>
      <c r="AY921" s="326"/>
      <c r="AZ921" s="326"/>
      <c r="BA921" s="326"/>
      <c r="BB921" s="327"/>
    </row>
    <row r="922" spans="1:54" ht="15.75" customHeight="1" x14ac:dyDescent="0.25">
      <c r="A922" s="11">
        <f t="shared" si="3"/>
        <v>909</v>
      </c>
      <c r="B922" s="570" t="str">
        <f>'refer admin discharge'!B918</f>
        <v>x</v>
      </c>
      <c r="C922" s="327"/>
      <c r="D922" s="599" t="str">
        <f>'refer admin discharge'!D918</f>
        <v>xx</v>
      </c>
      <c r="E922" s="327"/>
      <c r="F922" s="600" t="str">
        <f>'refer admin discharge'!H918</f>
        <v>00/00/0000</v>
      </c>
      <c r="G922" s="327"/>
      <c r="H922" s="574"/>
      <c r="I922" s="327"/>
      <c r="J922" s="601"/>
      <c r="K922" s="327"/>
      <c r="L922" s="574"/>
      <c r="M922" s="327"/>
      <c r="N922" s="594"/>
      <c r="O922" s="327"/>
      <c r="P922" s="574"/>
      <c r="Q922" s="327"/>
      <c r="R922" s="594"/>
      <c r="S922" s="327"/>
      <c r="T922" s="574"/>
      <c r="U922" s="327"/>
      <c r="V922" s="595" t="str">
        <f>'refer admin discharge'!H923</f>
        <v>00/00/0000</v>
      </c>
      <c r="W922" s="327"/>
      <c r="X922" s="596"/>
      <c r="Y922" s="327"/>
      <c r="Z922" s="597"/>
      <c r="AA922" s="327"/>
      <c r="AB922" s="596"/>
      <c r="AC922" s="327"/>
      <c r="AD922" s="577"/>
      <c r="AE922" s="327"/>
      <c r="AF922" s="596"/>
      <c r="AG922" s="327"/>
      <c r="AH922" s="577"/>
      <c r="AI922" s="327"/>
      <c r="AJ922" s="596"/>
      <c r="AK922" s="327"/>
      <c r="AL922" s="598"/>
      <c r="AM922" s="326"/>
      <c r="AN922" s="326"/>
      <c r="AO922" s="326"/>
      <c r="AP922" s="326"/>
      <c r="AQ922" s="326"/>
      <c r="AR922" s="326"/>
      <c r="AS922" s="326"/>
      <c r="AT922" s="326"/>
      <c r="AU922" s="326"/>
      <c r="AV922" s="326"/>
      <c r="AW922" s="326"/>
      <c r="AX922" s="326"/>
      <c r="AY922" s="326"/>
      <c r="AZ922" s="326"/>
      <c r="BA922" s="326"/>
      <c r="BB922" s="327"/>
    </row>
    <row r="923" spans="1:54" ht="15.75" customHeight="1" x14ac:dyDescent="0.25">
      <c r="A923" s="11">
        <f t="shared" si="3"/>
        <v>910</v>
      </c>
      <c r="B923" s="504" t="str">
        <f>'refer admin discharge'!B919</f>
        <v>x</v>
      </c>
      <c r="C923" s="327"/>
      <c r="D923" s="505" t="str">
        <f>'refer admin discharge'!D919</f>
        <v>xx</v>
      </c>
      <c r="E923" s="327"/>
      <c r="F923" s="606" t="str">
        <f>'refer admin discharge'!H919</f>
        <v>00/00/0000</v>
      </c>
      <c r="G923" s="327"/>
      <c r="H923" s="594"/>
      <c r="I923" s="327"/>
      <c r="J923" s="605"/>
      <c r="K923" s="327"/>
      <c r="L923" s="594"/>
      <c r="M923" s="327"/>
      <c r="N923" s="575"/>
      <c r="O923" s="327"/>
      <c r="P923" s="594"/>
      <c r="Q923" s="327"/>
      <c r="R923" s="575"/>
      <c r="S923" s="327"/>
      <c r="T923" s="594"/>
      <c r="U923" s="327"/>
      <c r="V923" s="595" t="str">
        <f>'refer admin discharge'!H924</f>
        <v>00/00/0000</v>
      </c>
      <c r="W923" s="327"/>
      <c r="X923" s="577"/>
      <c r="Y923" s="327"/>
      <c r="Z923" s="604"/>
      <c r="AA923" s="327"/>
      <c r="AB923" s="577"/>
      <c r="AC923" s="327"/>
      <c r="AD923" s="576"/>
      <c r="AE923" s="327"/>
      <c r="AF923" s="577"/>
      <c r="AG923" s="327"/>
      <c r="AH923" s="576"/>
      <c r="AI923" s="327"/>
      <c r="AJ923" s="577"/>
      <c r="AK923" s="327"/>
      <c r="AL923" s="602"/>
      <c r="AM923" s="326"/>
      <c r="AN923" s="326"/>
      <c r="AO923" s="326"/>
      <c r="AP923" s="326"/>
      <c r="AQ923" s="326"/>
      <c r="AR923" s="326"/>
      <c r="AS923" s="326"/>
      <c r="AT923" s="326"/>
      <c r="AU923" s="326"/>
      <c r="AV923" s="326"/>
      <c r="AW923" s="326"/>
      <c r="AX923" s="326"/>
      <c r="AY923" s="326"/>
      <c r="AZ923" s="326"/>
      <c r="BA923" s="326"/>
      <c r="BB923" s="327"/>
    </row>
    <row r="924" spans="1:54" ht="15.75" customHeight="1" x14ac:dyDescent="0.25">
      <c r="A924" s="11">
        <f t="shared" si="3"/>
        <v>911</v>
      </c>
      <c r="B924" s="570" t="str">
        <f>'refer admin discharge'!B920</f>
        <v>x</v>
      </c>
      <c r="C924" s="327"/>
      <c r="D924" s="599" t="str">
        <f>'refer admin discharge'!D920</f>
        <v>xx</v>
      </c>
      <c r="E924" s="327"/>
      <c r="F924" s="600" t="str">
        <f>'refer admin discharge'!H920</f>
        <v>00/00/0000</v>
      </c>
      <c r="G924" s="327"/>
      <c r="H924" s="574"/>
      <c r="I924" s="327"/>
      <c r="J924" s="601"/>
      <c r="K924" s="327"/>
      <c r="L924" s="574"/>
      <c r="M924" s="327"/>
      <c r="N924" s="594"/>
      <c r="O924" s="327"/>
      <c r="P924" s="574"/>
      <c r="Q924" s="327"/>
      <c r="R924" s="594"/>
      <c r="S924" s="327"/>
      <c r="T924" s="574"/>
      <c r="U924" s="327"/>
      <c r="V924" s="595" t="str">
        <f>'refer admin discharge'!H925</f>
        <v>00/00/0000</v>
      </c>
      <c r="W924" s="327"/>
      <c r="X924" s="596"/>
      <c r="Y924" s="327"/>
      <c r="Z924" s="597"/>
      <c r="AA924" s="327"/>
      <c r="AB924" s="596"/>
      <c r="AC924" s="327"/>
      <c r="AD924" s="577"/>
      <c r="AE924" s="327"/>
      <c r="AF924" s="596"/>
      <c r="AG924" s="327"/>
      <c r="AH924" s="577"/>
      <c r="AI924" s="327"/>
      <c r="AJ924" s="596"/>
      <c r="AK924" s="327"/>
      <c r="AL924" s="598"/>
      <c r="AM924" s="326"/>
      <c r="AN924" s="326"/>
      <c r="AO924" s="326"/>
      <c r="AP924" s="326"/>
      <c r="AQ924" s="326"/>
      <c r="AR924" s="326"/>
      <c r="AS924" s="326"/>
      <c r="AT924" s="326"/>
      <c r="AU924" s="326"/>
      <c r="AV924" s="326"/>
      <c r="AW924" s="326"/>
      <c r="AX924" s="326"/>
      <c r="AY924" s="326"/>
      <c r="AZ924" s="326"/>
      <c r="BA924" s="326"/>
      <c r="BB924" s="327"/>
    </row>
    <row r="925" spans="1:54" ht="15.75" customHeight="1" x14ac:dyDescent="0.25">
      <c r="A925" s="11">
        <f t="shared" si="3"/>
        <v>912</v>
      </c>
      <c r="B925" s="504" t="str">
        <f>'refer admin discharge'!B921</f>
        <v>x</v>
      </c>
      <c r="C925" s="327"/>
      <c r="D925" s="505" t="str">
        <f>'refer admin discharge'!D921</f>
        <v>xx</v>
      </c>
      <c r="E925" s="327"/>
      <c r="F925" s="606" t="str">
        <f>'refer admin discharge'!H921</f>
        <v>00/00/0000</v>
      </c>
      <c r="G925" s="327"/>
      <c r="H925" s="594"/>
      <c r="I925" s="327"/>
      <c r="J925" s="605"/>
      <c r="K925" s="327"/>
      <c r="L925" s="594"/>
      <c r="M925" s="327"/>
      <c r="N925" s="575"/>
      <c r="O925" s="327"/>
      <c r="P925" s="594"/>
      <c r="Q925" s="327"/>
      <c r="R925" s="575"/>
      <c r="S925" s="327"/>
      <c r="T925" s="594"/>
      <c r="U925" s="327"/>
      <c r="V925" s="595" t="str">
        <f>'refer admin discharge'!H926</f>
        <v>00/00/0000</v>
      </c>
      <c r="W925" s="327"/>
      <c r="X925" s="577"/>
      <c r="Y925" s="327"/>
      <c r="Z925" s="604"/>
      <c r="AA925" s="327"/>
      <c r="AB925" s="577"/>
      <c r="AC925" s="327"/>
      <c r="AD925" s="576"/>
      <c r="AE925" s="327"/>
      <c r="AF925" s="577"/>
      <c r="AG925" s="327"/>
      <c r="AH925" s="576"/>
      <c r="AI925" s="327"/>
      <c r="AJ925" s="577"/>
      <c r="AK925" s="327"/>
      <c r="AL925" s="602"/>
      <c r="AM925" s="326"/>
      <c r="AN925" s="326"/>
      <c r="AO925" s="326"/>
      <c r="AP925" s="326"/>
      <c r="AQ925" s="326"/>
      <c r="AR925" s="326"/>
      <c r="AS925" s="326"/>
      <c r="AT925" s="326"/>
      <c r="AU925" s="326"/>
      <c r="AV925" s="326"/>
      <c r="AW925" s="326"/>
      <c r="AX925" s="326"/>
      <c r="AY925" s="326"/>
      <c r="AZ925" s="326"/>
      <c r="BA925" s="326"/>
      <c r="BB925" s="327"/>
    </row>
    <row r="926" spans="1:54" ht="15.75" customHeight="1" x14ac:dyDescent="0.25">
      <c r="A926" s="11">
        <f t="shared" si="3"/>
        <v>913</v>
      </c>
      <c r="B926" s="570" t="str">
        <f>'refer admin discharge'!B922</f>
        <v>x</v>
      </c>
      <c r="C926" s="327"/>
      <c r="D926" s="599" t="str">
        <f>'refer admin discharge'!D922</f>
        <v>xx</v>
      </c>
      <c r="E926" s="327"/>
      <c r="F926" s="600" t="str">
        <f>'refer admin discharge'!H922</f>
        <v>00/00/0000</v>
      </c>
      <c r="G926" s="327"/>
      <c r="H926" s="574"/>
      <c r="I926" s="327"/>
      <c r="J926" s="601"/>
      <c r="K926" s="327"/>
      <c r="L926" s="574"/>
      <c r="M926" s="327"/>
      <c r="N926" s="594"/>
      <c r="O926" s="327"/>
      <c r="P926" s="574"/>
      <c r="Q926" s="327"/>
      <c r="R926" s="594"/>
      <c r="S926" s="327"/>
      <c r="T926" s="574"/>
      <c r="U926" s="327"/>
      <c r="V926" s="595" t="str">
        <f>'refer admin discharge'!H927</f>
        <v>00/00/0000</v>
      </c>
      <c r="W926" s="327"/>
      <c r="X926" s="596"/>
      <c r="Y926" s="327"/>
      <c r="Z926" s="597"/>
      <c r="AA926" s="327"/>
      <c r="AB926" s="596"/>
      <c r="AC926" s="327"/>
      <c r="AD926" s="577"/>
      <c r="AE926" s="327"/>
      <c r="AF926" s="596"/>
      <c r="AG926" s="327"/>
      <c r="AH926" s="577"/>
      <c r="AI926" s="327"/>
      <c r="AJ926" s="596"/>
      <c r="AK926" s="327"/>
      <c r="AL926" s="598"/>
      <c r="AM926" s="326"/>
      <c r="AN926" s="326"/>
      <c r="AO926" s="326"/>
      <c r="AP926" s="326"/>
      <c r="AQ926" s="326"/>
      <c r="AR926" s="326"/>
      <c r="AS926" s="326"/>
      <c r="AT926" s="326"/>
      <c r="AU926" s="326"/>
      <c r="AV926" s="326"/>
      <c r="AW926" s="326"/>
      <c r="AX926" s="326"/>
      <c r="AY926" s="326"/>
      <c r="AZ926" s="326"/>
      <c r="BA926" s="326"/>
      <c r="BB926" s="327"/>
    </row>
    <row r="927" spans="1:54" ht="15.75" customHeight="1" x14ac:dyDescent="0.25">
      <c r="A927" s="11">
        <f t="shared" si="3"/>
        <v>914</v>
      </c>
      <c r="B927" s="504" t="str">
        <f>'refer admin discharge'!B923</f>
        <v>x</v>
      </c>
      <c r="C927" s="327"/>
      <c r="D927" s="505" t="str">
        <f>'refer admin discharge'!D923</f>
        <v>xx</v>
      </c>
      <c r="E927" s="327"/>
      <c r="F927" s="606" t="str">
        <f>'refer admin discharge'!H923</f>
        <v>00/00/0000</v>
      </c>
      <c r="G927" s="327"/>
      <c r="H927" s="594"/>
      <c r="I927" s="327"/>
      <c r="J927" s="605"/>
      <c r="K927" s="327"/>
      <c r="L927" s="594"/>
      <c r="M927" s="327"/>
      <c r="N927" s="575"/>
      <c r="O927" s="327"/>
      <c r="P927" s="594"/>
      <c r="Q927" s="327"/>
      <c r="R927" s="575"/>
      <c r="S927" s="327"/>
      <c r="T927" s="594"/>
      <c r="U927" s="327"/>
      <c r="V927" s="595" t="str">
        <f>'refer admin discharge'!H928</f>
        <v>00/00/0000</v>
      </c>
      <c r="W927" s="327"/>
      <c r="X927" s="577"/>
      <c r="Y927" s="327"/>
      <c r="Z927" s="604"/>
      <c r="AA927" s="327"/>
      <c r="AB927" s="577"/>
      <c r="AC927" s="327"/>
      <c r="AD927" s="576"/>
      <c r="AE927" s="327"/>
      <c r="AF927" s="577"/>
      <c r="AG927" s="327"/>
      <c r="AH927" s="576"/>
      <c r="AI927" s="327"/>
      <c r="AJ927" s="577"/>
      <c r="AK927" s="327"/>
      <c r="AL927" s="602"/>
      <c r="AM927" s="326"/>
      <c r="AN927" s="326"/>
      <c r="AO927" s="326"/>
      <c r="AP927" s="326"/>
      <c r="AQ927" s="326"/>
      <c r="AR927" s="326"/>
      <c r="AS927" s="326"/>
      <c r="AT927" s="326"/>
      <c r="AU927" s="326"/>
      <c r="AV927" s="326"/>
      <c r="AW927" s="326"/>
      <c r="AX927" s="326"/>
      <c r="AY927" s="326"/>
      <c r="AZ927" s="326"/>
      <c r="BA927" s="326"/>
      <c r="BB927" s="327"/>
    </row>
    <row r="928" spans="1:54" ht="15.75" customHeight="1" x14ac:dyDescent="0.25">
      <c r="A928" s="11">
        <f t="shared" si="3"/>
        <v>915</v>
      </c>
      <c r="B928" s="570" t="str">
        <f>'refer admin discharge'!B924</f>
        <v>x</v>
      </c>
      <c r="C928" s="327"/>
      <c r="D928" s="599" t="str">
        <f>'refer admin discharge'!D924</f>
        <v>xx</v>
      </c>
      <c r="E928" s="327"/>
      <c r="F928" s="600" t="str">
        <f>'refer admin discharge'!H924</f>
        <v>00/00/0000</v>
      </c>
      <c r="G928" s="327"/>
      <c r="H928" s="574"/>
      <c r="I928" s="327"/>
      <c r="J928" s="601"/>
      <c r="K928" s="327"/>
      <c r="L928" s="574"/>
      <c r="M928" s="327"/>
      <c r="N928" s="594"/>
      <c r="O928" s="327"/>
      <c r="P928" s="574"/>
      <c r="Q928" s="327"/>
      <c r="R928" s="594"/>
      <c r="S928" s="327"/>
      <c r="T928" s="574"/>
      <c r="U928" s="327"/>
      <c r="V928" s="595" t="str">
        <f>'refer admin discharge'!H929</f>
        <v>00/00/0000</v>
      </c>
      <c r="W928" s="327"/>
      <c r="X928" s="596"/>
      <c r="Y928" s="327"/>
      <c r="Z928" s="597"/>
      <c r="AA928" s="327"/>
      <c r="AB928" s="596"/>
      <c r="AC928" s="327"/>
      <c r="AD928" s="577"/>
      <c r="AE928" s="327"/>
      <c r="AF928" s="596"/>
      <c r="AG928" s="327"/>
      <c r="AH928" s="577"/>
      <c r="AI928" s="327"/>
      <c r="AJ928" s="596"/>
      <c r="AK928" s="327"/>
      <c r="AL928" s="598"/>
      <c r="AM928" s="326"/>
      <c r="AN928" s="326"/>
      <c r="AO928" s="326"/>
      <c r="AP928" s="326"/>
      <c r="AQ928" s="326"/>
      <c r="AR928" s="326"/>
      <c r="AS928" s="326"/>
      <c r="AT928" s="326"/>
      <c r="AU928" s="326"/>
      <c r="AV928" s="326"/>
      <c r="AW928" s="326"/>
      <c r="AX928" s="326"/>
      <c r="AY928" s="326"/>
      <c r="AZ928" s="326"/>
      <c r="BA928" s="326"/>
      <c r="BB928" s="327"/>
    </row>
    <row r="929" spans="1:54" ht="15.75" customHeight="1" x14ac:dyDescent="0.25">
      <c r="A929" s="11">
        <f t="shared" si="3"/>
        <v>916</v>
      </c>
      <c r="B929" s="504" t="str">
        <f>'refer admin discharge'!B925</f>
        <v>x</v>
      </c>
      <c r="C929" s="327"/>
      <c r="D929" s="505" t="str">
        <f>'refer admin discharge'!D925</f>
        <v>xx</v>
      </c>
      <c r="E929" s="327"/>
      <c r="F929" s="606" t="str">
        <f>'refer admin discharge'!H925</f>
        <v>00/00/0000</v>
      </c>
      <c r="G929" s="327"/>
      <c r="H929" s="594"/>
      <c r="I929" s="327"/>
      <c r="J929" s="605"/>
      <c r="K929" s="327"/>
      <c r="L929" s="594"/>
      <c r="M929" s="327"/>
      <c r="N929" s="575"/>
      <c r="O929" s="327"/>
      <c r="P929" s="594"/>
      <c r="Q929" s="327"/>
      <c r="R929" s="575"/>
      <c r="S929" s="327"/>
      <c r="T929" s="594"/>
      <c r="U929" s="327"/>
      <c r="V929" s="595" t="str">
        <f>'refer admin discharge'!H930</f>
        <v>00/00/0000</v>
      </c>
      <c r="W929" s="327"/>
      <c r="X929" s="577"/>
      <c r="Y929" s="327"/>
      <c r="Z929" s="604"/>
      <c r="AA929" s="327"/>
      <c r="AB929" s="577"/>
      <c r="AC929" s="327"/>
      <c r="AD929" s="576"/>
      <c r="AE929" s="327"/>
      <c r="AF929" s="577"/>
      <c r="AG929" s="327"/>
      <c r="AH929" s="576"/>
      <c r="AI929" s="327"/>
      <c r="AJ929" s="577"/>
      <c r="AK929" s="327"/>
      <c r="AL929" s="602"/>
      <c r="AM929" s="326"/>
      <c r="AN929" s="326"/>
      <c r="AO929" s="326"/>
      <c r="AP929" s="326"/>
      <c r="AQ929" s="326"/>
      <c r="AR929" s="326"/>
      <c r="AS929" s="326"/>
      <c r="AT929" s="326"/>
      <c r="AU929" s="326"/>
      <c r="AV929" s="326"/>
      <c r="AW929" s="326"/>
      <c r="AX929" s="326"/>
      <c r="AY929" s="326"/>
      <c r="AZ929" s="326"/>
      <c r="BA929" s="326"/>
      <c r="BB929" s="327"/>
    </row>
    <row r="930" spans="1:54" ht="15.75" customHeight="1" x14ac:dyDescent="0.25">
      <c r="A930" s="11">
        <f t="shared" si="3"/>
        <v>917</v>
      </c>
      <c r="B930" s="570" t="str">
        <f>'refer admin discharge'!B926</f>
        <v>x</v>
      </c>
      <c r="C930" s="327"/>
      <c r="D930" s="599" t="str">
        <f>'refer admin discharge'!D926</f>
        <v>xx</v>
      </c>
      <c r="E930" s="327"/>
      <c r="F930" s="600" t="str">
        <f>'refer admin discharge'!H926</f>
        <v>00/00/0000</v>
      </c>
      <c r="G930" s="327"/>
      <c r="H930" s="574"/>
      <c r="I930" s="327"/>
      <c r="J930" s="601"/>
      <c r="K930" s="327"/>
      <c r="L930" s="574"/>
      <c r="M930" s="327"/>
      <c r="N930" s="594"/>
      <c r="O930" s="327"/>
      <c r="P930" s="574"/>
      <c r="Q930" s="327"/>
      <c r="R930" s="594"/>
      <c r="S930" s="327"/>
      <c r="T930" s="574"/>
      <c r="U930" s="327"/>
      <c r="V930" s="595" t="str">
        <f>'refer admin discharge'!H931</f>
        <v>00/00/0000</v>
      </c>
      <c r="W930" s="327"/>
      <c r="X930" s="596"/>
      <c r="Y930" s="327"/>
      <c r="Z930" s="597"/>
      <c r="AA930" s="327"/>
      <c r="AB930" s="596"/>
      <c r="AC930" s="327"/>
      <c r="AD930" s="577"/>
      <c r="AE930" s="327"/>
      <c r="AF930" s="596"/>
      <c r="AG930" s="327"/>
      <c r="AH930" s="577"/>
      <c r="AI930" s="327"/>
      <c r="AJ930" s="596"/>
      <c r="AK930" s="327"/>
      <c r="AL930" s="598"/>
      <c r="AM930" s="326"/>
      <c r="AN930" s="326"/>
      <c r="AO930" s="326"/>
      <c r="AP930" s="326"/>
      <c r="AQ930" s="326"/>
      <c r="AR930" s="326"/>
      <c r="AS930" s="326"/>
      <c r="AT930" s="326"/>
      <c r="AU930" s="326"/>
      <c r="AV930" s="326"/>
      <c r="AW930" s="326"/>
      <c r="AX930" s="326"/>
      <c r="AY930" s="326"/>
      <c r="AZ930" s="326"/>
      <c r="BA930" s="326"/>
      <c r="BB930" s="327"/>
    </row>
    <row r="931" spans="1:54" ht="15.75" customHeight="1" x14ac:dyDescent="0.25">
      <c r="A931" s="11">
        <f t="shared" si="3"/>
        <v>918</v>
      </c>
      <c r="B931" s="504" t="str">
        <f>'refer admin discharge'!B927</f>
        <v>x</v>
      </c>
      <c r="C931" s="327"/>
      <c r="D931" s="505" t="str">
        <f>'refer admin discharge'!D927</f>
        <v>xx</v>
      </c>
      <c r="E931" s="327"/>
      <c r="F931" s="606" t="str">
        <f>'refer admin discharge'!H927</f>
        <v>00/00/0000</v>
      </c>
      <c r="G931" s="327"/>
      <c r="H931" s="594"/>
      <c r="I931" s="327"/>
      <c r="J931" s="605"/>
      <c r="K931" s="327"/>
      <c r="L931" s="594"/>
      <c r="M931" s="327"/>
      <c r="N931" s="575"/>
      <c r="O931" s="327"/>
      <c r="P931" s="594"/>
      <c r="Q931" s="327"/>
      <c r="R931" s="575"/>
      <c r="S931" s="327"/>
      <c r="T931" s="594"/>
      <c r="U931" s="327"/>
      <c r="V931" s="595" t="str">
        <f>'refer admin discharge'!H932</f>
        <v>00/00/0000</v>
      </c>
      <c r="W931" s="327"/>
      <c r="X931" s="577"/>
      <c r="Y931" s="327"/>
      <c r="Z931" s="604"/>
      <c r="AA931" s="327"/>
      <c r="AB931" s="577"/>
      <c r="AC931" s="327"/>
      <c r="AD931" s="576"/>
      <c r="AE931" s="327"/>
      <c r="AF931" s="577"/>
      <c r="AG931" s="327"/>
      <c r="AH931" s="576"/>
      <c r="AI931" s="327"/>
      <c r="AJ931" s="577"/>
      <c r="AK931" s="327"/>
      <c r="AL931" s="602"/>
      <c r="AM931" s="326"/>
      <c r="AN931" s="326"/>
      <c r="AO931" s="326"/>
      <c r="AP931" s="326"/>
      <c r="AQ931" s="326"/>
      <c r="AR931" s="326"/>
      <c r="AS931" s="326"/>
      <c r="AT931" s="326"/>
      <c r="AU931" s="326"/>
      <c r="AV931" s="326"/>
      <c r="AW931" s="326"/>
      <c r="AX931" s="326"/>
      <c r="AY931" s="326"/>
      <c r="AZ931" s="326"/>
      <c r="BA931" s="326"/>
      <c r="BB931" s="327"/>
    </row>
    <row r="932" spans="1:54" ht="15.75" customHeight="1" x14ac:dyDescent="0.25">
      <c r="A932" s="11">
        <f t="shared" si="3"/>
        <v>919</v>
      </c>
      <c r="B932" s="570" t="str">
        <f>'refer admin discharge'!B928</f>
        <v>x</v>
      </c>
      <c r="C932" s="327"/>
      <c r="D932" s="599" t="str">
        <f>'refer admin discharge'!D928</f>
        <v>xx</v>
      </c>
      <c r="E932" s="327"/>
      <c r="F932" s="600" t="str">
        <f>'refer admin discharge'!H928</f>
        <v>00/00/0000</v>
      </c>
      <c r="G932" s="327"/>
      <c r="H932" s="574"/>
      <c r="I932" s="327"/>
      <c r="J932" s="601"/>
      <c r="K932" s="327"/>
      <c r="L932" s="574"/>
      <c r="M932" s="327"/>
      <c r="N932" s="594"/>
      <c r="O932" s="327"/>
      <c r="P932" s="574"/>
      <c r="Q932" s="327"/>
      <c r="R932" s="594"/>
      <c r="S932" s="327"/>
      <c r="T932" s="574"/>
      <c r="U932" s="327"/>
      <c r="V932" s="595" t="str">
        <f>'refer admin discharge'!H933</f>
        <v>00/00/0000</v>
      </c>
      <c r="W932" s="327"/>
      <c r="X932" s="596"/>
      <c r="Y932" s="327"/>
      <c r="Z932" s="597"/>
      <c r="AA932" s="327"/>
      <c r="AB932" s="596"/>
      <c r="AC932" s="327"/>
      <c r="AD932" s="577"/>
      <c r="AE932" s="327"/>
      <c r="AF932" s="596"/>
      <c r="AG932" s="327"/>
      <c r="AH932" s="577"/>
      <c r="AI932" s="327"/>
      <c r="AJ932" s="596"/>
      <c r="AK932" s="327"/>
      <c r="AL932" s="598"/>
      <c r="AM932" s="326"/>
      <c r="AN932" s="326"/>
      <c r="AO932" s="326"/>
      <c r="AP932" s="326"/>
      <c r="AQ932" s="326"/>
      <c r="AR932" s="326"/>
      <c r="AS932" s="326"/>
      <c r="AT932" s="326"/>
      <c r="AU932" s="326"/>
      <c r="AV932" s="326"/>
      <c r="AW932" s="326"/>
      <c r="AX932" s="326"/>
      <c r="AY932" s="326"/>
      <c r="AZ932" s="326"/>
      <c r="BA932" s="326"/>
      <c r="BB932" s="327"/>
    </row>
    <row r="933" spans="1:54" ht="15.75" customHeight="1" x14ac:dyDescent="0.25">
      <c r="A933" s="11">
        <f t="shared" si="3"/>
        <v>920</v>
      </c>
      <c r="B933" s="504" t="str">
        <f>'refer admin discharge'!B929</f>
        <v>x</v>
      </c>
      <c r="C933" s="327"/>
      <c r="D933" s="505" t="str">
        <f>'refer admin discharge'!D929</f>
        <v>xx</v>
      </c>
      <c r="E933" s="327"/>
      <c r="F933" s="606" t="str">
        <f>'refer admin discharge'!H929</f>
        <v>00/00/0000</v>
      </c>
      <c r="G933" s="327"/>
      <c r="H933" s="594"/>
      <c r="I933" s="327"/>
      <c r="J933" s="605"/>
      <c r="K933" s="327"/>
      <c r="L933" s="594"/>
      <c r="M933" s="327"/>
      <c r="N933" s="575"/>
      <c r="O933" s="327"/>
      <c r="P933" s="594"/>
      <c r="Q933" s="327"/>
      <c r="R933" s="575"/>
      <c r="S933" s="327"/>
      <c r="T933" s="594"/>
      <c r="U933" s="327"/>
      <c r="V933" s="595" t="str">
        <f>'refer admin discharge'!H934</f>
        <v>00/00/0000</v>
      </c>
      <c r="W933" s="327"/>
      <c r="X933" s="577"/>
      <c r="Y933" s="327"/>
      <c r="Z933" s="604"/>
      <c r="AA933" s="327"/>
      <c r="AB933" s="577"/>
      <c r="AC933" s="327"/>
      <c r="AD933" s="576"/>
      <c r="AE933" s="327"/>
      <c r="AF933" s="577"/>
      <c r="AG933" s="327"/>
      <c r="AH933" s="576"/>
      <c r="AI933" s="327"/>
      <c r="AJ933" s="577"/>
      <c r="AK933" s="327"/>
      <c r="AL933" s="602"/>
      <c r="AM933" s="326"/>
      <c r="AN933" s="326"/>
      <c r="AO933" s="326"/>
      <c r="AP933" s="326"/>
      <c r="AQ933" s="326"/>
      <c r="AR933" s="326"/>
      <c r="AS933" s="326"/>
      <c r="AT933" s="326"/>
      <c r="AU933" s="326"/>
      <c r="AV933" s="326"/>
      <c r="AW933" s="326"/>
      <c r="AX933" s="326"/>
      <c r="AY933" s="326"/>
      <c r="AZ933" s="326"/>
      <c r="BA933" s="326"/>
      <c r="BB933" s="327"/>
    </row>
    <row r="934" spans="1:54" ht="15.75" customHeight="1" x14ac:dyDescent="0.25">
      <c r="A934" s="11">
        <f t="shared" si="3"/>
        <v>921</v>
      </c>
      <c r="B934" s="570" t="str">
        <f>'refer admin discharge'!B930</f>
        <v>x</v>
      </c>
      <c r="C934" s="327"/>
      <c r="D934" s="599" t="str">
        <f>'refer admin discharge'!D930</f>
        <v>xx</v>
      </c>
      <c r="E934" s="327"/>
      <c r="F934" s="600" t="str">
        <f>'refer admin discharge'!H930</f>
        <v>00/00/0000</v>
      </c>
      <c r="G934" s="327"/>
      <c r="H934" s="574"/>
      <c r="I934" s="327"/>
      <c r="J934" s="601"/>
      <c r="K934" s="327"/>
      <c r="L934" s="574"/>
      <c r="M934" s="327"/>
      <c r="N934" s="594"/>
      <c r="O934" s="327"/>
      <c r="P934" s="574"/>
      <c r="Q934" s="327"/>
      <c r="R934" s="594"/>
      <c r="S934" s="327"/>
      <c r="T934" s="574"/>
      <c r="U934" s="327"/>
      <c r="V934" s="595" t="str">
        <f>'refer admin discharge'!H935</f>
        <v>00/00/0000</v>
      </c>
      <c r="W934" s="327"/>
      <c r="X934" s="596"/>
      <c r="Y934" s="327"/>
      <c r="Z934" s="597"/>
      <c r="AA934" s="327"/>
      <c r="AB934" s="596"/>
      <c r="AC934" s="327"/>
      <c r="AD934" s="577"/>
      <c r="AE934" s="327"/>
      <c r="AF934" s="596"/>
      <c r="AG934" s="327"/>
      <c r="AH934" s="577"/>
      <c r="AI934" s="327"/>
      <c r="AJ934" s="596"/>
      <c r="AK934" s="327"/>
      <c r="AL934" s="598"/>
      <c r="AM934" s="326"/>
      <c r="AN934" s="326"/>
      <c r="AO934" s="326"/>
      <c r="AP934" s="326"/>
      <c r="AQ934" s="326"/>
      <c r="AR934" s="326"/>
      <c r="AS934" s="326"/>
      <c r="AT934" s="326"/>
      <c r="AU934" s="326"/>
      <c r="AV934" s="326"/>
      <c r="AW934" s="326"/>
      <c r="AX934" s="326"/>
      <c r="AY934" s="326"/>
      <c r="AZ934" s="326"/>
      <c r="BA934" s="326"/>
      <c r="BB934" s="327"/>
    </row>
    <row r="935" spans="1:54" ht="15.75" customHeight="1" x14ac:dyDescent="0.25">
      <c r="A935" s="11">
        <f t="shared" si="3"/>
        <v>922</v>
      </c>
      <c r="B935" s="504" t="str">
        <f>'refer admin discharge'!B931</f>
        <v>x</v>
      </c>
      <c r="C935" s="327"/>
      <c r="D935" s="505" t="str">
        <f>'refer admin discharge'!D931</f>
        <v>xx</v>
      </c>
      <c r="E935" s="327"/>
      <c r="F935" s="606" t="str">
        <f>'refer admin discharge'!H931</f>
        <v>00/00/0000</v>
      </c>
      <c r="G935" s="327"/>
      <c r="H935" s="594"/>
      <c r="I935" s="327"/>
      <c r="J935" s="605"/>
      <c r="K935" s="327"/>
      <c r="L935" s="594"/>
      <c r="M935" s="327"/>
      <c r="N935" s="575"/>
      <c r="O935" s="327"/>
      <c r="P935" s="594"/>
      <c r="Q935" s="327"/>
      <c r="R935" s="575"/>
      <c r="S935" s="327"/>
      <c r="T935" s="594"/>
      <c r="U935" s="327"/>
      <c r="V935" s="595" t="str">
        <f>'refer admin discharge'!H936</f>
        <v>00/00/0000</v>
      </c>
      <c r="W935" s="327"/>
      <c r="X935" s="577"/>
      <c r="Y935" s="327"/>
      <c r="Z935" s="604"/>
      <c r="AA935" s="327"/>
      <c r="AB935" s="577"/>
      <c r="AC935" s="327"/>
      <c r="AD935" s="576"/>
      <c r="AE935" s="327"/>
      <c r="AF935" s="577"/>
      <c r="AG935" s="327"/>
      <c r="AH935" s="576"/>
      <c r="AI935" s="327"/>
      <c r="AJ935" s="577"/>
      <c r="AK935" s="327"/>
      <c r="AL935" s="602"/>
      <c r="AM935" s="326"/>
      <c r="AN935" s="326"/>
      <c r="AO935" s="326"/>
      <c r="AP935" s="326"/>
      <c r="AQ935" s="326"/>
      <c r="AR935" s="326"/>
      <c r="AS935" s="326"/>
      <c r="AT935" s="326"/>
      <c r="AU935" s="326"/>
      <c r="AV935" s="326"/>
      <c r="AW935" s="326"/>
      <c r="AX935" s="326"/>
      <c r="AY935" s="326"/>
      <c r="AZ935" s="326"/>
      <c r="BA935" s="326"/>
      <c r="BB935" s="327"/>
    </row>
    <row r="936" spans="1:54" ht="15.75" customHeight="1" x14ac:dyDescent="0.25">
      <c r="A936" s="11">
        <f t="shared" si="3"/>
        <v>923</v>
      </c>
      <c r="B936" s="570" t="str">
        <f>'refer admin discharge'!B932</f>
        <v>x</v>
      </c>
      <c r="C936" s="327"/>
      <c r="D936" s="599" t="str">
        <f>'refer admin discharge'!D932</f>
        <v>xx</v>
      </c>
      <c r="E936" s="327"/>
      <c r="F936" s="600" t="str">
        <f>'refer admin discharge'!H932</f>
        <v>00/00/0000</v>
      </c>
      <c r="G936" s="327"/>
      <c r="H936" s="574"/>
      <c r="I936" s="327"/>
      <c r="J936" s="601"/>
      <c r="K936" s="327"/>
      <c r="L936" s="574"/>
      <c r="M936" s="327"/>
      <c r="N936" s="594"/>
      <c r="O936" s="327"/>
      <c r="P936" s="574"/>
      <c r="Q936" s="327"/>
      <c r="R936" s="594"/>
      <c r="S936" s="327"/>
      <c r="T936" s="574"/>
      <c r="U936" s="327"/>
      <c r="V936" s="595" t="str">
        <f>'refer admin discharge'!H937</f>
        <v>00/00/0000</v>
      </c>
      <c r="W936" s="327"/>
      <c r="X936" s="596"/>
      <c r="Y936" s="327"/>
      <c r="Z936" s="597"/>
      <c r="AA936" s="327"/>
      <c r="AB936" s="596"/>
      <c r="AC936" s="327"/>
      <c r="AD936" s="577"/>
      <c r="AE936" s="327"/>
      <c r="AF936" s="596"/>
      <c r="AG936" s="327"/>
      <c r="AH936" s="577"/>
      <c r="AI936" s="327"/>
      <c r="AJ936" s="596"/>
      <c r="AK936" s="327"/>
      <c r="AL936" s="598"/>
      <c r="AM936" s="326"/>
      <c r="AN936" s="326"/>
      <c r="AO936" s="326"/>
      <c r="AP936" s="326"/>
      <c r="AQ936" s="326"/>
      <c r="AR936" s="326"/>
      <c r="AS936" s="326"/>
      <c r="AT936" s="326"/>
      <c r="AU936" s="326"/>
      <c r="AV936" s="326"/>
      <c r="AW936" s="326"/>
      <c r="AX936" s="326"/>
      <c r="AY936" s="326"/>
      <c r="AZ936" s="326"/>
      <c r="BA936" s="326"/>
      <c r="BB936" s="327"/>
    </row>
    <row r="937" spans="1:54" ht="15.75" customHeight="1" x14ac:dyDescent="0.25">
      <c r="A937" s="11">
        <f t="shared" si="3"/>
        <v>924</v>
      </c>
      <c r="B937" s="504" t="str">
        <f>'refer admin discharge'!B933</f>
        <v>x</v>
      </c>
      <c r="C937" s="327"/>
      <c r="D937" s="505" t="str">
        <f>'refer admin discharge'!D933</f>
        <v>xx</v>
      </c>
      <c r="E937" s="327"/>
      <c r="F937" s="606" t="str">
        <f>'refer admin discharge'!H933</f>
        <v>00/00/0000</v>
      </c>
      <c r="G937" s="327"/>
      <c r="H937" s="594"/>
      <c r="I937" s="327"/>
      <c r="J937" s="605"/>
      <c r="K937" s="327"/>
      <c r="L937" s="594"/>
      <c r="M937" s="327"/>
      <c r="N937" s="575"/>
      <c r="O937" s="327"/>
      <c r="P937" s="594"/>
      <c r="Q937" s="327"/>
      <c r="R937" s="575"/>
      <c r="S937" s="327"/>
      <c r="T937" s="594"/>
      <c r="U937" s="327"/>
      <c r="V937" s="595" t="str">
        <f>'refer admin discharge'!H938</f>
        <v>00/00/0000</v>
      </c>
      <c r="W937" s="327"/>
      <c r="X937" s="577"/>
      <c r="Y937" s="327"/>
      <c r="Z937" s="604"/>
      <c r="AA937" s="327"/>
      <c r="AB937" s="577"/>
      <c r="AC937" s="327"/>
      <c r="AD937" s="576"/>
      <c r="AE937" s="327"/>
      <c r="AF937" s="577"/>
      <c r="AG937" s="327"/>
      <c r="AH937" s="576"/>
      <c r="AI937" s="327"/>
      <c r="AJ937" s="577"/>
      <c r="AK937" s="327"/>
      <c r="AL937" s="602"/>
      <c r="AM937" s="326"/>
      <c r="AN937" s="326"/>
      <c r="AO937" s="326"/>
      <c r="AP937" s="326"/>
      <c r="AQ937" s="326"/>
      <c r="AR937" s="326"/>
      <c r="AS937" s="326"/>
      <c r="AT937" s="326"/>
      <c r="AU937" s="326"/>
      <c r="AV937" s="326"/>
      <c r="AW937" s="326"/>
      <c r="AX937" s="326"/>
      <c r="AY937" s="326"/>
      <c r="AZ937" s="326"/>
      <c r="BA937" s="326"/>
      <c r="BB937" s="327"/>
    </row>
    <row r="938" spans="1:54" ht="15.75" customHeight="1" x14ac:dyDescent="0.25">
      <c r="A938" s="11">
        <f t="shared" si="3"/>
        <v>925</v>
      </c>
      <c r="B938" s="570" t="str">
        <f>'refer admin discharge'!B934</f>
        <v>x</v>
      </c>
      <c r="C938" s="327"/>
      <c r="D938" s="599" t="str">
        <f>'refer admin discharge'!D934</f>
        <v>xx</v>
      </c>
      <c r="E938" s="327"/>
      <c r="F938" s="600" t="str">
        <f>'refer admin discharge'!H934</f>
        <v>00/00/0000</v>
      </c>
      <c r="G938" s="327"/>
      <c r="H938" s="574"/>
      <c r="I938" s="327"/>
      <c r="J938" s="601"/>
      <c r="K938" s="327"/>
      <c r="L938" s="574"/>
      <c r="M938" s="327"/>
      <c r="N938" s="594"/>
      <c r="O938" s="327"/>
      <c r="P938" s="574"/>
      <c r="Q938" s="327"/>
      <c r="R938" s="594"/>
      <c r="S938" s="327"/>
      <c r="T938" s="574"/>
      <c r="U938" s="327"/>
      <c r="V938" s="595" t="str">
        <f>'refer admin discharge'!H939</f>
        <v>00/00/0000</v>
      </c>
      <c r="W938" s="327"/>
      <c r="X938" s="596"/>
      <c r="Y938" s="327"/>
      <c r="Z938" s="597"/>
      <c r="AA938" s="327"/>
      <c r="AB938" s="596"/>
      <c r="AC938" s="327"/>
      <c r="AD938" s="577"/>
      <c r="AE938" s="327"/>
      <c r="AF938" s="596"/>
      <c r="AG938" s="327"/>
      <c r="AH938" s="577"/>
      <c r="AI938" s="327"/>
      <c r="AJ938" s="596"/>
      <c r="AK938" s="327"/>
      <c r="AL938" s="598"/>
      <c r="AM938" s="326"/>
      <c r="AN938" s="326"/>
      <c r="AO938" s="326"/>
      <c r="AP938" s="326"/>
      <c r="AQ938" s="326"/>
      <c r="AR938" s="326"/>
      <c r="AS938" s="326"/>
      <c r="AT938" s="326"/>
      <c r="AU938" s="326"/>
      <c r="AV938" s="326"/>
      <c r="AW938" s="326"/>
      <c r="AX938" s="326"/>
      <c r="AY938" s="326"/>
      <c r="AZ938" s="326"/>
      <c r="BA938" s="326"/>
      <c r="BB938" s="327"/>
    </row>
    <row r="939" spans="1:54" ht="15.75" customHeight="1" x14ac:dyDescent="0.25">
      <c r="A939" s="11">
        <f t="shared" si="3"/>
        <v>926</v>
      </c>
      <c r="B939" s="504" t="str">
        <f>'refer admin discharge'!B935</f>
        <v>x</v>
      </c>
      <c r="C939" s="327"/>
      <c r="D939" s="505" t="str">
        <f>'refer admin discharge'!D935</f>
        <v>xx</v>
      </c>
      <c r="E939" s="327"/>
      <c r="F939" s="606" t="str">
        <f>'refer admin discharge'!H935</f>
        <v>00/00/0000</v>
      </c>
      <c r="G939" s="327"/>
      <c r="H939" s="594"/>
      <c r="I939" s="327"/>
      <c r="J939" s="605"/>
      <c r="K939" s="327"/>
      <c r="L939" s="594"/>
      <c r="M939" s="327"/>
      <c r="N939" s="575"/>
      <c r="O939" s="327"/>
      <c r="P939" s="594"/>
      <c r="Q939" s="327"/>
      <c r="R939" s="575"/>
      <c r="S939" s="327"/>
      <c r="T939" s="594"/>
      <c r="U939" s="327"/>
      <c r="V939" s="595" t="str">
        <f>'refer admin discharge'!H940</f>
        <v>00/00/0000</v>
      </c>
      <c r="W939" s="327"/>
      <c r="X939" s="577"/>
      <c r="Y939" s="327"/>
      <c r="Z939" s="604"/>
      <c r="AA939" s="327"/>
      <c r="AB939" s="577"/>
      <c r="AC939" s="327"/>
      <c r="AD939" s="576"/>
      <c r="AE939" s="327"/>
      <c r="AF939" s="577"/>
      <c r="AG939" s="327"/>
      <c r="AH939" s="576"/>
      <c r="AI939" s="327"/>
      <c r="AJ939" s="577"/>
      <c r="AK939" s="327"/>
      <c r="AL939" s="602"/>
      <c r="AM939" s="326"/>
      <c r="AN939" s="326"/>
      <c r="AO939" s="326"/>
      <c r="AP939" s="326"/>
      <c r="AQ939" s="326"/>
      <c r="AR939" s="326"/>
      <c r="AS939" s="326"/>
      <c r="AT939" s="326"/>
      <c r="AU939" s="326"/>
      <c r="AV939" s="326"/>
      <c r="AW939" s="326"/>
      <c r="AX939" s="326"/>
      <c r="AY939" s="326"/>
      <c r="AZ939" s="326"/>
      <c r="BA939" s="326"/>
      <c r="BB939" s="327"/>
    </row>
    <row r="940" spans="1:54" ht="15.75" customHeight="1" x14ac:dyDescent="0.25">
      <c r="A940" s="11">
        <f t="shared" si="3"/>
        <v>927</v>
      </c>
      <c r="B940" s="570" t="str">
        <f>'refer admin discharge'!B936</f>
        <v>x</v>
      </c>
      <c r="C940" s="327"/>
      <c r="D940" s="599" t="str">
        <f>'refer admin discharge'!D936</f>
        <v>xx</v>
      </c>
      <c r="E940" s="327"/>
      <c r="F940" s="600" t="str">
        <f>'refer admin discharge'!H936</f>
        <v>00/00/0000</v>
      </c>
      <c r="G940" s="327"/>
      <c r="H940" s="574"/>
      <c r="I940" s="327"/>
      <c r="J940" s="601"/>
      <c r="K940" s="327"/>
      <c r="L940" s="574"/>
      <c r="M940" s="327"/>
      <c r="N940" s="594"/>
      <c r="O940" s="327"/>
      <c r="P940" s="574"/>
      <c r="Q940" s="327"/>
      <c r="R940" s="594"/>
      <c r="S940" s="327"/>
      <c r="T940" s="574"/>
      <c r="U940" s="327"/>
      <c r="V940" s="595" t="str">
        <f>'refer admin discharge'!H941</f>
        <v>00/00/0000</v>
      </c>
      <c r="W940" s="327"/>
      <c r="X940" s="596"/>
      <c r="Y940" s="327"/>
      <c r="Z940" s="597"/>
      <c r="AA940" s="327"/>
      <c r="AB940" s="596"/>
      <c r="AC940" s="327"/>
      <c r="AD940" s="577"/>
      <c r="AE940" s="327"/>
      <c r="AF940" s="596"/>
      <c r="AG940" s="327"/>
      <c r="AH940" s="577"/>
      <c r="AI940" s="327"/>
      <c r="AJ940" s="596"/>
      <c r="AK940" s="327"/>
      <c r="AL940" s="598"/>
      <c r="AM940" s="326"/>
      <c r="AN940" s="326"/>
      <c r="AO940" s="326"/>
      <c r="AP940" s="326"/>
      <c r="AQ940" s="326"/>
      <c r="AR940" s="326"/>
      <c r="AS940" s="326"/>
      <c r="AT940" s="326"/>
      <c r="AU940" s="326"/>
      <c r="AV940" s="326"/>
      <c r="AW940" s="326"/>
      <c r="AX940" s="326"/>
      <c r="AY940" s="326"/>
      <c r="AZ940" s="326"/>
      <c r="BA940" s="326"/>
      <c r="BB940" s="327"/>
    </row>
    <row r="941" spans="1:54" ht="15.75" customHeight="1" x14ac:dyDescent="0.25">
      <c r="A941" s="11">
        <f t="shared" si="3"/>
        <v>928</v>
      </c>
      <c r="B941" s="504" t="str">
        <f>'refer admin discharge'!B937</f>
        <v>x</v>
      </c>
      <c r="C941" s="327"/>
      <c r="D941" s="505" t="str">
        <f>'refer admin discharge'!D937</f>
        <v>xx</v>
      </c>
      <c r="E941" s="327"/>
      <c r="F941" s="606" t="str">
        <f>'refer admin discharge'!H937</f>
        <v>00/00/0000</v>
      </c>
      <c r="G941" s="327"/>
      <c r="H941" s="594"/>
      <c r="I941" s="327"/>
      <c r="J941" s="605"/>
      <c r="K941" s="327"/>
      <c r="L941" s="594"/>
      <c r="M941" s="327"/>
      <c r="N941" s="575"/>
      <c r="O941" s="327"/>
      <c r="P941" s="594"/>
      <c r="Q941" s="327"/>
      <c r="R941" s="575"/>
      <c r="S941" s="327"/>
      <c r="T941" s="594"/>
      <c r="U941" s="327"/>
      <c r="V941" s="595" t="str">
        <f>'refer admin discharge'!H942</f>
        <v>00/00/0000</v>
      </c>
      <c r="W941" s="327"/>
      <c r="X941" s="577"/>
      <c r="Y941" s="327"/>
      <c r="Z941" s="604"/>
      <c r="AA941" s="327"/>
      <c r="AB941" s="577"/>
      <c r="AC941" s="327"/>
      <c r="AD941" s="576"/>
      <c r="AE941" s="327"/>
      <c r="AF941" s="577"/>
      <c r="AG941" s="327"/>
      <c r="AH941" s="576"/>
      <c r="AI941" s="327"/>
      <c r="AJ941" s="577"/>
      <c r="AK941" s="327"/>
      <c r="AL941" s="602"/>
      <c r="AM941" s="326"/>
      <c r="AN941" s="326"/>
      <c r="AO941" s="326"/>
      <c r="AP941" s="326"/>
      <c r="AQ941" s="326"/>
      <c r="AR941" s="326"/>
      <c r="AS941" s="326"/>
      <c r="AT941" s="326"/>
      <c r="AU941" s="326"/>
      <c r="AV941" s="326"/>
      <c r="AW941" s="326"/>
      <c r="AX941" s="326"/>
      <c r="AY941" s="326"/>
      <c r="AZ941" s="326"/>
      <c r="BA941" s="326"/>
      <c r="BB941" s="327"/>
    </row>
    <row r="942" spans="1:54" ht="15.75" customHeight="1" x14ac:dyDescent="0.25">
      <c r="A942" s="11">
        <f t="shared" si="3"/>
        <v>929</v>
      </c>
      <c r="B942" s="570" t="str">
        <f>'refer admin discharge'!B938</f>
        <v>x</v>
      </c>
      <c r="C942" s="327"/>
      <c r="D942" s="599" t="str">
        <f>'refer admin discharge'!D938</f>
        <v>xx</v>
      </c>
      <c r="E942" s="327"/>
      <c r="F942" s="600" t="str">
        <f>'refer admin discharge'!H938</f>
        <v>00/00/0000</v>
      </c>
      <c r="G942" s="327"/>
      <c r="H942" s="574"/>
      <c r="I942" s="327"/>
      <c r="J942" s="601"/>
      <c r="K942" s="327"/>
      <c r="L942" s="574"/>
      <c r="M942" s="327"/>
      <c r="N942" s="594"/>
      <c r="O942" s="327"/>
      <c r="P942" s="574"/>
      <c r="Q942" s="327"/>
      <c r="R942" s="594"/>
      <c r="S942" s="327"/>
      <c r="T942" s="574"/>
      <c r="U942" s="327"/>
      <c r="V942" s="595" t="str">
        <f>'refer admin discharge'!H943</f>
        <v>00/00/0000</v>
      </c>
      <c r="W942" s="327"/>
      <c r="X942" s="596"/>
      <c r="Y942" s="327"/>
      <c r="Z942" s="597"/>
      <c r="AA942" s="327"/>
      <c r="AB942" s="596"/>
      <c r="AC942" s="327"/>
      <c r="AD942" s="577"/>
      <c r="AE942" s="327"/>
      <c r="AF942" s="596"/>
      <c r="AG942" s="327"/>
      <c r="AH942" s="577"/>
      <c r="AI942" s="327"/>
      <c r="AJ942" s="596"/>
      <c r="AK942" s="327"/>
      <c r="AL942" s="598"/>
      <c r="AM942" s="326"/>
      <c r="AN942" s="326"/>
      <c r="AO942" s="326"/>
      <c r="AP942" s="326"/>
      <c r="AQ942" s="326"/>
      <c r="AR942" s="326"/>
      <c r="AS942" s="326"/>
      <c r="AT942" s="326"/>
      <c r="AU942" s="326"/>
      <c r="AV942" s="326"/>
      <c r="AW942" s="326"/>
      <c r="AX942" s="326"/>
      <c r="AY942" s="326"/>
      <c r="AZ942" s="326"/>
      <c r="BA942" s="326"/>
      <c r="BB942" s="327"/>
    </row>
    <row r="943" spans="1:54" ht="15.75" customHeight="1" x14ac:dyDescent="0.25">
      <c r="A943" s="11">
        <f t="shared" si="3"/>
        <v>930</v>
      </c>
      <c r="B943" s="504" t="str">
        <f>'refer admin discharge'!B939</f>
        <v>x</v>
      </c>
      <c r="C943" s="327"/>
      <c r="D943" s="505" t="str">
        <f>'refer admin discharge'!D939</f>
        <v>xx</v>
      </c>
      <c r="E943" s="327"/>
      <c r="F943" s="606" t="str">
        <f>'refer admin discharge'!H939</f>
        <v>00/00/0000</v>
      </c>
      <c r="G943" s="327"/>
      <c r="H943" s="594"/>
      <c r="I943" s="327"/>
      <c r="J943" s="605"/>
      <c r="K943" s="327"/>
      <c r="L943" s="594"/>
      <c r="M943" s="327"/>
      <c r="N943" s="575"/>
      <c r="O943" s="327"/>
      <c r="P943" s="594"/>
      <c r="Q943" s="327"/>
      <c r="R943" s="575"/>
      <c r="S943" s="327"/>
      <c r="T943" s="594"/>
      <c r="U943" s="327"/>
      <c r="V943" s="595" t="str">
        <f>'refer admin discharge'!H944</f>
        <v>00/00/0000</v>
      </c>
      <c r="W943" s="327"/>
      <c r="X943" s="577"/>
      <c r="Y943" s="327"/>
      <c r="Z943" s="604"/>
      <c r="AA943" s="327"/>
      <c r="AB943" s="577"/>
      <c r="AC943" s="327"/>
      <c r="AD943" s="576"/>
      <c r="AE943" s="327"/>
      <c r="AF943" s="577"/>
      <c r="AG943" s="327"/>
      <c r="AH943" s="576"/>
      <c r="AI943" s="327"/>
      <c r="AJ943" s="577"/>
      <c r="AK943" s="327"/>
      <c r="AL943" s="602"/>
      <c r="AM943" s="326"/>
      <c r="AN943" s="326"/>
      <c r="AO943" s="326"/>
      <c r="AP943" s="326"/>
      <c r="AQ943" s="326"/>
      <c r="AR943" s="326"/>
      <c r="AS943" s="326"/>
      <c r="AT943" s="326"/>
      <c r="AU943" s="326"/>
      <c r="AV943" s="326"/>
      <c r="AW943" s="326"/>
      <c r="AX943" s="326"/>
      <c r="AY943" s="326"/>
      <c r="AZ943" s="326"/>
      <c r="BA943" s="326"/>
      <c r="BB943" s="327"/>
    </row>
    <row r="944" spans="1:54" ht="15.75" customHeight="1" x14ac:dyDescent="0.25">
      <c r="A944" s="11">
        <f t="shared" si="3"/>
        <v>931</v>
      </c>
      <c r="B944" s="570" t="str">
        <f>'refer admin discharge'!B940</f>
        <v>x</v>
      </c>
      <c r="C944" s="327"/>
      <c r="D944" s="599" t="str">
        <f>'refer admin discharge'!D940</f>
        <v>xx</v>
      </c>
      <c r="E944" s="327"/>
      <c r="F944" s="600" t="str">
        <f>'refer admin discharge'!H940</f>
        <v>00/00/0000</v>
      </c>
      <c r="G944" s="327"/>
      <c r="H944" s="574"/>
      <c r="I944" s="327"/>
      <c r="J944" s="601"/>
      <c r="K944" s="327"/>
      <c r="L944" s="574"/>
      <c r="M944" s="327"/>
      <c r="N944" s="594"/>
      <c r="O944" s="327"/>
      <c r="P944" s="574"/>
      <c r="Q944" s="327"/>
      <c r="R944" s="594"/>
      <c r="S944" s="327"/>
      <c r="T944" s="574"/>
      <c r="U944" s="327"/>
      <c r="V944" s="595" t="str">
        <f>'refer admin discharge'!H945</f>
        <v>00/00/0000</v>
      </c>
      <c r="W944" s="327"/>
      <c r="X944" s="596"/>
      <c r="Y944" s="327"/>
      <c r="Z944" s="597"/>
      <c r="AA944" s="327"/>
      <c r="AB944" s="596"/>
      <c r="AC944" s="327"/>
      <c r="AD944" s="577"/>
      <c r="AE944" s="327"/>
      <c r="AF944" s="596"/>
      <c r="AG944" s="327"/>
      <c r="AH944" s="577"/>
      <c r="AI944" s="327"/>
      <c r="AJ944" s="596"/>
      <c r="AK944" s="327"/>
      <c r="AL944" s="598"/>
      <c r="AM944" s="326"/>
      <c r="AN944" s="326"/>
      <c r="AO944" s="326"/>
      <c r="AP944" s="326"/>
      <c r="AQ944" s="326"/>
      <c r="AR944" s="326"/>
      <c r="AS944" s="326"/>
      <c r="AT944" s="326"/>
      <c r="AU944" s="326"/>
      <c r="AV944" s="326"/>
      <c r="AW944" s="326"/>
      <c r="AX944" s="326"/>
      <c r="AY944" s="326"/>
      <c r="AZ944" s="326"/>
      <c r="BA944" s="326"/>
      <c r="BB944" s="327"/>
    </row>
    <row r="945" spans="1:54" ht="15.75" customHeight="1" x14ac:dyDescent="0.25">
      <c r="A945" s="11">
        <f t="shared" si="3"/>
        <v>932</v>
      </c>
      <c r="B945" s="504" t="str">
        <f>'refer admin discharge'!B941</f>
        <v>x</v>
      </c>
      <c r="C945" s="327"/>
      <c r="D945" s="505" t="str">
        <f>'refer admin discharge'!D941</f>
        <v>xx</v>
      </c>
      <c r="E945" s="327"/>
      <c r="F945" s="606" t="str">
        <f>'refer admin discharge'!H941</f>
        <v>00/00/0000</v>
      </c>
      <c r="G945" s="327"/>
      <c r="H945" s="594"/>
      <c r="I945" s="327"/>
      <c r="J945" s="605"/>
      <c r="K945" s="327"/>
      <c r="L945" s="594"/>
      <c r="M945" s="327"/>
      <c r="N945" s="575"/>
      <c r="O945" s="327"/>
      <c r="P945" s="594"/>
      <c r="Q945" s="327"/>
      <c r="R945" s="575"/>
      <c r="S945" s="327"/>
      <c r="T945" s="594"/>
      <c r="U945" s="327"/>
      <c r="V945" s="595" t="str">
        <f>'refer admin discharge'!H946</f>
        <v>00/00/0000</v>
      </c>
      <c r="W945" s="327"/>
      <c r="X945" s="577"/>
      <c r="Y945" s="327"/>
      <c r="Z945" s="604"/>
      <c r="AA945" s="327"/>
      <c r="AB945" s="577"/>
      <c r="AC945" s="327"/>
      <c r="AD945" s="576"/>
      <c r="AE945" s="327"/>
      <c r="AF945" s="577"/>
      <c r="AG945" s="327"/>
      <c r="AH945" s="576"/>
      <c r="AI945" s="327"/>
      <c r="AJ945" s="577"/>
      <c r="AK945" s="327"/>
      <c r="AL945" s="602"/>
      <c r="AM945" s="326"/>
      <c r="AN945" s="326"/>
      <c r="AO945" s="326"/>
      <c r="AP945" s="326"/>
      <c r="AQ945" s="326"/>
      <c r="AR945" s="326"/>
      <c r="AS945" s="326"/>
      <c r="AT945" s="326"/>
      <c r="AU945" s="326"/>
      <c r="AV945" s="326"/>
      <c r="AW945" s="326"/>
      <c r="AX945" s="326"/>
      <c r="AY945" s="326"/>
      <c r="AZ945" s="326"/>
      <c r="BA945" s="326"/>
      <c r="BB945" s="327"/>
    </row>
    <row r="946" spans="1:54" ht="15.75" customHeight="1" x14ac:dyDescent="0.25">
      <c r="A946" s="11">
        <f t="shared" si="3"/>
        <v>933</v>
      </c>
      <c r="B946" s="570" t="str">
        <f>'refer admin discharge'!B942</f>
        <v>x</v>
      </c>
      <c r="C946" s="327"/>
      <c r="D946" s="599" t="str">
        <f>'refer admin discharge'!D942</f>
        <v>xx</v>
      </c>
      <c r="E946" s="327"/>
      <c r="F946" s="600" t="str">
        <f>'refer admin discharge'!H942</f>
        <v>00/00/0000</v>
      </c>
      <c r="G946" s="327"/>
      <c r="H946" s="574"/>
      <c r="I946" s="327"/>
      <c r="J946" s="601"/>
      <c r="K946" s="327"/>
      <c r="L946" s="574"/>
      <c r="M946" s="327"/>
      <c r="N946" s="594"/>
      <c r="O946" s="327"/>
      <c r="P946" s="574"/>
      <c r="Q946" s="327"/>
      <c r="R946" s="594"/>
      <c r="S946" s="327"/>
      <c r="T946" s="574"/>
      <c r="U946" s="327"/>
      <c r="V946" s="595" t="str">
        <f>'refer admin discharge'!H947</f>
        <v>00/00/0000</v>
      </c>
      <c r="W946" s="327"/>
      <c r="X946" s="596"/>
      <c r="Y946" s="327"/>
      <c r="Z946" s="597"/>
      <c r="AA946" s="327"/>
      <c r="AB946" s="596"/>
      <c r="AC946" s="327"/>
      <c r="AD946" s="577"/>
      <c r="AE946" s="327"/>
      <c r="AF946" s="596"/>
      <c r="AG946" s="327"/>
      <c r="AH946" s="577"/>
      <c r="AI946" s="327"/>
      <c r="AJ946" s="596"/>
      <c r="AK946" s="327"/>
      <c r="AL946" s="598"/>
      <c r="AM946" s="326"/>
      <c r="AN946" s="326"/>
      <c r="AO946" s="326"/>
      <c r="AP946" s="326"/>
      <c r="AQ946" s="326"/>
      <c r="AR946" s="326"/>
      <c r="AS946" s="326"/>
      <c r="AT946" s="326"/>
      <c r="AU946" s="326"/>
      <c r="AV946" s="326"/>
      <c r="AW946" s="326"/>
      <c r="AX946" s="326"/>
      <c r="AY946" s="326"/>
      <c r="AZ946" s="326"/>
      <c r="BA946" s="326"/>
      <c r="BB946" s="327"/>
    </row>
    <row r="947" spans="1:54" ht="15.75" customHeight="1" x14ac:dyDescent="0.25">
      <c r="A947" s="11">
        <f t="shared" si="3"/>
        <v>934</v>
      </c>
      <c r="B947" s="504" t="str">
        <f>'refer admin discharge'!B943</f>
        <v>x</v>
      </c>
      <c r="C947" s="327"/>
      <c r="D947" s="505" t="str">
        <f>'refer admin discharge'!D943</f>
        <v>xx</v>
      </c>
      <c r="E947" s="327"/>
      <c r="F947" s="606" t="str">
        <f>'refer admin discharge'!H943</f>
        <v>00/00/0000</v>
      </c>
      <c r="G947" s="327"/>
      <c r="H947" s="594"/>
      <c r="I947" s="327"/>
      <c r="J947" s="605"/>
      <c r="K947" s="327"/>
      <c r="L947" s="594"/>
      <c r="M947" s="327"/>
      <c r="N947" s="575"/>
      <c r="O947" s="327"/>
      <c r="P947" s="594"/>
      <c r="Q947" s="327"/>
      <c r="R947" s="575"/>
      <c r="S947" s="327"/>
      <c r="T947" s="594"/>
      <c r="U947" s="327"/>
      <c r="V947" s="595" t="str">
        <f>'refer admin discharge'!H948</f>
        <v>00/00/0000</v>
      </c>
      <c r="W947" s="327"/>
      <c r="X947" s="577"/>
      <c r="Y947" s="327"/>
      <c r="Z947" s="604"/>
      <c r="AA947" s="327"/>
      <c r="AB947" s="577"/>
      <c r="AC947" s="327"/>
      <c r="AD947" s="576"/>
      <c r="AE947" s="327"/>
      <c r="AF947" s="577"/>
      <c r="AG947" s="327"/>
      <c r="AH947" s="576"/>
      <c r="AI947" s="327"/>
      <c r="AJ947" s="577"/>
      <c r="AK947" s="327"/>
      <c r="AL947" s="602"/>
      <c r="AM947" s="326"/>
      <c r="AN947" s="326"/>
      <c r="AO947" s="326"/>
      <c r="AP947" s="326"/>
      <c r="AQ947" s="326"/>
      <c r="AR947" s="326"/>
      <c r="AS947" s="326"/>
      <c r="AT947" s="326"/>
      <c r="AU947" s="326"/>
      <c r="AV947" s="326"/>
      <c r="AW947" s="326"/>
      <c r="AX947" s="326"/>
      <c r="AY947" s="326"/>
      <c r="AZ947" s="326"/>
      <c r="BA947" s="326"/>
      <c r="BB947" s="327"/>
    </row>
    <row r="948" spans="1:54" ht="15.75" customHeight="1" x14ac:dyDescent="0.25">
      <c r="A948" s="11">
        <f t="shared" si="3"/>
        <v>935</v>
      </c>
      <c r="B948" s="570" t="str">
        <f>'refer admin discharge'!B944</f>
        <v>x</v>
      </c>
      <c r="C948" s="327"/>
      <c r="D948" s="599" t="str">
        <f>'refer admin discharge'!D944</f>
        <v>xx</v>
      </c>
      <c r="E948" s="327"/>
      <c r="F948" s="600" t="str">
        <f>'refer admin discharge'!H944</f>
        <v>00/00/0000</v>
      </c>
      <c r="G948" s="327"/>
      <c r="H948" s="574"/>
      <c r="I948" s="327"/>
      <c r="J948" s="601"/>
      <c r="K948" s="327"/>
      <c r="L948" s="574"/>
      <c r="M948" s="327"/>
      <c r="N948" s="594"/>
      <c r="O948" s="327"/>
      <c r="P948" s="574"/>
      <c r="Q948" s="327"/>
      <c r="R948" s="594"/>
      <c r="S948" s="327"/>
      <c r="T948" s="574"/>
      <c r="U948" s="327"/>
      <c r="V948" s="595" t="str">
        <f>'refer admin discharge'!H949</f>
        <v>00/00/0000</v>
      </c>
      <c r="W948" s="327"/>
      <c r="X948" s="596"/>
      <c r="Y948" s="327"/>
      <c r="Z948" s="597"/>
      <c r="AA948" s="327"/>
      <c r="AB948" s="596"/>
      <c r="AC948" s="327"/>
      <c r="AD948" s="577"/>
      <c r="AE948" s="327"/>
      <c r="AF948" s="596"/>
      <c r="AG948" s="327"/>
      <c r="AH948" s="577"/>
      <c r="AI948" s="327"/>
      <c r="AJ948" s="596"/>
      <c r="AK948" s="327"/>
      <c r="AL948" s="598"/>
      <c r="AM948" s="326"/>
      <c r="AN948" s="326"/>
      <c r="AO948" s="326"/>
      <c r="AP948" s="326"/>
      <c r="AQ948" s="326"/>
      <c r="AR948" s="326"/>
      <c r="AS948" s="326"/>
      <c r="AT948" s="326"/>
      <c r="AU948" s="326"/>
      <c r="AV948" s="326"/>
      <c r="AW948" s="326"/>
      <c r="AX948" s="326"/>
      <c r="AY948" s="326"/>
      <c r="AZ948" s="326"/>
      <c r="BA948" s="326"/>
      <c r="BB948" s="327"/>
    </row>
    <row r="949" spans="1:54" ht="15.75" customHeight="1" x14ac:dyDescent="0.25">
      <c r="A949" s="11">
        <f t="shared" si="3"/>
        <v>936</v>
      </c>
      <c r="B949" s="504" t="str">
        <f>'refer admin discharge'!B945</f>
        <v>x</v>
      </c>
      <c r="C949" s="327"/>
      <c r="D949" s="505" t="str">
        <f>'refer admin discharge'!D945</f>
        <v>xx</v>
      </c>
      <c r="E949" s="327"/>
      <c r="F949" s="606" t="str">
        <f>'refer admin discharge'!H945</f>
        <v>00/00/0000</v>
      </c>
      <c r="G949" s="327"/>
      <c r="H949" s="594"/>
      <c r="I949" s="327"/>
      <c r="J949" s="605"/>
      <c r="K949" s="327"/>
      <c r="L949" s="594"/>
      <c r="M949" s="327"/>
      <c r="N949" s="575"/>
      <c r="O949" s="327"/>
      <c r="P949" s="594"/>
      <c r="Q949" s="327"/>
      <c r="R949" s="575"/>
      <c r="S949" s="327"/>
      <c r="T949" s="594"/>
      <c r="U949" s="327"/>
      <c r="V949" s="595" t="str">
        <f>'refer admin discharge'!H950</f>
        <v>00/00/0000</v>
      </c>
      <c r="W949" s="327"/>
      <c r="X949" s="577"/>
      <c r="Y949" s="327"/>
      <c r="Z949" s="604"/>
      <c r="AA949" s="327"/>
      <c r="AB949" s="577"/>
      <c r="AC949" s="327"/>
      <c r="AD949" s="576"/>
      <c r="AE949" s="327"/>
      <c r="AF949" s="577"/>
      <c r="AG949" s="327"/>
      <c r="AH949" s="576"/>
      <c r="AI949" s="327"/>
      <c r="AJ949" s="577"/>
      <c r="AK949" s="327"/>
      <c r="AL949" s="602"/>
      <c r="AM949" s="326"/>
      <c r="AN949" s="326"/>
      <c r="AO949" s="326"/>
      <c r="AP949" s="326"/>
      <c r="AQ949" s="326"/>
      <c r="AR949" s="326"/>
      <c r="AS949" s="326"/>
      <c r="AT949" s="326"/>
      <c r="AU949" s="326"/>
      <c r="AV949" s="326"/>
      <c r="AW949" s="326"/>
      <c r="AX949" s="326"/>
      <c r="AY949" s="326"/>
      <c r="AZ949" s="326"/>
      <c r="BA949" s="326"/>
      <c r="BB949" s="327"/>
    </row>
    <row r="950" spans="1:54" ht="15.75" customHeight="1" x14ac:dyDescent="0.25">
      <c r="A950" s="11">
        <f t="shared" si="3"/>
        <v>937</v>
      </c>
      <c r="B950" s="570" t="str">
        <f>'refer admin discharge'!B946</f>
        <v>x</v>
      </c>
      <c r="C950" s="327"/>
      <c r="D950" s="599" t="str">
        <f>'refer admin discharge'!D946</f>
        <v>xx</v>
      </c>
      <c r="E950" s="327"/>
      <c r="F950" s="600" t="str">
        <f>'refer admin discharge'!H946</f>
        <v>00/00/0000</v>
      </c>
      <c r="G950" s="327"/>
      <c r="H950" s="574"/>
      <c r="I950" s="327"/>
      <c r="J950" s="601"/>
      <c r="K950" s="327"/>
      <c r="L950" s="574"/>
      <c r="M950" s="327"/>
      <c r="N950" s="594"/>
      <c r="O950" s="327"/>
      <c r="P950" s="574"/>
      <c r="Q950" s="327"/>
      <c r="R950" s="594"/>
      <c r="S950" s="327"/>
      <c r="T950" s="574"/>
      <c r="U950" s="327"/>
      <c r="V950" s="595" t="str">
        <f>'refer admin discharge'!H951</f>
        <v>00/00/0000</v>
      </c>
      <c r="W950" s="327"/>
      <c r="X950" s="596"/>
      <c r="Y950" s="327"/>
      <c r="Z950" s="597"/>
      <c r="AA950" s="327"/>
      <c r="AB950" s="596"/>
      <c r="AC950" s="327"/>
      <c r="AD950" s="577"/>
      <c r="AE950" s="327"/>
      <c r="AF950" s="596"/>
      <c r="AG950" s="327"/>
      <c r="AH950" s="577"/>
      <c r="AI950" s="327"/>
      <c r="AJ950" s="596"/>
      <c r="AK950" s="327"/>
      <c r="AL950" s="598"/>
      <c r="AM950" s="326"/>
      <c r="AN950" s="326"/>
      <c r="AO950" s="326"/>
      <c r="AP950" s="326"/>
      <c r="AQ950" s="326"/>
      <c r="AR950" s="326"/>
      <c r="AS950" s="326"/>
      <c r="AT950" s="326"/>
      <c r="AU950" s="326"/>
      <c r="AV950" s="326"/>
      <c r="AW950" s="326"/>
      <c r="AX950" s="326"/>
      <c r="AY950" s="326"/>
      <c r="AZ950" s="326"/>
      <c r="BA950" s="326"/>
      <c r="BB950" s="327"/>
    </row>
    <row r="951" spans="1:54" ht="15.75" customHeight="1" x14ac:dyDescent="0.25">
      <c r="A951" s="11">
        <f t="shared" si="3"/>
        <v>938</v>
      </c>
      <c r="B951" s="504" t="str">
        <f>'refer admin discharge'!B947</f>
        <v>x</v>
      </c>
      <c r="C951" s="327"/>
      <c r="D951" s="505" t="str">
        <f>'refer admin discharge'!D947</f>
        <v>xx</v>
      </c>
      <c r="E951" s="327"/>
      <c r="F951" s="606" t="str">
        <f>'refer admin discharge'!H947</f>
        <v>00/00/0000</v>
      </c>
      <c r="G951" s="327"/>
      <c r="H951" s="594"/>
      <c r="I951" s="327"/>
      <c r="J951" s="605"/>
      <c r="K951" s="327"/>
      <c r="L951" s="594"/>
      <c r="M951" s="327"/>
      <c r="N951" s="575"/>
      <c r="O951" s="327"/>
      <c r="P951" s="594"/>
      <c r="Q951" s="327"/>
      <c r="R951" s="575"/>
      <c r="S951" s="327"/>
      <c r="T951" s="594"/>
      <c r="U951" s="327"/>
      <c r="V951" s="595" t="str">
        <f>'refer admin discharge'!H952</f>
        <v>00/00/0000</v>
      </c>
      <c r="W951" s="327"/>
      <c r="X951" s="577"/>
      <c r="Y951" s="327"/>
      <c r="Z951" s="604"/>
      <c r="AA951" s="327"/>
      <c r="AB951" s="577"/>
      <c r="AC951" s="327"/>
      <c r="AD951" s="576"/>
      <c r="AE951" s="327"/>
      <c r="AF951" s="577"/>
      <c r="AG951" s="327"/>
      <c r="AH951" s="576"/>
      <c r="AI951" s="327"/>
      <c r="AJ951" s="577"/>
      <c r="AK951" s="327"/>
      <c r="AL951" s="602"/>
      <c r="AM951" s="326"/>
      <c r="AN951" s="326"/>
      <c r="AO951" s="326"/>
      <c r="AP951" s="326"/>
      <c r="AQ951" s="326"/>
      <c r="AR951" s="326"/>
      <c r="AS951" s="326"/>
      <c r="AT951" s="326"/>
      <c r="AU951" s="326"/>
      <c r="AV951" s="326"/>
      <c r="AW951" s="326"/>
      <c r="AX951" s="326"/>
      <c r="AY951" s="326"/>
      <c r="AZ951" s="326"/>
      <c r="BA951" s="326"/>
      <c r="BB951" s="327"/>
    </row>
    <row r="952" spans="1:54" ht="15.75" customHeight="1" x14ac:dyDescent="0.25">
      <c r="A952" s="11">
        <f t="shared" si="3"/>
        <v>939</v>
      </c>
      <c r="B952" s="570" t="str">
        <f>'refer admin discharge'!B948</f>
        <v>x</v>
      </c>
      <c r="C952" s="327"/>
      <c r="D952" s="599" t="str">
        <f>'refer admin discharge'!D948</f>
        <v>xx</v>
      </c>
      <c r="E952" s="327"/>
      <c r="F952" s="600" t="str">
        <f>'refer admin discharge'!H948</f>
        <v>00/00/0000</v>
      </c>
      <c r="G952" s="327"/>
      <c r="H952" s="574"/>
      <c r="I952" s="327"/>
      <c r="J952" s="601"/>
      <c r="K952" s="327"/>
      <c r="L952" s="574"/>
      <c r="M952" s="327"/>
      <c r="N952" s="594"/>
      <c r="O952" s="327"/>
      <c r="P952" s="574"/>
      <c r="Q952" s="327"/>
      <c r="R952" s="594"/>
      <c r="S952" s="327"/>
      <c r="T952" s="574"/>
      <c r="U952" s="327"/>
      <c r="V952" s="595" t="str">
        <f>'refer admin discharge'!H953</f>
        <v>00/00/0000</v>
      </c>
      <c r="W952" s="327"/>
      <c r="X952" s="596"/>
      <c r="Y952" s="327"/>
      <c r="Z952" s="597"/>
      <c r="AA952" s="327"/>
      <c r="AB952" s="596"/>
      <c r="AC952" s="327"/>
      <c r="AD952" s="577"/>
      <c r="AE952" s="327"/>
      <c r="AF952" s="596"/>
      <c r="AG952" s="327"/>
      <c r="AH952" s="577"/>
      <c r="AI952" s="327"/>
      <c r="AJ952" s="596"/>
      <c r="AK952" s="327"/>
      <c r="AL952" s="598"/>
      <c r="AM952" s="326"/>
      <c r="AN952" s="326"/>
      <c r="AO952" s="326"/>
      <c r="AP952" s="326"/>
      <c r="AQ952" s="326"/>
      <c r="AR952" s="326"/>
      <c r="AS952" s="326"/>
      <c r="AT952" s="326"/>
      <c r="AU952" s="326"/>
      <c r="AV952" s="326"/>
      <c r="AW952" s="326"/>
      <c r="AX952" s="326"/>
      <c r="AY952" s="326"/>
      <c r="AZ952" s="326"/>
      <c r="BA952" s="326"/>
      <c r="BB952" s="327"/>
    </row>
    <row r="953" spans="1:54" ht="15.75" customHeight="1" x14ac:dyDescent="0.25">
      <c r="A953" s="11">
        <f t="shared" si="3"/>
        <v>940</v>
      </c>
      <c r="B953" s="504" t="str">
        <f>'refer admin discharge'!B949</f>
        <v>x</v>
      </c>
      <c r="C953" s="327"/>
      <c r="D953" s="505" t="str">
        <f>'refer admin discharge'!D949</f>
        <v>xx</v>
      </c>
      <c r="E953" s="327"/>
      <c r="F953" s="606" t="str">
        <f>'refer admin discharge'!H949</f>
        <v>00/00/0000</v>
      </c>
      <c r="G953" s="327"/>
      <c r="H953" s="594"/>
      <c r="I953" s="327"/>
      <c r="J953" s="605"/>
      <c r="K953" s="327"/>
      <c r="L953" s="594"/>
      <c r="M953" s="327"/>
      <c r="N953" s="575"/>
      <c r="O953" s="327"/>
      <c r="P953" s="594"/>
      <c r="Q953" s="327"/>
      <c r="R953" s="575"/>
      <c r="S953" s="327"/>
      <c r="T953" s="594"/>
      <c r="U953" s="327"/>
      <c r="V953" s="595" t="str">
        <f>'refer admin discharge'!H954</f>
        <v>00/00/0000</v>
      </c>
      <c r="W953" s="327"/>
      <c r="X953" s="577"/>
      <c r="Y953" s="327"/>
      <c r="Z953" s="604"/>
      <c r="AA953" s="327"/>
      <c r="AB953" s="577"/>
      <c r="AC953" s="327"/>
      <c r="AD953" s="576"/>
      <c r="AE953" s="327"/>
      <c r="AF953" s="577"/>
      <c r="AG953" s="327"/>
      <c r="AH953" s="576"/>
      <c r="AI953" s="327"/>
      <c r="AJ953" s="577"/>
      <c r="AK953" s="327"/>
      <c r="AL953" s="602"/>
      <c r="AM953" s="326"/>
      <c r="AN953" s="326"/>
      <c r="AO953" s="326"/>
      <c r="AP953" s="326"/>
      <c r="AQ953" s="326"/>
      <c r="AR953" s="326"/>
      <c r="AS953" s="326"/>
      <c r="AT953" s="326"/>
      <c r="AU953" s="326"/>
      <c r="AV953" s="326"/>
      <c r="AW953" s="326"/>
      <c r="AX953" s="326"/>
      <c r="AY953" s="326"/>
      <c r="AZ953" s="326"/>
      <c r="BA953" s="326"/>
      <c r="BB953" s="327"/>
    </row>
    <row r="954" spans="1:54" ht="15.75" customHeight="1" x14ac:dyDescent="0.25">
      <c r="A954" s="11">
        <f t="shared" si="3"/>
        <v>941</v>
      </c>
      <c r="B954" s="570" t="str">
        <f>'refer admin discharge'!B950</f>
        <v>x</v>
      </c>
      <c r="C954" s="327"/>
      <c r="D954" s="599" t="str">
        <f>'refer admin discharge'!D950</f>
        <v>xx</v>
      </c>
      <c r="E954" s="327"/>
      <c r="F954" s="600" t="str">
        <f>'refer admin discharge'!H950</f>
        <v>00/00/0000</v>
      </c>
      <c r="G954" s="327"/>
      <c r="H954" s="574"/>
      <c r="I954" s="327"/>
      <c r="J954" s="601"/>
      <c r="K954" s="327"/>
      <c r="L954" s="574"/>
      <c r="M954" s="327"/>
      <c r="N954" s="594"/>
      <c r="O954" s="327"/>
      <c r="P954" s="574"/>
      <c r="Q954" s="327"/>
      <c r="R954" s="594"/>
      <c r="S954" s="327"/>
      <c r="T954" s="574"/>
      <c r="U954" s="327"/>
      <c r="V954" s="595" t="str">
        <f>'refer admin discharge'!H955</f>
        <v>00/00/0000</v>
      </c>
      <c r="W954" s="327"/>
      <c r="X954" s="596"/>
      <c r="Y954" s="327"/>
      <c r="Z954" s="597"/>
      <c r="AA954" s="327"/>
      <c r="AB954" s="596"/>
      <c r="AC954" s="327"/>
      <c r="AD954" s="577"/>
      <c r="AE954" s="327"/>
      <c r="AF954" s="596"/>
      <c r="AG954" s="327"/>
      <c r="AH954" s="577"/>
      <c r="AI954" s="327"/>
      <c r="AJ954" s="596"/>
      <c r="AK954" s="327"/>
      <c r="AL954" s="598"/>
      <c r="AM954" s="326"/>
      <c r="AN954" s="326"/>
      <c r="AO954" s="326"/>
      <c r="AP954" s="326"/>
      <c r="AQ954" s="326"/>
      <c r="AR954" s="326"/>
      <c r="AS954" s="326"/>
      <c r="AT954" s="326"/>
      <c r="AU954" s="326"/>
      <c r="AV954" s="326"/>
      <c r="AW954" s="326"/>
      <c r="AX954" s="326"/>
      <c r="AY954" s="326"/>
      <c r="AZ954" s="326"/>
      <c r="BA954" s="326"/>
      <c r="BB954" s="327"/>
    </row>
    <row r="955" spans="1:54" ht="15.75" customHeight="1" x14ac:dyDescent="0.25">
      <c r="A955" s="11">
        <f t="shared" si="3"/>
        <v>942</v>
      </c>
      <c r="B955" s="504" t="str">
        <f>'refer admin discharge'!B951</f>
        <v>x</v>
      </c>
      <c r="C955" s="327"/>
      <c r="D955" s="505" t="str">
        <f>'refer admin discharge'!D951</f>
        <v>xx</v>
      </c>
      <c r="E955" s="327"/>
      <c r="F955" s="606" t="str">
        <f>'refer admin discharge'!H951</f>
        <v>00/00/0000</v>
      </c>
      <c r="G955" s="327"/>
      <c r="H955" s="594"/>
      <c r="I955" s="327"/>
      <c r="J955" s="605"/>
      <c r="K955" s="327"/>
      <c r="L955" s="594"/>
      <c r="M955" s="327"/>
      <c r="N955" s="575"/>
      <c r="O955" s="327"/>
      <c r="P955" s="594"/>
      <c r="Q955" s="327"/>
      <c r="R955" s="575"/>
      <c r="S955" s="327"/>
      <c r="T955" s="594"/>
      <c r="U955" s="327"/>
      <c r="V955" s="595" t="str">
        <f>'refer admin discharge'!H956</f>
        <v>00/00/0000</v>
      </c>
      <c r="W955" s="327"/>
      <c r="X955" s="577"/>
      <c r="Y955" s="327"/>
      <c r="Z955" s="604"/>
      <c r="AA955" s="327"/>
      <c r="AB955" s="577"/>
      <c r="AC955" s="327"/>
      <c r="AD955" s="576"/>
      <c r="AE955" s="327"/>
      <c r="AF955" s="577"/>
      <c r="AG955" s="327"/>
      <c r="AH955" s="576"/>
      <c r="AI955" s="327"/>
      <c r="AJ955" s="577"/>
      <c r="AK955" s="327"/>
      <c r="AL955" s="602"/>
      <c r="AM955" s="326"/>
      <c r="AN955" s="326"/>
      <c r="AO955" s="326"/>
      <c r="AP955" s="326"/>
      <c r="AQ955" s="326"/>
      <c r="AR955" s="326"/>
      <c r="AS955" s="326"/>
      <c r="AT955" s="326"/>
      <c r="AU955" s="326"/>
      <c r="AV955" s="326"/>
      <c r="AW955" s="326"/>
      <c r="AX955" s="326"/>
      <c r="AY955" s="326"/>
      <c r="AZ955" s="326"/>
      <c r="BA955" s="326"/>
      <c r="BB955" s="327"/>
    </row>
    <row r="956" spans="1:54" ht="15.75" customHeight="1" x14ac:dyDescent="0.25">
      <c r="A956" s="11">
        <f t="shared" si="3"/>
        <v>943</v>
      </c>
      <c r="B956" s="570" t="str">
        <f>'refer admin discharge'!B952</f>
        <v>x</v>
      </c>
      <c r="C956" s="327"/>
      <c r="D956" s="599" t="str">
        <f>'refer admin discharge'!D952</f>
        <v>xx</v>
      </c>
      <c r="E956" s="327"/>
      <c r="F956" s="600" t="str">
        <f>'refer admin discharge'!H952</f>
        <v>00/00/0000</v>
      </c>
      <c r="G956" s="327"/>
      <c r="H956" s="574"/>
      <c r="I956" s="327"/>
      <c r="J956" s="601"/>
      <c r="K956" s="327"/>
      <c r="L956" s="574"/>
      <c r="M956" s="327"/>
      <c r="N956" s="594"/>
      <c r="O956" s="327"/>
      <c r="P956" s="574"/>
      <c r="Q956" s="327"/>
      <c r="R956" s="594"/>
      <c r="S956" s="327"/>
      <c r="T956" s="574"/>
      <c r="U956" s="327"/>
      <c r="V956" s="595" t="str">
        <f>'refer admin discharge'!H957</f>
        <v>00/00/0000</v>
      </c>
      <c r="W956" s="327"/>
      <c r="X956" s="596"/>
      <c r="Y956" s="327"/>
      <c r="Z956" s="597"/>
      <c r="AA956" s="327"/>
      <c r="AB956" s="596"/>
      <c r="AC956" s="327"/>
      <c r="AD956" s="577"/>
      <c r="AE956" s="327"/>
      <c r="AF956" s="596"/>
      <c r="AG956" s="327"/>
      <c r="AH956" s="577"/>
      <c r="AI956" s="327"/>
      <c r="AJ956" s="596"/>
      <c r="AK956" s="327"/>
      <c r="AL956" s="598"/>
      <c r="AM956" s="326"/>
      <c r="AN956" s="326"/>
      <c r="AO956" s="326"/>
      <c r="AP956" s="326"/>
      <c r="AQ956" s="326"/>
      <c r="AR956" s="326"/>
      <c r="AS956" s="326"/>
      <c r="AT956" s="326"/>
      <c r="AU956" s="326"/>
      <c r="AV956" s="326"/>
      <c r="AW956" s="326"/>
      <c r="AX956" s="326"/>
      <c r="AY956" s="326"/>
      <c r="AZ956" s="326"/>
      <c r="BA956" s="326"/>
      <c r="BB956" s="327"/>
    </row>
    <row r="957" spans="1:54" ht="15.75" customHeight="1" x14ac:dyDescent="0.25">
      <c r="A957" s="11">
        <f t="shared" si="3"/>
        <v>944</v>
      </c>
      <c r="B957" s="504" t="str">
        <f>'refer admin discharge'!B953</f>
        <v>x</v>
      </c>
      <c r="C957" s="327"/>
      <c r="D957" s="505" t="str">
        <f>'refer admin discharge'!D953</f>
        <v>xx</v>
      </c>
      <c r="E957" s="327"/>
      <c r="F957" s="606" t="str">
        <f>'refer admin discharge'!H953</f>
        <v>00/00/0000</v>
      </c>
      <c r="G957" s="327"/>
      <c r="H957" s="594"/>
      <c r="I957" s="327"/>
      <c r="J957" s="605"/>
      <c r="K957" s="327"/>
      <c r="L957" s="594"/>
      <c r="M957" s="327"/>
      <c r="N957" s="575"/>
      <c r="O957" s="327"/>
      <c r="P957" s="594"/>
      <c r="Q957" s="327"/>
      <c r="R957" s="575"/>
      <c r="S957" s="327"/>
      <c r="T957" s="594"/>
      <c r="U957" s="327"/>
      <c r="V957" s="595" t="str">
        <f>'refer admin discharge'!H958</f>
        <v>00/00/0000</v>
      </c>
      <c r="W957" s="327"/>
      <c r="X957" s="577"/>
      <c r="Y957" s="327"/>
      <c r="Z957" s="604"/>
      <c r="AA957" s="327"/>
      <c r="AB957" s="577"/>
      <c r="AC957" s="327"/>
      <c r="AD957" s="576"/>
      <c r="AE957" s="327"/>
      <c r="AF957" s="577"/>
      <c r="AG957" s="327"/>
      <c r="AH957" s="576"/>
      <c r="AI957" s="327"/>
      <c r="AJ957" s="577"/>
      <c r="AK957" s="327"/>
      <c r="AL957" s="602"/>
      <c r="AM957" s="326"/>
      <c r="AN957" s="326"/>
      <c r="AO957" s="326"/>
      <c r="AP957" s="326"/>
      <c r="AQ957" s="326"/>
      <c r="AR957" s="326"/>
      <c r="AS957" s="326"/>
      <c r="AT957" s="326"/>
      <c r="AU957" s="326"/>
      <c r="AV957" s="326"/>
      <c r="AW957" s="326"/>
      <c r="AX957" s="326"/>
      <c r="AY957" s="326"/>
      <c r="AZ957" s="326"/>
      <c r="BA957" s="326"/>
      <c r="BB957" s="327"/>
    </row>
    <row r="958" spans="1:54" ht="15.75" customHeight="1" x14ac:dyDescent="0.25">
      <c r="A958" s="11">
        <f t="shared" si="3"/>
        <v>945</v>
      </c>
      <c r="B958" s="570" t="str">
        <f>'refer admin discharge'!B954</f>
        <v>x</v>
      </c>
      <c r="C958" s="327"/>
      <c r="D958" s="599" t="str">
        <f>'refer admin discharge'!D954</f>
        <v>xx</v>
      </c>
      <c r="E958" s="327"/>
      <c r="F958" s="600" t="str">
        <f>'refer admin discharge'!H954</f>
        <v>00/00/0000</v>
      </c>
      <c r="G958" s="327"/>
      <c r="H958" s="574"/>
      <c r="I958" s="327"/>
      <c r="J958" s="601"/>
      <c r="K958" s="327"/>
      <c r="L958" s="574"/>
      <c r="M958" s="327"/>
      <c r="N958" s="594"/>
      <c r="O958" s="327"/>
      <c r="P958" s="574"/>
      <c r="Q958" s="327"/>
      <c r="R958" s="594"/>
      <c r="S958" s="327"/>
      <c r="T958" s="574"/>
      <c r="U958" s="327"/>
      <c r="V958" s="595" t="str">
        <f>'refer admin discharge'!H959</f>
        <v>00/00/0000</v>
      </c>
      <c r="W958" s="327"/>
      <c r="X958" s="596"/>
      <c r="Y958" s="327"/>
      <c r="Z958" s="597"/>
      <c r="AA958" s="327"/>
      <c r="AB958" s="596"/>
      <c r="AC958" s="327"/>
      <c r="AD958" s="577"/>
      <c r="AE958" s="327"/>
      <c r="AF958" s="596"/>
      <c r="AG958" s="327"/>
      <c r="AH958" s="577"/>
      <c r="AI958" s="327"/>
      <c r="AJ958" s="596"/>
      <c r="AK958" s="327"/>
      <c r="AL958" s="598"/>
      <c r="AM958" s="326"/>
      <c r="AN958" s="326"/>
      <c r="AO958" s="326"/>
      <c r="AP958" s="326"/>
      <c r="AQ958" s="326"/>
      <c r="AR958" s="326"/>
      <c r="AS958" s="326"/>
      <c r="AT958" s="326"/>
      <c r="AU958" s="326"/>
      <c r="AV958" s="326"/>
      <c r="AW958" s="326"/>
      <c r="AX958" s="326"/>
      <c r="AY958" s="326"/>
      <c r="AZ958" s="326"/>
      <c r="BA958" s="326"/>
      <c r="BB958" s="327"/>
    </row>
    <row r="959" spans="1:54" ht="15.75" customHeight="1" x14ac:dyDescent="0.25">
      <c r="A959" s="11">
        <f t="shared" si="3"/>
        <v>946</v>
      </c>
      <c r="B959" s="504" t="str">
        <f>'refer admin discharge'!B955</f>
        <v>x</v>
      </c>
      <c r="C959" s="327"/>
      <c r="D959" s="505" t="str">
        <f>'refer admin discharge'!D955</f>
        <v>xx</v>
      </c>
      <c r="E959" s="327"/>
      <c r="F959" s="606" t="str">
        <f>'refer admin discharge'!H955</f>
        <v>00/00/0000</v>
      </c>
      <c r="G959" s="327"/>
      <c r="H959" s="594"/>
      <c r="I959" s="327"/>
      <c r="J959" s="605"/>
      <c r="K959" s="327"/>
      <c r="L959" s="594"/>
      <c r="M959" s="327"/>
      <c r="N959" s="575"/>
      <c r="O959" s="327"/>
      <c r="P959" s="594"/>
      <c r="Q959" s="327"/>
      <c r="R959" s="575"/>
      <c r="S959" s="327"/>
      <c r="T959" s="594"/>
      <c r="U959" s="327"/>
      <c r="V959" s="595" t="str">
        <f>'refer admin discharge'!H960</f>
        <v>00/00/0000</v>
      </c>
      <c r="W959" s="327"/>
      <c r="X959" s="577"/>
      <c r="Y959" s="327"/>
      <c r="Z959" s="604"/>
      <c r="AA959" s="327"/>
      <c r="AB959" s="577"/>
      <c r="AC959" s="327"/>
      <c r="AD959" s="576"/>
      <c r="AE959" s="327"/>
      <c r="AF959" s="577"/>
      <c r="AG959" s="327"/>
      <c r="AH959" s="576"/>
      <c r="AI959" s="327"/>
      <c r="AJ959" s="577"/>
      <c r="AK959" s="327"/>
      <c r="AL959" s="602"/>
      <c r="AM959" s="326"/>
      <c r="AN959" s="326"/>
      <c r="AO959" s="326"/>
      <c r="AP959" s="326"/>
      <c r="AQ959" s="326"/>
      <c r="AR959" s="326"/>
      <c r="AS959" s="326"/>
      <c r="AT959" s="326"/>
      <c r="AU959" s="326"/>
      <c r="AV959" s="326"/>
      <c r="AW959" s="326"/>
      <c r="AX959" s="326"/>
      <c r="AY959" s="326"/>
      <c r="AZ959" s="326"/>
      <c r="BA959" s="326"/>
      <c r="BB959" s="327"/>
    </row>
    <row r="960" spans="1:54" ht="15.75" customHeight="1" x14ac:dyDescent="0.25">
      <c r="A960" s="11">
        <f t="shared" si="3"/>
        <v>947</v>
      </c>
      <c r="B960" s="570" t="str">
        <f>'refer admin discharge'!B956</f>
        <v>x</v>
      </c>
      <c r="C960" s="327"/>
      <c r="D960" s="599" t="str">
        <f>'refer admin discharge'!D956</f>
        <v>xx</v>
      </c>
      <c r="E960" s="327"/>
      <c r="F960" s="600" t="str">
        <f>'refer admin discharge'!H956</f>
        <v>00/00/0000</v>
      </c>
      <c r="G960" s="327"/>
      <c r="H960" s="574"/>
      <c r="I960" s="327"/>
      <c r="J960" s="601"/>
      <c r="K960" s="327"/>
      <c r="L960" s="574"/>
      <c r="M960" s="327"/>
      <c r="N960" s="594"/>
      <c r="O960" s="327"/>
      <c r="P960" s="574"/>
      <c r="Q960" s="327"/>
      <c r="R960" s="594"/>
      <c r="S960" s="327"/>
      <c r="T960" s="574"/>
      <c r="U960" s="327"/>
      <c r="V960" s="595" t="str">
        <f>'refer admin discharge'!H961</f>
        <v>00/00/0000</v>
      </c>
      <c r="W960" s="327"/>
      <c r="X960" s="596"/>
      <c r="Y960" s="327"/>
      <c r="Z960" s="597"/>
      <c r="AA960" s="327"/>
      <c r="AB960" s="596"/>
      <c r="AC960" s="327"/>
      <c r="AD960" s="577"/>
      <c r="AE960" s="327"/>
      <c r="AF960" s="596"/>
      <c r="AG960" s="327"/>
      <c r="AH960" s="577"/>
      <c r="AI960" s="327"/>
      <c r="AJ960" s="596"/>
      <c r="AK960" s="327"/>
      <c r="AL960" s="598"/>
      <c r="AM960" s="326"/>
      <c r="AN960" s="326"/>
      <c r="AO960" s="326"/>
      <c r="AP960" s="326"/>
      <c r="AQ960" s="326"/>
      <c r="AR960" s="326"/>
      <c r="AS960" s="326"/>
      <c r="AT960" s="326"/>
      <c r="AU960" s="326"/>
      <c r="AV960" s="326"/>
      <c r="AW960" s="326"/>
      <c r="AX960" s="326"/>
      <c r="AY960" s="326"/>
      <c r="AZ960" s="326"/>
      <c r="BA960" s="326"/>
      <c r="BB960" s="327"/>
    </row>
    <row r="961" spans="1:54" ht="15.75" customHeight="1" x14ac:dyDescent="0.25">
      <c r="A961" s="11">
        <f t="shared" si="3"/>
        <v>948</v>
      </c>
      <c r="B961" s="504" t="str">
        <f>'refer admin discharge'!B957</f>
        <v>x</v>
      </c>
      <c r="C961" s="327"/>
      <c r="D961" s="505" t="str">
        <f>'refer admin discharge'!D957</f>
        <v>xx</v>
      </c>
      <c r="E961" s="327"/>
      <c r="F961" s="606" t="str">
        <f>'refer admin discharge'!H957</f>
        <v>00/00/0000</v>
      </c>
      <c r="G961" s="327"/>
      <c r="H961" s="594"/>
      <c r="I961" s="327"/>
      <c r="J961" s="605"/>
      <c r="K961" s="327"/>
      <c r="L961" s="594"/>
      <c r="M961" s="327"/>
      <c r="N961" s="575"/>
      <c r="O961" s="327"/>
      <c r="P961" s="594"/>
      <c r="Q961" s="327"/>
      <c r="R961" s="575"/>
      <c r="S961" s="327"/>
      <c r="T961" s="594"/>
      <c r="U961" s="327"/>
      <c r="V961" s="595" t="str">
        <f>'refer admin discharge'!H962</f>
        <v>00/00/0000</v>
      </c>
      <c r="W961" s="327"/>
      <c r="X961" s="577"/>
      <c r="Y961" s="327"/>
      <c r="Z961" s="604"/>
      <c r="AA961" s="327"/>
      <c r="AB961" s="577"/>
      <c r="AC961" s="327"/>
      <c r="AD961" s="576"/>
      <c r="AE961" s="327"/>
      <c r="AF961" s="577"/>
      <c r="AG961" s="327"/>
      <c r="AH961" s="576"/>
      <c r="AI961" s="327"/>
      <c r="AJ961" s="577"/>
      <c r="AK961" s="327"/>
      <c r="AL961" s="602"/>
      <c r="AM961" s="326"/>
      <c r="AN961" s="326"/>
      <c r="AO961" s="326"/>
      <c r="AP961" s="326"/>
      <c r="AQ961" s="326"/>
      <c r="AR961" s="326"/>
      <c r="AS961" s="326"/>
      <c r="AT961" s="326"/>
      <c r="AU961" s="326"/>
      <c r="AV961" s="326"/>
      <c r="AW961" s="326"/>
      <c r="AX961" s="326"/>
      <c r="AY961" s="326"/>
      <c r="AZ961" s="326"/>
      <c r="BA961" s="326"/>
      <c r="BB961" s="327"/>
    </row>
    <row r="962" spans="1:54" ht="15.75" customHeight="1" x14ac:dyDescent="0.25">
      <c r="A962" s="11">
        <f t="shared" si="3"/>
        <v>949</v>
      </c>
      <c r="B962" s="570" t="str">
        <f>'refer admin discharge'!B958</f>
        <v>x</v>
      </c>
      <c r="C962" s="327"/>
      <c r="D962" s="599" t="str">
        <f>'refer admin discharge'!D958</f>
        <v>xx</v>
      </c>
      <c r="E962" s="327"/>
      <c r="F962" s="600" t="str">
        <f>'refer admin discharge'!H958</f>
        <v>00/00/0000</v>
      </c>
      <c r="G962" s="327"/>
      <c r="H962" s="574"/>
      <c r="I962" s="327"/>
      <c r="J962" s="601"/>
      <c r="K962" s="327"/>
      <c r="L962" s="574"/>
      <c r="M962" s="327"/>
      <c r="N962" s="594"/>
      <c r="O962" s="327"/>
      <c r="P962" s="574"/>
      <c r="Q962" s="327"/>
      <c r="R962" s="594"/>
      <c r="S962" s="327"/>
      <c r="T962" s="574"/>
      <c r="U962" s="327"/>
      <c r="V962" s="595" t="str">
        <f>'refer admin discharge'!H963</f>
        <v>00/00/0000</v>
      </c>
      <c r="W962" s="327"/>
      <c r="X962" s="596"/>
      <c r="Y962" s="327"/>
      <c r="Z962" s="597"/>
      <c r="AA962" s="327"/>
      <c r="AB962" s="596"/>
      <c r="AC962" s="327"/>
      <c r="AD962" s="577"/>
      <c r="AE962" s="327"/>
      <c r="AF962" s="596"/>
      <c r="AG962" s="327"/>
      <c r="AH962" s="577"/>
      <c r="AI962" s="327"/>
      <c r="AJ962" s="596"/>
      <c r="AK962" s="327"/>
      <c r="AL962" s="598"/>
      <c r="AM962" s="326"/>
      <c r="AN962" s="326"/>
      <c r="AO962" s="326"/>
      <c r="AP962" s="326"/>
      <c r="AQ962" s="326"/>
      <c r="AR962" s="326"/>
      <c r="AS962" s="326"/>
      <c r="AT962" s="326"/>
      <c r="AU962" s="326"/>
      <c r="AV962" s="326"/>
      <c r="AW962" s="326"/>
      <c r="AX962" s="326"/>
      <c r="AY962" s="326"/>
      <c r="AZ962" s="326"/>
      <c r="BA962" s="326"/>
      <c r="BB962" s="327"/>
    </row>
    <row r="963" spans="1:54" ht="15.75" customHeight="1" x14ac:dyDescent="0.25">
      <c r="A963" s="11">
        <f t="shared" si="3"/>
        <v>950</v>
      </c>
      <c r="B963" s="504" t="str">
        <f>'refer admin discharge'!B959</f>
        <v>x</v>
      </c>
      <c r="C963" s="327"/>
      <c r="D963" s="505" t="str">
        <f>'refer admin discharge'!D959</f>
        <v>xx</v>
      </c>
      <c r="E963" s="327"/>
      <c r="F963" s="606" t="str">
        <f>'refer admin discharge'!H959</f>
        <v>00/00/0000</v>
      </c>
      <c r="G963" s="327"/>
      <c r="H963" s="594"/>
      <c r="I963" s="327"/>
      <c r="J963" s="605"/>
      <c r="K963" s="327"/>
      <c r="L963" s="594"/>
      <c r="M963" s="327"/>
      <c r="N963" s="575"/>
      <c r="O963" s="327"/>
      <c r="P963" s="594"/>
      <c r="Q963" s="327"/>
      <c r="R963" s="575"/>
      <c r="S963" s="327"/>
      <c r="T963" s="594"/>
      <c r="U963" s="327"/>
      <c r="V963" s="595" t="str">
        <f>'refer admin discharge'!H964</f>
        <v>00/00/0000</v>
      </c>
      <c r="W963" s="327"/>
      <c r="X963" s="577"/>
      <c r="Y963" s="327"/>
      <c r="Z963" s="604"/>
      <c r="AA963" s="327"/>
      <c r="AB963" s="577"/>
      <c r="AC963" s="327"/>
      <c r="AD963" s="576"/>
      <c r="AE963" s="327"/>
      <c r="AF963" s="577"/>
      <c r="AG963" s="327"/>
      <c r="AH963" s="576"/>
      <c r="AI963" s="327"/>
      <c r="AJ963" s="577"/>
      <c r="AK963" s="327"/>
      <c r="AL963" s="602"/>
      <c r="AM963" s="326"/>
      <c r="AN963" s="326"/>
      <c r="AO963" s="326"/>
      <c r="AP963" s="326"/>
      <c r="AQ963" s="326"/>
      <c r="AR963" s="326"/>
      <c r="AS963" s="326"/>
      <c r="AT963" s="326"/>
      <c r="AU963" s="326"/>
      <c r="AV963" s="326"/>
      <c r="AW963" s="326"/>
      <c r="AX963" s="326"/>
      <c r="AY963" s="326"/>
      <c r="AZ963" s="326"/>
      <c r="BA963" s="326"/>
      <c r="BB963" s="327"/>
    </row>
    <row r="964" spans="1:54" ht="15.75" customHeight="1" x14ac:dyDescent="0.25">
      <c r="A964" s="11">
        <f t="shared" si="3"/>
        <v>951</v>
      </c>
      <c r="B964" s="570" t="str">
        <f>'refer admin discharge'!B960</f>
        <v>x</v>
      </c>
      <c r="C964" s="327"/>
      <c r="D964" s="599" t="str">
        <f>'refer admin discharge'!D960</f>
        <v>xx</v>
      </c>
      <c r="E964" s="327"/>
      <c r="F964" s="600" t="str">
        <f>'refer admin discharge'!H960</f>
        <v>00/00/0000</v>
      </c>
      <c r="G964" s="327"/>
      <c r="H964" s="574"/>
      <c r="I964" s="327"/>
      <c r="J964" s="601"/>
      <c r="K964" s="327"/>
      <c r="L964" s="574"/>
      <c r="M964" s="327"/>
      <c r="N964" s="594"/>
      <c r="O964" s="327"/>
      <c r="P964" s="574"/>
      <c r="Q964" s="327"/>
      <c r="R964" s="594"/>
      <c r="S964" s="327"/>
      <c r="T964" s="574"/>
      <c r="U964" s="327"/>
      <c r="V964" s="595" t="str">
        <f>'refer admin discharge'!H965</f>
        <v>00/00/0000</v>
      </c>
      <c r="W964" s="327"/>
      <c r="X964" s="596"/>
      <c r="Y964" s="327"/>
      <c r="Z964" s="597"/>
      <c r="AA964" s="327"/>
      <c r="AB964" s="596"/>
      <c r="AC964" s="327"/>
      <c r="AD964" s="577"/>
      <c r="AE964" s="327"/>
      <c r="AF964" s="596"/>
      <c r="AG964" s="327"/>
      <c r="AH964" s="577"/>
      <c r="AI964" s="327"/>
      <c r="AJ964" s="596"/>
      <c r="AK964" s="327"/>
      <c r="AL964" s="598"/>
      <c r="AM964" s="326"/>
      <c r="AN964" s="326"/>
      <c r="AO964" s="326"/>
      <c r="AP964" s="326"/>
      <c r="AQ964" s="326"/>
      <c r="AR964" s="326"/>
      <c r="AS964" s="326"/>
      <c r="AT964" s="326"/>
      <c r="AU964" s="326"/>
      <c r="AV964" s="326"/>
      <c r="AW964" s="326"/>
      <c r="AX964" s="326"/>
      <c r="AY964" s="326"/>
      <c r="AZ964" s="326"/>
      <c r="BA964" s="326"/>
      <c r="BB964" s="327"/>
    </row>
    <row r="965" spans="1:54" ht="15.75" customHeight="1" x14ac:dyDescent="0.25">
      <c r="A965" s="11">
        <f t="shared" si="3"/>
        <v>952</v>
      </c>
      <c r="B965" s="504" t="str">
        <f>'refer admin discharge'!B961</f>
        <v>x</v>
      </c>
      <c r="C965" s="327"/>
      <c r="D965" s="505" t="str">
        <f>'refer admin discharge'!D961</f>
        <v>xx</v>
      </c>
      <c r="E965" s="327"/>
      <c r="F965" s="606" t="str">
        <f>'refer admin discharge'!H961</f>
        <v>00/00/0000</v>
      </c>
      <c r="G965" s="327"/>
      <c r="H965" s="594"/>
      <c r="I965" s="327"/>
      <c r="J965" s="605"/>
      <c r="K965" s="327"/>
      <c r="L965" s="594"/>
      <c r="M965" s="327"/>
      <c r="N965" s="575"/>
      <c r="O965" s="327"/>
      <c r="P965" s="594"/>
      <c r="Q965" s="327"/>
      <c r="R965" s="575"/>
      <c r="S965" s="327"/>
      <c r="T965" s="594"/>
      <c r="U965" s="327"/>
      <c r="V965" s="595" t="str">
        <f>'refer admin discharge'!H966</f>
        <v>00/00/0000</v>
      </c>
      <c r="W965" s="327"/>
      <c r="X965" s="577"/>
      <c r="Y965" s="327"/>
      <c r="Z965" s="604"/>
      <c r="AA965" s="327"/>
      <c r="AB965" s="577"/>
      <c r="AC965" s="327"/>
      <c r="AD965" s="576"/>
      <c r="AE965" s="327"/>
      <c r="AF965" s="577"/>
      <c r="AG965" s="327"/>
      <c r="AH965" s="576"/>
      <c r="AI965" s="327"/>
      <c r="AJ965" s="577"/>
      <c r="AK965" s="327"/>
      <c r="AL965" s="602"/>
      <c r="AM965" s="326"/>
      <c r="AN965" s="326"/>
      <c r="AO965" s="326"/>
      <c r="AP965" s="326"/>
      <c r="AQ965" s="326"/>
      <c r="AR965" s="326"/>
      <c r="AS965" s="326"/>
      <c r="AT965" s="326"/>
      <c r="AU965" s="326"/>
      <c r="AV965" s="326"/>
      <c r="AW965" s="326"/>
      <c r="AX965" s="326"/>
      <c r="AY965" s="326"/>
      <c r="AZ965" s="326"/>
      <c r="BA965" s="326"/>
      <c r="BB965" s="327"/>
    </row>
    <row r="966" spans="1:54" ht="15.75" customHeight="1" x14ac:dyDescent="0.25">
      <c r="A966" s="11">
        <f t="shared" si="3"/>
        <v>953</v>
      </c>
      <c r="B966" s="570" t="str">
        <f>'refer admin discharge'!B962</f>
        <v>x</v>
      </c>
      <c r="C966" s="327"/>
      <c r="D966" s="599" t="str">
        <f>'refer admin discharge'!D962</f>
        <v>xx</v>
      </c>
      <c r="E966" s="327"/>
      <c r="F966" s="600" t="str">
        <f>'refer admin discharge'!H962</f>
        <v>00/00/0000</v>
      </c>
      <c r="G966" s="327"/>
      <c r="H966" s="574"/>
      <c r="I966" s="327"/>
      <c r="J966" s="601"/>
      <c r="K966" s="327"/>
      <c r="L966" s="574"/>
      <c r="M966" s="327"/>
      <c r="N966" s="594"/>
      <c r="O966" s="327"/>
      <c r="P966" s="574"/>
      <c r="Q966" s="327"/>
      <c r="R966" s="594"/>
      <c r="S966" s="327"/>
      <c r="T966" s="574"/>
      <c r="U966" s="327"/>
      <c r="V966" s="595" t="str">
        <f>'refer admin discharge'!H967</f>
        <v>00/00/0000</v>
      </c>
      <c r="W966" s="327"/>
      <c r="X966" s="596"/>
      <c r="Y966" s="327"/>
      <c r="Z966" s="597"/>
      <c r="AA966" s="327"/>
      <c r="AB966" s="596"/>
      <c r="AC966" s="327"/>
      <c r="AD966" s="577"/>
      <c r="AE966" s="327"/>
      <c r="AF966" s="596"/>
      <c r="AG966" s="327"/>
      <c r="AH966" s="577"/>
      <c r="AI966" s="327"/>
      <c r="AJ966" s="596"/>
      <c r="AK966" s="327"/>
      <c r="AL966" s="598"/>
      <c r="AM966" s="326"/>
      <c r="AN966" s="326"/>
      <c r="AO966" s="326"/>
      <c r="AP966" s="326"/>
      <c r="AQ966" s="326"/>
      <c r="AR966" s="326"/>
      <c r="AS966" s="326"/>
      <c r="AT966" s="326"/>
      <c r="AU966" s="326"/>
      <c r="AV966" s="326"/>
      <c r="AW966" s="326"/>
      <c r="AX966" s="326"/>
      <c r="AY966" s="326"/>
      <c r="AZ966" s="326"/>
      <c r="BA966" s="326"/>
      <c r="BB966" s="327"/>
    </row>
    <row r="967" spans="1:54" ht="15.75" customHeight="1" x14ac:dyDescent="0.25">
      <c r="A967" s="11">
        <f t="shared" si="3"/>
        <v>954</v>
      </c>
      <c r="B967" s="504" t="str">
        <f>'refer admin discharge'!B963</f>
        <v>x</v>
      </c>
      <c r="C967" s="327"/>
      <c r="D967" s="505" t="str">
        <f>'refer admin discharge'!D963</f>
        <v>xx</v>
      </c>
      <c r="E967" s="327"/>
      <c r="F967" s="606" t="str">
        <f>'refer admin discharge'!H963</f>
        <v>00/00/0000</v>
      </c>
      <c r="G967" s="327"/>
      <c r="H967" s="594"/>
      <c r="I967" s="327"/>
      <c r="J967" s="605"/>
      <c r="K967" s="327"/>
      <c r="L967" s="594"/>
      <c r="M967" s="327"/>
      <c r="N967" s="575"/>
      <c r="O967" s="327"/>
      <c r="P967" s="594"/>
      <c r="Q967" s="327"/>
      <c r="R967" s="575"/>
      <c r="S967" s="327"/>
      <c r="T967" s="594"/>
      <c r="U967" s="327"/>
      <c r="V967" s="595" t="str">
        <f>'refer admin discharge'!H968</f>
        <v>00/00/0000</v>
      </c>
      <c r="W967" s="327"/>
      <c r="X967" s="577"/>
      <c r="Y967" s="327"/>
      <c r="Z967" s="604"/>
      <c r="AA967" s="327"/>
      <c r="AB967" s="577"/>
      <c r="AC967" s="327"/>
      <c r="AD967" s="576"/>
      <c r="AE967" s="327"/>
      <c r="AF967" s="577"/>
      <c r="AG967" s="327"/>
      <c r="AH967" s="576"/>
      <c r="AI967" s="327"/>
      <c r="AJ967" s="577"/>
      <c r="AK967" s="327"/>
      <c r="AL967" s="602"/>
      <c r="AM967" s="326"/>
      <c r="AN967" s="326"/>
      <c r="AO967" s="326"/>
      <c r="AP967" s="326"/>
      <c r="AQ967" s="326"/>
      <c r="AR967" s="326"/>
      <c r="AS967" s="326"/>
      <c r="AT967" s="326"/>
      <c r="AU967" s="326"/>
      <c r="AV967" s="326"/>
      <c r="AW967" s="326"/>
      <c r="AX967" s="326"/>
      <c r="AY967" s="326"/>
      <c r="AZ967" s="326"/>
      <c r="BA967" s="326"/>
      <c r="BB967" s="327"/>
    </row>
    <row r="968" spans="1:54" ht="15.75" customHeight="1" x14ac:dyDescent="0.25">
      <c r="A968" s="11">
        <f t="shared" si="3"/>
        <v>955</v>
      </c>
      <c r="B968" s="570" t="str">
        <f>'refer admin discharge'!B964</f>
        <v>x</v>
      </c>
      <c r="C968" s="327"/>
      <c r="D968" s="599" t="str">
        <f>'refer admin discharge'!D964</f>
        <v>xx</v>
      </c>
      <c r="E968" s="327"/>
      <c r="F968" s="600" t="str">
        <f>'refer admin discharge'!H964</f>
        <v>00/00/0000</v>
      </c>
      <c r="G968" s="327"/>
      <c r="H968" s="574"/>
      <c r="I968" s="327"/>
      <c r="J968" s="601"/>
      <c r="K968" s="327"/>
      <c r="L968" s="574"/>
      <c r="M968" s="327"/>
      <c r="N968" s="594"/>
      <c r="O968" s="327"/>
      <c r="P968" s="574"/>
      <c r="Q968" s="327"/>
      <c r="R968" s="594"/>
      <c r="S968" s="327"/>
      <c r="T968" s="574"/>
      <c r="U968" s="327"/>
      <c r="V968" s="595" t="str">
        <f>'refer admin discharge'!H969</f>
        <v>00/00/0000</v>
      </c>
      <c r="W968" s="327"/>
      <c r="X968" s="596"/>
      <c r="Y968" s="327"/>
      <c r="Z968" s="597"/>
      <c r="AA968" s="327"/>
      <c r="AB968" s="596"/>
      <c r="AC968" s="327"/>
      <c r="AD968" s="577"/>
      <c r="AE968" s="327"/>
      <c r="AF968" s="596"/>
      <c r="AG968" s="327"/>
      <c r="AH968" s="577"/>
      <c r="AI968" s="327"/>
      <c r="AJ968" s="596"/>
      <c r="AK968" s="327"/>
      <c r="AL968" s="598"/>
      <c r="AM968" s="326"/>
      <c r="AN968" s="326"/>
      <c r="AO968" s="326"/>
      <c r="AP968" s="326"/>
      <c r="AQ968" s="326"/>
      <c r="AR968" s="326"/>
      <c r="AS968" s="326"/>
      <c r="AT968" s="326"/>
      <c r="AU968" s="326"/>
      <c r="AV968" s="326"/>
      <c r="AW968" s="326"/>
      <c r="AX968" s="326"/>
      <c r="AY968" s="326"/>
      <c r="AZ968" s="326"/>
      <c r="BA968" s="326"/>
      <c r="BB968" s="327"/>
    </row>
    <row r="969" spans="1:54" ht="15.75" customHeight="1" x14ac:dyDescent="0.25">
      <c r="A969" s="11">
        <f t="shared" si="3"/>
        <v>956</v>
      </c>
      <c r="B969" s="504" t="str">
        <f>'refer admin discharge'!B965</f>
        <v>x</v>
      </c>
      <c r="C969" s="327"/>
      <c r="D969" s="505" t="str">
        <f>'refer admin discharge'!D965</f>
        <v>xx</v>
      </c>
      <c r="E969" s="327"/>
      <c r="F969" s="606" t="str">
        <f>'refer admin discharge'!H965</f>
        <v>00/00/0000</v>
      </c>
      <c r="G969" s="327"/>
      <c r="H969" s="594"/>
      <c r="I969" s="327"/>
      <c r="J969" s="605"/>
      <c r="K969" s="327"/>
      <c r="L969" s="594"/>
      <c r="M969" s="327"/>
      <c r="N969" s="575"/>
      <c r="O969" s="327"/>
      <c r="P969" s="594"/>
      <c r="Q969" s="327"/>
      <c r="R969" s="575"/>
      <c r="S969" s="327"/>
      <c r="T969" s="594"/>
      <c r="U969" s="327"/>
      <c r="V969" s="595" t="str">
        <f>'refer admin discharge'!H970</f>
        <v>00/00/0000</v>
      </c>
      <c r="W969" s="327"/>
      <c r="X969" s="577"/>
      <c r="Y969" s="327"/>
      <c r="Z969" s="604"/>
      <c r="AA969" s="327"/>
      <c r="AB969" s="577"/>
      <c r="AC969" s="327"/>
      <c r="AD969" s="576"/>
      <c r="AE969" s="327"/>
      <c r="AF969" s="577"/>
      <c r="AG969" s="327"/>
      <c r="AH969" s="576"/>
      <c r="AI969" s="327"/>
      <c r="AJ969" s="577"/>
      <c r="AK969" s="327"/>
      <c r="AL969" s="602"/>
      <c r="AM969" s="326"/>
      <c r="AN969" s="326"/>
      <c r="AO969" s="326"/>
      <c r="AP969" s="326"/>
      <c r="AQ969" s="326"/>
      <c r="AR969" s="326"/>
      <c r="AS969" s="326"/>
      <c r="AT969" s="326"/>
      <c r="AU969" s="326"/>
      <c r="AV969" s="326"/>
      <c r="AW969" s="326"/>
      <c r="AX969" s="326"/>
      <c r="AY969" s="326"/>
      <c r="AZ969" s="326"/>
      <c r="BA969" s="326"/>
      <c r="BB969" s="327"/>
    </row>
    <row r="970" spans="1:54" ht="15.75" customHeight="1" x14ac:dyDescent="0.25">
      <c r="A970" s="11">
        <f t="shared" si="3"/>
        <v>957</v>
      </c>
      <c r="B970" s="570" t="str">
        <f>'refer admin discharge'!B966</f>
        <v>x</v>
      </c>
      <c r="C970" s="327"/>
      <c r="D970" s="599" t="str">
        <f>'refer admin discharge'!D966</f>
        <v>xx</v>
      </c>
      <c r="E970" s="327"/>
      <c r="F970" s="600" t="str">
        <f>'refer admin discharge'!H966</f>
        <v>00/00/0000</v>
      </c>
      <c r="G970" s="327"/>
      <c r="H970" s="574"/>
      <c r="I970" s="327"/>
      <c r="J970" s="601"/>
      <c r="K970" s="327"/>
      <c r="L970" s="574"/>
      <c r="M970" s="327"/>
      <c r="N970" s="594"/>
      <c r="O970" s="327"/>
      <c r="P970" s="574"/>
      <c r="Q970" s="327"/>
      <c r="R970" s="594"/>
      <c r="S970" s="327"/>
      <c r="T970" s="574"/>
      <c r="U970" s="327"/>
      <c r="V970" s="595" t="str">
        <f>'refer admin discharge'!H971</f>
        <v>00/00/0000</v>
      </c>
      <c r="W970" s="327"/>
      <c r="X970" s="596"/>
      <c r="Y970" s="327"/>
      <c r="Z970" s="597"/>
      <c r="AA970" s="327"/>
      <c r="AB970" s="596"/>
      <c r="AC970" s="327"/>
      <c r="AD970" s="577"/>
      <c r="AE970" s="327"/>
      <c r="AF970" s="596"/>
      <c r="AG970" s="327"/>
      <c r="AH970" s="577"/>
      <c r="AI970" s="327"/>
      <c r="AJ970" s="596"/>
      <c r="AK970" s="327"/>
      <c r="AL970" s="598"/>
      <c r="AM970" s="326"/>
      <c r="AN970" s="326"/>
      <c r="AO970" s="326"/>
      <c r="AP970" s="326"/>
      <c r="AQ970" s="326"/>
      <c r="AR970" s="326"/>
      <c r="AS970" s="326"/>
      <c r="AT970" s="326"/>
      <c r="AU970" s="326"/>
      <c r="AV970" s="326"/>
      <c r="AW970" s="326"/>
      <c r="AX970" s="326"/>
      <c r="AY970" s="326"/>
      <c r="AZ970" s="326"/>
      <c r="BA970" s="326"/>
      <c r="BB970" s="327"/>
    </row>
    <row r="971" spans="1:54" ht="15.75" customHeight="1" x14ac:dyDescent="0.25">
      <c r="A971" s="11">
        <f t="shared" si="3"/>
        <v>958</v>
      </c>
      <c r="B971" s="504" t="str">
        <f>'refer admin discharge'!B967</f>
        <v>x</v>
      </c>
      <c r="C971" s="327"/>
      <c r="D971" s="505" t="str">
        <f>'refer admin discharge'!D967</f>
        <v>xx</v>
      </c>
      <c r="E971" s="327"/>
      <c r="F971" s="606" t="str">
        <f>'refer admin discharge'!H967</f>
        <v>00/00/0000</v>
      </c>
      <c r="G971" s="327"/>
      <c r="H971" s="594"/>
      <c r="I971" s="327"/>
      <c r="J971" s="605"/>
      <c r="K971" s="327"/>
      <c r="L971" s="594"/>
      <c r="M971" s="327"/>
      <c r="N971" s="575"/>
      <c r="O971" s="327"/>
      <c r="P971" s="594"/>
      <c r="Q971" s="327"/>
      <c r="R971" s="575"/>
      <c r="S971" s="327"/>
      <c r="T971" s="594"/>
      <c r="U971" s="327"/>
      <c r="V971" s="595" t="str">
        <f>'refer admin discharge'!H972</f>
        <v>00/00/0000</v>
      </c>
      <c r="W971" s="327"/>
      <c r="X971" s="577"/>
      <c r="Y971" s="327"/>
      <c r="Z971" s="604"/>
      <c r="AA971" s="327"/>
      <c r="AB971" s="577"/>
      <c r="AC971" s="327"/>
      <c r="AD971" s="576"/>
      <c r="AE971" s="327"/>
      <c r="AF971" s="577"/>
      <c r="AG971" s="327"/>
      <c r="AH971" s="576"/>
      <c r="AI971" s="327"/>
      <c r="AJ971" s="577"/>
      <c r="AK971" s="327"/>
      <c r="AL971" s="602"/>
      <c r="AM971" s="326"/>
      <c r="AN971" s="326"/>
      <c r="AO971" s="326"/>
      <c r="AP971" s="326"/>
      <c r="AQ971" s="326"/>
      <c r="AR971" s="326"/>
      <c r="AS971" s="326"/>
      <c r="AT971" s="326"/>
      <c r="AU971" s="326"/>
      <c r="AV971" s="326"/>
      <c r="AW971" s="326"/>
      <c r="AX971" s="326"/>
      <c r="AY971" s="326"/>
      <c r="AZ971" s="326"/>
      <c r="BA971" s="326"/>
      <c r="BB971" s="327"/>
    </row>
    <row r="972" spans="1:54" ht="15.75" customHeight="1" x14ac:dyDescent="0.25">
      <c r="A972" s="11">
        <f t="shared" si="3"/>
        <v>959</v>
      </c>
      <c r="B972" s="570" t="str">
        <f>'refer admin discharge'!B968</f>
        <v>x</v>
      </c>
      <c r="C972" s="327"/>
      <c r="D972" s="599" t="str">
        <f>'refer admin discharge'!D968</f>
        <v>xx</v>
      </c>
      <c r="E972" s="327"/>
      <c r="F972" s="600" t="str">
        <f>'refer admin discharge'!H968</f>
        <v>00/00/0000</v>
      </c>
      <c r="G972" s="327"/>
      <c r="H972" s="574"/>
      <c r="I972" s="327"/>
      <c r="J972" s="601"/>
      <c r="K972" s="327"/>
      <c r="L972" s="574"/>
      <c r="M972" s="327"/>
      <c r="N972" s="594"/>
      <c r="O972" s="327"/>
      <c r="P972" s="574"/>
      <c r="Q972" s="327"/>
      <c r="R972" s="594"/>
      <c r="S972" s="327"/>
      <c r="T972" s="574"/>
      <c r="U972" s="327"/>
      <c r="V972" s="595" t="str">
        <f>'refer admin discharge'!H973</f>
        <v>00/00/0000</v>
      </c>
      <c r="W972" s="327"/>
      <c r="X972" s="596"/>
      <c r="Y972" s="327"/>
      <c r="Z972" s="597"/>
      <c r="AA972" s="327"/>
      <c r="AB972" s="596"/>
      <c r="AC972" s="327"/>
      <c r="AD972" s="577"/>
      <c r="AE972" s="327"/>
      <c r="AF972" s="596"/>
      <c r="AG972" s="327"/>
      <c r="AH972" s="577"/>
      <c r="AI972" s="327"/>
      <c r="AJ972" s="596"/>
      <c r="AK972" s="327"/>
      <c r="AL972" s="598"/>
      <c r="AM972" s="326"/>
      <c r="AN972" s="326"/>
      <c r="AO972" s="326"/>
      <c r="AP972" s="326"/>
      <c r="AQ972" s="326"/>
      <c r="AR972" s="326"/>
      <c r="AS972" s="326"/>
      <c r="AT972" s="326"/>
      <c r="AU972" s="326"/>
      <c r="AV972" s="326"/>
      <c r="AW972" s="326"/>
      <c r="AX972" s="326"/>
      <c r="AY972" s="326"/>
      <c r="AZ972" s="326"/>
      <c r="BA972" s="326"/>
      <c r="BB972" s="327"/>
    </row>
    <row r="973" spans="1:54" ht="15.75" customHeight="1" x14ac:dyDescent="0.25">
      <c r="A973" s="11">
        <f t="shared" si="3"/>
        <v>960</v>
      </c>
      <c r="B973" s="504" t="str">
        <f>'refer admin discharge'!B969</f>
        <v>x</v>
      </c>
      <c r="C973" s="327"/>
      <c r="D973" s="505" t="str">
        <f>'refer admin discharge'!D969</f>
        <v>xx</v>
      </c>
      <c r="E973" s="327"/>
      <c r="F973" s="606" t="str">
        <f>'refer admin discharge'!H969</f>
        <v>00/00/0000</v>
      </c>
      <c r="G973" s="327"/>
      <c r="H973" s="594"/>
      <c r="I973" s="327"/>
      <c r="J973" s="605"/>
      <c r="K973" s="327"/>
      <c r="L973" s="594"/>
      <c r="M973" s="327"/>
      <c r="N973" s="575"/>
      <c r="O973" s="327"/>
      <c r="P973" s="594"/>
      <c r="Q973" s="327"/>
      <c r="R973" s="575"/>
      <c r="S973" s="327"/>
      <c r="T973" s="594"/>
      <c r="U973" s="327"/>
      <c r="V973" s="595" t="str">
        <f>'refer admin discharge'!H974</f>
        <v>00/00/0000</v>
      </c>
      <c r="W973" s="327"/>
      <c r="X973" s="577"/>
      <c r="Y973" s="327"/>
      <c r="Z973" s="604"/>
      <c r="AA973" s="327"/>
      <c r="AB973" s="577"/>
      <c r="AC973" s="327"/>
      <c r="AD973" s="576"/>
      <c r="AE973" s="327"/>
      <c r="AF973" s="577"/>
      <c r="AG973" s="327"/>
      <c r="AH973" s="576"/>
      <c r="AI973" s="327"/>
      <c r="AJ973" s="577"/>
      <c r="AK973" s="327"/>
      <c r="AL973" s="602"/>
      <c r="AM973" s="326"/>
      <c r="AN973" s="326"/>
      <c r="AO973" s="326"/>
      <c r="AP973" s="326"/>
      <c r="AQ973" s="326"/>
      <c r="AR973" s="326"/>
      <c r="AS973" s="326"/>
      <c r="AT973" s="326"/>
      <c r="AU973" s="326"/>
      <c r="AV973" s="326"/>
      <c r="AW973" s="326"/>
      <c r="AX973" s="326"/>
      <c r="AY973" s="326"/>
      <c r="AZ973" s="326"/>
      <c r="BA973" s="326"/>
      <c r="BB973" s="327"/>
    </row>
    <row r="974" spans="1:54" ht="15.75" customHeight="1" x14ac:dyDescent="0.25">
      <c r="A974" s="11">
        <f t="shared" si="3"/>
        <v>961</v>
      </c>
      <c r="B974" s="570" t="str">
        <f>'refer admin discharge'!B970</f>
        <v>x</v>
      </c>
      <c r="C974" s="327"/>
      <c r="D974" s="599" t="str">
        <f>'refer admin discharge'!D970</f>
        <v>xx</v>
      </c>
      <c r="E974" s="327"/>
      <c r="F974" s="600" t="str">
        <f>'refer admin discharge'!H970</f>
        <v>00/00/0000</v>
      </c>
      <c r="G974" s="327"/>
      <c r="H974" s="574"/>
      <c r="I974" s="327"/>
      <c r="J974" s="601"/>
      <c r="K974" s="327"/>
      <c r="L974" s="574"/>
      <c r="M974" s="327"/>
      <c r="N974" s="594"/>
      <c r="O974" s="327"/>
      <c r="P974" s="574"/>
      <c r="Q974" s="327"/>
      <c r="R974" s="594"/>
      <c r="S974" s="327"/>
      <c r="T974" s="574"/>
      <c r="U974" s="327"/>
      <c r="V974" s="595" t="str">
        <f>'refer admin discharge'!H975</f>
        <v>00/00/0000</v>
      </c>
      <c r="W974" s="327"/>
      <c r="X974" s="596"/>
      <c r="Y974" s="327"/>
      <c r="Z974" s="597"/>
      <c r="AA974" s="327"/>
      <c r="AB974" s="596"/>
      <c r="AC974" s="327"/>
      <c r="AD974" s="577"/>
      <c r="AE974" s="327"/>
      <c r="AF974" s="596"/>
      <c r="AG974" s="327"/>
      <c r="AH974" s="577"/>
      <c r="AI974" s="327"/>
      <c r="AJ974" s="596"/>
      <c r="AK974" s="327"/>
      <c r="AL974" s="598"/>
      <c r="AM974" s="326"/>
      <c r="AN974" s="326"/>
      <c r="AO974" s="326"/>
      <c r="AP974" s="326"/>
      <c r="AQ974" s="326"/>
      <c r="AR974" s="326"/>
      <c r="AS974" s="326"/>
      <c r="AT974" s="326"/>
      <c r="AU974" s="326"/>
      <c r="AV974" s="326"/>
      <c r="AW974" s="326"/>
      <c r="AX974" s="326"/>
      <c r="AY974" s="326"/>
      <c r="AZ974" s="326"/>
      <c r="BA974" s="326"/>
      <c r="BB974" s="327"/>
    </row>
    <row r="975" spans="1:54" ht="15.75" customHeight="1" x14ac:dyDescent="0.25">
      <c r="A975" s="11">
        <f t="shared" si="3"/>
        <v>962</v>
      </c>
      <c r="B975" s="504" t="str">
        <f>'refer admin discharge'!B971</f>
        <v>x</v>
      </c>
      <c r="C975" s="327"/>
      <c r="D975" s="505" t="str">
        <f>'refer admin discharge'!D971</f>
        <v>xx</v>
      </c>
      <c r="E975" s="327"/>
      <c r="F975" s="606" t="str">
        <f>'refer admin discharge'!H971</f>
        <v>00/00/0000</v>
      </c>
      <c r="G975" s="327"/>
      <c r="H975" s="594"/>
      <c r="I975" s="327"/>
      <c r="J975" s="605"/>
      <c r="K975" s="327"/>
      <c r="L975" s="594"/>
      <c r="M975" s="327"/>
      <c r="N975" s="575"/>
      <c r="O975" s="327"/>
      <c r="P975" s="594"/>
      <c r="Q975" s="327"/>
      <c r="R975" s="575"/>
      <c r="S975" s="327"/>
      <c r="T975" s="594"/>
      <c r="U975" s="327"/>
      <c r="V975" s="595" t="str">
        <f>'refer admin discharge'!H976</f>
        <v>00/00/0000</v>
      </c>
      <c r="W975" s="327"/>
      <c r="X975" s="577"/>
      <c r="Y975" s="327"/>
      <c r="Z975" s="604"/>
      <c r="AA975" s="327"/>
      <c r="AB975" s="577"/>
      <c r="AC975" s="327"/>
      <c r="AD975" s="576"/>
      <c r="AE975" s="327"/>
      <c r="AF975" s="577"/>
      <c r="AG975" s="327"/>
      <c r="AH975" s="576"/>
      <c r="AI975" s="327"/>
      <c r="AJ975" s="577"/>
      <c r="AK975" s="327"/>
      <c r="AL975" s="602"/>
      <c r="AM975" s="326"/>
      <c r="AN975" s="326"/>
      <c r="AO975" s="326"/>
      <c r="AP975" s="326"/>
      <c r="AQ975" s="326"/>
      <c r="AR975" s="326"/>
      <c r="AS975" s="326"/>
      <c r="AT975" s="326"/>
      <c r="AU975" s="326"/>
      <c r="AV975" s="326"/>
      <c r="AW975" s="326"/>
      <c r="AX975" s="326"/>
      <c r="AY975" s="326"/>
      <c r="AZ975" s="326"/>
      <c r="BA975" s="326"/>
      <c r="BB975" s="327"/>
    </row>
    <row r="976" spans="1:54" ht="15.75" customHeight="1" x14ac:dyDescent="0.25">
      <c r="A976" s="11">
        <f t="shared" si="3"/>
        <v>963</v>
      </c>
      <c r="B976" s="570" t="str">
        <f>'refer admin discharge'!B972</f>
        <v>x</v>
      </c>
      <c r="C976" s="327"/>
      <c r="D976" s="599" t="str">
        <f>'refer admin discharge'!D972</f>
        <v>xx</v>
      </c>
      <c r="E976" s="327"/>
      <c r="F976" s="600" t="str">
        <f>'refer admin discharge'!H972</f>
        <v>00/00/0000</v>
      </c>
      <c r="G976" s="327"/>
      <c r="H976" s="574"/>
      <c r="I976" s="327"/>
      <c r="J976" s="601"/>
      <c r="K976" s="327"/>
      <c r="L976" s="574"/>
      <c r="M976" s="327"/>
      <c r="N976" s="594"/>
      <c r="O976" s="327"/>
      <c r="P976" s="574"/>
      <c r="Q976" s="327"/>
      <c r="R976" s="594"/>
      <c r="S976" s="327"/>
      <c r="T976" s="574"/>
      <c r="U976" s="327"/>
      <c r="V976" s="595" t="str">
        <f>'refer admin discharge'!H977</f>
        <v>00/00/0000</v>
      </c>
      <c r="W976" s="327"/>
      <c r="X976" s="596"/>
      <c r="Y976" s="327"/>
      <c r="Z976" s="597"/>
      <c r="AA976" s="327"/>
      <c r="AB976" s="596"/>
      <c r="AC976" s="327"/>
      <c r="AD976" s="577"/>
      <c r="AE976" s="327"/>
      <c r="AF976" s="596"/>
      <c r="AG976" s="327"/>
      <c r="AH976" s="577"/>
      <c r="AI976" s="327"/>
      <c r="AJ976" s="596"/>
      <c r="AK976" s="327"/>
      <c r="AL976" s="598"/>
      <c r="AM976" s="326"/>
      <c r="AN976" s="326"/>
      <c r="AO976" s="326"/>
      <c r="AP976" s="326"/>
      <c r="AQ976" s="326"/>
      <c r="AR976" s="326"/>
      <c r="AS976" s="326"/>
      <c r="AT976" s="326"/>
      <c r="AU976" s="326"/>
      <c r="AV976" s="326"/>
      <c r="AW976" s="326"/>
      <c r="AX976" s="326"/>
      <c r="AY976" s="326"/>
      <c r="AZ976" s="326"/>
      <c r="BA976" s="326"/>
      <c r="BB976" s="327"/>
    </row>
    <row r="977" spans="1:54" ht="15.75" customHeight="1" x14ac:dyDescent="0.25">
      <c r="A977" s="11">
        <f t="shared" si="3"/>
        <v>964</v>
      </c>
      <c r="B977" s="504" t="str">
        <f>'refer admin discharge'!B973</f>
        <v>x</v>
      </c>
      <c r="C977" s="327"/>
      <c r="D977" s="505" t="str">
        <f>'refer admin discharge'!D973</f>
        <v>xx</v>
      </c>
      <c r="E977" s="327"/>
      <c r="F977" s="606" t="str">
        <f>'refer admin discharge'!H973</f>
        <v>00/00/0000</v>
      </c>
      <c r="G977" s="327"/>
      <c r="H977" s="594"/>
      <c r="I977" s="327"/>
      <c r="J977" s="605"/>
      <c r="K977" s="327"/>
      <c r="L977" s="594"/>
      <c r="M977" s="327"/>
      <c r="N977" s="575"/>
      <c r="O977" s="327"/>
      <c r="P977" s="594"/>
      <c r="Q977" s="327"/>
      <c r="R977" s="575"/>
      <c r="S977" s="327"/>
      <c r="T977" s="594"/>
      <c r="U977" s="327"/>
      <c r="V977" s="595" t="str">
        <f>'refer admin discharge'!H978</f>
        <v>00/00/0000</v>
      </c>
      <c r="W977" s="327"/>
      <c r="X977" s="577"/>
      <c r="Y977" s="327"/>
      <c r="Z977" s="604"/>
      <c r="AA977" s="327"/>
      <c r="AB977" s="577"/>
      <c r="AC977" s="327"/>
      <c r="AD977" s="576"/>
      <c r="AE977" s="327"/>
      <c r="AF977" s="577"/>
      <c r="AG977" s="327"/>
      <c r="AH977" s="576"/>
      <c r="AI977" s="327"/>
      <c r="AJ977" s="577"/>
      <c r="AK977" s="327"/>
      <c r="AL977" s="602"/>
      <c r="AM977" s="326"/>
      <c r="AN977" s="326"/>
      <c r="AO977" s="326"/>
      <c r="AP977" s="326"/>
      <c r="AQ977" s="326"/>
      <c r="AR977" s="326"/>
      <c r="AS977" s="326"/>
      <c r="AT977" s="326"/>
      <c r="AU977" s="326"/>
      <c r="AV977" s="326"/>
      <c r="AW977" s="326"/>
      <c r="AX977" s="326"/>
      <c r="AY977" s="326"/>
      <c r="AZ977" s="326"/>
      <c r="BA977" s="326"/>
      <c r="BB977" s="327"/>
    </row>
    <row r="978" spans="1:54" ht="15.75" customHeight="1" x14ac:dyDescent="0.25">
      <c r="A978" s="11">
        <f t="shared" si="3"/>
        <v>965</v>
      </c>
      <c r="B978" s="570" t="str">
        <f>'refer admin discharge'!B974</f>
        <v>x</v>
      </c>
      <c r="C978" s="327"/>
      <c r="D978" s="599" t="str">
        <f>'refer admin discharge'!D974</f>
        <v>xx</v>
      </c>
      <c r="E978" s="327"/>
      <c r="F978" s="600" t="str">
        <f>'refer admin discharge'!H974</f>
        <v>00/00/0000</v>
      </c>
      <c r="G978" s="327"/>
      <c r="H978" s="574"/>
      <c r="I978" s="327"/>
      <c r="J978" s="601"/>
      <c r="K978" s="327"/>
      <c r="L978" s="574"/>
      <c r="M978" s="327"/>
      <c r="N978" s="594"/>
      <c r="O978" s="327"/>
      <c r="P978" s="574"/>
      <c r="Q978" s="327"/>
      <c r="R978" s="594"/>
      <c r="S978" s="327"/>
      <c r="T978" s="574"/>
      <c r="U978" s="327"/>
      <c r="V978" s="595" t="str">
        <f>'refer admin discharge'!H979</f>
        <v>00/00/0000</v>
      </c>
      <c r="W978" s="327"/>
      <c r="X978" s="596"/>
      <c r="Y978" s="327"/>
      <c r="Z978" s="597"/>
      <c r="AA978" s="327"/>
      <c r="AB978" s="596"/>
      <c r="AC978" s="327"/>
      <c r="AD978" s="577"/>
      <c r="AE978" s="327"/>
      <c r="AF978" s="596"/>
      <c r="AG978" s="327"/>
      <c r="AH978" s="577"/>
      <c r="AI978" s="327"/>
      <c r="AJ978" s="596"/>
      <c r="AK978" s="327"/>
      <c r="AL978" s="598"/>
      <c r="AM978" s="326"/>
      <c r="AN978" s="326"/>
      <c r="AO978" s="326"/>
      <c r="AP978" s="326"/>
      <c r="AQ978" s="326"/>
      <c r="AR978" s="326"/>
      <c r="AS978" s="326"/>
      <c r="AT978" s="326"/>
      <c r="AU978" s="326"/>
      <c r="AV978" s="326"/>
      <c r="AW978" s="326"/>
      <c r="AX978" s="326"/>
      <c r="AY978" s="326"/>
      <c r="AZ978" s="326"/>
      <c r="BA978" s="326"/>
      <c r="BB978" s="327"/>
    </row>
    <row r="979" spans="1:54" ht="15.75" customHeight="1" x14ac:dyDescent="0.25">
      <c r="A979" s="11">
        <f t="shared" si="3"/>
        <v>966</v>
      </c>
      <c r="B979" s="504" t="str">
        <f>'refer admin discharge'!B975</f>
        <v>x</v>
      </c>
      <c r="C979" s="327"/>
      <c r="D979" s="505" t="str">
        <f>'refer admin discharge'!D975</f>
        <v>xx</v>
      </c>
      <c r="E979" s="327"/>
      <c r="F979" s="606" t="str">
        <f>'refer admin discharge'!H975</f>
        <v>00/00/0000</v>
      </c>
      <c r="G979" s="327"/>
      <c r="H979" s="594"/>
      <c r="I979" s="327"/>
      <c r="J979" s="605"/>
      <c r="K979" s="327"/>
      <c r="L979" s="594"/>
      <c r="M979" s="327"/>
      <c r="N979" s="575"/>
      <c r="O979" s="327"/>
      <c r="P979" s="594"/>
      <c r="Q979" s="327"/>
      <c r="R979" s="575"/>
      <c r="S979" s="327"/>
      <c r="T979" s="594"/>
      <c r="U979" s="327"/>
      <c r="V979" s="595" t="str">
        <f>'refer admin discharge'!H980</f>
        <v>00/00/0000</v>
      </c>
      <c r="W979" s="327"/>
      <c r="X979" s="577"/>
      <c r="Y979" s="327"/>
      <c r="Z979" s="604"/>
      <c r="AA979" s="327"/>
      <c r="AB979" s="577"/>
      <c r="AC979" s="327"/>
      <c r="AD979" s="576"/>
      <c r="AE979" s="327"/>
      <c r="AF979" s="577"/>
      <c r="AG979" s="327"/>
      <c r="AH979" s="576"/>
      <c r="AI979" s="327"/>
      <c r="AJ979" s="577"/>
      <c r="AK979" s="327"/>
      <c r="AL979" s="602"/>
      <c r="AM979" s="326"/>
      <c r="AN979" s="326"/>
      <c r="AO979" s="326"/>
      <c r="AP979" s="326"/>
      <c r="AQ979" s="326"/>
      <c r="AR979" s="326"/>
      <c r="AS979" s="326"/>
      <c r="AT979" s="326"/>
      <c r="AU979" s="326"/>
      <c r="AV979" s="326"/>
      <c r="AW979" s="326"/>
      <c r="AX979" s="326"/>
      <c r="AY979" s="326"/>
      <c r="AZ979" s="326"/>
      <c r="BA979" s="326"/>
      <c r="BB979" s="327"/>
    </row>
    <row r="980" spans="1:54" ht="15.75" customHeight="1" x14ac:dyDescent="0.25">
      <c r="A980" s="11">
        <f t="shared" si="3"/>
        <v>967</v>
      </c>
      <c r="B980" s="570" t="str">
        <f>'refer admin discharge'!B976</f>
        <v>x</v>
      </c>
      <c r="C980" s="327"/>
      <c r="D980" s="599" t="str">
        <f>'refer admin discharge'!D976</f>
        <v>xx</v>
      </c>
      <c r="E980" s="327"/>
      <c r="F980" s="600" t="str">
        <f>'refer admin discharge'!H976</f>
        <v>00/00/0000</v>
      </c>
      <c r="G980" s="327"/>
      <c r="H980" s="574"/>
      <c r="I980" s="327"/>
      <c r="J980" s="601"/>
      <c r="K980" s="327"/>
      <c r="L980" s="574"/>
      <c r="M980" s="327"/>
      <c r="N980" s="594"/>
      <c r="O980" s="327"/>
      <c r="P980" s="574"/>
      <c r="Q980" s="327"/>
      <c r="R980" s="594"/>
      <c r="S980" s="327"/>
      <c r="T980" s="574"/>
      <c r="U980" s="327"/>
      <c r="V980" s="595" t="str">
        <f>'refer admin discharge'!H981</f>
        <v>00/00/0000</v>
      </c>
      <c r="W980" s="327"/>
      <c r="X980" s="596"/>
      <c r="Y980" s="327"/>
      <c r="Z980" s="597"/>
      <c r="AA980" s="327"/>
      <c r="AB980" s="596"/>
      <c r="AC980" s="327"/>
      <c r="AD980" s="577"/>
      <c r="AE980" s="327"/>
      <c r="AF980" s="596"/>
      <c r="AG980" s="327"/>
      <c r="AH980" s="577"/>
      <c r="AI980" s="327"/>
      <c r="AJ980" s="596"/>
      <c r="AK980" s="327"/>
      <c r="AL980" s="598"/>
      <c r="AM980" s="326"/>
      <c r="AN980" s="326"/>
      <c r="AO980" s="326"/>
      <c r="AP980" s="326"/>
      <c r="AQ980" s="326"/>
      <c r="AR980" s="326"/>
      <c r="AS980" s="326"/>
      <c r="AT980" s="326"/>
      <c r="AU980" s="326"/>
      <c r="AV980" s="326"/>
      <c r="AW980" s="326"/>
      <c r="AX980" s="326"/>
      <c r="AY980" s="326"/>
      <c r="AZ980" s="326"/>
      <c r="BA980" s="326"/>
      <c r="BB980" s="327"/>
    </row>
    <row r="981" spans="1:54" ht="15.75" customHeight="1" x14ac:dyDescent="0.25">
      <c r="A981" s="11">
        <f t="shared" si="3"/>
        <v>968</v>
      </c>
      <c r="B981" s="504" t="str">
        <f>'refer admin discharge'!B977</f>
        <v>x</v>
      </c>
      <c r="C981" s="327"/>
      <c r="D981" s="505" t="str">
        <f>'refer admin discharge'!D977</f>
        <v>xx</v>
      </c>
      <c r="E981" s="327"/>
      <c r="F981" s="606" t="str">
        <f>'refer admin discharge'!H977</f>
        <v>00/00/0000</v>
      </c>
      <c r="G981" s="327"/>
      <c r="H981" s="594"/>
      <c r="I981" s="327"/>
      <c r="J981" s="605"/>
      <c r="K981" s="327"/>
      <c r="L981" s="594"/>
      <c r="M981" s="327"/>
      <c r="N981" s="575"/>
      <c r="O981" s="327"/>
      <c r="P981" s="594"/>
      <c r="Q981" s="327"/>
      <c r="R981" s="575"/>
      <c r="S981" s="327"/>
      <c r="T981" s="594"/>
      <c r="U981" s="327"/>
      <c r="V981" s="595" t="str">
        <f>'refer admin discharge'!H982</f>
        <v>00/00/0000</v>
      </c>
      <c r="W981" s="327"/>
      <c r="X981" s="577"/>
      <c r="Y981" s="327"/>
      <c r="Z981" s="604"/>
      <c r="AA981" s="327"/>
      <c r="AB981" s="577"/>
      <c r="AC981" s="327"/>
      <c r="AD981" s="576"/>
      <c r="AE981" s="327"/>
      <c r="AF981" s="577"/>
      <c r="AG981" s="327"/>
      <c r="AH981" s="576"/>
      <c r="AI981" s="327"/>
      <c r="AJ981" s="577"/>
      <c r="AK981" s="327"/>
      <c r="AL981" s="602"/>
      <c r="AM981" s="326"/>
      <c r="AN981" s="326"/>
      <c r="AO981" s="326"/>
      <c r="AP981" s="326"/>
      <c r="AQ981" s="326"/>
      <c r="AR981" s="326"/>
      <c r="AS981" s="326"/>
      <c r="AT981" s="326"/>
      <c r="AU981" s="326"/>
      <c r="AV981" s="326"/>
      <c r="AW981" s="326"/>
      <c r="AX981" s="326"/>
      <c r="AY981" s="326"/>
      <c r="AZ981" s="326"/>
      <c r="BA981" s="326"/>
      <c r="BB981" s="327"/>
    </row>
    <row r="982" spans="1:54" ht="15.75" customHeight="1" x14ac:dyDescent="0.25">
      <c r="A982" s="11">
        <f t="shared" si="3"/>
        <v>969</v>
      </c>
      <c r="B982" s="570" t="str">
        <f>'refer admin discharge'!B978</f>
        <v>x</v>
      </c>
      <c r="C982" s="327"/>
      <c r="D982" s="599" t="str">
        <f>'refer admin discharge'!D978</f>
        <v>xx</v>
      </c>
      <c r="E982" s="327"/>
      <c r="F982" s="600" t="str">
        <f>'refer admin discharge'!H978</f>
        <v>00/00/0000</v>
      </c>
      <c r="G982" s="327"/>
      <c r="H982" s="574"/>
      <c r="I982" s="327"/>
      <c r="J982" s="601"/>
      <c r="K982" s="327"/>
      <c r="L982" s="574"/>
      <c r="M982" s="327"/>
      <c r="N982" s="594"/>
      <c r="O982" s="327"/>
      <c r="P982" s="574"/>
      <c r="Q982" s="327"/>
      <c r="R982" s="594"/>
      <c r="S982" s="327"/>
      <c r="T982" s="574"/>
      <c r="U982" s="327"/>
      <c r="V982" s="595" t="str">
        <f>'refer admin discharge'!H983</f>
        <v>00/00/0000</v>
      </c>
      <c r="W982" s="327"/>
      <c r="X982" s="596"/>
      <c r="Y982" s="327"/>
      <c r="Z982" s="597"/>
      <c r="AA982" s="327"/>
      <c r="AB982" s="596"/>
      <c r="AC982" s="327"/>
      <c r="AD982" s="577"/>
      <c r="AE982" s="327"/>
      <c r="AF982" s="596"/>
      <c r="AG982" s="327"/>
      <c r="AH982" s="577"/>
      <c r="AI982" s="327"/>
      <c r="AJ982" s="596"/>
      <c r="AK982" s="327"/>
      <c r="AL982" s="598"/>
      <c r="AM982" s="326"/>
      <c r="AN982" s="326"/>
      <c r="AO982" s="326"/>
      <c r="AP982" s="326"/>
      <c r="AQ982" s="326"/>
      <c r="AR982" s="326"/>
      <c r="AS982" s="326"/>
      <c r="AT982" s="326"/>
      <c r="AU982" s="326"/>
      <c r="AV982" s="326"/>
      <c r="AW982" s="326"/>
      <c r="AX982" s="326"/>
      <c r="AY982" s="326"/>
      <c r="AZ982" s="326"/>
      <c r="BA982" s="326"/>
      <c r="BB982" s="327"/>
    </row>
    <row r="983" spans="1:54" ht="15.75" customHeight="1" x14ac:dyDescent="0.25">
      <c r="A983" s="11">
        <f t="shared" si="3"/>
        <v>970</v>
      </c>
      <c r="B983" s="504" t="str">
        <f>'refer admin discharge'!B979</f>
        <v>x</v>
      </c>
      <c r="C983" s="327"/>
      <c r="D983" s="505" t="str">
        <f>'refer admin discharge'!D979</f>
        <v>xx</v>
      </c>
      <c r="E983" s="327"/>
      <c r="F983" s="606" t="str">
        <f>'refer admin discharge'!H979</f>
        <v>00/00/0000</v>
      </c>
      <c r="G983" s="327"/>
      <c r="H983" s="594"/>
      <c r="I983" s="327"/>
      <c r="J983" s="605"/>
      <c r="K983" s="327"/>
      <c r="L983" s="594"/>
      <c r="M983" s="327"/>
      <c r="N983" s="575"/>
      <c r="O983" s="327"/>
      <c r="P983" s="594"/>
      <c r="Q983" s="327"/>
      <c r="R983" s="575"/>
      <c r="S983" s="327"/>
      <c r="T983" s="594"/>
      <c r="U983" s="327"/>
      <c r="V983" s="595" t="str">
        <f>'refer admin discharge'!H984</f>
        <v>00/00/0000</v>
      </c>
      <c r="W983" s="327"/>
      <c r="X983" s="577"/>
      <c r="Y983" s="327"/>
      <c r="Z983" s="604"/>
      <c r="AA983" s="327"/>
      <c r="AB983" s="577"/>
      <c r="AC983" s="327"/>
      <c r="AD983" s="576"/>
      <c r="AE983" s="327"/>
      <c r="AF983" s="577"/>
      <c r="AG983" s="327"/>
      <c r="AH983" s="576"/>
      <c r="AI983" s="327"/>
      <c r="AJ983" s="577"/>
      <c r="AK983" s="327"/>
      <c r="AL983" s="602"/>
      <c r="AM983" s="326"/>
      <c r="AN983" s="326"/>
      <c r="AO983" s="326"/>
      <c r="AP983" s="326"/>
      <c r="AQ983" s="326"/>
      <c r="AR983" s="326"/>
      <c r="AS983" s="326"/>
      <c r="AT983" s="326"/>
      <c r="AU983" s="326"/>
      <c r="AV983" s="326"/>
      <c r="AW983" s="326"/>
      <c r="AX983" s="326"/>
      <c r="AY983" s="326"/>
      <c r="AZ983" s="326"/>
      <c r="BA983" s="326"/>
      <c r="BB983" s="327"/>
    </row>
    <row r="984" spans="1:54" ht="15.75" customHeight="1" x14ac:dyDescent="0.25">
      <c r="A984" s="11">
        <f t="shared" si="3"/>
        <v>971</v>
      </c>
      <c r="B984" s="570" t="str">
        <f>'refer admin discharge'!B980</f>
        <v>x</v>
      </c>
      <c r="C984" s="327"/>
      <c r="D984" s="599" t="str">
        <f>'refer admin discharge'!D980</f>
        <v>xx</v>
      </c>
      <c r="E984" s="327"/>
      <c r="F984" s="600" t="str">
        <f>'refer admin discharge'!H980</f>
        <v>00/00/0000</v>
      </c>
      <c r="G984" s="327"/>
      <c r="H984" s="574"/>
      <c r="I984" s="327"/>
      <c r="J984" s="601"/>
      <c r="K984" s="327"/>
      <c r="L984" s="574"/>
      <c r="M984" s="327"/>
      <c r="N984" s="594"/>
      <c r="O984" s="327"/>
      <c r="P984" s="574"/>
      <c r="Q984" s="327"/>
      <c r="R984" s="594"/>
      <c r="S984" s="327"/>
      <c r="T984" s="574"/>
      <c r="U984" s="327"/>
      <c r="V984" s="595" t="str">
        <f>'refer admin discharge'!H985</f>
        <v>00/00/0000</v>
      </c>
      <c r="W984" s="327"/>
      <c r="X984" s="596"/>
      <c r="Y984" s="327"/>
      <c r="Z984" s="597"/>
      <c r="AA984" s="327"/>
      <c r="AB984" s="596"/>
      <c r="AC984" s="327"/>
      <c r="AD984" s="577"/>
      <c r="AE984" s="327"/>
      <c r="AF984" s="596"/>
      <c r="AG984" s="327"/>
      <c r="AH984" s="577"/>
      <c r="AI984" s="327"/>
      <c r="AJ984" s="596"/>
      <c r="AK984" s="327"/>
      <c r="AL984" s="598"/>
      <c r="AM984" s="326"/>
      <c r="AN984" s="326"/>
      <c r="AO984" s="326"/>
      <c r="AP984" s="326"/>
      <c r="AQ984" s="326"/>
      <c r="AR984" s="326"/>
      <c r="AS984" s="326"/>
      <c r="AT984" s="326"/>
      <c r="AU984" s="326"/>
      <c r="AV984" s="326"/>
      <c r="AW984" s="326"/>
      <c r="AX984" s="326"/>
      <c r="AY984" s="326"/>
      <c r="AZ984" s="326"/>
      <c r="BA984" s="326"/>
      <c r="BB984" s="327"/>
    </row>
    <row r="985" spans="1:54" ht="15.75" customHeight="1" x14ac:dyDescent="0.25">
      <c r="A985" s="11">
        <f t="shared" si="3"/>
        <v>972</v>
      </c>
      <c r="B985" s="504" t="str">
        <f>'refer admin discharge'!B981</f>
        <v>x</v>
      </c>
      <c r="C985" s="327"/>
      <c r="D985" s="505" t="str">
        <f>'refer admin discharge'!D981</f>
        <v>xx</v>
      </c>
      <c r="E985" s="327"/>
      <c r="F985" s="606" t="str">
        <f>'refer admin discharge'!H981</f>
        <v>00/00/0000</v>
      </c>
      <c r="G985" s="327"/>
      <c r="H985" s="594"/>
      <c r="I985" s="327"/>
      <c r="J985" s="605"/>
      <c r="K985" s="327"/>
      <c r="L985" s="594"/>
      <c r="M985" s="327"/>
      <c r="N985" s="575"/>
      <c r="O985" s="327"/>
      <c r="P985" s="594"/>
      <c r="Q985" s="327"/>
      <c r="R985" s="575"/>
      <c r="S985" s="327"/>
      <c r="T985" s="594"/>
      <c r="U985" s="327"/>
      <c r="V985" s="595" t="str">
        <f>'refer admin discharge'!H986</f>
        <v>00/00/0000</v>
      </c>
      <c r="W985" s="327"/>
      <c r="X985" s="577"/>
      <c r="Y985" s="327"/>
      <c r="Z985" s="604"/>
      <c r="AA985" s="327"/>
      <c r="AB985" s="577"/>
      <c r="AC985" s="327"/>
      <c r="AD985" s="576"/>
      <c r="AE985" s="327"/>
      <c r="AF985" s="577"/>
      <c r="AG985" s="327"/>
      <c r="AH985" s="576"/>
      <c r="AI985" s="327"/>
      <c r="AJ985" s="577"/>
      <c r="AK985" s="327"/>
      <c r="AL985" s="602"/>
      <c r="AM985" s="326"/>
      <c r="AN985" s="326"/>
      <c r="AO985" s="326"/>
      <c r="AP985" s="326"/>
      <c r="AQ985" s="326"/>
      <c r="AR985" s="326"/>
      <c r="AS985" s="326"/>
      <c r="AT985" s="326"/>
      <c r="AU985" s="326"/>
      <c r="AV985" s="326"/>
      <c r="AW985" s="326"/>
      <c r="AX985" s="326"/>
      <c r="AY985" s="326"/>
      <c r="AZ985" s="326"/>
      <c r="BA985" s="326"/>
      <c r="BB985" s="327"/>
    </row>
    <row r="986" spans="1:54" ht="15.75" customHeight="1" x14ac:dyDescent="0.25">
      <c r="A986" s="11">
        <f t="shared" si="3"/>
        <v>973</v>
      </c>
      <c r="B986" s="570" t="str">
        <f>'refer admin discharge'!B982</f>
        <v>x</v>
      </c>
      <c r="C986" s="327"/>
      <c r="D986" s="599" t="str">
        <f>'refer admin discharge'!D982</f>
        <v>xx</v>
      </c>
      <c r="E986" s="327"/>
      <c r="F986" s="600" t="str">
        <f>'refer admin discharge'!H982</f>
        <v>00/00/0000</v>
      </c>
      <c r="G986" s="327"/>
      <c r="H986" s="574"/>
      <c r="I986" s="327"/>
      <c r="J986" s="601"/>
      <c r="K986" s="327"/>
      <c r="L986" s="574"/>
      <c r="M986" s="327"/>
      <c r="N986" s="594"/>
      <c r="O986" s="327"/>
      <c r="P986" s="574"/>
      <c r="Q986" s="327"/>
      <c r="R986" s="594"/>
      <c r="S986" s="327"/>
      <c r="T986" s="574"/>
      <c r="U986" s="327"/>
      <c r="V986" s="595" t="str">
        <f>'refer admin discharge'!H987</f>
        <v>00/00/0000</v>
      </c>
      <c r="W986" s="327"/>
      <c r="X986" s="596"/>
      <c r="Y986" s="327"/>
      <c r="Z986" s="597"/>
      <c r="AA986" s="327"/>
      <c r="AB986" s="596"/>
      <c r="AC986" s="327"/>
      <c r="AD986" s="577"/>
      <c r="AE986" s="327"/>
      <c r="AF986" s="596"/>
      <c r="AG986" s="327"/>
      <c r="AH986" s="577"/>
      <c r="AI986" s="327"/>
      <c r="AJ986" s="596"/>
      <c r="AK986" s="327"/>
      <c r="AL986" s="598"/>
      <c r="AM986" s="326"/>
      <c r="AN986" s="326"/>
      <c r="AO986" s="326"/>
      <c r="AP986" s="326"/>
      <c r="AQ986" s="326"/>
      <c r="AR986" s="326"/>
      <c r="AS986" s="326"/>
      <c r="AT986" s="326"/>
      <c r="AU986" s="326"/>
      <c r="AV986" s="326"/>
      <c r="AW986" s="326"/>
      <c r="AX986" s="326"/>
      <c r="AY986" s="326"/>
      <c r="AZ986" s="326"/>
      <c r="BA986" s="326"/>
      <c r="BB986" s="327"/>
    </row>
    <row r="987" spans="1:54" ht="15.75" customHeight="1" x14ac:dyDescent="0.25">
      <c r="A987" s="11">
        <f t="shared" si="3"/>
        <v>974</v>
      </c>
      <c r="B987" s="504" t="str">
        <f>'refer admin discharge'!B983</f>
        <v>x</v>
      </c>
      <c r="C987" s="327"/>
      <c r="D987" s="505" t="str">
        <f>'refer admin discharge'!D983</f>
        <v>xx</v>
      </c>
      <c r="E987" s="327"/>
      <c r="F987" s="606" t="str">
        <f>'refer admin discharge'!H983</f>
        <v>00/00/0000</v>
      </c>
      <c r="G987" s="327"/>
      <c r="H987" s="594"/>
      <c r="I987" s="327"/>
      <c r="J987" s="605"/>
      <c r="K987" s="327"/>
      <c r="L987" s="594"/>
      <c r="M987" s="327"/>
      <c r="N987" s="575"/>
      <c r="O987" s="327"/>
      <c r="P987" s="594"/>
      <c r="Q987" s="327"/>
      <c r="R987" s="575"/>
      <c r="S987" s="327"/>
      <c r="T987" s="594"/>
      <c r="U987" s="327"/>
      <c r="V987" s="595" t="str">
        <f>'refer admin discharge'!H988</f>
        <v>00/00/0000</v>
      </c>
      <c r="W987" s="327"/>
      <c r="X987" s="577"/>
      <c r="Y987" s="327"/>
      <c r="Z987" s="604"/>
      <c r="AA987" s="327"/>
      <c r="AB987" s="577"/>
      <c r="AC987" s="327"/>
      <c r="AD987" s="576"/>
      <c r="AE987" s="327"/>
      <c r="AF987" s="577"/>
      <c r="AG987" s="327"/>
      <c r="AH987" s="576"/>
      <c r="AI987" s="327"/>
      <c r="AJ987" s="577"/>
      <c r="AK987" s="327"/>
      <c r="AL987" s="602"/>
      <c r="AM987" s="326"/>
      <c r="AN987" s="326"/>
      <c r="AO987" s="326"/>
      <c r="AP987" s="326"/>
      <c r="AQ987" s="326"/>
      <c r="AR987" s="326"/>
      <c r="AS987" s="326"/>
      <c r="AT987" s="326"/>
      <c r="AU987" s="326"/>
      <c r="AV987" s="326"/>
      <c r="AW987" s="326"/>
      <c r="AX987" s="326"/>
      <c r="AY987" s="326"/>
      <c r="AZ987" s="326"/>
      <c r="BA987" s="326"/>
      <c r="BB987" s="327"/>
    </row>
    <row r="988" spans="1:54" ht="15.75" customHeight="1" x14ac:dyDescent="0.25">
      <c r="A988" s="11">
        <f t="shared" si="3"/>
        <v>975</v>
      </c>
      <c r="B988" s="570" t="str">
        <f>'refer admin discharge'!B984</f>
        <v>x</v>
      </c>
      <c r="C988" s="327"/>
      <c r="D988" s="599" t="str">
        <f>'refer admin discharge'!D984</f>
        <v>xx</v>
      </c>
      <c r="E988" s="327"/>
      <c r="F988" s="600" t="str">
        <f>'refer admin discharge'!H984</f>
        <v>00/00/0000</v>
      </c>
      <c r="G988" s="327"/>
      <c r="H988" s="574"/>
      <c r="I988" s="327"/>
      <c r="J988" s="601"/>
      <c r="K988" s="327"/>
      <c r="L988" s="574"/>
      <c r="M988" s="327"/>
      <c r="N988" s="594"/>
      <c r="O988" s="327"/>
      <c r="P988" s="574"/>
      <c r="Q988" s="327"/>
      <c r="R988" s="594"/>
      <c r="S988" s="327"/>
      <c r="T988" s="574"/>
      <c r="U988" s="327"/>
      <c r="V988" s="595" t="str">
        <f>'refer admin discharge'!H989</f>
        <v>00/00/0000</v>
      </c>
      <c r="W988" s="327"/>
      <c r="X988" s="596"/>
      <c r="Y988" s="327"/>
      <c r="Z988" s="597"/>
      <c r="AA988" s="327"/>
      <c r="AB988" s="596"/>
      <c r="AC988" s="327"/>
      <c r="AD988" s="577"/>
      <c r="AE988" s="327"/>
      <c r="AF988" s="596"/>
      <c r="AG988" s="327"/>
      <c r="AH988" s="577"/>
      <c r="AI988" s="327"/>
      <c r="AJ988" s="596"/>
      <c r="AK988" s="327"/>
      <c r="AL988" s="598"/>
      <c r="AM988" s="326"/>
      <c r="AN988" s="326"/>
      <c r="AO988" s="326"/>
      <c r="AP988" s="326"/>
      <c r="AQ988" s="326"/>
      <c r="AR988" s="326"/>
      <c r="AS988" s="326"/>
      <c r="AT988" s="326"/>
      <c r="AU988" s="326"/>
      <c r="AV988" s="326"/>
      <c r="AW988" s="326"/>
      <c r="AX988" s="326"/>
      <c r="AY988" s="326"/>
      <c r="AZ988" s="326"/>
      <c r="BA988" s="326"/>
      <c r="BB988" s="327"/>
    </row>
    <row r="989" spans="1:54" ht="15.75" customHeight="1" x14ac:dyDescent="0.25">
      <c r="A989" s="11">
        <f t="shared" si="3"/>
        <v>976</v>
      </c>
      <c r="B989" s="504" t="str">
        <f>'refer admin discharge'!B985</f>
        <v>x</v>
      </c>
      <c r="C989" s="327"/>
      <c r="D989" s="505" t="str">
        <f>'refer admin discharge'!D985</f>
        <v>xx</v>
      </c>
      <c r="E989" s="327"/>
      <c r="F989" s="606" t="str">
        <f>'refer admin discharge'!H985</f>
        <v>00/00/0000</v>
      </c>
      <c r="G989" s="327"/>
      <c r="H989" s="594"/>
      <c r="I989" s="327"/>
      <c r="J989" s="605"/>
      <c r="K989" s="327"/>
      <c r="L989" s="594"/>
      <c r="M989" s="327"/>
      <c r="N989" s="575"/>
      <c r="O989" s="327"/>
      <c r="P989" s="594"/>
      <c r="Q989" s="327"/>
      <c r="R989" s="575"/>
      <c r="S989" s="327"/>
      <c r="T989" s="594"/>
      <c r="U989" s="327"/>
      <c r="V989" s="595" t="str">
        <f>'refer admin discharge'!H990</f>
        <v>00/00/0000</v>
      </c>
      <c r="W989" s="327"/>
      <c r="X989" s="577"/>
      <c r="Y989" s="327"/>
      <c r="Z989" s="604"/>
      <c r="AA989" s="327"/>
      <c r="AB989" s="577"/>
      <c r="AC989" s="327"/>
      <c r="AD989" s="576"/>
      <c r="AE989" s="327"/>
      <c r="AF989" s="577"/>
      <c r="AG989" s="327"/>
      <c r="AH989" s="576"/>
      <c r="AI989" s="327"/>
      <c r="AJ989" s="577"/>
      <c r="AK989" s="327"/>
      <c r="AL989" s="602"/>
      <c r="AM989" s="326"/>
      <c r="AN989" s="326"/>
      <c r="AO989" s="326"/>
      <c r="AP989" s="326"/>
      <c r="AQ989" s="326"/>
      <c r="AR989" s="326"/>
      <c r="AS989" s="326"/>
      <c r="AT989" s="326"/>
      <c r="AU989" s="326"/>
      <c r="AV989" s="326"/>
      <c r="AW989" s="326"/>
      <c r="AX989" s="326"/>
      <c r="AY989" s="326"/>
      <c r="AZ989" s="326"/>
      <c r="BA989" s="326"/>
      <c r="BB989" s="327"/>
    </row>
    <row r="990" spans="1:54" ht="15.75" customHeight="1" x14ac:dyDescent="0.25">
      <c r="A990" s="11">
        <f t="shared" si="3"/>
        <v>977</v>
      </c>
      <c r="B990" s="570" t="str">
        <f>'refer admin discharge'!B986</f>
        <v>x</v>
      </c>
      <c r="C990" s="327"/>
      <c r="D990" s="599" t="str">
        <f>'refer admin discharge'!D986</f>
        <v>xx</v>
      </c>
      <c r="E990" s="327"/>
      <c r="F990" s="600" t="str">
        <f>'refer admin discharge'!H986</f>
        <v>00/00/0000</v>
      </c>
      <c r="G990" s="327"/>
      <c r="H990" s="574"/>
      <c r="I990" s="327"/>
      <c r="J990" s="601"/>
      <c r="K990" s="327"/>
      <c r="L990" s="574"/>
      <c r="M990" s="327"/>
      <c r="N990" s="594"/>
      <c r="O990" s="327"/>
      <c r="P990" s="574"/>
      <c r="Q990" s="327"/>
      <c r="R990" s="594"/>
      <c r="S990" s="327"/>
      <c r="T990" s="574"/>
      <c r="U990" s="327"/>
      <c r="V990" s="595" t="str">
        <f>'refer admin discharge'!H991</f>
        <v>00/00/0000</v>
      </c>
      <c r="W990" s="327"/>
      <c r="X990" s="596"/>
      <c r="Y990" s="327"/>
      <c r="Z990" s="597"/>
      <c r="AA990" s="327"/>
      <c r="AB990" s="596"/>
      <c r="AC990" s="327"/>
      <c r="AD990" s="577"/>
      <c r="AE990" s="327"/>
      <c r="AF990" s="596"/>
      <c r="AG990" s="327"/>
      <c r="AH990" s="577"/>
      <c r="AI990" s="327"/>
      <c r="AJ990" s="596"/>
      <c r="AK990" s="327"/>
      <c r="AL990" s="598"/>
      <c r="AM990" s="326"/>
      <c r="AN990" s="326"/>
      <c r="AO990" s="326"/>
      <c r="AP990" s="326"/>
      <c r="AQ990" s="326"/>
      <c r="AR990" s="326"/>
      <c r="AS990" s="326"/>
      <c r="AT990" s="326"/>
      <c r="AU990" s="326"/>
      <c r="AV990" s="326"/>
      <c r="AW990" s="326"/>
      <c r="AX990" s="326"/>
      <c r="AY990" s="326"/>
      <c r="AZ990" s="326"/>
      <c r="BA990" s="326"/>
      <c r="BB990" s="327"/>
    </row>
    <row r="991" spans="1:54" ht="15.75" customHeight="1" x14ac:dyDescent="0.25">
      <c r="A991" s="11">
        <f t="shared" si="3"/>
        <v>978</v>
      </c>
      <c r="B991" s="504" t="str">
        <f>'refer admin discharge'!B987</f>
        <v>x</v>
      </c>
      <c r="C991" s="327"/>
      <c r="D991" s="505" t="str">
        <f>'refer admin discharge'!D987</f>
        <v>xx</v>
      </c>
      <c r="E991" s="327"/>
      <c r="F991" s="606" t="str">
        <f>'refer admin discharge'!H987</f>
        <v>00/00/0000</v>
      </c>
      <c r="G991" s="327"/>
      <c r="H991" s="594"/>
      <c r="I991" s="327"/>
      <c r="J991" s="605"/>
      <c r="K991" s="327"/>
      <c r="L991" s="594"/>
      <c r="M991" s="327"/>
      <c r="N991" s="575"/>
      <c r="O991" s="327"/>
      <c r="P991" s="594"/>
      <c r="Q991" s="327"/>
      <c r="R991" s="575"/>
      <c r="S991" s="327"/>
      <c r="T991" s="594"/>
      <c r="U991" s="327"/>
      <c r="V991" s="595" t="str">
        <f>'refer admin discharge'!H992</f>
        <v>00/00/0000</v>
      </c>
      <c r="W991" s="327"/>
      <c r="X991" s="577"/>
      <c r="Y991" s="327"/>
      <c r="Z991" s="604"/>
      <c r="AA991" s="327"/>
      <c r="AB991" s="577"/>
      <c r="AC991" s="327"/>
      <c r="AD991" s="576"/>
      <c r="AE991" s="327"/>
      <c r="AF991" s="577"/>
      <c r="AG991" s="327"/>
      <c r="AH991" s="576"/>
      <c r="AI991" s="327"/>
      <c r="AJ991" s="577"/>
      <c r="AK991" s="327"/>
      <c r="AL991" s="602"/>
      <c r="AM991" s="326"/>
      <c r="AN991" s="326"/>
      <c r="AO991" s="326"/>
      <c r="AP991" s="326"/>
      <c r="AQ991" s="326"/>
      <c r="AR991" s="326"/>
      <c r="AS991" s="326"/>
      <c r="AT991" s="326"/>
      <c r="AU991" s="326"/>
      <c r="AV991" s="326"/>
      <c r="AW991" s="326"/>
      <c r="AX991" s="326"/>
      <c r="AY991" s="326"/>
      <c r="AZ991" s="326"/>
      <c r="BA991" s="326"/>
      <c r="BB991" s="327"/>
    </row>
    <row r="992" spans="1:54" ht="15.75" customHeight="1" x14ac:dyDescent="0.25">
      <c r="A992" s="11">
        <f t="shared" si="3"/>
        <v>979</v>
      </c>
      <c r="B992" s="570" t="str">
        <f>'refer admin discharge'!B988</f>
        <v>x</v>
      </c>
      <c r="C992" s="327"/>
      <c r="D992" s="599" t="str">
        <f>'refer admin discharge'!D988</f>
        <v>xx</v>
      </c>
      <c r="E992" s="327"/>
      <c r="F992" s="600" t="str">
        <f>'refer admin discharge'!H988</f>
        <v>00/00/0000</v>
      </c>
      <c r="G992" s="327"/>
      <c r="H992" s="574"/>
      <c r="I992" s="327"/>
      <c r="J992" s="601"/>
      <c r="K992" s="327"/>
      <c r="L992" s="574"/>
      <c r="M992" s="327"/>
      <c r="N992" s="594"/>
      <c r="O992" s="327"/>
      <c r="P992" s="574"/>
      <c r="Q992" s="327"/>
      <c r="R992" s="594"/>
      <c r="S992" s="327"/>
      <c r="T992" s="574"/>
      <c r="U992" s="327"/>
      <c r="V992" s="595" t="str">
        <f>'refer admin discharge'!H993</f>
        <v>00/00/0000</v>
      </c>
      <c r="W992" s="327"/>
      <c r="X992" s="596"/>
      <c r="Y992" s="327"/>
      <c r="Z992" s="597"/>
      <c r="AA992" s="327"/>
      <c r="AB992" s="596"/>
      <c r="AC992" s="327"/>
      <c r="AD992" s="577"/>
      <c r="AE992" s="327"/>
      <c r="AF992" s="596"/>
      <c r="AG992" s="327"/>
      <c r="AH992" s="577"/>
      <c r="AI992" s="327"/>
      <c r="AJ992" s="596"/>
      <c r="AK992" s="327"/>
      <c r="AL992" s="598"/>
      <c r="AM992" s="326"/>
      <c r="AN992" s="326"/>
      <c r="AO992" s="326"/>
      <c r="AP992" s="326"/>
      <c r="AQ992" s="326"/>
      <c r="AR992" s="326"/>
      <c r="AS992" s="326"/>
      <c r="AT992" s="326"/>
      <c r="AU992" s="326"/>
      <c r="AV992" s="326"/>
      <c r="AW992" s="326"/>
      <c r="AX992" s="326"/>
      <c r="AY992" s="326"/>
      <c r="AZ992" s="326"/>
      <c r="BA992" s="326"/>
      <c r="BB992" s="327"/>
    </row>
    <row r="993" spans="1:54" ht="15.75" customHeight="1" x14ac:dyDescent="0.25">
      <c r="A993" s="11">
        <f t="shared" si="3"/>
        <v>980</v>
      </c>
      <c r="B993" s="504" t="str">
        <f>'refer admin discharge'!B989</f>
        <v>x</v>
      </c>
      <c r="C993" s="327"/>
      <c r="D993" s="505" t="str">
        <f>'refer admin discharge'!D989</f>
        <v>xx</v>
      </c>
      <c r="E993" s="327"/>
      <c r="F993" s="606" t="str">
        <f>'refer admin discharge'!H989</f>
        <v>00/00/0000</v>
      </c>
      <c r="G993" s="327"/>
      <c r="H993" s="594"/>
      <c r="I993" s="327"/>
      <c r="J993" s="605"/>
      <c r="K993" s="327"/>
      <c r="L993" s="594"/>
      <c r="M993" s="327"/>
      <c r="N993" s="575"/>
      <c r="O993" s="327"/>
      <c r="P993" s="594"/>
      <c r="Q993" s="327"/>
      <c r="R993" s="575"/>
      <c r="S993" s="327"/>
      <c r="T993" s="594"/>
      <c r="U993" s="327"/>
      <c r="V993" s="595" t="str">
        <f>'refer admin discharge'!H994</f>
        <v>00/00/0000</v>
      </c>
      <c r="W993" s="327"/>
      <c r="X993" s="577"/>
      <c r="Y993" s="327"/>
      <c r="Z993" s="604"/>
      <c r="AA993" s="327"/>
      <c r="AB993" s="577"/>
      <c r="AC993" s="327"/>
      <c r="AD993" s="576"/>
      <c r="AE993" s="327"/>
      <c r="AF993" s="577"/>
      <c r="AG993" s="327"/>
      <c r="AH993" s="576"/>
      <c r="AI993" s="327"/>
      <c r="AJ993" s="577"/>
      <c r="AK993" s="327"/>
      <c r="AL993" s="602"/>
      <c r="AM993" s="326"/>
      <c r="AN993" s="326"/>
      <c r="AO993" s="326"/>
      <c r="AP993" s="326"/>
      <c r="AQ993" s="326"/>
      <c r="AR993" s="326"/>
      <c r="AS993" s="326"/>
      <c r="AT993" s="326"/>
      <c r="AU993" s="326"/>
      <c r="AV993" s="326"/>
      <c r="AW993" s="326"/>
      <c r="AX993" s="326"/>
      <c r="AY993" s="326"/>
      <c r="AZ993" s="326"/>
      <c r="BA993" s="326"/>
      <c r="BB993" s="327"/>
    </row>
    <row r="994" spans="1:54" ht="15.75" customHeight="1" x14ac:dyDescent="0.25">
      <c r="A994" s="11">
        <f t="shared" si="3"/>
        <v>981</v>
      </c>
      <c r="B994" s="570" t="str">
        <f>'refer admin discharge'!B990</f>
        <v>x</v>
      </c>
      <c r="C994" s="327"/>
      <c r="D994" s="599" t="str">
        <f>'refer admin discharge'!D990</f>
        <v>xx</v>
      </c>
      <c r="E994" s="327"/>
      <c r="F994" s="600" t="str">
        <f>'refer admin discharge'!H990</f>
        <v>00/00/0000</v>
      </c>
      <c r="G994" s="327"/>
      <c r="H994" s="574"/>
      <c r="I994" s="327"/>
      <c r="J994" s="601"/>
      <c r="K994" s="327"/>
      <c r="L994" s="574"/>
      <c r="M994" s="327"/>
      <c r="N994" s="594"/>
      <c r="O994" s="327"/>
      <c r="P994" s="574"/>
      <c r="Q994" s="327"/>
      <c r="R994" s="594"/>
      <c r="S994" s="327"/>
      <c r="T994" s="574"/>
      <c r="U994" s="327"/>
      <c r="V994" s="595" t="str">
        <f>'refer admin discharge'!H995</f>
        <v>00/00/0000</v>
      </c>
      <c r="W994" s="327"/>
      <c r="X994" s="596"/>
      <c r="Y994" s="327"/>
      <c r="Z994" s="597"/>
      <c r="AA994" s="327"/>
      <c r="AB994" s="596"/>
      <c r="AC994" s="327"/>
      <c r="AD994" s="577"/>
      <c r="AE994" s="327"/>
      <c r="AF994" s="596"/>
      <c r="AG994" s="327"/>
      <c r="AH994" s="577"/>
      <c r="AI994" s="327"/>
      <c r="AJ994" s="596"/>
      <c r="AK994" s="327"/>
      <c r="AL994" s="598"/>
      <c r="AM994" s="326"/>
      <c r="AN994" s="326"/>
      <c r="AO994" s="326"/>
      <c r="AP994" s="326"/>
      <c r="AQ994" s="326"/>
      <c r="AR994" s="326"/>
      <c r="AS994" s="326"/>
      <c r="AT994" s="326"/>
      <c r="AU994" s="326"/>
      <c r="AV994" s="326"/>
      <c r="AW994" s="326"/>
      <c r="AX994" s="326"/>
      <c r="AY994" s="326"/>
      <c r="AZ994" s="326"/>
      <c r="BA994" s="326"/>
      <c r="BB994" s="327"/>
    </row>
    <row r="995" spans="1:54" ht="15.75" customHeight="1" x14ac:dyDescent="0.25">
      <c r="A995" s="11">
        <f t="shared" si="3"/>
        <v>982</v>
      </c>
      <c r="B995" s="504" t="str">
        <f>'refer admin discharge'!B991</f>
        <v>x</v>
      </c>
      <c r="C995" s="327"/>
      <c r="D995" s="505" t="str">
        <f>'refer admin discharge'!D991</f>
        <v>xx</v>
      </c>
      <c r="E995" s="327"/>
      <c r="F995" s="606" t="str">
        <f>'refer admin discharge'!H991</f>
        <v>00/00/0000</v>
      </c>
      <c r="G995" s="327"/>
      <c r="H995" s="594"/>
      <c r="I995" s="327"/>
      <c r="J995" s="605"/>
      <c r="K995" s="327"/>
      <c r="L995" s="594"/>
      <c r="M995" s="327"/>
      <c r="N995" s="575"/>
      <c r="O995" s="327"/>
      <c r="P995" s="594"/>
      <c r="Q995" s="327"/>
      <c r="R995" s="575"/>
      <c r="S995" s="327"/>
      <c r="T995" s="594"/>
      <c r="U995" s="327"/>
      <c r="V995" s="595" t="str">
        <f>'refer admin discharge'!H996</f>
        <v>00/00/0000</v>
      </c>
      <c r="W995" s="327"/>
      <c r="X995" s="577"/>
      <c r="Y995" s="327"/>
      <c r="Z995" s="604"/>
      <c r="AA995" s="327"/>
      <c r="AB995" s="577"/>
      <c r="AC995" s="327"/>
      <c r="AD995" s="576"/>
      <c r="AE995" s="327"/>
      <c r="AF995" s="577"/>
      <c r="AG995" s="327"/>
      <c r="AH995" s="576"/>
      <c r="AI995" s="327"/>
      <c r="AJ995" s="577"/>
      <c r="AK995" s="327"/>
      <c r="AL995" s="602"/>
      <c r="AM995" s="326"/>
      <c r="AN995" s="326"/>
      <c r="AO995" s="326"/>
      <c r="AP995" s="326"/>
      <c r="AQ995" s="326"/>
      <c r="AR995" s="326"/>
      <c r="AS995" s="326"/>
      <c r="AT995" s="326"/>
      <c r="AU995" s="326"/>
      <c r="AV995" s="326"/>
      <c r="AW995" s="326"/>
      <c r="AX995" s="326"/>
      <c r="AY995" s="326"/>
      <c r="AZ995" s="326"/>
      <c r="BA995" s="326"/>
      <c r="BB995" s="327"/>
    </row>
    <row r="996" spans="1:54" ht="15.75" customHeight="1" x14ac:dyDescent="0.25">
      <c r="A996" s="11">
        <f t="shared" si="3"/>
        <v>983</v>
      </c>
      <c r="B996" s="570" t="str">
        <f>'refer admin discharge'!B992</f>
        <v>x</v>
      </c>
      <c r="C996" s="327"/>
      <c r="D996" s="599" t="str">
        <f>'refer admin discharge'!D992</f>
        <v>xx</v>
      </c>
      <c r="E996" s="327"/>
      <c r="F996" s="600" t="str">
        <f>'refer admin discharge'!H992</f>
        <v>00/00/0000</v>
      </c>
      <c r="G996" s="327"/>
      <c r="H996" s="574"/>
      <c r="I996" s="327"/>
      <c r="J996" s="601"/>
      <c r="K996" s="327"/>
      <c r="L996" s="574"/>
      <c r="M996" s="327"/>
      <c r="N996" s="594"/>
      <c r="O996" s="327"/>
      <c r="P996" s="574"/>
      <c r="Q996" s="327"/>
      <c r="R996" s="594"/>
      <c r="S996" s="327"/>
      <c r="T996" s="574"/>
      <c r="U996" s="327"/>
      <c r="V996" s="595" t="str">
        <f>'refer admin discharge'!H997</f>
        <v>00/00/0000</v>
      </c>
      <c r="W996" s="327"/>
      <c r="X996" s="596"/>
      <c r="Y996" s="327"/>
      <c r="Z996" s="597"/>
      <c r="AA996" s="327"/>
      <c r="AB996" s="596"/>
      <c r="AC996" s="327"/>
      <c r="AD996" s="577"/>
      <c r="AE996" s="327"/>
      <c r="AF996" s="596"/>
      <c r="AG996" s="327"/>
      <c r="AH996" s="577"/>
      <c r="AI996" s="327"/>
      <c r="AJ996" s="596"/>
      <c r="AK996" s="327"/>
      <c r="AL996" s="598"/>
      <c r="AM996" s="326"/>
      <c r="AN996" s="326"/>
      <c r="AO996" s="326"/>
      <c r="AP996" s="326"/>
      <c r="AQ996" s="326"/>
      <c r="AR996" s="326"/>
      <c r="AS996" s="326"/>
      <c r="AT996" s="326"/>
      <c r="AU996" s="326"/>
      <c r="AV996" s="326"/>
      <c r="AW996" s="326"/>
      <c r="AX996" s="326"/>
      <c r="AY996" s="326"/>
      <c r="AZ996" s="326"/>
      <c r="BA996" s="326"/>
      <c r="BB996" s="327"/>
    </row>
    <row r="997" spans="1:54" ht="15.75" customHeight="1" x14ac:dyDescent="0.25">
      <c r="A997" s="11">
        <f t="shared" si="3"/>
        <v>984</v>
      </c>
      <c r="B997" s="504" t="str">
        <f>'refer admin discharge'!B993</f>
        <v>x</v>
      </c>
      <c r="C997" s="327"/>
      <c r="D997" s="505" t="str">
        <f>'refer admin discharge'!D993</f>
        <v>xx</v>
      </c>
      <c r="E997" s="327"/>
      <c r="F997" s="606" t="str">
        <f>'refer admin discharge'!H993</f>
        <v>00/00/0000</v>
      </c>
      <c r="G997" s="327"/>
      <c r="H997" s="594"/>
      <c r="I997" s="327"/>
      <c r="J997" s="605"/>
      <c r="K997" s="327"/>
      <c r="L997" s="594"/>
      <c r="M997" s="327"/>
      <c r="N997" s="575"/>
      <c r="O997" s="327"/>
      <c r="P997" s="594"/>
      <c r="Q997" s="327"/>
      <c r="R997" s="575"/>
      <c r="S997" s="327"/>
      <c r="T997" s="594"/>
      <c r="U997" s="327"/>
      <c r="V997" s="595" t="str">
        <f>'refer admin discharge'!H998</f>
        <v>00/00/0000</v>
      </c>
      <c r="W997" s="327"/>
      <c r="X997" s="577"/>
      <c r="Y997" s="327"/>
      <c r="Z997" s="604"/>
      <c r="AA997" s="327"/>
      <c r="AB997" s="577"/>
      <c r="AC997" s="327"/>
      <c r="AD997" s="576"/>
      <c r="AE997" s="327"/>
      <c r="AF997" s="577"/>
      <c r="AG997" s="327"/>
      <c r="AH997" s="576"/>
      <c r="AI997" s="327"/>
      <c r="AJ997" s="577"/>
      <c r="AK997" s="327"/>
      <c r="AL997" s="602"/>
      <c r="AM997" s="326"/>
      <c r="AN997" s="326"/>
      <c r="AO997" s="326"/>
      <c r="AP997" s="326"/>
      <c r="AQ997" s="326"/>
      <c r="AR997" s="326"/>
      <c r="AS997" s="326"/>
      <c r="AT997" s="326"/>
      <c r="AU997" s="326"/>
      <c r="AV997" s="326"/>
      <c r="AW997" s="326"/>
      <c r="AX997" s="326"/>
      <c r="AY997" s="326"/>
      <c r="AZ997" s="326"/>
      <c r="BA997" s="326"/>
      <c r="BB997" s="327"/>
    </row>
    <row r="998" spans="1:54" ht="15.75" customHeight="1" x14ac:dyDescent="0.25">
      <c r="A998" s="11">
        <f t="shared" si="3"/>
        <v>985</v>
      </c>
      <c r="B998" s="570" t="str">
        <f>'refer admin discharge'!B994</f>
        <v>x</v>
      </c>
      <c r="C998" s="327"/>
      <c r="D998" s="599" t="str">
        <f>'refer admin discharge'!D994</f>
        <v>xx</v>
      </c>
      <c r="E998" s="327"/>
      <c r="F998" s="600" t="str">
        <f>'refer admin discharge'!H994</f>
        <v>00/00/0000</v>
      </c>
      <c r="G998" s="327"/>
      <c r="H998" s="574"/>
      <c r="I998" s="327"/>
      <c r="J998" s="601"/>
      <c r="K998" s="327"/>
      <c r="L998" s="574"/>
      <c r="M998" s="327"/>
      <c r="N998" s="594"/>
      <c r="O998" s="327"/>
      <c r="P998" s="574"/>
      <c r="Q998" s="327"/>
      <c r="R998" s="594"/>
      <c r="S998" s="327"/>
      <c r="T998" s="574"/>
      <c r="U998" s="327"/>
      <c r="V998" s="595" t="str">
        <f>'refer admin discharge'!H999</f>
        <v>00/00/0000</v>
      </c>
      <c r="W998" s="327"/>
      <c r="X998" s="596"/>
      <c r="Y998" s="327"/>
      <c r="Z998" s="597"/>
      <c r="AA998" s="327"/>
      <c r="AB998" s="596"/>
      <c r="AC998" s="327"/>
      <c r="AD998" s="577"/>
      <c r="AE998" s="327"/>
      <c r="AF998" s="596"/>
      <c r="AG998" s="327"/>
      <c r="AH998" s="577"/>
      <c r="AI998" s="327"/>
      <c r="AJ998" s="596"/>
      <c r="AK998" s="327"/>
      <c r="AL998" s="598"/>
      <c r="AM998" s="326"/>
      <c r="AN998" s="326"/>
      <c r="AO998" s="326"/>
      <c r="AP998" s="326"/>
      <c r="AQ998" s="326"/>
      <c r="AR998" s="326"/>
      <c r="AS998" s="326"/>
      <c r="AT998" s="326"/>
      <c r="AU998" s="326"/>
      <c r="AV998" s="326"/>
      <c r="AW998" s="326"/>
      <c r="AX998" s="326"/>
      <c r="AY998" s="326"/>
      <c r="AZ998" s="326"/>
      <c r="BA998" s="326"/>
      <c r="BB998" s="327"/>
    </row>
    <row r="999" spans="1:54" ht="15.75" customHeight="1" x14ac:dyDescent="0.25">
      <c r="A999" s="11">
        <f t="shared" si="3"/>
        <v>986</v>
      </c>
      <c r="B999" s="504" t="str">
        <f>'refer admin discharge'!B995</f>
        <v>x</v>
      </c>
      <c r="C999" s="327"/>
      <c r="D999" s="505" t="str">
        <f>'refer admin discharge'!D995</f>
        <v>xx</v>
      </c>
      <c r="E999" s="327"/>
      <c r="F999" s="606" t="str">
        <f>'refer admin discharge'!H995</f>
        <v>00/00/0000</v>
      </c>
      <c r="G999" s="327"/>
      <c r="H999" s="594"/>
      <c r="I999" s="327"/>
      <c r="J999" s="605"/>
      <c r="K999" s="327"/>
      <c r="L999" s="594"/>
      <c r="M999" s="327"/>
      <c r="N999" s="575"/>
      <c r="O999" s="327"/>
      <c r="P999" s="594"/>
      <c r="Q999" s="327"/>
      <c r="R999" s="575"/>
      <c r="S999" s="327"/>
      <c r="T999" s="594"/>
      <c r="U999" s="327"/>
      <c r="V999" s="595" t="str">
        <f>'refer admin discharge'!H1000</f>
        <v>00/00/0000</v>
      </c>
      <c r="W999" s="327"/>
      <c r="X999" s="577"/>
      <c r="Y999" s="327"/>
      <c r="Z999" s="604"/>
      <c r="AA999" s="327"/>
      <c r="AB999" s="577"/>
      <c r="AC999" s="327"/>
      <c r="AD999" s="576"/>
      <c r="AE999" s="327"/>
      <c r="AF999" s="577"/>
      <c r="AG999" s="327"/>
      <c r="AH999" s="576"/>
      <c r="AI999" s="327"/>
      <c r="AJ999" s="577"/>
      <c r="AK999" s="327"/>
      <c r="AL999" s="602"/>
      <c r="AM999" s="326"/>
      <c r="AN999" s="326"/>
      <c r="AO999" s="326"/>
      <c r="AP999" s="326"/>
      <c r="AQ999" s="326"/>
      <c r="AR999" s="326"/>
      <c r="AS999" s="326"/>
      <c r="AT999" s="326"/>
      <c r="AU999" s="326"/>
      <c r="AV999" s="326"/>
      <c r="AW999" s="326"/>
      <c r="AX999" s="326"/>
      <c r="AY999" s="326"/>
      <c r="AZ999" s="326"/>
      <c r="BA999" s="326"/>
      <c r="BB999" s="327"/>
    </row>
    <row r="1000" spans="1:54" ht="15.75" customHeight="1" x14ac:dyDescent="0.25">
      <c r="A1000" s="11">
        <f t="shared" si="3"/>
        <v>987</v>
      </c>
      <c r="B1000" s="570" t="str">
        <f>'refer admin discharge'!B996</f>
        <v>x</v>
      </c>
      <c r="C1000" s="327"/>
      <c r="D1000" s="599" t="str">
        <f>'refer admin discharge'!D996</f>
        <v>xx</v>
      </c>
      <c r="E1000" s="327"/>
      <c r="F1000" s="600" t="str">
        <f>'refer admin discharge'!H996</f>
        <v>00/00/0000</v>
      </c>
      <c r="G1000" s="327"/>
      <c r="H1000" s="574"/>
      <c r="I1000" s="327"/>
      <c r="J1000" s="601"/>
      <c r="K1000" s="327"/>
      <c r="L1000" s="574"/>
      <c r="M1000" s="327"/>
      <c r="N1000" s="594"/>
      <c r="O1000" s="327"/>
      <c r="P1000" s="574"/>
      <c r="Q1000" s="327"/>
      <c r="R1000" s="594"/>
      <c r="S1000" s="327"/>
      <c r="T1000" s="574"/>
      <c r="U1000" s="327"/>
      <c r="V1000" s="595" t="str">
        <f>'refer admin discharge'!H1001</f>
        <v>00/00/0000</v>
      </c>
      <c r="W1000" s="327"/>
      <c r="X1000" s="596"/>
      <c r="Y1000" s="327"/>
      <c r="Z1000" s="597"/>
      <c r="AA1000" s="327"/>
      <c r="AB1000" s="596"/>
      <c r="AC1000" s="327"/>
      <c r="AD1000" s="577"/>
      <c r="AE1000" s="327"/>
      <c r="AF1000" s="596"/>
      <c r="AG1000" s="327"/>
      <c r="AH1000" s="577"/>
      <c r="AI1000" s="327"/>
      <c r="AJ1000" s="596"/>
      <c r="AK1000" s="327"/>
      <c r="AL1000" s="598"/>
      <c r="AM1000" s="326"/>
      <c r="AN1000" s="326"/>
      <c r="AO1000" s="326"/>
      <c r="AP1000" s="326"/>
      <c r="AQ1000" s="326"/>
      <c r="AR1000" s="326"/>
      <c r="AS1000" s="326"/>
      <c r="AT1000" s="326"/>
      <c r="AU1000" s="326"/>
      <c r="AV1000" s="326"/>
      <c r="AW1000" s="326"/>
      <c r="AX1000" s="326"/>
      <c r="AY1000" s="326"/>
      <c r="AZ1000" s="326"/>
      <c r="BA1000" s="326"/>
      <c r="BB1000" s="327"/>
    </row>
    <row r="1001" spans="1:54" ht="15.75" customHeight="1" x14ac:dyDescent="0.25">
      <c r="A1001" s="11">
        <f t="shared" si="3"/>
        <v>988</v>
      </c>
      <c r="B1001" s="504" t="str">
        <f>'refer admin discharge'!B997</f>
        <v>x</v>
      </c>
      <c r="C1001" s="327"/>
      <c r="D1001" s="505" t="str">
        <f>'refer admin discharge'!D997</f>
        <v>xx</v>
      </c>
      <c r="E1001" s="327"/>
      <c r="F1001" s="606" t="str">
        <f>'refer admin discharge'!H997</f>
        <v>00/00/0000</v>
      </c>
      <c r="G1001" s="327"/>
      <c r="H1001" s="594"/>
      <c r="I1001" s="327"/>
      <c r="J1001" s="605"/>
      <c r="K1001" s="327"/>
      <c r="L1001" s="594"/>
      <c r="M1001" s="327"/>
      <c r="N1001" s="575"/>
      <c r="O1001" s="327"/>
      <c r="P1001" s="594"/>
      <c r="Q1001" s="327"/>
      <c r="R1001" s="575"/>
      <c r="S1001" s="327"/>
      <c r="T1001" s="594"/>
      <c r="U1001" s="327"/>
      <c r="V1001" s="595" t="str">
        <f>'refer admin discharge'!H1002</f>
        <v>00/00/0000</v>
      </c>
      <c r="W1001" s="327"/>
      <c r="X1001" s="577"/>
      <c r="Y1001" s="327"/>
      <c r="Z1001" s="604"/>
      <c r="AA1001" s="327"/>
      <c r="AB1001" s="577"/>
      <c r="AC1001" s="327"/>
      <c r="AD1001" s="576"/>
      <c r="AE1001" s="327"/>
      <c r="AF1001" s="577"/>
      <c r="AG1001" s="327"/>
      <c r="AH1001" s="576"/>
      <c r="AI1001" s="327"/>
      <c r="AJ1001" s="577"/>
      <c r="AK1001" s="327"/>
      <c r="AL1001" s="602"/>
      <c r="AM1001" s="326"/>
      <c r="AN1001" s="326"/>
      <c r="AO1001" s="326"/>
      <c r="AP1001" s="326"/>
      <c r="AQ1001" s="326"/>
      <c r="AR1001" s="326"/>
      <c r="AS1001" s="326"/>
      <c r="AT1001" s="326"/>
      <c r="AU1001" s="326"/>
      <c r="AV1001" s="326"/>
      <c r="AW1001" s="326"/>
      <c r="AX1001" s="326"/>
      <c r="AY1001" s="326"/>
      <c r="AZ1001" s="326"/>
      <c r="BA1001" s="326"/>
      <c r="BB1001" s="327"/>
    </row>
    <row r="1002" spans="1:54" ht="15.75" customHeight="1" x14ac:dyDescent="0.25">
      <c r="A1002" s="11">
        <f t="shared" si="3"/>
        <v>989</v>
      </c>
      <c r="B1002" s="570" t="str">
        <f>'refer admin discharge'!B998</f>
        <v>x</v>
      </c>
      <c r="C1002" s="327"/>
      <c r="D1002" s="599" t="str">
        <f>'refer admin discharge'!D998</f>
        <v>xx</v>
      </c>
      <c r="E1002" s="327"/>
      <c r="F1002" s="600" t="str">
        <f>'refer admin discharge'!H998</f>
        <v>00/00/0000</v>
      </c>
      <c r="G1002" s="327"/>
      <c r="H1002" s="574"/>
      <c r="I1002" s="327"/>
      <c r="J1002" s="601"/>
      <c r="K1002" s="327"/>
      <c r="L1002" s="574"/>
      <c r="M1002" s="327"/>
      <c r="N1002" s="594"/>
      <c r="O1002" s="327"/>
      <c r="P1002" s="574"/>
      <c r="Q1002" s="327"/>
      <c r="R1002" s="594"/>
      <c r="S1002" s="327"/>
      <c r="T1002" s="574"/>
      <c r="U1002" s="327"/>
      <c r="V1002" s="595" t="str">
        <f>'refer admin discharge'!H1003</f>
        <v>00/00/0000</v>
      </c>
      <c r="W1002" s="327"/>
      <c r="X1002" s="596"/>
      <c r="Y1002" s="327"/>
      <c r="Z1002" s="597"/>
      <c r="AA1002" s="327"/>
      <c r="AB1002" s="596"/>
      <c r="AC1002" s="327"/>
      <c r="AD1002" s="577"/>
      <c r="AE1002" s="327"/>
      <c r="AF1002" s="596"/>
      <c r="AG1002" s="327"/>
      <c r="AH1002" s="577"/>
      <c r="AI1002" s="327"/>
      <c r="AJ1002" s="596"/>
      <c r="AK1002" s="327"/>
      <c r="AL1002" s="598"/>
      <c r="AM1002" s="326"/>
      <c r="AN1002" s="326"/>
      <c r="AO1002" s="326"/>
      <c r="AP1002" s="326"/>
      <c r="AQ1002" s="326"/>
      <c r="AR1002" s="326"/>
      <c r="AS1002" s="326"/>
      <c r="AT1002" s="326"/>
      <c r="AU1002" s="326"/>
      <c r="AV1002" s="326"/>
      <c r="AW1002" s="326"/>
      <c r="AX1002" s="326"/>
      <c r="AY1002" s="326"/>
      <c r="AZ1002" s="326"/>
      <c r="BA1002" s="326"/>
      <c r="BB1002" s="327"/>
    </row>
    <row r="1003" spans="1:54" ht="15.75" customHeight="1" x14ac:dyDescent="0.25">
      <c r="A1003" s="11">
        <f t="shared" si="3"/>
        <v>990</v>
      </c>
      <c r="B1003" s="504" t="str">
        <f>'refer admin discharge'!B999</f>
        <v>x</v>
      </c>
      <c r="C1003" s="327"/>
      <c r="D1003" s="505" t="str">
        <f>'refer admin discharge'!D999</f>
        <v>xx</v>
      </c>
      <c r="E1003" s="327"/>
      <c r="F1003" s="606" t="str">
        <f>'refer admin discharge'!H999</f>
        <v>00/00/0000</v>
      </c>
      <c r="G1003" s="327"/>
      <c r="H1003" s="594"/>
      <c r="I1003" s="327"/>
      <c r="J1003" s="605"/>
      <c r="K1003" s="327"/>
      <c r="L1003" s="594"/>
      <c r="M1003" s="327"/>
      <c r="N1003" s="575"/>
      <c r="O1003" s="327"/>
      <c r="P1003" s="594"/>
      <c r="Q1003" s="327"/>
      <c r="R1003" s="575"/>
      <c r="S1003" s="327"/>
      <c r="T1003" s="594"/>
      <c r="U1003" s="327"/>
      <c r="V1003" s="595" t="str">
        <f>'refer admin discharge'!H1004</f>
        <v>00/00/0000</v>
      </c>
      <c r="W1003" s="327"/>
      <c r="X1003" s="577"/>
      <c r="Y1003" s="327"/>
      <c r="Z1003" s="604"/>
      <c r="AA1003" s="327"/>
      <c r="AB1003" s="577"/>
      <c r="AC1003" s="327"/>
      <c r="AD1003" s="576"/>
      <c r="AE1003" s="327"/>
      <c r="AF1003" s="577"/>
      <c r="AG1003" s="327"/>
      <c r="AH1003" s="576"/>
      <c r="AI1003" s="327"/>
      <c r="AJ1003" s="577"/>
      <c r="AK1003" s="327"/>
      <c r="AL1003" s="602"/>
      <c r="AM1003" s="326"/>
      <c r="AN1003" s="326"/>
      <c r="AO1003" s="326"/>
      <c r="AP1003" s="326"/>
      <c r="AQ1003" s="326"/>
      <c r="AR1003" s="326"/>
      <c r="AS1003" s="326"/>
      <c r="AT1003" s="326"/>
      <c r="AU1003" s="326"/>
      <c r="AV1003" s="326"/>
      <c r="AW1003" s="326"/>
      <c r="AX1003" s="326"/>
      <c r="AY1003" s="326"/>
      <c r="AZ1003" s="326"/>
      <c r="BA1003" s="326"/>
      <c r="BB1003" s="327"/>
    </row>
    <row r="1004" spans="1:54" ht="15.75" customHeight="1" x14ac:dyDescent="0.25">
      <c r="A1004" s="11">
        <f t="shared" si="3"/>
        <v>991</v>
      </c>
      <c r="B1004" s="570" t="str">
        <f>'refer admin discharge'!B1000</f>
        <v>x</v>
      </c>
      <c r="C1004" s="327"/>
      <c r="D1004" s="599" t="str">
        <f>'refer admin discharge'!D1000</f>
        <v>xx</v>
      </c>
      <c r="E1004" s="327"/>
      <c r="F1004" s="600" t="str">
        <f>'refer admin discharge'!H1000</f>
        <v>00/00/0000</v>
      </c>
      <c r="G1004" s="327"/>
      <c r="H1004" s="574"/>
      <c r="I1004" s="327"/>
      <c r="J1004" s="601"/>
      <c r="K1004" s="327"/>
      <c r="L1004" s="574"/>
      <c r="M1004" s="327"/>
      <c r="N1004" s="594"/>
      <c r="O1004" s="327"/>
      <c r="P1004" s="574"/>
      <c r="Q1004" s="327"/>
      <c r="R1004" s="594"/>
      <c r="S1004" s="327"/>
      <c r="T1004" s="574"/>
      <c r="U1004" s="327"/>
      <c r="V1004" s="595" t="str">
        <f>'refer admin discharge'!H1005</f>
        <v>00/00/0000</v>
      </c>
      <c r="W1004" s="327"/>
      <c r="X1004" s="596"/>
      <c r="Y1004" s="327"/>
      <c r="Z1004" s="597"/>
      <c r="AA1004" s="327"/>
      <c r="AB1004" s="596"/>
      <c r="AC1004" s="327"/>
      <c r="AD1004" s="577"/>
      <c r="AE1004" s="327"/>
      <c r="AF1004" s="596"/>
      <c r="AG1004" s="327"/>
      <c r="AH1004" s="577"/>
      <c r="AI1004" s="327"/>
      <c r="AJ1004" s="596"/>
      <c r="AK1004" s="327"/>
      <c r="AL1004" s="598"/>
      <c r="AM1004" s="326"/>
      <c r="AN1004" s="326"/>
      <c r="AO1004" s="326"/>
      <c r="AP1004" s="326"/>
      <c r="AQ1004" s="326"/>
      <c r="AR1004" s="326"/>
      <c r="AS1004" s="326"/>
      <c r="AT1004" s="326"/>
      <c r="AU1004" s="326"/>
      <c r="AV1004" s="326"/>
      <c r="AW1004" s="326"/>
      <c r="AX1004" s="326"/>
      <c r="AY1004" s="326"/>
      <c r="AZ1004" s="326"/>
      <c r="BA1004" s="326"/>
      <c r="BB1004" s="327"/>
    </row>
    <row r="1005" spans="1:54" ht="15.75" customHeight="1" x14ac:dyDescent="0.25">
      <c r="A1005" s="11">
        <f t="shared" si="3"/>
        <v>992</v>
      </c>
      <c r="B1005" s="504" t="str">
        <f>'refer admin discharge'!B1001</f>
        <v>x</v>
      </c>
      <c r="C1005" s="327"/>
      <c r="D1005" s="505" t="str">
        <f>'refer admin discharge'!D1001</f>
        <v>xx</v>
      </c>
      <c r="E1005" s="327"/>
      <c r="F1005" s="606" t="str">
        <f>'refer admin discharge'!H1001</f>
        <v>00/00/0000</v>
      </c>
      <c r="G1005" s="327"/>
      <c r="H1005" s="594"/>
      <c r="I1005" s="327"/>
      <c r="J1005" s="605"/>
      <c r="K1005" s="327"/>
      <c r="L1005" s="594"/>
      <c r="M1005" s="327"/>
      <c r="N1005" s="575"/>
      <c r="O1005" s="327"/>
      <c r="P1005" s="594"/>
      <c r="Q1005" s="327"/>
      <c r="R1005" s="575"/>
      <c r="S1005" s="327"/>
      <c r="T1005" s="594"/>
      <c r="U1005" s="327"/>
      <c r="V1005" s="595" t="str">
        <f>'refer admin discharge'!H1006</f>
        <v>00/00/0000</v>
      </c>
      <c r="W1005" s="327"/>
      <c r="X1005" s="577"/>
      <c r="Y1005" s="327"/>
      <c r="Z1005" s="604"/>
      <c r="AA1005" s="327"/>
      <c r="AB1005" s="577"/>
      <c r="AC1005" s="327"/>
      <c r="AD1005" s="576"/>
      <c r="AE1005" s="327"/>
      <c r="AF1005" s="577"/>
      <c r="AG1005" s="327"/>
      <c r="AH1005" s="576"/>
      <c r="AI1005" s="327"/>
      <c r="AJ1005" s="577"/>
      <c r="AK1005" s="327"/>
      <c r="AL1005" s="602"/>
      <c r="AM1005" s="326"/>
      <c r="AN1005" s="326"/>
      <c r="AO1005" s="326"/>
      <c r="AP1005" s="326"/>
      <c r="AQ1005" s="326"/>
      <c r="AR1005" s="326"/>
      <c r="AS1005" s="326"/>
      <c r="AT1005" s="326"/>
      <c r="AU1005" s="326"/>
      <c r="AV1005" s="326"/>
      <c r="AW1005" s="326"/>
      <c r="AX1005" s="326"/>
      <c r="AY1005" s="326"/>
      <c r="AZ1005" s="326"/>
      <c r="BA1005" s="326"/>
      <c r="BB1005" s="327"/>
    </row>
    <row r="1006" spans="1:54" ht="15.75" customHeight="1" x14ac:dyDescent="0.25">
      <c r="A1006" s="11">
        <f t="shared" si="3"/>
        <v>993</v>
      </c>
      <c r="B1006" s="570" t="str">
        <f>'refer admin discharge'!B1002</f>
        <v>x</v>
      </c>
      <c r="C1006" s="327"/>
      <c r="D1006" s="599" t="str">
        <f>'refer admin discharge'!D1002</f>
        <v>xx</v>
      </c>
      <c r="E1006" s="327"/>
      <c r="F1006" s="600" t="str">
        <f>'refer admin discharge'!H1002</f>
        <v>00/00/0000</v>
      </c>
      <c r="G1006" s="327"/>
      <c r="H1006" s="574"/>
      <c r="I1006" s="327"/>
      <c r="J1006" s="601"/>
      <c r="K1006" s="327"/>
      <c r="L1006" s="574"/>
      <c r="M1006" s="327"/>
      <c r="N1006" s="594"/>
      <c r="O1006" s="327"/>
      <c r="P1006" s="574"/>
      <c r="Q1006" s="327"/>
      <c r="R1006" s="594"/>
      <c r="S1006" s="327"/>
      <c r="T1006" s="574"/>
      <c r="U1006" s="327"/>
      <c r="V1006" s="595" t="str">
        <f>'refer admin discharge'!H1007</f>
        <v>00/00/0000</v>
      </c>
      <c r="W1006" s="327"/>
      <c r="X1006" s="596"/>
      <c r="Y1006" s="327"/>
      <c r="Z1006" s="597"/>
      <c r="AA1006" s="327"/>
      <c r="AB1006" s="596"/>
      <c r="AC1006" s="327"/>
      <c r="AD1006" s="577"/>
      <c r="AE1006" s="327"/>
      <c r="AF1006" s="596"/>
      <c r="AG1006" s="327"/>
      <c r="AH1006" s="577"/>
      <c r="AI1006" s="327"/>
      <c r="AJ1006" s="596"/>
      <c r="AK1006" s="327"/>
      <c r="AL1006" s="598"/>
      <c r="AM1006" s="326"/>
      <c r="AN1006" s="326"/>
      <c r="AO1006" s="326"/>
      <c r="AP1006" s="326"/>
      <c r="AQ1006" s="326"/>
      <c r="AR1006" s="326"/>
      <c r="AS1006" s="326"/>
      <c r="AT1006" s="326"/>
      <c r="AU1006" s="326"/>
      <c r="AV1006" s="326"/>
      <c r="AW1006" s="326"/>
      <c r="AX1006" s="326"/>
      <c r="AY1006" s="326"/>
      <c r="AZ1006" s="326"/>
      <c r="BA1006" s="326"/>
      <c r="BB1006" s="327"/>
    </row>
    <row r="1007" spans="1:54" ht="15.75" customHeight="1" x14ac:dyDescent="0.25">
      <c r="A1007" s="11">
        <f t="shared" si="3"/>
        <v>994</v>
      </c>
      <c r="B1007" s="504" t="str">
        <f>'refer admin discharge'!B1003</f>
        <v>x</v>
      </c>
      <c r="C1007" s="327"/>
      <c r="D1007" s="505" t="str">
        <f>'refer admin discharge'!D1003</f>
        <v>xx</v>
      </c>
      <c r="E1007" s="327"/>
      <c r="F1007" s="606" t="str">
        <f>'refer admin discharge'!H1003</f>
        <v>00/00/0000</v>
      </c>
      <c r="G1007" s="327"/>
      <c r="H1007" s="594"/>
      <c r="I1007" s="327"/>
      <c r="J1007" s="605"/>
      <c r="K1007" s="327"/>
      <c r="L1007" s="594"/>
      <c r="M1007" s="327"/>
      <c r="N1007" s="575"/>
      <c r="O1007" s="327"/>
      <c r="P1007" s="594"/>
      <c r="Q1007" s="327"/>
      <c r="R1007" s="575"/>
      <c r="S1007" s="327"/>
      <c r="T1007" s="594"/>
      <c r="U1007" s="327"/>
      <c r="V1007" s="595" t="str">
        <f>'refer admin discharge'!H1008</f>
        <v>00/00/0000</v>
      </c>
      <c r="W1007" s="327"/>
      <c r="X1007" s="577"/>
      <c r="Y1007" s="327"/>
      <c r="Z1007" s="604"/>
      <c r="AA1007" s="327"/>
      <c r="AB1007" s="577"/>
      <c r="AC1007" s="327"/>
      <c r="AD1007" s="576"/>
      <c r="AE1007" s="327"/>
      <c r="AF1007" s="577"/>
      <c r="AG1007" s="327"/>
      <c r="AH1007" s="576"/>
      <c r="AI1007" s="327"/>
      <c r="AJ1007" s="577"/>
      <c r="AK1007" s="327"/>
      <c r="AL1007" s="602"/>
      <c r="AM1007" s="326"/>
      <c r="AN1007" s="326"/>
      <c r="AO1007" s="326"/>
      <c r="AP1007" s="326"/>
      <c r="AQ1007" s="326"/>
      <c r="AR1007" s="326"/>
      <c r="AS1007" s="326"/>
      <c r="AT1007" s="326"/>
      <c r="AU1007" s="326"/>
      <c r="AV1007" s="326"/>
      <c r="AW1007" s="326"/>
      <c r="AX1007" s="326"/>
      <c r="AY1007" s="326"/>
      <c r="AZ1007" s="326"/>
      <c r="BA1007" s="326"/>
      <c r="BB1007" s="327"/>
    </row>
    <row r="1008" spans="1:54" ht="15.75" customHeight="1" x14ac:dyDescent="0.25">
      <c r="A1008" s="11">
        <f t="shared" si="3"/>
        <v>995</v>
      </c>
      <c r="B1008" s="570" t="str">
        <f>'refer admin discharge'!B1004</f>
        <v>x</v>
      </c>
      <c r="C1008" s="327"/>
      <c r="D1008" s="599" t="str">
        <f>'refer admin discharge'!D1004</f>
        <v>xx</v>
      </c>
      <c r="E1008" s="327"/>
      <c r="F1008" s="600" t="str">
        <f>'refer admin discharge'!H1004</f>
        <v>00/00/0000</v>
      </c>
      <c r="G1008" s="327"/>
      <c r="H1008" s="574"/>
      <c r="I1008" s="327"/>
      <c r="J1008" s="601"/>
      <c r="K1008" s="327"/>
      <c r="L1008" s="574"/>
      <c r="M1008" s="327"/>
      <c r="N1008" s="594"/>
      <c r="O1008" s="327"/>
      <c r="P1008" s="574"/>
      <c r="Q1008" s="327"/>
      <c r="R1008" s="594"/>
      <c r="S1008" s="327"/>
      <c r="T1008" s="574"/>
      <c r="U1008" s="327"/>
      <c r="V1008" s="595" t="str">
        <f>'refer admin discharge'!H1009</f>
        <v>00/00/0000</v>
      </c>
      <c r="W1008" s="327"/>
      <c r="X1008" s="596"/>
      <c r="Y1008" s="327"/>
      <c r="Z1008" s="597"/>
      <c r="AA1008" s="327"/>
      <c r="AB1008" s="596"/>
      <c r="AC1008" s="327"/>
      <c r="AD1008" s="577"/>
      <c r="AE1008" s="327"/>
      <c r="AF1008" s="596"/>
      <c r="AG1008" s="327"/>
      <c r="AH1008" s="577"/>
      <c r="AI1008" s="327"/>
      <c r="AJ1008" s="596"/>
      <c r="AK1008" s="327"/>
      <c r="AL1008" s="598"/>
      <c r="AM1008" s="326"/>
      <c r="AN1008" s="326"/>
      <c r="AO1008" s="326"/>
      <c r="AP1008" s="326"/>
      <c r="AQ1008" s="326"/>
      <c r="AR1008" s="326"/>
      <c r="AS1008" s="326"/>
      <c r="AT1008" s="326"/>
      <c r="AU1008" s="326"/>
      <c r="AV1008" s="326"/>
      <c r="AW1008" s="326"/>
      <c r="AX1008" s="326"/>
      <c r="AY1008" s="326"/>
      <c r="AZ1008" s="326"/>
      <c r="BA1008" s="326"/>
      <c r="BB1008" s="327"/>
    </row>
    <row r="1009" spans="1:54" ht="15.75" customHeight="1" x14ac:dyDescent="0.25">
      <c r="A1009" s="11">
        <f t="shared" si="3"/>
        <v>996</v>
      </c>
      <c r="B1009" s="504" t="str">
        <f>'refer admin discharge'!B1005</f>
        <v>x</v>
      </c>
      <c r="C1009" s="327"/>
      <c r="D1009" s="505" t="str">
        <f>'refer admin discharge'!D1005</f>
        <v>xx</v>
      </c>
      <c r="E1009" s="327"/>
      <c r="F1009" s="606" t="str">
        <f>'refer admin discharge'!H1005</f>
        <v>00/00/0000</v>
      </c>
      <c r="G1009" s="327"/>
      <c r="H1009" s="594"/>
      <c r="I1009" s="327"/>
      <c r="J1009" s="605"/>
      <c r="K1009" s="327"/>
      <c r="L1009" s="594"/>
      <c r="M1009" s="327"/>
      <c r="N1009" s="575"/>
      <c r="O1009" s="327"/>
      <c r="P1009" s="594"/>
      <c r="Q1009" s="327"/>
      <c r="R1009" s="575"/>
      <c r="S1009" s="327"/>
      <c r="T1009" s="594"/>
      <c r="U1009" s="327"/>
      <c r="V1009" s="595" t="str">
        <f>'refer admin discharge'!H1010</f>
        <v>00/00/0000</v>
      </c>
      <c r="W1009" s="327"/>
      <c r="X1009" s="577"/>
      <c r="Y1009" s="327"/>
      <c r="Z1009" s="604"/>
      <c r="AA1009" s="327"/>
      <c r="AB1009" s="577"/>
      <c r="AC1009" s="327"/>
      <c r="AD1009" s="576"/>
      <c r="AE1009" s="327"/>
      <c r="AF1009" s="577"/>
      <c r="AG1009" s="327"/>
      <c r="AH1009" s="576"/>
      <c r="AI1009" s="327"/>
      <c r="AJ1009" s="577"/>
      <c r="AK1009" s="327"/>
      <c r="AL1009" s="602"/>
      <c r="AM1009" s="326"/>
      <c r="AN1009" s="326"/>
      <c r="AO1009" s="326"/>
      <c r="AP1009" s="326"/>
      <c r="AQ1009" s="326"/>
      <c r="AR1009" s="326"/>
      <c r="AS1009" s="326"/>
      <c r="AT1009" s="326"/>
      <c r="AU1009" s="326"/>
      <c r="AV1009" s="326"/>
      <c r="AW1009" s="326"/>
      <c r="AX1009" s="326"/>
      <c r="AY1009" s="326"/>
      <c r="AZ1009" s="326"/>
      <c r="BA1009" s="326"/>
      <c r="BB1009" s="327"/>
    </row>
    <row r="1010" spans="1:54" ht="15.75" customHeight="1" x14ac:dyDescent="0.25">
      <c r="A1010" s="11">
        <f t="shared" si="3"/>
        <v>997</v>
      </c>
      <c r="B1010" s="570" t="str">
        <f>'refer admin discharge'!B1006</f>
        <v>x</v>
      </c>
      <c r="C1010" s="327"/>
      <c r="D1010" s="599" t="str">
        <f>'refer admin discharge'!D1006</f>
        <v>xx</v>
      </c>
      <c r="E1010" s="327"/>
      <c r="F1010" s="600" t="str">
        <f>'refer admin discharge'!H1006</f>
        <v>00/00/0000</v>
      </c>
      <c r="G1010" s="327"/>
      <c r="H1010" s="574"/>
      <c r="I1010" s="327"/>
      <c r="J1010" s="601"/>
      <c r="K1010" s="327"/>
      <c r="L1010" s="574"/>
      <c r="M1010" s="327"/>
      <c r="N1010" s="594"/>
      <c r="O1010" s="327"/>
      <c r="P1010" s="574"/>
      <c r="Q1010" s="327"/>
      <c r="R1010" s="594"/>
      <c r="S1010" s="327"/>
      <c r="T1010" s="574"/>
      <c r="U1010" s="327"/>
      <c r="V1010" s="595" t="str">
        <f>'refer admin discharge'!H1011</f>
        <v>00/00/0000</v>
      </c>
      <c r="W1010" s="327"/>
      <c r="X1010" s="596"/>
      <c r="Y1010" s="327"/>
      <c r="Z1010" s="597"/>
      <c r="AA1010" s="327"/>
      <c r="AB1010" s="596"/>
      <c r="AC1010" s="327"/>
      <c r="AD1010" s="577"/>
      <c r="AE1010" s="327"/>
      <c r="AF1010" s="596"/>
      <c r="AG1010" s="327"/>
      <c r="AH1010" s="577"/>
      <c r="AI1010" s="327"/>
      <c r="AJ1010" s="596"/>
      <c r="AK1010" s="327"/>
      <c r="AL1010" s="598"/>
      <c r="AM1010" s="326"/>
      <c r="AN1010" s="326"/>
      <c r="AO1010" s="326"/>
      <c r="AP1010" s="326"/>
      <c r="AQ1010" s="326"/>
      <c r="AR1010" s="326"/>
      <c r="AS1010" s="326"/>
      <c r="AT1010" s="326"/>
      <c r="AU1010" s="326"/>
      <c r="AV1010" s="326"/>
      <c r="AW1010" s="326"/>
      <c r="AX1010" s="326"/>
      <c r="AY1010" s="326"/>
      <c r="AZ1010" s="326"/>
      <c r="BA1010" s="326"/>
      <c r="BB1010" s="327"/>
    </row>
    <row r="1011" spans="1:54" ht="15.75" customHeight="1" x14ac:dyDescent="0.25">
      <c r="A1011" s="11">
        <f t="shared" si="3"/>
        <v>998</v>
      </c>
      <c r="B1011" s="504" t="str">
        <f>'refer admin discharge'!B1007</f>
        <v>x</v>
      </c>
      <c r="C1011" s="327"/>
      <c r="D1011" s="505" t="str">
        <f>'refer admin discharge'!D1007</f>
        <v>xx</v>
      </c>
      <c r="E1011" s="327"/>
      <c r="F1011" s="606" t="str">
        <f>'refer admin discharge'!H1007</f>
        <v>00/00/0000</v>
      </c>
      <c r="G1011" s="327"/>
      <c r="H1011" s="594"/>
      <c r="I1011" s="327"/>
      <c r="J1011" s="605"/>
      <c r="K1011" s="327"/>
      <c r="L1011" s="594"/>
      <c r="M1011" s="327"/>
      <c r="N1011" s="575"/>
      <c r="O1011" s="327"/>
      <c r="P1011" s="594"/>
      <c r="Q1011" s="327"/>
      <c r="R1011" s="575"/>
      <c r="S1011" s="327"/>
      <c r="T1011" s="594"/>
      <c r="U1011" s="327"/>
      <c r="V1011" s="595" t="str">
        <f>'refer admin discharge'!H1012</f>
        <v>00/00/0000</v>
      </c>
      <c r="W1011" s="327"/>
      <c r="X1011" s="577"/>
      <c r="Y1011" s="327"/>
      <c r="Z1011" s="604"/>
      <c r="AA1011" s="327"/>
      <c r="AB1011" s="577"/>
      <c r="AC1011" s="327"/>
      <c r="AD1011" s="576"/>
      <c r="AE1011" s="327"/>
      <c r="AF1011" s="577"/>
      <c r="AG1011" s="327"/>
      <c r="AH1011" s="576"/>
      <c r="AI1011" s="327"/>
      <c r="AJ1011" s="577"/>
      <c r="AK1011" s="327"/>
      <c r="AL1011" s="602"/>
      <c r="AM1011" s="326"/>
      <c r="AN1011" s="326"/>
      <c r="AO1011" s="326"/>
      <c r="AP1011" s="326"/>
      <c r="AQ1011" s="326"/>
      <c r="AR1011" s="326"/>
      <c r="AS1011" s="326"/>
      <c r="AT1011" s="326"/>
      <c r="AU1011" s="326"/>
      <c r="AV1011" s="326"/>
      <c r="AW1011" s="326"/>
      <c r="AX1011" s="326"/>
      <c r="AY1011" s="326"/>
      <c r="AZ1011" s="326"/>
      <c r="BA1011" s="326"/>
      <c r="BB1011" s="327"/>
    </row>
    <row r="1012" spans="1:54" ht="15.75" customHeight="1" x14ac:dyDescent="0.25">
      <c r="A1012" s="11">
        <f t="shared" si="3"/>
        <v>999</v>
      </c>
      <c r="B1012" s="570" t="str">
        <f>'refer admin discharge'!B1008</f>
        <v>x</v>
      </c>
      <c r="C1012" s="327"/>
      <c r="D1012" s="599" t="str">
        <f>'refer admin discharge'!D1008</f>
        <v>xx</v>
      </c>
      <c r="E1012" s="327"/>
      <c r="F1012" s="600" t="str">
        <f>'refer admin discharge'!H1008</f>
        <v>00/00/0000</v>
      </c>
      <c r="G1012" s="327"/>
      <c r="H1012" s="574"/>
      <c r="I1012" s="327"/>
      <c r="J1012" s="601"/>
      <c r="K1012" s="327"/>
      <c r="L1012" s="574"/>
      <c r="M1012" s="327"/>
      <c r="N1012" s="594"/>
      <c r="O1012" s="327"/>
      <c r="P1012" s="574"/>
      <c r="Q1012" s="327"/>
      <c r="R1012" s="594"/>
      <c r="S1012" s="327"/>
      <c r="T1012" s="574"/>
      <c r="U1012" s="327"/>
      <c r="V1012" s="595" t="str">
        <f>'refer admin discharge'!H1013</f>
        <v>00/00/0000</v>
      </c>
      <c r="W1012" s="327"/>
      <c r="X1012" s="596"/>
      <c r="Y1012" s="327"/>
      <c r="Z1012" s="597"/>
      <c r="AA1012" s="327"/>
      <c r="AB1012" s="596"/>
      <c r="AC1012" s="327"/>
      <c r="AD1012" s="577"/>
      <c r="AE1012" s="327"/>
      <c r="AF1012" s="596"/>
      <c r="AG1012" s="327"/>
      <c r="AH1012" s="577"/>
      <c r="AI1012" s="327"/>
      <c r="AJ1012" s="596"/>
      <c r="AK1012" s="327"/>
      <c r="AL1012" s="598"/>
      <c r="AM1012" s="326"/>
      <c r="AN1012" s="326"/>
      <c r="AO1012" s="326"/>
      <c r="AP1012" s="326"/>
      <c r="AQ1012" s="326"/>
      <c r="AR1012" s="326"/>
      <c r="AS1012" s="326"/>
      <c r="AT1012" s="326"/>
      <c r="AU1012" s="326"/>
      <c r="AV1012" s="326"/>
      <c r="AW1012" s="326"/>
      <c r="AX1012" s="326"/>
      <c r="AY1012" s="326"/>
      <c r="AZ1012" s="326"/>
      <c r="BA1012" s="326"/>
      <c r="BB1012" s="327"/>
    </row>
    <row r="1013" spans="1:54" ht="15.75" customHeight="1" x14ac:dyDescent="0.25">
      <c r="A1013" s="11">
        <f t="shared" si="3"/>
        <v>1000</v>
      </c>
      <c r="B1013" s="504" t="str">
        <f>'refer admin discharge'!B1009</f>
        <v>x</v>
      </c>
      <c r="C1013" s="327"/>
      <c r="D1013" s="505" t="str">
        <f>'refer admin discharge'!D1009</f>
        <v>xx</v>
      </c>
      <c r="E1013" s="327"/>
      <c r="F1013" s="606" t="str">
        <f>'refer admin discharge'!H1009</f>
        <v>00/00/0000</v>
      </c>
      <c r="G1013" s="327"/>
      <c r="H1013" s="594"/>
      <c r="I1013" s="327"/>
      <c r="J1013" s="605"/>
      <c r="K1013" s="327"/>
      <c r="L1013" s="594"/>
      <c r="M1013" s="327"/>
      <c r="N1013" s="575"/>
      <c r="O1013" s="327"/>
      <c r="P1013" s="594"/>
      <c r="Q1013" s="327"/>
      <c r="R1013" s="575"/>
      <c r="S1013" s="327"/>
      <c r="T1013" s="594"/>
      <c r="U1013" s="327"/>
      <c r="V1013" s="595" t="str">
        <f>'refer admin discharge'!H1014</f>
        <v>00/00/0000</v>
      </c>
      <c r="W1013" s="327"/>
      <c r="X1013" s="577"/>
      <c r="Y1013" s="327"/>
      <c r="Z1013" s="604"/>
      <c r="AA1013" s="327"/>
      <c r="AB1013" s="577"/>
      <c r="AC1013" s="327"/>
      <c r="AD1013" s="576"/>
      <c r="AE1013" s="327"/>
      <c r="AF1013" s="577"/>
      <c r="AG1013" s="327"/>
      <c r="AH1013" s="576"/>
      <c r="AI1013" s="327"/>
      <c r="AJ1013" s="577"/>
      <c r="AK1013" s="327"/>
      <c r="AL1013" s="602"/>
      <c r="AM1013" s="326"/>
      <c r="AN1013" s="326"/>
      <c r="AO1013" s="326"/>
      <c r="AP1013" s="326"/>
      <c r="AQ1013" s="326"/>
      <c r="AR1013" s="326"/>
      <c r="AS1013" s="326"/>
      <c r="AT1013" s="326"/>
      <c r="AU1013" s="326"/>
      <c r="AV1013" s="326"/>
      <c r="AW1013" s="326"/>
      <c r="AX1013" s="326"/>
      <c r="AY1013" s="326"/>
      <c r="AZ1013" s="326"/>
      <c r="BA1013" s="326"/>
      <c r="BB1013" s="327"/>
    </row>
    <row r="1014" spans="1:54" ht="15.75" customHeight="1" x14ac:dyDescent="0.25">
      <c r="A1014" s="11">
        <f t="shared" si="3"/>
        <v>1001</v>
      </c>
      <c r="B1014" s="570" t="str">
        <f>'refer admin discharge'!B1010</f>
        <v>x</v>
      </c>
      <c r="C1014" s="327"/>
      <c r="D1014" s="599" t="str">
        <f>'refer admin discharge'!D1010</f>
        <v>xx</v>
      </c>
      <c r="E1014" s="327"/>
      <c r="F1014" s="600" t="str">
        <f>'refer admin discharge'!H1010</f>
        <v>00/00/0000</v>
      </c>
      <c r="G1014" s="327"/>
      <c r="H1014" s="574"/>
      <c r="I1014" s="327"/>
      <c r="J1014" s="601"/>
      <c r="K1014" s="327"/>
      <c r="L1014" s="574"/>
      <c r="M1014" s="327"/>
      <c r="N1014" s="594"/>
      <c r="O1014" s="327"/>
      <c r="P1014" s="574"/>
      <c r="Q1014" s="327"/>
      <c r="R1014" s="594"/>
      <c r="S1014" s="327"/>
      <c r="T1014" s="574"/>
      <c r="U1014" s="327"/>
      <c r="V1014" s="595" t="str">
        <f>'refer admin discharge'!H1015</f>
        <v>00/00/0000</v>
      </c>
      <c r="W1014" s="327"/>
      <c r="X1014" s="596"/>
      <c r="Y1014" s="327"/>
      <c r="Z1014" s="597"/>
      <c r="AA1014" s="327"/>
      <c r="AB1014" s="596"/>
      <c r="AC1014" s="327"/>
      <c r="AD1014" s="577"/>
      <c r="AE1014" s="327"/>
      <c r="AF1014" s="596"/>
      <c r="AG1014" s="327"/>
      <c r="AH1014" s="577"/>
      <c r="AI1014" s="327"/>
      <c r="AJ1014" s="596"/>
      <c r="AK1014" s="327"/>
      <c r="AL1014" s="598"/>
      <c r="AM1014" s="326"/>
      <c r="AN1014" s="326"/>
      <c r="AO1014" s="326"/>
      <c r="AP1014" s="326"/>
      <c r="AQ1014" s="326"/>
      <c r="AR1014" s="326"/>
      <c r="AS1014" s="326"/>
      <c r="AT1014" s="326"/>
      <c r="AU1014" s="326"/>
      <c r="AV1014" s="326"/>
      <c r="AW1014" s="326"/>
      <c r="AX1014" s="326"/>
      <c r="AY1014" s="326"/>
      <c r="AZ1014" s="326"/>
      <c r="BA1014" s="326"/>
      <c r="BB1014" s="327"/>
    </row>
    <row r="1015" spans="1:54" ht="15.75" customHeight="1" x14ac:dyDescent="0.25">
      <c r="A1015" s="11">
        <f t="shared" si="3"/>
        <v>1002</v>
      </c>
      <c r="B1015" s="504" t="str">
        <f>'refer admin discharge'!B1011</f>
        <v>x</v>
      </c>
      <c r="C1015" s="327"/>
      <c r="D1015" s="505" t="str">
        <f>'refer admin discharge'!D1011</f>
        <v>xx</v>
      </c>
      <c r="E1015" s="327"/>
      <c r="F1015" s="606" t="str">
        <f>'refer admin discharge'!H1011</f>
        <v>00/00/0000</v>
      </c>
      <c r="G1015" s="327"/>
      <c r="H1015" s="594"/>
      <c r="I1015" s="327"/>
      <c r="J1015" s="605"/>
      <c r="K1015" s="327"/>
      <c r="L1015" s="594"/>
      <c r="M1015" s="327"/>
      <c r="N1015" s="575"/>
      <c r="O1015" s="327"/>
      <c r="P1015" s="594"/>
      <c r="Q1015" s="327"/>
      <c r="R1015" s="575"/>
      <c r="S1015" s="327"/>
      <c r="T1015" s="594"/>
      <c r="U1015" s="327"/>
      <c r="V1015" s="595" t="str">
        <f>'refer admin discharge'!H1016</f>
        <v>00/00/0000</v>
      </c>
      <c r="W1015" s="327"/>
      <c r="X1015" s="577"/>
      <c r="Y1015" s="327"/>
      <c r="Z1015" s="604"/>
      <c r="AA1015" s="327"/>
      <c r="AB1015" s="577"/>
      <c r="AC1015" s="327"/>
      <c r="AD1015" s="576"/>
      <c r="AE1015" s="327"/>
      <c r="AF1015" s="577"/>
      <c r="AG1015" s="327"/>
      <c r="AH1015" s="576"/>
      <c r="AI1015" s="327"/>
      <c r="AJ1015" s="577"/>
      <c r="AK1015" s="327"/>
      <c r="AL1015" s="602"/>
      <c r="AM1015" s="326"/>
      <c r="AN1015" s="326"/>
      <c r="AO1015" s="326"/>
      <c r="AP1015" s="326"/>
      <c r="AQ1015" s="326"/>
      <c r="AR1015" s="326"/>
      <c r="AS1015" s="326"/>
      <c r="AT1015" s="326"/>
      <c r="AU1015" s="326"/>
      <c r="AV1015" s="326"/>
      <c r="AW1015" s="326"/>
      <c r="AX1015" s="326"/>
      <c r="AY1015" s="326"/>
      <c r="AZ1015" s="326"/>
      <c r="BA1015" s="326"/>
      <c r="BB1015" s="327"/>
    </row>
    <row r="1016" spans="1:54" ht="15.75" customHeight="1" x14ac:dyDescent="0.25">
      <c r="A1016" s="11">
        <f t="shared" si="3"/>
        <v>1003</v>
      </c>
      <c r="B1016" s="570" t="str">
        <f>'refer admin discharge'!B1012</f>
        <v>x</v>
      </c>
      <c r="C1016" s="327"/>
      <c r="D1016" s="599" t="str">
        <f>'refer admin discharge'!D1012</f>
        <v>xx</v>
      </c>
      <c r="E1016" s="327"/>
      <c r="F1016" s="600" t="str">
        <f>'refer admin discharge'!H1012</f>
        <v>00/00/0000</v>
      </c>
      <c r="G1016" s="327"/>
      <c r="H1016" s="574"/>
      <c r="I1016" s="327"/>
      <c r="J1016" s="601"/>
      <c r="K1016" s="327"/>
      <c r="L1016" s="574"/>
      <c r="M1016" s="327"/>
      <c r="N1016" s="594"/>
      <c r="O1016" s="327"/>
      <c r="P1016" s="574"/>
      <c r="Q1016" s="327"/>
      <c r="R1016" s="594"/>
      <c r="S1016" s="327"/>
      <c r="T1016" s="574"/>
      <c r="U1016" s="327"/>
      <c r="V1016" s="595" t="str">
        <f>'refer admin discharge'!H1017</f>
        <v>00/00/0000</v>
      </c>
      <c r="W1016" s="327"/>
      <c r="X1016" s="596"/>
      <c r="Y1016" s="327"/>
      <c r="Z1016" s="597"/>
      <c r="AA1016" s="327"/>
      <c r="AB1016" s="596"/>
      <c r="AC1016" s="327"/>
      <c r="AD1016" s="577"/>
      <c r="AE1016" s="327"/>
      <c r="AF1016" s="596"/>
      <c r="AG1016" s="327"/>
      <c r="AH1016" s="577"/>
      <c r="AI1016" s="327"/>
      <c r="AJ1016" s="596"/>
      <c r="AK1016" s="327"/>
      <c r="AL1016" s="598"/>
      <c r="AM1016" s="326"/>
      <c r="AN1016" s="326"/>
      <c r="AO1016" s="326"/>
      <c r="AP1016" s="326"/>
      <c r="AQ1016" s="326"/>
      <c r="AR1016" s="326"/>
      <c r="AS1016" s="326"/>
      <c r="AT1016" s="326"/>
      <c r="AU1016" s="326"/>
      <c r="AV1016" s="326"/>
      <c r="AW1016" s="326"/>
      <c r="AX1016" s="326"/>
      <c r="AY1016" s="326"/>
      <c r="AZ1016" s="326"/>
      <c r="BA1016" s="326"/>
      <c r="BB1016" s="327"/>
    </row>
    <row r="1017" spans="1:54" ht="15.75" customHeight="1" x14ac:dyDescent="0.25">
      <c r="A1017" s="11">
        <f t="shared" si="3"/>
        <v>1004</v>
      </c>
      <c r="B1017" s="504" t="str">
        <f>'refer admin discharge'!B1013</f>
        <v>x</v>
      </c>
      <c r="C1017" s="327"/>
      <c r="D1017" s="505" t="str">
        <f>'refer admin discharge'!D1013</f>
        <v>xx</v>
      </c>
      <c r="E1017" s="327"/>
      <c r="F1017" s="606" t="str">
        <f>'refer admin discharge'!H1013</f>
        <v>00/00/0000</v>
      </c>
      <c r="G1017" s="327"/>
      <c r="H1017" s="594"/>
      <c r="I1017" s="327"/>
      <c r="J1017" s="605"/>
      <c r="K1017" s="327"/>
      <c r="L1017" s="594"/>
      <c r="M1017" s="327"/>
      <c r="N1017" s="575"/>
      <c r="O1017" s="327"/>
      <c r="P1017" s="594"/>
      <c r="Q1017" s="327"/>
      <c r="R1017" s="575"/>
      <c r="S1017" s="327"/>
      <c r="T1017" s="594"/>
      <c r="U1017" s="327"/>
      <c r="V1017" s="595" t="str">
        <f>'refer admin discharge'!H1018</f>
        <v>00/00/0000</v>
      </c>
      <c r="W1017" s="327"/>
      <c r="X1017" s="577"/>
      <c r="Y1017" s="327"/>
      <c r="Z1017" s="604"/>
      <c r="AA1017" s="327"/>
      <c r="AB1017" s="577"/>
      <c r="AC1017" s="327"/>
      <c r="AD1017" s="576"/>
      <c r="AE1017" s="327"/>
      <c r="AF1017" s="577"/>
      <c r="AG1017" s="327"/>
      <c r="AH1017" s="576"/>
      <c r="AI1017" s="327"/>
      <c r="AJ1017" s="577"/>
      <c r="AK1017" s="327"/>
      <c r="AL1017" s="602"/>
      <c r="AM1017" s="326"/>
      <c r="AN1017" s="326"/>
      <c r="AO1017" s="326"/>
      <c r="AP1017" s="326"/>
      <c r="AQ1017" s="326"/>
      <c r="AR1017" s="326"/>
      <c r="AS1017" s="326"/>
      <c r="AT1017" s="326"/>
      <c r="AU1017" s="326"/>
      <c r="AV1017" s="326"/>
      <c r="AW1017" s="326"/>
      <c r="AX1017" s="326"/>
      <c r="AY1017" s="326"/>
      <c r="AZ1017" s="326"/>
      <c r="BA1017" s="326"/>
      <c r="BB1017" s="327"/>
    </row>
    <row r="1018" spans="1:54" ht="15.75" customHeight="1" x14ac:dyDescent="0.25">
      <c r="A1018" s="11">
        <f t="shared" si="3"/>
        <v>1005</v>
      </c>
      <c r="B1018" s="570" t="str">
        <f>'refer admin discharge'!B1014</f>
        <v>x</v>
      </c>
      <c r="C1018" s="327"/>
      <c r="D1018" s="599" t="str">
        <f>'refer admin discharge'!D1014</f>
        <v>xx</v>
      </c>
      <c r="E1018" s="327"/>
      <c r="F1018" s="600" t="str">
        <f>'refer admin discharge'!H1014</f>
        <v>00/00/0000</v>
      </c>
      <c r="G1018" s="327"/>
      <c r="H1018" s="574"/>
      <c r="I1018" s="327"/>
      <c r="J1018" s="601"/>
      <c r="K1018" s="327"/>
      <c r="L1018" s="574"/>
      <c r="M1018" s="327"/>
      <c r="N1018" s="594"/>
      <c r="O1018" s="327"/>
      <c r="P1018" s="574"/>
      <c r="Q1018" s="327"/>
      <c r="R1018" s="594"/>
      <c r="S1018" s="327"/>
      <c r="T1018" s="574"/>
      <c r="U1018" s="327"/>
      <c r="V1018" s="595" t="str">
        <f>'refer admin discharge'!H1019</f>
        <v>00/00/0000</v>
      </c>
      <c r="W1018" s="327"/>
      <c r="X1018" s="596"/>
      <c r="Y1018" s="327"/>
      <c r="Z1018" s="597"/>
      <c r="AA1018" s="327"/>
      <c r="AB1018" s="596"/>
      <c r="AC1018" s="327"/>
      <c r="AD1018" s="577"/>
      <c r="AE1018" s="327"/>
      <c r="AF1018" s="596"/>
      <c r="AG1018" s="327"/>
      <c r="AH1018" s="577"/>
      <c r="AI1018" s="327"/>
      <c r="AJ1018" s="596"/>
      <c r="AK1018" s="327"/>
      <c r="AL1018" s="598"/>
      <c r="AM1018" s="326"/>
      <c r="AN1018" s="326"/>
      <c r="AO1018" s="326"/>
      <c r="AP1018" s="326"/>
      <c r="AQ1018" s="326"/>
      <c r="AR1018" s="326"/>
      <c r="AS1018" s="326"/>
      <c r="AT1018" s="326"/>
      <c r="AU1018" s="326"/>
      <c r="AV1018" s="326"/>
      <c r="AW1018" s="326"/>
      <c r="AX1018" s="326"/>
      <c r="AY1018" s="326"/>
      <c r="AZ1018" s="326"/>
      <c r="BA1018" s="326"/>
      <c r="BB1018" s="327"/>
    </row>
    <row r="1019" spans="1:54" ht="15.75" customHeight="1" x14ac:dyDescent="0.25">
      <c r="A1019" s="11">
        <f t="shared" si="3"/>
        <v>1006</v>
      </c>
      <c r="B1019" s="504" t="str">
        <f>'refer admin discharge'!B1015</f>
        <v>x</v>
      </c>
      <c r="C1019" s="327"/>
      <c r="D1019" s="505" t="str">
        <f>'refer admin discharge'!D1015</f>
        <v>xx</v>
      </c>
      <c r="E1019" s="327"/>
      <c r="F1019" s="606" t="str">
        <f>'refer admin discharge'!H1015</f>
        <v>00/00/0000</v>
      </c>
      <c r="G1019" s="327"/>
      <c r="H1019" s="594"/>
      <c r="I1019" s="327"/>
      <c r="J1019" s="605"/>
      <c r="K1019" s="327"/>
      <c r="L1019" s="594"/>
      <c r="M1019" s="327"/>
      <c r="N1019" s="575"/>
      <c r="O1019" s="327"/>
      <c r="P1019" s="594"/>
      <c r="Q1019" s="327"/>
      <c r="R1019" s="575"/>
      <c r="S1019" s="327"/>
      <c r="T1019" s="594"/>
      <c r="U1019" s="327"/>
      <c r="V1019" s="595" t="str">
        <f>'refer admin discharge'!H1020</f>
        <v>00/00/0000</v>
      </c>
      <c r="W1019" s="327"/>
      <c r="X1019" s="577"/>
      <c r="Y1019" s="327"/>
      <c r="Z1019" s="604"/>
      <c r="AA1019" s="327"/>
      <c r="AB1019" s="577"/>
      <c r="AC1019" s="327"/>
      <c r="AD1019" s="576"/>
      <c r="AE1019" s="327"/>
      <c r="AF1019" s="577"/>
      <c r="AG1019" s="327"/>
      <c r="AH1019" s="576"/>
      <c r="AI1019" s="327"/>
      <c r="AJ1019" s="577"/>
      <c r="AK1019" s="327"/>
      <c r="AL1019" s="602"/>
      <c r="AM1019" s="326"/>
      <c r="AN1019" s="326"/>
      <c r="AO1019" s="326"/>
      <c r="AP1019" s="326"/>
      <c r="AQ1019" s="326"/>
      <c r="AR1019" s="326"/>
      <c r="AS1019" s="326"/>
      <c r="AT1019" s="326"/>
      <c r="AU1019" s="326"/>
      <c r="AV1019" s="326"/>
      <c r="AW1019" s="326"/>
      <c r="AX1019" s="326"/>
      <c r="AY1019" s="326"/>
      <c r="AZ1019" s="326"/>
      <c r="BA1019" s="326"/>
      <c r="BB1019" s="327"/>
    </row>
    <row r="1020" spans="1:54" ht="15.75" customHeight="1" x14ac:dyDescent="0.25">
      <c r="A1020" s="11">
        <f t="shared" si="3"/>
        <v>1007</v>
      </c>
      <c r="B1020" s="570" t="str">
        <f>'refer admin discharge'!B1016</f>
        <v>x</v>
      </c>
      <c r="C1020" s="327"/>
      <c r="D1020" s="599" t="str">
        <f>'refer admin discharge'!D1016</f>
        <v>xx</v>
      </c>
      <c r="E1020" s="327"/>
      <c r="F1020" s="600" t="str">
        <f>'refer admin discharge'!H1016</f>
        <v>00/00/0000</v>
      </c>
      <c r="G1020" s="327"/>
      <c r="H1020" s="574"/>
      <c r="I1020" s="327"/>
      <c r="J1020" s="601"/>
      <c r="K1020" s="327"/>
      <c r="L1020" s="574"/>
      <c r="M1020" s="327"/>
      <c r="N1020" s="594"/>
      <c r="O1020" s="327"/>
      <c r="P1020" s="574"/>
      <c r="Q1020" s="327"/>
      <c r="R1020" s="594"/>
      <c r="S1020" s="327"/>
      <c r="T1020" s="574"/>
      <c r="U1020" s="327"/>
      <c r="V1020" s="595" t="str">
        <f>'refer admin discharge'!H1021</f>
        <v>00/00/0000</v>
      </c>
      <c r="W1020" s="327"/>
      <c r="X1020" s="596"/>
      <c r="Y1020" s="327"/>
      <c r="Z1020" s="597"/>
      <c r="AA1020" s="327"/>
      <c r="AB1020" s="596"/>
      <c r="AC1020" s="327"/>
      <c r="AD1020" s="577"/>
      <c r="AE1020" s="327"/>
      <c r="AF1020" s="596"/>
      <c r="AG1020" s="327"/>
      <c r="AH1020" s="577"/>
      <c r="AI1020" s="327"/>
      <c r="AJ1020" s="596"/>
      <c r="AK1020" s="327"/>
      <c r="AL1020" s="598"/>
      <c r="AM1020" s="326"/>
      <c r="AN1020" s="326"/>
      <c r="AO1020" s="326"/>
      <c r="AP1020" s="326"/>
      <c r="AQ1020" s="326"/>
      <c r="AR1020" s="326"/>
      <c r="AS1020" s="326"/>
      <c r="AT1020" s="326"/>
      <c r="AU1020" s="326"/>
      <c r="AV1020" s="326"/>
      <c r="AW1020" s="326"/>
      <c r="AX1020" s="326"/>
      <c r="AY1020" s="326"/>
      <c r="AZ1020" s="326"/>
      <c r="BA1020" s="326"/>
      <c r="BB1020" s="327"/>
    </row>
    <row r="1021" spans="1:54" ht="15.75" customHeight="1" x14ac:dyDescent="0.25">
      <c r="A1021" s="11">
        <f t="shared" si="3"/>
        <v>1008</v>
      </c>
      <c r="B1021" s="504" t="str">
        <f>'refer admin discharge'!B1017</f>
        <v>x</v>
      </c>
      <c r="C1021" s="327"/>
      <c r="D1021" s="505" t="str">
        <f>'refer admin discharge'!D1017</f>
        <v>xx</v>
      </c>
      <c r="E1021" s="327"/>
      <c r="F1021" s="606" t="str">
        <f>'refer admin discharge'!H1017</f>
        <v>00/00/0000</v>
      </c>
      <c r="G1021" s="327"/>
      <c r="H1021" s="594"/>
      <c r="I1021" s="327"/>
      <c r="J1021" s="605"/>
      <c r="K1021" s="327"/>
      <c r="L1021" s="594"/>
      <c r="M1021" s="327"/>
      <c r="N1021" s="575"/>
      <c r="O1021" s="327"/>
      <c r="P1021" s="594"/>
      <c r="Q1021" s="327"/>
      <c r="R1021" s="575"/>
      <c r="S1021" s="327"/>
      <c r="T1021" s="594"/>
      <c r="U1021" s="327"/>
      <c r="V1021" s="595" t="str">
        <f>'refer admin discharge'!H1022</f>
        <v>00/00/0000</v>
      </c>
      <c r="W1021" s="327"/>
      <c r="X1021" s="577"/>
      <c r="Y1021" s="327"/>
      <c r="Z1021" s="604"/>
      <c r="AA1021" s="327"/>
      <c r="AB1021" s="577"/>
      <c r="AC1021" s="327"/>
      <c r="AD1021" s="576"/>
      <c r="AE1021" s="327"/>
      <c r="AF1021" s="577"/>
      <c r="AG1021" s="327"/>
      <c r="AH1021" s="576"/>
      <c r="AI1021" s="327"/>
      <c r="AJ1021" s="577"/>
      <c r="AK1021" s="327"/>
      <c r="AL1021" s="602"/>
      <c r="AM1021" s="326"/>
      <c r="AN1021" s="326"/>
      <c r="AO1021" s="326"/>
      <c r="AP1021" s="326"/>
      <c r="AQ1021" s="326"/>
      <c r="AR1021" s="326"/>
      <c r="AS1021" s="326"/>
      <c r="AT1021" s="326"/>
      <c r="AU1021" s="326"/>
      <c r="AV1021" s="326"/>
      <c r="AW1021" s="326"/>
      <c r="AX1021" s="326"/>
      <c r="AY1021" s="326"/>
      <c r="AZ1021" s="326"/>
      <c r="BA1021" s="326"/>
      <c r="BB1021" s="327"/>
    </row>
    <row r="1022" spans="1:54" ht="15.75" customHeight="1" x14ac:dyDescent="0.25">
      <c r="A1022" s="11">
        <f t="shared" si="3"/>
        <v>1009</v>
      </c>
      <c r="B1022" s="570" t="str">
        <f>'refer admin discharge'!B1018</f>
        <v>x</v>
      </c>
      <c r="C1022" s="327"/>
      <c r="D1022" s="599" t="str">
        <f>'refer admin discharge'!D1018</f>
        <v>xx</v>
      </c>
      <c r="E1022" s="327"/>
      <c r="F1022" s="600" t="str">
        <f>'refer admin discharge'!H1018</f>
        <v>00/00/0000</v>
      </c>
      <c r="G1022" s="327"/>
      <c r="H1022" s="574"/>
      <c r="I1022" s="327"/>
      <c r="J1022" s="601"/>
      <c r="K1022" s="327"/>
      <c r="L1022" s="574"/>
      <c r="M1022" s="327"/>
      <c r="N1022" s="594"/>
      <c r="O1022" s="327"/>
      <c r="P1022" s="574"/>
      <c r="Q1022" s="327"/>
      <c r="R1022" s="594"/>
      <c r="S1022" s="327"/>
      <c r="T1022" s="574"/>
      <c r="U1022" s="327"/>
      <c r="V1022" s="595" t="str">
        <f>'refer admin discharge'!H1023</f>
        <v>00/00/0000</v>
      </c>
      <c r="W1022" s="327"/>
      <c r="X1022" s="596"/>
      <c r="Y1022" s="327"/>
      <c r="Z1022" s="597"/>
      <c r="AA1022" s="327"/>
      <c r="AB1022" s="596"/>
      <c r="AC1022" s="327"/>
      <c r="AD1022" s="577"/>
      <c r="AE1022" s="327"/>
      <c r="AF1022" s="596"/>
      <c r="AG1022" s="327"/>
      <c r="AH1022" s="577"/>
      <c r="AI1022" s="327"/>
      <c r="AJ1022" s="596"/>
      <c r="AK1022" s="327"/>
      <c r="AL1022" s="598"/>
      <c r="AM1022" s="326"/>
      <c r="AN1022" s="326"/>
      <c r="AO1022" s="326"/>
      <c r="AP1022" s="326"/>
      <c r="AQ1022" s="326"/>
      <c r="AR1022" s="326"/>
      <c r="AS1022" s="326"/>
      <c r="AT1022" s="326"/>
      <c r="AU1022" s="326"/>
      <c r="AV1022" s="326"/>
      <c r="AW1022" s="326"/>
      <c r="AX1022" s="326"/>
      <c r="AY1022" s="326"/>
      <c r="AZ1022" s="326"/>
      <c r="BA1022" s="326"/>
      <c r="BB1022" s="327"/>
    </row>
    <row r="1023" spans="1:54" ht="15.75" customHeight="1" x14ac:dyDescent="0.25">
      <c r="A1023" s="11">
        <f t="shared" si="3"/>
        <v>1010</v>
      </c>
      <c r="B1023" s="504" t="str">
        <f>'refer admin discharge'!B1019</f>
        <v>x</v>
      </c>
      <c r="C1023" s="327"/>
      <c r="D1023" s="505" t="str">
        <f>'refer admin discharge'!D1019</f>
        <v>xx</v>
      </c>
      <c r="E1023" s="327"/>
      <c r="F1023" s="606" t="str">
        <f>'refer admin discharge'!H1019</f>
        <v>00/00/0000</v>
      </c>
      <c r="G1023" s="327"/>
      <c r="H1023" s="594"/>
      <c r="I1023" s="327"/>
      <c r="J1023" s="605"/>
      <c r="K1023" s="327"/>
      <c r="L1023" s="594"/>
      <c r="M1023" s="327"/>
      <c r="N1023" s="575"/>
      <c r="O1023" s="327"/>
      <c r="P1023" s="594"/>
      <c r="Q1023" s="327"/>
      <c r="R1023" s="575"/>
      <c r="S1023" s="327"/>
      <c r="T1023" s="594"/>
      <c r="U1023" s="327"/>
      <c r="V1023" s="595" t="str">
        <f>'refer admin discharge'!H1024</f>
        <v>00/00/0000</v>
      </c>
      <c r="W1023" s="327"/>
      <c r="X1023" s="577"/>
      <c r="Y1023" s="327"/>
      <c r="Z1023" s="604"/>
      <c r="AA1023" s="327"/>
      <c r="AB1023" s="577"/>
      <c r="AC1023" s="327"/>
      <c r="AD1023" s="576"/>
      <c r="AE1023" s="327"/>
      <c r="AF1023" s="577"/>
      <c r="AG1023" s="327"/>
      <c r="AH1023" s="576"/>
      <c r="AI1023" s="327"/>
      <c r="AJ1023" s="577"/>
      <c r="AK1023" s="327"/>
      <c r="AL1023" s="602"/>
      <c r="AM1023" s="326"/>
      <c r="AN1023" s="326"/>
      <c r="AO1023" s="326"/>
      <c r="AP1023" s="326"/>
      <c r="AQ1023" s="326"/>
      <c r="AR1023" s="326"/>
      <c r="AS1023" s="326"/>
      <c r="AT1023" s="326"/>
      <c r="AU1023" s="326"/>
      <c r="AV1023" s="326"/>
      <c r="AW1023" s="326"/>
      <c r="AX1023" s="326"/>
      <c r="AY1023" s="326"/>
      <c r="AZ1023" s="326"/>
      <c r="BA1023" s="326"/>
      <c r="BB1023" s="327"/>
    </row>
    <row r="1024" spans="1:54" ht="15.75" customHeight="1" x14ac:dyDescent="0.25">
      <c r="A1024" s="11">
        <f t="shared" si="3"/>
        <v>1011</v>
      </c>
      <c r="B1024" s="570" t="str">
        <f>'refer admin discharge'!B1020</f>
        <v>x</v>
      </c>
      <c r="C1024" s="327"/>
      <c r="D1024" s="599" t="str">
        <f>'refer admin discharge'!D1020</f>
        <v>xx</v>
      </c>
      <c r="E1024" s="327"/>
      <c r="F1024" s="600" t="str">
        <f>'refer admin discharge'!H1020</f>
        <v>00/00/0000</v>
      </c>
      <c r="G1024" s="327"/>
      <c r="H1024" s="574"/>
      <c r="I1024" s="327"/>
      <c r="J1024" s="601"/>
      <c r="K1024" s="327"/>
      <c r="L1024" s="574"/>
      <c r="M1024" s="327"/>
      <c r="N1024" s="594"/>
      <c r="O1024" s="327"/>
      <c r="P1024" s="574"/>
      <c r="Q1024" s="327"/>
      <c r="R1024" s="594"/>
      <c r="S1024" s="327"/>
      <c r="T1024" s="574"/>
      <c r="U1024" s="327"/>
      <c r="V1024" s="595" t="str">
        <f>'refer admin discharge'!H1025</f>
        <v>00/00/0000</v>
      </c>
      <c r="W1024" s="327"/>
      <c r="X1024" s="596"/>
      <c r="Y1024" s="327"/>
      <c r="Z1024" s="597"/>
      <c r="AA1024" s="327"/>
      <c r="AB1024" s="596"/>
      <c r="AC1024" s="327"/>
      <c r="AD1024" s="577"/>
      <c r="AE1024" s="327"/>
      <c r="AF1024" s="596"/>
      <c r="AG1024" s="327"/>
      <c r="AH1024" s="577"/>
      <c r="AI1024" s="327"/>
      <c r="AJ1024" s="596"/>
      <c r="AK1024" s="327"/>
      <c r="AL1024" s="598"/>
      <c r="AM1024" s="326"/>
      <c r="AN1024" s="326"/>
      <c r="AO1024" s="326"/>
      <c r="AP1024" s="326"/>
      <c r="AQ1024" s="326"/>
      <c r="AR1024" s="326"/>
      <c r="AS1024" s="326"/>
      <c r="AT1024" s="326"/>
      <c r="AU1024" s="326"/>
      <c r="AV1024" s="326"/>
      <c r="AW1024" s="326"/>
      <c r="AX1024" s="326"/>
      <c r="AY1024" s="326"/>
      <c r="AZ1024" s="326"/>
      <c r="BA1024" s="326"/>
      <c r="BB1024" s="327"/>
    </row>
    <row r="1025" spans="1:54" ht="15.75" customHeight="1" x14ac:dyDescent="0.25">
      <c r="A1025" s="11">
        <f t="shared" si="3"/>
        <v>1012</v>
      </c>
      <c r="B1025" s="504" t="str">
        <f>'refer admin discharge'!B1021</f>
        <v>x</v>
      </c>
      <c r="C1025" s="327"/>
      <c r="D1025" s="505" t="str">
        <f>'refer admin discharge'!D1021</f>
        <v>xx</v>
      </c>
      <c r="E1025" s="327"/>
      <c r="F1025" s="606" t="str">
        <f>'refer admin discharge'!H1021</f>
        <v>00/00/0000</v>
      </c>
      <c r="G1025" s="327"/>
      <c r="H1025" s="594"/>
      <c r="I1025" s="327"/>
      <c r="J1025" s="605"/>
      <c r="K1025" s="327"/>
      <c r="L1025" s="594"/>
      <c r="M1025" s="327"/>
      <c r="N1025" s="575"/>
      <c r="O1025" s="327"/>
      <c r="P1025" s="594"/>
      <c r="Q1025" s="327"/>
      <c r="R1025" s="575"/>
      <c r="S1025" s="327"/>
      <c r="T1025" s="594"/>
      <c r="U1025" s="327"/>
      <c r="V1025" s="595" t="str">
        <f>'refer admin discharge'!H1026</f>
        <v>00/00/0000</v>
      </c>
      <c r="W1025" s="327"/>
      <c r="X1025" s="577"/>
      <c r="Y1025" s="327"/>
      <c r="Z1025" s="604"/>
      <c r="AA1025" s="327"/>
      <c r="AB1025" s="577"/>
      <c r="AC1025" s="327"/>
      <c r="AD1025" s="576"/>
      <c r="AE1025" s="327"/>
      <c r="AF1025" s="577"/>
      <c r="AG1025" s="327"/>
      <c r="AH1025" s="576"/>
      <c r="AI1025" s="327"/>
      <c r="AJ1025" s="577"/>
      <c r="AK1025" s="327"/>
      <c r="AL1025" s="602"/>
      <c r="AM1025" s="326"/>
      <c r="AN1025" s="326"/>
      <c r="AO1025" s="326"/>
      <c r="AP1025" s="326"/>
      <c r="AQ1025" s="326"/>
      <c r="AR1025" s="326"/>
      <c r="AS1025" s="326"/>
      <c r="AT1025" s="326"/>
      <c r="AU1025" s="326"/>
      <c r="AV1025" s="326"/>
      <c r="AW1025" s="326"/>
      <c r="AX1025" s="326"/>
      <c r="AY1025" s="326"/>
      <c r="AZ1025" s="326"/>
      <c r="BA1025" s="326"/>
      <c r="BB1025" s="327"/>
    </row>
    <row r="1026" spans="1:54" ht="15.75" customHeight="1" x14ac:dyDescent="0.25">
      <c r="A1026" s="11">
        <f t="shared" si="3"/>
        <v>1013</v>
      </c>
      <c r="B1026" s="570" t="str">
        <f>'refer admin discharge'!B1022</f>
        <v>x</v>
      </c>
      <c r="C1026" s="327"/>
      <c r="D1026" s="599" t="str">
        <f>'refer admin discharge'!D1022</f>
        <v>xx</v>
      </c>
      <c r="E1026" s="327"/>
      <c r="F1026" s="600" t="str">
        <f>'refer admin discharge'!H1022</f>
        <v>00/00/0000</v>
      </c>
      <c r="G1026" s="327"/>
      <c r="H1026" s="574"/>
      <c r="I1026" s="327"/>
      <c r="J1026" s="601"/>
      <c r="K1026" s="327"/>
      <c r="L1026" s="574"/>
      <c r="M1026" s="327"/>
      <c r="N1026" s="594"/>
      <c r="O1026" s="327"/>
      <c r="P1026" s="574"/>
      <c r="Q1026" s="327"/>
      <c r="R1026" s="594"/>
      <c r="S1026" s="327"/>
      <c r="T1026" s="574"/>
      <c r="U1026" s="327"/>
      <c r="V1026" s="595" t="str">
        <f>'refer admin discharge'!H1027</f>
        <v>00/00/0000</v>
      </c>
      <c r="W1026" s="327"/>
      <c r="X1026" s="596"/>
      <c r="Y1026" s="327"/>
      <c r="Z1026" s="597"/>
      <c r="AA1026" s="327"/>
      <c r="AB1026" s="596"/>
      <c r="AC1026" s="327"/>
      <c r="AD1026" s="577"/>
      <c r="AE1026" s="327"/>
      <c r="AF1026" s="596"/>
      <c r="AG1026" s="327"/>
      <c r="AH1026" s="577"/>
      <c r="AI1026" s="327"/>
      <c r="AJ1026" s="596"/>
      <c r="AK1026" s="327"/>
      <c r="AL1026" s="598"/>
      <c r="AM1026" s="326"/>
      <c r="AN1026" s="326"/>
      <c r="AO1026" s="326"/>
      <c r="AP1026" s="326"/>
      <c r="AQ1026" s="326"/>
      <c r="AR1026" s="326"/>
      <c r="AS1026" s="326"/>
      <c r="AT1026" s="326"/>
      <c r="AU1026" s="326"/>
      <c r="AV1026" s="326"/>
      <c r="AW1026" s="326"/>
      <c r="AX1026" s="326"/>
      <c r="AY1026" s="326"/>
      <c r="AZ1026" s="326"/>
      <c r="BA1026" s="326"/>
      <c r="BB1026" s="327"/>
    </row>
    <row r="1027" spans="1:54" ht="15.75" customHeight="1" x14ac:dyDescent="0.25">
      <c r="A1027" s="11">
        <f t="shared" si="3"/>
        <v>1014</v>
      </c>
      <c r="B1027" s="504" t="str">
        <f>'refer admin discharge'!B1023</f>
        <v>x</v>
      </c>
      <c r="C1027" s="327"/>
      <c r="D1027" s="505" t="str">
        <f>'refer admin discharge'!D1023</f>
        <v>xx</v>
      </c>
      <c r="E1027" s="327"/>
      <c r="F1027" s="606" t="str">
        <f>'refer admin discharge'!H1023</f>
        <v>00/00/0000</v>
      </c>
      <c r="G1027" s="327"/>
      <c r="H1027" s="594"/>
      <c r="I1027" s="327"/>
      <c r="J1027" s="605"/>
      <c r="K1027" s="327"/>
      <c r="L1027" s="594"/>
      <c r="M1027" s="327"/>
      <c r="N1027" s="575"/>
      <c r="O1027" s="327"/>
      <c r="P1027" s="594"/>
      <c r="Q1027" s="327"/>
      <c r="R1027" s="575"/>
      <c r="S1027" s="327"/>
      <c r="T1027" s="594"/>
      <c r="U1027" s="327"/>
      <c r="V1027" s="595" t="str">
        <f>'refer admin discharge'!H1028</f>
        <v>00/00/0000</v>
      </c>
      <c r="W1027" s="327"/>
      <c r="X1027" s="577"/>
      <c r="Y1027" s="327"/>
      <c r="Z1027" s="604"/>
      <c r="AA1027" s="327"/>
      <c r="AB1027" s="577"/>
      <c r="AC1027" s="327"/>
      <c r="AD1027" s="576"/>
      <c r="AE1027" s="327"/>
      <c r="AF1027" s="577"/>
      <c r="AG1027" s="327"/>
      <c r="AH1027" s="576"/>
      <c r="AI1027" s="327"/>
      <c r="AJ1027" s="577"/>
      <c r="AK1027" s="327"/>
      <c r="AL1027" s="602"/>
      <c r="AM1027" s="326"/>
      <c r="AN1027" s="326"/>
      <c r="AO1027" s="326"/>
      <c r="AP1027" s="326"/>
      <c r="AQ1027" s="326"/>
      <c r="AR1027" s="326"/>
      <c r="AS1027" s="326"/>
      <c r="AT1027" s="326"/>
      <c r="AU1027" s="326"/>
      <c r="AV1027" s="326"/>
      <c r="AW1027" s="326"/>
      <c r="AX1027" s="326"/>
      <c r="AY1027" s="326"/>
      <c r="AZ1027" s="326"/>
      <c r="BA1027" s="326"/>
      <c r="BB1027" s="327"/>
    </row>
    <row r="1028" spans="1:54" ht="15.75" customHeight="1" x14ac:dyDescent="0.25">
      <c r="A1028" s="11">
        <f t="shared" si="3"/>
        <v>1015</v>
      </c>
      <c r="B1028" s="570" t="str">
        <f>'refer admin discharge'!B1024</f>
        <v>x</v>
      </c>
      <c r="C1028" s="327"/>
      <c r="D1028" s="599" t="str">
        <f>'refer admin discharge'!D1024</f>
        <v>xx</v>
      </c>
      <c r="E1028" s="327"/>
      <c r="F1028" s="600" t="str">
        <f>'refer admin discharge'!H1024</f>
        <v>00/00/0000</v>
      </c>
      <c r="G1028" s="327"/>
      <c r="H1028" s="574"/>
      <c r="I1028" s="327"/>
      <c r="J1028" s="601"/>
      <c r="K1028" s="327"/>
      <c r="L1028" s="574"/>
      <c r="M1028" s="327"/>
      <c r="N1028" s="594"/>
      <c r="O1028" s="327"/>
      <c r="P1028" s="574"/>
      <c r="Q1028" s="327"/>
      <c r="R1028" s="594"/>
      <c r="S1028" s="327"/>
      <c r="T1028" s="574"/>
      <c r="U1028" s="327"/>
      <c r="V1028" s="595" t="str">
        <f>'refer admin discharge'!H1029</f>
        <v>00/00/0000</v>
      </c>
      <c r="W1028" s="327"/>
      <c r="X1028" s="596"/>
      <c r="Y1028" s="327"/>
      <c r="Z1028" s="597"/>
      <c r="AA1028" s="327"/>
      <c r="AB1028" s="596"/>
      <c r="AC1028" s="327"/>
      <c r="AD1028" s="577"/>
      <c r="AE1028" s="327"/>
      <c r="AF1028" s="596"/>
      <c r="AG1028" s="327"/>
      <c r="AH1028" s="577"/>
      <c r="AI1028" s="327"/>
      <c r="AJ1028" s="596"/>
      <c r="AK1028" s="327"/>
      <c r="AL1028" s="598"/>
      <c r="AM1028" s="326"/>
      <c r="AN1028" s="326"/>
      <c r="AO1028" s="326"/>
      <c r="AP1028" s="326"/>
      <c r="AQ1028" s="326"/>
      <c r="AR1028" s="326"/>
      <c r="AS1028" s="326"/>
      <c r="AT1028" s="326"/>
      <c r="AU1028" s="326"/>
      <c r="AV1028" s="326"/>
      <c r="AW1028" s="326"/>
      <c r="AX1028" s="326"/>
      <c r="AY1028" s="326"/>
      <c r="AZ1028" s="326"/>
      <c r="BA1028" s="326"/>
      <c r="BB1028" s="327"/>
    </row>
    <row r="1029" spans="1:54" ht="15.75" customHeight="1" x14ac:dyDescent="0.25">
      <c r="A1029" s="11">
        <f t="shared" si="3"/>
        <v>1016</v>
      </c>
      <c r="B1029" s="504" t="str">
        <f>'refer admin discharge'!B1025</f>
        <v>x</v>
      </c>
      <c r="C1029" s="327"/>
      <c r="D1029" s="505" t="str">
        <f>'refer admin discharge'!D1025</f>
        <v>xx</v>
      </c>
      <c r="E1029" s="327"/>
      <c r="F1029" s="606" t="str">
        <f>'refer admin discharge'!H1025</f>
        <v>00/00/0000</v>
      </c>
      <c r="G1029" s="327"/>
      <c r="H1029" s="594"/>
      <c r="I1029" s="327"/>
      <c r="J1029" s="605"/>
      <c r="K1029" s="327"/>
      <c r="L1029" s="594"/>
      <c r="M1029" s="327"/>
      <c r="N1029" s="575"/>
      <c r="O1029" s="327"/>
      <c r="P1029" s="594"/>
      <c r="Q1029" s="327"/>
      <c r="R1029" s="575"/>
      <c r="S1029" s="327"/>
      <c r="T1029" s="594"/>
      <c r="U1029" s="327"/>
      <c r="V1029" s="595" t="str">
        <f>'refer admin discharge'!H1030</f>
        <v>00/00/0000</v>
      </c>
      <c r="W1029" s="327"/>
      <c r="X1029" s="577"/>
      <c r="Y1029" s="327"/>
      <c r="Z1029" s="604"/>
      <c r="AA1029" s="327"/>
      <c r="AB1029" s="577"/>
      <c r="AC1029" s="327"/>
      <c r="AD1029" s="576"/>
      <c r="AE1029" s="327"/>
      <c r="AF1029" s="577"/>
      <c r="AG1029" s="327"/>
      <c r="AH1029" s="576"/>
      <c r="AI1029" s="327"/>
      <c r="AJ1029" s="577"/>
      <c r="AK1029" s="327"/>
      <c r="AL1029" s="602"/>
      <c r="AM1029" s="326"/>
      <c r="AN1029" s="326"/>
      <c r="AO1029" s="326"/>
      <c r="AP1029" s="326"/>
      <c r="AQ1029" s="326"/>
      <c r="AR1029" s="326"/>
      <c r="AS1029" s="326"/>
      <c r="AT1029" s="326"/>
      <c r="AU1029" s="326"/>
      <c r="AV1029" s="326"/>
      <c r="AW1029" s="326"/>
      <c r="AX1029" s="326"/>
      <c r="AY1029" s="326"/>
      <c r="AZ1029" s="326"/>
      <c r="BA1029" s="326"/>
      <c r="BB1029" s="327"/>
    </row>
    <row r="1030" spans="1:54" ht="15.75" customHeight="1" x14ac:dyDescent="0.25">
      <c r="A1030" s="11">
        <f t="shared" si="3"/>
        <v>1017</v>
      </c>
      <c r="B1030" s="570" t="str">
        <f>'refer admin discharge'!B1026</f>
        <v>x</v>
      </c>
      <c r="C1030" s="327"/>
      <c r="D1030" s="599" t="str">
        <f>'refer admin discharge'!D1026</f>
        <v>xx</v>
      </c>
      <c r="E1030" s="327"/>
      <c r="F1030" s="600" t="str">
        <f>'refer admin discharge'!H1026</f>
        <v>00/00/0000</v>
      </c>
      <c r="G1030" s="327"/>
      <c r="H1030" s="574"/>
      <c r="I1030" s="327"/>
      <c r="J1030" s="601"/>
      <c r="K1030" s="327"/>
      <c r="L1030" s="574"/>
      <c r="M1030" s="327"/>
      <c r="N1030" s="594"/>
      <c r="O1030" s="327"/>
      <c r="P1030" s="574"/>
      <c r="Q1030" s="327"/>
      <c r="R1030" s="594"/>
      <c r="S1030" s="327"/>
      <c r="T1030" s="574"/>
      <c r="U1030" s="327"/>
      <c r="V1030" s="595" t="str">
        <f>'refer admin discharge'!H1031</f>
        <v>00/00/0000</v>
      </c>
      <c r="W1030" s="327"/>
      <c r="X1030" s="596"/>
      <c r="Y1030" s="327"/>
      <c r="Z1030" s="597"/>
      <c r="AA1030" s="327"/>
      <c r="AB1030" s="596"/>
      <c r="AC1030" s="327"/>
      <c r="AD1030" s="577"/>
      <c r="AE1030" s="327"/>
      <c r="AF1030" s="596"/>
      <c r="AG1030" s="327"/>
      <c r="AH1030" s="577"/>
      <c r="AI1030" s="327"/>
      <c r="AJ1030" s="596"/>
      <c r="AK1030" s="327"/>
      <c r="AL1030" s="598"/>
      <c r="AM1030" s="326"/>
      <c r="AN1030" s="326"/>
      <c r="AO1030" s="326"/>
      <c r="AP1030" s="326"/>
      <c r="AQ1030" s="326"/>
      <c r="AR1030" s="326"/>
      <c r="AS1030" s="326"/>
      <c r="AT1030" s="326"/>
      <c r="AU1030" s="326"/>
      <c r="AV1030" s="326"/>
      <c r="AW1030" s="326"/>
      <c r="AX1030" s="326"/>
      <c r="AY1030" s="326"/>
      <c r="AZ1030" s="326"/>
      <c r="BA1030" s="326"/>
      <c r="BB1030" s="327"/>
    </row>
    <row r="1031" spans="1:54" ht="15.75" customHeight="1" x14ac:dyDescent="0.25">
      <c r="A1031" s="11">
        <f t="shared" si="3"/>
        <v>1018</v>
      </c>
      <c r="B1031" s="504" t="str">
        <f>'refer admin discharge'!B1027</f>
        <v>x</v>
      </c>
      <c r="C1031" s="327"/>
      <c r="D1031" s="505" t="str">
        <f>'refer admin discharge'!D1027</f>
        <v>xx</v>
      </c>
      <c r="E1031" s="327"/>
      <c r="F1031" s="606" t="str">
        <f>'refer admin discharge'!H1027</f>
        <v>00/00/0000</v>
      </c>
      <c r="G1031" s="327"/>
      <c r="H1031" s="594"/>
      <c r="I1031" s="327"/>
      <c r="J1031" s="605"/>
      <c r="K1031" s="327"/>
      <c r="L1031" s="594"/>
      <c r="M1031" s="327"/>
      <c r="N1031" s="575"/>
      <c r="O1031" s="327"/>
      <c r="P1031" s="594"/>
      <c r="Q1031" s="327"/>
      <c r="R1031" s="575"/>
      <c r="S1031" s="327"/>
      <c r="T1031" s="594"/>
      <c r="U1031" s="327"/>
      <c r="V1031" s="595" t="str">
        <f>'refer admin discharge'!H1032</f>
        <v>00/00/0000</v>
      </c>
      <c r="W1031" s="327"/>
      <c r="X1031" s="577"/>
      <c r="Y1031" s="327"/>
      <c r="Z1031" s="604"/>
      <c r="AA1031" s="327"/>
      <c r="AB1031" s="577"/>
      <c r="AC1031" s="327"/>
      <c r="AD1031" s="576"/>
      <c r="AE1031" s="327"/>
      <c r="AF1031" s="577"/>
      <c r="AG1031" s="327"/>
      <c r="AH1031" s="576"/>
      <c r="AI1031" s="327"/>
      <c r="AJ1031" s="577"/>
      <c r="AK1031" s="327"/>
      <c r="AL1031" s="602"/>
      <c r="AM1031" s="326"/>
      <c r="AN1031" s="326"/>
      <c r="AO1031" s="326"/>
      <c r="AP1031" s="326"/>
      <c r="AQ1031" s="326"/>
      <c r="AR1031" s="326"/>
      <c r="AS1031" s="326"/>
      <c r="AT1031" s="326"/>
      <c r="AU1031" s="326"/>
      <c r="AV1031" s="326"/>
      <c r="AW1031" s="326"/>
      <c r="AX1031" s="326"/>
      <c r="AY1031" s="326"/>
      <c r="AZ1031" s="326"/>
      <c r="BA1031" s="326"/>
      <c r="BB1031" s="327"/>
    </row>
    <row r="1032" spans="1:54" ht="15.75" customHeight="1" x14ac:dyDescent="0.25">
      <c r="A1032" s="11">
        <f t="shared" si="3"/>
        <v>1019</v>
      </c>
      <c r="B1032" s="570" t="str">
        <f>'refer admin discharge'!B1028</f>
        <v>x</v>
      </c>
      <c r="C1032" s="327"/>
      <c r="D1032" s="599" t="str">
        <f>'refer admin discharge'!D1028</f>
        <v>xx</v>
      </c>
      <c r="E1032" s="327"/>
      <c r="F1032" s="600" t="str">
        <f>'refer admin discharge'!H1028</f>
        <v>00/00/0000</v>
      </c>
      <c r="G1032" s="327"/>
      <c r="H1032" s="574"/>
      <c r="I1032" s="327"/>
      <c r="J1032" s="601"/>
      <c r="K1032" s="327"/>
      <c r="L1032" s="574"/>
      <c r="M1032" s="327"/>
      <c r="N1032" s="594"/>
      <c r="O1032" s="327"/>
      <c r="P1032" s="574"/>
      <c r="Q1032" s="327"/>
      <c r="R1032" s="594"/>
      <c r="S1032" s="327"/>
      <c r="T1032" s="574"/>
      <c r="U1032" s="327"/>
      <c r="V1032" s="595" t="str">
        <f>'refer admin discharge'!H1033</f>
        <v>00/00/0000</v>
      </c>
      <c r="W1032" s="327"/>
      <c r="X1032" s="596"/>
      <c r="Y1032" s="327"/>
      <c r="Z1032" s="597"/>
      <c r="AA1032" s="327"/>
      <c r="AB1032" s="596"/>
      <c r="AC1032" s="327"/>
      <c r="AD1032" s="577"/>
      <c r="AE1032" s="327"/>
      <c r="AF1032" s="596"/>
      <c r="AG1032" s="327"/>
      <c r="AH1032" s="577"/>
      <c r="AI1032" s="327"/>
      <c r="AJ1032" s="596"/>
      <c r="AK1032" s="327"/>
      <c r="AL1032" s="598"/>
      <c r="AM1032" s="326"/>
      <c r="AN1032" s="326"/>
      <c r="AO1032" s="326"/>
      <c r="AP1032" s="326"/>
      <c r="AQ1032" s="326"/>
      <c r="AR1032" s="326"/>
      <c r="AS1032" s="326"/>
      <c r="AT1032" s="326"/>
      <c r="AU1032" s="326"/>
      <c r="AV1032" s="326"/>
      <c r="AW1032" s="326"/>
      <c r="AX1032" s="326"/>
      <c r="AY1032" s="326"/>
      <c r="AZ1032" s="326"/>
      <c r="BA1032" s="326"/>
      <c r="BB1032" s="327"/>
    </row>
    <row r="1033" spans="1:54" ht="15.75" customHeight="1" x14ac:dyDescent="0.25">
      <c r="A1033" s="11">
        <f t="shared" si="3"/>
        <v>1020</v>
      </c>
      <c r="B1033" s="504" t="str">
        <f>'refer admin discharge'!B1029</f>
        <v>x</v>
      </c>
      <c r="C1033" s="327"/>
      <c r="D1033" s="505" t="str">
        <f>'refer admin discharge'!D1029</f>
        <v>xx</v>
      </c>
      <c r="E1033" s="327"/>
      <c r="F1033" s="606" t="str">
        <f>'refer admin discharge'!H1029</f>
        <v>00/00/0000</v>
      </c>
      <c r="G1033" s="327"/>
      <c r="H1033" s="594"/>
      <c r="I1033" s="327"/>
      <c r="J1033" s="605"/>
      <c r="K1033" s="327"/>
      <c r="L1033" s="594"/>
      <c r="M1033" s="327"/>
      <c r="N1033" s="575"/>
      <c r="O1033" s="327"/>
      <c r="P1033" s="594"/>
      <c r="Q1033" s="327"/>
      <c r="R1033" s="575"/>
      <c r="S1033" s="327"/>
      <c r="T1033" s="594"/>
      <c r="U1033" s="327"/>
      <c r="V1033" s="595" t="str">
        <f>'refer admin discharge'!H1034</f>
        <v>00/00/0000</v>
      </c>
      <c r="W1033" s="327"/>
      <c r="X1033" s="577"/>
      <c r="Y1033" s="327"/>
      <c r="Z1033" s="604"/>
      <c r="AA1033" s="327"/>
      <c r="AB1033" s="577"/>
      <c r="AC1033" s="327"/>
      <c r="AD1033" s="576"/>
      <c r="AE1033" s="327"/>
      <c r="AF1033" s="577"/>
      <c r="AG1033" s="327"/>
      <c r="AH1033" s="576"/>
      <c r="AI1033" s="327"/>
      <c r="AJ1033" s="577"/>
      <c r="AK1033" s="327"/>
      <c r="AL1033" s="602"/>
      <c r="AM1033" s="326"/>
      <c r="AN1033" s="326"/>
      <c r="AO1033" s="326"/>
      <c r="AP1033" s="326"/>
      <c r="AQ1033" s="326"/>
      <c r="AR1033" s="326"/>
      <c r="AS1033" s="326"/>
      <c r="AT1033" s="326"/>
      <c r="AU1033" s="326"/>
      <c r="AV1033" s="326"/>
      <c r="AW1033" s="326"/>
      <c r="AX1033" s="326"/>
      <c r="AY1033" s="326"/>
      <c r="AZ1033" s="326"/>
      <c r="BA1033" s="326"/>
      <c r="BB1033" s="327"/>
    </row>
    <row r="1034" spans="1:54" ht="15.75" customHeight="1" x14ac:dyDescent="0.25">
      <c r="A1034" s="11">
        <f t="shared" ref="A1034:A1288" si="4">ROW(A1021)</f>
        <v>1021</v>
      </c>
      <c r="B1034" s="570" t="str">
        <f>'refer admin discharge'!B1030</f>
        <v>x</v>
      </c>
      <c r="C1034" s="327"/>
      <c r="D1034" s="599" t="str">
        <f>'refer admin discharge'!D1030</f>
        <v>xx</v>
      </c>
      <c r="E1034" s="327"/>
      <c r="F1034" s="600" t="str">
        <f>'refer admin discharge'!H1030</f>
        <v>00/00/0000</v>
      </c>
      <c r="G1034" s="327"/>
      <c r="H1034" s="574"/>
      <c r="I1034" s="327"/>
      <c r="J1034" s="601"/>
      <c r="K1034" s="327"/>
      <c r="L1034" s="574"/>
      <c r="M1034" s="327"/>
      <c r="N1034" s="594"/>
      <c r="O1034" s="327"/>
      <c r="P1034" s="574"/>
      <c r="Q1034" s="327"/>
      <c r="R1034" s="594"/>
      <c r="S1034" s="327"/>
      <c r="T1034" s="574"/>
      <c r="U1034" s="327"/>
      <c r="V1034" s="595" t="str">
        <f>'refer admin discharge'!H1035</f>
        <v>00/00/0000</v>
      </c>
      <c r="W1034" s="327"/>
      <c r="X1034" s="596"/>
      <c r="Y1034" s="327"/>
      <c r="Z1034" s="597"/>
      <c r="AA1034" s="327"/>
      <c r="AB1034" s="596"/>
      <c r="AC1034" s="327"/>
      <c r="AD1034" s="577"/>
      <c r="AE1034" s="327"/>
      <c r="AF1034" s="596"/>
      <c r="AG1034" s="327"/>
      <c r="AH1034" s="577"/>
      <c r="AI1034" s="327"/>
      <c r="AJ1034" s="596"/>
      <c r="AK1034" s="327"/>
      <c r="AL1034" s="598"/>
      <c r="AM1034" s="326"/>
      <c r="AN1034" s="326"/>
      <c r="AO1034" s="326"/>
      <c r="AP1034" s="326"/>
      <c r="AQ1034" s="326"/>
      <c r="AR1034" s="326"/>
      <c r="AS1034" s="326"/>
      <c r="AT1034" s="326"/>
      <c r="AU1034" s="326"/>
      <c r="AV1034" s="326"/>
      <c r="AW1034" s="326"/>
      <c r="AX1034" s="326"/>
      <c r="AY1034" s="326"/>
      <c r="AZ1034" s="326"/>
      <c r="BA1034" s="326"/>
      <c r="BB1034" s="327"/>
    </row>
    <row r="1035" spans="1:54" ht="15.75" customHeight="1" x14ac:dyDescent="0.25">
      <c r="A1035" s="11">
        <f t="shared" si="4"/>
        <v>1022</v>
      </c>
      <c r="B1035" s="504" t="str">
        <f>'refer admin discharge'!B1031</f>
        <v>x</v>
      </c>
      <c r="C1035" s="327"/>
      <c r="D1035" s="505" t="str">
        <f>'refer admin discharge'!D1031</f>
        <v>xx</v>
      </c>
      <c r="E1035" s="327"/>
      <c r="F1035" s="606" t="str">
        <f>'refer admin discharge'!H1031</f>
        <v>00/00/0000</v>
      </c>
      <c r="G1035" s="327"/>
      <c r="H1035" s="594"/>
      <c r="I1035" s="327"/>
      <c r="J1035" s="605"/>
      <c r="K1035" s="327"/>
      <c r="L1035" s="594"/>
      <c r="M1035" s="327"/>
      <c r="N1035" s="575"/>
      <c r="O1035" s="327"/>
      <c r="P1035" s="594"/>
      <c r="Q1035" s="327"/>
      <c r="R1035" s="575"/>
      <c r="S1035" s="327"/>
      <c r="T1035" s="594"/>
      <c r="U1035" s="327"/>
      <c r="V1035" s="595" t="str">
        <f>'refer admin discharge'!H1036</f>
        <v>00/00/0000</v>
      </c>
      <c r="W1035" s="327"/>
      <c r="X1035" s="577"/>
      <c r="Y1035" s="327"/>
      <c r="Z1035" s="604"/>
      <c r="AA1035" s="327"/>
      <c r="AB1035" s="577"/>
      <c r="AC1035" s="327"/>
      <c r="AD1035" s="576"/>
      <c r="AE1035" s="327"/>
      <c r="AF1035" s="577"/>
      <c r="AG1035" s="327"/>
      <c r="AH1035" s="576"/>
      <c r="AI1035" s="327"/>
      <c r="AJ1035" s="577"/>
      <c r="AK1035" s="327"/>
      <c r="AL1035" s="602"/>
      <c r="AM1035" s="326"/>
      <c r="AN1035" s="326"/>
      <c r="AO1035" s="326"/>
      <c r="AP1035" s="326"/>
      <c r="AQ1035" s="326"/>
      <c r="AR1035" s="326"/>
      <c r="AS1035" s="326"/>
      <c r="AT1035" s="326"/>
      <c r="AU1035" s="326"/>
      <c r="AV1035" s="326"/>
      <c r="AW1035" s="326"/>
      <c r="AX1035" s="326"/>
      <c r="AY1035" s="326"/>
      <c r="AZ1035" s="326"/>
      <c r="BA1035" s="326"/>
      <c r="BB1035" s="327"/>
    </row>
    <row r="1036" spans="1:54" ht="15.75" customHeight="1" x14ac:dyDescent="0.25">
      <c r="A1036" s="11">
        <f t="shared" si="4"/>
        <v>1023</v>
      </c>
      <c r="B1036" s="570" t="str">
        <f>'refer admin discharge'!B1032</f>
        <v>x</v>
      </c>
      <c r="C1036" s="327"/>
      <c r="D1036" s="599" t="str">
        <f>'refer admin discharge'!D1032</f>
        <v>xx</v>
      </c>
      <c r="E1036" s="327"/>
      <c r="F1036" s="600" t="str">
        <f>'refer admin discharge'!H1032</f>
        <v>00/00/0000</v>
      </c>
      <c r="G1036" s="327"/>
      <c r="H1036" s="574"/>
      <c r="I1036" s="327"/>
      <c r="J1036" s="601"/>
      <c r="K1036" s="327"/>
      <c r="L1036" s="574"/>
      <c r="M1036" s="327"/>
      <c r="N1036" s="594"/>
      <c r="O1036" s="327"/>
      <c r="P1036" s="574"/>
      <c r="Q1036" s="327"/>
      <c r="R1036" s="594"/>
      <c r="S1036" s="327"/>
      <c r="T1036" s="574"/>
      <c r="U1036" s="327"/>
      <c r="V1036" s="595" t="str">
        <f>'refer admin discharge'!H1037</f>
        <v>00/00/0000</v>
      </c>
      <c r="W1036" s="327"/>
      <c r="X1036" s="596"/>
      <c r="Y1036" s="327"/>
      <c r="Z1036" s="597"/>
      <c r="AA1036" s="327"/>
      <c r="AB1036" s="596"/>
      <c r="AC1036" s="327"/>
      <c r="AD1036" s="577"/>
      <c r="AE1036" s="327"/>
      <c r="AF1036" s="596"/>
      <c r="AG1036" s="327"/>
      <c r="AH1036" s="577"/>
      <c r="AI1036" s="327"/>
      <c r="AJ1036" s="596"/>
      <c r="AK1036" s="327"/>
      <c r="AL1036" s="598"/>
      <c r="AM1036" s="326"/>
      <c r="AN1036" s="326"/>
      <c r="AO1036" s="326"/>
      <c r="AP1036" s="326"/>
      <c r="AQ1036" s="326"/>
      <c r="AR1036" s="326"/>
      <c r="AS1036" s="326"/>
      <c r="AT1036" s="326"/>
      <c r="AU1036" s="326"/>
      <c r="AV1036" s="326"/>
      <c r="AW1036" s="326"/>
      <c r="AX1036" s="326"/>
      <c r="AY1036" s="326"/>
      <c r="AZ1036" s="326"/>
      <c r="BA1036" s="326"/>
      <c r="BB1036" s="327"/>
    </row>
    <row r="1037" spans="1:54" ht="15.75" customHeight="1" x14ac:dyDescent="0.25">
      <c r="A1037" s="11">
        <f t="shared" si="4"/>
        <v>1024</v>
      </c>
      <c r="B1037" s="504" t="str">
        <f>'refer admin discharge'!B1033</f>
        <v>x</v>
      </c>
      <c r="C1037" s="327"/>
      <c r="D1037" s="505" t="str">
        <f>'refer admin discharge'!D1033</f>
        <v>xx</v>
      </c>
      <c r="E1037" s="327"/>
      <c r="F1037" s="606" t="str">
        <f>'refer admin discharge'!H1033</f>
        <v>00/00/0000</v>
      </c>
      <c r="G1037" s="327"/>
      <c r="H1037" s="594"/>
      <c r="I1037" s="327"/>
      <c r="J1037" s="605"/>
      <c r="K1037" s="327"/>
      <c r="L1037" s="594"/>
      <c r="M1037" s="327"/>
      <c r="N1037" s="575"/>
      <c r="O1037" s="327"/>
      <c r="P1037" s="594"/>
      <c r="Q1037" s="327"/>
      <c r="R1037" s="575"/>
      <c r="S1037" s="327"/>
      <c r="T1037" s="594"/>
      <c r="U1037" s="327"/>
      <c r="V1037" s="595" t="str">
        <f>'refer admin discharge'!H1038</f>
        <v>00/00/0000</v>
      </c>
      <c r="W1037" s="327"/>
      <c r="X1037" s="577"/>
      <c r="Y1037" s="327"/>
      <c r="Z1037" s="604"/>
      <c r="AA1037" s="327"/>
      <c r="AB1037" s="577"/>
      <c r="AC1037" s="327"/>
      <c r="AD1037" s="576"/>
      <c r="AE1037" s="327"/>
      <c r="AF1037" s="577"/>
      <c r="AG1037" s="327"/>
      <c r="AH1037" s="576"/>
      <c r="AI1037" s="327"/>
      <c r="AJ1037" s="577"/>
      <c r="AK1037" s="327"/>
      <c r="AL1037" s="602"/>
      <c r="AM1037" s="326"/>
      <c r="AN1037" s="326"/>
      <c r="AO1037" s="326"/>
      <c r="AP1037" s="326"/>
      <c r="AQ1037" s="326"/>
      <c r="AR1037" s="326"/>
      <c r="AS1037" s="326"/>
      <c r="AT1037" s="326"/>
      <c r="AU1037" s="326"/>
      <c r="AV1037" s="326"/>
      <c r="AW1037" s="326"/>
      <c r="AX1037" s="326"/>
      <c r="AY1037" s="326"/>
      <c r="AZ1037" s="326"/>
      <c r="BA1037" s="326"/>
      <c r="BB1037" s="327"/>
    </row>
    <row r="1038" spans="1:54" ht="15.75" customHeight="1" x14ac:dyDescent="0.25">
      <c r="A1038" s="11">
        <f t="shared" si="4"/>
        <v>1025</v>
      </c>
      <c r="B1038" s="570" t="str">
        <f>'refer admin discharge'!B1034</f>
        <v>x</v>
      </c>
      <c r="C1038" s="327"/>
      <c r="D1038" s="599" t="str">
        <f>'refer admin discharge'!D1034</f>
        <v>xx</v>
      </c>
      <c r="E1038" s="327"/>
      <c r="F1038" s="600" t="str">
        <f>'refer admin discharge'!H1034</f>
        <v>00/00/0000</v>
      </c>
      <c r="G1038" s="327"/>
      <c r="H1038" s="574"/>
      <c r="I1038" s="327"/>
      <c r="J1038" s="601"/>
      <c r="K1038" s="327"/>
      <c r="L1038" s="574"/>
      <c r="M1038" s="327"/>
      <c r="N1038" s="594"/>
      <c r="O1038" s="327"/>
      <c r="P1038" s="574"/>
      <c r="Q1038" s="327"/>
      <c r="R1038" s="594"/>
      <c r="S1038" s="327"/>
      <c r="T1038" s="574"/>
      <c r="U1038" s="327"/>
      <c r="V1038" s="595" t="str">
        <f>'refer admin discharge'!H1039</f>
        <v>00/00/0000</v>
      </c>
      <c r="W1038" s="327"/>
      <c r="X1038" s="596"/>
      <c r="Y1038" s="327"/>
      <c r="Z1038" s="597"/>
      <c r="AA1038" s="327"/>
      <c r="AB1038" s="596"/>
      <c r="AC1038" s="327"/>
      <c r="AD1038" s="577"/>
      <c r="AE1038" s="327"/>
      <c r="AF1038" s="596"/>
      <c r="AG1038" s="327"/>
      <c r="AH1038" s="577"/>
      <c r="AI1038" s="327"/>
      <c r="AJ1038" s="596"/>
      <c r="AK1038" s="327"/>
      <c r="AL1038" s="598"/>
      <c r="AM1038" s="326"/>
      <c r="AN1038" s="326"/>
      <c r="AO1038" s="326"/>
      <c r="AP1038" s="326"/>
      <c r="AQ1038" s="326"/>
      <c r="AR1038" s="326"/>
      <c r="AS1038" s="326"/>
      <c r="AT1038" s="326"/>
      <c r="AU1038" s="326"/>
      <c r="AV1038" s="326"/>
      <c r="AW1038" s="326"/>
      <c r="AX1038" s="326"/>
      <c r="AY1038" s="326"/>
      <c r="AZ1038" s="326"/>
      <c r="BA1038" s="326"/>
      <c r="BB1038" s="327"/>
    </row>
    <row r="1039" spans="1:54" ht="15.75" customHeight="1" x14ac:dyDescent="0.25">
      <c r="A1039" s="11">
        <f t="shared" si="4"/>
        <v>1026</v>
      </c>
      <c r="B1039" s="504" t="str">
        <f>'refer admin discharge'!B1035</f>
        <v>x</v>
      </c>
      <c r="C1039" s="327"/>
      <c r="D1039" s="505" t="str">
        <f>'refer admin discharge'!D1035</f>
        <v>xx</v>
      </c>
      <c r="E1039" s="327"/>
      <c r="F1039" s="606" t="str">
        <f>'refer admin discharge'!H1035</f>
        <v>00/00/0000</v>
      </c>
      <c r="G1039" s="327"/>
      <c r="H1039" s="594"/>
      <c r="I1039" s="327"/>
      <c r="J1039" s="605"/>
      <c r="K1039" s="327"/>
      <c r="L1039" s="594"/>
      <c r="M1039" s="327"/>
      <c r="N1039" s="575"/>
      <c r="O1039" s="327"/>
      <c r="P1039" s="594"/>
      <c r="Q1039" s="327"/>
      <c r="R1039" s="575"/>
      <c r="S1039" s="327"/>
      <c r="T1039" s="594"/>
      <c r="U1039" s="327"/>
      <c r="V1039" s="595" t="str">
        <f>'refer admin discharge'!H1040</f>
        <v>00/00/0000</v>
      </c>
      <c r="W1039" s="327"/>
      <c r="X1039" s="577"/>
      <c r="Y1039" s="327"/>
      <c r="Z1039" s="604"/>
      <c r="AA1039" s="327"/>
      <c r="AB1039" s="577"/>
      <c r="AC1039" s="327"/>
      <c r="AD1039" s="576"/>
      <c r="AE1039" s="327"/>
      <c r="AF1039" s="577"/>
      <c r="AG1039" s="327"/>
      <c r="AH1039" s="576"/>
      <c r="AI1039" s="327"/>
      <c r="AJ1039" s="577"/>
      <c r="AK1039" s="327"/>
      <c r="AL1039" s="602"/>
      <c r="AM1039" s="326"/>
      <c r="AN1039" s="326"/>
      <c r="AO1039" s="326"/>
      <c r="AP1039" s="326"/>
      <c r="AQ1039" s="326"/>
      <c r="AR1039" s="326"/>
      <c r="AS1039" s="326"/>
      <c r="AT1039" s="326"/>
      <c r="AU1039" s="326"/>
      <c r="AV1039" s="326"/>
      <c r="AW1039" s="326"/>
      <c r="AX1039" s="326"/>
      <c r="AY1039" s="326"/>
      <c r="AZ1039" s="326"/>
      <c r="BA1039" s="326"/>
      <c r="BB1039" s="327"/>
    </row>
    <row r="1040" spans="1:54" ht="15.75" customHeight="1" x14ac:dyDescent="0.25">
      <c r="A1040" s="11">
        <f t="shared" si="4"/>
        <v>1027</v>
      </c>
      <c r="B1040" s="570" t="str">
        <f>'refer admin discharge'!B1036</f>
        <v>x</v>
      </c>
      <c r="C1040" s="327"/>
      <c r="D1040" s="599" t="str">
        <f>'refer admin discharge'!D1036</f>
        <v>xx</v>
      </c>
      <c r="E1040" s="327"/>
      <c r="F1040" s="600" t="str">
        <f>'refer admin discharge'!H1036</f>
        <v>00/00/0000</v>
      </c>
      <c r="G1040" s="327"/>
      <c r="H1040" s="574"/>
      <c r="I1040" s="327"/>
      <c r="J1040" s="601"/>
      <c r="K1040" s="327"/>
      <c r="L1040" s="574"/>
      <c r="M1040" s="327"/>
      <c r="N1040" s="594"/>
      <c r="O1040" s="327"/>
      <c r="P1040" s="574"/>
      <c r="Q1040" s="327"/>
      <c r="R1040" s="594"/>
      <c r="S1040" s="327"/>
      <c r="T1040" s="574"/>
      <c r="U1040" s="327"/>
      <c r="V1040" s="595" t="str">
        <f>'refer admin discharge'!H1041</f>
        <v>00/00/0000</v>
      </c>
      <c r="W1040" s="327"/>
      <c r="X1040" s="596"/>
      <c r="Y1040" s="327"/>
      <c r="Z1040" s="597"/>
      <c r="AA1040" s="327"/>
      <c r="AB1040" s="596"/>
      <c r="AC1040" s="327"/>
      <c r="AD1040" s="577"/>
      <c r="AE1040" s="327"/>
      <c r="AF1040" s="596"/>
      <c r="AG1040" s="327"/>
      <c r="AH1040" s="577"/>
      <c r="AI1040" s="327"/>
      <c r="AJ1040" s="596"/>
      <c r="AK1040" s="327"/>
      <c r="AL1040" s="598"/>
      <c r="AM1040" s="326"/>
      <c r="AN1040" s="326"/>
      <c r="AO1040" s="326"/>
      <c r="AP1040" s="326"/>
      <c r="AQ1040" s="326"/>
      <c r="AR1040" s="326"/>
      <c r="AS1040" s="326"/>
      <c r="AT1040" s="326"/>
      <c r="AU1040" s="326"/>
      <c r="AV1040" s="326"/>
      <c r="AW1040" s="326"/>
      <c r="AX1040" s="326"/>
      <c r="AY1040" s="326"/>
      <c r="AZ1040" s="326"/>
      <c r="BA1040" s="326"/>
      <c r="BB1040" s="327"/>
    </row>
    <row r="1041" spans="1:54" ht="15.75" customHeight="1" x14ac:dyDescent="0.25">
      <c r="A1041" s="11">
        <f t="shared" si="4"/>
        <v>1028</v>
      </c>
      <c r="B1041" s="504" t="str">
        <f>'refer admin discharge'!B1037</f>
        <v>x</v>
      </c>
      <c r="C1041" s="327"/>
      <c r="D1041" s="505" t="str">
        <f>'refer admin discharge'!D1037</f>
        <v>xx</v>
      </c>
      <c r="E1041" s="327"/>
      <c r="F1041" s="606" t="str">
        <f>'refer admin discharge'!H1037</f>
        <v>00/00/0000</v>
      </c>
      <c r="G1041" s="327"/>
      <c r="H1041" s="594"/>
      <c r="I1041" s="327"/>
      <c r="J1041" s="605"/>
      <c r="K1041" s="327"/>
      <c r="L1041" s="594"/>
      <c r="M1041" s="327"/>
      <c r="N1041" s="575"/>
      <c r="O1041" s="327"/>
      <c r="P1041" s="594"/>
      <c r="Q1041" s="327"/>
      <c r="R1041" s="575"/>
      <c r="S1041" s="327"/>
      <c r="T1041" s="594"/>
      <c r="U1041" s="327"/>
      <c r="V1041" s="595" t="str">
        <f>'refer admin discharge'!H1042</f>
        <v>00/00/0000</v>
      </c>
      <c r="W1041" s="327"/>
      <c r="X1041" s="577"/>
      <c r="Y1041" s="327"/>
      <c r="Z1041" s="604"/>
      <c r="AA1041" s="327"/>
      <c r="AB1041" s="577"/>
      <c r="AC1041" s="327"/>
      <c r="AD1041" s="576"/>
      <c r="AE1041" s="327"/>
      <c r="AF1041" s="577"/>
      <c r="AG1041" s="327"/>
      <c r="AH1041" s="576"/>
      <c r="AI1041" s="327"/>
      <c r="AJ1041" s="577"/>
      <c r="AK1041" s="327"/>
      <c r="AL1041" s="602"/>
      <c r="AM1041" s="326"/>
      <c r="AN1041" s="326"/>
      <c r="AO1041" s="326"/>
      <c r="AP1041" s="326"/>
      <c r="AQ1041" s="326"/>
      <c r="AR1041" s="326"/>
      <c r="AS1041" s="326"/>
      <c r="AT1041" s="326"/>
      <c r="AU1041" s="326"/>
      <c r="AV1041" s="326"/>
      <c r="AW1041" s="326"/>
      <c r="AX1041" s="326"/>
      <c r="AY1041" s="326"/>
      <c r="AZ1041" s="326"/>
      <c r="BA1041" s="326"/>
      <c r="BB1041" s="327"/>
    </row>
    <row r="1042" spans="1:54" ht="15.75" customHeight="1" x14ac:dyDescent="0.25">
      <c r="A1042" s="11">
        <f t="shared" si="4"/>
        <v>1029</v>
      </c>
      <c r="B1042" s="570" t="str">
        <f>'refer admin discharge'!B1038</f>
        <v>x</v>
      </c>
      <c r="C1042" s="327"/>
      <c r="D1042" s="599" t="str">
        <f>'refer admin discharge'!D1038</f>
        <v>xx</v>
      </c>
      <c r="E1042" s="327"/>
      <c r="F1042" s="600" t="str">
        <f>'refer admin discharge'!H1038</f>
        <v>00/00/0000</v>
      </c>
      <c r="G1042" s="327"/>
      <c r="H1042" s="574"/>
      <c r="I1042" s="327"/>
      <c r="J1042" s="601"/>
      <c r="K1042" s="327"/>
      <c r="L1042" s="574"/>
      <c r="M1042" s="327"/>
      <c r="N1042" s="594"/>
      <c r="O1042" s="327"/>
      <c r="P1042" s="574"/>
      <c r="Q1042" s="327"/>
      <c r="R1042" s="594"/>
      <c r="S1042" s="327"/>
      <c r="T1042" s="574"/>
      <c r="U1042" s="327"/>
      <c r="V1042" s="595" t="str">
        <f>'refer admin discharge'!H1043</f>
        <v>00/00/0000</v>
      </c>
      <c r="W1042" s="327"/>
      <c r="X1042" s="596"/>
      <c r="Y1042" s="327"/>
      <c r="Z1042" s="597"/>
      <c r="AA1042" s="327"/>
      <c r="AB1042" s="596"/>
      <c r="AC1042" s="327"/>
      <c r="AD1042" s="577"/>
      <c r="AE1042" s="327"/>
      <c r="AF1042" s="596"/>
      <c r="AG1042" s="327"/>
      <c r="AH1042" s="577"/>
      <c r="AI1042" s="327"/>
      <c r="AJ1042" s="596"/>
      <c r="AK1042" s="327"/>
      <c r="AL1042" s="598"/>
      <c r="AM1042" s="326"/>
      <c r="AN1042" s="326"/>
      <c r="AO1042" s="326"/>
      <c r="AP1042" s="326"/>
      <c r="AQ1042" s="326"/>
      <c r="AR1042" s="326"/>
      <c r="AS1042" s="326"/>
      <c r="AT1042" s="326"/>
      <c r="AU1042" s="326"/>
      <c r="AV1042" s="326"/>
      <c r="AW1042" s="326"/>
      <c r="AX1042" s="326"/>
      <c r="AY1042" s="326"/>
      <c r="AZ1042" s="326"/>
      <c r="BA1042" s="326"/>
      <c r="BB1042" s="327"/>
    </row>
    <row r="1043" spans="1:54" ht="15.75" customHeight="1" x14ac:dyDescent="0.25">
      <c r="A1043" s="11">
        <f t="shared" si="4"/>
        <v>1030</v>
      </c>
      <c r="B1043" s="504" t="str">
        <f>'refer admin discharge'!B1039</f>
        <v>x</v>
      </c>
      <c r="C1043" s="327"/>
      <c r="D1043" s="505" t="str">
        <f>'refer admin discharge'!D1039</f>
        <v>xx</v>
      </c>
      <c r="E1043" s="327"/>
      <c r="F1043" s="606" t="str">
        <f>'refer admin discharge'!H1039</f>
        <v>00/00/0000</v>
      </c>
      <c r="G1043" s="327"/>
      <c r="H1043" s="594"/>
      <c r="I1043" s="327"/>
      <c r="J1043" s="605"/>
      <c r="K1043" s="327"/>
      <c r="L1043" s="594"/>
      <c r="M1043" s="327"/>
      <c r="N1043" s="575"/>
      <c r="O1043" s="327"/>
      <c r="P1043" s="594"/>
      <c r="Q1043" s="327"/>
      <c r="R1043" s="575"/>
      <c r="S1043" s="327"/>
      <c r="T1043" s="594"/>
      <c r="U1043" s="327"/>
      <c r="V1043" s="595" t="str">
        <f>'refer admin discharge'!H1044</f>
        <v>00/00/0000</v>
      </c>
      <c r="W1043" s="327"/>
      <c r="X1043" s="577"/>
      <c r="Y1043" s="327"/>
      <c r="Z1043" s="604"/>
      <c r="AA1043" s="327"/>
      <c r="AB1043" s="577"/>
      <c r="AC1043" s="327"/>
      <c r="AD1043" s="576"/>
      <c r="AE1043" s="327"/>
      <c r="AF1043" s="577"/>
      <c r="AG1043" s="327"/>
      <c r="AH1043" s="576"/>
      <c r="AI1043" s="327"/>
      <c r="AJ1043" s="577"/>
      <c r="AK1043" s="327"/>
      <c r="AL1043" s="602"/>
      <c r="AM1043" s="326"/>
      <c r="AN1043" s="326"/>
      <c r="AO1043" s="326"/>
      <c r="AP1043" s="326"/>
      <c r="AQ1043" s="326"/>
      <c r="AR1043" s="326"/>
      <c r="AS1043" s="326"/>
      <c r="AT1043" s="326"/>
      <c r="AU1043" s="326"/>
      <c r="AV1043" s="326"/>
      <c r="AW1043" s="326"/>
      <c r="AX1043" s="326"/>
      <c r="AY1043" s="326"/>
      <c r="AZ1043" s="326"/>
      <c r="BA1043" s="326"/>
      <c r="BB1043" s="327"/>
    </row>
    <row r="1044" spans="1:54" ht="15.75" customHeight="1" x14ac:dyDescent="0.25">
      <c r="A1044" s="11">
        <f t="shared" si="4"/>
        <v>1031</v>
      </c>
      <c r="B1044" s="570" t="str">
        <f>'refer admin discharge'!B1040</f>
        <v>x</v>
      </c>
      <c r="C1044" s="327"/>
      <c r="D1044" s="599" t="str">
        <f>'refer admin discharge'!D1040</f>
        <v>xx</v>
      </c>
      <c r="E1044" s="327"/>
      <c r="F1044" s="600" t="str">
        <f>'refer admin discharge'!H1040</f>
        <v>00/00/0000</v>
      </c>
      <c r="G1044" s="327"/>
      <c r="H1044" s="574"/>
      <c r="I1044" s="327"/>
      <c r="J1044" s="601"/>
      <c r="K1044" s="327"/>
      <c r="L1044" s="574"/>
      <c r="M1044" s="327"/>
      <c r="N1044" s="594"/>
      <c r="O1044" s="327"/>
      <c r="P1044" s="574"/>
      <c r="Q1044" s="327"/>
      <c r="R1044" s="594"/>
      <c r="S1044" s="327"/>
      <c r="T1044" s="574"/>
      <c r="U1044" s="327"/>
      <c r="V1044" s="595" t="str">
        <f>'refer admin discharge'!H1045</f>
        <v>00/00/0000</v>
      </c>
      <c r="W1044" s="327"/>
      <c r="X1044" s="596"/>
      <c r="Y1044" s="327"/>
      <c r="Z1044" s="597"/>
      <c r="AA1044" s="327"/>
      <c r="AB1044" s="596"/>
      <c r="AC1044" s="327"/>
      <c r="AD1044" s="577"/>
      <c r="AE1044" s="327"/>
      <c r="AF1044" s="596"/>
      <c r="AG1044" s="327"/>
      <c r="AH1044" s="577"/>
      <c r="AI1044" s="327"/>
      <c r="AJ1044" s="596"/>
      <c r="AK1044" s="327"/>
      <c r="AL1044" s="598"/>
      <c r="AM1044" s="326"/>
      <c r="AN1044" s="326"/>
      <c r="AO1044" s="326"/>
      <c r="AP1044" s="326"/>
      <c r="AQ1044" s="326"/>
      <c r="AR1044" s="326"/>
      <c r="AS1044" s="326"/>
      <c r="AT1044" s="326"/>
      <c r="AU1044" s="326"/>
      <c r="AV1044" s="326"/>
      <c r="AW1044" s="326"/>
      <c r="AX1044" s="326"/>
      <c r="AY1044" s="326"/>
      <c r="AZ1044" s="326"/>
      <c r="BA1044" s="326"/>
      <c r="BB1044" s="327"/>
    </row>
    <row r="1045" spans="1:54" ht="15.75" customHeight="1" x14ac:dyDescent="0.25">
      <c r="A1045" s="11">
        <f t="shared" si="4"/>
        <v>1032</v>
      </c>
      <c r="B1045" s="504" t="str">
        <f>'refer admin discharge'!B1041</f>
        <v>x</v>
      </c>
      <c r="C1045" s="327"/>
      <c r="D1045" s="505" t="str">
        <f>'refer admin discharge'!D1041</f>
        <v>xx</v>
      </c>
      <c r="E1045" s="327"/>
      <c r="F1045" s="606" t="str">
        <f>'refer admin discharge'!H1041</f>
        <v>00/00/0000</v>
      </c>
      <c r="G1045" s="327"/>
      <c r="H1045" s="594"/>
      <c r="I1045" s="327"/>
      <c r="J1045" s="605"/>
      <c r="K1045" s="327"/>
      <c r="L1045" s="594"/>
      <c r="M1045" s="327"/>
      <c r="N1045" s="575"/>
      <c r="O1045" s="327"/>
      <c r="P1045" s="594"/>
      <c r="Q1045" s="327"/>
      <c r="R1045" s="575"/>
      <c r="S1045" s="327"/>
      <c r="T1045" s="594"/>
      <c r="U1045" s="327"/>
      <c r="V1045" s="595" t="str">
        <f>'refer admin discharge'!H1046</f>
        <v>00/00/0000</v>
      </c>
      <c r="W1045" s="327"/>
      <c r="X1045" s="577"/>
      <c r="Y1045" s="327"/>
      <c r="Z1045" s="604"/>
      <c r="AA1045" s="327"/>
      <c r="AB1045" s="577"/>
      <c r="AC1045" s="327"/>
      <c r="AD1045" s="576"/>
      <c r="AE1045" s="327"/>
      <c r="AF1045" s="577"/>
      <c r="AG1045" s="327"/>
      <c r="AH1045" s="576"/>
      <c r="AI1045" s="327"/>
      <c r="AJ1045" s="577"/>
      <c r="AK1045" s="327"/>
      <c r="AL1045" s="602"/>
      <c r="AM1045" s="326"/>
      <c r="AN1045" s="326"/>
      <c r="AO1045" s="326"/>
      <c r="AP1045" s="326"/>
      <c r="AQ1045" s="326"/>
      <c r="AR1045" s="326"/>
      <c r="AS1045" s="326"/>
      <c r="AT1045" s="326"/>
      <c r="AU1045" s="326"/>
      <c r="AV1045" s="326"/>
      <c r="AW1045" s="326"/>
      <c r="AX1045" s="326"/>
      <c r="AY1045" s="326"/>
      <c r="AZ1045" s="326"/>
      <c r="BA1045" s="326"/>
      <c r="BB1045" s="327"/>
    </row>
    <row r="1046" spans="1:54" ht="15.75" customHeight="1" x14ac:dyDescent="0.25">
      <c r="A1046" s="11">
        <f t="shared" si="4"/>
        <v>1033</v>
      </c>
      <c r="B1046" s="570" t="str">
        <f>'refer admin discharge'!B1042</f>
        <v>x</v>
      </c>
      <c r="C1046" s="327"/>
      <c r="D1046" s="599" t="str">
        <f>'refer admin discharge'!D1042</f>
        <v>xx</v>
      </c>
      <c r="E1046" s="327"/>
      <c r="F1046" s="600" t="str">
        <f>'refer admin discharge'!H1042</f>
        <v>00/00/0000</v>
      </c>
      <c r="G1046" s="327"/>
      <c r="H1046" s="574"/>
      <c r="I1046" s="327"/>
      <c r="J1046" s="601"/>
      <c r="K1046" s="327"/>
      <c r="L1046" s="574"/>
      <c r="M1046" s="327"/>
      <c r="N1046" s="594"/>
      <c r="O1046" s="327"/>
      <c r="P1046" s="574"/>
      <c r="Q1046" s="327"/>
      <c r="R1046" s="594"/>
      <c r="S1046" s="327"/>
      <c r="T1046" s="574"/>
      <c r="U1046" s="327"/>
      <c r="V1046" s="595" t="str">
        <f>'refer admin discharge'!H1047</f>
        <v>00/00/0000</v>
      </c>
      <c r="W1046" s="327"/>
      <c r="X1046" s="596"/>
      <c r="Y1046" s="327"/>
      <c r="Z1046" s="597"/>
      <c r="AA1046" s="327"/>
      <c r="AB1046" s="596"/>
      <c r="AC1046" s="327"/>
      <c r="AD1046" s="577"/>
      <c r="AE1046" s="327"/>
      <c r="AF1046" s="596"/>
      <c r="AG1046" s="327"/>
      <c r="AH1046" s="577"/>
      <c r="AI1046" s="327"/>
      <c r="AJ1046" s="596"/>
      <c r="AK1046" s="327"/>
      <c r="AL1046" s="598"/>
      <c r="AM1046" s="326"/>
      <c r="AN1046" s="326"/>
      <c r="AO1046" s="326"/>
      <c r="AP1046" s="326"/>
      <c r="AQ1046" s="326"/>
      <c r="AR1046" s="326"/>
      <c r="AS1046" s="326"/>
      <c r="AT1046" s="326"/>
      <c r="AU1046" s="326"/>
      <c r="AV1046" s="326"/>
      <c r="AW1046" s="326"/>
      <c r="AX1046" s="326"/>
      <c r="AY1046" s="326"/>
      <c r="AZ1046" s="326"/>
      <c r="BA1046" s="326"/>
      <c r="BB1046" s="327"/>
    </row>
    <row r="1047" spans="1:54" ht="15.75" customHeight="1" x14ac:dyDescent="0.25">
      <c r="A1047" s="11">
        <f t="shared" si="4"/>
        <v>1034</v>
      </c>
      <c r="B1047" s="504" t="str">
        <f>'refer admin discharge'!B1043</f>
        <v>x</v>
      </c>
      <c r="C1047" s="327"/>
      <c r="D1047" s="505" t="str">
        <f>'refer admin discharge'!D1043</f>
        <v>xx</v>
      </c>
      <c r="E1047" s="327"/>
      <c r="F1047" s="606" t="str">
        <f>'refer admin discharge'!H1043</f>
        <v>00/00/0000</v>
      </c>
      <c r="G1047" s="327"/>
      <c r="H1047" s="594"/>
      <c r="I1047" s="327"/>
      <c r="J1047" s="605"/>
      <c r="K1047" s="327"/>
      <c r="L1047" s="594"/>
      <c r="M1047" s="327"/>
      <c r="N1047" s="575"/>
      <c r="O1047" s="327"/>
      <c r="P1047" s="594"/>
      <c r="Q1047" s="327"/>
      <c r="R1047" s="575"/>
      <c r="S1047" s="327"/>
      <c r="T1047" s="594"/>
      <c r="U1047" s="327"/>
      <c r="V1047" s="595" t="str">
        <f>'refer admin discharge'!H1048</f>
        <v>00/00/0000</v>
      </c>
      <c r="W1047" s="327"/>
      <c r="X1047" s="577"/>
      <c r="Y1047" s="327"/>
      <c r="Z1047" s="604"/>
      <c r="AA1047" s="327"/>
      <c r="AB1047" s="577"/>
      <c r="AC1047" s="327"/>
      <c r="AD1047" s="576"/>
      <c r="AE1047" s="327"/>
      <c r="AF1047" s="577"/>
      <c r="AG1047" s="327"/>
      <c r="AH1047" s="576"/>
      <c r="AI1047" s="327"/>
      <c r="AJ1047" s="577"/>
      <c r="AK1047" s="327"/>
      <c r="AL1047" s="602"/>
      <c r="AM1047" s="326"/>
      <c r="AN1047" s="326"/>
      <c r="AO1047" s="326"/>
      <c r="AP1047" s="326"/>
      <c r="AQ1047" s="326"/>
      <c r="AR1047" s="326"/>
      <c r="AS1047" s="326"/>
      <c r="AT1047" s="326"/>
      <c r="AU1047" s="326"/>
      <c r="AV1047" s="326"/>
      <c r="AW1047" s="326"/>
      <c r="AX1047" s="326"/>
      <c r="AY1047" s="326"/>
      <c r="AZ1047" s="326"/>
      <c r="BA1047" s="326"/>
      <c r="BB1047" s="327"/>
    </row>
    <row r="1048" spans="1:54" ht="15.75" customHeight="1" x14ac:dyDescent="0.25">
      <c r="A1048" s="11">
        <f t="shared" si="4"/>
        <v>1035</v>
      </c>
      <c r="B1048" s="570" t="str">
        <f>'refer admin discharge'!B1044</f>
        <v>x</v>
      </c>
      <c r="C1048" s="327"/>
      <c r="D1048" s="599" t="str">
        <f>'refer admin discharge'!D1044</f>
        <v>xx</v>
      </c>
      <c r="E1048" s="327"/>
      <c r="F1048" s="600" t="str">
        <f>'refer admin discharge'!H1044</f>
        <v>00/00/0000</v>
      </c>
      <c r="G1048" s="327"/>
      <c r="H1048" s="574"/>
      <c r="I1048" s="327"/>
      <c r="J1048" s="601"/>
      <c r="K1048" s="327"/>
      <c r="L1048" s="574"/>
      <c r="M1048" s="327"/>
      <c r="N1048" s="594"/>
      <c r="O1048" s="327"/>
      <c r="P1048" s="574"/>
      <c r="Q1048" s="327"/>
      <c r="R1048" s="594"/>
      <c r="S1048" s="327"/>
      <c r="T1048" s="574"/>
      <c r="U1048" s="327"/>
      <c r="V1048" s="595" t="str">
        <f>'refer admin discharge'!H1049</f>
        <v>00/00/0000</v>
      </c>
      <c r="W1048" s="327"/>
      <c r="X1048" s="596"/>
      <c r="Y1048" s="327"/>
      <c r="Z1048" s="597"/>
      <c r="AA1048" s="327"/>
      <c r="AB1048" s="596"/>
      <c r="AC1048" s="327"/>
      <c r="AD1048" s="577"/>
      <c r="AE1048" s="327"/>
      <c r="AF1048" s="596"/>
      <c r="AG1048" s="327"/>
      <c r="AH1048" s="577"/>
      <c r="AI1048" s="327"/>
      <c r="AJ1048" s="596"/>
      <c r="AK1048" s="327"/>
      <c r="AL1048" s="598"/>
      <c r="AM1048" s="326"/>
      <c r="AN1048" s="326"/>
      <c r="AO1048" s="326"/>
      <c r="AP1048" s="326"/>
      <c r="AQ1048" s="326"/>
      <c r="AR1048" s="326"/>
      <c r="AS1048" s="326"/>
      <c r="AT1048" s="326"/>
      <c r="AU1048" s="326"/>
      <c r="AV1048" s="326"/>
      <c r="AW1048" s="326"/>
      <c r="AX1048" s="326"/>
      <c r="AY1048" s="326"/>
      <c r="AZ1048" s="326"/>
      <c r="BA1048" s="326"/>
      <c r="BB1048" s="327"/>
    </row>
    <row r="1049" spans="1:54" ht="15.75" customHeight="1" x14ac:dyDescent="0.25">
      <c r="A1049" s="11">
        <f t="shared" si="4"/>
        <v>1036</v>
      </c>
      <c r="B1049" s="504" t="str">
        <f>'refer admin discharge'!B1045</f>
        <v>x</v>
      </c>
      <c r="C1049" s="327"/>
      <c r="D1049" s="505" t="str">
        <f>'refer admin discharge'!D1045</f>
        <v>xx</v>
      </c>
      <c r="E1049" s="327"/>
      <c r="F1049" s="606" t="str">
        <f>'refer admin discharge'!H1045</f>
        <v>00/00/0000</v>
      </c>
      <c r="G1049" s="327"/>
      <c r="H1049" s="594"/>
      <c r="I1049" s="327"/>
      <c r="J1049" s="605"/>
      <c r="K1049" s="327"/>
      <c r="L1049" s="594"/>
      <c r="M1049" s="327"/>
      <c r="N1049" s="575"/>
      <c r="O1049" s="327"/>
      <c r="P1049" s="594"/>
      <c r="Q1049" s="327"/>
      <c r="R1049" s="575"/>
      <c r="S1049" s="327"/>
      <c r="T1049" s="594"/>
      <c r="U1049" s="327"/>
      <c r="V1049" s="595" t="str">
        <f>'refer admin discharge'!H1050</f>
        <v>00/00/0000</v>
      </c>
      <c r="W1049" s="327"/>
      <c r="X1049" s="577"/>
      <c r="Y1049" s="327"/>
      <c r="Z1049" s="604"/>
      <c r="AA1049" s="327"/>
      <c r="AB1049" s="577"/>
      <c r="AC1049" s="327"/>
      <c r="AD1049" s="576"/>
      <c r="AE1049" s="327"/>
      <c r="AF1049" s="577"/>
      <c r="AG1049" s="327"/>
      <c r="AH1049" s="576"/>
      <c r="AI1049" s="327"/>
      <c r="AJ1049" s="577"/>
      <c r="AK1049" s="327"/>
      <c r="AL1049" s="602"/>
      <c r="AM1049" s="326"/>
      <c r="AN1049" s="326"/>
      <c r="AO1049" s="326"/>
      <c r="AP1049" s="326"/>
      <c r="AQ1049" s="326"/>
      <c r="AR1049" s="326"/>
      <c r="AS1049" s="326"/>
      <c r="AT1049" s="326"/>
      <c r="AU1049" s="326"/>
      <c r="AV1049" s="326"/>
      <c r="AW1049" s="326"/>
      <c r="AX1049" s="326"/>
      <c r="AY1049" s="326"/>
      <c r="AZ1049" s="326"/>
      <c r="BA1049" s="326"/>
      <c r="BB1049" s="327"/>
    </row>
    <row r="1050" spans="1:54" ht="15.75" customHeight="1" x14ac:dyDescent="0.25">
      <c r="A1050" s="11">
        <f t="shared" si="4"/>
        <v>1037</v>
      </c>
      <c r="B1050" s="570" t="str">
        <f>'refer admin discharge'!B1046</f>
        <v>x</v>
      </c>
      <c r="C1050" s="327"/>
      <c r="D1050" s="599" t="str">
        <f>'refer admin discharge'!D1046</f>
        <v>xx</v>
      </c>
      <c r="E1050" s="327"/>
      <c r="F1050" s="600" t="str">
        <f>'refer admin discharge'!H1046</f>
        <v>00/00/0000</v>
      </c>
      <c r="G1050" s="327"/>
      <c r="H1050" s="574"/>
      <c r="I1050" s="327"/>
      <c r="J1050" s="601"/>
      <c r="K1050" s="327"/>
      <c r="L1050" s="574"/>
      <c r="M1050" s="327"/>
      <c r="N1050" s="594"/>
      <c r="O1050" s="327"/>
      <c r="P1050" s="574"/>
      <c r="Q1050" s="327"/>
      <c r="R1050" s="594"/>
      <c r="S1050" s="327"/>
      <c r="T1050" s="574"/>
      <c r="U1050" s="327"/>
      <c r="V1050" s="595" t="str">
        <f>'refer admin discharge'!H1051</f>
        <v>00/00/0000</v>
      </c>
      <c r="W1050" s="327"/>
      <c r="X1050" s="596"/>
      <c r="Y1050" s="327"/>
      <c r="Z1050" s="597"/>
      <c r="AA1050" s="327"/>
      <c r="AB1050" s="596"/>
      <c r="AC1050" s="327"/>
      <c r="AD1050" s="577"/>
      <c r="AE1050" s="327"/>
      <c r="AF1050" s="596"/>
      <c r="AG1050" s="327"/>
      <c r="AH1050" s="577"/>
      <c r="AI1050" s="327"/>
      <c r="AJ1050" s="596"/>
      <c r="AK1050" s="327"/>
      <c r="AL1050" s="598"/>
      <c r="AM1050" s="326"/>
      <c r="AN1050" s="326"/>
      <c r="AO1050" s="326"/>
      <c r="AP1050" s="326"/>
      <c r="AQ1050" s="326"/>
      <c r="AR1050" s="326"/>
      <c r="AS1050" s="326"/>
      <c r="AT1050" s="326"/>
      <c r="AU1050" s="326"/>
      <c r="AV1050" s="326"/>
      <c r="AW1050" s="326"/>
      <c r="AX1050" s="326"/>
      <c r="AY1050" s="326"/>
      <c r="AZ1050" s="326"/>
      <c r="BA1050" s="326"/>
      <c r="BB1050" s="327"/>
    </row>
    <row r="1051" spans="1:54" ht="15.75" customHeight="1" x14ac:dyDescent="0.25">
      <c r="A1051" s="11">
        <f t="shared" si="4"/>
        <v>1038</v>
      </c>
      <c r="B1051" s="504" t="str">
        <f>'refer admin discharge'!B1047</f>
        <v>x</v>
      </c>
      <c r="C1051" s="327"/>
      <c r="D1051" s="505" t="str">
        <f>'refer admin discharge'!D1047</f>
        <v>xx</v>
      </c>
      <c r="E1051" s="327"/>
      <c r="F1051" s="606" t="str">
        <f>'refer admin discharge'!H1047</f>
        <v>00/00/0000</v>
      </c>
      <c r="G1051" s="327"/>
      <c r="H1051" s="594"/>
      <c r="I1051" s="327"/>
      <c r="J1051" s="605"/>
      <c r="K1051" s="327"/>
      <c r="L1051" s="594"/>
      <c r="M1051" s="327"/>
      <c r="N1051" s="575"/>
      <c r="O1051" s="327"/>
      <c r="P1051" s="594"/>
      <c r="Q1051" s="327"/>
      <c r="R1051" s="575"/>
      <c r="S1051" s="327"/>
      <c r="T1051" s="594"/>
      <c r="U1051" s="327"/>
      <c r="V1051" s="595" t="str">
        <f>'refer admin discharge'!H1052</f>
        <v>00/00/0000</v>
      </c>
      <c r="W1051" s="327"/>
      <c r="X1051" s="577"/>
      <c r="Y1051" s="327"/>
      <c r="Z1051" s="604"/>
      <c r="AA1051" s="327"/>
      <c r="AB1051" s="577"/>
      <c r="AC1051" s="327"/>
      <c r="AD1051" s="576"/>
      <c r="AE1051" s="327"/>
      <c r="AF1051" s="577"/>
      <c r="AG1051" s="327"/>
      <c r="AH1051" s="576"/>
      <c r="AI1051" s="327"/>
      <c r="AJ1051" s="577"/>
      <c r="AK1051" s="327"/>
      <c r="AL1051" s="602"/>
      <c r="AM1051" s="326"/>
      <c r="AN1051" s="326"/>
      <c r="AO1051" s="326"/>
      <c r="AP1051" s="326"/>
      <c r="AQ1051" s="326"/>
      <c r="AR1051" s="326"/>
      <c r="AS1051" s="326"/>
      <c r="AT1051" s="326"/>
      <c r="AU1051" s="326"/>
      <c r="AV1051" s="326"/>
      <c r="AW1051" s="326"/>
      <c r="AX1051" s="326"/>
      <c r="AY1051" s="326"/>
      <c r="AZ1051" s="326"/>
      <c r="BA1051" s="326"/>
      <c r="BB1051" s="327"/>
    </row>
    <row r="1052" spans="1:54" ht="15.75" customHeight="1" x14ac:dyDescent="0.25">
      <c r="A1052" s="11">
        <f t="shared" si="4"/>
        <v>1039</v>
      </c>
      <c r="B1052" s="570" t="str">
        <f>'refer admin discharge'!B1048</f>
        <v>x</v>
      </c>
      <c r="C1052" s="327"/>
      <c r="D1052" s="599" t="str">
        <f>'refer admin discharge'!D1048</f>
        <v>xx</v>
      </c>
      <c r="E1052" s="327"/>
      <c r="F1052" s="600" t="str">
        <f>'refer admin discharge'!H1048</f>
        <v>00/00/0000</v>
      </c>
      <c r="G1052" s="327"/>
      <c r="H1052" s="574"/>
      <c r="I1052" s="327"/>
      <c r="J1052" s="601"/>
      <c r="K1052" s="327"/>
      <c r="L1052" s="574"/>
      <c r="M1052" s="327"/>
      <c r="N1052" s="594"/>
      <c r="O1052" s="327"/>
      <c r="P1052" s="574"/>
      <c r="Q1052" s="327"/>
      <c r="R1052" s="594"/>
      <c r="S1052" s="327"/>
      <c r="T1052" s="574"/>
      <c r="U1052" s="327"/>
      <c r="V1052" s="595" t="str">
        <f>'refer admin discharge'!H1053</f>
        <v>00/00/0000</v>
      </c>
      <c r="W1052" s="327"/>
      <c r="X1052" s="596"/>
      <c r="Y1052" s="327"/>
      <c r="Z1052" s="597"/>
      <c r="AA1052" s="327"/>
      <c r="AB1052" s="596"/>
      <c r="AC1052" s="327"/>
      <c r="AD1052" s="577"/>
      <c r="AE1052" s="327"/>
      <c r="AF1052" s="596"/>
      <c r="AG1052" s="327"/>
      <c r="AH1052" s="577"/>
      <c r="AI1052" s="327"/>
      <c r="AJ1052" s="596"/>
      <c r="AK1052" s="327"/>
      <c r="AL1052" s="598"/>
      <c r="AM1052" s="326"/>
      <c r="AN1052" s="326"/>
      <c r="AO1052" s="326"/>
      <c r="AP1052" s="326"/>
      <c r="AQ1052" s="326"/>
      <c r="AR1052" s="326"/>
      <c r="AS1052" s="326"/>
      <c r="AT1052" s="326"/>
      <c r="AU1052" s="326"/>
      <c r="AV1052" s="326"/>
      <c r="AW1052" s="326"/>
      <c r="AX1052" s="326"/>
      <c r="AY1052" s="326"/>
      <c r="AZ1052" s="326"/>
      <c r="BA1052" s="326"/>
      <c r="BB1052" s="327"/>
    </row>
    <row r="1053" spans="1:54" ht="15.75" customHeight="1" x14ac:dyDescent="0.25">
      <c r="A1053" s="11">
        <f t="shared" si="4"/>
        <v>1040</v>
      </c>
      <c r="B1053" s="504" t="str">
        <f>'refer admin discharge'!B1049</f>
        <v>x</v>
      </c>
      <c r="C1053" s="327"/>
      <c r="D1053" s="505" t="str">
        <f>'refer admin discharge'!D1049</f>
        <v>xx</v>
      </c>
      <c r="E1053" s="327"/>
      <c r="F1053" s="606" t="str">
        <f>'refer admin discharge'!H1049</f>
        <v>00/00/0000</v>
      </c>
      <c r="G1053" s="327"/>
      <c r="H1053" s="594"/>
      <c r="I1053" s="327"/>
      <c r="J1053" s="605"/>
      <c r="K1053" s="327"/>
      <c r="L1053" s="594"/>
      <c r="M1053" s="327"/>
      <c r="N1053" s="575"/>
      <c r="O1053" s="327"/>
      <c r="P1053" s="594"/>
      <c r="Q1053" s="327"/>
      <c r="R1053" s="575"/>
      <c r="S1053" s="327"/>
      <c r="T1053" s="594"/>
      <c r="U1053" s="327"/>
      <c r="V1053" s="595" t="str">
        <f>'refer admin discharge'!H1054</f>
        <v>00/00/0000</v>
      </c>
      <c r="W1053" s="327"/>
      <c r="X1053" s="577"/>
      <c r="Y1053" s="327"/>
      <c r="Z1053" s="604"/>
      <c r="AA1053" s="327"/>
      <c r="AB1053" s="577"/>
      <c r="AC1053" s="327"/>
      <c r="AD1053" s="576"/>
      <c r="AE1053" s="327"/>
      <c r="AF1053" s="577"/>
      <c r="AG1053" s="327"/>
      <c r="AH1053" s="576"/>
      <c r="AI1053" s="327"/>
      <c r="AJ1053" s="577"/>
      <c r="AK1053" s="327"/>
      <c r="AL1053" s="602"/>
      <c r="AM1053" s="326"/>
      <c r="AN1053" s="326"/>
      <c r="AO1053" s="326"/>
      <c r="AP1053" s="326"/>
      <c r="AQ1053" s="326"/>
      <c r="AR1053" s="326"/>
      <c r="AS1053" s="326"/>
      <c r="AT1053" s="326"/>
      <c r="AU1053" s="326"/>
      <c r="AV1053" s="326"/>
      <c r="AW1053" s="326"/>
      <c r="AX1053" s="326"/>
      <c r="AY1053" s="326"/>
      <c r="AZ1053" s="326"/>
      <c r="BA1053" s="326"/>
      <c r="BB1053" s="327"/>
    </row>
    <row r="1054" spans="1:54" ht="15.75" customHeight="1" x14ac:dyDescent="0.25">
      <c r="A1054" s="11">
        <f t="shared" si="4"/>
        <v>1041</v>
      </c>
      <c r="B1054" s="570" t="str">
        <f>'refer admin discharge'!B1050</f>
        <v>x</v>
      </c>
      <c r="C1054" s="327"/>
      <c r="D1054" s="599" t="str">
        <f>'refer admin discharge'!D1050</f>
        <v>xx</v>
      </c>
      <c r="E1054" s="327"/>
      <c r="F1054" s="600" t="str">
        <f>'refer admin discharge'!H1050</f>
        <v>00/00/0000</v>
      </c>
      <c r="G1054" s="327"/>
      <c r="H1054" s="574"/>
      <c r="I1054" s="327"/>
      <c r="J1054" s="601"/>
      <c r="K1054" s="327"/>
      <c r="L1054" s="574"/>
      <c r="M1054" s="327"/>
      <c r="N1054" s="594"/>
      <c r="O1054" s="327"/>
      <c r="P1054" s="574"/>
      <c r="Q1054" s="327"/>
      <c r="R1054" s="594"/>
      <c r="S1054" s="327"/>
      <c r="T1054" s="574"/>
      <c r="U1054" s="327"/>
      <c r="V1054" s="595" t="str">
        <f>'refer admin discharge'!H1055</f>
        <v>00/00/0000</v>
      </c>
      <c r="W1054" s="327"/>
      <c r="X1054" s="596"/>
      <c r="Y1054" s="327"/>
      <c r="Z1054" s="597"/>
      <c r="AA1054" s="327"/>
      <c r="AB1054" s="596"/>
      <c r="AC1054" s="327"/>
      <c r="AD1054" s="577"/>
      <c r="AE1054" s="327"/>
      <c r="AF1054" s="596"/>
      <c r="AG1054" s="327"/>
      <c r="AH1054" s="577"/>
      <c r="AI1054" s="327"/>
      <c r="AJ1054" s="596"/>
      <c r="AK1054" s="327"/>
      <c r="AL1054" s="598"/>
      <c r="AM1054" s="326"/>
      <c r="AN1054" s="326"/>
      <c r="AO1054" s="326"/>
      <c r="AP1054" s="326"/>
      <c r="AQ1054" s="326"/>
      <c r="AR1054" s="326"/>
      <c r="AS1054" s="326"/>
      <c r="AT1054" s="326"/>
      <c r="AU1054" s="326"/>
      <c r="AV1054" s="326"/>
      <c r="AW1054" s="326"/>
      <c r="AX1054" s="326"/>
      <c r="AY1054" s="326"/>
      <c r="AZ1054" s="326"/>
      <c r="BA1054" s="326"/>
      <c r="BB1054" s="327"/>
    </row>
    <row r="1055" spans="1:54" ht="15.75" customHeight="1" x14ac:dyDescent="0.25">
      <c r="A1055" s="11">
        <f t="shared" si="4"/>
        <v>1042</v>
      </c>
      <c r="B1055" s="504" t="str">
        <f>'refer admin discharge'!B1051</f>
        <v>x</v>
      </c>
      <c r="C1055" s="327"/>
      <c r="D1055" s="505" t="str">
        <f>'refer admin discharge'!D1051</f>
        <v>xx</v>
      </c>
      <c r="E1055" s="327"/>
      <c r="F1055" s="606" t="str">
        <f>'refer admin discharge'!H1051</f>
        <v>00/00/0000</v>
      </c>
      <c r="G1055" s="327"/>
      <c r="H1055" s="594"/>
      <c r="I1055" s="327"/>
      <c r="J1055" s="605"/>
      <c r="K1055" s="327"/>
      <c r="L1055" s="594"/>
      <c r="M1055" s="327"/>
      <c r="N1055" s="575"/>
      <c r="O1055" s="327"/>
      <c r="P1055" s="594"/>
      <c r="Q1055" s="327"/>
      <c r="R1055" s="575"/>
      <c r="S1055" s="327"/>
      <c r="T1055" s="594"/>
      <c r="U1055" s="327"/>
      <c r="V1055" s="595" t="str">
        <f>'refer admin discharge'!H1056</f>
        <v>00/00/0000</v>
      </c>
      <c r="W1055" s="327"/>
      <c r="X1055" s="577"/>
      <c r="Y1055" s="327"/>
      <c r="Z1055" s="604"/>
      <c r="AA1055" s="327"/>
      <c r="AB1055" s="577"/>
      <c r="AC1055" s="327"/>
      <c r="AD1055" s="576"/>
      <c r="AE1055" s="327"/>
      <c r="AF1055" s="577"/>
      <c r="AG1055" s="327"/>
      <c r="AH1055" s="576"/>
      <c r="AI1055" s="327"/>
      <c r="AJ1055" s="577"/>
      <c r="AK1055" s="327"/>
      <c r="AL1055" s="602"/>
      <c r="AM1055" s="326"/>
      <c r="AN1055" s="326"/>
      <c r="AO1055" s="326"/>
      <c r="AP1055" s="326"/>
      <c r="AQ1055" s="326"/>
      <c r="AR1055" s="326"/>
      <c r="AS1055" s="326"/>
      <c r="AT1055" s="326"/>
      <c r="AU1055" s="326"/>
      <c r="AV1055" s="326"/>
      <c r="AW1055" s="326"/>
      <c r="AX1055" s="326"/>
      <c r="AY1055" s="326"/>
      <c r="AZ1055" s="326"/>
      <c r="BA1055" s="326"/>
      <c r="BB1055" s="327"/>
    </row>
    <row r="1056" spans="1:54" ht="15.75" customHeight="1" x14ac:dyDescent="0.25">
      <c r="A1056" s="11">
        <f t="shared" si="4"/>
        <v>1043</v>
      </c>
      <c r="B1056" s="570" t="str">
        <f>'refer admin discharge'!B1052</f>
        <v>x</v>
      </c>
      <c r="C1056" s="327"/>
      <c r="D1056" s="599" t="str">
        <f>'refer admin discharge'!D1052</f>
        <v>xx</v>
      </c>
      <c r="E1056" s="327"/>
      <c r="F1056" s="600" t="str">
        <f>'refer admin discharge'!H1052</f>
        <v>00/00/0000</v>
      </c>
      <c r="G1056" s="327"/>
      <c r="H1056" s="574"/>
      <c r="I1056" s="327"/>
      <c r="J1056" s="601"/>
      <c r="K1056" s="327"/>
      <c r="L1056" s="574"/>
      <c r="M1056" s="327"/>
      <c r="N1056" s="594"/>
      <c r="O1056" s="327"/>
      <c r="P1056" s="574"/>
      <c r="Q1056" s="327"/>
      <c r="R1056" s="594"/>
      <c r="S1056" s="327"/>
      <c r="T1056" s="574"/>
      <c r="U1056" s="327"/>
      <c r="V1056" s="595" t="str">
        <f>'refer admin discharge'!H1057</f>
        <v>00/00/0000</v>
      </c>
      <c r="W1056" s="327"/>
      <c r="X1056" s="596"/>
      <c r="Y1056" s="327"/>
      <c r="Z1056" s="597"/>
      <c r="AA1056" s="327"/>
      <c r="AB1056" s="596"/>
      <c r="AC1056" s="327"/>
      <c r="AD1056" s="577"/>
      <c r="AE1056" s="327"/>
      <c r="AF1056" s="596"/>
      <c r="AG1056" s="327"/>
      <c r="AH1056" s="577"/>
      <c r="AI1056" s="327"/>
      <c r="AJ1056" s="596"/>
      <c r="AK1056" s="327"/>
      <c r="AL1056" s="598"/>
      <c r="AM1056" s="326"/>
      <c r="AN1056" s="326"/>
      <c r="AO1056" s="326"/>
      <c r="AP1056" s="326"/>
      <c r="AQ1056" s="326"/>
      <c r="AR1056" s="326"/>
      <c r="AS1056" s="326"/>
      <c r="AT1056" s="326"/>
      <c r="AU1056" s="326"/>
      <c r="AV1056" s="326"/>
      <c r="AW1056" s="326"/>
      <c r="AX1056" s="326"/>
      <c r="AY1056" s="326"/>
      <c r="AZ1056" s="326"/>
      <c r="BA1056" s="326"/>
      <c r="BB1056" s="327"/>
    </row>
    <row r="1057" spans="1:54" ht="15.75" customHeight="1" x14ac:dyDescent="0.25">
      <c r="A1057" s="11">
        <f t="shared" si="4"/>
        <v>1044</v>
      </c>
      <c r="B1057" s="504" t="str">
        <f>'refer admin discharge'!B1053</f>
        <v>x</v>
      </c>
      <c r="C1057" s="327"/>
      <c r="D1057" s="505" t="str">
        <f>'refer admin discharge'!D1053</f>
        <v>xx</v>
      </c>
      <c r="E1057" s="327"/>
      <c r="F1057" s="606" t="str">
        <f>'refer admin discharge'!H1053</f>
        <v>00/00/0000</v>
      </c>
      <c r="G1057" s="327"/>
      <c r="H1057" s="594"/>
      <c r="I1057" s="327"/>
      <c r="J1057" s="605"/>
      <c r="K1057" s="327"/>
      <c r="L1057" s="594"/>
      <c r="M1057" s="327"/>
      <c r="N1057" s="575"/>
      <c r="O1057" s="327"/>
      <c r="P1057" s="594"/>
      <c r="Q1057" s="327"/>
      <c r="R1057" s="575"/>
      <c r="S1057" s="327"/>
      <c r="T1057" s="594"/>
      <c r="U1057" s="327"/>
      <c r="V1057" s="595" t="str">
        <f>'refer admin discharge'!H1058</f>
        <v>00/00/0000</v>
      </c>
      <c r="W1057" s="327"/>
      <c r="X1057" s="577"/>
      <c r="Y1057" s="327"/>
      <c r="Z1057" s="604"/>
      <c r="AA1057" s="327"/>
      <c r="AB1057" s="577"/>
      <c r="AC1057" s="327"/>
      <c r="AD1057" s="576"/>
      <c r="AE1057" s="327"/>
      <c r="AF1057" s="577"/>
      <c r="AG1057" s="327"/>
      <c r="AH1057" s="576"/>
      <c r="AI1057" s="327"/>
      <c r="AJ1057" s="577"/>
      <c r="AK1057" s="327"/>
      <c r="AL1057" s="602"/>
      <c r="AM1057" s="326"/>
      <c r="AN1057" s="326"/>
      <c r="AO1057" s="326"/>
      <c r="AP1057" s="326"/>
      <c r="AQ1057" s="326"/>
      <c r="AR1057" s="326"/>
      <c r="AS1057" s="326"/>
      <c r="AT1057" s="326"/>
      <c r="AU1057" s="326"/>
      <c r="AV1057" s="326"/>
      <c r="AW1057" s="326"/>
      <c r="AX1057" s="326"/>
      <c r="AY1057" s="326"/>
      <c r="AZ1057" s="326"/>
      <c r="BA1057" s="326"/>
      <c r="BB1057" s="327"/>
    </row>
    <row r="1058" spans="1:54" ht="15.75" customHeight="1" x14ac:dyDescent="0.25">
      <c r="A1058" s="11">
        <f t="shared" si="4"/>
        <v>1045</v>
      </c>
      <c r="B1058" s="570" t="str">
        <f>'refer admin discharge'!B1054</f>
        <v>x</v>
      </c>
      <c r="C1058" s="327"/>
      <c r="D1058" s="599" t="str">
        <f>'refer admin discharge'!D1054</f>
        <v>xx</v>
      </c>
      <c r="E1058" s="327"/>
      <c r="F1058" s="600" t="str">
        <f>'refer admin discharge'!H1054</f>
        <v>00/00/0000</v>
      </c>
      <c r="G1058" s="327"/>
      <c r="H1058" s="574"/>
      <c r="I1058" s="327"/>
      <c r="J1058" s="601"/>
      <c r="K1058" s="327"/>
      <c r="L1058" s="574"/>
      <c r="M1058" s="327"/>
      <c r="N1058" s="594"/>
      <c r="O1058" s="327"/>
      <c r="P1058" s="574"/>
      <c r="Q1058" s="327"/>
      <c r="R1058" s="594"/>
      <c r="S1058" s="327"/>
      <c r="T1058" s="574"/>
      <c r="U1058" s="327"/>
      <c r="V1058" s="595" t="str">
        <f>'refer admin discharge'!H1059</f>
        <v>00/00/0000</v>
      </c>
      <c r="W1058" s="327"/>
      <c r="X1058" s="596"/>
      <c r="Y1058" s="327"/>
      <c r="Z1058" s="597"/>
      <c r="AA1058" s="327"/>
      <c r="AB1058" s="596"/>
      <c r="AC1058" s="327"/>
      <c r="AD1058" s="577"/>
      <c r="AE1058" s="327"/>
      <c r="AF1058" s="596"/>
      <c r="AG1058" s="327"/>
      <c r="AH1058" s="577"/>
      <c r="AI1058" s="327"/>
      <c r="AJ1058" s="596"/>
      <c r="AK1058" s="327"/>
      <c r="AL1058" s="598"/>
      <c r="AM1058" s="326"/>
      <c r="AN1058" s="326"/>
      <c r="AO1058" s="326"/>
      <c r="AP1058" s="326"/>
      <c r="AQ1058" s="326"/>
      <c r="AR1058" s="326"/>
      <c r="AS1058" s="326"/>
      <c r="AT1058" s="326"/>
      <c r="AU1058" s="326"/>
      <c r="AV1058" s="326"/>
      <c r="AW1058" s="326"/>
      <c r="AX1058" s="326"/>
      <c r="AY1058" s="326"/>
      <c r="AZ1058" s="326"/>
      <c r="BA1058" s="326"/>
      <c r="BB1058" s="327"/>
    </row>
    <row r="1059" spans="1:54" ht="15.75" customHeight="1" x14ac:dyDescent="0.25">
      <c r="A1059" s="11">
        <f t="shared" si="4"/>
        <v>1046</v>
      </c>
      <c r="B1059" s="504" t="str">
        <f>'refer admin discharge'!B1055</f>
        <v>x</v>
      </c>
      <c r="C1059" s="327"/>
      <c r="D1059" s="505" t="str">
        <f>'refer admin discharge'!D1055</f>
        <v>xx</v>
      </c>
      <c r="E1059" s="327"/>
      <c r="F1059" s="606" t="str">
        <f>'refer admin discharge'!H1055</f>
        <v>00/00/0000</v>
      </c>
      <c r="G1059" s="327"/>
      <c r="H1059" s="594"/>
      <c r="I1059" s="327"/>
      <c r="J1059" s="605"/>
      <c r="K1059" s="327"/>
      <c r="L1059" s="594"/>
      <c r="M1059" s="327"/>
      <c r="N1059" s="575"/>
      <c r="O1059" s="327"/>
      <c r="P1059" s="594"/>
      <c r="Q1059" s="327"/>
      <c r="R1059" s="575"/>
      <c r="S1059" s="327"/>
      <c r="T1059" s="594"/>
      <c r="U1059" s="327"/>
      <c r="V1059" s="595" t="str">
        <f>'refer admin discharge'!H1060</f>
        <v>00/00/0000</v>
      </c>
      <c r="W1059" s="327"/>
      <c r="X1059" s="577"/>
      <c r="Y1059" s="327"/>
      <c r="Z1059" s="604"/>
      <c r="AA1059" s="327"/>
      <c r="AB1059" s="577"/>
      <c r="AC1059" s="327"/>
      <c r="AD1059" s="576"/>
      <c r="AE1059" s="327"/>
      <c r="AF1059" s="577"/>
      <c r="AG1059" s="327"/>
      <c r="AH1059" s="576"/>
      <c r="AI1059" s="327"/>
      <c r="AJ1059" s="577"/>
      <c r="AK1059" s="327"/>
      <c r="AL1059" s="602"/>
      <c r="AM1059" s="326"/>
      <c r="AN1059" s="326"/>
      <c r="AO1059" s="326"/>
      <c r="AP1059" s="326"/>
      <c r="AQ1059" s="326"/>
      <c r="AR1059" s="326"/>
      <c r="AS1059" s="326"/>
      <c r="AT1059" s="326"/>
      <c r="AU1059" s="326"/>
      <c r="AV1059" s="326"/>
      <c r="AW1059" s="326"/>
      <c r="AX1059" s="326"/>
      <c r="AY1059" s="326"/>
      <c r="AZ1059" s="326"/>
      <c r="BA1059" s="326"/>
      <c r="BB1059" s="327"/>
    </row>
    <row r="1060" spans="1:54" ht="15.75" customHeight="1" x14ac:dyDescent="0.25">
      <c r="A1060" s="11">
        <f t="shared" si="4"/>
        <v>1047</v>
      </c>
      <c r="B1060" s="570" t="str">
        <f>'refer admin discharge'!B1056</f>
        <v>x</v>
      </c>
      <c r="C1060" s="327"/>
      <c r="D1060" s="599" t="str">
        <f>'refer admin discharge'!D1056</f>
        <v>xx</v>
      </c>
      <c r="E1060" s="327"/>
      <c r="F1060" s="600" t="str">
        <f>'refer admin discharge'!H1056</f>
        <v>00/00/0000</v>
      </c>
      <c r="G1060" s="327"/>
      <c r="H1060" s="574"/>
      <c r="I1060" s="327"/>
      <c r="J1060" s="601"/>
      <c r="K1060" s="327"/>
      <c r="L1060" s="574"/>
      <c r="M1060" s="327"/>
      <c r="N1060" s="594"/>
      <c r="O1060" s="327"/>
      <c r="P1060" s="574"/>
      <c r="Q1060" s="327"/>
      <c r="R1060" s="594"/>
      <c r="S1060" s="327"/>
      <c r="T1060" s="574"/>
      <c r="U1060" s="327"/>
      <c r="V1060" s="595" t="str">
        <f>'refer admin discharge'!H1061</f>
        <v>00/00/0000</v>
      </c>
      <c r="W1060" s="327"/>
      <c r="X1060" s="596"/>
      <c r="Y1060" s="327"/>
      <c r="Z1060" s="597"/>
      <c r="AA1060" s="327"/>
      <c r="AB1060" s="596"/>
      <c r="AC1060" s="327"/>
      <c r="AD1060" s="577"/>
      <c r="AE1060" s="327"/>
      <c r="AF1060" s="596"/>
      <c r="AG1060" s="327"/>
      <c r="AH1060" s="577"/>
      <c r="AI1060" s="327"/>
      <c r="AJ1060" s="596"/>
      <c r="AK1060" s="327"/>
      <c r="AL1060" s="598"/>
      <c r="AM1060" s="326"/>
      <c r="AN1060" s="326"/>
      <c r="AO1060" s="326"/>
      <c r="AP1060" s="326"/>
      <c r="AQ1060" s="326"/>
      <c r="AR1060" s="326"/>
      <c r="AS1060" s="326"/>
      <c r="AT1060" s="326"/>
      <c r="AU1060" s="326"/>
      <c r="AV1060" s="326"/>
      <c r="AW1060" s="326"/>
      <c r="AX1060" s="326"/>
      <c r="AY1060" s="326"/>
      <c r="AZ1060" s="326"/>
      <c r="BA1060" s="326"/>
      <c r="BB1060" s="327"/>
    </row>
    <row r="1061" spans="1:54" ht="15.75" customHeight="1" x14ac:dyDescent="0.25">
      <c r="A1061" s="11">
        <f t="shared" si="4"/>
        <v>1048</v>
      </c>
      <c r="B1061" s="504" t="str">
        <f>'refer admin discharge'!B1057</f>
        <v>x</v>
      </c>
      <c r="C1061" s="327"/>
      <c r="D1061" s="505" t="str">
        <f>'refer admin discharge'!D1057</f>
        <v>xx</v>
      </c>
      <c r="E1061" s="327"/>
      <c r="F1061" s="606" t="str">
        <f>'refer admin discharge'!H1057</f>
        <v>00/00/0000</v>
      </c>
      <c r="G1061" s="327"/>
      <c r="H1061" s="594"/>
      <c r="I1061" s="327"/>
      <c r="J1061" s="605"/>
      <c r="K1061" s="327"/>
      <c r="L1061" s="594"/>
      <c r="M1061" s="327"/>
      <c r="N1061" s="575"/>
      <c r="O1061" s="327"/>
      <c r="P1061" s="594"/>
      <c r="Q1061" s="327"/>
      <c r="R1061" s="575"/>
      <c r="S1061" s="327"/>
      <c r="T1061" s="594"/>
      <c r="U1061" s="327"/>
      <c r="V1061" s="595" t="str">
        <f>'refer admin discharge'!H1062</f>
        <v>00/00/0000</v>
      </c>
      <c r="W1061" s="327"/>
      <c r="X1061" s="577"/>
      <c r="Y1061" s="327"/>
      <c r="Z1061" s="604"/>
      <c r="AA1061" s="327"/>
      <c r="AB1061" s="577"/>
      <c r="AC1061" s="327"/>
      <c r="AD1061" s="576"/>
      <c r="AE1061" s="327"/>
      <c r="AF1061" s="577"/>
      <c r="AG1061" s="327"/>
      <c r="AH1061" s="576"/>
      <c r="AI1061" s="327"/>
      <c r="AJ1061" s="577"/>
      <c r="AK1061" s="327"/>
      <c r="AL1061" s="602"/>
      <c r="AM1061" s="326"/>
      <c r="AN1061" s="326"/>
      <c r="AO1061" s="326"/>
      <c r="AP1061" s="326"/>
      <c r="AQ1061" s="326"/>
      <c r="AR1061" s="326"/>
      <c r="AS1061" s="326"/>
      <c r="AT1061" s="326"/>
      <c r="AU1061" s="326"/>
      <c r="AV1061" s="326"/>
      <c r="AW1061" s="326"/>
      <c r="AX1061" s="326"/>
      <c r="AY1061" s="326"/>
      <c r="AZ1061" s="326"/>
      <c r="BA1061" s="326"/>
      <c r="BB1061" s="327"/>
    </row>
    <row r="1062" spans="1:54" ht="15.75" customHeight="1" x14ac:dyDescent="0.25">
      <c r="A1062" s="11">
        <f t="shared" si="4"/>
        <v>1049</v>
      </c>
      <c r="B1062" s="570" t="str">
        <f>'refer admin discharge'!B1058</f>
        <v>x</v>
      </c>
      <c r="C1062" s="327"/>
      <c r="D1062" s="599" t="str">
        <f>'refer admin discharge'!D1058</f>
        <v>xx</v>
      </c>
      <c r="E1062" s="327"/>
      <c r="F1062" s="600" t="str">
        <f>'refer admin discharge'!H1058</f>
        <v>00/00/0000</v>
      </c>
      <c r="G1062" s="327"/>
      <c r="H1062" s="574"/>
      <c r="I1062" s="327"/>
      <c r="J1062" s="601"/>
      <c r="K1062" s="327"/>
      <c r="L1062" s="574"/>
      <c r="M1062" s="327"/>
      <c r="N1062" s="594"/>
      <c r="O1062" s="327"/>
      <c r="P1062" s="574"/>
      <c r="Q1062" s="327"/>
      <c r="R1062" s="594"/>
      <c r="S1062" s="327"/>
      <c r="T1062" s="574"/>
      <c r="U1062" s="327"/>
      <c r="V1062" s="595" t="str">
        <f>'refer admin discharge'!H1063</f>
        <v>00/00/0000</v>
      </c>
      <c r="W1062" s="327"/>
      <c r="X1062" s="596"/>
      <c r="Y1062" s="327"/>
      <c r="Z1062" s="597"/>
      <c r="AA1062" s="327"/>
      <c r="AB1062" s="596"/>
      <c r="AC1062" s="327"/>
      <c r="AD1062" s="577"/>
      <c r="AE1062" s="327"/>
      <c r="AF1062" s="596"/>
      <c r="AG1062" s="327"/>
      <c r="AH1062" s="577"/>
      <c r="AI1062" s="327"/>
      <c r="AJ1062" s="596"/>
      <c r="AK1062" s="327"/>
      <c r="AL1062" s="598"/>
      <c r="AM1062" s="326"/>
      <c r="AN1062" s="326"/>
      <c r="AO1062" s="326"/>
      <c r="AP1062" s="326"/>
      <c r="AQ1062" s="326"/>
      <c r="AR1062" s="326"/>
      <c r="AS1062" s="326"/>
      <c r="AT1062" s="326"/>
      <c r="AU1062" s="326"/>
      <c r="AV1062" s="326"/>
      <c r="AW1062" s="326"/>
      <c r="AX1062" s="326"/>
      <c r="AY1062" s="326"/>
      <c r="AZ1062" s="326"/>
      <c r="BA1062" s="326"/>
      <c r="BB1062" s="327"/>
    </row>
    <row r="1063" spans="1:54" ht="15.75" customHeight="1" x14ac:dyDescent="0.25">
      <c r="A1063" s="11">
        <f t="shared" si="4"/>
        <v>1050</v>
      </c>
      <c r="B1063" s="504" t="str">
        <f>'refer admin discharge'!B1059</f>
        <v>x</v>
      </c>
      <c r="C1063" s="327"/>
      <c r="D1063" s="505" t="str">
        <f>'refer admin discharge'!D1059</f>
        <v>xx</v>
      </c>
      <c r="E1063" s="327"/>
      <c r="F1063" s="606" t="str">
        <f>'refer admin discharge'!H1059</f>
        <v>00/00/0000</v>
      </c>
      <c r="G1063" s="327"/>
      <c r="H1063" s="594"/>
      <c r="I1063" s="327"/>
      <c r="J1063" s="605"/>
      <c r="K1063" s="327"/>
      <c r="L1063" s="594"/>
      <c r="M1063" s="327"/>
      <c r="N1063" s="575"/>
      <c r="O1063" s="327"/>
      <c r="P1063" s="594"/>
      <c r="Q1063" s="327"/>
      <c r="R1063" s="575"/>
      <c r="S1063" s="327"/>
      <c r="T1063" s="594"/>
      <c r="U1063" s="327"/>
      <c r="V1063" s="595" t="str">
        <f>'refer admin discharge'!H1064</f>
        <v>00/00/0000</v>
      </c>
      <c r="W1063" s="327"/>
      <c r="X1063" s="577"/>
      <c r="Y1063" s="327"/>
      <c r="Z1063" s="604"/>
      <c r="AA1063" s="327"/>
      <c r="AB1063" s="577"/>
      <c r="AC1063" s="327"/>
      <c r="AD1063" s="576"/>
      <c r="AE1063" s="327"/>
      <c r="AF1063" s="577"/>
      <c r="AG1063" s="327"/>
      <c r="AH1063" s="576"/>
      <c r="AI1063" s="327"/>
      <c r="AJ1063" s="577"/>
      <c r="AK1063" s="327"/>
      <c r="AL1063" s="602"/>
      <c r="AM1063" s="326"/>
      <c r="AN1063" s="326"/>
      <c r="AO1063" s="326"/>
      <c r="AP1063" s="326"/>
      <c r="AQ1063" s="326"/>
      <c r="AR1063" s="326"/>
      <c r="AS1063" s="326"/>
      <c r="AT1063" s="326"/>
      <c r="AU1063" s="326"/>
      <c r="AV1063" s="326"/>
      <c r="AW1063" s="326"/>
      <c r="AX1063" s="326"/>
      <c r="AY1063" s="326"/>
      <c r="AZ1063" s="326"/>
      <c r="BA1063" s="326"/>
      <c r="BB1063" s="327"/>
    </row>
    <row r="1064" spans="1:54" ht="15.75" customHeight="1" x14ac:dyDescent="0.25">
      <c r="A1064" s="11">
        <f t="shared" si="4"/>
        <v>1051</v>
      </c>
      <c r="B1064" s="570" t="str">
        <f>'refer admin discharge'!B1060</f>
        <v>x</v>
      </c>
      <c r="C1064" s="327"/>
      <c r="D1064" s="599" t="str">
        <f>'refer admin discharge'!D1060</f>
        <v>xx</v>
      </c>
      <c r="E1064" s="327"/>
      <c r="F1064" s="600" t="str">
        <f>'refer admin discharge'!H1060</f>
        <v>00/00/0000</v>
      </c>
      <c r="G1064" s="327"/>
      <c r="H1064" s="574"/>
      <c r="I1064" s="327"/>
      <c r="J1064" s="601"/>
      <c r="K1064" s="327"/>
      <c r="L1064" s="574"/>
      <c r="M1064" s="327"/>
      <c r="N1064" s="594"/>
      <c r="O1064" s="327"/>
      <c r="P1064" s="574"/>
      <c r="Q1064" s="327"/>
      <c r="R1064" s="594"/>
      <c r="S1064" s="327"/>
      <c r="T1064" s="574"/>
      <c r="U1064" s="327"/>
      <c r="V1064" s="595" t="str">
        <f>'refer admin discharge'!H1065</f>
        <v>00/00/0000</v>
      </c>
      <c r="W1064" s="327"/>
      <c r="X1064" s="596"/>
      <c r="Y1064" s="327"/>
      <c r="Z1064" s="597"/>
      <c r="AA1064" s="327"/>
      <c r="AB1064" s="596"/>
      <c r="AC1064" s="327"/>
      <c r="AD1064" s="577"/>
      <c r="AE1064" s="327"/>
      <c r="AF1064" s="596"/>
      <c r="AG1064" s="327"/>
      <c r="AH1064" s="577"/>
      <c r="AI1064" s="327"/>
      <c r="AJ1064" s="596"/>
      <c r="AK1064" s="327"/>
      <c r="AL1064" s="598"/>
      <c r="AM1064" s="326"/>
      <c r="AN1064" s="326"/>
      <c r="AO1064" s="326"/>
      <c r="AP1064" s="326"/>
      <c r="AQ1064" s="326"/>
      <c r="AR1064" s="326"/>
      <c r="AS1064" s="326"/>
      <c r="AT1064" s="326"/>
      <c r="AU1064" s="326"/>
      <c r="AV1064" s="326"/>
      <c r="AW1064" s="326"/>
      <c r="AX1064" s="326"/>
      <c r="AY1064" s="326"/>
      <c r="AZ1064" s="326"/>
      <c r="BA1064" s="326"/>
      <c r="BB1064" s="327"/>
    </row>
    <row r="1065" spans="1:54" ht="15.75" customHeight="1" x14ac:dyDescent="0.25">
      <c r="A1065" s="11">
        <f t="shared" si="4"/>
        <v>1052</v>
      </c>
      <c r="B1065" s="504" t="str">
        <f>'refer admin discharge'!B1061</f>
        <v>x</v>
      </c>
      <c r="C1065" s="327"/>
      <c r="D1065" s="505" t="str">
        <f>'refer admin discharge'!D1061</f>
        <v>xx</v>
      </c>
      <c r="E1065" s="327"/>
      <c r="F1065" s="606" t="str">
        <f>'refer admin discharge'!H1061</f>
        <v>00/00/0000</v>
      </c>
      <c r="G1065" s="327"/>
      <c r="H1065" s="594"/>
      <c r="I1065" s="327"/>
      <c r="J1065" s="605"/>
      <c r="K1065" s="327"/>
      <c r="L1065" s="594"/>
      <c r="M1065" s="327"/>
      <c r="N1065" s="575"/>
      <c r="O1065" s="327"/>
      <c r="P1065" s="594"/>
      <c r="Q1065" s="327"/>
      <c r="R1065" s="575"/>
      <c r="S1065" s="327"/>
      <c r="T1065" s="594"/>
      <c r="U1065" s="327"/>
      <c r="V1065" s="595" t="str">
        <f>'refer admin discharge'!H1066</f>
        <v>00/00/0000</v>
      </c>
      <c r="W1065" s="327"/>
      <c r="X1065" s="577"/>
      <c r="Y1065" s="327"/>
      <c r="Z1065" s="604"/>
      <c r="AA1065" s="327"/>
      <c r="AB1065" s="577"/>
      <c r="AC1065" s="327"/>
      <c r="AD1065" s="576"/>
      <c r="AE1065" s="327"/>
      <c r="AF1065" s="577"/>
      <c r="AG1065" s="327"/>
      <c r="AH1065" s="576"/>
      <c r="AI1065" s="327"/>
      <c r="AJ1065" s="577"/>
      <c r="AK1065" s="327"/>
      <c r="AL1065" s="602"/>
      <c r="AM1065" s="326"/>
      <c r="AN1065" s="326"/>
      <c r="AO1065" s="326"/>
      <c r="AP1065" s="326"/>
      <c r="AQ1065" s="326"/>
      <c r="AR1065" s="326"/>
      <c r="AS1065" s="326"/>
      <c r="AT1065" s="326"/>
      <c r="AU1065" s="326"/>
      <c r="AV1065" s="326"/>
      <c r="AW1065" s="326"/>
      <c r="AX1065" s="326"/>
      <c r="AY1065" s="326"/>
      <c r="AZ1065" s="326"/>
      <c r="BA1065" s="326"/>
      <c r="BB1065" s="327"/>
    </row>
    <row r="1066" spans="1:54" ht="15.75" customHeight="1" x14ac:dyDescent="0.25">
      <c r="A1066" s="11">
        <f t="shared" si="4"/>
        <v>1053</v>
      </c>
      <c r="B1066" s="570" t="str">
        <f>'refer admin discharge'!B1062</f>
        <v>x</v>
      </c>
      <c r="C1066" s="327"/>
      <c r="D1066" s="599" t="str">
        <f>'refer admin discharge'!D1062</f>
        <v>xx</v>
      </c>
      <c r="E1066" s="327"/>
      <c r="F1066" s="600" t="str">
        <f>'refer admin discharge'!H1062</f>
        <v>00/00/0000</v>
      </c>
      <c r="G1066" s="327"/>
      <c r="H1066" s="574"/>
      <c r="I1066" s="327"/>
      <c r="J1066" s="601"/>
      <c r="K1066" s="327"/>
      <c r="L1066" s="574"/>
      <c r="M1066" s="327"/>
      <c r="N1066" s="594"/>
      <c r="O1066" s="327"/>
      <c r="P1066" s="574"/>
      <c r="Q1066" s="327"/>
      <c r="R1066" s="594"/>
      <c r="S1066" s="327"/>
      <c r="T1066" s="574"/>
      <c r="U1066" s="327"/>
      <c r="V1066" s="595" t="str">
        <f>'refer admin discharge'!H1067</f>
        <v>00/00/0000</v>
      </c>
      <c r="W1066" s="327"/>
      <c r="X1066" s="596"/>
      <c r="Y1066" s="327"/>
      <c r="Z1066" s="597"/>
      <c r="AA1066" s="327"/>
      <c r="AB1066" s="596"/>
      <c r="AC1066" s="327"/>
      <c r="AD1066" s="577"/>
      <c r="AE1066" s="327"/>
      <c r="AF1066" s="596"/>
      <c r="AG1066" s="327"/>
      <c r="AH1066" s="577"/>
      <c r="AI1066" s="327"/>
      <c r="AJ1066" s="596"/>
      <c r="AK1066" s="327"/>
      <c r="AL1066" s="598"/>
      <c r="AM1066" s="326"/>
      <c r="AN1066" s="326"/>
      <c r="AO1066" s="326"/>
      <c r="AP1066" s="326"/>
      <c r="AQ1066" s="326"/>
      <c r="AR1066" s="326"/>
      <c r="AS1066" s="326"/>
      <c r="AT1066" s="326"/>
      <c r="AU1066" s="326"/>
      <c r="AV1066" s="326"/>
      <c r="AW1066" s="326"/>
      <c r="AX1066" s="326"/>
      <c r="AY1066" s="326"/>
      <c r="AZ1066" s="326"/>
      <c r="BA1066" s="326"/>
      <c r="BB1066" s="327"/>
    </row>
    <row r="1067" spans="1:54" ht="15.75" customHeight="1" x14ac:dyDescent="0.25">
      <c r="A1067" s="11">
        <f t="shared" si="4"/>
        <v>1054</v>
      </c>
      <c r="B1067" s="504" t="str">
        <f>'refer admin discharge'!B1063</f>
        <v>x</v>
      </c>
      <c r="C1067" s="327"/>
      <c r="D1067" s="505" t="str">
        <f>'refer admin discharge'!D1063</f>
        <v>xx</v>
      </c>
      <c r="E1067" s="327"/>
      <c r="F1067" s="606" t="str">
        <f>'refer admin discharge'!H1063</f>
        <v>00/00/0000</v>
      </c>
      <c r="G1067" s="327"/>
      <c r="H1067" s="594"/>
      <c r="I1067" s="327"/>
      <c r="J1067" s="605"/>
      <c r="K1067" s="327"/>
      <c r="L1067" s="594"/>
      <c r="M1067" s="327"/>
      <c r="N1067" s="575"/>
      <c r="O1067" s="327"/>
      <c r="P1067" s="594"/>
      <c r="Q1067" s="327"/>
      <c r="R1067" s="575"/>
      <c r="S1067" s="327"/>
      <c r="T1067" s="594"/>
      <c r="U1067" s="327"/>
      <c r="V1067" s="595" t="str">
        <f>'refer admin discharge'!H1068</f>
        <v>00/00/0000</v>
      </c>
      <c r="W1067" s="327"/>
      <c r="X1067" s="577"/>
      <c r="Y1067" s="327"/>
      <c r="Z1067" s="604"/>
      <c r="AA1067" s="327"/>
      <c r="AB1067" s="577"/>
      <c r="AC1067" s="327"/>
      <c r="AD1067" s="576"/>
      <c r="AE1067" s="327"/>
      <c r="AF1067" s="577"/>
      <c r="AG1067" s="327"/>
      <c r="AH1067" s="576"/>
      <c r="AI1067" s="327"/>
      <c r="AJ1067" s="577"/>
      <c r="AK1067" s="327"/>
      <c r="AL1067" s="602"/>
      <c r="AM1067" s="326"/>
      <c r="AN1067" s="326"/>
      <c r="AO1067" s="326"/>
      <c r="AP1067" s="326"/>
      <c r="AQ1067" s="326"/>
      <c r="AR1067" s="326"/>
      <c r="AS1067" s="326"/>
      <c r="AT1067" s="326"/>
      <c r="AU1067" s="326"/>
      <c r="AV1067" s="326"/>
      <c r="AW1067" s="326"/>
      <c r="AX1067" s="326"/>
      <c r="AY1067" s="326"/>
      <c r="AZ1067" s="326"/>
      <c r="BA1067" s="326"/>
      <c r="BB1067" s="327"/>
    </row>
    <row r="1068" spans="1:54" ht="15.75" customHeight="1" x14ac:dyDescent="0.25">
      <c r="A1068" s="11">
        <f t="shared" si="4"/>
        <v>1055</v>
      </c>
      <c r="B1068" s="570" t="str">
        <f>'refer admin discharge'!B1064</f>
        <v>x</v>
      </c>
      <c r="C1068" s="327"/>
      <c r="D1068" s="599" t="str">
        <f>'refer admin discharge'!D1064</f>
        <v>xx</v>
      </c>
      <c r="E1068" s="327"/>
      <c r="F1068" s="600" t="str">
        <f>'refer admin discharge'!H1064</f>
        <v>00/00/0000</v>
      </c>
      <c r="G1068" s="327"/>
      <c r="H1068" s="574"/>
      <c r="I1068" s="327"/>
      <c r="J1068" s="601"/>
      <c r="K1068" s="327"/>
      <c r="L1068" s="574"/>
      <c r="M1068" s="327"/>
      <c r="N1068" s="594"/>
      <c r="O1068" s="327"/>
      <c r="P1068" s="574"/>
      <c r="Q1068" s="327"/>
      <c r="R1068" s="594"/>
      <c r="S1068" s="327"/>
      <c r="T1068" s="574"/>
      <c r="U1068" s="327"/>
      <c r="V1068" s="595" t="str">
        <f>'refer admin discharge'!H1069</f>
        <v>00/00/0000</v>
      </c>
      <c r="W1068" s="327"/>
      <c r="X1068" s="596"/>
      <c r="Y1068" s="327"/>
      <c r="Z1068" s="597"/>
      <c r="AA1068" s="327"/>
      <c r="AB1068" s="596"/>
      <c r="AC1068" s="327"/>
      <c r="AD1068" s="577"/>
      <c r="AE1068" s="327"/>
      <c r="AF1068" s="596"/>
      <c r="AG1068" s="327"/>
      <c r="AH1068" s="577"/>
      <c r="AI1068" s="327"/>
      <c r="AJ1068" s="596"/>
      <c r="AK1068" s="327"/>
      <c r="AL1068" s="598"/>
      <c r="AM1068" s="326"/>
      <c r="AN1068" s="326"/>
      <c r="AO1068" s="326"/>
      <c r="AP1068" s="326"/>
      <c r="AQ1068" s="326"/>
      <c r="AR1068" s="326"/>
      <c r="AS1068" s="326"/>
      <c r="AT1068" s="326"/>
      <c r="AU1068" s="326"/>
      <c r="AV1068" s="326"/>
      <c r="AW1068" s="326"/>
      <c r="AX1068" s="326"/>
      <c r="AY1068" s="326"/>
      <c r="AZ1068" s="326"/>
      <c r="BA1068" s="326"/>
      <c r="BB1068" s="327"/>
    </row>
    <row r="1069" spans="1:54" ht="15.75" customHeight="1" x14ac:dyDescent="0.25">
      <c r="A1069" s="11">
        <f t="shared" si="4"/>
        <v>1056</v>
      </c>
      <c r="B1069" s="504" t="str">
        <f>'refer admin discharge'!B1065</f>
        <v>x</v>
      </c>
      <c r="C1069" s="327"/>
      <c r="D1069" s="505" t="str">
        <f>'refer admin discharge'!D1065</f>
        <v>xx</v>
      </c>
      <c r="E1069" s="327"/>
      <c r="F1069" s="606" t="str">
        <f>'refer admin discharge'!H1065</f>
        <v>00/00/0000</v>
      </c>
      <c r="G1069" s="327"/>
      <c r="H1069" s="594"/>
      <c r="I1069" s="327"/>
      <c r="J1069" s="605"/>
      <c r="K1069" s="327"/>
      <c r="L1069" s="594"/>
      <c r="M1069" s="327"/>
      <c r="N1069" s="575"/>
      <c r="O1069" s="327"/>
      <c r="P1069" s="594"/>
      <c r="Q1069" s="327"/>
      <c r="R1069" s="575"/>
      <c r="S1069" s="327"/>
      <c r="T1069" s="594"/>
      <c r="U1069" s="327"/>
      <c r="V1069" s="595" t="str">
        <f>'refer admin discharge'!H1070</f>
        <v>00/00/0000</v>
      </c>
      <c r="W1069" s="327"/>
      <c r="X1069" s="577"/>
      <c r="Y1069" s="327"/>
      <c r="Z1069" s="604"/>
      <c r="AA1069" s="327"/>
      <c r="AB1069" s="577"/>
      <c r="AC1069" s="327"/>
      <c r="AD1069" s="576"/>
      <c r="AE1069" s="327"/>
      <c r="AF1069" s="577"/>
      <c r="AG1069" s="327"/>
      <c r="AH1069" s="576"/>
      <c r="AI1069" s="327"/>
      <c r="AJ1069" s="577"/>
      <c r="AK1069" s="327"/>
      <c r="AL1069" s="602"/>
      <c r="AM1069" s="326"/>
      <c r="AN1069" s="326"/>
      <c r="AO1069" s="326"/>
      <c r="AP1069" s="326"/>
      <c r="AQ1069" s="326"/>
      <c r="AR1069" s="326"/>
      <c r="AS1069" s="326"/>
      <c r="AT1069" s="326"/>
      <c r="AU1069" s="326"/>
      <c r="AV1069" s="326"/>
      <c r="AW1069" s="326"/>
      <c r="AX1069" s="326"/>
      <c r="AY1069" s="326"/>
      <c r="AZ1069" s="326"/>
      <c r="BA1069" s="326"/>
      <c r="BB1069" s="327"/>
    </row>
    <row r="1070" spans="1:54" ht="15.75" customHeight="1" x14ac:dyDescent="0.25">
      <c r="A1070" s="11">
        <f t="shared" si="4"/>
        <v>1057</v>
      </c>
      <c r="B1070" s="570" t="str">
        <f>'refer admin discharge'!B1066</f>
        <v>x</v>
      </c>
      <c r="C1070" s="327"/>
      <c r="D1070" s="599" t="str">
        <f>'refer admin discharge'!D1066</f>
        <v>xx</v>
      </c>
      <c r="E1070" s="327"/>
      <c r="F1070" s="600" t="str">
        <f>'refer admin discharge'!H1066</f>
        <v>00/00/0000</v>
      </c>
      <c r="G1070" s="327"/>
      <c r="H1070" s="574"/>
      <c r="I1070" s="327"/>
      <c r="J1070" s="601"/>
      <c r="K1070" s="327"/>
      <c r="L1070" s="574"/>
      <c r="M1070" s="327"/>
      <c r="N1070" s="594"/>
      <c r="O1070" s="327"/>
      <c r="P1070" s="574"/>
      <c r="Q1070" s="327"/>
      <c r="R1070" s="594"/>
      <c r="S1070" s="327"/>
      <c r="T1070" s="574"/>
      <c r="U1070" s="327"/>
      <c r="V1070" s="595" t="str">
        <f>'refer admin discharge'!H1071</f>
        <v>00/00/0000</v>
      </c>
      <c r="W1070" s="327"/>
      <c r="X1070" s="596"/>
      <c r="Y1070" s="327"/>
      <c r="Z1070" s="597"/>
      <c r="AA1070" s="327"/>
      <c r="AB1070" s="596"/>
      <c r="AC1070" s="327"/>
      <c r="AD1070" s="577"/>
      <c r="AE1070" s="327"/>
      <c r="AF1070" s="596"/>
      <c r="AG1070" s="327"/>
      <c r="AH1070" s="577"/>
      <c r="AI1070" s="327"/>
      <c r="AJ1070" s="596"/>
      <c r="AK1070" s="327"/>
      <c r="AL1070" s="598"/>
      <c r="AM1070" s="326"/>
      <c r="AN1070" s="326"/>
      <c r="AO1070" s="326"/>
      <c r="AP1070" s="326"/>
      <c r="AQ1070" s="326"/>
      <c r="AR1070" s="326"/>
      <c r="AS1070" s="326"/>
      <c r="AT1070" s="326"/>
      <c r="AU1070" s="326"/>
      <c r="AV1070" s="326"/>
      <c r="AW1070" s="326"/>
      <c r="AX1070" s="326"/>
      <c r="AY1070" s="326"/>
      <c r="AZ1070" s="326"/>
      <c r="BA1070" s="326"/>
      <c r="BB1070" s="327"/>
    </row>
    <row r="1071" spans="1:54" ht="15.75" customHeight="1" x14ac:dyDescent="0.25">
      <c r="A1071" s="11">
        <f t="shared" si="4"/>
        <v>1058</v>
      </c>
      <c r="B1071" s="504" t="str">
        <f>'refer admin discharge'!B1067</f>
        <v>x</v>
      </c>
      <c r="C1071" s="327"/>
      <c r="D1071" s="505" t="str">
        <f>'refer admin discharge'!D1067</f>
        <v>xx</v>
      </c>
      <c r="E1071" s="327"/>
      <c r="F1071" s="606" t="str">
        <f>'refer admin discharge'!H1067</f>
        <v>00/00/0000</v>
      </c>
      <c r="G1071" s="327"/>
      <c r="H1071" s="594"/>
      <c r="I1071" s="327"/>
      <c r="J1071" s="605"/>
      <c r="K1071" s="327"/>
      <c r="L1071" s="594"/>
      <c r="M1071" s="327"/>
      <c r="N1071" s="575"/>
      <c r="O1071" s="327"/>
      <c r="P1071" s="594"/>
      <c r="Q1071" s="327"/>
      <c r="R1071" s="575"/>
      <c r="S1071" s="327"/>
      <c r="T1071" s="594"/>
      <c r="U1071" s="327"/>
      <c r="V1071" s="595" t="str">
        <f>'refer admin discharge'!H1072</f>
        <v>00/00/0000</v>
      </c>
      <c r="W1071" s="327"/>
      <c r="X1071" s="577"/>
      <c r="Y1071" s="327"/>
      <c r="Z1071" s="604"/>
      <c r="AA1071" s="327"/>
      <c r="AB1071" s="577"/>
      <c r="AC1071" s="327"/>
      <c r="AD1071" s="576"/>
      <c r="AE1071" s="327"/>
      <c r="AF1071" s="577"/>
      <c r="AG1071" s="327"/>
      <c r="AH1071" s="576"/>
      <c r="AI1071" s="327"/>
      <c r="AJ1071" s="577"/>
      <c r="AK1071" s="327"/>
      <c r="AL1071" s="602"/>
      <c r="AM1071" s="326"/>
      <c r="AN1071" s="326"/>
      <c r="AO1071" s="326"/>
      <c r="AP1071" s="326"/>
      <c r="AQ1071" s="326"/>
      <c r="AR1071" s="326"/>
      <c r="AS1071" s="326"/>
      <c r="AT1071" s="326"/>
      <c r="AU1071" s="326"/>
      <c r="AV1071" s="326"/>
      <c r="AW1071" s="326"/>
      <c r="AX1071" s="326"/>
      <c r="AY1071" s="326"/>
      <c r="AZ1071" s="326"/>
      <c r="BA1071" s="326"/>
      <c r="BB1071" s="327"/>
    </row>
    <row r="1072" spans="1:54" ht="15.75" customHeight="1" x14ac:dyDescent="0.25">
      <c r="A1072" s="11">
        <f t="shared" si="4"/>
        <v>1059</v>
      </c>
      <c r="B1072" s="570" t="str">
        <f>'refer admin discharge'!B1068</f>
        <v>x</v>
      </c>
      <c r="C1072" s="327"/>
      <c r="D1072" s="599" t="str">
        <f>'refer admin discharge'!D1068</f>
        <v>xx</v>
      </c>
      <c r="E1072" s="327"/>
      <c r="F1072" s="600" t="str">
        <f>'refer admin discharge'!H1068</f>
        <v>00/00/0000</v>
      </c>
      <c r="G1072" s="327"/>
      <c r="H1072" s="574"/>
      <c r="I1072" s="327"/>
      <c r="J1072" s="601"/>
      <c r="K1072" s="327"/>
      <c r="L1072" s="574"/>
      <c r="M1072" s="327"/>
      <c r="N1072" s="594"/>
      <c r="O1072" s="327"/>
      <c r="P1072" s="574"/>
      <c r="Q1072" s="327"/>
      <c r="R1072" s="594"/>
      <c r="S1072" s="327"/>
      <c r="T1072" s="574"/>
      <c r="U1072" s="327"/>
      <c r="V1072" s="595" t="str">
        <f>'refer admin discharge'!H1073</f>
        <v>00/00/0000</v>
      </c>
      <c r="W1072" s="327"/>
      <c r="X1072" s="596"/>
      <c r="Y1072" s="327"/>
      <c r="Z1072" s="597"/>
      <c r="AA1072" s="327"/>
      <c r="AB1072" s="596"/>
      <c r="AC1072" s="327"/>
      <c r="AD1072" s="577"/>
      <c r="AE1072" s="327"/>
      <c r="AF1072" s="596"/>
      <c r="AG1072" s="327"/>
      <c r="AH1072" s="577"/>
      <c r="AI1072" s="327"/>
      <c r="AJ1072" s="596"/>
      <c r="AK1072" s="327"/>
      <c r="AL1072" s="598"/>
      <c r="AM1072" s="326"/>
      <c r="AN1072" s="326"/>
      <c r="AO1072" s="326"/>
      <c r="AP1072" s="326"/>
      <c r="AQ1072" s="326"/>
      <c r="AR1072" s="326"/>
      <c r="AS1072" s="326"/>
      <c r="AT1072" s="326"/>
      <c r="AU1072" s="326"/>
      <c r="AV1072" s="326"/>
      <c r="AW1072" s="326"/>
      <c r="AX1072" s="326"/>
      <c r="AY1072" s="326"/>
      <c r="AZ1072" s="326"/>
      <c r="BA1072" s="326"/>
      <c r="BB1072" s="327"/>
    </row>
    <row r="1073" spans="1:54" ht="15.75" customHeight="1" x14ac:dyDescent="0.25">
      <c r="A1073" s="11">
        <f t="shared" si="4"/>
        <v>1060</v>
      </c>
      <c r="B1073" s="504" t="str">
        <f>'refer admin discharge'!B1069</f>
        <v>x</v>
      </c>
      <c r="C1073" s="327"/>
      <c r="D1073" s="505" t="str">
        <f>'refer admin discharge'!D1069</f>
        <v>xx</v>
      </c>
      <c r="E1073" s="327"/>
      <c r="F1073" s="606" t="str">
        <f>'refer admin discharge'!H1069</f>
        <v>00/00/0000</v>
      </c>
      <c r="G1073" s="327"/>
      <c r="H1073" s="594"/>
      <c r="I1073" s="327"/>
      <c r="J1073" s="605"/>
      <c r="K1073" s="327"/>
      <c r="L1073" s="594"/>
      <c r="M1073" s="327"/>
      <c r="N1073" s="575"/>
      <c r="O1073" s="327"/>
      <c r="P1073" s="594"/>
      <c r="Q1073" s="327"/>
      <c r="R1073" s="575"/>
      <c r="S1073" s="327"/>
      <c r="T1073" s="594"/>
      <c r="U1073" s="327"/>
      <c r="V1073" s="595" t="str">
        <f>'refer admin discharge'!H1074</f>
        <v>00/00/0000</v>
      </c>
      <c r="W1073" s="327"/>
      <c r="X1073" s="577"/>
      <c r="Y1073" s="327"/>
      <c r="Z1073" s="604"/>
      <c r="AA1073" s="327"/>
      <c r="AB1073" s="577"/>
      <c r="AC1073" s="327"/>
      <c r="AD1073" s="576"/>
      <c r="AE1073" s="327"/>
      <c r="AF1073" s="577"/>
      <c r="AG1073" s="327"/>
      <c r="AH1073" s="576"/>
      <c r="AI1073" s="327"/>
      <c r="AJ1073" s="577"/>
      <c r="AK1073" s="327"/>
      <c r="AL1073" s="602"/>
      <c r="AM1073" s="326"/>
      <c r="AN1073" s="326"/>
      <c r="AO1073" s="326"/>
      <c r="AP1073" s="326"/>
      <c r="AQ1073" s="326"/>
      <c r="AR1073" s="326"/>
      <c r="AS1073" s="326"/>
      <c r="AT1073" s="326"/>
      <c r="AU1073" s="326"/>
      <c r="AV1073" s="326"/>
      <c r="AW1073" s="326"/>
      <c r="AX1073" s="326"/>
      <c r="AY1073" s="326"/>
      <c r="AZ1073" s="326"/>
      <c r="BA1073" s="326"/>
      <c r="BB1073" s="327"/>
    </row>
    <row r="1074" spans="1:54" ht="15.75" customHeight="1" x14ac:dyDescent="0.25">
      <c r="A1074" s="11">
        <f t="shared" si="4"/>
        <v>1061</v>
      </c>
      <c r="B1074" s="570" t="str">
        <f>'refer admin discharge'!B1070</f>
        <v>x</v>
      </c>
      <c r="C1074" s="327"/>
      <c r="D1074" s="599" t="str">
        <f>'refer admin discharge'!D1070</f>
        <v>xx</v>
      </c>
      <c r="E1074" s="327"/>
      <c r="F1074" s="600" t="str">
        <f>'refer admin discharge'!H1070</f>
        <v>00/00/0000</v>
      </c>
      <c r="G1074" s="327"/>
      <c r="H1074" s="574"/>
      <c r="I1074" s="327"/>
      <c r="J1074" s="601"/>
      <c r="K1074" s="327"/>
      <c r="L1074" s="574"/>
      <c r="M1074" s="327"/>
      <c r="N1074" s="594"/>
      <c r="O1074" s="327"/>
      <c r="P1074" s="574"/>
      <c r="Q1074" s="327"/>
      <c r="R1074" s="594"/>
      <c r="S1074" s="327"/>
      <c r="T1074" s="574"/>
      <c r="U1074" s="327"/>
      <c r="V1074" s="595" t="str">
        <f>'refer admin discharge'!H1075</f>
        <v>00/00/0000</v>
      </c>
      <c r="W1074" s="327"/>
      <c r="X1074" s="596"/>
      <c r="Y1074" s="327"/>
      <c r="Z1074" s="597"/>
      <c r="AA1074" s="327"/>
      <c r="AB1074" s="596"/>
      <c r="AC1074" s="327"/>
      <c r="AD1074" s="577"/>
      <c r="AE1074" s="327"/>
      <c r="AF1074" s="596"/>
      <c r="AG1074" s="327"/>
      <c r="AH1074" s="577"/>
      <c r="AI1074" s="327"/>
      <c r="AJ1074" s="596"/>
      <c r="AK1074" s="327"/>
      <c r="AL1074" s="598"/>
      <c r="AM1074" s="326"/>
      <c r="AN1074" s="326"/>
      <c r="AO1074" s="326"/>
      <c r="AP1074" s="326"/>
      <c r="AQ1074" s="326"/>
      <c r="AR1074" s="326"/>
      <c r="AS1074" s="326"/>
      <c r="AT1074" s="326"/>
      <c r="AU1074" s="326"/>
      <c r="AV1074" s="326"/>
      <c r="AW1074" s="326"/>
      <c r="AX1074" s="326"/>
      <c r="AY1074" s="326"/>
      <c r="AZ1074" s="326"/>
      <c r="BA1074" s="326"/>
      <c r="BB1074" s="327"/>
    </row>
    <row r="1075" spans="1:54" ht="15.75" customHeight="1" x14ac:dyDescent="0.25">
      <c r="A1075" s="11">
        <f t="shared" si="4"/>
        <v>1062</v>
      </c>
      <c r="B1075" s="504" t="str">
        <f>'refer admin discharge'!B1071</f>
        <v>x</v>
      </c>
      <c r="C1075" s="327"/>
      <c r="D1075" s="505" t="str">
        <f>'refer admin discharge'!D1071</f>
        <v>xx</v>
      </c>
      <c r="E1075" s="327"/>
      <c r="F1075" s="606" t="str">
        <f>'refer admin discharge'!H1071</f>
        <v>00/00/0000</v>
      </c>
      <c r="G1075" s="327"/>
      <c r="H1075" s="594"/>
      <c r="I1075" s="327"/>
      <c r="J1075" s="605"/>
      <c r="K1075" s="327"/>
      <c r="L1075" s="594"/>
      <c r="M1075" s="327"/>
      <c r="N1075" s="575"/>
      <c r="O1075" s="327"/>
      <c r="P1075" s="594"/>
      <c r="Q1075" s="327"/>
      <c r="R1075" s="575"/>
      <c r="S1075" s="327"/>
      <c r="T1075" s="594"/>
      <c r="U1075" s="327"/>
      <c r="V1075" s="595" t="str">
        <f>'refer admin discharge'!H1076</f>
        <v>00/00/0000</v>
      </c>
      <c r="W1075" s="327"/>
      <c r="X1075" s="577"/>
      <c r="Y1075" s="327"/>
      <c r="Z1075" s="604"/>
      <c r="AA1075" s="327"/>
      <c r="AB1075" s="577"/>
      <c r="AC1075" s="327"/>
      <c r="AD1075" s="576"/>
      <c r="AE1075" s="327"/>
      <c r="AF1075" s="577"/>
      <c r="AG1075" s="327"/>
      <c r="AH1075" s="576"/>
      <c r="AI1075" s="327"/>
      <c r="AJ1075" s="577"/>
      <c r="AK1075" s="327"/>
      <c r="AL1075" s="602"/>
      <c r="AM1075" s="326"/>
      <c r="AN1075" s="326"/>
      <c r="AO1075" s="326"/>
      <c r="AP1075" s="326"/>
      <c r="AQ1075" s="326"/>
      <c r="AR1075" s="326"/>
      <c r="AS1075" s="326"/>
      <c r="AT1075" s="326"/>
      <c r="AU1075" s="326"/>
      <c r="AV1075" s="326"/>
      <c r="AW1075" s="326"/>
      <c r="AX1075" s="326"/>
      <c r="AY1075" s="326"/>
      <c r="AZ1075" s="326"/>
      <c r="BA1075" s="326"/>
      <c r="BB1075" s="327"/>
    </row>
    <row r="1076" spans="1:54" ht="15.75" customHeight="1" x14ac:dyDescent="0.25">
      <c r="A1076" s="11">
        <f t="shared" si="4"/>
        <v>1063</v>
      </c>
      <c r="B1076" s="570" t="str">
        <f>'refer admin discharge'!B1072</f>
        <v>x</v>
      </c>
      <c r="C1076" s="327"/>
      <c r="D1076" s="599" t="str">
        <f>'refer admin discharge'!D1072</f>
        <v>xx</v>
      </c>
      <c r="E1076" s="327"/>
      <c r="F1076" s="600" t="str">
        <f>'refer admin discharge'!H1072</f>
        <v>00/00/0000</v>
      </c>
      <c r="G1076" s="327"/>
      <c r="H1076" s="574"/>
      <c r="I1076" s="327"/>
      <c r="J1076" s="601"/>
      <c r="K1076" s="327"/>
      <c r="L1076" s="574"/>
      <c r="M1076" s="327"/>
      <c r="N1076" s="594"/>
      <c r="O1076" s="327"/>
      <c r="P1076" s="574"/>
      <c r="Q1076" s="327"/>
      <c r="R1076" s="594"/>
      <c r="S1076" s="327"/>
      <c r="T1076" s="574"/>
      <c r="U1076" s="327"/>
      <c r="V1076" s="595" t="str">
        <f>'refer admin discharge'!H1077</f>
        <v>00/00/0000</v>
      </c>
      <c r="W1076" s="327"/>
      <c r="X1076" s="596"/>
      <c r="Y1076" s="327"/>
      <c r="Z1076" s="597"/>
      <c r="AA1076" s="327"/>
      <c r="AB1076" s="596"/>
      <c r="AC1076" s="327"/>
      <c r="AD1076" s="577"/>
      <c r="AE1076" s="327"/>
      <c r="AF1076" s="596"/>
      <c r="AG1076" s="327"/>
      <c r="AH1076" s="577"/>
      <c r="AI1076" s="327"/>
      <c r="AJ1076" s="596"/>
      <c r="AK1076" s="327"/>
      <c r="AL1076" s="598"/>
      <c r="AM1076" s="326"/>
      <c r="AN1076" s="326"/>
      <c r="AO1076" s="326"/>
      <c r="AP1076" s="326"/>
      <c r="AQ1076" s="326"/>
      <c r="AR1076" s="326"/>
      <c r="AS1076" s="326"/>
      <c r="AT1076" s="326"/>
      <c r="AU1076" s="326"/>
      <c r="AV1076" s="326"/>
      <c r="AW1076" s="326"/>
      <c r="AX1076" s="326"/>
      <c r="AY1076" s="326"/>
      <c r="AZ1076" s="326"/>
      <c r="BA1076" s="326"/>
      <c r="BB1076" s="327"/>
    </row>
    <row r="1077" spans="1:54" ht="15.75" customHeight="1" x14ac:dyDescent="0.25">
      <c r="A1077" s="11">
        <f t="shared" si="4"/>
        <v>1064</v>
      </c>
      <c r="B1077" s="504" t="str">
        <f>'refer admin discharge'!B1073</f>
        <v>x</v>
      </c>
      <c r="C1077" s="327"/>
      <c r="D1077" s="505" t="str">
        <f>'refer admin discharge'!D1073</f>
        <v>xx</v>
      </c>
      <c r="E1077" s="327"/>
      <c r="F1077" s="606" t="str">
        <f>'refer admin discharge'!H1073</f>
        <v>00/00/0000</v>
      </c>
      <c r="G1077" s="327"/>
      <c r="H1077" s="594"/>
      <c r="I1077" s="327"/>
      <c r="J1077" s="605"/>
      <c r="K1077" s="327"/>
      <c r="L1077" s="594"/>
      <c r="M1077" s="327"/>
      <c r="N1077" s="575"/>
      <c r="O1077" s="327"/>
      <c r="P1077" s="594"/>
      <c r="Q1077" s="327"/>
      <c r="R1077" s="575"/>
      <c r="S1077" s="327"/>
      <c r="T1077" s="594"/>
      <c r="U1077" s="327"/>
      <c r="V1077" s="595" t="str">
        <f>'refer admin discharge'!H1078</f>
        <v>00/00/0000</v>
      </c>
      <c r="W1077" s="327"/>
      <c r="X1077" s="577"/>
      <c r="Y1077" s="327"/>
      <c r="Z1077" s="604"/>
      <c r="AA1077" s="327"/>
      <c r="AB1077" s="577"/>
      <c r="AC1077" s="327"/>
      <c r="AD1077" s="576"/>
      <c r="AE1077" s="327"/>
      <c r="AF1077" s="577"/>
      <c r="AG1077" s="327"/>
      <c r="AH1077" s="576"/>
      <c r="AI1077" s="327"/>
      <c r="AJ1077" s="577"/>
      <c r="AK1077" s="327"/>
      <c r="AL1077" s="602"/>
      <c r="AM1077" s="326"/>
      <c r="AN1077" s="326"/>
      <c r="AO1077" s="326"/>
      <c r="AP1077" s="326"/>
      <c r="AQ1077" s="326"/>
      <c r="AR1077" s="326"/>
      <c r="AS1077" s="326"/>
      <c r="AT1077" s="326"/>
      <c r="AU1077" s="326"/>
      <c r="AV1077" s="326"/>
      <c r="AW1077" s="326"/>
      <c r="AX1077" s="326"/>
      <c r="AY1077" s="326"/>
      <c r="AZ1077" s="326"/>
      <c r="BA1077" s="326"/>
      <c r="BB1077" s="327"/>
    </row>
    <row r="1078" spans="1:54" ht="15.75" customHeight="1" x14ac:dyDescent="0.25">
      <c r="A1078" s="11">
        <f t="shared" si="4"/>
        <v>1065</v>
      </c>
      <c r="B1078" s="570" t="str">
        <f>'refer admin discharge'!B1074</f>
        <v>x</v>
      </c>
      <c r="C1078" s="327"/>
      <c r="D1078" s="599" t="str">
        <f>'refer admin discharge'!D1074</f>
        <v>xx</v>
      </c>
      <c r="E1078" s="327"/>
      <c r="F1078" s="600" t="str">
        <f>'refer admin discharge'!H1074</f>
        <v>00/00/0000</v>
      </c>
      <c r="G1078" s="327"/>
      <c r="H1078" s="574"/>
      <c r="I1078" s="327"/>
      <c r="J1078" s="601"/>
      <c r="K1078" s="327"/>
      <c r="L1078" s="574"/>
      <c r="M1078" s="327"/>
      <c r="N1078" s="594"/>
      <c r="O1078" s="327"/>
      <c r="P1078" s="574"/>
      <c r="Q1078" s="327"/>
      <c r="R1078" s="594"/>
      <c r="S1078" s="327"/>
      <c r="T1078" s="574"/>
      <c r="U1078" s="327"/>
      <c r="V1078" s="595" t="str">
        <f>'refer admin discharge'!H1079</f>
        <v>00/00/0000</v>
      </c>
      <c r="W1078" s="327"/>
      <c r="X1078" s="596"/>
      <c r="Y1078" s="327"/>
      <c r="Z1078" s="597"/>
      <c r="AA1078" s="327"/>
      <c r="AB1078" s="596"/>
      <c r="AC1078" s="327"/>
      <c r="AD1078" s="577"/>
      <c r="AE1078" s="327"/>
      <c r="AF1078" s="596"/>
      <c r="AG1078" s="327"/>
      <c r="AH1078" s="577"/>
      <c r="AI1078" s="327"/>
      <c r="AJ1078" s="596"/>
      <c r="AK1078" s="327"/>
      <c r="AL1078" s="598"/>
      <c r="AM1078" s="326"/>
      <c r="AN1078" s="326"/>
      <c r="AO1078" s="326"/>
      <c r="AP1078" s="326"/>
      <c r="AQ1078" s="326"/>
      <c r="AR1078" s="326"/>
      <c r="AS1078" s="326"/>
      <c r="AT1078" s="326"/>
      <c r="AU1078" s="326"/>
      <c r="AV1078" s="326"/>
      <c r="AW1078" s="326"/>
      <c r="AX1078" s="326"/>
      <c r="AY1078" s="326"/>
      <c r="AZ1078" s="326"/>
      <c r="BA1078" s="326"/>
      <c r="BB1078" s="327"/>
    </row>
    <row r="1079" spans="1:54" ht="15.75" customHeight="1" x14ac:dyDescent="0.25">
      <c r="A1079" s="11">
        <f t="shared" si="4"/>
        <v>1066</v>
      </c>
      <c r="B1079" s="504" t="str">
        <f>'refer admin discharge'!B1075</f>
        <v>x</v>
      </c>
      <c r="C1079" s="327"/>
      <c r="D1079" s="505" t="str">
        <f>'refer admin discharge'!D1075</f>
        <v>xx</v>
      </c>
      <c r="E1079" s="327"/>
      <c r="F1079" s="606" t="str">
        <f>'refer admin discharge'!H1075</f>
        <v>00/00/0000</v>
      </c>
      <c r="G1079" s="327"/>
      <c r="H1079" s="594"/>
      <c r="I1079" s="327"/>
      <c r="J1079" s="605"/>
      <c r="K1079" s="327"/>
      <c r="L1079" s="594"/>
      <c r="M1079" s="327"/>
      <c r="N1079" s="575"/>
      <c r="O1079" s="327"/>
      <c r="P1079" s="594"/>
      <c r="Q1079" s="327"/>
      <c r="R1079" s="575"/>
      <c r="S1079" s="327"/>
      <c r="T1079" s="594"/>
      <c r="U1079" s="327"/>
      <c r="V1079" s="595" t="str">
        <f>'refer admin discharge'!H1080</f>
        <v>00/00/0000</v>
      </c>
      <c r="W1079" s="327"/>
      <c r="X1079" s="577"/>
      <c r="Y1079" s="327"/>
      <c r="Z1079" s="604"/>
      <c r="AA1079" s="327"/>
      <c r="AB1079" s="577"/>
      <c r="AC1079" s="327"/>
      <c r="AD1079" s="576"/>
      <c r="AE1079" s="327"/>
      <c r="AF1079" s="577"/>
      <c r="AG1079" s="327"/>
      <c r="AH1079" s="576"/>
      <c r="AI1079" s="327"/>
      <c r="AJ1079" s="577"/>
      <c r="AK1079" s="327"/>
      <c r="AL1079" s="602"/>
      <c r="AM1079" s="326"/>
      <c r="AN1079" s="326"/>
      <c r="AO1079" s="326"/>
      <c r="AP1079" s="326"/>
      <c r="AQ1079" s="326"/>
      <c r="AR1079" s="326"/>
      <c r="AS1079" s="326"/>
      <c r="AT1079" s="326"/>
      <c r="AU1079" s="326"/>
      <c r="AV1079" s="326"/>
      <c r="AW1079" s="326"/>
      <c r="AX1079" s="326"/>
      <c r="AY1079" s="326"/>
      <c r="AZ1079" s="326"/>
      <c r="BA1079" s="326"/>
      <c r="BB1079" s="327"/>
    </row>
    <row r="1080" spans="1:54" ht="15.75" customHeight="1" x14ac:dyDescent="0.25">
      <c r="A1080" s="11">
        <f t="shared" si="4"/>
        <v>1067</v>
      </c>
      <c r="B1080" s="570" t="str">
        <f>'refer admin discharge'!B1076</f>
        <v>x</v>
      </c>
      <c r="C1080" s="327"/>
      <c r="D1080" s="599" t="str">
        <f>'refer admin discharge'!D1076</f>
        <v>xx</v>
      </c>
      <c r="E1080" s="327"/>
      <c r="F1080" s="600" t="str">
        <f>'refer admin discharge'!H1076</f>
        <v>00/00/0000</v>
      </c>
      <c r="G1080" s="327"/>
      <c r="H1080" s="574"/>
      <c r="I1080" s="327"/>
      <c r="J1080" s="601"/>
      <c r="K1080" s="327"/>
      <c r="L1080" s="574"/>
      <c r="M1080" s="327"/>
      <c r="N1080" s="594"/>
      <c r="O1080" s="327"/>
      <c r="P1080" s="574"/>
      <c r="Q1080" s="327"/>
      <c r="R1080" s="594"/>
      <c r="S1080" s="327"/>
      <c r="T1080" s="574"/>
      <c r="U1080" s="327"/>
      <c r="V1080" s="595" t="str">
        <f>'refer admin discharge'!H1081</f>
        <v>00/00/0000</v>
      </c>
      <c r="W1080" s="327"/>
      <c r="X1080" s="596"/>
      <c r="Y1080" s="327"/>
      <c r="Z1080" s="597"/>
      <c r="AA1080" s="327"/>
      <c r="AB1080" s="596"/>
      <c r="AC1080" s="327"/>
      <c r="AD1080" s="577"/>
      <c r="AE1080" s="327"/>
      <c r="AF1080" s="596"/>
      <c r="AG1080" s="327"/>
      <c r="AH1080" s="577"/>
      <c r="AI1080" s="327"/>
      <c r="AJ1080" s="596"/>
      <c r="AK1080" s="327"/>
      <c r="AL1080" s="598"/>
      <c r="AM1080" s="326"/>
      <c r="AN1080" s="326"/>
      <c r="AO1080" s="326"/>
      <c r="AP1080" s="326"/>
      <c r="AQ1080" s="326"/>
      <c r="AR1080" s="326"/>
      <c r="AS1080" s="326"/>
      <c r="AT1080" s="326"/>
      <c r="AU1080" s="326"/>
      <c r="AV1080" s="326"/>
      <c r="AW1080" s="326"/>
      <c r="AX1080" s="326"/>
      <c r="AY1080" s="326"/>
      <c r="AZ1080" s="326"/>
      <c r="BA1080" s="326"/>
      <c r="BB1080" s="327"/>
    </row>
    <row r="1081" spans="1:54" ht="15.75" customHeight="1" x14ac:dyDescent="0.25">
      <c r="A1081" s="11">
        <f t="shared" si="4"/>
        <v>1068</v>
      </c>
      <c r="B1081" s="504" t="str">
        <f>'refer admin discharge'!B1077</f>
        <v>x</v>
      </c>
      <c r="C1081" s="327"/>
      <c r="D1081" s="505" t="str">
        <f>'refer admin discharge'!D1077</f>
        <v>xx</v>
      </c>
      <c r="E1081" s="327"/>
      <c r="F1081" s="606" t="str">
        <f>'refer admin discharge'!H1077</f>
        <v>00/00/0000</v>
      </c>
      <c r="G1081" s="327"/>
      <c r="H1081" s="594"/>
      <c r="I1081" s="327"/>
      <c r="J1081" s="605"/>
      <c r="K1081" s="327"/>
      <c r="L1081" s="594"/>
      <c r="M1081" s="327"/>
      <c r="N1081" s="575"/>
      <c r="O1081" s="327"/>
      <c r="P1081" s="594"/>
      <c r="Q1081" s="327"/>
      <c r="R1081" s="575"/>
      <c r="S1081" s="327"/>
      <c r="T1081" s="594"/>
      <c r="U1081" s="327"/>
      <c r="V1081" s="595" t="str">
        <f>'refer admin discharge'!H1082</f>
        <v>00/00/0000</v>
      </c>
      <c r="W1081" s="327"/>
      <c r="X1081" s="577"/>
      <c r="Y1081" s="327"/>
      <c r="Z1081" s="604"/>
      <c r="AA1081" s="327"/>
      <c r="AB1081" s="577"/>
      <c r="AC1081" s="327"/>
      <c r="AD1081" s="576"/>
      <c r="AE1081" s="327"/>
      <c r="AF1081" s="577"/>
      <c r="AG1081" s="327"/>
      <c r="AH1081" s="576"/>
      <c r="AI1081" s="327"/>
      <c r="AJ1081" s="577"/>
      <c r="AK1081" s="327"/>
      <c r="AL1081" s="602"/>
      <c r="AM1081" s="326"/>
      <c r="AN1081" s="326"/>
      <c r="AO1081" s="326"/>
      <c r="AP1081" s="326"/>
      <c r="AQ1081" s="326"/>
      <c r="AR1081" s="326"/>
      <c r="AS1081" s="326"/>
      <c r="AT1081" s="326"/>
      <c r="AU1081" s="326"/>
      <c r="AV1081" s="326"/>
      <c r="AW1081" s="326"/>
      <c r="AX1081" s="326"/>
      <c r="AY1081" s="326"/>
      <c r="AZ1081" s="326"/>
      <c r="BA1081" s="326"/>
      <c r="BB1081" s="327"/>
    </row>
    <row r="1082" spans="1:54" ht="15.75" customHeight="1" x14ac:dyDescent="0.25">
      <c r="A1082" s="11">
        <f t="shared" si="4"/>
        <v>1069</v>
      </c>
      <c r="B1082" s="570" t="str">
        <f>'refer admin discharge'!B1078</f>
        <v>x</v>
      </c>
      <c r="C1082" s="327"/>
      <c r="D1082" s="599" t="str">
        <f>'refer admin discharge'!D1078</f>
        <v>xx</v>
      </c>
      <c r="E1082" s="327"/>
      <c r="F1082" s="600" t="str">
        <f>'refer admin discharge'!H1078</f>
        <v>00/00/0000</v>
      </c>
      <c r="G1082" s="327"/>
      <c r="H1082" s="574"/>
      <c r="I1082" s="327"/>
      <c r="J1082" s="601"/>
      <c r="K1082" s="327"/>
      <c r="L1082" s="574"/>
      <c r="M1082" s="327"/>
      <c r="N1082" s="594"/>
      <c r="O1082" s="327"/>
      <c r="P1082" s="574"/>
      <c r="Q1082" s="327"/>
      <c r="R1082" s="594"/>
      <c r="S1082" s="327"/>
      <c r="T1082" s="574"/>
      <c r="U1082" s="327"/>
      <c r="V1082" s="595" t="str">
        <f>'refer admin discharge'!H1083</f>
        <v>00/00/0000</v>
      </c>
      <c r="W1082" s="327"/>
      <c r="X1082" s="596"/>
      <c r="Y1082" s="327"/>
      <c r="Z1082" s="597"/>
      <c r="AA1082" s="327"/>
      <c r="AB1082" s="596"/>
      <c r="AC1082" s="327"/>
      <c r="AD1082" s="577"/>
      <c r="AE1082" s="327"/>
      <c r="AF1082" s="596"/>
      <c r="AG1082" s="327"/>
      <c r="AH1082" s="577"/>
      <c r="AI1082" s="327"/>
      <c r="AJ1082" s="596"/>
      <c r="AK1082" s="327"/>
      <c r="AL1082" s="598"/>
      <c r="AM1082" s="326"/>
      <c r="AN1082" s="326"/>
      <c r="AO1082" s="326"/>
      <c r="AP1082" s="326"/>
      <c r="AQ1082" s="326"/>
      <c r="AR1082" s="326"/>
      <c r="AS1082" s="326"/>
      <c r="AT1082" s="326"/>
      <c r="AU1082" s="326"/>
      <c r="AV1082" s="326"/>
      <c r="AW1082" s="326"/>
      <c r="AX1082" s="326"/>
      <c r="AY1082" s="326"/>
      <c r="AZ1082" s="326"/>
      <c r="BA1082" s="326"/>
      <c r="BB1082" s="327"/>
    </row>
    <row r="1083" spans="1:54" ht="15.75" customHeight="1" x14ac:dyDescent="0.25">
      <c r="A1083" s="11">
        <f t="shared" si="4"/>
        <v>1070</v>
      </c>
      <c r="B1083" s="504" t="str">
        <f>'refer admin discharge'!B1079</f>
        <v>x</v>
      </c>
      <c r="C1083" s="327"/>
      <c r="D1083" s="505" t="str">
        <f>'refer admin discharge'!D1079</f>
        <v>xx</v>
      </c>
      <c r="E1083" s="327"/>
      <c r="F1083" s="606" t="str">
        <f>'refer admin discharge'!H1079</f>
        <v>00/00/0000</v>
      </c>
      <c r="G1083" s="327"/>
      <c r="H1083" s="594"/>
      <c r="I1083" s="327"/>
      <c r="J1083" s="605"/>
      <c r="K1083" s="327"/>
      <c r="L1083" s="594"/>
      <c r="M1083" s="327"/>
      <c r="N1083" s="575"/>
      <c r="O1083" s="327"/>
      <c r="P1083" s="594"/>
      <c r="Q1083" s="327"/>
      <c r="R1083" s="575"/>
      <c r="S1083" s="327"/>
      <c r="T1083" s="594"/>
      <c r="U1083" s="327"/>
      <c r="V1083" s="595" t="str">
        <f>'refer admin discharge'!H1084</f>
        <v>00/00/0000</v>
      </c>
      <c r="W1083" s="327"/>
      <c r="X1083" s="577"/>
      <c r="Y1083" s="327"/>
      <c r="Z1083" s="604"/>
      <c r="AA1083" s="327"/>
      <c r="AB1083" s="577"/>
      <c r="AC1083" s="327"/>
      <c r="AD1083" s="576"/>
      <c r="AE1083" s="327"/>
      <c r="AF1083" s="577"/>
      <c r="AG1083" s="327"/>
      <c r="AH1083" s="576"/>
      <c r="AI1083" s="327"/>
      <c r="AJ1083" s="577"/>
      <c r="AK1083" s="327"/>
      <c r="AL1083" s="602"/>
      <c r="AM1083" s="326"/>
      <c r="AN1083" s="326"/>
      <c r="AO1083" s="326"/>
      <c r="AP1083" s="326"/>
      <c r="AQ1083" s="326"/>
      <c r="AR1083" s="326"/>
      <c r="AS1083" s="326"/>
      <c r="AT1083" s="326"/>
      <c r="AU1083" s="326"/>
      <c r="AV1083" s="326"/>
      <c r="AW1083" s="326"/>
      <c r="AX1083" s="326"/>
      <c r="AY1083" s="326"/>
      <c r="AZ1083" s="326"/>
      <c r="BA1083" s="326"/>
      <c r="BB1083" s="327"/>
    </row>
    <row r="1084" spans="1:54" ht="15.75" customHeight="1" x14ac:dyDescent="0.25">
      <c r="A1084" s="11">
        <f t="shared" si="4"/>
        <v>1071</v>
      </c>
      <c r="B1084" s="570" t="str">
        <f>'refer admin discharge'!B1080</f>
        <v>x</v>
      </c>
      <c r="C1084" s="327"/>
      <c r="D1084" s="599" t="str">
        <f>'refer admin discharge'!D1080</f>
        <v>xx</v>
      </c>
      <c r="E1084" s="327"/>
      <c r="F1084" s="600" t="str">
        <f>'refer admin discharge'!H1080</f>
        <v>00/00/0000</v>
      </c>
      <c r="G1084" s="327"/>
      <c r="H1084" s="574"/>
      <c r="I1084" s="327"/>
      <c r="J1084" s="601"/>
      <c r="K1084" s="327"/>
      <c r="L1084" s="574"/>
      <c r="M1084" s="327"/>
      <c r="N1084" s="594"/>
      <c r="O1084" s="327"/>
      <c r="P1084" s="574"/>
      <c r="Q1084" s="327"/>
      <c r="R1084" s="594"/>
      <c r="S1084" s="327"/>
      <c r="T1084" s="574"/>
      <c r="U1084" s="327"/>
      <c r="V1084" s="595" t="str">
        <f>'refer admin discharge'!H1085</f>
        <v>00/00/0000</v>
      </c>
      <c r="W1084" s="327"/>
      <c r="X1084" s="596"/>
      <c r="Y1084" s="327"/>
      <c r="Z1084" s="597"/>
      <c r="AA1084" s="327"/>
      <c r="AB1084" s="596"/>
      <c r="AC1084" s="327"/>
      <c r="AD1084" s="577"/>
      <c r="AE1084" s="327"/>
      <c r="AF1084" s="596"/>
      <c r="AG1084" s="327"/>
      <c r="AH1084" s="577"/>
      <c r="AI1084" s="327"/>
      <c r="AJ1084" s="596"/>
      <c r="AK1084" s="327"/>
      <c r="AL1084" s="598"/>
      <c r="AM1084" s="326"/>
      <c r="AN1084" s="326"/>
      <c r="AO1084" s="326"/>
      <c r="AP1084" s="326"/>
      <c r="AQ1084" s="326"/>
      <c r="AR1084" s="326"/>
      <c r="AS1084" s="326"/>
      <c r="AT1084" s="326"/>
      <c r="AU1084" s="326"/>
      <c r="AV1084" s="326"/>
      <c r="AW1084" s="326"/>
      <c r="AX1084" s="326"/>
      <c r="AY1084" s="326"/>
      <c r="AZ1084" s="326"/>
      <c r="BA1084" s="326"/>
      <c r="BB1084" s="327"/>
    </row>
    <row r="1085" spans="1:54" ht="15.75" customHeight="1" x14ac:dyDescent="0.25">
      <c r="A1085" s="11">
        <f t="shared" si="4"/>
        <v>1072</v>
      </c>
      <c r="B1085" s="504" t="str">
        <f>'refer admin discharge'!B1081</f>
        <v>x</v>
      </c>
      <c r="C1085" s="327"/>
      <c r="D1085" s="505" t="str">
        <f>'refer admin discharge'!D1081</f>
        <v>xx</v>
      </c>
      <c r="E1085" s="327"/>
      <c r="F1085" s="606" t="str">
        <f>'refer admin discharge'!H1081</f>
        <v>00/00/0000</v>
      </c>
      <c r="G1085" s="327"/>
      <c r="H1085" s="594"/>
      <c r="I1085" s="327"/>
      <c r="J1085" s="605"/>
      <c r="K1085" s="327"/>
      <c r="L1085" s="594"/>
      <c r="M1085" s="327"/>
      <c r="N1085" s="575"/>
      <c r="O1085" s="327"/>
      <c r="P1085" s="594"/>
      <c r="Q1085" s="327"/>
      <c r="R1085" s="575"/>
      <c r="S1085" s="327"/>
      <c r="T1085" s="594"/>
      <c r="U1085" s="327"/>
      <c r="V1085" s="595" t="str">
        <f>'refer admin discharge'!H1086</f>
        <v>00/00/0000</v>
      </c>
      <c r="W1085" s="327"/>
      <c r="X1085" s="577"/>
      <c r="Y1085" s="327"/>
      <c r="Z1085" s="604"/>
      <c r="AA1085" s="327"/>
      <c r="AB1085" s="577"/>
      <c r="AC1085" s="327"/>
      <c r="AD1085" s="576"/>
      <c r="AE1085" s="327"/>
      <c r="AF1085" s="577"/>
      <c r="AG1085" s="327"/>
      <c r="AH1085" s="576"/>
      <c r="AI1085" s="327"/>
      <c r="AJ1085" s="577"/>
      <c r="AK1085" s="327"/>
      <c r="AL1085" s="602"/>
      <c r="AM1085" s="326"/>
      <c r="AN1085" s="326"/>
      <c r="AO1085" s="326"/>
      <c r="AP1085" s="326"/>
      <c r="AQ1085" s="326"/>
      <c r="AR1085" s="326"/>
      <c r="AS1085" s="326"/>
      <c r="AT1085" s="326"/>
      <c r="AU1085" s="326"/>
      <c r="AV1085" s="326"/>
      <c r="AW1085" s="326"/>
      <c r="AX1085" s="326"/>
      <c r="AY1085" s="326"/>
      <c r="AZ1085" s="326"/>
      <c r="BA1085" s="326"/>
      <c r="BB1085" s="327"/>
    </row>
    <row r="1086" spans="1:54" ht="15.75" customHeight="1" x14ac:dyDescent="0.25">
      <c r="A1086" s="11">
        <f t="shared" si="4"/>
        <v>1073</v>
      </c>
      <c r="B1086" s="570" t="str">
        <f>'refer admin discharge'!B1082</f>
        <v>x</v>
      </c>
      <c r="C1086" s="327"/>
      <c r="D1086" s="599" t="str">
        <f>'refer admin discharge'!D1082</f>
        <v>xx</v>
      </c>
      <c r="E1086" s="327"/>
      <c r="F1086" s="600" t="str">
        <f>'refer admin discharge'!H1082</f>
        <v>00/00/0000</v>
      </c>
      <c r="G1086" s="327"/>
      <c r="H1086" s="574"/>
      <c r="I1086" s="327"/>
      <c r="J1086" s="601"/>
      <c r="K1086" s="327"/>
      <c r="L1086" s="574"/>
      <c r="M1086" s="327"/>
      <c r="N1086" s="594"/>
      <c r="O1086" s="327"/>
      <c r="P1086" s="574"/>
      <c r="Q1086" s="327"/>
      <c r="R1086" s="594"/>
      <c r="S1086" s="327"/>
      <c r="T1086" s="574"/>
      <c r="U1086" s="327"/>
      <c r="V1086" s="595" t="str">
        <f>'refer admin discharge'!H1087</f>
        <v>00/00/0000</v>
      </c>
      <c r="W1086" s="327"/>
      <c r="X1086" s="596"/>
      <c r="Y1086" s="327"/>
      <c r="Z1086" s="597"/>
      <c r="AA1086" s="327"/>
      <c r="AB1086" s="596"/>
      <c r="AC1086" s="327"/>
      <c r="AD1086" s="577"/>
      <c r="AE1086" s="327"/>
      <c r="AF1086" s="596"/>
      <c r="AG1086" s="327"/>
      <c r="AH1086" s="577"/>
      <c r="AI1086" s="327"/>
      <c r="AJ1086" s="596"/>
      <c r="AK1086" s="327"/>
      <c r="AL1086" s="598"/>
      <c r="AM1086" s="326"/>
      <c r="AN1086" s="326"/>
      <c r="AO1086" s="326"/>
      <c r="AP1086" s="326"/>
      <c r="AQ1086" s="326"/>
      <c r="AR1086" s="326"/>
      <c r="AS1086" s="326"/>
      <c r="AT1086" s="326"/>
      <c r="AU1086" s="326"/>
      <c r="AV1086" s="326"/>
      <c r="AW1086" s="326"/>
      <c r="AX1086" s="326"/>
      <c r="AY1086" s="326"/>
      <c r="AZ1086" s="326"/>
      <c r="BA1086" s="326"/>
      <c r="BB1086" s="327"/>
    </row>
    <row r="1087" spans="1:54" ht="15.75" customHeight="1" x14ac:dyDescent="0.25">
      <c r="A1087" s="11">
        <f t="shared" si="4"/>
        <v>1074</v>
      </c>
      <c r="B1087" s="504" t="str">
        <f>'refer admin discharge'!B1083</f>
        <v>x</v>
      </c>
      <c r="C1087" s="327"/>
      <c r="D1087" s="505" t="str">
        <f>'refer admin discharge'!D1083</f>
        <v>xx</v>
      </c>
      <c r="E1087" s="327"/>
      <c r="F1087" s="606" t="str">
        <f>'refer admin discharge'!H1083</f>
        <v>00/00/0000</v>
      </c>
      <c r="G1087" s="327"/>
      <c r="H1087" s="594"/>
      <c r="I1087" s="327"/>
      <c r="J1087" s="605"/>
      <c r="K1087" s="327"/>
      <c r="L1087" s="594"/>
      <c r="M1087" s="327"/>
      <c r="N1087" s="575"/>
      <c r="O1087" s="327"/>
      <c r="P1087" s="594"/>
      <c r="Q1087" s="327"/>
      <c r="R1087" s="575"/>
      <c r="S1087" s="327"/>
      <c r="T1087" s="594"/>
      <c r="U1087" s="327"/>
      <c r="V1087" s="595" t="str">
        <f>'refer admin discharge'!H1088</f>
        <v>00/00/0000</v>
      </c>
      <c r="W1087" s="327"/>
      <c r="X1087" s="577"/>
      <c r="Y1087" s="327"/>
      <c r="Z1087" s="604"/>
      <c r="AA1087" s="327"/>
      <c r="AB1087" s="577"/>
      <c r="AC1087" s="327"/>
      <c r="AD1087" s="576"/>
      <c r="AE1087" s="327"/>
      <c r="AF1087" s="577"/>
      <c r="AG1087" s="327"/>
      <c r="AH1087" s="576"/>
      <c r="AI1087" s="327"/>
      <c r="AJ1087" s="577"/>
      <c r="AK1087" s="327"/>
      <c r="AL1087" s="602"/>
      <c r="AM1087" s="326"/>
      <c r="AN1087" s="326"/>
      <c r="AO1087" s="326"/>
      <c r="AP1087" s="326"/>
      <c r="AQ1087" s="326"/>
      <c r="AR1087" s="326"/>
      <c r="AS1087" s="326"/>
      <c r="AT1087" s="326"/>
      <c r="AU1087" s="326"/>
      <c r="AV1087" s="326"/>
      <c r="AW1087" s="326"/>
      <c r="AX1087" s="326"/>
      <c r="AY1087" s="326"/>
      <c r="AZ1087" s="326"/>
      <c r="BA1087" s="326"/>
      <c r="BB1087" s="327"/>
    </row>
    <row r="1088" spans="1:54" ht="15.75" customHeight="1" x14ac:dyDescent="0.25">
      <c r="A1088" s="11">
        <f t="shared" si="4"/>
        <v>1075</v>
      </c>
      <c r="B1088" s="570" t="str">
        <f>'refer admin discharge'!B1084</f>
        <v>x</v>
      </c>
      <c r="C1088" s="327"/>
      <c r="D1088" s="599" t="str">
        <f>'refer admin discharge'!D1084</f>
        <v>xx</v>
      </c>
      <c r="E1088" s="327"/>
      <c r="F1088" s="600" t="str">
        <f>'refer admin discharge'!H1084</f>
        <v>00/00/0000</v>
      </c>
      <c r="G1088" s="327"/>
      <c r="H1088" s="574"/>
      <c r="I1088" s="327"/>
      <c r="J1088" s="601"/>
      <c r="K1088" s="327"/>
      <c r="L1088" s="574"/>
      <c r="M1088" s="327"/>
      <c r="N1088" s="594"/>
      <c r="O1088" s="327"/>
      <c r="P1088" s="574"/>
      <c r="Q1088" s="327"/>
      <c r="R1088" s="594"/>
      <c r="S1088" s="327"/>
      <c r="T1088" s="574"/>
      <c r="U1088" s="327"/>
      <c r="V1088" s="595" t="str">
        <f>'refer admin discharge'!H1089</f>
        <v>00/00/0000</v>
      </c>
      <c r="W1088" s="327"/>
      <c r="X1088" s="596"/>
      <c r="Y1088" s="327"/>
      <c r="Z1088" s="597"/>
      <c r="AA1088" s="327"/>
      <c r="AB1088" s="596"/>
      <c r="AC1088" s="327"/>
      <c r="AD1088" s="577"/>
      <c r="AE1088" s="327"/>
      <c r="AF1088" s="596"/>
      <c r="AG1088" s="327"/>
      <c r="AH1088" s="577"/>
      <c r="AI1088" s="327"/>
      <c r="AJ1088" s="596"/>
      <c r="AK1088" s="327"/>
      <c r="AL1088" s="598"/>
      <c r="AM1088" s="326"/>
      <c r="AN1088" s="326"/>
      <c r="AO1088" s="326"/>
      <c r="AP1088" s="326"/>
      <c r="AQ1088" s="326"/>
      <c r="AR1088" s="326"/>
      <c r="AS1088" s="326"/>
      <c r="AT1088" s="326"/>
      <c r="AU1088" s="326"/>
      <c r="AV1088" s="326"/>
      <c r="AW1088" s="326"/>
      <c r="AX1088" s="326"/>
      <c r="AY1088" s="326"/>
      <c r="AZ1088" s="326"/>
      <c r="BA1088" s="326"/>
      <c r="BB1088" s="327"/>
    </row>
    <row r="1089" spans="1:54" ht="15.75" customHeight="1" x14ac:dyDescent="0.25">
      <c r="A1089" s="11">
        <f t="shared" si="4"/>
        <v>1076</v>
      </c>
      <c r="B1089" s="504" t="str">
        <f>'refer admin discharge'!B1085</f>
        <v>x</v>
      </c>
      <c r="C1089" s="327"/>
      <c r="D1089" s="505" t="str">
        <f>'refer admin discharge'!D1085</f>
        <v>xx</v>
      </c>
      <c r="E1089" s="327"/>
      <c r="F1089" s="606" t="str">
        <f>'refer admin discharge'!H1085</f>
        <v>00/00/0000</v>
      </c>
      <c r="G1089" s="327"/>
      <c r="H1089" s="594"/>
      <c r="I1089" s="327"/>
      <c r="J1089" s="605"/>
      <c r="K1089" s="327"/>
      <c r="L1089" s="594"/>
      <c r="M1089" s="327"/>
      <c r="N1089" s="575"/>
      <c r="O1089" s="327"/>
      <c r="P1089" s="594"/>
      <c r="Q1089" s="327"/>
      <c r="R1089" s="575"/>
      <c r="S1089" s="327"/>
      <c r="T1089" s="594"/>
      <c r="U1089" s="327"/>
      <c r="V1089" s="595" t="str">
        <f>'refer admin discharge'!H1090</f>
        <v>00/00/0000</v>
      </c>
      <c r="W1089" s="327"/>
      <c r="X1089" s="577"/>
      <c r="Y1089" s="327"/>
      <c r="Z1089" s="604"/>
      <c r="AA1089" s="327"/>
      <c r="AB1089" s="577"/>
      <c r="AC1089" s="327"/>
      <c r="AD1089" s="576"/>
      <c r="AE1089" s="327"/>
      <c r="AF1089" s="577"/>
      <c r="AG1089" s="327"/>
      <c r="AH1089" s="576"/>
      <c r="AI1089" s="327"/>
      <c r="AJ1089" s="577"/>
      <c r="AK1089" s="327"/>
      <c r="AL1089" s="602"/>
      <c r="AM1089" s="326"/>
      <c r="AN1089" s="326"/>
      <c r="AO1089" s="326"/>
      <c r="AP1089" s="326"/>
      <c r="AQ1089" s="326"/>
      <c r="AR1089" s="326"/>
      <c r="AS1089" s="326"/>
      <c r="AT1089" s="326"/>
      <c r="AU1089" s="326"/>
      <c r="AV1089" s="326"/>
      <c r="AW1089" s="326"/>
      <c r="AX1089" s="326"/>
      <c r="AY1089" s="326"/>
      <c r="AZ1089" s="326"/>
      <c r="BA1089" s="326"/>
      <c r="BB1089" s="327"/>
    </row>
    <row r="1090" spans="1:54" ht="15.75" customHeight="1" x14ac:dyDescent="0.25">
      <c r="A1090" s="11">
        <f t="shared" si="4"/>
        <v>1077</v>
      </c>
      <c r="B1090" s="570" t="str">
        <f>'refer admin discharge'!B1086</f>
        <v>x</v>
      </c>
      <c r="C1090" s="327"/>
      <c r="D1090" s="599" t="str">
        <f>'refer admin discharge'!D1086</f>
        <v>xx</v>
      </c>
      <c r="E1090" s="327"/>
      <c r="F1090" s="600" t="str">
        <f>'refer admin discharge'!H1086</f>
        <v>00/00/0000</v>
      </c>
      <c r="G1090" s="327"/>
      <c r="H1090" s="574"/>
      <c r="I1090" s="327"/>
      <c r="J1090" s="601"/>
      <c r="K1090" s="327"/>
      <c r="L1090" s="574"/>
      <c r="M1090" s="327"/>
      <c r="N1090" s="594"/>
      <c r="O1090" s="327"/>
      <c r="P1090" s="574"/>
      <c r="Q1090" s="327"/>
      <c r="R1090" s="594"/>
      <c r="S1090" s="327"/>
      <c r="T1090" s="574"/>
      <c r="U1090" s="327"/>
      <c r="V1090" s="595" t="str">
        <f>'refer admin discharge'!H1091</f>
        <v>00/00/0000</v>
      </c>
      <c r="W1090" s="327"/>
      <c r="X1090" s="596"/>
      <c r="Y1090" s="327"/>
      <c r="Z1090" s="597"/>
      <c r="AA1090" s="327"/>
      <c r="AB1090" s="596"/>
      <c r="AC1090" s="327"/>
      <c r="AD1090" s="577"/>
      <c r="AE1090" s="327"/>
      <c r="AF1090" s="596"/>
      <c r="AG1090" s="327"/>
      <c r="AH1090" s="577"/>
      <c r="AI1090" s="327"/>
      <c r="AJ1090" s="596"/>
      <c r="AK1090" s="327"/>
      <c r="AL1090" s="598"/>
      <c r="AM1090" s="326"/>
      <c r="AN1090" s="326"/>
      <c r="AO1090" s="326"/>
      <c r="AP1090" s="326"/>
      <c r="AQ1090" s="326"/>
      <c r="AR1090" s="326"/>
      <c r="AS1090" s="326"/>
      <c r="AT1090" s="326"/>
      <c r="AU1090" s="326"/>
      <c r="AV1090" s="326"/>
      <c r="AW1090" s="326"/>
      <c r="AX1090" s="326"/>
      <c r="AY1090" s="326"/>
      <c r="AZ1090" s="326"/>
      <c r="BA1090" s="326"/>
      <c r="BB1090" s="327"/>
    </row>
    <row r="1091" spans="1:54" ht="15.75" customHeight="1" x14ac:dyDescent="0.25">
      <c r="A1091" s="11">
        <f t="shared" si="4"/>
        <v>1078</v>
      </c>
      <c r="B1091" s="504" t="str">
        <f>'refer admin discharge'!B1087</f>
        <v>x</v>
      </c>
      <c r="C1091" s="327"/>
      <c r="D1091" s="505" t="str">
        <f>'refer admin discharge'!D1087</f>
        <v>xx</v>
      </c>
      <c r="E1091" s="327"/>
      <c r="F1091" s="606" t="str">
        <f>'refer admin discharge'!H1087</f>
        <v>00/00/0000</v>
      </c>
      <c r="G1091" s="327"/>
      <c r="H1091" s="594"/>
      <c r="I1091" s="327"/>
      <c r="J1091" s="605"/>
      <c r="K1091" s="327"/>
      <c r="L1091" s="594"/>
      <c r="M1091" s="327"/>
      <c r="N1091" s="575"/>
      <c r="O1091" s="327"/>
      <c r="P1091" s="594"/>
      <c r="Q1091" s="327"/>
      <c r="R1091" s="575"/>
      <c r="S1091" s="327"/>
      <c r="T1091" s="594"/>
      <c r="U1091" s="327"/>
      <c r="V1091" s="595" t="str">
        <f>'refer admin discharge'!H1092</f>
        <v>00/00/0000</v>
      </c>
      <c r="W1091" s="327"/>
      <c r="X1091" s="577"/>
      <c r="Y1091" s="327"/>
      <c r="Z1091" s="604"/>
      <c r="AA1091" s="327"/>
      <c r="AB1091" s="577"/>
      <c r="AC1091" s="327"/>
      <c r="AD1091" s="576"/>
      <c r="AE1091" s="327"/>
      <c r="AF1091" s="577"/>
      <c r="AG1091" s="327"/>
      <c r="AH1091" s="576"/>
      <c r="AI1091" s="327"/>
      <c r="AJ1091" s="577"/>
      <c r="AK1091" s="327"/>
      <c r="AL1091" s="602"/>
      <c r="AM1091" s="326"/>
      <c r="AN1091" s="326"/>
      <c r="AO1091" s="326"/>
      <c r="AP1091" s="326"/>
      <c r="AQ1091" s="326"/>
      <c r="AR1091" s="326"/>
      <c r="AS1091" s="326"/>
      <c r="AT1091" s="326"/>
      <c r="AU1091" s="326"/>
      <c r="AV1091" s="326"/>
      <c r="AW1091" s="326"/>
      <c r="AX1091" s="326"/>
      <c r="AY1091" s="326"/>
      <c r="AZ1091" s="326"/>
      <c r="BA1091" s="326"/>
      <c r="BB1091" s="327"/>
    </row>
    <row r="1092" spans="1:54" ht="15.75" customHeight="1" x14ac:dyDescent="0.25">
      <c r="A1092" s="11">
        <f t="shared" si="4"/>
        <v>1079</v>
      </c>
      <c r="B1092" s="570" t="str">
        <f>'refer admin discharge'!B1088</f>
        <v>x</v>
      </c>
      <c r="C1092" s="327"/>
      <c r="D1092" s="599" t="str">
        <f>'refer admin discharge'!D1088</f>
        <v>xx</v>
      </c>
      <c r="E1092" s="327"/>
      <c r="F1092" s="600" t="str">
        <f>'refer admin discharge'!H1088</f>
        <v>00/00/0000</v>
      </c>
      <c r="G1092" s="327"/>
      <c r="H1092" s="574"/>
      <c r="I1092" s="327"/>
      <c r="J1092" s="601"/>
      <c r="K1092" s="327"/>
      <c r="L1092" s="574"/>
      <c r="M1092" s="327"/>
      <c r="N1092" s="594"/>
      <c r="O1092" s="327"/>
      <c r="P1092" s="574"/>
      <c r="Q1092" s="327"/>
      <c r="R1092" s="594"/>
      <c r="S1092" s="327"/>
      <c r="T1092" s="574"/>
      <c r="U1092" s="327"/>
      <c r="V1092" s="595" t="str">
        <f>'refer admin discharge'!H1093</f>
        <v>00/00/0000</v>
      </c>
      <c r="W1092" s="327"/>
      <c r="X1092" s="596"/>
      <c r="Y1092" s="327"/>
      <c r="Z1092" s="597"/>
      <c r="AA1092" s="327"/>
      <c r="AB1092" s="596"/>
      <c r="AC1092" s="327"/>
      <c r="AD1092" s="577"/>
      <c r="AE1092" s="327"/>
      <c r="AF1092" s="596"/>
      <c r="AG1092" s="327"/>
      <c r="AH1092" s="577"/>
      <c r="AI1092" s="327"/>
      <c r="AJ1092" s="596"/>
      <c r="AK1092" s="327"/>
      <c r="AL1092" s="598"/>
      <c r="AM1092" s="326"/>
      <c r="AN1092" s="326"/>
      <c r="AO1092" s="326"/>
      <c r="AP1092" s="326"/>
      <c r="AQ1092" s="326"/>
      <c r="AR1092" s="326"/>
      <c r="AS1092" s="326"/>
      <c r="AT1092" s="326"/>
      <c r="AU1092" s="326"/>
      <c r="AV1092" s="326"/>
      <c r="AW1092" s="326"/>
      <c r="AX1092" s="326"/>
      <c r="AY1092" s="326"/>
      <c r="AZ1092" s="326"/>
      <c r="BA1092" s="326"/>
      <c r="BB1092" s="327"/>
    </row>
    <row r="1093" spans="1:54" ht="15.75" customHeight="1" x14ac:dyDescent="0.25">
      <c r="A1093" s="11">
        <f t="shared" si="4"/>
        <v>1080</v>
      </c>
      <c r="B1093" s="504" t="str">
        <f>'refer admin discharge'!B1089</f>
        <v>x</v>
      </c>
      <c r="C1093" s="327"/>
      <c r="D1093" s="505" t="str">
        <f>'refer admin discharge'!D1089</f>
        <v>xx</v>
      </c>
      <c r="E1093" s="327"/>
      <c r="F1093" s="606" t="str">
        <f>'refer admin discharge'!H1089</f>
        <v>00/00/0000</v>
      </c>
      <c r="G1093" s="327"/>
      <c r="H1093" s="594"/>
      <c r="I1093" s="327"/>
      <c r="J1093" s="605"/>
      <c r="K1093" s="327"/>
      <c r="L1093" s="594"/>
      <c r="M1093" s="327"/>
      <c r="N1093" s="575"/>
      <c r="O1093" s="327"/>
      <c r="P1093" s="594"/>
      <c r="Q1093" s="327"/>
      <c r="R1093" s="575"/>
      <c r="S1093" s="327"/>
      <c r="T1093" s="594"/>
      <c r="U1093" s="327"/>
      <c r="V1093" s="595" t="str">
        <f>'refer admin discharge'!H1094</f>
        <v>00/00/0000</v>
      </c>
      <c r="W1093" s="327"/>
      <c r="X1093" s="577"/>
      <c r="Y1093" s="327"/>
      <c r="Z1093" s="604"/>
      <c r="AA1093" s="327"/>
      <c r="AB1093" s="577"/>
      <c r="AC1093" s="327"/>
      <c r="AD1093" s="576"/>
      <c r="AE1093" s="327"/>
      <c r="AF1093" s="577"/>
      <c r="AG1093" s="327"/>
      <c r="AH1093" s="576"/>
      <c r="AI1093" s="327"/>
      <c r="AJ1093" s="577"/>
      <c r="AK1093" s="327"/>
      <c r="AL1093" s="602"/>
      <c r="AM1093" s="326"/>
      <c r="AN1093" s="326"/>
      <c r="AO1093" s="326"/>
      <c r="AP1093" s="326"/>
      <c r="AQ1093" s="326"/>
      <c r="AR1093" s="326"/>
      <c r="AS1093" s="326"/>
      <c r="AT1093" s="326"/>
      <c r="AU1093" s="326"/>
      <c r="AV1093" s="326"/>
      <c r="AW1093" s="326"/>
      <c r="AX1093" s="326"/>
      <c r="AY1093" s="326"/>
      <c r="AZ1093" s="326"/>
      <c r="BA1093" s="326"/>
      <c r="BB1093" s="327"/>
    </row>
    <row r="1094" spans="1:54" ht="15.75" customHeight="1" x14ac:dyDescent="0.25">
      <c r="A1094" s="11">
        <f t="shared" si="4"/>
        <v>1081</v>
      </c>
      <c r="B1094" s="570" t="str">
        <f>'refer admin discharge'!B1090</f>
        <v>x</v>
      </c>
      <c r="C1094" s="327"/>
      <c r="D1094" s="599" t="str">
        <f>'refer admin discharge'!D1090</f>
        <v>xx</v>
      </c>
      <c r="E1094" s="327"/>
      <c r="F1094" s="600" t="str">
        <f>'refer admin discharge'!H1090</f>
        <v>00/00/0000</v>
      </c>
      <c r="G1094" s="327"/>
      <c r="H1094" s="574"/>
      <c r="I1094" s="327"/>
      <c r="J1094" s="601"/>
      <c r="K1094" s="327"/>
      <c r="L1094" s="574"/>
      <c r="M1094" s="327"/>
      <c r="N1094" s="594"/>
      <c r="O1094" s="327"/>
      <c r="P1094" s="574"/>
      <c r="Q1094" s="327"/>
      <c r="R1094" s="594"/>
      <c r="S1094" s="327"/>
      <c r="T1094" s="574"/>
      <c r="U1094" s="327"/>
      <c r="V1094" s="595" t="str">
        <f>'refer admin discharge'!H1095</f>
        <v>00/00/0000</v>
      </c>
      <c r="W1094" s="327"/>
      <c r="X1094" s="596"/>
      <c r="Y1094" s="327"/>
      <c r="Z1094" s="597"/>
      <c r="AA1094" s="327"/>
      <c r="AB1094" s="596"/>
      <c r="AC1094" s="327"/>
      <c r="AD1094" s="577"/>
      <c r="AE1094" s="327"/>
      <c r="AF1094" s="596"/>
      <c r="AG1094" s="327"/>
      <c r="AH1094" s="577"/>
      <c r="AI1094" s="327"/>
      <c r="AJ1094" s="596"/>
      <c r="AK1094" s="327"/>
      <c r="AL1094" s="598"/>
      <c r="AM1094" s="326"/>
      <c r="AN1094" s="326"/>
      <c r="AO1094" s="326"/>
      <c r="AP1094" s="326"/>
      <c r="AQ1094" s="326"/>
      <c r="AR1094" s="326"/>
      <c r="AS1094" s="326"/>
      <c r="AT1094" s="326"/>
      <c r="AU1094" s="326"/>
      <c r="AV1094" s="326"/>
      <c r="AW1094" s="326"/>
      <c r="AX1094" s="326"/>
      <c r="AY1094" s="326"/>
      <c r="AZ1094" s="326"/>
      <c r="BA1094" s="326"/>
      <c r="BB1094" s="327"/>
    </row>
    <row r="1095" spans="1:54" ht="15.75" customHeight="1" x14ac:dyDescent="0.25">
      <c r="A1095" s="11">
        <f t="shared" si="4"/>
        <v>1082</v>
      </c>
      <c r="B1095" s="504" t="str">
        <f>'refer admin discharge'!B1091</f>
        <v>x</v>
      </c>
      <c r="C1095" s="327"/>
      <c r="D1095" s="505" t="str">
        <f>'refer admin discharge'!D1091</f>
        <v>xx</v>
      </c>
      <c r="E1095" s="327"/>
      <c r="F1095" s="606" t="str">
        <f>'refer admin discharge'!H1091</f>
        <v>00/00/0000</v>
      </c>
      <c r="G1095" s="327"/>
      <c r="H1095" s="594"/>
      <c r="I1095" s="327"/>
      <c r="J1095" s="605"/>
      <c r="K1095" s="327"/>
      <c r="L1095" s="594"/>
      <c r="M1095" s="327"/>
      <c r="N1095" s="575"/>
      <c r="O1095" s="327"/>
      <c r="P1095" s="594"/>
      <c r="Q1095" s="327"/>
      <c r="R1095" s="575"/>
      <c r="S1095" s="327"/>
      <c r="T1095" s="594"/>
      <c r="U1095" s="327"/>
      <c r="V1095" s="595" t="str">
        <f>'refer admin discharge'!H1096</f>
        <v>00/00/0000</v>
      </c>
      <c r="W1095" s="327"/>
      <c r="X1095" s="577"/>
      <c r="Y1095" s="327"/>
      <c r="Z1095" s="604"/>
      <c r="AA1095" s="327"/>
      <c r="AB1095" s="577"/>
      <c r="AC1095" s="327"/>
      <c r="AD1095" s="576"/>
      <c r="AE1095" s="327"/>
      <c r="AF1095" s="577"/>
      <c r="AG1095" s="327"/>
      <c r="AH1095" s="576"/>
      <c r="AI1095" s="327"/>
      <c r="AJ1095" s="577"/>
      <c r="AK1095" s="327"/>
      <c r="AL1095" s="602"/>
      <c r="AM1095" s="326"/>
      <c r="AN1095" s="326"/>
      <c r="AO1095" s="326"/>
      <c r="AP1095" s="326"/>
      <c r="AQ1095" s="326"/>
      <c r="AR1095" s="326"/>
      <c r="AS1095" s="326"/>
      <c r="AT1095" s="326"/>
      <c r="AU1095" s="326"/>
      <c r="AV1095" s="326"/>
      <c r="AW1095" s="326"/>
      <c r="AX1095" s="326"/>
      <c r="AY1095" s="326"/>
      <c r="AZ1095" s="326"/>
      <c r="BA1095" s="326"/>
      <c r="BB1095" s="327"/>
    </row>
    <row r="1096" spans="1:54" ht="15.75" customHeight="1" x14ac:dyDescent="0.25">
      <c r="A1096" s="11">
        <f t="shared" si="4"/>
        <v>1083</v>
      </c>
      <c r="B1096" s="570" t="str">
        <f>'refer admin discharge'!B1092</f>
        <v>x</v>
      </c>
      <c r="C1096" s="327"/>
      <c r="D1096" s="599" t="str">
        <f>'refer admin discharge'!D1092</f>
        <v>xx</v>
      </c>
      <c r="E1096" s="327"/>
      <c r="F1096" s="600" t="str">
        <f>'refer admin discharge'!H1092</f>
        <v>00/00/0000</v>
      </c>
      <c r="G1096" s="327"/>
      <c r="H1096" s="574"/>
      <c r="I1096" s="327"/>
      <c r="J1096" s="601"/>
      <c r="K1096" s="327"/>
      <c r="L1096" s="574"/>
      <c r="M1096" s="327"/>
      <c r="N1096" s="594"/>
      <c r="O1096" s="327"/>
      <c r="P1096" s="574"/>
      <c r="Q1096" s="327"/>
      <c r="R1096" s="594"/>
      <c r="S1096" s="327"/>
      <c r="T1096" s="574"/>
      <c r="U1096" s="327"/>
      <c r="V1096" s="595" t="str">
        <f>'refer admin discharge'!H1097</f>
        <v>00/00/0000</v>
      </c>
      <c r="W1096" s="327"/>
      <c r="X1096" s="596"/>
      <c r="Y1096" s="327"/>
      <c r="Z1096" s="597"/>
      <c r="AA1096" s="327"/>
      <c r="AB1096" s="596"/>
      <c r="AC1096" s="327"/>
      <c r="AD1096" s="577"/>
      <c r="AE1096" s="327"/>
      <c r="AF1096" s="596"/>
      <c r="AG1096" s="327"/>
      <c r="AH1096" s="577"/>
      <c r="AI1096" s="327"/>
      <c r="AJ1096" s="596"/>
      <c r="AK1096" s="327"/>
      <c r="AL1096" s="598"/>
      <c r="AM1096" s="326"/>
      <c r="AN1096" s="326"/>
      <c r="AO1096" s="326"/>
      <c r="AP1096" s="326"/>
      <c r="AQ1096" s="326"/>
      <c r="AR1096" s="326"/>
      <c r="AS1096" s="326"/>
      <c r="AT1096" s="326"/>
      <c r="AU1096" s="326"/>
      <c r="AV1096" s="326"/>
      <c r="AW1096" s="326"/>
      <c r="AX1096" s="326"/>
      <c r="AY1096" s="326"/>
      <c r="AZ1096" s="326"/>
      <c r="BA1096" s="326"/>
      <c r="BB1096" s="327"/>
    </row>
    <row r="1097" spans="1:54" ht="15.75" customHeight="1" x14ac:dyDescent="0.25">
      <c r="A1097" s="11">
        <f t="shared" si="4"/>
        <v>1084</v>
      </c>
      <c r="B1097" s="504" t="str">
        <f>'refer admin discharge'!B1093</f>
        <v>x</v>
      </c>
      <c r="C1097" s="327"/>
      <c r="D1097" s="505" t="str">
        <f>'refer admin discharge'!D1093</f>
        <v>xx</v>
      </c>
      <c r="E1097" s="327"/>
      <c r="F1097" s="606" t="str">
        <f>'refer admin discharge'!H1093</f>
        <v>00/00/0000</v>
      </c>
      <c r="G1097" s="327"/>
      <c r="H1097" s="594"/>
      <c r="I1097" s="327"/>
      <c r="J1097" s="605"/>
      <c r="K1097" s="327"/>
      <c r="L1097" s="594"/>
      <c r="M1097" s="327"/>
      <c r="N1097" s="575"/>
      <c r="O1097" s="327"/>
      <c r="P1097" s="594"/>
      <c r="Q1097" s="327"/>
      <c r="R1097" s="575"/>
      <c r="S1097" s="327"/>
      <c r="T1097" s="594"/>
      <c r="U1097" s="327"/>
      <c r="V1097" s="595" t="str">
        <f>'refer admin discharge'!H1098</f>
        <v>00/00/0000</v>
      </c>
      <c r="W1097" s="327"/>
      <c r="X1097" s="577"/>
      <c r="Y1097" s="327"/>
      <c r="Z1097" s="604"/>
      <c r="AA1097" s="327"/>
      <c r="AB1097" s="577"/>
      <c r="AC1097" s="327"/>
      <c r="AD1097" s="576"/>
      <c r="AE1097" s="327"/>
      <c r="AF1097" s="577"/>
      <c r="AG1097" s="327"/>
      <c r="AH1097" s="576"/>
      <c r="AI1097" s="327"/>
      <c r="AJ1097" s="577"/>
      <c r="AK1097" s="327"/>
      <c r="AL1097" s="602"/>
      <c r="AM1097" s="326"/>
      <c r="AN1097" s="326"/>
      <c r="AO1097" s="326"/>
      <c r="AP1097" s="326"/>
      <c r="AQ1097" s="326"/>
      <c r="AR1097" s="326"/>
      <c r="AS1097" s="326"/>
      <c r="AT1097" s="326"/>
      <c r="AU1097" s="326"/>
      <c r="AV1097" s="326"/>
      <c r="AW1097" s="326"/>
      <c r="AX1097" s="326"/>
      <c r="AY1097" s="326"/>
      <c r="AZ1097" s="326"/>
      <c r="BA1097" s="326"/>
      <c r="BB1097" s="327"/>
    </row>
    <row r="1098" spans="1:54" ht="15.75" customHeight="1" x14ac:dyDescent="0.25">
      <c r="A1098" s="11">
        <f t="shared" si="4"/>
        <v>1085</v>
      </c>
      <c r="B1098" s="570" t="str">
        <f>'refer admin discharge'!B1094</f>
        <v>x</v>
      </c>
      <c r="C1098" s="327"/>
      <c r="D1098" s="599" t="str">
        <f>'refer admin discharge'!D1094</f>
        <v>xx</v>
      </c>
      <c r="E1098" s="327"/>
      <c r="F1098" s="600" t="str">
        <f>'refer admin discharge'!H1094</f>
        <v>00/00/0000</v>
      </c>
      <c r="G1098" s="327"/>
      <c r="H1098" s="574"/>
      <c r="I1098" s="327"/>
      <c r="J1098" s="601"/>
      <c r="K1098" s="327"/>
      <c r="L1098" s="574"/>
      <c r="M1098" s="327"/>
      <c r="N1098" s="594"/>
      <c r="O1098" s="327"/>
      <c r="P1098" s="574"/>
      <c r="Q1098" s="327"/>
      <c r="R1098" s="594"/>
      <c r="S1098" s="327"/>
      <c r="T1098" s="574"/>
      <c r="U1098" s="327"/>
      <c r="V1098" s="595" t="str">
        <f>'refer admin discharge'!H1099</f>
        <v>00/00/0000</v>
      </c>
      <c r="W1098" s="327"/>
      <c r="X1098" s="596"/>
      <c r="Y1098" s="327"/>
      <c r="Z1098" s="597"/>
      <c r="AA1098" s="327"/>
      <c r="AB1098" s="596"/>
      <c r="AC1098" s="327"/>
      <c r="AD1098" s="577"/>
      <c r="AE1098" s="327"/>
      <c r="AF1098" s="596"/>
      <c r="AG1098" s="327"/>
      <c r="AH1098" s="577"/>
      <c r="AI1098" s="327"/>
      <c r="AJ1098" s="596"/>
      <c r="AK1098" s="327"/>
      <c r="AL1098" s="598"/>
      <c r="AM1098" s="326"/>
      <c r="AN1098" s="326"/>
      <c r="AO1098" s="326"/>
      <c r="AP1098" s="326"/>
      <c r="AQ1098" s="326"/>
      <c r="AR1098" s="326"/>
      <c r="AS1098" s="326"/>
      <c r="AT1098" s="326"/>
      <c r="AU1098" s="326"/>
      <c r="AV1098" s="326"/>
      <c r="AW1098" s="326"/>
      <c r="AX1098" s="326"/>
      <c r="AY1098" s="326"/>
      <c r="AZ1098" s="326"/>
      <c r="BA1098" s="326"/>
      <c r="BB1098" s="327"/>
    </row>
    <row r="1099" spans="1:54" ht="15.75" customHeight="1" x14ac:dyDescent="0.25">
      <c r="A1099" s="11">
        <f t="shared" si="4"/>
        <v>1086</v>
      </c>
      <c r="B1099" s="504" t="str">
        <f>'refer admin discharge'!B1095</f>
        <v>x</v>
      </c>
      <c r="C1099" s="327"/>
      <c r="D1099" s="505" t="str">
        <f>'refer admin discharge'!D1095</f>
        <v>xx</v>
      </c>
      <c r="E1099" s="327"/>
      <c r="F1099" s="606" t="str">
        <f>'refer admin discharge'!H1095</f>
        <v>00/00/0000</v>
      </c>
      <c r="G1099" s="327"/>
      <c r="H1099" s="594"/>
      <c r="I1099" s="327"/>
      <c r="J1099" s="605"/>
      <c r="K1099" s="327"/>
      <c r="L1099" s="594"/>
      <c r="M1099" s="327"/>
      <c r="N1099" s="575"/>
      <c r="O1099" s="327"/>
      <c r="P1099" s="594"/>
      <c r="Q1099" s="327"/>
      <c r="R1099" s="575"/>
      <c r="S1099" s="327"/>
      <c r="T1099" s="594"/>
      <c r="U1099" s="327"/>
      <c r="V1099" s="595" t="str">
        <f>'refer admin discharge'!H1100</f>
        <v>00/00/0000</v>
      </c>
      <c r="W1099" s="327"/>
      <c r="X1099" s="577"/>
      <c r="Y1099" s="327"/>
      <c r="Z1099" s="604"/>
      <c r="AA1099" s="327"/>
      <c r="AB1099" s="577"/>
      <c r="AC1099" s="327"/>
      <c r="AD1099" s="576"/>
      <c r="AE1099" s="327"/>
      <c r="AF1099" s="577"/>
      <c r="AG1099" s="327"/>
      <c r="AH1099" s="576"/>
      <c r="AI1099" s="327"/>
      <c r="AJ1099" s="577"/>
      <c r="AK1099" s="327"/>
      <c r="AL1099" s="602"/>
      <c r="AM1099" s="326"/>
      <c r="AN1099" s="326"/>
      <c r="AO1099" s="326"/>
      <c r="AP1099" s="326"/>
      <c r="AQ1099" s="326"/>
      <c r="AR1099" s="326"/>
      <c r="AS1099" s="326"/>
      <c r="AT1099" s="326"/>
      <c r="AU1099" s="326"/>
      <c r="AV1099" s="326"/>
      <c r="AW1099" s="326"/>
      <c r="AX1099" s="326"/>
      <c r="AY1099" s="326"/>
      <c r="AZ1099" s="326"/>
      <c r="BA1099" s="326"/>
      <c r="BB1099" s="327"/>
    </row>
    <row r="1100" spans="1:54" ht="15.75" customHeight="1" x14ac:dyDescent="0.25">
      <c r="A1100" s="11">
        <f t="shared" si="4"/>
        <v>1087</v>
      </c>
      <c r="B1100" s="570" t="str">
        <f>'refer admin discharge'!B1096</f>
        <v>x</v>
      </c>
      <c r="C1100" s="327"/>
      <c r="D1100" s="599" t="str">
        <f>'refer admin discharge'!D1096</f>
        <v>xx</v>
      </c>
      <c r="E1100" s="327"/>
      <c r="F1100" s="600" t="str">
        <f>'refer admin discharge'!H1096</f>
        <v>00/00/0000</v>
      </c>
      <c r="G1100" s="327"/>
      <c r="H1100" s="574"/>
      <c r="I1100" s="327"/>
      <c r="J1100" s="601"/>
      <c r="K1100" s="327"/>
      <c r="L1100" s="574"/>
      <c r="M1100" s="327"/>
      <c r="N1100" s="594"/>
      <c r="O1100" s="327"/>
      <c r="P1100" s="574"/>
      <c r="Q1100" s="327"/>
      <c r="R1100" s="594"/>
      <c r="S1100" s="327"/>
      <c r="T1100" s="574"/>
      <c r="U1100" s="327"/>
      <c r="V1100" s="595" t="str">
        <f>'refer admin discharge'!H1101</f>
        <v>00/00/0000</v>
      </c>
      <c r="W1100" s="327"/>
      <c r="X1100" s="596"/>
      <c r="Y1100" s="327"/>
      <c r="Z1100" s="597"/>
      <c r="AA1100" s="327"/>
      <c r="AB1100" s="596"/>
      <c r="AC1100" s="327"/>
      <c r="AD1100" s="577"/>
      <c r="AE1100" s="327"/>
      <c r="AF1100" s="596"/>
      <c r="AG1100" s="327"/>
      <c r="AH1100" s="577"/>
      <c r="AI1100" s="327"/>
      <c r="AJ1100" s="596"/>
      <c r="AK1100" s="327"/>
      <c r="AL1100" s="598"/>
      <c r="AM1100" s="326"/>
      <c r="AN1100" s="326"/>
      <c r="AO1100" s="326"/>
      <c r="AP1100" s="326"/>
      <c r="AQ1100" s="326"/>
      <c r="AR1100" s="326"/>
      <c r="AS1100" s="326"/>
      <c r="AT1100" s="326"/>
      <c r="AU1100" s="326"/>
      <c r="AV1100" s="326"/>
      <c r="AW1100" s="326"/>
      <c r="AX1100" s="326"/>
      <c r="AY1100" s="326"/>
      <c r="AZ1100" s="326"/>
      <c r="BA1100" s="326"/>
      <c r="BB1100" s="327"/>
    </row>
    <row r="1101" spans="1:54" ht="15.75" customHeight="1" x14ac:dyDescent="0.25">
      <c r="A1101" s="11">
        <f t="shared" si="4"/>
        <v>1088</v>
      </c>
      <c r="B1101" s="504" t="str">
        <f>'refer admin discharge'!B1097</f>
        <v>x</v>
      </c>
      <c r="C1101" s="327"/>
      <c r="D1101" s="505" t="str">
        <f>'refer admin discharge'!D1097</f>
        <v>xx</v>
      </c>
      <c r="E1101" s="327"/>
      <c r="F1101" s="606" t="str">
        <f>'refer admin discharge'!H1097</f>
        <v>00/00/0000</v>
      </c>
      <c r="G1101" s="327"/>
      <c r="H1101" s="594"/>
      <c r="I1101" s="327"/>
      <c r="J1101" s="605"/>
      <c r="K1101" s="327"/>
      <c r="L1101" s="594"/>
      <c r="M1101" s="327"/>
      <c r="N1101" s="575"/>
      <c r="O1101" s="327"/>
      <c r="P1101" s="594"/>
      <c r="Q1101" s="327"/>
      <c r="R1101" s="575"/>
      <c r="S1101" s="327"/>
      <c r="T1101" s="594"/>
      <c r="U1101" s="327"/>
      <c r="V1101" s="595" t="str">
        <f>'refer admin discharge'!H1102</f>
        <v>00/00/0000</v>
      </c>
      <c r="W1101" s="327"/>
      <c r="X1101" s="577"/>
      <c r="Y1101" s="327"/>
      <c r="Z1101" s="604"/>
      <c r="AA1101" s="327"/>
      <c r="AB1101" s="577"/>
      <c r="AC1101" s="327"/>
      <c r="AD1101" s="576"/>
      <c r="AE1101" s="327"/>
      <c r="AF1101" s="577"/>
      <c r="AG1101" s="327"/>
      <c r="AH1101" s="576"/>
      <c r="AI1101" s="327"/>
      <c r="AJ1101" s="577"/>
      <c r="AK1101" s="327"/>
      <c r="AL1101" s="602"/>
      <c r="AM1101" s="326"/>
      <c r="AN1101" s="326"/>
      <c r="AO1101" s="326"/>
      <c r="AP1101" s="326"/>
      <c r="AQ1101" s="326"/>
      <c r="AR1101" s="326"/>
      <c r="AS1101" s="326"/>
      <c r="AT1101" s="326"/>
      <c r="AU1101" s="326"/>
      <c r="AV1101" s="326"/>
      <c r="AW1101" s="326"/>
      <c r="AX1101" s="326"/>
      <c r="AY1101" s="326"/>
      <c r="AZ1101" s="326"/>
      <c r="BA1101" s="326"/>
      <c r="BB1101" s="327"/>
    </row>
    <row r="1102" spans="1:54" ht="15.75" customHeight="1" x14ac:dyDescent="0.25">
      <c r="A1102" s="11">
        <f t="shared" si="4"/>
        <v>1089</v>
      </c>
      <c r="B1102" s="570" t="str">
        <f>'refer admin discharge'!B1098</f>
        <v>x</v>
      </c>
      <c r="C1102" s="327"/>
      <c r="D1102" s="599" t="str">
        <f>'refer admin discharge'!D1098</f>
        <v>xx</v>
      </c>
      <c r="E1102" s="327"/>
      <c r="F1102" s="600" t="str">
        <f>'refer admin discharge'!H1098</f>
        <v>00/00/0000</v>
      </c>
      <c r="G1102" s="327"/>
      <c r="H1102" s="574"/>
      <c r="I1102" s="327"/>
      <c r="J1102" s="601"/>
      <c r="K1102" s="327"/>
      <c r="L1102" s="574"/>
      <c r="M1102" s="327"/>
      <c r="N1102" s="594"/>
      <c r="O1102" s="327"/>
      <c r="P1102" s="574"/>
      <c r="Q1102" s="327"/>
      <c r="R1102" s="594"/>
      <c r="S1102" s="327"/>
      <c r="T1102" s="574"/>
      <c r="U1102" s="327"/>
      <c r="V1102" s="595" t="str">
        <f>'refer admin discharge'!H1103</f>
        <v>00/00/0000</v>
      </c>
      <c r="W1102" s="327"/>
      <c r="X1102" s="596"/>
      <c r="Y1102" s="327"/>
      <c r="Z1102" s="597"/>
      <c r="AA1102" s="327"/>
      <c r="AB1102" s="596"/>
      <c r="AC1102" s="327"/>
      <c r="AD1102" s="577"/>
      <c r="AE1102" s="327"/>
      <c r="AF1102" s="596"/>
      <c r="AG1102" s="327"/>
      <c r="AH1102" s="577"/>
      <c r="AI1102" s="327"/>
      <c r="AJ1102" s="596"/>
      <c r="AK1102" s="327"/>
      <c r="AL1102" s="598"/>
      <c r="AM1102" s="326"/>
      <c r="AN1102" s="326"/>
      <c r="AO1102" s="326"/>
      <c r="AP1102" s="326"/>
      <c r="AQ1102" s="326"/>
      <c r="AR1102" s="326"/>
      <c r="AS1102" s="326"/>
      <c r="AT1102" s="326"/>
      <c r="AU1102" s="326"/>
      <c r="AV1102" s="326"/>
      <c r="AW1102" s="326"/>
      <c r="AX1102" s="326"/>
      <c r="AY1102" s="326"/>
      <c r="AZ1102" s="326"/>
      <c r="BA1102" s="326"/>
      <c r="BB1102" s="327"/>
    </row>
    <row r="1103" spans="1:54" ht="15.75" customHeight="1" x14ac:dyDescent="0.25">
      <c r="A1103" s="11">
        <f t="shared" si="4"/>
        <v>1090</v>
      </c>
      <c r="B1103" s="504" t="str">
        <f>'refer admin discharge'!B1099</f>
        <v>x</v>
      </c>
      <c r="C1103" s="327"/>
      <c r="D1103" s="505" t="str">
        <f>'refer admin discharge'!D1099</f>
        <v>xx</v>
      </c>
      <c r="E1103" s="327"/>
      <c r="F1103" s="606" t="str">
        <f>'refer admin discharge'!H1099</f>
        <v>00/00/0000</v>
      </c>
      <c r="G1103" s="327"/>
      <c r="H1103" s="594"/>
      <c r="I1103" s="327"/>
      <c r="J1103" s="605"/>
      <c r="K1103" s="327"/>
      <c r="L1103" s="594"/>
      <c r="M1103" s="327"/>
      <c r="N1103" s="575"/>
      <c r="O1103" s="327"/>
      <c r="P1103" s="594"/>
      <c r="Q1103" s="327"/>
      <c r="R1103" s="575"/>
      <c r="S1103" s="327"/>
      <c r="T1103" s="594"/>
      <c r="U1103" s="327"/>
      <c r="V1103" s="595" t="str">
        <f>'refer admin discharge'!H1104</f>
        <v>00/00/0000</v>
      </c>
      <c r="W1103" s="327"/>
      <c r="X1103" s="577"/>
      <c r="Y1103" s="327"/>
      <c r="Z1103" s="604"/>
      <c r="AA1103" s="327"/>
      <c r="AB1103" s="577"/>
      <c r="AC1103" s="327"/>
      <c r="AD1103" s="576"/>
      <c r="AE1103" s="327"/>
      <c r="AF1103" s="577"/>
      <c r="AG1103" s="327"/>
      <c r="AH1103" s="576"/>
      <c r="AI1103" s="327"/>
      <c r="AJ1103" s="577"/>
      <c r="AK1103" s="327"/>
      <c r="AL1103" s="602"/>
      <c r="AM1103" s="326"/>
      <c r="AN1103" s="326"/>
      <c r="AO1103" s="326"/>
      <c r="AP1103" s="326"/>
      <c r="AQ1103" s="326"/>
      <c r="AR1103" s="326"/>
      <c r="AS1103" s="326"/>
      <c r="AT1103" s="326"/>
      <c r="AU1103" s="326"/>
      <c r="AV1103" s="326"/>
      <c r="AW1103" s="326"/>
      <c r="AX1103" s="326"/>
      <c r="AY1103" s="326"/>
      <c r="AZ1103" s="326"/>
      <c r="BA1103" s="326"/>
      <c r="BB1103" s="327"/>
    </row>
    <row r="1104" spans="1:54" ht="15.75" customHeight="1" x14ac:dyDescent="0.25">
      <c r="A1104" s="11">
        <f t="shared" si="4"/>
        <v>1091</v>
      </c>
      <c r="B1104" s="570" t="str">
        <f>'refer admin discharge'!B1100</f>
        <v>x</v>
      </c>
      <c r="C1104" s="327"/>
      <c r="D1104" s="599" t="str">
        <f>'refer admin discharge'!D1100</f>
        <v>xx</v>
      </c>
      <c r="E1104" s="327"/>
      <c r="F1104" s="600" t="str">
        <f>'refer admin discharge'!H1100</f>
        <v>00/00/0000</v>
      </c>
      <c r="G1104" s="327"/>
      <c r="H1104" s="574"/>
      <c r="I1104" s="327"/>
      <c r="J1104" s="601"/>
      <c r="K1104" s="327"/>
      <c r="L1104" s="574"/>
      <c r="M1104" s="327"/>
      <c r="N1104" s="594"/>
      <c r="O1104" s="327"/>
      <c r="P1104" s="574"/>
      <c r="Q1104" s="327"/>
      <c r="R1104" s="594"/>
      <c r="S1104" s="327"/>
      <c r="T1104" s="574"/>
      <c r="U1104" s="327"/>
      <c r="V1104" s="595" t="str">
        <f>'refer admin discharge'!H1105</f>
        <v>00/00/0000</v>
      </c>
      <c r="W1104" s="327"/>
      <c r="X1104" s="596"/>
      <c r="Y1104" s="327"/>
      <c r="Z1104" s="597"/>
      <c r="AA1104" s="327"/>
      <c r="AB1104" s="596"/>
      <c r="AC1104" s="327"/>
      <c r="AD1104" s="577"/>
      <c r="AE1104" s="327"/>
      <c r="AF1104" s="596"/>
      <c r="AG1104" s="327"/>
      <c r="AH1104" s="577"/>
      <c r="AI1104" s="327"/>
      <c r="AJ1104" s="596"/>
      <c r="AK1104" s="327"/>
      <c r="AL1104" s="598"/>
      <c r="AM1104" s="326"/>
      <c r="AN1104" s="326"/>
      <c r="AO1104" s="326"/>
      <c r="AP1104" s="326"/>
      <c r="AQ1104" s="326"/>
      <c r="AR1104" s="326"/>
      <c r="AS1104" s="326"/>
      <c r="AT1104" s="326"/>
      <c r="AU1104" s="326"/>
      <c r="AV1104" s="326"/>
      <c r="AW1104" s="326"/>
      <c r="AX1104" s="326"/>
      <c r="AY1104" s="326"/>
      <c r="AZ1104" s="326"/>
      <c r="BA1104" s="326"/>
      <c r="BB1104" s="327"/>
    </row>
    <row r="1105" spans="1:54" ht="15.75" customHeight="1" x14ac:dyDescent="0.25">
      <c r="A1105" s="11">
        <f t="shared" si="4"/>
        <v>1092</v>
      </c>
      <c r="B1105" s="504" t="str">
        <f>'refer admin discharge'!B1101</f>
        <v>x</v>
      </c>
      <c r="C1105" s="327"/>
      <c r="D1105" s="505" t="str">
        <f>'refer admin discharge'!D1101</f>
        <v>xx</v>
      </c>
      <c r="E1105" s="327"/>
      <c r="F1105" s="606" t="str">
        <f>'refer admin discharge'!H1101</f>
        <v>00/00/0000</v>
      </c>
      <c r="G1105" s="327"/>
      <c r="H1105" s="594"/>
      <c r="I1105" s="327"/>
      <c r="J1105" s="605"/>
      <c r="K1105" s="327"/>
      <c r="L1105" s="594"/>
      <c r="M1105" s="327"/>
      <c r="N1105" s="575"/>
      <c r="O1105" s="327"/>
      <c r="P1105" s="594"/>
      <c r="Q1105" s="327"/>
      <c r="R1105" s="575"/>
      <c r="S1105" s="327"/>
      <c r="T1105" s="594"/>
      <c r="U1105" s="327"/>
      <c r="V1105" s="595" t="str">
        <f>'refer admin discharge'!H1106</f>
        <v>00/00/0000</v>
      </c>
      <c r="W1105" s="327"/>
      <c r="X1105" s="577"/>
      <c r="Y1105" s="327"/>
      <c r="Z1105" s="604"/>
      <c r="AA1105" s="327"/>
      <c r="AB1105" s="577"/>
      <c r="AC1105" s="327"/>
      <c r="AD1105" s="576"/>
      <c r="AE1105" s="327"/>
      <c r="AF1105" s="577"/>
      <c r="AG1105" s="327"/>
      <c r="AH1105" s="576"/>
      <c r="AI1105" s="327"/>
      <c r="AJ1105" s="577"/>
      <c r="AK1105" s="327"/>
      <c r="AL1105" s="602"/>
      <c r="AM1105" s="326"/>
      <c r="AN1105" s="326"/>
      <c r="AO1105" s="326"/>
      <c r="AP1105" s="326"/>
      <c r="AQ1105" s="326"/>
      <c r="AR1105" s="326"/>
      <c r="AS1105" s="326"/>
      <c r="AT1105" s="326"/>
      <c r="AU1105" s="326"/>
      <c r="AV1105" s="326"/>
      <c r="AW1105" s="326"/>
      <c r="AX1105" s="326"/>
      <c r="AY1105" s="326"/>
      <c r="AZ1105" s="326"/>
      <c r="BA1105" s="326"/>
      <c r="BB1105" s="327"/>
    </row>
    <row r="1106" spans="1:54" ht="15.75" customHeight="1" x14ac:dyDescent="0.25">
      <c r="A1106" s="11">
        <f t="shared" si="4"/>
        <v>1093</v>
      </c>
      <c r="B1106" s="570" t="str">
        <f>'refer admin discharge'!B1102</f>
        <v>x</v>
      </c>
      <c r="C1106" s="327"/>
      <c r="D1106" s="599" t="str">
        <f>'refer admin discharge'!D1102</f>
        <v>xx</v>
      </c>
      <c r="E1106" s="327"/>
      <c r="F1106" s="600" t="str">
        <f>'refer admin discharge'!H1102</f>
        <v>00/00/0000</v>
      </c>
      <c r="G1106" s="327"/>
      <c r="H1106" s="574"/>
      <c r="I1106" s="327"/>
      <c r="J1106" s="601"/>
      <c r="K1106" s="327"/>
      <c r="L1106" s="574"/>
      <c r="M1106" s="327"/>
      <c r="N1106" s="594"/>
      <c r="O1106" s="327"/>
      <c r="P1106" s="574"/>
      <c r="Q1106" s="327"/>
      <c r="R1106" s="594"/>
      <c r="S1106" s="327"/>
      <c r="T1106" s="574"/>
      <c r="U1106" s="327"/>
      <c r="V1106" s="595" t="str">
        <f>'refer admin discharge'!H1107</f>
        <v>00/00/0000</v>
      </c>
      <c r="W1106" s="327"/>
      <c r="X1106" s="596"/>
      <c r="Y1106" s="327"/>
      <c r="Z1106" s="597"/>
      <c r="AA1106" s="327"/>
      <c r="AB1106" s="596"/>
      <c r="AC1106" s="327"/>
      <c r="AD1106" s="577"/>
      <c r="AE1106" s="327"/>
      <c r="AF1106" s="596"/>
      <c r="AG1106" s="327"/>
      <c r="AH1106" s="577"/>
      <c r="AI1106" s="327"/>
      <c r="AJ1106" s="596"/>
      <c r="AK1106" s="327"/>
      <c r="AL1106" s="598"/>
      <c r="AM1106" s="326"/>
      <c r="AN1106" s="326"/>
      <c r="AO1106" s="326"/>
      <c r="AP1106" s="326"/>
      <c r="AQ1106" s="326"/>
      <c r="AR1106" s="326"/>
      <c r="AS1106" s="326"/>
      <c r="AT1106" s="326"/>
      <c r="AU1106" s="326"/>
      <c r="AV1106" s="326"/>
      <c r="AW1106" s="326"/>
      <c r="AX1106" s="326"/>
      <c r="AY1106" s="326"/>
      <c r="AZ1106" s="326"/>
      <c r="BA1106" s="326"/>
      <c r="BB1106" s="327"/>
    </row>
    <row r="1107" spans="1:54" ht="15.75" customHeight="1" x14ac:dyDescent="0.25">
      <c r="A1107" s="11">
        <f t="shared" si="4"/>
        <v>1094</v>
      </c>
      <c r="B1107" s="504" t="str">
        <f>'refer admin discharge'!B1103</f>
        <v>x</v>
      </c>
      <c r="C1107" s="327"/>
      <c r="D1107" s="505" t="str">
        <f>'refer admin discharge'!D1103</f>
        <v>xx</v>
      </c>
      <c r="E1107" s="327"/>
      <c r="F1107" s="606" t="str">
        <f>'refer admin discharge'!H1103</f>
        <v>00/00/0000</v>
      </c>
      <c r="G1107" s="327"/>
      <c r="H1107" s="594"/>
      <c r="I1107" s="327"/>
      <c r="J1107" s="605"/>
      <c r="K1107" s="327"/>
      <c r="L1107" s="594"/>
      <c r="M1107" s="327"/>
      <c r="N1107" s="575"/>
      <c r="O1107" s="327"/>
      <c r="P1107" s="594"/>
      <c r="Q1107" s="327"/>
      <c r="R1107" s="575"/>
      <c r="S1107" s="327"/>
      <c r="T1107" s="594"/>
      <c r="U1107" s="327"/>
      <c r="V1107" s="595" t="str">
        <f>'refer admin discharge'!H1108</f>
        <v>00/00/0000</v>
      </c>
      <c r="W1107" s="327"/>
      <c r="X1107" s="577"/>
      <c r="Y1107" s="327"/>
      <c r="Z1107" s="604"/>
      <c r="AA1107" s="327"/>
      <c r="AB1107" s="577"/>
      <c r="AC1107" s="327"/>
      <c r="AD1107" s="576"/>
      <c r="AE1107" s="327"/>
      <c r="AF1107" s="577"/>
      <c r="AG1107" s="327"/>
      <c r="AH1107" s="576"/>
      <c r="AI1107" s="327"/>
      <c r="AJ1107" s="577"/>
      <c r="AK1107" s="327"/>
      <c r="AL1107" s="602"/>
      <c r="AM1107" s="326"/>
      <c r="AN1107" s="326"/>
      <c r="AO1107" s="326"/>
      <c r="AP1107" s="326"/>
      <c r="AQ1107" s="326"/>
      <c r="AR1107" s="326"/>
      <c r="AS1107" s="326"/>
      <c r="AT1107" s="326"/>
      <c r="AU1107" s="326"/>
      <c r="AV1107" s="326"/>
      <c r="AW1107" s="326"/>
      <c r="AX1107" s="326"/>
      <c r="AY1107" s="326"/>
      <c r="AZ1107" s="326"/>
      <c r="BA1107" s="326"/>
      <c r="BB1107" s="327"/>
    </row>
    <row r="1108" spans="1:54" ht="15.75" customHeight="1" x14ac:dyDescent="0.25">
      <c r="A1108" s="11">
        <f t="shared" si="4"/>
        <v>1095</v>
      </c>
      <c r="B1108" s="570" t="str">
        <f>'refer admin discharge'!B1104</f>
        <v>x</v>
      </c>
      <c r="C1108" s="327"/>
      <c r="D1108" s="599" t="str">
        <f>'refer admin discharge'!D1104</f>
        <v>xx</v>
      </c>
      <c r="E1108" s="327"/>
      <c r="F1108" s="600" t="str">
        <f>'refer admin discharge'!H1104</f>
        <v>00/00/0000</v>
      </c>
      <c r="G1108" s="327"/>
      <c r="H1108" s="574"/>
      <c r="I1108" s="327"/>
      <c r="J1108" s="601"/>
      <c r="K1108" s="327"/>
      <c r="L1108" s="574"/>
      <c r="M1108" s="327"/>
      <c r="N1108" s="594"/>
      <c r="O1108" s="327"/>
      <c r="P1108" s="574"/>
      <c r="Q1108" s="327"/>
      <c r="R1108" s="594"/>
      <c r="S1108" s="327"/>
      <c r="T1108" s="574"/>
      <c r="U1108" s="327"/>
      <c r="V1108" s="595" t="str">
        <f>'refer admin discharge'!H1109</f>
        <v>00/00/0000</v>
      </c>
      <c r="W1108" s="327"/>
      <c r="X1108" s="596"/>
      <c r="Y1108" s="327"/>
      <c r="Z1108" s="597"/>
      <c r="AA1108" s="327"/>
      <c r="AB1108" s="596"/>
      <c r="AC1108" s="327"/>
      <c r="AD1108" s="577"/>
      <c r="AE1108" s="327"/>
      <c r="AF1108" s="596"/>
      <c r="AG1108" s="327"/>
      <c r="AH1108" s="577"/>
      <c r="AI1108" s="327"/>
      <c r="AJ1108" s="596"/>
      <c r="AK1108" s="327"/>
      <c r="AL1108" s="598"/>
      <c r="AM1108" s="326"/>
      <c r="AN1108" s="326"/>
      <c r="AO1108" s="326"/>
      <c r="AP1108" s="326"/>
      <c r="AQ1108" s="326"/>
      <c r="AR1108" s="326"/>
      <c r="AS1108" s="326"/>
      <c r="AT1108" s="326"/>
      <c r="AU1108" s="326"/>
      <c r="AV1108" s="326"/>
      <c r="AW1108" s="326"/>
      <c r="AX1108" s="326"/>
      <c r="AY1108" s="326"/>
      <c r="AZ1108" s="326"/>
      <c r="BA1108" s="326"/>
      <c r="BB1108" s="327"/>
    </row>
    <row r="1109" spans="1:54" ht="15.75" customHeight="1" x14ac:dyDescent="0.25">
      <c r="A1109" s="11">
        <f t="shared" si="4"/>
        <v>1096</v>
      </c>
      <c r="B1109" s="504" t="str">
        <f>'refer admin discharge'!B1105</f>
        <v>x</v>
      </c>
      <c r="C1109" s="327"/>
      <c r="D1109" s="505" t="str">
        <f>'refer admin discharge'!D1105</f>
        <v>xx</v>
      </c>
      <c r="E1109" s="327"/>
      <c r="F1109" s="606" t="str">
        <f>'refer admin discharge'!H1105</f>
        <v>00/00/0000</v>
      </c>
      <c r="G1109" s="327"/>
      <c r="H1109" s="594"/>
      <c r="I1109" s="327"/>
      <c r="J1109" s="605"/>
      <c r="K1109" s="327"/>
      <c r="L1109" s="594"/>
      <c r="M1109" s="327"/>
      <c r="N1109" s="575"/>
      <c r="O1109" s="327"/>
      <c r="P1109" s="594"/>
      <c r="Q1109" s="327"/>
      <c r="R1109" s="575"/>
      <c r="S1109" s="327"/>
      <c r="T1109" s="594"/>
      <c r="U1109" s="327"/>
      <c r="V1109" s="595" t="str">
        <f>'refer admin discharge'!H1110</f>
        <v>00/00/0000</v>
      </c>
      <c r="W1109" s="327"/>
      <c r="X1109" s="577"/>
      <c r="Y1109" s="327"/>
      <c r="Z1109" s="604"/>
      <c r="AA1109" s="327"/>
      <c r="AB1109" s="577"/>
      <c r="AC1109" s="327"/>
      <c r="AD1109" s="576"/>
      <c r="AE1109" s="327"/>
      <c r="AF1109" s="577"/>
      <c r="AG1109" s="327"/>
      <c r="AH1109" s="576"/>
      <c r="AI1109" s="327"/>
      <c r="AJ1109" s="577"/>
      <c r="AK1109" s="327"/>
      <c r="AL1109" s="602"/>
      <c r="AM1109" s="326"/>
      <c r="AN1109" s="326"/>
      <c r="AO1109" s="326"/>
      <c r="AP1109" s="326"/>
      <c r="AQ1109" s="326"/>
      <c r="AR1109" s="326"/>
      <c r="AS1109" s="326"/>
      <c r="AT1109" s="326"/>
      <c r="AU1109" s="326"/>
      <c r="AV1109" s="326"/>
      <c r="AW1109" s="326"/>
      <c r="AX1109" s="326"/>
      <c r="AY1109" s="326"/>
      <c r="AZ1109" s="326"/>
      <c r="BA1109" s="326"/>
      <c r="BB1109" s="327"/>
    </row>
    <row r="1110" spans="1:54" ht="15.75" customHeight="1" x14ac:dyDescent="0.25">
      <c r="A1110" s="11">
        <f t="shared" si="4"/>
        <v>1097</v>
      </c>
      <c r="B1110" s="570" t="str">
        <f>'refer admin discharge'!B1106</f>
        <v>x</v>
      </c>
      <c r="C1110" s="327"/>
      <c r="D1110" s="599" t="str">
        <f>'refer admin discharge'!D1106</f>
        <v>xx</v>
      </c>
      <c r="E1110" s="327"/>
      <c r="F1110" s="600" t="str">
        <f>'refer admin discharge'!H1106</f>
        <v>00/00/0000</v>
      </c>
      <c r="G1110" s="327"/>
      <c r="H1110" s="574"/>
      <c r="I1110" s="327"/>
      <c r="J1110" s="601"/>
      <c r="K1110" s="327"/>
      <c r="L1110" s="574"/>
      <c r="M1110" s="327"/>
      <c r="N1110" s="594"/>
      <c r="O1110" s="327"/>
      <c r="P1110" s="574"/>
      <c r="Q1110" s="327"/>
      <c r="R1110" s="594"/>
      <c r="S1110" s="327"/>
      <c r="T1110" s="574"/>
      <c r="U1110" s="327"/>
      <c r="V1110" s="595" t="str">
        <f>'refer admin discharge'!H1111</f>
        <v>00/00/0000</v>
      </c>
      <c r="W1110" s="327"/>
      <c r="X1110" s="596"/>
      <c r="Y1110" s="327"/>
      <c r="Z1110" s="597"/>
      <c r="AA1110" s="327"/>
      <c r="AB1110" s="596"/>
      <c r="AC1110" s="327"/>
      <c r="AD1110" s="577"/>
      <c r="AE1110" s="327"/>
      <c r="AF1110" s="596"/>
      <c r="AG1110" s="327"/>
      <c r="AH1110" s="577"/>
      <c r="AI1110" s="327"/>
      <c r="AJ1110" s="596"/>
      <c r="AK1110" s="327"/>
      <c r="AL1110" s="598"/>
      <c r="AM1110" s="326"/>
      <c r="AN1110" s="326"/>
      <c r="AO1110" s="326"/>
      <c r="AP1110" s="326"/>
      <c r="AQ1110" s="326"/>
      <c r="AR1110" s="326"/>
      <c r="AS1110" s="326"/>
      <c r="AT1110" s="326"/>
      <c r="AU1110" s="326"/>
      <c r="AV1110" s="326"/>
      <c r="AW1110" s="326"/>
      <c r="AX1110" s="326"/>
      <c r="AY1110" s="326"/>
      <c r="AZ1110" s="326"/>
      <c r="BA1110" s="326"/>
      <c r="BB1110" s="327"/>
    </row>
    <row r="1111" spans="1:54" ht="15.75" customHeight="1" x14ac:dyDescent="0.25">
      <c r="A1111" s="11">
        <f t="shared" si="4"/>
        <v>1098</v>
      </c>
      <c r="B1111" s="504" t="str">
        <f>'refer admin discharge'!B1107</f>
        <v>x</v>
      </c>
      <c r="C1111" s="327"/>
      <c r="D1111" s="505" t="str">
        <f>'refer admin discharge'!D1107</f>
        <v>xx</v>
      </c>
      <c r="E1111" s="327"/>
      <c r="F1111" s="606" t="str">
        <f>'refer admin discharge'!H1107</f>
        <v>00/00/0000</v>
      </c>
      <c r="G1111" s="327"/>
      <c r="H1111" s="594"/>
      <c r="I1111" s="327"/>
      <c r="J1111" s="605"/>
      <c r="K1111" s="327"/>
      <c r="L1111" s="594"/>
      <c r="M1111" s="327"/>
      <c r="N1111" s="575"/>
      <c r="O1111" s="327"/>
      <c r="P1111" s="594"/>
      <c r="Q1111" s="327"/>
      <c r="R1111" s="575"/>
      <c r="S1111" s="327"/>
      <c r="T1111" s="594"/>
      <c r="U1111" s="327"/>
      <c r="V1111" s="595" t="str">
        <f>'refer admin discharge'!H1112</f>
        <v>00/00/0000</v>
      </c>
      <c r="W1111" s="327"/>
      <c r="X1111" s="577"/>
      <c r="Y1111" s="327"/>
      <c r="Z1111" s="604"/>
      <c r="AA1111" s="327"/>
      <c r="AB1111" s="577"/>
      <c r="AC1111" s="327"/>
      <c r="AD1111" s="576"/>
      <c r="AE1111" s="327"/>
      <c r="AF1111" s="577"/>
      <c r="AG1111" s="327"/>
      <c r="AH1111" s="576"/>
      <c r="AI1111" s="327"/>
      <c r="AJ1111" s="577"/>
      <c r="AK1111" s="327"/>
      <c r="AL1111" s="602"/>
      <c r="AM1111" s="326"/>
      <c r="AN1111" s="326"/>
      <c r="AO1111" s="326"/>
      <c r="AP1111" s="326"/>
      <c r="AQ1111" s="326"/>
      <c r="AR1111" s="326"/>
      <c r="AS1111" s="326"/>
      <c r="AT1111" s="326"/>
      <c r="AU1111" s="326"/>
      <c r="AV1111" s="326"/>
      <c r="AW1111" s="326"/>
      <c r="AX1111" s="326"/>
      <c r="AY1111" s="326"/>
      <c r="AZ1111" s="326"/>
      <c r="BA1111" s="326"/>
      <c r="BB1111" s="327"/>
    </row>
    <row r="1112" spans="1:54" ht="15.75" customHeight="1" x14ac:dyDescent="0.25">
      <c r="A1112" s="11">
        <f t="shared" si="4"/>
        <v>1099</v>
      </c>
      <c r="B1112" s="570" t="str">
        <f>'refer admin discharge'!B1108</f>
        <v>x</v>
      </c>
      <c r="C1112" s="327"/>
      <c r="D1112" s="599" t="str">
        <f>'refer admin discharge'!D1108</f>
        <v>xx</v>
      </c>
      <c r="E1112" s="327"/>
      <c r="F1112" s="600" t="str">
        <f>'refer admin discharge'!H1108</f>
        <v>00/00/0000</v>
      </c>
      <c r="G1112" s="327"/>
      <c r="H1112" s="574"/>
      <c r="I1112" s="327"/>
      <c r="J1112" s="601"/>
      <c r="K1112" s="327"/>
      <c r="L1112" s="574"/>
      <c r="M1112" s="327"/>
      <c r="N1112" s="594"/>
      <c r="O1112" s="327"/>
      <c r="P1112" s="574"/>
      <c r="Q1112" s="327"/>
      <c r="R1112" s="594"/>
      <c r="S1112" s="327"/>
      <c r="T1112" s="574"/>
      <c r="U1112" s="327"/>
      <c r="V1112" s="595" t="str">
        <f>'refer admin discharge'!H1113</f>
        <v>00/00/0000</v>
      </c>
      <c r="W1112" s="327"/>
      <c r="X1112" s="596"/>
      <c r="Y1112" s="327"/>
      <c r="Z1112" s="597"/>
      <c r="AA1112" s="327"/>
      <c r="AB1112" s="596"/>
      <c r="AC1112" s="327"/>
      <c r="AD1112" s="577"/>
      <c r="AE1112" s="327"/>
      <c r="AF1112" s="596"/>
      <c r="AG1112" s="327"/>
      <c r="AH1112" s="577"/>
      <c r="AI1112" s="327"/>
      <c r="AJ1112" s="596"/>
      <c r="AK1112" s="327"/>
      <c r="AL1112" s="598"/>
      <c r="AM1112" s="326"/>
      <c r="AN1112" s="326"/>
      <c r="AO1112" s="326"/>
      <c r="AP1112" s="326"/>
      <c r="AQ1112" s="326"/>
      <c r="AR1112" s="326"/>
      <c r="AS1112" s="326"/>
      <c r="AT1112" s="326"/>
      <c r="AU1112" s="326"/>
      <c r="AV1112" s="326"/>
      <c r="AW1112" s="326"/>
      <c r="AX1112" s="326"/>
      <c r="AY1112" s="326"/>
      <c r="AZ1112" s="326"/>
      <c r="BA1112" s="326"/>
      <c r="BB1112" s="327"/>
    </row>
    <row r="1113" spans="1:54" ht="15.75" customHeight="1" x14ac:dyDescent="0.25">
      <c r="A1113" s="11">
        <f t="shared" si="4"/>
        <v>1100</v>
      </c>
      <c r="B1113" s="504" t="str">
        <f>'refer admin discharge'!B1109</f>
        <v>x</v>
      </c>
      <c r="C1113" s="327"/>
      <c r="D1113" s="505" t="str">
        <f>'refer admin discharge'!D1109</f>
        <v>xx</v>
      </c>
      <c r="E1113" s="327"/>
      <c r="F1113" s="606" t="str">
        <f>'refer admin discharge'!H1109</f>
        <v>00/00/0000</v>
      </c>
      <c r="G1113" s="327"/>
      <c r="H1113" s="594"/>
      <c r="I1113" s="327"/>
      <c r="J1113" s="605"/>
      <c r="K1113" s="327"/>
      <c r="L1113" s="594"/>
      <c r="M1113" s="327"/>
      <c r="N1113" s="575"/>
      <c r="O1113" s="327"/>
      <c r="P1113" s="594"/>
      <c r="Q1113" s="327"/>
      <c r="R1113" s="575"/>
      <c r="S1113" s="327"/>
      <c r="T1113" s="594"/>
      <c r="U1113" s="327"/>
      <c r="V1113" s="595" t="str">
        <f>'refer admin discharge'!H1114</f>
        <v>00/00/0000</v>
      </c>
      <c r="W1113" s="327"/>
      <c r="X1113" s="577"/>
      <c r="Y1113" s="327"/>
      <c r="Z1113" s="604"/>
      <c r="AA1113" s="327"/>
      <c r="AB1113" s="577"/>
      <c r="AC1113" s="327"/>
      <c r="AD1113" s="576"/>
      <c r="AE1113" s="327"/>
      <c r="AF1113" s="577"/>
      <c r="AG1113" s="327"/>
      <c r="AH1113" s="576"/>
      <c r="AI1113" s="327"/>
      <c r="AJ1113" s="577"/>
      <c r="AK1113" s="327"/>
      <c r="AL1113" s="602"/>
      <c r="AM1113" s="326"/>
      <c r="AN1113" s="326"/>
      <c r="AO1113" s="326"/>
      <c r="AP1113" s="326"/>
      <c r="AQ1113" s="326"/>
      <c r="AR1113" s="326"/>
      <c r="AS1113" s="326"/>
      <c r="AT1113" s="326"/>
      <c r="AU1113" s="326"/>
      <c r="AV1113" s="326"/>
      <c r="AW1113" s="326"/>
      <c r="AX1113" s="326"/>
      <c r="AY1113" s="326"/>
      <c r="AZ1113" s="326"/>
      <c r="BA1113" s="326"/>
      <c r="BB1113" s="327"/>
    </row>
    <row r="1114" spans="1:54" ht="15.75" customHeight="1" x14ac:dyDescent="0.25">
      <c r="A1114" s="11">
        <f t="shared" si="4"/>
        <v>1101</v>
      </c>
      <c r="B1114" s="570" t="str">
        <f>'refer admin discharge'!B1110</f>
        <v>x</v>
      </c>
      <c r="C1114" s="327"/>
      <c r="D1114" s="599" t="str">
        <f>'refer admin discharge'!D1110</f>
        <v>xx</v>
      </c>
      <c r="E1114" s="327"/>
      <c r="F1114" s="600" t="str">
        <f>'refer admin discharge'!H1110</f>
        <v>00/00/0000</v>
      </c>
      <c r="G1114" s="327"/>
      <c r="H1114" s="574"/>
      <c r="I1114" s="327"/>
      <c r="J1114" s="601"/>
      <c r="K1114" s="327"/>
      <c r="L1114" s="574"/>
      <c r="M1114" s="327"/>
      <c r="N1114" s="594"/>
      <c r="O1114" s="327"/>
      <c r="P1114" s="574"/>
      <c r="Q1114" s="327"/>
      <c r="R1114" s="594"/>
      <c r="S1114" s="327"/>
      <c r="T1114" s="574"/>
      <c r="U1114" s="327"/>
      <c r="V1114" s="595" t="str">
        <f>'refer admin discharge'!H1115</f>
        <v>00/00/0000</v>
      </c>
      <c r="W1114" s="327"/>
      <c r="X1114" s="596"/>
      <c r="Y1114" s="327"/>
      <c r="Z1114" s="597"/>
      <c r="AA1114" s="327"/>
      <c r="AB1114" s="596"/>
      <c r="AC1114" s="327"/>
      <c r="AD1114" s="577"/>
      <c r="AE1114" s="327"/>
      <c r="AF1114" s="596"/>
      <c r="AG1114" s="327"/>
      <c r="AH1114" s="577"/>
      <c r="AI1114" s="327"/>
      <c r="AJ1114" s="596"/>
      <c r="AK1114" s="327"/>
      <c r="AL1114" s="598"/>
      <c r="AM1114" s="326"/>
      <c r="AN1114" s="326"/>
      <c r="AO1114" s="326"/>
      <c r="AP1114" s="326"/>
      <c r="AQ1114" s="326"/>
      <c r="AR1114" s="326"/>
      <c r="AS1114" s="326"/>
      <c r="AT1114" s="326"/>
      <c r="AU1114" s="326"/>
      <c r="AV1114" s="326"/>
      <c r="AW1114" s="326"/>
      <c r="AX1114" s="326"/>
      <c r="AY1114" s="326"/>
      <c r="AZ1114" s="326"/>
      <c r="BA1114" s="326"/>
      <c r="BB1114" s="327"/>
    </row>
    <row r="1115" spans="1:54" ht="15.75" customHeight="1" x14ac:dyDescent="0.25">
      <c r="A1115" s="11">
        <f t="shared" si="4"/>
        <v>1102</v>
      </c>
      <c r="B1115" s="504" t="str">
        <f>'refer admin discharge'!B1111</f>
        <v>x</v>
      </c>
      <c r="C1115" s="327"/>
      <c r="D1115" s="505" t="str">
        <f>'refer admin discharge'!D1111</f>
        <v>xx</v>
      </c>
      <c r="E1115" s="327"/>
      <c r="F1115" s="606" t="str">
        <f>'refer admin discharge'!H1111</f>
        <v>00/00/0000</v>
      </c>
      <c r="G1115" s="327"/>
      <c r="H1115" s="594"/>
      <c r="I1115" s="327"/>
      <c r="J1115" s="605"/>
      <c r="K1115" s="327"/>
      <c r="L1115" s="594"/>
      <c r="M1115" s="327"/>
      <c r="N1115" s="575"/>
      <c r="O1115" s="327"/>
      <c r="P1115" s="594"/>
      <c r="Q1115" s="327"/>
      <c r="R1115" s="575"/>
      <c r="S1115" s="327"/>
      <c r="T1115" s="594"/>
      <c r="U1115" s="327"/>
      <c r="V1115" s="595" t="str">
        <f>'refer admin discharge'!H1116</f>
        <v>00/00/0000</v>
      </c>
      <c r="W1115" s="327"/>
      <c r="X1115" s="577"/>
      <c r="Y1115" s="327"/>
      <c r="Z1115" s="604"/>
      <c r="AA1115" s="327"/>
      <c r="AB1115" s="577"/>
      <c r="AC1115" s="327"/>
      <c r="AD1115" s="576"/>
      <c r="AE1115" s="327"/>
      <c r="AF1115" s="577"/>
      <c r="AG1115" s="327"/>
      <c r="AH1115" s="576"/>
      <c r="AI1115" s="327"/>
      <c r="AJ1115" s="577"/>
      <c r="AK1115" s="327"/>
      <c r="AL1115" s="602"/>
      <c r="AM1115" s="326"/>
      <c r="AN1115" s="326"/>
      <c r="AO1115" s="326"/>
      <c r="AP1115" s="326"/>
      <c r="AQ1115" s="326"/>
      <c r="AR1115" s="326"/>
      <c r="AS1115" s="326"/>
      <c r="AT1115" s="326"/>
      <c r="AU1115" s="326"/>
      <c r="AV1115" s="326"/>
      <c r="AW1115" s="326"/>
      <c r="AX1115" s="326"/>
      <c r="AY1115" s="326"/>
      <c r="AZ1115" s="326"/>
      <c r="BA1115" s="326"/>
      <c r="BB1115" s="327"/>
    </row>
    <row r="1116" spans="1:54" ht="15.75" customHeight="1" x14ac:dyDescent="0.25">
      <c r="A1116" s="11">
        <f t="shared" si="4"/>
        <v>1103</v>
      </c>
      <c r="B1116" s="570" t="str">
        <f>'refer admin discharge'!B1112</f>
        <v>x</v>
      </c>
      <c r="C1116" s="327"/>
      <c r="D1116" s="599" t="str">
        <f>'refer admin discharge'!D1112</f>
        <v>xx</v>
      </c>
      <c r="E1116" s="327"/>
      <c r="F1116" s="600" t="str">
        <f>'refer admin discharge'!H1112</f>
        <v>00/00/0000</v>
      </c>
      <c r="G1116" s="327"/>
      <c r="H1116" s="574"/>
      <c r="I1116" s="327"/>
      <c r="J1116" s="601"/>
      <c r="K1116" s="327"/>
      <c r="L1116" s="574"/>
      <c r="M1116" s="327"/>
      <c r="N1116" s="594"/>
      <c r="O1116" s="327"/>
      <c r="P1116" s="574"/>
      <c r="Q1116" s="327"/>
      <c r="R1116" s="594"/>
      <c r="S1116" s="327"/>
      <c r="T1116" s="574"/>
      <c r="U1116" s="327"/>
      <c r="V1116" s="595" t="str">
        <f>'refer admin discharge'!H1117</f>
        <v>00/00/0000</v>
      </c>
      <c r="W1116" s="327"/>
      <c r="X1116" s="596"/>
      <c r="Y1116" s="327"/>
      <c r="Z1116" s="597"/>
      <c r="AA1116" s="327"/>
      <c r="AB1116" s="596"/>
      <c r="AC1116" s="327"/>
      <c r="AD1116" s="577"/>
      <c r="AE1116" s="327"/>
      <c r="AF1116" s="596"/>
      <c r="AG1116" s="327"/>
      <c r="AH1116" s="577"/>
      <c r="AI1116" s="327"/>
      <c r="AJ1116" s="596"/>
      <c r="AK1116" s="327"/>
      <c r="AL1116" s="598"/>
      <c r="AM1116" s="326"/>
      <c r="AN1116" s="326"/>
      <c r="AO1116" s="326"/>
      <c r="AP1116" s="326"/>
      <c r="AQ1116" s="326"/>
      <c r="AR1116" s="326"/>
      <c r="AS1116" s="326"/>
      <c r="AT1116" s="326"/>
      <c r="AU1116" s="326"/>
      <c r="AV1116" s="326"/>
      <c r="AW1116" s="326"/>
      <c r="AX1116" s="326"/>
      <c r="AY1116" s="326"/>
      <c r="AZ1116" s="326"/>
      <c r="BA1116" s="326"/>
      <c r="BB1116" s="327"/>
    </row>
    <row r="1117" spans="1:54" ht="15.75" customHeight="1" x14ac:dyDescent="0.25">
      <c r="A1117" s="11">
        <f t="shared" si="4"/>
        <v>1104</v>
      </c>
      <c r="B1117" s="504" t="str">
        <f>'refer admin discharge'!B1113</f>
        <v>x</v>
      </c>
      <c r="C1117" s="327"/>
      <c r="D1117" s="505" t="str">
        <f>'refer admin discharge'!D1113</f>
        <v>xx</v>
      </c>
      <c r="E1117" s="327"/>
      <c r="F1117" s="606" t="str">
        <f>'refer admin discharge'!H1113</f>
        <v>00/00/0000</v>
      </c>
      <c r="G1117" s="327"/>
      <c r="H1117" s="594"/>
      <c r="I1117" s="327"/>
      <c r="J1117" s="605"/>
      <c r="K1117" s="327"/>
      <c r="L1117" s="594"/>
      <c r="M1117" s="327"/>
      <c r="N1117" s="575"/>
      <c r="O1117" s="327"/>
      <c r="P1117" s="594"/>
      <c r="Q1117" s="327"/>
      <c r="R1117" s="575"/>
      <c r="S1117" s="327"/>
      <c r="T1117" s="594"/>
      <c r="U1117" s="327"/>
      <c r="V1117" s="595" t="str">
        <f>'refer admin discharge'!H1118</f>
        <v>00/00/0000</v>
      </c>
      <c r="W1117" s="327"/>
      <c r="X1117" s="577"/>
      <c r="Y1117" s="327"/>
      <c r="Z1117" s="604"/>
      <c r="AA1117" s="327"/>
      <c r="AB1117" s="577"/>
      <c r="AC1117" s="327"/>
      <c r="AD1117" s="576"/>
      <c r="AE1117" s="327"/>
      <c r="AF1117" s="577"/>
      <c r="AG1117" s="327"/>
      <c r="AH1117" s="576"/>
      <c r="AI1117" s="327"/>
      <c r="AJ1117" s="577"/>
      <c r="AK1117" s="327"/>
      <c r="AL1117" s="602"/>
      <c r="AM1117" s="326"/>
      <c r="AN1117" s="326"/>
      <c r="AO1117" s="326"/>
      <c r="AP1117" s="326"/>
      <c r="AQ1117" s="326"/>
      <c r="AR1117" s="326"/>
      <c r="AS1117" s="326"/>
      <c r="AT1117" s="326"/>
      <c r="AU1117" s="326"/>
      <c r="AV1117" s="326"/>
      <c r="AW1117" s="326"/>
      <c r="AX1117" s="326"/>
      <c r="AY1117" s="326"/>
      <c r="AZ1117" s="326"/>
      <c r="BA1117" s="326"/>
      <c r="BB1117" s="327"/>
    </row>
    <row r="1118" spans="1:54" ht="15.75" customHeight="1" x14ac:dyDescent="0.25">
      <c r="A1118" s="11">
        <f t="shared" si="4"/>
        <v>1105</v>
      </c>
      <c r="B1118" s="570" t="str">
        <f>'refer admin discharge'!B1114</f>
        <v>x</v>
      </c>
      <c r="C1118" s="327"/>
      <c r="D1118" s="599" t="str">
        <f>'refer admin discharge'!D1114</f>
        <v>xx</v>
      </c>
      <c r="E1118" s="327"/>
      <c r="F1118" s="600" t="str">
        <f>'refer admin discharge'!H1114</f>
        <v>00/00/0000</v>
      </c>
      <c r="G1118" s="327"/>
      <c r="H1118" s="574"/>
      <c r="I1118" s="327"/>
      <c r="J1118" s="601"/>
      <c r="K1118" s="327"/>
      <c r="L1118" s="574"/>
      <c r="M1118" s="327"/>
      <c r="N1118" s="594"/>
      <c r="O1118" s="327"/>
      <c r="P1118" s="574"/>
      <c r="Q1118" s="327"/>
      <c r="R1118" s="594"/>
      <c r="S1118" s="327"/>
      <c r="T1118" s="574"/>
      <c r="U1118" s="327"/>
      <c r="V1118" s="595" t="str">
        <f>'refer admin discharge'!H1119</f>
        <v>00/00/0000</v>
      </c>
      <c r="W1118" s="327"/>
      <c r="X1118" s="596"/>
      <c r="Y1118" s="327"/>
      <c r="Z1118" s="597"/>
      <c r="AA1118" s="327"/>
      <c r="AB1118" s="596"/>
      <c r="AC1118" s="327"/>
      <c r="AD1118" s="577"/>
      <c r="AE1118" s="327"/>
      <c r="AF1118" s="596"/>
      <c r="AG1118" s="327"/>
      <c r="AH1118" s="577"/>
      <c r="AI1118" s="327"/>
      <c r="AJ1118" s="596"/>
      <c r="AK1118" s="327"/>
      <c r="AL1118" s="598"/>
      <c r="AM1118" s="326"/>
      <c r="AN1118" s="326"/>
      <c r="AO1118" s="326"/>
      <c r="AP1118" s="326"/>
      <c r="AQ1118" s="326"/>
      <c r="AR1118" s="326"/>
      <c r="AS1118" s="326"/>
      <c r="AT1118" s="326"/>
      <c r="AU1118" s="326"/>
      <c r="AV1118" s="326"/>
      <c r="AW1118" s="326"/>
      <c r="AX1118" s="326"/>
      <c r="AY1118" s="326"/>
      <c r="AZ1118" s="326"/>
      <c r="BA1118" s="326"/>
      <c r="BB1118" s="327"/>
    </row>
    <row r="1119" spans="1:54" ht="15.75" customHeight="1" x14ac:dyDescent="0.25">
      <c r="A1119" s="11">
        <f t="shared" si="4"/>
        <v>1106</v>
      </c>
      <c r="B1119" s="504" t="str">
        <f>'refer admin discharge'!B1115</f>
        <v>x</v>
      </c>
      <c r="C1119" s="327"/>
      <c r="D1119" s="505" t="str">
        <f>'refer admin discharge'!D1115</f>
        <v>xx</v>
      </c>
      <c r="E1119" s="327"/>
      <c r="F1119" s="606" t="str">
        <f>'refer admin discharge'!H1115</f>
        <v>00/00/0000</v>
      </c>
      <c r="G1119" s="327"/>
      <c r="H1119" s="594"/>
      <c r="I1119" s="327"/>
      <c r="J1119" s="605"/>
      <c r="K1119" s="327"/>
      <c r="L1119" s="594"/>
      <c r="M1119" s="327"/>
      <c r="N1119" s="575"/>
      <c r="O1119" s="327"/>
      <c r="P1119" s="594"/>
      <c r="Q1119" s="327"/>
      <c r="R1119" s="575"/>
      <c r="S1119" s="327"/>
      <c r="T1119" s="594"/>
      <c r="U1119" s="327"/>
      <c r="V1119" s="595" t="str">
        <f>'refer admin discharge'!H1120</f>
        <v>00/00/0000</v>
      </c>
      <c r="W1119" s="327"/>
      <c r="X1119" s="577"/>
      <c r="Y1119" s="327"/>
      <c r="Z1119" s="604"/>
      <c r="AA1119" s="327"/>
      <c r="AB1119" s="577"/>
      <c r="AC1119" s="327"/>
      <c r="AD1119" s="576"/>
      <c r="AE1119" s="327"/>
      <c r="AF1119" s="577"/>
      <c r="AG1119" s="327"/>
      <c r="AH1119" s="576"/>
      <c r="AI1119" s="327"/>
      <c r="AJ1119" s="577"/>
      <c r="AK1119" s="327"/>
      <c r="AL1119" s="602"/>
      <c r="AM1119" s="326"/>
      <c r="AN1119" s="326"/>
      <c r="AO1119" s="326"/>
      <c r="AP1119" s="326"/>
      <c r="AQ1119" s="326"/>
      <c r="AR1119" s="326"/>
      <c r="AS1119" s="326"/>
      <c r="AT1119" s="326"/>
      <c r="AU1119" s="326"/>
      <c r="AV1119" s="326"/>
      <c r="AW1119" s="326"/>
      <c r="AX1119" s="326"/>
      <c r="AY1119" s="326"/>
      <c r="AZ1119" s="326"/>
      <c r="BA1119" s="326"/>
      <c r="BB1119" s="327"/>
    </row>
    <row r="1120" spans="1:54" ht="15.75" customHeight="1" x14ac:dyDescent="0.25">
      <c r="A1120" s="11">
        <f t="shared" si="4"/>
        <v>1107</v>
      </c>
      <c r="B1120" s="570" t="str">
        <f>'refer admin discharge'!B1116</f>
        <v>x</v>
      </c>
      <c r="C1120" s="327"/>
      <c r="D1120" s="599" t="str">
        <f>'refer admin discharge'!D1116</f>
        <v>xx</v>
      </c>
      <c r="E1120" s="327"/>
      <c r="F1120" s="600" t="str">
        <f>'refer admin discharge'!H1116</f>
        <v>00/00/0000</v>
      </c>
      <c r="G1120" s="327"/>
      <c r="H1120" s="574"/>
      <c r="I1120" s="327"/>
      <c r="J1120" s="601"/>
      <c r="K1120" s="327"/>
      <c r="L1120" s="574"/>
      <c r="M1120" s="327"/>
      <c r="N1120" s="594"/>
      <c r="O1120" s="327"/>
      <c r="P1120" s="574"/>
      <c r="Q1120" s="327"/>
      <c r="R1120" s="594"/>
      <c r="S1120" s="327"/>
      <c r="T1120" s="574"/>
      <c r="U1120" s="327"/>
      <c r="V1120" s="595" t="str">
        <f>'refer admin discharge'!H1121</f>
        <v>00/00/0000</v>
      </c>
      <c r="W1120" s="327"/>
      <c r="X1120" s="596"/>
      <c r="Y1120" s="327"/>
      <c r="Z1120" s="597"/>
      <c r="AA1120" s="327"/>
      <c r="AB1120" s="596"/>
      <c r="AC1120" s="327"/>
      <c r="AD1120" s="577"/>
      <c r="AE1120" s="327"/>
      <c r="AF1120" s="596"/>
      <c r="AG1120" s="327"/>
      <c r="AH1120" s="577"/>
      <c r="AI1120" s="327"/>
      <c r="AJ1120" s="596"/>
      <c r="AK1120" s="327"/>
      <c r="AL1120" s="598"/>
      <c r="AM1120" s="326"/>
      <c r="AN1120" s="326"/>
      <c r="AO1120" s="326"/>
      <c r="AP1120" s="326"/>
      <c r="AQ1120" s="326"/>
      <c r="AR1120" s="326"/>
      <c r="AS1120" s="326"/>
      <c r="AT1120" s="326"/>
      <c r="AU1120" s="326"/>
      <c r="AV1120" s="326"/>
      <c r="AW1120" s="326"/>
      <c r="AX1120" s="326"/>
      <c r="AY1120" s="326"/>
      <c r="AZ1120" s="326"/>
      <c r="BA1120" s="326"/>
      <c r="BB1120" s="327"/>
    </row>
    <row r="1121" spans="1:54" ht="15.75" customHeight="1" x14ac:dyDescent="0.25">
      <c r="A1121" s="11">
        <f t="shared" si="4"/>
        <v>1108</v>
      </c>
      <c r="B1121" s="504" t="str">
        <f>'refer admin discharge'!B1117</f>
        <v>x</v>
      </c>
      <c r="C1121" s="327"/>
      <c r="D1121" s="505" t="str">
        <f>'refer admin discharge'!D1117</f>
        <v>xx</v>
      </c>
      <c r="E1121" s="327"/>
      <c r="F1121" s="606" t="str">
        <f>'refer admin discharge'!H1117</f>
        <v>00/00/0000</v>
      </c>
      <c r="G1121" s="327"/>
      <c r="H1121" s="594"/>
      <c r="I1121" s="327"/>
      <c r="J1121" s="605"/>
      <c r="K1121" s="327"/>
      <c r="L1121" s="594"/>
      <c r="M1121" s="327"/>
      <c r="N1121" s="575"/>
      <c r="O1121" s="327"/>
      <c r="P1121" s="594"/>
      <c r="Q1121" s="327"/>
      <c r="R1121" s="575"/>
      <c r="S1121" s="327"/>
      <c r="T1121" s="594"/>
      <c r="U1121" s="327"/>
      <c r="V1121" s="595" t="str">
        <f>'refer admin discharge'!H1122</f>
        <v>00/00/0000</v>
      </c>
      <c r="W1121" s="327"/>
      <c r="X1121" s="577"/>
      <c r="Y1121" s="327"/>
      <c r="Z1121" s="604"/>
      <c r="AA1121" s="327"/>
      <c r="AB1121" s="577"/>
      <c r="AC1121" s="327"/>
      <c r="AD1121" s="576"/>
      <c r="AE1121" s="327"/>
      <c r="AF1121" s="577"/>
      <c r="AG1121" s="327"/>
      <c r="AH1121" s="576"/>
      <c r="AI1121" s="327"/>
      <c r="AJ1121" s="577"/>
      <c r="AK1121" s="327"/>
      <c r="AL1121" s="602"/>
      <c r="AM1121" s="326"/>
      <c r="AN1121" s="326"/>
      <c r="AO1121" s="326"/>
      <c r="AP1121" s="326"/>
      <c r="AQ1121" s="326"/>
      <c r="AR1121" s="326"/>
      <c r="AS1121" s="326"/>
      <c r="AT1121" s="326"/>
      <c r="AU1121" s="326"/>
      <c r="AV1121" s="326"/>
      <c r="AW1121" s="326"/>
      <c r="AX1121" s="326"/>
      <c r="AY1121" s="326"/>
      <c r="AZ1121" s="326"/>
      <c r="BA1121" s="326"/>
      <c r="BB1121" s="327"/>
    </row>
    <row r="1122" spans="1:54" ht="15.75" customHeight="1" x14ac:dyDescent="0.25">
      <c r="A1122" s="11">
        <f t="shared" si="4"/>
        <v>1109</v>
      </c>
      <c r="B1122" s="570" t="str">
        <f>'refer admin discharge'!B1118</f>
        <v>x</v>
      </c>
      <c r="C1122" s="327"/>
      <c r="D1122" s="599" t="str">
        <f>'refer admin discharge'!D1118</f>
        <v>xx</v>
      </c>
      <c r="E1122" s="327"/>
      <c r="F1122" s="600" t="str">
        <f>'refer admin discharge'!H1118</f>
        <v>00/00/0000</v>
      </c>
      <c r="G1122" s="327"/>
      <c r="H1122" s="574"/>
      <c r="I1122" s="327"/>
      <c r="J1122" s="601"/>
      <c r="K1122" s="327"/>
      <c r="L1122" s="574"/>
      <c r="M1122" s="327"/>
      <c r="N1122" s="594"/>
      <c r="O1122" s="327"/>
      <c r="P1122" s="574"/>
      <c r="Q1122" s="327"/>
      <c r="R1122" s="594"/>
      <c r="S1122" s="327"/>
      <c r="T1122" s="574"/>
      <c r="U1122" s="327"/>
      <c r="V1122" s="595" t="str">
        <f>'refer admin discharge'!H1123</f>
        <v>00/00/0000</v>
      </c>
      <c r="W1122" s="327"/>
      <c r="X1122" s="596"/>
      <c r="Y1122" s="327"/>
      <c r="Z1122" s="597"/>
      <c r="AA1122" s="327"/>
      <c r="AB1122" s="596"/>
      <c r="AC1122" s="327"/>
      <c r="AD1122" s="577"/>
      <c r="AE1122" s="327"/>
      <c r="AF1122" s="596"/>
      <c r="AG1122" s="327"/>
      <c r="AH1122" s="577"/>
      <c r="AI1122" s="327"/>
      <c r="AJ1122" s="596"/>
      <c r="AK1122" s="327"/>
      <c r="AL1122" s="598"/>
      <c r="AM1122" s="326"/>
      <c r="AN1122" s="326"/>
      <c r="AO1122" s="326"/>
      <c r="AP1122" s="326"/>
      <c r="AQ1122" s="326"/>
      <c r="AR1122" s="326"/>
      <c r="AS1122" s="326"/>
      <c r="AT1122" s="326"/>
      <c r="AU1122" s="326"/>
      <c r="AV1122" s="326"/>
      <c r="AW1122" s="326"/>
      <c r="AX1122" s="326"/>
      <c r="AY1122" s="326"/>
      <c r="AZ1122" s="326"/>
      <c r="BA1122" s="326"/>
      <c r="BB1122" s="327"/>
    </row>
    <row r="1123" spans="1:54" ht="15.75" customHeight="1" x14ac:dyDescent="0.25">
      <c r="A1123" s="11">
        <f t="shared" si="4"/>
        <v>1110</v>
      </c>
      <c r="B1123" s="504" t="str">
        <f>'refer admin discharge'!B1119</f>
        <v>x</v>
      </c>
      <c r="C1123" s="327"/>
      <c r="D1123" s="505" t="str">
        <f>'refer admin discharge'!D1119</f>
        <v>xx</v>
      </c>
      <c r="E1123" s="327"/>
      <c r="F1123" s="606" t="str">
        <f>'refer admin discharge'!H1119</f>
        <v>00/00/0000</v>
      </c>
      <c r="G1123" s="327"/>
      <c r="H1123" s="594"/>
      <c r="I1123" s="327"/>
      <c r="J1123" s="605"/>
      <c r="K1123" s="327"/>
      <c r="L1123" s="594"/>
      <c r="M1123" s="327"/>
      <c r="N1123" s="575"/>
      <c r="O1123" s="327"/>
      <c r="P1123" s="594"/>
      <c r="Q1123" s="327"/>
      <c r="R1123" s="575"/>
      <c r="S1123" s="327"/>
      <c r="T1123" s="594"/>
      <c r="U1123" s="327"/>
      <c r="V1123" s="595" t="str">
        <f>'refer admin discharge'!H1124</f>
        <v>00/00/0000</v>
      </c>
      <c r="W1123" s="327"/>
      <c r="X1123" s="577"/>
      <c r="Y1123" s="327"/>
      <c r="Z1123" s="604"/>
      <c r="AA1123" s="327"/>
      <c r="AB1123" s="577"/>
      <c r="AC1123" s="327"/>
      <c r="AD1123" s="576"/>
      <c r="AE1123" s="327"/>
      <c r="AF1123" s="577"/>
      <c r="AG1123" s="327"/>
      <c r="AH1123" s="576"/>
      <c r="AI1123" s="327"/>
      <c r="AJ1123" s="577"/>
      <c r="AK1123" s="327"/>
      <c r="AL1123" s="602"/>
      <c r="AM1123" s="326"/>
      <c r="AN1123" s="326"/>
      <c r="AO1123" s="326"/>
      <c r="AP1123" s="326"/>
      <c r="AQ1123" s="326"/>
      <c r="AR1123" s="326"/>
      <c r="AS1123" s="326"/>
      <c r="AT1123" s="326"/>
      <c r="AU1123" s="326"/>
      <c r="AV1123" s="326"/>
      <c r="AW1123" s="326"/>
      <c r="AX1123" s="326"/>
      <c r="AY1123" s="326"/>
      <c r="AZ1123" s="326"/>
      <c r="BA1123" s="326"/>
      <c r="BB1123" s="327"/>
    </row>
    <row r="1124" spans="1:54" ht="15.75" customHeight="1" x14ac:dyDescent="0.25">
      <c r="A1124" s="11">
        <f t="shared" si="4"/>
        <v>1111</v>
      </c>
      <c r="B1124" s="570" t="str">
        <f>'refer admin discharge'!B1120</f>
        <v>x</v>
      </c>
      <c r="C1124" s="327"/>
      <c r="D1124" s="599" t="str">
        <f>'refer admin discharge'!D1120</f>
        <v>xx</v>
      </c>
      <c r="E1124" s="327"/>
      <c r="F1124" s="600" t="str">
        <f>'refer admin discharge'!H1120</f>
        <v>00/00/0000</v>
      </c>
      <c r="G1124" s="327"/>
      <c r="H1124" s="574"/>
      <c r="I1124" s="327"/>
      <c r="J1124" s="601"/>
      <c r="K1124" s="327"/>
      <c r="L1124" s="574"/>
      <c r="M1124" s="327"/>
      <c r="N1124" s="594"/>
      <c r="O1124" s="327"/>
      <c r="P1124" s="574"/>
      <c r="Q1124" s="327"/>
      <c r="R1124" s="594"/>
      <c r="S1124" s="327"/>
      <c r="T1124" s="574"/>
      <c r="U1124" s="327"/>
      <c r="V1124" s="595" t="str">
        <f>'refer admin discharge'!H1125</f>
        <v>00/00/0000</v>
      </c>
      <c r="W1124" s="327"/>
      <c r="X1124" s="596"/>
      <c r="Y1124" s="327"/>
      <c r="Z1124" s="597"/>
      <c r="AA1124" s="327"/>
      <c r="AB1124" s="596"/>
      <c r="AC1124" s="327"/>
      <c r="AD1124" s="577"/>
      <c r="AE1124" s="327"/>
      <c r="AF1124" s="596"/>
      <c r="AG1124" s="327"/>
      <c r="AH1124" s="577"/>
      <c r="AI1124" s="327"/>
      <c r="AJ1124" s="596"/>
      <c r="AK1124" s="327"/>
      <c r="AL1124" s="598"/>
      <c r="AM1124" s="326"/>
      <c r="AN1124" s="326"/>
      <c r="AO1124" s="326"/>
      <c r="AP1124" s="326"/>
      <c r="AQ1124" s="326"/>
      <c r="AR1124" s="326"/>
      <c r="AS1124" s="326"/>
      <c r="AT1124" s="326"/>
      <c r="AU1124" s="326"/>
      <c r="AV1124" s="326"/>
      <c r="AW1124" s="326"/>
      <c r="AX1124" s="326"/>
      <c r="AY1124" s="326"/>
      <c r="AZ1124" s="326"/>
      <c r="BA1124" s="326"/>
      <c r="BB1124" s="327"/>
    </row>
    <row r="1125" spans="1:54" ht="15.75" customHeight="1" x14ac:dyDescent="0.25">
      <c r="A1125" s="11">
        <f t="shared" si="4"/>
        <v>1112</v>
      </c>
      <c r="B1125" s="504" t="str">
        <f>'refer admin discharge'!B1121</f>
        <v>x</v>
      </c>
      <c r="C1125" s="327"/>
      <c r="D1125" s="505" t="str">
        <f>'refer admin discharge'!D1121</f>
        <v>xx</v>
      </c>
      <c r="E1125" s="327"/>
      <c r="F1125" s="606" t="str">
        <f>'refer admin discharge'!H1121</f>
        <v>00/00/0000</v>
      </c>
      <c r="G1125" s="327"/>
      <c r="H1125" s="594"/>
      <c r="I1125" s="327"/>
      <c r="J1125" s="605"/>
      <c r="K1125" s="327"/>
      <c r="L1125" s="594"/>
      <c r="M1125" s="327"/>
      <c r="N1125" s="575"/>
      <c r="O1125" s="327"/>
      <c r="P1125" s="594"/>
      <c r="Q1125" s="327"/>
      <c r="R1125" s="575"/>
      <c r="S1125" s="327"/>
      <c r="T1125" s="594"/>
      <c r="U1125" s="327"/>
      <c r="V1125" s="595" t="str">
        <f>'refer admin discharge'!H1126</f>
        <v>00/00/0000</v>
      </c>
      <c r="W1125" s="327"/>
      <c r="X1125" s="577"/>
      <c r="Y1125" s="327"/>
      <c r="Z1125" s="604"/>
      <c r="AA1125" s="327"/>
      <c r="AB1125" s="577"/>
      <c r="AC1125" s="327"/>
      <c r="AD1125" s="576"/>
      <c r="AE1125" s="327"/>
      <c r="AF1125" s="577"/>
      <c r="AG1125" s="327"/>
      <c r="AH1125" s="576"/>
      <c r="AI1125" s="327"/>
      <c r="AJ1125" s="577"/>
      <c r="AK1125" s="327"/>
      <c r="AL1125" s="602"/>
      <c r="AM1125" s="326"/>
      <c r="AN1125" s="326"/>
      <c r="AO1125" s="326"/>
      <c r="AP1125" s="326"/>
      <c r="AQ1125" s="326"/>
      <c r="AR1125" s="326"/>
      <c r="AS1125" s="326"/>
      <c r="AT1125" s="326"/>
      <c r="AU1125" s="326"/>
      <c r="AV1125" s="326"/>
      <c r="AW1125" s="326"/>
      <c r="AX1125" s="326"/>
      <c r="AY1125" s="326"/>
      <c r="AZ1125" s="326"/>
      <c r="BA1125" s="326"/>
      <c r="BB1125" s="327"/>
    </row>
    <row r="1126" spans="1:54" ht="15.75" customHeight="1" x14ac:dyDescent="0.25">
      <c r="A1126" s="11">
        <f t="shared" si="4"/>
        <v>1113</v>
      </c>
      <c r="B1126" s="570" t="str">
        <f>'refer admin discharge'!B1122</f>
        <v>x</v>
      </c>
      <c r="C1126" s="327"/>
      <c r="D1126" s="599" t="str">
        <f>'refer admin discharge'!D1122</f>
        <v>xx</v>
      </c>
      <c r="E1126" s="327"/>
      <c r="F1126" s="600" t="str">
        <f>'refer admin discharge'!H1122</f>
        <v>00/00/0000</v>
      </c>
      <c r="G1126" s="327"/>
      <c r="H1126" s="574"/>
      <c r="I1126" s="327"/>
      <c r="J1126" s="601"/>
      <c r="K1126" s="327"/>
      <c r="L1126" s="574"/>
      <c r="M1126" s="327"/>
      <c r="N1126" s="594"/>
      <c r="O1126" s="327"/>
      <c r="P1126" s="574"/>
      <c r="Q1126" s="327"/>
      <c r="R1126" s="594"/>
      <c r="S1126" s="327"/>
      <c r="T1126" s="574"/>
      <c r="U1126" s="327"/>
      <c r="V1126" s="595" t="str">
        <f>'refer admin discharge'!H1127</f>
        <v>00/00/0000</v>
      </c>
      <c r="W1126" s="327"/>
      <c r="X1126" s="596"/>
      <c r="Y1126" s="327"/>
      <c r="Z1126" s="597"/>
      <c r="AA1126" s="327"/>
      <c r="AB1126" s="596"/>
      <c r="AC1126" s="327"/>
      <c r="AD1126" s="577"/>
      <c r="AE1126" s="327"/>
      <c r="AF1126" s="596"/>
      <c r="AG1126" s="327"/>
      <c r="AH1126" s="577"/>
      <c r="AI1126" s="327"/>
      <c r="AJ1126" s="596"/>
      <c r="AK1126" s="327"/>
      <c r="AL1126" s="598"/>
      <c r="AM1126" s="326"/>
      <c r="AN1126" s="326"/>
      <c r="AO1126" s="326"/>
      <c r="AP1126" s="326"/>
      <c r="AQ1126" s="326"/>
      <c r="AR1126" s="326"/>
      <c r="AS1126" s="326"/>
      <c r="AT1126" s="326"/>
      <c r="AU1126" s="326"/>
      <c r="AV1126" s="326"/>
      <c r="AW1126" s="326"/>
      <c r="AX1126" s="326"/>
      <c r="AY1126" s="326"/>
      <c r="AZ1126" s="326"/>
      <c r="BA1126" s="326"/>
      <c r="BB1126" s="327"/>
    </row>
    <row r="1127" spans="1:54" ht="15.75" customHeight="1" x14ac:dyDescent="0.25">
      <c r="A1127" s="11">
        <f t="shared" si="4"/>
        <v>1114</v>
      </c>
      <c r="B1127" s="504" t="str">
        <f>'refer admin discharge'!B1123</f>
        <v>x</v>
      </c>
      <c r="C1127" s="327"/>
      <c r="D1127" s="505" t="str">
        <f>'refer admin discharge'!D1123</f>
        <v>xx</v>
      </c>
      <c r="E1127" s="327"/>
      <c r="F1127" s="606" t="str">
        <f>'refer admin discharge'!H1123</f>
        <v>00/00/0000</v>
      </c>
      <c r="G1127" s="327"/>
      <c r="H1127" s="594"/>
      <c r="I1127" s="327"/>
      <c r="J1127" s="605"/>
      <c r="K1127" s="327"/>
      <c r="L1127" s="594"/>
      <c r="M1127" s="327"/>
      <c r="N1127" s="575"/>
      <c r="O1127" s="327"/>
      <c r="P1127" s="594"/>
      <c r="Q1127" s="327"/>
      <c r="R1127" s="575"/>
      <c r="S1127" s="327"/>
      <c r="T1127" s="594"/>
      <c r="U1127" s="327"/>
      <c r="V1127" s="595" t="str">
        <f>'refer admin discharge'!H1128</f>
        <v>00/00/0000</v>
      </c>
      <c r="W1127" s="327"/>
      <c r="X1127" s="577"/>
      <c r="Y1127" s="327"/>
      <c r="Z1127" s="604"/>
      <c r="AA1127" s="327"/>
      <c r="AB1127" s="577"/>
      <c r="AC1127" s="327"/>
      <c r="AD1127" s="576"/>
      <c r="AE1127" s="327"/>
      <c r="AF1127" s="577"/>
      <c r="AG1127" s="327"/>
      <c r="AH1127" s="576"/>
      <c r="AI1127" s="327"/>
      <c r="AJ1127" s="577"/>
      <c r="AK1127" s="327"/>
      <c r="AL1127" s="602"/>
      <c r="AM1127" s="326"/>
      <c r="AN1127" s="326"/>
      <c r="AO1127" s="326"/>
      <c r="AP1127" s="326"/>
      <c r="AQ1127" s="326"/>
      <c r="AR1127" s="326"/>
      <c r="AS1127" s="326"/>
      <c r="AT1127" s="326"/>
      <c r="AU1127" s="326"/>
      <c r="AV1127" s="326"/>
      <c r="AW1127" s="326"/>
      <c r="AX1127" s="326"/>
      <c r="AY1127" s="326"/>
      <c r="AZ1127" s="326"/>
      <c r="BA1127" s="326"/>
      <c r="BB1127" s="327"/>
    </row>
    <row r="1128" spans="1:54" ht="15.75" customHeight="1" x14ac:dyDescent="0.25">
      <c r="A1128" s="11">
        <f t="shared" si="4"/>
        <v>1115</v>
      </c>
      <c r="B1128" s="570" t="str">
        <f>'refer admin discharge'!B1124</f>
        <v>x</v>
      </c>
      <c r="C1128" s="327"/>
      <c r="D1128" s="599" t="str">
        <f>'refer admin discharge'!D1124</f>
        <v>xx</v>
      </c>
      <c r="E1128" s="327"/>
      <c r="F1128" s="600" t="str">
        <f>'refer admin discharge'!H1124</f>
        <v>00/00/0000</v>
      </c>
      <c r="G1128" s="327"/>
      <c r="H1128" s="574"/>
      <c r="I1128" s="327"/>
      <c r="J1128" s="601"/>
      <c r="K1128" s="327"/>
      <c r="L1128" s="574"/>
      <c r="M1128" s="327"/>
      <c r="N1128" s="594"/>
      <c r="O1128" s="327"/>
      <c r="P1128" s="574"/>
      <c r="Q1128" s="327"/>
      <c r="R1128" s="594"/>
      <c r="S1128" s="327"/>
      <c r="T1128" s="574"/>
      <c r="U1128" s="327"/>
      <c r="V1128" s="595" t="str">
        <f>'refer admin discharge'!H1129</f>
        <v>00/00/0000</v>
      </c>
      <c r="W1128" s="327"/>
      <c r="X1128" s="596"/>
      <c r="Y1128" s="327"/>
      <c r="Z1128" s="597"/>
      <c r="AA1128" s="327"/>
      <c r="AB1128" s="596"/>
      <c r="AC1128" s="327"/>
      <c r="AD1128" s="577"/>
      <c r="AE1128" s="327"/>
      <c r="AF1128" s="596"/>
      <c r="AG1128" s="327"/>
      <c r="AH1128" s="577"/>
      <c r="AI1128" s="327"/>
      <c r="AJ1128" s="596"/>
      <c r="AK1128" s="327"/>
      <c r="AL1128" s="598"/>
      <c r="AM1128" s="326"/>
      <c r="AN1128" s="326"/>
      <c r="AO1128" s="326"/>
      <c r="AP1128" s="326"/>
      <c r="AQ1128" s="326"/>
      <c r="AR1128" s="326"/>
      <c r="AS1128" s="326"/>
      <c r="AT1128" s="326"/>
      <c r="AU1128" s="326"/>
      <c r="AV1128" s="326"/>
      <c r="AW1128" s="326"/>
      <c r="AX1128" s="326"/>
      <c r="AY1128" s="326"/>
      <c r="AZ1128" s="326"/>
      <c r="BA1128" s="326"/>
      <c r="BB1128" s="327"/>
    </row>
    <row r="1129" spans="1:54" ht="15.75" customHeight="1" x14ac:dyDescent="0.25">
      <c r="A1129" s="11">
        <f t="shared" si="4"/>
        <v>1116</v>
      </c>
      <c r="B1129" s="504" t="str">
        <f>'refer admin discharge'!B1125</f>
        <v>x</v>
      </c>
      <c r="C1129" s="327"/>
      <c r="D1129" s="505" t="str">
        <f>'refer admin discharge'!D1125</f>
        <v>xx</v>
      </c>
      <c r="E1129" s="327"/>
      <c r="F1129" s="606" t="str">
        <f>'refer admin discharge'!H1125</f>
        <v>00/00/0000</v>
      </c>
      <c r="G1129" s="327"/>
      <c r="H1129" s="594"/>
      <c r="I1129" s="327"/>
      <c r="J1129" s="605"/>
      <c r="K1129" s="327"/>
      <c r="L1129" s="594"/>
      <c r="M1129" s="327"/>
      <c r="N1129" s="575"/>
      <c r="O1129" s="327"/>
      <c r="P1129" s="594"/>
      <c r="Q1129" s="327"/>
      <c r="R1129" s="575"/>
      <c r="S1129" s="327"/>
      <c r="T1129" s="594"/>
      <c r="U1129" s="327"/>
      <c r="V1129" s="595" t="str">
        <f>'refer admin discharge'!H1130</f>
        <v>00/00/0000</v>
      </c>
      <c r="W1129" s="327"/>
      <c r="X1129" s="577"/>
      <c r="Y1129" s="327"/>
      <c r="Z1129" s="604"/>
      <c r="AA1129" s="327"/>
      <c r="AB1129" s="577"/>
      <c r="AC1129" s="327"/>
      <c r="AD1129" s="576"/>
      <c r="AE1129" s="327"/>
      <c r="AF1129" s="577"/>
      <c r="AG1129" s="327"/>
      <c r="AH1129" s="576"/>
      <c r="AI1129" s="327"/>
      <c r="AJ1129" s="577"/>
      <c r="AK1129" s="327"/>
      <c r="AL1129" s="602"/>
      <c r="AM1129" s="326"/>
      <c r="AN1129" s="326"/>
      <c r="AO1129" s="326"/>
      <c r="AP1129" s="326"/>
      <c r="AQ1129" s="326"/>
      <c r="AR1129" s="326"/>
      <c r="AS1129" s="326"/>
      <c r="AT1129" s="326"/>
      <c r="AU1129" s="326"/>
      <c r="AV1129" s="326"/>
      <c r="AW1129" s="326"/>
      <c r="AX1129" s="326"/>
      <c r="AY1129" s="326"/>
      <c r="AZ1129" s="326"/>
      <c r="BA1129" s="326"/>
      <c r="BB1129" s="327"/>
    </row>
    <row r="1130" spans="1:54" ht="15.75" customHeight="1" x14ac:dyDescent="0.25">
      <c r="A1130" s="11">
        <f t="shared" si="4"/>
        <v>1117</v>
      </c>
      <c r="B1130" s="570" t="str">
        <f>'refer admin discharge'!B1126</f>
        <v>x</v>
      </c>
      <c r="C1130" s="327"/>
      <c r="D1130" s="599" t="str">
        <f>'refer admin discharge'!D1126</f>
        <v>xx</v>
      </c>
      <c r="E1130" s="327"/>
      <c r="F1130" s="600" t="str">
        <f>'refer admin discharge'!H1126</f>
        <v>00/00/0000</v>
      </c>
      <c r="G1130" s="327"/>
      <c r="H1130" s="574"/>
      <c r="I1130" s="327"/>
      <c r="J1130" s="601"/>
      <c r="K1130" s="327"/>
      <c r="L1130" s="574"/>
      <c r="M1130" s="327"/>
      <c r="N1130" s="594"/>
      <c r="O1130" s="327"/>
      <c r="P1130" s="574"/>
      <c r="Q1130" s="327"/>
      <c r="R1130" s="594"/>
      <c r="S1130" s="327"/>
      <c r="T1130" s="574"/>
      <c r="U1130" s="327"/>
      <c r="V1130" s="595" t="str">
        <f>'refer admin discharge'!H1131</f>
        <v>00/00/0000</v>
      </c>
      <c r="W1130" s="327"/>
      <c r="X1130" s="596"/>
      <c r="Y1130" s="327"/>
      <c r="Z1130" s="597"/>
      <c r="AA1130" s="327"/>
      <c r="AB1130" s="596"/>
      <c r="AC1130" s="327"/>
      <c r="AD1130" s="577"/>
      <c r="AE1130" s="327"/>
      <c r="AF1130" s="596"/>
      <c r="AG1130" s="327"/>
      <c r="AH1130" s="577"/>
      <c r="AI1130" s="327"/>
      <c r="AJ1130" s="596"/>
      <c r="AK1130" s="327"/>
      <c r="AL1130" s="598"/>
      <c r="AM1130" s="326"/>
      <c r="AN1130" s="326"/>
      <c r="AO1130" s="326"/>
      <c r="AP1130" s="326"/>
      <c r="AQ1130" s="326"/>
      <c r="AR1130" s="326"/>
      <c r="AS1130" s="326"/>
      <c r="AT1130" s="326"/>
      <c r="AU1130" s="326"/>
      <c r="AV1130" s="326"/>
      <c r="AW1130" s="326"/>
      <c r="AX1130" s="326"/>
      <c r="AY1130" s="326"/>
      <c r="AZ1130" s="326"/>
      <c r="BA1130" s="326"/>
      <c r="BB1130" s="327"/>
    </row>
    <row r="1131" spans="1:54" ht="15.75" customHeight="1" x14ac:dyDescent="0.25">
      <c r="A1131" s="11">
        <f t="shared" si="4"/>
        <v>1118</v>
      </c>
      <c r="B1131" s="504" t="str">
        <f>'refer admin discharge'!B1127</f>
        <v>x</v>
      </c>
      <c r="C1131" s="327"/>
      <c r="D1131" s="505" t="str">
        <f>'refer admin discharge'!D1127</f>
        <v>xx</v>
      </c>
      <c r="E1131" s="327"/>
      <c r="F1131" s="606" t="str">
        <f>'refer admin discharge'!H1127</f>
        <v>00/00/0000</v>
      </c>
      <c r="G1131" s="327"/>
      <c r="H1131" s="594"/>
      <c r="I1131" s="327"/>
      <c r="J1131" s="605"/>
      <c r="K1131" s="327"/>
      <c r="L1131" s="594"/>
      <c r="M1131" s="327"/>
      <c r="N1131" s="575"/>
      <c r="O1131" s="327"/>
      <c r="P1131" s="594"/>
      <c r="Q1131" s="327"/>
      <c r="R1131" s="575"/>
      <c r="S1131" s="327"/>
      <c r="T1131" s="594"/>
      <c r="U1131" s="327"/>
      <c r="V1131" s="595" t="str">
        <f>'refer admin discharge'!H1132</f>
        <v>00/00/0000</v>
      </c>
      <c r="W1131" s="327"/>
      <c r="X1131" s="577"/>
      <c r="Y1131" s="327"/>
      <c r="Z1131" s="604"/>
      <c r="AA1131" s="327"/>
      <c r="AB1131" s="577"/>
      <c r="AC1131" s="327"/>
      <c r="AD1131" s="576"/>
      <c r="AE1131" s="327"/>
      <c r="AF1131" s="577"/>
      <c r="AG1131" s="327"/>
      <c r="AH1131" s="576"/>
      <c r="AI1131" s="327"/>
      <c r="AJ1131" s="577"/>
      <c r="AK1131" s="327"/>
      <c r="AL1131" s="602"/>
      <c r="AM1131" s="326"/>
      <c r="AN1131" s="326"/>
      <c r="AO1131" s="326"/>
      <c r="AP1131" s="326"/>
      <c r="AQ1131" s="326"/>
      <c r="AR1131" s="326"/>
      <c r="AS1131" s="326"/>
      <c r="AT1131" s="326"/>
      <c r="AU1131" s="326"/>
      <c r="AV1131" s="326"/>
      <c r="AW1131" s="326"/>
      <c r="AX1131" s="326"/>
      <c r="AY1131" s="326"/>
      <c r="AZ1131" s="326"/>
      <c r="BA1131" s="326"/>
      <c r="BB1131" s="327"/>
    </row>
    <row r="1132" spans="1:54" ht="15.75" customHeight="1" x14ac:dyDescent="0.25">
      <c r="A1132" s="11">
        <f t="shared" si="4"/>
        <v>1119</v>
      </c>
      <c r="B1132" s="570" t="str">
        <f>'refer admin discharge'!B1128</f>
        <v>x</v>
      </c>
      <c r="C1132" s="327"/>
      <c r="D1132" s="599" t="str">
        <f>'refer admin discharge'!D1128</f>
        <v>xx</v>
      </c>
      <c r="E1132" s="327"/>
      <c r="F1132" s="600" t="str">
        <f>'refer admin discharge'!H1128</f>
        <v>00/00/0000</v>
      </c>
      <c r="G1132" s="327"/>
      <c r="H1132" s="574"/>
      <c r="I1132" s="327"/>
      <c r="J1132" s="601"/>
      <c r="K1132" s="327"/>
      <c r="L1132" s="574"/>
      <c r="M1132" s="327"/>
      <c r="N1132" s="594"/>
      <c r="O1132" s="327"/>
      <c r="P1132" s="574"/>
      <c r="Q1132" s="327"/>
      <c r="R1132" s="594"/>
      <c r="S1132" s="327"/>
      <c r="T1132" s="574"/>
      <c r="U1132" s="327"/>
      <c r="V1132" s="595" t="str">
        <f>'refer admin discharge'!H1133</f>
        <v>00/00/0000</v>
      </c>
      <c r="W1132" s="327"/>
      <c r="X1132" s="596"/>
      <c r="Y1132" s="327"/>
      <c r="Z1132" s="597"/>
      <c r="AA1132" s="327"/>
      <c r="AB1132" s="596"/>
      <c r="AC1132" s="327"/>
      <c r="AD1132" s="577"/>
      <c r="AE1132" s="327"/>
      <c r="AF1132" s="596"/>
      <c r="AG1132" s="327"/>
      <c r="AH1132" s="577"/>
      <c r="AI1132" s="327"/>
      <c r="AJ1132" s="596"/>
      <c r="AK1132" s="327"/>
      <c r="AL1132" s="598"/>
      <c r="AM1132" s="326"/>
      <c r="AN1132" s="326"/>
      <c r="AO1132" s="326"/>
      <c r="AP1132" s="326"/>
      <c r="AQ1132" s="326"/>
      <c r="AR1132" s="326"/>
      <c r="AS1132" s="326"/>
      <c r="AT1132" s="326"/>
      <c r="AU1132" s="326"/>
      <c r="AV1132" s="326"/>
      <c r="AW1132" s="326"/>
      <c r="AX1132" s="326"/>
      <c r="AY1132" s="326"/>
      <c r="AZ1132" s="326"/>
      <c r="BA1132" s="326"/>
      <c r="BB1132" s="327"/>
    </row>
    <row r="1133" spans="1:54" ht="15.75" customHeight="1" x14ac:dyDescent="0.25">
      <c r="A1133" s="11">
        <f t="shared" si="4"/>
        <v>1120</v>
      </c>
      <c r="B1133" s="504" t="str">
        <f>'refer admin discharge'!B1129</f>
        <v>x</v>
      </c>
      <c r="C1133" s="327"/>
      <c r="D1133" s="505" t="str">
        <f>'refer admin discharge'!D1129</f>
        <v>xx</v>
      </c>
      <c r="E1133" s="327"/>
      <c r="F1133" s="606" t="str">
        <f>'refer admin discharge'!H1129</f>
        <v>00/00/0000</v>
      </c>
      <c r="G1133" s="327"/>
      <c r="H1133" s="594"/>
      <c r="I1133" s="327"/>
      <c r="J1133" s="605"/>
      <c r="K1133" s="327"/>
      <c r="L1133" s="594"/>
      <c r="M1133" s="327"/>
      <c r="N1133" s="575"/>
      <c r="O1133" s="327"/>
      <c r="P1133" s="594"/>
      <c r="Q1133" s="327"/>
      <c r="R1133" s="575"/>
      <c r="S1133" s="327"/>
      <c r="T1133" s="594"/>
      <c r="U1133" s="327"/>
      <c r="V1133" s="595" t="str">
        <f>'refer admin discharge'!H1134</f>
        <v>00/00/0000</v>
      </c>
      <c r="W1133" s="327"/>
      <c r="X1133" s="577"/>
      <c r="Y1133" s="327"/>
      <c r="Z1133" s="604"/>
      <c r="AA1133" s="327"/>
      <c r="AB1133" s="577"/>
      <c r="AC1133" s="327"/>
      <c r="AD1133" s="576"/>
      <c r="AE1133" s="327"/>
      <c r="AF1133" s="577"/>
      <c r="AG1133" s="327"/>
      <c r="AH1133" s="576"/>
      <c r="AI1133" s="327"/>
      <c r="AJ1133" s="577"/>
      <c r="AK1133" s="327"/>
      <c r="AL1133" s="602"/>
      <c r="AM1133" s="326"/>
      <c r="AN1133" s="326"/>
      <c r="AO1133" s="326"/>
      <c r="AP1133" s="326"/>
      <c r="AQ1133" s="326"/>
      <c r="AR1133" s="326"/>
      <c r="AS1133" s="326"/>
      <c r="AT1133" s="326"/>
      <c r="AU1133" s="326"/>
      <c r="AV1133" s="326"/>
      <c r="AW1133" s="326"/>
      <c r="AX1133" s="326"/>
      <c r="AY1133" s="326"/>
      <c r="AZ1133" s="326"/>
      <c r="BA1133" s="326"/>
      <c r="BB1133" s="327"/>
    </row>
    <row r="1134" spans="1:54" ht="15.75" customHeight="1" x14ac:dyDescent="0.25">
      <c r="A1134" s="11">
        <f t="shared" si="4"/>
        <v>1121</v>
      </c>
      <c r="B1134" s="570" t="str">
        <f>'refer admin discharge'!B1130</f>
        <v>x</v>
      </c>
      <c r="C1134" s="327"/>
      <c r="D1134" s="599" t="str">
        <f>'refer admin discharge'!D1130</f>
        <v>xx</v>
      </c>
      <c r="E1134" s="327"/>
      <c r="F1134" s="600" t="str">
        <f>'refer admin discharge'!H1130</f>
        <v>00/00/0000</v>
      </c>
      <c r="G1134" s="327"/>
      <c r="H1134" s="574"/>
      <c r="I1134" s="327"/>
      <c r="J1134" s="601"/>
      <c r="K1134" s="327"/>
      <c r="L1134" s="574"/>
      <c r="M1134" s="327"/>
      <c r="N1134" s="594"/>
      <c r="O1134" s="327"/>
      <c r="P1134" s="574"/>
      <c r="Q1134" s="327"/>
      <c r="R1134" s="594"/>
      <c r="S1134" s="327"/>
      <c r="T1134" s="574"/>
      <c r="U1134" s="327"/>
      <c r="V1134" s="595" t="str">
        <f>'refer admin discharge'!H1135</f>
        <v>00/00/0000</v>
      </c>
      <c r="W1134" s="327"/>
      <c r="X1134" s="596"/>
      <c r="Y1134" s="327"/>
      <c r="Z1134" s="597"/>
      <c r="AA1134" s="327"/>
      <c r="AB1134" s="596"/>
      <c r="AC1134" s="327"/>
      <c r="AD1134" s="577"/>
      <c r="AE1134" s="327"/>
      <c r="AF1134" s="596"/>
      <c r="AG1134" s="327"/>
      <c r="AH1134" s="577"/>
      <c r="AI1134" s="327"/>
      <c r="AJ1134" s="596"/>
      <c r="AK1134" s="327"/>
      <c r="AL1134" s="598"/>
      <c r="AM1134" s="326"/>
      <c r="AN1134" s="326"/>
      <c r="AO1134" s="326"/>
      <c r="AP1134" s="326"/>
      <c r="AQ1134" s="326"/>
      <c r="AR1134" s="326"/>
      <c r="AS1134" s="326"/>
      <c r="AT1134" s="326"/>
      <c r="AU1134" s="326"/>
      <c r="AV1134" s="326"/>
      <c r="AW1134" s="326"/>
      <c r="AX1134" s="326"/>
      <c r="AY1134" s="326"/>
      <c r="AZ1134" s="326"/>
      <c r="BA1134" s="326"/>
      <c r="BB1134" s="327"/>
    </row>
    <row r="1135" spans="1:54" ht="15.75" customHeight="1" x14ac:dyDescent="0.25">
      <c r="A1135" s="11">
        <f t="shared" si="4"/>
        <v>1122</v>
      </c>
      <c r="B1135" s="504" t="str">
        <f>'refer admin discharge'!B1131</f>
        <v>x</v>
      </c>
      <c r="C1135" s="327"/>
      <c r="D1135" s="505" t="str">
        <f>'refer admin discharge'!D1131</f>
        <v>xx</v>
      </c>
      <c r="E1135" s="327"/>
      <c r="F1135" s="606" t="str">
        <f>'refer admin discharge'!H1131</f>
        <v>00/00/0000</v>
      </c>
      <c r="G1135" s="327"/>
      <c r="H1135" s="594"/>
      <c r="I1135" s="327"/>
      <c r="J1135" s="605"/>
      <c r="K1135" s="327"/>
      <c r="L1135" s="594"/>
      <c r="M1135" s="327"/>
      <c r="N1135" s="575"/>
      <c r="O1135" s="327"/>
      <c r="P1135" s="594"/>
      <c r="Q1135" s="327"/>
      <c r="R1135" s="575"/>
      <c r="S1135" s="327"/>
      <c r="T1135" s="594"/>
      <c r="U1135" s="327"/>
      <c r="V1135" s="595" t="str">
        <f>'refer admin discharge'!H1136</f>
        <v>00/00/0000</v>
      </c>
      <c r="W1135" s="327"/>
      <c r="X1135" s="577"/>
      <c r="Y1135" s="327"/>
      <c r="Z1135" s="604"/>
      <c r="AA1135" s="327"/>
      <c r="AB1135" s="577"/>
      <c r="AC1135" s="327"/>
      <c r="AD1135" s="576"/>
      <c r="AE1135" s="327"/>
      <c r="AF1135" s="577"/>
      <c r="AG1135" s="327"/>
      <c r="AH1135" s="576"/>
      <c r="AI1135" s="327"/>
      <c r="AJ1135" s="577"/>
      <c r="AK1135" s="327"/>
      <c r="AL1135" s="602"/>
      <c r="AM1135" s="326"/>
      <c r="AN1135" s="326"/>
      <c r="AO1135" s="326"/>
      <c r="AP1135" s="326"/>
      <c r="AQ1135" s="326"/>
      <c r="AR1135" s="326"/>
      <c r="AS1135" s="326"/>
      <c r="AT1135" s="326"/>
      <c r="AU1135" s="326"/>
      <c r="AV1135" s="326"/>
      <c r="AW1135" s="326"/>
      <c r="AX1135" s="326"/>
      <c r="AY1135" s="326"/>
      <c r="AZ1135" s="326"/>
      <c r="BA1135" s="326"/>
      <c r="BB1135" s="327"/>
    </row>
    <row r="1136" spans="1:54" ht="15.75" customHeight="1" x14ac:dyDescent="0.25">
      <c r="A1136" s="11">
        <f t="shared" si="4"/>
        <v>1123</v>
      </c>
      <c r="B1136" s="570" t="str">
        <f>'refer admin discharge'!B1132</f>
        <v>x</v>
      </c>
      <c r="C1136" s="327"/>
      <c r="D1136" s="599" t="str">
        <f>'refer admin discharge'!D1132</f>
        <v>xx</v>
      </c>
      <c r="E1136" s="327"/>
      <c r="F1136" s="600" t="str">
        <f>'refer admin discharge'!H1132</f>
        <v>00/00/0000</v>
      </c>
      <c r="G1136" s="327"/>
      <c r="H1136" s="574"/>
      <c r="I1136" s="327"/>
      <c r="J1136" s="601"/>
      <c r="K1136" s="327"/>
      <c r="L1136" s="574"/>
      <c r="M1136" s="327"/>
      <c r="N1136" s="594"/>
      <c r="O1136" s="327"/>
      <c r="P1136" s="574"/>
      <c r="Q1136" s="327"/>
      <c r="R1136" s="594"/>
      <c r="S1136" s="327"/>
      <c r="T1136" s="574"/>
      <c r="U1136" s="327"/>
      <c r="V1136" s="595" t="str">
        <f>'refer admin discharge'!H1137</f>
        <v>00/00/0000</v>
      </c>
      <c r="W1136" s="327"/>
      <c r="X1136" s="596"/>
      <c r="Y1136" s="327"/>
      <c r="Z1136" s="597"/>
      <c r="AA1136" s="327"/>
      <c r="AB1136" s="596"/>
      <c r="AC1136" s="327"/>
      <c r="AD1136" s="577"/>
      <c r="AE1136" s="327"/>
      <c r="AF1136" s="596"/>
      <c r="AG1136" s="327"/>
      <c r="AH1136" s="577"/>
      <c r="AI1136" s="327"/>
      <c r="AJ1136" s="596"/>
      <c r="AK1136" s="327"/>
      <c r="AL1136" s="598"/>
      <c r="AM1136" s="326"/>
      <c r="AN1136" s="326"/>
      <c r="AO1136" s="326"/>
      <c r="AP1136" s="326"/>
      <c r="AQ1136" s="326"/>
      <c r="AR1136" s="326"/>
      <c r="AS1136" s="326"/>
      <c r="AT1136" s="326"/>
      <c r="AU1136" s="326"/>
      <c r="AV1136" s="326"/>
      <c r="AW1136" s="326"/>
      <c r="AX1136" s="326"/>
      <c r="AY1136" s="326"/>
      <c r="AZ1136" s="326"/>
      <c r="BA1136" s="326"/>
      <c r="BB1136" s="327"/>
    </row>
    <row r="1137" spans="1:54" ht="15.75" customHeight="1" x14ac:dyDescent="0.25">
      <c r="A1137" s="11">
        <f t="shared" si="4"/>
        <v>1124</v>
      </c>
      <c r="B1137" s="504" t="str">
        <f>'refer admin discharge'!B1133</f>
        <v>x</v>
      </c>
      <c r="C1137" s="327"/>
      <c r="D1137" s="505" t="str">
        <f>'refer admin discharge'!D1133</f>
        <v>xx</v>
      </c>
      <c r="E1137" s="327"/>
      <c r="F1137" s="606" t="str">
        <f>'refer admin discharge'!H1133</f>
        <v>00/00/0000</v>
      </c>
      <c r="G1137" s="327"/>
      <c r="H1137" s="594"/>
      <c r="I1137" s="327"/>
      <c r="J1137" s="605"/>
      <c r="K1137" s="327"/>
      <c r="L1137" s="594"/>
      <c r="M1137" s="327"/>
      <c r="N1137" s="575"/>
      <c r="O1137" s="327"/>
      <c r="P1137" s="594"/>
      <c r="Q1137" s="327"/>
      <c r="R1137" s="575"/>
      <c r="S1137" s="327"/>
      <c r="T1137" s="594"/>
      <c r="U1137" s="327"/>
      <c r="V1137" s="595" t="str">
        <f>'refer admin discharge'!H1138</f>
        <v>00/00/0000</v>
      </c>
      <c r="W1137" s="327"/>
      <c r="X1137" s="577"/>
      <c r="Y1137" s="327"/>
      <c r="Z1137" s="604"/>
      <c r="AA1137" s="327"/>
      <c r="AB1137" s="577"/>
      <c r="AC1137" s="327"/>
      <c r="AD1137" s="576"/>
      <c r="AE1137" s="327"/>
      <c r="AF1137" s="577"/>
      <c r="AG1137" s="327"/>
      <c r="AH1137" s="576"/>
      <c r="AI1137" s="327"/>
      <c r="AJ1137" s="577"/>
      <c r="AK1137" s="327"/>
      <c r="AL1137" s="602"/>
      <c r="AM1137" s="326"/>
      <c r="AN1137" s="326"/>
      <c r="AO1137" s="326"/>
      <c r="AP1137" s="326"/>
      <c r="AQ1137" s="326"/>
      <c r="AR1137" s="326"/>
      <c r="AS1137" s="326"/>
      <c r="AT1137" s="326"/>
      <c r="AU1137" s="326"/>
      <c r="AV1137" s="326"/>
      <c r="AW1137" s="326"/>
      <c r="AX1137" s="326"/>
      <c r="AY1137" s="326"/>
      <c r="AZ1137" s="326"/>
      <c r="BA1137" s="326"/>
      <c r="BB1137" s="327"/>
    </row>
    <row r="1138" spans="1:54" ht="15.75" customHeight="1" x14ac:dyDescent="0.25">
      <c r="A1138" s="11">
        <f t="shared" si="4"/>
        <v>1125</v>
      </c>
      <c r="B1138" s="570" t="str">
        <f>'refer admin discharge'!B1134</f>
        <v>x</v>
      </c>
      <c r="C1138" s="327"/>
      <c r="D1138" s="599" t="str">
        <f>'refer admin discharge'!D1134</f>
        <v>xx</v>
      </c>
      <c r="E1138" s="327"/>
      <c r="F1138" s="600" t="str">
        <f>'refer admin discharge'!H1134</f>
        <v>00/00/0000</v>
      </c>
      <c r="G1138" s="327"/>
      <c r="H1138" s="574"/>
      <c r="I1138" s="327"/>
      <c r="J1138" s="601"/>
      <c r="K1138" s="327"/>
      <c r="L1138" s="574"/>
      <c r="M1138" s="327"/>
      <c r="N1138" s="594"/>
      <c r="O1138" s="327"/>
      <c r="P1138" s="574"/>
      <c r="Q1138" s="327"/>
      <c r="R1138" s="594"/>
      <c r="S1138" s="327"/>
      <c r="T1138" s="574"/>
      <c r="U1138" s="327"/>
      <c r="V1138" s="595" t="str">
        <f>'refer admin discharge'!H1139</f>
        <v>00/00/0000</v>
      </c>
      <c r="W1138" s="327"/>
      <c r="X1138" s="596"/>
      <c r="Y1138" s="327"/>
      <c r="Z1138" s="597"/>
      <c r="AA1138" s="327"/>
      <c r="AB1138" s="596"/>
      <c r="AC1138" s="327"/>
      <c r="AD1138" s="577"/>
      <c r="AE1138" s="327"/>
      <c r="AF1138" s="596"/>
      <c r="AG1138" s="327"/>
      <c r="AH1138" s="577"/>
      <c r="AI1138" s="327"/>
      <c r="AJ1138" s="596"/>
      <c r="AK1138" s="327"/>
      <c r="AL1138" s="598"/>
      <c r="AM1138" s="326"/>
      <c r="AN1138" s="326"/>
      <c r="AO1138" s="326"/>
      <c r="AP1138" s="326"/>
      <c r="AQ1138" s="326"/>
      <c r="AR1138" s="326"/>
      <c r="AS1138" s="326"/>
      <c r="AT1138" s="326"/>
      <c r="AU1138" s="326"/>
      <c r="AV1138" s="326"/>
      <c r="AW1138" s="326"/>
      <c r="AX1138" s="326"/>
      <c r="AY1138" s="326"/>
      <c r="AZ1138" s="326"/>
      <c r="BA1138" s="326"/>
      <c r="BB1138" s="327"/>
    </row>
    <row r="1139" spans="1:54" ht="15.75" customHeight="1" x14ac:dyDescent="0.25">
      <c r="A1139" s="11">
        <f t="shared" si="4"/>
        <v>1126</v>
      </c>
      <c r="B1139" s="504" t="str">
        <f>'refer admin discharge'!B1135</f>
        <v>x</v>
      </c>
      <c r="C1139" s="327"/>
      <c r="D1139" s="505" t="str">
        <f>'refer admin discharge'!D1135</f>
        <v>xx</v>
      </c>
      <c r="E1139" s="327"/>
      <c r="F1139" s="606" t="str">
        <f>'refer admin discharge'!H1135</f>
        <v>00/00/0000</v>
      </c>
      <c r="G1139" s="327"/>
      <c r="H1139" s="594"/>
      <c r="I1139" s="327"/>
      <c r="J1139" s="605"/>
      <c r="K1139" s="327"/>
      <c r="L1139" s="594"/>
      <c r="M1139" s="327"/>
      <c r="N1139" s="575"/>
      <c r="O1139" s="327"/>
      <c r="P1139" s="594"/>
      <c r="Q1139" s="327"/>
      <c r="R1139" s="575"/>
      <c r="S1139" s="327"/>
      <c r="T1139" s="594"/>
      <c r="U1139" s="327"/>
      <c r="V1139" s="595" t="str">
        <f>'refer admin discharge'!H1140</f>
        <v>00/00/0000</v>
      </c>
      <c r="W1139" s="327"/>
      <c r="X1139" s="577"/>
      <c r="Y1139" s="327"/>
      <c r="Z1139" s="604"/>
      <c r="AA1139" s="327"/>
      <c r="AB1139" s="577"/>
      <c r="AC1139" s="327"/>
      <c r="AD1139" s="576"/>
      <c r="AE1139" s="327"/>
      <c r="AF1139" s="577"/>
      <c r="AG1139" s="327"/>
      <c r="AH1139" s="576"/>
      <c r="AI1139" s="327"/>
      <c r="AJ1139" s="577"/>
      <c r="AK1139" s="327"/>
      <c r="AL1139" s="602"/>
      <c r="AM1139" s="326"/>
      <c r="AN1139" s="326"/>
      <c r="AO1139" s="326"/>
      <c r="AP1139" s="326"/>
      <c r="AQ1139" s="326"/>
      <c r="AR1139" s="326"/>
      <c r="AS1139" s="326"/>
      <c r="AT1139" s="326"/>
      <c r="AU1139" s="326"/>
      <c r="AV1139" s="326"/>
      <c r="AW1139" s="326"/>
      <c r="AX1139" s="326"/>
      <c r="AY1139" s="326"/>
      <c r="AZ1139" s="326"/>
      <c r="BA1139" s="326"/>
      <c r="BB1139" s="327"/>
    </row>
    <row r="1140" spans="1:54" ht="15.75" customHeight="1" x14ac:dyDescent="0.25">
      <c r="A1140" s="11">
        <f t="shared" si="4"/>
        <v>1127</v>
      </c>
      <c r="B1140" s="570" t="str">
        <f>'refer admin discharge'!B1136</f>
        <v>x</v>
      </c>
      <c r="C1140" s="327"/>
      <c r="D1140" s="599" t="str">
        <f>'refer admin discharge'!D1136</f>
        <v>xx</v>
      </c>
      <c r="E1140" s="327"/>
      <c r="F1140" s="600" t="str">
        <f>'refer admin discharge'!H1136</f>
        <v>00/00/0000</v>
      </c>
      <c r="G1140" s="327"/>
      <c r="H1140" s="574"/>
      <c r="I1140" s="327"/>
      <c r="J1140" s="601"/>
      <c r="K1140" s="327"/>
      <c r="L1140" s="574"/>
      <c r="M1140" s="327"/>
      <c r="N1140" s="594"/>
      <c r="O1140" s="327"/>
      <c r="P1140" s="574"/>
      <c r="Q1140" s="327"/>
      <c r="R1140" s="594"/>
      <c r="S1140" s="327"/>
      <c r="T1140" s="574"/>
      <c r="U1140" s="327"/>
      <c r="V1140" s="595" t="str">
        <f>'refer admin discharge'!H1141</f>
        <v>00/00/0000</v>
      </c>
      <c r="W1140" s="327"/>
      <c r="X1140" s="596"/>
      <c r="Y1140" s="327"/>
      <c r="Z1140" s="597"/>
      <c r="AA1140" s="327"/>
      <c r="AB1140" s="596"/>
      <c r="AC1140" s="327"/>
      <c r="AD1140" s="577"/>
      <c r="AE1140" s="327"/>
      <c r="AF1140" s="596"/>
      <c r="AG1140" s="327"/>
      <c r="AH1140" s="577"/>
      <c r="AI1140" s="327"/>
      <c r="AJ1140" s="596"/>
      <c r="AK1140" s="327"/>
      <c r="AL1140" s="598"/>
      <c r="AM1140" s="326"/>
      <c r="AN1140" s="326"/>
      <c r="AO1140" s="326"/>
      <c r="AP1140" s="326"/>
      <c r="AQ1140" s="326"/>
      <c r="AR1140" s="326"/>
      <c r="AS1140" s="326"/>
      <c r="AT1140" s="326"/>
      <c r="AU1140" s="326"/>
      <c r="AV1140" s="326"/>
      <c r="AW1140" s="326"/>
      <c r="AX1140" s="326"/>
      <c r="AY1140" s="326"/>
      <c r="AZ1140" s="326"/>
      <c r="BA1140" s="326"/>
      <c r="BB1140" s="327"/>
    </row>
    <row r="1141" spans="1:54" ht="15.75" customHeight="1" x14ac:dyDescent="0.25">
      <c r="A1141" s="11">
        <f t="shared" si="4"/>
        <v>1128</v>
      </c>
      <c r="B1141" s="504" t="str">
        <f>'refer admin discharge'!B1137</f>
        <v>x</v>
      </c>
      <c r="C1141" s="327"/>
      <c r="D1141" s="505" t="str">
        <f>'refer admin discharge'!D1137</f>
        <v>xx</v>
      </c>
      <c r="E1141" s="327"/>
      <c r="F1141" s="606" t="str">
        <f>'refer admin discharge'!H1137</f>
        <v>00/00/0000</v>
      </c>
      <c r="G1141" s="327"/>
      <c r="H1141" s="594"/>
      <c r="I1141" s="327"/>
      <c r="J1141" s="605"/>
      <c r="K1141" s="327"/>
      <c r="L1141" s="594"/>
      <c r="M1141" s="327"/>
      <c r="N1141" s="575"/>
      <c r="O1141" s="327"/>
      <c r="P1141" s="594"/>
      <c r="Q1141" s="327"/>
      <c r="R1141" s="575"/>
      <c r="S1141" s="327"/>
      <c r="T1141" s="594"/>
      <c r="U1141" s="327"/>
      <c r="V1141" s="595" t="str">
        <f>'refer admin discharge'!H1142</f>
        <v>00/00/0000</v>
      </c>
      <c r="W1141" s="327"/>
      <c r="X1141" s="577"/>
      <c r="Y1141" s="327"/>
      <c r="Z1141" s="604"/>
      <c r="AA1141" s="327"/>
      <c r="AB1141" s="577"/>
      <c r="AC1141" s="327"/>
      <c r="AD1141" s="576"/>
      <c r="AE1141" s="327"/>
      <c r="AF1141" s="577"/>
      <c r="AG1141" s="327"/>
      <c r="AH1141" s="576"/>
      <c r="AI1141" s="327"/>
      <c r="AJ1141" s="577"/>
      <c r="AK1141" s="327"/>
      <c r="AL1141" s="602"/>
      <c r="AM1141" s="326"/>
      <c r="AN1141" s="326"/>
      <c r="AO1141" s="326"/>
      <c r="AP1141" s="326"/>
      <c r="AQ1141" s="326"/>
      <c r="AR1141" s="326"/>
      <c r="AS1141" s="326"/>
      <c r="AT1141" s="326"/>
      <c r="AU1141" s="326"/>
      <c r="AV1141" s="326"/>
      <c r="AW1141" s="326"/>
      <c r="AX1141" s="326"/>
      <c r="AY1141" s="326"/>
      <c r="AZ1141" s="326"/>
      <c r="BA1141" s="326"/>
      <c r="BB1141" s="327"/>
    </row>
    <row r="1142" spans="1:54" ht="15.75" customHeight="1" x14ac:dyDescent="0.25">
      <c r="A1142" s="11">
        <f t="shared" si="4"/>
        <v>1129</v>
      </c>
      <c r="B1142" s="570" t="str">
        <f>'refer admin discharge'!B1138</f>
        <v>x</v>
      </c>
      <c r="C1142" s="327"/>
      <c r="D1142" s="599" t="str">
        <f>'refer admin discharge'!D1138</f>
        <v>xx</v>
      </c>
      <c r="E1142" s="327"/>
      <c r="F1142" s="600" t="str">
        <f>'refer admin discharge'!H1138</f>
        <v>00/00/0000</v>
      </c>
      <c r="G1142" s="327"/>
      <c r="H1142" s="574"/>
      <c r="I1142" s="327"/>
      <c r="J1142" s="601"/>
      <c r="K1142" s="327"/>
      <c r="L1142" s="574"/>
      <c r="M1142" s="327"/>
      <c r="N1142" s="594"/>
      <c r="O1142" s="327"/>
      <c r="P1142" s="574"/>
      <c r="Q1142" s="327"/>
      <c r="R1142" s="594"/>
      <c r="S1142" s="327"/>
      <c r="T1142" s="574"/>
      <c r="U1142" s="327"/>
      <c r="V1142" s="595" t="str">
        <f>'refer admin discharge'!H1143</f>
        <v>00/00/0000</v>
      </c>
      <c r="W1142" s="327"/>
      <c r="X1142" s="596"/>
      <c r="Y1142" s="327"/>
      <c r="Z1142" s="597"/>
      <c r="AA1142" s="327"/>
      <c r="AB1142" s="596"/>
      <c r="AC1142" s="327"/>
      <c r="AD1142" s="577"/>
      <c r="AE1142" s="327"/>
      <c r="AF1142" s="596"/>
      <c r="AG1142" s="327"/>
      <c r="AH1142" s="577"/>
      <c r="AI1142" s="327"/>
      <c r="AJ1142" s="596"/>
      <c r="AK1142" s="327"/>
      <c r="AL1142" s="598"/>
      <c r="AM1142" s="326"/>
      <c r="AN1142" s="326"/>
      <c r="AO1142" s="326"/>
      <c r="AP1142" s="326"/>
      <c r="AQ1142" s="326"/>
      <c r="AR1142" s="326"/>
      <c r="AS1142" s="326"/>
      <c r="AT1142" s="326"/>
      <c r="AU1142" s="326"/>
      <c r="AV1142" s="326"/>
      <c r="AW1142" s="326"/>
      <c r="AX1142" s="326"/>
      <c r="AY1142" s="326"/>
      <c r="AZ1142" s="326"/>
      <c r="BA1142" s="326"/>
      <c r="BB1142" s="327"/>
    </row>
    <row r="1143" spans="1:54" ht="15.75" customHeight="1" x14ac:dyDescent="0.25">
      <c r="A1143" s="11">
        <f t="shared" si="4"/>
        <v>1130</v>
      </c>
      <c r="B1143" s="504" t="str">
        <f>'refer admin discharge'!B1139</f>
        <v>x</v>
      </c>
      <c r="C1143" s="327"/>
      <c r="D1143" s="505" t="str">
        <f>'refer admin discharge'!D1139</f>
        <v>xx</v>
      </c>
      <c r="E1143" s="327"/>
      <c r="F1143" s="606" t="str">
        <f>'refer admin discharge'!H1139</f>
        <v>00/00/0000</v>
      </c>
      <c r="G1143" s="327"/>
      <c r="H1143" s="594"/>
      <c r="I1143" s="327"/>
      <c r="J1143" s="605"/>
      <c r="K1143" s="327"/>
      <c r="L1143" s="594"/>
      <c r="M1143" s="327"/>
      <c r="N1143" s="575"/>
      <c r="O1143" s="327"/>
      <c r="P1143" s="594"/>
      <c r="Q1143" s="327"/>
      <c r="R1143" s="575"/>
      <c r="S1143" s="327"/>
      <c r="T1143" s="594"/>
      <c r="U1143" s="327"/>
      <c r="V1143" s="595" t="str">
        <f>'refer admin discharge'!H1144</f>
        <v>00/00/0000</v>
      </c>
      <c r="W1143" s="327"/>
      <c r="X1143" s="577"/>
      <c r="Y1143" s="327"/>
      <c r="Z1143" s="604"/>
      <c r="AA1143" s="327"/>
      <c r="AB1143" s="577"/>
      <c r="AC1143" s="327"/>
      <c r="AD1143" s="576"/>
      <c r="AE1143" s="327"/>
      <c r="AF1143" s="577"/>
      <c r="AG1143" s="327"/>
      <c r="AH1143" s="576"/>
      <c r="AI1143" s="327"/>
      <c r="AJ1143" s="577"/>
      <c r="AK1143" s="327"/>
      <c r="AL1143" s="602"/>
      <c r="AM1143" s="326"/>
      <c r="AN1143" s="326"/>
      <c r="AO1143" s="326"/>
      <c r="AP1143" s="326"/>
      <c r="AQ1143" s="326"/>
      <c r="AR1143" s="326"/>
      <c r="AS1143" s="326"/>
      <c r="AT1143" s="326"/>
      <c r="AU1143" s="326"/>
      <c r="AV1143" s="326"/>
      <c r="AW1143" s="326"/>
      <c r="AX1143" s="326"/>
      <c r="AY1143" s="326"/>
      <c r="AZ1143" s="326"/>
      <c r="BA1143" s="326"/>
      <c r="BB1143" s="327"/>
    </row>
    <row r="1144" spans="1:54" ht="15.75" customHeight="1" x14ac:dyDescent="0.25">
      <c r="A1144" s="11">
        <f t="shared" si="4"/>
        <v>1131</v>
      </c>
      <c r="B1144" s="570" t="str">
        <f>'refer admin discharge'!B1140</f>
        <v>x</v>
      </c>
      <c r="C1144" s="327"/>
      <c r="D1144" s="599" t="str">
        <f>'refer admin discharge'!D1140</f>
        <v>xx</v>
      </c>
      <c r="E1144" s="327"/>
      <c r="F1144" s="600" t="str">
        <f>'refer admin discharge'!H1140</f>
        <v>00/00/0000</v>
      </c>
      <c r="G1144" s="327"/>
      <c r="H1144" s="574"/>
      <c r="I1144" s="327"/>
      <c r="J1144" s="601"/>
      <c r="K1144" s="327"/>
      <c r="L1144" s="574"/>
      <c r="M1144" s="327"/>
      <c r="N1144" s="594"/>
      <c r="O1144" s="327"/>
      <c r="P1144" s="574"/>
      <c r="Q1144" s="327"/>
      <c r="R1144" s="594"/>
      <c r="S1144" s="327"/>
      <c r="T1144" s="574"/>
      <c r="U1144" s="327"/>
      <c r="V1144" s="595" t="str">
        <f>'refer admin discharge'!H1145</f>
        <v>00/00/0000</v>
      </c>
      <c r="W1144" s="327"/>
      <c r="X1144" s="596"/>
      <c r="Y1144" s="327"/>
      <c r="Z1144" s="597"/>
      <c r="AA1144" s="327"/>
      <c r="AB1144" s="596"/>
      <c r="AC1144" s="327"/>
      <c r="AD1144" s="577"/>
      <c r="AE1144" s="327"/>
      <c r="AF1144" s="596"/>
      <c r="AG1144" s="327"/>
      <c r="AH1144" s="577"/>
      <c r="AI1144" s="327"/>
      <c r="AJ1144" s="596"/>
      <c r="AK1144" s="327"/>
      <c r="AL1144" s="598"/>
      <c r="AM1144" s="326"/>
      <c r="AN1144" s="326"/>
      <c r="AO1144" s="326"/>
      <c r="AP1144" s="326"/>
      <c r="AQ1144" s="326"/>
      <c r="AR1144" s="326"/>
      <c r="AS1144" s="326"/>
      <c r="AT1144" s="326"/>
      <c r="AU1144" s="326"/>
      <c r="AV1144" s="326"/>
      <c r="AW1144" s="326"/>
      <c r="AX1144" s="326"/>
      <c r="AY1144" s="326"/>
      <c r="AZ1144" s="326"/>
      <c r="BA1144" s="326"/>
      <c r="BB1144" s="327"/>
    </row>
    <row r="1145" spans="1:54" ht="15.75" customHeight="1" x14ac:dyDescent="0.25">
      <c r="A1145" s="11">
        <f t="shared" si="4"/>
        <v>1132</v>
      </c>
      <c r="B1145" s="504" t="str">
        <f>'refer admin discharge'!B1141</f>
        <v>x</v>
      </c>
      <c r="C1145" s="327"/>
      <c r="D1145" s="505" t="str">
        <f>'refer admin discharge'!D1141</f>
        <v>xx</v>
      </c>
      <c r="E1145" s="327"/>
      <c r="F1145" s="606" t="str">
        <f>'refer admin discharge'!H1141</f>
        <v>00/00/0000</v>
      </c>
      <c r="G1145" s="327"/>
      <c r="H1145" s="594"/>
      <c r="I1145" s="327"/>
      <c r="J1145" s="605"/>
      <c r="K1145" s="327"/>
      <c r="L1145" s="594"/>
      <c r="M1145" s="327"/>
      <c r="N1145" s="575"/>
      <c r="O1145" s="327"/>
      <c r="P1145" s="594"/>
      <c r="Q1145" s="327"/>
      <c r="R1145" s="575"/>
      <c r="S1145" s="327"/>
      <c r="T1145" s="594"/>
      <c r="U1145" s="327"/>
      <c r="V1145" s="595" t="str">
        <f>'refer admin discharge'!H1146</f>
        <v>00/00/0000</v>
      </c>
      <c r="W1145" s="327"/>
      <c r="X1145" s="577"/>
      <c r="Y1145" s="327"/>
      <c r="Z1145" s="604"/>
      <c r="AA1145" s="327"/>
      <c r="AB1145" s="577"/>
      <c r="AC1145" s="327"/>
      <c r="AD1145" s="576"/>
      <c r="AE1145" s="327"/>
      <c r="AF1145" s="577"/>
      <c r="AG1145" s="327"/>
      <c r="AH1145" s="576"/>
      <c r="AI1145" s="327"/>
      <c r="AJ1145" s="577"/>
      <c r="AK1145" s="327"/>
      <c r="AL1145" s="602"/>
      <c r="AM1145" s="326"/>
      <c r="AN1145" s="326"/>
      <c r="AO1145" s="326"/>
      <c r="AP1145" s="326"/>
      <c r="AQ1145" s="326"/>
      <c r="AR1145" s="326"/>
      <c r="AS1145" s="326"/>
      <c r="AT1145" s="326"/>
      <c r="AU1145" s="326"/>
      <c r="AV1145" s="326"/>
      <c r="AW1145" s="326"/>
      <c r="AX1145" s="326"/>
      <c r="AY1145" s="326"/>
      <c r="AZ1145" s="326"/>
      <c r="BA1145" s="326"/>
      <c r="BB1145" s="327"/>
    </row>
    <row r="1146" spans="1:54" ht="15.75" customHeight="1" x14ac:dyDescent="0.25">
      <c r="A1146" s="11">
        <f t="shared" si="4"/>
        <v>1133</v>
      </c>
      <c r="B1146" s="570" t="str">
        <f>'refer admin discharge'!B1142</f>
        <v>x</v>
      </c>
      <c r="C1146" s="327"/>
      <c r="D1146" s="599" t="str">
        <f>'refer admin discharge'!D1142</f>
        <v>xx</v>
      </c>
      <c r="E1146" s="327"/>
      <c r="F1146" s="600" t="str">
        <f>'refer admin discharge'!H1142</f>
        <v>00/00/0000</v>
      </c>
      <c r="G1146" s="327"/>
      <c r="H1146" s="574"/>
      <c r="I1146" s="327"/>
      <c r="J1146" s="601"/>
      <c r="K1146" s="327"/>
      <c r="L1146" s="574"/>
      <c r="M1146" s="327"/>
      <c r="N1146" s="594"/>
      <c r="O1146" s="327"/>
      <c r="P1146" s="574"/>
      <c r="Q1146" s="327"/>
      <c r="R1146" s="594"/>
      <c r="S1146" s="327"/>
      <c r="T1146" s="574"/>
      <c r="U1146" s="327"/>
      <c r="V1146" s="595" t="str">
        <f>'refer admin discharge'!H1147</f>
        <v>00/00/0000</v>
      </c>
      <c r="W1146" s="327"/>
      <c r="X1146" s="596"/>
      <c r="Y1146" s="327"/>
      <c r="Z1146" s="597"/>
      <c r="AA1146" s="327"/>
      <c r="AB1146" s="596"/>
      <c r="AC1146" s="327"/>
      <c r="AD1146" s="577"/>
      <c r="AE1146" s="327"/>
      <c r="AF1146" s="596"/>
      <c r="AG1146" s="327"/>
      <c r="AH1146" s="577"/>
      <c r="AI1146" s="327"/>
      <c r="AJ1146" s="596"/>
      <c r="AK1146" s="327"/>
      <c r="AL1146" s="598"/>
      <c r="AM1146" s="326"/>
      <c r="AN1146" s="326"/>
      <c r="AO1146" s="326"/>
      <c r="AP1146" s="326"/>
      <c r="AQ1146" s="326"/>
      <c r="AR1146" s="326"/>
      <c r="AS1146" s="326"/>
      <c r="AT1146" s="326"/>
      <c r="AU1146" s="326"/>
      <c r="AV1146" s="326"/>
      <c r="AW1146" s="326"/>
      <c r="AX1146" s="326"/>
      <c r="AY1146" s="326"/>
      <c r="AZ1146" s="326"/>
      <c r="BA1146" s="326"/>
      <c r="BB1146" s="327"/>
    </row>
    <row r="1147" spans="1:54" ht="15.75" customHeight="1" x14ac:dyDescent="0.25">
      <c r="A1147" s="11">
        <f t="shared" si="4"/>
        <v>1134</v>
      </c>
      <c r="B1147" s="504" t="str">
        <f>'refer admin discharge'!B1143</f>
        <v>x</v>
      </c>
      <c r="C1147" s="327"/>
      <c r="D1147" s="505" t="str">
        <f>'refer admin discharge'!D1143</f>
        <v>xx</v>
      </c>
      <c r="E1147" s="327"/>
      <c r="F1147" s="606" t="str">
        <f>'refer admin discharge'!H1143</f>
        <v>00/00/0000</v>
      </c>
      <c r="G1147" s="327"/>
      <c r="H1147" s="594"/>
      <c r="I1147" s="327"/>
      <c r="J1147" s="605"/>
      <c r="K1147" s="327"/>
      <c r="L1147" s="594"/>
      <c r="M1147" s="327"/>
      <c r="N1147" s="575"/>
      <c r="O1147" s="327"/>
      <c r="P1147" s="594"/>
      <c r="Q1147" s="327"/>
      <c r="R1147" s="575"/>
      <c r="S1147" s="327"/>
      <c r="T1147" s="594"/>
      <c r="U1147" s="327"/>
      <c r="V1147" s="595" t="str">
        <f>'refer admin discharge'!H1148</f>
        <v>00/00/0000</v>
      </c>
      <c r="W1147" s="327"/>
      <c r="X1147" s="577"/>
      <c r="Y1147" s="327"/>
      <c r="Z1147" s="604"/>
      <c r="AA1147" s="327"/>
      <c r="AB1147" s="577"/>
      <c r="AC1147" s="327"/>
      <c r="AD1147" s="576"/>
      <c r="AE1147" s="327"/>
      <c r="AF1147" s="577"/>
      <c r="AG1147" s="327"/>
      <c r="AH1147" s="576"/>
      <c r="AI1147" s="327"/>
      <c r="AJ1147" s="577"/>
      <c r="AK1147" s="327"/>
      <c r="AL1147" s="602"/>
      <c r="AM1147" s="326"/>
      <c r="AN1147" s="326"/>
      <c r="AO1147" s="326"/>
      <c r="AP1147" s="326"/>
      <c r="AQ1147" s="326"/>
      <c r="AR1147" s="326"/>
      <c r="AS1147" s="326"/>
      <c r="AT1147" s="326"/>
      <c r="AU1147" s="326"/>
      <c r="AV1147" s="326"/>
      <c r="AW1147" s="326"/>
      <c r="AX1147" s="326"/>
      <c r="AY1147" s="326"/>
      <c r="AZ1147" s="326"/>
      <c r="BA1147" s="326"/>
      <c r="BB1147" s="327"/>
    </row>
    <row r="1148" spans="1:54" ht="15.75" customHeight="1" x14ac:dyDescent="0.25">
      <c r="A1148" s="11">
        <f t="shared" si="4"/>
        <v>1135</v>
      </c>
      <c r="B1148" s="570" t="str">
        <f>'refer admin discharge'!B1144</f>
        <v>x</v>
      </c>
      <c r="C1148" s="327"/>
      <c r="D1148" s="599" t="str">
        <f>'refer admin discharge'!D1144</f>
        <v>xx</v>
      </c>
      <c r="E1148" s="327"/>
      <c r="F1148" s="600" t="str">
        <f>'refer admin discharge'!H1144</f>
        <v>00/00/0000</v>
      </c>
      <c r="G1148" s="327"/>
      <c r="H1148" s="574"/>
      <c r="I1148" s="327"/>
      <c r="J1148" s="601"/>
      <c r="K1148" s="327"/>
      <c r="L1148" s="574"/>
      <c r="M1148" s="327"/>
      <c r="N1148" s="594"/>
      <c r="O1148" s="327"/>
      <c r="P1148" s="574"/>
      <c r="Q1148" s="327"/>
      <c r="R1148" s="594"/>
      <c r="S1148" s="327"/>
      <c r="T1148" s="574"/>
      <c r="U1148" s="327"/>
      <c r="V1148" s="595" t="str">
        <f>'refer admin discharge'!H1149</f>
        <v>00/00/0000</v>
      </c>
      <c r="W1148" s="327"/>
      <c r="X1148" s="596"/>
      <c r="Y1148" s="327"/>
      <c r="Z1148" s="597"/>
      <c r="AA1148" s="327"/>
      <c r="AB1148" s="596"/>
      <c r="AC1148" s="327"/>
      <c r="AD1148" s="577"/>
      <c r="AE1148" s="327"/>
      <c r="AF1148" s="596"/>
      <c r="AG1148" s="327"/>
      <c r="AH1148" s="577"/>
      <c r="AI1148" s="327"/>
      <c r="AJ1148" s="596"/>
      <c r="AK1148" s="327"/>
      <c r="AL1148" s="598"/>
      <c r="AM1148" s="326"/>
      <c r="AN1148" s="326"/>
      <c r="AO1148" s="326"/>
      <c r="AP1148" s="326"/>
      <c r="AQ1148" s="326"/>
      <c r="AR1148" s="326"/>
      <c r="AS1148" s="326"/>
      <c r="AT1148" s="326"/>
      <c r="AU1148" s="326"/>
      <c r="AV1148" s="326"/>
      <c r="AW1148" s="326"/>
      <c r="AX1148" s="326"/>
      <c r="AY1148" s="326"/>
      <c r="AZ1148" s="326"/>
      <c r="BA1148" s="326"/>
      <c r="BB1148" s="327"/>
    </row>
    <row r="1149" spans="1:54" ht="15.75" customHeight="1" x14ac:dyDescent="0.25">
      <c r="A1149" s="11">
        <f t="shared" si="4"/>
        <v>1136</v>
      </c>
      <c r="B1149" s="504" t="str">
        <f>'refer admin discharge'!B1145</f>
        <v>x</v>
      </c>
      <c r="C1149" s="327"/>
      <c r="D1149" s="505" t="str">
        <f>'refer admin discharge'!D1145</f>
        <v>xx</v>
      </c>
      <c r="E1149" s="327"/>
      <c r="F1149" s="606" t="str">
        <f>'refer admin discharge'!H1145</f>
        <v>00/00/0000</v>
      </c>
      <c r="G1149" s="327"/>
      <c r="H1149" s="594"/>
      <c r="I1149" s="327"/>
      <c r="J1149" s="605"/>
      <c r="K1149" s="327"/>
      <c r="L1149" s="594"/>
      <c r="M1149" s="327"/>
      <c r="N1149" s="575"/>
      <c r="O1149" s="327"/>
      <c r="P1149" s="594"/>
      <c r="Q1149" s="327"/>
      <c r="R1149" s="575"/>
      <c r="S1149" s="327"/>
      <c r="T1149" s="594"/>
      <c r="U1149" s="327"/>
      <c r="V1149" s="595" t="str">
        <f>'refer admin discharge'!H1150</f>
        <v>00/00/0000</v>
      </c>
      <c r="W1149" s="327"/>
      <c r="X1149" s="577"/>
      <c r="Y1149" s="327"/>
      <c r="Z1149" s="604"/>
      <c r="AA1149" s="327"/>
      <c r="AB1149" s="577"/>
      <c r="AC1149" s="327"/>
      <c r="AD1149" s="576"/>
      <c r="AE1149" s="327"/>
      <c r="AF1149" s="577"/>
      <c r="AG1149" s="327"/>
      <c r="AH1149" s="576"/>
      <c r="AI1149" s="327"/>
      <c r="AJ1149" s="577"/>
      <c r="AK1149" s="327"/>
      <c r="AL1149" s="602"/>
      <c r="AM1149" s="326"/>
      <c r="AN1149" s="326"/>
      <c r="AO1149" s="326"/>
      <c r="AP1149" s="326"/>
      <c r="AQ1149" s="326"/>
      <c r="AR1149" s="326"/>
      <c r="AS1149" s="326"/>
      <c r="AT1149" s="326"/>
      <c r="AU1149" s="326"/>
      <c r="AV1149" s="326"/>
      <c r="AW1149" s="326"/>
      <c r="AX1149" s="326"/>
      <c r="AY1149" s="326"/>
      <c r="AZ1149" s="326"/>
      <c r="BA1149" s="326"/>
      <c r="BB1149" s="327"/>
    </row>
    <row r="1150" spans="1:54" ht="15.75" customHeight="1" x14ac:dyDescent="0.25">
      <c r="A1150" s="11">
        <f t="shared" si="4"/>
        <v>1137</v>
      </c>
      <c r="B1150" s="570" t="str">
        <f>'refer admin discharge'!B1146</f>
        <v>x</v>
      </c>
      <c r="C1150" s="327"/>
      <c r="D1150" s="599" t="str">
        <f>'refer admin discharge'!D1146</f>
        <v>xx</v>
      </c>
      <c r="E1150" s="327"/>
      <c r="F1150" s="600" t="str">
        <f>'refer admin discharge'!H1146</f>
        <v>00/00/0000</v>
      </c>
      <c r="G1150" s="327"/>
      <c r="H1150" s="574"/>
      <c r="I1150" s="327"/>
      <c r="J1150" s="601"/>
      <c r="K1150" s="327"/>
      <c r="L1150" s="574"/>
      <c r="M1150" s="327"/>
      <c r="N1150" s="594"/>
      <c r="O1150" s="327"/>
      <c r="P1150" s="574"/>
      <c r="Q1150" s="327"/>
      <c r="R1150" s="594"/>
      <c r="S1150" s="327"/>
      <c r="T1150" s="574"/>
      <c r="U1150" s="327"/>
      <c r="V1150" s="595" t="str">
        <f>'refer admin discharge'!H1151</f>
        <v>00/00/0000</v>
      </c>
      <c r="W1150" s="327"/>
      <c r="X1150" s="596"/>
      <c r="Y1150" s="327"/>
      <c r="Z1150" s="597"/>
      <c r="AA1150" s="327"/>
      <c r="AB1150" s="596"/>
      <c r="AC1150" s="327"/>
      <c r="AD1150" s="577"/>
      <c r="AE1150" s="327"/>
      <c r="AF1150" s="596"/>
      <c r="AG1150" s="327"/>
      <c r="AH1150" s="577"/>
      <c r="AI1150" s="327"/>
      <c r="AJ1150" s="596"/>
      <c r="AK1150" s="327"/>
      <c r="AL1150" s="598"/>
      <c r="AM1150" s="326"/>
      <c r="AN1150" s="326"/>
      <c r="AO1150" s="326"/>
      <c r="AP1150" s="326"/>
      <c r="AQ1150" s="326"/>
      <c r="AR1150" s="326"/>
      <c r="AS1150" s="326"/>
      <c r="AT1150" s="326"/>
      <c r="AU1150" s="326"/>
      <c r="AV1150" s="326"/>
      <c r="AW1150" s="326"/>
      <c r="AX1150" s="326"/>
      <c r="AY1150" s="326"/>
      <c r="AZ1150" s="326"/>
      <c r="BA1150" s="326"/>
      <c r="BB1150" s="327"/>
    </row>
    <row r="1151" spans="1:54" ht="15.75" customHeight="1" x14ac:dyDescent="0.25">
      <c r="A1151" s="11">
        <f t="shared" si="4"/>
        <v>1138</v>
      </c>
      <c r="B1151" s="504" t="str">
        <f>'refer admin discharge'!B1147</f>
        <v>x</v>
      </c>
      <c r="C1151" s="327"/>
      <c r="D1151" s="505" t="str">
        <f>'refer admin discharge'!D1147</f>
        <v>xx</v>
      </c>
      <c r="E1151" s="327"/>
      <c r="F1151" s="606" t="str">
        <f>'refer admin discharge'!H1147</f>
        <v>00/00/0000</v>
      </c>
      <c r="G1151" s="327"/>
      <c r="H1151" s="594"/>
      <c r="I1151" s="327"/>
      <c r="J1151" s="605"/>
      <c r="K1151" s="327"/>
      <c r="L1151" s="594"/>
      <c r="M1151" s="327"/>
      <c r="N1151" s="575"/>
      <c r="O1151" s="327"/>
      <c r="P1151" s="594"/>
      <c r="Q1151" s="327"/>
      <c r="R1151" s="575"/>
      <c r="S1151" s="327"/>
      <c r="T1151" s="594"/>
      <c r="U1151" s="327"/>
      <c r="V1151" s="595" t="str">
        <f>'refer admin discharge'!H1152</f>
        <v>00/00/0000</v>
      </c>
      <c r="W1151" s="327"/>
      <c r="X1151" s="577"/>
      <c r="Y1151" s="327"/>
      <c r="Z1151" s="604"/>
      <c r="AA1151" s="327"/>
      <c r="AB1151" s="577"/>
      <c r="AC1151" s="327"/>
      <c r="AD1151" s="576"/>
      <c r="AE1151" s="327"/>
      <c r="AF1151" s="577"/>
      <c r="AG1151" s="327"/>
      <c r="AH1151" s="576"/>
      <c r="AI1151" s="327"/>
      <c r="AJ1151" s="577"/>
      <c r="AK1151" s="327"/>
      <c r="AL1151" s="602"/>
      <c r="AM1151" s="326"/>
      <c r="AN1151" s="326"/>
      <c r="AO1151" s="326"/>
      <c r="AP1151" s="326"/>
      <c r="AQ1151" s="326"/>
      <c r="AR1151" s="326"/>
      <c r="AS1151" s="326"/>
      <c r="AT1151" s="326"/>
      <c r="AU1151" s="326"/>
      <c r="AV1151" s="326"/>
      <c r="AW1151" s="326"/>
      <c r="AX1151" s="326"/>
      <c r="AY1151" s="326"/>
      <c r="AZ1151" s="326"/>
      <c r="BA1151" s="326"/>
      <c r="BB1151" s="327"/>
    </row>
    <row r="1152" spans="1:54" ht="15.75" customHeight="1" x14ac:dyDescent="0.25">
      <c r="A1152" s="11">
        <f t="shared" si="4"/>
        <v>1139</v>
      </c>
      <c r="B1152" s="570" t="str">
        <f>'refer admin discharge'!B1148</f>
        <v>x</v>
      </c>
      <c r="C1152" s="327"/>
      <c r="D1152" s="599" t="str">
        <f>'refer admin discharge'!D1148</f>
        <v>xx</v>
      </c>
      <c r="E1152" s="327"/>
      <c r="F1152" s="600" t="str">
        <f>'refer admin discharge'!H1148</f>
        <v>00/00/0000</v>
      </c>
      <c r="G1152" s="327"/>
      <c r="H1152" s="574"/>
      <c r="I1152" s="327"/>
      <c r="J1152" s="601"/>
      <c r="K1152" s="327"/>
      <c r="L1152" s="574"/>
      <c r="M1152" s="327"/>
      <c r="N1152" s="594"/>
      <c r="O1152" s="327"/>
      <c r="P1152" s="574"/>
      <c r="Q1152" s="327"/>
      <c r="R1152" s="594"/>
      <c r="S1152" s="327"/>
      <c r="T1152" s="574"/>
      <c r="U1152" s="327"/>
      <c r="V1152" s="595" t="str">
        <f>'refer admin discharge'!H1153</f>
        <v>00/00/0000</v>
      </c>
      <c r="W1152" s="327"/>
      <c r="X1152" s="596"/>
      <c r="Y1152" s="327"/>
      <c r="Z1152" s="597"/>
      <c r="AA1152" s="327"/>
      <c r="AB1152" s="596"/>
      <c r="AC1152" s="327"/>
      <c r="AD1152" s="577"/>
      <c r="AE1152" s="327"/>
      <c r="AF1152" s="596"/>
      <c r="AG1152" s="327"/>
      <c r="AH1152" s="577"/>
      <c r="AI1152" s="327"/>
      <c r="AJ1152" s="596"/>
      <c r="AK1152" s="327"/>
      <c r="AL1152" s="598"/>
      <c r="AM1152" s="326"/>
      <c r="AN1152" s="326"/>
      <c r="AO1152" s="326"/>
      <c r="AP1152" s="326"/>
      <c r="AQ1152" s="326"/>
      <c r="AR1152" s="326"/>
      <c r="AS1152" s="326"/>
      <c r="AT1152" s="326"/>
      <c r="AU1152" s="326"/>
      <c r="AV1152" s="326"/>
      <c r="AW1152" s="326"/>
      <c r="AX1152" s="326"/>
      <c r="AY1152" s="326"/>
      <c r="AZ1152" s="326"/>
      <c r="BA1152" s="326"/>
      <c r="BB1152" s="327"/>
    </row>
    <row r="1153" spans="1:54" ht="15.75" customHeight="1" x14ac:dyDescent="0.25">
      <c r="A1153" s="11">
        <f t="shared" si="4"/>
        <v>1140</v>
      </c>
      <c r="B1153" s="504" t="str">
        <f>'refer admin discharge'!B1149</f>
        <v>x</v>
      </c>
      <c r="C1153" s="327"/>
      <c r="D1153" s="505" t="str">
        <f>'refer admin discharge'!D1149</f>
        <v>xx</v>
      </c>
      <c r="E1153" s="327"/>
      <c r="F1153" s="606" t="str">
        <f>'refer admin discharge'!H1149</f>
        <v>00/00/0000</v>
      </c>
      <c r="G1153" s="327"/>
      <c r="H1153" s="594"/>
      <c r="I1153" s="327"/>
      <c r="J1153" s="605"/>
      <c r="K1153" s="327"/>
      <c r="L1153" s="594"/>
      <c r="M1153" s="327"/>
      <c r="N1153" s="575"/>
      <c r="O1153" s="327"/>
      <c r="P1153" s="594"/>
      <c r="Q1153" s="327"/>
      <c r="R1153" s="575"/>
      <c r="S1153" s="327"/>
      <c r="T1153" s="594"/>
      <c r="U1153" s="327"/>
      <c r="V1153" s="595" t="str">
        <f>'refer admin discharge'!H1154</f>
        <v>00/00/0000</v>
      </c>
      <c r="W1153" s="327"/>
      <c r="X1153" s="577"/>
      <c r="Y1153" s="327"/>
      <c r="Z1153" s="604"/>
      <c r="AA1153" s="327"/>
      <c r="AB1153" s="577"/>
      <c r="AC1153" s="327"/>
      <c r="AD1153" s="576"/>
      <c r="AE1153" s="327"/>
      <c r="AF1153" s="577"/>
      <c r="AG1153" s="327"/>
      <c r="AH1153" s="576"/>
      <c r="AI1153" s="327"/>
      <c r="AJ1153" s="577"/>
      <c r="AK1153" s="327"/>
      <c r="AL1153" s="602"/>
      <c r="AM1153" s="326"/>
      <c r="AN1153" s="326"/>
      <c r="AO1153" s="326"/>
      <c r="AP1153" s="326"/>
      <c r="AQ1153" s="326"/>
      <c r="AR1153" s="326"/>
      <c r="AS1153" s="326"/>
      <c r="AT1153" s="326"/>
      <c r="AU1153" s="326"/>
      <c r="AV1153" s="326"/>
      <c r="AW1153" s="326"/>
      <c r="AX1153" s="326"/>
      <c r="AY1153" s="326"/>
      <c r="AZ1153" s="326"/>
      <c r="BA1153" s="326"/>
      <c r="BB1153" s="327"/>
    </row>
    <row r="1154" spans="1:54" ht="15.75" customHeight="1" x14ac:dyDescent="0.25">
      <c r="A1154" s="11">
        <f t="shared" si="4"/>
        <v>1141</v>
      </c>
      <c r="B1154" s="570" t="str">
        <f>'refer admin discharge'!B1150</f>
        <v>x</v>
      </c>
      <c r="C1154" s="327"/>
      <c r="D1154" s="599" t="str">
        <f>'refer admin discharge'!D1150</f>
        <v>xx</v>
      </c>
      <c r="E1154" s="327"/>
      <c r="F1154" s="600" t="str">
        <f>'refer admin discharge'!H1150</f>
        <v>00/00/0000</v>
      </c>
      <c r="G1154" s="327"/>
      <c r="H1154" s="574"/>
      <c r="I1154" s="327"/>
      <c r="J1154" s="601"/>
      <c r="K1154" s="327"/>
      <c r="L1154" s="574"/>
      <c r="M1154" s="327"/>
      <c r="N1154" s="594"/>
      <c r="O1154" s="327"/>
      <c r="P1154" s="574"/>
      <c r="Q1154" s="327"/>
      <c r="R1154" s="594"/>
      <c r="S1154" s="327"/>
      <c r="T1154" s="574"/>
      <c r="U1154" s="327"/>
      <c r="V1154" s="595" t="str">
        <f>'refer admin discharge'!H1155</f>
        <v>00/00/0000</v>
      </c>
      <c r="W1154" s="327"/>
      <c r="X1154" s="596"/>
      <c r="Y1154" s="327"/>
      <c r="Z1154" s="597"/>
      <c r="AA1154" s="327"/>
      <c r="AB1154" s="596"/>
      <c r="AC1154" s="327"/>
      <c r="AD1154" s="577"/>
      <c r="AE1154" s="327"/>
      <c r="AF1154" s="596"/>
      <c r="AG1154" s="327"/>
      <c r="AH1154" s="577"/>
      <c r="AI1154" s="327"/>
      <c r="AJ1154" s="596"/>
      <c r="AK1154" s="327"/>
      <c r="AL1154" s="598"/>
      <c r="AM1154" s="326"/>
      <c r="AN1154" s="326"/>
      <c r="AO1154" s="326"/>
      <c r="AP1154" s="326"/>
      <c r="AQ1154" s="326"/>
      <c r="AR1154" s="326"/>
      <c r="AS1154" s="326"/>
      <c r="AT1154" s="326"/>
      <c r="AU1154" s="326"/>
      <c r="AV1154" s="326"/>
      <c r="AW1154" s="326"/>
      <c r="AX1154" s="326"/>
      <c r="AY1154" s="326"/>
      <c r="AZ1154" s="326"/>
      <c r="BA1154" s="326"/>
      <c r="BB1154" s="327"/>
    </row>
    <row r="1155" spans="1:54" ht="15.75" customHeight="1" x14ac:dyDescent="0.25">
      <c r="A1155" s="11">
        <f t="shared" si="4"/>
        <v>1142</v>
      </c>
      <c r="B1155" s="504" t="str">
        <f>'refer admin discharge'!B1151</f>
        <v>x</v>
      </c>
      <c r="C1155" s="327"/>
      <c r="D1155" s="505" t="str">
        <f>'refer admin discharge'!D1151</f>
        <v>xx</v>
      </c>
      <c r="E1155" s="327"/>
      <c r="F1155" s="606" t="str">
        <f>'refer admin discharge'!H1151</f>
        <v>00/00/0000</v>
      </c>
      <c r="G1155" s="327"/>
      <c r="H1155" s="594"/>
      <c r="I1155" s="327"/>
      <c r="J1155" s="605"/>
      <c r="K1155" s="327"/>
      <c r="L1155" s="594"/>
      <c r="M1155" s="327"/>
      <c r="N1155" s="575"/>
      <c r="O1155" s="327"/>
      <c r="P1155" s="594"/>
      <c r="Q1155" s="327"/>
      <c r="R1155" s="575"/>
      <c r="S1155" s="327"/>
      <c r="T1155" s="594"/>
      <c r="U1155" s="327"/>
      <c r="V1155" s="595" t="str">
        <f>'refer admin discharge'!H1156</f>
        <v>00/00/0000</v>
      </c>
      <c r="W1155" s="327"/>
      <c r="X1155" s="577"/>
      <c r="Y1155" s="327"/>
      <c r="Z1155" s="604"/>
      <c r="AA1155" s="327"/>
      <c r="AB1155" s="577"/>
      <c r="AC1155" s="327"/>
      <c r="AD1155" s="576"/>
      <c r="AE1155" s="327"/>
      <c r="AF1155" s="577"/>
      <c r="AG1155" s="327"/>
      <c r="AH1155" s="576"/>
      <c r="AI1155" s="327"/>
      <c r="AJ1155" s="577"/>
      <c r="AK1155" s="327"/>
      <c r="AL1155" s="602"/>
      <c r="AM1155" s="326"/>
      <c r="AN1155" s="326"/>
      <c r="AO1155" s="326"/>
      <c r="AP1155" s="326"/>
      <c r="AQ1155" s="326"/>
      <c r="AR1155" s="326"/>
      <c r="AS1155" s="326"/>
      <c r="AT1155" s="326"/>
      <c r="AU1155" s="326"/>
      <c r="AV1155" s="326"/>
      <c r="AW1155" s="326"/>
      <c r="AX1155" s="326"/>
      <c r="AY1155" s="326"/>
      <c r="AZ1155" s="326"/>
      <c r="BA1155" s="326"/>
      <c r="BB1155" s="327"/>
    </row>
    <row r="1156" spans="1:54" ht="15.75" customHeight="1" x14ac:dyDescent="0.25">
      <c r="A1156" s="11">
        <f t="shared" si="4"/>
        <v>1143</v>
      </c>
      <c r="B1156" s="570" t="str">
        <f>'refer admin discharge'!B1152</f>
        <v>x</v>
      </c>
      <c r="C1156" s="327"/>
      <c r="D1156" s="599" t="str">
        <f>'refer admin discharge'!D1152</f>
        <v>xx</v>
      </c>
      <c r="E1156" s="327"/>
      <c r="F1156" s="600" t="str">
        <f>'refer admin discharge'!H1152</f>
        <v>00/00/0000</v>
      </c>
      <c r="G1156" s="327"/>
      <c r="H1156" s="574"/>
      <c r="I1156" s="327"/>
      <c r="J1156" s="601"/>
      <c r="K1156" s="327"/>
      <c r="L1156" s="574"/>
      <c r="M1156" s="327"/>
      <c r="N1156" s="594"/>
      <c r="O1156" s="327"/>
      <c r="P1156" s="574"/>
      <c r="Q1156" s="327"/>
      <c r="R1156" s="594"/>
      <c r="S1156" s="327"/>
      <c r="T1156" s="574"/>
      <c r="U1156" s="327"/>
      <c r="V1156" s="595" t="str">
        <f>'refer admin discharge'!H1157</f>
        <v>00/00/0000</v>
      </c>
      <c r="W1156" s="327"/>
      <c r="X1156" s="596"/>
      <c r="Y1156" s="327"/>
      <c r="Z1156" s="597"/>
      <c r="AA1156" s="327"/>
      <c r="AB1156" s="596"/>
      <c r="AC1156" s="327"/>
      <c r="AD1156" s="577"/>
      <c r="AE1156" s="327"/>
      <c r="AF1156" s="596"/>
      <c r="AG1156" s="327"/>
      <c r="AH1156" s="577"/>
      <c r="AI1156" s="327"/>
      <c r="AJ1156" s="596"/>
      <c r="AK1156" s="327"/>
      <c r="AL1156" s="598"/>
      <c r="AM1156" s="326"/>
      <c r="AN1156" s="326"/>
      <c r="AO1156" s="326"/>
      <c r="AP1156" s="326"/>
      <c r="AQ1156" s="326"/>
      <c r="AR1156" s="326"/>
      <c r="AS1156" s="326"/>
      <c r="AT1156" s="326"/>
      <c r="AU1156" s="326"/>
      <c r="AV1156" s="326"/>
      <c r="AW1156" s="326"/>
      <c r="AX1156" s="326"/>
      <c r="AY1156" s="326"/>
      <c r="AZ1156" s="326"/>
      <c r="BA1156" s="326"/>
      <c r="BB1156" s="327"/>
    </row>
    <row r="1157" spans="1:54" ht="15.75" customHeight="1" x14ac:dyDescent="0.25">
      <c r="A1157" s="11">
        <f t="shared" si="4"/>
        <v>1144</v>
      </c>
      <c r="B1157" s="504" t="str">
        <f>'refer admin discharge'!B1153</f>
        <v>x</v>
      </c>
      <c r="C1157" s="327"/>
      <c r="D1157" s="505" t="str">
        <f>'refer admin discharge'!D1153</f>
        <v>xx</v>
      </c>
      <c r="E1157" s="327"/>
      <c r="F1157" s="606" t="str">
        <f>'refer admin discharge'!H1153</f>
        <v>00/00/0000</v>
      </c>
      <c r="G1157" s="327"/>
      <c r="H1157" s="594"/>
      <c r="I1157" s="327"/>
      <c r="J1157" s="605"/>
      <c r="K1157" s="327"/>
      <c r="L1157" s="594"/>
      <c r="M1157" s="327"/>
      <c r="N1157" s="575"/>
      <c r="O1157" s="327"/>
      <c r="P1157" s="594"/>
      <c r="Q1157" s="327"/>
      <c r="R1157" s="575"/>
      <c r="S1157" s="327"/>
      <c r="T1157" s="594"/>
      <c r="U1157" s="327"/>
      <c r="V1157" s="595" t="str">
        <f>'refer admin discharge'!H1158</f>
        <v>00/00/0000</v>
      </c>
      <c r="W1157" s="327"/>
      <c r="X1157" s="577"/>
      <c r="Y1157" s="327"/>
      <c r="Z1157" s="604"/>
      <c r="AA1157" s="327"/>
      <c r="AB1157" s="577"/>
      <c r="AC1157" s="327"/>
      <c r="AD1157" s="576"/>
      <c r="AE1157" s="327"/>
      <c r="AF1157" s="577"/>
      <c r="AG1157" s="327"/>
      <c r="AH1157" s="576"/>
      <c r="AI1157" s="327"/>
      <c r="AJ1157" s="577"/>
      <c r="AK1157" s="327"/>
      <c r="AL1157" s="602"/>
      <c r="AM1157" s="326"/>
      <c r="AN1157" s="326"/>
      <c r="AO1157" s="326"/>
      <c r="AP1157" s="326"/>
      <c r="AQ1157" s="326"/>
      <c r="AR1157" s="326"/>
      <c r="AS1157" s="326"/>
      <c r="AT1157" s="326"/>
      <c r="AU1157" s="326"/>
      <c r="AV1157" s="326"/>
      <c r="AW1157" s="326"/>
      <c r="AX1157" s="326"/>
      <c r="AY1157" s="326"/>
      <c r="AZ1157" s="326"/>
      <c r="BA1157" s="326"/>
      <c r="BB1157" s="327"/>
    </row>
    <row r="1158" spans="1:54" ht="15.75" customHeight="1" x14ac:dyDescent="0.25">
      <c r="A1158" s="11">
        <f t="shared" si="4"/>
        <v>1145</v>
      </c>
      <c r="B1158" s="570" t="str">
        <f>'refer admin discharge'!B1154</f>
        <v>x</v>
      </c>
      <c r="C1158" s="327"/>
      <c r="D1158" s="599" t="str">
        <f>'refer admin discharge'!D1154</f>
        <v>xx</v>
      </c>
      <c r="E1158" s="327"/>
      <c r="F1158" s="600" t="str">
        <f>'refer admin discharge'!H1154</f>
        <v>00/00/0000</v>
      </c>
      <c r="G1158" s="327"/>
      <c r="H1158" s="574"/>
      <c r="I1158" s="327"/>
      <c r="J1158" s="601"/>
      <c r="K1158" s="327"/>
      <c r="L1158" s="574"/>
      <c r="M1158" s="327"/>
      <c r="N1158" s="594"/>
      <c r="O1158" s="327"/>
      <c r="P1158" s="574"/>
      <c r="Q1158" s="327"/>
      <c r="R1158" s="594"/>
      <c r="S1158" s="327"/>
      <c r="T1158" s="574"/>
      <c r="U1158" s="327"/>
      <c r="V1158" s="595" t="str">
        <f>'refer admin discharge'!H1159</f>
        <v>00/00/0000</v>
      </c>
      <c r="W1158" s="327"/>
      <c r="X1158" s="596"/>
      <c r="Y1158" s="327"/>
      <c r="Z1158" s="597"/>
      <c r="AA1158" s="327"/>
      <c r="AB1158" s="596"/>
      <c r="AC1158" s="327"/>
      <c r="AD1158" s="577"/>
      <c r="AE1158" s="327"/>
      <c r="AF1158" s="596"/>
      <c r="AG1158" s="327"/>
      <c r="AH1158" s="577"/>
      <c r="AI1158" s="327"/>
      <c r="AJ1158" s="596"/>
      <c r="AK1158" s="327"/>
      <c r="AL1158" s="598"/>
      <c r="AM1158" s="326"/>
      <c r="AN1158" s="326"/>
      <c r="AO1158" s="326"/>
      <c r="AP1158" s="326"/>
      <c r="AQ1158" s="326"/>
      <c r="AR1158" s="326"/>
      <c r="AS1158" s="326"/>
      <c r="AT1158" s="326"/>
      <c r="AU1158" s="326"/>
      <c r="AV1158" s="326"/>
      <c r="AW1158" s="326"/>
      <c r="AX1158" s="326"/>
      <c r="AY1158" s="326"/>
      <c r="AZ1158" s="326"/>
      <c r="BA1158" s="326"/>
      <c r="BB1158" s="327"/>
    </row>
    <row r="1159" spans="1:54" ht="15.75" customHeight="1" x14ac:dyDescent="0.25">
      <c r="A1159" s="11">
        <f t="shared" si="4"/>
        <v>1146</v>
      </c>
      <c r="B1159" s="504" t="str">
        <f>'refer admin discharge'!B1155</f>
        <v>x</v>
      </c>
      <c r="C1159" s="327"/>
      <c r="D1159" s="505" t="str">
        <f>'refer admin discharge'!D1155</f>
        <v>xx</v>
      </c>
      <c r="E1159" s="327"/>
      <c r="F1159" s="606" t="str">
        <f>'refer admin discharge'!H1155</f>
        <v>00/00/0000</v>
      </c>
      <c r="G1159" s="327"/>
      <c r="H1159" s="594"/>
      <c r="I1159" s="327"/>
      <c r="J1159" s="605"/>
      <c r="K1159" s="327"/>
      <c r="L1159" s="594"/>
      <c r="M1159" s="327"/>
      <c r="N1159" s="575"/>
      <c r="O1159" s="327"/>
      <c r="P1159" s="594"/>
      <c r="Q1159" s="327"/>
      <c r="R1159" s="575"/>
      <c r="S1159" s="327"/>
      <c r="T1159" s="594"/>
      <c r="U1159" s="327"/>
      <c r="V1159" s="595" t="str">
        <f>'refer admin discharge'!H1160</f>
        <v>00/00/0000</v>
      </c>
      <c r="W1159" s="327"/>
      <c r="X1159" s="577"/>
      <c r="Y1159" s="327"/>
      <c r="Z1159" s="604"/>
      <c r="AA1159" s="327"/>
      <c r="AB1159" s="577"/>
      <c r="AC1159" s="327"/>
      <c r="AD1159" s="576"/>
      <c r="AE1159" s="327"/>
      <c r="AF1159" s="577"/>
      <c r="AG1159" s="327"/>
      <c r="AH1159" s="576"/>
      <c r="AI1159" s="327"/>
      <c r="AJ1159" s="577"/>
      <c r="AK1159" s="327"/>
      <c r="AL1159" s="602"/>
      <c r="AM1159" s="326"/>
      <c r="AN1159" s="326"/>
      <c r="AO1159" s="326"/>
      <c r="AP1159" s="326"/>
      <c r="AQ1159" s="326"/>
      <c r="AR1159" s="326"/>
      <c r="AS1159" s="326"/>
      <c r="AT1159" s="326"/>
      <c r="AU1159" s="326"/>
      <c r="AV1159" s="326"/>
      <c r="AW1159" s="326"/>
      <c r="AX1159" s="326"/>
      <c r="AY1159" s="326"/>
      <c r="AZ1159" s="326"/>
      <c r="BA1159" s="326"/>
      <c r="BB1159" s="327"/>
    </row>
    <row r="1160" spans="1:54" ht="15.75" customHeight="1" x14ac:dyDescent="0.25">
      <c r="A1160" s="11">
        <f t="shared" si="4"/>
        <v>1147</v>
      </c>
      <c r="B1160" s="570" t="str">
        <f>'refer admin discharge'!B1156</f>
        <v>x</v>
      </c>
      <c r="C1160" s="327"/>
      <c r="D1160" s="599" t="str">
        <f>'refer admin discharge'!D1156</f>
        <v>xx</v>
      </c>
      <c r="E1160" s="327"/>
      <c r="F1160" s="600" t="str">
        <f>'refer admin discharge'!H1156</f>
        <v>00/00/0000</v>
      </c>
      <c r="G1160" s="327"/>
      <c r="H1160" s="574"/>
      <c r="I1160" s="327"/>
      <c r="J1160" s="601"/>
      <c r="K1160" s="327"/>
      <c r="L1160" s="574"/>
      <c r="M1160" s="327"/>
      <c r="N1160" s="594"/>
      <c r="O1160" s="327"/>
      <c r="P1160" s="574"/>
      <c r="Q1160" s="327"/>
      <c r="R1160" s="594"/>
      <c r="S1160" s="327"/>
      <c r="T1160" s="574"/>
      <c r="U1160" s="327"/>
      <c r="V1160" s="595" t="str">
        <f>'refer admin discharge'!H1161</f>
        <v>00/00/0000</v>
      </c>
      <c r="W1160" s="327"/>
      <c r="X1160" s="596"/>
      <c r="Y1160" s="327"/>
      <c r="Z1160" s="597"/>
      <c r="AA1160" s="327"/>
      <c r="AB1160" s="596"/>
      <c r="AC1160" s="327"/>
      <c r="AD1160" s="577"/>
      <c r="AE1160" s="327"/>
      <c r="AF1160" s="596"/>
      <c r="AG1160" s="327"/>
      <c r="AH1160" s="577"/>
      <c r="AI1160" s="327"/>
      <c r="AJ1160" s="596"/>
      <c r="AK1160" s="327"/>
      <c r="AL1160" s="598"/>
      <c r="AM1160" s="326"/>
      <c r="AN1160" s="326"/>
      <c r="AO1160" s="326"/>
      <c r="AP1160" s="326"/>
      <c r="AQ1160" s="326"/>
      <c r="AR1160" s="326"/>
      <c r="AS1160" s="326"/>
      <c r="AT1160" s="326"/>
      <c r="AU1160" s="326"/>
      <c r="AV1160" s="326"/>
      <c r="AW1160" s="326"/>
      <c r="AX1160" s="326"/>
      <c r="AY1160" s="326"/>
      <c r="AZ1160" s="326"/>
      <c r="BA1160" s="326"/>
      <c r="BB1160" s="327"/>
    </row>
    <row r="1161" spans="1:54" ht="15.75" customHeight="1" x14ac:dyDescent="0.25">
      <c r="A1161" s="11">
        <f t="shared" si="4"/>
        <v>1148</v>
      </c>
      <c r="B1161" s="504" t="str">
        <f>'refer admin discharge'!B1157</f>
        <v>x</v>
      </c>
      <c r="C1161" s="327"/>
      <c r="D1161" s="505" t="str">
        <f>'refer admin discharge'!D1157</f>
        <v>xx</v>
      </c>
      <c r="E1161" s="327"/>
      <c r="F1161" s="606" t="str">
        <f>'refer admin discharge'!H1157</f>
        <v>00/00/0000</v>
      </c>
      <c r="G1161" s="327"/>
      <c r="H1161" s="594"/>
      <c r="I1161" s="327"/>
      <c r="J1161" s="605"/>
      <c r="K1161" s="327"/>
      <c r="L1161" s="594"/>
      <c r="M1161" s="327"/>
      <c r="N1161" s="575"/>
      <c r="O1161" s="327"/>
      <c r="P1161" s="594"/>
      <c r="Q1161" s="327"/>
      <c r="R1161" s="575"/>
      <c r="S1161" s="327"/>
      <c r="T1161" s="594"/>
      <c r="U1161" s="327"/>
      <c r="V1161" s="595" t="str">
        <f>'refer admin discharge'!H1162</f>
        <v>00/00/0000</v>
      </c>
      <c r="W1161" s="327"/>
      <c r="X1161" s="577"/>
      <c r="Y1161" s="327"/>
      <c r="Z1161" s="604"/>
      <c r="AA1161" s="327"/>
      <c r="AB1161" s="577"/>
      <c r="AC1161" s="327"/>
      <c r="AD1161" s="576"/>
      <c r="AE1161" s="327"/>
      <c r="AF1161" s="577"/>
      <c r="AG1161" s="327"/>
      <c r="AH1161" s="576"/>
      <c r="AI1161" s="327"/>
      <c r="AJ1161" s="577"/>
      <c r="AK1161" s="327"/>
      <c r="AL1161" s="602"/>
      <c r="AM1161" s="326"/>
      <c r="AN1161" s="326"/>
      <c r="AO1161" s="326"/>
      <c r="AP1161" s="326"/>
      <c r="AQ1161" s="326"/>
      <c r="AR1161" s="326"/>
      <c r="AS1161" s="326"/>
      <c r="AT1161" s="326"/>
      <c r="AU1161" s="326"/>
      <c r="AV1161" s="326"/>
      <c r="AW1161" s="326"/>
      <c r="AX1161" s="326"/>
      <c r="AY1161" s="326"/>
      <c r="AZ1161" s="326"/>
      <c r="BA1161" s="326"/>
      <c r="BB1161" s="327"/>
    </row>
    <row r="1162" spans="1:54" ht="15.75" customHeight="1" x14ac:dyDescent="0.25">
      <c r="A1162" s="11">
        <f t="shared" si="4"/>
        <v>1149</v>
      </c>
      <c r="B1162" s="570" t="str">
        <f>'refer admin discharge'!B1158</f>
        <v>x</v>
      </c>
      <c r="C1162" s="327"/>
      <c r="D1162" s="599" t="str">
        <f>'refer admin discharge'!D1158</f>
        <v>xx</v>
      </c>
      <c r="E1162" s="327"/>
      <c r="F1162" s="600" t="str">
        <f>'refer admin discharge'!H1158</f>
        <v>00/00/0000</v>
      </c>
      <c r="G1162" s="327"/>
      <c r="H1162" s="574"/>
      <c r="I1162" s="327"/>
      <c r="J1162" s="601"/>
      <c r="K1162" s="327"/>
      <c r="L1162" s="574"/>
      <c r="M1162" s="327"/>
      <c r="N1162" s="594"/>
      <c r="O1162" s="327"/>
      <c r="P1162" s="574"/>
      <c r="Q1162" s="327"/>
      <c r="R1162" s="594"/>
      <c r="S1162" s="327"/>
      <c r="T1162" s="574"/>
      <c r="U1162" s="327"/>
      <c r="V1162" s="595" t="str">
        <f>'refer admin discharge'!H1163</f>
        <v>00/00/0000</v>
      </c>
      <c r="W1162" s="327"/>
      <c r="X1162" s="596"/>
      <c r="Y1162" s="327"/>
      <c r="Z1162" s="597"/>
      <c r="AA1162" s="327"/>
      <c r="AB1162" s="596"/>
      <c r="AC1162" s="327"/>
      <c r="AD1162" s="577"/>
      <c r="AE1162" s="327"/>
      <c r="AF1162" s="596"/>
      <c r="AG1162" s="327"/>
      <c r="AH1162" s="577"/>
      <c r="AI1162" s="327"/>
      <c r="AJ1162" s="596"/>
      <c r="AK1162" s="327"/>
      <c r="AL1162" s="598"/>
      <c r="AM1162" s="326"/>
      <c r="AN1162" s="326"/>
      <c r="AO1162" s="326"/>
      <c r="AP1162" s="326"/>
      <c r="AQ1162" s="326"/>
      <c r="AR1162" s="326"/>
      <c r="AS1162" s="326"/>
      <c r="AT1162" s="326"/>
      <c r="AU1162" s="326"/>
      <c r="AV1162" s="326"/>
      <c r="AW1162" s="326"/>
      <c r="AX1162" s="326"/>
      <c r="AY1162" s="326"/>
      <c r="AZ1162" s="326"/>
      <c r="BA1162" s="326"/>
      <c r="BB1162" s="327"/>
    </row>
    <row r="1163" spans="1:54" ht="15.75" customHeight="1" x14ac:dyDescent="0.25">
      <c r="A1163" s="11">
        <f t="shared" si="4"/>
        <v>1150</v>
      </c>
      <c r="B1163" s="504" t="str">
        <f>'refer admin discharge'!B1159</f>
        <v>x</v>
      </c>
      <c r="C1163" s="327"/>
      <c r="D1163" s="505" t="str">
        <f>'refer admin discharge'!D1159</f>
        <v>xx</v>
      </c>
      <c r="E1163" s="327"/>
      <c r="F1163" s="606" t="str">
        <f>'refer admin discharge'!H1159</f>
        <v>00/00/0000</v>
      </c>
      <c r="G1163" s="327"/>
      <c r="H1163" s="594"/>
      <c r="I1163" s="327"/>
      <c r="J1163" s="605"/>
      <c r="K1163" s="327"/>
      <c r="L1163" s="594"/>
      <c r="M1163" s="327"/>
      <c r="N1163" s="575"/>
      <c r="O1163" s="327"/>
      <c r="P1163" s="594"/>
      <c r="Q1163" s="327"/>
      <c r="R1163" s="575"/>
      <c r="S1163" s="327"/>
      <c r="T1163" s="594"/>
      <c r="U1163" s="327"/>
      <c r="V1163" s="595" t="str">
        <f>'refer admin discharge'!H1164</f>
        <v>00/00/0000</v>
      </c>
      <c r="W1163" s="327"/>
      <c r="X1163" s="577"/>
      <c r="Y1163" s="327"/>
      <c r="Z1163" s="604"/>
      <c r="AA1163" s="327"/>
      <c r="AB1163" s="577"/>
      <c r="AC1163" s="327"/>
      <c r="AD1163" s="576"/>
      <c r="AE1163" s="327"/>
      <c r="AF1163" s="577"/>
      <c r="AG1163" s="327"/>
      <c r="AH1163" s="576"/>
      <c r="AI1163" s="327"/>
      <c r="AJ1163" s="577"/>
      <c r="AK1163" s="327"/>
      <c r="AL1163" s="602"/>
      <c r="AM1163" s="326"/>
      <c r="AN1163" s="326"/>
      <c r="AO1163" s="326"/>
      <c r="AP1163" s="326"/>
      <c r="AQ1163" s="326"/>
      <c r="AR1163" s="326"/>
      <c r="AS1163" s="326"/>
      <c r="AT1163" s="326"/>
      <c r="AU1163" s="326"/>
      <c r="AV1163" s="326"/>
      <c r="AW1163" s="326"/>
      <c r="AX1163" s="326"/>
      <c r="AY1163" s="326"/>
      <c r="AZ1163" s="326"/>
      <c r="BA1163" s="326"/>
      <c r="BB1163" s="327"/>
    </row>
    <row r="1164" spans="1:54" ht="15.75" customHeight="1" x14ac:dyDescent="0.25">
      <c r="A1164" s="11">
        <f t="shared" si="4"/>
        <v>1151</v>
      </c>
      <c r="B1164" s="570" t="str">
        <f>'refer admin discharge'!B1160</f>
        <v>x</v>
      </c>
      <c r="C1164" s="327"/>
      <c r="D1164" s="599" t="str">
        <f>'refer admin discharge'!D1160</f>
        <v>xx</v>
      </c>
      <c r="E1164" s="327"/>
      <c r="F1164" s="600" t="str">
        <f>'refer admin discharge'!H1160</f>
        <v>00/00/0000</v>
      </c>
      <c r="G1164" s="327"/>
      <c r="H1164" s="574"/>
      <c r="I1164" s="327"/>
      <c r="J1164" s="601"/>
      <c r="K1164" s="327"/>
      <c r="L1164" s="574"/>
      <c r="M1164" s="327"/>
      <c r="N1164" s="594"/>
      <c r="O1164" s="327"/>
      <c r="P1164" s="574"/>
      <c r="Q1164" s="327"/>
      <c r="R1164" s="594"/>
      <c r="S1164" s="327"/>
      <c r="T1164" s="574"/>
      <c r="U1164" s="327"/>
      <c r="V1164" s="595" t="str">
        <f>'refer admin discharge'!H1165</f>
        <v>00/00/0000</v>
      </c>
      <c r="W1164" s="327"/>
      <c r="X1164" s="596"/>
      <c r="Y1164" s="327"/>
      <c r="Z1164" s="597"/>
      <c r="AA1164" s="327"/>
      <c r="AB1164" s="596"/>
      <c r="AC1164" s="327"/>
      <c r="AD1164" s="577"/>
      <c r="AE1164" s="327"/>
      <c r="AF1164" s="596"/>
      <c r="AG1164" s="327"/>
      <c r="AH1164" s="577"/>
      <c r="AI1164" s="327"/>
      <c r="AJ1164" s="596"/>
      <c r="AK1164" s="327"/>
      <c r="AL1164" s="598"/>
      <c r="AM1164" s="326"/>
      <c r="AN1164" s="326"/>
      <c r="AO1164" s="326"/>
      <c r="AP1164" s="326"/>
      <c r="AQ1164" s="326"/>
      <c r="AR1164" s="326"/>
      <c r="AS1164" s="326"/>
      <c r="AT1164" s="326"/>
      <c r="AU1164" s="326"/>
      <c r="AV1164" s="326"/>
      <c r="AW1164" s="326"/>
      <c r="AX1164" s="326"/>
      <c r="AY1164" s="326"/>
      <c r="AZ1164" s="326"/>
      <c r="BA1164" s="326"/>
      <c r="BB1164" s="327"/>
    </row>
    <row r="1165" spans="1:54" ht="15.75" customHeight="1" x14ac:dyDescent="0.25">
      <c r="A1165" s="11">
        <f t="shared" si="4"/>
        <v>1152</v>
      </c>
      <c r="B1165" s="504" t="str">
        <f>'refer admin discharge'!B1161</f>
        <v>x</v>
      </c>
      <c r="C1165" s="327"/>
      <c r="D1165" s="505" t="str">
        <f>'refer admin discharge'!D1161</f>
        <v>xx</v>
      </c>
      <c r="E1165" s="327"/>
      <c r="F1165" s="606" t="str">
        <f>'refer admin discharge'!H1161</f>
        <v>00/00/0000</v>
      </c>
      <c r="G1165" s="327"/>
      <c r="H1165" s="594"/>
      <c r="I1165" s="327"/>
      <c r="J1165" s="605"/>
      <c r="K1165" s="327"/>
      <c r="L1165" s="594"/>
      <c r="M1165" s="327"/>
      <c r="N1165" s="575"/>
      <c r="O1165" s="327"/>
      <c r="P1165" s="594"/>
      <c r="Q1165" s="327"/>
      <c r="R1165" s="575"/>
      <c r="S1165" s="327"/>
      <c r="T1165" s="594"/>
      <c r="U1165" s="327"/>
      <c r="V1165" s="595" t="str">
        <f>'refer admin discharge'!H1166</f>
        <v>00/00/0000</v>
      </c>
      <c r="W1165" s="327"/>
      <c r="X1165" s="577"/>
      <c r="Y1165" s="327"/>
      <c r="Z1165" s="604"/>
      <c r="AA1165" s="327"/>
      <c r="AB1165" s="577"/>
      <c r="AC1165" s="327"/>
      <c r="AD1165" s="576"/>
      <c r="AE1165" s="327"/>
      <c r="AF1165" s="577"/>
      <c r="AG1165" s="327"/>
      <c r="AH1165" s="576"/>
      <c r="AI1165" s="327"/>
      <c r="AJ1165" s="577"/>
      <c r="AK1165" s="327"/>
      <c r="AL1165" s="602"/>
      <c r="AM1165" s="326"/>
      <c r="AN1165" s="326"/>
      <c r="AO1165" s="326"/>
      <c r="AP1165" s="326"/>
      <c r="AQ1165" s="326"/>
      <c r="AR1165" s="326"/>
      <c r="AS1165" s="326"/>
      <c r="AT1165" s="326"/>
      <c r="AU1165" s="326"/>
      <c r="AV1165" s="326"/>
      <c r="AW1165" s="326"/>
      <c r="AX1165" s="326"/>
      <c r="AY1165" s="326"/>
      <c r="AZ1165" s="326"/>
      <c r="BA1165" s="326"/>
      <c r="BB1165" s="327"/>
    </row>
    <row r="1166" spans="1:54" ht="15.75" customHeight="1" x14ac:dyDescent="0.25">
      <c r="A1166" s="11">
        <f t="shared" si="4"/>
        <v>1153</v>
      </c>
      <c r="B1166" s="570" t="str">
        <f>'refer admin discharge'!B1162</f>
        <v>x</v>
      </c>
      <c r="C1166" s="327"/>
      <c r="D1166" s="599" t="str">
        <f>'refer admin discharge'!D1162</f>
        <v>xx</v>
      </c>
      <c r="E1166" s="327"/>
      <c r="F1166" s="600" t="str">
        <f>'refer admin discharge'!H1162</f>
        <v>00/00/0000</v>
      </c>
      <c r="G1166" s="327"/>
      <c r="H1166" s="574"/>
      <c r="I1166" s="327"/>
      <c r="J1166" s="601"/>
      <c r="K1166" s="327"/>
      <c r="L1166" s="574"/>
      <c r="M1166" s="327"/>
      <c r="N1166" s="594"/>
      <c r="O1166" s="327"/>
      <c r="P1166" s="574"/>
      <c r="Q1166" s="327"/>
      <c r="R1166" s="594"/>
      <c r="S1166" s="327"/>
      <c r="T1166" s="574"/>
      <c r="U1166" s="327"/>
      <c r="V1166" s="595" t="str">
        <f>'refer admin discharge'!H1167</f>
        <v>00/00/0000</v>
      </c>
      <c r="W1166" s="327"/>
      <c r="X1166" s="596"/>
      <c r="Y1166" s="327"/>
      <c r="Z1166" s="597"/>
      <c r="AA1166" s="327"/>
      <c r="AB1166" s="596"/>
      <c r="AC1166" s="327"/>
      <c r="AD1166" s="577"/>
      <c r="AE1166" s="327"/>
      <c r="AF1166" s="596"/>
      <c r="AG1166" s="327"/>
      <c r="AH1166" s="577"/>
      <c r="AI1166" s="327"/>
      <c r="AJ1166" s="596"/>
      <c r="AK1166" s="327"/>
      <c r="AL1166" s="598"/>
      <c r="AM1166" s="326"/>
      <c r="AN1166" s="326"/>
      <c r="AO1166" s="326"/>
      <c r="AP1166" s="326"/>
      <c r="AQ1166" s="326"/>
      <c r="AR1166" s="326"/>
      <c r="AS1166" s="326"/>
      <c r="AT1166" s="326"/>
      <c r="AU1166" s="326"/>
      <c r="AV1166" s="326"/>
      <c r="AW1166" s="326"/>
      <c r="AX1166" s="326"/>
      <c r="AY1166" s="326"/>
      <c r="AZ1166" s="326"/>
      <c r="BA1166" s="326"/>
      <c r="BB1166" s="327"/>
    </row>
    <row r="1167" spans="1:54" ht="15.75" customHeight="1" x14ac:dyDescent="0.25">
      <c r="A1167" s="11">
        <f t="shared" si="4"/>
        <v>1154</v>
      </c>
      <c r="B1167" s="504" t="str">
        <f>'refer admin discharge'!B1163</f>
        <v>x</v>
      </c>
      <c r="C1167" s="327"/>
      <c r="D1167" s="505" t="str">
        <f>'refer admin discharge'!D1163</f>
        <v>xx</v>
      </c>
      <c r="E1167" s="327"/>
      <c r="F1167" s="606" t="str">
        <f>'refer admin discharge'!H1163</f>
        <v>00/00/0000</v>
      </c>
      <c r="G1167" s="327"/>
      <c r="H1167" s="594"/>
      <c r="I1167" s="327"/>
      <c r="J1167" s="605"/>
      <c r="K1167" s="327"/>
      <c r="L1167" s="594"/>
      <c r="M1167" s="327"/>
      <c r="N1167" s="575"/>
      <c r="O1167" s="327"/>
      <c r="P1167" s="594"/>
      <c r="Q1167" s="327"/>
      <c r="R1167" s="575"/>
      <c r="S1167" s="327"/>
      <c r="T1167" s="594"/>
      <c r="U1167" s="327"/>
      <c r="V1167" s="595" t="str">
        <f>'refer admin discharge'!H1168</f>
        <v>00/00/0000</v>
      </c>
      <c r="W1167" s="327"/>
      <c r="X1167" s="577"/>
      <c r="Y1167" s="327"/>
      <c r="Z1167" s="604"/>
      <c r="AA1167" s="327"/>
      <c r="AB1167" s="577"/>
      <c r="AC1167" s="327"/>
      <c r="AD1167" s="576"/>
      <c r="AE1167" s="327"/>
      <c r="AF1167" s="577"/>
      <c r="AG1167" s="327"/>
      <c r="AH1167" s="576"/>
      <c r="AI1167" s="327"/>
      <c r="AJ1167" s="577"/>
      <c r="AK1167" s="327"/>
      <c r="AL1167" s="602"/>
      <c r="AM1167" s="326"/>
      <c r="AN1167" s="326"/>
      <c r="AO1167" s="326"/>
      <c r="AP1167" s="326"/>
      <c r="AQ1167" s="326"/>
      <c r="AR1167" s="326"/>
      <c r="AS1167" s="326"/>
      <c r="AT1167" s="326"/>
      <c r="AU1167" s="326"/>
      <c r="AV1167" s="326"/>
      <c r="AW1167" s="326"/>
      <c r="AX1167" s="326"/>
      <c r="AY1167" s="326"/>
      <c r="AZ1167" s="326"/>
      <c r="BA1167" s="326"/>
      <c r="BB1167" s="327"/>
    </row>
    <row r="1168" spans="1:54" ht="15.75" customHeight="1" x14ac:dyDescent="0.25">
      <c r="A1168" s="11">
        <f t="shared" si="4"/>
        <v>1155</v>
      </c>
      <c r="B1168" s="570" t="str">
        <f>'refer admin discharge'!B1164</f>
        <v>x</v>
      </c>
      <c r="C1168" s="327"/>
      <c r="D1168" s="599" t="str">
        <f>'refer admin discharge'!D1164</f>
        <v>xx</v>
      </c>
      <c r="E1168" s="327"/>
      <c r="F1168" s="600" t="str">
        <f>'refer admin discharge'!H1164</f>
        <v>00/00/0000</v>
      </c>
      <c r="G1168" s="327"/>
      <c r="H1168" s="574"/>
      <c r="I1168" s="327"/>
      <c r="J1168" s="601"/>
      <c r="K1168" s="327"/>
      <c r="L1168" s="574"/>
      <c r="M1168" s="327"/>
      <c r="N1168" s="594"/>
      <c r="O1168" s="327"/>
      <c r="P1168" s="574"/>
      <c r="Q1168" s="327"/>
      <c r="R1168" s="594"/>
      <c r="S1168" s="327"/>
      <c r="T1168" s="574"/>
      <c r="U1168" s="327"/>
      <c r="V1168" s="595" t="str">
        <f>'refer admin discharge'!H1169</f>
        <v>00/00/0000</v>
      </c>
      <c r="W1168" s="327"/>
      <c r="X1168" s="596"/>
      <c r="Y1168" s="327"/>
      <c r="Z1168" s="597"/>
      <c r="AA1168" s="327"/>
      <c r="AB1168" s="596"/>
      <c r="AC1168" s="327"/>
      <c r="AD1168" s="577"/>
      <c r="AE1168" s="327"/>
      <c r="AF1168" s="596"/>
      <c r="AG1168" s="327"/>
      <c r="AH1168" s="577"/>
      <c r="AI1168" s="327"/>
      <c r="AJ1168" s="596"/>
      <c r="AK1168" s="327"/>
      <c r="AL1168" s="598"/>
      <c r="AM1168" s="326"/>
      <c r="AN1168" s="326"/>
      <c r="AO1168" s="326"/>
      <c r="AP1168" s="326"/>
      <c r="AQ1168" s="326"/>
      <c r="AR1168" s="326"/>
      <c r="AS1168" s="326"/>
      <c r="AT1168" s="326"/>
      <c r="AU1168" s="326"/>
      <c r="AV1168" s="326"/>
      <c r="AW1168" s="326"/>
      <c r="AX1168" s="326"/>
      <c r="AY1168" s="326"/>
      <c r="AZ1168" s="326"/>
      <c r="BA1168" s="326"/>
      <c r="BB1168" s="327"/>
    </row>
    <row r="1169" spans="1:54" ht="15.75" customHeight="1" x14ac:dyDescent="0.25">
      <c r="A1169" s="11">
        <f t="shared" si="4"/>
        <v>1156</v>
      </c>
      <c r="B1169" s="504" t="str">
        <f>'refer admin discharge'!B1165</f>
        <v>x</v>
      </c>
      <c r="C1169" s="327"/>
      <c r="D1169" s="505" t="str">
        <f>'refer admin discharge'!D1165</f>
        <v>xx</v>
      </c>
      <c r="E1169" s="327"/>
      <c r="F1169" s="606" t="str">
        <f>'refer admin discharge'!H1165</f>
        <v>00/00/0000</v>
      </c>
      <c r="G1169" s="327"/>
      <c r="H1169" s="594"/>
      <c r="I1169" s="327"/>
      <c r="J1169" s="605"/>
      <c r="K1169" s="327"/>
      <c r="L1169" s="594"/>
      <c r="M1169" s="327"/>
      <c r="N1169" s="575"/>
      <c r="O1169" s="327"/>
      <c r="P1169" s="594"/>
      <c r="Q1169" s="327"/>
      <c r="R1169" s="575"/>
      <c r="S1169" s="327"/>
      <c r="T1169" s="594"/>
      <c r="U1169" s="327"/>
      <c r="V1169" s="595" t="str">
        <f>'refer admin discharge'!H1170</f>
        <v>00/00/0000</v>
      </c>
      <c r="W1169" s="327"/>
      <c r="X1169" s="577"/>
      <c r="Y1169" s="327"/>
      <c r="Z1169" s="604"/>
      <c r="AA1169" s="327"/>
      <c r="AB1169" s="577"/>
      <c r="AC1169" s="327"/>
      <c r="AD1169" s="576"/>
      <c r="AE1169" s="327"/>
      <c r="AF1169" s="577"/>
      <c r="AG1169" s="327"/>
      <c r="AH1169" s="576"/>
      <c r="AI1169" s="327"/>
      <c r="AJ1169" s="577"/>
      <c r="AK1169" s="327"/>
      <c r="AL1169" s="602"/>
      <c r="AM1169" s="326"/>
      <c r="AN1169" s="326"/>
      <c r="AO1169" s="326"/>
      <c r="AP1169" s="326"/>
      <c r="AQ1169" s="326"/>
      <c r="AR1169" s="326"/>
      <c r="AS1169" s="326"/>
      <c r="AT1169" s="326"/>
      <c r="AU1169" s="326"/>
      <c r="AV1169" s="326"/>
      <c r="AW1169" s="326"/>
      <c r="AX1169" s="326"/>
      <c r="AY1169" s="326"/>
      <c r="AZ1169" s="326"/>
      <c r="BA1169" s="326"/>
      <c r="BB1169" s="327"/>
    </row>
    <row r="1170" spans="1:54" ht="15.75" customHeight="1" x14ac:dyDescent="0.25">
      <c r="A1170" s="11">
        <f t="shared" si="4"/>
        <v>1157</v>
      </c>
      <c r="B1170" s="570" t="str">
        <f>'refer admin discharge'!B1166</f>
        <v>x</v>
      </c>
      <c r="C1170" s="327"/>
      <c r="D1170" s="599" t="str">
        <f>'refer admin discharge'!D1166</f>
        <v>xx</v>
      </c>
      <c r="E1170" s="327"/>
      <c r="F1170" s="600" t="str">
        <f>'refer admin discharge'!H1166</f>
        <v>00/00/0000</v>
      </c>
      <c r="G1170" s="327"/>
      <c r="H1170" s="574"/>
      <c r="I1170" s="327"/>
      <c r="J1170" s="601"/>
      <c r="K1170" s="327"/>
      <c r="L1170" s="574"/>
      <c r="M1170" s="327"/>
      <c r="N1170" s="594"/>
      <c r="O1170" s="327"/>
      <c r="P1170" s="574"/>
      <c r="Q1170" s="327"/>
      <c r="R1170" s="594"/>
      <c r="S1170" s="327"/>
      <c r="T1170" s="574"/>
      <c r="U1170" s="327"/>
      <c r="V1170" s="595" t="str">
        <f>'refer admin discharge'!H1171</f>
        <v>00/00/0000</v>
      </c>
      <c r="W1170" s="327"/>
      <c r="X1170" s="596"/>
      <c r="Y1170" s="327"/>
      <c r="Z1170" s="597"/>
      <c r="AA1170" s="327"/>
      <c r="AB1170" s="596"/>
      <c r="AC1170" s="327"/>
      <c r="AD1170" s="577"/>
      <c r="AE1170" s="327"/>
      <c r="AF1170" s="596"/>
      <c r="AG1170" s="327"/>
      <c r="AH1170" s="577"/>
      <c r="AI1170" s="327"/>
      <c r="AJ1170" s="596"/>
      <c r="AK1170" s="327"/>
      <c r="AL1170" s="598"/>
      <c r="AM1170" s="326"/>
      <c r="AN1170" s="326"/>
      <c r="AO1170" s="326"/>
      <c r="AP1170" s="326"/>
      <c r="AQ1170" s="326"/>
      <c r="AR1170" s="326"/>
      <c r="AS1170" s="326"/>
      <c r="AT1170" s="326"/>
      <c r="AU1170" s="326"/>
      <c r="AV1170" s="326"/>
      <c r="AW1170" s="326"/>
      <c r="AX1170" s="326"/>
      <c r="AY1170" s="326"/>
      <c r="AZ1170" s="326"/>
      <c r="BA1170" s="326"/>
      <c r="BB1170" s="327"/>
    </row>
    <row r="1171" spans="1:54" ht="15.75" customHeight="1" x14ac:dyDescent="0.25">
      <c r="A1171" s="11">
        <f t="shared" si="4"/>
        <v>1158</v>
      </c>
      <c r="B1171" s="504" t="str">
        <f>'refer admin discharge'!B1167</f>
        <v>x</v>
      </c>
      <c r="C1171" s="327"/>
      <c r="D1171" s="505" t="str">
        <f>'refer admin discharge'!D1167</f>
        <v>xx</v>
      </c>
      <c r="E1171" s="327"/>
      <c r="F1171" s="606" t="str">
        <f>'refer admin discharge'!H1167</f>
        <v>00/00/0000</v>
      </c>
      <c r="G1171" s="327"/>
      <c r="H1171" s="594"/>
      <c r="I1171" s="327"/>
      <c r="J1171" s="605"/>
      <c r="K1171" s="327"/>
      <c r="L1171" s="594"/>
      <c r="M1171" s="327"/>
      <c r="N1171" s="575"/>
      <c r="O1171" s="327"/>
      <c r="P1171" s="594"/>
      <c r="Q1171" s="327"/>
      <c r="R1171" s="575"/>
      <c r="S1171" s="327"/>
      <c r="T1171" s="594"/>
      <c r="U1171" s="327"/>
      <c r="V1171" s="595" t="str">
        <f>'refer admin discharge'!H1172</f>
        <v>00/00/0000</v>
      </c>
      <c r="W1171" s="327"/>
      <c r="X1171" s="577"/>
      <c r="Y1171" s="327"/>
      <c r="Z1171" s="604"/>
      <c r="AA1171" s="327"/>
      <c r="AB1171" s="577"/>
      <c r="AC1171" s="327"/>
      <c r="AD1171" s="576"/>
      <c r="AE1171" s="327"/>
      <c r="AF1171" s="577"/>
      <c r="AG1171" s="327"/>
      <c r="AH1171" s="576"/>
      <c r="AI1171" s="327"/>
      <c r="AJ1171" s="577"/>
      <c r="AK1171" s="327"/>
      <c r="AL1171" s="602"/>
      <c r="AM1171" s="326"/>
      <c r="AN1171" s="326"/>
      <c r="AO1171" s="326"/>
      <c r="AP1171" s="326"/>
      <c r="AQ1171" s="326"/>
      <c r="AR1171" s="326"/>
      <c r="AS1171" s="326"/>
      <c r="AT1171" s="326"/>
      <c r="AU1171" s="326"/>
      <c r="AV1171" s="326"/>
      <c r="AW1171" s="326"/>
      <c r="AX1171" s="326"/>
      <c r="AY1171" s="326"/>
      <c r="AZ1171" s="326"/>
      <c r="BA1171" s="326"/>
      <c r="BB1171" s="327"/>
    </row>
    <row r="1172" spans="1:54" ht="15.75" customHeight="1" x14ac:dyDescent="0.25">
      <c r="A1172" s="11">
        <f t="shared" si="4"/>
        <v>1159</v>
      </c>
      <c r="B1172" s="570" t="str">
        <f>'refer admin discharge'!B1168</f>
        <v>x</v>
      </c>
      <c r="C1172" s="327"/>
      <c r="D1172" s="599" t="str">
        <f>'refer admin discharge'!D1168</f>
        <v>xx</v>
      </c>
      <c r="E1172" s="327"/>
      <c r="F1172" s="600" t="str">
        <f>'refer admin discharge'!H1168</f>
        <v>00/00/0000</v>
      </c>
      <c r="G1172" s="327"/>
      <c r="H1172" s="574"/>
      <c r="I1172" s="327"/>
      <c r="J1172" s="601"/>
      <c r="K1172" s="327"/>
      <c r="L1172" s="574"/>
      <c r="M1172" s="327"/>
      <c r="N1172" s="594"/>
      <c r="O1172" s="327"/>
      <c r="P1172" s="574"/>
      <c r="Q1172" s="327"/>
      <c r="R1172" s="594"/>
      <c r="S1172" s="327"/>
      <c r="T1172" s="574"/>
      <c r="U1172" s="327"/>
      <c r="V1172" s="595" t="str">
        <f>'refer admin discharge'!H1173</f>
        <v>00/00/0000</v>
      </c>
      <c r="W1172" s="327"/>
      <c r="X1172" s="596"/>
      <c r="Y1172" s="327"/>
      <c r="Z1172" s="597"/>
      <c r="AA1172" s="327"/>
      <c r="AB1172" s="596"/>
      <c r="AC1172" s="327"/>
      <c r="AD1172" s="577"/>
      <c r="AE1172" s="327"/>
      <c r="AF1172" s="596"/>
      <c r="AG1172" s="327"/>
      <c r="AH1172" s="577"/>
      <c r="AI1172" s="327"/>
      <c r="AJ1172" s="596"/>
      <c r="AK1172" s="327"/>
      <c r="AL1172" s="598"/>
      <c r="AM1172" s="326"/>
      <c r="AN1172" s="326"/>
      <c r="AO1172" s="326"/>
      <c r="AP1172" s="326"/>
      <c r="AQ1172" s="326"/>
      <c r="AR1172" s="326"/>
      <c r="AS1172" s="326"/>
      <c r="AT1172" s="326"/>
      <c r="AU1172" s="326"/>
      <c r="AV1172" s="326"/>
      <c r="AW1172" s="326"/>
      <c r="AX1172" s="326"/>
      <c r="AY1172" s="326"/>
      <c r="AZ1172" s="326"/>
      <c r="BA1172" s="326"/>
      <c r="BB1172" s="327"/>
    </row>
    <row r="1173" spans="1:54" ht="15.75" customHeight="1" x14ac:dyDescent="0.25">
      <c r="A1173" s="11">
        <f t="shared" si="4"/>
        <v>1160</v>
      </c>
      <c r="B1173" s="504" t="str">
        <f>'refer admin discharge'!B1169</f>
        <v>x</v>
      </c>
      <c r="C1173" s="327"/>
      <c r="D1173" s="505" t="str">
        <f>'refer admin discharge'!D1169</f>
        <v>xx</v>
      </c>
      <c r="E1173" s="327"/>
      <c r="F1173" s="606" t="str">
        <f>'refer admin discharge'!H1169</f>
        <v>00/00/0000</v>
      </c>
      <c r="G1173" s="327"/>
      <c r="H1173" s="594"/>
      <c r="I1173" s="327"/>
      <c r="J1173" s="605"/>
      <c r="K1173" s="327"/>
      <c r="L1173" s="594"/>
      <c r="M1173" s="327"/>
      <c r="N1173" s="575"/>
      <c r="O1173" s="327"/>
      <c r="P1173" s="594"/>
      <c r="Q1173" s="327"/>
      <c r="R1173" s="575"/>
      <c r="S1173" s="327"/>
      <c r="T1173" s="594"/>
      <c r="U1173" s="327"/>
      <c r="V1173" s="595" t="str">
        <f>'refer admin discharge'!H1174</f>
        <v>00/00/0000</v>
      </c>
      <c r="W1173" s="327"/>
      <c r="X1173" s="577"/>
      <c r="Y1173" s="327"/>
      <c r="Z1173" s="604"/>
      <c r="AA1173" s="327"/>
      <c r="AB1173" s="577"/>
      <c r="AC1173" s="327"/>
      <c r="AD1173" s="576"/>
      <c r="AE1173" s="327"/>
      <c r="AF1173" s="577"/>
      <c r="AG1173" s="327"/>
      <c r="AH1173" s="576"/>
      <c r="AI1173" s="327"/>
      <c r="AJ1173" s="577"/>
      <c r="AK1173" s="327"/>
      <c r="AL1173" s="602"/>
      <c r="AM1173" s="326"/>
      <c r="AN1173" s="326"/>
      <c r="AO1173" s="326"/>
      <c r="AP1173" s="326"/>
      <c r="AQ1173" s="326"/>
      <c r="AR1173" s="326"/>
      <c r="AS1173" s="326"/>
      <c r="AT1173" s="326"/>
      <c r="AU1173" s="326"/>
      <c r="AV1173" s="326"/>
      <c r="AW1173" s="326"/>
      <c r="AX1173" s="326"/>
      <c r="AY1173" s="326"/>
      <c r="AZ1173" s="326"/>
      <c r="BA1173" s="326"/>
      <c r="BB1173" s="327"/>
    </row>
    <row r="1174" spans="1:54" ht="15.75" customHeight="1" x14ac:dyDescent="0.25">
      <c r="A1174" s="11">
        <f t="shared" si="4"/>
        <v>1161</v>
      </c>
      <c r="B1174" s="570" t="str">
        <f>'refer admin discharge'!B1170</f>
        <v>x</v>
      </c>
      <c r="C1174" s="327"/>
      <c r="D1174" s="599" t="str">
        <f>'refer admin discharge'!D1170</f>
        <v>xx</v>
      </c>
      <c r="E1174" s="327"/>
      <c r="F1174" s="600" t="str">
        <f>'refer admin discharge'!H1170</f>
        <v>00/00/0000</v>
      </c>
      <c r="G1174" s="327"/>
      <c r="H1174" s="574"/>
      <c r="I1174" s="327"/>
      <c r="J1174" s="601"/>
      <c r="K1174" s="327"/>
      <c r="L1174" s="574"/>
      <c r="M1174" s="327"/>
      <c r="N1174" s="594"/>
      <c r="O1174" s="327"/>
      <c r="P1174" s="574"/>
      <c r="Q1174" s="327"/>
      <c r="R1174" s="594"/>
      <c r="S1174" s="327"/>
      <c r="T1174" s="574"/>
      <c r="U1174" s="327"/>
      <c r="V1174" s="595" t="str">
        <f>'refer admin discharge'!H1175</f>
        <v>00/00/0000</v>
      </c>
      <c r="W1174" s="327"/>
      <c r="X1174" s="596"/>
      <c r="Y1174" s="327"/>
      <c r="Z1174" s="597"/>
      <c r="AA1174" s="327"/>
      <c r="AB1174" s="596"/>
      <c r="AC1174" s="327"/>
      <c r="AD1174" s="577"/>
      <c r="AE1174" s="327"/>
      <c r="AF1174" s="596"/>
      <c r="AG1174" s="327"/>
      <c r="AH1174" s="577"/>
      <c r="AI1174" s="327"/>
      <c r="AJ1174" s="596"/>
      <c r="AK1174" s="327"/>
      <c r="AL1174" s="598"/>
      <c r="AM1174" s="326"/>
      <c r="AN1174" s="326"/>
      <c r="AO1174" s="326"/>
      <c r="AP1174" s="326"/>
      <c r="AQ1174" s="326"/>
      <c r="AR1174" s="326"/>
      <c r="AS1174" s="326"/>
      <c r="AT1174" s="326"/>
      <c r="AU1174" s="326"/>
      <c r="AV1174" s="326"/>
      <c r="AW1174" s="326"/>
      <c r="AX1174" s="326"/>
      <c r="AY1174" s="326"/>
      <c r="AZ1174" s="326"/>
      <c r="BA1174" s="326"/>
      <c r="BB1174" s="327"/>
    </row>
    <row r="1175" spans="1:54" ht="15.75" customHeight="1" x14ac:dyDescent="0.25">
      <c r="A1175" s="11">
        <f t="shared" si="4"/>
        <v>1162</v>
      </c>
      <c r="B1175" s="504" t="str">
        <f>'refer admin discharge'!B1171</f>
        <v>x</v>
      </c>
      <c r="C1175" s="327"/>
      <c r="D1175" s="505" t="str">
        <f>'refer admin discharge'!D1171</f>
        <v>xx</v>
      </c>
      <c r="E1175" s="327"/>
      <c r="F1175" s="606" t="str">
        <f>'refer admin discharge'!H1171</f>
        <v>00/00/0000</v>
      </c>
      <c r="G1175" s="327"/>
      <c r="H1175" s="594"/>
      <c r="I1175" s="327"/>
      <c r="J1175" s="605"/>
      <c r="K1175" s="327"/>
      <c r="L1175" s="594"/>
      <c r="M1175" s="327"/>
      <c r="N1175" s="575"/>
      <c r="O1175" s="327"/>
      <c r="P1175" s="594"/>
      <c r="Q1175" s="327"/>
      <c r="R1175" s="575"/>
      <c r="S1175" s="327"/>
      <c r="T1175" s="594"/>
      <c r="U1175" s="327"/>
      <c r="V1175" s="595" t="str">
        <f>'refer admin discharge'!H1176</f>
        <v>00/00/0000</v>
      </c>
      <c r="W1175" s="327"/>
      <c r="X1175" s="577"/>
      <c r="Y1175" s="327"/>
      <c r="Z1175" s="604"/>
      <c r="AA1175" s="327"/>
      <c r="AB1175" s="577"/>
      <c r="AC1175" s="327"/>
      <c r="AD1175" s="576"/>
      <c r="AE1175" s="327"/>
      <c r="AF1175" s="577"/>
      <c r="AG1175" s="327"/>
      <c r="AH1175" s="576"/>
      <c r="AI1175" s="327"/>
      <c r="AJ1175" s="577"/>
      <c r="AK1175" s="327"/>
      <c r="AL1175" s="602"/>
      <c r="AM1175" s="326"/>
      <c r="AN1175" s="326"/>
      <c r="AO1175" s="326"/>
      <c r="AP1175" s="326"/>
      <c r="AQ1175" s="326"/>
      <c r="AR1175" s="326"/>
      <c r="AS1175" s="326"/>
      <c r="AT1175" s="326"/>
      <c r="AU1175" s="326"/>
      <c r="AV1175" s="326"/>
      <c r="AW1175" s="326"/>
      <c r="AX1175" s="326"/>
      <c r="AY1175" s="326"/>
      <c r="AZ1175" s="326"/>
      <c r="BA1175" s="326"/>
      <c r="BB1175" s="327"/>
    </row>
    <row r="1176" spans="1:54" ht="15.75" customHeight="1" x14ac:dyDescent="0.25">
      <c r="A1176" s="11">
        <f t="shared" si="4"/>
        <v>1163</v>
      </c>
      <c r="B1176" s="570" t="str">
        <f>'refer admin discharge'!B1172</f>
        <v>x</v>
      </c>
      <c r="C1176" s="327"/>
      <c r="D1176" s="599" t="str">
        <f>'refer admin discharge'!D1172</f>
        <v>xx</v>
      </c>
      <c r="E1176" s="327"/>
      <c r="F1176" s="600" t="str">
        <f>'refer admin discharge'!H1172</f>
        <v>00/00/0000</v>
      </c>
      <c r="G1176" s="327"/>
      <c r="H1176" s="574"/>
      <c r="I1176" s="327"/>
      <c r="J1176" s="601"/>
      <c r="K1176" s="327"/>
      <c r="L1176" s="574"/>
      <c r="M1176" s="327"/>
      <c r="N1176" s="594"/>
      <c r="O1176" s="327"/>
      <c r="P1176" s="574"/>
      <c r="Q1176" s="327"/>
      <c r="R1176" s="594"/>
      <c r="S1176" s="327"/>
      <c r="T1176" s="574"/>
      <c r="U1176" s="327"/>
      <c r="V1176" s="595" t="str">
        <f>'refer admin discharge'!H1177</f>
        <v>00/00/0000</v>
      </c>
      <c r="W1176" s="327"/>
      <c r="X1176" s="596"/>
      <c r="Y1176" s="327"/>
      <c r="Z1176" s="597"/>
      <c r="AA1176" s="327"/>
      <c r="AB1176" s="596"/>
      <c r="AC1176" s="327"/>
      <c r="AD1176" s="577"/>
      <c r="AE1176" s="327"/>
      <c r="AF1176" s="596"/>
      <c r="AG1176" s="327"/>
      <c r="AH1176" s="577"/>
      <c r="AI1176" s="327"/>
      <c r="AJ1176" s="596"/>
      <c r="AK1176" s="327"/>
      <c r="AL1176" s="598"/>
      <c r="AM1176" s="326"/>
      <c r="AN1176" s="326"/>
      <c r="AO1176" s="326"/>
      <c r="AP1176" s="326"/>
      <c r="AQ1176" s="326"/>
      <c r="AR1176" s="326"/>
      <c r="AS1176" s="326"/>
      <c r="AT1176" s="326"/>
      <c r="AU1176" s="326"/>
      <c r="AV1176" s="326"/>
      <c r="AW1176" s="326"/>
      <c r="AX1176" s="326"/>
      <c r="AY1176" s="326"/>
      <c r="AZ1176" s="326"/>
      <c r="BA1176" s="326"/>
      <c r="BB1176" s="327"/>
    </row>
    <row r="1177" spans="1:54" ht="15.75" customHeight="1" x14ac:dyDescent="0.25">
      <c r="A1177" s="11">
        <f t="shared" si="4"/>
        <v>1164</v>
      </c>
      <c r="B1177" s="504" t="str">
        <f>'refer admin discharge'!B1173</f>
        <v>x</v>
      </c>
      <c r="C1177" s="327"/>
      <c r="D1177" s="505" t="str">
        <f>'refer admin discharge'!D1173</f>
        <v>xx</v>
      </c>
      <c r="E1177" s="327"/>
      <c r="F1177" s="606" t="str">
        <f>'refer admin discharge'!H1173</f>
        <v>00/00/0000</v>
      </c>
      <c r="G1177" s="327"/>
      <c r="H1177" s="594"/>
      <c r="I1177" s="327"/>
      <c r="J1177" s="605"/>
      <c r="K1177" s="327"/>
      <c r="L1177" s="594"/>
      <c r="M1177" s="327"/>
      <c r="N1177" s="575"/>
      <c r="O1177" s="327"/>
      <c r="P1177" s="594"/>
      <c r="Q1177" s="327"/>
      <c r="R1177" s="575"/>
      <c r="S1177" s="327"/>
      <c r="T1177" s="594"/>
      <c r="U1177" s="327"/>
      <c r="V1177" s="595" t="str">
        <f>'refer admin discharge'!H1178</f>
        <v>00/00/0000</v>
      </c>
      <c r="W1177" s="327"/>
      <c r="X1177" s="577"/>
      <c r="Y1177" s="327"/>
      <c r="Z1177" s="604"/>
      <c r="AA1177" s="327"/>
      <c r="AB1177" s="577"/>
      <c r="AC1177" s="327"/>
      <c r="AD1177" s="576"/>
      <c r="AE1177" s="327"/>
      <c r="AF1177" s="577"/>
      <c r="AG1177" s="327"/>
      <c r="AH1177" s="576"/>
      <c r="AI1177" s="327"/>
      <c r="AJ1177" s="577"/>
      <c r="AK1177" s="327"/>
      <c r="AL1177" s="602"/>
      <c r="AM1177" s="326"/>
      <c r="AN1177" s="326"/>
      <c r="AO1177" s="326"/>
      <c r="AP1177" s="326"/>
      <c r="AQ1177" s="326"/>
      <c r="AR1177" s="326"/>
      <c r="AS1177" s="326"/>
      <c r="AT1177" s="326"/>
      <c r="AU1177" s="326"/>
      <c r="AV1177" s="326"/>
      <c r="AW1177" s="326"/>
      <c r="AX1177" s="326"/>
      <c r="AY1177" s="326"/>
      <c r="AZ1177" s="326"/>
      <c r="BA1177" s="326"/>
      <c r="BB1177" s="327"/>
    </row>
    <row r="1178" spans="1:54" ht="15.75" customHeight="1" x14ac:dyDescent="0.25">
      <c r="A1178" s="11">
        <f t="shared" si="4"/>
        <v>1165</v>
      </c>
      <c r="B1178" s="570" t="str">
        <f>'refer admin discharge'!B1174</f>
        <v>x</v>
      </c>
      <c r="C1178" s="327"/>
      <c r="D1178" s="599" t="str">
        <f>'refer admin discharge'!D1174</f>
        <v>xx</v>
      </c>
      <c r="E1178" s="327"/>
      <c r="F1178" s="600" t="str">
        <f>'refer admin discharge'!H1174</f>
        <v>00/00/0000</v>
      </c>
      <c r="G1178" s="327"/>
      <c r="H1178" s="574"/>
      <c r="I1178" s="327"/>
      <c r="J1178" s="601"/>
      <c r="K1178" s="327"/>
      <c r="L1178" s="574"/>
      <c r="M1178" s="327"/>
      <c r="N1178" s="594"/>
      <c r="O1178" s="327"/>
      <c r="P1178" s="574"/>
      <c r="Q1178" s="327"/>
      <c r="R1178" s="594"/>
      <c r="S1178" s="327"/>
      <c r="T1178" s="574"/>
      <c r="U1178" s="327"/>
      <c r="V1178" s="595" t="str">
        <f>'refer admin discharge'!H1179</f>
        <v>00/00/0000</v>
      </c>
      <c r="W1178" s="327"/>
      <c r="X1178" s="596"/>
      <c r="Y1178" s="327"/>
      <c r="Z1178" s="597"/>
      <c r="AA1178" s="327"/>
      <c r="AB1178" s="596"/>
      <c r="AC1178" s="327"/>
      <c r="AD1178" s="577"/>
      <c r="AE1178" s="327"/>
      <c r="AF1178" s="596"/>
      <c r="AG1178" s="327"/>
      <c r="AH1178" s="577"/>
      <c r="AI1178" s="327"/>
      <c r="AJ1178" s="596"/>
      <c r="AK1178" s="327"/>
      <c r="AL1178" s="598"/>
      <c r="AM1178" s="326"/>
      <c r="AN1178" s="326"/>
      <c r="AO1178" s="326"/>
      <c r="AP1178" s="326"/>
      <c r="AQ1178" s="326"/>
      <c r="AR1178" s="326"/>
      <c r="AS1178" s="326"/>
      <c r="AT1178" s="326"/>
      <c r="AU1178" s="326"/>
      <c r="AV1178" s="326"/>
      <c r="AW1178" s="326"/>
      <c r="AX1178" s="326"/>
      <c r="AY1178" s="326"/>
      <c r="AZ1178" s="326"/>
      <c r="BA1178" s="326"/>
      <c r="BB1178" s="327"/>
    </row>
    <row r="1179" spans="1:54" ht="15.75" customHeight="1" x14ac:dyDescent="0.25">
      <c r="A1179" s="11">
        <f t="shared" si="4"/>
        <v>1166</v>
      </c>
      <c r="B1179" s="504" t="str">
        <f>'refer admin discharge'!B1175</f>
        <v>x</v>
      </c>
      <c r="C1179" s="327"/>
      <c r="D1179" s="505" t="str">
        <f>'refer admin discharge'!D1175</f>
        <v>xx</v>
      </c>
      <c r="E1179" s="327"/>
      <c r="F1179" s="606" t="str">
        <f>'refer admin discharge'!H1175</f>
        <v>00/00/0000</v>
      </c>
      <c r="G1179" s="327"/>
      <c r="H1179" s="594"/>
      <c r="I1179" s="327"/>
      <c r="J1179" s="605"/>
      <c r="K1179" s="327"/>
      <c r="L1179" s="594"/>
      <c r="M1179" s="327"/>
      <c r="N1179" s="575"/>
      <c r="O1179" s="327"/>
      <c r="P1179" s="594"/>
      <c r="Q1179" s="327"/>
      <c r="R1179" s="575"/>
      <c r="S1179" s="327"/>
      <c r="T1179" s="594"/>
      <c r="U1179" s="327"/>
      <c r="V1179" s="595" t="str">
        <f>'refer admin discharge'!H1180</f>
        <v>00/00/0000</v>
      </c>
      <c r="W1179" s="327"/>
      <c r="X1179" s="577"/>
      <c r="Y1179" s="327"/>
      <c r="Z1179" s="604"/>
      <c r="AA1179" s="327"/>
      <c r="AB1179" s="577"/>
      <c r="AC1179" s="327"/>
      <c r="AD1179" s="576"/>
      <c r="AE1179" s="327"/>
      <c r="AF1179" s="577"/>
      <c r="AG1179" s="327"/>
      <c r="AH1179" s="576"/>
      <c r="AI1179" s="327"/>
      <c r="AJ1179" s="577"/>
      <c r="AK1179" s="327"/>
      <c r="AL1179" s="602"/>
      <c r="AM1179" s="326"/>
      <c r="AN1179" s="326"/>
      <c r="AO1179" s="326"/>
      <c r="AP1179" s="326"/>
      <c r="AQ1179" s="326"/>
      <c r="AR1179" s="326"/>
      <c r="AS1179" s="326"/>
      <c r="AT1179" s="326"/>
      <c r="AU1179" s="326"/>
      <c r="AV1179" s="326"/>
      <c r="AW1179" s="326"/>
      <c r="AX1179" s="326"/>
      <c r="AY1179" s="326"/>
      <c r="AZ1179" s="326"/>
      <c r="BA1179" s="326"/>
      <c r="BB1179" s="327"/>
    </row>
    <row r="1180" spans="1:54" ht="15.75" customHeight="1" x14ac:dyDescent="0.25">
      <c r="A1180" s="11">
        <f t="shared" si="4"/>
        <v>1167</v>
      </c>
      <c r="B1180" s="570" t="str">
        <f>'refer admin discharge'!B1176</f>
        <v>x</v>
      </c>
      <c r="C1180" s="327"/>
      <c r="D1180" s="599" t="str">
        <f>'refer admin discharge'!D1176</f>
        <v>xx</v>
      </c>
      <c r="E1180" s="327"/>
      <c r="F1180" s="600" t="str">
        <f>'refer admin discharge'!H1176</f>
        <v>00/00/0000</v>
      </c>
      <c r="G1180" s="327"/>
      <c r="H1180" s="574"/>
      <c r="I1180" s="327"/>
      <c r="J1180" s="601"/>
      <c r="K1180" s="327"/>
      <c r="L1180" s="574"/>
      <c r="M1180" s="327"/>
      <c r="N1180" s="594"/>
      <c r="O1180" s="327"/>
      <c r="P1180" s="574"/>
      <c r="Q1180" s="327"/>
      <c r="R1180" s="594"/>
      <c r="S1180" s="327"/>
      <c r="T1180" s="574"/>
      <c r="U1180" s="327"/>
      <c r="V1180" s="595" t="str">
        <f>'refer admin discharge'!H1181</f>
        <v>00/00/0000</v>
      </c>
      <c r="W1180" s="327"/>
      <c r="X1180" s="596"/>
      <c r="Y1180" s="327"/>
      <c r="Z1180" s="597"/>
      <c r="AA1180" s="327"/>
      <c r="AB1180" s="596"/>
      <c r="AC1180" s="327"/>
      <c r="AD1180" s="577"/>
      <c r="AE1180" s="327"/>
      <c r="AF1180" s="596"/>
      <c r="AG1180" s="327"/>
      <c r="AH1180" s="577"/>
      <c r="AI1180" s="327"/>
      <c r="AJ1180" s="596"/>
      <c r="AK1180" s="327"/>
      <c r="AL1180" s="598"/>
      <c r="AM1180" s="326"/>
      <c r="AN1180" s="326"/>
      <c r="AO1180" s="326"/>
      <c r="AP1180" s="326"/>
      <c r="AQ1180" s="326"/>
      <c r="AR1180" s="326"/>
      <c r="AS1180" s="326"/>
      <c r="AT1180" s="326"/>
      <c r="AU1180" s="326"/>
      <c r="AV1180" s="326"/>
      <c r="AW1180" s="326"/>
      <c r="AX1180" s="326"/>
      <c r="AY1180" s="326"/>
      <c r="AZ1180" s="326"/>
      <c r="BA1180" s="326"/>
      <c r="BB1180" s="327"/>
    </row>
    <row r="1181" spans="1:54" ht="15.75" customHeight="1" x14ac:dyDescent="0.25">
      <c r="A1181" s="11">
        <f t="shared" si="4"/>
        <v>1168</v>
      </c>
      <c r="B1181" s="504" t="str">
        <f>'refer admin discharge'!B1177</f>
        <v>x</v>
      </c>
      <c r="C1181" s="327"/>
      <c r="D1181" s="505" t="str">
        <f>'refer admin discharge'!D1177</f>
        <v>xx</v>
      </c>
      <c r="E1181" s="327"/>
      <c r="F1181" s="606" t="str">
        <f>'refer admin discharge'!H1177</f>
        <v>00/00/0000</v>
      </c>
      <c r="G1181" s="327"/>
      <c r="H1181" s="594"/>
      <c r="I1181" s="327"/>
      <c r="J1181" s="605"/>
      <c r="K1181" s="327"/>
      <c r="L1181" s="594"/>
      <c r="M1181" s="327"/>
      <c r="N1181" s="575"/>
      <c r="O1181" s="327"/>
      <c r="P1181" s="594"/>
      <c r="Q1181" s="327"/>
      <c r="R1181" s="575"/>
      <c r="S1181" s="327"/>
      <c r="T1181" s="594"/>
      <c r="U1181" s="327"/>
      <c r="V1181" s="595" t="str">
        <f>'refer admin discharge'!H1182</f>
        <v>00/00/0000</v>
      </c>
      <c r="W1181" s="327"/>
      <c r="X1181" s="577"/>
      <c r="Y1181" s="327"/>
      <c r="Z1181" s="604"/>
      <c r="AA1181" s="327"/>
      <c r="AB1181" s="577"/>
      <c r="AC1181" s="327"/>
      <c r="AD1181" s="576"/>
      <c r="AE1181" s="327"/>
      <c r="AF1181" s="577"/>
      <c r="AG1181" s="327"/>
      <c r="AH1181" s="576"/>
      <c r="AI1181" s="327"/>
      <c r="AJ1181" s="577"/>
      <c r="AK1181" s="327"/>
      <c r="AL1181" s="602"/>
      <c r="AM1181" s="326"/>
      <c r="AN1181" s="326"/>
      <c r="AO1181" s="326"/>
      <c r="AP1181" s="326"/>
      <c r="AQ1181" s="326"/>
      <c r="AR1181" s="326"/>
      <c r="AS1181" s="326"/>
      <c r="AT1181" s="326"/>
      <c r="AU1181" s="326"/>
      <c r="AV1181" s="326"/>
      <c r="AW1181" s="326"/>
      <c r="AX1181" s="326"/>
      <c r="AY1181" s="326"/>
      <c r="AZ1181" s="326"/>
      <c r="BA1181" s="326"/>
      <c r="BB1181" s="327"/>
    </row>
    <row r="1182" spans="1:54" ht="15.75" customHeight="1" x14ac:dyDescent="0.25">
      <c r="A1182" s="11">
        <f t="shared" si="4"/>
        <v>1169</v>
      </c>
      <c r="B1182" s="570" t="str">
        <f>'refer admin discharge'!B1178</f>
        <v>x</v>
      </c>
      <c r="C1182" s="327"/>
      <c r="D1182" s="599" t="str">
        <f>'refer admin discharge'!D1178</f>
        <v>xx</v>
      </c>
      <c r="E1182" s="327"/>
      <c r="F1182" s="600" t="str">
        <f>'refer admin discharge'!H1178</f>
        <v>00/00/0000</v>
      </c>
      <c r="G1182" s="327"/>
      <c r="H1182" s="574"/>
      <c r="I1182" s="327"/>
      <c r="J1182" s="601"/>
      <c r="K1182" s="327"/>
      <c r="L1182" s="574"/>
      <c r="M1182" s="327"/>
      <c r="N1182" s="594"/>
      <c r="O1182" s="327"/>
      <c r="P1182" s="574"/>
      <c r="Q1182" s="327"/>
      <c r="R1182" s="594"/>
      <c r="S1182" s="327"/>
      <c r="T1182" s="574"/>
      <c r="U1182" s="327"/>
      <c r="V1182" s="595" t="str">
        <f>'refer admin discharge'!H1183</f>
        <v>00/00/0000</v>
      </c>
      <c r="W1182" s="327"/>
      <c r="X1182" s="596"/>
      <c r="Y1182" s="327"/>
      <c r="Z1182" s="597"/>
      <c r="AA1182" s="327"/>
      <c r="AB1182" s="596"/>
      <c r="AC1182" s="327"/>
      <c r="AD1182" s="577"/>
      <c r="AE1182" s="327"/>
      <c r="AF1182" s="596"/>
      <c r="AG1182" s="327"/>
      <c r="AH1182" s="577"/>
      <c r="AI1182" s="327"/>
      <c r="AJ1182" s="596"/>
      <c r="AK1182" s="327"/>
      <c r="AL1182" s="598"/>
      <c r="AM1182" s="326"/>
      <c r="AN1182" s="326"/>
      <c r="AO1182" s="326"/>
      <c r="AP1182" s="326"/>
      <c r="AQ1182" s="326"/>
      <c r="AR1182" s="326"/>
      <c r="AS1182" s="326"/>
      <c r="AT1182" s="326"/>
      <c r="AU1182" s="326"/>
      <c r="AV1182" s="326"/>
      <c r="AW1182" s="326"/>
      <c r="AX1182" s="326"/>
      <c r="AY1182" s="326"/>
      <c r="AZ1182" s="326"/>
      <c r="BA1182" s="326"/>
      <c r="BB1182" s="327"/>
    </row>
    <row r="1183" spans="1:54" ht="15.75" customHeight="1" x14ac:dyDescent="0.25">
      <c r="A1183" s="11">
        <f t="shared" si="4"/>
        <v>1170</v>
      </c>
      <c r="B1183" s="504" t="str">
        <f>'refer admin discharge'!B1179</f>
        <v>x</v>
      </c>
      <c r="C1183" s="327"/>
      <c r="D1183" s="505" t="str">
        <f>'refer admin discharge'!D1179</f>
        <v>xx</v>
      </c>
      <c r="E1183" s="327"/>
      <c r="F1183" s="606" t="str">
        <f>'refer admin discharge'!H1179</f>
        <v>00/00/0000</v>
      </c>
      <c r="G1183" s="327"/>
      <c r="H1183" s="594"/>
      <c r="I1183" s="327"/>
      <c r="J1183" s="605"/>
      <c r="K1183" s="327"/>
      <c r="L1183" s="594"/>
      <c r="M1183" s="327"/>
      <c r="N1183" s="575"/>
      <c r="O1183" s="327"/>
      <c r="P1183" s="594"/>
      <c r="Q1183" s="327"/>
      <c r="R1183" s="575"/>
      <c r="S1183" s="327"/>
      <c r="T1183" s="594"/>
      <c r="U1183" s="327"/>
      <c r="V1183" s="595" t="str">
        <f>'refer admin discharge'!H1184</f>
        <v>00/00/0000</v>
      </c>
      <c r="W1183" s="327"/>
      <c r="X1183" s="577"/>
      <c r="Y1183" s="327"/>
      <c r="Z1183" s="604"/>
      <c r="AA1183" s="327"/>
      <c r="AB1183" s="577"/>
      <c r="AC1183" s="327"/>
      <c r="AD1183" s="576"/>
      <c r="AE1183" s="327"/>
      <c r="AF1183" s="577"/>
      <c r="AG1183" s="327"/>
      <c r="AH1183" s="576"/>
      <c r="AI1183" s="327"/>
      <c r="AJ1183" s="577"/>
      <c r="AK1183" s="327"/>
      <c r="AL1183" s="602"/>
      <c r="AM1183" s="326"/>
      <c r="AN1183" s="326"/>
      <c r="AO1183" s="326"/>
      <c r="AP1183" s="326"/>
      <c r="AQ1183" s="326"/>
      <c r="AR1183" s="326"/>
      <c r="AS1183" s="326"/>
      <c r="AT1183" s="326"/>
      <c r="AU1183" s="326"/>
      <c r="AV1183" s="326"/>
      <c r="AW1183" s="326"/>
      <c r="AX1183" s="326"/>
      <c r="AY1183" s="326"/>
      <c r="AZ1183" s="326"/>
      <c r="BA1183" s="326"/>
      <c r="BB1183" s="327"/>
    </row>
    <row r="1184" spans="1:54" ht="15.75" customHeight="1" x14ac:dyDescent="0.25">
      <c r="A1184" s="11">
        <f t="shared" si="4"/>
        <v>1171</v>
      </c>
      <c r="B1184" s="570" t="str">
        <f>'refer admin discharge'!B1180</f>
        <v>x</v>
      </c>
      <c r="C1184" s="327"/>
      <c r="D1184" s="599" t="str">
        <f>'refer admin discharge'!D1180</f>
        <v>xx</v>
      </c>
      <c r="E1184" s="327"/>
      <c r="F1184" s="600" t="str">
        <f>'refer admin discharge'!H1180</f>
        <v>00/00/0000</v>
      </c>
      <c r="G1184" s="327"/>
      <c r="H1184" s="574"/>
      <c r="I1184" s="327"/>
      <c r="J1184" s="601"/>
      <c r="K1184" s="327"/>
      <c r="L1184" s="574"/>
      <c r="M1184" s="327"/>
      <c r="N1184" s="594"/>
      <c r="O1184" s="327"/>
      <c r="P1184" s="574"/>
      <c r="Q1184" s="327"/>
      <c r="R1184" s="594"/>
      <c r="S1184" s="327"/>
      <c r="T1184" s="574"/>
      <c r="U1184" s="327"/>
      <c r="V1184" s="595" t="str">
        <f>'refer admin discharge'!H1185</f>
        <v>00/00/0000</v>
      </c>
      <c r="W1184" s="327"/>
      <c r="X1184" s="596"/>
      <c r="Y1184" s="327"/>
      <c r="Z1184" s="597"/>
      <c r="AA1184" s="327"/>
      <c r="AB1184" s="596"/>
      <c r="AC1184" s="327"/>
      <c r="AD1184" s="577"/>
      <c r="AE1184" s="327"/>
      <c r="AF1184" s="596"/>
      <c r="AG1184" s="327"/>
      <c r="AH1184" s="577"/>
      <c r="AI1184" s="327"/>
      <c r="AJ1184" s="596"/>
      <c r="AK1184" s="327"/>
      <c r="AL1184" s="598"/>
      <c r="AM1184" s="326"/>
      <c r="AN1184" s="326"/>
      <c r="AO1184" s="326"/>
      <c r="AP1184" s="326"/>
      <c r="AQ1184" s="326"/>
      <c r="AR1184" s="326"/>
      <c r="AS1184" s="326"/>
      <c r="AT1184" s="326"/>
      <c r="AU1184" s="326"/>
      <c r="AV1184" s="326"/>
      <c r="AW1184" s="326"/>
      <c r="AX1184" s="326"/>
      <c r="AY1184" s="326"/>
      <c r="AZ1184" s="326"/>
      <c r="BA1184" s="326"/>
      <c r="BB1184" s="327"/>
    </row>
    <row r="1185" spans="1:54" ht="15.75" customHeight="1" x14ac:dyDescent="0.25">
      <c r="A1185" s="11">
        <f t="shared" si="4"/>
        <v>1172</v>
      </c>
      <c r="B1185" s="504" t="str">
        <f>'refer admin discharge'!B1181</f>
        <v>x</v>
      </c>
      <c r="C1185" s="327"/>
      <c r="D1185" s="505" t="str">
        <f>'refer admin discharge'!D1181</f>
        <v>xx</v>
      </c>
      <c r="E1185" s="327"/>
      <c r="F1185" s="606" t="str">
        <f>'refer admin discharge'!H1181</f>
        <v>00/00/0000</v>
      </c>
      <c r="G1185" s="327"/>
      <c r="H1185" s="594"/>
      <c r="I1185" s="327"/>
      <c r="J1185" s="605"/>
      <c r="K1185" s="327"/>
      <c r="L1185" s="594"/>
      <c r="M1185" s="327"/>
      <c r="N1185" s="575"/>
      <c r="O1185" s="327"/>
      <c r="P1185" s="594"/>
      <c r="Q1185" s="327"/>
      <c r="R1185" s="575"/>
      <c r="S1185" s="327"/>
      <c r="T1185" s="594"/>
      <c r="U1185" s="327"/>
      <c r="V1185" s="595" t="str">
        <f>'refer admin discharge'!H1186</f>
        <v>00/00/0000</v>
      </c>
      <c r="W1185" s="327"/>
      <c r="X1185" s="577"/>
      <c r="Y1185" s="327"/>
      <c r="Z1185" s="604"/>
      <c r="AA1185" s="327"/>
      <c r="AB1185" s="577"/>
      <c r="AC1185" s="327"/>
      <c r="AD1185" s="576"/>
      <c r="AE1185" s="327"/>
      <c r="AF1185" s="577"/>
      <c r="AG1185" s="327"/>
      <c r="AH1185" s="576"/>
      <c r="AI1185" s="327"/>
      <c r="AJ1185" s="577"/>
      <c r="AK1185" s="327"/>
      <c r="AL1185" s="602"/>
      <c r="AM1185" s="326"/>
      <c r="AN1185" s="326"/>
      <c r="AO1185" s="326"/>
      <c r="AP1185" s="326"/>
      <c r="AQ1185" s="326"/>
      <c r="AR1185" s="326"/>
      <c r="AS1185" s="326"/>
      <c r="AT1185" s="326"/>
      <c r="AU1185" s="326"/>
      <c r="AV1185" s="326"/>
      <c r="AW1185" s="326"/>
      <c r="AX1185" s="326"/>
      <c r="AY1185" s="326"/>
      <c r="AZ1185" s="326"/>
      <c r="BA1185" s="326"/>
      <c r="BB1185" s="327"/>
    </row>
    <row r="1186" spans="1:54" ht="15.75" customHeight="1" x14ac:dyDescent="0.25">
      <c r="A1186" s="11">
        <f t="shared" si="4"/>
        <v>1173</v>
      </c>
      <c r="B1186" s="570" t="str">
        <f>'refer admin discharge'!B1182</f>
        <v>x</v>
      </c>
      <c r="C1186" s="327"/>
      <c r="D1186" s="599" t="str">
        <f>'refer admin discharge'!D1182</f>
        <v>xx</v>
      </c>
      <c r="E1186" s="327"/>
      <c r="F1186" s="600" t="str">
        <f>'refer admin discharge'!H1182</f>
        <v>00/00/0000</v>
      </c>
      <c r="G1186" s="327"/>
      <c r="H1186" s="574"/>
      <c r="I1186" s="327"/>
      <c r="J1186" s="601"/>
      <c r="K1186" s="327"/>
      <c r="L1186" s="574"/>
      <c r="M1186" s="327"/>
      <c r="N1186" s="594"/>
      <c r="O1186" s="327"/>
      <c r="P1186" s="574"/>
      <c r="Q1186" s="327"/>
      <c r="R1186" s="594"/>
      <c r="S1186" s="327"/>
      <c r="T1186" s="574"/>
      <c r="U1186" s="327"/>
      <c r="V1186" s="595" t="str">
        <f>'refer admin discharge'!H1187</f>
        <v>00/00/0000</v>
      </c>
      <c r="W1186" s="327"/>
      <c r="X1186" s="596"/>
      <c r="Y1186" s="327"/>
      <c r="Z1186" s="597"/>
      <c r="AA1186" s="327"/>
      <c r="AB1186" s="596"/>
      <c r="AC1186" s="327"/>
      <c r="AD1186" s="577"/>
      <c r="AE1186" s="327"/>
      <c r="AF1186" s="596"/>
      <c r="AG1186" s="327"/>
      <c r="AH1186" s="577"/>
      <c r="AI1186" s="327"/>
      <c r="AJ1186" s="596"/>
      <c r="AK1186" s="327"/>
      <c r="AL1186" s="598"/>
      <c r="AM1186" s="326"/>
      <c r="AN1186" s="326"/>
      <c r="AO1186" s="326"/>
      <c r="AP1186" s="326"/>
      <c r="AQ1186" s="326"/>
      <c r="AR1186" s="326"/>
      <c r="AS1186" s="326"/>
      <c r="AT1186" s="326"/>
      <c r="AU1186" s="326"/>
      <c r="AV1186" s="326"/>
      <c r="AW1186" s="326"/>
      <c r="AX1186" s="326"/>
      <c r="AY1186" s="326"/>
      <c r="AZ1186" s="326"/>
      <c r="BA1186" s="326"/>
      <c r="BB1186" s="327"/>
    </row>
    <row r="1187" spans="1:54" ht="15.75" customHeight="1" x14ac:dyDescent="0.25">
      <c r="A1187" s="11">
        <f t="shared" si="4"/>
        <v>1174</v>
      </c>
      <c r="B1187" s="504" t="str">
        <f>'refer admin discharge'!B1183</f>
        <v>x</v>
      </c>
      <c r="C1187" s="327"/>
      <c r="D1187" s="505" t="str">
        <f>'refer admin discharge'!D1183</f>
        <v>xx</v>
      </c>
      <c r="E1187" s="327"/>
      <c r="F1187" s="606" t="str">
        <f>'refer admin discharge'!H1183</f>
        <v>00/00/0000</v>
      </c>
      <c r="G1187" s="327"/>
      <c r="H1187" s="594"/>
      <c r="I1187" s="327"/>
      <c r="J1187" s="605"/>
      <c r="K1187" s="327"/>
      <c r="L1187" s="594"/>
      <c r="M1187" s="327"/>
      <c r="N1187" s="575"/>
      <c r="O1187" s="327"/>
      <c r="P1187" s="594"/>
      <c r="Q1187" s="327"/>
      <c r="R1187" s="575"/>
      <c r="S1187" s="327"/>
      <c r="T1187" s="594"/>
      <c r="U1187" s="327"/>
      <c r="V1187" s="595" t="str">
        <f>'refer admin discharge'!H1188</f>
        <v>00/00/0000</v>
      </c>
      <c r="W1187" s="327"/>
      <c r="X1187" s="577"/>
      <c r="Y1187" s="327"/>
      <c r="Z1187" s="604"/>
      <c r="AA1187" s="327"/>
      <c r="AB1187" s="577"/>
      <c r="AC1187" s="327"/>
      <c r="AD1187" s="576"/>
      <c r="AE1187" s="327"/>
      <c r="AF1187" s="577"/>
      <c r="AG1187" s="327"/>
      <c r="AH1187" s="576"/>
      <c r="AI1187" s="327"/>
      <c r="AJ1187" s="577"/>
      <c r="AK1187" s="327"/>
      <c r="AL1187" s="602"/>
      <c r="AM1187" s="326"/>
      <c r="AN1187" s="326"/>
      <c r="AO1187" s="326"/>
      <c r="AP1187" s="326"/>
      <c r="AQ1187" s="326"/>
      <c r="AR1187" s="326"/>
      <c r="AS1187" s="326"/>
      <c r="AT1187" s="326"/>
      <c r="AU1187" s="326"/>
      <c r="AV1187" s="326"/>
      <c r="AW1187" s="326"/>
      <c r="AX1187" s="326"/>
      <c r="AY1187" s="326"/>
      <c r="AZ1187" s="326"/>
      <c r="BA1187" s="326"/>
      <c r="BB1187" s="327"/>
    </row>
    <row r="1188" spans="1:54" ht="15.75" customHeight="1" x14ac:dyDescent="0.25">
      <c r="A1188" s="11">
        <f t="shared" si="4"/>
        <v>1175</v>
      </c>
      <c r="B1188" s="570" t="str">
        <f>'refer admin discharge'!B1184</f>
        <v>x</v>
      </c>
      <c r="C1188" s="327"/>
      <c r="D1188" s="599" t="str">
        <f>'refer admin discharge'!D1184</f>
        <v>xx</v>
      </c>
      <c r="E1188" s="327"/>
      <c r="F1188" s="600" t="str">
        <f>'refer admin discharge'!H1184</f>
        <v>00/00/0000</v>
      </c>
      <c r="G1188" s="327"/>
      <c r="H1188" s="574"/>
      <c r="I1188" s="327"/>
      <c r="J1188" s="601"/>
      <c r="K1188" s="327"/>
      <c r="L1188" s="574"/>
      <c r="M1188" s="327"/>
      <c r="N1188" s="594"/>
      <c r="O1188" s="327"/>
      <c r="P1188" s="574"/>
      <c r="Q1188" s="327"/>
      <c r="R1188" s="594"/>
      <c r="S1188" s="327"/>
      <c r="T1188" s="574"/>
      <c r="U1188" s="327"/>
      <c r="V1188" s="595" t="str">
        <f>'refer admin discharge'!H1189</f>
        <v>00/00/0000</v>
      </c>
      <c r="W1188" s="327"/>
      <c r="X1188" s="596"/>
      <c r="Y1188" s="327"/>
      <c r="Z1188" s="597"/>
      <c r="AA1188" s="327"/>
      <c r="AB1188" s="596"/>
      <c r="AC1188" s="327"/>
      <c r="AD1188" s="577"/>
      <c r="AE1188" s="327"/>
      <c r="AF1188" s="596"/>
      <c r="AG1188" s="327"/>
      <c r="AH1188" s="577"/>
      <c r="AI1188" s="327"/>
      <c r="AJ1188" s="596"/>
      <c r="AK1188" s="327"/>
      <c r="AL1188" s="598"/>
      <c r="AM1188" s="326"/>
      <c r="AN1188" s="326"/>
      <c r="AO1188" s="326"/>
      <c r="AP1188" s="326"/>
      <c r="AQ1188" s="326"/>
      <c r="AR1188" s="326"/>
      <c r="AS1188" s="326"/>
      <c r="AT1188" s="326"/>
      <c r="AU1188" s="326"/>
      <c r="AV1188" s="326"/>
      <c r="AW1188" s="326"/>
      <c r="AX1188" s="326"/>
      <c r="AY1188" s="326"/>
      <c r="AZ1188" s="326"/>
      <c r="BA1188" s="326"/>
      <c r="BB1188" s="327"/>
    </row>
    <row r="1189" spans="1:54" ht="15.75" customHeight="1" x14ac:dyDescent="0.25">
      <c r="A1189" s="11">
        <f t="shared" si="4"/>
        <v>1176</v>
      </c>
      <c r="B1189" s="504" t="str">
        <f>'refer admin discharge'!B1185</f>
        <v>x</v>
      </c>
      <c r="C1189" s="327"/>
      <c r="D1189" s="505" t="str">
        <f>'refer admin discharge'!D1185</f>
        <v>xx</v>
      </c>
      <c r="E1189" s="327"/>
      <c r="F1189" s="606" t="str">
        <f>'refer admin discharge'!H1185</f>
        <v>00/00/0000</v>
      </c>
      <c r="G1189" s="327"/>
      <c r="H1189" s="594"/>
      <c r="I1189" s="327"/>
      <c r="J1189" s="605"/>
      <c r="K1189" s="327"/>
      <c r="L1189" s="594"/>
      <c r="M1189" s="327"/>
      <c r="N1189" s="575"/>
      <c r="O1189" s="327"/>
      <c r="P1189" s="594"/>
      <c r="Q1189" s="327"/>
      <c r="R1189" s="575"/>
      <c r="S1189" s="327"/>
      <c r="T1189" s="594"/>
      <c r="U1189" s="327"/>
      <c r="V1189" s="595" t="str">
        <f>'refer admin discharge'!H1190</f>
        <v>00/00/0000</v>
      </c>
      <c r="W1189" s="327"/>
      <c r="X1189" s="577"/>
      <c r="Y1189" s="327"/>
      <c r="Z1189" s="604"/>
      <c r="AA1189" s="327"/>
      <c r="AB1189" s="577"/>
      <c r="AC1189" s="327"/>
      <c r="AD1189" s="576"/>
      <c r="AE1189" s="327"/>
      <c r="AF1189" s="577"/>
      <c r="AG1189" s="327"/>
      <c r="AH1189" s="576"/>
      <c r="AI1189" s="327"/>
      <c r="AJ1189" s="577"/>
      <c r="AK1189" s="327"/>
      <c r="AL1189" s="602"/>
      <c r="AM1189" s="326"/>
      <c r="AN1189" s="326"/>
      <c r="AO1189" s="326"/>
      <c r="AP1189" s="326"/>
      <c r="AQ1189" s="326"/>
      <c r="AR1189" s="326"/>
      <c r="AS1189" s="326"/>
      <c r="AT1189" s="326"/>
      <c r="AU1189" s="326"/>
      <c r="AV1189" s="326"/>
      <c r="AW1189" s="326"/>
      <c r="AX1189" s="326"/>
      <c r="AY1189" s="326"/>
      <c r="AZ1189" s="326"/>
      <c r="BA1189" s="326"/>
      <c r="BB1189" s="327"/>
    </row>
    <row r="1190" spans="1:54" ht="15.75" customHeight="1" x14ac:dyDescent="0.25">
      <c r="A1190" s="11">
        <f t="shared" si="4"/>
        <v>1177</v>
      </c>
      <c r="B1190" s="570" t="str">
        <f>'refer admin discharge'!B1186</f>
        <v>x</v>
      </c>
      <c r="C1190" s="327"/>
      <c r="D1190" s="599" t="str">
        <f>'refer admin discharge'!D1186</f>
        <v>xx</v>
      </c>
      <c r="E1190" s="327"/>
      <c r="F1190" s="600" t="str">
        <f>'refer admin discharge'!H1186</f>
        <v>00/00/0000</v>
      </c>
      <c r="G1190" s="327"/>
      <c r="H1190" s="574"/>
      <c r="I1190" s="327"/>
      <c r="J1190" s="601"/>
      <c r="K1190" s="327"/>
      <c r="L1190" s="574"/>
      <c r="M1190" s="327"/>
      <c r="N1190" s="594"/>
      <c r="O1190" s="327"/>
      <c r="P1190" s="574"/>
      <c r="Q1190" s="327"/>
      <c r="R1190" s="594"/>
      <c r="S1190" s="327"/>
      <c r="T1190" s="574"/>
      <c r="U1190" s="327"/>
      <c r="V1190" s="595" t="str">
        <f>'refer admin discharge'!H1191</f>
        <v>00/00/0000</v>
      </c>
      <c r="W1190" s="327"/>
      <c r="X1190" s="596"/>
      <c r="Y1190" s="327"/>
      <c r="Z1190" s="597"/>
      <c r="AA1190" s="327"/>
      <c r="AB1190" s="596"/>
      <c r="AC1190" s="327"/>
      <c r="AD1190" s="577"/>
      <c r="AE1190" s="327"/>
      <c r="AF1190" s="596"/>
      <c r="AG1190" s="327"/>
      <c r="AH1190" s="577"/>
      <c r="AI1190" s="327"/>
      <c r="AJ1190" s="596"/>
      <c r="AK1190" s="327"/>
      <c r="AL1190" s="598"/>
      <c r="AM1190" s="326"/>
      <c r="AN1190" s="326"/>
      <c r="AO1190" s="326"/>
      <c r="AP1190" s="326"/>
      <c r="AQ1190" s="326"/>
      <c r="AR1190" s="326"/>
      <c r="AS1190" s="326"/>
      <c r="AT1190" s="326"/>
      <c r="AU1190" s="326"/>
      <c r="AV1190" s="326"/>
      <c r="AW1190" s="326"/>
      <c r="AX1190" s="326"/>
      <c r="AY1190" s="326"/>
      <c r="AZ1190" s="326"/>
      <c r="BA1190" s="326"/>
      <c r="BB1190" s="327"/>
    </row>
    <row r="1191" spans="1:54" ht="15.75" customHeight="1" x14ac:dyDescent="0.25">
      <c r="A1191" s="11">
        <f t="shared" si="4"/>
        <v>1178</v>
      </c>
      <c r="B1191" s="504" t="str">
        <f>'refer admin discharge'!B1187</f>
        <v>x</v>
      </c>
      <c r="C1191" s="327"/>
      <c r="D1191" s="505" t="str">
        <f>'refer admin discharge'!D1187</f>
        <v>xx</v>
      </c>
      <c r="E1191" s="327"/>
      <c r="F1191" s="606" t="str">
        <f>'refer admin discharge'!H1187</f>
        <v>00/00/0000</v>
      </c>
      <c r="G1191" s="327"/>
      <c r="H1191" s="594"/>
      <c r="I1191" s="327"/>
      <c r="J1191" s="605"/>
      <c r="K1191" s="327"/>
      <c r="L1191" s="594"/>
      <c r="M1191" s="327"/>
      <c r="N1191" s="575"/>
      <c r="O1191" s="327"/>
      <c r="P1191" s="594"/>
      <c r="Q1191" s="327"/>
      <c r="R1191" s="575"/>
      <c r="S1191" s="327"/>
      <c r="T1191" s="594"/>
      <c r="U1191" s="327"/>
      <c r="V1191" s="595" t="str">
        <f>'refer admin discharge'!H1192</f>
        <v>00/00/0000</v>
      </c>
      <c r="W1191" s="327"/>
      <c r="X1191" s="577"/>
      <c r="Y1191" s="327"/>
      <c r="Z1191" s="604"/>
      <c r="AA1191" s="327"/>
      <c r="AB1191" s="577"/>
      <c r="AC1191" s="327"/>
      <c r="AD1191" s="576"/>
      <c r="AE1191" s="327"/>
      <c r="AF1191" s="577"/>
      <c r="AG1191" s="327"/>
      <c r="AH1191" s="576"/>
      <c r="AI1191" s="327"/>
      <c r="AJ1191" s="577"/>
      <c r="AK1191" s="327"/>
      <c r="AL1191" s="602"/>
      <c r="AM1191" s="326"/>
      <c r="AN1191" s="326"/>
      <c r="AO1191" s="326"/>
      <c r="AP1191" s="326"/>
      <c r="AQ1191" s="326"/>
      <c r="AR1191" s="326"/>
      <c r="AS1191" s="326"/>
      <c r="AT1191" s="326"/>
      <c r="AU1191" s="326"/>
      <c r="AV1191" s="326"/>
      <c r="AW1191" s="326"/>
      <c r="AX1191" s="326"/>
      <c r="AY1191" s="326"/>
      <c r="AZ1191" s="326"/>
      <c r="BA1191" s="326"/>
      <c r="BB1191" s="327"/>
    </row>
    <row r="1192" spans="1:54" ht="15.75" customHeight="1" x14ac:dyDescent="0.25">
      <c r="A1192" s="11">
        <f t="shared" si="4"/>
        <v>1179</v>
      </c>
      <c r="B1192" s="570" t="str">
        <f>'refer admin discharge'!B1188</f>
        <v>x</v>
      </c>
      <c r="C1192" s="327"/>
      <c r="D1192" s="599" t="str">
        <f>'refer admin discharge'!D1188</f>
        <v>xx</v>
      </c>
      <c r="E1192" s="327"/>
      <c r="F1192" s="600" t="str">
        <f>'refer admin discharge'!H1188</f>
        <v>00/00/0000</v>
      </c>
      <c r="G1192" s="327"/>
      <c r="H1192" s="574"/>
      <c r="I1192" s="327"/>
      <c r="J1192" s="601"/>
      <c r="K1192" s="327"/>
      <c r="L1192" s="574"/>
      <c r="M1192" s="327"/>
      <c r="N1192" s="594"/>
      <c r="O1192" s="327"/>
      <c r="P1192" s="574"/>
      <c r="Q1192" s="327"/>
      <c r="R1192" s="594"/>
      <c r="S1192" s="327"/>
      <c r="T1192" s="574"/>
      <c r="U1192" s="327"/>
      <c r="V1192" s="595" t="str">
        <f>'refer admin discharge'!H1193</f>
        <v>00/00/0000</v>
      </c>
      <c r="W1192" s="327"/>
      <c r="X1192" s="596"/>
      <c r="Y1192" s="327"/>
      <c r="Z1192" s="597"/>
      <c r="AA1192" s="327"/>
      <c r="AB1192" s="596"/>
      <c r="AC1192" s="327"/>
      <c r="AD1192" s="577"/>
      <c r="AE1192" s="327"/>
      <c r="AF1192" s="596"/>
      <c r="AG1192" s="327"/>
      <c r="AH1192" s="577"/>
      <c r="AI1192" s="327"/>
      <c r="AJ1192" s="596"/>
      <c r="AK1192" s="327"/>
      <c r="AL1192" s="598"/>
      <c r="AM1192" s="326"/>
      <c r="AN1192" s="326"/>
      <c r="AO1192" s="326"/>
      <c r="AP1192" s="326"/>
      <c r="AQ1192" s="326"/>
      <c r="AR1192" s="326"/>
      <c r="AS1192" s="326"/>
      <c r="AT1192" s="326"/>
      <c r="AU1192" s="326"/>
      <c r="AV1192" s="326"/>
      <c r="AW1192" s="326"/>
      <c r="AX1192" s="326"/>
      <c r="AY1192" s="326"/>
      <c r="AZ1192" s="326"/>
      <c r="BA1192" s="326"/>
      <c r="BB1192" s="327"/>
    </row>
    <row r="1193" spans="1:54" ht="15.75" customHeight="1" x14ac:dyDescent="0.25">
      <c r="A1193" s="11">
        <f t="shared" si="4"/>
        <v>1180</v>
      </c>
      <c r="B1193" s="504" t="str">
        <f>'refer admin discharge'!B1189</f>
        <v>x</v>
      </c>
      <c r="C1193" s="327"/>
      <c r="D1193" s="505" t="str">
        <f>'refer admin discharge'!D1189</f>
        <v>xx</v>
      </c>
      <c r="E1193" s="327"/>
      <c r="F1193" s="606" t="str">
        <f>'refer admin discharge'!H1189</f>
        <v>00/00/0000</v>
      </c>
      <c r="G1193" s="327"/>
      <c r="H1193" s="594"/>
      <c r="I1193" s="327"/>
      <c r="J1193" s="605"/>
      <c r="K1193" s="327"/>
      <c r="L1193" s="594"/>
      <c r="M1193" s="327"/>
      <c r="N1193" s="575"/>
      <c r="O1193" s="327"/>
      <c r="P1193" s="594"/>
      <c r="Q1193" s="327"/>
      <c r="R1193" s="575"/>
      <c r="S1193" s="327"/>
      <c r="T1193" s="594"/>
      <c r="U1193" s="327"/>
      <c r="V1193" s="595" t="str">
        <f>'refer admin discharge'!H1194</f>
        <v>00/00/0000</v>
      </c>
      <c r="W1193" s="327"/>
      <c r="X1193" s="577"/>
      <c r="Y1193" s="327"/>
      <c r="Z1193" s="604"/>
      <c r="AA1193" s="327"/>
      <c r="AB1193" s="577"/>
      <c r="AC1193" s="327"/>
      <c r="AD1193" s="576"/>
      <c r="AE1193" s="327"/>
      <c r="AF1193" s="577"/>
      <c r="AG1193" s="327"/>
      <c r="AH1193" s="576"/>
      <c r="AI1193" s="327"/>
      <c r="AJ1193" s="577"/>
      <c r="AK1193" s="327"/>
      <c r="AL1193" s="602"/>
      <c r="AM1193" s="326"/>
      <c r="AN1193" s="326"/>
      <c r="AO1193" s="326"/>
      <c r="AP1193" s="326"/>
      <c r="AQ1193" s="326"/>
      <c r="AR1193" s="326"/>
      <c r="AS1193" s="326"/>
      <c r="AT1193" s="326"/>
      <c r="AU1193" s="326"/>
      <c r="AV1193" s="326"/>
      <c r="AW1193" s="326"/>
      <c r="AX1193" s="326"/>
      <c r="AY1193" s="326"/>
      <c r="AZ1193" s="326"/>
      <c r="BA1193" s="326"/>
      <c r="BB1193" s="327"/>
    </row>
    <row r="1194" spans="1:54" ht="15.75" customHeight="1" x14ac:dyDescent="0.25">
      <c r="A1194" s="11">
        <f t="shared" si="4"/>
        <v>1181</v>
      </c>
      <c r="B1194" s="570" t="str">
        <f>'refer admin discharge'!B1190</f>
        <v>x</v>
      </c>
      <c r="C1194" s="327"/>
      <c r="D1194" s="599" t="str">
        <f>'refer admin discharge'!D1190</f>
        <v>xx</v>
      </c>
      <c r="E1194" s="327"/>
      <c r="F1194" s="600" t="str">
        <f>'refer admin discharge'!H1190</f>
        <v>00/00/0000</v>
      </c>
      <c r="G1194" s="327"/>
      <c r="H1194" s="574"/>
      <c r="I1194" s="327"/>
      <c r="J1194" s="601"/>
      <c r="K1194" s="327"/>
      <c r="L1194" s="574"/>
      <c r="M1194" s="327"/>
      <c r="N1194" s="594"/>
      <c r="O1194" s="327"/>
      <c r="P1194" s="574"/>
      <c r="Q1194" s="327"/>
      <c r="R1194" s="594"/>
      <c r="S1194" s="327"/>
      <c r="T1194" s="574"/>
      <c r="U1194" s="327"/>
      <c r="V1194" s="595" t="str">
        <f>'refer admin discharge'!H1195</f>
        <v>00/00/0000</v>
      </c>
      <c r="W1194" s="327"/>
      <c r="X1194" s="596"/>
      <c r="Y1194" s="327"/>
      <c r="Z1194" s="597"/>
      <c r="AA1194" s="327"/>
      <c r="AB1194" s="596"/>
      <c r="AC1194" s="327"/>
      <c r="AD1194" s="577"/>
      <c r="AE1194" s="327"/>
      <c r="AF1194" s="596"/>
      <c r="AG1194" s="327"/>
      <c r="AH1194" s="577"/>
      <c r="AI1194" s="327"/>
      <c r="AJ1194" s="596"/>
      <c r="AK1194" s="327"/>
      <c r="AL1194" s="598"/>
      <c r="AM1194" s="326"/>
      <c r="AN1194" s="326"/>
      <c r="AO1194" s="326"/>
      <c r="AP1194" s="326"/>
      <c r="AQ1194" s="326"/>
      <c r="AR1194" s="326"/>
      <c r="AS1194" s="326"/>
      <c r="AT1194" s="326"/>
      <c r="AU1194" s="326"/>
      <c r="AV1194" s="326"/>
      <c r="AW1194" s="326"/>
      <c r="AX1194" s="326"/>
      <c r="AY1194" s="326"/>
      <c r="AZ1194" s="326"/>
      <c r="BA1194" s="326"/>
      <c r="BB1194" s="327"/>
    </row>
    <row r="1195" spans="1:54" ht="15.75" customHeight="1" x14ac:dyDescent="0.25">
      <c r="A1195" s="11">
        <f t="shared" si="4"/>
        <v>1182</v>
      </c>
      <c r="B1195" s="504" t="str">
        <f>'refer admin discharge'!B1191</f>
        <v>x</v>
      </c>
      <c r="C1195" s="327"/>
      <c r="D1195" s="505" t="str">
        <f>'refer admin discharge'!D1191</f>
        <v>xx</v>
      </c>
      <c r="E1195" s="327"/>
      <c r="F1195" s="606" t="str">
        <f>'refer admin discharge'!H1191</f>
        <v>00/00/0000</v>
      </c>
      <c r="G1195" s="327"/>
      <c r="H1195" s="594"/>
      <c r="I1195" s="327"/>
      <c r="J1195" s="605"/>
      <c r="K1195" s="327"/>
      <c r="L1195" s="594"/>
      <c r="M1195" s="327"/>
      <c r="N1195" s="575"/>
      <c r="O1195" s="327"/>
      <c r="P1195" s="594"/>
      <c r="Q1195" s="327"/>
      <c r="R1195" s="575"/>
      <c r="S1195" s="327"/>
      <c r="T1195" s="594"/>
      <c r="U1195" s="327"/>
      <c r="V1195" s="595" t="str">
        <f>'refer admin discharge'!H1196</f>
        <v>00/00/0000</v>
      </c>
      <c r="W1195" s="327"/>
      <c r="X1195" s="577"/>
      <c r="Y1195" s="327"/>
      <c r="Z1195" s="604"/>
      <c r="AA1195" s="327"/>
      <c r="AB1195" s="577"/>
      <c r="AC1195" s="327"/>
      <c r="AD1195" s="576"/>
      <c r="AE1195" s="327"/>
      <c r="AF1195" s="577"/>
      <c r="AG1195" s="327"/>
      <c r="AH1195" s="576"/>
      <c r="AI1195" s="327"/>
      <c r="AJ1195" s="577"/>
      <c r="AK1195" s="327"/>
      <c r="AL1195" s="602"/>
      <c r="AM1195" s="326"/>
      <c r="AN1195" s="326"/>
      <c r="AO1195" s="326"/>
      <c r="AP1195" s="326"/>
      <c r="AQ1195" s="326"/>
      <c r="AR1195" s="326"/>
      <c r="AS1195" s="326"/>
      <c r="AT1195" s="326"/>
      <c r="AU1195" s="326"/>
      <c r="AV1195" s="326"/>
      <c r="AW1195" s="326"/>
      <c r="AX1195" s="326"/>
      <c r="AY1195" s="326"/>
      <c r="AZ1195" s="326"/>
      <c r="BA1195" s="326"/>
      <c r="BB1195" s="327"/>
    </row>
    <row r="1196" spans="1:54" ht="15.75" customHeight="1" x14ac:dyDescent="0.25">
      <c r="A1196" s="11">
        <f t="shared" si="4"/>
        <v>1183</v>
      </c>
      <c r="B1196" s="570" t="str">
        <f>'refer admin discharge'!B1192</f>
        <v>x</v>
      </c>
      <c r="C1196" s="327"/>
      <c r="D1196" s="599" t="str">
        <f>'refer admin discharge'!D1192</f>
        <v>xx</v>
      </c>
      <c r="E1196" s="327"/>
      <c r="F1196" s="600" t="str">
        <f>'refer admin discharge'!H1192</f>
        <v>00/00/0000</v>
      </c>
      <c r="G1196" s="327"/>
      <c r="H1196" s="574"/>
      <c r="I1196" s="327"/>
      <c r="J1196" s="601"/>
      <c r="K1196" s="327"/>
      <c r="L1196" s="574"/>
      <c r="M1196" s="327"/>
      <c r="N1196" s="594"/>
      <c r="O1196" s="327"/>
      <c r="P1196" s="574"/>
      <c r="Q1196" s="327"/>
      <c r="R1196" s="594"/>
      <c r="S1196" s="327"/>
      <c r="T1196" s="574"/>
      <c r="U1196" s="327"/>
      <c r="V1196" s="595" t="str">
        <f>'refer admin discharge'!H1197</f>
        <v>00/00/0000</v>
      </c>
      <c r="W1196" s="327"/>
      <c r="X1196" s="596"/>
      <c r="Y1196" s="327"/>
      <c r="Z1196" s="597"/>
      <c r="AA1196" s="327"/>
      <c r="AB1196" s="596"/>
      <c r="AC1196" s="327"/>
      <c r="AD1196" s="577"/>
      <c r="AE1196" s="327"/>
      <c r="AF1196" s="596"/>
      <c r="AG1196" s="327"/>
      <c r="AH1196" s="577"/>
      <c r="AI1196" s="327"/>
      <c r="AJ1196" s="596"/>
      <c r="AK1196" s="327"/>
      <c r="AL1196" s="598"/>
      <c r="AM1196" s="326"/>
      <c r="AN1196" s="326"/>
      <c r="AO1196" s="326"/>
      <c r="AP1196" s="326"/>
      <c r="AQ1196" s="326"/>
      <c r="AR1196" s="326"/>
      <c r="AS1196" s="326"/>
      <c r="AT1196" s="326"/>
      <c r="AU1196" s="326"/>
      <c r="AV1196" s="326"/>
      <c r="AW1196" s="326"/>
      <c r="AX1196" s="326"/>
      <c r="AY1196" s="326"/>
      <c r="AZ1196" s="326"/>
      <c r="BA1196" s="326"/>
      <c r="BB1196" s="327"/>
    </row>
    <row r="1197" spans="1:54" ht="15.75" customHeight="1" x14ac:dyDescent="0.25">
      <c r="A1197" s="11">
        <f t="shared" si="4"/>
        <v>1184</v>
      </c>
      <c r="B1197" s="504" t="str">
        <f>'refer admin discharge'!B1193</f>
        <v>x</v>
      </c>
      <c r="C1197" s="327"/>
      <c r="D1197" s="505" t="str">
        <f>'refer admin discharge'!D1193</f>
        <v>xx</v>
      </c>
      <c r="E1197" s="327"/>
      <c r="F1197" s="606" t="str">
        <f>'refer admin discharge'!H1193</f>
        <v>00/00/0000</v>
      </c>
      <c r="G1197" s="327"/>
      <c r="H1197" s="594"/>
      <c r="I1197" s="327"/>
      <c r="J1197" s="605"/>
      <c r="K1197" s="327"/>
      <c r="L1197" s="594"/>
      <c r="M1197" s="327"/>
      <c r="N1197" s="575"/>
      <c r="O1197" s="327"/>
      <c r="P1197" s="594"/>
      <c r="Q1197" s="327"/>
      <c r="R1197" s="575"/>
      <c r="S1197" s="327"/>
      <c r="T1197" s="594"/>
      <c r="U1197" s="327"/>
      <c r="V1197" s="595" t="str">
        <f>'refer admin discharge'!H1198</f>
        <v>00/00/0000</v>
      </c>
      <c r="W1197" s="327"/>
      <c r="X1197" s="577"/>
      <c r="Y1197" s="327"/>
      <c r="Z1197" s="604"/>
      <c r="AA1197" s="327"/>
      <c r="AB1197" s="577"/>
      <c r="AC1197" s="327"/>
      <c r="AD1197" s="576"/>
      <c r="AE1197" s="327"/>
      <c r="AF1197" s="577"/>
      <c r="AG1197" s="327"/>
      <c r="AH1197" s="576"/>
      <c r="AI1197" s="327"/>
      <c r="AJ1197" s="577"/>
      <c r="AK1197" s="327"/>
      <c r="AL1197" s="602"/>
      <c r="AM1197" s="326"/>
      <c r="AN1197" s="326"/>
      <c r="AO1197" s="326"/>
      <c r="AP1197" s="326"/>
      <c r="AQ1197" s="326"/>
      <c r="AR1197" s="326"/>
      <c r="AS1197" s="326"/>
      <c r="AT1197" s="326"/>
      <c r="AU1197" s="326"/>
      <c r="AV1197" s="326"/>
      <c r="AW1197" s="326"/>
      <c r="AX1197" s="326"/>
      <c r="AY1197" s="326"/>
      <c r="AZ1197" s="326"/>
      <c r="BA1197" s="326"/>
      <c r="BB1197" s="327"/>
    </row>
    <row r="1198" spans="1:54" ht="15.75" customHeight="1" x14ac:dyDescent="0.25">
      <c r="A1198" s="11">
        <f t="shared" si="4"/>
        <v>1185</v>
      </c>
      <c r="B1198" s="570" t="str">
        <f>'refer admin discharge'!B1194</f>
        <v>x</v>
      </c>
      <c r="C1198" s="327"/>
      <c r="D1198" s="599" t="str">
        <f>'refer admin discharge'!D1194</f>
        <v>xx</v>
      </c>
      <c r="E1198" s="327"/>
      <c r="F1198" s="600" t="str">
        <f>'refer admin discharge'!H1194</f>
        <v>00/00/0000</v>
      </c>
      <c r="G1198" s="327"/>
      <c r="H1198" s="574"/>
      <c r="I1198" s="327"/>
      <c r="J1198" s="601"/>
      <c r="K1198" s="327"/>
      <c r="L1198" s="574"/>
      <c r="M1198" s="327"/>
      <c r="N1198" s="594"/>
      <c r="O1198" s="327"/>
      <c r="P1198" s="574"/>
      <c r="Q1198" s="327"/>
      <c r="R1198" s="594"/>
      <c r="S1198" s="327"/>
      <c r="T1198" s="574"/>
      <c r="U1198" s="327"/>
      <c r="V1198" s="595" t="str">
        <f>'refer admin discharge'!H1199</f>
        <v>00/00/0000</v>
      </c>
      <c r="W1198" s="327"/>
      <c r="X1198" s="596"/>
      <c r="Y1198" s="327"/>
      <c r="Z1198" s="597"/>
      <c r="AA1198" s="327"/>
      <c r="AB1198" s="596"/>
      <c r="AC1198" s="327"/>
      <c r="AD1198" s="577"/>
      <c r="AE1198" s="327"/>
      <c r="AF1198" s="596"/>
      <c r="AG1198" s="327"/>
      <c r="AH1198" s="577"/>
      <c r="AI1198" s="327"/>
      <c r="AJ1198" s="596"/>
      <c r="AK1198" s="327"/>
      <c r="AL1198" s="598"/>
      <c r="AM1198" s="326"/>
      <c r="AN1198" s="326"/>
      <c r="AO1198" s="326"/>
      <c r="AP1198" s="326"/>
      <c r="AQ1198" s="326"/>
      <c r="AR1198" s="326"/>
      <c r="AS1198" s="326"/>
      <c r="AT1198" s="326"/>
      <c r="AU1198" s="326"/>
      <c r="AV1198" s="326"/>
      <c r="AW1198" s="326"/>
      <c r="AX1198" s="326"/>
      <c r="AY1198" s="326"/>
      <c r="AZ1198" s="326"/>
      <c r="BA1198" s="326"/>
      <c r="BB1198" s="327"/>
    </row>
    <row r="1199" spans="1:54" ht="15.75" customHeight="1" x14ac:dyDescent="0.25">
      <c r="A1199" s="11">
        <f t="shared" si="4"/>
        <v>1186</v>
      </c>
      <c r="B1199" s="504" t="str">
        <f>'refer admin discharge'!B1195</f>
        <v>x</v>
      </c>
      <c r="C1199" s="327"/>
      <c r="D1199" s="505" t="str">
        <f>'refer admin discharge'!D1195</f>
        <v>xx</v>
      </c>
      <c r="E1199" s="327"/>
      <c r="F1199" s="606" t="str">
        <f>'refer admin discharge'!H1195</f>
        <v>00/00/0000</v>
      </c>
      <c r="G1199" s="327"/>
      <c r="H1199" s="594"/>
      <c r="I1199" s="327"/>
      <c r="J1199" s="605"/>
      <c r="K1199" s="327"/>
      <c r="L1199" s="594"/>
      <c r="M1199" s="327"/>
      <c r="N1199" s="575"/>
      <c r="O1199" s="327"/>
      <c r="P1199" s="594"/>
      <c r="Q1199" s="327"/>
      <c r="R1199" s="575"/>
      <c r="S1199" s="327"/>
      <c r="T1199" s="594"/>
      <c r="U1199" s="327"/>
      <c r="V1199" s="595" t="str">
        <f>'refer admin discharge'!H1200</f>
        <v>00/00/0000</v>
      </c>
      <c r="W1199" s="327"/>
      <c r="X1199" s="577"/>
      <c r="Y1199" s="327"/>
      <c r="Z1199" s="604"/>
      <c r="AA1199" s="327"/>
      <c r="AB1199" s="577"/>
      <c r="AC1199" s="327"/>
      <c r="AD1199" s="576"/>
      <c r="AE1199" s="327"/>
      <c r="AF1199" s="577"/>
      <c r="AG1199" s="327"/>
      <c r="AH1199" s="576"/>
      <c r="AI1199" s="327"/>
      <c r="AJ1199" s="577"/>
      <c r="AK1199" s="327"/>
      <c r="AL1199" s="602"/>
      <c r="AM1199" s="326"/>
      <c r="AN1199" s="326"/>
      <c r="AO1199" s="326"/>
      <c r="AP1199" s="326"/>
      <c r="AQ1199" s="326"/>
      <c r="AR1199" s="326"/>
      <c r="AS1199" s="326"/>
      <c r="AT1199" s="326"/>
      <c r="AU1199" s="326"/>
      <c r="AV1199" s="326"/>
      <c r="AW1199" s="326"/>
      <c r="AX1199" s="326"/>
      <c r="AY1199" s="326"/>
      <c r="AZ1199" s="326"/>
      <c r="BA1199" s="326"/>
      <c r="BB1199" s="327"/>
    </row>
    <row r="1200" spans="1:54" ht="15.75" customHeight="1" x14ac:dyDescent="0.25">
      <c r="A1200" s="11">
        <f t="shared" si="4"/>
        <v>1187</v>
      </c>
      <c r="B1200" s="570" t="str">
        <f>'refer admin discharge'!B1196</f>
        <v>x</v>
      </c>
      <c r="C1200" s="327"/>
      <c r="D1200" s="599" t="str">
        <f>'refer admin discharge'!D1196</f>
        <v>xx</v>
      </c>
      <c r="E1200" s="327"/>
      <c r="F1200" s="600" t="str">
        <f>'refer admin discharge'!H1196</f>
        <v>00/00/0000</v>
      </c>
      <c r="G1200" s="327"/>
      <c r="H1200" s="574"/>
      <c r="I1200" s="327"/>
      <c r="J1200" s="601"/>
      <c r="K1200" s="327"/>
      <c r="L1200" s="574"/>
      <c r="M1200" s="327"/>
      <c r="N1200" s="594"/>
      <c r="O1200" s="327"/>
      <c r="P1200" s="574"/>
      <c r="Q1200" s="327"/>
      <c r="R1200" s="594"/>
      <c r="S1200" s="327"/>
      <c r="T1200" s="574"/>
      <c r="U1200" s="327"/>
      <c r="V1200" s="595" t="str">
        <f>'refer admin discharge'!H1201</f>
        <v>00/00/0000</v>
      </c>
      <c r="W1200" s="327"/>
      <c r="X1200" s="596"/>
      <c r="Y1200" s="327"/>
      <c r="Z1200" s="597"/>
      <c r="AA1200" s="327"/>
      <c r="AB1200" s="596"/>
      <c r="AC1200" s="327"/>
      <c r="AD1200" s="577"/>
      <c r="AE1200" s="327"/>
      <c r="AF1200" s="596"/>
      <c r="AG1200" s="327"/>
      <c r="AH1200" s="577"/>
      <c r="AI1200" s="327"/>
      <c r="AJ1200" s="596"/>
      <c r="AK1200" s="327"/>
      <c r="AL1200" s="598"/>
      <c r="AM1200" s="326"/>
      <c r="AN1200" s="326"/>
      <c r="AO1200" s="326"/>
      <c r="AP1200" s="326"/>
      <c r="AQ1200" s="326"/>
      <c r="AR1200" s="326"/>
      <c r="AS1200" s="326"/>
      <c r="AT1200" s="326"/>
      <c r="AU1200" s="326"/>
      <c r="AV1200" s="326"/>
      <c r="AW1200" s="326"/>
      <c r="AX1200" s="326"/>
      <c r="AY1200" s="326"/>
      <c r="AZ1200" s="326"/>
      <c r="BA1200" s="326"/>
      <c r="BB1200" s="327"/>
    </row>
    <row r="1201" spans="1:54" ht="15.75" customHeight="1" x14ac:dyDescent="0.25">
      <c r="A1201" s="11">
        <f t="shared" si="4"/>
        <v>1188</v>
      </c>
      <c r="B1201" s="504" t="str">
        <f>'refer admin discharge'!B1197</f>
        <v>x</v>
      </c>
      <c r="C1201" s="327"/>
      <c r="D1201" s="505" t="str">
        <f>'refer admin discharge'!D1197</f>
        <v>xx</v>
      </c>
      <c r="E1201" s="327"/>
      <c r="F1201" s="606" t="str">
        <f>'refer admin discharge'!H1197</f>
        <v>00/00/0000</v>
      </c>
      <c r="G1201" s="327"/>
      <c r="H1201" s="594"/>
      <c r="I1201" s="327"/>
      <c r="J1201" s="605"/>
      <c r="K1201" s="327"/>
      <c r="L1201" s="594"/>
      <c r="M1201" s="327"/>
      <c r="N1201" s="575"/>
      <c r="O1201" s="327"/>
      <c r="P1201" s="594"/>
      <c r="Q1201" s="327"/>
      <c r="R1201" s="575"/>
      <c r="S1201" s="327"/>
      <c r="T1201" s="594"/>
      <c r="U1201" s="327"/>
      <c r="V1201" s="595" t="str">
        <f>'refer admin discharge'!H1202</f>
        <v>00/00/0000</v>
      </c>
      <c r="W1201" s="327"/>
      <c r="X1201" s="577"/>
      <c r="Y1201" s="327"/>
      <c r="Z1201" s="604"/>
      <c r="AA1201" s="327"/>
      <c r="AB1201" s="577"/>
      <c r="AC1201" s="327"/>
      <c r="AD1201" s="576"/>
      <c r="AE1201" s="327"/>
      <c r="AF1201" s="577"/>
      <c r="AG1201" s="327"/>
      <c r="AH1201" s="576"/>
      <c r="AI1201" s="327"/>
      <c r="AJ1201" s="577"/>
      <c r="AK1201" s="327"/>
      <c r="AL1201" s="602"/>
      <c r="AM1201" s="326"/>
      <c r="AN1201" s="326"/>
      <c r="AO1201" s="326"/>
      <c r="AP1201" s="326"/>
      <c r="AQ1201" s="326"/>
      <c r="AR1201" s="326"/>
      <c r="AS1201" s="326"/>
      <c r="AT1201" s="326"/>
      <c r="AU1201" s="326"/>
      <c r="AV1201" s="326"/>
      <c r="AW1201" s="326"/>
      <c r="AX1201" s="326"/>
      <c r="AY1201" s="326"/>
      <c r="AZ1201" s="326"/>
      <c r="BA1201" s="326"/>
      <c r="BB1201" s="327"/>
    </row>
    <row r="1202" spans="1:54" ht="15.75" customHeight="1" x14ac:dyDescent="0.25">
      <c r="A1202" s="11">
        <f t="shared" si="4"/>
        <v>1189</v>
      </c>
      <c r="B1202" s="570" t="str">
        <f>'refer admin discharge'!B1198</f>
        <v>x</v>
      </c>
      <c r="C1202" s="327"/>
      <c r="D1202" s="599" t="str">
        <f>'refer admin discharge'!D1198</f>
        <v>xx</v>
      </c>
      <c r="E1202" s="327"/>
      <c r="F1202" s="600" t="str">
        <f>'refer admin discharge'!H1198</f>
        <v>00/00/0000</v>
      </c>
      <c r="G1202" s="327"/>
      <c r="H1202" s="574"/>
      <c r="I1202" s="327"/>
      <c r="J1202" s="601"/>
      <c r="K1202" s="327"/>
      <c r="L1202" s="574"/>
      <c r="M1202" s="327"/>
      <c r="N1202" s="594"/>
      <c r="O1202" s="327"/>
      <c r="P1202" s="574"/>
      <c r="Q1202" s="327"/>
      <c r="R1202" s="594"/>
      <c r="S1202" s="327"/>
      <c r="T1202" s="574"/>
      <c r="U1202" s="327"/>
      <c r="V1202" s="595" t="str">
        <f>'refer admin discharge'!H1203</f>
        <v>00/00/0000</v>
      </c>
      <c r="W1202" s="327"/>
      <c r="X1202" s="596"/>
      <c r="Y1202" s="327"/>
      <c r="Z1202" s="597"/>
      <c r="AA1202" s="327"/>
      <c r="AB1202" s="596"/>
      <c r="AC1202" s="327"/>
      <c r="AD1202" s="577"/>
      <c r="AE1202" s="327"/>
      <c r="AF1202" s="596"/>
      <c r="AG1202" s="327"/>
      <c r="AH1202" s="577"/>
      <c r="AI1202" s="327"/>
      <c r="AJ1202" s="596"/>
      <c r="AK1202" s="327"/>
      <c r="AL1202" s="598"/>
      <c r="AM1202" s="326"/>
      <c r="AN1202" s="326"/>
      <c r="AO1202" s="326"/>
      <c r="AP1202" s="326"/>
      <c r="AQ1202" s="326"/>
      <c r="AR1202" s="326"/>
      <c r="AS1202" s="326"/>
      <c r="AT1202" s="326"/>
      <c r="AU1202" s="326"/>
      <c r="AV1202" s="326"/>
      <c r="AW1202" s="326"/>
      <c r="AX1202" s="326"/>
      <c r="AY1202" s="326"/>
      <c r="AZ1202" s="326"/>
      <c r="BA1202" s="326"/>
      <c r="BB1202" s="327"/>
    </row>
    <row r="1203" spans="1:54" ht="15.75" customHeight="1" x14ac:dyDescent="0.25">
      <c r="A1203" s="11">
        <f t="shared" si="4"/>
        <v>1190</v>
      </c>
      <c r="B1203" s="504" t="str">
        <f>'refer admin discharge'!B1199</f>
        <v>x</v>
      </c>
      <c r="C1203" s="327"/>
      <c r="D1203" s="505" t="str">
        <f>'refer admin discharge'!D1199</f>
        <v>xx</v>
      </c>
      <c r="E1203" s="327"/>
      <c r="F1203" s="606" t="str">
        <f>'refer admin discharge'!H1199</f>
        <v>00/00/0000</v>
      </c>
      <c r="G1203" s="327"/>
      <c r="H1203" s="594"/>
      <c r="I1203" s="327"/>
      <c r="J1203" s="605"/>
      <c r="K1203" s="327"/>
      <c r="L1203" s="594"/>
      <c r="M1203" s="327"/>
      <c r="N1203" s="575"/>
      <c r="O1203" s="327"/>
      <c r="P1203" s="594"/>
      <c r="Q1203" s="327"/>
      <c r="R1203" s="575"/>
      <c r="S1203" s="327"/>
      <c r="T1203" s="594"/>
      <c r="U1203" s="327"/>
      <c r="V1203" s="595" t="str">
        <f>'refer admin discharge'!H1204</f>
        <v>00/00/0000</v>
      </c>
      <c r="W1203" s="327"/>
      <c r="X1203" s="577"/>
      <c r="Y1203" s="327"/>
      <c r="Z1203" s="604"/>
      <c r="AA1203" s="327"/>
      <c r="AB1203" s="577"/>
      <c r="AC1203" s="327"/>
      <c r="AD1203" s="576"/>
      <c r="AE1203" s="327"/>
      <c r="AF1203" s="577"/>
      <c r="AG1203" s="327"/>
      <c r="AH1203" s="576"/>
      <c r="AI1203" s="327"/>
      <c r="AJ1203" s="577"/>
      <c r="AK1203" s="327"/>
      <c r="AL1203" s="602"/>
      <c r="AM1203" s="326"/>
      <c r="AN1203" s="326"/>
      <c r="AO1203" s="326"/>
      <c r="AP1203" s="326"/>
      <c r="AQ1203" s="326"/>
      <c r="AR1203" s="326"/>
      <c r="AS1203" s="326"/>
      <c r="AT1203" s="326"/>
      <c r="AU1203" s="326"/>
      <c r="AV1203" s="326"/>
      <c r="AW1203" s="326"/>
      <c r="AX1203" s="326"/>
      <c r="AY1203" s="326"/>
      <c r="AZ1203" s="326"/>
      <c r="BA1203" s="326"/>
      <c r="BB1203" s="327"/>
    </row>
    <row r="1204" spans="1:54" ht="15.75" customHeight="1" x14ac:dyDescent="0.25">
      <c r="A1204" s="11">
        <f t="shared" si="4"/>
        <v>1191</v>
      </c>
      <c r="B1204" s="570" t="str">
        <f>'refer admin discharge'!B1200</f>
        <v>x</v>
      </c>
      <c r="C1204" s="327"/>
      <c r="D1204" s="599" t="str">
        <f>'refer admin discharge'!D1200</f>
        <v>xx</v>
      </c>
      <c r="E1204" s="327"/>
      <c r="F1204" s="600" t="str">
        <f>'refer admin discharge'!H1200</f>
        <v>00/00/0000</v>
      </c>
      <c r="G1204" s="327"/>
      <c r="H1204" s="574"/>
      <c r="I1204" s="327"/>
      <c r="J1204" s="601"/>
      <c r="K1204" s="327"/>
      <c r="L1204" s="574"/>
      <c r="M1204" s="327"/>
      <c r="N1204" s="594"/>
      <c r="O1204" s="327"/>
      <c r="P1204" s="574"/>
      <c r="Q1204" s="327"/>
      <c r="R1204" s="594"/>
      <c r="S1204" s="327"/>
      <c r="T1204" s="574"/>
      <c r="U1204" s="327"/>
      <c r="V1204" s="595" t="str">
        <f>'refer admin discharge'!H1205</f>
        <v>00/00/0000</v>
      </c>
      <c r="W1204" s="327"/>
      <c r="X1204" s="596"/>
      <c r="Y1204" s="327"/>
      <c r="Z1204" s="597"/>
      <c r="AA1204" s="327"/>
      <c r="AB1204" s="596"/>
      <c r="AC1204" s="327"/>
      <c r="AD1204" s="577"/>
      <c r="AE1204" s="327"/>
      <c r="AF1204" s="596"/>
      <c r="AG1204" s="327"/>
      <c r="AH1204" s="577"/>
      <c r="AI1204" s="327"/>
      <c r="AJ1204" s="596"/>
      <c r="AK1204" s="327"/>
      <c r="AL1204" s="598"/>
      <c r="AM1204" s="326"/>
      <c r="AN1204" s="326"/>
      <c r="AO1204" s="326"/>
      <c r="AP1204" s="326"/>
      <c r="AQ1204" s="326"/>
      <c r="AR1204" s="326"/>
      <c r="AS1204" s="326"/>
      <c r="AT1204" s="326"/>
      <c r="AU1204" s="326"/>
      <c r="AV1204" s="326"/>
      <c r="AW1204" s="326"/>
      <c r="AX1204" s="326"/>
      <c r="AY1204" s="326"/>
      <c r="AZ1204" s="326"/>
      <c r="BA1204" s="326"/>
      <c r="BB1204" s="327"/>
    </row>
    <row r="1205" spans="1:54" ht="15.75" customHeight="1" x14ac:dyDescent="0.25">
      <c r="A1205" s="11">
        <f t="shared" si="4"/>
        <v>1192</v>
      </c>
      <c r="B1205" s="504" t="str">
        <f>'refer admin discharge'!B1201</f>
        <v>x</v>
      </c>
      <c r="C1205" s="327"/>
      <c r="D1205" s="505" t="str">
        <f>'refer admin discharge'!D1201</f>
        <v>xx</v>
      </c>
      <c r="E1205" s="327"/>
      <c r="F1205" s="606" t="str">
        <f>'refer admin discharge'!H1201</f>
        <v>00/00/0000</v>
      </c>
      <c r="G1205" s="327"/>
      <c r="H1205" s="594"/>
      <c r="I1205" s="327"/>
      <c r="J1205" s="605"/>
      <c r="K1205" s="327"/>
      <c r="L1205" s="594"/>
      <c r="M1205" s="327"/>
      <c r="N1205" s="575"/>
      <c r="O1205" s="327"/>
      <c r="P1205" s="594"/>
      <c r="Q1205" s="327"/>
      <c r="R1205" s="575"/>
      <c r="S1205" s="327"/>
      <c r="T1205" s="594"/>
      <c r="U1205" s="327"/>
      <c r="V1205" s="595" t="str">
        <f>'refer admin discharge'!H1206</f>
        <v>00/00/0000</v>
      </c>
      <c r="W1205" s="327"/>
      <c r="X1205" s="577"/>
      <c r="Y1205" s="327"/>
      <c r="Z1205" s="604"/>
      <c r="AA1205" s="327"/>
      <c r="AB1205" s="577"/>
      <c r="AC1205" s="327"/>
      <c r="AD1205" s="576"/>
      <c r="AE1205" s="327"/>
      <c r="AF1205" s="577"/>
      <c r="AG1205" s="327"/>
      <c r="AH1205" s="576"/>
      <c r="AI1205" s="327"/>
      <c r="AJ1205" s="577"/>
      <c r="AK1205" s="327"/>
      <c r="AL1205" s="602"/>
      <c r="AM1205" s="326"/>
      <c r="AN1205" s="326"/>
      <c r="AO1205" s="326"/>
      <c r="AP1205" s="326"/>
      <c r="AQ1205" s="326"/>
      <c r="AR1205" s="326"/>
      <c r="AS1205" s="326"/>
      <c r="AT1205" s="326"/>
      <c r="AU1205" s="326"/>
      <c r="AV1205" s="326"/>
      <c r="AW1205" s="326"/>
      <c r="AX1205" s="326"/>
      <c r="AY1205" s="326"/>
      <c r="AZ1205" s="326"/>
      <c r="BA1205" s="326"/>
      <c r="BB1205" s="327"/>
    </row>
    <row r="1206" spans="1:54" ht="15.75" customHeight="1" x14ac:dyDescent="0.25">
      <c r="A1206" s="11">
        <f t="shared" si="4"/>
        <v>1193</v>
      </c>
      <c r="B1206" s="570" t="str">
        <f>'refer admin discharge'!B1202</f>
        <v>x</v>
      </c>
      <c r="C1206" s="327"/>
      <c r="D1206" s="599" t="str">
        <f>'refer admin discharge'!D1202</f>
        <v>xx</v>
      </c>
      <c r="E1206" s="327"/>
      <c r="F1206" s="600" t="str">
        <f>'refer admin discharge'!H1202</f>
        <v>00/00/0000</v>
      </c>
      <c r="G1206" s="327"/>
      <c r="H1206" s="574"/>
      <c r="I1206" s="327"/>
      <c r="J1206" s="601"/>
      <c r="K1206" s="327"/>
      <c r="L1206" s="574"/>
      <c r="M1206" s="327"/>
      <c r="N1206" s="594"/>
      <c r="O1206" s="327"/>
      <c r="P1206" s="574"/>
      <c r="Q1206" s="327"/>
      <c r="R1206" s="594"/>
      <c r="S1206" s="327"/>
      <c r="T1206" s="574"/>
      <c r="U1206" s="327"/>
      <c r="V1206" s="595" t="str">
        <f>'refer admin discharge'!H1207</f>
        <v>00/00/0000</v>
      </c>
      <c r="W1206" s="327"/>
      <c r="X1206" s="596"/>
      <c r="Y1206" s="327"/>
      <c r="Z1206" s="597"/>
      <c r="AA1206" s="327"/>
      <c r="AB1206" s="596"/>
      <c r="AC1206" s="327"/>
      <c r="AD1206" s="577"/>
      <c r="AE1206" s="327"/>
      <c r="AF1206" s="596"/>
      <c r="AG1206" s="327"/>
      <c r="AH1206" s="577"/>
      <c r="AI1206" s="327"/>
      <c r="AJ1206" s="596"/>
      <c r="AK1206" s="327"/>
      <c r="AL1206" s="598"/>
      <c r="AM1206" s="326"/>
      <c r="AN1206" s="326"/>
      <c r="AO1206" s="326"/>
      <c r="AP1206" s="326"/>
      <c r="AQ1206" s="326"/>
      <c r="AR1206" s="326"/>
      <c r="AS1206" s="326"/>
      <c r="AT1206" s="326"/>
      <c r="AU1206" s="326"/>
      <c r="AV1206" s="326"/>
      <c r="AW1206" s="326"/>
      <c r="AX1206" s="326"/>
      <c r="AY1206" s="326"/>
      <c r="AZ1206" s="326"/>
      <c r="BA1206" s="326"/>
      <c r="BB1206" s="327"/>
    </row>
    <row r="1207" spans="1:54" ht="15.75" customHeight="1" x14ac:dyDescent="0.25">
      <c r="A1207" s="11">
        <f t="shared" si="4"/>
        <v>1194</v>
      </c>
      <c r="B1207" s="504" t="str">
        <f>'refer admin discharge'!B1203</f>
        <v>x</v>
      </c>
      <c r="C1207" s="327"/>
      <c r="D1207" s="505" t="str">
        <f>'refer admin discharge'!D1203</f>
        <v>xx</v>
      </c>
      <c r="E1207" s="327"/>
      <c r="F1207" s="606" t="str">
        <f>'refer admin discharge'!H1203</f>
        <v>00/00/0000</v>
      </c>
      <c r="G1207" s="327"/>
      <c r="H1207" s="594"/>
      <c r="I1207" s="327"/>
      <c r="J1207" s="605"/>
      <c r="K1207" s="327"/>
      <c r="L1207" s="594"/>
      <c r="M1207" s="327"/>
      <c r="N1207" s="575"/>
      <c r="O1207" s="327"/>
      <c r="P1207" s="594"/>
      <c r="Q1207" s="327"/>
      <c r="R1207" s="575"/>
      <c r="S1207" s="327"/>
      <c r="T1207" s="594"/>
      <c r="U1207" s="327"/>
      <c r="V1207" s="595" t="str">
        <f>'refer admin discharge'!H1208</f>
        <v>00/00/0000</v>
      </c>
      <c r="W1207" s="327"/>
      <c r="X1207" s="577"/>
      <c r="Y1207" s="327"/>
      <c r="Z1207" s="604"/>
      <c r="AA1207" s="327"/>
      <c r="AB1207" s="577"/>
      <c r="AC1207" s="327"/>
      <c r="AD1207" s="576"/>
      <c r="AE1207" s="327"/>
      <c r="AF1207" s="577"/>
      <c r="AG1207" s="327"/>
      <c r="AH1207" s="576"/>
      <c r="AI1207" s="327"/>
      <c r="AJ1207" s="577"/>
      <c r="AK1207" s="327"/>
      <c r="AL1207" s="602"/>
      <c r="AM1207" s="326"/>
      <c r="AN1207" s="326"/>
      <c r="AO1207" s="326"/>
      <c r="AP1207" s="326"/>
      <c r="AQ1207" s="326"/>
      <c r="AR1207" s="326"/>
      <c r="AS1207" s="326"/>
      <c r="AT1207" s="326"/>
      <c r="AU1207" s="326"/>
      <c r="AV1207" s="326"/>
      <c r="AW1207" s="326"/>
      <c r="AX1207" s="326"/>
      <c r="AY1207" s="326"/>
      <c r="AZ1207" s="326"/>
      <c r="BA1207" s="326"/>
      <c r="BB1207" s="327"/>
    </row>
    <row r="1208" spans="1:54" ht="15.75" customHeight="1" x14ac:dyDescent="0.25">
      <c r="A1208" s="11">
        <f t="shared" si="4"/>
        <v>1195</v>
      </c>
      <c r="B1208" s="570" t="str">
        <f>'refer admin discharge'!B1204</f>
        <v>x</v>
      </c>
      <c r="C1208" s="327"/>
      <c r="D1208" s="599" t="str">
        <f>'refer admin discharge'!D1204</f>
        <v>xx</v>
      </c>
      <c r="E1208" s="327"/>
      <c r="F1208" s="600" t="str">
        <f>'refer admin discharge'!H1204</f>
        <v>00/00/0000</v>
      </c>
      <c r="G1208" s="327"/>
      <c r="H1208" s="574"/>
      <c r="I1208" s="327"/>
      <c r="J1208" s="601"/>
      <c r="K1208" s="327"/>
      <c r="L1208" s="574"/>
      <c r="M1208" s="327"/>
      <c r="N1208" s="594"/>
      <c r="O1208" s="327"/>
      <c r="P1208" s="574"/>
      <c r="Q1208" s="327"/>
      <c r="R1208" s="594"/>
      <c r="S1208" s="327"/>
      <c r="T1208" s="574"/>
      <c r="U1208" s="327"/>
      <c r="V1208" s="595" t="str">
        <f>'refer admin discharge'!H1209</f>
        <v>00/00/0000</v>
      </c>
      <c r="W1208" s="327"/>
      <c r="X1208" s="596"/>
      <c r="Y1208" s="327"/>
      <c r="Z1208" s="597"/>
      <c r="AA1208" s="327"/>
      <c r="AB1208" s="596"/>
      <c r="AC1208" s="327"/>
      <c r="AD1208" s="577"/>
      <c r="AE1208" s="327"/>
      <c r="AF1208" s="596"/>
      <c r="AG1208" s="327"/>
      <c r="AH1208" s="577"/>
      <c r="AI1208" s="327"/>
      <c r="AJ1208" s="596"/>
      <c r="AK1208" s="327"/>
      <c r="AL1208" s="598"/>
      <c r="AM1208" s="326"/>
      <c r="AN1208" s="326"/>
      <c r="AO1208" s="326"/>
      <c r="AP1208" s="326"/>
      <c r="AQ1208" s="326"/>
      <c r="AR1208" s="326"/>
      <c r="AS1208" s="326"/>
      <c r="AT1208" s="326"/>
      <c r="AU1208" s="326"/>
      <c r="AV1208" s="326"/>
      <c r="AW1208" s="326"/>
      <c r="AX1208" s="326"/>
      <c r="AY1208" s="326"/>
      <c r="AZ1208" s="326"/>
      <c r="BA1208" s="326"/>
      <c r="BB1208" s="327"/>
    </row>
    <row r="1209" spans="1:54" ht="15.75" customHeight="1" x14ac:dyDescent="0.25">
      <c r="A1209" s="11">
        <f t="shared" si="4"/>
        <v>1196</v>
      </c>
      <c r="B1209" s="504" t="str">
        <f>'refer admin discharge'!B1205</f>
        <v>x</v>
      </c>
      <c r="C1209" s="327"/>
      <c r="D1209" s="505" t="str">
        <f>'refer admin discharge'!D1205</f>
        <v>xx</v>
      </c>
      <c r="E1209" s="327"/>
      <c r="F1209" s="606" t="str">
        <f>'refer admin discharge'!H1205</f>
        <v>00/00/0000</v>
      </c>
      <c r="G1209" s="327"/>
      <c r="H1209" s="594"/>
      <c r="I1209" s="327"/>
      <c r="J1209" s="605"/>
      <c r="K1209" s="327"/>
      <c r="L1209" s="594"/>
      <c r="M1209" s="327"/>
      <c r="N1209" s="575"/>
      <c r="O1209" s="327"/>
      <c r="P1209" s="594"/>
      <c r="Q1209" s="327"/>
      <c r="R1209" s="575"/>
      <c r="S1209" s="327"/>
      <c r="T1209" s="594"/>
      <c r="U1209" s="327"/>
      <c r="V1209" s="595" t="str">
        <f>'refer admin discharge'!H1210</f>
        <v>00/00/0000</v>
      </c>
      <c r="W1209" s="327"/>
      <c r="X1209" s="577"/>
      <c r="Y1209" s="327"/>
      <c r="Z1209" s="604"/>
      <c r="AA1209" s="327"/>
      <c r="AB1209" s="577"/>
      <c r="AC1209" s="327"/>
      <c r="AD1209" s="576"/>
      <c r="AE1209" s="327"/>
      <c r="AF1209" s="577"/>
      <c r="AG1209" s="327"/>
      <c r="AH1209" s="576"/>
      <c r="AI1209" s="327"/>
      <c r="AJ1209" s="577"/>
      <c r="AK1209" s="327"/>
      <c r="AL1209" s="602"/>
      <c r="AM1209" s="326"/>
      <c r="AN1209" s="326"/>
      <c r="AO1209" s="326"/>
      <c r="AP1209" s="326"/>
      <c r="AQ1209" s="326"/>
      <c r="AR1209" s="326"/>
      <c r="AS1209" s="326"/>
      <c r="AT1209" s="326"/>
      <c r="AU1209" s="326"/>
      <c r="AV1209" s="326"/>
      <c r="AW1209" s="326"/>
      <c r="AX1209" s="326"/>
      <c r="AY1209" s="326"/>
      <c r="AZ1209" s="326"/>
      <c r="BA1209" s="326"/>
      <c r="BB1209" s="327"/>
    </row>
    <row r="1210" spans="1:54" ht="15.75" customHeight="1" x14ac:dyDescent="0.25">
      <c r="A1210" s="11">
        <f t="shared" si="4"/>
        <v>1197</v>
      </c>
      <c r="B1210" s="570" t="str">
        <f>'refer admin discharge'!B1206</f>
        <v>x</v>
      </c>
      <c r="C1210" s="327"/>
      <c r="D1210" s="599" t="str">
        <f>'refer admin discharge'!D1206</f>
        <v>xx</v>
      </c>
      <c r="E1210" s="327"/>
      <c r="F1210" s="600" t="str">
        <f>'refer admin discharge'!H1206</f>
        <v>00/00/0000</v>
      </c>
      <c r="G1210" s="327"/>
      <c r="H1210" s="574"/>
      <c r="I1210" s="327"/>
      <c r="J1210" s="601"/>
      <c r="K1210" s="327"/>
      <c r="L1210" s="574"/>
      <c r="M1210" s="327"/>
      <c r="N1210" s="594"/>
      <c r="O1210" s="327"/>
      <c r="P1210" s="574"/>
      <c r="Q1210" s="327"/>
      <c r="R1210" s="594"/>
      <c r="S1210" s="327"/>
      <c r="T1210" s="574"/>
      <c r="U1210" s="327"/>
      <c r="V1210" s="595" t="str">
        <f>'refer admin discharge'!H1211</f>
        <v>00/00/0000</v>
      </c>
      <c r="W1210" s="327"/>
      <c r="X1210" s="596"/>
      <c r="Y1210" s="327"/>
      <c r="Z1210" s="597"/>
      <c r="AA1210" s="327"/>
      <c r="AB1210" s="596"/>
      <c r="AC1210" s="327"/>
      <c r="AD1210" s="577"/>
      <c r="AE1210" s="327"/>
      <c r="AF1210" s="596"/>
      <c r="AG1210" s="327"/>
      <c r="AH1210" s="577"/>
      <c r="AI1210" s="327"/>
      <c r="AJ1210" s="596"/>
      <c r="AK1210" s="327"/>
      <c r="AL1210" s="598"/>
      <c r="AM1210" s="326"/>
      <c r="AN1210" s="326"/>
      <c r="AO1210" s="326"/>
      <c r="AP1210" s="326"/>
      <c r="AQ1210" s="326"/>
      <c r="AR1210" s="326"/>
      <c r="AS1210" s="326"/>
      <c r="AT1210" s="326"/>
      <c r="AU1210" s="326"/>
      <c r="AV1210" s="326"/>
      <c r="AW1210" s="326"/>
      <c r="AX1210" s="326"/>
      <c r="AY1210" s="326"/>
      <c r="AZ1210" s="326"/>
      <c r="BA1210" s="326"/>
      <c r="BB1210" s="327"/>
    </row>
    <row r="1211" spans="1:54" ht="15.75" customHeight="1" x14ac:dyDescent="0.25">
      <c r="A1211" s="11">
        <f t="shared" si="4"/>
        <v>1198</v>
      </c>
      <c r="B1211" s="504" t="str">
        <f>'refer admin discharge'!B1207</f>
        <v>x</v>
      </c>
      <c r="C1211" s="327"/>
      <c r="D1211" s="505" t="str">
        <f>'refer admin discharge'!D1207</f>
        <v>xx</v>
      </c>
      <c r="E1211" s="327"/>
      <c r="F1211" s="606" t="str">
        <f>'refer admin discharge'!H1207</f>
        <v>00/00/0000</v>
      </c>
      <c r="G1211" s="327"/>
      <c r="H1211" s="594"/>
      <c r="I1211" s="327"/>
      <c r="J1211" s="605"/>
      <c r="K1211" s="327"/>
      <c r="L1211" s="594"/>
      <c r="M1211" s="327"/>
      <c r="N1211" s="575"/>
      <c r="O1211" s="327"/>
      <c r="P1211" s="594"/>
      <c r="Q1211" s="327"/>
      <c r="R1211" s="575"/>
      <c r="S1211" s="327"/>
      <c r="T1211" s="594"/>
      <c r="U1211" s="327"/>
      <c r="V1211" s="595" t="str">
        <f>'refer admin discharge'!H1212</f>
        <v>00/00/0000</v>
      </c>
      <c r="W1211" s="327"/>
      <c r="X1211" s="577"/>
      <c r="Y1211" s="327"/>
      <c r="Z1211" s="604"/>
      <c r="AA1211" s="327"/>
      <c r="AB1211" s="577"/>
      <c r="AC1211" s="327"/>
      <c r="AD1211" s="576"/>
      <c r="AE1211" s="327"/>
      <c r="AF1211" s="577"/>
      <c r="AG1211" s="327"/>
      <c r="AH1211" s="576"/>
      <c r="AI1211" s="327"/>
      <c r="AJ1211" s="577"/>
      <c r="AK1211" s="327"/>
      <c r="AL1211" s="602"/>
      <c r="AM1211" s="326"/>
      <c r="AN1211" s="326"/>
      <c r="AO1211" s="326"/>
      <c r="AP1211" s="326"/>
      <c r="AQ1211" s="326"/>
      <c r="AR1211" s="326"/>
      <c r="AS1211" s="326"/>
      <c r="AT1211" s="326"/>
      <c r="AU1211" s="326"/>
      <c r="AV1211" s="326"/>
      <c r="AW1211" s="326"/>
      <c r="AX1211" s="326"/>
      <c r="AY1211" s="326"/>
      <c r="AZ1211" s="326"/>
      <c r="BA1211" s="326"/>
      <c r="BB1211" s="327"/>
    </row>
    <row r="1212" spans="1:54" ht="15.75" customHeight="1" x14ac:dyDescent="0.25">
      <c r="A1212" s="11">
        <f t="shared" si="4"/>
        <v>1199</v>
      </c>
      <c r="B1212" s="570" t="str">
        <f>'refer admin discharge'!B1208</f>
        <v>x</v>
      </c>
      <c r="C1212" s="327"/>
      <c r="D1212" s="599" t="str">
        <f>'refer admin discharge'!D1208</f>
        <v>xx</v>
      </c>
      <c r="E1212" s="327"/>
      <c r="F1212" s="600" t="str">
        <f>'refer admin discharge'!H1208</f>
        <v>00/00/0000</v>
      </c>
      <c r="G1212" s="327"/>
      <c r="H1212" s="574"/>
      <c r="I1212" s="327"/>
      <c r="J1212" s="601"/>
      <c r="K1212" s="327"/>
      <c r="L1212" s="574"/>
      <c r="M1212" s="327"/>
      <c r="N1212" s="594"/>
      <c r="O1212" s="327"/>
      <c r="P1212" s="574"/>
      <c r="Q1212" s="327"/>
      <c r="R1212" s="594"/>
      <c r="S1212" s="327"/>
      <c r="T1212" s="574"/>
      <c r="U1212" s="327"/>
      <c r="V1212" s="595" t="str">
        <f>'refer admin discharge'!H1213</f>
        <v>00/00/0000</v>
      </c>
      <c r="W1212" s="327"/>
      <c r="X1212" s="596"/>
      <c r="Y1212" s="327"/>
      <c r="Z1212" s="597"/>
      <c r="AA1212" s="327"/>
      <c r="AB1212" s="596"/>
      <c r="AC1212" s="327"/>
      <c r="AD1212" s="577"/>
      <c r="AE1212" s="327"/>
      <c r="AF1212" s="596"/>
      <c r="AG1212" s="327"/>
      <c r="AH1212" s="577"/>
      <c r="AI1212" s="327"/>
      <c r="AJ1212" s="596"/>
      <c r="AK1212" s="327"/>
      <c r="AL1212" s="598"/>
      <c r="AM1212" s="326"/>
      <c r="AN1212" s="326"/>
      <c r="AO1212" s="326"/>
      <c r="AP1212" s="326"/>
      <c r="AQ1212" s="326"/>
      <c r="AR1212" s="326"/>
      <c r="AS1212" s="326"/>
      <c r="AT1212" s="326"/>
      <c r="AU1212" s="326"/>
      <c r="AV1212" s="326"/>
      <c r="AW1212" s="326"/>
      <c r="AX1212" s="326"/>
      <c r="AY1212" s="326"/>
      <c r="AZ1212" s="326"/>
      <c r="BA1212" s="326"/>
      <c r="BB1212" s="327"/>
    </row>
    <row r="1213" spans="1:54" ht="15.75" customHeight="1" x14ac:dyDescent="0.25">
      <c r="A1213" s="11">
        <f t="shared" si="4"/>
        <v>1200</v>
      </c>
      <c r="B1213" s="504" t="str">
        <f>'refer admin discharge'!B1209</f>
        <v>x</v>
      </c>
      <c r="C1213" s="327"/>
      <c r="D1213" s="505" t="str">
        <f>'refer admin discharge'!D1209</f>
        <v>xx</v>
      </c>
      <c r="E1213" s="327"/>
      <c r="F1213" s="606" t="str">
        <f>'refer admin discharge'!H1209</f>
        <v>00/00/0000</v>
      </c>
      <c r="G1213" s="327"/>
      <c r="H1213" s="594"/>
      <c r="I1213" s="327"/>
      <c r="J1213" s="605"/>
      <c r="K1213" s="327"/>
      <c r="L1213" s="594"/>
      <c r="M1213" s="327"/>
      <c r="N1213" s="575"/>
      <c r="O1213" s="327"/>
      <c r="P1213" s="594"/>
      <c r="Q1213" s="327"/>
      <c r="R1213" s="575"/>
      <c r="S1213" s="327"/>
      <c r="T1213" s="594"/>
      <c r="U1213" s="327"/>
      <c r="V1213" s="595" t="str">
        <f>'refer admin discharge'!H1214</f>
        <v>00/00/0000</v>
      </c>
      <c r="W1213" s="327"/>
      <c r="X1213" s="577"/>
      <c r="Y1213" s="327"/>
      <c r="Z1213" s="604"/>
      <c r="AA1213" s="327"/>
      <c r="AB1213" s="577"/>
      <c r="AC1213" s="327"/>
      <c r="AD1213" s="576"/>
      <c r="AE1213" s="327"/>
      <c r="AF1213" s="577"/>
      <c r="AG1213" s="327"/>
      <c r="AH1213" s="576"/>
      <c r="AI1213" s="327"/>
      <c r="AJ1213" s="577"/>
      <c r="AK1213" s="327"/>
      <c r="AL1213" s="602"/>
      <c r="AM1213" s="326"/>
      <c r="AN1213" s="326"/>
      <c r="AO1213" s="326"/>
      <c r="AP1213" s="326"/>
      <c r="AQ1213" s="326"/>
      <c r="AR1213" s="326"/>
      <c r="AS1213" s="326"/>
      <c r="AT1213" s="326"/>
      <c r="AU1213" s="326"/>
      <c r="AV1213" s="326"/>
      <c r="AW1213" s="326"/>
      <c r="AX1213" s="326"/>
      <c r="AY1213" s="326"/>
      <c r="AZ1213" s="326"/>
      <c r="BA1213" s="326"/>
      <c r="BB1213" s="327"/>
    </row>
    <row r="1214" spans="1:54" ht="15.75" customHeight="1" x14ac:dyDescent="0.25">
      <c r="A1214" s="11">
        <f t="shared" si="4"/>
        <v>1201</v>
      </c>
      <c r="B1214" s="570" t="str">
        <f>'refer admin discharge'!B1210</f>
        <v>x</v>
      </c>
      <c r="C1214" s="327"/>
      <c r="D1214" s="599" t="str">
        <f>'refer admin discharge'!D1210</f>
        <v>xx</v>
      </c>
      <c r="E1214" s="327"/>
      <c r="F1214" s="600" t="str">
        <f>'refer admin discharge'!H1210</f>
        <v>00/00/0000</v>
      </c>
      <c r="G1214" s="327"/>
      <c r="H1214" s="574"/>
      <c r="I1214" s="327"/>
      <c r="J1214" s="601"/>
      <c r="K1214" s="327"/>
      <c r="L1214" s="574"/>
      <c r="M1214" s="327"/>
      <c r="N1214" s="594"/>
      <c r="O1214" s="327"/>
      <c r="P1214" s="574"/>
      <c r="Q1214" s="327"/>
      <c r="R1214" s="594"/>
      <c r="S1214" s="327"/>
      <c r="T1214" s="574"/>
      <c r="U1214" s="327"/>
      <c r="V1214" s="595" t="str">
        <f>'refer admin discharge'!H1215</f>
        <v>00/00/0000</v>
      </c>
      <c r="W1214" s="327"/>
      <c r="X1214" s="596"/>
      <c r="Y1214" s="327"/>
      <c r="Z1214" s="597"/>
      <c r="AA1214" s="327"/>
      <c r="AB1214" s="596"/>
      <c r="AC1214" s="327"/>
      <c r="AD1214" s="577"/>
      <c r="AE1214" s="327"/>
      <c r="AF1214" s="596"/>
      <c r="AG1214" s="327"/>
      <c r="AH1214" s="577"/>
      <c r="AI1214" s="327"/>
      <c r="AJ1214" s="596"/>
      <c r="AK1214" s="327"/>
      <c r="AL1214" s="598"/>
      <c r="AM1214" s="326"/>
      <c r="AN1214" s="326"/>
      <c r="AO1214" s="326"/>
      <c r="AP1214" s="326"/>
      <c r="AQ1214" s="326"/>
      <c r="AR1214" s="326"/>
      <c r="AS1214" s="326"/>
      <c r="AT1214" s="326"/>
      <c r="AU1214" s="326"/>
      <c r="AV1214" s="326"/>
      <c r="AW1214" s="326"/>
      <c r="AX1214" s="326"/>
      <c r="AY1214" s="326"/>
      <c r="AZ1214" s="326"/>
      <c r="BA1214" s="326"/>
      <c r="BB1214" s="327"/>
    </row>
    <row r="1215" spans="1:54" ht="15.75" customHeight="1" x14ac:dyDescent="0.25">
      <c r="A1215" s="11">
        <f t="shared" si="4"/>
        <v>1202</v>
      </c>
      <c r="B1215" s="504" t="str">
        <f>'refer admin discharge'!B1211</f>
        <v>x</v>
      </c>
      <c r="C1215" s="327"/>
      <c r="D1215" s="505" t="str">
        <f>'refer admin discharge'!D1211</f>
        <v>xx</v>
      </c>
      <c r="E1215" s="327"/>
      <c r="F1215" s="606" t="str">
        <f>'refer admin discharge'!H1211</f>
        <v>00/00/0000</v>
      </c>
      <c r="G1215" s="327"/>
      <c r="H1215" s="594"/>
      <c r="I1215" s="327"/>
      <c r="J1215" s="605"/>
      <c r="K1215" s="327"/>
      <c r="L1215" s="594"/>
      <c r="M1215" s="327"/>
      <c r="N1215" s="575"/>
      <c r="O1215" s="327"/>
      <c r="P1215" s="594"/>
      <c r="Q1215" s="327"/>
      <c r="R1215" s="575"/>
      <c r="S1215" s="327"/>
      <c r="T1215" s="594"/>
      <c r="U1215" s="327"/>
      <c r="V1215" s="595" t="str">
        <f>'refer admin discharge'!H1216</f>
        <v>00/00/0000</v>
      </c>
      <c r="W1215" s="327"/>
      <c r="X1215" s="577"/>
      <c r="Y1215" s="327"/>
      <c r="Z1215" s="604"/>
      <c r="AA1215" s="327"/>
      <c r="AB1215" s="577"/>
      <c r="AC1215" s="327"/>
      <c r="AD1215" s="576"/>
      <c r="AE1215" s="327"/>
      <c r="AF1215" s="577"/>
      <c r="AG1215" s="327"/>
      <c r="AH1215" s="576"/>
      <c r="AI1215" s="327"/>
      <c r="AJ1215" s="577"/>
      <c r="AK1215" s="327"/>
      <c r="AL1215" s="602"/>
      <c r="AM1215" s="326"/>
      <c r="AN1215" s="326"/>
      <c r="AO1215" s="326"/>
      <c r="AP1215" s="326"/>
      <c r="AQ1215" s="326"/>
      <c r="AR1215" s="326"/>
      <c r="AS1215" s="326"/>
      <c r="AT1215" s="326"/>
      <c r="AU1215" s="326"/>
      <c r="AV1215" s="326"/>
      <c r="AW1215" s="326"/>
      <c r="AX1215" s="326"/>
      <c r="AY1215" s="326"/>
      <c r="AZ1215" s="326"/>
      <c r="BA1215" s="326"/>
      <c r="BB1215" s="327"/>
    </row>
    <row r="1216" spans="1:54" ht="15.75" customHeight="1" x14ac:dyDescent="0.25">
      <c r="A1216" s="11">
        <f t="shared" si="4"/>
        <v>1203</v>
      </c>
      <c r="B1216" s="570" t="str">
        <f>'refer admin discharge'!B1212</f>
        <v>x</v>
      </c>
      <c r="C1216" s="327"/>
      <c r="D1216" s="599" t="str">
        <f>'refer admin discharge'!D1212</f>
        <v>xx</v>
      </c>
      <c r="E1216" s="327"/>
      <c r="F1216" s="600" t="str">
        <f>'refer admin discharge'!H1212</f>
        <v>00/00/0000</v>
      </c>
      <c r="G1216" s="327"/>
      <c r="H1216" s="574"/>
      <c r="I1216" s="327"/>
      <c r="J1216" s="601"/>
      <c r="K1216" s="327"/>
      <c r="L1216" s="574"/>
      <c r="M1216" s="327"/>
      <c r="N1216" s="594"/>
      <c r="O1216" s="327"/>
      <c r="P1216" s="574"/>
      <c r="Q1216" s="327"/>
      <c r="R1216" s="594"/>
      <c r="S1216" s="327"/>
      <c r="T1216" s="574"/>
      <c r="U1216" s="327"/>
      <c r="V1216" s="595" t="str">
        <f>'refer admin discharge'!H1217</f>
        <v>00/00/0000</v>
      </c>
      <c r="W1216" s="327"/>
      <c r="X1216" s="596"/>
      <c r="Y1216" s="327"/>
      <c r="Z1216" s="597"/>
      <c r="AA1216" s="327"/>
      <c r="AB1216" s="596"/>
      <c r="AC1216" s="327"/>
      <c r="AD1216" s="577"/>
      <c r="AE1216" s="327"/>
      <c r="AF1216" s="596"/>
      <c r="AG1216" s="327"/>
      <c r="AH1216" s="577"/>
      <c r="AI1216" s="327"/>
      <c r="AJ1216" s="596"/>
      <c r="AK1216" s="327"/>
      <c r="AL1216" s="598"/>
      <c r="AM1216" s="326"/>
      <c r="AN1216" s="326"/>
      <c r="AO1216" s="326"/>
      <c r="AP1216" s="326"/>
      <c r="AQ1216" s="326"/>
      <c r="AR1216" s="326"/>
      <c r="AS1216" s="326"/>
      <c r="AT1216" s="326"/>
      <c r="AU1216" s="326"/>
      <c r="AV1216" s="326"/>
      <c r="AW1216" s="326"/>
      <c r="AX1216" s="326"/>
      <c r="AY1216" s="326"/>
      <c r="AZ1216" s="326"/>
      <c r="BA1216" s="326"/>
      <c r="BB1216" s="327"/>
    </row>
    <row r="1217" spans="1:54" ht="15.75" customHeight="1" x14ac:dyDescent="0.25">
      <c r="A1217" s="11">
        <f t="shared" si="4"/>
        <v>1204</v>
      </c>
      <c r="B1217" s="504" t="str">
        <f>'refer admin discharge'!B1213</f>
        <v>x</v>
      </c>
      <c r="C1217" s="327"/>
      <c r="D1217" s="505" t="str">
        <f>'refer admin discharge'!D1213</f>
        <v>xx</v>
      </c>
      <c r="E1217" s="327"/>
      <c r="F1217" s="606" t="str">
        <f>'refer admin discharge'!H1213</f>
        <v>00/00/0000</v>
      </c>
      <c r="G1217" s="327"/>
      <c r="H1217" s="594"/>
      <c r="I1217" s="327"/>
      <c r="J1217" s="605"/>
      <c r="K1217" s="327"/>
      <c r="L1217" s="594"/>
      <c r="M1217" s="327"/>
      <c r="N1217" s="575"/>
      <c r="O1217" s="327"/>
      <c r="P1217" s="594"/>
      <c r="Q1217" s="327"/>
      <c r="R1217" s="575"/>
      <c r="S1217" s="327"/>
      <c r="T1217" s="594"/>
      <c r="U1217" s="327"/>
      <c r="V1217" s="595" t="str">
        <f>'refer admin discharge'!H1218</f>
        <v>00/00/0000</v>
      </c>
      <c r="W1217" s="327"/>
      <c r="X1217" s="577"/>
      <c r="Y1217" s="327"/>
      <c r="Z1217" s="604"/>
      <c r="AA1217" s="327"/>
      <c r="AB1217" s="577"/>
      <c r="AC1217" s="327"/>
      <c r="AD1217" s="576"/>
      <c r="AE1217" s="327"/>
      <c r="AF1217" s="577"/>
      <c r="AG1217" s="327"/>
      <c r="AH1217" s="576"/>
      <c r="AI1217" s="327"/>
      <c r="AJ1217" s="577"/>
      <c r="AK1217" s="327"/>
      <c r="AL1217" s="602"/>
      <c r="AM1217" s="326"/>
      <c r="AN1217" s="326"/>
      <c r="AO1217" s="326"/>
      <c r="AP1217" s="326"/>
      <c r="AQ1217" s="326"/>
      <c r="AR1217" s="326"/>
      <c r="AS1217" s="326"/>
      <c r="AT1217" s="326"/>
      <c r="AU1217" s="326"/>
      <c r="AV1217" s="326"/>
      <c r="AW1217" s="326"/>
      <c r="AX1217" s="326"/>
      <c r="AY1217" s="326"/>
      <c r="AZ1217" s="326"/>
      <c r="BA1217" s="326"/>
      <c r="BB1217" s="327"/>
    </row>
    <row r="1218" spans="1:54" ht="15.75" customHeight="1" x14ac:dyDescent="0.25">
      <c r="A1218" s="11">
        <f t="shared" si="4"/>
        <v>1205</v>
      </c>
      <c r="B1218" s="570" t="str">
        <f>'refer admin discharge'!B1214</f>
        <v>x</v>
      </c>
      <c r="C1218" s="327"/>
      <c r="D1218" s="599" t="str">
        <f>'refer admin discharge'!D1214</f>
        <v>xx</v>
      </c>
      <c r="E1218" s="327"/>
      <c r="F1218" s="600" t="str">
        <f>'refer admin discharge'!H1214</f>
        <v>00/00/0000</v>
      </c>
      <c r="G1218" s="327"/>
      <c r="H1218" s="574"/>
      <c r="I1218" s="327"/>
      <c r="J1218" s="601"/>
      <c r="K1218" s="327"/>
      <c r="L1218" s="574"/>
      <c r="M1218" s="327"/>
      <c r="N1218" s="594"/>
      <c r="O1218" s="327"/>
      <c r="P1218" s="574"/>
      <c r="Q1218" s="327"/>
      <c r="R1218" s="594"/>
      <c r="S1218" s="327"/>
      <c r="T1218" s="574"/>
      <c r="U1218" s="327"/>
      <c r="V1218" s="595" t="str">
        <f>'refer admin discharge'!H1219</f>
        <v>00/00/0000</v>
      </c>
      <c r="W1218" s="327"/>
      <c r="X1218" s="596"/>
      <c r="Y1218" s="327"/>
      <c r="Z1218" s="597"/>
      <c r="AA1218" s="327"/>
      <c r="AB1218" s="596"/>
      <c r="AC1218" s="327"/>
      <c r="AD1218" s="577"/>
      <c r="AE1218" s="327"/>
      <c r="AF1218" s="596"/>
      <c r="AG1218" s="327"/>
      <c r="AH1218" s="577"/>
      <c r="AI1218" s="327"/>
      <c r="AJ1218" s="596"/>
      <c r="AK1218" s="327"/>
      <c r="AL1218" s="598"/>
      <c r="AM1218" s="326"/>
      <c r="AN1218" s="326"/>
      <c r="AO1218" s="326"/>
      <c r="AP1218" s="326"/>
      <c r="AQ1218" s="326"/>
      <c r="AR1218" s="326"/>
      <c r="AS1218" s="326"/>
      <c r="AT1218" s="326"/>
      <c r="AU1218" s="326"/>
      <c r="AV1218" s="326"/>
      <c r="AW1218" s="326"/>
      <c r="AX1218" s="326"/>
      <c r="AY1218" s="326"/>
      <c r="AZ1218" s="326"/>
      <c r="BA1218" s="326"/>
      <c r="BB1218" s="327"/>
    </row>
    <row r="1219" spans="1:54" ht="15.75" customHeight="1" x14ac:dyDescent="0.25">
      <c r="A1219" s="11">
        <f t="shared" si="4"/>
        <v>1206</v>
      </c>
      <c r="B1219" s="504" t="str">
        <f>'refer admin discharge'!B1215</f>
        <v>x</v>
      </c>
      <c r="C1219" s="327"/>
      <c r="D1219" s="505" t="str">
        <f>'refer admin discharge'!D1215</f>
        <v>xx</v>
      </c>
      <c r="E1219" s="327"/>
      <c r="F1219" s="606" t="str">
        <f>'refer admin discharge'!H1215</f>
        <v>00/00/0000</v>
      </c>
      <c r="G1219" s="327"/>
      <c r="H1219" s="594"/>
      <c r="I1219" s="327"/>
      <c r="J1219" s="605"/>
      <c r="K1219" s="327"/>
      <c r="L1219" s="594"/>
      <c r="M1219" s="327"/>
      <c r="N1219" s="575"/>
      <c r="O1219" s="327"/>
      <c r="P1219" s="594"/>
      <c r="Q1219" s="327"/>
      <c r="R1219" s="575"/>
      <c r="S1219" s="327"/>
      <c r="T1219" s="594"/>
      <c r="U1219" s="327"/>
      <c r="V1219" s="595" t="str">
        <f>'refer admin discharge'!H1220</f>
        <v>00/00/0000</v>
      </c>
      <c r="W1219" s="327"/>
      <c r="X1219" s="577"/>
      <c r="Y1219" s="327"/>
      <c r="Z1219" s="604"/>
      <c r="AA1219" s="327"/>
      <c r="AB1219" s="577"/>
      <c r="AC1219" s="327"/>
      <c r="AD1219" s="576"/>
      <c r="AE1219" s="327"/>
      <c r="AF1219" s="577"/>
      <c r="AG1219" s="327"/>
      <c r="AH1219" s="576"/>
      <c r="AI1219" s="327"/>
      <c r="AJ1219" s="577"/>
      <c r="AK1219" s="327"/>
      <c r="AL1219" s="602"/>
      <c r="AM1219" s="326"/>
      <c r="AN1219" s="326"/>
      <c r="AO1219" s="326"/>
      <c r="AP1219" s="326"/>
      <c r="AQ1219" s="326"/>
      <c r="AR1219" s="326"/>
      <c r="AS1219" s="326"/>
      <c r="AT1219" s="326"/>
      <c r="AU1219" s="326"/>
      <c r="AV1219" s="326"/>
      <c r="AW1219" s="326"/>
      <c r="AX1219" s="326"/>
      <c r="AY1219" s="326"/>
      <c r="AZ1219" s="326"/>
      <c r="BA1219" s="326"/>
      <c r="BB1219" s="327"/>
    </row>
    <row r="1220" spans="1:54" ht="15.75" customHeight="1" x14ac:dyDescent="0.25">
      <c r="A1220" s="11">
        <f t="shared" si="4"/>
        <v>1207</v>
      </c>
      <c r="B1220" s="570" t="str">
        <f>'refer admin discharge'!B1216</f>
        <v>x</v>
      </c>
      <c r="C1220" s="327"/>
      <c r="D1220" s="599" t="str">
        <f>'refer admin discharge'!D1216</f>
        <v>xx</v>
      </c>
      <c r="E1220" s="327"/>
      <c r="F1220" s="600" t="str">
        <f>'refer admin discharge'!H1216</f>
        <v>00/00/0000</v>
      </c>
      <c r="G1220" s="327"/>
      <c r="H1220" s="574"/>
      <c r="I1220" s="327"/>
      <c r="J1220" s="601"/>
      <c r="K1220" s="327"/>
      <c r="L1220" s="574"/>
      <c r="M1220" s="327"/>
      <c r="N1220" s="594"/>
      <c r="O1220" s="327"/>
      <c r="P1220" s="574"/>
      <c r="Q1220" s="327"/>
      <c r="R1220" s="594"/>
      <c r="S1220" s="327"/>
      <c r="T1220" s="574"/>
      <c r="U1220" s="327"/>
      <c r="V1220" s="595" t="str">
        <f>'refer admin discharge'!H1221</f>
        <v>00/00/0000</v>
      </c>
      <c r="W1220" s="327"/>
      <c r="X1220" s="596"/>
      <c r="Y1220" s="327"/>
      <c r="Z1220" s="597"/>
      <c r="AA1220" s="327"/>
      <c r="AB1220" s="596"/>
      <c r="AC1220" s="327"/>
      <c r="AD1220" s="577"/>
      <c r="AE1220" s="327"/>
      <c r="AF1220" s="596"/>
      <c r="AG1220" s="327"/>
      <c r="AH1220" s="577"/>
      <c r="AI1220" s="327"/>
      <c r="AJ1220" s="596"/>
      <c r="AK1220" s="327"/>
      <c r="AL1220" s="598"/>
      <c r="AM1220" s="326"/>
      <c r="AN1220" s="326"/>
      <c r="AO1220" s="326"/>
      <c r="AP1220" s="326"/>
      <c r="AQ1220" s="326"/>
      <c r="AR1220" s="326"/>
      <c r="AS1220" s="326"/>
      <c r="AT1220" s="326"/>
      <c r="AU1220" s="326"/>
      <c r="AV1220" s="326"/>
      <c r="AW1220" s="326"/>
      <c r="AX1220" s="326"/>
      <c r="AY1220" s="326"/>
      <c r="AZ1220" s="326"/>
      <c r="BA1220" s="326"/>
      <c r="BB1220" s="327"/>
    </row>
    <row r="1221" spans="1:54" ht="15.75" customHeight="1" x14ac:dyDescent="0.25">
      <c r="A1221" s="11">
        <f t="shared" si="4"/>
        <v>1208</v>
      </c>
      <c r="B1221" s="504" t="str">
        <f>'refer admin discharge'!B1217</f>
        <v>x</v>
      </c>
      <c r="C1221" s="327"/>
      <c r="D1221" s="505" t="str">
        <f>'refer admin discharge'!D1217</f>
        <v>xx</v>
      </c>
      <c r="E1221" s="327"/>
      <c r="F1221" s="606" t="str">
        <f>'refer admin discharge'!H1217</f>
        <v>00/00/0000</v>
      </c>
      <c r="G1221" s="327"/>
      <c r="H1221" s="594"/>
      <c r="I1221" s="327"/>
      <c r="J1221" s="605"/>
      <c r="K1221" s="327"/>
      <c r="L1221" s="594"/>
      <c r="M1221" s="327"/>
      <c r="N1221" s="575"/>
      <c r="O1221" s="327"/>
      <c r="P1221" s="594"/>
      <c r="Q1221" s="327"/>
      <c r="R1221" s="575"/>
      <c r="S1221" s="327"/>
      <c r="T1221" s="594"/>
      <c r="U1221" s="327"/>
      <c r="V1221" s="595" t="str">
        <f>'refer admin discharge'!H1222</f>
        <v>00/00/0000</v>
      </c>
      <c r="W1221" s="327"/>
      <c r="X1221" s="577"/>
      <c r="Y1221" s="327"/>
      <c r="Z1221" s="604"/>
      <c r="AA1221" s="327"/>
      <c r="AB1221" s="577"/>
      <c r="AC1221" s="327"/>
      <c r="AD1221" s="576"/>
      <c r="AE1221" s="327"/>
      <c r="AF1221" s="577"/>
      <c r="AG1221" s="327"/>
      <c r="AH1221" s="576"/>
      <c r="AI1221" s="327"/>
      <c r="AJ1221" s="577"/>
      <c r="AK1221" s="327"/>
      <c r="AL1221" s="602"/>
      <c r="AM1221" s="326"/>
      <c r="AN1221" s="326"/>
      <c r="AO1221" s="326"/>
      <c r="AP1221" s="326"/>
      <c r="AQ1221" s="326"/>
      <c r="AR1221" s="326"/>
      <c r="AS1221" s="326"/>
      <c r="AT1221" s="326"/>
      <c r="AU1221" s="326"/>
      <c r="AV1221" s="326"/>
      <c r="AW1221" s="326"/>
      <c r="AX1221" s="326"/>
      <c r="AY1221" s="326"/>
      <c r="AZ1221" s="326"/>
      <c r="BA1221" s="326"/>
      <c r="BB1221" s="327"/>
    </row>
    <row r="1222" spans="1:54" ht="15.75" customHeight="1" x14ac:dyDescent="0.25">
      <c r="A1222" s="11">
        <f t="shared" si="4"/>
        <v>1209</v>
      </c>
      <c r="B1222" s="570" t="str">
        <f>'refer admin discharge'!B1218</f>
        <v>x</v>
      </c>
      <c r="C1222" s="327"/>
      <c r="D1222" s="599" t="str">
        <f>'refer admin discharge'!D1218</f>
        <v>xx</v>
      </c>
      <c r="E1222" s="327"/>
      <c r="F1222" s="600" t="str">
        <f>'refer admin discharge'!H1218</f>
        <v>00/00/0000</v>
      </c>
      <c r="G1222" s="327"/>
      <c r="H1222" s="574"/>
      <c r="I1222" s="327"/>
      <c r="J1222" s="601"/>
      <c r="K1222" s="327"/>
      <c r="L1222" s="574"/>
      <c r="M1222" s="327"/>
      <c r="N1222" s="594"/>
      <c r="O1222" s="327"/>
      <c r="P1222" s="574"/>
      <c r="Q1222" s="327"/>
      <c r="R1222" s="594"/>
      <c r="S1222" s="327"/>
      <c r="T1222" s="574"/>
      <c r="U1222" s="327"/>
      <c r="V1222" s="595" t="str">
        <f>'refer admin discharge'!H1223</f>
        <v>00/00/0000</v>
      </c>
      <c r="W1222" s="327"/>
      <c r="X1222" s="596"/>
      <c r="Y1222" s="327"/>
      <c r="Z1222" s="597"/>
      <c r="AA1222" s="327"/>
      <c r="AB1222" s="596"/>
      <c r="AC1222" s="327"/>
      <c r="AD1222" s="577"/>
      <c r="AE1222" s="327"/>
      <c r="AF1222" s="596"/>
      <c r="AG1222" s="327"/>
      <c r="AH1222" s="577"/>
      <c r="AI1222" s="327"/>
      <c r="AJ1222" s="596"/>
      <c r="AK1222" s="327"/>
      <c r="AL1222" s="598"/>
      <c r="AM1222" s="326"/>
      <c r="AN1222" s="326"/>
      <c r="AO1222" s="326"/>
      <c r="AP1222" s="326"/>
      <c r="AQ1222" s="326"/>
      <c r="AR1222" s="326"/>
      <c r="AS1222" s="326"/>
      <c r="AT1222" s="326"/>
      <c r="AU1222" s="326"/>
      <c r="AV1222" s="326"/>
      <c r="AW1222" s="326"/>
      <c r="AX1222" s="326"/>
      <c r="AY1222" s="326"/>
      <c r="AZ1222" s="326"/>
      <c r="BA1222" s="326"/>
      <c r="BB1222" s="327"/>
    </row>
    <row r="1223" spans="1:54" ht="15.75" customHeight="1" x14ac:dyDescent="0.25">
      <c r="A1223" s="11">
        <f t="shared" si="4"/>
        <v>1210</v>
      </c>
      <c r="B1223" s="504" t="str">
        <f>'refer admin discharge'!B1219</f>
        <v>x</v>
      </c>
      <c r="C1223" s="327"/>
      <c r="D1223" s="505" t="str">
        <f>'refer admin discharge'!D1219</f>
        <v>xx</v>
      </c>
      <c r="E1223" s="327"/>
      <c r="F1223" s="606" t="str">
        <f>'refer admin discharge'!H1219</f>
        <v>00/00/0000</v>
      </c>
      <c r="G1223" s="327"/>
      <c r="H1223" s="594"/>
      <c r="I1223" s="327"/>
      <c r="J1223" s="605"/>
      <c r="K1223" s="327"/>
      <c r="L1223" s="594"/>
      <c r="M1223" s="327"/>
      <c r="N1223" s="575"/>
      <c r="O1223" s="327"/>
      <c r="P1223" s="594"/>
      <c r="Q1223" s="327"/>
      <c r="R1223" s="575"/>
      <c r="S1223" s="327"/>
      <c r="T1223" s="594"/>
      <c r="U1223" s="327"/>
      <c r="V1223" s="595" t="str">
        <f>'refer admin discharge'!H1224</f>
        <v>00/00/0000</v>
      </c>
      <c r="W1223" s="327"/>
      <c r="X1223" s="577"/>
      <c r="Y1223" s="327"/>
      <c r="Z1223" s="604"/>
      <c r="AA1223" s="327"/>
      <c r="AB1223" s="577"/>
      <c r="AC1223" s="327"/>
      <c r="AD1223" s="576"/>
      <c r="AE1223" s="327"/>
      <c r="AF1223" s="577"/>
      <c r="AG1223" s="327"/>
      <c r="AH1223" s="576"/>
      <c r="AI1223" s="327"/>
      <c r="AJ1223" s="577"/>
      <c r="AK1223" s="327"/>
      <c r="AL1223" s="602"/>
      <c r="AM1223" s="326"/>
      <c r="AN1223" s="326"/>
      <c r="AO1223" s="326"/>
      <c r="AP1223" s="326"/>
      <c r="AQ1223" s="326"/>
      <c r="AR1223" s="326"/>
      <c r="AS1223" s="326"/>
      <c r="AT1223" s="326"/>
      <c r="AU1223" s="326"/>
      <c r="AV1223" s="326"/>
      <c r="AW1223" s="326"/>
      <c r="AX1223" s="326"/>
      <c r="AY1223" s="326"/>
      <c r="AZ1223" s="326"/>
      <c r="BA1223" s="326"/>
      <c r="BB1223" s="327"/>
    </row>
    <row r="1224" spans="1:54" ht="15.75" customHeight="1" x14ac:dyDescent="0.25">
      <c r="A1224" s="11">
        <f t="shared" si="4"/>
        <v>1211</v>
      </c>
      <c r="B1224" s="570" t="str">
        <f>'refer admin discharge'!B1220</f>
        <v>x</v>
      </c>
      <c r="C1224" s="327"/>
      <c r="D1224" s="599" t="str">
        <f>'refer admin discharge'!D1220</f>
        <v>xx</v>
      </c>
      <c r="E1224" s="327"/>
      <c r="F1224" s="600" t="str">
        <f>'refer admin discharge'!H1220</f>
        <v>00/00/0000</v>
      </c>
      <c r="G1224" s="327"/>
      <c r="H1224" s="574"/>
      <c r="I1224" s="327"/>
      <c r="J1224" s="601"/>
      <c r="K1224" s="327"/>
      <c r="L1224" s="574"/>
      <c r="M1224" s="327"/>
      <c r="N1224" s="594"/>
      <c r="O1224" s="327"/>
      <c r="P1224" s="574"/>
      <c r="Q1224" s="327"/>
      <c r="R1224" s="594"/>
      <c r="S1224" s="327"/>
      <c r="T1224" s="574"/>
      <c r="U1224" s="327"/>
      <c r="V1224" s="595" t="str">
        <f>'refer admin discharge'!H1225</f>
        <v>00/00/0000</v>
      </c>
      <c r="W1224" s="327"/>
      <c r="X1224" s="596"/>
      <c r="Y1224" s="327"/>
      <c r="Z1224" s="597"/>
      <c r="AA1224" s="327"/>
      <c r="AB1224" s="596"/>
      <c r="AC1224" s="327"/>
      <c r="AD1224" s="577"/>
      <c r="AE1224" s="327"/>
      <c r="AF1224" s="596"/>
      <c r="AG1224" s="327"/>
      <c r="AH1224" s="577"/>
      <c r="AI1224" s="327"/>
      <c r="AJ1224" s="596"/>
      <c r="AK1224" s="327"/>
      <c r="AL1224" s="598"/>
      <c r="AM1224" s="326"/>
      <c r="AN1224" s="326"/>
      <c r="AO1224" s="326"/>
      <c r="AP1224" s="326"/>
      <c r="AQ1224" s="326"/>
      <c r="AR1224" s="326"/>
      <c r="AS1224" s="326"/>
      <c r="AT1224" s="326"/>
      <c r="AU1224" s="326"/>
      <c r="AV1224" s="326"/>
      <c r="AW1224" s="326"/>
      <c r="AX1224" s="326"/>
      <c r="AY1224" s="326"/>
      <c r="AZ1224" s="326"/>
      <c r="BA1224" s="326"/>
      <c r="BB1224" s="327"/>
    </row>
    <row r="1225" spans="1:54" ht="15.75" customHeight="1" x14ac:dyDescent="0.25">
      <c r="A1225" s="11">
        <f t="shared" si="4"/>
        <v>1212</v>
      </c>
      <c r="B1225" s="504" t="str">
        <f>'refer admin discharge'!B1221</f>
        <v>x</v>
      </c>
      <c r="C1225" s="327"/>
      <c r="D1225" s="505" t="str">
        <f>'refer admin discharge'!D1221</f>
        <v>xx</v>
      </c>
      <c r="E1225" s="327"/>
      <c r="F1225" s="606" t="str">
        <f>'refer admin discharge'!H1221</f>
        <v>00/00/0000</v>
      </c>
      <c r="G1225" s="327"/>
      <c r="H1225" s="594"/>
      <c r="I1225" s="327"/>
      <c r="J1225" s="605"/>
      <c r="K1225" s="327"/>
      <c r="L1225" s="594"/>
      <c r="M1225" s="327"/>
      <c r="N1225" s="575"/>
      <c r="O1225" s="327"/>
      <c r="P1225" s="594"/>
      <c r="Q1225" s="327"/>
      <c r="R1225" s="575"/>
      <c r="S1225" s="327"/>
      <c r="T1225" s="594"/>
      <c r="U1225" s="327"/>
      <c r="V1225" s="595" t="str">
        <f>'refer admin discharge'!H1226</f>
        <v>00/00/0000</v>
      </c>
      <c r="W1225" s="327"/>
      <c r="X1225" s="577"/>
      <c r="Y1225" s="327"/>
      <c r="Z1225" s="604"/>
      <c r="AA1225" s="327"/>
      <c r="AB1225" s="577"/>
      <c r="AC1225" s="327"/>
      <c r="AD1225" s="576"/>
      <c r="AE1225" s="327"/>
      <c r="AF1225" s="577"/>
      <c r="AG1225" s="327"/>
      <c r="AH1225" s="576"/>
      <c r="AI1225" s="327"/>
      <c r="AJ1225" s="577"/>
      <c r="AK1225" s="327"/>
      <c r="AL1225" s="602"/>
      <c r="AM1225" s="326"/>
      <c r="AN1225" s="326"/>
      <c r="AO1225" s="326"/>
      <c r="AP1225" s="326"/>
      <c r="AQ1225" s="326"/>
      <c r="AR1225" s="326"/>
      <c r="AS1225" s="326"/>
      <c r="AT1225" s="326"/>
      <c r="AU1225" s="326"/>
      <c r="AV1225" s="326"/>
      <c r="AW1225" s="326"/>
      <c r="AX1225" s="326"/>
      <c r="AY1225" s="326"/>
      <c r="AZ1225" s="326"/>
      <c r="BA1225" s="326"/>
      <c r="BB1225" s="327"/>
    </row>
    <row r="1226" spans="1:54" ht="15.75" customHeight="1" x14ac:dyDescent="0.25">
      <c r="A1226" s="11">
        <f t="shared" si="4"/>
        <v>1213</v>
      </c>
      <c r="B1226" s="570" t="str">
        <f>'refer admin discharge'!B1222</f>
        <v>x</v>
      </c>
      <c r="C1226" s="327"/>
      <c r="D1226" s="599" t="str">
        <f>'refer admin discharge'!D1222</f>
        <v>xx</v>
      </c>
      <c r="E1226" s="327"/>
      <c r="F1226" s="600" t="str">
        <f>'refer admin discharge'!H1222</f>
        <v>00/00/0000</v>
      </c>
      <c r="G1226" s="327"/>
      <c r="H1226" s="574"/>
      <c r="I1226" s="327"/>
      <c r="J1226" s="601"/>
      <c r="K1226" s="327"/>
      <c r="L1226" s="574"/>
      <c r="M1226" s="327"/>
      <c r="N1226" s="594"/>
      <c r="O1226" s="327"/>
      <c r="P1226" s="574"/>
      <c r="Q1226" s="327"/>
      <c r="R1226" s="594"/>
      <c r="S1226" s="327"/>
      <c r="T1226" s="574"/>
      <c r="U1226" s="327"/>
      <c r="V1226" s="595" t="str">
        <f>'refer admin discharge'!H1227</f>
        <v>00/00/0000</v>
      </c>
      <c r="W1226" s="327"/>
      <c r="X1226" s="596"/>
      <c r="Y1226" s="327"/>
      <c r="Z1226" s="597"/>
      <c r="AA1226" s="327"/>
      <c r="AB1226" s="596"/>
      <c r="AC1226" s="327"/>
      <c r="AD1226" s="577"/>
      <c r="AE1226" s="327"/>
      <c r="AF1226" s="596"/>
      <c r="AG1226" s="327"/>
      <c r="AH1226" s="577"/>
      <c r="AI1226" s="327"/>
      <c r="AJ1226" s="596"/>
      <c r="AK1226" s="327"/>
      <c r="AL1226" s="598"/>
      <c r="AM1226" s="326"/>
      <c r="AN1226" s="326"/>
      <c r="AO1226" s="326"/>
      <c r="AP1226" s="326"/>
      <c r="AQ1226" s="326"/>
      <c r="AR1226" s="326"/>
      <c r="AS1226" s="326"/>
      <c r="AT1226" s="326"/>
      <c r="AU1226" s="326"/>
      <c r="AV1226" s="326"/>
      <c r="AW1226" s="326"/>
      <c r="AX1226" s="326"/>
      <c r="AY1226" s="326"/>
      <c r="AZ1226" s="326"/>
      <c r="BA1226" s="326"/>
      <c r="BB1226" s="327"/>
    </row>
    <row r="1227" spans="1:54" ht="15.75" customHeight="1" x14ac:dyDescent="0.25">
      <c r="A1227" s="11">
        <f t="shared" si="4"/>
        <v>1214</v>
      </c>
      <c r="B1227" s="504" t="str">
        <f>'refer admin discharge'!B1223</f>
        <v>x</v>
      </c>
      <c r="C1227" s="327"/>
      <c r="D1227" s="505" t="str">
        <f>'refer admin discharge'!D1223</f>
        <v>xx</v>
      </c>
      <c r="E1227" s="327"/>
      <c r="F1227" s="606" t="str">
        <f>'refer admin discharge'!H1223</f>
        <v>00/00/0000</v>
      </c>
      <c r="G1227" s="327"/>
      <c r="H1227" s="594"/>
      <c r="I1227" s="327"/>
      <c r="J1227" s="605"/>
      <c r="K1227" s="327"/>
      <c r="L1227" s="594"/>
      <c r="M1227" s="327"/>
      <c r="N1227" s="575"/>
      <c r="O1227" s="327"/>
      <c r="P1227" s="594"/>
      <c r="Q1227" s="327"/>
      <c r="R1227" s="575"/>
      <c r="S1227" s="327"/>
      <c r="T1227" s="594"/>
      <c r="U1227" s="327"/>
      <c r="V1227" s="595" t="str">
        <f>'refer admin discharge'!H1228</f>
        <v>00/00/0000</v>
      </c>
      <c r="W1227" s="327"/>
      <c r="X1227" s="577"/>
      <c r="Y1227" s="327"/>
      <c r="Z1227" s="604"/>
      <c r="AA1227" s="327"/>
      <c r="AB1227" s="577"/>
      <c r="AC1227" s="327"/>
      <c r="AD1227" s="576"/>
      <c r="AE1227" s="327"/>
      <c r="AF1227" s="577"/>
      <c r="AG1227" s="327"/>
      <c r="AH1227" s="576"/>
      <c r="AI1227" s="327"/>
      <c r="AJ1227" s="577"/>
      <c r="AK1227" s="327"/>
      <c r="AL1227" s="602"/>
      <c r="AM1227" s="326"/>
      <c r="AN1227" s="326"/>
      <c r="AO1227" s="326"/>
      <c r="AP1227" s="326"/>
      <c r="AQ1227" s="326"/>
      <c r="AR1227" s="326"/>
      <c r="AS1227" s="326"/>
      <c r="AT1227" s="326"/>
      <c r="AU1227" s="326"/>
      <c r="AV1227" s="326"/>
      <c r="AW1227" s="326"/>
      <c r="AX1227" s="326"/>
      <c r="AY1227" s="326"/>
      <c r="AZ1227" s="326"/>
      <c r="BA1227" s="326"/>
      <c r="BB1227" s="327"/>
    </row>
    <row r="1228" spans="1:54" ht="15.75" customHeight="1" x14ac:dyDescent="0.25">
      <c r="A1228" s="11">
        <f t="shared" si="4"/>
        <v>1215</v>
      </c>
      <c r="B1228" s="570" t="str">
        <f>'refer admin discharge'!B1224</f>
        <v>x</v>
      </c>
      <c r="C1228" s="327"/>
      <c r="D1228" s="599" t="str">
        <f>'refer admin discharge'!D1224</f>
        <v>xx</v>
      </c>
      <c r="E1228" s="327"/>
      <c r="F1228" s="600" t="str">
        <f>'refer admin discharge'!H1224</f>
        <v>00/00/0000</v>
      </c>
      <c r="G1228" s="327"/>
      <c r="H1228" s="574"/>
      <c r="I1228" s="327"/>
      <c r="J1228" s="601"/>
      <c r="K1228" s="327"/>
      <c r="L1228" s="574"/>
      <c r="M1228" s="327"/>
      <c r="N1228" s="594"/>
      <c r="O1228" s="327"/>
      <c r="P1228" s="574"/>
      <c r="Q1228" s="327"/>
      <c r="R1228" s="594"/>
      <c r="S1228" s="327"/>
      <c r="T1228" s="574"/>
      <c r="U1228" s="327"/>
      <c r="V1228" s="595" t="str">
        <f>'refer admin discharge'!H1229</f>
        <v>00/00/0000</v>
      </c>
      <c r="W1228" s="327"/>
      <c r="X1228" s="596"/>
      <c r="Y1228" s="327"/>
      <c r="Z1228" s="597"/>
      <c r="AA1228" s="327"/>
      <c r="AB1228" s="596"/>
      <c r="AC1228" s="327"/>
      <c r="AD1228" s="577"/>
      <c r="AE1228" s="327"/>
      <c r="AF1228" s="596"/>
      <c r="AG1228" s="327"/>
      <c r="AH1228" s="577"/>
      <c r="AI1228" s="327"/>
      <c r="AJ1228" s="596"/>
      <c r="AK1228" s="327"/>
      <c r="AL1228" s="598"/>
      <c r="AM1228" s="326"/>
      <c r="AN1228" s="326"/>
      <c r="AO1228" s="326"/>
      <c r="AP1228" s="326"/>
      <c r="AQ1228" s="326"/>
      <c r="AR1228" s="326"/>
      <c r="AS1228" s="326"/>
      <c r="AT1228" s="326"/>
      <c r="AU1228" s="326"/>
      <c r="AV1228" s="326"/>
      <c r="AW1228" s="326"/>
      <c r="AX1228" s="326"/>
      <c r="AY1228" s="326"/>
      <c r="AZ1228" s="326"/>
      <c r="BA1228" s="326"/>
      <c r="BB1228" s="327"/>
    </row>
    <row r="1229" spans="1:54" ht="15.75" customHeight="1" x14ac:dyDescent="0.25">
      <c r="A1229" s="11">
        <f t="shared" si="4"/>
        <v>1216</v>
      </c>
      <c r="B1229" s="504" t="str">
        <f>'refer admin discharge'!B1225</f>
        <v>x</v>
      </c>
      <c r="C1229" s="327"/>
      <c r="D1229" s="505" t="str">
        <f>'refer admin discharge'!D1225</f>
        <v>xx</v>
      </c>
      <c r="E1229" s="327"/>
      <c r="F1229" s="606" t="str">
        <f>'refer admin discharge'!H1225</f>
        <v>00/00/0000</v>
      </c>
      <c r="G1229" s="327"/>
      <c r="H1229" s="594"/>
      <c r="I1229" s="327"/>
      <c r="J1229" s="605"/>
      <c r="K1229" s="327"/>
      <c r="L1229" s="594"/>
      <c r="M1229" s="327"/>
      <c r="N1229" s="575"/>
      <c r="O1229" s="327"/>
      <c r="P1229" s="594"/>
      <c r="Q1229" s="327"/>
      <c r="R1229" s="575"/>
      <c r="S1229" s="327"/>
      <c r="T1229" s="594"/>
      <c r="U1229" s="327"/>
      <c r="V1229" s="595" t="str">
        <f>'refer admin discharge'!H1230</f>
        <v>00/00/0000</v>
      </c>
      <c r="W1229" s="327"/>
      <c r="X1229" s="577"/>
      <c r="Y1229" s="327"/>
      <c r="Z1229" s="604"/>
      <c r="AA1229" s="327"/>
      <c r="AB1229" s="577"/>
      <c r="AC1229" s="327"/>
      <c r="AD1229" s="576"/>
      <c r="AE1229" s="327"/>
      <c r="AF1229" s="577"/>
      <c r="AG1229" s="327"/>
      <c r="AH1229" s="576"/>
      <c r="AI1229" s="327"/>
      <c r="AJ1229" s="577"/>
      <c r="AK1229" s="327"/>
      <c r="AL1229" s="602"/>
      <c r="AM1229" s="326"/>
      <c r="AN1229" s="326"/>
      <c r="AO1229" s="326"/>
      <c r="AP1229" s="326"/>
      <c r="AQ1229" s="326"/>
      <c r="AR1229" s="326"/>
      <c r="AS1229" s="326"/>
      <c r="AT1229" s="326"/>
      <c r="AU1229" s="326"/>
      <c r="AV1229" s="326"/>
      <c r="AW1229" s="326"/>
      <c r="AX1229" s="326"/>
      <c r="AY1229" s="326"/>
      <c r="AZ1229" s="326"/>
      <c r="BA1229" s="326"/>
      <c r="BB1229" s="327"/>
    </row>
    <row r="1230" spans="1:54" ht="15.75" customHeight="1" x14ac:dyDescent="0.25">
      <c r="A1230" s="11">
        <f t="shared" si="4"/>
        <v>1217</v>
      </c>
      <c r="B1230" s="570" t="str">
        <f>'refer admin discharge'!B1226</f>
        <v>x</v>
      </c>
      <c r="C1230" s="327"/>
      <c r="D1230" s="599" t="str">
        <f>'refer admin discharge'!D1226</f>
        <v>xx</v>
      </c>
      <c r="E1230" s="327"/>
      <c r="F1230" s="600" t="str">
        <f>'refer admin discharge'!H1226</f>
        <v>00/00/0000</v>
      </c>
      <c r="G1230" s="327"/>
      <c r="H1230" s="574"/>
      <c r="I1230" s="327"/>
      <c r="J1230" s="601"/>
      <c r="K1230" s="327"/>
      <c r="L1230" s="574"/>
      <c r="M1230" s="327"/>
      <c r="N1230" s="594"/>
      <c r="O1230" s="327"/>
      <c r="P1230" s="574"/>
      <c r="Q1230" s="327"/>
      <c r="R1230" s="594"/>
      <c r="S1230" s="327"/>
      <c r="T1230" s="574"/>
      <c r="U1230" s="327"/>
      <c r="V1230" s="595" t="str">
        <f>'refer admin discharge'!H1231</f>
        <v>00/00/0000</v>
      </c>
      <c r="W1230" s="327"/>
      <c r="X1230" s="596"/>
      <c r="Y1230" s="327"/>
      <c r="Z1230" s="597"/>
      <c r="AA1230" s="327"/>
      <c r="AB1230" s="596"/>
      <c r="AC1230" s="327"/>
      <c r="AD1230" s="577"/>
      <c r="AE1230" s="327"/>
      <c r="AF1230" s="596"/>
      <c r="AG1230" s="327"/>
      <c r="AH1230" s="577"/>
      <c r="AI1230" s="327"/>
      <c r="AJ1230" s="596"/>
      <c r="AK1230" s="327"/>
      <c r="AL1230" s="598"/>
      <c r="AM1230" s="326"/>
      <c r="AN1230" s="326"/>
      <c r="AO1230" s="326"/>
      <c r="AP1230" s="326"/>
      <c r="AQ1230" s="326"/>
      <c r="AR1230" s="326"/>
      <c r="AS1230" s="326"/>
      <c r="AT1230" s="326"/>
      <c r="AU1230" s="326"/>
      <c r="AV1230" s="326"/>
      <c r="AW1230" s="326"/>
      <c r="AX1230" s="326"/>
      <c r="AY1230" s="326"/>
      <c r="AZ1230" s="326"/>
      <c r="BA1230" s="326"/>
      <c r="BB1230" s="327"/>
    </row>
    <row r="1231" spans="1:54" ht="15.75" customHeight="1" x14ac:dyDescent="0.25">
      <c r="A1231" s="11">
        <f t="shared" si="4"/>
        <v>1218</v>
      </c>
      <c r="B1231" s="504" t="str">
        <f>'refer admin discharge'!B1227</f>
        <v>x</v>
      </c>
      <c r="C1231" s="327"/>
      <c r="D1231" s="505" t="str">
        <f>'refer admin discharge'!D1227</f>
        <v>xx</v>
      </c>
      <c r="E1231" s="327"/>
      <c r="F1231" s="606" t="str">
        <f>'refer admin discharge'!H1227</f>
        <v>00/00/0000</v>
      </c>
      <c r="G1231" s="327"/>
      <c r="H1231" s="594"/>
      <c r="I1231" s="327"/>
      <c r="J1231" s="605"/>
      <c r="K1231" s="327"/>
      <c r="L1231" s="594"/>
      <c r="M1231" s="327"/>
      <c r="N1231" s="575"/>
      <c r="O1231" s="327"/>
      <c r="P1231" s="594"/>
      <c r="Q1231" s="327"/>
      <c r="R1231" s="575"/>
      <c r="S1231" s="327"/>
      <c r="T1231" s="594"/>
      <c r="U1231" s="327"/>
      <c r="V1231" s="595" t="str">
        <f>'refer admin discharge'!H1232</f>
        <v>00/00/0000</v>
      </c>
      <c r="W1231" s="327"/>
      <c r="X1231" s="577"/>
      <c r="Y1231" s="327"/>
      <c r="Z1231" s="604"/>
      <c r="AA1231" s="327"/>
      <c r="AB1231" s="577"/>
      <c r="AC1231" s="327"/>
      <c r="AD1231" s="576"/>
      <c r="AE1231" s="327"/>
      <c r="AF1231" s="577"/>
      <c r="AG1231" s="327"/>
      <c r="AH1231" s="576"/>
      <c r="AI1231" s="327"/>
      <c r="AJ1231" s="577"/>
      <c r="AK1231" s="327"/>
      <c r="AL1231" s="602"/>
      <c r="AM1231" s="326"/>
      <c r="AN1231" s="326"/>
      <c r="AO1231" s="326"/>
      <c r="AP1231" s="326"/>
      <c r="AQ1231" s="326"/>
      <c r="AR1231" s="326"/>
      <c r="AS1231" s="326"/>
      <c r="AT1231" s="326"/>
      <c r="AU1231" s="326"/>
      <c r="AV1231" s="326"/>
      <c r="AW1231" s="326"/>
      <c r="AX1231" s="326"/>
      <c r="AY1231" s="326"/>
      <c r="AZ1231" s="326"/>
      <c r="BA1231" s="326"/>
      <c r="BB1231" s="327"/>
    </row>
    <row r="1232" spans="1:54" ht="15.75" customHeight="1" x14ac:dyDescent="0.25">
      <c r="A1232" s="11">
        <f t="shared" si="4"/>
        <v>1219</v>
      </c>
      <c r="B1232" s="570" t="str">
        <f>'refer admin discharge'!B1228</f>
        <v>x</v>
      </c>
      <c r="C1232" s="327"/>
      <c r="D1232" s="599" t="str">
        <f>'refer admin discharge'!D1228</f>
        <v>xx</v>
      </c>
      <c r="E1232" s="327"/>
      <c r="F1232" s="600" t="str">
        <f>'refer admin discharge'!H1228</f>
        <v>00/00/0000</v>
      </c>
      <c r="G1232" s="327"/>
      <c r="H1232" s="574"/>
      <c r="I1232" s="327"/>
      <c r="J1232" s="601"/>
      <c r="K1232" s="327"/>
      <c r="L1232" s="574"/>
      <c r="M1232" s="327"/>
      <c r="N1232" s="594"/>
      <c r="O1232" s="327"/>
      <c r="P1232" s="574"/>
      <c r="Q1232" s="327"/>
      <c r="R1232" s="594"/>
      <c r="S1232" s="327"/>
      <c r="T1232" s="574"/>
      <c r="U1232" s="327"/>
      <c r="V1232" s="595" t="str">
        <f>'refer admin discharge'!H1233</f>
        <v>00/00/0000</v>
      </c>
      <c r="W1232" s="327"/>
      <c r="X1232" s="596"/>
      <c r="Y1232" s="327"/>
      <c r="Z1232" s="597"/>
      <c r="AA1232" s="327"/>
      <c r="AB1232" s="596"/>
      <c r="AC1232" s="327"/>
      <c r="AD1232" s="577"/>
      <c r="AE1232" s="327"/>
      <c r="AF1232" s="596"/>
      <c r="AG1232" s="327"/>
      <c r="AH1232" s="577"/>
      <c r="AI1232" s="327"/>
      <c r="AJ1232" s="596"/>
      <c r="AK1232" s="327"/>
      <c r="AL1232" s="598"/>
      <c r="AM1232" s="326"/>
      <c r="AN1232" s="326"/>
      <c r="AO1232" s="326"/>
      <c r="AP1232" s="326"/>
      <c r="AQ1232" s="326"/>
      <c r="AR1232" s="326"/>
      <c r="AS1232" s="326"/>
      <c r="AT1232" s="326"/>
      <c r="AU1232" s="326"/>
      <c r="AV1232" s="326"/>
      <c r="AW1232" s="326"/>
      <c r="AX1232" s="326"/>
      <c r="AY1232" s="326"/>
      <c r="AZ1232" s="326"/>
      <c r="BA1232" s="326"/>
      <c r="BB1232" s="327"/>
    </row>
    <row r="1233" spans="1:54" ht="15.75" customHeight="1" x14ac:dyDescent="0.25">
      <c r="A1233" s="11">
        <f t="shared" si="4"/>
        <v>1220</v>
      </c>
      <c r="B1233" s="504" t="str">
        <f>'refer admin discharge'!B1229</f>
        <v>x</v>
      </c>
      <c r="C1233" s="327"/>
      <c r="D1233" s="505" t="str">
        <f>'refer admin discharge'!D1229</f>
        <v>xx</v>
      </c>
      <c r="E1233" s="327"/>
      <c r="F1233" s="606" t="str">
        <f>'refer admin discharge'!H1229</f>
        <v>00/00/0000</v>
      </c>
      <c r="G1233" s="327"/>
      <c r="H1233" s="594"/>
      <c r="I1233" s="327"/>
      <c r="J1233" s="605"/>
      <c r="K1233" s="327"/>
      <c r="L1233" s="594"/>
      <c r="M1233" s="327"/>
      <c r="N1233" s="575"/>
      <c r="O1233" s="327"/>
      <c r="P1233" s="594"/>
      <c r="Q1233" s="327"/>
      <c r="R1233" s="575"/>
      <c r="S1233" s="327"/>
      <c r="T1233" s="594"/>
      <c r="U1233" s="327"/>
      <c r="V1233" s="595" t="str">
        <f>'refer admin discharge'!H1234</f>
        <v>00/00/0000</v>
      </c>
      <c r="W1233" s="327"/>
      <c r="X1233" s="577"/>
      <c r="Y1233" s="327"/>
      <c r="Z1233" s="604"/>
      <c r="AA1233" s="327"/>
      <c r="AB1233" s="577"/>
      <c r="AC1233" s="327"/>
      <c r="AD1233" s="576"/>
      <c r="AE1233" s="327"/>
      <c r="AF1233" s="577"/>
      <c r="AG1233" s="327"/>
      <c r="AH1233" s="576"/>
      <c r="AI1233" s="327"/>
      <c r="AJ1233" s="577"/>
      <c r="AK1233" s="327"/>
      <c r="AL1233" s="602"/>
      <c r="AM1233" s="326"/>
      <c r="AN1233" s="326"/>
      <c r="AO1233" s="326"/>
      <c r="AP1233" s="326"/>
      <c r="AQ1233" s="326"/>
      <c r="AR1233" s="326"/>
      <c r="AS1233" s="326"/>
      <c r="AT1233" s="326"/>
      <c r="AU1233" s="326"/>
      <c r="AV1233" s="326"/>
      <c r="AW1233" s="326"/>
      <c r="AX1233" s="326"/>
      <c r="AY1233" s="326"/>
      <c r="AZ1233" s="326"/>
      <c r="BA1233" s="326"/>
      <c r="BB1233" s="327"/>
    </row>
    <row r="1234" spans="1:54" ht="15.75" customHeight="1" x14ac:dyDescent="0.25">
      <c r="A1234" s="11">
        <f t="shared" si="4"/>
        <v>1221</v>
      </c>
      <c r="B1234" s="570" t="str">
        <f>'refer admin discharge'!B1230</f>
        <v>x</v>
      </c>
      <c r="C1234" s="327"/>
      <c r="D1234" s="599" t="str">
        <f>'refer admin discharge'!D1230</f>
        <v>xx</v>
      </c>
      <c r="E1234" s="327"/>
      <c r="F1234" s="600" t="str">
        <f>'refer admin discharge'!H1230</f>
        <v>00/00/0000</v>
      </c>
      <c r="G1234" s="327"/>
      <c r="H1234" s="574"/>
      <c r="I1234" s="327"/>
      <c r="J1234" s="601"/>
      <c r="K1234" s="327"/>
      <c r="L1234" s="574"/>
      <c r="M1234" s="327"/>
      <c r="N1234" s="594"/>
      <c r="O1234" s="327"/>
      <c r="P1234" s="574"/>
      <c r="Q1234" s="327"/>
      <c r="R1234" s="594"/>
      <c r="S1234" s="327"/>
      <c r="T1234" s="574"/>
      <c r="U1234" s="327"/>
      <c r="V1234" s="595" t="str">
        <f>'refer admin discharge'!H1235</f>
        <v>00/00/0000</v>
      </c>
      <c r="W1234" s="327"/>
      <c r="X1234" s="596"/>
      <c r="Y1234" s="327"/>
      <c r="Z1234" s="597"/>
      <c r="AA1234" s="327"/>
      <c r="AB1234" s="596"/>
      <c r="AC1234" s="327"/>
      <c r="AD1234" s="577"/>
      <c r="AE1234" s="327"/>
      <c r="AF1234" s="596"/>
      <c r="AG1234" s="327"/>
      <c r="AH1234" s="577"/>
      <c r="AI1234" s="327"/>
      <c r="AJ1234" s="596"/>
      <c r="AK1234" s="327"/>
      <c r="AL1234" s="598"/>
      <c r="AM1234" s="326"/>
      <c r="AN1234" s="326"/>
      <c r="AO1234" s="326"/>
      <c r="AP1234" s="326"/>
      <c r="AQ1234" s="326"/>
      <c r="AR1234" s="326"/>
      <c r="AS1234" s="326"/>
      <c r="AT1234" s="326"/>
      <c r="AU1234" s="326"/>
      <c r="AV1234" s="326"/>
      <c r="AW1234" s="326"/>
      <c r="AX1234" s="326"/>
      <c r="AY1234" s="326"/>
      <c r="AZ1234" s="326"/>
      <c r="BA1234" s="326"/>
      <c r="BB1234" s="327"/>
    </row>
    <row r="1235" spans="1:54" ht="15.75" customHeight="1" x14ac:dyDescent="0.25">
      <c r="A1235" s="11">
        <f t="shared" si="4"/>
        <v>1222</v>
      </c>
      <c r="B1235" s="504" t="str">
        <f>'refer admin discharge'!B1231</f>
        <v>x</v>
      </c>
      <c r="C1235" s="327"/>
      <c r="D1235" s="505" t="str">
        <f>'refer admin discharge'!D1231</f>
        <v>xx</v>
      </c>
      <c r="E1235" s="327"/>
      <c r="F1235" s="606" t="str">
        <f>'refer admin discharge'!H1231</f>
        <v>00/00/0000</v>
      </c>
      <c r="G1235" s="327"/>
      <c r="H1235" s="594"/>
      <c r="I1235" s="327"/>
      <c r="J1235" s="605"/>
      <c r="K1235" s="327"/>
      <c r="L1235" s="594"/>
      <c r="M1235" s="327"/>
      <c r="N1235" s="575"/>
      <c r="O1235" s="327"/>
      <c r="P1235" s="594"/>
      <c r="Q1235" s="327"/>
      <c r="R1235" s="575"/>
      <c r="S1235" s="327"/>
      <c r="T1235" s="594"/>
      <c r="U1235" s="327"/>
      <c r="V1235" s="595" t="str">
        <f>'refer admin discharge'!H1236</f>
        <v>00/00/0000</v>
      </c>
      <c r="W1235" s="327"/>
      <c r="X1235" s="577"/>
      <c r="Y1235" s="327"/>
      <c r="Z1235" s="604"/>
      <c r="AA1235" s="327"/>
      <c r="AB1235" s="577"/>
      <c r="AC1235" s="327"/>
      <c r="AD1235" s="576"/>
      <c r="AE1235" s="327"/>
      <c r="AF1235" s="577"/>
      <c r="AG1235" s="327"/>
      <c r="AH1235" s="576"/>
      <c r="AI1235" s="327"/>
      <c r="AJ1235" s="577"/>
      <c r="AK1235" s="327"/>
      <c r="AL1235" s="602"/>
      <c r="AM1235" s="326"/>
      <c r="AN1235" s="326"/>
      <c r="AO1235" s="326"/>
      <c r="AP1235" s="326"/>
      <c r="AQ1235" s="326"/>
      <c r="AR1235" s="326"/>
      <c r="AS1235" s="326"/>
      <c r="AT1235" s="326"/>
      <c r="AU1235" s="326"/>
      <c r="AV1235" s="326"/>
      <c r="AW1235" s="326"/>
      <c r="AX1235" s="326"/>
      <c r="AY1235" s="326"/>
      <c r="AZ1235" s="326"/>
      <c r="BA1235" s="326"/>
      <c r="BB1235" s="327"/>
    </row>
    <row r="1236" spans="1:54" ht="15.75" customHeight="1" x14ac:dyDescent="0.25">
      <c r="A1236" s="11">
        <f t="shared" si="4"/>
        <v>1223</v>
      </c>
      <c r="B1236" s="570" t="str">
        <f>'refer admin discharge'!B1232</f>
        <v>x</v>
      </c>
      <c r="C1236" s="327"/>
      <c r="D1236" s="599" t="str">
        <f>'refer admin discharge'!D1232</f>
        <v>xx</v>
      </c>
      <c r="E1236" s="327"/>
      <c r="F1236" s="600" t="str">
        <f>'refer admin discharge'!H1232</f>
        <v>00/00/0000</v>
      </c>
      <c r="G1236" s="327"/>
      <c r="H1236" s="574"/>
      <c r="I1236" s="327"/>
      <c r="J1236" s="601"/>
      <c r="K1236" s="327"/>
      <c r="L1236" s="574"/>
      <c r="M1236" s="327"/>
      <c r="N1236" s="594"/>
      <c r="O1236" s="327"/>
      <c r="P1236" s="574"/>
      <c r="Q1236" s="327"/>
      <c r="R1236" s="594"/>
      <c r="S1236" s="327"/>
      <c r="T1236" s="574"/>
      <c r="U1236" s="327"/>
      <c r="V1236" s="595" t="str">
        <f>'refer admin discharge'!H1237</f>
        <v>00/00/0000</v>
      </c>
      <c r="W1236" s="327"/>
      <c r="X1236" s="596"/>
      <c r="Y1236" s="327"/>
      <c r="Z1236" s="597"/>
      <c r="AA1236" s="327"/>
      <c r="AB1236" s="596"/>
      <c r="AC1236" s="327"/>
      <c r="AD1236" s="577"/>
      <c r="AE1236" s="327"/>
      <c r="AF1236" s="596"/>
      <c r="AG1236" s="327"/>
      <c r="AH1236" s="577"/>
      <c r="AI1236" s="327"/>
      <c r="AJ1236" s="596"/>
      <c r="AK1236" s="327"/>
      <c r="AL1236" s="598"/>
      <c r="AM1236" s="326"/>
      <c r="AN1236" s="326"/>
      <c r="AO1236" s="326"/>
      <c r="AP1236" s="326"/>
      <c r="AQ1236" s="326"/>
      <c r="AR1236" s="326"/>
      <c r="AS1236" s="326"/>
      <c r="AT1236" s="326"/>
      <c r="AU1236" s="326"/>
      <c r="AV1236" s="326"/>
      <c r="AW1236" s="326"/>
      <c r="AX1236" s="326"/>
      <c r="AY1236" s="326"/>
      <c r="AZ1236" s="326"/>
      <c r="BA1236" s="326"/>
      <c r="BB1236" s="327"/>
    </row>
    <row r="1237" spans="1:54" ht="15.75" customHeight="1" x14ac:dyDescent="0.25">
      <c r="A1237" s="11">
        <f t="shared" si="4"/>
        <v>1224</v>
      </c>
      <c r="B1237" s="504" t="str">
        <f>'refer admin discharge'!B1233</f>
        <v>x</v>
      </c>
      <c r="C1237" s="327"/>
      <c r="D1237" s="505" t="str">
        <f>'refer admin discharge'!D1233</f>
        <v>xx</v>
      </c>
      <c r="E1237" s="327"/>
      <c r="F1237" s="606" t="str">
        <f>'refer admin discharge'!H1233</f>
        <v>00/00/0000</v>
      </c>
      <c r="G1237" s="327"/>
      <c r="H1237" s="594"/>
      <c r="I1237" s="327"/>
      <c r="J1237" s="605"/>
      <c r="K1237" s="327"/>
      <c r="L1237" s="594"/>
      <c r="M1237" s="327"/>
      <c r="N1237" s="575"/>
      <c r="O1237" s="327"/>
      <c r="P1237" s="594"/>
      <c r="Q1237" s="327"/>
      <c r="R1237" s="575"/>
      <c r="S1237" s="327"/>
      <c r="T1237" s="594"/>
      <c r="U1237" s="327"/>
      <c r="V1237" s="595" t="str">
        <f>'refer admin discharge'!H1238</f>
        <v>00/00/0000</v>
      </c>
      <c r="W1237" s="327"/>
      <c r="X1237" s="577"/>
      <c r="Y1237" s="327"/>
      <c r="Z1237" s="604"/>
      <c r="AA1237" s="327"/>
      <c r="AB1237" s="577"/>
      <c r="AC1237" s="327"/>
      <c r="AD1237" s="576"/>
      <c r="AE1237" s="327"/>
      <c r="AF1237" s="577"/>
      <c r="AG1237" s="327"/>
      <c r="AH1237" s="576"/>
      <c r="AI1237" s="327"/>
      <c r="AJ1237" s="577"/>
      <c r="AK1237" s="327"/>
      <c r="AL1237" s="602"/>
      <c r="AM1237" s="326"/>
      <c r="AN1237" s="326"/>
      <c r="AO1237" s="326"/>
      <c r="AP1237" s="326"/>
      <c r="AQ1237" s="326"/>
      <c r="AR1237" s="326"/>
      <c r="AS1237" s="326"/>
      <c r="AT1237" s="326"/>
      <c r="AU1237" s="326"/>
      <c r="AV1237" s="326"/>
      <c r="AW1237" s="326"/>
      <c r="AX1237" s="326"/>
      <c r="AY1237" s="326"/>
      <c r="AZ1237" s="326"/>
      <c r="BA1237" s="326"/>
      <c r="BB1237" s="327"/>
    </row>
    <row r="1238" spans="1:54" ht="15.75" customHeight="1" x14ac:dyDescent="0.25">
      <c r="A1238" s="11">
        <f t="shared" si="4"/>
        <v>1225</v>
      </c>
      <c r="B1238" s="570" t="str">
        <f>'refer admin discharge'!B1234</f>
        <v>x</v>
      </c>
      <c r="C1238" s="327"/>
      <c r="D1238" s="599" t="str">
        <f>'refer admin discharge'!D1234</f>
        <v>xx</v>
      </c>
      <c r="E1238" s="327"/>
      <c r="F1238" s="600" t="str">
        <f>'refer admin discharge'!H1234</f>
        <v>00/00/0000</v>
      </c>
      <c r="G1238" s="327"/>
      <c r="H1238" s="574"/>
      <c r="I1238" s="327"/>
      <c r="J1238" s="601"/>
      <c r="K1238" s="327"/>
      <c r="L1238" s="574"/>
      <c r="M1238" s="327"/>
      <c r="N1238" s="594"/>
      <c r="O1238" s="327"/>
      <c r="P1238" s="574"/>
      <c r="Q1238" s="327"/>
      <c r="R1238" s="594"/>
      <c r="S1238" s="327"/>
      <c r="T1238" s="574"/>
      <c r="U1238" s="327"/>
      <c r="V1238" s="595" t="str">
        <f>'refer admin discharge'!H1239</f>
        <v>00/00/0000</v>
      </c>
      <c r="W1238" s="327"/>
      <c r="X1238" s="596"/>
      <c r="Y1238" s="327"/>
      <c r="Z1238" s="597"/>
      <c r="AA1238" s="327"/>
      <c r="AB1238" s="596"/>
      <c r="AC1238" s="327"/>
      <c r="AD1238" s="577"/>
      <c r="AE1238" s="327"/>
      <c r="AF1238" s="596"/>
      <c r="AG1238" s="327"/>
      <c r="AH1238" s="577"/>
      <c r="AI1238" s="327"/>
      <c r="AJ1238" s="596"/>
      <c r="AK1238" s="327"/>
      <c r="AL1238" s="598"/>
      <c r="AM1238" s="326"/>
      <c r="AN1238" s="326"/>
      <c r="AO1238" s="326"/>
      <c r="AP1238" s="326"/>
      <c r="AQ1238" s="326"/>
      <c r="AR1238" s="326"/>
      <c r="AS1238" s="326"/>
      <c r="AT1238" s="326"/>
      <c r="AU1238" s="326"/>
      <c r="AV1238" s="326"/>
      <c r="AW1238" s="326"/>
      <c r="AX1238" s="326"/>
      <c r="AY1238" s="326"/>
      <c r="AZ1238" s="326"/>
      <c r="BA1238" s="326"/>
      <c r="BB1238" s="327"/>
    </row>
    <row r="1239" spans="1:54" ht="15.75" customHeight="1" x14ac:dyDescent="0.25">
      <c r="A1239" s="11">
        <f t="shared" si="4"/>
        <v>1226</v>
      </c>
      <c r="B1239" s="504" t="str">
        <f>'refer admin discharge'!B1235</f>
        <v>x</v>
      </c>
      <c r="C1239" s="327"/>
      <c r="D1239" s="505" t="str">
        <f>'refer admin discharge'!D1235</f>
        <v>xx</v>
      </c>
      <c r="E1239" s="327"/>
      <c r="F1239" s="606" t="str">
        <f>'refer admin discharge'!H1235</f>
        <v>00/00/0000</v>
      </c>
      <c r="G1239" s="327"/>
      <c r="H1239" s="594"/>
      <c r="I1239" s="327"/>
      <c r="J1239" s="605"/>
      <c r="K1239" s="327"/>
      <c r="L1239" s="594"/>
      <c r="M1239" s="327"/>
      <c r="N1239" s="575"/>
      <c r="O1239" s="327"/>
      <c r="P1239" s="594"/>
      <c r="Q1239" s="327"/>
      <c r="R1239" s="575"/>
      <c r="S1239" s="327"/>
      <c r="T1239" s="594"/>
      <c r="U1239" s="327"/>
      <c r="V1239" s="595" t="str">
        <f>'refer admin discharge'!H1240</f>
        <v>00/00/0000</v>
      </c>
      <c r="W1239" s="327"/>
      <c r="X1239" s="577"/>
      <c r="Y1239" s="327"/>
      <c r="Z1239" s="604"/>
      <c r="AA1239" s="327"/>
      <c r="AB1239" s="577"/>
      <c r="AC1239" s="327"/>
      <c r="AD1239" s="576"/>
      <c r="AE1239" s="327"/>
      <c r="AF1239" s="577"/>
      <c r="AG1239" s="327"/>
      <c r="AH1239" s="576"/>
      <c r="AI1239" s="327"/>
      <c r="AJ1239" s="577"/>
      <c r="AK1239" s="327"/>
      <c r="AL1239" s="602"/>
      <c r="AM1239" s="326"/>
      <c r="AN1239" s="326"/>
      <c r="AO1239" s="326"/>
      <c r="AP1239" s="326"/>
      <c r="AQ1239" s="326"/>
      <c r="AR1239" s="326"/>
      <c r="AS1239" s="326"/>
      <c r="AT1239" s="326"/>
      <c r="AU1239" s="326"/>
      <c r="AV1239" s="326"/>
      <c r="AW1239" s="326"/>
      <c r="AX1239" s="326"/>
      <c r="AY1239" s="326"/>
      <c r="AZ1239" s="326"/>
      <c r="BA1239" s="326"/>
      <c r="BB1239" s="327"/>
    </row>
    <row r="1240" spans="1:54" ht="15.75" customHeight="1" x14ac:dyDescent="0.25">
      <c r="A1240" s="11">
        <f t="shared" si="4"/>
        <v>1227</v>
      </c>
      <c r="B1240" s="570" t="str">
        <f>'refer admin discharge'!B1236</f>
        <v>x</v>
      </c>
      <c r="C1240" s="327"/>
      <c r="D1240" s="599" t="str">
        <f>'refer admin discharge'!D1236</f>
        <v>xx</v>
      </c>
      <c r="E1240" s="327"/>
      <c r="F1240" s="600" t="str">
        <f>'refer admin discharge'!H1236</f>
        <v>00/00/0000</v>
      </c>
      <c r="G1240" s="327"/>
      <c r="H1240" s="574"/>
      <c r="I1240" s="327"/>
      <c r="J1240" s="601"/>
      <c r="K1240" s="327"/>
      <c r="L1240" s="574"/>
      <c r="M1240" s="327"/>
      <c r="N1240" s="594"/>
      <c r="O1240" s="327"/>
      <c r="P1240" s="574"/>
      <c r="Q1240" s="327"/>
      <c r="R1240" s="594"/>
      <c r="S1240" s="327"/>
      <c r="T1240" s="574"/>
      <c r="U1240" s="327"/>
      <c r="V1240" s="595" t="str">
        <f>'refer admin discharge'!H1241</f>
        <v>00/00/0000</v>
      </c>
      <c r="W1240" s="327"/>
      <c r="X1240" s="596"/>
      <c r="Y1240" s="327"/>
      <c r="Z1240" s="597"/>
      <c r="AA1240" s="327"/>
      <c r="AB1240" s="596"/>
      <c r="AC1240" s="327"/>
      <c r="AD1240" s="577"/>
      <c r="AE1240" s="327"/>
      <c r="AF1240" s="596"/>
      <c r="AG1240" s="327"/>
      <c r="AH1240" s="577"/>
      <c r="AI1240" s="327"/>
      <c r="AJ1240" s="596"/>
      <c r="AK1240" s="327"/>
      <c r="AL1240" s="598"/>
      <c r="AM1240" s="326"/>
      <c r="AN1240" s="326"/>
      <c r="AO1240" s="326"/>
      <c r="AP1240" s="326"/>
      <c r="AQ1240" s="326"/>
      <c r="AR1240" s="326"/>
      <c r="AS1240" s="326"/>
      <c r="AT1240" s="326"/>
      <c r="AU1240" s="326"/>
      <c r="AV1240" s="326"/>
      <c r="AW1240" s="326"/>
      <c r="AX1240" s="326"/>
      <c r="AY1240" s="326"/>
      <c r="AZ1240" s="326"/>
      <c r="BA1240" s="326"/>
      <c r="BB1240" s="327"/>
    </row>
    <row r="1241" spans="1:54" ht="15.75" customHeight="1" x14ac:dyDescent="0.25">
      <c r="A1241" s="11">
        <f t="shared" si="4"/>
        <v>1228</v>
      </c>
      <c r="B1241" s="504" t="str">
        <f>'refer admin discharge'!B1237</f>
        <v>x</v>
      </c>
      <c r="C1241" s="327"/>
      <c r="D1241" s="505" t="str">
        <f>'refer admin discharge'!D1237</f>
        <v>xx</v>
      </c>
      <c r="E1241" s="327"/>
      <c r="F1241" s="606" t="str">
        <f>'refer admin discharge'!H1237</f>
        <v>00/00/0000</v>
      </c>
      <c r="G1241" s="327"/>
      <c r="H1241" s="594"/>
      <c r="I1241" s="327"/>
      <c r="J1241" s="605"/>
      <c r="K1241" s="327"/>
      <c r="L1241" s="594"/>
      <c r="M1241" s="327"/>
      <c r="N1241" s="575"/>
      <c r="O1241" s="327"/>
      <c r="P1241" s="594"/>
      <c r="Q1241" s="327"/>
      <c r="R1241" s="575"/>
      <c r="S1241" s="327"/>
      <c r="T1241" s="594"/>
      <c r="U1241" s="327"/>
      <c r="V1241" s="595" t="str">
        <f>'refer admin discharge'!H1242</f>
        <v>00/00/0000</v>
      </c>
      <c r="W1241" s="327"/>
      <c r="X1241" s="577"/>
      <c r="Y1241" s="327"/>
      <c r="Z1241" s="604"/>
      <c r="AA1241" s="327"/>
      <c r="AB1241" s="577"/>
      <c r="AC1241" s="327"/>
      <c r="AD1241" s="576"/>
      <c r="AE1241" s="327"/>
      <c r="AF1241" s="577"/>
      <c r="AG1241" s="327"/>
      <c r="AH1241" s="576"/>
      <c r="AI1241" s="327"/>
      <c r="AJ1241" s="577"/>
      <c r="AK1241" s="327"/>
      <c r="AL1241" s="602"/>
      <c r="AM1241" s="326"/>
      <c r="AN1241" s="326"/>
      <c r="AO1241" s="326"/>
      <c r="AP1241" s="326"/>
      <c r="AQ1241" s="326"/>
      <c r="AR1241" s="326"/>
      <c r="AS1241" s="326"/>
      <c r="AT1241" s="326"/>
      <c r="AU1241" s="326"/>
      <c r="AV1241" s="326"/>
      <c r="AW1241" s="326"/>
      <c r="AX1241" s="326"/>
      <c r="AY1241" s="326"/>
      <c r="AZ1241" s="326"/>
      <c r="BA1241" s="326"/>
      <c r="BB1241" s="327"/>
    </row>
    <row r="1242" spans="1:54" ht="15.75" customHeight="1" x14ac:dyDescent="0.25">
      <c r="A1242" s="11">
        <f t="shared" si="4"/>
        <v>1229</v>
      </c>
      <c r="B1242" s="570" t="str">
        <f>'refer admin discharge'!B1238</f>
        <v>x</v>
      </c>
      <c r="C1242" s="327"/>
      <c r="D1242" s="599" t="str">
        <f>'refer admin discharge'!D1238</f>
        <v>xx</v>
      </c>
      <c r="E1242" s="327"/>
      <c r="F1242" s="600" t="str">
        <f>'refer admin discharge'!H1238</f>
        <v>00/00/0000</v>
      </c>
      <c r="G1242" s="327"/>
      <c r="H1242" s="574"/>
      <c r="I1242" s="327"/>
      <c r="J1242" s="601"/>
      <c r="K1242" s="327"/>
      <c r="L1242" s="574"/>
      <c r="M1242" s="327"/>
      <c r="N1242" s="594"/>
      <c r="O1242" s="327"/>
      <c r="P1242" s="574"/>
      <c r="Q1242" s="327"/>
      <c r="R1242" s="594"/>
      <c r="S1242" s="327"/>
      <c r="T1242" s="574"/>
      <c r="U1242" s="327"/>
      <c r="V1242" s="595" t="str">
        <f>'refer admin discharge'!H1243</f>
        <v>00/00/0000</v>
      </c>
      <c r="W1242" s="327"/>
      <c r="X1242" s="596"/>
      <c r="Y1242" s="327"/>
      <c r="Z1242" s="597"/>
      <c r="AA1242" s="327"/>
      <c r="AB1242" s="596"/>
      <c r="AC1242" s="327"/>
      <c r="AD1242" s="577"/>
      <c r="AE1242" s="327"/>
      <c r="AF1242" s="596"/>
      <c r="AG1242" s="327"/>
      <c r="AH1242" s="577"/>
      <c r="AI1242" s="327"/>
      <c r="AJ1242" s="596"/>
      <c r="AK1242" s="327"/>
      <c r="AL1242" s="598"/>
      <c r="AM1242" s="326"/>
      <c r="AN1242" s="326"/>
      <c r="AO1242" s="326"/>
      <c r="AP1242" s="326"/>
      <c r="AQ1242" s="326"/>
      <c r="AR1242" s="326"/>
      <c r="AS1242" s="326"/>
      <c r="AT1242" s="326"/>
      <c r="AU1242" s="326"/>
      <c r="AV1242" s="326"/>
      <c r="AW1242" s="326"/>
      <c r="AX1242" s="326"/>
      <c r="AY1242" s="326"/>
      <c r="AZ1242" s="326"/>
      <c r="BA1242" s="326"/>
      <c r="BB1242" s="327"/>
    </row>
    <row r="1243" spans="1:54" ht="15.75" customHeight="1" x14ac:dyDescent="0.25">
      <c r="A1243" s="11">
        <f t="shared" si="4"/>
        <v>1230</v>
      </c>
      <c r="B1243" s="504" t="str">
        <f>'refer admin discharge'!B1239</f>
        <v>x</v>
      </c>
      <c r="C1243" s="327"/>
      <c r="D1243" s="505" t="str">
        <f>'refer admin discharge'!D1239</f>
        <v>xx</v>
      </c>
      <c r="E1243" s="327"/>
      <c r="F1243" s="606" t="str">
        <f>'refer admin discharge'!H1239</f>
        <v>00/00/0000</v>
      </c>
      <c r="G1243" s="327"/>
      <c r="H1243" s="594"/>
      <c r="I1243" s="327"/>
      <c r="J1243" s="605"/>
      <c r="K1243" s="327"/>
      <c r="L1243" s="594"/>
      <c r="M1243" s="327"/>
      <c r="N1243" s="575"/>
      <c r="O1243" s="327"/>
      <c r="P1243" s="594"/>
      <c r="Q1243" s="327"/>
      <c r="R1243" s="575"/>
      <c r="S1243" s="327"/>
      <c r="T1243" s="594"/>
      <c r="U1243" s="327"/>
      <c r="V1243" s="595" t="str">
        <f>'refer admin discharge'!H1244</f>
        <v>00/00/0000</v>
      </c>
      <c r="W1243" s="327"/>
      <c r="X1243" s="577"/>
      <c r="Y1243" s="327"/>
      <c r="Z1243" s="604"/>
      <c r="AA1243" s="327"/>
      <c r="AB1243" s="577"/>
      <c r="AC1243" s="327"/>
      <c r="AD1243" s="576"/>
      <c r="AE1243" s="327"/>
      <c r="AF1243" s="577"/>
      <c r="AG1243" s="327"/>
      <c r="AH1243" s="576"/>
      <c r="AI1243" s="327"/>
      <c r="AJ1243" s="577"/>
      <c r="AK1243" s="327"/>
      <c r="AL1243" s="602"/>
      <c r="AM1243" s="326"/>
      <c r="AN1243" s="326"/>
      <c r="AO1243" s="326"/>
      <c r="AP1243" s="326"/>
      <c r="AQ1243" s="326"/>
      <c r="AR1243" s="326"/>
      <c r="AS1243" s="326"/>
      <c r="AT1243" s="326"/>
      <c r="AU1243" s="326"/>
      <c r="AV1243" s="326"/>
      <c r="AW1243" s="326"/>
      <c r="AX1243" s="326"/>
      <c r="AY1243" s="326"/>
      <c r="AZ1243" s="326"/>
      <c r="BA1243" s="326"/>
      <c r="BB1243" s="327"/>
    </row>
    <row r="1244" spans="1:54" ht="15.75" customHeight="1" x14ac:dyDescent="0.25">
      <c r="A1244" s="11">
        <f t="shared" si="4"/>
        <v>1231</v>
      </c>
      <c r="B1244" s="570" t="str">
        <f>'refer admin discharge'!B1240</f>
        <v>x</v>
      </c>
      <c r="C1244" s="327"/>
      <c r="D1244" s="599" t="str">
        <f>'refer admin discharge'!D1240</f>
        <v>xx</v>
      </c>
      <c r="E1244" s="327"/>
      <c r="F1244" s="600" t="str">
        <f>'refer admin discharge'!H1240</f>
        <v>00/00/0000</v>
      </c>
      <c r="G1244" s="327"/>
      <c r="H1244" s="574"/>
      <c r="I1244" s="327"/>
      <c r="J1244" s="601"/>
      <c r="K1244" s="327"/>
      <c r="L1244" s="574"/>
      <c r="M1244" s="327"/>
      <c r="N1244" s="594"/>
      <c r="O1244" s="327"/>
      <c r="P1244" s="574"/>
      <c r="Q1244" s="327"/>
      <c r="R1244" s="594"/>
      <c r="S1244" s="327"/>
      <c r="T1244" s="574"/>
      <c r="U1244" s="327"/>
      <c r="V1244" s="595" t="str">
        <f>'refer admin discharge'!H1245</f>
        <v>00/00/0000</v>
      </c>
      <c r="W1244" s="327"/>
      <c r="X1244" s="596"/>
      <c r="Y1244" s="327"/>
      <c r="Z1244" s="597"/>
      <c r="AA1244" s="327"/>
      <c r="AB1244" s="596"/>
      <c r="AC1244" s="327"/>
      <c r="AD1244" s="577"/>
      <c r="AE1244" s="327"/>
      <c r="AF1244" s="596"/>
      <c r="AG1244" s="327"/>
      <c r="AH1244" s="577"/>
      <c r="AI1244" s="327"/>
      <c r="AJ1244" s="596"/>
      <c r="AK1244" s="327"/>
      <c r="AL1244" s="598"/>
      <c r="AM1244" s="326"/>
      <c r="AN1244" s="326"/>
      <c r="AO1244" s="326"/>
      <c r="AP1244" s="326"/>
      <c r="AQ1244" s="326"/>
      <c r="AR1244" s="326"/>
      <c r="AS1244" s="326"/>
      <c r="AT1244" s="326"/>
      <c r="AU1244" s="326"/>
      <c r="AV1244" s="326"/>
      <c r="AW1244" s="326"/>
      <c r="AX1244" s="326"/>
      <c r="AY1244" s="326"/>
      <c r="AZ1244" s="326"/>
      <c r="BA1244" s="326"/>
      <c r="BB1244" s="327"/>
    </row>
    <row r="1245" spans="1:54" ht="15.75" customHeight="1" x14ac:dyDescent="0.25">
      <c r="A1245" s="11">
        <f t="shared" si="4"/>
        <v>1232</v>
      </c>
      <c r="B1245" s="504" t="str">
        <f>'refer admin discharge'!B1241</f>
        <v>x</v>
      </c>
      <c r="C1245" s="327"/>
      <c r="D1245" s="505" t="str">
        <f>'refer admin discharge'!D1241</f>
        <v>xx</v>
      </c>
      <c r="E1245" s="327"/>
      <c r="F1245" s="606" t="str">
        <f>'refer admin discharge'!H1241</f>
        <v>00/00/0000</v>
      </c>
      <c r="G1245" s="327"/>
      <c r="H1245" s="594"/>
      <c r="I1245" s="327"/>
      <c r="J1245" s="605"/>
      <c r="K1245" s="327"/>
      <c r="L1245" s="594"/>
      <c r="M1245" s="327"/>
      <c r="N1245" s="575"/>
      <c r="O1245" s="327"/>
      <c r="P1245" s="594"/>
      <c r="Q1245" s="327"/>
      <c r="R1245" s="575"/>
      <c r="S1245" s="327"/>
      <c r="T1245" s="594"/>
      <c r="U1245" s="327"/>
      <c r="V1245" s="595" t="str">
        <f>'refer admin discharge'!H1246</f>
        <v>00/00/0000</v>
      </c>
      <c r="W1245" s="327"/>
      <c r="X1245" s="577"/>
      <c r="Y1245" s="327"/>
      <c r="Z1245" s="604"/>
      <c r="AA1245" s="327"/>
      <c r="AB1245" s="577"/>
      <c r="AC1245" s="327"/>
      <c r="AD1245" s="576"/>
      <c r="AE1245" s="327"/>
      <c r="AF1245" s="577"/>
      <c r="AG1245" s="327"/>
      <c r="AH1245" s="576"/>
      <c r="AI1245" s="327"/>
      <c r="AJ1245" s="577"/>
      <c r="AK1245" s="327"/>
      <c r="AL1245" s="602"/>
      <c r="AM1245" s="326"/>
      <c r="AN1245" s="326"/>
      <c r="AO1245" s="326"/>
      <c r="AP1245" s="326"/>
      <c r="AQ1245" s="326"/>
      <c r="AR1245" s="326"/>
      <c r="AS1245" s="326"/>
      <c r="AT1245" s="326"/>
      <c r="AU1245" s="326"/>
      <c r="AV1245" s="326"/>
      <c r="AW1245" s="326"/>
      <c r="AX1245" s="326"/>
      <c r="AY1245" s="326"/>
      <c r="AZ1245" s="326"/>
      <c r="BA1245" s="326"/>
      <c r="BB1245" s="327"/>
    </row>
    <row r="1246" spans="1:54" ht="15.75" customHeight="1" x14ac:dyDescent="0.25">
      <c r="A1246" s="11">
        <f t="shared" si="4"/>
        <v>1233</v>
      </c>
      <c r="B1246" s="570" t="str">
        <f>'refer admin discharge'!B1242</f>
        <v>x</v>
      </c>
      <c r="C1246" s="327"/>
      <c r="D1246" s="599" t="str">
        <f>'refer admin discharge'!D1242</f>
        <v>xx</v>
      </c>
      <c r="E1246" s="327"/>
      <c r="F1246" s="600" t="str">
        <f>'refer admin discharge'!H1242</f>
        <v>00/00/0000</v>
      </c>
      <c r="G1246" s="327"/>
      <c r="H1246" s="574"/>
      <c r="I1246" s="327"/>
      <c r="J1246" s="601"/>
      <c r="K1246" s="327"/>
      <c r="L1246" s="574"/>
      <c r="M1246" s="327"/>
      <c r="N1246" s="594"/>
      <c r="O1246" s="327"/>
      <c r="P1246" s="574"/>
      <c r="Q1246" s="327"/>
      <c r="R1246" s="594"/>
      <c r="S1246" s="327"/>
      <c r="T1246" s="574"/>
      <c r="U1246" s="327"/>
      <c r="V1246" s="595" t="str">
        <f>'refer admin discharge'!H1247</f>
        <v>00/00/0000</v>
      </c>
      <c r="W1246" s="327"/>
      <c r="X1246" s="596"/>
      <c r="Y1246" s="327"/>
      <c r="Z1246" s="597"/>
      <c r="AA1246" s="327"/>
      <c r="AB1246" s="596"/>
      <c r="AC1246" s="327"/>
      <c r="AD1246" s="577"/>
      <c r="AE1246" s="327"/>
      <c r="AF1246" s="596"/>
      <c r="AG1246" s="327"/>
      <c r="AH1246" s="577"/>
      <c r="AI1246" s="327"/>
      <c r="AJ1246" s="596"/>
      <c r="AK1246" s="327"/>
      <c r="AL1246" s="598"/>
      <c r="AM1246" s="326"/>
      <c r="AN1246" s="326"/>
      <c r="AO1246" s="326"/>
      <c r="AP1246" s="326"/>
      <c r="AQ1246" s="326"/>
      <c r="AR1246" s="326"/>
      <c r="AS1246" s="326"/>
      <c r="AT1246" s="326"/>
      <c r="AU1246" s="326"/>
      <c r="AV1246" s="326"/>
      <c r="AW1246" s="326"/>
      <c r="AX1246" s="326"/>
      <c r="AY1246" s="326"/>
      <c r="AZ1246" s="326"/>
      <c r="BA1246" s="326"/>
      <c r="BB1246" s="327"/>
    </row>
    <row r="1247" spans="1:54" ht="15.75" customHeight="1" x14ac:dyDescent="0.25">
      <c r="A1247" s="11">
        <f t="shared" si="4"/>
        <v>1234</v>
      </c>
      <c r="B1247" s="504" t="str">
        <f>'refer admin discharge'!B1243</f>
        <v>x</v>
      </c>
      <c r="C1247" s="327"/>
      <c r="D1247" s="505" t="str">
        <f>'refer admin discharge'!D1243</f>
        <v>xx</v>
      </c>
      <c r="E1247" s="327"/>
      <c r="F1247" s="606" t="str">
        <f>'refer admin discharge'!H1243</f>
        <v>00/00/0000</v>
      </c>
      <c r="G1247" s="327"/>
      <c r="H1247" s="594"/>
      <c r="I1247" s="327"/>
      <c r="J1247" s="605"/>
      <c r="K1247" s="327"/>
      <c r="L1247" s="594"/>
      <c r="M1247" s="327"/>
      <c r="N1247" s="575"/>
      <c r="O1247" s="327"/>
      <c r="P1247" s="594"/>
      <c r="Q1247" s="327"/>
      <c r="R1247" s="575"/>
      <c r="S1247" s="327"/>
      <c r="T1247" s="594"/>
      <c r="U1247" s="327"/>
      <c r="V1247" s="595" t="str">
        <f>'refer admin discharge'!H1248</f>
        <v>00/00/0000</v>
      </c>
      <c r="W1247" s="327"/>
      <c r="X1247" s="577"/>
      <c r="Y1247" s="327"/>
      <c r="Z1247" s="604"/>
      <c r="AA1247" s="327"/>
      <c r="AB1247" s="577"/>
      <c r="AC1247" s="327"/>
      <c r="AD1247" s="576"/>
      <c r="AE1247" s="327"/>
      <c r="AF1247" s="577"/>
      <c r="AG1247" s="327"/>
      <c r="AH1247" s="576"/>
      <c r="AI1247" s="327"/>
      <c r="AJ1247" s="577"/>
      <c r="AK1247" s="327"/>
      <c r="AL1247" s="602"/>
      <c r="AM1247" s="326"/>
      <c r="AN1247" s="326"/>
      <c r="AO1247" s="326"/>
      <c r="AP1247" s="326"/>
      <c r="AQ1247" s="326"/>
      <c r="AR1247" s="326"/>
      <c r="AS1247" s="326"/>
      <c r="AT1247" s="326"/>
      <c r="AU1247" s="326"/>
      <c r="AV1247" s="326"/>
      <c r="AW1247" s="326"/>
      <c r="AX1247" s="326"/>
      <c r="AY1247" s="326"/>
      <c r="AZ1247" s="326"/>
      <c r="BA1247" s="326"/>
      <c r="BB1247" s="327"/>
    </row>
    <row r="1248" spans="1:54" ht="15.75" customHeight="1" x14ac:dyDescent="0.25">
      <c r="A1248" s="11">
        <f t="shared" si="4"/>
        <v>1235</v>
      </c>
      <c r="B1248" s="570" t="str">
        <f>'refer admin discharge'!B1244</f>
        <v>x</v>
      </c>
      <c r="C1248" s="327"/>
      <c r="D1248" s="599" t="str">
        <f>'refer admin discharge'!D1244</f>
        <v>xx</v>
      </c>
      <c r="E1248" s="327"/>
      <c r="F1248" s="600" t="str">
        <f>'refer admin discharge'!H1244</f>
        <v>00/00/0000</v>
      </c>
      <c r="G1248" s="327"/>
      <c r="H1248" s="574"/>
      <c r="I1248" s="327"/>
      <c r="J1248" s="601"/>
      <c r="K1248" s="327"/>
      <c r="L1248" s="574"/>
      <c r="M1248" s="327"/>
      <c r="N1248" s="594"/>
      <c r="O1248" s="327"/>
      <c r="P1248" s="574"/>
      <c r="Q1248" s="327"/>
      <c r="R1248" s="594"/>
      <c r="S1248" s="327"/>
      <c r="T1248" s="574"/>
      <c r="U1248" s="327"/>
      <c r="V1248" s="595" t="str">
        <f>'refer admin discharge'!H1249</f>
        <v>00/00/0000</v>
      </c>
      <c r="W1248" s="327"/>
      <c r="X1248" s="596"/>
      <c r="Y1248" s="327"/>
      <c r="Z1248" s="597"/>
      <c r="AA1248" s="327"/>
      <c r="AB1248" s="596"/>
      <c r="AC1248" s="327"/>
      <c r="AD1248" s="577"/>
      <c r="AE1248" s="327"/>
      <c r="AF1248" s="596"/>
      <c r="AG1248" s="327"/>
      <c r="AH1248" s="577"/>
      <c r="AI1248" s="327"/>
      <c r="AJ1248" s="596"/>
      <c r="AK1248" s="327"/>
      <c r="AL1248" s="598"/>
      <c r="AM1248" s="326"/>
      <c r="AN1248" s="326"/>
      <c r="AO1248" s="326"/>
      <c r="AP1248" s="326"/>
      <c r="AQ1248" s="326"/>
      <c r="AR1248" s="326"/>
      <c r="AS1248" s="326"/>
      <c r="AT1248" s="326"/>
      <c r="AU1248" s="326"/>
      <c r="AV1248" s="326"/>
      <c r="AW1248" s="326"/>
      <c r="AX1248" s="326"/>
      <c r="AY1248" s="326"/>
      <c r="AZ1248" s="326"/>
      <c r="BA1248" s="326"/>
      <c r="BB1248" s="327"/>
    </row>
    <row r="1249" spans="1:54" ht="15.75" customHeight="1" x14ac:dyDescent="0.25">
      <c r="A1249" s="11">
        <f t="shared" si="4"/>
        <v>1236</v>
      </c>
      <c r="B1249" s="504" t="str">
        <f>'refer admin discharge'!B1245</f>
        <v>x</v>
      </c>
      <c r="C1249" s="327"/>
      <c r="D1249" s="505" t="str">
        <f>'refer admin discharge'!D1245</f>
        <v>xx</v>
      </c>
      <c r="E1249" s="327"/>
      <c r="F1249" s="606" t="str">
        <f>'refer admin discharge'!H1245</f>
        <v>00/00/0000</v>
      </c>
      <c r="G1249" s="327"/>
      <c r="H1249" s="594"/>
      <c r="I1249" s="327"/>
      <c r="J1249" s="605"/>
      <c r="K1249" s="327"/>
      <c r="L1249" s="594"/>
      <c r="M1249" s="327"/>
      <c r="N1249" s="575"/>
      <c r="O1249" s="327"/>
      <c r="P1249" s="594"/>
      <c r="Q1249" s="327"/>
      <c r="R1249" s="575"/>
      <c r="S1249" s="327"/>
      <c r="T1249" s="594"/>
      <c r="U1249" s="327"/>
      <c r="V1249" s="595" t="str">
        <f>'refer admin discharge'!H1250</f>
        <v>00/00/0000</v>
      </c>
      <c r="W1249" s="327"/>
      <c r="X1249" s="577"/>
      <c r="Y1249" s="327"/>
      <c r="Z1249" s="604"/>
      <c r="AA1249" s="327"/>
      <c r="AB1249" s="577"/>
      <c r="AC1249" s="327"/>
      <c r="AD1249" s="576"/>
      <c r="AE1249" s="327"/>
      <c r="AF1249" s="577"/>
      <c r="AG1249" s="327"/>
      <c r="AH1249" s="576"/>
      <c r="AI1249" s="327"/>
      <c r="AJ1249" s="577"/>
      <c r="AK1249" s="327"/>
      <c r="AL1249" s="602"/>
      <c r="AM1249" s="326"/>
      <c r="AN1249" s="326"/>
      <c r="AO1249" s="326"/>
      <c r="AP1249" s="326"/>
      <c r="AQ1249" s="326"/>
      <c r="AR1249" s="326"/>
      <c r="AS1249" s="326"/>
      <c r="AT1249" s="326"/>
      <c r="AU1249" s="326"/>
      <c r="AV1249" s="326"/>
      <c r="AW1249" s="326"/>
      <c r="AX1249" s="326"/>
      <c r="AY1249" s="326"/>
      <c r="AZ1249" s="326"/>
      <c r="BA1249" s="326"/>
      <c r="BB1249" s="327"/>
    </row>
    <row r="1250" spans="1:54" ht="15.75" customHeight="1" x14ac:dyDescent="0.25">
      <c r="A1250" s="11">
        <f t="shared" si="4"/>
        <v>1237</v>
      </c>
      <c r="B1250" s="570" t="str">
        <f>'refer admin discharge'!B1246</f>
        <v>x</v>
      </c>
      <c r="C1250" s="327"/>
      <c r="D1250" s="599" t="str">
        <f>'refer admin discharge'!D1246</f>
        <v>xx</v>
      </c>
      <c r="E1250" s="327"/>
      <c r="F1250" s="600" t="str">
        <f>'refer admin discharge'!H1246</f>
        <v>00/00/0000</v>
      </c>
      <c r="G1250" s="327"/>
      <c r="H1250" s="574"/>
      <c r="I1250" s="327"/>
      <c r="J1250" s="601"/>
      <c r="K1250" s="327"/>
      <c r="L1250" s="574"/>
      <c r="M1250" s="327"/>
      <c r="N1250" s="594"/>
      <c r="O1250" s="327"/>
      <c r="P1250" s="574"/>
      <c r="Q1250" s="327"/>
      <c r="R1250" s="594"/>
      <c r="S1250" s="327"/>
      <c r="T1250" s="574"/>
      <c r="U1250" s="327"/>
      <c r="V1250" s="595" t="str">
        <f>'refer admin discharge'!H1251</f>
        <v>00/00/0000</v>
      </c>
      <c r="W1250" s="327"/>
      <c r="X1250" s="596"/>
      <c r="Y1250" s="327"/>
      <c r="Z1250" s="597"/>
      <c r="AA1250" s="327"/>
      <c r="AB1250" s="596"/>
      <c r="AC1250" s="327"/>
      <c r="AD1250" s="577"/>
      <c r="AE1250" s="327"/>
      <c r="AF1250" s="596"/>
      <c r="AG1250" s="327"/>
      <c r="AH1250" s="577"/>
      <c r="AI1250" s="327"/>
      <c r="AJ1250" s="596"/>
      <c r="AK1250" s="327"/>
      <c r="AL1250" s="598"/>
      <c r="AM1250" s="326"/>
      <c r="AN1250" s="326"/>
      <c r="AO1250" s="326"/>
      <c r="AP1250" s="326"/>
      <c r="AQ1250" s="326"/>
      <c r="AR1250" s="326"/>
      <c r="AS1250" s="326"/>
      <c r="AT1250" s="326"/>
      <c r="AU1250" s="326"/>
      <c r="AV1250" s="326"/>
      <c r="AW1250" s="326"/>
      <c r="AX1250" s="326"/>
      <c r="AY1250" s="326"/>
      <c r="AZ1250" s="326"/>
      <c r="BA1250" s="326"/>
      <c r="BB1250" s="327"/>
    </row>
    <row r="1251" spans="1:54" ht="15.75" customHeight="1" x14ac:dyDescent="0.25">
      <c r="A1251" s="11">
        <f t="shared" si="4"/>
        <v>1238</v>
      </c>
      <c r="B1251" s="504" t="str">
        <f>'refer admin discharge'!B1247</f>
        <v>x</v>
      </c>
      <c r="C1251" s="327"/>
      <c r="D1251" s="505" t="str">
        <f>'refer admin discharge'!D1247</f>
        <v>xx</v>
      </c>
      <c r="E1251" s="327"/>
      <c r="F1251" s="606" t="str">
        <f>'refer admin discharge'!H1247</f>
        <v>00/00/0000</v>
      </c>
      <c r="G1251" s="327"/>
      <c r="H1251" s="594"/>
      <c r="I1251" s="327"/>
      <c r="J1251" s="605"/>
      <c r="K1251" s="327"/>
      <c r="L1251" s="594"/>
      <c r="M1251" s="327"/>
      <c r="N1251" s="575"/>
      <c r="O1251" s="327"/>
      <c r="P1251" s="594"/>
      <c r="Q1251" s="327"/>
      <c r="R1251" s="575"/>
      <c r="S1251" s="327"/>
      <c r="T1251" s="594"/>
      <c r="U1251" s="327"/>
      <c r="V1251" s="595" t="str">
        <f>'refer admin discharge'!H1252</f>
        <v>00/00/0000</v>
      </c>
      <c r="W1251" s="327"/>
      <c r="X1251" s="577"/>
      <c r="Y1251" s="327"/>
      <c r="Z1251" s="604"/>
      <c r="AA1251" s="327"/>
      <c r="AB1251" s="577"/>
      <c r="AC1251" s="327"/>
      <c r="AD1251" s="576"/>
      <c r="AE1251" s="327"/>
      <c r="AF1251" s="577"/>
      <c r="AG1251" s="327"/>
      <c r="AH1251" s="576"/>
      <c r="AI1251" s="327"/>
      <c r="AJ1251" s="577"/>
      <c r="AK1251" s="327"/>
      <c r="AL1251" s="602"/>
      <c r="AM1251" s="326"/>
      <c r="AN1251" s="326"/>
      <c r="AO1251" s="326"/>
      <c r="AP1251" s="326"/>
      <c r="AQ1251" s="326"/>
      <c r="AR1251" s="326"/>
      <c r="AS1251" s="326"/>
      <c r="AT1251" s="326"/>
      <c r="AU1251" s="326"/>
      <c r="AV1251" s="326"/>
      <c r="AW1251" s="326"/>
      <c r="AX1251" s="326"/>
      <c r="AY1251" s="326"/>
      <c r="AZ1251" s="326"/>
      <c r="BA1251" s="326"/>
      <c r="BB1251" s="327"/>
    </row>
    <row r="1252" spans="1:54" ht="15.75" customHeight="1" x14ac:dyDescent="0.25">
      <c r="A1252" s="11">
        <f t="shared" si="4"/>
        <v>1239</v>
      </c>
      <c r="B1252" s="570" t="str">
        <f>'refer admin discharge'!B1248</f>
        <v>x</v>
      </c>
      <c r="C1252" s="327"/>
      <c r="D1252" s="599" t="str">
        <f>'refer admin discharge'!D1248</f>
        <v>xx</v>
      </c>
      <c r="E1252" s="327"/>
      <c r="F1252" s="600" t="str">
        <f>'refer admin discharge'!H1248</f>
        <v>00/00/0000</v>
      </c>
      <c r="G1252" s="327"/>
      <c r="H1252" s="574"/>
      <c r="I1252" s="327"/>
      <c r="J1252" s="601"/>
      <c r="K1252" s="327"/>
      <c r="L1252" s="574"/>
      <c r="M1252" s="327"/>
      <c r="N1252" s="594"/>
      <c r="O1252" s="327"/>
      <c r="P1252" s="574"/>
      <c r="Q1252" s="327"/>
      <c r="R1252" s="594"/>
      <c r="S1252" s="327"/>
      <c r="T1252" s="574"/>
      <c r="U1252" s="327"/>
      <c r="V1252" s="595" t="str">
        <f>'refer admin discharge'!H1253</f>
        <v>00/00/0000</v>
      </c>
      <c r="W1252" s="327"/>
      <c r="X1252" s="596"/>
      <c r="Y1252" s="327"/>
      <c r="Z1252" s="597"/>
      <c r="AA1252" s="327"/>
      <c r="AB1252" s="596"/>
      <c r="AC1252" s="327"/>
      <c r="AD1252" s="577"/>
      <c r="AE1252" s="327"/>
      <c r="AF1252" s="596"/>
      <c r="AG1252" s="327"/>
      <c r="AH1252" s="577"/>
      <c r="AI1252" s="327"/>
      <c r="AJ1252" s="596"/>
      <c r="AK1252" s="327"/>
      <c r="AL1252" s="598"/>
      <c r="AM1252" s="326"/>
      <c r="AN1252" s="326"/>
      <c r="AO1252" s="326"/>
      <c r="AP1252" s="326"/>
      <c r="AQ1252" s="326"/>
      <c r="AR1252" s="326"/>
      <c r="AS1252" s="326"/>
      <c r="AT1252" s="326"/>
      <c r="AU1252" s="326"/>
      <c r="AV1252" s="326"/>
      <c r="AW1252" s="326"/>
      <c r="AX1252" s="326"/>
      <c r="AY1252" s="326"/>
      <c r="AZ1252" s="326"/>
      <c r="BA1252" s="326"/>
      <c r="BB1252" s="327"/>
    </row>
    <row r="1253" spans="1:54" ht="15.75" customHeight="1" x14ac:dyDescent="0.25">
      <c r="A1253" s="11">
        <f t="shared" si="4"/>
        <v>1240</v>
      </c>
      <c r="B1253" s="504" t="str">
        <f>'refer admin discharge'!B1249</f>
        <v>x</v>
      </c>
      <c r="C1253" s="327"/>
      <c r="D1253" s="505" t="str">
        <f>'refer admin discharge'!D1249</f>
        <v>xx</v>
      </c>
      <c r="E1253" s="327"/>
      <c r="F1253" s="606" t="str">
        <f>'refer admin discharge'!H1249</f>
        <v>00/00/0000</v>
      </c>
      <c r="G1253" s="327"/>
      <c r="H1253" s="594"/>
      <c r="I1253" s="327"/>
      <c r="J1253" s="605"/>
      <c r="K1253" s="327"/>
      <c r="L1253" s="594"/>
      <c r="M1253" s="327"/>
      <c r="N1253" s="575"/>
      <c r="O1253" s="327"/>
      <c r="P1253" s="594"/>
      <c r="Q1253" s="327"/>
      <c r="R1253" s="575"/>
      <c r="S1253" s="327"/>
      <c r="T1253" s="594"/>
      <c r="U1253" s="327"/>
      <c r="V1253" s="595" t="str">
        <f>'refer admin discharge'!H1254</f>
        <v>00/00/0000</v>
      </c>
      <c r="W1253" s="327"/>
      <c r="X1253" s="577"/>
      <c r="Y1253" s="327"/>
      <c r="Z1253" s="604"/>
      <c r="AA1253" s="327"/>
      <c r="AB1253" s="577"/>
      <c r="AC1253" s="327"/>
      <c r="AD1253" s="576"/>
      <c r="AE1253" s="327"/>
      <c r="AF1253" s="577"/>
      <c r="AG1253" s="327"/>
      <c r="AH1253" s="576"/>
      <c r="AI1253" s="327"/>
      <c r="AJ1253" s="577"/>
      <c r="AK1253" s="327"/>
      <c r="AL1253" s="602"/>
      <c r="AM1253" s="326"/>
      <c r="AN1253" s="326"/>
      <c r="AO1253" s="326"/>
      <c r="AP1253" s="326"/>
      <c r="AQ1253" s="326"/>
      <c r="AR1253" s="326"/>
      <c r="AS1253" s="326"/>
      <c r="AT1253" s="326"/>
      <c r="AU1253" s="326"/>
      <c r="AV1253" s="326"/>
      <c r="AW1253" s="326"/>
      <c r="AX1253" s="326"/>
      <c r="AY1253" s="326"/>
      <c r="AZ1253" s="326"/>
      <c r="BA1253" s="326"/>
      <c r="BB1253" s="327"/>
    </row>
    <row r="1254" spans="1:54" ht="15.75" customHeight="1" x14ac:dyDescent="0.25">
      <c r="A1254" s="11">
        <f t="shared" si="4"/>
        <v>1241</v>
      </c>
      <c r="B1254" s="570" t="str">
        <f>'refer admin discharge'!B1250</f>
        <v>x</v>
      </c>
      <c r="C1254" s="327"/>
      <c r="D1254" s="599" t="str">
        <f>'refer admin discharge'!D1250</f>
        <v>xx</v>
      </c>
      <c r="E1254" s="327"/>
      <c r="F1254" s="600" t="str">
        <f>'refer admin discharge'!H1250</f>
        <v>00/00/0000</v>
      </c>
      <c r="G1254" s="327"/>
      <c r="H1254" s="574"/>
      <c r="I1254" s="327"/>
      <c r="J1254" s="601"/>
      <c r="K1254" s="327"/>
      <c r="L1254" s="574"/>
      <c r="M1254" s="327"/>
      <c r="N1254" s="594"/>
      <c r="O1254" s="327"/>
      <c r="P1254" s="574"/>
      <c r="Q1254" s="327"/>
      <c r="R1254" s="594"/>
      <c r="S1254" s="327"/>
      <c r="T1254" s="574"/>
      <c r="U1254" s="327"/>
      <c r="V1254" s="595" t="str">
        <f>'refer admin discharge'!H1255</f>
        <v>00/00/0000</v>
      </c>
      <c r="W1254" s="327"/>
      <c r="X1254" s="596"/>
      <c r="Y1254" s="327"/>
      <c r="Z1254" s="597"/>
      <c r="AA1254" s="327"/>
      <c r="AB1254" s="596"/>
      <c r="AC1254" s="327"/>
      <c r="AD1254" s="577"/>
      <c r="AE1254" s="327"/>
      <c r="AF1254" s="596"/>
      <c r="AG1254" s="327"/>
      <c r="AH1254" s="577"/>
      <c r="AI1254" s="327"/>
      <c r="AJ1254" s="596"/>
      <c r="AK1254" s="327"/>
      <c r="AL1254" s="598"/>
      <c r="AM1254" s="326"/>
      <c r="AN1254" s="326"/>
      <c r="AO1254" s="326"/>
      <c r="AP1254" s="326"/>
      <c r="AQ1254" s="326"/>
      <c r="AR1254" s="326"/>
      <c r="AS1254" s="326"/>
      <c r="AT1254" s="326"/>
      <c r="AU1254" s="326"/>
      <c r="AV1254" s="326"/>
      <c r="AW1254" s="326"/>
      <c r="AX1254" s="326"/>
      <c r="AY1254" s="326"/>
      <c r="AZ1254" s="326"/>
      <c r="BA1254" s="326"/>
      <c r="BB1254" s="327"/>
    </row>
    <row r="1255" spans="1:54" ht="15.75" customHeight="1" x14ac:dyDescent="0.25">
      <c r="A1255" s="11">
        <f t="shared" si="4"/>
        <v>1242</v>
      </c>
      <c r="B1255" s="504" t="str">
        <f>'refer admin discharge'!B1251</f>
        <v>x</v>
      </c>
      <c r="C1255" s="327"/>
      <c r="D1255" s="505" t="str">
        <f>'refer admin discharge'!D1251</f>
        <v>xx</v>
      </c>
      <c r="E1255" s="327"/>
      <c r="F1255" s="606" t="str">
        <f>'refer admin discharge'!H1251</f>
        <v>00/00/0000</v>
      </c>
      <c r="G1255" s="327"/>
      <c r="H1255" s="594"/>
      <c r="I1255" s="327"/>
      <c r="J1255" s="605"/>
      <c r="K1255" s="327"/>
      <c r="L1255" s="594"/>
      <c r="M1255" s="327"/>
      <c r="N1255" s="575"/>
      <c r="O1255" s="327"/>
      <c r="P1255" s="594"/>
      <c r="Q1255" s="327"/>
      <c r="R1255" s="575"/>
      <c r="S1255" s="327"/>
      <c r="T1255" s="594"/>
      <c r="U1255" s="327"/>
      <c r="V1255" s="595" t="str">
        <f>'refer admin discharge'!H1256</f>
        <v>00/00/0000</v>
      </c>
      <c r="W1255" s="327"/>
      <c r="X1255" s="577"/>
      <c r="Y1255" s="327"/>
      <c r="Z1255" s="604"/>
      <c r="AA1255" s="327"/>
      <c r="AB1255" s="577"/>
      <c r="AC1255" s="327"/>
      <c r="AD1255" s="576"/>
      <c r="AE1255" s="327"/>
      <c r="AF1255" s="577"/>
      <c r="AG1255" s="327"/>
      <c r="AH1255" s="576"/>
      <c r="AI1255" s="327"/>
      <c r="AJ1255" s="577"/>
      <c r="AK1255" s="327"/>
      <c r="AL1255" s="602"/>
      <c r="AM1255" s="326"/>
      <c r="AN1255" s="326"/>
      <c r="AO1255" s="326"/>
      <c r="AP1255" s="326"/>
      <c r="AQ1255" s="326"/>
      <c r="AR1255" s="326"/>
      <c r="AS1255" s="326"/>
      <c r="AT1255" s="326"/>
      <c r="AU1255" s="326"/>
      <c r="AV1255" s="326"/>
      <c r="AW1255" s="326"/>
      <c r="AX1255" s="326"/>
      <c r="AY1255" s="326"/>
      <c r="AZ1255" s="326"/>
      <c r="BA1255" s="326"/>
      <c r="BB1255" s="327"/>
    </row>
    <row r="1256" spans="1:54" ht="15.75" customHeight="1" x14ac:dyDescent="0.25">
      <c r="A1256" s="11">
        <f t="shared" si="4"/>
        <v>1243</v>
      </c>
      <c r="B1256" s="570" t="str">
        <f>'refer admin discharge'!B1252</f>
        <v>x</v>
      </c>
      <c r="C1256" s="327"/>
      <c r="D1256" s="599" t="str">
        <f>'refer admin discharge'!D1252</f>
        <v>xx</v>
      </c>
      <c r="E1256" s="327"/>
      <c r="F1256" s="600" t="str">
        <f>'refer admin discharge'!H1252</f>
        <v>00/00/0000</v>
      </c>
      <c r="G1256" s="327"/>
      <c r="H1256" s="574"/>
      <c r="I1256" s="327"/>
      <c r="J1256" s="601"/>
      <c r="K1256" s="327"/>
      <c r="L1256" s="574"/>
      <c r="M1256" s="327"/>
      <c r="N1256" s="594"/>
      <c r="O1256" s="327"/>
      <c r="P1256" s="574"/>
      <c r="Q1256" s="327"/>
      <c r="R1256" s="594"/>
      <c r="S1256" s="327"/>
      <c r="T1256" s="574"/>
      <c r="U1256" s="327"/>
      <c r="V1256" s="595" t="str">
        <f>'refer admin discharge'!H1257</f>
        <v>00/00/0000</v>
      </c>
      <c r="W1256" s="327"/>
      <c r="X1256" s="596"/>
      <c r="Y1256" s="327"/>
      <c r="Z1256" s="597"/>
      <c r="AA1256" s="327"/>
      <c r="AB1256" s="596"/>
      <c r="AC1256" s="327"/>
      <c r="AD1256" s="577"/>
      <c r="AE1256" s="327"/>
      <c r="AF1256" s="596"/>
      <c r="AG1256" s="327"/>
      <c r="AH1256" s="577"/>
      <c r="AI1256" s="327"/>
      <c r="AJ1256" s="596"/>
      <c r="AK1256" s="327"/>
      <c r="AL1256" s="598"/>
      <c r="AM1256" s="326"/>
      <c r="AN1256" s="326"/>
      <c r="AO1256" s="326"/>
      <c r="AP1256" s="326"/>
      <c r="AQ1256" s="326"/>
      <c r="AR1256" s="326"/>
      <c r="AS1256" s="326"/>
      <c r="AT1256" s="326"/>
      <c r="AU1256" s="326"/>
      <c r="AV1256" s="326"/>
      <c r="AW1256" s="326"/>
      <c r="AX1256" s="326"/>
      <c r="AY1256" s="326"/>
      <c r="AZ1256" s="326"/>
      <c r="BA1256" s="326"/>
      <c r="BB1256" s="327"/>
    </row>
    <row r="1257" spans="1:54" ht="15.75" customHeight="1" x14ac:dyDescent="0.25">
      <c r="A1257" s="11">
        <f t="shared" si="4"/>
        <v>1244</v>
      </c>
      <c r="B1257" s="504" t="str">
        <f>'refer admin discharge'!B1253</f>
        <v>x</v>
      </c>
      <c r="C1257" s="327"/>
      <c r="D1257" s="505" t="str">
        <f>'refer admin discharge'!D1253</f>
        <v>xx</v>
      </c>
      <c r="E1257" s="327"/>
      <c r="F1257" s="606" t="str">
        <f>'refer admin discharge'!H1253</f>
        <v>00/00/0000</v>
      </c>
      <c r="G1257" s="327"/>
      <c r="H1257" s="594"/>
      <c r="I1257" s="327"/>
      <c r="J1257" s="605"/>
      <c r="K1257" s="327"/>
      <c r="L1257" s="594"/>
      <c r="M1257" s="327"/>
      <c r="N1257" s="575"/>
      <c r="O1257" s="327"/>
      <c r="P1257" s="594"/>
      <c r="Q1257" s="327"/>
      <c r="R1257" s="575"/>
      <c r="S1257" s="327"/>
      <c r="T1257" s="594"/>
      <c r="U1257" s="327"/>
      <c r="V1257" s="595" t="str">
        <f>'refer admin discharge'!H1258</f>
        <v>00/00/0000</v>
      </c>
      <c r="W1257" s="327"/>
      <c r="X1257" s="577"/>
      <c r="Y1257" s="327"/>
      <c r="Z1257" s="604"/>
      <c r="AA1257" s="327"/>
      <c r="AB1257" s="577"/>
      <c r="AC1257" s="327"/>
      <c r="AD1257" s="576"/>
      <c r="AE1257" s="327"/>
      <c r="AF1257" s="577"/>
      <c r="AG1257" s="327"/>
      <c r="AH1257" s="576"/>
      <c r="AI1257" s="327"/>
      <c r="AJ1257" s="577"/>
      <c r="AK1257" s="327"/>
      <c r="AL1257" s="602"/>
      <c r="AM1257" s="326"/>
      <c r="AN1257" s="326"/>
      <c r="AO1257" s="326"/>
      <c r="AP1257" s="326"/>
      <c r="AQ1257" s="326"/>
      <c r="AR1257" s="326"/>
      <c r="AS1257" s="326"/>
      <c r="AT1257" s="326"/>
      <c r="AU1257" s="326"/>
      <c r="AV1257" s="326"/>
      <c r="AW1257" s="326"/>
      <c r="AX1257" s="326"/>
      <c r="AY1257" s="326"/>
      <c r="AZ1257" s="326"/>
      <c r="BA1257" s="326"/>
      <c r="BB1257" s="327"/>
    </row>
    <row r="1258" spans="1:54" ht="15.75" customHeight="1" x14ac:dyDescent="0.25">
      <c r="A1258" s="11">
        <f t="shared" si="4"/>
        <v>1245</v>
      </c>
      <c r="B1258" s="570" t="str">
        <f>'refer admin discharge'!B1254</f>
        <v>x</v>
      </c>
      <c r="C1258" s="327"/>
      <c r="D1258" s="599" t="str">
        <f>'refer admin discharge'!D1254</f>
        <v>xx</v>
      </c>
      <c r="E1258" s="327"/>
      <c r="F1258" s="600" t="str">
        <f>'refer admin discharge'!H1254</f>
        <v>00/00/0000</v>
      </c>
      <c r="G1258" s="327"/>
      <c r="H1258" s="574"/>
      <c r="I1258" s="327"/>
      <c r="J1258" s="601"/>
      <c r="K1258" s="327"/>
      <c r="L1258" s="574"/>
      <c r="M1258" s="327"/>
      <c r="N1258" s="594"/>
      <c r="O1258" s="327"/>
      <c r="P1258" s="574"/>
      <c r="Q1258" s="327"/>
      <c r="R1258" s="594"/>
      <c r="S1258" s="327"/>
      <c r="T1258" s="574"/>
      <c r="U1258" s="327"/>
      <c r="V1258" s="595" t="str">
        <f>'refer admin discharge'!H1259</f>
        <v>00/00/0000</v>
      </c>
      <c r="W1258" s="327"/>
      <c r="X1258" s="596"/>
      <c r="Y1258" s="327"/>
      <c r="Z1258" s="597"/>
      <c r="AA1258" s="327"/>
      <c r="AB1258" s="596"/>
      <c r="AC1258" s="327"/>
      <c r="AD1258" s="577"/>
      <c r="AE1258" s="327"/>
      <c r="AF1258" s="596"/>
      <c r="AG1258" s="327"/>
      <c r="AH1258" s="577"/>
      <c r="AI1258" s="327"/>
      <c r="AJ1258" s="596"/>
      <c r="AK1258" s="327"/>
      <c r="AL1258" s="598"/>
      <c r="AM1258" s="326"/>
      <c r="AN1258" s="326"/>
      <c r="AO1258" s="326"/>
      <c r="AP1258" s="326"/>
      <c r="AQ1258" s="326"/>
      <c r="AR1258" s="326"/>
      <c r="AS1258" s="326"/>
      <c r="AT1258" s="326"/>
      <c r="AU1258" s="326"/>
      <c r="AV1258" s="326"/>
      <c r="AW1258" s="326"/>
      <c r="AX1258" s="326"/>
      <c r="AY1258" s="326"/>
      <c r="AZ1258" s="326"/>
      <c r="BA1258" s="326"/>
      <c r="BB1258" s="327"/>
    </row>
    <row r="1259" spans="1:54" ht="15.75" customHeight="1" x14ac:dyDescent="0.25">
      <c r="A1259" s="11">
        <f t="shared" si="4"/>
        <v>1246</v>
      </c>
      <c r="B1259" s="504" t="str">
        <f>'refer admin discharge'!B1255</f>
        <v>x</v>
      </c>
      <c r="C1259" s="327"/>
      <c r="D1259" s="505" t="str">
        <f>'refer admin discharge'!D1255</f>
        <v>xx</v>
      </c>
      <c r="E1259" s="327"/>
      <c r="F1259" s="606" t="str">
        <f>'refer admin discharge'!H1255</f>
        <v>00/00/0000</v>
      </c>
      <c r="G1259" s="327"/>
      <c r="H1259" s="594"/>
      <c r="I1259" s="327"/>
      <c r="J1259" s="605"/>
      <c r="K1259" s="327"/>
      <c r="L1259" s="594"/>
      <c r="M1259" s="327"/>
      <c r="N1259" s="575"/>
      <c r="O1259" s="327"/>
      <c r="P1259" s="594"/>
      <c r="Q1259" s="327"/>
      <c r="R1259" s="575"/>
      <c r="S1259" s="327"/>
      <c r="T1259" s="594"/>
      <c r="U1259" s="327"/>
      <c r="V1259" s="595" t="str">
        <f>'refer admin discharge'!H1260</f>
        <v>00/00/0000</v>
      </c>
      <c r="W1259" s="327"/>
      <c r="X1259" s="577"/>
      <c r="Y1259" s="327"/>
      <c r="Z1259" s="604"/>
      <c r="AA1259" s="327"/>
      <c r="AB1259" s="577"/>
      <c r="AC1259" s="327"/>
      <c r="AD1259" s="576"/>
      <c r="AE1259" s="327"/>
      <c r="AF1259" s="577"/>
      <c r="AG1259" s="327"/>
      <c r="AH1259" s="576"/>
      <c r="AI1259" s="327"/>
      <c r="AJ1259" s="577"/>
      <c r="AK1259" s="327"/>
      <c r="AL1259" s="602"/>
      <c r="AM1259" s="326"/>
      <c r="AN1259" s="326"/>
      <c r="AO1259" s="326"/>
      <c r="AP1259" s="326"/>
      <c r="AQ1259" s="326"/>
      <c r="AR1259" s="326"/>
      <c r="AS1259" s="326"/>
      <c r="AT1259" s="326"/>
      <c r="AU1259" s="326"/>
      <c r="AV1259" s="326"/>
      <c r="AW1259" s="326"/>
      <c r="AX1259" s="326"/>
      <c r="AY1259" s="326"/>
      <c r="AZ1259" s="326"/>
      <c r="BA1259" s="326"/>
      <c r="BB1259" s="327"/>
    </row>
    <row r="1260" spans="1:54" ht="15.75" customHeight="1" x14ac:dyDescent="0.25">
      <c r="A1260" s="11">
        <f t="shared" si="4"/>
        <v>1247</v>
      </c>
      <c r="B1260" s="570" t="str">
        <f>'refer admin discharge'!B1256</f>
        <v>x</v>
      </c>
      <c r="C1260" s="327"/>
      <c r="D1260" s="599" t="str">
        <f>'refer admin discharge'!D1256</f>
        <v>xx</v>
      </c>
      <c r="E1260" s="327"/>
      <c r="F1260" s="600" t="str">
        <f>'refer admin discharge'!H1256</f>
        <v>00/00/0000</v>
      </c>
      <c r="G1260" s="327"/>
      <c r="H1260" s="574"/>
      <c r="I1260" s="327"/>
      <c r="J1260" s="601"/>
      <c r="K1260" s="327"/>
      <c r="L1260" s="574"/>
      <c r="M1260" s="327"/>
      <c r="N1260" s="594"/>
      <c r="O1260" s="327"/>
      <c r="P1260" s="574"/>
      <c r="Q1260" s="327"/>
      <c r="R1260" s="594"/>
      <c r="S1260" s="327"/>
      <c r="T1260" s="574"/>
      <c r="U1260" s="327"/>
      <c r="V1260" s="595" t="str">
        <f>'refer admin discharge'!H1261</f>
        <v>00/00/0000</v>
      </c>
      <c r="W1260" s="327"/>
      <c r="X1260" s="596"/>
      <c r="Y1260" s="327"/>
      <c r="Z1260" s="597"/>
      <c r="AA1260" s="327"/>
      <c r="AB1260" s="596"/>
      <c r="AC1260" s="327"/>
      <c r="AD1260" s="577"/>
      <c r="AE1260" s="327"/>
      <c r="AF1260" s="596"/>
      <c r="AG1260" s="327"/>
      <c r="AH1260" s="577"/>
      <c r="AI1260" s="327"/>
      <c r="AJ1260" s="596"/>
      <c r="AK1260" s="327"/>
      <c r="AL1260" s="598"/>
      <c r="AM1260" s="326"/>
      <c r="AN1260" s="326"/>
      <c r="AO1260" s="326"/>
      <c r="AP1260" s="326"/>
      <c r="AQ1260" s="326"/>
      <c r="AR1260" s="326"/>
      <c r="AS1260" s="326"/>
      <c r="AT1260" s="326"/>
      <c r="AU1260" s="326"/>
      <c r="AV1260" s="326"/>
      <c r="AW1260" s="326"/>
      <c r="AX1260" s="326"/>
      <c r="AY1260" s="326"/>
      <c r="AZ1260" s="326"/>
      <c r="BA1260" s="326"/>
      <c r="BB1260" s="327"/>
    </row>
    <row r="1261" spans="1:54" ht="15.75" customHeight="1" x14ac:dyDescent="0.25">
      <c r="A1261" s="11">
        <f t="shared" si="4"/>
        <v>1248</v>
      </c>
      <c r="B1261" s="504" t="str">
        <f>'refer admin discharge'!B1257</f>
        <v>x</v>
      </c>
      <c r="C1261" s="327"/>
      <c r="D1261" s="505" t="str">
        <f>'refer admin discharge'!D1257</f>
        <v>xx</v>
      </c>
      <c r="E1261" s="327"/>
      <c r="F1261" s="606" t="str">
        <f>'refer admin discharge'!H1257</f>
        <v>00/00/0000</v>
      </c>
      <c r="G1261" s="327"/>
      <c r="H1261" s="594"/>
      <c r="I1261" s="327"/>
      <c r="J1261" s="605"/>
      <c r="K1261" s="327"/>
      <c r="L1261" s="594"/>
      <c r="M1261" s="327"/>
      <c r="N1261" s="575"/>
      <c r="O1261" s="327"/>
      <c r="P1261" s="594"/>
      <c r="Q1261" s="327"/>
      <c r="R1261" s="575"/>
      <c r="S1261" s="327"/>
      <c r="T1261" s="594"/>
      <c r="U1261" s="327"/>
      <c r="V1261" s="595" t="str">
        <f>'refer admin discharge'!H1262</f>
        <v>00/00/0000</v>
      </c>
      <c r="W1261" s="327"/>
      <c r="X1261" s="577"/>
      <c r="Y1261" s="327"/>
      <c r="Z1261" s="604"/>
      <c r="AA1261" s="327"/>
      <c r="AB1261" s="577"/>
      <c r="AC1261" s="327"/>
      <c r="AD1261" s="576"/>
      <c r="AE1261" s="327"/>
      <c r="AF1261" s="577"/>
      <c r="AG1261" s="327"/>
      <c r="AH1261" s="576"/>
      <c r="AI1261" s="327"/>
      <c r="AJ1261" s="577"/>
      <c r="AK1261" s="327"/>
      <c r="AL1261" s="602"/>
      <c r="AM1261" s="326"/>
      <c r="AN1261" s="326"/>
      <c r="AO1261" s="326"/>
      <c r="AP1261" s="326"/>
      <c r="AQ1261" s="326"/>
      <c r="AR1261" s="326"/>
      <c r="AS1261" s="326"/>
      <c r="AT1261" s="326"/>
      <c r="AU1261" s="326"/>
      <c r="AV1261" s="326"/>
      <c r="AW1261" s="326"/>
      <c r="AX1261" s="326"/>
      <c r="AY1261" s="326"/>
      <c r="AZ1261" s="326"/>
      <c r="BA1261" s="326"/>
      <c r="BB1261" s="327"/>
    </row>
    <row r="1262" spans="1:54" ht="15.75" customHeight="1" x14ac:dyDescent="0.25">
      <c r="A1262" s="11">
        <f t="shared" si="4"/>
        <v>1249</v>
      </c>
      <c r="B1262" s="570" t="str">
        <f>'refer admin discharge'!B1258</f>
        <v>x</v>
      </c>
      <c r="C1262" s="327"/>
      <c r="D1262" s="599" t="str">
        <f>'refer admin discharge'!D1258</f>
        <v>xx</v>
      </c>
      <c r="E1262" s="327"/>
      <c r="F1262" s="600" t="str">
        <f>'refer admin discharge'!H1258</f>
        <v>00/00/0000</v>
      </c>
      <c r="G1262" s="327"/>
      <c r="H1262" s="574"/>
      <c r="I1262" s="327"/>
      <c r="J1262" s="601"/>
      <c r="K1262" s="327"/>
      <c r="L1262" s="574"/>
      <c r="M1262" s="327"/>
      <c r="N1262" s="594"/>
      <c r="O1262" s="327"/>
      <c r="P1262" s="574"/>
      <c r="Q1262" s="327"/>
      <c r="R1262" s="594"/>
      <c r="S1262" s="327"/>
      <c r="T1262" s="574"/>
      <c r="U1262" s="327"/>
      <c r="V1262" s="595" t="str">
        <f>'refer admin discharge'!H1263</f>
        <v>00/00/0000</v>
      </c>
      <c r="W1262" s="327"/>
      <c r="X1262" s="596"/>
      <c r="Y1262" s="327"/>
      <c r="Z1262" s="597"/>
      <c r="AA1262" s="327"/>
      <c r="AB1262" s="596"/>
      <c r="AC1262" s="327"/>
      <c r="AD1262" s="577"/>
      <c r="AE1262" s="327"/>
      <c r="AF1262" s="596"/>
      <c r="AG1262" s="327"/>
      <c r="AH1262" s="577"/>
      <c r="AI1262" s="327"/>
      <c r="AJ1262" s="596"/>
      <c r="AK1262" s="327"/>
      <c r="AL1262" s="598"/>
      <c r="AM1262" s="326"/>
      <c r="AN1262" s="326"/>
      <c r="AO1262" s="326"/>
      <c r="AP1262" s="326"/>
      <c r="AQ1262" s="326"/>
      <c r="AR1262" s="326"/>
      <c r="AS1262" s="326"/>
      <c r="AT1262" s="326"/>
      <c r="AU1262" s="326"/>
      <c r="AV1262" s="326"/>
      <c r="AW1262" s="326"/>
      <c r="AX1262" s="326"/>
      <c r="AY1262" s="326"/>
      <c r="AZ1262" s="326"/>
      <c r="BA1262" s="326"/>
      <c r="BB1262" s="327"/>
    </row>
    <row r="1263" spans="1:54" ht="15.75" customHeight="1" x14ac:dyDescent="0.25">
      <c r="A1263" s="11">
        <f t="shared" si="4"/>
        <v>1250</v>
      </c>
      <c r="B1263" s="504" t="str">
        <f>'refer admin discharge'!B1259</f>
        <v>x</v>
      </c>
      <c r="C1263" s="327"/>
      <c r="D1263" s="505" t="str">
        <f>'refer admin discharge'!D1259</f>
        <v>xx</v>
      </c>
      <c r="E1263" s="327"/>
      <c r="F1263" s="606" t="str">
        <f>'refer admin discharge'!H1259</f>
        <v>00/00/0000</v>
      </c>
      <c r="G1263" s="327"/>
      <c r="H1263" s="594"/>
      <c r="I1263" s="327"/>
      <c r="J1263" s="605"/>
      <c r="K1263" s="327"/>
      <c r="L1263" s="594"/>
      <c r="M1263" s="327"/>
      <c r="N1263" s="575"/>
      <c r="O1263" s="327"/>
      <c r="P1263" s="594"/>
      <c r="Q1263" s="327"/>
      <c r="R1263" s="575"/>
      <c r="S1263" s="327"/>
      <c r="T1263" s="594"/>
      <c r="U1263" s="327"/>
      <c r="V1263" s="595" t="str">
        <f>'refer admin discharge'!H1264</f>
        <v>00/00/0000</v>
      </c>
      <c r="W1263" s="327"/>
      <c r="X1263" s="577"/>
      <c r="Y1263" s="327"/>
      <c r="Z1263" s="604"/>
      <c r="AA1263" s="327"/>
      <c r="AB1263" s="577"/>
      <c r="AC1263" s="327"/>
      <c r="AD1263" s="576"/>
      <c r="AE1263" s="327"/>
      <c r="AF1263" s="577"/>
      <c r="AG1263" s="327"/>
      <c r="AH1263" s="576"/>
      <c r="AI1263" s="327"/>
      <c r="AJ1263" s="577"/>
      <c r="AK1263" s="327"/>
      <c r="AL1263" s="602"/>
      <c r="AM1263" s="326"/>
      <c r="AN1263" s="326"/>
      <c r="AO1263" s="326"/>
      <c r="AP1263" s="326"/>
      <c r="AQ1263" s="326"/>
      <c r="AR1263" s="326"/>
      <c r="AS1263" s="326"/>
      <c r="AT1263" s="326"/>
      <c r="AU1263" s="326"/>
      <c r="AV1263" s="326"/>
      <c r="AW1263" s="326"/>
      <c r="AX1263" s="326"/>
      <c r="AY1263" s="326"/>
      <c r="AZ1263" s="326"/>
      <c r="BA1263" s="326"/>
      <c r="BB1263" s="327"/>
    </row>
    <row r="1264" spans="1:54" ht="15.75" customHeight="1" x14ac:dyDescent="0.25">
      <c r="A1264" s="11">
        <f t="shared" si="4"/>
        <v>1251</v>
      </c>
      <c r="B1264" s="570" t="str">
        <f>'refer admin discharge'!B1260</f>
        <v>x</v>
      </c>
      <c r="C1264" s="327"/>
      <c r="D1264" s="599" t="str">
        <f>'refer admin discharge'!D1260</f>
        <v>xx</v>
      </c>
      <c r="E1264" s="327"/>
      <c r="F1264" s="600" t="str">
        <f>'refer admin discharge'!H1260</f>
        <v>00/00/0000</v>
      </c>
      <c r="G1264" s="327"/>
      <c r="H1264" s="574"/>
      <c r="I1264" s="327"/>
      <c r="J1264" s="601"/>
      <c r="K1264" s="327"/>
      <c r="L1264" s="574"/>
      <c r="M1264" s="327"/>
      <c r="N1264" s="594"/>
      <c r="O1264" s="327"/>
      <c r="P1264" s="574"/>
      <c r="Q1264" s="327"/>
      <c r="R1264" s="594"/>
      <c r="S1264" s="327"/>
      <c r="T1264" s="574"/>
      <c r="U1264" s="327"/>
      <c r="V1264" s="595" t="str">
        <f>'refer admin discharge'!H1265</f>
        <v>00/00/0000</v>
      </c>
      <c r="W1264" s="327"/>
      <c r="X1264" s="596"/>
      <c r="Y1264" s="327"/>
      <c r="Z1264" s="597"/>
      <c r="AA1264" s="327"/>
      <c r="AB1264" s="596"/>
      <c r="AC1264" s="327"/>
      <c r="AD1264" s="577"/>
      <c r="AE1264" s="327"/>
      <c r="AF1264" s="596"/>
      <c r="AG1264" s="327"/>
      <c r="AH1264" s="577"/>
      <c r="AI1264" s="327"/>
      <c r="AJ1264" s="596"/>
      <c r="AK1264" s="327"/>
      <c r="AL1264" s="598"/>
      <c r="AM1264" s="326"/>
      <c r="AN1264" s="326"/>
      <c r="AO1264" s="326"/>
      <c r="AP1264" s="326"/>
      <c r="AQ1264" s="326"/>
      <c r="AR1264" s="326"/>
      <c r="AS1264" s="326"/>
      <c r="AT1264" s="326"/>
      <c r="AU1264" s="326"/>
      <c r="AV1264" s="326"/>
      <c r="AW1264" s="326"/>
      <c r="AX1264" s="326"/>
      <c r="AY1264" s="326"/>
      <c r="AZ1264" s="326"/>
      <c r="BA1264" s="326"/>
      <c r="BB1264" s="327"/>
    </row>
    <row r="1265" spans="1:54" ht="15.75" customHeight="1" x14ac:dyDescent="0.25">
      <c r="A1265" s="11">
        <f t="shared" si="4"/>
        <v>1252</v>
      </c>
      <c r="B1265" s="504" t="str">
        <f>'refer admin discharge'!B1261</f>
        <v>x</v>
      </c>
      <c r="C1265" s="327"/>
      <c r="D1265" s="505" t="str">
        <f>'refer admin discharge'!D1261</f>
        <v>xx</v>
      </c>
      <c r="E1265" s="327"/>
      <c r="F1265" s="606" t="str">
        <f>'refer admin discharge'!H1261</f>
        <v>00/00/0000</v>
      </c>
      <c r="G1265" s="327"/>
      <c r="H1265" s="594"/>
      <c r="I1265" s="327"/>
      <c r="J1265" s="605"/>
      <c r="K1265" s="327"/>
      <c r="L1265" s="594"/>
      <c r="M1265" s="327"/>
      <c r="N1265" s="575"/>
      <c r="O1265" s="327"/>
      <c r="P1265" s="594"/>
      <c r="Q1265" s="327"/>
      <c r="R1265" s="575"/>
      <c r="S1265" s="327"/>
      <c r="T1265" s="594"/>
      <c r="U1265" s="327"/>
      <c r="V1265" s="595" t="str">
        <f>'refer admin discharge'!H1266</f>
        <v>00/00/0000</v>
      </c>
      <c r="W1265" s="327"/>
      <c r="X1265" s="577"/>
      <c r="Y1265" s="327"/>
      <c r="Z1265" s="604"/>
      <c r="AA1265" s="327"/>
      <c r="AB1265" s="577"/>
      <c r="AC1265" s="327"/>
      <c r="AD1265" s="576"/>
      <c r="AE1265" s="327"/>
      <c r="AF1265" s="577"/>
      <c r="AG1265" s="327"/>
      <c r="AH1265" s="576"/>
      <c r="AI1265" s="327"/>
      <c r="AJ1265" s="577"/>
      <c r="AK1265" s="327"/>
      <c r="AL1265" s="602"/>
      <c r="AM1265" s="326"/>
      <c r="AN1265" s="326"/>
      <c r="AO1265" s="326"/>
      <c r="AP1265" s="326"/>
      <c r="AQ1265" s="326"/>
      <c r="AR1265" s="326"/>
      <c r="AS1265" s="326"/>
      <c r="AT1265" s="326"/>
      <c r="AU1265" s="326"/>
      <c r="AV1265" s="326"/>
      <c r="AW1265" s="326"/>
      <c r="AX1265" s="326"/>
      <c r="AY1265" s="326"/>
      <c r="AZ1265" s="326"/>
      <c r="BA1265" s="326"/>
      <c r="BB1265" s="327"/>
    </row>
    <row r="1266" spans="1:54" ht="15.75" customHeight="1" x14ac:dyDescent="0.25">
      <c r="A1266" s="11">
        <f t="shared" si="4"/>
        <v>1253</v>
      </c>
      <c r="B1266" s="570" t="str">
        <f>'refer admin discharge'!B1262</f>
        <v>x</v>
      </c>
      <c r="C1266" s="327"/>
      <c r="D1266" s="599" t="str">
        <f>'refer admin discharge'!D1262</f>
        <v>xx</v>
      </c>
      <c r="E1266" s="327"/>
      <c r="F1266" s="600" t="str">
        <f>'refer admin discharge'!H1262</f>
        <v>00/00/0000</v>
      </c>
      <c r="G1266" s="327"/>
      <c r="H1266" s="574"/>
      <c r="I1266" s="327"/>
      <c r="J1266" s="601"/>
      <c r="K1266" s="327"/>
      <c r="L1266" s="574"/>
      <c r="M1266" s="327"/>
      <c r="N1266" s="594"/>
      <c r="O1266" s="327"/>
      <c r="P1266" s="574"/>
      <c r="Q1266" s="327"/>
      <c r="R1266" s="594"/>
      <c r="S1266" s="327"/>
      <c r="T1266" s="574"/>
      <c r="U1266" s="327"/>
      <c r="V1266" s="595" t="str">
        <f>'refer admin discharge'!H1267</f>
        <v>00/00/0000</v>
      </c>
      <c r="W1266" s="327"/>
      <c r="X1266" s="596"/>
      <c r="Y1266" s="327"/>
      <c r="Z1266" s="597"/>
      <c r="AA1266" s="327"/>
      <c r="AB1266" s="596"/>
      <c r="AC1266" s="327"/>
      <c r="AD1266" s="577"/>
      <c r="AE1266" s="327"/>
      <c r="AF1266" s="596"/>
      <c r="AG1266" s="327"/>
      <c r="AH1266" s="577"/>
      <c r="AI1266" s="327"/>
      <c r="AJ1266" s="596"/>
      <c r="AK1266" s="327"/>
      <c r="AL1266" s="598"/>
      <c r="AM1266" s="326"/>
      <c r="AN1266" s="326"/>
      <c r="AO1266" s="326"/>
      <c r="AP1266" s="326"/>
      <c r="AQ1266" s="326"/>
      <c r="AR1266" s="326"/>
      <c r="AS1266" s="326"/>
      <c r="AT1266" s="326"/>
      <c r="AU1266" s="326"/>
      <c r="AV1266" s="326"/>
      <c r="AW1266" s="326"/>
      <c r="AX1266" s="326"/>
      <c r="AY1266" s="326"/>
      <c r="AZ1266" s="326"/>
      <c r="BA1266" s="326"/>
      <c r="BB1266" s="327"/>
    </row>
    <row r="1267" spans="1:54" ht="15.75" customHeight="1" x14ac:dyDescent="0.25">
      <c r="A1267" s="11">
        <f t="shared" si="4"/>
        <v>1254</v>
      </c>
      <c r="B1267" s="504" t="str">
        <f>'refer admin discharge'!B1263</f>
        <v>x</v>
      </c>
      <c r="C1267" s="327"/>
      <c r="D1267" s="505" t="str">
        <f>'refer admin discharge'!D1263</f>
        <v>xx</v>
      </c>
      <c r="E1267" s="327"/>
      <c r="F1267" s="606" t="str">
        <f>'refer admin discharge'!H1263</f>
        <v>00/00/0000</v>
      </c>
      <c r="G1267" s="327"/>
      <c r="H1267" s="594"/>
      <c r="I1267" s="327"/>
      <c r="J1267" s="605"/>
      <c r="K1267" s="327"/>
      <c r="L1267" s="594"/>
      <c r="M1267" s="327"/>
      <c r="N1267" s="575"/>
      <c r="O1267" s="327"/>
      <c r="P1267" s="594"/>
      <c r="Q1267" s="327"/>
      <c r="R1267" s="575"/>
      <c r="S1267" s="327"/>
      <c r="T1267" s="594"/>
      <c r="U1267" s="327"/>
      <c r="V1267" s="595" t="str">
        <f>'refer admin discharge'!H1268</f>
        <v>00/00/0000</v>
      </c>
      <c r="W1267" s="327"/>
      <c r="X1267" s="577"/>
      <c r="Y1267" s="327"/>
      <c r="Z1267" s="604"/>
      <c r="AA1267" s="327"/>
      <c r="AB1267" s="577"/>
      <c r="AC1267" s="327"/>
      <c r="AD1267" s="576"/>
      <c r="AE1267" s="327"/>
      <c r="AF1267" s="577"/>
      <c r="AG1267" s="327"/>
      <c r="AH1267" s="576"/>
      <c r="AI1267" s="327"/>
      <c r="AJ1267" s="577"/>
      <c r="AK1267" s="327"/>
      <c r="AL1267" s="602"/>
      <c r="AM1267" s="326"/>
      <c r="AN1267" s="326"/>
      <c r="AO1267" s="326"/>
      <c r="AP1267" s="326"/>
      <c r="AQ1267" s="326"/>
      <c r="AR1267" s="326"/>
      <c r="AS1267" s="326"/>
      <c r="AT1267" s="326"/>
      <c r="AU1267" s="326"/>
      <c r="AV1267" s="326"/>
      <c r="AW1267" s="326"/>
      <c r="AX1267" s="326"/>
      <c r="AY1267" s="326"/>
      <c r="AZ1267" s="326"/>
      <c r="BA1267" s="326"/>
      <c r="BB1267" s="327"/>
    </row>
    <row r="1268" spans="1:54" ht="15.75" customHeight="1" x14ac:dyDescent="0.25">
      <c r="A1268" s="11">
        <f t="shared" si="4"/>
        <v>1255</v>
      </c>
      <c r="B1268" s="570" t="str">
        <f>'refer admin discharge'!B1264</f>
        <v>x</v>
      </c>
      <c r="C1268" s="327"/>
      <c r="D1268" s="599" t="str">
        <f>'refer admin discharge'!D1264</f>
        <v>xx</v>
      </c>
      <c r="E1268" s="327"/>
      <c r="F1268" s="600" t="str">
        <f>'refer admin discharge'!H1264</f>
        <v>00/00/0000</v>
      </c>
      <c r="G1268" s="327"/>
      <c r="H1268" s="574"/>
      <c r="I1268" s="327"/>
      <c r="J1268" s="601"/>
      <c r="K1268" s="327"/>
      <c r="L1268" s="574"/>
      <c r="M1268" s="327"/>
      <c r="N1268" s="594"/>
      <c r="O1268" s="327"/>
      <c r="P1268" s="574"/>
      <c r="Q1268" s="327"/>
      <c r="R1268" s="594"/>
      <c r="S1268" s="327"/>
      <c r="T1268" s="574"/>
      <c r="U1268" s="327"/>
      <c r="V1268" s="595" t="str">
        <f>'refer admin discharge'!H1269</f>
        <v>00/00/0000</v>
      </c>
      <c r="W1268" s="327"/>
      <c r="X1268" s="596"/>
      <c r="Y1268" s="327"/>
      <c r="Z1268" s="597"/>
      <c r="AA1268" s="327"/>
      <c r="AB1268" s="596"/>
      <c r="AC1268" s="327"/>
      <c r="AD1268" s="577"/>
      <c r="AE1268" s="327"/>
      <c r="AF1268" s="596"/>
      <c r="AG1268" s="327"/>
      <c r="AH1268" s="577"/>
      <c r="AI1268" s="327"/>
      <c r="AJ1268" s="596"/>
      <c r="AK1268" s="327"/>
      <c r="AL1268" s="598"/>
      <c r="AM1268" s="326"/>
      <c r="AN1268" s="326"/>
      <c r="AO1268" s="326"/>
      <c r="AP1268" s="326"/>
      <c r="AQ1268" s="326"/>
      <c r="AR1268" s="326"/>
      <c r="AS1268" s="326"/>
      <c r="AT1268" s="326"/>
      <c r="AU1268" s="326"/>
      <c r="AV1268" s="326"/>
      <c r="AW1268" s="326"/>
      <c r="AX1268" s="326"/>
      <c r="AY1268" s="326"/>
      <c r="AZ1268" s="326"/>
      <c r="BA1268" s="326"/>
      <c r="BB1268" s="327"/>
    </row>
    <row r="1269" spans="1:54" ht="15.75" customHeight="1" x14ac:dyDescent="0.25">
      <c r="A1269" s="11">
        <f t="shared" si="4"/>
        <v>1256</v>
      </c>
      <c r="B1269" s="504" t="str">
        <f>'refer admin discharge'!B1265</f>
        <v>x</v>
      </c>
      <c r="C1269" s="327"/>
      <c r="D1269" s="505" t="str">
        <f>'refer admin discharge'!D1265</f>
        <v>xx</v>
      </c>
      <c r="E1269" s="327"/>
      <c r="F1269" s="606" t="str">
        <f>'refer admin discharge'!H1265</f>
        <v>00/00/0000</v>
      </c>
      <c r="G1269" s="327"/>
      <c r="H1269" s="594"/>
      <c r="I1269" s="327"/>
      <c r="J1269" s="605"/>
      <c r="K1269" s="327"/>
      <c r="L1269" s="594"/>
      <c r="M1269" s="327"/>
      <c r="N1269" s="575"/>
      <c r="O1269" s="327"/>
      <c r="P1269" s="594"/>
      <c r="Q1269" s="327"/>
      <c r="R1269" s="575"/>
      <c r="S1269" s="327"/>
      <c r="T1269" s="594"/>
      <c r="U1269" s="327"/>
      <c r="V1269" s="595" t="str">
        <f>'refer admin discharge'!H1270</f>
        <v>00/00/0000</v>
      </c>
      <c r="W1269" s="327"/>
      <c r="X1269" s="577"/>
      <c r="Y1269" s="327"/>
      <c r="Z1269" s="604"/>
      <c r="AA1269" s="327"/>
      <c r="AB1269" s="577"/>
      <c r="AC1269" s="327"/>
      <c r="AD1269" s="576"/>
      <c r="AE1269" s="327"/>
      <c r="AF1269" s="577"/>
      <c r="AG1269" s="327"/>
      <c r="AH1269" s="576"/>
      <c r="AI1269" s="327"/>
      <c r="AJ1269" s="577"/>
      <c r="AK1269" s="327"/>
      <c r="AL1269" s="602"/>
      <c r="AM1269" s="326"/>
      <c r="AN1269" s="326"/>
      <c r="AO1269" s="326"/>
      <c r="AP1269" s="326"/>
      <c r="AQ1269" s="326"/>
      <c r="AR1269" s="326"/>
      <c r="AS1269" s="326"/>
      <c r="AT1269" s="326"/>
      <c r="AU1269" s="326"/>
      <c r="AV1269" s="326"/>
      <c r="AW1269" s="326"/>
      <c r="AX1269" s="326"/>
      <c r="AY1269" s="326"/>
      <c r="AZ1269" s="326"/>
      <c r="BA1269" s="326"/>
      <c r="BB1269" s="327"/>
    </row>
    <row r="1270" spans="1:54" ht="15.75" customHeight="1" x14ac:dyDescent="0.25">
      <c r="A1270" s="11">
        <f t="shared" si="4"/>
        <v>1257</v>
      </c>
      <c r="B1270" s="570" t="str">
        <f>'refer admin discharge'!B1266</f>
        <v>x</v>
      </c>
      <c r="C1270" s="327"/>
      <c r="D1270" s="599" t="str">
        <f>'refer admin discharge'!D1266</f>
        <v>xx</v>
      </c>
      <c r="E1270" s="327"/>
      <c r="F1270" s="600" t="str">
        <f>'refer admin discharge'!H1266</f>
        <v>00/00/0000</v>
      </c>
      <c r="G1270" s="327"/>
      <c r="H1270" s="574"/>
      <c r="I1270" s="327"/>
      <c r="J1270" s="601"/>
      <c r="K1270" s="327"/>
      <c r="L1270" s="574"/>
      <c r="M1270" s="327"/>
      <c r="N1270" s="594"/>
      <c r="O1270" s="327"/>
      <c r="P1270" s="574"/>
      <c r="Q1270" s="327"/>
      <c r="R1270" s="594"/>
      <c r="S1270" s="327"/>
      <c r="T1270" s="574"/>
      <c r="U1270" s="327"/>
      <c r="V1270" s="595" t="str">
        <f>'refer admin discharge'!H1271</f>
        <v>00/00/0000</v>
      </c>
      <c r="W1270" s="327"/>
      <c r="X1270" s="596"/>
      <c r="Y1270" s="327"/>
      <c r="Z1270" s="597"/>
      <c r="AA1270" s="327"/>
      <c r="AB1270" s="596"/>
      <c r="AC1270" s="327"/>
      <c r="AD1270" s="577"/>
      <c r="AE1270" s="327"/>
      <c r="AF1270" s="596"/>
      <c r="AG1270" s="327"/>
      <c r="AH1270" s="577"/>
      <c r="AI1270" s="327"/>
      <c r="AJ1270" s="596"/>
      <c r="AK1270" s="327"/>
      <c r="AL1270" s="598"/>
      <c r="AM1270" s="326"/>
      <c r="AN1270" s="326"/>
      <c r="AO1270" s="326"/>
      <c r="AP1270" s="326"/>
      <c r="AQ1270" s="326"/>
      <c r="AR1270" s="326"/>
      <c r="AS1270" s="326"/>
      <c r="AT1270" s="326"/>
      <c r="AU1270" s="326"/>
      <c r="AV1270" s="326"/>
      <c r="AW1270" s="326"/>
      <c r="AX1270" s="326"/>
      <c r="AY1270" s="326"/>
      <c r="AZ1270" s="326"/>
      <c r="BA1270" s="326"/>
      <c r="BB1270" s="327"/>
    </row>
    <row r="1271" spans="1:54" ht="15.75" customHeight="1" x14ac:dyDescent="0.25">
      <c r="A1271" s="11">
        <f t="shared" si="4"/>
        <v>1258</v>
      </c>
      <c r="B1271" s="504" t="str">
        <f>'refer admin discharge'!B1267</f>
        <v>x</v>
      </c>
      <c r="C1271" s="327"/>
      <c r="D1271" s="505" t="str">
        <f>'refer admin discharge'!D1267</f>
        <v>xx</v>
      </c>
      <c r="E1271" s="327"/>
      <c r="F1271" s="606" t="str">
        <f>'refer admin discharge'!H1267</f>
        <v>00/00/0000</v>
      </c>
      <c r="G1271" s="327"/>
      <c r="H1271" s="594"/>
      <c r="I1271" s="327"/>
      <c r="J1271" s="605"/>
      <c r="K1271" s="327"/>
      <c r="L1271" s="594"/>
      <c r="M1271" s="327"/>
      <c r="N1271" s="575"/>
      <c r="O1271" s="327"/>
      <c r="P1271" s="594"/>
      <c r="Q1271" s="327"/>
      <c r="R1271" s="575"/>
      <c r="S1271" s="327"/>
      <c r="T1271" s="594"/>
      <c r="U1271" s="327"/>
      <c r="V1271" s="595" t="str">
        <f>'refer admin discharge'!H1272</f>
        <v>00/00/0000</v>
      </c>
      <c r="W1271" s="327"/>
      <c r="X1271" s="577"/>
      <c r="Y1271" s="327"/>
      <c r="Z1271" s="604"/>
      <c r="AA1271" s="327"/>
      <c r="AB1271" s="577"/>
      <c r="AC1271" s="327"/>
      <c r="AD1271" s="576"/>
      <c r="AE1271" s="327"/>
      <c r="AF1271" s="577"/>
      <c r="AG1271" s="327"/>
      <c r="AH1271" s="576"/>
      <c r="AI1271" s="327"/>
      <c r="AJ1271" s="577"/>
      <c r="AK1271" s="327"/>
      <c r="AL1271" s="602"/>
      <c r="AM1271" s="326"/>
      <c r="AN1271" s="326"/>
      <c r="AO1271" s="326"/>
      <c r="AP1271" s="326"/>
      <c r="AQ1271" s="326"/>
      <c r="AR1271" s="326"/>
      <c r="AS1271" s="326"/>
      <c r="AT1271" s="326"/>
      <c r="AU1271" s="326"/>
      <c r="AV1271" s="326"/>
      <c r="AW1271" s="326"/>
      <c r="AX1271" s="326"/>
      <c r="AY1271" s="326"/>
      <c r="AZ1271" s="326"/>
      <c r="BA1271" s="326"/>
      <c r="BB1271" s="327"/>
    </row>
    <row r="1272" spans="1:54" ht="15.75" customHeight="1" x14ac:dyDescent="0.25">
      <c r="A1272" s="11">
        <f t="shared" si="4"/>
        <v>1259</v>
      </c>
      <c r="B1272" s="570" t="str">
        <f>'refer admin discharge'!B1268</f>
        <v>x</v>
      </c>
      <c r="C1272" s="327"/>
      <c r="D1272" s="599" t="str">
        <f>'refer admin discharge'!D1268</f>
        <v>xx</v>
      </c>
      <c r="E1272" s="327"/>
      <c r="F1272" s="600" t="str">
        <f>'refer admin discharge'!H1268</f>
        <v>00/00/0000</v>
      </c>
      <c r="G1272" s="327"/>
      <c r="H1272" s="574"/>
      <c r="I1272" s="327"/>
      <c r="J1272" s="601"/>
      <c r="K1272" s="327"/>
      <c r="L1272" s="574"/>
      <c r="M1272" s="327"/>
      <c r="N1272" s="594"/>
      <c r="O1272" s="327"/>
      <c r="P1272" s="574"/>
      <c r="Q1272" s="327"/>
      <c r="R1272" s="594"/>
      <c r="S1272" s="327"/>
      <c r="T1272" s="574"/>
      <c r="U1272" s="327"/>
      <c r="V1272" s="595" t="str">
        <f>'refer admin discharge'!H1273</f>
        <v>00/00/0000</v>
      </c>
      <c r="W1272" s="327"/>
      <c r="X1272" s="596"/>
      <c r="Y1272" s="327"/>
      <c r="Z1272" s="597"/>
      <c r="AA1272" s="327"/>
      <c r="AB1272" s="596"/>
      <c r="AC1272" s="327"/>
      <c r="AD1272" s="577"/>
      <c r="AE1272" s="327"/>
      <c r="AF1272" s="596"/>
      <c r="AG1272" s="327"/>
      <c r="AH1272" s="577"/>
      <c r="AI1272" s="327"/>
      <c r="AJ1272" s="596"/>
      <c r="AK1272" s="327"/>
      <c r="AL1272" s="598"/>
      <c r="AM1272" s="326"/>
      <c r="AN1272" s="326"/>
      <c r="AO1272" s="326"/>
      <c r="AP1272" s="326"/>
      <c r="AQ1272" s="326"/>
      <c r="AR1272" s="326"/>
      <c r="AS1272" s="326"/>
      <c r="AT1272" s="326"/>
      <c r="AU1272" s="326"/>
      <c r="AV1272" s="326"/>
      <c r="AW1272" s="326"/>
      <c r="AX1272" s="326"/>
      <c r="AY1272" s="326"/>
      <c r="AZ1272" s="326"/>
      <c r="BA1272" s="326"/>
      <c r="BB1272" s="327"/>
    </row>
    <row r="1273" spans="1:54" ht="15.75" customHeight="1" x14ac:dyDescent="0.25">
      <c r="A1273" s="11">
        <f t="shared" si="4"/>
        <v>1260</v>
      </c>
      <c r="B1273" s="504" t="str">
        <f>'refer admin discharge'!B1269</f>
        <v>x</v>
      </c>
      <c r="C1273" s="327"/>
      <c r="D1273" s="505" t="str">
        <f>'refer admin discharge'!D1269</f>
        <v>xx</v>
      </c>
      <c r="E1273" s="327"/>
      <c r="F1273" s="606" t="str">
        <f>'refer admin discharge'!H1269</f>
        <v>00/00/0000</v>
      </c>
      <c r="G1273" s="327"/>
      <c r="H1273" s="594"/>
      <c r="I1273" s="327"/>
      <c r="J1273" s="605"/>
      <c r="K1273" s="327"/>
      <c r="L1273" s="594"/>
      <c r="M1273" s="327"/>
      <c r="N1273" s="575"/>
      <c r="O1273" s="327"/>
      <c r="P1273" s="594"/>
      <c r="Q1273" s="327"/>
      <c r="R1273" s="575"/>
      <c r="S1273" s="327"/>
      <c r="T1273" s="594"/>
      <c r="U1273" s="327"/>
      <c r="V1273" s="595" t="str">
        <f>'refer admin discharge'!H1274</f>
        <v>00/00/0000</v>
      </c>
      <c r="W1273" s="327"/>
      <c r="X1273" s="577"/>
      <c r="Y1273" s="327"/>
      <c r="Z1273" s="604"/>
      <c r="AA1273" s="327"/>
      <c r="AB1273" s="577"/>
      <c r="AC1273" s="327"/>
      <c r="AD1273" s="576"/>
      <c r="AE1273" s="327"/>
      <c r="AF1273" s="577"/>
      <c r="AG1273" s="327"/>
      <c r="AH1273" s="576"/>
      <c r="AI1273" s="327"/>
      <c r="AJ1273" s="577"/>
      <c r="AK1273" s="327"/>
      <c r="AL1273" s="602"/>
      <c r="AM1273" s="326"/>
      <c r="AN1273" s="326"/>
      <c r="AO1273" s="326"/>
      <c r="AP1273" s="326"/>
      <c r="AQ1273" s="326"/>
      <c r="AR1273" s="326"/>
      <c r="AS1273" s="326"/>
      <c r="AT1273" s="326"/>
      <c r="AU1273" s="326"/>
      <c r="AV1273" s="326"/>
      <c r="AW1273" s="326"/>
      <c r="AX1273" s="326"/>
      <c r="AY1273" s="326"/>
      <c r="AZ1273" s="326"/>
      <c r="BA1273" s="326"/>
      <c r="BB1273" s="327"/>
    </row>
    <row r="1274" spans="1:54" ht="15.75" customHeight="1" x14ac:dyDescent="0.25">
      <c r="A1274" s="11">
        <f t="shared" si="4"/>
        <v>1261</v>
      </c>
      <c r="B1274" s="570" t="str">
        <f>'refer admin discharge'!B1270</f>
        <v>x</v>
      </c>
      <c r="C1274" s="327"/>
      <c r="D1274" s="599" t="str">
        <f>'refer admin discharge'!D1270</f>
        <v>xx</v>
      </c>
      <c r="E1274" s="327"/>
      <c r="F1274" s="600" t="str">
        <f>'refer admin discharge'!H1270</f>
        <v>00/00/0000</v>
      </c>
      <c r="G1274" s="327"/>
      <c r="H1274" s="574"/>
      <c r="I1274" s="327"/>
      <c r="J1274" s="601"/>
      <c r="K1274" s="327"/>
      <c r="L1274" s="574"/>
      <c r="M1274" s="327"/>
      <c r="N1274" s="594"/>
      <c r="O1274" s="327"/>
      <c r="P1274" s="574"/>
      <c r="Q1274" s="327"/>
      <c r="R1274" s="594"/>
      <c r="S1274" s="327"/>
      <c r="T1274" s="574"/>
      <c r="U1274" s="327"/>
      <c r="V1274" s="595" t="str">
        <f>'refer admin discharge'!H1275</f>
        <v>00/00/0000</v>
      </c>
      <c r="W1274" s="327"/>
      <c r="X1274" s="596"/>
      <c r="Y1274" s="327"/>
      <c r="Z1274" s="597"/>
      <c r="AA1274" s="327"/>
      <c r="AB1274" s="596"/>
      <c r="AC1274" s="327"/>
      <c r="AD1274" s="577"/>
      <c r="AE1274" s="327"/>
      <c r="AF1274" s="596"/>
      <c r="AG1274" s="327"/>
      <c r="AH1274" s="577"/>
      <c r="AI1274" s="327"/>
      <c r="AJ1274" s="596"/>
      <c r="AK1274" s="327"/>
      <c r="AL1274" s="598"/>
      <c r="AM1274" s="326"/>
      <c r="AN1274" s="326"/>
      <c r="AO1274" s="326"/>
      <c r="AP1274" s="326"/>
      <c r="AQ1274" s="326"/>
      <c r="AR1274" s="326"/>
      <c r="AS1274" s="326"/>
      <c r="AT1274" s="326"/>
      <c r="AU1274" s="326"/>
      <c r="AV1274" s="326"/>
      <c r="AW1274" s="326"/>
      <c r="AX1274" s="326"/>
      <c r="AY1274" s="326"/>
      <c r="AZ1274" s="326"/>
      <c r="BA1274" s="326"/>
      <c r="BB1274" s="327"/>
    </row>
    <row r="1275" spans="1:54" ht="15.75" customHeight="1" x14ac:dyDescent="0.25">
      <c r="A1275" s="11">
        <f t="shared" si="4"/>
        <v>1262</v>
      </c>
      <c r="B1275" s="504" t="str">
        <f>'refer admin discharge'!B1271</f>
        <v>x</v>
      </c>
      <c r="C1275" s="327"/>
      <c r="D1275" s="505" t="str">
        <f>'refer admin discharge'!D1271</f>
        <v>xx</v>
      </c>
      <c r="E1275" s="327"/>
      <c r="F1275" s="606" t="str">
        <f>'refer admin discharge'!H1271</f>
        <v>00/00/0000</v>
      </c>
      <c r="G1275" s="327"/>
      <c r="H1275" s="594"/>
      <c r="I1275" s="327"/>
      <c r="J1275" s="605"/>
      <c r="K1275" s="327"/>
      <c r="L1275" s="594"/>
      <c r="M1275" s="327"/>
      <c r="N1275" s="575"/>
      <c r="O1275" s="327"/>
      <c r="P1275" s="594"/>
      <c r="Q1275" s="327"/>
      <c r="R1275" s="575"/>
      <c r="S1275" s="327"/>
      <c r="T1275" s="594"/>
      <c r="U1275" s="327"/>
      <c r="V1275" s="595" t="str">
        <f>'refer admin discharge'!H1276</f>
        <v>00/00/0000</v>
      </c>
      <c r="W1275" s="327"/>
      <c r="X1275" s="577"/>
      <c r="Y1275" s="327"/>
      <c r="Z1275" s="604"/>
      <c r="AA1275" s="327"/>
      <c r="AB1275" s="577"/>
      <c r="AC1275" s="327"/>
      <c r="AD1275" s="576"/>
      <c r="AE1275" s="327"/>
      <c r="AF1275" s="577"/>
      <c r="AG1275" s="327"/>
      <c r="AH1275" s="576"/>
      <c r="AI1275" s="327"/>
      <c r="AJ1275" s="577"/>
      <c r="AK1275" s="327"/>
      <c r="AL1275" s="602"/>
      <c r="AM1275" s="326"/>
      <c r="AN1275" s="326"/>
      <c r="AO1275" s="326"/>
      <c r="AP1275" s="326"/>
      <c r="AQ1275" s="326"/>
      <c r="AR1275" s="326"/>
      <c r="AS1275" s="326"/>
      <c r="AT1275" s="326"/>
      <c r="AU1275" s="326"/>
      <c r="AV1275" s="326"/>
      <c r="AW1275" s="326"/>
      <c r="AX1275" s="326"/>
      <c r="AY1275" s="326"/>
      <c r="AZ1275" s="326"/>
      <c r="BA1275" s="326"/>
      <c r="BB1275" s="327"/>
    </row>
    <row r="1276" spans="1:54" ht="15.75" customHeight="1" x14ac:dyDescent="0.25">
      <c r="A1276" s="11">
        <f t="shared" si="4"/>
        <v>1263</v>
      </c>
      <c r="B1276" s="570" t="str">
        <f>'refer admin discharge'!B1272</f>
        <v>x</v>
      </c>
      <c r="C1276" s="327"/>
      <c r="D1276" s="599" t="str">
        <f>'refer admin discharge'!D1272</f>
        <v>xx</v>
      </c>
      <c r="E1276" s="327"/>
      <c r="F1276" s="600" t="str">
        <f>'refer admin discharge'!H1272</f>
        <v>00/00/0000</v>
      </c>
      <c r="G1276" s="327"/>
      <c r="H1276" s="574"/>
      <c r="I1276" s="327"/>
      <c r="J1276" s="601"/>
      <c r="K1276" s="327"/>
      <c r="L1276" s="574"/>
      <c r="M1276" s="327"/>
      <c r="N1276" s="594"/>
      <c r="O1276" s="327"/>
      <c r="P1276" s="574"/>
      <c r="Q1276" s="327"/>
      <c r="R1276" s="594"/>
      <c r="S1276" s="327"/>
      <c r="T1276" s="574"/>
      <c r="U1276" s="327"/>
      <c r="V1276" s="595" t="str">
        <f>'refer admin discharge'!H1277</f>
        <v>00/00/0000</v>
      </c>
      <c r="W1276" s="327"/>
      <c r="X1276" s="596"/>
      <c r="Y1276" s="327"/>
      <c r="Z1276" s="597"/>
      <c r="AA1276" s="327"/>
      <c r="AB1276" s="596"/>
      <c r="AC1276" s="327"/>
      <c r="AD1276" s="577"/>
      <c r="AE1276" s="327"/>
      <c r="AF1276" s="596"/>
      <c r="AG1276" s="327"/>
      <c r="AH1276" s="577"/>
      <c r="AI1276" s="327"/>
      <c r="AJ1276" s="596"/>
      <c r="AK1276" s="327"/>
      <c r="AL1276" s="598"/>
      <c r="AM1276" s="326"/>
      <c r="AN1276" s="326"/>
      <c r="AO1276" s="326"/>
      <c r="AP1276" s="326"/>
      <c r="AQ1276" s="326"/>
      <c r="AR1276" s="326"/>
      <c r="AS1276" s="326"/>
      <c r="AT1276" s="326"/>
      <c r="AU1276" s="326"/>
      <c r="AV1276" s="326"/>
      <c r="AW1276" s="326"/>
      <c r="AX1276" s="326"/>
      <c r="AY1276" s="326"/>
      <c r="AZ1276" s="326"/>
      <c r="BA1276" s="326"/>
      <c r="BB1276" s="327"/>
    </row>
    <row r="1277" spans="1:54" ht="15.75" customHeight="1" x14ac:dyDescent="0.25">
      <c r="A1277" s="11">
        <f t="shared" si="4"/>
        <v>1264</v>
      </c>
      <c r="B1277" s="504" t="str">
        <f>'refer admin discharge'!B1273</f>
        <v>x</v>
      </c>
      <c r="C1277" s="327"/>
      <c r="D1277" s="505" t="str">
        <f>'refer admin discharge'!D1273</f>
        <v>xx</v>
      </c>
      <c r="E1277" s="327"/>
      <c r="F1277" s="606" t="str">
        <f>'refer admin discharge'!H1273</f>
        <v>00/00/0000</v>
      </c>
      <c r="G1277" s="327"/>
      <c r="H1277" s="594"/>
      <c r="I1277" s="327"/>
      <c r="J1277" s="605"/>
      <c r="K1277" s="327"/>
      <c r="L1277" s="594"/>
      <c r="M1277" s="327"/>
      <c r="N1277" s="575"/>
      <c r="O1277" s="327"/>
      <c r="P1277" s="594"/>
      <c r="Q1277" s="327"/>
      <c r="R1277" s="575"/>
      <c r="S1277" s="327"/>
      <c r="T1277" s="594"/>
      <c r="U1277" s="327"/>
      <c r="V1277" s="595" t="str">
        <f>'refer admin discharge'!H1278</f>
        <v>00/00/0000</v>
      </c>
      <c r="W1277" s="327"/>
      <c r="X1277" s="577"/>
      <c r="Y1277" s="327"/>
      <c r="Z1277" s="604"/>
      <c r="AA1277" s="327"/>
      <c r="AB1277" s="577"/>
      <c r="AC1277" s="327"/>
      <c r="AD1277" s="576"/>
      <c r="AE1277" s="327"/>
      <c r="AF1277" s="577"/>
      <c r="AG1277" s="327"/>
      <c r="AH1277" s="576"/>
      <c r="AI1277" s="327"/>
      <c r="AJ1277" s="577"/>
      <c r="AK1277" s="327"/>
      <c r="AL1277" s="602"/>
      <c r="AM1277" s="326"/>
      <c r="AN1277" s="326"/>
      <c r="AO1277" s="326"/>
      <c r="AP1277" s="326"/>
      <c r="AQ1277" s="326"/>
      <c r="AR1277" s="326"/>
      <c r="AS1277" s="326"/>
      <c r="AT1277" s="326"/>
      <c r="AU1277" s="326"/>
      <c r="AV1277" s="326"/>
      <c r="AW1277" s="326"/>
      <c r="AX1277" s="326"/>
      <c r="AY1277" s="326"/>
      <c r="AZ1277" s="326"/>
      <c r="BA1277" s="326"/>
      <c r="BB1277" s="327"/>
    </row>
    <row r="1278" spans="1:54" ht="15.75" customHeight="1" x14ac:dyDescent="0.25">
      <c r="A1278" s="11">
        <f t="shared" si="4"/>
        <v>1265</v>
      </c>
      <c r="B1278" s="570" t="str">
        <f>'refer admin discharge'!B1274</f>
        <v>x</v>
      </c>
      <c r="C1278" s="327"/>
      <c r="D1278" s="599" t="str">
        <f>'refer admin discharge'!D1274</f>
        <v>xx</v>
      </c>
      <c r="E1278" s="327"/>
      <c r="F1278" s="600" t="str">
        <f>'refer admin discharge'!H1274</f>
        <v>00/00/0000</v>
      </c>
      <c r="G1278" s="327"/>
      <c r="H1278" s="574"/>
      <c r="I1278" s="327"/>
      <c r="J1278" s="601"/>
      <c r="K1278" s="327"/>
      <c r="L1278" s="574"/>
      <c r="M1278" s="327"/>
      <c r="N1278" s="594"/>
      <c r="O1278" s="327"/>
      <c r="P1278" s="574"/>
      <c r="Q1278" s="327"/>
      <c r="R1278" s="594"/>
      <c r="S1278" s="327"/>
      <c r="T1278" s="574"/>
      <c r="U1278" s="327"/>
      <c r="V1278" s="595" t="str">
        <f>'refer admin discharge'!H1279</f>
        <v>00/00/0000</v>
      </c>
      <c r="W1278" s="327"/>
      <c r="X1278" s="596"/>
      <c r="Y1278" s="327"/>
      <c r="Z1278" s="597"/>
      <c r="AA1278" s="327"/>
      <c r="AB1278" s="596"/>
      <c r="AC1278" s="327"/>
      <c r="AD1278" s="577"/>
      <c r="AE1278" s="327"/>
      <c r="AF1278" s="596"/>
      <c r="AG1278" s="327"/>
      <c r="AH1278" s="577"/>
      <c r="AI1278" s="327"/>
      <c r="AJ1278" s="596"/>
      <c r="AK1278" s="327"/>
      <c r="AL1278" s="598"/>
      <c r="AM1278" s="326"/>
      <c r="AN1278" s="326"/>
      <c r="AO1278" s="326"/>
      <c r="AP1278" s="326"/>
      <c r="AQ1278" s="326"/>
      <c r="AR1278" s="326"/>
      <c r="AS1278" s="326"/>
      <c r="AT1278" s="326"/>
      <c r="AU1278" s="326"/>
      <c r="AV1278" s="326"/>
      <c r="AW1278" s="326"/>
      <c r="AX1278" s="326"/>
      <c r="AY1278" s="326"/>
      <c r="AZ1278" s="326"/>
      <c r="BA1278" s="326"/>
      <c r="BB1278" s="327"/>
    </row>
    <row r="1279" spans="1:54" ht="15.75" customHeight="1" x14ac:dyDescent="0.25">
      <c r="A1279" s="11">
        <f t="shared" si="4"/>
        <v>1266</v>
      </c>
      <c r="B1279" s="504" t="str">
        <f>'refer admin discharge'!B1275</f>
        <v>x</v>
      </c>
      <c r="C1279" s="327"/>
      <c r="D1279" s="505" t="str">
        <f>'refer admin discharge'!D1275</f>
        <v>xx</v>
      </c>
      <c r="E1279" s="327"/>
      <c r="F1279" s="606" t="str">
        <f>'refer admin discharge'!H1275</f>
        <v>00/00/0000</v>
      </c>
      <c r="G1279" s="327"/>
      <c r="H1279" s="594"/>
      <c r="I1279" s="327"/>
      <c r="J1279" s="605"/>
      <c r="K1279" s="327"/>
      <c r="L1279" s="594"/>
      <c r="M1279" s="327"/>
      <c r="N1279" s="575"/>
      <c r="O1279" s="327"/>
      <c r="P1279" s="594"/>
      <c r="Q1279" s="327"/>
      <c r="R1279" s="575"/>
      <c r="S1279" s="327"/>
      <c r="T1279" s="594"/>
      <c r="U1279" s="327"/>
      <c r="V1279" s="595" t="str">
        <f>'refer admin discharge'!H1280</f>
        <v>00/00/0000</v>
      </c>
      <c r="W1279" s="327"/>
      <c r="X1279" s="577"/>
      <c r="Y1279" s="327"/>
      <c r="Z1279" s="604"/>
      <c r="AA1279" s="327"/>
      <c r="AB1279" s="577"/>
      <c r="AC1279" s="327"/>
      <c r="AD1279" s="576"/>
      <c r="AE1279" s="327"/>
      <c r="AF1279" s="577"/>
      <c r="AG1279" s="327"/>
      <c r="AH1279" s="576"/>
      <c r="AI1279" s="327"/>
      <c r="AJ1279" s="577"/>
      <c r="AK1279" s="327"/>
      <c r="AL1279" s="602"/>
      <c r="AM1279" s="326"/>
      <c r="AN1279" s="326"/>
      <c r="AO1279" s="326"/>
      <c r="AP1279" s="326"/>
      <c r="AQ1279" s="326"/>
      <c r="AR1279" s="326"/>
      <c r="AS1279" s="326"/>
      <c r="AT1279" s="326"/>
      <c r="AU1279" s="326"/>
      <c r="AV1279" s="326"/>
      <c r="AW1279" s="326"/>
      <c r="AX1279" s="326"/>
      <c r="AY1279" s="326"/>
      <c r="AZ1279" s="326"/>
      <c r="BA1279" s="326"/>
      <c r="BB1279" s="327"/>
    </row>
    <row r="1280" spans="1:54" ht="15.75" customHeight="1" x14ac:dyDescent="0.25">
      <c r="A1280" s="11">
        <f t="shared" si="4"/>
        <v>1267</v>
      </c>
      <c r="B1280" s="570" t="str">
        <f>'refer admin discharge'!B1276</f>
        <v>x</v>
      </c>
      <c r="C1280" s="327"/>
      <c r="D1280" s="599" t="str">
        <f>'refer admin discharge'!D1276</f>
        <v>xx</v>
      </c>
      <c r="E1280" s="327"/>
      <c r="F1280" s="600" t="str">
        <f>'refer admin discharge'!H1276</f>
        <v>00/00/0000</v>
      </c>
      <c r="G1280" s="327"/>
      <c r="H1280" s="574"/>
      <c r="I1280" s="327"/>
      <c r="J1280" s="601"/>
      <c r="K1280" s="327"/>
      <c r="L1280" s="574"/>
      <c r="M1280" s="327"/>
      <c r="N1280" s="594"/>
      <c r="O1280" s="327"/>
      <c r="P1280" s="574"/>
      <c r="Q1280" s="327"/>
      <c r="R1280" s="594"/>
      <c r="S1280" s="327"/>
      <c r="T1280" s="574"/>
      <c r="U1280" s="327"/>
      <c r="V1280" s="595" t="str">
        <f>'refer admin discharge'!H1281</f>
        <v>00/00/0000</v>
      </c>
      <c r="W1280" s="327"/>
      <c r="X1280" s="596"/>
      <c r="Y1280" s="327"/>
      <c r="Z1280" s="597"/>
      <c r="AA1280" s="327"/>
      <c r="AB1280" s="596"/>
      <c r="AC1280" s="327"/>
      <c r="AD1280" s="577"/>
      <c r="AE1280" s="327"/>
      <c r="AF1280" s="596"/>
      <c r="AG1280" s="327"/>
      <c r="AH1280" s="577"/>
      <c r="AI1280" s="327"/>
      <c r="AJ1280" s="596"/>
      <c r="AK1280" s="327"/>
      <c r="AL1280" s="598"/>
      <c r="AM1280" s="326"/>
      <c r="AN1280" s="326"/>
      <c r="AO1280" s="326"/>
      <c r="AP1280" s="326"/>
      <c r="AQ1280" s="326"/>
      <c r="AR1280" s="326"/>
      <c r="AS1280" s="326"/>
      <c r="AT1280" s="326"/>
      <c r="AU1280" s="326"/>
      <c r="AV1280" s="326"/>
      <c r="AW1280" s="326"/>
      <c r="AX1280" s="326"/>
      <c r="AY1280" s="326"/>
      <c r="AZ1280" s="326"/>
      <c r="BA1280" s="326"/>
      <c r="BB1280" s="327"/>
    </row>
    <row r="1281" spans="1:54" ht="15.75" customHeight="1" x14ac:dyDescent="0.25">
      <c r="A1281" s="11">
        <f t="shared" si="4"/>
        <v>1268</v>
      </c>
      <c r="B1281" s="504" t="str">
        <f>'refer admin discharge'!B1277</f>
        <v>x</v>
      </c>
      <c r="C1281" s="327"/>
      <c r="D1281" s="505" t="str">
        <f>'refer admin discharge'!D1277</f>
        <v>xx</v>
      </c>
      <c r="E1281" s="327"/>
      <c r="F1281" s="606" t="str">
        <f>'refer admin discharge'!H1277</f>
        <v>00/00/0000</v>
      </c>
      <c r="G1281" s="327"/>
      <c r="H1281" s="594"/>
      <c r="I1281" s="327"/>
      <c r="J1281" s="605"/>
      <c r="K1281" s="327"/>
      <c r="L1281" s="594"/>
      <c r="M1281" s="327"/>
      <c r="N1281" s="575"/>
      <c r="O1281" s="327"/>
      <c r="P1281" s="594"/>
      <c r="Q1281" s="327"/>
      <c r="R1281" s="575"/>
      <c r="S1281" s="327"/>
      <c r="T1281" s="594"/>
      <c r="U1281" s="327"/>
      <c r="V1281" s="595" t="str">
        <f>'refer admin discharge'!H1282</f>
        <v>00/00/0000</v>
      </c>
      <c r="W1281" s="327"/>
      <c r="X1281" s="577"/>
      <c r="Y1281" s="327"/>
      <c r="Z1281" s="604"/>
      <c r="AA1281" s="327"/>
      <c r="AB1281" s="577"/>
      <c r="AC1281" s="327"/>
      <c r="AD1281" s="576"/>
      <c r="AE1281" s="327"/>
      <c r="AF1281" s="577"/>
      <c r="AG1281" s="327"/>
      <c r="AH1281" s="576"/>
      <c r="AI1281" s="327"/>
      <c r="AJ1281" s="577"/>
      <c r="AK1281" s="327"/>
      <c r="AL1281" s="602"/>
      <c r="AM1281" s="326"/>
      <c r="AN1281" s="326"/>
      <c r="AO1281" s="326"/>
      <c r="AP1281" s="326"/>
      <c r="AQ1281" s="326"/>
      <c r="AR1281" s="326"/>
      <c r="AS1281" s="326"/>
      <c r="AT1281" s="326"/>
      <c r="AU1281" s="326"/>
      <c r="AV1281" s="326"/>
      <c r="AW1281" s="326"/>
      <c r="AX1281" s="326"/>
      <c r="AY1281" s="326"/>
      <c r="AZ1281" s="326"/>
      <c r="BA1281" s="326"/>
      <c r="BB1281" s="327"/>
    </row>
    <row r="1282" spans="1:54" ht="15.75" customHeight="1" x14ac:dyDescent="0.25">
      <c r="A1282" s="11">
        <f t="shared" si="4"/>
        <v>1269</v>
      </c>
      <c r="B1282" s="570" t="str">
        <f>'refer admin discharge'!B1278</f>
        <v>x</v>
      </c>
      <c r="C1282" s="327"/>
      <c r="D1282" s="599" t="str">
        <f>'refer admin discharge'!D1278</f>
        <v>xx</v>
      </c>
      <c r="E1282" s="327"/>
      <c r="F1282" s="600" t="str">
        <f>'refer admin discharge'!H1278</f>
        <v>00/00/0000</v>
      </c>
      <c r="G1282" s="327"/>
      <c r="H1282" s="574"/>
      <c r="I1282" s="327"/>
      <c r="J1282" s="601"/>
      <c r="K1282" s="327"/>
      <c r="L1282" s="574"/>
      <c r="M1282" s="327"/>
      <c r="N1282" s="594"/>
      <c r="O1282" s="327"/>
      <c r="P1282" s="574"/>
      <c r="Q1282" s="327"/>
      <c r="R1282" s="594"/>
      <c r="S1282" s="327"/>
      <c r="T1282" s="574"/>
      <c r="U1282" s="327"/>
      <c r="V1282" s="595" t="str">
        <f>'refer admin discharge'!H1283</f>
        <v>00/00/0000</v>
      </c>
      <c r="W1282" s="327"/>
      <c r="X1282" s="596"/>
      <c r="Y1282" s="327"/>
      <c r="Z1282" s="597"/>
      <c r="AA1282" s="327"/>
      <c r="AB1282" s="596"/>
      <c r="AC1282" s="327"/>
      <c r="AD1282" s="577"/>
      <c r="AE1282" s="327"/>
      <c r="AF1282" s="596"/>
      <c r="AG1282" s="327"/>
      <c r="AH1282" s="577"/>
      <c r="AI1282" s="327"/>
      <c r="AJ1282" s="596"/>
      <c r="AK1282" s="327"/>
      <c r="AL1282" s="598"/>
      <c r="AM1282" s="326"/>
      <c r="AN1282" s="326"/>
      <c r="AO1282" s="326"/>
      <c r="AP1282" s="326"/>
      <c r="AQ1282" s="326"/>
      <c r="AR1282" s="326"/>
      <c r="AS1282" s="326"/>
      <c r="AT1282" s="326"/>
      <c r="AU1282" s="326"/>
      <c r="AV1282" s="326"/>
      <c r="AW1282" s="326"/>
      <c r="AX1282" s="326"/>
      <c r="AY1282" s="326"/>
      <c r="AZ1282" s="326"/>
      <c r="BA1282" s="326"/>
      <c r="BB1282" s="327"/>
    </row>
    <row r="1283" spans="1:54" ht="15.75" customHeight="1" x14ac:dyDescent="0.25">
      <c r="A1283" s="11">
        <f t="shared" si="4"/>
        <v>1270</v>
      </c>
      <c r="B1283" s="504" t="str">
        <f>'refer admin discharge'!B1279</f>
        <v>x</v>
      </c>
      <c r="C1283" s="327"/>
      <c r="D1283" s="505" t="str">
        <f>'refer admin discharge'!D1279</f>
        <v>xx</v>
      </c>
      <c r="E1283" s="327"/>
      <c r="F1283" s="606" t="str">
        <f>'refer admin discharge'!H1279</f>
        <v>00/00/0000</v>
      </c>
      <c r="G1283" s="327"/>
      <c r="H1283" s="594"/>
      <c r="I1283" s="327"/>
      <c r="J1283" s="605"/>
      <c r="K1283" s="327"/>
      <c r="L1283" s="594"/>
      <c r="M1283" s="327"/>
      <c r="N1283" s="575"/>
      <c r="O1283" s="327"/>
      <c r="P1283" s="594"/>
      <c r="Q1283" s="327"/>
      <c r="R1283" s="575"/>
      <c r="S1283" s="327"/>
      <c r="T1283" s="594"/>
      <c r="U1283" s="327"/>
      <c r="V1283" s="595" t="str">
        <f>'refer admin discharge'!H1284</f>
        <v>00/00/0000</v>
      </c>
      <c r="W1283" s="327"/>
      <c r="X1283" s="577"/>
      <c r="Y1283" s="327"/>
      <c r="Z1283" s="604"/>
      <c r="AA1283" s="327"/>
      <c r="AB1283" s="577"/>
      <c r="AC1283" s="327"/>
      <c r="AD1283" s="576"/>
      <c r="AE1283" s="327"/>
      <c r="AF1283" s="577"/>
      <c r="AG1283" s="327"/>
      <c r="AH1283" s="576"/>
      <c r="AI1283" s="327"/>
      <c r="AJ1283" s="577"/>
      <c r="AK1283" s="327"/>
      <c r="AL1283" s="602"/>
      <c r="AM1283" s="326"/>
      <c r="AN1283" s="326"/>
      <c r="AO1283" s="326"/>
      <c r="AP1283" s="326"/>
      <c r="AQ1283" s="326"/>
      <c r="AR1283" s="326"/>
      <c r="AS1283" s="326"/>
      <c r="AT1283" s="326"/>
      <c r="AU1283" s="326"/>
      <c r="AV1283" s="326"/>
      <c r="AW1283" s="326"/>
      <c r="AX1283" s="326"/>
      <c r="AY1283" s="326"/>
      <c r="AZ1283" s="326"/>
      <c r="BA1283" s="326"/>
      <c r="BB1283" s="327"/>
    </row>
    <row r="1284" spans="1:54" ht="15.75" customHeight="1" x14ac:dyDescent="0.25">
      <c r="A1284" s="11">
        <f t="shared" si="4"/>
        <v>1271</v>
      </c>
      <c r="B1284" s="570" t="str">
        <f>'refer admin discharge'!B1280</f>
        <v>x</v>
      </c>
      <c r="C1284" s="327"/>
      <c r="D1284" s="599" t="str">
        <f>'refer admin discharge'!D1280</f>
        <v>xx</v>
      </c>
      <c r="E1284" s="327"/>
      <c r="F1284" s="600" t="str">
        <f>'refer admin discharge'!H1280</f>
        <v>00/00/0000</v>
      </c>
      <c r="G1284" s="327"/>
      <c r="H1284" s="574"/>
      <c r="I1284" s="327"/>
      <c r="J1284" s="601"/>
      <c r="K1284" s="327"/>
      <c r="L1284" s="574"/>
      <c r="M1284" s="327"/>
      <c r="N1284" s="594"/>
      <c r="O1284" s="327"/>
      <c r="P1284" s="574"/>
      <c r="Q1284" s="327"/>
      <c r="R1284" s="594"/>
      <c r="S1284" s="327"/>
      <c r="T1284" s="574"/>
      <c r="U1284" s="327"/>
      <c r="V1284" s="595" t="str">
        <f>'refer admin discharge'!H1285</f>
        <v>00/00/0000</v>
      </c>
      <c r="W1284" s="327"/>
      <c r="X1284" s="596"/>
      <c r="Y1284" s="327"/>
      <c r="Z1284" s="597"/>
      <c r="AA1284" s="327"/>
      <c r="AB1284" s="596"/>
      <c r="AC1284" s="327"/>
      <c r="AD1284" s="577"/>
      <c r="AE1284" s="327"/>
      <c r="AF1284" s="596"/>
      <c r="AG1284" s="327"/>
      <c r="AH1284" s="577"/>
      <c r="AI1284" s="327"/>
      <c r="AJ1284" s="596"/>
      <c r="AK1284" s="327"/>
      <c r="AL1284" s="598"/>
      <c r="AM1284" s="326"/>
      <c r="AN1284" s="326"/>
      <c r="AO1284" s="326"/>
      <c r="AP1284" s="326"/>
      <c r="AQ1284" s="326"/>
      <c r="AR1284" s="326"/>
      <c r="AS1284" s="326"/>
      <c r="AT1284" s="326"/>
      <c r="AU1284" s="326"/>
      <c r="AV1284" s="326"/>
      <c r="AW1284" s="326"/>
      <c r="AX1284" s="326"/>
      <c r="AY1284" s="326"/>
      <c r="AZ1284" s="326"/>
      <c r="BA1284" s="326"/>
      <c r="BB1284" s="327"/>
    </row>
    <row r="1285" spans="1:54" ht="15.75" customHeight="1" x14ac:dyDescent="0.25">
      <c r="A1285" s="11">
        <f t="shared" si="4"/>
        <v>1272</v>
      </c>
      <c r="B1285" s="504" t="str">
        <f>'refer admin discharge'!B1281</f>
        <v>x</v>
      </c>
      <c r="C1285" s="327"/>
      <c r="D1285" s="505" t="str">
        <f>'refer admin discharge'!D1281</f>
        <v>xx</v>
      </c>
      <c r="E1285" s="327"/>
      <c r="F1285" s="606" t="str">
        <f>'refer admin discharge'!H1281</f>
        <v>00/00/0000</v>
      </c>
      <c r="G1285" s="327"/>
      <c r="H1285" s="594"/>
      <c r="I1285" s="327"/>
      <c r="J1285" s="605"/>
      <c r="K1285" s="327"/>
      <c r="L1285" s="594"/>
      <c r="M1285" s="327"/>
      <c r="N1285" s="575"/>
      <c r="O1285" s="327"/>
      <c r="P1285" s="594"/>
      <c r="Q1285" s="327"/>
      <c r="R1285" s="575"/>
      <c r="S1285" s="327"/>
      <c r="T1285" s="594"/>
      <c r="U1285" s="327"/>
      <c r="V1285" s="595" t="str">
        <f>'refer admin discharge'!H1286</f>
        <v>00/00/0000</v>
      </c>
      <c r="W1285" s="327"/>
      <c r="X1285" s="577"/>
      <c r="Y1285" s="327"/>
      <c r="Z1285" s="604"/>
      <c r="AA1285" s="327"/>
      <c r="AB1285" s="577"/>
      <c r="AC1285" s="327"/>
      <c r="AD1285" s="576"/>
      <c r="AE1285" s="327"/>
      <c r="AF1285" s="577"/>
      <c r="AG1285" s="327"/>
      <c r="AH1285" s="576"/>
      <c r="AI1285" s="327"/>
      <c r="AJ1285" s="577"/>
      <c r="AK1285" s="327"/>
      <c r="AL1285" s="602"/>
      <c r="AM1285" s="326"/>
      <c r="AN1285" s="326"/>
      <c r="AO1285" s="326"/>
      <c r="AP1285" s="326"/>
      <c r="AQ1285" s="326"/>
      <c r="AR1285" s="326"/>
      <c r="AS1285" s="326"/>
      <c r="AT1285" s="326"/>
      <c r="AU1285" s="326"/>
      <c r="AV1285" s="326"/>
      <c r="AW1285" s="326"/>
      <c r="AX1285" s="326"/>
      <c r="AY1285" s="326"/>
      <c r="AZ1285" s="326"/>
      <c r="BA1285" s="326"/>
      <c r="BB1285" s="327"/>
    </row>
    <row r="1286" spans="1:54" ht="15.75" customHeight="1" x14ac:dyDescent="0.25">
      <c r="A1286" s="11">
        <f t="shared" si="4"/>
        <v>1273</v>
      </c>
      <c r="B1286" s="570" t="str">
        <f>'refer admin discharge'!B1282</f>
        <v>x</v>
      </c>
      <c r="C1286" s="327"/>
      <c r="D1286" s="599" t="str">
        <f>'refer admin discharge'!D1282</f>
        <v>xx</v>
      </c>
      <c r="E1286" s="327"/>
      <c r="F1286" s="600" t="str">
        <f>'refer admin discharge'!H1282</f>
        <v>00/00/0000</v>
      </c>
      <c r="G1286" s="327"/>
      <c r="H1286" s="574"/>
      <c r="I1286" s="327"/>
      <c r="J1286" s="601"/>
      <c r="K1286" s="327"/>
      <c r="L1286" s="574"/>
      <c r="M1286" s="327"/>
      <c r="N1286" s="594"/>
      <c r="O1286" s="327"/>
      <c r="P1286" s="574"/>
      <c r="Q1286" s="327"/>
      <c r="R1286" s="594"/>
      <c r="S1286" s="327"/>
      <c r="T1286" s="574"/>
      <c r="U1286" s="327"/>
      <c r="V1286" s="595" t="str">
        <f>'refer admin discharge'!H1287</f>
        <v>00/00/0000</v>
      </c>
      <c r="W1286" s="327"/>
      <c r="X1286" s="596"/>
      <c r="Y1286" s="327"/>
      <c r="Z1286" s="597"/>
      <c r="AA1286" s="327"/>
      <c r="AB1286" s="596"/>
      <c r="AC1286" s="327"/>
      <c r="AD1286" s="577"/>
      <c r="AE1286" s="327"/>
      <c r="AF1286" s="596"/>
      <c r="AG1286" s="327"/>
      <c r="AH1286" s="577"/>
      <c r="AI1286" s="327"/>
      <c r="AJ1286" s="596"/>
      <c r="AK1286" s="327"/>
      <c r="AL1286" s="598"/>
      <c r="AM1286" s="326"/>
      <c r="AN1286" s="326"/>
      <c r="AO1286" s="326"/>
      <c r="AP1286" s="326"/>
      <c r="AQ1286" s="326"/>
      <c r="AR1286" s="326"/>
      <c r="AS1286" s="326"/>
      <c r="AT1286" s="326"/>
      <c r="AU1286" s="326"/>
      <c r="AV1286" s="326"/>
      <c r="AW1286" s="326"/>
      <c r="AX1286" s="326"/>
      <c r="AY1286" s="326"/>
      <c r="AZ1286" s="326"/>
      <c r="BA1286" s="326"/>
      <c r="BB1286" s="327"/>
    </row>
    <row r="1287" spans="1:54" ht="15.75" customHeight="1" x14ac:dyDescent="0.25">
      <c r="A1287" s="11">
        <f t="shared" si="4"/>
        <v>1274</v>
      </c>
      <c r="B1287" s="504" t="str">
        <f>'refer admin discharge'!B1283</f>
        <v>x</v>
      </c>
      <c r="C1287" s="327"/>
      <c r="D1287" s="505" t="str">
        <f>'refer admin discharge'!D1283</f>
        <v>xx</v>
      </c>
      <c r="E1287" s="327"/>
      <c r="F1287" s="606" t="str">
        <f>'refer admin discharge'!H1283</f>
        <v>00/00/0000</v>
      </c>
      <c r="G1287" s="327"/>
      <c r="H1287" s="594"/>
      <c r="I1287" s="327"/>
      <c r="J1287" s="605"/>
      <c r="K1287" s="327"/>
      <c r="L1287" s="594"/>
      <c r="M1287" s="327"/>
      <c r="N1287" s="575"/>
      <c r="O1287" s="327"/>
      <c r="P1287" s="594"/>
      <c r="Q1287" s="327"/>
      <c r="R1287" s="575"/>
      <c r="S1287" s="327"/>
      <c r="T1287" s="594"/>
      <c r="U1287" s="327"/>
      <c r="V1287" s="595" t="str">
        <f>'refer admin discharge'!H1288</f>
        <v>00/00/0000</v>
      </c>
      <c r="W1287" s="327"/>
      <c r="X1287" s="577"/>
      <c r="Y1287" s="327"/>
      <c r="Z1287" s="604"/>
      <c r="AA1287" s="327"/>
      <c r="AB1287" s="577"/>
      <c r="AC1287" s="327"/>
      <c r="AD1287" s="576"/>
      <c r="AE1287" s="327"/>
      <c r="AF1287" s="577"/>
      <c r="AG1287" s="327"/>
      <c r="AH1287" s="576"/>
      <c r="AI1287" s="327"/>
      <c r="AJ1287" s="577"/>
      <c r="AK1287" s="327"/>
      <c r="AL1287" s="602"/>
      <c r="AM1287" s="326"/>
      <c r="AN1287" s="326"/>
      <c r="AO1287" s="326"/>
      <c r="AP1287" s="326"/>
      <c r="AQ1287" s="326"/>
      <c r="AR1287" s="326"/>
      <c r="AS1287" s="326"/>
      <c r="AT1287" s="326"/>
      <c r="AU1287" s="326"/>
      <c r="AV1287" s="326"/>
      <c r="AW1287" s="326"/>
      <c r="AX1287" s="326"/>
      <c r="AY1287" s="326"/>
      <c r="AZ1287" s="326"/>
      <c r="BA1287" s="326"/>
      <c r="BB1287" s="327"/>
    </row>
    <row r="1288" spans="1:54" ht="15.75" customHeight="1" x14ac:dyDescent="0.25">
      <c r="A1288" s="11">
        <f t="shared" si="4"/>
        <v>1275</v>
      </c>
      <c r="B1288" s="570" t="str">
        <f>'refer admin discharge'!B1284</f>
        <v>x</v>
      </c>
      <c r="C1288" s="327"/>
      <c r="D1288" s="599" t="str">
        <f>'refer admin discharge'!D1284</f>
        <v>xx</v>
      </c>
      <c r="E1288" s="327"/>
      <c r="F1288" s="600" t="str">
        <f>'refer admin discharge'!H1284</f>
        <v>00/00/0000</v>
      </c>
      <c r="G1288" s="327"/>
      <c r="H1288" s="574"/>
      <c r="I1288" s="327"/>
      <c r="J1288" s="601"/>
      <c r="K1288" s="327"/>
      <c r="L1288" s="574"/>
      <c r="M1288" s="327"/>
      <c r="N1288" s="594"/>
      <c r="O1288" s="327"/>
      <c r="P1288" s="574"/>
      <c r="Q1288" s="327"/>
      <c r="R1288" s="594"/>
      <c r="S1288" s="327"/>
      <c r="T1288" s="574"/>
      <c r="U1288" s="327"/>
      <c r="V1288" s="595" t="str">
        <f>'refer admin discharge'!H1289</f>
        <v>00/00/0000</v>
      </c>
      <c r="W1288" s="327"/>
      <c r="X1288" s="596"/>
      <c r="Y1288" s="327"/>
      <c r="Z1288" s="597"/>
      <c r="AA1288" s="327"/>
      <c r="AB1288" s="596"/>
      <c r="AC1288" s="327"/>
      <c r="AD1288" s="577"/>
      <c r="AE1288" s="327"/>
      <c r="AF1288" s="596"/>
      <c r="AG1288" s="327"/>
      <c r="AH1288" s="577"/>
      <c r="AI1288" s="327"/>
      <c r="AJ1288" s="596"/>
      <c r="AK1288" s="327"/>
      <c r="AL1288" s="598"/>
      <c r="AM1288" s="326"/>
      <c r="AN1288" s="326"/>
      <c r="AO1288" s="326"/>
      <c r="AP1288" s="326"/>
      <c r="AQ1288" s="326"/>
      <c r="AR1288" s="326"/>
      <c r="AS1288" s="326"/>
      <c r="AT1288" s="326"/>
      <c r="AU1288" s="326"/>
      <c r="AV1288" s="326"/>
      <c r="AW1288" s="326"/>
      <c r="AX1288" s="326"/>
      <c r="AY1288" s="326"/>
      <c r="AZ1288" s="326"/>
      <c r="BA1288" s="326"/>
      <c r="BB1288" s="327"/>
    </row>
    <row r="1289" spans="1:54" ht="15.75" customHeight="1" x14ac:dyDescent="0.25">
      <c r="A1289" s="11">
        <f t="shared" ref="A1289:A1543" si="5">ROW(A1276)</f>
        <v>1276</v>
      </c>
      <c r="B1289" s="504" t="str">
        <f>'refer admin discharge'!B1285</f>
        <v>x</v>
      </c>
      <c r="C1289" s="327"/>
      <c r="D1289" s="505" t="str">
        <f>'refer admin discharge'!D1285</f>
        <v>xx</v>
      </c>
      <c r="E1289" s="327"/>
      <c r="F1289" s="606" t="str">
        <f>'refer admin discharge'!H1285</f>
        <v>00/00/0000</v>
      </c>
      <c r="G1289" s="327"/>
      <c r="H1289" s="594"/>
      <c r="I1289" s="327"/>
      <c r="J1289" s="605"/>
      <c r="K1289" s="327"/>
      <c r="L1289" s="594"/>
      <c r="M1289" s="327"/>
      <c r="N1289" s="575"/>
      <c r="O1289" s="327"/>
      <c r="P1289" s="594"/>
      <c r="Q1289" s="327"/>
      <c r="R1289" s="575"/>
      <c r="S1289" s="327"/>
      <c r="T1289" s="594"/>
      <c r="U1289" s="327"/>
      <c r="V1289" s="595" t="str">
        <f>'refer admin discharge'!H1290</f>
        <v>00/00/0000</v>
      </c>
      <c r="W1289" s="327"/>
      <c r="X1289" s="577"/>
      <c r="Y1289" s="327"/>
      <c r="Z1289" s="604"/>
      <c r="AA1289" s="327"/>
      <c r="AB1289" s="577"/>
      <c r="AC1289" s="327"/>
      <c r="AD1289" s="576"/>
      <c r="AE1289" s="327"/>
      <c r="AF1289" s="577"/>
      <c r="AG1289" s="327"/>
      <c r="AH1289" s="576"/>
      <c r="AI1289" s="327"/>
      <c r="AJ1289" s="577"/>
      <c r="AK1289" s="327"/>
      <c r="AL1289" s="602"/>
      <c r="AM1289" s="326"/>
      <c r="AN1289" s="326"/>
      <c r="AO1289" s="326"/>
      <c r="AP1289" s="326"/>
      <c r="AQ1289" s="326"/>
      <c r="AR1289" s="326"/>
      <c r="AS1289" s="326"/>
      <c r="AT1289" s="326"/>
      <c r="AU1289" s="326"/>
      <c r="AV1289" s="326"/>
      <c r="AW1289" s="326"/>
      <c r="AX1289" s="326"/>
      <c r="AY1289" s="326"/>
      <c r="AZ1289" s="326"/>
      <c r="BA1289" s="326"/>
      <c r="BB1289" s="327"/>
    </row>
    <row r="1290" spans="1:54" ht="15.75" customHeight="1" x14ac:dyDescent="0.25">
      <c r="A1290" s="11">
        <f t="shared" si="5"/>
        <v>1277</v>
      </c>
      <c r="B1290" s="570" t="str">
        <f>'refer admin discharge'!B1286</f>
        <v>x</v>
      </c>
      <c r="C1290" s="327"/>
      <c r="D1290" s="599" t="str">
        <f>'refer admin discharge'!D1286</f>
        <v>xx</v>
      </c>
      <c r="E1290" s="327"/>
      <c r="F1290" s="600" t="str">
        <f>'refer admin discharge'!H1286</f>
        <v>00/00/0000</v>
      </c>
      <c r="G1290" s="327"/>
      <c r="H1290" s="574"/>
      <c r="I1290" s="327"/>
      <c r="J1290" s="601"/>
      <c r="K1290" s="327"/>
      <c r="L1290" s="574"/>
      <c r="M1290" s="327"/>
      <c r="N1290" s="594"/>
      <c r="O1290" s="327"/>
      <c r="P1290" s="574"/>
      <c r="Q1290" s="327"/>
      <c r="R1290" s="594"/>
      <c r="S1290" s="327"/>
      <c r="T1290" s="574"/>
      <c r="U1290" s="327"/>
      <c r="V1290" s="595" t="str">
        <f>'refer admin discharge'!H1291</f>
        <v>00/00/0000</v>
      </c>
      <c r="W1290" s="327"/>
      <c r="X1290" s="596"/>
      <c r="Y1290" s="327"/>
      <c r="Z1290" s="597"/>
      <c r="AA1290" s="327"/>
      <c r="AB1290" s="596"/>
      <c r="AC1290" s="327"/>
      <c r="AD1290" s="577"/>
      <c r="AE1290" s="327"/>
      <c r="AF1290" s="596"/>
      <c r="AG1290" s="327"/>
      <c r="AH1290" s="577"/>
      <c r="AI1290" s="327"/>
      <c r="AJ1290" s="596"/>
      <c r="AK1290" s="327"/>
      <c r="AL1290" s="598"/>
      <c r="AM1290" s="326"/>
      <c r="AN1290" s="326"/>
      <c r="AO1290" s="326"/>
      <c r="AP1290" s="326"/>
      <c r="AQ1290" s="326"/>
      <c r="AR1290" s="326"/>
      <c r="AS1290" s="326"/>
      <c r="AT1290" s="326"/>
      <c r="AU1290" s="326"/>
      <c r="AV1290" s="326"/>
      <c r="AW1290" s="326"/>
      <c r="AX1290" s="326"/>
      <c r="AY1290" s="326"/>
      <c r="AZ1290" s="326"/>
      <c r="BA1290" s="326"/>
      <c r="BB1290" s="327"/>
    </row>
    <row r="1291" spans="1:54" ht="15.75" customHeight="1" x14ac:dyDescent="0.25">
      <c r="A1291" s="11">
        <f t="shared" si="5"/>
        <v>1278</v>
      </c>
      <c r="B1291" s="504" t="str">
        <f>'refer admin discharge'!B1287</f>
        <v>x</v>
      </c>
      <c r="C1291" s="327"/>
      <c r="D1291" s="505" t="str">
        <f>'refer admin discharge'!D1287</f>
        <v>xx</v>
      </c>
      <c r="E1291" s="327"/>
      <c r="F1291" s="606" t="str">
        <f>'refer admin discharge'!H1287</f>
        <v>00/00/0000</v>
      </c>
      <c r="G1291" s="327"/>
      <c r="H1291" s="594"/>
      <c r="I1291" s="327"/>
      <c r="J1291" s="605"/>
      <c r="K1291" s="327"/>
      <c r="L1291" s="594"/>
      <c r="M1291" s="327"/>
      <c r="N1291" s="575"/>
      <c r="O1291" s="327"/>
      <c r="P1291" s="594"/>
      <c r="Q1291" s="327"/>
      <c r="R1291" s="575"/>
      <c r="S1291" s="327"/>
      <c r="T1291" s="594"/>
      <c r="U1291" s="327"/>
      <c r="V1291" s="595" t="str">
        <f>'refer admin discharge'!H1292</f>
        <v>00/00/0000</v>
      </c>
      <c r="W1291" s="327"/>
      <c r="X1291" s="577"/>
      <c r="Y1291" s="327"/>
      <c r="Z1291" s="604"/>
      <c r="AA1291" s="327"/>
      <c r="AB1291" s="577"/>
      <c r="AC1291" s="327"/>
      <c r="AD1291" s="576"/>
      <c r="AE1291" s="327"/>
      <c r="AF1291" s="577"/>
      <c r="AG1291" s="327"/>
      <c r="AH1291" s="576"/>
      <c r="AI1291" s="327"/>
      <c r="AJ1291" s="577"/>
      <c r="AK1291" s="327"/>
      <c r="AL1291" s="602"/>
      <c r="AM1291" s="326"/>
      <c r="AN1291" s="326"/>
      <c r="AO1291" s="326"/>
      <c r="AP1291" s="326"/>
      <c r="AQ1291" s="326"/>
      <c r="AR1291" s="326"/>
      <c r="AS1291" s="326"/>
      <c r="AT1291" s="326"/>
      <c r="AU1291" s="326"/>
      <c r="AV1291" s="326"/>
      <c r="AW1291" s="326"/>
      <c r="AX1291" s="326"/>
      <c r="AY1291" s="326"/>
      <c r="AZ1291" s="326"/>
      <c r="BA1291" s="326"/>
      <c r="BB1291" s="327"/>
    </row>
    <row r="1292" spans="1:54" ht="15.75" customHeight="1" x14ac:dyDescent="0.25">
      <c r="A1292" s="11">
        <f t="shared" si="5"/>
        <v>1279</v>
      </c>
      <c r="B1292" s="570" t="str">
        <f>'refer admin discharge'!B1288</f>
        <v>x</v>
      </c>
      <c r="C1292" s="327"/>
      <c r="D1292" s="599" t="str">
        <f>'refer admin discharge'!D1288</f>
        <v>xx</v>
      </c>
      <c r="E1292" s="327"/>
      <c r="F1292" s="600" t="str">
        <f>'refer admin discharge'!H1288</f>
        <v>00/00/0000</v>
      </c>
      <c r="G1292" s="327"/>
      <c r="H1292" s="574"/>
      <c r="I1292" s="327"/>
      <c r="J1292" s="601"/>
      <c r="K1292" s="327"/>
      <c r="L1292" s="574"/>
      <c r="M1292" s="327"/>
      <c r="N1292" s="594"/>
      <c r="O1292" s="327"/>
      <c r="P1292" s="574"/>
      <c r="Q1292" s="327"/>
      <c r="R1292" s="594"/>
      <c r="S1292" s="327"/>
      <c r="T1292" s="574"/>
      <c r="U1292" s="327"/>
      <c r="V1292" s="595" t="str">
        <f>'refer admin discharge'!H1293</f>
        <v>00/00/0000</v>
      </c>
      <c r="W1292" s="327"/>
      <c r="X1292" s="596"/>
      <c r="Y1292" s="327"/>
      <c r="Z1292" s="597"/>
      <c r="AA1292" s="327"/>
      <c r="AB1292" s="596"/>
      <c r="AC1292" s="327"/>
      <c r="AD1292" s="577"/>
      <c r="AE1292" s="327"/>
      <c r="AF1292" s="596"/>
      <c r="AG1292" s="327"/>
      <c r="AH1292" s="577"/>
      <c r="AI1292" s="327"/>
      <c r="AJ1292" s="596"/>
      <c r="AK1292" s="327"/>
      <c r="AL1292" s="598"/>
      <c r="AM1292" s="326"/>
      <c r="AN1292" s="326"/>
      <c r="AO1292" s="326"/>
      <c r="AP1292" s="326"/>
      <c r="AQ1292" s="326"/>
      <c r="AR1292" s="326"/>
      <c r="AS1292" s="326"/>
      <c r="AT1292" s="326"/>
      <c r="AU1292" s="326"/>
      <c r="AV1292" s="326"/>
      <c r="AW1292" s="326"/>
      <c r="AX1292" s="326"/>
      <c r="AY1292" s="326"/>
      <c r="AZ1292" s="326"/>
      <c r="BA1292" s="326"/>
      <c r="BB1292" s="327"/>
    </row>
    <row r="1293" spans="1:54" ht="15.75" customHeight="1" x14ac:dyDescent="0.25">
      <c r="A1293" s="11">
        <f t="shared" si="5"/>
        <v>1280</v>
      </c>
      <c r="B1293" s="504" t="str">
        <f>'refer admin discharge'!B1289</f>
        <v>x</v>
      </c>
      <c r="C1293" s="327"/>
      <c r="D1293" s="505" t="str">
        <f>'refer admin discharge'!D1289</f>
        <v>xx</v>
      </c>
      <c r="E1293" s="327"/>
      <c r="F1293" s="606" t="str">
        <f>'refer admin discharge'!H1289</f>
        <v>00/00/0000</v>
      </c>
      <c r="G1293" s="327"/>
      <c r="H1293" s="594"/>
      <c r="I1293" s="327"/>
      <c r="J1293" s="605"/>
      <c r="K1293" s="327"/>
      <c r="L1293" s="594"/>
      <c r="M1293" s="327"/>
      <c r="N1293" s="575"/>
      <c r="O1293" s="327"/>
      <c r="P1293" s="594"/>
      <c r="Q1293" s="327"/>
      <c r="R1293" s="575"/>
      <c r="S1293" s="327"/>
      <c r="T1293" s="594"/>
      <c r="U1293" s="327"/>
      <c r="V1293" s="595" t="str">
        <f>'refer admin discharge'!H1294</f>
        <v>00/00/0000</v>
      </c>
      <c r="W1293" s="327"/>
      <c r="X1293" s="577"/>
      <c r="Y1293" s="327"/>
      <c r="Z1293" s="604"/>
      <c r="AA1293" s="327"/>
      <c r="AB1293" s="577"/>
      <c r="AC1293" s="327"/>
      <c r="AD1293" s="576"/>
      <c r="AE1293" s="327"/>
      <c r="AF1293" s="577"/>
      <c r="AG1293" s="327"/>
      <c r="AH1293" s="576"/>
      <c r="AI1293" s="327"/>
      <c r="AJ1293" s="577"/>
      <c r="AK1293" s="327"/>
      <c r="AL1293" s="602"/>
      <c r="AM1293" s="326"/>
      <c r="AN1293" s="326"/>
      <c r="AO1293" s="326"/>
      <c r="AP1293" s="326"/>
      <c r="AQ1293" s="326"/>
      <c r="AR1293" s="326"/>
      <c r="AS1293" s="326"/>
      <c r="AT1293" s="326"/>
      <c r="AU1293" s="326"/>
      <c r="AV1293" s="326"/>
      <c r="AW1293" s="326"/>
      <c r="AX1293" s="326"/>
      <c r="AY1293" s="326"/>
      <c r="AZ1293" s="326"/>
      <c r="BA1293" s="326"/>
      <c r="BB1293" s="327"/>
    </row>
    <row r="1294" spans="1:54" ht="15.75" customHeight="1" x14ac:dyDescent="0.25">
      <c r="A1294" s="11">
        <f t="shared" si="5"/>
        <v>1281</v>
      </c>
      <c r="B1294" s="570" t="str">
        <f>'refer admin discharge'!B1290</f>
        <v>x</v>
      </c>
      <c r="C1294" s="327"/>
      <c r="D1294" s="599" t="str">
        <f>'refer admin discharge'!D1290</f>
        <v>xx</v>
      </c>
      <c r="E1294" s="327"/>
      <c r="F1294" s="600" t="str">
        <f>'refer admin discharge'!H1290</f>
        <v>00/00/0000</v>
      </c>
      <c r="G1294" s="327"/>
      <c r="H1294" s="574"/>
      <c r="I1294" s="327"/>
      <c r="J1294" s="601"/>
      <c r="K1294" s="327"/>
      <c r="L1294" s="574"/>
      <c r="M1294" s="327"/>
      <c r="N1294" s="594"/>
      <c r="O1294" s="327"/>
      <c r="P1294" s="574"/>
      <c r="Q1294" s="327"/>
      <c r="R1294" s="594"/>
      <c r="S1294" s="327"/>
      <c r="T1294" s="574"/>
      <c r="U1294" s="327"/>
      <c r="V1294" s="595" t="str">
        <f>'refer admin discharge'!H1295</f>
        <v>00/00/0000</v>
      </c>
      <c r="W1294" s="327"/>
      <c r="X1294" s="596"/>
      <c r="Y1294" s="327"/>
      <c r="Z1294" s="597"/>
      <c r="AA1294" s="327"/>
      <c r="AB1294" s="596"/>
      <c r="AC1294" s="327"/>
      <c r="AD1294" s="577"/>
      <c r="AE1294" s="327"/>
      <c r="AF1294" s="596"/>
      <c r="AG1294" s="327"/>
      <c r="AH1294" s="577"/>
      <c r="AI1294" s="327"/>
      <c r="AJ1294" s="596"/>
      <c r="AK1294" s="327"/>
      <c r="AL1294" s="598"/>
      <c r="AM1294" s="326"/>
      <c r="AN1294" s="326"/>
      <c r="AO1294" s="326"/>
      <c r="AP1294" s="326"/>
      <c r="AQ1294" s="326"/>
      <c r="AR1294" s="326"/>
      <c r="AS1294" s="326"/>
      <c r="AT1294" s="326"/>
      <c r="AU1294" s="326"/>
      <c r="AV1294" s="326"/>
      <c r="AW1294" s="326"/>
      <c r="AX1294" s="326"/>
      <c r="AY1294" s="326"/>
      <c r="AZ1294" s="326"/>
      <c r="BA1294" s="326"/>
      <c r="BB1294" s="327"/>
    </row>
    <row r="1295" spans="1:54" ht="15.75" customHeight="1" x14ac:dyDescent="0.25">
      <c r="A1295" s="11">
        <f t="shared" si="5"/>
        <v>1282</v>
      </c>
      <c r="B1295" s="504" t="str">
        <f>'refer admin discharge'!B1291</f>
        <v>x</v>
      </c>
      <c r="C1295" s="327"/>
      <c r="D1295" s="505" t="str">
        <f>'refer admin discharge'!D1291</f>
        <v>xx</v>
      </c>
      <c r="E1295" s="327"/>
      <c r="F1295" s="606" t="str">
        <f>'refer admin discharge'!H1291</f>
        <v>00/00/0000</v>
      </c>
      <c r="G1295" s="327"/>
      <c r="H1295" s="594"/>
      <c r="I1295" s="327"/>
      <c r="J1295" s="605"/>
      <c r="K1295" s="327"/>
      <c r="L1295" s="594"/>
      <c r="M1295" s="327"/>
      <c r="N1295" s="575"/>
      <c r="O1295" s="327"/>
      <c r="P1295" s="594"/>
      <c r="Q1295" s="327"/>
      <c r="R1295" s="575"/>
      <c r="S1295" s="327"/>
      <c r="T1295" s="594"/>
      <c r="U1295" s="327"/>
      <c r="V1295" s="595" t="str">
        <f>'refer admin discharge'!H1296</f>
        <v>00/00/0000</v>
      </c>
      <c r="W1295" s="327"/>
      <c r="X1295" s="577"/>
      <c r="Y1295" s="327"/>
      <c r="Z1295" s="604"/>
      <c r="AA1295" s="327"/>
      <c r="AB1295" s="577"/>
      <c r="AC1295" s="327"/>
      <c r="AD1295" s="576"/>
      <c r="AE1295" s="327"/>
      <c r="AF1295" s="577"/>
      <c r="AG1295" s="327"/>
      <c r="AH1295" s="576"/>
      <c r="AI1295" s="327"/>
      <c r="AJ1295" s="577"/>
      <c r="AK1295" s="327"/>
      <c r="AL1295" s="602"/>
      <c r="AM1295" s="326"/>
      <c r="AN1295" s="326"/>
      <c r="AO1295" s="326"/>
      <c r="AP1295" s="326"/>
      <c r="AQ1295" s="326"/>
      <c r="AR1295" s="326"/>
      <c r="AS1295" s="326"/>
      <c r="AT1295" s="326"/>
      <c r="AU1295" s="326"/>
      <c r="AV1295" s="326"/>
      <c r="AW1295" s="326"/>
      <c r="AX1295" s="326"/>
      <c r="AY1295" s="326"/>
      <c r="AZ1295" s="326"/>
      <c r="BA1295" s="326"/>
      <c r="BB1295" s="327"/>
    </row>
    <row r="1296" spans="1:54" ht="15.75" customHeight="1" x14ac:dyDescent="0.25">
      <c r="A1296" s="11">
        <f t="shared" si="5"/>
        <v>1283</v>
      </c>
      <c r="B1296" s="570" t="str">
        <f>'refer admin discharge'!B1292</f>
        <v>x</v>
      </c>
      <c r="C1296" s="327"/>
      <c r="D1296" s="599" t="str">
        <f>'refer admin discharge'!D1292</f>
        <v>xx</v>
      </c>
      <c r="E1296" s="327"/>
      <c r="F1296" s="600" t="str">
        <f>'refer admin discharge'!H1292</f>
        <v>00/00/0000</v>
      </c>
      <c r="G1296" s="327"/>
      <c r="H1296" s="574"/>
      <c r="I1296" s="327"/>
      <c r="J1296" s="601"/>
      <c r="K1296" s="327"/>
      <c r="L1296" s="574"/>
      <c r="M1296" s="327"/>
      <c r="N1296" s="594"/>
      <c r="O1296" s="327"/>
      <c r="P1296" s="574"/>
      <c r="Q1296" s="327"/>
      <c r="R1296" s="594"/>
      <c r="S1296" s="327"/>
      <c r="T1296" s="574"/>
      <c r="U1296" s="327"/>
      <c r="V1296" s="595" t="str">
        <f>'refer admin discharge'!H1297</f>
        <v>00/00/0000</v>
      </c>
      <c r="W1296" s="327"/>
      <c r="X1296" s="596"/>
      <c r="Y1296" s="327"/>
      <c r="Z1296" s="597"/>
      <c r="AA1296" s="327"/>
      <c r="AB1296" s="596"/>
      <c r="AC1296" s="327"/>
      <c r="AD1296" s="577"/>
      <c r="AE1296" s="327"/>
      <c r="AF1296" s="596"/>
      <c r="AG1296" s="327"/>
      <c r="AH1296" s="577"/>
      <c r="AI1296" s="327"/>
      <c r="AJ1296" s="596"/>
      <c r="AK1296" s="327"/>
      <c r="AL1296" s="598"/>
      <c r="AM1296" s="326"/>
      <c r="AN1296" s="326"/>
      <c r="AO1296" s="326"/>
      <c r="AP1296" s="326"/>
      <c r="AQ1296" s="326"/>
      <c r="AR1296" s="326"/>
      <c r="AS1296" s="326"/>
      <c r="AT1296" s="326"/>
      <c r="AU1296" s="326"/>
      <c r="AV1296" s="326"/>
      <c r="AW1296" s="326"/>
      <c r="AX1296" s="326"/>
      <c r="AY1296" s="326"/>
      <c r="AZ1296" s="326"/>
      <c r="BA1296" s="326"/>
      <c r="BB1296" s="327"/>
    </row>
    <row r="1297" spans="1:54" ht="15.75" customHeight="1" x14ac:dyDescent="0.25">
      <c r="A1297" s="11">
        <f t="shared" si="5"/>
        <v>1284</v>
      </c>
      <c r="B1297" s="504" t="str">
        <f>'refer admin discharge'!B1293</f>
        <v>x</v>
      </c>
      <c r="C1297" s="327"/>
      <c r="D1297" s="505" t="str">
        <f>'refer admin discharge'!D1293</f>
        <v>xx</v>
      </c>
      <c r="E1297" s="327"/>
      <c r="F1297" s="606" t="str">
        <f>'refer admin discharge'!H1293</f>
        <v>00/00/0000</v>
      </c>
      <c r="G1297" s="327"/>
      <c r="H1297" s="594"/>
      <c r="I1297" s="327"/>
      <c r="J1297" s="605"/>
      <c r="K1297" s="327"/>
      <c r="L1297" s="594"/>
      <c r="M1297" s="327"/>
      <c r="N1297" s="575"/>
      <c r="O1297" s="327"/>
      <c r="P1297" s="594"/>
      <c r="Q1297" s="327"/>
      <c r="R1297" s="575"/>
      <c r="S1297" s="327"/>
      <c r="T1297" s="594"/>
      <c r="U1297" s="327"/>
      <c r="V1297" s="595" t="str">
        <f>'refer admin discharge'!H1298</f>
        <v>00/00/0000</v>
      </c>
      <c r="W1297" s="327"/>
      <c r="X1297" s="577"/>
      <c r="Y1297" s="327"/>
      <c r="Z1297" s="604"/>
      <c r="AA1297" s="327"/>
      <c r="AB1297" s="577"/>
      <c r="AC1297" s="327"/>
      <c r="AD1297" s="576"/>
      <c r="AE1297" s="327"/>
      <c r="AF1297" s="577"/>
      <c r="AG1297" s="327"/>
      <c r="AH1297" s="576"/>
      <c r="AI1297" s="327"/>
      <c r="AJ1297" s="577"/>
      <c r="AK1297" s="327"/>
      <c r="AL1297" s="602"/>
      <c r="AM1297" s="326"/>
      <c r="AN1297" s="326"/>
      <c r="AO1297" s="326"/>
      <c r="AP1297" s="326"/>
      <c r="AQ1297" s="326"/>
      <c r="AR1297" s="326"/>
      <c r="AS1297" s="326"/>
      <c r="AT1297" s="326"/>
      <c r="AU1297" s="326"/>
      <c r="AV1297" s="326"/>
      <c r="AW1297" s="326"/>
      <c r="AX1297" s="326"/>
      <c r="AY1297" s="326"/>
      <c r="AZ1297" s="326"/>
      <c r="BA1297" s="326"/>
      <c r="BB1297" s="327"/>
    </row>
    <row r="1298" spans="1:54" ht="15.75" customHeight="1" x14ac:dyDescent="0.25">
      <c r="A1298" s="11">
        <f t="shared" si="5"/>
        <v>1285</v>
      </c>
      <c r="B1298" s="570" t="str">
        <f>'refer admin discharge'!B1294</f>
        <v>x</v>
      </c>
      <c r="C1298" s="327"/>
      <c r="D1298" s="599" t="str">
        <f>'refer admin discharge'!D1294</f>
        <v>xx</v>
      </c>
      <c r="E1298" s="327"/>
      <c r="F1298" s="600" t="str">
        <f>'refer admin discharge'!H1294</f>
        <v>00/00/0000</v>
      </c>
      <c r="G1298" s="327"/>
      <c r="H1298" s="574"/>
      <c r="I1298" s="327"/>
      <c r="J1298" s="601"/>
      <c r="K1298" s="327"/>
      <c r="L1298" s="574"/>
      <c r="M1298" s="327"/>
      <c r="N1298" s="594"/>
      <c r="O1298" s="327"/>
      <c r="P1298" s="574"/>
      <c r="Q1298" s="327"/>
      <c r="R1298" s="594"/>
      <c r="S1298" s="327"/>
      <c r="T1298" s="574"/>
      <c r="U1298" s="327"/>
      <c r="V1298" s="595" t="str">
        <f>'refer admin discharge'!H1299</f>
        <v>00/00/0000</v>
      </c>
      <c r="W1298" s="327"/>
      <c r="X1298" s="596"/>
      <c r="Y1298" s="327"/>
      <c r="Z1298" s="597"/>
      <c r="AA1298" s="327"/>
      <c r="AB1298" s="596"/>
      <c r="AC1298" s="327"/>
      <c r="AD1298" s="577"/>
      <c r="AE1298" s="327"/>
      <c r="AF1298" s="596"/>
      <c r="AG1298" s="327"/>
      <c r="AH1298" s="577"/>
      <c r="AI1298" s="327"/>
      <c r="AJ1298" s="596"/>
      <c r="AK1298" s="327"/>
      <c r="AL1298" s="598"/>
      <c r="AM1298" s="326"/>
      <c r="AN1298" s="326"/>
      <c r="AO1298" s="326"/>
      <c r="AP1298" s="326"/>
      <c r="AQ1298" s="326"/>
      <c r="AR1298" s="326"/>
      <c r="AS1298" s="326"/>
      <c r="AT1298" s="326"/>
      <c r="AU1298" s="326"/>
      <c r="AV1298" s="326"/>
      <c r="AW1298" s="326"/>
      <c r="AX1298" s="326"/>
      <c r="AY1298" s="326"/>
      <c r="AZ1298" s="326"/>
      <c r="BA1298" s="326"/>
      <c r="BB1298" s="327"/>
    </row>
    <row r="1299" spans="1:54" ht="15.75" customHeight="1" x14ac:dyDescent="0.25">
      <c r="A1299" s="11">
        <f t="shared" si="5"/>
        <v>1286</v>
      </c>
      <c r="B1299" s="504" t="str">
        <f>'refer admin discharge'!B1295</f>
        <v>x</v>
      </c>
      <c r="C1299" s="327"/>
      <c r="D1299" s="505" t="str">
        <f>'refer admin discharge'!D1295</f>
        <v>xx</v>
      </c>
      <c r="E1299" s="327"/>
      <c r="F1299" s="606" t="str">
        <f>'refer admin discharge'!H1295</f>
        <v>00/00/0000</v>
      </c>
      <c r="G1299" s="327"/>
      <c r="H1299" s="594"/>
      <c r="I1299" s="327"/>
      <c r="J1299" s="605"/>
      <c r="K1299" s="327"/>
      <c r="L1299" s="594"/>
      <c r="M1299" s="327"/>
      <c r="N1299" s="575"/>
      <c r="O1299" s="327"/>
      <c r="P1299" s="594"/>
      <c r="Q1299" s="327"/>
      <c r="R1299" s="575"/>
      <c r="S1299" s="327"/>
      <c r="T1299" s="594"/>
      <c r="U1299" s="327"/>
      <c r="V1299" s="595" t="str">
        <f>'refer admin discharge'!H1300</f>
        <v>00/00/0000</v>
      </c>
      <c r="W1299" s="327"/>
      <c r="X1299" s="577"/>
      <c r="Y1299" s="327"/>
      <c r="Z1299" s="604"/>
      <c r="AA1299" s="327"/>
      <c r="AB1299" s="577"/>
      <c r="AC1299" s="327"/>
      <c r="AD1299" s="576"/>
      <c r="AE1299" s="327"/>
      <c r="AF1299" s="577"/>
      <c r="AG1299" s="327"/>
      <c r="AH1299" s="576"/>
      <c r="AI1299" s="327"/>
      <c r="AJ1299" s="577"/>
      <c r="AK1299" s="327"/>
      <c r="AL1299" s="602"/>
      <c r="AM1299" s="326"/>
      <c r="AN1299" s="326"/>
      <c r="AO1299" s="326"/>
      <c r="AP1299" s="326"/>
      <c r="AQ1299" s="326"/>
      <c r="AR1299" s="326"/>
      <c r="AS1299" s="326"/>
      <c r="AT1299" s="326"/>
      <c r="AU1299" s="326"/>
      <c r="AV1299" s="326"/>
      <c r="AW1299" s="326"/>
      <c r="AX1299" s="326"/>
      <c r="AY1299" s="326"/>
      <c r="AZ1299" s="326"/>
      <c r="BA1299" s="326"/>
      <c r="BB1299" s="327"/>
    </row>
    <row r="1300" spans="1:54" ht="15.75" customHeight="1" x14ac:dyDescent="0.25">
      <c r="A1300" s="11">
        <f t="shared" si="5"/>
        <v>1287</v>
      </c>
      <c r="B1300" s="570" t="str">
        <f>'refer admin discharge'!B1296</f>
        <v>x</v>
      </c>
      <c r="C1300" s="327"/>
      <c r="D1300" s="599" t="str">
        <f>'refer admin discharge'!D1296</f>
        <v>xx</v>
      </c>
      <c r="E1300" s="327"/>
      <c r="F1300" s="600" t="str">
        <f>'refer admin discharge'!H1296</f>
        <v>00/00/0000</v>
      </c>
      <c r="G1300" s="327"/>
      <c r="H1300" s="574"/>
      <c r="I1300" s="327"/>
      <c r="J1300" s="601"/>
      <c r="K1300" s="327"/>
      <c r="L1300" s="574"/>
      <c r="M1300" s="327"/>
      <c r="N1300" s="594"/>
      <c r="O1300" s="327"/>
      <c r="P1300" s="574"/>
      <c r="Q1300" s="327"/>
      <c r="R1300" s="594"/>
      <c r="S1300" s="327"/>
      <c r="T1300" s="574"/>
      <c r="U1300" s="327"/>
      <c r="V1300" s="595" t="str">
        <f>'refer admin discharge'!H1301</f>
        <v>00/00/0000</v>
      </c>
      <c r="W1300" s="327"/>
      <c r="X1300" s="596"/>
      <c r="Y1300" s="327"/>
      <c r="Z1300" s="597"/>
      <c r="AA1300" s="327"/>
      <c r="AB1300" s="596"/>
      <c r="AC1300" s="327"/>
      <c r="AD1300" s="577"/>
      <c r="AE1300" s="327"/>
      <c r="AF1300" s="596"/>
      <c r="AG1300" s="327"/>
      <c r="AH1300" s="577"/>
      <c r="AI1300" s="327"/>
      <c r="AJ1300" s="596"/>
      <c r="AK1300" s="327"/>
      <c r="AL1300" s="598"/>
      <c r="AM1300" s="326"/>
      <c r="AN1300" s="326"/>
      <c r="AO1300" s="326"/>
      <c r="AP1300" s="326"/>
      <c r="AQ1300" s="326"/>
      <c r="AR1300" s="326"/>
      <c r="AS1300" s="326"/>
      <c r="AT1300" s="326"/>
      <c r="AU1300" s="326"/>
      <c r="AV1300" s="326"/>
      <c r="AW1300" s="326"/>
      <c r="AX1300" s="326"/>
      <c r="AY1300" s="326"/>
      <c r="AZ1300" s="326"/>
      <c r="BA1300" s="326"/>
      <c r="BB1300" s="327"/>
    </row>
    <row r="1301" spans="1:54" ht="15.75" customHeight="1" x14ac:dyDescent="0.25">
      <c r="A1301" s="11">
        <f t="shared" si="5"/>
        <v>1288</v>
      </c>
      <c r="B1301" s="504" t="str">
        <f>'refer admin discharge'!B1297</f>
        <v>x</v>
      </c>
      <c r="C1301" s="327"/>
      <c r="D1301" s="505" t="str">
        <f>'refer admin discharge'!D1297</f>
        <v>xx</v>
      </c>
      <c r="E1301" s="327"/>
      <c r="F1301" s="606" t="str">
        <f>'refer admin discharge'!H1297</f>
        <v>00/00/0000</v>
      </c>
      <c r="G1301" s="327"/>
      <c r="H1301" s="594"/>
      <c r="I1301" s="327"/>
      <c r="J1301" s="605"/>
      <c r="K1301" s="327"/>
      <c r="L1301" s="594"/>
      <c r="M1301" s="327"/>
      <c r="N1301" s="575"/>
      <c r="O1301" s="327"/>
      <c r="P1301" s="594"/>
      <c r="Q1301" s="327"/>
      <c r="R1301" s="575"/>
      <c r="S1301" s="327"/>
      <c r="T1301" s="594"/>
      <c r="U1301" s="327"/>
      <c r="V1301" s="595" t="str">
        <f>'refer admin discharge'!H1302</f>
        <v>00/00/0000</v>
      </c>
      <c r="W1301" s="327"/>
      <c r="X1301" s="577"/>
      <c r="Y1301" s="327"/>
      <c r="Z1301" s="604"/>
      <c r="AA1301" s="327"/>
      <c r="AB1301" s="577"/>
      <c r="AC1301" s="327"/>
      <c r="AD1301" s="576"/>
      <c r="AE1301" s="327"/>
      <c r="AF1301" s="577"/>
      <c r="AG1301" s="327"/>
      <c r="AH1301" s="576"/>
      <c r="AI1301" s="327"/>
      <c r="AJ1301" s="577"/>
      <c r="AK1301" s="327"/>
      <c r="AL1301" s="602"/>
      <c r="AM1301" s="326"/>
      <c r="AN1301" s="326"/>
      <c r="AO1301" s="326"/>
      <c r="AP1301" s="326"/>
      <c r="AQ1301" s="326"/>
      <c r="AR1301" s="326"/>
      <c r="AS1301" s="326"/>
      <c r="AT1301" s="326"/>
      <c r="AU1301" s="326"/>
      <c r="AV1301" s="326"/>
      <c r="AW1301" s="326"/>
      <c r="AX1301" s="326"/>
      <c r="AY1301" s="326"/>
      <c r="AZ1301" s="326"/>
      <c r="BA1301" s="326"/>
      <c r="BB1301" s="327"/>
    </row>
    <row r="1302" spans="1:54" ht="15.75" customHeight="1" x14ac:dyDescent="0.25">
      <c r="A1302" s="11">
        <f t="shared" si="5"/>
        <v>1289</v>
      </c>
      <c r="B1302" s="570" t="str">
        <f>'refer admin discharge'!B1298</f>
        <v>x</v>
      </c>
      <c r="C1302" s="327"/>
      <c r="D1302" s="599" t="str">
        <f>'refer admin discharge'!D1298</f>
        <v>xx</v>
      </c>
      <c r="E1302" s="327"/>
      <c r="F1302" s="600" t="str">
        <f>'refer admin discharge'!H1298</f>
        <v>00/00/0000</v>
      </c>
      <c r="G1302" s="327"/>
      <c r="H1302" s="574"/>
      <c r="I1302" s="327"/>
      <c r="J1302" s="601"/>
      <c r="K1302" s="327"/>
      <c r="L1302" s="574"/>
      <c r="M1302" s="327"/>
      <c r="N1302" s="594"/>
      <c r="O1302" s="327"/>
      <c r="P1302" s="574"/>
      <c r="Q1302" s="327"/>
      <c r="R1302" s="594"/>
      <c r="S1302" s="327"/>
      <c r="T1302" s="574"/>
      <c r="U1302" s="327"/>
      <c r="V1302" s="595" t="str">
        <f>'refer admin discharge'!H1303</f>
        <v>00/00/0000</v>
      </c>
      <c r="W1302" s="327"/>
      <c r="X1302" s="596"/>
      <c r="Y1302" s="327"/>
      <c r="Z1302" s="597"/>
      <c r="AA1302" s="327"/>
      <c r="AB1302" s="596"/>
      <c r="AC1302" s="327"/>
      <c r="AD1302" s="577"/>
      <c r="AE1302" s="327"/>
      <c r="AF1302" s="596"/>
      <c r="AG1302" s="327"/>
      <c r="AH1302" s="577"/>
      <c r="AI1302" s="327"/>
      <c r="AJ1302" s="596"/>
      <c r="AK1302" s="327"/>
      <c r="AL1302" s="598"/>
      <c r="AM1302" s="326"/>
      <c r="AN1302" s="326"/>
      <c r="AO1302" s="326"/>
      <c r="AP1302" s="326"/>
      <c r="AQ1302" s="326"/>
      <c r="AR1302" s="326"/>
      <c r="AS1302" s="326"/>
      <c r="AT1302" s="326"/>
      <c r="AU1302" s="326"/>
      <c r="AV1302" s="326"/>
      <c r="AW1302" s="326"/>
      <c r="AX1302" s="326"/>
      <c r="AY1302" s="326"/>
      <c r="AZ1302" s="326"/>
      <c r="BA1302" s="326"/>
      <c r="BB1302" s="327"/>
    </row>
    <row r="1303" spans="1:54" ht="15.75" customHeight="1" x14ac:dyDescent="0.25">
      <c r="A1303" s="11">
        <f t="shared" si="5"/>
        <v>1290</v>
      </c>
      <c r="B1303" s="504" t="str">
        <f>'refer admin discharge'!B1299</f>
        <v>x</v>
      </c>
      <c r="C1303" s="327"/>
      <c r="D1303" s="505" t="str">
        <f>'refer admin discharge'!D1299</f>
        <v>xx</v>
      </c>
      <c r="E1303" s="327"/>
      <c r="F1303" s="606" t="str">
        <f>'refer admin discharge'!H1299</f>
        <v>00/00/0000</v>
      </c>
      <c r="G1303" s="327"/>
      <c r="H1303" s="594"/>
      <c r="I1303" s="327"/>
      <c r="J1303" s="605"/>
      <c r="K1303" s="327"/>
      <c r="L1303" s="594"/>
      <c r="M1303" s="327"/>
      <c r="N1303" s="575"/>
      <c r="O1303" s="327"/>
      <c r="P1303" s="594"/>
      <c r="Q1303" s="327"/>
      <c r="R1303" s="575"/>
      <c r="S1303" s="327"/>
      <c r="T1303" s="594"/>
      <c r="U1303" s="327"/>
      <c r="V1303" s="595" t="str">
        <f>'refer admin discharge'!H1304</f>
        <v>00/00/0000</v>
      </c>
      <c r="W1303" s="327"/>
      <c r="X1303" s="577"/>
      <c r="Y1303" s="327"/>
      <c r="Z1303" s="604"/>
      <c r="AA1303" s="327"/>
      <c r="AB1303" s="577"/>
      <c r="AC1303" s="327"/>
      <c r="AD1303" s="576"/>
      <c r="AE1303" s="327"/>
      <c r="AF1303" s="577"/>
      <c r="AG1303" s="327"/>
      <c r="AH1303" s="576"/>
      <c r="AI1303" s="327"/>
      <c r="AJ1303" s="577"/>
      <c r="AK1303" s="327"/>
      <c r="AL1303" s="602"/>
      <c r="AM1303" s="326"/>
      <c r="AN1303" s="326"/>
      <c r="AO1303" s="326"/>
      <c r="AP1303" s="326"/>
      <c r="AQ1303" s="326"/>
      <c r="AR1303" s="326"/>
      <c r="AS1303" s="326"/>
      <c r="AT1303" s="326"/>
      <c r="AU1303" s="326"/>
      <c r="AV1303" s="326"/>
      <c r="AW1303" s="326"/>
      <c r="AX1303" s="326"/>
      <c r="AY1303" s="326"/>
      <c r="AZ1303" s="326"/>
      <c r="BA1303" s="326"/>
      <c r="BB1303" s="327"/>
    </row>
    <row r="1304" spans="1:54" ht="15.75" customHeight="1" x14ac:dyDescent="0.25">
      <c r="A1304" s="11">
        <f t="shared" si="5"/>
        <v>1291</v>
      </c>
      <c r="B1304" s="570" t="str">
        <f>'refer admin discharge'!B1300</f>
        <v>x</v>
      </c>
      <c r="C1304" s="327"/>
      <c r="D1304" s="599" t="str">
        <f>'refer admin discharge'!D1300</f>
        <v>xx</v>
      </c>
      <c r="E1304" s="327"/>
      <c r="F1304" s="600" t="str">
        <f>'refer admin discharge'!H1300</f>
        <v>00/00/0000</v>
      </c>
      <c r="G1304" s="327"/>
      <c r="H1304" s="574"/>
      <c r="I1304" s="327"/>
      <c r="J1304" s="601"/>
      <c r="K1304" s="327"/>
      <c r="L1304" s="574"/>
      <c r="M1304" s="327"/>
      <c r="N1304" s="594"/>
      <c r="O1304" s="327"/>
      <c r="P1304" s="574"/>
      <c r="Q1304" s="327"/>
      <c r="R1304" s="594"/>
      <c r="S1304" s="327"/>
      <c r="T1304" s="574"/>
      <c r="U1304" s="327"/>
      <c r="V1304" s="595" t="str">
        <f>'refer admin discharge'!H1305</f>
        <v>00/00/0000</v>
      </c>
      <c r="W1304" s="327"/>
      <c r="X1304" s="596"/>
      <c r="Y1304" s="327"/>
      <c r="Z1304" s="597"/>
      <c r="AA1304" s="327"/>
      <c r="AB1304" s="596"/>
      <c r="AC1304" s="327"/>
      <c r="AD1304" s="577"/>
      <c r="AE1304" s="327"/>
      <c r="AF1304" s="596"/>
      <c r="AG1304" s="327"/>
      <c r="AH1304" s="577"/>
      <c r="AI1304" s="327"/>
      <c r="AJ1304" s="596"/>
      <c r="AK1304" s="327"/>
      <c r="AL1304" s="598"/>
      <c r="AM1304" s="326"/>
      <c r="AN1304" s="326"/>
      <c r="AO1304" s="326"/>
      <c r="AP1304" s="326"/>
      <c r="AQ1304" s="326"/>
      <c r="AR1304" s="326"/>
      <c r="AS1304" s="326"/>
      <c r="AT1304" s="326"/>
      <c r="AU1304" s="326"/>
      <c r="AV1304" s="326"/>
      <c r="AW1304" s="326"/>
      <c r="AX1304" s="326"/>
      <c r="AY1304" s="326"/>
      <c r="AZ1304" s="326"/>
      <c r="BA1304" s="326"/>
      <c r="BB1304" s="327"/>
    </row>
    <row r="1305" spans="1:54" ht="15.75" customHeight="1" x14ac:dyDescent="0.25">
      <c r="A1305" s="11">
        <f t="shared" si="5"/>
        <v>1292</v>
      </c>
      <c r="B1305" s="504" t="str">
        <f>'refer admin discharge'!B1301</f>
        <v>x</v>
      </c>
      <c r="C1305" s="327"/>
      <c r="D1305" s="505" t="str">
        <f>'refer admin discharge'!D1301</f>
        <v>xx</v>
      </c>
      <c r="E1305" s="327"/>
      <c r="F1305" s="606" t="str">
        <f>'refer admin discharge'!H1301</f>
        <v>00/00/0000</v>
      </c>
      <c r="G1305" s="327"/>
      <c r="H1305" s="594"/>
      <c r="I1305" s="327"/>
      <c r="J1305" s="605"/>
      <c r="K1305" s="327"/>
      <c r="L1305" s="594"/>
      <c r="M1305" s="327"/>
      <c r="N1305" s="575"/>
      <c r="O1305" s="327"/>
      <c r="P1305" s="594"/>
      <c r="Q1305" s="327"/>
      <c r="R1305" s="575"/>
      <c r="S1305" s="327"/>
      <c r="T1305" s="594"/>
      <c r="U1305" s="327"/>
      <c r="V1305" s="595" t="str">
        <f>'refer admin discharge'!H1306</f>
        <v>00/00/0000</v>
      </c>
      <c r="W1305" s="327"/>
      <c r="X1305" s="577"/>
      <c r="Y1305" s="327"/>
      <c r="Z1305" s="604"/>
      <c r="AA1305" s="327"/>
      <c r="AB1305" s="577"/>
      <c r="AC1305" s="327"/>
      <c r="AD1305" s="576"/>
      <c r="AE1305" s="327"/>
      <c r="AF1305" s="577"/>
      <c r="AG1305" s="327"/>
      <c r="AH1305" s="576"/>
      <c r="AI1305" s="327"/>
      <c r="AJ1305" s="577"/>
      <c r="AK1305" s="327"/>
      <c r="AL1305" s="602"/>
      <c r="AM1305" s="326"/>
      <c r="AN1305" s="326"/>
      <c r="AO1305" s="326"/>
      <c r="AP1305" s="326"/>
      <c r="AQ1305" s="326"/>
      <c r="AR1305" s="326"/>
      <c r="AS1305" s="326"/>
      <c r="AT1305" s="326"/>
      <c r="AU1305" s="326"/>
      <c r="AV1305" s="326"/>
      <c r="AW1305" s="326"/>
      <c r="AX1305" s="326"/>
      <c r="AY1305" s="326"/>
      <c r="AZ1305" s="326"/>
      <c r="BA1305" s="326"/>
      <c r="BB1305" s="327"/>
    </row>
    <row r="1306" spans="1:54" ht="15.75" customHeight="1" x14ac:dyDescent="0.25">
      <c r="A1306" s="11">
        <f t="shared" si="5"/>
        <v>1293</v>
      </c>
      <c r="B1306" s="570" t="str">
        <f>'refer admin discharge'!B1302</f>
        <v>x</v>
      </c>
      <c r="C1306" s="327"/>
      <c r="D1306" s="599" t="str">
        <f>'refer admin discharge'!D1302</f>
        <v>xx</v>
      </c>
      <c r="E1306" s="327"/>
      <c r="F1306" s="600" t="str">
        <f>'refer admin discharge'!H1302</f>
        <v>00/00/0000</v>
      </c>
      <c r="G1306" s="327"/>
      <c r="H1306" s="574"/>
      <c r="I1306" s="327"/>
      <c r="J1306" s="601"/>
      <c r="K1306" s="327"/>
      <c r="L1306" s="574"/>
      <c r="M1306" s="327"/>
      <c r="N1306" s="594"/>
      <c r="O1306" s="327"/>
      <c r="P1306" s="574"/>
      <c r="Q1306" s="327"/>
      <c r="R1306" s="594"/>
      <c r="S1306" s="327"/>
      <c r="T1306" s="574"/>
      <c r="U1306" s="327"/>
      <c r="V1306" s="595" t="str">
        <f>'refer admin discharge'!H1307</f>
        <v>00/00/0000</v>
      </c>
      <c r="W1306" s="327"/>
      <c r="X1306" s="596"/>
      <c r="Y1306" s="327"/>
      <c r="Z1306" s="597"/>
      <c r="AA1306" s="327"/>
      <c r="AB1306" s="596"/>
      <c r="AC1306" s="327"/>
      <c r="AD1306" s="577"/>
      <c r="AE1306" s="327"/>
      <c r="AF1306" s="596"/>
      <c r="AG1306" s="327"/>
      <c r="AH1306" s="577"/>
      <c r="AI1306" s="327"/>
      <c r="AJ1306" s="596"/>
      <c r="AK1306" s="327"/>
      <c r="AL1306" s="598"/>
      <c r="AM1306" s="326"/>
      <c r="AN1306" s="326"/>
      <c r="AO1306" s="326"/>
      <c r="AP1306" s="326"/>
      <c r="AQ1306" s="326"/>
      <c r="AR1306" s="326"/>
      <c r="AS1306" s="326"/>
      <c r="AT1306" s="326"/>
      <c r="AU1306" s="326"/>
      <c r="AV1306" s="326"/>
      <c r="AW1306" s="326"/>
      <c r="AX1306" s="326"/>
      <c r="AY1306" s="326"/>
      <c r="AZ1306" s="326"/>
      <c r="BA1306" s="326"/>
      <c r="BB1306" s="327"/>
    </row>
    <row r="1307" spans="1:54" ht="15.75" customHeight="1" x14ac:dyDescent="0.25">
      <c r="A1307" s="11">
        <f t="shared" si="5"/>
        <v>1294</v>
      </c>
      <c r="B1307" s="504" t="str">
        <f>'refer admin discharge'!B1303</f>
        <v>x</v>
      </c>
      <c r="C1307" s="327"/>
      <c r="D1307" s="505" t="str">
        <f>'refer admin discharge'!D1303</f>
        <v>xx</v>
      </c>
      <c r="E1307" s="327"/>
      <c r="F1307" s="606" t="str">
        <f>'refer admin discharge'!H1303</f>
        <v>00/00/0000</v>
      </c>
      <c r="G1307" s="327"/>
      <c r="H1307" s="594"/>
      <c r="I1307" s="327"/>
      <c r="J1307" s="605"/>
      <c r="K1307" s="327"/>
      <c r="L1307" s="594"/>
      <c r="M1307" s="327"/>
      <c r="N1307" s="575"/>
      <c r="O1307" s="327"/>
      <c r="P1307" s="594"/>
      <c r="Q1307" s="327"/>
      <c r="R1307" s="575"/>
      <c r="S1307" s="327"/>
      <c r="T1307" s="594"/>
      <c r="U1307" s="327"/>
      <c r="V1307" s="595" t="str">
        <f>'refer admin discharge'!H1308</f>
        <v>00/00/0000</v>
      </c>
      <c r="W1307" s="327"/>
      <c r="X1307" s="577"/>
      <c r="Y1307" s="327"/>
      <c r="Z1307" s="604"/>
      <c r="AA1307" s="327"/>
      <c r="AB1307" s="577"/>
      <c r="AC1307" s="327"/>
      <c r="AD1307" s="576"/>
      <c r="AE1307" s="327"/>
      <c r="AF1307" s="577"/>
      <c r="AG1307" s="327"/>
      <c r="AH1307" s="576"/>
      <c r="AI1307" s="327"/>
      <c r="AJ1307" s="577"/>
      <c r="AK1307" s="327"/>
      <c r="AL1307" s="602"/>
      <c r="AM1307" s="326"/>
      <c r="AN1307" s="326"/>
      <c r="AO1307" s="326"/>
      <c r="AP1307" s="326"/>
      <c r="AQ1307" s="326"/>
      <c r="AR1307" s="326"/>
      <c r="AS1307" s="326"/>
      <c r="AT1307" s="326"/>
      <c r="AU1307" s="326"/>
      <c r="AV1307" s="326"/>
      <c r="AW1307" s="326"/>
      <c r="AX1307" s="326"/>
      <c r="AY1307" s="326"/>
      <c r="AZ1307" s="326"/>
      <c r="BA1307" s="326"/>
      <c r="BB1307" s="327"/>
    </row>
    <row r="1308" spans="1:54" ht="15.75" customHeight="1" x14ac:dyDescent="0.25">
      <c r="A1308" s="11">
        <f t="shared" si="5"/>
        <v>1295</v>
      </c>
      <c r="B1308" s="570" t="str">
        <f>'refer admin discharge'!B1304</f>
        <v>x</v>
      </c>
      <c r="C1308" s="327"/>
      <c r="D1308" s="599" t="str">
        <f>'refer admin discharge'!D1304</f>
        <v>xx</v>
      </c>
      <c r="E1308" s="327"/>
      <c r="F1308" s="600" t="str">
        <f>'refer admin discharge'!H1304</f>
        <v>00/00/0000</v>
      </c>
      <c r="G1308" s="327"/>
      <c r="H1308" s="574"/>
      <c r="I1308" s="327"/>
      <c r="J1308" s="601"/>
      <c r="K1308" s="327"/>
      <c r="L1308" s="574"/>
      <c r="M1308" s="327"/>
      <c r="N1308" s="594"/>
      <c r="O1308" s="327"/>
      <c r="P1308" s="574"/>
      <c r="Q1308" s="327"/>
      <c r="R1308" s="594"/>
      <c r="S1308" s="327"/>
      <c r="T1308" s="574"/>
      <c r="U1308" s="327"/>
      <c r="V1308" s="595" t="str">
        <f>'refer admin discharge'!H1309</f>
        <v>00/00/0000</v>
      </c>
      <c r="W1308" s="327"/>
      <c r="X1308" s="596"/>
      <c r="Y1308" s="327"/>
      <c r="Z1308" s="597"/>
      <c r="AA1308" s="327"/>
      <c r="AB1308" s="596"/>
      <c r="AC1308" s="327"/>
      <c r="AD1308" s="577"/>
      <c r="AE1308" s="327"/>
      <c r="AF1308" s="596"/>
      <c r="AG1308" s="327"/>
      <c r="AH1308" s="577"/>
      <c r="AI1308" s="327"/>
      <c r="AJ1308" s="596"/>
      <c r="AK1308" s="327"/>
      <c r="AL1308" s="598"/>
      <c r="AM1308" s="326"/>
      <c r="AN1308" s="326"/>
      <c r="AO1308" s="326"/>
      <c r="AP1308" s="326"/>
      <c r="AQ1308" s="326"/>
      <c r="AR1308" s="326"/>
      <c r="AS1308" s="326"/>
      <c r="AT1308" s="326"/>
      <c r="AU1308" s="326"/>
      <c r="AV1308" s="326"/>
      <c r="AW1308" s="326"/>
      <c r="AX1308" s="326"/>
      <c r="AY1308" s="326"/>
      <c r="AZ1308" s="326"/>
      <c r="BA1308" s="326"/>
      <c r="BB1308" s="327"/>
    </row>
    <row r="1309" spans="1:54" ht="15.75" customHeight="1" x14ac:dyDescent="0.25">
      <c r="A1309" s="11">
        <f t="shared" si="5"/>
        <v>1296</v>
      </c>
      <c r="B1309" s="504" t="str">
        <f>'refer admin discharge'!B1305</f>
        <v>x</v>
      </c>
      <c r="C1309" s="327"/>
      <c r="D1309" s="505" t="str">
        <f>'refer admin discharge'!D1305</f>
        <v>xx</v>
      </c>
      <c r="E1309" s="327"/>
      <c r="F1309" s="606" t="str">
        <f>'refer admin discharge'!H1305</f>
        <v>00/00/0000</v>
      </c>
      <c r="G1309" s="327"/>
      <c r="H1309" s="594"/>
      <c r="I1309" s="327"/>
      <c r="J1309" s="605"/>
      <c r="K1309" s="327"/>
      <c r="L1309" s="594"/>
      <c r="M1309" s="327"/>
      <c r="N1309" s="575"/>
      <c r="O1309" s="327"/>
      <c r="P1309" s="594"/>
      <c r="Q1309" s="327"/>
      <c r="R1309" s="575"/>
      <c r="S1309" s="327"/>
      <c r="T1309" s="594"/>
      <c r="U1309" s="327"/>
      <c r="V1309" s="595" t="str">
        <f>'refer admin discharge'!H1310</f>
        <v>00/00/0000</v>
      </c>
      <c r="W1309" s="327"/>
      <c r="X1309" s="577"/>
      <c r="Y1309" s="327"/>
      <c r="Z1309" s="604"/>
      <c r="AA1309" s="327"/>
      <c r="AB1309" s="577"/>
      <c r="AC1309" s="327"/>
      <c r="AD1309" s="576"/>
      <c r="AE1309" s="327"/>
      <c r="AF1309" s="577"/>
      <c r="AG1309" s="327"/>
      <c r="AH1309" s="576"/>
      <c r="AI1309" s="327"/>
      <c r="AJ1309" s="577"/>
      <c r="AK1309" s="327"/>
      <c r="AL1309" s="602"/>
      <c r="AM1309" s="326"/>
      <c r="AN1309" s="326"/>
      <c r="AO1309" s="326"/>
      <c r="AP1309" s="326"/>
      <c r="AQ1309" s="326"/>
      <c r="AR1309" s="326"/>
      <c r="AS1309" s="326"/>
      <c r="AT1309" s="326"/>
      <c r="AU1309" s="326"/>
      <c r="AV1309" s="326"/>
      <c r="AW1309" s="326"/>
      <c r="AX1309" s="326"/>
      <c r="AY1309" s="326"/>
      <c r="AZ1309" s="326"/>
      <c r="BA1309" s="326"/>
      <c r="BB1309" s="327"/>
    </row>
    <row r="1310" spans="1:54" ht="15.75" customHeight="1" x14ac:dyDescent="0.25">
      <c r="A1310" s="11">
        <f t="shared" si="5"/>
        <v>1297</v>
      </c>
      <c r="B1310" s="570" t="str">
        <f>'refer admin discharge'!B1306</f>
        <v>x</v>
      </c>
      <c r="C1310" s="327"/>
      <c r="D1310" s="599" t="str">
        <f>'refer admin discharge'!D1306</f>
        <v>xx</v>
      </c>
      <c r="E1310" s="327"/>
      <c r="F1310" s="600" t="str">
        <f>'refer admin discharge'!H1306</f>
        <v>00/00/0000</v>
      </c>
      <c r="G1310" s="327"/>
      <c r="H1310" s="574"/>
      <c r="I1310" s="327"/>
      <c r="J1310" s="601"/>
      <c r="K1310" s="327"/>
      <c r="L1310" s="574"/>
      <c r="M1310" s="327"/>
      <c r="N1310" s="594"/>
      <c r="O1310" s="327"/>
      <c r="P1310" s="574"/>
      <c r="Q1310" s="327"/>
      <c r="R1310" s="594"/>
      <c r="S1310" s="327"/>
      <c r="T1310" s="574"/>
      <c r="U1310" s="327"/>
      <c r="V1310" s="595" t="str">
        <f>'refer admin discharge'!H1311</f>
        <v>00/00/0000</v>
      </c>
      <c r="W1310" s="327"/>
      <c r="X1310" s="596"/>
      <c r="Y1310" s="327"/>
      <c r="Z1310" s="597"/>
      <c r="AA1310" s="327"/>
      <c r="AB1310" s="596"/>
      <c r="AC1310" s="327"/>
      <c r="AD1310" s="577"/>
      <c r="AE1310" s="327"/>
      <c r="AF1310" s="596"/>
      <c r="AG1310" s="327"/>
      <c r="AH1310" s="577"/>
      <c r="AI1310" s="327"/>
      <c r="AJ1310" s="596"/>
      <c r="AK1310" s="327"/>
      <c r="AL1310" s="598"/>
      <c r="AM1310" s="326"/>
      <c r="AN1310" s="326"/>
      <c r="AO1310" s="326"/>
      <c r="AP1310" s="326"/>
      <c r="AQ1310" s="326"/>
      <c r="AR1310" s="326"/>
      <c r="AS1310" s="326"/>
      <c r="AT1310" s="326"/>
      <c r="AU1310" s="326"/>
      <c r="AV1310" s="326"/>
      <c r="AW1310" s="326"/>
      <c r="AX1310" s="326"/>
      <c r="AY1310" s="326"/>
      <c r="AZ1310" s="326"/>
      <c r="BA1310" s="326"/>
      <c r="BB1310" s="327"/>
    </row>
    <row r="1311" spans="1:54" ht="15.75" customHeight="1" x14ac:dyDescent="0.25">
      <c r="A1311" s="11">
        <f t="shared" si="5"/>
        <v>1298</v>
      </c>
      <c r="B1311" s="504" t="str">
        <f>'refer admin discharge'!B1307</f>
        <v>x</v>
      </c>
      <c r="C1311" s="327"/>
      <c r="D1311" s="505" t="str">
        <f>'refer admin discharge'!D1307</f>
        <v>xx</v>
      </c>
      <c r="E1311" s="327"/>
      <c r="F1311" s="606" t="str">
        <f>'refer admin discharge'!H1307</f>
        <v>00/00/0000</v>
      </c>
      <c r="G1311" s="327"/>
      <c r="H1311" s="594"/>
      <c r="I1311" s="327"/>
      <c r="J1311" s="605"/>
      <c r="K1311" s="327"/>
      <c r="L1311" s="594"/>
      <c r="M1311" s="327"/>
      <c r="N1311" s="575"/>
      <c r="O1311" s="327"/>
      <c r="P1311" s="594"/>
      <c r="Q1311" s="327"/>
      <c r="R1311" s="575"/>
      <c r="S1311" s="327"/>
      <c r="T1311" s="594"/>
      <c r="U1311" s="327"/>
      <c r="V1311" s="595" t="str">
        <f>'refer admin discharge'!H1312</f>
        <v>00/00/0000</v>
      </c>
      <c r="W1311" s="327"/>
      <c r="X1311" s="577"/>
      <c r="Y1311" s="327"/>
      <c r="Z1311" s="604"/>
      <c r="AA1311" s="327"/>
      <c r="AB1311" s="577"/>
      <c r="AC1311" s="327"/>
      <c r="AD1311" s="576"/>
      <c r="AE1311" s="327"/>
      <c r="AF1311" s="577"/>
      <c r="AG1311" s="327"/>
      <c r="AH1311" s="576"/>
      <c r="AI1311" s="327"/>
      <c r="AJ1311" s="577"/>
      <c r="AK1311" s="327"/>
      <c r="AL1311" s="602"/>
      <c r="AM1311" s="326"/>
      <c r="AN1311" s="326"/>
      <c r="AO1311" s="326"/>
      <c r="AP1311" s="326"/>
      <c r="AQ1311" s="326"/>
      <c r="AR1311" s="326"/>
      <c r="AS1311" s="326"/>
      <c r="AT1311" s="326"/>
      <c r="AU1311" s="326"/>
      <c r="AV1311" s="326"/>
      <c r="AW1311" s="326"/>
      <c r="AX1311" s="326"/>
      <c r="AY1311" s="326"/>
      <c r="AZ1311" s="326"/>
      <c r="BA1311" s="326"/>
      <c r="BB1311" s="327"/>
    </row>
    <row r="1312" spans="1:54" ht="15.75" customHeight="1" x14ac:dyDescent="0.25">
      <c r="A1312" s="11">
        <f t="shared" si="5"/>
        <v>1299</v>
      </c>
      <c r="B1312" s="570" t="str">
        <f>'refer admin discharge'!B1308</f>
        <v>x</v>
      </c>
      <c r="C1312" s="327"/>
      <c r="D1312" s="599" t="str">
        <f>'refer admin discharge'!D1308</f>
        <v>xx</v>
      </c>
      <c r="E1312" s="327"/>
      <c r="F1312" s="600" t="str">
        <f>'refer admin discharge'!H1308</f>
        <v>00/00/0000</v>
      </c>
      <c r="G1312" s="327"/>
      <c r="H1312" s="574"/>
      <c r="I1312" s="327"/>
      <c r="J1312" s="601"/>
      <c r="K1312" s="327"/>
      <c r="L1312" s="574"/>
      <c r="M1312" s="327"/>
      <c r="N1312" s="594"/>
      <c r="O1312" s="327"/>
      <c r="P1312" s="574"/>
      <c r="Q1312" s="327"/>
      <c r="R1312" s="594"/>
      <c r="S1312" s="327"/>
      <c r="T1312" s="574"/>
      <c r="U1312" s="327"/>
      <c r="V1312" s="595" t="str">
        <f>'refer admin discharge'!H1313</f>
        <v>00/00/0000</v>
      </c>
      <c r="W1312" s="327"/>
      <c r="X1312" s="596"/>
      <c r="Y1312" s="327"/>
      <c r="Z1312" s="597"/>
      <c r="AA1312" s="327"/>
      <c r="AB1312" s="596"/>
      <c r="AC1312" s="327"/>
      <c r="AD1312" s="577"/>
      <c r="AE1312" s="327"/>
      <c r="AF1312" s="596"/>
      <c r="AG1312" s="327"/>
      <c r="AH1312" s="577"/>
      <c r="AI1312" s="327"/>
      <c r="AJ1312" s="596"/>
      <c r="AK1312" s="327"/>
      <c r="AL1312" s="598"/>
      <c r="AM1312" s="326"/>
      <c r="AN1312" s="326"/>
      <c r="AO1312" s="326"/>
      <c r="AP1312" s="326"/>
      <c r="AQ1312" s="326"/>
      <c r="AR1312" s="326"/>
      <c r="AS1312" s="326"/>
      <c r="AT1312" s="326"/>
      <c r="AU1312" s="326"/>
      <c r="AV1312" s="326"/>
      <c r="AW1312" s="326"/>
      <c r="AX1312" s="326"/>
      <c r="AY1312" s="326"/>
      <c r="AZ1312" s="326"/>
      <c r="BA1312" s="326"/>
      <c r="BB1312" s="327"/>
    </row>
    <row r="1313" spans="1:54" ht="15.75" customHeight="1" x14ac:dyDescent="0.25">
      <c r="A1313" s="11">
        <f t="shared" si="5"/>
        <v>1300</v>
      </c>
      <c r="B1313" s="504" t="str">
        <f>'refer admin discharge'!B1309</f>
        <v>x</v>
      </c>
      <c r="C1313" s="327"/>
      <c r="D1313" s="505" t="str">
        <f>'refer admin discharge'!D1309</f>
        <v>xx</v>
      </c>
      <c r="E1313" s="327"/>
      <c r="F1313" s="606" t="str">
        <f>'refer admin discharge'!H1309</f>
        <v>00/00/0000</v>
      </c>
      <c r="G1313" s="327"/>
      <c r="H1313" s="594"/>
      <c r="I1313" s="327"/>
      <c r="J1313" s="605"/>
      <c r="K1313" s="327"/>
      <c r="L1313" s="594"/>
      <c r="M1313" s="327"/>
      <c r="N1313" s="575"/>
      <c r="O1313" s="327"/>
      <c r="P1313" s="594"/>
      <c r="Q1313" s="327"/>
      <c r="R1313" s="575"/>
      <c r="S1313" s="327"/>
      <c r="T1313" s="594"/>
      <c r="U1313" s="327"/>
      <c r="V1313" s="595" t="str">
        <f>'refer admin discharge'!H1314</f>
        <v>00/00/0000</v>
      </c>
      <c r="W1313" s="327"/>
      <c r="X1313" s="577"/>
      <c r="Y1313" s="327"/>
      <c r="Z1313" s="604"/>
      <c r="AA1313" s="327"/>
      <c r="AB1313" s="577"/>
      <c r="AC1313" s="327"/>
      <c r="AD1313" s="576"/>
      <c r="AE1313" s="327"/>
      <c r="AF1313" s="577"/>
      <c r="AG1313" s="327"/>
      <c r="AH1313" s="576"/>
      <c r="AI1313" s="327"/>
      <c r="AJ1313" s="577"/>
      <c r="AK1313" s="327"/>
      <c r="AL1313" s="602"/>
      <c r="AM1313" s="326"/>
      <c r="AN1313" s="326"/>
      <c r="AO1313" s="326"/>
      <c r="AP1313" s="326"/>
      <c r="AQ1313" s="326"/>
      <c r="AR1313" s="326"/>
      <c r="AS1313" s="326"/>
      <c r="AT1313" s="326"/>
      <c r="AU1313" s="326"/>
      <c r="AV1313" s="326"/>
      <c r="AW1313" s="326"/>
      <c r="AX1313" s="326"/>
      <c r="AY1313" s="326"/>
      <c r="AZ1313" s="326"/>
      <c r="BA1313" s="326"/>
      <c r="BB1313" s="327"/>
    </row>
    <row r="1314" spans="1:54" ht="15.75" customHeight="1" x14ac:dyDescent="0.25">
      <c r="A1314" s="11">
        <f t="shared" si="5"/>
        <v>1301</v>
      </c>
      <c r="B1314" s="570" t="str">
        <f>'refer admin discharge'!B1310</f>
        <v>x</v>
      </c>
      <c r="C1314" s="327"/>
      <c r="D1314" s="599" t="str">
        <f>'refer admin discharge'!D1310</f>
        <v>xx</v>
      </c>
      <c r="E1314" s="327"/>
      <c r="F1314" s="600" t="str">
        <f>'refer admin discharge'!H1310</f>
        <v>00/00/0000</v>
      </c>
      <c r="G1314" s="327"/>
      <c r="H1314" s="574"/>
      <c r="I1314" s="327"/>
      <c r="J1314" s="601"/>
      <c r="K1314" s="327"/>
      <c r="L1314" s="574"/>
      <c r="M1314" s="327"/>
      <c r="N1314" s="594"/>
      <c r="O1314" s="327"/>
      <c r="P1314" s="574"/>
      <c r="Q1314" s="327"/>
      <c r="R1314" s="594"/>
      <c r="S1314" s="327"/>
      <c r="T1314" s="574"/>
      <c r="U1314" s="327"/>
      <c r="V1314" s="595" t="str">
        <f>'refer admin discharge'!H1315</f>
        <v>00/00/0000</v>
      </c>
      <c r="W1314" s="327"/>
      <c r="X1314" s="596"/>
      <c r="Y1314" s="327"/>
      <c r="Z1314" s="597"/>
      <c r="AA1314" s="327"/>
      <c r="AB1314" s="596"/>
      <c r="AC1314" s="327"/>
      <c r="AD1314" s="577"/>
      <c r="AE1314" s="327"/>
      <c r="AF1314" s="596"/>
      <c r="AG1314" s="327"/>
      <c r="AH1314" s="577"/>
      <c r="AI1314" s="327"/>
      <c r="AJ1314" s="596"/>
      <c r="AK1314" s="327"/>
      <c r="AL1314" s="598"/>
      <c r="AM1314" s="326"/>
      <c r="AN1314" s="326"/>
      <c r="AO1314" s="326"/>
      <c r="AP1314" s="326"/>
      <c r="AQ1314" s="326"/>
      <c r="AR1314" s="326"/>
      <c r="AS1314" s="326"/>
      <c r="AT1314" s="326"/>
      <c r="AU1314" s="326"/>
      <c r="AV1314" s="326"/>
      <c r="AW1314" s="326"/>
      <c r="AX1314" s="326"/>
      <c r="AY1314" s="326"/>
      <c r="AZ1314" s="326"/>
      <c r="BA1314" s="326"/>
      <c r="BB1314" s="327"/>
    </row>
    <row r="1315" spans="1:54" ht="15.75" customHeight="1" x14ac:dyDescent="0.25">
      <c r="A1315" s="11">
        <f t="shared" si="5"/>
        <v>1302</v>
      </c>
      <c r="B1315" s="504" t="str">
        <f>'refer admin discharge'!B1311</f>
        <v>x</v>
      </c>
      <c r="C1315" s="327"/>
      <c r="D1315" s="505" t="str">
        <f>'refer admin discharge'!D1311</f>
        <v>xx</v>
      </c>
      <c r="E1315" s="327"/>
      <c r="F1315" s="606" t="str">
        <f>'refer admin discharge'!H1311</f>
        <v>00/00/0000</v>
      </c>
      <c r="G1315" s="327"/>
      <c r="H1315" s="594"/>
      <c r="I1315" s="327"/>
      <c r="J1315" s="605"/>
      <c r="K1315" s="327"/>
      <c r="L1315" s="594"/>
      <c r="M1315" s="327"/>
      <c r="N1315" s="575"/>
      <c r="O1315" s="327"/>
      <c r="P1315" s="594"/>
      <c r="Q1315" s="327"/>
      <c r="R1315" s="575"/>
      <c r="S1315" s="327"/>
      <c r="T1315" s="594"/>
      <c r="U1315" s="327"/>
      <c r="V1315" s="595" t="str">
        <f>'refer admin discharge'!H1316</f>
        <v>00/00/0000</v>
      </c>
      <c r="W1315" s="327"/>
      <c r="X1315" s="577"/>
      <c r="Y1315" s="327"/>
      <c r="Z1315" s="604"/>
      <c r="AA1315" s="327"/>
      <c r="AB1315" s="577"/>
      <c r="AC1315" s="327"/>
      <c r="AD1315" s="576"/>
      <c r="AE1315" s="327"/>
      <c r="AF1315" s="577"/>
      <c r="AG1315" s="327"/>
      <c r="AH1315" s="576"/>
      <c r="AI1315" s="327"/>
      <c r="AJ1315" s="577"/>
      <c r="AK1315" s="327"/>
      <c r="AL1315" s="602"/>
      <c r="AM1315" s="326"/>
      <c r="AN1315" s="326"/>
      <c r="AO1315" s="326"/>
      <c r="AP1315" s="326"/>
      <c r="AQ1315" s="326"/>
      <c r="AR1315" s="326"/>
      <c r="AS1315" s="326"/>
      <c r="AT1315" s="326"/>
      <c r="AU1315" s="326"/>
      <c r="AV1315" s="326"/>
      <c r="AW1315" s="326"/>
      <c r="AX1315" s="326"/>
      <c r="AY1315" s="326"/>
      <c r="AZ1315" s="326"/>
      <c r="BA1315" s="326"/>
      <c r="BB1315" s="327"/>
    </row>
    <row r="1316" spans="1:54" ht="15.75" customHeight="1" x14ac:dyDescent="0.25">
      <c r="A1316" s="11">
        <f t="shared" si="5"/>
        <v>1303</v>
      </c>
      <c r="B1316" s="570" t="str">
        <f>'refer admin discharge'!B1312</f>
        <v>x</v>
      </c>
      <c r="C1316" s="327"/>
      <c r="D1316" s="599" t="str">
        <f>'refer admin discharge'!D1312</f>
        <v>xx</v>
      </c>
      <c r="E1316" s="327"/>
      <c r="F1316" s="600" t="str">
        <f>'refer admin discharge'!H1312</f>
        <v>00/00/0000</v>
      </c>
      <c r="G1316" s="327"/>
      <c r="H1316" s="574"/>
      <c r="I1316" s="327"/>
      <c r="J1316" s="601"/>
      <c r="K1316" s="327"/>
      <c r="L1316" s="574"/>
      <c r="M1316" s="327"/>
      <c r="N1316" s="594"/>
      <c r="O1316" s="327"/>
      <c r="P1316" s="574"/>
      <c r="Q1316" s="327"/>
      <c r="R1316" s="594"/>
      <c r="S1316" s="327"/>
      <c r="T1316" s="574"/>
      <c r="U1316" s="327"/>
      <c r="V1316" s="595" t="str">
        <f>'refer admin discharge'!H1317</f>
        <v>00/00/0000</v>
      </c>
      <c r="W1316" s="327"/>
      <c r="X1316" s="596"/>
      <c r="Y1316" s="327"/>
      <c r="Z1316" s="597"/>
      <c r="AA1316" s="327"/>
      <c r="AB1316" s="596"/>
      <c r="AC1316" s="327"/>
      <c r="AD1316" s="577"/>
      <c r="AE1316" s="327"/>
      <c r="AF1316" s="596"/>
      <c r="AG1316" s="327"/>
      <c r="AH1316" s="577"/>
      <c r="AI1316" s="327"/>
      <c r="AJ1316" s="596"/>
      <c r="AK1316" s="327"/>
      <c r="AL1316" s="598"/>
      <c r="AM1316" s="326"/>
      <c r="AN1316" s="326"/>
      <c r="AO1316" s="326"/>
      <c r="AP1316" s="326"/>
      <c r="AQ1316" s="326"/>
      <c r="AR1316" s="326"/>
      <c r="AS1316" s="326"/>
      <c r="AT1316" s="326"/>
      <c r="AU1316" s="326"/>
      <c r="AV1316" s="326"/>
      <c r="AW1316" s="326"/>
      <c r="AX1316" s="326"/>
      <c r="AY1316" s="326"/>
      <c r="AZ1316" s="326"/>
      <c r="BA1316" s="326"/>
      <c r="BB1316" s="327"/>
    </row>
    <row r="1317" spans="1:54" ht="15.75" customHeight="1" x14ac:dyDescent="0.25">
      <c r="A1317" s="11">
        <f t="shared" si="5"/>
        <v>1304</v>
      </c>
      <c r="B1317" s="504" t="str">
        <f>'refer admin discharge'!B1313</f>
        <v>x</v>
      </c>
      <c r="C1317" s="327"/>
      <c r="D1317" s="505" t="str">
        <f>'refer admin discharge'!D1313</f>
        <v>xx</v>
      </c>
      <c r="E1317" s="327"/>
      <c r="F1317" s="606" t="str">
        <f>'refer admin discharge'!H1313</f>
        <v>00/00/0000</v>
      </c>
      <c r="G1317" s="327"/>
      <c r="H1317" s="594"/>
      <c r="I1317" s="327"/>
      <c r="J1317" s="605"/>
      <c r="K1317" s="327"/>
      <c r="L1317" s="594"/>
      <c r="M1317" s="327"/>
      <c r="N1317" s="575"/>
      <c r="O1317" s="327"/>
      <c r="P1317" s="594"/>
      <c r="Q1317" s="327"/>
      <c r="R1317" s="575"/>
      <c r="S1317" s="327"/>
      <c r="T1317" s="594"/>
      <c r="U1317" s="327"/>
      <c r="V1317" s="595" t="str">
        <f>'refer admin discharge'!H1318</f>
        <v>00/00/0000</v>
      </c>
      <c r="W1317" s="327"/>
      <c r="X1317" s="577"/>
      <c r="Y1317" s="327"/>
      <c r="Z1317" s="604"/>
      <c r="AA1317" s="327"/>
      <c r="AB1317" s="577"/>
      <c r="AC1317" s="327"/>
      <c r="AD1317" s="576"/>
      <c r="AE1317" s="327"/>
      <c r="AF1317" s="577"/>
      <c r="AG1317" s="327"/>
      <c r="AH1317" s="576"/>
      <c r="AI1317" s="327"/>
      <c r="AJ1317" s="577"/>
      <c r="AK1317" s="327"/>
      <c r="AL1317" s="602"/>
      <c r="AM1317" s="326"/>
      <c r="AN1317" s="326"/>
      <c r="AO1317" s="326"/>
      <c r="AP1317" s="326"/>
      <c r="AQ1317" s="326"/>
      <c r="AR1317" s="326"/>
      <c r="AS1317" s="326"/>
      <c r="AT1317" s="326"/>
      <c r="AU1317" s="326"/>
      <c r="AV1317" s="326"/>
      <c r="AW1317" s="326"/>
      <c r="AX1317" s="326"/>
      <c r="AY1317" s="326"/>
      <c r="AZ1317" s="326"/>
      <c r="BA1317" s="326"/>
      <c r="BB1317" s="327"/>
    </row>
    <row r="1318" spans="1:54" ht="15.75" customHeight="1" x14ac:dyDescent="0.25">
      <c r="A1318" s="11">
        <f t="shared" si="5"/>
        <v>1305</v>
      </c>
      <c r="B1318" s="570" t="str">
        <f>'refer admin discharge'!B1314</f>
        <v>x</v>
      </c>
      <c r="C1318" s="327"/>
      <c r="D1318" s="599" t="str">
        <f>'refer admin discharge'!D1314</f>
        <v>xx</v>
      </c>
      <c r="E1318" s="327"/>
      <c r="F1318" s="600" t="str">
        <f>'refer admin discharge'!H1314</f>
        <v>00/00/0000</v>
      </c>
      <c r="G1318" s="327"/>
      <c r="H1318" s="574"/>
      <c r="I1318" s="327"/>
      <c r="J1318" s="601"/>
      <c r="K1318" s="327"/>
      <c r="L1318" s="574"/>
      <c r="M1318" s="327"/>
      <c r="N1318" s="594"/>
      <c r="O1318" s="327"/>
      <c r="P1318" s="574"/>
      <c r="Q1318" s="327"/>
      <c r="R1318" s="594"/>
      <c r="S1318" s="327"/>
      <c r="T1318" s="574"/>
      <c r="U1318" s="327"/>
      <c r="V1318" s="595" t="str">
        <f>'refer admin discharge'!H1319</f>
        <v>00/00/0000</v>
      </c>
      <c r="W1318" s="327"/>
      <c r="X1318" s="596"/>
      <c r="Y1318" s="327"/>
      <c r="Z1318" s="597"/>
      <c r="AA1318" s="327"/>
      <c r="AB1318" s="596"/>
      <c r="AC1318" s="327"/>
      <c r="AD1318" s="577"/>
      <c r="AE1318" s="327"/>
      <c r="AF1318" s="596"/>
      <c r="AG1318" s="327"/>
      <c r="AH1318" s="577"/>
      <c r="AI1318" s="327"/>
      <c r="AJ1318" s="596"/>
      <c r="AK1318" s="327"/>
      <c r="AL1318" s="598"/>
      <c r="AM1318" s="326"/>
      <c r="AN1318" s="326"/>
      <c r="AO1318" s="326"/>
      <c r="AP1318" s="326"/>
      <c r="AQ1318" s="326"/>
      <c r="AR1318" s="326"/>
      <c r="AS1318" s="326"/>
      <c r="AT1318" s="326"/>
      <c r="AU1318" s="326"/>
      <c r="AV1318" s="326"/>
      <c r="AW1318" s="326"/>
      <c r="AX1318" s="326"/>
      <c r="AY1318" s="326"/>
      <c r="AZ1318" s="326"/>
      <c r="BA1318" s="326"/>
      <c r="BB1318" s="327"/>
    </row>
    <row r="1319" spans="1:54" ht="15.75" customHeight="1" x14ac:dyDescent="0.25">
      <c r="A1319" s="11">
        <f t="shared" si="5"/>
        <v>1306</v>
      </c>
      <c r="B1319" s="504" t="str">
        <f>'refer admin discharge'!B1315</f>
        <v>x</v>
      </c>
      <c r="C1319" s="327"/>
      <c r="D1319" s="505" t="str">
        <f>'refer admin discharge'!D1315</f>
        <v>xx</v>
      </c>
      <c r="E1319" s="327"/>
      <c r="F1319" s="606" t="str">
        <f>'refer admin discharge'!H1315</f>
        <v>00/00/0000</v>
      </c>
      <c r="G1319" s="327"/>
      <c r="H1319" s="594"/>
      <c r="I1319" s="327"/>
      <c r="J1319" s="605"/>
      <c r="K1319" s="327"/>
      <c r="L1319" s="594"/>
      <c r="M1319" s="327"/>
      <c r="N1319" s="575"/>
      <c r="O1319" s="327"/>
      <c r="P1319" s="594"/>
      <c r="Q1319" s="327"/>
      <c r="R1319" s="575"/>
      <c r="S1319" s="327"/>
      <c r="T1319" s="594"/>
      <c r="U1319" s="327"/>
      <c r="V1319" s="595" t="str">
        <f>'refer admin discharge'!H1320</f>
        <v>00/00/0000</v>
      </c>
      <c r="W1319" s="327"/>
      <c r="X1319" s="577"/>
      <c r="Y1319" s="327"/>
      <c r="Z1319" s="604"/>
      <c r="AA1319" s="327"/>
      <c r="AB1319" s="577"/>
      <c r="AC1319" s="327"/>
      <c r="AD1319" s="576"/>
      <c r="AE1319" s="327"/>
      <c r="AF1319" s="577"/>
      <c r="AG1319" s="327"/>
      <c r="AH1319" s="576"/>
      <c r="AI1319" s="327"/>
      <c r="AJ1319" s="577"/>
      <c r="AK1319" s="327"/>
      <c r="AL1319" s="602"/>
      <c r="AM1319" s="326"/>
      <c r="AN1319" s="326"/>
      <c r="AO1319" s="326"/>
      <c r="AP1319" s="326"/>
      <c r="AQ1319" s="326"/>
      <c r="AR1319" s="326"/>
      <c r="AS1319" s="326"/>
      <c r="AT1319" s="326"/>
      <c r="AU1319" s="326"/>
      <c r="AV1319" s="326"/>
      <c r="AW1319" s="326"/>
      <c r="AX1319" s="326"/>
      <c r="AY1319" s="326"/>
      <c r="AZ1319" s="326"/>
      <c r="BA1319" s="326"/>
      <c r="BB1319" s="327"/>
    </row>
    <row r="1320" spans="1:54" ht="15.75" customHeight="1" x14ac:dyDescent="0.25">
      <c r="A1320" s="11">
        <f t="shared" si="5"/>
        <v>1307</v>
      </c>
      <c r="B1320" s="570" t="str">
        <f>'refer admin discharge'!B1316</f>
        <v>x</v>
      </c>
      <c r="C1320" s="327"/>
      <c r="D1320" s="599" t="str">
        <f>'refer admin discharge'!D1316</f>
        <v>xx</v>
      </c>
      <c r="E1320" s="327"/>
      <c r="F1320" s="600" t="str">
        <f>'refer admin discharge'!H1316</f>
        <v>00/00/0000</v>
      </c>
      <c r="G1320" s="327"/>
      <c r="H1320" s="574"/>
      <c r="I1320" s="327"/>
      <c r="J1320" s="601"/>
      <c r="K1320" s="327"/>
      <c r="L1320" s="574"/>
      <c r="M1320" s="327"/>
      <c r="N1320" s="594"/>
      <c r="O1320" s="327"/>
      <c r="P1320" s="574"/>
      <c r="Q1320" s="327"/>
      <c r="R1320" s="594"/>
      <c r="S1320" s="327"/>
      <c r="T1320" s="574"/>
      <c r="U1320" s="327"/>
      <c r="V1320" s="595" t="str">
        <f>'refer admin discharge'!H1321</f>
        <v>00/00/0000</v>
      </c>
      <c r="W1320" s="327"/>
      <c r="X1320" s="596"/>
      <c r="Y1320" s="327"/>
      <c r="Z1320" s="597"/>
      <c r="AA1320" s="327"/>
      <c r="AB1320" s="596"/>
      <c r="AC1320" s="327"/>
      <c r="AD1320" s="577"/>
      <c r="AE1320" s="327"/>
      <c r="AF1320" s="596"/>
      <c r="AG1320" s="327"/>
      <c r="AH1320" s="577"/>
      <c r="AI1320" s="327"/>
      <c r="AJ1320" s="596"/>
      <c r="AK1320" s="327"/>
      <c r="AL1320" s="598"/>
      <c r="AM1320" s="326"/>
      <c r="AN1320" s="326"/>
      <c r="AO1320" s="326"/>
      <c r="AP1320" s="326"/>
      <c r="AQ1320" s="326"/>
      <c r="AR1320" s="326"/>
      <c r="AS1320" s="326"/>
      <c r="AT1320" s="326"/>
      <c r="AU1320" s="326"/>
      <c r="AV1320" s="326"/>
      <c r="AW1320" s="326"/>
      <c r="AX1320" s="326"/>
      <c r="AY1320" s="326"/>
      <c r="AZ1320" s="326"/>
      <c r="BA1320" s="326"/>
      <c r="BB1320" s="327"/>
    </row>
    <row r="1321" spans="1:54" ht="15.75" customHeight="1" x14ac:dyDescent="0.25">
      <c r="A1321" s="11">
        <f t="shared" si="5"/>
        <v>1308</v>
      </c>
      <c r="B1321" s="504" t="str">
        <f>'refer admin discharge'!B1317</f>
        <v>x</v>
      </c>
      <c r="C1321" s="327"/>
      <c r="D1321" s="505" t="str">
        <f>'refer admin discharge'!D1317</f>
        <v>xx</v>
      </c>
      <c r="E1321" s="327"/>
      <c r="F1321" s="606" t="str">
        <f>'refer admin discharge'!H1317</f>
        <v>00/00/0000</v>
      </c>
      <c r="G1321" s="327"/>
      <c r="H1321" s="594"/>
      <c r="I1321" s="327"/>
      <c r="J1321" s="605"/>
      <c r="K1321" s="327"/>
      <c r="L1321" s="594"/>
      <c r="M1321" s="327"/>
      <c r="N1321" s="575"/>
      <c r="O1321" s="327"/>
      <c r="P1321" s="594"/>
      <c r="Q1321" s="327"/>
      <c r="R1321" s="575"/>
      <c r="S1321" s="327"/>
      <c r="T1321" s="594"/>
      <c r="U1321" s="327"/>
      <c r="V1321" s="595" t="str">
        <f>'refer admin discharge'!H1322</f>
        <v>00/00/0000</v>
      </c>
      <c r="W1321" s="327"/>
      <c r="X1321" s="577"/>
      <c r="Y1321" s="327"/>
      <c r="Z1321" s="604"/>
      <c r="AA1321" s="327"/>
      <c r="AB1321" s="577"/>
      <c r="AC1321" s="327"/>
      <c r="AD1321" s="576"/>
      <c r="AE1321" s="327"/>
      <c r="AF1321" s="577"/>
      <c r="AG1321" s="327"/>
      <c r="AH1321" s="576"/>
      <c r="AI1321" s="327"/>
      <c r="AJ1321" s="577"/>
      <c r="AK1321" s="327"/>
      <c r="AL1321" s="602"/>
      <c r="AM1321" s="326"/>
      <c r="AN1321" s="326"/>
      <c r="AO1321" s="326"/>
      <c r="AP1321" s="326"/>
      <c r="AQ1321" s="326"/>
      <c r="AR1321" s="326"/>
      <c r="AS1321" s="326"/>
      <c r="AT1321" s="326"/>
      <c r="AU1321" s="326"/>
      <c r="AV1321" s="326"/>
      <c r="AW1321" s="326"/>
      <c r="AX1321" s="326"/>
      <c r="AY1321" s="326"/>
      <c r="AZ1321" s="326"/>
      <c r="BA1321" s="326"/>
      <c r="BB1321" s="327"/>
    </row>
    <row r="1322" spans="1:54" ht="15.75" customHeight="1" x14ac:dyDescent="0.25">
      <c r="A1322" s="11">
        <f t="shared" si="5"/>
        <v>1309</v>
      </c>
      <c r="B1322" s="570" t="str">
        <f>'refer admin discharge'!B1318</f>
        <v>x</v>
      </c>
      <c r="C1322" s="327"/>
      <c r="D1322" s="599" t="str">
        <f>'refer admin discharge'!D1318</f>
        <v>xx</v>
      </c>
      <c r="E1322" s="327"/>
      <c r="F1322" s="600" t="str">
        <f>'refer admin discharge'!H1318</f>
        <v>00/00/0000</v>
      </c>
      <c r="G1322" s="327"/>
      <c r="H1322" s="574"/>
      <c r="I1322" s="327"/>
      <c r="J1322" s="601"/>
      <c r="K1322" s="327"/>
      <c r="L1322" s="574"/>
      <c r="M1322" s="327"/>
      <c r="N1322" s="594"/>
      <c r="O1322" s="327"/>
      <c r="P1322" s="574"/>
      <c r="Q1322" s="327"/>
      <c r="R1322" s="594"/>
      <c r="S1322" s="327"/>
      <c r="T1322" s="574"/>
      <c r="U1322" s="327"/>
      <c r="V1322" s="595" t="str">
        <f>'refer admin discharge'!H1323</f>
        <v>00/00/0000</v>
      </c>
      <c r="W1322" s="327"/>
      <c r="X1322" s="596"/>
      <c r="Y1322" s="327"/>
      <c r="Z1322" s="597"/>
      <c r="AA1322" s="327"/>
      <c r="AB1322" s="596"/>
      <c r="AC1322" s="327"/>
      <c r="AD1322" s="577"/>
      <c r="AE1322" s="327"/>
      <c r="AF1322" s="596"/>
      <c r="AG1322" s="327"/>
      <c r="AH1322" s="577"/>
      <c r="AI1322" s="327"/>
      <c r="AJ1322" s="596"/>
      <c r="AK1322" s="327"/>
      <c r="AL1322" s="598"/>
      <c r="AM1322" s="326"/>
      <c r="AN1322" s="326"/>
      <c r="AO1322" s="326"/>
      <c r="AP1322" s="326"/>
      <c r="AQ1322" s="326"/>
      <c r="AR1322" s="326"/>
      <c r="AS1322" s="326"/>
      <c r="AT1322" s="326"/>
      <c r="AU1322" s="326"/>
      <c r="AV1322" s="326"/>
      <c r="AW1322" s="326"/>
      <c r="AX1322" s="326"/>
      <c r="AY1322" s="326"/>
      <c r="AZ1322" s="326"/>
      <c r="BA1322" s="326"/>
      <c r="BB1322" s="327"/>
    </row>
    <row r="1323" spans="1:54" ht="15.75" customHeight="1" x14ac:dyDescent="0.25">
      <c r="A1323" s="11">
        <f t="shared" si="5"/>
        <v>1310</v>
      </c>
      <c r="B1323" s="504" t="str">
        <f>'refer admin discharge'!B1319</f>
        <v>x</v>
      </c>
      <c r="C1323" s="327"/>
      <c r="D1323" s="505" t="str">
        <f>'refer admin discharge'!D1319</f>
        <v>xx</v>
      </c>
      <c r="E1323" s="327"/>
      <c r="F1323" s="606" t="str">
        <f>'refer admin discharge'!H1319</f>
        <v>00/00/0000</v>
      </c>
      <c r="G1323" s="327"/>
      <c r="H1323" s="594"/>
      <c r="I1323" s="327"/>
      <c r="J1323" s="605"/>
      <c r="K1323" s="327"/>
      <c r="L1323" s="594"/>
      <c r="M1323" s="327"/>
      <c r="N1323" s="575"/>
      <c r="O1323" s="327"/>
      <c r="P1323" s="594"/>
      <c r="Q1323" s="327"/>
      <c r="R1323" s="575"/>
      <c r="S1323" s="327"/>
      <c r="T1323" s="594"/>
      <c r="U1323" s="327"/>
      <c r="V1323" s="595" t="str">
        <f>'refer admin discharge'!H1324</f>
        <v>00/00/0000</v>
      </c>
      <c r="W1323" s="327"/>
      <c r="X1323" s="577"/>
      <c r="Y1323" s="327"/>
      <c r="Z1323" s="604"/>
      <c r="AA1323" s="327"/>
      <c r="AB1323" s="577"/>
      <c r="AC1323" s="327"/>
      <c r="AD1323" s="576"/>
      <c r="AE1323" s="327"/>
      <c r="AF1323" s="577"/>
      <c r="AG1323" s="327"/>
      <c r="AH1323" s="576"/>
      <c r="AI1323" s="327"/>
      <c r="AJ1323" s="577"/>
      <c r="AK1323" s="327"/>
      <c r="AL1323" s="602"/>
      <c r="AM1323" s="326"/>
      <c r="AN1323" s="326"/>
      <c r="AO1323" s="326"/>
      <c r="AP1323" s="326"/>
      <c r="AQ1323" s="326"/>
      <c r="AR1323" s="326"/>
      <c r="AS1323" s="326"/>
      <c r="AT1323" s="326"/>
      <c r="AU1323" s="326"/>
      <c r="AV1323" s="326"/>
      <c r="AW1323" s="326"/>
      <c r="AX1323" s="326"/>
      <c r="AY1323" s="326"/>
      <c r="AZ1323" s="326"/>
      <c r="BA1323" s="326"/>
      <c r="BB1323" s="327"/>
    </row>
    <row r="1324" spans="1:54" ht="15.75" customHeight="1" x14ac:dyDescent="0.25">
      <c r="A1324" s="11">
        <f t="shared" si="5"/>
        <v>1311</v>
      </c>
      <c r="B1324" s="570" t="str">
        <f>'refer admin discharge'!B1320</f>
        <v>x</v>
      </c>
      <c r="C1324" s="327"/>
      <c r="D1324" s="599" t="str">
        <f>'refer admin discharge'!D1320</f>
        <v>xx</v>
      </c>
      <c r="E1324" s="327"/>
      <c r="F1324" s="600" t="str">
        <f>'refer admin discharge'!H1320</f>
        <v>00/00/0000</v>
      </c>
      <c r="G1324" s="327"/>
      <c r="H1324" s="574"/>
      <c r="I1324" s="327"/>
      <c r="J1324" s="601"/>
      <c r="K1324" s="327"/>
      <c r="L1324" s="574"/>
      <c r="M1324" s="327"/>
      <c r="N1324" s="594"/>
      <c r="O1324" s="327"/>
      <c r="P1324" s="574"/>
      <c r="Q1324" s="327"/>
      <c r="R1324" s="594"/>
      <c r="S1324" s="327"/>
      <c r="T1324" s="574"/>
      <c r="U1324" s="327"/>
      <c r="V1324" s="595" t="str">
        <f>'refer admin discharge'!H1325</f>
        <v>00/00/0000</v>
      </c>
      <c r="W1324" s="327"/>
      <c r="X1324" s="596"/>
      <c r="Y1324" s="327"/>
      <c r="Z1324" s="597"/>
      <c r="AA1324" s="327"/>
      <c r="AB1324" s="596"/>
      <c r="AC1324" s="327"/>
      <c r="AD1324" s="577"/>
      <c r="AE1324" s="327"/>
      <c r="AF1324" s="596"/>
      <c r="AG1324" s="327"/>
      <c r="AH1324" s="577"/>
      <c r="AI1324" s="327"/>
      <c r="AJ1324" s="596"/>
      <c r="AK1324" s="327"/>
      <c r="AL1324" s="598"/>
      <c r="AM1324" s="326"/>
      <c r="AN1324" s="326"/>
      <c r="AO1324" s="326"/>
      <c r="AP1324" s="326"/>
      <c r="AQ1324" s="326"/>
      <c r="AR1324" s="326"/>
      <c r="AS1324" s="326"/>
      <c r="AT1324" s="326"/>
      <c r="AU1324" s="326"/>
      <c r="AV1324" s="326"/>
      <c r="AW1324" s="326"/>
      <c r="AX1324" s="326"/>
      <c r="AY1324" s="326"/>
      <c r="AZ1324" s="326"/>
      <c r="BA1324" s="326"/>
      <c r="BB1324" s="327"/>
    </row>
    <row r="1325" spans="1:54" ht="15.75" customHeight="1" x14ac:dyDescent="0.25">
      <c r="A1325" s="11">
        <f t="shared" si="5"/>
        <v>1312</v>
      </c>
      <c r="B1325" s="504" t="str">
        <f>'refer admin discharge'!B1321</f>
        <v>x</v>
      </c>
      <c r="C1325" s="327"/>
      <c r="D1325" s="505" t="str">
        <f>'refer admin discharge'!D1321</f>
        <v>xx</v>
      </c>
      <c r="E1325" s="327"/>
      <c r="F1325" s="606" t="str">
        <f>'refer admin discharge'!H1321</f>
        <v>00/00/0000</v>
      </c>
      <c r="G1325" s="327"/>
      <c r="H1325" s="594"/>
      <c r="I1325" s="327"/>
      <c r="J1325" s="605"/>
      <c r="K1325" s="327"/>
      <c r="L1325" s="594"/>
      <c r="M1325" s="327"/>
      <c r="N1325" s="575"/>
      <c r="O1325" s="327"/>
      <c r="P1325" s="594"/>
      <c r="Q1325" s="327"/>
      <c r="R1325" s="575"/>
      <c r="S1325" s="327"/>
      <c r="T1325" s="594"/>
      <c r="U1325" s="327"/>
      <c r="V1325" s="595" t="str">
        <f>'refer admin discharge'!H1326</f>
        <v>00/00/0000</v>
      </c>
      <c r="W1325" s="327"/>
      <c r="X1325" s="577"/>
      <c r="Y1325" s="327"/>
      <c r="Z1325" s="604"/>
      <c r="AA1325" s="327"/>
      <c r="AB1325" s="577"/>
      <c r="AC1325" s="327"/>
      <c r="AD1325" s="576"/>
      <c r="AE1325" s="327"/>
      <c r="AF1325" s="577"/>
      <c r="AG1325" s="327"/>
      <c r="AH1325" s="576"/>
      <c r="AI1325" s="327"/>
      <c r="AJ1325" s="577"/>
      <c r="AK1325" s="327"/>
      <c r="AL1325" s="602"/>
      <c r="AM1325" s="326"/>
      <c r="AN1325" s="326"/>
      <c r="AO1325" s="326"/>
      <c r="AP1325" s="326"/>
      <c r="AQ1325" s="326"/>
      <c r="AR1325" s="326"/>
      <c r="AS1325" s="326"/>
      <c r="AT1325" s="326"/>
      <c r="AU1325" s="326"/>
      <c r="AV1325" s="326"/>
      <c r="AW1325" s="326"/>
      <c r="AX1325" s="326"/>
      <c r="AY1325" s="326"/>
      <c r="AZ1325" s="326"/>
      <c r="BA1325" s="326"/>
      <c r="BB1325" s="327"/>
    </row>
    <row r="1326" spans="1:54" ht="15.75" customHeight="1" x14ac:dyDescent="0.25">
      <c r="A1326" s="11">
        <f t="shared" si="5"/>
        <v>1313</v>
      </c>
      <c r="B1326" s="570" t="str">
        <f>'refer admin discharge'!B1322</f>
        <v>x</v>
      </c>
      <c r="C1326" s="327"/>
      <c r="D1326" s="599" t="str">
        <f>'refer admin discharge'!D1322</f>
        <v>xx</v>
      </c>
      <c r="E1326" s="327"/>
      <c r="F1326" s="600" t="str">
        <f>'refer admin discharge'!H1322</f>
        <v>00/00/0000</v>
      </c>
      <c r="G1326" s="327"/>
      <c r="H1326" s="574"/>
      <c r="I1326" s="327"/>
      <c r="J1326" s="601"/>
      <c r="K1326" s="327"/>
      <c r="L1326" s="574"/>
      <c r="M1326" s="327"/>
      <c r="N1326" s="594"/>
      <c r="O1326" s="327"/>
      <c r="P1326" s="574"/>
      <c r="Q1326" s="327"/>
      <c r="R1326" s="594"/>
      <c r="S1326" s="327"/>
      <c r="T1326" s="574"/>
      <c r="U1326" s="327"/>
      <c r="V1326" s="595" t="str">
        <f>'refer admin discharge'!H1327</f>
        <v>00/00/0000</v>
      </c>
      <c r="W1326" s="327"/>
      <c r="X1326" s="596"/>
      <c r="Y1326" s="327"/>
      <c r="Z1326" s="597"/>
      <c r="AA1326" s="327"/>
      <c r="AB1326" s="596"/>
      <c r="AC1326" s="327"/>
      <c r="AD1326" s="577"/>
      <c r="AE1326" s="327"/>
      <c r="AF1326" s="596"/>
      <c r="AG1326" s="327"/>
      <c r="AH1326" s="577"/>
      <c r="AI1326" s="327"/>
      <c r="AJ1326" s="596"/>
      <c r="AK1326" s="327"/>
      <c r="AL1326" s="598"/>
      <c r="AM1326" s="326"/>
      <c r="AN1326" s="326"/>
      <c r="AO1326" s="326"/>
      <c r="AP1326" s="326"/>
      <c r="AQ1326" s="326"/>
      <c r="AR1326" s="326"/>
      <c r="AS1326" s="326"/>
      <c r="AT1326" s="326"/>
      <c r="AU1326" s="326"/>
      <c r="AV1326" s="326"/>
      <c r="AW1326" s="326"/>
      <c r="AX1326" s="326"/>
      <c r="AY1326" s="326"/>
      <c r="AZ1326" s="326"/>
      <c r="BA1326" s="326"/>
      <c r="BB1326" s="327"/>
    </row>
    <row r="1327" spans="1:54" ht="15.75" customHeight="1" x14ac:dyDescent="0.25">
      <c r="A1327" s="11">
        <f t="shared" si="5"/>
        <v>1314</v>
      </c>
      <c r="B1327" s="504" t="str">
        <f>'refer admin discharge'!B1323</f>
        <v>x</v>
      </c>
      <c r="C1327" s="327"/>
      <c r="D1327" s="505" t="str">
        <f>'refer admin discharge'!D1323</f>
        <v>xx</v>
      </c>
      <c r="E1327" s="327"/>
      <c r="F1327" s="606" t="str">
        <f>'refer admin discharge'!H1323</f>
        <v>00/00/0000</v>
      </c>
      <c r="G1327" s="327"/>
      <c r="H1327" s="594"/>
      <c r="I1327" s="327"/>
      <c r="J1327" s="605"/>
      <c r="K1327" s="327"/>
      <c r="L1327" s="594"/>
      <c r="M1327" s="327"/>
      <c r="N1327" s="575"/>
      <c r="O1327" s="327"/>
      <c r="P1327" s="594"/>
      <c r="Q1327" s="327"/>
      <c r="R1327" s="575"/>
      <c r="S1327" s="327"/>
      <c r="T1327" s="594"/>
      <c r="U1327" s="327"/>
      <c r="V1327" s="595" t="str">
        <f>'refer admin discharge'!H1328</f>
        <v>00/00/0000</v>
      </c>
      <c r="W1327" s="327"/>
      <c r="X1327" s="577"/>
      <c r="Y1327" s="327"/>
      <c r="Z1327" s="604"/>
      <c r="AA1327" s="327"/>
      <c r="AB1327" s="577"/>
      <c r="AC1327" s="327"/>
      <c r="AD1327" s="576"/>
      <c r="AE1327" s="327"/>
      <c r="AF1327" s="577"/>
      <c r="AG1327" s="327"/>
      <c r="AH1327" s="576"/>
      <c r="AI1327" s="327"/>
      <c r="AJ1327" s="577"/>
      <c r="AK1327" s="327"/>
      <c r="AL1327" s="602"/>
      <c r="AM1327" s="326"/>
      <c r="AN1327" s="326"/>
      <c r="AO1327" s="326"/>
      <c r="AP1327" s="326"/>
      <c r="AQ1327" s="326"/>
      <c r="AR1327" s="326"/>
      <c r="AS1327" s="326"/>
      <c r="AT1327" s="326"/>
      <c r="AU1327" s="326"/>
      <c r="AV1327" s="326"/>
      <c r="AW1327" s="326"/>
      <c r="AX1327" s="326"/>
      <c r="AY1327" s="326"/>
      <c r="AZ1327" s="326"/>
      <c r="BA1327" s="326"/>
      <c r="BB1327" s="327"/>
    </row>
    <row r="1328" spans="1:54" ht="15.75" customHeight="1" x14ac:dyDescent="0.25">
      <c r="A1328" s="11">
        <f t="shared" si="5"/>
        <v>1315</v>
      </c>
      <c r="B1328" s="570" t="str">
        <f>'refer admin discharge'!B1324</f>
        <v>x</v>
      </c>
      <c r="C1328" s="327"/>
      <c r="D1328" s="599" t="str">
        <f>'refer admin discharge'!D1324</f>
        <v>xx</v>
      </c>
      <c r="E1328" s="327"/>
      <c r="F1328" s="600" t="str">
        <f>'refer admin discharge'!H1324</f>
        <v>00/00/0000</v>
      </c>
      <c r="G1328" s="327"/>
      <c r="H1328" s="574"/>
      <c r="I1328" s="327"/>
      <c r="J1328" s="601"/>
      <c r="K1328" s="327"/>
      <c r="L1328" s="574"/>
      <c r="M1328" s="327"/>
      <c r="N1328" s="594"/>
      <c r="O1328" s="327"/>
      <c r="P1328" s="574"/>
      <c r="Q1328" s="327"/>
      <c r="R1328" s="594"/>
      <c r="S1328" s="327"/>
      <c r="T1328" s="574"/>
      <c r="U1328" s="327"/>
      <c r="V1328" s="595" t="str">
        <f>'refer admin discharge'!H1329</f>
        <v>00/00/0000</v>
      </c>
      <c r="W1328" s="327"/>
      <c r="X1328" s="596"/>
      <c r="Y1328" s="327"/>
      <c r="Z1328" s="597"/>
      <c r="AA1328" s="327"/>
      <c r="AB1328" s="596"/>
      <c r="AC1328" s="327"/>
      <c r="AD1328" s="577"/>
      <c r="AE1328" s="327"/>
      <c r="AF1328" s="596"/>
      <c r="AG1328" s="327"/>
      <c r="AH1328" s="577"/>
      <c r="AI1328" s="327"/>
      <c r="AJ1328" s="596"/>
      <c r="AK1328" s="327"/>
      <c r="AL1328" s="598"/>
      <c r="AM1328" s="326"/>
      <c r="AN1328" s="326"/>
      <c r="AO1328" s="326"/>
      <c r="AP1328" s="326"/>
      <c r="AQ1328" s="326"/>
      <c r="AR1328" s="326"/>
      <c r="AS1328" s="326"/>
      <c r="AT1328" s="326"/>
      <c r="AU1328" s="326"/>
      <c r="AV1328" s="326"/>
      <c r="AW1328" s="326"/>
      <c r="AX1328" s="326"/>
      <c r="AY1328" s="326"/>
      <c r="AZ1328" s="326"/>
      <c r="BA1328" s="326"/>
      <c r="BB1328" s="327"/>
    </row>
    <row r="1329" spans="1:54" ht="15.75" customHeight="1" x14ac:dyDescent="0.25">
      <c r="A1329" s="11">
        <f t="shared" si="5"/>
        <v>1316</v>
      </c>
      <c r="B1329" s="504" t="str">
        <f>'refer admin discharge'!B1325</f>
        <v>x</v>
      </c>
      <c r="C1329" s="327"/>
      <c r="D1329" s="505" t="str">
        <f>'refer admin discharge'!D1325</f>
        <v>xx</v>
      </c>
      <c r="E1329" s="327"/>
      <c r="F1329" s="606" t="str">
        <f>'refer admin discharge'!H1325</f>
        <v>00/00/0000</v>
      </c>
      <c r="G1329" s="327"/>
      <c r="H1329" s="594"/>
      <c r="I1329" s="327"/>
      <c r="J1329" s="605"/>
      <c r="K1329" s="327"/>
      <c r="L1329" s="594"/>
      <c r="M1329" s="327"/>
      <c r="N1329" s="575"/>
      <c r="O1329" s="327"/>
      <c r="P1329" s="594"/>
      <c r="Q1329" s="327"/>
      <c r="R1329" s="575"/>
      <c r="S1329" s="327"/>
      <c r="T1329" s="594"/>
      <c r="U1329" s="327"/>
      <c r="V1329" s="595" t="str">
        <f>'refer admin discharge'!H1330</f>
        <v>00/00/0000</v>
      </c>
      <c r="W1329" s="327"/>
      <c r="X1329" s="577"/>
      <c r="Y1329" s="327"/>
      <c r="Z1329" s="604"/>
      <c r="AA1329" s="327"/>
      <c r="AB1329" s="577"/>
      <c r="AC1329" s="327"/>
      <c r="AD1329" s="576"/>
      <c r="AE1329" s="327"/>
      <c r="AF1329" s="577"/>
      <c r="AG1329" s="327"/>
      <c r="AH1329" s="576"/>
      <c r="AI1329" s="327"/>
      <c r="AJ1329" s="577"/>
      <c r="AK1329" s="327"/>
      <c r="AL1329" s="602"/>
      <c r="AM1329" s="326"/>
      <c r="AN1329" s="326"/>
      <c r="AO1329" s="326"/>
      <c r="AP1329" s="326"/>
      <c r="AQ1329" s="326"/>
      <c r="AR1329" s="326"/>
      <c r="AS1329" s="326"/>
      <c r="AT1329" s="326"/>
      <c r="AU1329" s="326"/>
      <c r="AV1329" s="326"/>
      <c r="AW1329" s="326"/>
      <c r="AX1329" s="326"/>
      <c r="AY1329" s="326"/>
      <c r="AZ1329" s="326"/>
      <c r="BA1329" s="326"/>
      <c r="BB1329" s="327"/>
    </row>
    <row r="1330" spans="1:54" ht="15.75" customHeight="1" x14ac:dyDescent="0.25">
      <c r="A1330" s="11">
        <f t="shared" si="5"/>
        <v>1317</v>
      </c>
      <c r="B1330" s="570" t="str">
        <f>'refer admin discharge'!B1326</f>
        <v>x</v>
      </c>
      <c r="C1330" s="327"/>
      <c r="D1330" s="599" t="str">
        <f>'refer admin discharge'!D1326</f>
        <v>xx</v>
      </c>
      <c r="E1330" s="327"/>
      <c r="F1330" s="600" t="str">
        <f>'refer admin discharge'!H1326</f>
        <v>00/00/0000</v>
      </c>
      <c r="G1330" s="327"/>
      <c r="H1330" s="574"/>
      <c r="I1330" s="327"/>
      <c r="J1330" s="601"/>
      <c r="K1330" s="327"/>
      <c r="L1330" s="574"/>
      <c r="M1330" s="327"/>
      <c r="N1330" s="594"/>
      <c r="O1330" s="327"/>
      <c r="P1330" s="574"/>
      <c r="Q1330" s="327"/>
      <c r="R1330" s="594"/>
      <c r="S1330" s="327"/>
      <c r="T1330" s="574"/>
      <c r="U1330" s="327"/>
      <c r="V1330" s="595" t="str">
        <f>'refer admin discharge'!H1331</f>
        <v>00/00/0000</v>
      </c>
      <c r="W1330" s="327"/>
      <c r="X1330" s="596"/>
      <c r="Y1330" s="327"/>
      <c r="Z1330" s="597"/>
      <c r="AA1330" s="327"/>
      <c r="AB1330" s="596"/>
      <c r="AC1330" s="327"/>
      <c r="AD1330" s="577"/>
      <c r="AE1330" s="327"/>
      <c r="AF1330" s="596"/>
      <c r="AG1330" s="327"/>
      <c r="AH1330" s="577"/>
      <c r="AI1330" s="327"/>
      <c r="AJ1330" s="596"/>
      <c r="AK1330" s="327"/>
      <c r="AL1330" s="598"/>
      <c r="AM1330" s="326"/>
      <c r="AN1330" s="326"/>
      <c r="AO1330" s="326"/>
      <c r="AP1330" s="326"/>
      <c r="AQ1330" s="326"/>
      <c r="AR1330" s="326"/>
      <c r="AS1330" s="326"/>
      <c r="AT1330" s="326"/>
      <c r="AU1330" s="326"/>
      <c r="AV1330" s="326"/>
      <c r="AW1330" s="326"/>
      <c r="AX1330" s="326"/>
      <c r="AY1330" s="326"/>
      <c r="AZ1330" s="326"/>
      <c r="BA1330" s="326"/>
      <c r="BB1330" s="327"/>
    </row>
    <row r="1331" spans="1:54" ht="15.75" customHeight="1" x14ac:dyDescent="0.25">
      <c r="A1331" s="11">
        <f t="shared" si="5"/>
        <v>1318</v>
      </c>
      <c r="B1331" s="504" t="str">
        <f>'refer admin discharge'!B1327</f>
        <v>x</v>
      </c>
      <c r="C1331" s="327"/>
      <c r="D1331" s="505" t="str">
        <f>'refer admin discharge'!D1327</f>
        <v>xx</v>
      </c>
      <c r="E1331" s="327"/>
      <c r="F1331" s="606" t="str">
        <f>'refer admin discharge'!H1327</f>
        <v>00/00/0000</v>
      </c>
      <c r="G1331" s="327"/>
      <c r="H1331" s="594"/>
      <c r="I1331" s="327"/>
      <c r="J1331" s="605"/>
      <c r="K1331" s="327"/>
      <c r="L1331" s="594"/>
      <c r="M1331" s="327"/>
      <c r="N1331" s="575"/>
      <c r="O1331" s="327"/>
      <c r="P1331" s="594"/>
      <c r="Q1331" s="327"/>
      <c r="R1331" s="575"/>
      <c r="S1331" s="327"/>
      <c r="T1331" s="594"/>
      <c r="U1331" s="327"/>
      <c r="V1331" s="595" t="str">
        <f>'refer admin discharge'!H1332</f>
        <v>00/00/0000</v>
      </c>
      <c r="W1331" s="327"/>
      <c r="X1331" s="577"/>
      <c r="Y1331" s="327"/>
      <c r="Z1331" s="604"/>
      <c r="AA1331" s="327"/>
      <c r="AB1331" s="577"/>
      <c r="AC1331" s="327"/>
      <c r="AD1331" s="576"/>
      <c r="AE1331" s="327"/>
      <c r="AF1331" s="577"/>
      <c r="AG1331" s="327"/>
      <c r="AH1331" s="576"/>
      <c r="AI1331" s="327"/>
      <c r="AJ1331" s="577"/>
      <c r="AK1331" s="327"/>
      <c r="AL1331" s="602"/>
      <c r="AM1331" s="326"/>
      <c r="AN1331" s="326"/>
      <c r="AO1331" s="326"/>
      <c r="AP1331" s="326"/>
      <c r="AQ1331" s="326"/>
      <c r="AR1331" s="326"/>
      <c r="AS1331" s="326"/>
      <c r="AT1331" s="326"/>
      <c r="AU1331" s="326"/>
      <c r="AV1331" s="326"/>
      <c r="AW1331" s="326"/>
      <c r="AX1331" s="326"/>
      <c r="AY1331" s="326"/>
      <c r="AZ1331" s="326"/>
      <c r="BA1331" s="326"/>
      <c r="BB1331" s="327"/>
    </row>
    <row r="1332" spans="1:54" ht="15.75" customHeight="1" x14ac:dyDescent="0.25">
      <c r="A1332" s="11">
        <f t="shared" si="5"/>
        <v>1319</v>
      </c>
      <c r="B1332" s="570" t="str">
        <f>'refer admin discharge'!B1328</f>
        <v>x</v>
      </c>
      <c r="C1332" s="327"/>
      <c r="D1332" s="599" t="str">
        <f>'refer admin discharge'!D1328</f>
        <v>xx</v>
      </c>
      <c r="E1332" s="327"/>
      <c r="F1332" s="600" t="str">
        <f>'refer admin discharge'!H1328</f>
        <v>00/00/0000</v>
      </c>
      <c r="G1332" s="327"/>
      <c r="H1332" s="574"/>
      <c r="I1332" s="327"/>
      <c r="J1332" s="601"/>
      <c r="K1332" s="327"/>
      <c r="L1332" s="574"/>
      <c r="M1332" s="327"/>
      <c r="N1332" s="594"/>
      <c r="O1332" s="327"/>
      <c r="P1332" s="574"/>
      <c r="Q1332" s="327"/>
      <c r="R1332" s="594"/>
      <c r="S1332" s="327"/>
      <c r="T1332" s="574"/>
      <c r="U1332" s="327"/>
      <c r="V1332" s="595" t="str">
        <f>'refer admin discharge'!H1333</f>
        <v>00/00/0000</v>
      </c>
      <c r="W1332" s="327"/>
      <c r="X1332" s="596"/>
      <c r="Y1332" s="327"/>
      <c r="Z1332" s="597"/>
      <c r="AA1332" s="327"/>
      <c r="AB1332" s="596"/>
      <c r="AC1332" s="327"/>
      <c r="AD1332" s="577"/>
      <c r="AE1332" s="327"/>
      <c r="AF1332" s="596"/>
      <c r="AG1332" s="327"/>
      <c r="AH1332" s="577"/>
      <c r="AI1332" s="327"/>
      <c r="AJ1332" s="596"/>
      <c r="AK1332" s="327"/>
      <c r="AL1332" s="598"/>
      <c r="AM1332" s="326"/>
      <c r="AN1332" s="326"/>
      <c r="AO1332" s="326"/>
      <c r="AP1332" s="326"/>
      <c r="AQ1332" s="326"/>
      <c r="AR1332" s="326"/>
      <c r="AS1332" s="326"/>
      <c r="AT1332" s="326"/>
      <c r="AU1332" s="326"/>
      <c r="AV1332" s="326"/>
      <c r="AW1332" s="326"/>
      <c r="AX1332" s="326"/>
      <c r="AY1332" s="326"/>
      <c r="AZ1332" s="326"/>
      <c r="BA1332" s="326"/>
      <c r="BB1332" s="327"/>
    </row>
    <row r="1333" spans="1:54" ht="15.75" customHeight="1" x14ac:dyDescent="0.25">
      <c r="A1333" s="11">
        <f t="shared" si="5"/>
        <v>1320</v>
      </c>
      <c r="B1333" s="504" t="str">
        <f>'refer admin discharge'!B1329</f>
        <v>x</v>
      </c>
      <c r="C1333" s="327"/>
      <c r="D1333" s="505" t="str">
        <f>'refer admin discharge'!D1329</f>
        <v>xx</v>
      </c>
      <c r="E1333" s="327"/>
      <c r="F1333" s="606" t="str">
        <f>'refer admin discharge'!H1329</f>
        <v>00/00/0000</v>
      </c>
      <c r="G1333" s="327"/>
      <c r="H1333" s="594"/>
      <c r="I1333" s="327"/>
      <c r="J1333" s="605"/>
      <c r="K1333" s="327"/>
      <c r="L1333" s="594"/>
      <c r="M1333" s="327"/>
      <c r="N1333" s="575"/>
      <c r="O1333" s="327"/>
      <c r="P1333" s="594"/>
      <c r="Q1333" s="327"/>
      <c r="R1333" s="575"/>
      <c r="S1333" s="327"/>
      <c r="T1333" s="594"/>
      <c r="U1333" s="327"/>
      <c r="V1333" s="595" t="str">
        <f>'refer admin discharge'!H1334</f>
        <v>00/00/0000</v>
      </c>
      <c r="W1333" s="327"/>
      <c r="X1333" s="577"/>
      <c r="Y1333" s="327"/>
      <c r="Z1333" s="604"/>
      <c r="AA1333" s="327"/>
      <c r="AB1333" s="577"/>
      <c r="AC1333" s="327"/>
      <c r="AD1333" s="576"/>
      <c r="AE1333" s="327"/>
      <c r="AF1333" s="577"/>
      <c r="AG1333" s="327"/>
      <c r="AH1333" s="576"/>
      <c r="AI1333" s="327"/>
      <c r="AJ1333" s="577"/>
      <c r="AK1333" s="327"/>
      <c r="AL1333" s="602"/>
      <c r="AM1333" s="326"/>
      <c r="AN1333" s="326"/>
      <c r="AO1333" s="326"/>
      <c r="AP1333" s="326"/>
      <c r="AQ1333" s="326"/>
      <c r="AR1333" s="326"/>
      <c r="AS1333" s="326"/>
      <c r="AT1333" s="326"/>
      <c r="AU1333" s="326"/>
      <c r="AV1333" s="326"/>
      <c r="AW1333" s="326"/>
      <c r="AX1333" s="326"/>
      <c r="AY1333" s="326"/>
      <c r="AZ1333" s="326"/>
      <c r="BA1333" s="326"/>
      <c r="BB1333" s="327"/>
    </row>
    <row r="1334" spans="1:54" ht="15.75" customHeight="1" x14ac:dyDescent="0.25">
      <c r="A1334" s="11">
        <f t="shared" si="5"/>
        <v>1321</v>
      </c>
      <c r="B1334" s="570" t="str">
        <f>'refer admin discharge'!B1330</f>
        <v>x</v>
      </c>
      <c r="C1334" s="327"/>
      <c r="D1334" s="599" t="str">
        <f>'refer admin discharge'!D1330</f>
        <v>xx</v>
      </c>
      <c r="E1334" s="327"/>
      <c r="F1334" s="600" t="str">
        <f>'refer admin discharge'!H1330</f>
        <v>00/00/0000</v>
      </c>
      <c r="G1334" s="327"/>
      <c r="H1334" s="574"/>
      <c r="I1334" s="327"/>
      <c r="J1334" s="601"/>
      <c r="K1334" s="327"/>
      <c r="L1334" s="574"/>
      <c r="M1334" s="327"/>
      <c r="N1334" s="594"/>
      <c r="O1334" s="327"/>
      <c r="P1334" s="574"/>
      <c r="Q1334" s="327"/>
      <c r="R1334" s="594"/>
      <c r="S1334" s="327"/>
      <c r="T1334" s="574"/>
      <c r="U1334" s="327"/>
      <c r="V1334" s="595" t="str">
        <f>'refer admin discharge'!H1335</f>
        <v>00/00/0000</v>
      </c>
      <c r="W1334" s="327"/>
      <c r="X1334" s="596"/>
      <c r="Y1334" s="327"/>
      <c r="Z1334" s="597"/>
      <c r="AA1334" s="327"/>
      <c r="AB1334" s="596"/>
      <c r="AC1334" s="327"/>
      <c r="AD1334" s="577"/>
      <c r="AE1334" s="327"/>
      <c r="AF1334" s="596"/>
      <c r="AG1334" s="327"/>
      <c r="AH1334" s="577"/>
      <c r="AI1334" s="327"/>
      <c r="AJ1334" s="596"/>
      <c r="AK1334" s="327"/>
      <c r="AL1334" s="598"/>
      <c r="AM1334" s="326"/>
      <c r="AN1334" s="326"/>
      <c r="AO1334" s="326"/>
      <c r="AP1334" s="326"/>
      <c r="AQ1334" s="326"/>
      <c r="AR1334" s="326"/>
      <c r="AS1334" s="326"/>
      <c r="AT1334" s="326"/>
      <c r="AU1334" s="326"/>
      <c r="AV1334" s="326"/>
      <c r="AW1334" s="326"/>
      <c r="AX1334" s="326"/>
      <c r="AY1334" s="326"/>
      <c r="AZ1334" s="326"/>
      <c r="BA1334" s="326"/>
      <c r="BB1334" s="327"/>
    </row>
    <row r="1335" spans="1:54" ht="15.75" customHeight="1" x14ac:dyDescent="0.25">
      <c r="A1335" s="11">
        <f t="shared" si="5"/>
        <v>1322</v>
      </c>
      <c r="B1335" s="504" t="str">
        <f>'refer admin discharge'!B1331</f>
        <v>x</v>
      </c>
      <c r="C1335" s="327"/>
      <c r="D1335" s="505" t="str">
        <f>'refer admin discharge'!D1331</f>
        <v>xx</v>
      </c>
      <c r="E1335" s="327"/>
      <c r="F1335" s="606" t="str">
        <f>'refer admin discharge'!H1331</f>
        <v>00/00/0000</v>
      </c>
      <c r="G1335" s="327"/>
      <c r="H1335" s="594"/>
      <c r="I1335" s="327"/>
      <c r="J1335" s="605"/>
      <c r="K1335" s="327"/>
      <c r="L1335" s="594"/>
      <c r="M1335" s="327"/>
      <c r="N1335" s="575"/>
      <c r="O1335" s="327"/>
      <c r="P1335" s="594"/>
      <c r="Q1335" s="327"/>
      <c r="R1335" s="575"/>
      <c r="S1335" s="327"/>
      <c r="T1335" s="594"/>
      <c r="U1335" s="327"/>
      <c r="V1335" s="595" t="str">
        <f>'refer admin discharge'!H1336</f>
        <v>00/00/0000</v>
      </c>
      <c r="W1335" s="327"/>
      <c r="X1335" s="577"/>
      <c r="Y1335" s="327"/>
      <c r="Z1335" s="604"/>
      <c r="AA1335" s="327"/>
      <c r="AB1335" s="577"/>
      <c r="AC1335" s="327"/>
      <c r="AD1335" s="576"/>
      <c r="AE1335" s="327"/>
      <c r="AF1335" s="577"/>
      <c r="AG1335" s="327"/>
      <c r="AH1335" s="576"/>
      <c r="AI1335" s="327"/>
      <c r="AJ1335" s="577"/>
      <c r="AK1335" s="327"/>
      <c r="AL1335" s="602"/>
      <c r="AM1335" s="326"/>
      <c r="AN1335" s="326"/>
      <c r="AO1335" s="326"/>
      <c r="AP1335" s="326"/>
      <c r="AQ1335" s="326"/>
      <c r="AR1335" s="326"/>
      <c r="AS1335" s="326"/>
      <c r="AT1335" s="326"/>
      <c r="AU1335" s="326"/>
      <c r="AV1335" s="326"/>
      <c r="AW1335" s="326"/>
      <c r="AX1335" s="326"/>
      <c r="AY1335" s="326"/>
      <c r="AZ1335" s="326"/>
      <c r="BA1335" s="326"/>
      <c r="BB1335" s="327"/>
    </row>
    <row r="1336" spans="1:54" ht="15.75" customHeight="1" x14ac:dyDescent="0.25">
      <c r="A1336" s="11">
        <f t="shared" si="5"/>
        <v>1323</v>
      </c>
      <c r="B1336" s="570" t="str">
        <f>'refer admin discharge'!B1332</f>
        <v>x</v>
      </c>
      <c r="C1336" s="327"/>
      <c r="D1336" s="599" t="str">
        <f>'refer admin discharge'!D1332</f>
        <v>xx</v>
      </c>
      <c r="E1336" s="327"/>
      <c r="F1336" s="600" t="str">
        <f>'refer admin discharge'!H1332</f>
        <v>00/00/0000</v>
      </c>
      <c r="G1336" s="327"/>
      <c r="H1336" s="574"/>
      <c r="I1336" s="327"/>
      <c r="J1336" s="601"/>
      <c r="K1336" s="327"/>
      <c r="L1336" s="574"/>
      <c r="M1336" s="327"/>
      <c r="N1336" s="594"/>
      <c r="O1336" s="327"/>
      <c r="P1336" s="574"/>
      <c r="Q1336" s="327"/>
      <c r="R1336" s="594"/>
      <c r="S1336" s="327"/>
      <c r="T1336" s="574"/>
      <c r="U1336" s="327"/>
      <c r="V1336" s="595" t="str">
        <f>'refer admin discharge'!H1337</f>
        <v>00/00/0000</v>
      </c>
      <c r="W1336" s="327"/>
      <c r="X1336" s="596"/>
      <c r="Y1336" s="327"/>
      <c r="Z1336" s="597"/>
      <c r="AA1336" s="327"/>
      <c r="AB1336" s="596"/>
      <c r="AC1336" s="327"/>
      <c r="AD1336" s="577"/>
      <c r="AE1336" s="327"/>
      <c r="AF1336" s="596"/>
      <c r="AG1336" s="327"/>
      <c r="AH1336" s="577"/>
      <c r="AI1336" s="327"/>
      <c r="AJ1336" s="596"/>
      <c r="AK1336" s="327"/>
      <c r="AL1336" s="598"/>
      <c r="AM1336" s="326"/>
      <c r="AN1336" s="326"/>
      <c r="AO1336" s="326"/>
      <c r="AP1336" s="326"/>
      <c r="AQ1336" s="326"/>
      <c r="AR1336" s="326"/>
      <c r="AS1336" s="326"/>
      <c r="AT1336" s="326"/>
      <c r="AU1336" s="326"/>
      <c r="AV1336" s="326"/>
      <c r="AW1336" s="326"/>
      <c r="AX1336" s="326"/>
      <c r="AY1336" s="326"/>
      <c r="AZ1336" s="326"/>
      <c r="BA1336" s="326"/>
      <c r="BB1336" s="327"/>
    </row>
    <row r="1337" spans="1:54" ht="15.75" customHeight="1" x14ac:dyDescent="0.25">
      <c r="A1337" s="11">
        <f t="shared" si="5"/>
        <v>1324</v>
      </c>
      <c r="B1337" s="504" t="str">
        <f>'refer admin discharge'!B1333</f>
        <v>x</v>
      </c>
      <c r="C1337" s="327"/>
      <c r="D1337" s="505" t="str">
        <f>'refer admin discharge'!D1333</f>
        <v>xx</v>
      </c>
      <c r="E1337" s="327"/>
      <c r="F1337" s="606" t="str">
        <f>'refer admin discharge'!H1333</f>
        <v>00/00/0000</v>
      </c>
      <c r="G1337" s="327"/>
      <c r="H1337" s="594"/>
      <c r="I1337" s="327"/>
      <c r="J1337" s="605"/>
      <c r="K1337" s="327"/>
      <c r="L1337" s="594"/>
      <c r="M1337" s="327"/>
      <c r="N1337" s="575"/>
      <c r="O1337" s="327"/>
      <c r="P1337" s="594"/>
      <c r="Q1337" s="327"/>
      <c r="R1337" s="575"/>
      <c r="S1337" s="327"/>
      <c r="T1337" s="594"/>
      <c r="U1337" s="327"/>
      <c r="V1337" s="595" t="str">
        <f>'refer admin discharge'!H1338</f>
        <v>00/00/0000</v>
      </c>
      <c r="W1337" s="327"/>
      <c r="X1337" s="577"/>
      <c r="Y1337" s="327"/>
      <c r="Z1337" s="604"/>
      <c r="AA1337" s="327"/>
      <c r="AB1337" s="577"/>
      <c r="AC1337" s="327"/>
      <c r="AD1337" s="576"/>
      <c r="AE1337" s="327"/>
      <c r="AF1337" s="577"/>
      <c r="AG1337" s="327"/>
      <c r="AH1337" s="576"/>
      <c r="AI1337" s="327"/>
      <c r="AJ1337" s="577"/>
      <c r="AK1337" s="327"/>
      <c r="AL1337" s="602"/>
      <c r="AM1337" s="326"/>
      <c r="AN1337" s="326"/>
      <c r="AO1337" s="326"/>
      <c r="AP1337" s="326"/>
      <c r="AQ1337" s="326"/>
      <c r="AR1337" s="326"/>
      <c r="AS1337" s="326"/>
      <c r="AT1337" s="326"/>
      <c r="AU1337" s="326"/>
      <c r="AV1337" s="326"/>
      <c r="AW1337" s="326"/>
      <c r="AX1337" s="326"/>
      <c r="AY1337" s="326"/>
      <c r="AZ1337" s="326"/>
      <c r="BA1337" s="326"/>
      <c r="BB1337" s="327"/>
    </row>
    <row r="1338" spans="1:54" ht="15.75" customHeight="1" x14ac:dyDescent="0.25">
      <c r="A1338" s="11">
        <f t="shared" si="5"/>
        <v>1325</v>
      </c>
      <c r="B1338" s="570" t="str">
        <f>'refer admin discharge'!B1334</f>
        <v>x</v>
      </c>
      <c r="C1338" s="327"/>
      <c r="D1338" s="599" t="str">
        <f>'refer admin discharge'!D1334</f>
        <v>xx</v>
      </c>
      <c r="E1338" s="327"/>
      <c r="F1338" s="600" t="str">
        <f>'refer admin discharge'!H1334</f>
        <v>00/00/0000</v>
      </c>
      <c r="G1338" s="327"/>
      <c r="H1338" s="574"/>
      <c r="I1338" s="327"/>
      <c r="J1338" s="601"/>
      <c r="K1338" s="327"/>
      <c r="L1338" s="574"/>
      <c r="M1338" s="327"/>
      <c r="N1338" s="594"/>
      <c r="O1338" s="327"/>
      <c r="P1338" s="574"/>
      <c r="Q1338" s="327"/>
      <c r="R1338" s="594"/>
      <c r="S1338" s="327"/>
      <c r="T1338" s="574"/>
      <c r="U1338" s="327"/>
      <c r="V1338" s="595" t="str">
        <f>'refer admin discharge'!H1339</f>
        <v>00/00/0000</v>
      </c>
      <c r="W1338" s="327"/>
      <c r="X1338" s="596"/>
      <c r="Y1338" s="327"/>
      <c r="Z1338" s="597"/>
      <c r="AA1338" s="327"/>
      <c r="AB1338" s="596"/>
      <c r="AC1338" s="327"/>
      <c r="AD1338" s="577"/>
      <c r="AE1338" s="327"/>
      <c r="AF1338" s="596"/>
      <c r="AG1338" s="327"/>
      <c r="AH1338" s="577"/>
      <c r="AI1338" s="327"/>
      <c r="AJ1338" s="596"/>
      <c r="AK1338" s="327"/>
      <c r="AL1338" s="598"/>
      <c r="AM1338" s="326"/>
      <c r="AN1338" s="326"/>
      <c r="AO1338" s="326"/>
      <c r="AP1338" s="326"/>
      <c r="AQ1338" s="326"/>
      <c r="AR1338" s="326"/>
      <c r="AS1338" s="326"/>
      <c r="AT1338" s="326"/>
      <c r="AU1338" s="326"/>
      <c r="AV1338" s="326"/>
      <c r="AW1338" s="326"/>
      <c r="AX1338" s="326"/>
      <c r="AY1338" s="326"/>
      <c r="AZ1338" s="326"/>
      <c r="BA1338" s="326"/>
      <c r="BB1338" s="327"/>
    </row>
    <row r="1339" spans="1:54" ht="15.75" customHeight="1" x14ac:dyDescent="0.25">
      <c r="A1339" s="11">
        <f t="shared" si="5"/>
        <v>1326</v>
      </c>
      <c r="B1339" s="504" t="str">
        <f>'refer admin discharge'!B1335</f>
        <v>x</v>
      </c>
      <c r="C1339" s="327"/>
      <c r="D1339" s="505" t="str">
        <f>'refer admin discharge'!D1335</f>
        <v>xx</v>
      </c>
      <c r="E1339" s="327"/>
      <c r="F1339" s="606" t="str">
        <f>'refer admin discharge'!H1335</f>
        <v>00/00/0000</v>
      </c>
      <c r="G1339" s="327"/>
      <c r="H1339" s="594"/>
      <c r="I1339" s="327"/>
      <c r="J1339" s="605"/>
      <c r="K1339" s="327"/>
      <c r="L1339" s="594"/>
      <c r="M1339" s="327"/>
      <c r="N1339" s="575"/>
      <c r="O1339" s="327"/>
      <c r="P1339" s="594"/>
      <c r="Q1339" s="327"/>
      <c r="R1339" s="575"/>
      <c r="S1339" s="327"/>
      <c r="T1339" s="594"/>
      <c r="U1339" s="327"/>
      <c r="V1339" s="595" t="str">
        <f>'refer admin discharge'!H1340</f>
        <v>00/00/0000</v>
      </c>
      <c r="W1339" s="327"/>
      <c r="X1339" s="577"/>
      <c r="Y1339" s="327"/>
      <c r="Z1339" s="604"/>
      <c r="AA1339" s="327"/>
      <c r="AB1339" s="577"/>
      <c r="AC1339" s="327"/>
      <c r="AD1339" s="576"/>
      <c r="AE1339" s="327"/>
      <c r="AF1339" s="577"/>
      <c r="AG1339" s="327"/>
      <c r="AH1339" s="576"/>
      <c r="AI1339" s="327"/>
      <c r="AJ1339" s="577"/>
      <c r="AK1339" s="327"/>
      <c r="AL1339" s="602"/>
      <c r="AM1339" s="326"/>
      <c r="AN1339" s="326"/>
      <c r="AO1339" s="326"/>
      <c r="AP1339" s="326"/>
      <c r="AQ1339" s="326"/>
      <c r="AR1339" s="326"/>
      <c r="AS1339" s="326"/>
      <c r="AT1339" s="326"/>
      <c r="AU1339" s="326"/>
      <c r="AV1339" s="326"/>
      <c r="AW1339" s="326"/>
      <c r="AX1339" s="326"/>
      <c r="AY1339" s="326"/>
      <c r="AZ1339" s="326"/>
      <c r="BA1339" s="326"/>
      <c r="BB1339" s="327"/>
    </row>
    <row r="1340" spans="1:54" ht="15.75" customHeight="1" x14ac:dyDescent="0.25">
      <c r="A1340" s="11">
        <f t="shared" si="5"/>
        <v>1327</v>
      </c>
      <c r="B1340" s="570" t="str">
        <f>'refer admin discharge'!B1336</f>
        <v>x</v>
      </c>
      <c r="C1340" s="327"/>
      <c r="D1340" s="599" t="str">
        <f>'refer admin discharge'!D1336</f>
        <v>xx</v>
      </c>
      <c r="E1340" s="327"/>
      <c r="F1340" s="600" t="str">
        <f>'refer admin discharge'!H1336</f>
        <v>00/00/0000</v>
      </c>
      <c r="G1340" s="327"/>
      <c r="H1340" s="574"/>
      <c r="I1340" s="327"/>
      <c r="J1340" s="601"/>
      <c r="K1340" s="327"/>
      <c r="L1340" s="574"/>
      <c r="M1340" s="327"/>
      <c r="N1340" s="594"/>
      <c r="O1340" s="327"/>
      <c r="P1340" s="574"/>
      <c r="Q1340" s="327"/>
      <c r="R1340" s="594"/>
      <c r="S1340" s="327"/>
      <c r="T1340" s="574"/>
      <c r="U1340" s="327"/>
      <c r="V1340" s="595" t="str">
        <f>'refer admin discharge'!H1341</f>
        <v>00/00/0000</v>
      </c>
      <c r="W1340" s="327"/>
      <c r="X1340" s="596"/>
      <c r="Y1340" s="327"/>
      <c r="Z1340" s="597"/>
      <c r="AA1340" s="327"/>
      <c r="AB1340" s="596"/>
      <c r="AC1340" s="327"/>
      <c r="AD1340" s="577"/>
      <c r="AE1340" s="327"/>
      <c r="AF1340" s="596"/>
      <c r="AG1340" s="327"/>
      <c r="AH1340" s="577"/>
      <c r="AI1340" s="327"/>
      <c r="AJ1340" s="596"/>
      <c r="AK1340" s="327"/>
      <c r="AL1340" s="598"/>
      <c r="AM1340" s="326"/>
      <c r="AN1340" s="326"/>
      <c r="AO1340" s="326"/>
      <c r="AP1340" s="326"/>
      <c r="AQ1340" s="326"/>
      <c r="AR1340" s="326"/>
      <c r="AS1340" s="326"/>
      <c r="AT1340" s="326"/>
      <c r="AU1340" s="326"/>
      <c r="AV1340" s="326"/>
      <c r="AW1340" s="326"/>
      <c r="AX1340" s="326"/>
      <c r="AY1340" s="326"/>
      <c r="AZ1340" s="326"/>
      <c r="BA1340" s="326"/>
      <c r="BB1340" s="327"/>
    </row>
    <row r="1341" spans="1:54" ht="15.75" customHeight="1" x14ac:dyDescent="0.25">
      <c r="A1341" s="11">
        <f t="shared" si="5"/>
        <v>1328</v>
      </c>
      <c r="B1341" s="504" t="str">
        <f>'refer admin discharge'!B1337</f>
        <v>x</v>
      </c>
      <c r="C1341" s="327"/>
      <c r="D1341" s="505" t="str">
        <f>'refer admin discharge'!D1337</f>
        <v>xx</v>
      </c>
      <c r="E1341" s="327"/>
      <c r="F1341" s="606" t="str">
        <f>'refer admin discharge'!H1337</f>
        <v>00/00/0000</v>
      </c>
      <c r="G1341" s="327"/>
      <c r="H1341" s="594"/>
      <c r="I1341" s="327"/>
      <c r="J1341" s="605"/>
      <c r="K1341" s="327"/>
      <c r="L1341" s="594"/>
      <c r="M1341" s="327"/>
      <c r="N1341" s="575"/>
      <c r="O1341" s="327"/>
      <c r="P1341" s="594"/>
      <c r="Q1341" s="327"/>
      <c r="R1341" s="575"/>
      <c r="S1341" s="327"/>
      <c r="T1341" s="594"/>
      <c r="U1341" s="327"/>
      <c r="V1341" s="595" t="str">
        <f>'refer admin discharge'!H1342</f>
        <v>00/00/0000</v>
      </c>
      <c r="W1341" s="327"/>
      <c r="X1341" s="577"/>
      <c r="Y1341" s="327"/>
      <c r="Z1341" s="604"/>
      <c r="AA1341" s="327"/>
      <c r="AB1341" s="577"/>
      <c r="AC1341" s="327"/>
      <c r="AD1341" s="576"/>
      <c r="AE1341" s="327"/>
      <c r="AF1341" s="577"/>
      <c r="AG1341" s="327"/>
      <c r="AH1341" s="576"/>
      <c r="AI1341" s="327"/>
      <c r="AJ1341" s="577"/>
      <c r="AK1341" s="327"/>
      <c r="AL1341" s="602"/>
      <c r="AM1341" s="326"/>
      <c r="AN1341" s="326"/>
      <c r="AO1341" s="326"/>
      <c r="AP1341" s="326"/>
      <c r="AQ1341" s="326"/>
      <c r="AR1341" s="326"/>
      <c r="AS1341" s="326"/>
      <c r="AT1341" s="326"/>
      <c r="AU1341" s="326"/>
      <c r="AV1341" s="326"/>
      <c r="AW1341" s="326"/>
      <c r="AX1341" s="326"/>
      <c r="AY1341" s="326"/>
      <c r="AZ1341" s="326"/>
      <c r="BA1341" s="326"/>
      <c r="BB1341" s="327"/>
    </row>
    <row r="1342" spans="1:54" ht="15.75" customHeight="1" x14ac:dyDescent="0.25">
      <c r="A1342" s="11">
        <f t="shared" si="5"/>
        <v>1329</v>
      </c>
      <c r="B1342" s="570" t="str">
        <f>'refer admin discharge'!B1338</f>
        <v>x</v>
      </c>
      <c r="C1342" s="327"/>
      <c r="D1342" s="599" t="str">
        <f>'refer admin discharge'!D1338</f>
        <v>xx</v>
      </c>
      <c r="E1342" s="327"/>
      <c r="F1342" s="600" t="str">
        <f>'refer admin discharge'!H1338</f>
        <v>00/00/0000</v>
      </c>
      <c r="G1342" s="327"/>
      <c r="H1342" s="574"/>
      <c r="I1342" s="327"/>
      <c r="J1342" s="601"/>
      <c r="K1342" s="327"/>
      <c r="L1342" s="574"/>
      <c r="M1342" s="327"/>
      <c r="N1342" s="594"/>
      <c r="O1342" s="327"/>
      <c r="P1342" s="574"/>
      <c r="Q1342" s="327"/>
      <c r="R1342" s="594"/>
      <c r="S1342" s="327"/>
      <c r="T1342" s="574"/>
      <c r="U1342" s="327"/>
      <c r="V1342" s="595" t="str">
        <f>'refer admin discharge'!H1343</f>
        <v>00/00/0000</v>
      </c>
      <c r="W1342" s="327"/>
      <c r="X1342" s="596"/>
      <c r="Y1342" s="327"/>
      <c r="Z1342" s="597"/>
      <c r="AA1342" s="327"/>
      <c r="AB1342" s="596"/>
      <c r="AC1342" s="327"/>
      <c r="AD1342" s="577"/>
      <c r="AE1342" s="327"/>
      <c r="AF1342" s="596"/>
      <c r="AG1342" s="327"/>
      <c r="AH1342" s="577"/>
      <c r="AI1342" s="327"/>
      <c r="AJ1342" s="596"/>
      <c r="AK1342" s="327"/>
      <c r="AL1342" s="598"/>
      <c r="AM1342" s="326"/>
      <c r="AN1342" s="326"/>
      <c r="AO1342" s="326"/>
      <c r="AP1342" s="326"/>
      <c r="AQ1342" s="326"/>
      <c r="AR1342" s="326"/>
      <c r="AS1342" s="326"/>
      <c r="AT1342" s="326"/>
      <c r="AU1342" s="326"/>
      <c r="AV1342" s="326"/>
      <c r="AW1342" s="326"/>
      <c r="AX1342" s="326"/>
      <c r="AY1342" s="326"/>
      <c r="AZ1342" s="326"/>
      <c r="BA1342" s="326"/>
      <c r="BB1342" s="327"/>
    </row>
    <row r="1343" spans="1:54" ht="15.75" customHeight="1" x14ac:dyDescent="0.25">
      <c r="A1343" s="11">
        <f t="shared" si="5"/>
        <v>1330</v>
      </c>
      <c r="B1343" s="504" t="str">
        <f>'refer admin discharge'!B1339</f>
        <v>x</v>
      </c>
      <c r="C1343" s="327"/>
      <c r="D1343" s="505" t="str">
        <f>'refer admin discharge'!D1339</f>
        <v>xx</v>
      </c>
      <c r="E1343" s="327"/>
      <c r="F1343" s="606" t="str">
        <f>'refer admin discharge'!H1339</f>
        <v>00/00/0000</v>
      </c>
      <c r="G1343" s="327"/>
      <c r="H1343" s="594"/>
      <c r="I1343" s="327"/>
      <c r="J1343" s="605"/>
      <c r="K1343" s="327"/>
      <c r="L1343" s="594"/>
      <c r="M1343" s="327"/>
      <c r="N1343" s="575"/>
      <c r="O1343" s="327"/>
      <c r="P1343" s="594"/>
      <c r="Q1343" s="327"/>
      <c r="R1343" s="575"/>
      <c r="S1343" s="327"/>
      <c r="T1343" s="594"/>
      <c r="U1343" s="327"/>
      <c r="V1343" s="595" t="str">
        <f>'refer admin discharge'!H1344</f>
        <v>00/00/0000</v>
      </c>
      <c r="W1343" s="327"/>
      <c r="X1343" s="577"/>
      <c r="Y1343" s="327"/>
      <c r="Z1343" s="604"/>
      <c r="AA1343" s="327"/>
      <c r="AB1343" s="577"/>
      <c r="AC1343" s="327"/>
      <c r="AD1343" s="576"/>
      <c r="AE1343" s="327"/>
      <c r="AF1343" s="577"/>
      <c r="AG1343" s="327"/>
      <c r="AH1343" s="576"/>
      <c r="AI1343" s="327"/>
      <c r="AJ1343" s="577"/>
      <c r="AK1343" s="327"/>
      <c r="AL1343" s="602"/>
      <c r="AM1343" s="326"/>
      <c r="AN1343" s="326"/>
      <c r="AO1343" s="326"/>
      <c r="AP1343" s="326"/>
      <c r="AQ1343" s="326"/>
      <c r="AR1343" s="326"/>
      <c r="AS1343" s="326"/>
      <c r="AT1343" s="326"/>
      <c r="AU1343" s="326"/>
      <c r="AV1343" s="326"/>
      <c r="AW1343" s="326"/>
      <c r="AX1343" s="326"/>
      <c r="AY1343" s="326"/>
      <c r="AZ1343" s="326"/>
      <c r="BA1343" s="326"/>
      <c r="BB1343" s="327"/>
    </row>
    <row r="1344" spans="1:54" ht="15.75" customHeight="1" x14ac:dyDescent="0.25">
      <c r="A1344" s="11">
        <f t="shared" si="5"/>
        <v>1331</v>
      </c>
      <c r="B1344" s="570" t="str">
        <f>'refer admin discharge'!B1340</f>
        <v>x</v>
      </c>
      <c r="C1344" s="327"/>
      <c r="D1344" s="599" t="str">
        <f>'refer admin discharge'!D1340</f>
        <v>xx</v>
      </c>
      <c r="E1344" s="327"/>
      <c r="F1344" s="600" t="str">
        <f>'refer admin discharge'!H1340</f>
        <v>00/00/0000</v>
      </c>
      <c r="G1344" s="327"/>
      <c r="H1344" s="574"/>
      <c r="I1344" s="327"/>
      <c r="J1344" s="601"/>
      <c r="K1344" s="327"/>
      <c r="L1344" s="574"/>
      <c r="M1344" s="327"/>
      <c r="N1344" s="594"/>
      <c r="O1344" s="327"/>
      <c r="P1344" s="574"/>
      <c r="Q1344" s="327"/>
      <c r="R1344" s="594"/>
      <c r="S1344" s="327"/>
      <c r="T1344" s="574"/>
      <c r="U1344" s="327"/>
      <c r="V1344" s="595" t="str">
        <f>'refer admin discharge'!H1345</f>
        <v>00/00/0000</v>
      </c>
      <c r="W1344" s="327"/>
      <c r="X1344" s="596"/>
      <c r="Y1344" s="327"/>
      <c r="Z1344" s="597"/>
      <c r="AA1344" s="327"/>
      <c r="AB1344" s="596"/>
      <c r="AC1344" s="327"/>
      <c r="AD1344" s="577"/>
      <c r="AE1344" s="327"/>
      <c r="AF1344" s="596"/>
      <c r="AG1344" s="327"/>
      <c r="AH1344" s="577"/>
      <c r="AI1344" s="327"/>
      <c r="AJ1344" s="596"/>
      <c r="AK1344" s="327"/>
      <c r="AL1344" s="598"/>
      <c r="AM1344" s="326"/>
      <c r="AN1344" s="326"/>
      <c r="AO1344" s="326"/>
      <c r="AP1344" s="326"/>
      <c r="AQ1344" s="326"/>
      <c r="AR1344" s="326"/>
      <c r="AS1344" s="326"/>
      <c r="AT1344" s="326"/>
      <c r="AU1344" s="326"/>
      <c r="AV1344" s="326"/>
      <c r="AW1344" s="326"/>
      <c r="AX1344" s="326"/>
      <c r="AY1344" s="326"/>
      <c r="AZ1344" s="326"/>
      <c r="BA1344" s="326"/>
      <c r="BB1344" s="327"/>
    </row>
    <row r="1345" spans="1:54" ht="15.75" customHeight="1" x14ac:dyDescent="0.25">
      <c r="A1345" s="11">
        <f t="shared" si="5"/>
        <v>1332</v>
      </c>
      <c r="B1345" s="504" t="str">
        <f>'refer admin discharge'!B1341</f>
        <v>x</v>
      </c>
      <c r="C1345" s="327"/>
      <c r="D1345" s="505" t="str">
        <f>'refer admin discharge'!D1341</f>
        <v>xx</v>
      </c>
      <c r="E1345" s="327"/>
      <c r="F1345" s="606" t="str">
        <f>'refer admin discharge'!H1341</f>
        <v>00/00/0000</v>
      </c>
      <c r="G1345" s="327"/>
      <c r="H1345" s="594"/>
      <c r="I1345" s="327"/>
      <c r="J1345" s="605"/>
      <c r="K1345" s="327"/>
      <c r="L1345" s="594"/>
      <c r="M1345" s="327"/>
      <c r="N1345" s="575"/>
      <c r="O1345" s="327"/>
      <c r="P1345" s="594"/>
      <c r="Q1345" s="327"/>
      <c r="R1345" s="575"/>
      <c r="S1345" s="327"/>
      <c r="T1345" s="594"/>
      <c r="U1345" s="327"/>
      <c r="V1345" s="595" t="str">
        <f>'refer admin discharge'!H1346</f>
        <v>00/00/0000</v>
      </c>
      <c r="W1345" s="327"/>
      <c r="X1345" s="577"/>
      <c r="Y1345" s="327"/>
      <c r="Z1345" s="604"/>
      <c r="AA1345" s="327"/>
      <c r="AB1345" s="577"/>
      <c r="AC1345" s="327"/>
      <c r="AD1345" s="576"/>
      <c r="AE1345" s="327"/>
      <c r="AF1345" s="577"/>
      <c r="AG1345" s="327"/>
      <c r="AH1345" s="576"/>
      <c r="AI1345" s="327"/>
      <c r="AJ1345" s="577"/>
      <c r="AK1345" s="327"/>
      <c r="AL1345" s="602"/>
      <c r="AM1345" s="326"/>
      <c r="AN1345" s="326"/>
      <c r="AO1345" s="326"/>
      <c r="AP1345" s="326"/>
      <c r="AQ1345" s="326"/>
      <c r="AR1345" s="326"/>
      <c r="AS1345" s="326"/>
      <c r="AT1345" s="326"/>
      <c r="AU1345" s="326"/>
      <c r="AV1345" s="326"/>
      <c r="AW1345" s="326"/>
      <c r="AX1345" s="326"/>
      <c r="AY1345" s="326"/>
      <c r="AZ1345" s="326"/>
      <c r="BA1345" s="326"/>
      <c r="BB1345" s="327"/>
    </row>
    <row r="1346" spans="1:54" ht="15.75" customHeight="1" x14ac:dyDescent="0.25">
      <c r="A1346" s="11">
        <f t="shared" si="5"/>
        <v>1333</v>
      </c>
      <c r="B1346" s="570" t="str">
        <f>'refer admin discharge'!B1342</f>
        <v>x</v>
      </c>
      <c r="C1346" s="327"/>
      <c r="D1346" s="599" t="str">
        <f>'refer admin discharge'!D1342</f>
        <v>xx</v>
      </c>
      <c r="E1346" s="327"/>
      <c r="F1346" s="600" t="str">
        <f>'refer admin discharge'!H1342</f>
        <v>00/00/0000</v>
      </c>
      <c r="G1346" s="327"/>
      <c r="H1346" s="574"/>
      <c r="I1346" s="327"/>
      <c r="J1346" s="601"/>
      <c r="K1346" s="327"/>
      <c r="L1346" s="574"/>
      <c r="M1346" s="327"/>
      <c r="N1346" s="594"/>
      <c r="O1346" s="327"/>
      <c r="P1346" s="574"/>
      <c r="Q1346" s="327"/>
      <c r="R1346" s="594"/>
      <c r="S1346" s="327"/>
      <c r="T1346" s="574"/>
      <c r="U1346" s="327"/>
      <c r="V1346" s="595" t="str">
        <f>'refer admin discharge'!H1347</f>
        <v>00/00/0000</v>
      </c>
      <c r="W1346" s="327"/>
      <c r="X1346" s="596"/>
      <c r="Y1346" s="327"/>
      <c r="Z1346" s="597"/>
      <c r="AA1346" s="327"/>
      <c r="AB1346" s="596"/>
      <c r="AC1346" s="327"/>
      <c r="AD1346" s="577"/>
      <c r="AE1346" s="327"/>
      <c r="AF1346" s="596"/>
      <c r="AG1346" s="327"/>
      <c r="AH1346" s="577"/>
      <c r="AI1346" s="327"/>
      <c r="AJ1346" s="596"/>
      <c r="AK1346" s="327"/>
      <c r="AL1346" s="598"/>
      <c r="AM1346" s="326"/>
      <c r="AN1346" s="326"/>
      <c r="AO1346" s="326"/>
      <c r="AP1346" s="326"/>
      <c r="AQ1346" s="326"/>
      <c r="AR1346" s="326"/>
      <c r="AS1346" s="326"/>
      <c r="AT1346" s="326"/>
      <c r="AU1346" s="326"/>
      <c r="AV1346" s="326"/>
      <c r="AW1346" s="326"/>
      <c r="AX1346" s="326"/>
      <c r="AY1346" s="326"/>
      <c r="AZ1346" s="326"/>
      <c r="BA1346" s="326"/>
      <c r="BB1346" s="327"/>
    </row>
    <row r="1347" spans="1:54" ht="15.75" customHeight="1" x14ac:dyDescent="0.25">
      <c r="A1347" s="11">
        <f t="shared" si="5"/>
        <v>1334</v>
      </c>
      <c r="B1347" s="504" t="str">
        <f>'refer admin discharge'!B1343</f>
        <v>x</v>
      </c>
      <c r="C1347" s="327"/>
      <c r="D1347" s="505" t="str">
        <f>'refer admin discharge'!D1343</f>
        <v>xx</v>
      </c>
      <c r="E1347" s="327"/>
      <c r="F1347" s="606" t="str">
        <f>'refer admin discharge'!H1343</f>
        <v>00/00/0000</v>
      </c>
      <c r="G1347" s="327"/>
      <c r="H1347" s="594"/>
      <c r="I1347" s="327"/>
      <c r="J1347" s="605"/>
      <c r="K1347" s="327"/>
      <c r="L1347" s="594"/>
      <c r="M1347" s="327"/>
      <c r="N1347" s="575"/>
      <c r="O1347" s="327"/>
      <c r="P1347" s="594"/>
      <c r="Q1347" s="327"/>
      <c r="R1347" s="575"/>
      <c r="S1347" s="327"/>
      <c r="T1347" s="594"/>
      <c r="U1347" s="327"/>
      <c r="V1347" s="595" t="str">
        <f>'refer admin discharge'!H1348</f>
        <v>00/00/0000</v>
      </c>
      <c r="W1347" s="327"/>
      <c r="X1347" s="577"/>
      <c r="Y1347" s="327"/>
      <c r="Z1347" s="604"/>
      <c r="AA1347" s="327"/>
      <c r="AB1347" s="577"/>
      <c r="AC1347" s="327"/>
      <c r="AD1347" s="576"/>
      <c r="AE1347" s="327"/>
      <c r="AF1347" s="577"/>
      <c r="AG1347" s="327"/>
      <c r="AH1347" s="576"/>
      <c r="AI1347" s="327"/>
      <c r="AJ1347" s="577"/>
      <c r="AK1347" s="327"/>
      <c r="AL1347" s="602"/>
      <c r="AM1347" s="326"/>
      <c r="AN1347" s="326"/>
      <c r="AO1347" s="326"/>
      <c r="AP1347" s="326"/>
      <c r="AQ1347" s="326"/>
      <c r="AR1347" s="326"/>
      <c r="AS1347" s="326"/>
      <c r="AT1347" s="326"/>
      <c r="AU1347" s="326"/>
      <c r="AV1347" s="326"/>
      <c r="AW1347" s="326"/>
      <c r="AX1347" s="326"/>
      <c r="AY1347" s="326"/>
      <c r="AZ1347" s="326"/>
      <c r="BA1347" s="326"/>
      <c r="BB1347" s="327"/>
    </row>
    <row r="1348" spans="1:54" ht="15.75" customHeight="1" x14ac:dyDescent="0.25">
      <c r="A1348" s="11">
        <f t="shared" si="5"/>
        <v>1335</v>
      </c>
      <c r="B1348" s="570" t="str">
        <f>'refer admin discharge'!B1344</f>
        <v>x</v>
      </c>
      <c r="C1348" s="327"/>
      <c r="D1348" s="599" t="str">
        <f>'refer admin discharge'!D1344</f>
        <v>xx</v>
      </c>
      <c r="E1348" s="327"/>
      <c r="F1348" s="600" t="str">
        <f>'refer admin discharge'!H1344</f>
        <v>00/00/0000</v>
      </c>
      <c r="G1348" s="327"/>
      <c r="H1348" s="574"/>
      <c r="I1348" s="327"/>
      <c r="J1348" s="601"/>
      <c r="K1348" s="327"/>
      <c r="L1348" s="574"/>
      <c r="M1348" s="327"/>
      <c r="N1348" s="594"/>
      <c r="O1348" s="327"/>
      <c r="P1348" s="574"/>
      <c r="Q1348" s="327"/>
      <c r="R1348" s="594"/>
      <c r="S1348" s="327"/>
      <c r="T1348" s="574"/>
      <c r="U1348" s="327"/>
      <c r="V1348" s="595" t="str">
        <f>'refer admin discharge'!H1349</f>
        <v>00/00/0000</v>
      </c>
      <c r="W1348" s="327"/>
      <c r="X1348" s="596"/>
      <c r="Y1348" s="327"/>
      <c r="Z1348" s="597"/>
      <c r="AA1348" s="327"/>
      <c r="AB1348" s="596"/>
      <c r="AC1348" s="327"/>
      <c r="AD1348" s="577"/>
      <c r="AE1348" s="327"/>
      <c r="AF1348" s="596"/>
      <c r="AG1348" s="327"/>
      <c r="AH1348" s="577"/>
      <c r="AI1348" s="327"/>
      <c r="AJ1348" s="596"/>
      <c r="AK1348" s="327"/>
      <c r="AL1348" s="598"/>
      <c r="AM1348" s="326"/>
      <c r="AN1348" s="326"/>
      <c r="AO1348" s="326"/>
      <c r="AP1348" s="326"/>
      <c r="AQ1348" s="326"/>
      <c r="AR1348" s="326"/>
      <c r="AS1348" s="326"/>
      <c r="AT1348" s="326"/>
      <c r="AU1348" s="326"/>
      <c r="AV1348" s="326"/>
      <c r="AW1348" s="326"/>
      <c r="AX1348" s="326"/>
      <c r="AY1348" s="326"/>
      <c r="AZ1348" s="326"/>
      <c r="BA1348" s="326"/>
      <c r="BB1348" s="327"/>
    </row>
    <row r="1349" spans="1:54" ht="15.75" customHeight="1" x14ac:dyDescent="0.25">
      <c r="A1349" s="11">
        <f t="shared" si="5"/>
        <v>1336</v>
      </c>
      <c r="B1349" s="504" t="str">
        <f>'refer admin discharge'!B1345</f>
        <v>x</v>
      </c>
      <c r="C1349" s="327"/>
      <c r="D1349" s="505" t="str">
        <f>'refer admin discharge'!D1345</f>
        <v>xx</v>
      </c>
      <c r="E1349" s="327"/>
      <c r="F1349" s="606" t="str">
        <f>'refer admin discharge'!H1345</f>
        <v>00/00/0000</v>
      </c>
      <c r="G1349" s="327"/>
      <c r="H1349" s="594"/>
      <c r="I1349" s="327"/>
      <c r="J1349" s="605"/>
      <c r="K1349" s="327"/>
      <c r="L1349" s="594"/>
      <c r="M1349" s="327"/>
      <c r="N1349" s="575"/>
      <c r="O1349" s="327"/>
      <c r="P1349" s="594"/>
      <c r="Q1349" s="327"/>
      <c r="R1349" s="575"/>
      <c r="S1349" s="327"/>
      <c r="T1349" s="594"/>
      <c r="U1349" s="327"/>
      <c r="V1349" s="595" t="str">
        <f>'refer admin discharge'!H1350</f>
        <v>00/00/0000</v>
      </c>
      <c r="W1349" s="327"/>
      <c r="X1349" s="577"/>
      <c r="Y1349" s="327"/>
      <c r="Z1349" s="604"/>
      <c r="AA1349" s="327"/>
      <c r="AB1349" s="577"/>
      <c r="AC1349" s="327"/>
      <c r="AD1349" s="576"/>
      <c r="AE1349" s="327"/>
      <c r="AF1349" s="577"/>
      <c r="AG1349" s="327"/>
      <c r="AH1349" s="576"/>
      <c r="AI1349" s="327"/>
      <c r="AJ1349" s="577"/>
      <c r="AK1349" s="327"/>
      <c r="AL1349" s="602"/>
      <c r="AM1349" s="326"/>
      <c r="AN1349" s="326"/>
      <c r="AO1349" s="326"/>
      <c r="AP1349" s="326"/>
      <c r="AQ1349" s="326"/>
      <c r="AR1349" s="326"/>
      <c r="AS1349" s="326"/>
      <c r="AT1349" s="326"/>
      <c r="AU1349" s="326"/>
      <c r="AV1349" s="326"/>
      <c r="AW1349" s="326"/>
      <c r="AX1349" s="326"/>
      <c r="AY1349" s="326"/>
      <c r="AZ1349" s="326"/>
      <c r="BA1349" s="326"/>
      <c r="BB1349" s="327"/>
    </row>
    <row r="1350" spans="1:54" ht="15.75" customHeight="1" x14ac:dyDescent="0.25">
      <c r="A1350" s="11">
        <f t="shared" si="5"/>
        <v>1337</v>
      </c>
      <c r="B1350" s="570" t="str">
        <f>'refer admin discharge'!B1346</f>
        <v>x</v>
      </c>
      <c r="C1350" s="327"/>
      <c r="D1350" s="599" t="str">
        <f>'refer admin discharge'!D1346</f>
        <v>xx</v>
      </c>
      <c r="E1350" s="327"/>
      <c r="F1350" s="600" t="str">
        <f>'refer admin discharge'!H1346</f>
        <v>00/00/0000</v>
      </c>
      <c r="G1350" s="327"/>
      <c r="H1350" s="574"/>
      <c r="I1350" s="327"/>
      <c r="J1350" s="601"/>
      <c r="K1350" s="327"/>
      <c r="L1350" s="574"/>
      <c r="M1350" s="327"/>
      <c r="N1350" s="594"/>
      <c r="O1350" s="327"/>
      <c r="P1350" s="574"/>
      <c r="Q1350" s="327"/>
      <c r="R1350" s="594"/>
      <c r="S1350" s="327"/>
      <c r="T1350" s="574"/>
      <c r="U1350" s="327"/>
      <c r="V1350" s="595" t="str">
        <f>'refer admin discharge'!H1351</f>
        <v>00/00/0000</v>
      </c>
      <c r="W1350" s="327"/>
      <c r="X1350" s="596"/>
      <c r="Y1350" s="327"/>
      <c r="Z1350" s="597"/>
      <c r="AA1350" s="327"/>
      <c r="AB1350" s="596"/>
      <c r="AC1350" s="327"/>
      <c r="AD1350" s="577"/>
      <c r="AE1350" s="327"/>
      <c r="AF1350" s="596"/>
      <c r="AG1350" s="327"/>
      <c r="AH1350" s="577"/>
      <c r="AI1350" s="327"/>
      <c r="AJ1350" s="596"/>
      <c r="AK1350" s="327"/>
      <c r="AL1350" s="598"/>
      <c r="AM1350" s="326"/>
      <c r="AN1350" s="326"/>
      <c r="AO1350" s="326"/>
      <c r="AP1350" s="326"/>
      <c r="AQ1350" s="326"/>
      <c r="AR1350" s="326"/>
      <c r="AS1350" s="326"/>
      <c r="AT1350" s="326"/>
      <c r="AU1350" s="326"/>
      <c r="AV1350" s="326"/>
      <c r="AW1350" s="326"/>
      <c r="AX1350" s="326"/>
      <c r="AY1350" s="326"/>
      <c r="AZ1350" s="326"/>
      <c r="BA1350" s="326"/>
      <c r="BB1350" s="327"/>
    </row>
    <row r="1351" spans="1:54" ht="15.75" customHeight="1" x14ac:dyDescent="0.25">
      <c r="A1351" s="11">
        <f t="shared" si="5"/>
        <v>1338</v>
      </c>
      <c r="B1351" s="504" t="str">
        <f>'refer admin discharge'!B1347</f>
        <v>x</v>
      </c>
      <c r="C1351" s="327"/>
      <c r="D1351" s="505" t="str">
        <f>'refer admin discharge'!D1347</f>
        <v>xx</v>
      </c>
      <c r="E1351" s="327"/>
      <c r="F1351" s="606" t="str">
        <f>'refer admin discharge'!H1347</f>
        <v>00/00/0000</v>
      </c>
      <c r="G1351" s="327"/>
      <c r="H1351" s="594"/>
      <c r="I1351" s="327"/>
      <c r="J1351" s="605"/>
      <c r="K1351" s="327"/>
      <c r="L1351" s="594"/>
      <c r="M1351" s="327"/>
      <c r="N1351" s="575"/>
      <c r="O1351" s="327"/>
      <c r="P1351" s="594"/>
      <c r="Q1351" s="327"/>
      <c r="R1351" s="575"/>
      <c r="S1351" s="327"/>
      <c r="T1351" s="594"/>
      <c r="U1351" s="327"/>
      <c r="V1351" s="595" t="str">
        <f>'refer admin discharge'!H1352</f>
        <v>00/00/0000</v>
      </c>
      <c r="W1351" s="327"/>
      <c r="X1351" s="577"/>
      <c r="Y1351" s="327"/>
      <c r="Z1351" s="604"/>
      <c r="AA1351" s="327"/>
      <c r="AB1351" s="577"/>
      <c r="AC1351" s="327"/>
      <c r="AD1351" s="576"/>
      <c r="AE1351" s="327"/>
      <c r="AF1351" s="577"/>
      <c r="AG1351" s="327"/>
      <c r="AH1351" s="576"/>
      <c r="AI1351" s="327"/>
      <c r="AJ1351" s="577"/>
      <c r="AK1351" s="327"/>
      <c r="AL1351" s="602"/>
      <c r="AM1351" s="326"/>
      <c r="AN1351" s="326"/>
      <c r="AO1351" s="326"/>
      <c r="AP1351" s="326"/>
      <c r="AQ1351" s="326"/>
      <c r="AR1351" s="326"/>
      <c r="AS1351" s="326"/>
      <c r="AT1351" s="326"/>
      <c r="AU1351" s="326"/>
      <c r="AV1351" s="326"/>
      <c r="AW1351" s="326"/>
      <c r="AX1351" s="326"/>
      <c r="AY1351" s="326"/>
      <c r="AZ1351" s="326"/>
      <c r="BA1351" s="326"/>
      <c r="BB1351" s="327"/>
    </row>
    <row r="1352" spans="1:54" ht="15.75" customHeight="1" x14ac:dyDescent="0.25">
      <c r="A1352" s="11">
        <f t="shared" si="5"/>
        <v>1339</v>
      </c>
      <c r="B1352" s="570" t="str">
        <f>'refer admin discharge'!B1348</f>
        <v>x</v>
      </c>
      <c r="C1352" s="327"/>
      <c r="D1352" s="599" t="str">
        <f>'refer admin discharge'!D1348</f>
        <v>xx</v>
      </c>
      <c r="E1352" s="327"/>
      <c r="F1352" s="600" t="str">
        <f>'refer admin discharge'!H1348</f>
        <v>00/00/0000</v>
      </c>
      <c r="G1352" s="327"/>
      <c r="H1352" s="574"/>
      <c r="I1352" s="327"/>
      <c r="J1352" s="601"/>
      <c r="K1352" s="327"/>
      <c r="L1352" s="574"/>
      <c r="M1352" s="327"/>
      <c r="N1352" s="594"/>
      <c r="O1352" s="327"/>
      <c r="P1352" s="574"/>
      <c r="Q1352" s="327"/>
      <c r="R1352" s="594"/>
      <c r="S1352" s="327"/>
      <c r="T1352" s="574"/>
      <c r="U1352" s="327"/>
      <c r="V1352" s="595" t="str">
        <f>'refer admin discharge'!H1353</f>
        <v>00/00/0000</v>
      </c>
      <c r="W1352" s="327"/>
      <c r="X1352" s="596"/>
      <c r="Y1352" s="327"/>
      <c r="Z1352" s="597"/>
      <c r="AA1352" s="327"/>
      <c r="AB1352" s="596"/>
      <c r="AC1352" s="327"/>
      <c r="AD1352" s="577"/>
      <c r="AE1352" s="327"/>
      <c r="AF1352" s="596"/>
      <c r="AG1352" s="327"/>
      <c r="AH1352" s="577"/>
      <c r="AI1352" s="327"/>
      <c r="AJ1352" s="596"/>
      <c r="AK1352" s="327"/>
      <c r="AL1352" s="598"/>
      <c r="AM1352" s="326"/>
      <c r="AN1352" s="326"/>
      <c r="AO1352" s="326"/>
      <c r="AP1352" s="326"/>
      <c r="AQ1352" s="326"/>
      <c r="AR1352" s="326"/>
      <c r="AS1352" s="326"/>
      <c r="AT1352" s="326"/>
      <c r="AU1352" s="326"/>
      <c r="AV1352" s="326"/>
      <c r="AW1352" s="326"/>
      <c r="AX1352" s="326"/>
      <c r="AY1352" s="326"/>
      <c r="AZ1352" s="326"/>
      <c r="BA1352" s="326"/>
      <c r="BB1352" s="327"/>
    </row>
    <row r="1353" spans="1:54" ht="15.75" customHeight="1" x14ac:dyDescent="0.25">
      <c r="A1353" s="11">
        <f t="shared" si="5"/>
        <v>1340</v>
      </c>
      <c r="B1353" s="504" t="str">
        <f>'refer admin discharge'!B1349</f>
        <v>x</v>
      </c>
      <c r="C1353" s="327"/>
      <c r="D1353" s="505" t="str">
        <f>'refer admin discharge'!D1349</f>
        <v>xx</v>
      </c>
      <c r="E1353" s="327"/>
      <c r="F1353" s="606" t="str">
        <f>'refer admin discharge'!H1349</f>
        <v>00/00/0000</v>
      </c>
      <c r="G1353" s="327"/>
      <c r="H1353" s="594"/>
      <c r="I1353" s="327"/>
      <c r="J1353" s="605"/>
      <c r="K1353" s="327"/>
      <c r="L1353" s="594"/>
      <c r="M1353" s="327"/>
      <c r="N1353" s="575"/>
      <c r="O1353" s="327"/>
      <c r="P1353" s="594"/>
      <c r="Q1353" s="327"/>
      <c r="R1353" s="575"/>
      <c r="S1353" s="327"/>
      <c r="T1353" s="594"/>
      <c r="U1353" s="327"/>
      <c r="V1353" s="595" t="str">
        <f>'refer admin discharge'!H1354</f>
        <v>00/00/0000</v>
      </c>
      <c r="W1353" s="327"/>
      <c r="X1353" s="577"/>
      <c r="Y1353" s="327"/>
      <c r="Z1353" s="604"/>
      <c r="AA1353" s="327"/>
      <c r="AB1353" s="577"/>
      <c r="AC1353" s="327"/>
      <c r="AD1353" s="576"/>
      <c r="AE1353" s="327"/>
      <c r="AF1353" s="577"/>
      <c r="AG1353" s="327"/>
      <c r="AH1353" s="576"/>
      <c r="AI1353" s="327"/>
      <c r="AJ1353" s="577"/>
      <c r="AK1353" s="327"/>
      <c r="AL1353" s="602"/>
      <c r="AM1353" s="326"/>
      <c r="AN1353" s="326"/>
      <c r="AO1353" s="326"/>
      <c r="AP1353" s="326"/>
      <c r="AQ1353" s="326"/>
      <c r="AR1353" s="326"/>
      <c r="AS1353" s="326"/>
      <c r="AT1353" s="326"/>
      <c r="AU1353" s="326"/>
      <c r="AV1353" s="326"/>
      <c r="AW1353" s="326"/>
      <c r="AX1353" s="326"/>
      <c r="AY1353" s="326"/>
      <c r="AZ1353" s="326"/>
      <c r="BA1353" s="326"/>
      <c r="BB1353" s="327"/>
    </row>
    <row r="1354" spans="1:54" ht="15.75" customHeight="1" x14ac:dyDescent="0.25">
      <c r="A1354" s="11">
        <f t="shared" si="5"/>
        <v>1341</v>
      </c>
      <c r="B1354" s="570" t="str">
        <f>'refer admin discharge'!B1350</f>
        <v>x</v>
      </c>
      <c r="C1354" s="327"/>
      <c r="D1354" s="599" t="str">
        <f>'refer admin discharge'!D1350</f>
        <v>xx</v>
      </c>
      <c r="E1354" s="327"/>
      <c r="F1354" s="600" t="str">
        <f>'refer admin discharge'!H1350</f>
        <v>00/00/0000</v>
      </c>
      <c r="G1354" s="327"/>
      <c r="H1354" s="574"/>
      <c r="I1354" s="327"/>
      <c r="J1354" s="601"/>
      <c r="K1354" s="327"/>
      <c r="L1354" s="574"/>
      <c r="M1354" s="327"/>
      <c r="N1354" s="594"/>
      <c r="O1354" s="327"/>
      <c r="P1354" s="574"/>
      <c r="Q1354" s="327"/>
      <c r="R1354" s="594"/>
      <c r="S1354" s="327"/>
      <c r="T1354" s="574"/>
      <c r="U1354" s="327"/>
      <c r="V1354" s="595" t="str">
        <f>'refer admin discharge'!H1355</f>
        <v>00/00/0000</v>
      </c>
      <c r="W1354" s="327"/>
      <c r="X1354" s="596"/>
      <c r="Y1354" s="327"/>
      <c r="Z1354" s="597"/>
      <c r="AA1354" s="327"/>
      <c r="AB1354" s="596"/>
      <c r="AC1354" s="327"/>
      <c r="AD1354" s="577"/>
      <c r="AE1354" s="327"/>
      <c r="AF1354" s="596"/>
      <c r="AG1354" s="327"/>
      <c r="AH1354" s="577"/>
      <c r="AI1354" s="327"/>
      <c r="AJ1354" s="596"/>
      <c r="AK1354" s="327"/>
      <c r="AL1354" s="598"/>
      <c r="AM1354" s="326"/>
      <c r="AN1354" s="326"/>
      <c r="AO1354" s="326"/>
      <c r="AP1354" s="326"/>
      <c r="AQ1354" s="326"/>
      <c r="AR1354" s="326"/>
      <c r="AS1354" s="326"/>
      <c r="AT1354" s="326"/>
      <c r="AU1354" s="326"/>
      <c r="AV1354" s="326"/>
      <c r="AW1354" s="326"/>
      <c r="AX1354" s="326"/>
      <c r="AY1354" s="326"/>
      <c r="AZ1354" s="326"/>
      <c r="BA1354" s="326"/>
      <c r="BB1354" s="327"/>
    </row>
    <row r="1355" spans="1:54" ht="15.75" customHeight="1" x14ac:dyDescent="0.25">
      <c r="A1355" s="11">
        <f t="shared" si="5"/>
        <v>1342</v>
      </c>
      <c r="B1355" s="504" t="str">
        <f>'refer admin discharge'!B1351</f>
        <v>x</v>
      </c>
      <c r="C1355" s="327"/>
      <c r="D1355" s="505" t="str">
        <f>'refer admin discharge'!D1351</f>
        <v>xx</v>
      </c>
      <c r="E1355" s="327"/>
      <c r="F1355" s="606" t="str">
        <f>'refer admin discharge'!H1351</f>
        <v>00/00/0000</v>
      </c>
      <c r="G1355" s="327"/>
      <c r="H1355" s="594"/>
      <c r="I1355" s="327"/>
      <c r="J1355" s="605"/>
      <c r="K1355" s="327"/>
      <c r="L1355" s="594"/>
      <c r="M1355" s="327"/>
      <c r="N1355" s="575"/>
      <c r="O1355" s="327"/>
      <c r="P1355" s="594"/>
      <c r="Q1355" s="327"/>
      <c r="R1355" s="575"/>
      <c r="S1355" s="327"/>
      <c r="T1355" s="594"/>
      <c r="U1355" s="327"/>
      <c r="V1355" s="595" t="str">
        <f>'refer admin discharge'!H1356</f>
        <v>00/00/0000</v>
      </c>
      <c r="W1355" s="327"/>
      <c r="X1355" s="577"/>
      <c r="Y1355" s="327"/>
      <c r="Z1355" s="604"/>
      <c r="AA1355" s="327"/>
      <c r="AB1355" s="577"/>
      <c r="AC1355" s="327"/>
      <c r="AD1355" s="576"/>
      <c r="AE1355" s="327"/>
      <c r="AF1355" s="577"/>
      <c r="AG1355" s="327"/>
      <c r="AH1355" s="576"/>
      <c r="AI1355" s="327"/>
      <c r="AJ1355" s="577"/>
      <c r="AK1355" s="327"/>
      <c r="AL1355" s="602"/>
      <c r="AM1355" s="326"/>
      <c r="AN1355" s="326"/>
      <c r="AO1355" s="326"/>
      <c r="AP1355" s="326"/>
      <c r="AQ1355" s="326"/>
      <c r="AR1355" s="326"/>
      <c r="AS1355" s="326"/>
      <c r="AT1355" s="326"/>
      <c r="AU1355" s="326"/>
      <c r="AV1355" s="326"/>
      <c r="AW1355" s="326"/>
      <c r="AX1355" s="326"/>
      <c r="AY1355" s="326"/>
      <c r="AZ1355" s="326"/>
      <c r="BA1355" s="326"/>
      <c r="BB1355" s="327"/>
    </row>
    <row r="1356" spans="1:54" ht="15.75" customHeight="1" x14ac:dyDescent="0.25">
      <c r="A1356" s="11">
        <f t="shared" si="5"/>
        <v>1343</v>
      </c>
      <c r="B1356" s="570" t="str">
        <f>'refer admin discharge'!B1352</f>
        <v>x</v>
      </c>
      <c r="C1356" s="327"/>
      <c r="D1356" s="599" t="str">
        <f>'refer admin discharge'!D1352</f>
        <v>xx</v>
      </c>
      <c r="E1356" s="327"/>
      <c r="F1356" s="600" t="str">
        <f>'refer admin discharge'!H1352</f>
        <v>00/00/0000</v>
      </c>
      <c r="G1356" s="327"/>
      <c r="H1356" s="574"/>
      <c r="I1356" s="327"/>
      <c r="J1356" s="601"/>
      <c r="K1356" s="327"/>
      <c r="L1356" s="574"/>
      <c r="M1356" s="327"/>
      <c r="N1356" s="594"/>
      <c r="O1356" s="327"/>
      <c r="P1356" s="574"/>
      <c r="Q1356" s="327"/>
      <c r="R1356" s="594"/>
      <c r="S1356" s="327"/>
      <c r="T1356" s="574"/>
      <c r="U1356" s="327"/>
      <c r="V1356" s="595" t="str">
        <f>'refer admin discharge'!H1357</f>
        <v>00/00/0000</v>
      </c>
      <c r="W1356" s="327"/>
      <c r="X1356" s="596"/>
      <c r="Y1356" s="327"/>
      <c r="Z1356" s="597"/>
      <c r="AA1356" s="327"/>
      <c r="AB1356" s="596"/>
      <c r="AC1356" s="327"/>
      <c r="AD1356" s="577"/>
      <c r="AE1356" s="327"/>
      <c r="AF1356" s="596"/>
      <c r="AG1356" s="327"/>
      <c r="AH1356" s="577"/>
      <c r="AI1356" s="327"/>
      <c r="AJ1356" s="596"/>
      <c r="AK1356" s="327"/>
      <c r="AL1356" s="598"/>
      <c r="AM1356" s="326"/>
      <c r="AN1356" s="326"/>
      <c r="AO1356" s="326"/>
      <c r="AP1356" s="326"/>
      <c r="AQ1356" s="326"/>
      <c r="AR1356" s="326"/>
      <c r="AS1356" s="326"/>
      <c r="AT1356" s="326"/>
      <c r="AU1356" s="326"/>
      <c r="AV1356" s="326"/>
      <c r="AW1356" s="326"/>
      <c r="AX1356" s="326"/>
      <c r="AY1356" s="326"/>
      <c r="AZ1356" s="326"/>
      <c r="BA1356" s="326"/>
      <c r="BB1356" s="327"/>
    </row>
    <row r="1357" spans="1:54" ht="15.75" customHeight="1" x14ac:dyDescent="0.25">
      <c r="A1357" s="11">
        <f t="shared" si="5"/>
        <v>1344</v>
      </c>
      <c r="B1357" s="504" t="str">
        <f>'refer admin discharge'!B1353</f>
        <v>x</v>
      </c>
      <c r="C1357" s="327"/>
      <c r="D1357" s="505" t="str">
        <f>'refer admin discharge'!D1353</f>
        <v>xx</v>
      </c>
      <c r="E1357" s="327"/>
      <c r="F1357" s="606" t="str">
        <f>'refer admin discharge'!H1353</f>
        <v>00/00/0000</v>
      </c>
      <c r="G1357" s="327"/>
      <c r="H1357" s="594"/>
      <c r="I1357" s="327"/>
      <c r="J1357" s="605"/>
      <c r="K1357" s="327"/>
      <c r="L1357" s="594"/>
      <c r="M1357" s="327"/>
      <c r="N1357" s="575"/>
      <c r="O1357" s="327"/>
      <c r="P1357" s="594"/>
      <c r="Q1357" s="327"/>
      <c r="R1357" s="575"/>
      <c r="S1357" s="327"/>
      <c r="T1357" s="594"/>
      <c r="U1357" s="327"/>
      <c r="V1357" s="595" t="str">
        <f>'refer admin discharge'!H1358</f>
        <v>00/00/0000</v>
      </c>
      <c r="W1357" s="327"/>
      <c r="X1357" s="577"/>
      <c r="Y1357" s="327"/>
      <c r="Z1357" s="604"/>
      <c r="AA1357" s="327"/>
      <c r="AB1357" s="577"/>
      <c r="AC1357" s="327"/>
      <c r="AD1357" s="576"/>
      <c r="AE1357" s="327"/>
      <c r="AF1357" s="577"/>
      <c r="AG1357" s="327"/>
      <c r="AH1357" s="576"/>
      <c r="AI1357" s="327"/>
      <c r="AJ1357" s="577"/>
      <c r="AK1357" s="327"/>
      <c r="AL1357" s="602"/>
      <c r="AM1357" s="326"/>
      <c r="AN1357" s="326"/>
      <c r="AO1357" s="326"/>
      <c r="AP1357" s="326"/>
      <c r="AQ1357" s="326"/>
      <c r="AR1357" s="326"/>
      <c r="AS1357" s="326"/>
      <c r="AT1357" s="326"/>
      <c r="AU1357" s="326"/>
      <c r="AV1357" s="326"/>
      <c r="AW1357" s="326"/>
      <c r="AX1357" s="326"/>
      <c r="AY1357" s="326"/>
      <c r="AZ1357" s="326"/>
      <c r="BA1357" s="326"/>
      <c r="BB1357" s="327"/>
    </row>
    <row r="1358" spans="1:54" ht="15.75" customHeight="1" x14ac:dyDescent="0.25">
      <c r="A1358" s="11">
        <f t="shared" si="5"/>
        <v>1345</v>
      </c>
      <c r="B1358" s="570" t="str">
        <f>'refer admin discharge'!B1354</f>
        <v>x</v>
      </c>
      <c r="C1358" s="327"/>
      <c r="D1358" s="599" t="str">
        <f>'refer admin discharge'!D1354</f>
        <v>xx</v>
      </c>
      <c r="E1358" s="327"/>
      <c r="F1358" s="600" t="str">
        <f>'refer admin discharge'!H1354</f>
        <v>00/00/0000</v>
      </c>
      <c r="G1358" s="327"/>
      <c r="H1358" s="574"/>
      <c r="I1358" s="327"/>
      <c r="J1358" s="601"/>
      <c r="K1358" s="327"/>
      <c r="L1358" s="574"/>
      <c r="M1358" s="327"/>
      <c r="N1358" s="594"/>
      <c r="O1358" s="327"/>
      <c r="P1358" s="574"/>
      <c r="Q1358" s="327"/>
      <c r="R1358" s="594"/>
      <c r="S1358" s="327"/>
      <c r="T1358" s="574"/>
      <c r="U1358" s="327"/>
      <c r="V1358" s="595" t="str">
        <f>'refer admin discharge'!H1359</f>
        <v>00/00/0000</v>
      </c>
      <c r="W1358" s="327"/>
      <c r="X1358" s="596"/>
      <c r="Y1358" s="327"/>
      <c r="Z1358" s="597"/>
      <c r="AA1358" s="327"/>
      <c r="AB1358" s="596"/>
      <c r="AC1358" s="327"/>
      <c r="AD1358" s="577"/>
      <c r="AE1358" s="327"/>
      <c r="AF1358" s="596"/>
      <c r="AG1358" s="327"/>
      <c r="AH1358" s="577"/>
      <c r="AI1358" s="327"/>
      <c r="AJ1358" s="596"/>
      <c r="AK1358" s="327"/>
      <c r="AL1358" s="598"/>
      <c r="AM1358" s="326"/>
      <c r="AN1358" s="326"/>
      <c r="AO1358" s="326"/>
      <c r="AP1358" s="326"/>
      <c r="AQ1358" s="326"/>
      <c r="AR1358" s="326"/>
      <c r="AS1358" s="326"/>
      <c r="AT1358" s="326"/>
      <c r="AU1358" s="326"/>
      <c r="AV1358" s="326"/>
      <c r="AW1358" s="326"/>
      <c r="AX1358" s="326"/>
      <c r="AY1358" s="326"/>
      <c r="AZ1358" s="326"/>
      <c r="BA1358" s="326"/>
      <c r="BB1358" s="327"/>
    </row>
    <row r="1359" spans="1:54" ht="15.75" customHeight="1" x14ac:dyDescent="0.25">
      <c r="A1359" s="11">
        <f t="shared" si="5"/>
        <v>1346</v>
      </c>
      <c r="B1359" s="504" t="str">
        <f>'refer admin discharge'!B1355</f>
        <v>x</v>
      </c>
      <c r="C1359" s="327"/>
      <c r="D1359" s="505" t="str">
        <f>'refer admin discharge'!D1355</f>
        <v>xx</v>
      </c>
      <c r="E1359" s="327"/>
      <c r="F1359" s="606" t="str">
        <f>'refer admin discharge'!H1355</f>
        <v>00/00/0000</v>
      </c>
      <c r="G1359" s="327"/>
      <c r="H1359" s="594"/>
      <c r="I1359" s="327"/>
      <c r="J1359" s="605"/>
      <c r="K1359" s="327"/>
      <c r="L1359" s="594"/>
      <c r="M1359" s="327"/>
      <c r="N1359" s="575"/>
      <c r="O1359" s="327"/>
      <c r="P1359" s="594"/>
      <c r="Q1359" s="327"/>
      <c r="R1359" s="575"/>
      <c r="S1359" s="327"/>
      <c r="T1359" s="594"/>
      <c r="U1359" s="327"/>
      <c r="V1359" s="595" t="str">
        <f>'refer admin discharge'!H1360</f>
        <v>00/00/0000</v>
      </c>
      <c r="W1359" s="327"/>
      <c r="X1359" s="577"/>
      <c r="Y1359" s="327"/>
      <c r="Z1359" s="604"/>
      <c r="AA1359" s="327"/>
      <c r="AB1359" s="577"/>
      <c r="AC1359" s="327"/>
      <c r="AD1359" s="576"/>
      <c r="AE1359" s="327"/>
      <c r="AF1359" s="577"/>
      <c r="AG1359" s="327"/>
      <c r="AH1359" s="576"/>
      <c r="AI1359" s="327"/>
      <c r="AJ1359" s="577"/>
      <c r="AK1359" s="327"/>
      <c r="AL1359" s="602"/>
      <c r="AM1359" s="326"/>
      <c r="AN1359" s="326"/>
      <c r="AO1359" s="326"/>
      <c r="AP1359" s="326"/>
      <c r="AQ1359" s="326"/>
      <c r="AR1359" s="326"/>
      <c r="AS1359" s="326"/>
      <c r="AT1359" s="326"/>
      <c r="AU1359" s="326"/>
      <c r="AV1359" s="326"/>
      <c r="AW1359" s="326"/>
      <c r="AX1359" s="326"/>
      <c r="AY1359" s="326"/>
      <c r="AZ1359" s="326"/>
      <c r="BA1359" s="326"/>
      <c r="BB1359" s="327"/>
    </row>
    <row r="1360" spans="1:54" ht="15.75" customHeight="1" x14ac:dyDescent="0.25">
      <c r="A1360" s="11">
        <f t="shared" si="5"/>
        <v>1347</v>
      </c>
      <c r="B1360" s="570" t="str">
        <f>'refer admin discharge'!B1356</f>
        <v>x</v>
      </c>
      <c r="C1360" s="327"/>
      <c r="D1360" s="599" t="str">
        <f>'refer admin discharge'!D1356</f>
        <v>xx</v>
      </c>
      <c r="E1360" s="327"/>
      <c r="F1360" s="600" t="str">
        <f>'refer admin discharge'!H1356</f>
        <v>00/00/0000</v>
      </c>
      <c r="G1360" s="327"/>
      <c r="H1360" s="574"/>
      <c r="I1360" s="327"/>
      <c r="J1360" s="601"/>
      <c r="K1360" s="327"/>
      <c r="L1360" s="574"/>
      <c r="M1360" s="327"/>
      <c r="N1360" s="594"/>
      <c r="O1360" s="327"/>
      <c r="P1360" s="574"/>
      <c r="Q1360" s="327"/>
      <c r="R1360" s="594"/>
      <c r="S1360" s="327"/>
      <c r="T1360" s="574"/>
      <c r="U1360" s="327"/>
      <c r="V1360" s="595" t="str">
        <f>'refer admin discharge'!H1361</f>
        <v>00/00/0000</v>
      </c>
      <c r="W1360" s="327"/>
      <c r="X1360" s="596"/>
      <c r="Y1360" s="327"/>
      <c r="Z1360" s="597"/>
      <c r="AA1360" s="327"/>
      <c r="AB1360" s="596"/>
      <c r="AC1360" s="327"/>
      <c r="AD1360" s="577"/>
      <c r="AE1360" s="327"/>
      <c r="AF1360" s="596"/>
      <c r="AG1360" s="327"/>
      <c r="AH1360" s="577"/>
      <c r="AI1360" s="327"/>
      <c r="AJ1360" s="596"/>
      <c r="AK1360" s="327"/>
      <c r="AL1360" s="598"/>
      <c r="AM1360" s="326"/>
      <c r="AN1360" s="326"/>
      <c r="AO1360" s="326"/>
      <c r="AP1360" s="326"/>
      <c r="AQ1360" s="326"/>
      <c r="AR1360" s="326"/>
      <c r="AS1360" s="326"/>
      <c r="AT1360" s="326"/>
      <c r="AU1360" s="326"/>
      <c r="AV1360" s="326"/>
      <c r="AW1360" s="326"/>
      <c r="AX1360" s="326"/>
      <c r="AY1360" s="326"/>
      <c r="AZ1360" s="326"/>
      <c r="BA1360" s="326"/>
      <c r="BB1360" s="327"/>
    </row>
    <row r="1361" spans="1:54" ht="15.75" customHeight="1" x14ac:dyDescent="0.25">
      <c r="A1361" s="11">
        <f t="shared" si="5"/>
        <v>1348</v>
      </c>
      <c r="B1361" s="504" t="str">
        <f>'refer admin discharge'!B1357</f>
        <v>x</v>
      </c>
      <c r="C1361" s="327"/>
      <c r="D1361" s="505" t="str">
        <f>'refer admin discharge'!D1357</f>
        <v>xx</v>
      </c>
      <c r="E1361" s="327"/>
      <c r="F1361" s="606" t="str">
        <f>'refer admin discharge'!H1357</f>
        <v>00/00/0000</v>
      </c>
      <c r="G1361" s="327"/>
      <c r="H1361" s="594"/>
      <c r="I1361" s="327"/>
      <c r="J1361" s="605"/>
      <c r="K1361" s="327"/>
      <c r="L1361" s="594"/>
      <c r="M1361" s="327"/>
      <c r="N1361" s="575"/>
      <c r="O1361" s="327"/>
      <c r="P1361" s="594"/>
      <c r="Q1361" s="327"/>
      <c r="R1361" s="575"/>
      <c r="S1361" s="327"/>
      <c r="T1361" s="594"/>
      <c r="U1361" s="327"/>
      <c r="V1361" s="595" t="str">
        <f>'refer admin discharge'!H1362</f>
        <v>00/00/0000</v>
      </c>
      <c r="W1361" s="327"/>
      <c r="X1361" s="577"/>
      <c r="Y1361" s="327"/>
      <c r="Z1361" s="604"/>
      <c r="AA1361" s="327"/>
      <c r="AB1361" s="577"/>
      <c r="AC1361" s="327"/>
      <c r="AD1361" s="576"/>
      <c r="AE1361" s="327"/>
      <c r="AF1361" s="577"/>
      <c r="AG1361" s="327"/>
      <c r="AH1361" s="576"/>
      <c r="AI1361" s="327"/>
      <c r="AJ1361" s="577"/>
      <c r="AK1361" s="327"/>
      <c r="AL1361" s="602"/>
      <c r="AM1361" s="326"/>
      <c r="AN1361" s="326"/>
      <c r="AO1361" s="326"/>
      <c r="AP1361" s="326"/>
      <c r="AQ1361" s="326"/>
      <c r="AR1361" s="326"/>
      <c r="AS1361" s="326"/>
      <c r="AT1361" s="326"/>
      <c r="AU1361" s="326"/>
      <c r="AV1361" s="326"/>
      <c r="AW1361" s="326"/>
      <c r="AX1361" s="326"/>
      <c r="AY1361" s="326"/>
      <c r="AZ1361" s="326"/>
      <c r="BA1361" s="326"/>
      <c r="BB1361" s="327"/>
    </row>
    <row r="1362" spans="1:54" ht="15.75" customHeight="1" x14ac:dyDescent="0.25">
      <c r="A1362" s="11">
        <f t="shared" si="5"/>
        <v>1349</v>
      </c>
      <c r="B1362" s="570" t="str">
        <f>'refer admin discharge'!B1358</f>
        <v>x</v>
      </c>
      <c r="C1362" s="327"/>
      <c r="D1362" s="599" t="str">
        <f>'refer admin discharge'!D1358</f>
        <v>xx</v>
      </c>
      <c r="E1362" s="327"/>
      <c r="F1362" s="600" t="str">
        <f>'refer admin discharge'!H1358</f>
        <v>00/00/0000</v>
      </c>
      <c r="G1362" s="327"/>
      <c r="H1362" s="574"/>
      <c r="I1362" s="327"/>
      <c r="J1362" s="601"/>
      <c r="K1362" s="327"/>
      <c r="L1362" s="574"/>
      <c r="M1362" s="327"/>
      <c r="N1362" s="594"/>
      <c r="O1362" s="327"/>
      <c r="P1362" s="574"/>
      <c r="Q1362" s="327"/>
      <c r="R1362" s="594"/>
      <c r="S1362" s="327"/>
      <c r="T1362" s="574"/>
      <c r="U1362" s="327"/>
      <c r="V1362" s="595" t="str">
        <f>'refer admin discharge'!H1363</f>
        <v>00/00/0000</v>
      </c>
      <c r="W1362" s="327"/>
      <c r="X1362" s="596"/>
      <c r="Y1362" s="327"/>
      <c r="Z1362" s="597"/>
      <c r="AA1362" s="327"/>
      <c r="AB1362" s="596"/>
      <c r="AC1362" s="327"/>
      <c r="AD1362" s="577"/>
      <c r="AE1362" s="327"/>
      <c r="AF1362" s="596"/>
      <c r="AG1362" s="327"/>
      <c r="AH1362" s="577"/>
      <c r="AI1362" s="327"/>
      <c r="AJ1362" s="596"/>
      <c r="AK1362" s="327"/>
      <c r="AL1362" s="598"/>
      <c r="AM1362" s="326"/>
      <c r="AN1362" s="326"/>
      <c r="AO1362" s="326"/>
      <c r="AP1362" s="326"/>
      <c r="AQ1362" s="326"/>
      <c r="AR1362" s="326"/>
      <c r="AS1362" s="326"/>
      <c r="AT1362" s="326"/>
      <c r="AU1362" s="326"/>
      <c r="AV1362" s="326"/>
      <c r="AW1362" s="326"/>
      <c r="AX1362" s="326"/>
      <c r="AY1362" s="326"/>
      <c r="AZ1362" s="326"/>
      <c r="BA1362" s="326"/>
      <c r="BB1362" s="327"/>
    </row>
    <row r="1363" spans="1:54" ht="15.75" customHeight="1" x14ac:dyDescent="0.25">
      <c r="A1363" s="11">
        <f t="shared" si="5"/>
        <v>1350</v>
      </c>
      <c r="B1363" s="504" t="str">
        <f>'refer admin discharge'!B1359</f>
        <v>x</v>
      </c>
      <c r="C1363" s="327"/>
      <c r="D1363" s="505" t="str">
        <f>'refer admin discharge'!D1359</f>
        <v>xx</v>
      </c>
      <c r="E1363" s="327"/>
      <c r="F1363" s="606" t="str">
        <f>'refer admin discharge'!H1359</f>
        <v>00/00/0000</v>
      </c>
      <c r="G1363" s="327"/>
      <c r="H1363" s="594"/>
      <c r="I1363" s="327"/>
      <c r="J1363" s="605"/>
      <c r="K1363" s="327"/>
      <c r="L1363" s="594"/>
      <c r="M1363" s="327"/>
      <c r="N1363" s="575"/>
      <c r="O1363" s="327"/>
      <c r="P1363" s="594"/>
      <c r="Q1363" s="327"/>
      <c r="R1363" s="575"/>
      <c r="S1363" s="327"/>
      <c r="T1363" s="594"/>
      <c r="U1363" s="327"/>
      <c r="V1363" s="595" t="str">
        <f>'refer admin discharge'!H1364</f>
        <v>00/00/0000</v>
      </c>
      <c r="W1363" s="327"/>
      <c r="X1363" s="577"/>
      <c r="Y1363" s="327"/>
      <c r="Z1363" s="604"/>
      <c r="AA1363" s="327"/>
      <c r="AB1363" s="577"/>
      <c r="AC1363" s="327"/>
      <c r="AD1363" s="576"/>
      <c r="AE1363" s="327"/>
      <c r="AF1363" s="577"/>
      <c r="AG1363" s="327"/>
      <c r="AH1363" s="576"/>
      <c r="AI1363" s="327"/>
      <c r="AJ1363" s="577"/>
      <c r="AK1363" s="327"/>
      <c r="AL1363" s="602"/>
      <c r="AM1363" s="326"/>
      <c r="AN1363" s="326"/>
      <c r="AO1363" s="326"/>
      <c r="AP1363" s="326"/>
      <c r="AQ1363" s="326"/>
      <c r="AR1363" s="326"/>
      <c r="AS1363" s="326"/>
      <c r="AT1363" s="326"/>
      <c r="AU1363" s="326"/>
      <c r="AV1363" s="326"/>
      <c r="AW1363" s="326"/>
      <c r="AX1363" s="326"/>
      <c r="AY1363" s="326"/>
      <c r="AZ1363" s="326"/>
      <c r="BA1363" s="326"/>
      <c r="BB1363" s="327"/>
    </row>
    <row r="1364" spans="1:54" ht="15.75" customHeight="1" x14ac:dyDescent="0.25">
      <c r="A1364" s="11">
        <f t="shared" si="5"/>
        <v>1351</v>
      </c>
      <c r="B1364" s="570" t="str">
        <f>'refer admin discharge'!B1360</f>
        <v>x</v>
      </c>
      <c r="C1364" s="327"/>
      <c r="D1364" s="599" t="str">
        <f>'refer admin discharge'!D1360</f>
        <v>xx</v>
      </c>
      <c r="E1364" s="327"/>
      <c r="F1364" s="600" t="str">
        <f>'refer admin discharge'!H1360</f>
        <v>00/00/0000</v>
      </c>
      <c r="G1364" s="327"/>
      <c r="H1364" s="574"/>
      <c r="I1364" s="327"/>
      <c r="J1364" s="601"/>
      <c r="K1364" s="327"/>
      <c r="L1364" s="574"/>
      <c r="M1364" s="327"/>
      <c r="N1364" s="594"/>
      <c r="O1364" s="327"/>
      <c r="P1364" s="574"/>
      <c r="Q1364" s="327"/>
      <c r="R1364" s="594"/>
      <c r="S1364" s="327"/>
      <c r="T1364" s="574"/>
      <c r="U1364" s="327"/>
      <c r="V1364" s="595" t="str">
        <f>'refer admin discharge'!H1365</f>
        <v>00/00/0000</v>
      </c>
      <c r="W1364" s="327"/>
      <c r="X1364" s="596"/>
      <c r="Y1364" s="327"/>
      <c r="Z1364" s="597"/>
      <c r="AA1364" s="327"/>
      <c r="AB1364" s="596"/>
      <c r="AC1364" s="327"/>
      <c r="AD1364" s="577"/>
      <c r="AE1364" s="327"/>
      <c r="AF1364" s="596"/>
      <c r="AG1364" s="327"/>
      <c r="AH1364" s="577"/>
      <c r="AI1364" s="327"/>
      <c r="AJ1364" s="596"/>
      <c r="AK1364" s="327"/>
      <c r="AL1364" s="598"/>
      <c r="AM1364" s="326"/>
      <c r="AN1364" s="326"/>
      <c r="AO1364" s="326"/>
      <c r="AP1364" s="326"/>
      <c r="AQ1364" s="326"/>
      <c r="AR1364" s="326"/>
      <c r="AS1364" s="326"/>
      <c r="AT1364" s="326"/>
      <c r="AU1364" s="326"/>
      <c r="AV1364" s="326"/>
      <c r="AW1364" s="326"/>
      <c r="AX1364" s="326"/>
      <c r="AY1364" s="326"/>
      <c r="AZ1364" s="326"/>
      <c r="BA1364" s="326"/>
      <c r="BB1364" s="327"/>
    </row>
    <row r="1365" spans="1:54" ht="15.75" customHeight="1" x14ac:dyDescent="0.25">
      <c r="A1365" s="11">
        <f t="shared" si="5"/>
        <v>1352</v>
      </c>
      <c r="B1365" s="504" t="str">
        <f>'refer admin discharge'!B1361</f>
        <v>x</v>
      </c>
      <c r="C1365" s="327"/>
      <c r="D1365" s="505" t="str">
        <f>'refer admin discharge'!D1361</f>
        <v>xx</v>
      </c>
      <c r="E1365" s="327"/>
      <c r="F1365" s="606" t="str">
        <f>'refer admin discharge'!H1361</f>
        <v>00/00/0000</v>
      </c>
      <c r="G1365" s="327"/>
      <c r="H1365" s="594"/>
      <c r="I1365" s="327"/>
      <c r="J1365" s="605"/>
      <c r="K1365" s="327"/>
      <c r="L1365" s="594"/>
      <c r="M1365" s="327"/>
      <c r="N1365" s="575"/>
      <c r="O1365" s="327"/>
      <c r="P1365" s="594"/>
      <c r="Q1365" s="327"/>
      <c r="R1365" s="575"/>
      <c r="S1365" s="327"/>
      <c r="T1365" s="594"/>
      <c r="U1365" s="327"/>
      <c r="V1365" s="595" t="str">
        <f>'refer admin discharge'!H1366</f>
        <v>00/00/0000</v>
      </c>
      <c r="W1365" s="327"/>
      <c r="X1365" s="577"/>
      <c r="Y1365" s="327"/>
      <c r="Z1365" s="604"/>
      <c r="AA1365" s="327"/>
      <c r="AB1365" s="577"/>
      <c r="AC1365" s="327"/>
      <c r="AD1365" s="576"/>
      <c r="AE1365" s="327"/>
      <c r="AF1365" s="577"/>
      <c r="AG1365" s="327"/>
      <c r="AH1365" s="576"/>
      <c r="AI1365" s="327"/>
      <c r="AJ1365" s="577"/>
      <c r="AK1365" s="327"/>
      <c r="AL1365" s="602"/>
      <c r="AM1365" s="326"/>
      <c r="AN1365" s="326"/>
      <c r="AO1365" s="326"/>
      <c r="AP1365" s="326"/>
      <c r="AQ1365" s="326"/>
      <c r="AR1365" s="326"/>
      <c r="AS1365" s="326"/>
      <c r="AT1365" s="326"/>
      <c r="AU1365" s="326"/>
      <c r="AV1365" s="326"/>
      <c r="AW1365" s="326"/>
      <c r="AX1365" s="326"/>
      <c r="AY1365" s="326"/>
      <c r="AZ1365" s="326"/>
      <c r="BA1365" s="326"/>
      <c r="BB1365" s="327"/>
    </row>
    <row r="1366" spans="1:54" ht="15.75" customHeight="1" x14ac:dyDescent="0.25">
      <c r="A1366" s="11">
        <f t="shared" si="5"/>
        <v>1353</v>
      </c>
      <c r="B1366" s="570" t="str">
        <f>'refer admin discharge'!B1362</f>
        <v>x</v>
      </c>
      <c r="C1366" s="327"/>
      <c r="D1366" s="599" t="str">
        <f>'refer admin discharge'!D1362</f>
        <v>xx</v>
      </c>
      <c r="E1366" s="327"/>
      <c r="F1366" s="600" t="str">
        <f>'refer admin discharge'!H1362</f>
        <v>00/00/0000</v>
      </c>
      <c r="G1366" s="327"/>
      <c r="H1366" s="574"/>
      <c r="I1366" s="327"/>
      <c r="J1366" s="601"/>
      <c r="K1366" s="327"/>
      <c r="L1366" s="574"/>
      <c r="M1366" s="327"/>
      <c r="N1366" s="594"/>
      <c r="O1366" s="327"/>
      <c r="P1366" s="574"/>
      <c r="Q1366" s="327"/>
      <c r="R1366" s="594"/>
      <c r="S1366" s="327"/>
      <c r="T1366" s="574"/>
      <c r="U1366" s="327"/>
      <c r="V1366" s="595" t="str">
        <f>'refer admin discharge'!H1367</f>
        <v>00/00/0000</v>
      </c>
      <c r="W1366" s="327"/>
      <c r="X1366" s="596"/>
      <c r="Y1366" s="327"/>
      <c r="Z1366" s="597"/>
      <c r="AA1366" s="327"/>
      <c r="AB1366" s="596"/>
      <c r="AC1366" s="327"/>
      <c r="AD1366" s="577"/>
      <c r="AE1366" s="327"/>
      <c r="AF1366" s="596"/>
      <c r="AG1366" s="327"/>
      <c r="AH1366" s="577"/>
      <c r="AI1366" s="327"/>
      <c r="AJ1366" s="596"/>
      <c r="AK1366" s="327"/>
      <c r="AL1366" s="598"/>
      <c r="AM1366" s="326"/>
      <c r="AN1366" s="326"/>
      <c r="AO1366" s="326"/>
      <c r="AP1366" s="326"/>
      <c r="AQ1366" s="326"/>
      <c r="AR1366" s="326"/>
      <c r="AS1366" s="326"/>
      <c r="AT1366" s="326"/>
      <c r="AU1366" s="326"/>
      <c r="AV1366" s="326"/>
      <c r="AW1366" s="326"/>
      <c r="AX1366" s="326"/>
      <c r="AY1366" s="326"/>
      <c r="AZ1366" s="326"/>
      <c r="BA1366" s="326"/>
      <c r="BB1366" s="327"/>
    </row>
    <row r="1367" spans="1:54" ht="15.75" customHeight="1" x14ac:dyDescent="0.25">
      <c r="A1367" s="11">
        <f t="shared" si="5"/>
        <v>1354</v>
      </c>
      <c r="B1367" s="504" t="str">
        <f>'refer admin discharge'!B1363</f>
        <v>x</v>
      </c>
      <c r="C1367" s="327"/>
      <c r="D1367" s="505" t="str">
        <f>'refer admin discharge'!D1363</f>
        <v>xx</v>
      </c>
      <c r="E1367" s="327"/>
      <c r="F1367" s="606" t="str">
        <f>'refer admin discharge'!H1363</f>
        <v>00/00/0000</v>
      </c>
      <c r="G1367" s="327"/>
      <c r="H1367" s="594"/>
      <c r="I1367" s="327"/>
      <c r="J1367" s="605"/>
      <c r="K1367" s="327"/>
      <c r="L1367" s="594"/>
      <c r="M1367" s="327"/>
      <c r="N1367" s="575"/>
      <c r="O1367" s="327"/>
      <c r="P1367" s="594"/>
      <c r="Q1367" s="327"/>
      <c r="R1367" s="575"/>
      <c r="S1367" s="327"/>
      <c r="T1367" s="594"/>
      <c r="U1367" s="327"/>
      <c r="V1367" s="595" t="str">
        <f>'refer admin discharge'!H1368</f>
        <v>00/00/0000</v>
      </c>
      <c r="W1367" s="327"/>
      <c r="X1367" s="577"/>
      <c r="Y1367" s="327"/>
      <c r="Z1367" s="604"/>
      <c r="AA1367" s="327"/>
      <c r="AB1367" s="577"/>
      <c r="AC1367" s="327"/>
      <c r="AD1367" s="576"/>
      <c r="AE1367" s="327"/>
      <c r="AF1367" s="577"/>
      <c r="AG1367" s="327"/>
      <c r="AH1367" s="576"/>
      <c r="AI1367" s="327"/>
      <c r="AJ1367" s="577"/>
      <c r="AK1367" s="327"/>
      <c r="AL1367" s="602"/>
      <c r="AM1367" s="326"/>
      <c r="AN1367" s="326"/>
      <c r="AO1367" s="326"/>
      <c r="AP1367" s="326"/>
      <c r="AQ1367" s="326"/>
      <c r="AR1367" s="326"/>
      <c r="AS1367" s="326"/>
      <c r="AT1367" s="326"/>
      <c r="AU1367" s="326"/>
      <c r="AV1367" s="326"/>
      <c r="AW1367" s="326"/>
      <c r="AX1367" s="326"/>
      <c r="AY1367" s="326"/>
      <c r="AZ1367" s="326"/>
      <c r="BA1367" s="326"/>
      <c r="BB1367" s="327"/>
    </row>
    <row r="1368" spans="1:54" ht="15.75" customHeight="1" x14ac:dyDescent="0.25">
      <c r="A1368" s="11">
        <f t="shared" si="5"/>
        <v>1355</v>
      </c>
      <c r="B1368" s="570" t="str">
        <f>'refer admin discharge'!B1364</f>
        <v>x</v>
      </c>
      <c r="C1368" s="327"/>
      <c r="D1368" s="599" t="str">
        <f>'refer admin discharge'!D1364</f>
        <v>xx</v>
      </c>
      <c r="E1368" s="327"/>
      <c r="F1368" s="600" t="str">
        <f>'refer admin discharge'!H1364</f>
        <v>00/00/0000</v>
      </c>
      <c r="G1368" s="327"/>
      <c r="H1368" s="574"/>
      <c r="I1368" s="327"/>
      <c r="J1368" s="601"/>
      <c r="K1368" s="327"/>
      <c r="L1368" s="574"/>
      <c r="M1368" s="327"/>
      <c r="N1368" s="594"/>
      <c r="O1368" s="327"/>
      <c r="P1368" s="574"/>
      <c r="Q1368" s="327"/>
      <c r="R1368" s="594"/>
      <c r="S1368" s="327"/>
      <c r="T1368" s="574"/>
      <c r="U1368" s="327"/>
      <c r="V1368" s="595" t="str">
        <f>'refer admin discharge'!H1369</f>
        <v>00/00/0000</v>
      </c>
      <c r="W1368" s="327"/>
      <c r="X1368" s="596"/>
      <c r="Y1368" s="327"/>
      <c r="Z1368" s="597"/>
      <c r="AA1368" s="327"/>
      <c r="AB1368" s="596"/>
      <c r="AC1368" s="327"/>
      <c r="AD1368" s="577"/>
      <c r="AE1368" s="327"/>
      <c r="AF1368" s="596"/>
      <c r="AG1368" s="327"/>
      <c r="AH1368" s="577"/>
      <c r="AI1368" s="327"/>
      <c r="AJ1368" s="596"/>
      <c r="AK1368" s="327"/>
      <c r="AL1368" s="598"/>
      <c r="AM1368" s="326"/>
      <c r="AN1368" s="326"/>
      <c r="AO1368" s="326"/>
      <c r="AP1368" s="326"/>
      <c r="AQ1368" s="326"/>
      <c r="AR1368" s="326"/>
      <c r="AS1368" s="326"/>
      <c r="AT1368" s="326"/>
      <c r="AU1368" s="326"/>
      <c r="AV1368" s="326"/>
      <c r="AW1368" s="326"/>
      <c r="AX1368" s="326"/>
      <c r="AY1368" s="326"/>
      <c r="AZ1368" s="326"/>
      <c r="BA1368" s="326"/>
      <c r="BB1368" s="327"/>
    </row>
    <row r="1369" spans="1:54" ht="15.75" customHeight="1" x14ac:dyDescent="0.25">
      <c r="A1369" s="11">
        <f t="shared" si="5"/>
        <v>1356</v>
      </c>
      <c r="B1369" s="504" t="str">
        <f>'refer admin discharge'!B1365</f>
        <v>x</v>
      </c>
      <c r="C1369" s="327"/>
      <c r="D1369" s="505" t="str">
        <f>'refer admin discharge'!D1365</f>
        <v>xx</v>
      </c>
      <c r="E1369" s="327"/>
      <c r="F1369" s="606" t="str">
        <f>'refer admin discharge'!H1365</f>
        <v>00/00/0000</v>
      </c>
      <c r="G1369" s="327"/>
      <c r="H1369" s="594"/>
      <c r="I1369" s="327"/>
      <c r="J1369" s="605"/>
      <c r="K1369" s="327"/>
      <c r="L1369" s="594"/>
      <c r="M1369" s="327"/>
      <c r="N1369" s="575"/>
      <c r="O1369" s="327"/>
      <c r="P1369" s="594"/>
      <c r="Q1369" s="327"/>
      <c r="R1369" s="575"/>
      <c r="S1369" s="327"/>
      <c r="T1369" s="594"/>
      <c r="U1369" s="327"/>
      <c r="V1369" s="595" t="str">
        <f>'refer admin discharge'!H1370</f>
        <v>00/00/0000</v>
      </c>
      <c r="W1369" s="327"/>
      <c r="X1369" s="577"/>
      <c r="Y1369" s="327"/>
      <c r="Z1369" s="604"/>
      <c r="AA1369" s="327"/>
      <c r="AB1369" s="577"/>
      <c r="AC1369" s="327"/>
      <c r="AD1369" s="576"/>
      <c r="AE1369" s="327"/>
      <c r="AF1369" s="577"/>
      <c r="AG1369" s="327"/>
      <c r="AH1369" s="576"/>
      <c r="AI1369" s="327"/>
      <c r="AJ1369" s="577"/>
      <c r="AK1369" s="327"/>
      <c r="AL1369" s="602"/>
      <c r="AM1369" s="326"/>
      <c r="AN1369" s="326"/>
      <c r="AO1369" s="326"/>
      <c r="AP1369" s="326"/>
      <c r="AQ1369" s="326"/>
      <c r="AR1369" s="326"/>
      <c r="AS1369" s="326"/>
      <c r="AT1369" s="326"/>
      <c r="AU1369" s="326"/>
      <c r="AV1369" s="326"/>
      <c r="AW1369" s="326"/>
      <c r="AX1369" s="326"/>
      <c r="AY1369" s="326"/>
      <c r="AZ1369" s="326"/>
      <c r="BA1369" s="326"/>
      <c r="BB1369" s="327"/>
    </row>
    <row r="1370" spans="1:54" ht="15.75" customHeight="1" x14ac:dyDescent="0.25">
      <c r="A1370" s="11">
        <f t="shared" si="5"/>
        <v>1357</v>
      </c>
      <c r="B1370" s="570" t="str">
        <f>'refer admin discharge'!B1366</f>
        <v>x</v>
      </c>
      <c r="C1370" s="327"/>
      <c r="D1370" s="599" t="str">
        <f>'refer admin discharge'!D1366</f>
        <v>xx</v>
      </c>
      <c r="E1370" s="327"/>
      <c r="F1370" s="600" t="str">
        <f>'refer admin discharge'!H1366</f>
        <v>00/00/0000</v>
      </c>
      <c r="G1370" s="327"/>
      <c r="H1370" s="574"/>
      <c r="I1370" s="327"/>
      <c r="J1370" s="601"/>
      <c r="K1370" s="327"/>
      <c r="L1370" s="574"/>
      <c r="M1370" s="327"/>
      <c r="N1370" s="594"/>
      <c r="O1370" s="327"/>
      <c r="P1370" s="574"/>
      <c r="Q1370" s="327"/>
      <c r="R1370" s="594"/>
      <c r="S1370" s="327"/>
      <c r="T1370" s="574"/>
      <c r="U1370" s="327"/>
      <c r="V1370" s="595" t="str">
        <f>'refer admin discharge'!H1371</f>
        <v>00/00/0000</v>
      </c>
      <c r="W1370" s="327"/>
      <c r="X1370" s="596"/>
      <c r="Y1370" s="327"/>
      <c r="Z1370" s="597"/>
      <c r="AA1370" s="327"/>
      <c r="AB1370" s="596"/>
      <c r="AC1370" s="327"/>
      <c r="AD1370" s="577"/>
      <c r="AE1370" s="327"/>
      <c r="AF1370" s="596"/>
      <c r="AG1370" s="327"/>
      <c r="AH1370" s="577"/>
      <c r="AI1370" s="327"/>
      <c r="AJ1370" s="596"/>
      <c r="AK1370" s="327"/>
      <c r="AL1370" s="598"/>
      <c r="AM1370" s="326"/>
      <c r="AN1370" s="326"/>
      <c r="AO1370" s="326"/>
      <c r="AP1370" s="326"/>
      <c r="AQ1370" s="326"/>
      <c r="AR1370" s="326"/>
      <c r="AS1370" s="326"/>
      <c r="AT1370" s="326"/>
      <c r="AU1370" s="326"/>
      <c r="AV1370" s="326"/>
      <c r="AW1370" s="326"/>
      <c r="AX1370" s="326"/>
      <c r="AY1370" s="326"/>
      <c r="AZ1370" s="326"/>
      <c r="BA1370" s="326"/>
      <c r="BB1370" s="327"/>
    </row>
    <row r="1371" spans="1:54" ht="15.75" customHeight="1" x14ac:dyDescent="0.25">
      <c r="A1371" s="11">
        <f t="shared" si="5"/>
        <v>1358</v>
      </c>
      <c r="B1371" s="504" t="str">
        <f>'refer admin discharge'!B1367</f>
        <v>x</v>
      </c>
      <c r="C1371" s="327"/>
      <c r="D1371" s="505" t="str">
        <f>'refer admin discharge'!D1367</f>
        <v>xx</v>
      </c>
      <c r="E1371" s="327"/>
      <c r="F1371" s="606" t="str">
        <f>'refer admin discharge'!H1367</f>
        <v>00/00/0000</v>
      </c>
      <c r="G1371" s="327"/>
      <c r="H1371" s="594"/>
      <c r="I1371" s="327"/>
      <c r="J1371" s="605"/>
      <c r="K1371" s="327"/>
      <c r="L1371" s="594"/>
      <c r="M1371" s="327"/>
      <c r="N1371" s="575"/>
      <c r="O1371" s="327"/>
      <c r="P1371" s="594"/>
      <c r="Q1371" s="327"/>
      <c r="R1371" s="575"/>
      <c r="S1371" s="327"/>
      <c r="T1371" s="594"/>
      <c r="U1371" s="327"/>
      <c r="V1371" s="595" t="str">
        <f>'refer admin discharge'!H1372</f>
        <v>00/00/0000</v>
      </c>
      <c r="W1371" s="327"/>
      <c r="X1371" s="577"/>
      <c r="Y1371" s="327"/>
      <c r="Z1371" s="604"/>
      <c r="AA1371" s="327"/>
      <c r="AB1371" s="577"/>
      <c r="AC1371" s="327"/>
      <c r="AD1371" s="576"/>
      <c r="AE1371" s="327"/>
      <c r="AF1371" s="577"/>
      <c r="AG1371" s="327"/>
      <c r="AH1371" s="576"/>
      <c r="AI1371" s="327"/>
      <c r="AJ1371" s="577"/>
      <c r="AK1371" s="327"/>
      <c r="AL1371" s="602"/>
      <c r="AM1371" s="326"/>
      <c r="AN1371" s="326"/>
      <c r="AO1371" s="326"/>
      <c r="AP1371" s="326"/>
      <c r="AQ1371" s="326"/>
      <c r="AR1371" s="326"/>
      <c r="AS1371" s="326"/>
      <c r="AT1371" s="326"/>
      <c r="AU1371" s="326"/>
      <c r="AV1371" s="326"/>
      <c r="AW1371" s="326"/>
      <c r="AX1371" s="326"/>
      <c r="AY1371" s="326"/>
      <c r="AZ1371" s="326"/>
      <c r="BA1371" s="326"/>
      <c r="BB1371" s="327"/>
    </row>
    <row r="1372" spans="1:54" ht="15.75" customHeight="1" x14ac:dyDescent="0.25">
      <c r="A1372" s="11">
        <f t="shared" si="5"/>
        <v>1359</v>
      </c>
      <c r="B1372" s="570" t="str">
        <f>'refer admin discharge'!B1368</f>
        <v>x</v>
      </c>
      <c r="C1372" s="327"/>
      <c r="D1372" s="599" t="str">
        <f>'refer admin discharge'!D1368</f>
        <v>xx</v>
      </c>
      <c r="E1372" s="327"/>
      <c r="F1372" s="600" t="str">
        <f>'refer admin discharge'!H1368</f>
        <v>00/00/0000</v>
      </c>
      <c r="G1372" s="327"/>
      <c r="H1372" s="574"/>
      <c r="I1372" s="327"/>
      <c r="J1372" s="601"/>
      <c r="K1372" s="327"/>
      <c r="L1372" s="574"/>
      <c r="M1372" s="327"/>
      <c r="N1372" s="594"/>
      <c r="O1372" s="327"/>
      <c r="P1372" s="574"/>
      <c r="Q1372" s="327"/>
      <c r="R1372" s="594"/>
      <c r="S1372" s="327"/>
      <c r="T1372" s="574"/>
      <c r="U1372" s="327"/>
      <c r="V1372" s="595" t="str">
        <f>'refer admin discharge'!H1373</f>
        <v>00/00/0000</v>
      </c>
      <c r="W1372" s="327"/>
      <c r="X1372" s="596"/>
      <c r="Y1372" s="327"/>
      <c r="Z1372" s="597"/>
      <c r="AA1372" s="327"/>
      <c r="AB1372" s="596"/>
      <c r="AC1372" s="327"/>
      <c r="AD1372" s="577"/>
      <c r="AE1372" s="327"/>
      <c r="AF1372" s="596"/>
      <c r="AG1372" s="327"/>
      <c r="AH1372" s="577"/>
      <c r="AI1372" s="327"/>
      <c r="AJ1372" s="596"/>
      <c r="AK1372" s="327"/>
      <c r="AL1372" s="598"/>
      <c r="AM1372" s="326"/>
      <c r="AN1372" s="326"/>
      <c r="AO1372" s="326"/>
      <c r="AP1372" s="326"/>
      <c r="AQ1372" s="326"/>
      <c r="AR1372" s="326"/>
      <c r="AS1372" s="326"/>
      <c r="AT1372" s="326"/>
      <c r="AU1372" s="326"/>
      <c r="AV1372" s="326"/>
      <c r="AW1372" s="326"/>
      <c r="AX1372" s="326"/>
      <c r="AY1372" s="326"/>
      <c r="AZ1372" s="326"/>
      <c r="BA1372" s="326"/>
      <c r="BB1372" s="327"/>
    </row>
    <row r="1373" spans="1:54" ht="15.75" customHeight="1" x14ac:dyDescent="0.25">
      <c r="A1373" s="11">
        <f t="shared" si="5"/>
        <v>1360</v>
      </c>
      <c r="B1373" s="504" t="str">
        <f>'refer admin discharge'!B1369</f>
        <v>x</v>
      </c>
      <c r="C1373" s="327"/>
      <c r="D1373" s="505" t="str">
        <f>'refer admin discharge'!D1369</f>
        <v>xx</v>
      </c>
      <c r="E1373" s="327"/>
      <c r="F1373" s="606" t="str">
        <f>'refer admin discharge'!H1369</f>
        <v>00/00/0000</v>
      </c>
      <c r="G1373" s="327"/>
      <c r="H1373" s="594"/>
      <c r="I1373" s="327"/>
      <c r="J1373" s="605"/>
      <c r="K1373" s="327"/>
      <c r="L1373" s="594"/>
      <c r="M1373" s="327"/>
      <c r="N1373" s="575"/>
      <c r="O1373" s="327"/>
      <c r="P1373" s="594"/>
      <c r="Q1373" s="327"/>
      <c r="R1373" s="575"/>
      <c r="S1373" s="327"/>
      <c r="T1373" s="594"/>
      <c r="U1373" s="327"/>
      <c r="V1373" s="595" t="str">
        <f>'refer admin discharge'!H1374</f>
        <v>00/00/0000</v>
      </c>
      <c r="W1373" s="327"/>
      <c r="X1373" s="577"/>
      <c r="Y1373" s="327"/>
      <c r="Z1373" s="604"/>
      <c r="AA1373" s="327"/>
      <c r="AB1373" s="577"/>
      <c r="AC1373" s="327"/>
      <c r="AD1373" s="576"/>
      <c r="AE1373" s="327"/>
      <c r="AF1373" s="577"/>
      <c r="AG1373" s="327"/>
      <c r="AH1373" s="576"/>
      <c r="AI1373" s="327"/>
      <c r="AJ1373" s="577"/>
      <c r="AK1373" s="327"/>
      <c r="AL1373" s="602"/>
      <c r="AM1373" s="326"/>
      <c r="AN1373" s="326"/>
      <c r="AO1373" s="326"/>
      <c r="AP1373" s="326"/>
      <c r="AQ1373" s="326"/>
      <c r="AR1373" s="326"/>
      <c r="AS1373" s="326"/>
      <c r="AT1373" s="326"/>
      <c r="AU1373" s="326"/>
      <c r="AV1373" s="326"/>
      <c r="AW1373" s="326"/>
      <c r="AX1373" s="326"/>
      <c r="AY1373" s="326"/>
      <c r="AZ1373" s="326"/>
      <c r="BA1373" s="326"/>
      <c r="BB1373" s="327"/>
    </row>
    <row r="1374" spans="1:54" ht="15.75" customHeight="1" x14ac:dyDescent="0.25">
      <c r="A1374" s="11">
        <f t="shared" si="5"/>
        <v>1361</v>
      </c>
      <c r="B1374" s="570" t="str">
        <f>'refer admin discharge'!B1370</f>
        <v>x</v>
      </c>
      <c r="C1374" s="327"/>
      <c r="D1374" s="599" t="str">
        <f>'refer admin discharge'!D1370</f>
        <v>xx</v>
      </c>
      <c r="E1374" s="327"/>
      <c r="F1374" s="600" t="str">
        <f>'refer admin discharge'!H1370</f>
        <v>00/00/0000</v>
      </c>
      <c r="G1374" s="327"/>
      <c r="H1374" s="574"/>
      <c r="I1374" s="327"/>
      <c r="J1374" s="601"/>
      <c r="K1374" s="327"/>
      <c r="L1374" s="574"/>
      <c r="M1374" s="327"/>
      <c r="N1374" s="594"/>
      <c r="O1374" s="327"/>
      <c r="P1374" s="574"/>
      <c r="Q1374" s="327"/>
      <c r="R1374" s="594"/>
      <c r="S1374" s="327"/>
      <c r="T1374" s="574"/>
      <c r="U1374" s="327"/>
      <c r="V1374" s="595" t="str">
        <f>'refer admin discharge'!H1375</f>
        <v>00/00/0000</v>
      </c>
      <c r="W1374" s="327"/>
      <c r="X1374" s="596"/>
      <c r="Y1374" s="327"/>
      <c r="Z1374" s="597"/>
      <c r="AA1374" s="327"/>
      <c r="AB1374" s="596"/>
      <c r="AC1374" s="327"/>
      <c r="AD1374" s="577"/>
      <c r="AE1374" s="327"/>
      <c r="AF1374" s="596"/>
      <c r="AG1374" s="327"/>
      <c r="AH1374" s="577"/>
      <c r="AI1374" s="327"/>
      <c r="AJ1374" s="596"/>
      <c r="AK1374" s="327"/>
      <c r="AL1374" s="598"/>
      <c r="AM1374" s="326"/>
      <c r="AN1374" s="326"/>
      <c r="AO1374" s="326"/>
      <c r="AP1374" s="326"/>
      <c r="AQ1374" s="326"/>
      <c r="AR1374" s="326"/>
      <c r="AS1374" s="326"/>
      <c r="AT1374" s="326"/>
      <c r="AU1374" s="326"/>
      <c r="AV1374" s="326"/>
      <c r="AW1374" s="326"/>
      <c r="AX1374" s="326"/>
      <c r="AY1374" s="326"/>
      <c r="AZ1374" s="326"/>
      <c r="BA1374" s="326"/>
      <c r="BB1374" s="327"/>
    </row>
    <row r="1375" spans="1:54" ht="15.75" customHeight="1" x14ac:dyDescent="0.25">
      <c r="A1375" s="11">
        <f t="shared" si="5"/>
        <v>1362</v>
      </c>
      <c r="B1375" s="504" t="str">
        <f>'refer admin discharge'!B1371</f>
        <v>x</v>
      </c>
      <c r="C1375" s="327"/>
      <c r="D1375" s="505" t="str">
        <f>'refer admin discharge'!D1371</f>
        <v>xx</v>
      </c>
      <c r="E1375" s="327"/>
      <c r="F1375" s="606" t="str">
        <f>'refer admin discharge'!H1371</f>
        <v>00/00/0000</v>
      </c>
      <c r="G1375" s="327"/>
      <c r="H1375" s="594"/>
      <c r="I1375" s="327"/>
      <c r="J1375" s="605"/>
      <c r="K1375" s="327"/>
      <c r="L1375" s="594"/>
      <c r="M1375" s="327"/>
      <c r="N1375" s="575"/>
      <c r="O1375" s="327"/>
      <c r="P1375" s="594"/>
      <c r="Q1375" s="327"/>
      <c r="R1375" s="575"/>
      <c r="S1375" s="327"/>
      <c r="T1375" s="594"/>
      <c r="U1375" s="327"/>
      <c r="V1375" s="595" t="str">
        <f>'refer admin discharge'!H1376</f>
        <v>00/00/0000</v>
      </c>
      <c r="W1375" s="327"/>
      <c r="X1375" s="577"/>
      <c r="Y1375" s="327"/>
      <c r="Z1375" s="604"/>
      <c r="AA1375" s="327"/>
      <c r="AB1375" s="577"/>
      <c r="AC1375" s="327"/>
      <c r="AD1375" s="576"/>
      <c r="AE1375" s="327"/>
      <c r="AF1375" s="577"/>
      <c r="AG1375" s="327"/>
      <c r="AH1375" s="576"/>
      <c r="AI1375" s="327"/>
      <c r="AJ1375" s="577"/>
      <c r="AK1375" s="327"/>
      <c r="AL1375" s="602"/>
      <c r="AM1375" s="326"/>
      <c r="AN1375" s="326"/>
      <c r="AO1375" s="326"/>
      <c r="AP1375" s="326"/>
      <c r="AQ1375" s="326"/>
      <c r="AR1375" s="326"/>
      <c r="AS1375" s="326"/>
      <c r="AT1375" s="326"/>
      <c r="AU1375" s="326"/>
      <c r="AV1375" s="326"/>
      <c r="AW1375" s="326"/>
      <c r="AX1375" s="326"/>
      <c r="AY1375" s="326"/>
      <c r="AZ1375" s="326"/>
      <c r="BA1375" s="326"/>
      <c r="BB1375" s="327"/>
    </row>
    <row r="1376" spans="1:54" ht="15.75" customHeight="1" x14ac:dyDescent="0.25">
      <c r="A1376" s="11">
        <f t="shared" si="5"/>
        <v>1363</v>
      </c>
      <c r="B1376" s="570" t="str">
        <f>'refer admin discharge'!B1372</f>
        <v>x</v>
      </c>
      <c r="C1376" s="327"/>
      <c r="D1376" s="599" t="str">
        <f>'refer admin discharge'!D1372</f>
        <v>xx</v>
      </c>
      <c r="E1376" s="327"/>
      <c r="F1376" s="600" t="str">
        <f>'refer admin discharge'!H1372</f>
        <v>00/00/0000</v>
      </c>
      <c r="G1376" s="327"/>
      <c r="H1376" s="574"/>
      <c r="I1376" s="327"/>
      <c r="J1376" s="601"/>
      <c r="K1376" s="327"/>
      <c r="L1376" s="574"/>
      <c r="M1376" s="327"/>
      <c r="N1376" s="594"/>
      <c r="O1376" s="327"/>
      <c r="P1376" s="574"/>
      <c r="Q1376" s="327"/>
      <c r="R1376" s="594"/>
      <c r="S1376" s="327"/>
      <c r="T1376" s="574"/>
      <c r="U1376" s="327"/>
      <c r="V1376" s="595" t="str">
        <f>'refer admin discharge'!H1377</f>
        <v>00/00/0000</v>
      </c>
      <c r="W1376" s="327"/>
      <c r="X1376" s="596"/>
      <c r="Y1376" s="327"/>
      <c r="Z1376" s="597"/>
      <c r="AA1376" s="327"/>
      <c r="AB1376" s="596"/>
      <c r="AC1376" s="327"/>
      <c r="AD1376" s="577"/>
      <c r="AE1376" s="327"/>
      <c r="AF1376" s="596"/>
      <c r="AG1376" s="327"/>
      <c r="AH1376" s="577"/>
      <c r="AI1376" s="327"/>
      <c r="AJ1376" s="596"/>
      <c r="AK1376" s="327"/>
      <c r="AL1376" s="598"/>
      <c r="AM1376" s="326"/>
      <c r="AN1376" s="326"/>
      <c r="AO1376" s="326"/>
      <c r="AP1376" s="326"/>
      <c r="AQ1376" s="326"/>
      <c r="AR1376" s="326"/>
      <c r="AS1376" s="326"/>
      <c r="AT1376" s="326"/>
      <c r="AU1376" s="326"/>
      <c r="AV1376" s="326"/>
      <c r="AW1376" s="326"/>
      <c r="AX1376" s="326"/>
      <c r="AY1376" s="326"/>
      <c r="AZ1376" s="326"/>
      <c r="BA1376" s="326"/>
      <c r="BB1376" s="327"/>
    </row>
    <row r="1377" spans="1:54" ht="15.75" customHeight="1" x14ac:dyDescent="0.25">
      <c r="A1377" s="11">
        <f t="shared" si="5"/>
        <v>1364</v>
      </c>
      <c r="B1377" s="504" t="str">
        <f>'refer admin discharge'!B1373</f>
        <v>x</v>
      </c>
      <c r="C1377" s="327"/>
      <c r="D1377" s="505" t="str">
        <f>'refer admin discharge'!D1373</f>
        <v>xx</v>
      </c>
      <c r="E1377" s="327"/>
      <c r="F1377" s="606" t="str">
        <f>'refer admin discharge'!H1373</f>
        <v>00/00/0000</v>
      </c>
      <c r="G1377" s="327"/>
      <c r="H1377" s="594"/>
      <c r="I1377" s="327"/>
      <c r="J1377" s="605"/>
      <c r="K1377" s="327"/>
      <c r="L1377" s="594"/>
      <c r="M1377" s="327"/>
      <c r="N1377" s="575"/>
      <c r="O1377" s="327"/>
      <c r="P1377" s="594"/>
      <c r="Q1377" s="327"/>
      <c r="R1377" s="575"/>
      <c r="S1377" s="327"/>
      <c r="T1377" s="594"/>
      <c r="U1377" s="327"/>
      <c r="V1377" s="595" t="str">
        <f>'refer admin discharge'!H1378</f>
        <v>00/00/0000</v>
      </c>
      <c r="W1377" s="327"/>
      <c r="X1377" s="577"/>
      <c r="Y1377" s="327"/>
      <c r="Z1377" s="604"/>
      <c r="AA1377" s="327"/>
      <c r="AB1377" s="577"/>
      <c r="AC1377" s="327"/>
      <c r="AD1377" s="576"/>
      <c r="AE1377" s="327"/>
      <c r="AF1377" s="577"/>
      <c r="AG1377" s="327"/>
      <c r="AH1377" s="576"/>
      <c r="AI1377" s="327"/>
      <c r="AJ1377" s="577"/>
      <c r="AK1377" s="327"/>
      <c r="AL1377" s="602"/>
      <c r="AM1377" s="326"/>
      <c r="AN1377" s="326"/>
      <c r="AO1377" s="326"/>
      <c r="AP1377" s="326"/>
      <c r="AQ1377" s="326"/>
      <c r="AR1377" s="326"/>
      <c r="AS1377" s="326"/>
      <c r="AT1377" s="326"/>
      <c r="AU1377" s="326"/>
      <c r="AV1377" s="326"/>
      <c r="AW1377" s="326"/>
      <c r="AX1377" s="326"/>
      <c r="AY1377" s="326"/>
      <c r="AZ1377" s="326"/>
      <c r="BA1377" s="326"/>
      <c r="BB1377" s="327"/>
    </row>
    <row r="1378" spans="1:54" ht="15.75" customHeight="1" x14ac:dyDescent="0.25">
      <c r="A1378" s="11">
        <f t="shared" si="5"/>
        <v>1365</v>
      </c>
      <c r="B1378" s="570" t="str">
        <f>'refer admin discharge'!B1374</f>
        <v>x</v>
      </c>
      <c r="C1378" s="327"/>
      <c r="D1378" s="599" t="str">
        <f>'refer admin discharge'!D1374</f>
        <v>xx</v>
      </c>
      <c r="E1378" s="327"/>
      <c r="F1378" s="600" t="str">
        <f>'refer admin discharge'!H1374</f>
        <v>00/00/0000</v>
      </c>
      <c r="G1378" s="327"/>
      <c r="H1378" s="574"/>
      <c r="I1378" s="327"/>
      <c r="J1378" s="601"/>
      <c r="K1378" s="327"/>
      <c r="L1378" s="574"/>
      <c r="M1378" s="327"/>
      <c r="N1378" s="594"/>
      <c r="O1378" s="327"/>
      <c r="P1378" s="574"/>
      <c r="Q1378" s="327"/>
      <c r="R1378" s="594"/>
      <c r="S1378" s="327"/>
      <c r="T1378" s="574"/>
      <c r="U1378" s="327"/>
      <c r="V1378" s="595" t="str">
        <f>'refer admin discharge'!H1379</f>
        <v>00/00/0000</v>
      </c>
      <c r="W1378" s="327"/>
      <c r="X1378" s="596"/>
      <c r="Y1378" s="327"/>
      <c r="Z1378" s="597"/>
      <c r="AA1378" s="327"/>
      <c r="AB1378" s="596"/>
      <c r="AC1378" s="327"/>
      <c r="AD1378" s="577"/>
      <c r="AE1378" s="327"/>
      <c r="AF1378" s="596"/>
      <c r="AG1378" s="327"/>
      <c r="AH1378" s="577"/>
      <c r="AI1378" s="327"/>
      <c r="AJ1378" s="596"/>
      <c r="AK1378" s="327"/>
      <c r="AL1378" s="598"/>
      <c r="AM1378" s="326"/>
      <c r="AN1378" s="326"/>
      <c r="AO1378" s="326"/>
      <c r="AP1378" s="326"/>
      <c r="AQ1378" s="326"/>
      <c r="AR1378" s="326"/>
      <c r="AS1378" s="326"/>
      <c r="AT1378" s="326"/>
      <c r="AU1378" s="326"/>
      <c r="AV1378" s="326"/>
      <c r="AW1378" s="326"/>
      <c r="AX1378" s="326"/>
      <c r="AY1378" s="326"/>
      <c r="AZ1378" s="326"/>
      <c r="BA1378" s="326"/>
      <c r="BB1378" s="327"/>
    </row>
    <row r="1379" spans="1:54" ht="15.75" customHeight="1" x14ac:dyDescent="0.25">
      <c r="A1379" s="11">
        <f t="shared" si="5"/>
        <v>1366</v>
      </c>
      <c r="B1379" s="504" t="str">
        <f>'refer admin discharge'!B1375</f>
        <v>x</v>
      </c>
      <c r="C1379" s="327"/>
      <c r="D1379" s="505" t="str">
        <f>'refer admin discharge'!D1375</f>
        <v>xx</v>
      </c>
      <c r="E1379" s="327"/>
      <c r="F1379" s="606" t="str">
        <f>'refer admin discharge'!H1375</f>
        <v>00/00/0000</v>
      </c>
      <c r="G1379" s="327"/>
      <c r="H1379" s="594"/>
      <c r="I1379" s="327"/>
      <c r="J1379" s="605"/>
      <c r="K1379" s="327"/>
      <c r="L1379" s="594"/>
      <c r="M1379" s="327"/>
      <c r="N1379" s="575"/>
      <c r="O1379" s="327"/>
      <c r="P1379" s="594"/>
      <c r="Q1379" s="327"/>
      <c r="R1379" s="575"/>
      <c r="S1379" s="327"/>
      <c r="T1379" s="594"/>
      <c r="U1379" s="327"/>
      <c r="V1379" s="595" t="str">
        <f>'refer admin discharge'!H1380</f>
        <v>00/00/0000</v>
      </c>
      <c r="W1379" s="327"/>
      <c r="X1379" s="577"/>
      <c r="Y1379" s="327"/>
      <c r="Z1379" s="604"/>
      <c r="AA1379" s="327"/>
      <c r="AB1379" s="577"/>
      <c r="AC1379" s="327"/>
      <c r="AD1379" s="576"/>
      <c r="AE1379" s="327"/>
      <c r="AF1379" s="577"/>
      <c r="AG1379" s="327"/>
      <c r="AH1379" s="576"/>
      <c r="AI1379" s="327"/>
      <c r="AJ1379" s="577"/>
      <c r="AK1379" s="327"/>
      <c r="AL1379" s="602"/>
      <c r="AM1379" s="326"/>
      <c r="AN1379" s="326"/>
      <c r="AO1379" s="326"/>
      <c r="AP1379" s="326"/>
      <c r="AQ1379" s="326"/>
      <c r="AR1379" s="326"/>
      <c r="AS1379" s="326"/>
      <c r="AT1379" s="326"/>
      <c r="AU1379" s="326"/>
      <c r="AV1379" s="326"/>
      <c r="AW1379" s="326"/>
      <c r="AX1379" s="326"/>
      <c r="AY1379" s="326"/>
      <c r="AZ1379" s="326"/>
      <c r="BA1379" s="326"/>
      <c r="BB1379" s="327"/>
    </row>
    <row r="1380" spans="1:54" ht="15.75" customHeight="1" x14ac:dyDescent="0.25">
      <c r="A1380" s="11">
        <f t="shared" si="5"/>
        <v>1367</v>
      </c>
      <c r="B1380" s="570" t="str">
        <f>'refer admin discharge'!B1376</f>
        <v>x</v>
      </c>
      <c r="C1380" s="327"/>
      <c r="D1380" s="599" t="str">
        <f>'refer admin discharge'!D1376</f>
        <v>xx</v>
      </c>
      <c r="E1380" s="327"/>
      <c r="F1380" s="600" t="str">
        <f>'refer admin discharge'!H1376</f>
        <v>00/00/0000</v>
      </c>
      <c r="G1380" s="327"/>
      <c r="H1380" s="574"/>
      <c r="I1380" s="327"/>
      <c r="J1380" s="601"/>
      <c r="K1380" s="327"/>
      <c r="L1380" s="574"/>
      <c r="M1380" s="327"/>
      <c r="N1380" s="594"/>
      <c r="O1380" s="327"/>
      <c r="P1380" s="574"/>
      <c r="Q1380" s="327"/>
      <c r="R1380" s="594"/>
      <c r="S1380" s="327"/>
      <c r="T1380" s="574"/>
      <c r="U1380" s="327"/>
      <c r="V1380" s="595" t="str">
        <f>'refer admin discharge'!H1381</f>
        <v>00/00/0000</v>
      </c>
      <c r="W1380" s="327"/>
      <c r="X1380" s="596"/>
      <c r="Y1380" s="327"/>
      <c r="Z1380" s="597"/>
      <c r="AA1380" s="327"/>
      <c r="AB1380" s="596"/>
      <c r="AC1380" s="327"/>
      <c r="AD1380" s="577"/>
      <c r="AE1380" s="327"/>
      <c r="AF1380" s="596"/>
      <c r="AG1380" s="327"/>
      <c r="AH1380" s="577"/>
      <c r="AI1380" s="327"/>
      <c r="AJ1380" s="596"/>
      <c r="AK1380" s="327"/>
      <c r="AL1380" s="598"/>
      <c r="AM1380" s="326"/>
      <c r="AN1380" s="326"/>
      <c r="AO1380" s="326"/>
      <c r="AP1380" s="326"/>
      <c r="AQ1380" s="326"/>
      <c r="AR1380" s="326"/>
      <c r="AS1380" s="326"/>
      <c r="AT1380" s="326"/>
      <c r="AU1380" s="326"/>
      <c r="AV1380" s="326"/>
      <c r="AW1380" s="326"/>
      <c r="AX1380" s="326"/>
      <c r="AY1380" s="326"/>
      <c r="AZ1380" s="326"/>
      <c r="BA1380" s="326"/>
      <c r="BB1380" s="327"/>
    </row>
    <row r="1381" spans="1:54" ht="15.75" customHeight="1" x14ac:dyDescent="0.25">
      <c r="A1381" s="11">
        <f t="shared" si="5"/>
        <v>1368</v>
      </c>
      <c r="B1381" s="504" t="str">
        <f>'refer admin discharge'!B1377</f>
        <v>x</v>
      </c>
      <c r="C1381" s="327"/>
      <c r="D1381" s="505" t="str">
        <f>'refer admin discharge'!D1377</f>
        <v>xx</v>
      </c>
      <c r="E1381" s="327"/>
      <c r="F1381" s="606" t="str">
        <f>'refer admin discharge'!H1377</f>
        <v>00/00/0000</v>
      </c>
      <c r="G1381" s="327"/>
      <c r="H1381" s="594"/>
      <c r="I1381" s="327"/>
      <c r="J1381" s="605"/>
      <c r="K1381" s="327"/>
      <c r="L1381" s="594"/>
      <c r="M1381" s="327"/>
      <c r="N1381" s="575"/>
      <c r="O1381" s="327"/>
      <c r="P1381" s="594"/>
      <c r="Q1381" s="327"/>
      <c r="R1381" s="575"/>
      <c r="S1381" s="327"/>
      <c r="T1381" s="594"/>
      <c r="U1381" s="327"/>
      <c r="V1381" s="595" t="str">
        <f>'refer admin discharge'!H1382</f>
        <v>00/00/0000</v>
      </c>
      <c r="W1381" s="327"/>
      <c r="X1381" s="577"/>
      <c r="Y1381" s="327"/>
      <c r="Z1381" s="604"/>
      <c r="AA1381" s="327"/>
      <c r="AB1381" s="577"/>
      <c r="AC1381" s="327"/>
      <c r="AD1381" s="576"/>
      <c r="AE1381" s="327"/>
      <c r="AF1381" s="577"/>
      <c r="AG1381" s="327"/>
      <c r="AH1381" s="576"/>
      <c r="AI1381" s="327"/>
      <c r="AJ1381" s="577"/>
      <c r="AK1381" s="327"/>
      <c r="AL1381" s="602"/>
      <c r="AM1381" s="326"/>
      <c r="AN1381" s="326"/>
      <c r="AO1381" s="326"/>
      <c r="AP1381" s="326"/>
      <c r="AQ1381" s="326"/>
      <c r="AR1381" s="326"/>
      <c r="AS1381" s="326"/>
      <c r="AT1381" s="326"/>
      <c r="AU1381" s="326"/>
      <c r="AV1381" s="326"/>
      <c r="AW1381" s="326"/>
      <c r="AX1381" s="326"/>
      <c r="AY1381" s="326"/>
      <c r="AZ1381" s="326"/>
      <c r="BA1381" s="326"/>
      <c r="BB1381" s="327"/>
    </row>
    <row r="1382" spans="1:54" ht="15.75" customHeight="1" x14ac:dyDescent="0.25">
      <c r="A1382" s="11">
        <f t="shared" si="5"/>
        <v>1369</v>
      </c>
      <c r="B1382" s="570" t="str">
        <f>'refer admin discharge'!B1378</f>
        <v>x</v>
      </c>
      <c r="C1382" s="327"/>
      <c r="D1382" s="599" t="str">
        <f>'refer admin discharge'!D1378</f>
        <v>xx</v>
      </c>
      <c r="E1382" s="327"/>
      <c r="F1382" s="600" t="str">
        <f>'refer admin discharge'!H1378</f>
        <v>00/00/0000</v>
      </c>
      <c r="G1382" s="327"/>
      <c r="H1382" s="574"/>
      <c r="I1382" s="327"/>
      <c r="J1382" s="601"/>
      <c r="K1382" s="327"/>
      <c r="L1382" s="574"/>
      <c r="M1382" s="327"/>
      <c r="N1382" s="594"/>
      <c r="O1382" s="327"/>
      <c r="P1382" s="574"/>
      <c r="Q1382" s="327"/>
      <c r="R1382" s="594"/>
      <c r="S1382" s="327"/>
      <c r="T1382" s="574"/>
      <c r="U1382" s="327"/>
      <c r="V1382" s="595" t="str">
        <f>'refer admin discharge'!H1383</f>
        <v>00/00/0000</v>
      </c>
      <c r="W1382" s="327"/>
      <c r="X1382" s="596"/>
      <c r="Y1382" s="327"/>
      <c r="Z1382" s="597"/>
      <c r="AA1382" s="327"/>
      <c r="AB1382" s="596"/>
      <c r="AC1382" s="327"/>
      <c r="AD1382" s="577"/>
      <c r="AE1382" s="327"/>
      <c r="AF1382" s="596"/>
      <c r="AG1382" s="327"/>
      <c r="AH1382" s="577"/>
      <c r="AI1382" s="327"/>
      <c r="AJ1382" s="596"/>
      <c r="AK1382" s="327"/>
      <c r="AL1382" s="598"/>
      <c r="AM1382" s="326"/>
      <c r="AN1382" s="326"/>
      <c r="AO1382" s="326"/>
      <c r="AP1382" s="326"/>
      <c r="AQ1382" s="326"/>
      <c r="AR1382" s="326"/>
      <c r="AS1382" s="326"/>
      <c r="AT1382" s="326"/>
      <c r="AU1382" s="326"/>
      <c r="AV1382" s="326"/>
      <c r="AW1382" s="326"/>
      <c r="AX1382" s="326"/>
      <c r="AY1382" s="326"/>
      <c r="AZ1382" s="326"/>
      <c r="BA1382" s="326"/>
      <c r="BB1382" s="327"/>
    </row>
    <row r="1383" spans="1:54" ht="15.75" customHeight="1" x14ac:dyDescent="0.25">
      <c r="A1383" s="11">
        <f t="shared" si="5"/>
        <v>1370</v>
      </c>
      <c r="B1383" s="504" t="str">
        <f>'refer admin discharge'!B1379</f>
        <v>x</v>
      </c>
      <c r="C1383" s="327"/>
      <c r="D1383" s="505" t="str">
        <f>'refer admin discharge'!D1379</f>
        <v>xx</v>
      </c>
      <c r="E1383" s="327"/>
      <c r="F1383" s="606" t="str">
        <f>'refer admin discharge'!H1379</f>
        <v>00/00/0000</v>
      </c>
      <c r="G1383" s="327"/>
      <c r="H1383" s="594"/>
      <c r="I1383" s="327"/>
      <c r="J1383" s="605"/>
      <c r="K1383" s="327"/>
      <c r="L1383" s="594"/>
      <c r="M1383" s="327"/>
      <c r="N1383" s="575"/>
      <c r="O1383" s="327"/>
      <c r="P1383" s="594"/>
      <c r="Q1383" s="327"/>
      <c r="R1383" s="575"/>
      <c r="S1383" s="327"/>
      <c r="T1383" s="594"/>
      <c r="U1383" s="327"/>
      <c r="V1383" s="595" t="str">
        <f>'refer admin discharge'!H1384</f>
        <v>00/00/0000</v>
      </c>
      <c r="W1383" s="327"/>
      <c r="X1383" s="577"/>
      <c r="Y1383" s="327"/>
      <c r="Z1383" s="604"/>
      <c r="AA1383" s="327"/>
      <c r="AB1383" s="577"/>
      <c r="AC1383" s="327"/>
      <c r="AD1383" s="576"/>
      <c r="AE1383" s="327"/>
      <c r="AF1383" s="577"/>
      <c r="AG1383" s="327"/>
      <c r="AH1383" s="576"/>
      <c r="AI1383" s="327"/>
      <c r="AJ1383" s="577"/>
      <c r="AK1383" s="327"/>
      <c r="AL1383" s="602"/>
      <c r="AM1383" s="326"/>
      <c r="AN1383" s="326"/>
      <c r="AO1383" s="326"/>
      <c r="AP1383" s="326"/>
      <c r="AQ1383" s="326"/>
      <c r="AR1383" s="326"/>
      <c r="AS1383" s="326"/>
      <c r="AT1383" s="326"/>
      <c r="AU1383" s="326"/>
      <c r="AV1383" s="326"/>
      <c r="AW1383" s="326"/>
      <c r="AX1383" s="326"/>
      <c r="AY1383" s="326"/>
      <c r="AZ1383" s="326"/>
      <c r="BA1383" s="326"/>
      <c r="BB1383" s="327"/>
    </row>
    <row r="1384" spans="1:54" ht="15.75" customHeight="1" x14ac:dyDescent="0.25">
      <c r="A1384" s="11">
        <f t="shared" si="5"/>
        <v>1371</v>
      </c>
      <c r="B1384" s="570" t="str">
        <f>'refer admin discharge'!B1380</f>
        <v>x</v>
      </c>
      <c r="C1384" s="327"/>
      <c r="D1384" s="599" t="str">
        <f>'refer admin discharge'!D1380</f>
        <v>xx</v>
      </c>
      <c r="E1384" s="327"/>
      <c r="F1384" s="600" t="str">
        <f>'refer admin discharge'!H1380</f>
        <v>00/00/0000</v>
      </c>
      <c r="G1384" s="327"/>
      <c r="H1384" s="574"/>
      <c r="I1384" s="327"/>
      <c r="J1384" s="601"/>
      <c r="K1384" s="327"/>
      <c r="L1384" s="574"/>
      <c r="M1384" s="327"/>
      <c r="N1384" s="594"/>
      <c r="O1384" s="327"/>
      <c r="P1384" s="574"/>
      <c r="Q1384" s="327"/>
      <c r="R1384" s="594"/>
      <c r="S1384" s="327"/>
      <c r="T1384" s="574"/>
      <c r="U1384" s="327"/>
      <c r="V1384" s="595" t="str">
        <f>'refer admin discharge'!H1385</f>
        <v>00/00/0000</v>
      </c>
      <c r="W1384" s="327"/>
      <c r="X1384" s="596"/>
      <c r="Y1384" s="327"/>
      <c r="Z1384" s="597"/>
      <c r="AA1384" s="327"/>
      <c r="AB1384" s="596"/>
      <c r="AC1384" s="327"/>
      <c r="AD1384" s="577"/>
      <c r="AE1384" s="327"/>
      <c r="AF1384" s="596"/>
      <c r="AG1384" s="327"/>
      <c r="AH1384" s="577"/>
      <c r="AI1384" s="327"/>
      <c r="AJ1384" s="596"/>
      <c r="AK1384" s="327"/>
      <c r="AL1384" s="598"/>
      <c r="AM1384" s="326"/>
      <c r="AN1384" s="326"/>
      <c r="AO1384" s="326"/>
      <c r="AP1384" s="326"/>
      <c r="AQ1384" s="326"/>
      <c r="AR1384" s="326"/>
      <c r="AS1384" s="326"/>
      <c r="AT1384" s="326"/>
      <c r="AU1384" s="326"/>
      <c r="AV1384" s="326"/>
      <c r="AW1384" s="326"/>
      <c r="AX1384" s="326"/>
      <c r="AY1384" s="326"/>
      <c r="AZ1384" s="326"/>
      <c r="BA1384" s="326"/>
      <c r="BB1384" s="327"/>
    </row>
    <row r="1385" spans="1:54" ht="15.75" customHeight="1" x14ac:dyDescent="0.25">
      <c r="A1385" s="11">
        <f t="shared" si="5"/>
        <v>1372</v>
      </c>
      <c r="B1385" s="504" t="str">
        <f>'refer admin discharge'!B1381</f>
        <v>x</v>
      </c>
      <c r="C1385" s="327"/>
      <c r="D1385" s="505" t="str">
        <f>'refer admin discharge'!D1381</f>
        <v>xx</v>
      </c>
      <c r="E1385" s="327"/>
      <c r="F1385" s="606" t="str">
        <f>'refer admin discharge'!H1381</f>
        <v>00/00/0000</v>
      </c>
      <c r="G1385" s="327"/>
      <c r="H1385" s="594"/>
      <c r="I1385" s="327"/>
      <c r="J1385" s="605"/>
      <c r="K1385" s="327"/>
      <c r="L1385" s="594"/>
      <c r="M1385" s="327"/>
      <c r="N1385" s="575"/>
      <c r="O1385" s="327"/>
      <c r="P1385" s="594"/>
      <c r="Q1385" s="327"/>
      <c r="R1385" s="575"/>
      <c r="S1385" s="327"/>
      <c r="T1385" s="594"/>
      <c r="U1385" s="327"/>
      <c r="V1385" s="595" t="str">
        <f>'refer admin discharge'!H1386</f>
        <v>00/00/0000</v>
      </c>
      <c r="W1385" s="327"/>
      <c r="X1385" s="577"/>
      <c r="Y1385" s="327"/>
      <c r="Z1385" s="604"/>
      <c r="AA1385" s="327"/>
      <c r="AB1385" s="577"/>
      <c r="AC1385" s="327"/>
      <c r="AD1385" s="576"/>
      <c r="AE1385" s="327"/>
      <c r="AF1385" s="577"/>
      <c r="AG1385" s="327"/>
      <c r="AH1385" s="576"/>
      <c r="AI1385" s="327"/>
      <c r="AJ1385" s="577"/>
      <c r="AK1385" s="327"/>
      <c r="AL1385" s="602"/>
      <c r="AM1385" s="326"/>
      <c r="AN1385" s="326"/>
      <c r="AO1385" s="326"/>
      <c r="AP1385" s="326"/>
      <c r="AQ1385" s="326"/>
      <c r="AR1385" s="326"/>
      <c r="AS1385" s="326"/>
      <c r="AT1385" s="326"/>
      <c r="AU1385" s="326"/>
      <c r="AV1385" s="326"/>
      <c r="AW1385" s="326"/>
      <c r="AX1385" s="326"/>
      <c r="AY1385" s="326"/>
      <c r="AZ1385" s="326"/>
      <c r="BA1385" s="326"/>
      <c r="BB1385" s="327"/>
    </row>
    <row r="1386" spans="1:54" ht="15.75" customHeight="1" x14ac:dyDescent="0.25">
      <c r="A1386" s="11">
        <f t="shared" si="5"/>
        <v>1373</v>
      </c>
      <c r="B1386" s="570" t="str">
        <f>'refer admin discharge'!B1382</f>
        <v>x</v>
      </c>
      <c r="C1386" s="327"/>
      <c r="D1386" s="599" t="str">
        <f>'refer admin discharge'!D1382</f>
        <v>xx</v>
      </c>
      <c r="E1386" s="327"/>
      <c r="F1386" s="600" t="str">
        <f>'refer admin discharge'!H1382</f>
        <v>00/00/0000</v>
      </c>
      <c r="G1386" s="327"/>
      <c r="H1386" s="574"/>
      <c r="I1386" s="327"/>
      <c r="J1386" s="601"/>
      <c r="K1386" s="327"/>
      <c r="L1386" s="574"/>
      <c r="M1386" s="327"/>
      <c r="N1386" s="594"/>
      <c r="O1386" s="327"/>
      <c r="P1386" s="574"/>
      <c r="Q1386" s="327"/>
      <c r="R1386" s="594"/>
      <c r="S1386" s="327"/>
      <c r="T1386" s="574"/>
      <c r="U1386" s="327"/>
      <c r="V1386" s="595" t="str">
        <f>'refer admin discharge'!H1387</f>
        <v>00/00/0000</v>
      </c>
      <c r="W1386" s="327"/>
      <c r="X1386" s="596"/>
      <c r="Y1386" s="327"/>
      <c r="Z1386" s="597"/>
      <c r="AA1386" s="327"/>
      <c r="AB1386" s="596"/>
      <c r="AC1386" s="327"/>
      <c r="AD1386" s="577"/>
      <c r="AE1386" s="327"/>
      <c r="AF1386" s="596"/>
      <c r="AG1386" s="327"/>
      <c r="AH1386" s="577"/>
      <c r="AI1386" s="327"/>
      <c r="AJ1386" s="596"/>
      <c r="AK1386" s="327"/>
      <c r="AL1386" s="598"/>
      <c r="AM1386" s="326"/>
      <c r="AN1386" s="326"/>
      <c r="AO1386" s="326"/>
      <c r="AP1386" s="326"/>
      <c r="AQ1386" s="326"/>
      <c r="AR1386" s="326"/>
      <c r="AS1386" s="326"/>
      <c r="AT1386" s="326"/>
      <c r="AU1386" s="326"/>
      <c r="AV1386" s="326"/>
      <c r="AW1386" s="326"/>
      <c r="AX1386" s="326"/>
      <c r="AY1386" s="326"/>
      <c r="AZ1386" s="326"/>
      <c r="BA1386" s="326"/>
      <c r="BB1386" s="327"/>
    </row>
    <row r="1387" spans="1:54" ht="15.75" customHeight="1" x14ac:dyDescent="0.25">
      <c r="A1387" s="11">
        <f t="shared" si="5"/>
        <v>1374</v>
      </c>
      <c r="B1387" s="504" t="str">
        <f>'refer admin discharge'!B1383</f>
        <v>x</v>
      </c>
      <c r="C1387" s="327"/>
      <c r="D1387" s="505" t="str">
        <f>'refer admin discharge'!D1383</f>
        <v>xx</v>
      </c>
      <c r="E1387" s="327"/>
      <c r="F1387" s="606" t="str">
        <f>'refer admin discharge'!H1383</f>
        <v>00/00/0000</v>
      </c>
      <c r="G1387" s="327"/>
      <c r="H1387" s="594"/>
      <c r="I1387" s="327"/>
      <c r="J1387" s="605"/>
      <c r="K1387" s="327"/>
      <c r="L1387" s="594"/>
      <c r="M1387" s="327"/>
      <c r="N1387" s="575"/>
      <c r="O1387" s="327"/>
      <c r="P1387" s="594"/>
      <c r="Q1387" s="327"/>
      <c r="R1387" s="575"/>
      <c r="S1387" s="327"/>
      <c r="T1387" s="594"/>
      <c r="U1387" s="327"/>
      <c r="V1387" s="595" t="str">
        <f>'refer admin discharge'!H1388</f>
        <v>00/00/0000</v>
      </c>
      <c r="W1387" s="327"/>
      <c r="X1387" s="577"/>
      <c r="Y1387" s="327"/>
      <c r="Z1387" s="604"/>
      <c r="AA1387" s="327"/>
      <c r="AB1387" s="577"/>
      <c r="AC1387" s="327"/>
      <c r="AD1387" s="576"/>
      <c r="AE1387" s="327"/>
      <c r="AF1387" s="577"/>
      <c r="AG1387" s="327"/>
      <c r="AH1387" s="576"/>
      <c r="AI1387" s="327"/>
      <c r="AJ1387" s="577"/>
      <c r="AK1387" s="327"/>
      <c r="AL1387" s="602"/>
      <c r="AM1387" s="326"/>
      <c r="AN1387" s="326"/>
      <c r="AO1387" s="326"/>
      <c r="AP1387" s="326"/>
      <c r="AQ1387" s="326"/>
      <c r="AR1387" s="326"/>
      <c r="AS1387" s="326"/>
      <c r="AT1387" s="326"/>
      <c r="AU1387" s="326"/>
      <c r="AV1387" s="326"/>
      <c r="AW1387" s="326"/>
      <c r="AX1387" s="326"/>
      <c r="AY1387" s="326"/>
      <c r="AZ1387" s="326"/>
      <c r="BA1387" s="326"/>
      <c r="BB1387" s="327"/>
    </row>
    <row r="1388" spans="1:54" ht="15.75" customHeight="1" x14ac:dyDescent="0.25">
      <c r="A1388" s="11">
        <f t="shared" si="5"/>
        <v>1375</v>
      </c>
      <c r="B1388" s="570" t="str">
        <f>'refer admin discharge'!B1384</f>
        <v>x</v>
      </c>
      <c r="C1388" s="327"/>
      <c r="D1388" s="599" t="str">
        <f>'refer admin discharge'!D1384</f>
        <v>xx</v>
      </c>
      <c r="E1388" s="327"/>
      <c r="F1388" s="600" t="str">
        <f>'refer admin discharge'!H1384</f>
        <v>00/00/0000</v>
      </c>
      <c r="G1388" s="327"/>
      <c r="H1388" s="574"/>
      <c r="I1388" s="327"/>
      <c r="J1388" s="601"/>
      <c r="K1388" s="327"/>
      <c r="L1388" s="574"/>
      <c r="M1388" s="327"/>
      <c r="N1388" s="594"/>
      <c r="O1388" s="327"/>
      <c r="P1388" s="574"/>
      <c r="Q1388" s="327"/>
      <c r="R1388" s="594"/>
      <c r="S1388" s="327"/>
      <c r="T1388" s="574"/>
      <c r="U1388" s="327"/>
      <c r="V1388" s="595" t="str">
        <f>'refer admin discharge'!H1389</f>
        <v>00/00/0000</v>
      </c>
      <c r="W1388" s="327"/>
      <c r="X1388" s="596"/>
      <c r="Y1388" s="327"/>
      <c r="Z1388" s="597"/>
      <c r="AA1388" s="327"/>
      <c r="AB1388" s="596"/>
      <c r="AC1388" s="327"/>
      <c r="AD1388" s="577"/>
      <c r="AE1388" s="327"/>
      <c r="AF1388" s="596"/>
      <c r="AG1388" s="327"/>
      <c r="AH1388" s="577"/>
      <c r="AI1388" s="327"/>
      <c r="AJ1388" s="596"/>
      <c r="AK1388" s="327"/>
      <c r="AL1388" s="598"/>
      <c r="AM1388" s="326"/>
      <c r="AN1388" s="326"/>
      <c r="AO1388" s="326"/>
      <c r="AP1388" s="326"/>
      <c r="AQ1388" s="326"/>
      <c r="AR1388" s="326"/>
      <c r="AS1388" s="326"/>
      <c r="AT1388" s="326"/>
      <c r="AU1388" s="326"/>
      <c r="AV1388" s="326"/>
      <c r="AW1388" s="326"/>
      <c r="AX1388" s="326"/>
      <c r="AY1388" s="326"/>
      <c r="AZ1388" s="326"/>
      <c r="BA1388" s="326"/>
      <c r="BB1388" s="327"/>
    </row>
    <row r="1389" spans="1:54" ht="15.75" customHeight="1" x14ac:dyDescent="0.25">
      <c r="A1389" s="11">
        <f t="shared" si="5"/>
        <v>1376</v>
      </c>
      <c r="B1389" s="504" t="str">
        <f>'refer admin discharge'!B1385</f>
        <v>x</v>
      </c>
      <c r="C1389" s="327"/>
      <c r="D1389" s="505" t="str">
        <f>'refer admin discharge'!D1385</f>
        <v>xx</v>
      </c>
      <c r="E1389" s="327"/>
      <c r="F1389" s="606" t="str">
        <f>'refer admin discharge'!H1385</f>
        <v>00/00/0000</v>
      </c>
      <c r="G1389" s="327"/>
      <c r="H1389" s="594"/>
      <c r="I1389" s="327"/>
      <c r="J1389" s="605"/>
      <c r="K1389" s="327"/>
      <c r="L1389" s="594"/>
      <c r="M1389" s="327"/>
      <c r="N1389" s="575"/>
      <c r="O1389" s="327"/>
      <c r="P1389" s="594"/>
      <c r="Q1389" s="327"/>
      <c r="R1389" s="575"/>
      <c r="S1389" s="327"/>
      <c r="T1389" s="594"/>
      <c r="U1389" s="327"/>
      <c r="V1389" s="595" t="str">
        <f>'refer admin discharge'!H1390</f>
        <v>00/00/0000</v>
      </c>
      <c r="W1389" s="327"/>
      <c r="X1389" s="577"/>
      <c r="Y1389" s="327"/>
      <c r="Z1389" s="604"/>
      <c r="AA1389" s="327"/>
      <c r="AB1389" s="577"/>
      <c r="AC1389" s="327"/>
      <c r="AD1389" s="576"/>
      <c r="AE1389" s="327"/>
      <c r="AF1389" s="577"/>
      <c r="AG1389" s="327"/>
      <c r="AH1389" s="576"/>
      <c r="AI1389" s="327"/>
      <c r="AJ1389" s="577"/>
      <c r="AK1389" s="327"/>
      <c r="AL1389" s="602"/>
      <c r="AM1389" s="326"/>
      <c r="AN1389" s="326"/>
      <c r="AO1389" s="326"/>
      <c r="AP1389" s="326"/>
      <c r="AQ1389" s="326"/>
      <c r="AR1389" s="326"/>
      <c r="AS1389" s="326"/>
      <c r="AT1389" s="326"/>
      <c r="AU1389" s="326"/>
      <c r="AV1389" s="326"/>
      <c r="AW1389" s="326"/>
      <c r="AX1389" s="326"/>
      <c r="AY1389" s="326"/>
      <c r="AZ1389" s="326"/>
      <c r="BA1389" s="326"/>
      <c r="BB1389" s="327"/>
    </row>
    <row r="1390" spans="1:54" ht="15.75" customHeight="1" x14ac:dyDescent="0.25">
      <c r="A1390" s="11">
        <f t="shared" si="5"/>
        <v>1377</v>
      </c>
      <c r="B1390" s="570" t="str">
        <f>'refer admin discharge'!B1386</f>
        <v>x</v>
      </c>
      <c r="C1390" s="327"/>
      <c r="D1390" s="599" t="str">
        <f>'refer admin discharge'!D1386</f>
        <v>xx</v>
      </c>
      <c r="E1390" s="327"/>
      <c r="F1390" s="600" t="str">
        <f>'refer admin discharge'!H1386</f>
        <v>00/00/0000</v>
      </c>
      <c r="G1390" s="327"/>
      <c r="H1390" s="574"/>
      <c r="I1390" s="327"/>
      <c r="J1390" s="601"/>
      <c r="K1390" s="327"/>
      <c r="L1390" s="574"/>
      <c r="M1390" s="327"/>
      <c r="N1390" s="594"/>
      <c r="O1390" s="327"/>
      <c r="P1390" s="574"/>
      <c r="Q1390" s="327"/>
      <c r="R1390" s="594"/>
      <c r="S1390" s="327"/>
      <c r="T1390" s="574"/>
      <c r="U1390" s="327"/>
      <c r="V1390" s="595" t="str">
        <f>'refer admin discharge'!H1391</f>
        <v>00/00/0000</v>
      </c>
      <c r="W1390" s="327"/>
      <c r="X1390" s="596"/>
      <c r="Y1390" s="327"/>
      <c r="Z1390" s="597"/>
      <c r="AA1390" s="327"/>
      <c r="AB1390" s="596"/>
      <c r="AC1390" s="327"/>
      <c r="AD1390" s="577"/>
      <c r="AE1390" s="327"/>
      <c r="AF1390" s="596"/>
      <c r="AG1390" s="327"/>
      <c r="AH1390" s="577"/>
      <c r="AI1390" s="327"/>
      <c r="AJ1390" s="596"/>
      <c r="AK1390" s="327"/>
      <c r="AL1390" s="598"/>
      <c r="AM1390" s="326"/>
      <c r="AN1390" s="326"/>
      <c r="AO1390" s="326"/>
      <c r="AP1390" s="326"/>
      <c r="AQ1390" s="326"/>
      <c r="AR1390" s="326"/>
      <c r="AS1390" s="326"/>
      <c r="AT1390" s="326"/>
      <c r="AU1390" s="326"/>
      <c r="AV1390" s="326"/>
      <c r="AW1390" s="326"/>
      <c r="AX1390" s="326"/>
      <c r="AY1390" s="326"/>
      <c r="AZ1390" s="326"/>
      <c r="BA1390" s="326"/>
      <c r="BB1390" s="327"/>
    </row>
    <row r="1391" spans="1:54" ht="15.75" customHeight="1" x14ac:dyDescent="0.25">
      <c r="A1391" s="11">
        <f t="shared" si="5"/>
        <v>1378</v>
      </c>
      <c r="B1391" s="504" t="str">
        <f>'refer admin discharge'!B1387</f>
        <v>x</v>
      </c>
      <c r="C1391" s="327"/>
      <c r="D1391" s="505" t="str">
        <f>'refer admin discharge'!D1387</f>
        <v>xx</v>
      </c>
      <c r="E1391" s="327"/>
      <c r="F1391" s="606" t="str">
        <f>'refer admin discharge'!H1387</f>
        <v>00/00/0000</v>
      </c>
      <c r="G1391" s="327"/>
      <c r="H1391" s="594"/>
      <c r="I1391" s="327"/>
      <c r="J1391" s="605"/>
      <c r="K1391" s="327"/>
      <c r="L1391" s="594"/>
      <c r="M1391" s="327"/>
      <c r="N1391" s="575"/>
      <c r="O1391" s="327"/>
      <c r="P1391" s="594"/>
      <c r="Q1391" s="327"/>
      <c r="R1391" s="575"/>
      <c r="S1391" s="327"/>
      <c r="T1391" s="594"/>
      <c r="U1391" s="327"/>
      <c r="V1391" s="595" t="str">
        <f>'refer admin discharge'!H1392</f>
        <v>00/00/0000</v>
      </c>
      <c r="W1391" s="327"/>
      <c r="X1391" s="577"/>
      <c r="Y1391" s="327"/>
      <c r="Z1391" s="604"/>
      <c r="AA1391" s="327"/>
      <c r="AB1391" s="577"/>
      <c r="AC1391" s="327"/>
      <c r="AD1391" s="576"/>
      <c r="AE1391" s="327"/>
      <c r="AF1391" s="577"/>
      <c r="AG1391" s="327"/>
      <c r="AH1391" s="576"/>
      <c r="AI1391" s="327"/>
      <c r="AJ1391" s="577"/>
      <c r="AK1391" s="327"/>
      <c r="AL1391" s="602"/>
      <c r="AM1391" s="326"/>
      <c r="AN1391" s="326"/>
      <c r="AO1391" s="326"/>
      <c r="AP1391" s="326"/>
      <c r="AQ1391" s="326"/>
      <c r="AR1391" s="326"/>
      <c r="AS1391" s="326"/>
      <c r="AT1391" s="326"/>
      <c r="AU1391" s="326"/>
      <c r="AV1391" s="326"/>
      <c r="AW1391" s="326"/>
      <c r="AX1391" s="326"/>
      <c r="AY1391" s="326"/>
      <c r="AZ1391" s="326"/>
      <c r="BA1391" s="326"/>
      <c r="BB1391" s="327"/>
    </row>
    <row r="1392" spans="1:54" ht="15.75" customHeight="1" x14ac:dyDescent="0.25">
      <c r="A1392" s="11">
        <f t="shared" si="5"/>
        <v>1379</v>
      </c>
      <c r="B1392" s="570" t="str">
        <f>'refer admin discharge'!B1388</f>
        <v>x</v>
      </c>
      <c r="C1392" s="327"/>
      <c r="D1392" s="599" t="str">
        <f>'refer admin discharge'!D1388</f>
        <v>xx</v>
      </c>
      <c r="E1392" s="327"/>
      <c r="F1392" s="600" t="str">
        <f>'refer admin discharge'!H1388</f>
        <v>00/00/0000</v>
      </c>
      <c r="G1392" s="327"/>
      <c r="H1392" s="574"/>
      <c r="I1392" s="327"/>
      <c r="J1392" s="601"/>
      <c r="K1392" s="327"/>
      <c r="L1392" s="574"/>
      <c r="M1392" s="327"/>
      <c r="N1392" s="594"/>
      <c r="O1392" s="327"/>
      <c r="P1392" s="574"/>
      <c r="Q1392" s="327"/>
      <c r="R1392" s="594"/>
      <c r="S1392" s="327"/>
      <c r="T1392" s="574"/>
      <c r="U1392" s="327"/>
      <c r="V1392" s="595" t="str">
        <f>'refer admin discharge'!H1393</f>
        <v>00/00/0000</v>
      </c>
      <c r="W1392" s="327"/>
      <c r="X1392" s="596"/>
      <c r="Y1392" s="327"/>
      <c r="Z1392" s="597"/>
      <c r="AA1392" s="327"/>
      <c r="AB1392" s="596"/>
      <c r="AC1392" s="327"/>
      <c r="AD1392" s="577"/>
      <c r="AE1392" s="327"/>
      <c r="AF1392" s="596"/>
      <c r="AG1392" s="327"/>
      <c r="AH1392" s="577"/>
      <c r="AI1392" s="327"/>
      <c r="AJ1392" s="596"/>
      <c r="AK1392" s="327"/>
      <c r="AL1392" s="598"/>
      <c r="AM1392" s="326"/>
      <c r="AN1392" s="326"/>
      <c r="AO1392" s="326"/>
      <c r="AP1392" s="326"/>
      <c r="AQ1392" s="326"/>
      <c r="AR1392" s="326"/>
      <c r="AS1392" s="326"/>
      <c r="AT1392" s="326"/>
      <c r="AU1392" s="326"/>
      <c r="AV1392" s="326"/>
      <c r="AW1392" s="326"/>
      <c r="AX1392" s="326"/>
      <c r="AY1392" s="326"/>
      <c r="AZ1392" s="326"/>
      <c r="BA1392" s="326"/>
      <c r="BB1392" s="327"/>
    </row>
    <row r="1393" spans="1:54" ht="15.75" customHeight="1" x14ac:dyDescent="0.25">
      <c r="A1393" s="11">
        <f t="shared" si="5"/>
        <v>1380</v>
      </c>
      <c r="B1393" s="504" t="str">
        <f>'refer admin discharge'!B1389</f>
        <v>x</v>
      </c>
      <c r="C1393" s="327"/>
      <c r="D1393" s="505" t="str">
        <f>'refer admin discharge'!D1389</f>
        <v>xx</v>
      </c>
      <c r="E1393" s="327"/>
      <c r="F1393" s="606" t="str">
        <f>'refer admin discharge'!H1389</f>
        <v>00/00/0000</v>
      </c>
      <c r="G1393" s="327"/>
      <c r="H1393" s="594"/>
      <c r="I1393" s="327"/>
      <c r="J1393" s="605"/>
      <c r="K1393" s="327"/>
      <c r="L1393" s="594"/>
      <c r="M1393" s="327"/>
      <c r="N1393" s="575"/>
      <c r="O1393" s="327"/>
      <c r="P1393" s="594"/>
      <c r="Q1393" s="327"/>
      <c r="R1393" s="575"/>
      <c r="S1393" s="327"/>
      <c r="T1393" s="594"/>
      <c r="U1393" s="327"/>
      <c r="V1393" s="595" t="str">
        <f>'refer admin discharge'!H1394</f>
        <v>00/00/0000</v>
      </c>
      <c r="W1393" s="327"/>
      <c r="X1393" s="577"/>
      <c r="Y1393" s="327"/>
      <c r="Z1393" s="604"/>
      <c r="AA1393" s="327"/>
      <c r="AB1393" s="577"/>
      <c r="AC1393" s="327"/>
      <c r="AD1393" s="576"/>
      <c r="AE1393" s="327"/>
      <c r="AF1393" s="577"/>
      <c r="AG1393" s="327"/>
      <c r="AH1393" s="576"/>
      <c r="AI1393" s="327"/>
      <c r="AJ1393" s="577"/>
      <c r="AK1393" s="327"/>
      <c r="AL1393" s="602"/>
      <c r="AM1393" s="326"/>
      <c r="AN1393" s="326"/>
      <c r="AO1393" s="326"/>
      <c r="AP1393" s="326"/>
      <c r="AQ1393" s="326"/>
      <c r="AR1393" s="326"/>
      <c r="AS1393" s="326"/>
      <c r="AT1393" s="326"/>
      <c r="AU1393" s="326"/>
      <c r="AV1393" s="326"/>
      <c r="AW1393" s="326"/>
      <c r="AX1393" s="326"/>
      <c r="AY1393" s="326"/>
      <c r="AZ1393" s="326"/>
      <c r="BA1393" s="326"/>
      <c r="BB1393" s="327"/>
    </row>
    <row r="1394" spans="1:54" ht="15.75" customHeight="1" x14ac:dyDescent="0.25">
      <c r="A1394" s="11">
        <f t="shared" si="5"/>
        <v>1381</v>
      </c>
      <c r="B1394" s="570" t="str">
        <f>'refer admin discharge'!B1390</f>
        <v>x</v>
      </c>
      <c r="C1394" s="327"/>
      <c r="D1394" s="599" t="str">
        <f>'refer admin discharge'!D1390</f>
        <v>xx</v>
      </c>
      <c r="E1394" s="327"/>
      <c r="F1394" s="600" t="str">
        <f>'refer admin discharge'!H1390</f>
        <v>00/00/0000</v>
      </c>
      <c r="G1394" s="327"/>
      <c r="H1394" s="574"/>
      <c r="I1394" s="327"/>
      <c r="J1394" s="601"/>
      <c r="K1394" s="327"/>
      <c r="L1394" s="574"/>
      <c r="M1394" s="327"/>
      <c r="N1394" s="594"/>
      <c r="O1394" s="327"/>
      <c r="P1394" s="574"/>
      <c r="Q1394" s="327"/>
      <c r="R1394" s="594"/>
      <c r="S1394" s="327"/>
      <c r="T1394" s="574"/>
      <c r="U1394" s="327"/>
      <c r="V1394" s="595" t="str">
        <f>'refer admin discharge'!H1395</f>
        <v>00/00/0000</v>
      </c>
      <c r="W1394" s="327"/>
      <c r="X1394" s="596"/>
      <c r="Y1394" s="327"/>
      <c r="Z1394" s="597"/>
      <c r="AA1394" s="327"/>
      <c r="AB1394" s="596"/>
      <c r="AC1394" s="327"/>
      <c r="AD1394" s="577"/>
      <c r="AE1394" s="327"/>
      <c r="AF1394" s="596"/>
      <c r="AG1394" s="327"/>
      <c r="AH1394" s="577"/>
      <c r="AI1394" s="327"/>
      <c r="AJ1394" s="596"/>
      <c r="AK1394" s="327"/>
      <c r="AL1394" s="598"/>
      <c r="AM1394" s="326"/>
      <c r="AN1394" s="326"/>
      <c r="AO1394" s="326"/>
      <c r="AP1394" s="326"/>
      <c r="AQ1394" s="326"/>
      <c r="AR1394" s="326"/>
      <c r="AS1394" s="326"/>
      <c r="AT1394" s="326"/>
      <c r="AU1394" s="326"/>
      <c r="AV1394" s="326"/>
      <c r="AW1394" s="326"/>
      <c r="AX1394" s="326"/>
      <c r="AY1394" s="326"/>
      <c r="AZ1394" s="326"/>
      <c r="BA1394" s="326"/>
      <c r="BB1394" s="327"/>
    </row>
    <row r="1395" spans="1:54" ht="15.75" customHeight="1" x14ac:dyDescent="0.25">
      <c r="A1395" s="11">
        <f t="shared" si="5"/>
        <v>1382</v>
      </c>
      <c r="B1395" s="504" t="str">
        <f>'refer admin discharge'!B1391</f>
        <v>x</v>
      </c>
      <c r="C1395" s="327"/>
      <c r="D1395" s="505" t="str">
        <f>'refer admin discharge'!D1391</f>
        <v>xx</v>
      </c>
      <c r="E1395" s="327"/>
      <c r="F1395" s="606" t="str">
        <f>'refer admin discharge'!H1391</f>
        <v>00/00/0000</v>
      </c>
      <c r="G1395" s="327"/>
      <c r="H1395" s="594"/>
      <c r="I1395" s="327"/>
      <c r="J1395" s="605"/>
      <c r="K1395" s="327"/>
      <c r="L1395" s="594"/>
      <c r="M1395" s="327"/>
      <c r="N1395" s="575"/>
      <c r="O1395" s="327"/>
      <c r="P1395" s="594"/>
      <c r="Q1395" s="327"/>
      <c r="R1395" s="575"/>
      <c r="S1395" s="327"/>
      <c r="T1395" s="594"/>
      <c r="U1395" s="327"/>
      <c r="V1395" s="595" t="str">
        <f>'refer admin discharge'!H1396</f>
        <v>00/00/0000</v>
      </c>
      <c r="W1395" s="327"/>
      <c r="X1395" s="577"/>
      <c r="Y1395" s="327"/>
      <c r="Z1395" s="604"/>
      <c r="AA1395" s="327"/>
      <c r="AB1395" s="577"/>
      <c r="AC1395" s="327"/>
      <c r="AD1395" s="576"/>
      <c r="AE1395" s="327"/>
      <c r="AF1395" s="577"/>
      <c r="AG1395" s="327"/>
      <c r="AH1395" s="576"/>
      <c r="AI1395" s="327"/>
      <c r="AJ1395" s="577"/>
      <c r="AK1395" s="327"/>
      <c r="AL1395" s="602"/>
      <c r="AM1395" s="326"/>
      <c r="AN1395" s="326"/>
      <c r="AO1395" s="326"/>
      <c r="AP1395" s="326"/>
      <c r="AQ1395" s="326"/>
      <c r="AR1395" s="326"/>
      <c r="AS1395" s="326"/>
      <c r="AT1395" s="326"/>
      <c r="AU1395" s="326"/>
      <c r="AV1395" s="326"/>
      <c r="AW1395" s="326"/>
      <c r="AX1395" s="326"/>
      <c r="AY1395" s="326"/>
      <c r="AZ1395" s="326"/>
      <c r="BA1395" s="326"/>
      <c r="BB1395" s="327"/>
    </row>
    <row r="1396" spans="1:54" ht="15.75" customHeight="1" x14ac:dyDescent="0.25">
      <c r="A1396" s="11">
        <f t="shared" si="5"/>
        <v>1383</v>
      </c>
      <c r="B1396" s="570" t="str">
        <f>'refer admin discharge'!B1392</f>
        <v>x</v>
      </c>
      <c r="C1396" s="327"/>
      <c r="D1396" s="599" t="str">
        <f>'refer admin discharge'!D1392</f>
        <v>xx</v>
      </c>
      <c r="E1396" s="327"/>
      <c r="F1396" s="600" t="str">
        <f>'refer admin discharge'!H1392</f>
        <v>00/00/0000</v>
      </c>
      <c r="G1396" s="327"/>
      <c r="H1396" s="574"/>
      <c r="I1396" s="327"/>
      <c r="J1396" s="601"/>
      <c r="K1396" s="327"/>
      <c r="L1396" s="574"/>
      <c r="M1396" s="327"/>
      <c r="N1396" s="594"/>
      <c r="O1396" s="327"/>
      <c r="P1396" s="574"/>
      <c r="Q1396" s="327"/>
      <c r="R1396" s="594"/>
      <c r="S1396" s="327"/>
      <c r="T1396" s="574"/>
      <c r="U1396" s="327"/>
      <c r="V1396" s="595" t="str">
        <f>'refer admin discharge'!H1397</f>
        <v>00/00/0000</v>
      </c>
      <c r="W1396" s="327"/>
      <c r="X1396" s="596"/>
      <c r="Y1396" s="327"/>
      <c r="Z1396" s="597"/>
      <c r="AA1396" s="327"/>
      <c r="AB1396" s="596"/>
      <c r="AC1396" s="327"/>
      <c r="AD1396" s="577"/>
      <c r="AE1396" s="327"/>
      <c r="AF1396" s="596"/>
      <c r="AG1396" s="327"/>
      <c r="AH1396" s="577"/>
      <c r="AI1396" s="327"/>
      <c r="AJ1396" s="596"/>
      <c r="AK1396" s="327"/>
      <c r="AL1396" s="598"/>
      <c r="AM1396" s="326"/>
      <c r="AN1396" s="326"/>
      <c r="AO1396" s="326"/>
      <c r="AP1396" s="326"/>
      <c r="AQ1396" s="326"/>
      <c r="AR1396" s="326"/>
      <c r="AS1396" s="326"/>
      <c r="AT1396" s="326"/>
      <c r="AU1396" s="326"/>
      <c r="AV1396" s="326"/>
      <c r="AW1396" s="326"/>
      <c r="AX1396" s="326"/>
      <c r="AY1396" s="326"/>
      <c r="AZ1396" s="326"/>
      <c r="BA1396" s="326"/>
      <c r="BB1396" s="327"/>
    </row>
    <row r="1397" spans="1:54" ht="15.75" customHeight="1" x14ac:dyDescent="0.25">
      <c r="A1397" s="11">
        <f t="shared" si="5"/>
        <v>1384</v>
      </c>
      <c r="B1397" s="504" t="str">
        <f>'refer admin discharge'!B1393</f>
        <v>x</v>
      </c>
      <c r="C1397" s="327"/>
      <c r="D1397" s="505" t="str">
        <f>'refer admin discharge'!D1393</f>
        <v>xx</v>
      </c>
      <c r="E1397" s="327"/>
      <c r="F1397" s="606" t="str">
        <f>'refer admin discharge'!H1393</f>
        <v>00/00/0000</v>
      </c>
      <c r="G1397" s="327"/>
      <c r="H1397" s="594"/>
      <c r="I1397" s="327"/>
      <c r="J1397" s="605"/>
      <c r="K1397" s="327"/>
      <c r="L1397" s="594"/>
      <c r="M1397" s="327"/>
      <c r="N1397" s="575"/>
      <c r="O1397" s="327"/>
      <c r="P1397" s="594"/>
      <c r="Q1397" s="327"/>
      <c r="R1397" s="575"/>
      <c r="S1397" s="327"/>
      <c r="T1397" s="594"/>
      <c r="U1397" s="327"/>
      <c r="V1397" s="595" t="str">
        <f>'refer admin discharge'!H1398</f>
        <v>00/00/0000</v>
      </c>
      <c r="W1397" s="327"/>
      <c r="X1397" s="577"/>
      <c r="Y1397" s="327"/>
      <c r="Z1397" s="604"/>
      <c r="AA1397" s="327"/>
      <c r="AB1397" s="577"/>
      <c r="AC1397" s="327"/>
      <c r="AD1397" s="576"/>
      <c r="AE1397" s="327"/>
      <c r="AF1397" s="577"/>
      <c r="AG1397" s="327"/>
      <c r="AH1397" s="576"/>
      <c r="AI1397" s="327"/>
      <c r="AJ1397" s="577"/>
      <c r="AK1397" s="327"/>
      <c r="AL1397" s="602"/>
      <c r="AM1397" s="326"/>
      <c r="AN1397" s="326"/>
      <c r="AO1397" s="326"/>
      <c r="AP1397" s="326"/>
      <c r="AQ1397" s="326"/>
      <c r="AR1397" s="326"/>
      <c r="AS1397" s="326"/>
      <c r="AT1397" s="326"/>
      <c r="AU1397" s="326"/>
      <c r="AV1397" s="326"/>
      <c r="AW1397" s="326"/>
      <c r="AX1397" s="326"/>
      <c r="AY1397" s="326"/>
      <c r="AZ1397" s="326"/>
      <c r="BA1397" s="326"/>
      <c r="BB1397" s="327"/>
    </row>
    <row r="1398" spans="1:54" ht="15.75" customHeight="1" x14ac:dyDescent="0.25">
      <c r="A1398" s="11">
        <f t="shared" si="5"/>
        <v>1385</v>
      </c>
      <c r="B1398" s="570" t="str">
        <f>'refer admin discharge'!B1394</f>
        <v>x</v>
      </c>
      <c r="C1398" s="327"/>
      <c r="D1398" s="599" t="str">
        <f>'refer admin discharge'!D1394</f>
        <v>xx</v>
      </c>
      <c r="E1398" s="327"/>
      <c r="F1398" s="600" t="str">
        <f>'refer admin discharge'!H1394</f>
        <v>00/00/0000</v>
      </c>
      <c r="G1398" s="327"/>
      <c r="H1398" s="574"/>
      <c r="I1398" s="327"/>
      <c r="J1398" s="601"/>
      <c r="K1398" s="327"/>
      <c r="L1398" s="574"/>
      <c r="M1398" s="327"/>
      <c r="N1398" s="594"/>
      <c r="O1398" s="327"/>
      <c r="P1398" s="574"/>
      <c r="Q1398" s="327"/>
      <c r="R1398" s="594"/>
      <c r="S1398" s="327"/>
      <c r="T1398" s="574"/>
      <c r="U1398" s="327"/>
      <c r="V1398" s="595" t="str">
        <f>'refer admin discharge'!H1399</f>
        <v>00/00/0000</v>
      </c>
      <c r="W1398" s="327"/>
      <c r="X1398" s="596"/>
      <c r="Y1398" s="327"/>
      <c r="Z1398" s="597"/>
      <c r="AA1398" s="327"/>
      <c r="AB1398" s="596"/>
      <c r="AC1398" s="327"/>
      <c r="AD1398" s="577"/>
      <c r="AE1398" s="327"/>
      <c r="AF1398" s="596"/>
      <c r="AG1398" s="327"/>
      <c r="AH1398" s="577"/>
      <c r="AI1398" s="327"/>
      <c r="AJ1398" s="596"/>
      <c r="AK1398" s="327"/>
      <c r="AL1398" s="598"/>
      <c r="AM1398" s="326"/>
      <c r="AN1398" s="326"/>
      <c r="AO1398" s="326"/>
      <c r="AP1398" s="326"/>
      <c r="AQ1398" s="326"/>
      <c r="AR1398" s="326"/>
      <c r="AS1398" s="326"/>
      <c r="AT1398" s="326"/>
      <c r="AU1398" s="326"/>
      <c r="AV1398" s="326"/>
      <c r="AW1398" s="326"/>
      <c r="AX1398" s="326"/>
      <c r="AY1398" s="326"/>
      <c r="AZ1398" s="326"/>
      <c r="BA1398" s="326"/>
      <c r="BB1398" s="327"/>
    </row>
    <row r="1399" spans="1:54" ht="15.75" customHeight="1" x14ac:dyDescent="0.25">
      <c r="A1399" s="11">
        <f t="shared" si="5"/>
        <v>1386</v>
      </c>
      <c r="B1399" s="504" t="str">
        <f>'refer admin discharge'!B1395</f>
        <v>x</v>
      </c>
      <c r="C1399" s="327"/>
      <c r="D1399" s="505" t="str">
        <f>'refer admin discharge'!D1395</f>
        <v>xx</v>
      </c>
      <c r="E1399" s="327"/>
      <c r="F1399" s="606" t="str">
        <f>'refer admin discharge'!H1395</f>
        <v>00/00/0000</v>
      </c>
      <c r="G1399" s="327"/>
      <c r="H1399" s="594"/>
      <c r="I1399" s="327"/>
      <c r="J1399" s="605"/>
      <c r="K1399" s="327"/>
      <c r="L1399" s="594"/>
      <c r="M1399" s="327"/>
      <c r="N1399" s="575"/>
      <c r="O1399" s="327"/>
      <c r="P1399" s="594"/>
      <c r="Q1399" s="327"/>
      <c r="R1399" s="575"/>
      <c r="S1399" s="327"/>
      <c r="T1399" s="594"/>
      <c r="U1399" s="327"/>
      <c r="V1399" s="595" t="str">
        <f>'refer admin discharge'!H1400</f>
        <v>00/00/0000</v>
      </c>
      <c r="W1399" s="327"/>
      <c r="X1399" s="577"/>
      <c r="Y1399" s="327"/>
      <c r="Z1399" s="604"/>
      <c r="AA1399" s="327"/>
      <c r="AB1399" s="577"/>
      <c r="AC1399" s="327"/>
      <c r="AD1399" s="576"/>
      <c r="AE1399" s="327"/>
      <c r="AF1399" s="577"/>
      <c r="AG1399" s="327"/>
      <c r="AH1399" s="576"/>
      <c r="AI1399" s="327"/>
      <c r="AJ1399" s="577"/>
      <c r="AK1399" s="327"/>
      <c r="AL1399" s="602"/>
      <c r="AM1399" s="326"/>
      <c r="AN1399" s="326"/>
      <c r="AO1399" s="326"/>
      <c r="AP1399" s="326"/>
      <c r="AQ1399" s="326"/>
      <c r="AR1399" s="326"/>
      <c r="AS1399" s="326"/>
      <c r="AT1399" s="326"/>
      <c r="AU1399" s="326"/>
      <c r="AV1399" s="326"/>
      <c r="AW1399" s="326"/>
      <c r="AX1399" s="326"/>
      <c r="AY1399" s="326"/>
      <c r="AZ1399" s="326"/>
      <c r="BA1399" s="326"/>
      <c r="BB1399" s="327"/>
    </row>
    <row r="1400" spans="1:54" ht="15.75" customHeight="1" x14ac:dyDescent="0.25">
      <c r="A1400" s="11">
        <f t="shared" si="5"/>
        <v>1387</v>
      </c>
      <c r="B1400" s="570" t="str">
        <f>'refer admin discharge'!B1396</f>
        <v>x</v>
      </c>
      <c r="C1400" s="327"/>
      <c r="D1400" s="599" t="str">
        <f>'refer admin discharge'!D1396</f>
        <v>xx</v>
      </c>
      <c r="E1400" s="327"/>
      <c r="F1400" s="600" t="str">
        <f>'refer admin discharge'!H1396</f>
        <v>00/00/0000</v>
      </c>
      <c r="G1400" s="327"/>
      <c r="H1400" s="574"/>
      <c r="I1400" s="327"/>
      <c r="J1400" s="601"/>
      <c r="K1400" s="327"/>
      <c r="L1400" s="574"/>
      <c r="M1400" s="327"/>
      <c r="N1400" s="594"/>
      <c r="O1400" s="327"/>
      <c r="P1400" s="574"/>
      <c r="Q1400" s="327"/>
      <c r="R1400" s="594"/>
      <c r="S1400" s="327"/>
      <c r="T1400" s="574"/>
      <c r="U1400" s="327"/>
      <c r="V1400" s="595" t="str">
        <f>'refer admin discharge'!H1401</f>
        <v>00/00/0000</v>
      </c>
      <c r="W1400" s="327"/>
      <c r="X1400" s="596"/>
      <c r="Y1400" s="327"/>
      <c r="Z1400" s="597"/>
      <c r="AA1400" s="327"/>
      <c r="AB1400" s="596"/>
      <c r="AC1400" s="327"/>
      <c r="AD1400" s="577"/>
      <c r="AE1400" s="327"/>
      <c r="AF1400" s="596"/>
      <c r="AG1400" s="327"/>
      <c r="AH1400" s="577"/>
      <c r="AI1400" s="327"/>
      <c r="AJ1400" s="596"/>
      <c r="AK1400" s="327"/>
      <c r="AL1400" s="598"/>
      <c r="AM1400" s="326"/>
      <c r="AN1400" s="326"/>
      <c r="AO1400" s="326"/>
      <c r="AP1400" s="326"/>
      <c r="AQ1400" s="326"/>
      <c r="AR1400" s="326"/>
      <c r="AS1400" s="326"/>
      <c r="AT1400" s="326"/>
      <c r="AU1400" s="326"/>
      <c r="AV1400" s="326"/>
      <c r="AW1400" s="326"/>
      <c r="AX1400" s="326"/>
      <c r="AY1400" s="326"/>
      <c r="AZ1400" s="326"/>
      <c r="BA1400" s="326"/>
      <c r="BB1400" s="327"/>
    </row>
    <row r="1401" spans="1:54" ht="15.75" customHeight="1" x14ac:dyDescent="0.25">
      <c r="A1401" s="11">
        <f t="shared" si="5"/>
        <v>1388</v>
      </c>
      <c r="B1401" s="504" t="str">
        <f>'refer admin discharge'!B1397</f>
        <v>x</v>
      </c>
      <c r="C1401" s="327"/>
      <c r="D1401" s="505" t="str">
        <f>'refer admin discharge'!D1397</f>
        <v>xx</v>
      </c>
      <c r="E1401" s="327"/>
      <c r="F1401" s="606" t="str">
        <f>'refer admin discharge'!H1397</f>
        <v>00/00/0000</v>
      </c>
      <c r="G1401" s="327"/>
      <c r="H1401" s="594"/>
      <c r="I1401" s="327"/>
      <c r="J1401" s="605"/>
      <c r="K1401" s="327"/>
      <c r="L1401" s="594"/>
      <c r="M1401" s="327"/>
      <c r="N1401" s="575"/>
      <c r="O1401" s="327"/>
      <c r="P1401" s="594"/>
      <c r="Q1401" s="327"/>
      <c r="R1401" s="575"/>
      <c r="S1401" s="327"/>
      <c r="T1401" s="594"/>
      <c r="U1401" s="327"/>
      <c r="V1401" s="595" t="str">
        <f>'refer admin discharge'!H1402</f>
        <v>00/00/0000</v>
      </c>
      <c r="W1401" s="327"/>
      <c r="X1401" s="577"/>
      <c r="Y1401" s="327"/>
      <c r="Z1401" s="604"/>
      <c r="AA1401" s="327"/>
      <c r="AB1401" s="577"/>
      <c r="AC1401" s="327"/>
      <c r="AD1401" s="576"/>
      <c r="AE1401" s="327"/>
      <c r="AF1401" s="577"/>
      <c r="AG1401" s="327"/>
      <c r="AH1401" s="576"/>
      <c r="AI1401" s="327"/>
      <c r="AJ1401" s="577"/>
      <c r="AK1401" s="327"/>
      <c r="AL1401" s="602"/>
      <c r="AM1401" s="326"/>
      <c r="AN1401" s="326"/>
      <c r="AO1401" s="326"/>
      <c r="AP1401" s="326"/>
      <c r="AQ1401" s="326"/>
      <c r="AR1401" s="326"/>
      <c r="AS1401" s="326"/>
      <c r="AT1401" s="326"/>
      <c r="AU1401" s="326"/>
      <c r="AV1401" s="326"/>
      <c r="AW1401" s="326"/>
      <c r="AX1401" s="326"/>
      <c r="AY1401" s="326"/>
      <c r="AZ1401" s="326"/>
      <c r="BA1401" s="326"/>
      <c r="BB1401" s="327"/>
    </row>
    <row r="1402" spans="1:54" ht="15.75" customHeight="1" x14ac:dyDescent="0.25">
      <c r="A1402" s="11">
        <f t="shared" si="5"/>
        <v>1389</v>
      </c>
      <c r="B1402" s="570" t="str">
        <f>'refer admin discharge'!B1398</f>
        <v>x</v>
      </c>
      <c r="C1402" s="327"/>
      <c r="D1402" s="599" t="str">
        <f>'refer admin discharge'!D1398</f>
        <v>xx</v>
      </c>
      <c r="E1402" s="327"/>
      <c r="F1402" s="600" t="str">
        <f>'refer admin discharge'!H1398</f>
        <v>00/00/0000</v>
      </c>
      <c r="G1402" s="327"/>
      <c r="H1402" s="574"/>
      <c r="I1402" s="327"/>
      <c r="J1402" s="601"/>
      <c r="K1402" s="327"/>
      <c r="L1402" s="574"/>
      <c r="M1402" s="327"/>
      <c r="N1402" s="594"/>
      <c r="O1402" s="327"/>
      <c r="P1402" s="574"/>
      <c r="Q1402" s="327"/>
      <c r="R1402" s="594"/>
      <c r="S1402" s="327"/>
      <c r="T1402" s="574"/>
      <c r="U1402" s="327"/>
      <c r="V1402" s="595" t="str">
        <f>'refer admin discharge'!H1403</f>
        <v>00/00/0000</v>
      </c>
      <c r="W1402" s="327"/>
      <c r="X1402" s="596"/>
      <c r="Y1402" s="327"/>
      <c r="Z1402" s="597"/>
      <c r="AA1402" s="327"/>
      <c r="AB1402" s="596"/>
      <c r="AC1402" s="327"/>
      <c r="AD1402" s="577"/>
      <c r="AE1402" s="327"/>
      <c r="AF1402" s="596"/>
      <c r="AG1402" s="327"/>
      <c r="AH1402" s="577"/>
      <c r="AI1402" s="327"/>
      <c r="AJ1402" s="596"/>
      <c r="AK1402" s="327"/>
      <c r="AL1402" s="598"/>
      <c r="AM1402" s="326"/>
      <c r="AN1402" s="326"/>
      <c r="AO1402" s="326"/>
      <c r="AP1402" s="326"/>
      <c r="AQ1402" s="326"/>
      <c r="AR1402" s="326"/>
      <c r="AS1402" s="326"/>
      <c r="AT1402" s="326"/>
      <c r="AU1402" s="326"/>
      <c r="AV1402" s="326"/>
      <c r="AW1402" s="326"/>
      <c r="AX1402" s="326"/>
      <c r="AY1402" s="326"/>
      <c r="AZ1402" s="326"/>
      <c r="BA1402" s="326"/>
      <c r="BB1402" s="327"/>
    </row>
    <row r="1403" spans="1:54" ht="15.75" customHeight="1" x14ac:dyDescent="0.25">
      <c r="A1403" s="11">
        <f t="shared" si="5"/>
        <v>1390</v>
      </c>
      <c r="B1403" s="504" t="str">
        <f>'refer admin discharge'!B1399</f>
        <v>x</v>
      </c>
      <c r="C1403" s="327"/>
      <c r="D1403" s="505" t="str">
        <f>'refer admin discharge'!D1399</f>
        <v>xx</v>
      </c>
      <c r="E1403" s="327"/>
      <c r="F1403" s="606" t="str">
        <f>'refer admin discharge'!H1399</f>
        <v>00/00/0000</v>
      </c>
      <c r="G1403" s="327"/>
      <c r="H1403" s="594"/>
      <c r="I1403" s="327"/>
      <c r="J1403" s="605"/>
      <c r="K1403" s="327"/>
      <c r="L1403" s="594"/>
      <c r="M1403" s="327"/>
      <c r="N1403" s="575"/>
      <c r="O1403" s="327"/>
      <c r="P1403" s="594"/>
      <c r="Q1403" s="327"/>
      <c r="R1403" s="575"/>
      <c r="S1403" s="327"/>
      <c r="T1403" s="594"/>
      <c r="U1403" s="327"/>
      <c r="V1403" s="595" t="str">
        <f>'refer admin discharge'!H1404</f>
        <v>00/00/0000</v>
      </c>
      <c r="W1403" s="327"/>
      <c r="X1403" s="577"/>
      <c r="Y1403" s="327"/>
      <c r="Z1403" s="604"/>
      <c r="AA1403" s="327"/>
      <c r="AB1403" s="577"/>
      <c r="AC1403" s="327"/>
      <c r="AD1403" s="576"/>
      <c r="AE1403" s="327"/>
      <c r="AF1403" s="577"/>
      <c r="AG1403" s="327"/>
      <c r="AH1403" s="576"/>
      <c r="AI1403" s="327"/>
      <c r="AJ1403" s="577"/>
      <c r="AK1403" s="327"/>
      <c r="AL1403" s="602"/>
      <c r="AM1403" s="326"/>
      <c r="AN1403" s="326"/>
      <c r="AO1403" s="326"/>
      <c r="AP1403" s="326"/>
      <c r="AQ1403" s="326"/>
      <c r="AR1403" s="326"/>
      <c r="AS1403" s="326"/>
      <c r="AT1403" s="326"/>
      <c r="AU1403" s="326"/>
      <c r="AV1403" s="326"/>
      <c r="AW1403" s="326"/>
      <c r="AX1403" s="326"/>
      <c r="AY1403" s="326"/>
      <c r="AZ1403" s="326"/>
      <c r="BA1403" s="326"/>
      <c r="BB1403" s="327"/>
    </row>
    <row r="1404" spans="1:54" ht="15.75" customHeight="1" x14ac:dyDescent="0.25">
      <c r="A1404" s="11">
        <f t="shared" si="5"/>
        <v>1391</v>
      </c>
      <c r="B1404" s="570" t="str">
        <f>'refer admin discharge'!B1400</f>
        <v>x</v>
      </c>
      <c r="C1404" s="327"/>
      <c r="D1404" s="599" t="str">
        <f>'refer admin discharge'!D1400</f>
        <v>xx</v>
      </c>
      <c r="E1404" s="327"/>
      <c r="F1404" s="600" t="str">
        <f>'refer admin discharge'!H1400</f>
        <v>00/00/0000</v>
      </c>
      <c r="G1404" s="327"/>
      <c r="H1404" s="574"/>
      <c r="I1404" s="327"/>
      <c r="J1404" s="601"/>
      <c r="K1404" s="327"/>
      <c r="L1404" s="574"/>
      <c r="M1404" s="327"/>
      <c r="N1404" s="594"/>
      <c r="O1404" s="327"/>
      <c r="P1404" s="574"/>
      <c r="Q1404" s="327"/>
      <c r="R1404" s="594"/>
      <c r="S1404" s="327"/>
      <c r="T1404" s="574"/>
      <c r="U1404" s="327"/>
      <c r="V1404" s="595" t="str">
        <f>'refer admin discharge'!H1405</f>
        <v>00/00/0000</v>
      </c>
      <c r="W1404" s="327"/>
      <c r="X1404" s="596"/>
      <c r="Y1404" s="327"/>
      <c r="Z1404" s="597"/>
      <c r="AA1404" s="327"/>
      <c r="AB1404" s="596"/>
      <c r="AC1404" s="327"/>
      <c r="AD1404" s="577"/>
      <c r="AE1404" s="327"/>
      <c r="AF1404" s="596"/>
      <c r="AG1404" s="327"/>
      <c r="AH1404" s="577"/>
      <c r="AI1404" s="327"/>
      <c r="AJ1404" s="596"/>
      <c r="AK1404" s="327"/>
      <c r="AL1404" s="598"/>
      <c r="AM1404" s="326"/>
      <c r="AN1404" s="326"/>
      <c r="AO1404" s="326"/>
      <c r="AP1404" s="326"/>
      <c r="AQ1404" s="326"/>
      <c r="AR1404" s="326"/>
      <c r="AS1404" s="326"/>
      <c r="AT1404" s="326"/>
      <c r="AU1404" s="326"/>
      <c r="AV1404" s="326"/>
      <c r="AW1404" s="326"/>
      <c r="AX1404" s="326"/>
      <c r="AY1404" s="326"/>
      <c r="AZ1404" s="326"/>
      <c r="BA1404" s="326"/>
      <c r="BB1404" s="327"/>
    </row>
    <row r="1405" spans="1:54" ht="15.75" customHeight="1" x14ac:dyDescent="0.25">
      <c r="A1405" s="11">
        <f t="shared" si="5"/>
        <v>1392</v>
      </c>
      <c r="B1405" s="504" t="str">
        <f>'refer admin discharge'!B1401</f>
        <v>x</v>
      </c>
      <c r="C1405" s="327"/>
      <c r="D1405" s="505" t="str">
        <f>'refer admin discharge'!D1401</f>
        <v>xx</v>
      </c>
      <c r="E1405" s="327"/>
      <c r="F1405" s="606" t="str">
        <f>'refer admin discharge'!H1401</f>
        <v>00/00/0000</v>
      </c>
      <c r="G1405" s="327"/>
      <c r="H1405" s="594"/>
      <c r="I1405" s="327"/>
      <c r="J1405" s="605"/>
      <c r="K1405" s="327"/>
      <c r="L1405" s="594"/>
      <c r="M1405" s="327"/>
      <c r="N1405" s="575"/>
      <c r="O1405" s="327"/>
      <c r="P1405" s="594"/>
      <c r="Q1405" s="327"/>
      <c r="R1405" s="575"/>
      <c r="S1405" s="327"/>
      <c r="T1405" s="594"/>
      <c r="U1405" s="327"/>
      <c r="V1405" s="595" t="str">
        <f>'refer admin discharge'!H1406</f>
        <v>00/00/0000</v>
      </c>
      <c r="W1405" s="327"/>
      <c r="X1405" s="577"/>
      <c r="Y1405" s="327"/>
      <c r="Z1405" s="604"/>
      <c r="AA1405" s="327"/>
      <c r="AB1405" s="577"/>
      <c r="AC1405" s="327"/>
      <c r="AD1405" s="576"/>
      <c r="AE1405" s="327"/>
      <c r="AF1405" s="577"/>
      <c r="AG1405" s="327"/>
      <c r="AH1405" s="576"/>
      <c r="AI1405" s="327"/>
      <c r="AJ1405" s="577"/>
      <c r="AK1405" s="327"/>
      <c r="AL1405" s="602"/>
      <c r="AM1405" s="326"/>
      <c r="AN1405" s="326"/>
      <c r="AO1405" s="326"/>
      <c r="AP1405" s="326"/>
      <c r="AQ1405" s="326"/>
      <c r="AR1405" s="326"/>
      <c r="AS1405" s="326"/>
      <c r="AT1405" s="326"/>
      <c r="AU1405" s="326"/>
      <c r="AV1405" s="326"/>
      <c r="AW1405" s="326"/>
      <c r="AX1405" s="326"/>
      <c r="AY1405" s="326"/>
      <c r="AZ1405" s="326"/>
      <c r="BA1405" s="326"/>
      <c r="BB1405" s="327"/>
    </row>
    <row r="1406" spans="1:54" ht="15.75" customHeight="1" x14ac:dyDescent="0.25">
      <c r="A1406" s="11">
        <f t="shared" si="5"/>
        <v>1393</v>
      </c>
      <c r="B1406" s="570" t="str">
        <f>'refer admin discharge'!B1402</f>
        <v>x</v>
      </c>
      <c r="C1406" s="327"/>
      <c r="D1406" s="599" t="str">
        <f>'refer admin discharge'!D1402</f>
        <v>xx</v>
      </c>
      <c r="E1406" s="327"/>
      <c r="F1406" s="600" t="str">
        <f>'refer admin discharge'!H1402</f>
        <v>00/00/0000</v>
      </c>
      <c r="G1406" s="327"/>
      <c r="H1406" s="574"/>
      <c r="I1406" s="327"/>
      <c r="J1406" s="601"/>
      <c r="K1406" s="327"/>
      <c r="L1406" s="574"/>
      <c r="M1406" s="327"/>
      <c r="N1406" s="594"/>
      <c r="O1406" s="327"/>
      <c r="P1406" s="574"/>
      <c r="Q1406" s="327"/>
      <c r="R1406" s="594"/>
      <c r="S1406" s="327"/>
      <c r="T1406" s="574"/>
      <c r="U1406" s="327"/>
      <c r="V1406" s="595" t="str">
        <f>'refer admin discharge'!H1407</f>
        <v>00/00/0000</v>
      </c>
      <c r="W1406" s="327"/>
      <c r="X1406" s="596"/>
      <c r="Y1406" s="327"/>
      <c r="Z1406" s="597"/>
      <c r="AA1406" s="327"/>
      <c r="AB1406" s="596"/>
      <c r="AC1406" s="327"/>
      <c r="AD1406" s="577"/>
      <c r="AE1406" s="327"/>
      <c r="AF1406" s="596"/>
      <c r="AG1406" s="327"/>
      <c r="AH1406" s="577"/>
      <c r="AI1406" s="327"/>
      <c r="AJ1406" s="596"/>
      <c r="AK1406" s="327"/>
      <c r="AL1406" s="598"/>
      <c r="AM1406" s="326"/>
      <c r="AN1406" s="326"/>
      <c r="AO1406" s="326"/>
      <c r="AP1406" s="326"/>
      <c r="AQ1406" s="326"/>
      <c r="AR1406" s="326"/>
      <c r="AS1406" s="326"/>
      <c r="AT1406" s="326"/>
      <c r="AU1406" s="326"/>
      <c r="AV1406" s="326"/>
      <c r="AW1406" s="326"/>
      <c r="AX1406" s="326"/>
      <c r="AY1406" s="326"/>
      <c r="AZ1406" s="326"/>
      <c r="BA1406" s="326"/>
      <c r="BB1406" s="327"/>
    </row>
    <row r="1407" spans="1:54" ht="15.75" customHeight="1" x14ac:dyDescent="0.25">
      <c r="A1407" s="11">
        <f t="shared" si="5"/>
        <v>1394</v>
      </c>
      <c r="B1407" s="504" t="str">
        <f>'refer admin discharge'!B1403</f>
        <v>x</v>
      </c>
      <c r="C1407" s="327"/>
      <c r="D1407" s="505" t="str">
        <f>'refer admin discharge'!D1403</f>
        <v>xx</v>
      </c>
      <c r="E1407" s="327"/>
      <c r="F1407" s="606" t="str">
        <f>'refer admin discharge'!H1403</f>
        <v>00/00/0000</v>
      </c>
      <c r="G1407" s="327"/>
      <c r="H1407" s="594"/>
      <c r="I1407" s="327"/>
      <c r="J1407" s="605"/>
      <c r="K1407" s="327"/>
      <c r="L1407" s="594"/>
      <c r="M1407" s="327"/>
      <c r="N1407" s="575"/>
      <c r="O1407" s="327"/>
      <c r="P1407" s="594"/>
      <c r="Q1407" s="327"/>
      <c r="R1407" s="575"/>
      <c r="S1407" s="327"/>
      <c r="T1407" s="594"/>
      <c r="U1407" s="327"/>
      <c r="V1407" s="595" t="str">
        <f>'refer admin discharge'!H1408</f>
        <v>00/00/0000</v>
      </c>
      <c r="W1407" s="327"/>
      <c r="X1407" s="577"/>
      <c r="Y1407" s="327"/>
      <c r="Z1407" s="604"/>
      <c r="AA1407" s="327"/>
      <c r="AB1407" s="577"/>
      <c r="AC1407" s="327"/>
      <c r="AD1407" s="576"/>
      <c r="AE1407" s="327"/>
      <c r="AF1407" s="577"/>
      <c r="AG1407" s="327"/>
      <c r="AH1407" s="576"/>
      <c r="AI1407" s="327"/>
      <c r="AJ1407" s="577"/>
      <c r="AK1407" s="327"/>
      <c r="AL1407" s="602"/>
      <c r="AM1407" s="326"/>
      <c r="AN1407" s="326"/>
      <c r="AO1407" s="326"/>
      <c r="AP1407" s="326"/>
      <c r="AQ1407" s="326"/>
      <c r="AR1407" s="326"/>
      <c r="AS1407" s="326"/>
      <c r="AT1407" s="326"/>
      <c r="AU1407" s="326"/>
      <c r="AV1407" s="326"/>
      <c r="AW1407" s="326"/>
      <c r="AX1407" s="326"/>
      <c r="AY1407" s="326"/>
      <c r="AZ1407" s="326"/>
      <c r="BA1407" s="326"/>
      <c r="BB1407" s="327"/>
    </row>
    <row r="1408" spans="1:54" ht="15.75" customHeight="1" x14ac:dyDescent="0.25">
      <c r="A1408" s="11">
        <f t="shared" si="5"/>
        <v>1395</v>
      </c>
      <c r="B1408" s="570" t="str">
        <f>'refer admin discharge'!B1404</f>
        <v>x</v>
      </c>
      <c r="C1408" s="327"/>
      <c r="D1408" s="599" t="str">
        <f>'refer admin discharge'!D1404</f>
        <v>xx</v>
      </c>
      <c r="E1408" s="327"/>
      <c r="F1408" s="600" t="str">
        <f>'refer admin discharge'!H1404</f>
        <v>00/00/0000</v>
      </c>
      <c r="G1408" s="327"/>
      <c r="H1408" s="574"/>
      <c r="I1408" s="327"/>
      <c r="J1408" s="601"/>
      <c r="K1408" s="327"/>
      <c r="L1408" s="574"/>
      <c r="M1408" s="327"/>
      <c r="N1408" s="594"/>
      <c r="O1408" s="327"/>
      <c r="P1408" s="574"/>
      <c r="Q1408" s="327"/>
      <c r="R1408" s="594"/>
      <c r="S1408" s="327"/>
      <c r="T1408" s="574"/>
      <c r="U1408" s="327"/>
      <c r="V1408" s="595" t="str">
        <f>'refer admin discharge'!H1409</f>
        <v>00/00/0000</v>
      </c>
      <c r="W1408" s="327"/>
      <c r="X1408" s="596"/>
      <c r="Y1408" s="327"/>
      <c r="Z1408" s="597"/>
      <c r="AA1408" s="327"/>
      <c r="AB1408" s="596"/>
      <c r="AC1408" s="327"/>
      <c r="AD1408" s="577"/>
      <c r="AE1408" s="327"/>
      <c r="AF1408" s="596"/>
      <c r="AG1408" s="327"/>
      <c r="AH1408" s="577"/>
      <c r="AI1408" s="327"/>
      <c r="AJ1408" s="596"/>
      <c r="AK1408" s="327"/>
      <c r="AL1408" s="598"/>
      <c r="AM1408" s="326"/>
      <c r="AN1408" s="326"/>
      <c r="AO1408" s="326"/>
      <c r="AP1408" s="326"/>
      <c r="AQ1408" s="326"/>
      <c r="AR1408" s="326"/>
      <c r="AS1408" s="326"/>
      <c r="AT1408" s="326"/>
      <c r="AU1408" s="326"/>
      <c r="AV1408" s="326"/>
      <c r="AW1408" s="326"/>
      <c r="AX1408" s="326"/>
      <c r="AY1408" s="326"/>
      <c r="AZ1408" s="326"/>
      <c r="BA1408" s="326"/>
      <c r="BB1408" s="327"/>
    </row>
    <row r="1409" spans="1:54" ht="15.75" customHeight="1" x14ac:dyDescent="0.25">
      <c r="A1409" s="11">
        <f t="shared" si="5"/>
        <v>1396</v>
      </c>
      <c r="B1409" s="504" t="str">
        <f>'refer admin discharge'!B1405</f>
        <v>x</v>
      </c>
      <c r="C1409" s="327"/>
      <c r="D1409" s="505" t="str">
        <f>'refer admin discharge'!D1405</f>
        <v>xx</v>
      </c>
      <c r="E1409" s="327"/>
      <c r="F1409" s="606" t="str">
        <f>'refer admin discharge'!H1405</f>
        <v>00/00/0000</v>
      </c>
      <c r="G1409" s="327"/>
      <c r="H1409" s="594"/>
      <c r="I1409" s="327"/>
      <c r="J1409" s="605"/>
      <c r="K1409" s="327"/>
      <c r="L1409" s="594"/>
      <c r="M1409" s="327"/>
      <c r="N1409" s="575"/>
      <c r="O1409" s="327"/>
      <c r="P1409" s="594"/>
      <c r="Q1409" s="327"/>
      <c r="R1409" s="575"/>
      <c r="S1409" s="327"/>
      <c r="T1409" s="594"/>
      <c r="U1409" s="327"/>
      <c r="V1409" s="595" t="str">
        <f>'refer admin discharge'!H1410</f>
        <v>00/00/0000</v>
      </c>
      <c r="W1409" s="327"/>
      <c r="X1409" s="577"/>
      <c r="Y1409" s="327"/>
      <c r="Z1409" s="604"/>
      <c r="AA1409" s="327"/>
      <c r="AB1409" s="577"/>
      <c r="AC1409" s="327"/>
      <c r="AD1409" s="576"/>
      <c r="AE1409" s="327"/>
      <c r="AF1409" s="577"/>
      <c r="AG1409" s="327"/>
      <c r="AH1409" s="576"/>
      <c r="AI1409" s="327"/>
      <c r="AJ1409" s="577"/>
      <c r="AK1409" s="327"/>
      <c r="AL1409" s="602"/>
      <c r="AM1409" s="326"/>
      <c r="AN1409" s="326"/>
      <c r="AO1409" s="326"/>
      <c r="AP1409" s="326"/>
      <c r="AQ1409" s="326"/>
      <c r="AR1409" s="326"/>
      <c r="AS1409" s="326"/>
      <c r="AT1409" s="326"/>
      <c r="AU1409" s="326"/>
      <c r="AV1409" s="326"/>
      <c r="AW1409" s="326"/>
      <c r="AX1409" s="326"/>
      <c r="AY1409" s="326"/>
      <c r="AZ1409" s="326"/>
      <c r="BA1409" s="326"/>
      <c r="BB1409" s="327"/>
    </row>
    <row r="1410" spans="1:54" ht="15.75" customHeight="1" x14ac:dyDescent="0.25">
      <c r="A1410" s="11">
        <f t="shared" si="5"/>
        <v>1397</v>
      </c>
      <c r="B1410" s="570" t="str">
        <f>'refer admin discharge'!B1406</f>
        <v>x</v>
      </c>
      <c r="C1410" s="327"/>
      <c r="D1410" s="599" t="str">
        <f>'refer admin discharge'!D1406</f>
        <v>xx</v>
      </c>
      <c r="E1410" s="327"/>
      <c r="F1410" s="600" t="str">
        <f>'refer admin discharge'!H1406</f>
        <v>00/00/0000</v>
      </c>
      <c r="G1410" s="327"/>
      <c r="H1410" s="574"/>
      <c r="I1410" s="327"/>
      <c r="J1410" s="601"/>
      <c r="K1410" s="327"/>
      <c r="L1410" s="574"/>
      <c r="M1410" s="327"/>
      <c r="N1410" s="594"/>
      <c r="O1410" s="327"/>
      <c r="P1410" s="574"/>
      <c r="Q1410" s="327"/>
      <c r="R1410" s="594"/>
      <c r="S1410" s="327"/>
      <c r="T1410" s="574"/>
      <c r="U1410" s="327"/>
      <c r="V1410" s="595" t="str">
        <f>'refer admin discharge'!H1411</f>
        <v>00/00/0000</v>
      </c>
      <c r="W1410" s="327"/>
      <c r="X1410" s="596"/>
      <c r="Y1410" s="327"/>
      <c r="Z1410" s="597"/>
      <c r="AA1410" s="327"/>
      <c r="AB1410" s="596"/>
      <c r="AC1410" s="327"/>
      <c r="AD1410" s="577"/>
      <c r="AE1410" s="327"/>
      <c r="AF1410" s="596"/>
      <c r="AG1410" s="327"/>
      <c r="AH1410" s="577"/>
      <c r="AI1410" s="327"/>
      <c r="AJ1410" s="596"/>
      <c r="AK1410" s="327"/>
      <c r="AL1410" s="598"/>
      <c r="AM1410" s="326"/>
      <c r="AN1410" s="326"/>
      <c r="AO1410" s="326"/>
      <c r="AP1410" s="326"/>
      <c r="AQ1410" s="326"/>
      <c r="AR1410" s="326"/>
      <c r="AS1410" s="326"/>
      <c r="AT1410" s="326"/>
      <c r="AU1410" s="326"/>
      <c r="AV1410" s="326"/>
      <c r="AW1410" s="326"/>
      <c r="AX1410" s="326"/>
      <c r="AY1410" s="326"/>
      <c r="AZ1410" s="326"/>
      <c r="BA1410" s="326"/>
      <c r="BB1410" s="327"/>
    </row>
    <row r="1411" spans="1:54" ht="15.75" customHeight="1" x14ac:dyDescent="0.25">
      <c r="A1411" s="11">
        <f t="shared" si="5"/>
        <v>1398</v>
      </c>
      <c r="B1411" s="504" t="str">
        <f>'refer admin discharge'!B1407</f>
        <v>x</v>
      </c>
      <c r="C1411" s="327"/>
      <c r="D1411" s="505" t="str">
        <f>'refer admin discharge'!D1407</f>
        <v>xx</v>
      </c>
      <c r="E1411" s="327"/>
      <c r="F1411" s="606" t="str">
        <f>'refer admin discharge'!H1407</f>
        <v>00/00/0000</v>
      </c>
      <c r="G1411" s="327"/>
      <c r="H1411" s="594"/>
      <c r="I1411" s="327"/>
      <c r="J1411" s="605"/>
      <c r="K1411" s="327"/>
      <c r="L1411" s="594"/>
      <c r="M1411" s="327"/>
      <c r="N1411" s="575"/>
      <c r="O1411" s="327"/>
      <c r="P1411" s="594"/>
      <c r="Q1411" s="327"/>
      <c r="R1411" s="575"/>
      <c r="S1411" s="327"/>
      <c r="T1411" s="594"/>
      <c r="U1411" s="327"/>
      <c r="V1411" s="595" t="str">
        <f>'refer admin discharge'!H1412</f>
        <v>00/00/0000</v>
      </c>
      <c r="W1411" s="327"/>
      <c r="X1411" s="577"/>
      <c r="Y1411" s="327"/>
      <c r="Z1411" s="604"/>
      <c r="AA1411" s="327"/>
      <c r="AB1411" s="577"/>
      <c r="AC1411" s="327"/>
      <c r="AD1411" s="576"/>
      <c r="AE1411" s="327"/>
      <c r="AF1411" s="577"/>
      <c r="AG1411" s="327"/>
      <c r="AH1411" s="576"/>
      <c r="AI1411" s="327"/>
      <c r="AJ1411" s="577"/>
      <c r="AK1411" s="327"/>
      <c r="AL1411" s="602"/>
      <c r="AM1411" s="326"/>
      <c r="AN1411" s="326"/>
      <c r="AO1411" s="326"/>
      <c r="AP1411" s="326"/>
      <c r="AQ1411" s="326"/>
      <c r="AR1411" s="326"/>
      <c r="AS1411" s="326"/>
      <c r="AT1411" s="326"/>
      <c r="AU1411" s="326"/>
      <c r="AV1411" s="326"/>
      <c r="AW1411" s="326"/>
      <c r="AX1411" s="326"/>
      <c r="AY1411" s="326"/>
      <c r="AZ1411" s="326"/>
      <c r="BA1411" s="326"/>
      <c r="BB1411" s="327"/>
    </row>
    <row r="1412" spans="1:54" ht="15.75" customHeight="1" x14ac:dyDescent="0.25">
      <c r="A1412" s="11">
        <f t="shared" si="5"/>
        <v>1399</v>
      </c>
      <c r="B1412" s="570" t="str">
        <f>'refer admin discharge'!B1408</f>
        <v>x</v>
      </c>
      <c r="C1412" s="327"/>
      <c r="D1412" s="599" t="str">
        <f>'refer admin discharge'!D1408</f>
        <v>xx</v>
      </c>
      <c r="E1412" s="327"/>
      <c r="F1412" s="600" t="str">
        <f>'refer admin discharge'!H1408</f>
        <v>00/00/0000</v>
      </c>
      <c r="G1412" s="327"/>
      <c r="H1412" s="574"/>
      <c r="I1412" s="327"/>
      <c r="J1412" s="601"/>
      <c r="K1412" s="327"/>
      <c r="L1412" s="574"/>
      <c r="M1412" s="327"/>
      <c r="N1412" s="594"/>
      <c r="O1412" s="327"/>
      <c r="P1412" s="574"/>
      <c r="Q1412" s="327"/>
      <c r="R1412" s="594"/>
      <c r="S1412" s="327"/>
      <c r="T1412" s="574"/>
      <c r="U1412" s="327"/>
      <c r="V1412" s="595" t="str">
        <f>'refer admin discharge'!H1413</f>
        <v>00/00/0000</v>
      </c>
      <c r="W1412" s="327"/>
      <c r="X1412" s="596"/>
      <c r="Y1412" s="327"/>
      <c r="Z1412" s="597"/>
      <c r="AA1412" s="327"/>
      <c r="AB1412" s="596"/>
      <c r="AC1412" s="327"/>
      <c r="AD1412" s="577"/>
      <c r="AE1412" s="327"/>
      <c r="AF1412" s="596"/>
      <c r="AG1412" s="327"/>
      <c r="AH1412" s="577"/>
      <c r="AI1412" s="327"/>
      <c r="AJ1412" s="596"/>
      <c r="AK1412" s="327"/>
      <c r="AL1412" s="598"/>
      <c r="AM1412" s="326"/>
      <c r="AN1412" s="326"/>
      <c r="AO1412" s="326"/>
      <c r="AP1412" s="326"/>
      <c r="AQ1412" s="326"/>
      <c r="AR1412" s="326"/>
      <c r="AS1412" s="326"/>
      <c r="AT1412" s="326"/>
      <c r="AU1412" s="326"/>
      <c r="AV1412" s="326"/>
      <c r="AW1412" s="326"/>
      <c r="AX1412" s="326"/>
      <c r="AY1412" s="326"/>
      <c r="AZ1412" s="326"/>
      <c r="BA1412" s="326"/>
      <c r="BB1412" s="327"/>
    </row>
    <row r="1413" spans="1:54" ht="15.75" customHeight="1" x14ac:dyDescent="0.25">
      <c r="A1413" s="11">
        <f t="shared" si="5"/>
        <v>1400</v>
      </c>
      <c r="B1413" s="504" t="str">
        <f>'refer admin discharge'!B1409</f>
        <v>x</v>
      </c>
      <c r="C1413" s="327"/>
      <c r="D1413" s="505" t="str">
        <f>'refer admin discharge'!D1409</f>
        <v>xx</v>
      </c>
      <c r="E1413" s="327"/>
      <c r="F1413" s="606" t="str">
        <f>'refer admin discharge'!H1409</f>
        <v>00/00/0000</v>
      </c>
      <c r="G1413" s="327"/>
      <c r="H1413" s="594"/>
      <c r="I1413" s="327"/>
      <c r="J1413" s="605"/>
      <c r="K1413" s="327"/>
      <c r="L1413" s="594"/>
      <c r="M1413" s="327"/>
      <c r="N1413" s="575"/>
      <c r="O1413" s="327"/>
      <c r="P1413" s="594"/>
      <c r="Q1413" s="327"/>
      <c r="R1413" s="575"/>
      <c r="S1413" s="327"/>
      <c r="T1413" s="594"/>
      <c r="U1413" s="327"/>
      <c r="V1413" s="595" t="str">
        <f>'refer admin discharge'!H1414</f>
        <v>00/00/0000</v>
      </c>
      <c r="W1413" s="327"/>
      <c r="X1413" s="577"/>
      <c r="Y1413" s="327"/>
      <c r="Z1413" s="604"/>
      <c r="AA1413" s="327"/>
      <c r="AB1413" s="577"/>
      <c r="AC1413" s="327"/>
      <c r="AD1413" s="576"/>
      <c r="AE1413" s="327"/>
      <c r="AF1413" s="577"/>
      <c r="AG1413" s="327"/>
      <c r="AH1413" s="576"/>
      <c r="AI1413" s="327"/>
      <c r="AJ1413" s="577"/>
      <c r="AK1413" s="327"/>
      <c r="AL1413" s="602"/>
      <c r="AM1413" s="326"/>
      <c r="AN1413" s="326"/>
      <c r="AO1413" s="326"/>
      <c r="AP1413" s="326"/>
      <c r="AQ1413" s="326"/>
      <c r="AR1413" s="326"/>
      <c r="AS1413" s="326"/>
      <c r="AT1413" s="326"/>
      <c r="AU1413" s="326"/>
      <c r="AV1413" s="326"/>
      <c r="AW1413" s="326"/>
      <c r="AX1413" s="326"/>
      <c r="AY1413" s="326"/>
      <c r="AZ1413" s="326"/>
      <c r="BA1413" s="326"/>
      <c r="BB1413" s="327"/>
    </row>
    <row r="1414" spans="1:54" ht="15.75" customHeight="1" x14ac:dyDescent="0.25">
      <c r="A1414" s="11">
        <f t="shared" si="5"/>
        <v>1401</v>
      </c>
      <c r="B1414" s="570" t="str">
        <f>'refer admin discharge'!B1410</f>
        <v>x</v>
      </c>
      <c r="C1414" s="327"/>
      <c r="D1414" s="599" t="str">
        <f>'refer admin discharge'!D1410</f>
        <v>xx</v>
      </c>
      <c r="E1414" s="327"/>
      <c r="F1414" s="600" t="str">
        <f>'refer admin discharge'!H1410</f>
        <v>00/00/0000</v>
      </c>
      <c r="G1414" s="327"/>
      <c r="H1414" s="574"/>
      <c r="I1414" s="327"/>
      <c r="J1414" s="601"/>
      <c r="K1414" s="327"/>
      <c r="L1414" s="574"/>
      <c r="M1414" s="327"/>
      <c r="N1414" s="594"/>
      <c r="O1414" s="327"/>
      <c r="P1414" s="574"/>
      <c r="Q1414" s="327"/>
      <c r="R1414" s="594"/>
      <c r="S1414" s="327"/>
      <c r="T1414" s="574"/>
      <c r="U1414" s="327"/>
      <c r="V1414" s="595" t="str">
        <f>'refer admin discharge'!H1415</f>
        <v>00/00/0000</v>
      </c>
      <c r="W1414" s="327"/>
      <c r="X1414" s="596"/>
      <c r="Y1414" s="327"/>
      <c r="Z1414" s="597"/>
      <c r="AA1414" s="327"/>
      <c r="AB1414" s="596"/>
      <c r="AC1414" s="327"/>
      <c r="AD1414" s="577"/>
      <c r="AE1414" s="327"/>
      <c r="AF1414" s="596"/>
      <c r="AG1414" s="327"/>
      <c r="AH1414" s="577"/>
      <c r="AI1414" s="327"/>
      <c r="AJ1414" s="596"/>
      <c r="AK1414" s="327"/>
      <c r="AL1414" s="598"/>
      <c r="AM1414" s="326"/>
      <c r="AN1414" s="326"/>
      <c r="AO1414" s="326"/>
      <c r="AP1414" s="326"/>
      <c r="AQ1414" s="326"/>
      <c r="AR1414" s="326"/>
      <c r="AS1414" s="326"/>
      <c r="AT1414" s="326"/>
      <c r="AU1414" s="326"/>
      <c r="AV1414" s="326"/>
      <c r="AW1414" s="326"/>
      <c r="AX1414" s="326"/>
      <c r="AY1414" s="326"/>
      <c r="AZ1414" s="326"/>
      <c r="BA1414" s="326"/>
      <c r="BB1414" s="327"/>
    </row>
    <row r="1415" spans="1:54" ht="15.75" customHeight="1" x14ac:dyDescent="0.25">
      <c r="A1415" s="11">
        <f t="shared" si="5"/>
        <v>1402</v>
      </c>
      <c r="B1415" s="504" t="str">
        <f>'refer admin discharge'!B1411</f>
        <v>x</v>
      </c>
      <c r="C1415" s="327"/>
      <c r="D1415" s="505" t="str">
        <f>'refer admin discharge'!D1411</f>
        <v>xx</v>
      </c>
      <c r="E1415" s="327"/>
      <c r="F1415" s="606" t="str">
        <f>'refer admin discharge'!H1411</f>
        <v>00/00/0000</v>
      </c>
      <c r="G1415" s="327"/>
      <c r="H1415" s="594"/>
      <c r="I1415" s="327"/>
      <c r="J1415" s="605"/>
      <c r="K1415" s="327"/>
      <c r="L1415" s="594"/>
      <c r="M1415" s="327"/>
      <c r="N1415" s="575"/>
      <c r="O1415" s="327"/>
      <c r="P1415" s="594"/>
      <c r="Q1415" s="327"/>
      <c r="R1415" s="575"/>
      <c r="S1415" s="327"/>
      <c r="T1415" s="594"/>
      <c r="U1415" s="327"/>
      <c r="V1415" s="595" t="str">
        <f>'refer admin discharge'!H1416</f>
        <v>00/00/0000</v>
      </c>
      <c r="W1415" s="327"/>
      <c r="X1415" s="577"/>
      <c r="Y1415" s="327"/>
      <c r="Z1415" s="604"/>
      <c r="AA1415" s="327"/>
      <c r="AB1415" s="577"/>
      <c r="AC1415" s="327"/>
      <c r="AD1415" s="576"/>
      <c r="AE1415" s="327"/>
      <c r="AF1415" s="577"/>
      <c r="AG1415" s="327"/>
      <c r="AH1415" s="576"/>
      <c r="AI1415" s="327"/>
      <c r="AJ1415" s="577"/>
      <c r="AK1415" s="327"/>
      <c r="AL1415" s="602"/>
      <c r="AM1415" s="326"/>
      <c r="AN1415" s="326"/>
      <c r="AO1415" s="326"/>
      <c r="AP1415" s="326"/>
      <c r="AQ1415" s="326"/>
      <c r="AR1415" s="326"/>
      <c r="AS1415" s="326"/>
      <c r="AT1415" s="326"/>
      <c r="AU1415" s="326"/>
      <c r="AV1415" s="326"/>
      <c r="AW1415" s="326"/>
      <c r="AX1415" s="326"/>
      <c r="AY1415" s="326"/>
      <c r="AZ1415" s="326"/>
      <c r="BA1415" s="326"/>
      <c r="BB1415" s="327"/>
    </row>
    <row r="1416" spans="1:54" ht="15.75" customHeight="1" x14ac:dyDescent="0.25">
      <c r="A1416" s="11">
        <f t="shared" si="5"/>
        <v>1403</v>
      </c>
      <c r="B1416" s="570" t="str">
        <f>'refer admin discharge'!B1412</f>
        <v>x</v>
      </c>
      <c r="C1416" s="327"/>
      <c r="D1416" s="599" t="str">
        <f>'refer admin discharge'!D1412</f>
        <v>xx</v>
      </c>
      <c r="E1416" s="327"/>
      <c r="F1416" s="600" t="str">
        <f>'refer admin discharge'!H1412</f>
        <v>00/00/0000</v>
      </c>
      <c r="G1416" s="327"/>
      <c r="H1416" s="574"/>
      <c r="I1416" s="327"/>
      <c r="J1416" s="601"/>
      <c r="K1416" s="327"/>
      <c r="L1416" s="574"/>
      <c r="M1416" s="327"/>
      <c r="N1416" s="594"/>
      <c r="O1416" s="327"/>
      <c r="P1416" s="574"/>
      <c r="Q1416" s="327"/>
      <c r="R1416" s="594"/>
      <c r="S1416" s="327"/>
      <c r="T1416" s="574"/>
      <c r="U1416" s="327"/>
      <c r="V1416" s="595" t="str">
        <f>'refer admin discharge'!H1417</f>
        <v>00/00/0000</v>
      </c>
      <c r="W1416" s="327"/>
      <c r="X1416" s="596"/>
      <c r="Y1416" s="327"/>
      <c r="Z1416" s="597"/>
      <c r="AA1416" s="327"/>
      <c r="AB1416" s="596"/>
      <c r="AC1416" s="327"/>
      <c r="AD1416" s="577"/>
      <c r="AE1416" s="327"/>
      <c r="AF1416" s="596"/>
      <c r="AG1416" s="327"/>
      <c r="AH1416" s="577"/>
      <c r="AI1416" s="327"/>
      <c r="AJ1416" s="596"/>
      <c r="AK1416" s="327"/>
      <c r="AL1416" s="598"/>
      <c r="AM1416" s="326"/>
      <c r="AN1416" s="326"/>
      <c r="AO1416" s="326"/>
      <c r="AP1416" s="326"/>
      <c r="AQ1416" s="326"/>
      <c r="AR1416" s="326"/>
      <c r="AS1416" s="326"/>
      <c r="AT1416" s="326"/>
      <c r="AU1416" s="326"/>
      <c r="AV1416" s="326"/>
      <c r="AW1416" s="326"/>
      <c r="AX1416" s="326"/>
      <c r="AY1416" s="326"/>
      <c r="AZ1416" s="326"/>
      <c r="BA1416" s="326"/>
      <c r="BB1416" s="327"/>
    </row>
    <row r="1417" spans="1:54" ht="15.75" customHeight="1" x14ac:dyDescent="0.25">
      <c r="A1417" s="11">
        <f t="shared" si="5"/>
        <v>1404</v>
      </c>
      <c r="B1417" s="504" t="str">
        <f>'refer admin discharge'!B1413</f>
        <v>x</v>
      </c>
      <c r="C1417" s="327"/>
      <c r="D1417" s="505" t="str">
        <f>'refer admin discharge'!D1413</f>
        <v>xx</v>
      </c>
      <c r="E1417" s="327"/>
      <c r="F1417" s="606" t="str">
        <f>'refer admin discharge'!H1413</f>
        <v>00/00/0000</v>
      </c>
      <c r="G1417" s="327"/>
      <c r="H1417" s="594"/>
      <c r="I1417" s="327"/>
      <c r="J1417" s="605"/>
      <c r="K1417" s="327"/>
      <c r="L1417" s="594"/>
      <c r="M1417" s="327"/>
      <c r="N1417" s="575"/>
      <c r="O1417" s="327"/>
      <c r="P1417" s="594"/>
      <c r="Q1417" s="327"/>
      <c r="R1417" s="575"/>
      <c r="S1417" s="327"/>
      <c r="T1417" s="594"/>
      <c r="U1417" s="327"/>
      <c r="V1417" s="595" t="str">
        <f>'refer admin discharge'!H1418</f>
        <v>00/00/0000</v>
      </c>
      <c r="W1417" s="327"/>
      <c r="X1417" s="577"/>
      <c r="Y1417" s="327"/>
      <c r="Z1417" s="604"/>
      <c r="AA1417" s="327"/>
      <c r="AB1417" s="577"/>
      <c r="AC1417" s="327"/>
      <c r="AD1417" s="576"/>
      <c r="AE1417" s="327"/>
      <c r="AF1417" s="577"/>
      <c r="AG1417" s="327"/>
      <c r="AH1417" s="576"/>
      <c r="AI1417" s="327"/>
      <c r="AJ1417" s="577"/>
      <c r="AK1417" s="327"/>
      <c r="AL1417" s="602"/>
      <c r="AM1417" s="326"/>
      <c r="AN1417" s="326"/>
      <c r="AO1417" s="326"/>
      <c r="AP1417" s="326"/>
      <c r="AQ1417" s="326"/>
      <c r="AR1417" s="326"/>
      <c r="AS1417" s="326"/>
      <c r="AT1417" s="326"/>
      <c r="AU1417" s="326"/>
      <c r="AV1417" s="326"/>
      <c r="AW1417" s="326"/>
      <c r="AX1417" s="326"/>
      <c r="AY1417" s="326"/>
      <c r="AZ1417" s="326"/>
      <c r="BA1417" s="326"/>
      <c r="BB1417" s="327"/>
    </row>
    <row r="1418" spans="1:54" ht="15.75" customHeight="1" x14ac:dyDescent="0.25">
      <c r="A1418" s="11">
        <f t="shared" si="5"/>
        <v>1405</v>
      </c>
      <c r="B1418" s="570" t="str">
        <f>'refer admin discharge'!B1414</f>
        <v>x</v>
      </c>
      <c r="C1418" s="327"/>
      <c r="D1418" s="599" t="str">
        <f>'refer admin discharge'!D1414</f>
        <v>xx</v>
      </c>
      <c r="E1418" s="327"/>
      <c r="F1418" s="600" t="str">
        <f>'refer admin discharge'!H1414</f>
        <v>00/00/0000</v>
      </c>
      <c r="G1418" s="327"/>
      <c r="H1418" s="574"/>
      <c r="I1418" s="327"/>
      <c r="J1418" s="601"/>
      <c r="K1418" s="327"/>
      <c r="L1418" s="574"/>
      <c r="M1418" s="327"/>
      <c r="N1418" s="594"/>
      <c r="O1418" s="327"/>
      <c r="P1418" s="574"/>
      <c r="Q1418" s="327"/>
      <c r="R1418" s="594"/>
      <c r="S1418" s="327"/>
      <c r="T1418" s="574"/>
      <c r="U1418" s="327"/>
      <c r="V1418" s="595" t="str">
        <f>'refer admin discharge'!H1419</f>
        <v>00/00/0000</v>
      </c>
      <c r="W1418" s="327"/>
      <c r="X1418" s="596"/>
      <c r="Y1418" s="327"/>
      <c r="Z1418" s="597"/>
      <c r="AA1418" s="327"/>
      <c r="AB1418" s="596"/>
      <c r="AC1418" s="327"/>
      <c r="AD1418" s="577"/>
      <c r="AE1418" s="327"/>
      <c r="AF1418" s="596"/>
      <c r="AG1418" s="327"/>
      <c r="AH1418" s="577"/>
      <c r="AI1418" s="327"/>
      <c r="AJ1418" s="596"/>
      <c r="AK1418" s="327"/>
      <c r="AL1418" s="598"/>
      <c r="AM1418" s="326"/>
      <c r="AN1418" s="326"/>
      <c r="AO1418" s="326"/>
      <c r="AP1418" s="326"/>
      <c r="AQ1418" s="326"/>
      <c r="AR1418" s="326"/>
      <c r="AS1418" s="326"/>
      <c r="AT1418" s="326"/>
      <c r="AU1418" s="326"/>
      <c r="AV1418" s="326"/>
      <c r="AW1418" s="326"/>
      <c r="AX1418" s="326"/>
      <c r="AY1418" s="326"/>
      <c r="AZ1418" s="326"/>
      <c r="BA1418" s="326"/>
      <c r="BB1418" s="327"/>
    </row>
    <row r="1419" spans="1:54" ht="15.75" customHeight="1" x14ac:dyDescent="0.25">
      <c r="A1419" s="11">
        <f t="shared" si="5"/>
        <v>1406</v>
      </c>
      <c r="B1419" s="504" t="str">
        <f>'refer admin discharge'!B1415</f>
        <v>x</v>
      </c>
      <c r="C1419" s="327"/>
      <c r="D1419" s="505" t="str">
        <f>'refer admin discharge'!D1415</f>
        <v>xx</v>
      </c>
      <c r="E1419" s="327"/>
      <c r="F1419" s="606" t="str">
        <f>'refer admin discharge'!H1415</f>
        <v>00/00/0000</v>
      </c>
      <c r="G1419" s="327"/>
      <c r="H1419" s="594"/>
      <c r="I1419" s="327"/>
      <c r="J1419" s="605"/>
      <c r="K1419" s="327"/>
      <c r="L1419" s="594"/>
      <c r="M1419" s="327"/>
      <c r="N1419" s="575"/>
      <c r="O1419" s="327"/>
      <c r="P1419" s="594"/>
      <c r="Q1419" s="327"/>
      <c r="R1419" s="575"/>
      <c r="S1419" s="327"/>
      <c r="T1419" s="594"/>
      <c r="U1419" s="327"/>
      <c r="V1419" s="595" t="str">
        <f>'refer admin discharge'!H1420</f>
        <v>00/00/0000</v>
      </c>
      <c r="W1419" s="327"/>
      <c r="X1419" s="577"/>
      <c r="Y1419" s="327"/>
      <c r="Z1419" s="604"/>
      <c r="AA1419" s="327"/>
      <c r="AB1419" s="577"/>
      <c r="AC1419" s="327"/>
      <c r="AD1419" s="576"/>
      <c r="AE1419" s="327"/>
      <c r="AF1419" s="577"/>
      <c r="AG1419" s="327"/>
      <c r="AH1419" s="576"/>
      <c r="AI1419" s="327"/>
      <c r="AJ1419" s="577"/>
      <c r="AK1419" s="327"/>
      <c r="AL1419" s="602"/>
      <c r="AM1419" s="326"/>
      <c r="AN1419" s="326"/>
      <c r="AO1419" s="326"/>
      <c r="AP1419" s="326"/>
      <c r="AQ1419" s="326"/>
      <c r="AR1419" s="326"/>
      <c r="AS1419" s="326"/>
      <c r="AT1419" s="326"/>
      <c r="AU1419" s="326"/>
      <c r="AV1419" s="326"/>
      <c r="AW1419" s="326"/>
      <c r="AX1419" s="326"/>
      <c r="AY1419" s="326"/>
      <c r="AZ1419" s="326"/>
      <c r="BA1419" s="326"/>
      <c r="BB1419" s="327"/>
    </row>
    <row r="1420" spans="1:54" ht="15.75" customHeight="1" x14ac:dyDescent="0.25">
      <c r="A1420" s="11">
        <f t="shared" si="5"/>
        <v>1407</v>
      </c>
      <c r="B1420" s="570" t="str">
        <f>'refer admin discharge'!B1416</f>
        <v>x</v>
      </c>
      <c r="C1420" s="327"/>
      <c r="D1420" s="599" t="str">
        <f>'refer admin discharge'!D1416</f>
        <v>xx</v>
      </c>
      <c r="E1420" s="327"/>
      <c r="F1420" s="600" t="str">
        <f>'refer admin discharge'!H1416</f>
        <v>00/00/0000</v>
      </c>
      <c r="G1420" s="327"/>
      <c r="H1420" s="574"/>
      <c r="I1420" s="327"/>
      <c r="J1420" s="601"/>
      <c r="K1420" s="327"/>
      <c r="L1420" s="574"/>
      <c r="M1420" s="327"/>
      <c r="N1420" s="594"/>
      <c r="O1420" s="327"/>
      <c r="P1420" s="574"/>
      <c r="Q1420" s="327"/>
      <c r="R1420" s="594"/>
      <c r="S1420" s="327"/>
      <c r="T1420" s="574"/>
      <c r="U1420" s="327"/>
      <c r="V1420" s="595" t="str">
        <f>'refer admin discharge'!H1421</f>
        <v>00/00/0000</v>
      </c>
      <c r="W1420" s="327"/>
      <c r="X1420" s="596"/>
      <c r="Y1420" s="327"/>
      <c r="Z1420" s="597"/>
      <c r="AA1420" s="327"/>
      <c r="AB1420" s="596"/>
      <c r="AC1420" s="327"/>
      <c r="AD1420" s="577"/>
      <c r="AE1420" s="327"/>
      <c r="AF1420" s="596"/>
      <c r="AG1420" s="327"/>
      <c r="AH1420" s="577"/>
      <c r="AI1420" s="327"/>
      <c r="AJ1420" s="596"/>
      <c r="AK1420" s="327"/>
      <c r="AL1420" s="598"/>
      <c r="AM1420" s="326"/>
      <c r="AN1420" s="326"/>
      <c r="AO1420" s="326"/>
      <c r="AP1420" s="326"/>
      <c r="AQ1420" s="326"/>
      <c r="AR1420" s="326"/>
      <c r="AS1420" s="326"/>
      <c r="AT1420" s="326"/>
      <c r="AU1420" s="326"/>
      <c r="AV1420" s="326"/>
      <c r="AW1420" s="326"/>
      <c r="AX1420" s="326"/>
      <c r="AY1420" s="326"/>
      <c r="AZ1420" s="326"/>
      <c r="BA1420" s="326"/>
      <c r="BB1420" s="327"/>
    </row>
    <row r="1421" spans="1:54" ht="15.75" customHeight="1" x14ac:dyDescent="0.25">
      <c r="A1421" s="11">
        <f t="shared" si="5"/>
        <v>1408</v>
      </c>
      <c r="B1421" s="504" t="str">
        <f>'refer admin discharge'!B1417</f>
        <v>x</v>
      </c>
      <c r="C1421" s="327"/>
      <c r="D1421" s="505" t="str">
        <f>'refer admin discharge'!D1417</f>
        <v>xx</v>
      </c>
      <c r="E1421" s="327"/>
      <c r="F1421" s="606" t="str">
        <f>'refer admin discharge'!H1417</f>
        <v>00/00/0000</v>
      </c>
      <c r="G1421" s="327"/>
      <c r="H1421" s="594"/>
      <c r="I1421" s="327"/>
      <c r="J1421" s="605"/>
      <c r="K1421" s="327"/>
      <c r="L1421" s="594"/>
      <c r="M1421" s="327"/>
      <c r="N1421" s="575"/>
      <c r="O1421" s="327"/>
      <c r="P1421" s="594"/>
      <c r="Q1421" s="327"/>
      <c r="R1421" s="575"/>
      <c r="S1421" s="327"/>
      <c r="T1421" s="594"/>
      <c r="U1421" s="327"/>
      <c r="V1421" s="595" t="str">
        <f>'refer admin discharge'!H1422</f>
        <v>00/00/0000</v>
      </c>
      <c r="W1421" s="327"/>
      <c r="X1421" s="577"/>
      <c r="Y1421" s="327"/>
      <c r="Z1421" s="604"/>
      <c r="AA1421" s="327"/>
      <c r="AB1421" s="577"/>
      <c r="AC1421" s="327"/>
      <c r="AD1421" s="576"/>
      <c r="AE1421" s="327"/>
      <c r="AF1421" s="577"/>
      <c r="AG1421" s="327"/>
      <c r="AH1421" s="576"/>
      <c r="AI1421" s="327"/>
      <c r="AJ1421" s="577"/>
      <c r="AK1421" s="327"/>
      <c r="AL1421" s="602"/>
      <c r="AM1421" s="326"/>
      <c r="AN1421" s="326"/>
      <c r="AO1421" s="326"/>
      <c r="AP1421" s="326"/>
      <c r="AQ1421" s="326"/>
      <c r="AR1421" s="326"/>
      <c r="AS1421" s="326"/>
      <c r="AT1421" s="326"/>
      <c r="AU1421" s="326"/>
      <c r="AV1421" s="326"/>
      <c r="AW1421" s="326"/>
      <c r="AX1421" s="326"/>
      <c r="AY1421" s="326"/>
      <c r="AZ1421" s="326"/>
      <c r="BA1421" s="326"/>
      <c r="BB1421" s="327"/>
    </row>
    <row r="1422" spans="1:54" ht="15.75" customHeight="1" x14ac:dyDescent="0.25">
      <c r="A1422" s="11">
        <f t="shared" si="5"/>
        <v>1409</v>
      </c>
      <c r="B1422" s="570" t="str">
        <f>'refer admin discharge'!B1418</f>
        <v>x</v>
      </c>
      <c r="C1422" s="327"/>
      <c r="D1422" s="599" t="str">
        <f>'refer admin discharge'!D1418</f>
        <v>xx</v>
      </c>
      <c r="E1422" s="327"/>
      <c r="F1422" s="600" t="str">
        <f>'refer admin discharge'!H1418</f>
        <v>00/00/0000</v>
      </c>
      <c r="G1422" s="327"/>
      <c r="H1422" s="574"/>
      <c r="I1422" s="327"/>
      <c r="J1422" s="601"/>
      <c r="K1422" s="327"/>
      <c r="L1422" s="574"/>
      <c r="M1422" s="327"/>
      <c r="N1422" s="594"/>
      <c r="O1422" s="327"/>
      <c r="P1422" s="574"/>
      <c r="Q1422" s="327"/>
      <c r="R1422" s="594"/>
      <c r="S1422" s="327"/>
      <c r="T1422" s="574"/>
      <c r="U1422" s="327"/>
      <c r="V1422" s="595" t="str">
        <f>'refer admin discharge'!H1423</f>
        <v>00/00/0000</v>
      </c>
      <c r="W1422" s="327"/>
      <c r="X1422" s="596"/>
      <c r="Y1422" s="327"/>
      <c r="Z1422" s="597"/>
      <c r="AA1422" s="327"/>
      <c r="AB1422" s="596"/>
      <c r="AC1422" s="327"/>
      <c r="AD1422" s="577"/>
      <c r="AE1422" s="327"/>
      <c r="AF1422" s="596"/>
      <c r="AG1422" s="327"/>
      <c r="AH1422" s="577"/>
      <c r="AI1422" s="327"/>
      <c r="AJ1422" s="596"/>
      <c r="AK1422" s="327"/>
      <c r="AL1422" s="598"/>
      <c r="AM1422" s="326"/>
      <c r="AN1422" s="326"/>
      <c r="AO1422" s="326"/>
      <c r="AP1422" s="326"/>
      <c r="AQ1422" s="326"/>
      <c r="AR1422" s="326"/>
      <c r="AS1422" s="326"/>
      <c r="AT1422" s="326"/>
      <c r="AU1422" s="326"/>
      <c r="AV1422" s="326"/>
      <c r="AW1422" s="326"/>
      <c r="AX1422" s="326"/>
      <c r="AY1422" s="326"/>
      <c r="AZ1422" s="326"/>
      <c r="BA1422" s="326"/>
      <c r="BB1422" s="327"/>
    </row>
    <row r="1423" spans="1:54" ht="15.75" customHeight="1" x14ac:dyDescent="0.25">
      <c r="A1423" s="11">
        <f t="shared" si="5"/>
        <v>1410</v>
      </c>
      <c r="B1423" s="504" t="str">
        <f>'refer admin discharge'!B1419</f>
        <v>x</v>
      </c>
      <c r="C1423" s="327"/>
      <c r="D1423" s="505" t="str">
        <f>'refer admin discharge'!D1419</f>
        <v>xx</v>
      </c>
      <c r="E1423" s="327"/>
      <c r="F1423" s="606" t="str">
        <f>'refer admin discharge'!H1419</f>
        <v>00/00/0000</v>
      </c>
      <c r="G1423" s="327"/>
      <c r="H1423" s="594"/>
      <c r="I1423" s="327"/>
      <c r="J1423" s="605"/>
      <c r="K1423" s="327"/>
      <c r="L1423" s="594"/>
      <c r="M1423" s="327"/>
      <c r="N1423" s="575"/>
      <c r="O1423" s="327"/>
      <c r="P1423" s="594"/>
      <c r="Q1423" s="327"/>
      <c r="R1423" s="575"/>
      <c r="S1423" s="327"/>
      <c r="T1423" s="594"/>
      <c r="U1423" s="327"/>
      <c r="V1423" s="595" t="str">
        <f>'refer admin discharge'!H1424</f>
        <v>00/00/0000</v>
      </c>
      <c r="W1423" s="327"/>
      <c r="X1423" s="577"/>
      <c r="Y1423" s="327"/>
      <c r="Z1423" s="604"/>
      <c r="AA1423" s="327"/>
      <c r="AB1423" s="577"/>
      <c r="AC1423" s="327"/>
      <c r="AD1423" s="576"/>
      <c r="AE1423" s="327"/>
      <c r="AF1423" s="577"/>
      <c r="AG1423" s="327"/>
      <c r="AH1423" s="576"/>
      <c r="AI1423" s="327"/>
      <c r="AJ1423" s="577"/>
      <c r="AK1423" s="327"/>
      <c r="AL1423" s="602"/>
      <c r="AM1423" s="326"/>
      <c r="AN1423" s="326"/>
      <c r="AO1423" s="326"/>
      <c r="AP1423" s="326"/>
      <c r="AQ1423" s="326"/>
      <c r="AR1423" s="326"/>
      <c r="AS1423" s="326"/>
      <c r="AT1423" s="326"/>
      <c r="AU1423" s="326"/>
      <c r="AV1423" s="326"/>
      <c r="AW1423" s="326"/>
      <c r="AX1423" s="326"/>
      <c r="AY1423" s="326"/>
      <c r="AZ1423" s="326"/>
      <c r="BA1423" s="326"/>
      <c r="BB1423" s="327"/>
    </row>
    <row r="1424" spans="1:54" ht="15.75" customHeight="1" x14ac:dyDescent="0.25">
      <c r="A1424" s="11">
        <f t="shared" si="5"/>
        <v>1411</v>
      </c>
      <c r="B1424" s="570" t="str">
        <f>'refer admin discharge'!B1420</f>
        <v>x</v>
      </c>
      <c r="C1424" s="327"/>
      <c r="D1424" s="599" t="str">
        <f>'refer admin discharge'!D1420</f>
        <v>xx</v>
      </c>
      <c r="E1424" s="327"/>
      <c r="F1424" s="600" t="str">
        <f>'refer admin discharge'!H1420</f>
        <v>00/00/0000</v>
      </c>
      <c r="G1424" s="327"/>
      <c r="H1424" s="574"/>
      <c r="I1424" s="327"/>
      <c r="J1424" s="601"/>
      <c r="K1424" s="327"/>
      <c r="L1424" s="574"/>
      <c r="M1424" s="327"/>
      <c r="N1424" s="594"/>
      <c r="O1424" s="327"/>
      <c r="P1424" s="574"/>
      <c r="Q1424" s="327"/>
      <c r="R1424" s="594"/>
      <c r="S1424" s="327"/>
      <c r="T1424" s="574"/>
      <c r="U1424" s="327"/>
      <c r="V1424" s="595" t="str">
        <f>'refer admin discharge'!H1425</f>
        <v>00/00/0000</v>
      </c>
      <c r="W1424" s="327"/>
      <c r="X1424" s="596"/>
      <c r="Y1424" s="327"/>
      <c r="Z1424" s="597"/>
      <c r="AA1424" s="327"/>
      <c r="AB1424" s="596"/>
      <c r="AC1424" s="327"/>
      <c r="AD1424" s="577"/>
      <c r="AE1424" s="327"/>
      <c r="AF1424" s="596"/>
      <c r="AG1424" s="327"/>
      <c r="AH1424" s="577"/>
      <c r="AI1424" s="327"/>
      <c r="AJ1424" s="596"/>
      <c r="AK1424" s="327"/>
      <c r="AL1424" s="598"/>
      <c r="AM1424" s="326"/>
      <c r="AN1424" s="326"/>
      <c r="AO1424" s="326"/>
      <c r="AP1424" s="326"/>
      <c r="AQ1424" s="326"/>
      <c r="AR1424" s="326"/>
      <c r="AS1424" s="326"/>
      <c r="AT1424" s="326"/>
      <c r="AU1424" s="326"/>
      <c r="AV1424" s="326"/>
      <c r="AW1424" s="326"/>
      <c r="AX1424" s="326"/>
      <c r="AY1424" s="326"/>
      <c r="AZ1424" s="326"/>
      <c r="BA1424" s="326"/>
      <c r="BB1424" s="327"/>
    </row>
    <row r="1425" spans="1:54" ht="15.75" customHeight="1" x14ac:dyDescent="0.25">
      <c r="A1425" s="11">
        <f t="shared" si="5"/>
        <v>1412</v>
      </c>
      <c r="B1425" s="504" t="str">
        <f>'refer admin discharge'!B1421</f>
        <v>x</v>
      </c>
      <c r="C1425" s="327"/>
      <c r="D1425" s="505" t="str">
        <f>'refer admin discharge'!D1421</f>
        <v>xx</v>
      </c>
      <c r="E1425" s="327"/>
      <c r="F1425" s="606" t="str">
        <f>'refer admin discharge'!H1421</f>
        <v>00/00/0000</v>
      </c>
      <c r="G1425" s="327"/>
      <c r="H1425" s="594"/>
      <c r="I1425" s="327"/>
      <c r="J1425" s="605"/>
      <c r="K1425" s="327"/>
      <c r="L1425" s="594"/>
      <c r="M1425" s="327"/>
      <c r="N1425" s="575"/>
      <c r="O1425" s="327"/>
      <c r="P1425" s="594"/>
      <c r="Q1425" s="327"/>
      <c r="R1425" s="575"/>
      <c r="S1425" s="327"/>
      <c r="T1425" s="594"/>
      <c r="U1425" s="327"/>
      <c r="V1425" s="595" t="str">
        <f>'refer admin discharge'!H1426</f>
        <v>00/00/0000</v>
      </c>
      <c r="W1425" s="327"/>
      <c r="X1425" s="577"/>
      <c r="Y1425" s="327"/>
      <c r="Z1425" s="604"/>
      <c r="AA1425" s="327"/>
      <c r="AB1425" s="577"/>
      <c r="AC1425" s="327"/>
      <c r="AD1425" s="576"/>
      <c r="AE1425" s="327"/>
      <c r="AF1425" s="577"/>
      <c r="AG1425" s="327"/>
      <c r="AH1425" s="576"/>
      <c r="AI1425" s="327"/>
      <c r="AJ1425" s="577"/>
      <c r="AK1425" s="327"/>
      <c r="AL1425" s="602"/>
      <c r="AM1425" s="326"/>
      <c r="AN1425" s="326"/>
      <c r="AO1425" s="326"/>
      <c r="AP1425" s="326"/>
      <c r="AQ1425" s="326"/>
      <c r="AR1425" s="326"/>
      <c r="AS1425" s="326"/>
      <c r="AT1425" s="326"/>
      <c r="AU1425" s="326"/>
      <c r="AV1425" s="326"/>
      <c r="AW1425" s="326"/>
      <c r="AX1425" s="326"/>
      <c r="AY1425" s="326"/>
      <c r="AZ1425" s="326"/>
      <c r="BA1425" s="326"/>
      <c r="BB1425" s="327"/>
    </row>
    <row r="1426" spans="1:54" ht="15.75" customHeight="1" x14ac:dyDescent="0.25">
      <c r="A1426" s="11">
        <f t="shared" si="5"/>
        <v>1413</v>
      </c>
      <c r="B1426" s="570" t="str">
        <f>'refer admin discharge'!B1422</f>
        <v>x</v>
      </c>
      <c r="C1426" s="327"/>
      <c r="D1426" s="599" t="str">
        <f>'refer admin discharge'!D1422</f>
        <v>xx</v>
      </c>
      <c r="E1426" s="327"/>
      <c r="F1426" s="600" t="str">
        <f>'refer admin discharge'!H1422</f>
        <v>00/00/0000</v>
      </c>
      <c r="G1426" s="327"/>
      <c r="H1426" s="574"/>
      <c r="I1426" s="327"/>
      <c r="J1426" s="601"/>
      <c r="K1426" s="327"/>
      <c r="L1426" s="574"/>
      <c r="M1426" s="327"/>
      <c r="N1426" s="594"/>
      <c r="O1426" s="327"/>
      <c r="P1426" s="574"/>
      <c r="Q1426" s="327"/>
      <c r="R1426" s="594"/>
      <c r="S1426" s="327"/>
      <c r="T1426" s="574"/>
      <c r="U1426" s="327"/>
      <c r="V1426" s="595" t="str">
        <f>'refer admin discharge'!H1427</f>
        <v>00/00/0000</v>
      </c>
      <c r="W1426" s="327"/>
      <c r="X1426" s="596"/>
      <c r="Y1426" s="327"/>
      <c r="Z1426" s="597"/>
      <c r="AA1426" s="327"/>
      <c r="AB1426" s="596"/>
      <c r="AC1426" s="327"/>
      <c r="AD1426" s="577"/>
      <c r="AE1426" s="327"/>
      <c r="AF1426" s="596"/>
      <c r="AG1426" s="327"/>
      <c r="AH1426" s="577"/>
      <c r="AI1426" s="327"/>
      <c r="AJ1426" s="596"/>
      <c r="AK1426" s="327"/>
      <c r="AL1426" s="598"/>
      <c r="AM1426" s="326"/>
      <c r="AN1426" s="326"/>
      <c r="AO1426" s="326"/>
      <c r="AP1426" s="326"/>
      <c r="AQ1426" s="326"/>
      <c r="AR1426" s="326"/>
      <c r="AS1426" s="326"/>
      <c r="AT1426" s="326"/>
      <c r="AU1426" s="326"/>
      <c r="AV1426" s="326"/>
      <c r="AW1426" s="326"/>
      <c r="AX1426" s="326"/>
      <c r="AY1426" s="326"/>
      <c r="AZ1426" s="326"/>
      <c r="BA1426" s="326"/>
      <c r="BB1426" s="327"/>
    </row>
    <row r="1427" spans="1:54" ht="15.75" customHeight="1" x14ac:dyDescent="0.25">
      <c r="A1427" s="11">
        <f t="shared" si="5"/>
        <v>1414</v>
      </c>
      <c r="B1427" s="504" t="str">
        <f>'refer admin discharge'!B1423</f>
        <v>x</v>
      </c>
      <c r="C1427" s="327"/>
      <c r="D1427" s="505" t="str">
        <f>'refer admin discharge'!D1423</f>
        <v>xx</v>
      </c>
      <c r="E1427" s="327"/>
      <c r="F1427" s="606" t="str">
        <f>'refer admin discharge'!H1423</f>
        <v>00/00/0000</v>
      </c>
      <c r="G1427" s="327"/>
      <c r="H1427" s="594"/>
      <c r="I1427" s="327"/>
      <c r="J1427" s="605"/>
      <c r="K1427" s="327"/>
      <c r="L1427" s="594"/>
      <c r="M1427" s="327"/>
      <c r="N1427" s="575"/>
      <c r="O1427" s="327"/>
      <c r="P1427" s="594"/>
      <c r="Q1427" s="327"/>
      <c r="R1427" s="575"/>
      <c r="S1427" s="327"/>
      <c r="T1427" s="594"/>
      <c r="U1427" s="327"/>
      <c r="V1427" s="595" t="str">
        <f>'refer admin discharge'!H1428</f>
        <v>00/00/0000</v>
      </c>
      <c r="W1427" s="327"/>
      <c r="X1427" s="577"/>
      <c r="Y1427" s="327"/>
      <c r="Z1427" s="604"/>
      <c r="AA1427" s="327"/>
      <c r="AB1427" s="577"/>
      <c r="AC1427" s="327"/>
      <c r="AD1427" s="576"/>
      <c r="AE1427" s="327"/>
      <c r="AF1427" s="577"/>
      <c r="AG1427" s="327"/>
      <c r="AH1427" s="576"/>
      <c r="AI1427" s="327"/>
      <c r="AJ1427" s="577"/>
      <c r="AK1427" s="327"/>
      <c r="AL1427" s="602"/>
      <c r="AM1427" s="326"/>
      <c r="AN1427" s="326"/>
      <c r="AO1427" s="326"/>
      <c r="AP1427" s="326"/>
      <c r="AQ1427" s="326"/>
      <c r="AR1427" s="326"/>
      <c r="AS1427" s="326"/>
      <c r="AT1427" s="326"/>
      <c r="AU1427" s="326"/>
      <c r="AV1427" s="326"/>
      <c r="AW1427" s="326"/>
      <c r="AX1427" s="326"/>
      <c r="AY1427" s="326"/>
      <c r="AZ1427" s="326"/>
      <c r="BA1427" s="326"/>
      <c r="BB1427" s="327"/>
    </row>
    <row r="1428" spans="1:54" ht="15.75" customHeight="1" x14ac:dyDescent="0.25">
      <c r="A1428" s="11">
        <f t="shared" si="5"/>
        <v>1415</v>
      </c>
      <c r="B1428" s="570" t="str">
        <f>'refer admin discharge'!B1424</f>
        <v>x</v>
      </c>
      <c r="C1428" s="327"/>
      <c r="D1428" s="599" t="str">
        <f>'refer admin discharge'!D1424</f>
        <v>xx</v>
      </c>
      <c r="E1428" s="327"/>
      <c r="F1428" s="600" t="str">
        <f>'refer admin discharge'!H1424</f>
        <v>00/00/0000</v>
      </c>
      <c r="G1428" s="327"/>
      <c r="H1428" s="574"/>
      <c r="I1428" s="327"/>
      <c r="J1428" s="601"/>
      <c r="K1428" s="327"/>
      <c r="L1428" s="574"/>
      <c r="M1428" s="327"/>
      <c r="N1428" s="594"/>
      <c r="O1428" s="327"/>
      <c r="P1428" s="574"/>
      <c r="Q1428" s="327"/>
      <c r="R1428" s="594"/>
      <c r="S1428" s="327"/>
      <c r="T1428" s="574"/>
      <c r="U1428" s="327"/>
      <c r="V1428" s="595" t="str">
        <f>'refer admin discharge'!H1429</f>
        <v>00/00/0000</v>
      </c>
      <c r="W1428" s="327"/>
      <c r="X1428" s="596"/>
      <c r="Y1428" s="327"/>
      <c r="Z1428" s="597"/>
      <c r="AA1428" s="327"/>
      <c r="AB1428" s="596"/>
      <c r="AC1428" s="327"/>
      <c r="AD1428" s="577"/>
      <c r="AE1428" s="327"/>
      <c r="AF1428" s="596"/>
      <c r="AG1428" s="327"/>
      <c r="AH1428" s="577"/>
      <c r="AI1428" s="327"/>
      <c r="AJ1428" s="596"/>
      <c r="AK1428" s="327"/>
      <c r="AL1428" s="598"/>
      <c r="AM1428" s="326"/>
      <c r="AN1428" s="326"/>
      <c r="AO1428" s="326"/>
      <c r="AP1428" s="326"/>
      <c r="AQ1428" s="326"/>
      <c r="AR1428" s="326"/>
      <c r="AS1428" s="326"/>
      <c r="AT1428" s="326"/>
      <c r="AU1428" s="326"/>
      <c r="AV1428" s="326"/>
      <c r="AW1428" s="326"/>
      <c r="AX1428" s="326"/>
      <c r="AY1428" s="326"/>
      <c r="AZ1428" s="326"/>
      <c r="BA1428" s="326"/>
      <c r="BB1428" s="327"/>
    </row>
    <row r="1429" spans="1:54" ht="15.75" customHeight="1" x14ac:dyDescent="0.25">
      <c r="A1429" s="11">
        <f t="shared" si="5"/>
        <v>1416</v>
      </c>
      <c r="B1429" s="504" t="str">
        <f>'refer admin discharge'!B1425</f>
        <v>x</v>
      </c>
      <c r="C1429" s="327"/>
      <c r="D1429" s="505" t="str">
        <f>'refer admin discharge'!D1425</f>
        <v>xx</v>
      </c>
      <c r="E1429" s="327"/>
      <c r="F1429" s="606" t="str">
        <f>'refer admin discharge'!H1425</f>
        <v>00/00/0000</v>
      </c>
      <c r="G1429" s="327"/>
      <c r="H1429" s="594"/>
      <c r="I1429" s="327"/>
      <c r="J1429" s="605"/>
      <c r="K1429" s="327"/>
      <c r="L1429" s="594"/>
      <c r="M1429" s="327"/>
      <c r="N1429" s="575"/>
      <c r="O1429" s="327"/>
      <c r="P1429" s="594"/>
      <c r="Q1429" s="327"/>
      <c r="R1429" s="575"/>
      <c r="S1429" s="327"/>
      <c r="T1429" s="594"/>
      <c r="U1429" s="327"/>
      <c r="V1429" s="595" t="str">
        <f>'refer admin discharge'!H1430</f>
        <v>00/00/0000</v>
      </c>
      <c r="W1429" s="327"/>
      <c r="X1429" s="577"/>
      <c r="Y1429" s="327"/>
      <c r="Z1429" s="604"/>
      <c r="AA1429" s="327"/>
      <c r="AB1429" s="577"/>
      <c r="AC1429" s="327"/>
      <c r="AD1429" s="576"/>
      <c r="AE1429" s="327"/>
      <c r="AF1429" s="577"/>
      <c r="AG1429" s="327"/>
      <c r="AH1429" s="576"/>
      <c r="AI1429" s="327"/>
      <c r="AJ1429" s="577"/>
      <c r="AK1429" s="327"/>
      <c r="AL1429" s="602"/>
      <c r="AM1429" s="326"/>
      <c r="AN1429" s="326"/>
      <c r="AO1429" s="326"/>
      <c r="AP1429" s="326"/>
      <c r="AQ1429" s="326"/>
      <c r="AR1429" s="326"/>
      <c r="AS1429" s="326"/>
      <c r="AT1429" s="326"/>
      <c r="AU1429" s="326"/>
      <c r="AV1429" s="326"/>
      <c r="AW1429" s="326"/>
      <c r="AX1429" s="326"/>
      <c r="AY1429" s="326"/>
      <c r="AZ1429" s="326"/>
      <c r="BA1429" s="326"/>
      <c r="BB1429" s="327"/>
    </row>
    <row r="1430" spans="1:54" ht="15.75" customHeight="1" x14ac:dyDescent="0.25">
      <c r="A1430" s="11">
        <f t="shared" si="5"/>
        <v>1417</v>
      </c>
      <c r="B1430" s="570" t="str">
        <f>'refer admin discharge'!B1426</f>
        <v>x</v>
      </c>
      <c r="C1430" s="327"/>
      <c r="D1430" s="599" t="str">
        <f>'refer admin discharge'!D1426</f>
        <v>xx</v>
      </c>
      <c r="E1430" s="327"/>
      <c r="F1430" s="600" t="str">
        <f>'refer admin discharge'!H1426</f>
        <v>00/00/0000</v>
      </c>
      <c r="G1430" s="327"/>
      <c r="H1430" s="574"/>
      <c r="I1430" s="327"/>
      <c r="J1430" s="601"/>
      <c r="K1430" s="327"/>
      <c r="L1430" s="574"/>
      <c r="M1430" s="327"/>
      <c r="N1430" s="594"/>
      <c r="O1430" s="327"/>
      <c r="P1430" s="574"/>
      <c r="Q1430" s="327"/>
      <c r="R1430" s="594"/>
      <c r="S1430" s="327"/>
      <c r="T1430" s="574"/>
      <c r="U1430" s="327"/>
      <c r="V1430" s="595" t="str">
        <f>'refer admin discharge'!H1431</f>
        <v>00/00/0000</v>
      </c>
      <c r="W1430" s="327"/>
      <c r="X1430" s="596"/>
      <c r="Y1430" s="327"/>
      <c r="Z1430" s="597"/>
      <c r="AA1430" s="327"/>
      <c r="AB1430" s="596"/>
      <c r="AC1430" s="327"/>
      <c r="AD1430" s="577"/>
      <c r="AE1430" s="327"/>
      <c r="AF1430" s="596"/>
      <c r="AG1430" s="327"/>
      <c r="AH1430" s="577"/>
      <c r="AI1430" s="327"/>
      <c r="AJ1430" s="596"/>
      <c r="AK1430" s="327"/>
      <c r="AL1430" s="598"/>
      <c r="AM1430" s="326"/>
      <c r="AN1430" s="326"/>
      <c r="AO1430" s="326"/>
      <c r="AP1430" s="326"/>
      <c r="AQ1430" s="326"/>
      <c r="AR1430" s="326"/>
      <c r="AS1430" s="326"/>
      <c r="AT1430" s="326"/>
      <c r="AU1430" s="326"/>
      <c r="AV1430" s="326"/>
      <c r="AW1430" s="326"/>
      <c r="AX1430" s="326"/>
      <c r="AY1430" s="326"/>
      <c r="AZ1430" s="326"/>
      <c r="BA1430" s="326"/>
      <c r="BB1430" s="327"/>
    </row>
    <row r="1431" spans="1:54" ht="15.75" customHeight="1" x14ac:dyDescent="0.25">
      <c r="A1431" s="11">
        <f t="shared" si="5"/>
        <v>1418</v>
      </c>
      <c r="B1431" s="504" t="str">
        <f>'refer admin discharge'!B1427</f>
        <v>x</v>
      </c>
      <c r="C1431" s="327"/>
      <c r="D1431" s="505" t="str">
        <f>'refer admin discharge'!D1427</f>
        <v>xx</v>
      </c>
      <c r="E1431" s="327"/>
      <c r="F1431" s="606" t="str">
        <f>'refer admin discharge'!H1427</f>
        <v>00/00/0000</v>
      </c>
      <c r="G1431" s="327"/>
      <c r="H1431" s="594"/>
      <c r="I1431" s="327"/>
      <c r="J1431" s="605"/>
      <c r="K1431" s="327"/>
      <c r="L1431" s="594"/>
      <c r="M1431" s="327"/>
      <c r="N1431" s="575"/>
      <c r="O1431" s="327"/>
      <c r="P1431" s="594"/>
      <c r="Q1431" s="327"/>
      <c r="R1431" s="575"/>
      <c r="S1431" s="327"/>
      <c r="T1431" s="594"/>
      <c r="U1431" s="327"/>
      <c r="V1431" s="595" t="str">
        <f>'refer admin discharge'!H1432</f>
        <v>00/00/0000</v>
      </c>
      <c r="W1431" s="327"/>
      <c r="X1431" s="577"/>
      <c r="Y1431" s="327"/>
      <c r="Z1431" s="604"/>
      <c r="AA1431" s="327"/>
      <c r="AB1431" s="577"/>
      <c r="AC1431" s="327"/>
      <c r="AD1431" s="576"/>
      <c r="AE1431" s="327"/>
      <c r="AF1431" s="577"/>
      <c r="AG1431" s="327"/>
      <c r="AH1431" s="576"/>
      <c r="AI1431" s="327"/>
      <c r="AJ1431" s="577"/>
      <c r="AK1431" s="327"/>
      <c r="AL1431" s="602"/>
      <c r="AM1431" s="326"/>
      <c r="AN1431" s="326"/>
      <c r="AO1431" s="326"/>
      <c r="AP1431" s="326"/>
      <c r="AQ1431" s="326"/>
      <c r="AR1431" s="326"/>
      <c r="AS1431" s="326"/>
      <c r="AT1431" s="326"/>
      <c r="AU1431" s="326"/>
      <c r="AV1431" s="326"/>
      <c r="AW1431" s="326"/>
      <c r="AX1431" s="326"/>
      <c r="AY1431" s="326"/>
      <c r="AZ1431" s="326"/>
      <c r="BA1431" s="326"/>
      <c r="BB1431" s="327"/>
    </row>
    <row r="1432" spans="1:54" ht="15.75" customHeight="1" x14ac:dyDescent="0.25">
      <c r="A1432" s="11">
        <f t="shared" si="5"/>
        <v>1419</v>
      </c>
      <c r="B1432" s="570" t="str">
        <f>'refer admin discharge'!B1428</f>
        <v>x</v>
      </c>
      <c r="C1432" s="327"/>
      <c r="D1432" s="599" t="str">
        <f>'refer admin discharge'!D1428</f>
        <v>xx</v>
      </c>
      <c r="E1432" s="327"/>
      <c r="F1432" s="600" t="str">
        <f>'refer admin discharge'!H1428</f>
        <v>00/00/0000</v>
      </c>
      <c r="G1432" s="327"/>
      <c r="H1432" s="574"/>
      <c r="I1432" s="327"/>
      <c r="J1432" s="601"/>
      <c r="K1432" s="327"/>
      <c r="L1432" s="574"/>
      <c r="M1432" s="327"/>
      <c r="N1432" s="594"/>
      <c r="O1432" s="327"/>
      <c r="P1432" s="574"/>
      <c r="Q1432" s="327"/>
      <c r="R1432" s="594"/>
      <c r="S1432" s="327"/>
      <c r="T1432" s="574"/>
      <c r="U1432" s="327"/>
      <c r="V1432" s="595" t="str">
        <f>'refer admin discharge'!H1433</f>
        <v>00/00/0000</v>
      </c>
      <c r="W1432" s="327"/>
      <c r="X1432" s="596"/>
      <c r="Y1432" s="327"/>
      <c r="Z1432" s="597"/>
      <c r="AA1432" s="327"/>
      <c r="AB1432" s="596"/>
      <c r="AC1432" s="327"/>
      <c r="AD1432" s="577"/>
      <c r="AE1432" s="327"/>
      <c r="AF1432" s="596"/>
      <c r="AG1432" s="327"/>
      <c r="AH1432" s="577"/>
      <c r="AI1432" s="327"/>
      <c r="AJ1432" s="596"/>
      <c r="AK1432" s="327"/>
      <c r="AL1432" s="598"/>
      <c r="AM1432" s="326"/>
      <c r="AN1432" s="326"/>
      <c r="AO1432" s="326"/>
      <c r="AP1432" s="326"/>
      <c r="AQ1432" s="326"/>
      <c r="AR1432" s="326"/>
      <c r="AS1432" s="326"/>
      <c r="AT1432" s="326"/>
      <c r="AU1432" s="326"/>
      <c r="AV1432" s="326"/>
      <c r="AW1432" s="326"/>
      <c r="AX1432" s="326"/>
      <c r="AY1432" s="326"/>
      <c r="AZ1432" s="326"/>
      <c r="BA1432" s="326"/>
      <c r="BB1432" s="327"/>
    </row>
    <row r="1433" spans="1:54" ht="15.75" customHeight="1" x14ac:dyDescent="0.25">
      <c r="A1433" s="11">
        <f t="shared" si="5"/>
        <v>1420</v>
      </c>
      <c r="B1433" s="504" t="str">
        <f>'refer admin discharge'!B1429</f>
        <v>x</v>
      </c>
      <c r="C1433" s="327"/>
      <c r="D1433" s="505" t="str">
        <f>'refer admin discharge'!D1429</f>
        <v>xx</v>
      </c>
      <c r="E1433" s="327"/>
      <c r="F1433" s="606" t="str">
        <f>'refer admin discharge'!H1429</f>
        <v>00/00/0000</v>
      </c>
      <c r="G1433" s="327"/>
      <c r="H1433" s="594"/>
      <c r="I1433" s="327"/>
      <c r="J1433" s="605"/>
      <c r="K1433" s="327"/>
      <c r="L1433" s="594"/>
      <c r="M1433" s="327"/>
      <c r="N1433" s="575"/>
      <c r="O1433" s="327"/>
      <c r="P1433" s="594"/>
      <c r="Q1433" s="327"/>
      <c r="R1433" s="575"/>
      <c r="S1433" s="327"/>
      <c r="T1433" s="594"/>
      <c r="U1433" s="327"/>
      <c r="V1433" s="595" t="str">
        <f>'refer admin discharge'!H1434</f>
        <v>00/00/0000</v>
      </c>
      <c r="W1433" s="327"/>
      <c r="X1433" s="577"/>
      <c r="Y1433" s="327"/>
      <c r="Z1433" s="604"/>
      <c r="AA1433" s="327"/>
      <c r="AB1433" s="577"/>
      <c r="AC1433" s="327"/>
      <c r="AD1433" s="576"/>
      <c r="AE1433" s="327"/>
      <c r="AF1433" s="577"/>
      <c r="AG1433" s="327"/>
      <c r="AH1433" s="576"/>
      <c r="AI1433" s="327"/>
      <c r="AJ1433" s="577"/>
      <c r="AK1433" s="327"/>
      <c r="AL1433" s="602"/>
      <c r="AM1433" s="326"/>
      <c r="AN1433" s="326"/>
      <c r="AO1433" s="326"/>
      <c r="AP1433" s="326"/>
      <c r="AQ1433" s="326"/>
      <c r="AR1433" s="326"/>
      <c r="AS1433" s="326"/>
      <c r="AT1433" s="326"/>
      <c r="AU1433" s="326"/>
      <c r="AV1433" s="326"/>
      <c r="AW1433" s="326"/>
      <c r="AX1433" s="326"/>
      <c r="AY1433" s="326"/>
      <c r="AZ1433" s="326"/>
      <c r="BA1433" s="326"/>
      <c r="BB1433" s="327"/>
    </row>
    <row r="1434" spans="1:54" ht="15.75" customHeight="1" x14ac:dyDescent="0.25">
      <c r="A1434" s="11">
        <f t="shared" si="5"/>
        <v>1421</v>
      </c>
      <c r="B1434" s="570" t="str">
        <f>'refer admin discharge'!B1430</f>
        <v>x</v>
      </c>
      <c r="C1434" s="327"/>
      <c r="D1434" s="599" t="str">
        <f>'refer admin discharge'!D1430</f>
        <v>xx</v>
      </c>
      <c r="E1434" s="327"/>
      <c r="F1434" s="600" t="str">
        <f>'refer admin discharge'!H1430</f>
        <v>00/00/0000</v>
      </c>
      <c r="G1434" s="327"/>
      <c r="H1434" s="574"/>
      <c r="I1434" s="327"/>
      <c r="J1434" s="601"/>
      <c r="K1434" s="327"/>
      <c r="L1434" s="574"/>
      <c r="M1434" s="327"/>
      <c r="N1434" s="594"/>
      <c r="O1434" s="327"/>
      <c r="P1434" s="574"/>
      <c r="Q1434" s="327"/>
      <c r="R1434" s="594"/>
      <c r="S1434" s="327"/>
      <c r="T1434" s="574"/>
      <c r="U1434" s="327"/>
      <c r="V1434" s="595" t="str">
        <f>'refer admin discharge'!H1435</f>
        <v>00/00/0000</v>
      </c>
      <c r="W1434" s="327"/>
      <c r="X1434" s="596"/>
      <c r="Y1434" s="327"/>
      <c r="Z1434" s="597"/>
      <c r="AA1434" s="327"/>
      <c r="AB1434" s="596"/>
      <c r="AC1434" s="327"/>
      <c r="AD1434" s="577"/>
      <c r="AE1434" s="327"/>
      <c r="AF1434" s="596"/>
      <c r="AG1434" s="327"/>
      <c r="AH1434" s="577"/>
      <c r="AI1434" s="327"/>
      <c r="AJ1434" s="596"/>
      <c r="AK1434" s="327"/>
      <c r="AL1434" s="598"/>
      <c r="AM1434" s="326"/>
      <c r="AN1434" s="326"/>
      <c r="AO1434" s="326"/>
      <c r="AP1434" s="326"/>
      <c r="AQ1434" s="326"/>
      <c r="AR1434" s="326"/>
      <c r="AS1434" s="326"/>
      <c r="AT1434" s="326"/>
      <c r="AU1434" s="326"/>
      <c r="AV1434" s="326"/>
      <c r="AW1434" s="326"/>
      <c r="AX1434" s="326"/>
      <c r="AY1434" s="326"/>
      <c r="AZ1434" s="326"/>
      <c r="BA1434" s="326"/>
      <c r="BB1434" s="327"/>
    </row>
    <row r="1435" spans="1:54" ht="15.75" customHeight="1" x14ac:dyDescent="0.25">
      <c r="A1435" s="11">
        <f t="shared" si="5"/>
        <v>1422</v>
      </c>
      <c r="B1435" s="504" t="str">
        <f>'refer admin discharge'!B1431</f>
        <v>x</v>
      </c>
      <c r="C1435" s="327"/>
      <c r="D1435" s="505" t="str">
        <f>'refer admin discharge'!D1431</f>
        <v>xx</v>
      </c>
      <c r="E1435" s="327"/>
      <c r="F1435" s="606" t="str">
        <f>'refer admin discharge'!H1431</f>
        <v>00/00/0000</v>
      </c>
      <c r="G1435" s="327"/>
      <c r="H1435" s="594"/>
      <c r="I1435" s="327"/>
      <c r="J1435" s="605"/>
      <c r="K1435" s="327"/>
      <c r="L1435" s="594"/>
      <c r="M1435" s="327"/>
      <c r="N1435" s="575"/>
      <c r="O1435" s="327"/>
      <c r="P1435" s="594"/>
      <c r="Q1435" s="327"/>
      <c r="R1435" s="575"/>
      <c r="S1435" s="327"/>
      <c r="T1435" s="594"/>
      <c r="U1435" s="327"/>
      <c r="V1435" s="595" t="str">
        <f>'refer admin discharge'!H1436</f>
        <v>00/00/0000</v>
      </c>
      <c r="W1435" s="327"/>
      <c r="X1435" s="577"/>
      <c r="Y1435" s="327"/>
      <c r="Z1435" s="604"/>
      <c r="AA1435" s="327"/>
      <c r="AB1435" s="577"/>
      <c r="AC1435" s="327"/>
      <c r="AD1435" s="576"/>
      <c r="AE1435" s="327"/>
      <c r="AF1435" s="577"/>
      <c r="AG1435" s="327"/>
      <c r="AH1435" s="576"/>
      <c r="AI1435" s="327"/>
      <c r="AJ1435" s="577"/>
      <c r="AK1435" s="327"/>
      <c r="AL1435" s="602"/>
      <c r="AM1435" s="326"/>
      <c r="AN1435" s="326"/>
      <c r="AO1435" s="326"/>
      <c r="AP1435" s="326"/>
      <c r="AQ1435" s="326"/>
      <c r="AR1435" s="326"/>
      <c r="AS1435" s="326"/>
      <c r="AT1435" s="326"/>
      <c r="AU1435" s="326"/>
      <c r="AV1435" s="326"/>
      <c r="AW1435" s="326"/>
      <c r="AX1435" s="326"/>
      <c r="AY1435" s="326"/>
      <c r="AZ1435" s="326"/>
      <c r="BA1435" s="326"/>
      <c r="BB1435" s="327"/>
    </row>
    <row r="1436" spans="1:54" ht="15.75" customHeight="1" x14ac:dyDescent="0.25">
      <c r="A1436" s="11">
        <f t="shared" si="5"/>
        <v>1423</v>
      </c>
      <c r="B1436" s="570" t="str">
        <f>'refer admin discharge'!B1432</f>
        <v>x</v>
      </c>
      <c r="C1436" s="327"/>
      <c r="D1436" s="599" t="str">
        <f>'refer admin discharge'!D1432</f>
        <v>xx</v>
      </c>
      <c r="E1436" s="327"/>
      <c r="F1436" s="600" t="str">
        <f>'refer admin discharge'!H1432</f>
        <v>00/00/0000</v>
      </c>
      <c r="G1436" s="327"/>
      <c r="H1436" s="574"/>
      <c r="I1436" s="327"/>
      <c r="J1436" s="601"/>
      <c r="K1436" s="327"/>
      <c r="L1436" s="574"/>
      <c r="M1436" s="327"/>
      <c r="N1436" s="594"/>
      <c r="O1436" s="327"/>
      <c r="P1436" s="574"/>
      <c r="Q1436" s="327"/>
      <c r="R1436" s="594"/>
      <c r="S1436" s="327"/>
      <c r="T1436" s="574"/>
      <c r="U1436" s="327"/>
      <c r="V1436" s="595" t="str">
        <f>'refer admin discharge'!H1437</f>
        <v>00/00/0000</v>
      </c>
      <c r="W1436" s="327"/>
      <c r="X1436" s="596"/>
      <c r="Y1436" s="327"/>
      <c r="Z1436" s="597"/>
      <c r="AA1436" s="327"/>
      <c r="AB1436" s="596"/>
      <c r="AC1436" s="327"/>
      <c r="AD1436" s="577"/>
      <c r="AE1436" s="327"/>
      <c r="AF1436" s="596"/>
      <c r="AG1436" s="327"/>
      <c r="AH1436" s="577"/>
      <c r="AI1436" s="327"/>
      <c r="AJ1436" s="596"/>
      <c r="AK1436" s="327"/>
      <c r="AL1436" s="598"/>
      <c r="AM1436" s="326"/>
      <c r="AN1436" s="326"/>
      <c r="AO1436" s="326"/>
      <c r="AP1436" s="326"/>
      <c r="AQ1436" s="326"/>
      <c r="AR1436" s="326"/>
      <c r="AS1436" s="326"/>
      <c r="AT1436" s="326"/>
      <c r="AU1436" s="326"/>
      <c r="AV1436" s="326"/>
      <c r="AW1436" s="326"/>
      <c r="AX1436" s="326"/>
      <c r="AY1436" s="326"/>
      <c r="AZ1436" s="326"/>
      <c r="BA1436" s="326"/>
      <c r="BB1436" s="327"/>
    </row>
    <row r="1437" spans="1:54" ht="15.75" customHeight="1" x14ac:dyDescent="0.25">
      <c r="A1437" s="11">
        <f t="shared" si="5"/>
        <v>1424</v>
      </c>
      <c r="B1437" s="504" t="str">
        <f>'refer admin discharge'!B1433</f>
        <v>x</v>
      </c>
      <c r="C1437" s="327"/>
      <c r="D1437" s="505" t="str">
        <f>'refer admin discharge'!D1433</f>
        <v>xx</v>
      </c>
      <c r="E1437" s="327"/>
      <c r="F1437" s="606" t="str">
        <f>'refer admin discharge'!H1433</f>
        <v>00/00/0000</v>
      </c>
      <c r="G1437" s="327"/>
      <c r="H1437" s="594"/>
      <c r="I1437" s="327"/>
      <c r="J1437" s="605"/>
      <c r="K1437" s="327"/>
      <c r="L1437" s="594"/>
      <c r="M1437" s="327"/>
      <c r="N1437" s="575"/>
      <c r="O1437" s="327"/>
      <c r="P1437" s="594"/>
      <c r="Q1437" s="327"/>
      <c r="R1437" s="575"/>
      <c r="S1437" s="327"/>
      <c r="T1437" s="594"/>
      <c r="U1437" s="327"/>
      <c r="V1437" s="595" t="str">
        <f>'refer admin discharge'!H1438</f>
        <v>00/00/0000</v>
      </c>
      <c r="W1437" s="327"/>
      <c r="X1437" s="577"/>
      <c r="Y1437" s="327"/>
      <c r="Z1437" s="604"/>
      <c r="AA1437" s="327"/>
      <c r="AB1437" s="577"/>
      <c r="AC1437" s="327"/>
      <c r="AD1437" s="576"/>
      <c r="AE1437" s="327"/>
      <c r="AF1437" s="577"/>
      <c r="AG1437" s="327"/>
      <c r="AH1437" s="576"/>
      <c r="AI1437" s="327"/>
      <c r="AJ1437" s="577"/>
      <c r="AK1437" s="327"/>
      <c r="AL1437" s="602"/>
      <c r="AM1437" s="326"/>
      <c r="AN1437" s="326"/>
      <c r="AO1437" s="326"/>
      <c r="AP1437" s="326"/>
      <c r="AQ1437" s="326"/>
      <c r="AR1437" s="326"/>
      <c r="AS1437" s="326"/>
      <c r="AT1437" s="326"/>
      <c r="AU1437" s="326"/>
      <c r="AV1437" s="326"/>
      <c r="AW1437" s="326"/>
      <c r="AX1437" s="326"/>
      <c r="AY1437" s="326"/>
      <c r="AZ1437" s="326"/>
      <c r="BA1437" s="326"/>
      <c r="BB1437" s="327"/>
    </row>
    <row r="1438" spans="1:54" ht="15.75" customHeight="1" x14ac:dyDescent="0.25">
      <c r="A1438" s="11">
        <f t="shared" si="5"/>
        <v>1425</v>
      </c>
      <c r="B1438" s="570" t="str">
        <f>'refer admin discharge'!B1434</f>
        <v>x</v>
      </c>
      <c r="C1438" s="327"/>
      <c r="D1438" s="599" t="str">
        <f>'refer admin discharge'!D1434</f>
        <v>xx</v>
      </c>
      <c r="E1438" s="327"/>
      <c r="F1438" s="600" t="str">
        <f>'refer admin discharge'!H1434</f>
        <v>00/00/0000</v>
      </c>
      <c r="G1438" s="327"/>
      <c r="H1438" s="574"/>
      <c r="I1438" s="327"/>
      <c r="J1438" s="601"/>
      <c r="K1438" s="327"/>
      <c r="L1438" s="574"/>
      <c r="M1438" s="327"/>
      <c r="N1438" s="594"/>
      <c r="O1438" s="327"/>
      <c r="P1438" s="574"/>
      <c r="Q1438" s="327"/>
      <c r="R1438" s="594"/>
      <c r="S1438" s="327"/>
      <c r="T1438" s="574"/>
      <c r="U1438" s="327"/>
      <c r="V1438" s="595" t="str">
        <f>'refer admin discharge'!H1439</f>
        <v>00/00/0000</v>
      </c>
      <c r="W1438" s="327"/>
      <c r="X1438" s="596"/>
      <c r="Y1438" s="327"/>
      <c r="Z1438" s="597"/>
      <c r="AA1438" s="327"/>
      <c r="AB1438" s="596"/>
      <c r="AC1438" s="327"/>
      <c r="AD1438" s="577"/>
      <c r="AE1438" s="327"/>
      <c r="AF1438" s="596"/>
      <c r="AG1438" s="327"/>
      <c r="AH1438" s="577"/>
      <c r="AI1438" s="327"/>
      <c r="AJ1438" s="596"/>
      <c r="AK1438" s="327"/>
      <c r="AL1438" s="598"/>
      <c r="AM1438" s="326"/>
      <c r="AN1438" s="326"/>
      <c r="AO1438" s="326"/>
      <c r="AP1438" s="326"/>
      <c r="AQ1438" s="326"/>
      <c r="AR1438" s="326"/>
      <c r="AS1438" s="326"/>
      <c r="AT1438" s="326"/>
      <c r="AU1438" s="326"/>
      <c r="AV1438" s="326"/>
      <c r="AW1438" s="326"/>
      <c r="AX1438" s="326"/>
      <c r="AY1438" s="326"/>
      <c r="AZ1438" s="326"/>
      <c r="BA1438" s="326"/>
      <c r="BB1438" s="327"/>
    </row>
    <row r="1439" spans="1:54" ht="15.75" customHeight="1" x14ac:dyDescent="0.25">
      <c r="A1439" s="11">
        <f t="shared" si="5"/>
        <v>1426</v>
      </c>
      <c r="B1439" s="504" t="str">
        <f>'refer admin discharge'!B1435</f>
        <v>x</v>
      </c>
      <c r="C1439" s="327"/>
      <c r="D1439" s="505" t="str">
        <f>'refer admin discharge'!D1435</f>
        <v>xx</v>
      </c>
      <c r="E1439" s="327"/>
      <c r="F1439" s="606" t="str">
        <f>'refer admin discharge'!H1435</f>
        <v>00/00/0000</v>
      </c>
      <c r="G1439" s="327"/>
      <c r="H1439" s="594"/>
      <c r="I1439" s="327"/>
      <c r="J1439" s="605"/>
      <c r="K1439" s="327"/>
      <c r="L1439" s="594"/>
      <c r="M1439" s="327"/>
      <c r="N1439" s="575"/>
      <c r="O1439" s="327"/>
      <c r="P1439" s="594"/>
      <c r="Q1439" s="327"/>
      <c r="R1439" s="575"/>
      <c r="S1439" s="327"/>
      <c r="T1439" s="594"/>
      <c r="U1439" s="327"/>
      <c r="V1439" s="595" t="str">
        <f>'refer admin discharge'!H1440</f>
        <v>00/00/0000</v>
      </c>
      <c r="W1439" s="327"/>
      <c r="X1439" s="577"/>
      <c r="Y1439" s="327"/>
      <c r="Z1439" s="604"/>
      <c r="AA1439" s="327"/>
      <c r="AB1439" s="577"/>
      <c r="AC1439" s="327"/>
      <c r="AD1439" s="576"/>
      <c r="AE1439" s="327"/>
      <c r="AF1439" s="577"/>
      <c r="AG1439" s="327"/>
      <c r="AH1439" s="576"/>
      <c r="AI1439" s="327"/>
      <c r="AJ1439" s="577"/>
      <c r="AK1439" s="327"/>
      <c r="AL1439" s="602"/>
      <c r="AM1439" s="326"/>
      <c r="AN1439" s="326"/>
      <c r="AO1439" s="326"/>
      <c r="AP1439" s="326"/>
      <c r="AQ1439" s="326"/>
      <c r="AR1439" s="326"/>
      <c r="AS1439" s="326"/>
      <c r="AT1439" s="326"/>
      <c r="AU1439" s="326"/>
      <c r="AV1439" s="326"/>
      <c r="AW1439" s="326"/>
      <c r="AX1439" s="326"/>
      <c r="AY1439" s="326"/>
      <c r="AZ1439" s="326"/>
      <c r="BA1439" s="326"/>
      <c r="BB1439" s="327"/>
    </row>
    <row r="1440" spans="1:54" ht="15.75" customHeight="1" x14ac:dyDescent="0.25">
      <c r="A1440" s="11">
        <f t="shared" si="5"/>
        <v>1427</v>
      </c>
      <c r="B1440" s="570" t="str">
        <f>'refer admin discharge'!B1436</f>
        <v>x</v>
      </c>
      <c r="C1440" s="327"/>
      <c r="D1440" s="599" t="str">
        <f>'refer admin discharge'!D1436</f>
        <v>xx</v>
      </c>
      <c r="E1440" s="327"/>
      <c r="F1440" s="600" t="str">
        <f>'refer admin discharge'!H1436</f>
        <v>00/00/0000</v>
      </c>
      <c r="G1440" s="327"/>
      <c r="H1440" s="574"/>
      <c r="I1440" s="327"/>
      <c r="J1440" s="601"/>
      <c r="K1440" s="327"/>
      <c r="L1440" s="574"/>
      <c r="M1440" s="327"/>
      <c r="N1440" s="594"/>
      <c r="O1440" s="327"/>
      <c r="P1440" s="574"/>
      <c r="Q1440" s="327"/>
      <c r="R1440" s="594"/>
      <c r="S1440" s="327"/>
      <c r="T1440" s="574"/>
      <c r="U1440" s="327"/>
      <c r="V1440" s="595" t="str">
        <f>'refer admin discharge'!H1441</f>
        <v>00/00/0000</v>
      </c>
      <c r="W1440" s="327"/>
      <c r="X1440" s="596"/>
      <c r="Y1440" s="327"/>
      <c r="Z1440" s="597"/>
      <c r="AA1440" s="327"/>
      <c r="AB1440" s="596"/>
      <c r="AC1440" s="327"/>
      <c r="AD1440" s="577"/>
      <c r="AE1440" s="327"/>
      <c r="AF1440" s="596"/>
      <c r="AG1440" s="327"/>
      <c r="AH1440" s="577"/>
      <c r="AI1440" s="327"/>
      <c r="AJ1440" s="596"/>
      <c r="AK1440" s="327"/>
      <c r="AL1440" s="598"/>
      <c r="AM1440" s="326"/>
      <c r="AN1440" s="326"/>
      <c r="AO1440" s="326"/>
      <c r="AP1440" s="326"/>
      <c r="AQ1440" s="326"/>
      <c r="AR1440" s="326"/>
      <c r="AS1440" s="326"/>
      <c r="AT1440" s="326"/>
      <c r="AU1440" s="326"/>
      <c r="AV1440" s="326"/>
      <c r="AW1440" s="326"/>
      <c r="AX1440" s="326"/>
      <c r="AY1440" s="326"/>
      <c r="AZ1440" s="326"/>
      <c r="BA1440" s="326"/>
      <c r="BB1440" s="327"/>
    </row>
    <row r="1441" spans="1:54" ht="15.75" customHeight="1" x14ac:dyDescent="0.25">
      <c r="A1441" s="11">
        <f t="shared" si="5"/>
        <v>1428</v>
      </c>
      <c r="B1441" s="504" t="str">
        <f>'refer admin discharge'!B1437</f>
        <v>x</v>
      </c>
      <c r="C1441" s="327"/>
      <c r="D1441" s="505" t="str">
        <f>'refer admin discharge'!D1437</f>
        <v>xx</v>
      </c>
      <c r="E1441" s="327"/>
      <c r="F1441" s="606" t="str">
        <f>'refer admin discharge'!H1437</f>
        <v>00/00/0000</v>
      </c>
      <c r="G1441" s="327"/>
      <c r="H1441" s="594"/>
      <c r="I1441" s="327"/>
      <c r="J1441" s="605"/>
      <c r="K1441" s="327"/>
      <c r="L1441" s="594"/>
      <c r="M1441" s="327"/>
      <c r="N1441" s="575"/>
      <c r="O1441" s="327"/>
      <c r="P1441" s="594"/>
      <c r="Q1441" s="327"/>
      <c r="R1441" s="575"/>
      <c r="S1441" s="327"/>
      <c r="T1441" s="594"/>
      <c r="U1441" s="327"/>
      <c r="V1441" s="595" t="str">
        <f>'refer admin discharge'!H1442</f>
        <v>00/00/0000</v>
      </c>
      <c r="W1441" s="327"/>
      <c r="X1441" s="577"/>
      <c r="Y1441" s="327"/>
      <c r="Z1441" s="604"/>
      <c r="AA1441" s="327"/>
      <c r="AB1441" s="577"/>
      <c r="AC1441" s="327"/>
      <c r="AD1441" s="576"/>
      <c r="AE1441" s="327"/>
      <c r="AF1441" s="577"/>
      <c r="AG1441" s="327"/>
      <c r="AH1441" s="576"/>
      <c r="AI1441" s="327"/>
      <c r="AJ1441" s="577"/>
      <c r="AK1441" s="327"/>
      <c r="AL1441" s="602"/>
      <c r="AM1441" s="326"/>
      <c r="AN1441" s="326"/>
      <c r="AO1441" s="326"/>
      <c r="AP1441" s="326"/>
      <c r="AQ1441" s="326"/>
      <c r="AR1441" s="326"/>
      <c r="AS1441" s="326"/>
      <c r="AT1441" s="326"/>
      <c r="AU1441" s="326"/>
      <c r="AV1441" s="326"/>
      <c r="AW1441" s="326"/>
      <c r="AX1441" s="326"/>
      <c r="AY1441" s="326"/>
      <c r="AZ1441" s="326"/>
      <c r="BA1441" s="326"/>
      <c r="BB1441" s="327"/>
    </row>
    <row r="1442" spans="1:54" ht="15.75" customHeight="1" x14ac:dyDescent="0.25">
      <c r="A1442" s="11">
        <f t="shared" si="5"/>
        <v>1429</v>
      </c>
      <c r="B1442" s="570" t="str">
        <f>'refer admin discharge'!B1438</f>
        <v>x</v>
      </c>
      <c r="C1442" s="327"/>
      <c r="D1442" s="599" t="str">
        <f>'refer admin discharge'!D1438</f>
        <v>xx</v>
      </c>
      <c r="E1442" s="327"/>
      <c r="F1442" s="600" t="str">
        <f>'refer admin discharge'!H1438</f>
        <v>00/00/0000</v>
      </c>
      <c r="G1442" s="327"/>
      <c r="H1442" s="574"/>
      <c r="I1442" s="327"/>
      <c r="J1442" s="601"/>
      <c r="K1442" s="327"/>
      <c r="L1442" s="574"/>
      <c r="M1442" s="327"/>
      <c r="N1442" s="594"/>
      <c r="O1442" s="327"/>
      <c r="P1442" s="574"/>
      <c r="Q1442" s="327"/>
      <c r="R1442" s="594"/>
      <c r="S1442" s="327"/>
      <c r="T1442" s="574"/>
      <c r="U1442" s="327"/>
      <c r="V1442" s="595" t="str">
        <f>'refer admin discharge'!H1443</f>
        <v>00/00/0000</v>
      </c>
      <c r="W1442" s="327"/>
      <c r="X1442" s="596"/>
      <c r="Y1442" s="327"/>
      <c r="Z1442" s="597"/>
      <c r="AA1442" s="327"/>
      <c r="AB1442" s="596"/>
      <c r="AC1442" s="327"/>
      <c r="AD1442" s="577"/>
      <c r="AE1442" s="327"/>
      <c r="AF1442" s="596"/>
      <c r="AG1442" s="327"/>
      <c r="AH1442" s="577"/>
      <c r="AI1442" s="327"/>
      <c r="AJ1442" s="596"/>
      <c r="AK1442" s="327"/>
      <c r="AL1442" s="598"/>
      <c r="AM1442" s="326"/>
      <c r="AN1442" s="326"/>
      <c r="AO1442" s="326"/>
      <c r="AP1442" s="326"/>
      <c r="AQ1442" s="326"/>
      <c r="AR1442" s="326"/>
      <c r="AS1442" s="326"/>
      <c r="AT1442" s="326"/>
      <c r="AU1442" s="326"/>
      <c r="AV1442" s="326"/>
      <c r="AW1442" s="326"/>
      <c r="AX1442" s="326"/>
      <c r="AY1442" s="326"/>
      <c r="AZ1442" s="326"/>
      <c r="BA1442" s="326"/>
      <c r="BB1442" s="327"/>
    </row>
    <row r="1443" spans="1:54" ht="15.75" customHeight="1" x14ac:dyDescent="0.25">
      <c r="A1443" s="11">
        <f t="shared" si="5"/>
        <v>1430</v>
      </c>
      <c r="B1443" s="504" t="str">
        <f>'refer admin discharge'!B1439</f>
        <v>x</v>
      </c>
      <c r="C1443" s="327"/>
      <c r="D1443" s="505" t="str">
        <f>'refer admin discharge'!D1439</f>
        <v>xx</v>
      </c>
      <c r="E1443" s="327"/>
      <c r="F1443" s="606" t="str">
        <f>'refer admin discharge'!H1439</f>
        <v>00/00/0000</v>
      </c>
      <c r="G1443" s="327"/>
      <c r="H1443" s="594"/>
      <c r="I1443" s="327"/>
      <c r="J1443" s="605"/>
      <c r="K1443" s="327"/>
      <c r="L1443" s="594"/>
      <c r="M1443" s="327"/>
      <c r="N1443" s="575"/>
      <c r="O1443" s="327"/>
      <c r="P1443" s="594"/>
      <c r="Q1443" s="327"/>
      <c r="R1443" s="575"/>
      <c r="S1443" s="327"/>
      <c r="T1443" s="594"/>
      <c r="U1443" s="327"/>
      <c r="V1443" s="595" t="str">
        <f>'refer admin discharge'!H1444</f>
        <v>00/00/0000</v>
      </c>
      <c r="W1443" s="327"/>
      <c r="X1443" s="577"/>
      <c r="Y1443" s="327"/>
      <c r="Z1443" s="604"/>
      <c r="AA1443" s="327"/>
      <c r="AB1443" s="577"/>
      <c r="AC1443" s="327"/>
      <c r="AD1443" s="576"/>
      <c r="AE1443" s="327"/>
      <c r="AF1443" s="577"/>
      <c r="AG1443" s="327"/>
      <c r="AH1443" s="576"/>
      <c r="AI1443" s="327"/>
      <c r="AJ1443" s="577"/>
      <c r="AK1443" s="327"/>
      <c r="AL1443" s="602"/>
      <c r="AM1443" s="326"/>
      <c r="AN1443" s="326"/>
      <c r="AO1443" s="326"/>
      <c r="AP1443" s="326"/>
      <c r="AQ1443" s="326"/>
      <c r="AR1443" s="326"/>
      <c r="AS1443" s="326"/>
      <c r="AT1443" s="326"/>
      <c r="AU1443" s="326"/>
      <c r="AV1443" s="326"/>
      <c r="AW1443" s="326"/>
      <c r="AX1443" s="326"/>
      <c r="AY1443" s="326"/>
      <c r="AZ1443" s="326"/>
      <c r="BA1443" s="326"/>
      <c r="BB1443" s="327"/>
    </row>
    <row r="1444" spans="1:54" ht="15.75" customHeight="1" x14ac:dyDescent="0.25">
      <c r="A1444" s="11">
        <f t="shared" si="5"/>
        <v>1431</v>
      </c>
      <c r="B1444" s="570" t="str">
        <f>'refer admin discharge'!B1440</f>
        <v>x</v>
      </c>
      <c r="C1444" s="327"/>
      <c r="D1444" s="599" t="str">
        <f>'refer admin discharge'!D1440</f>
        <v>xx</v>
      </c>
      <c r="E1444" s="327"/>
      <c r="F1444" s="600" t="str">
        <f>'refer admin discharge'!H1440</f>
        <v>00/00/0000</v>
      </c>
      <c r="G1444" s="327"/>
      <c r="H1444" s="574"/>
      <c r="I1444" s="327"/>
      <c r="J1444" s="601"/>
      <c r="K1444" s="327"/>
      <c r="L1444" s="574"/>
      <c r="M1444" s="327"/>
      <c r="N1444" s="594"/>
      <c r="O1444" s="327"/>
      <c r="P1444" s="574"/>
      <c r="Q1444" s="327"/>
      <c r="R1444" s="594"/>
      <c r="S1444" s="327"/>
      <c r="T1444" s="574"/>
      <c r="U1444" s="327"/>
      <c r="V1444" s="595" t="str">
        <f>'refer admin discharge'!H1445</f>
        <v>00/00/0000</v>
      </c>
      <c r="W1444" s="327"/>
      <c r="X1444" s="596"/>
      <c r="Y1444" s="327"/>
      <c r="Z1444" s="597"/>
      <c r="AA1444" s="327"/>
      <c r="AB1444" s="596"/>
      <c r="AC1444" s="327"/>
      <c r="AD1444" s="577"/>
      <c r="AE1444" s="327"/>
      <c r="AF1444" s="596"/>
      <c r="AG1444" s="327"/>
      <c r="AH1444" s="577"/>
      <c r="AI1444" s="327"/>
      <c r="AJ1444" s="596"/>
      <c r="AK1444" s="327"/>
      <c r="AL1444" s="598"/>
      <c r="AM1444" s="326"/>
      <c r="AN1444" s="326"/>
      <c r="AO1444" s="326"/>
      <c r="AP1444" s="326"/>
      <c r="AQ1444" s="326"/>
      <c r="AR1444" s="326"/>
      <c r="AS1444" s="326"/>
      <c r="AT1444" s="326"/>
      <c r="AU1444" s="326"/>
      <c r="AV1444" s="326"/>
      <c r="AW1444" s="326"/>
      <c r="AX1444" s="326"/>
      <c r="AY1444" s="326"/>
      <c r="AZ1444" s="326"/>
      <c r="BA1444" s="326"/>
      <c r="BB1444" s="327"/>
    </row>
    <row r="1445" spans="1:54" ht="15.75" customHeight="1" x14ac:dyDescent="0.25">
      <c r="A1445" s="11">
        <f t="shared" si="5"/>
        <v>1432</v>
      </c>
      <c r="B1445" s="504" t="str">
        <f>'refer admin discharge'!B1441</f>
        <v>x</v>
      </c>
      <c r="C1445" s="327"/>
      <c r="D1445" s="505" t="str">
        <f>'refer admin discharge'!D1441</f>
        <v>xx</v>
      </c>
      <c r="E1445" s="327"/>
      <c r="F1445" s="606" t="str">
        <f>'refer admin discharge'!H1441</f>
        <v>00/00/0000</v>
      </c>
      <c r="G1445" s="327"/>
      <c r="H1445" s="594"/>
      <c r="I1445" s="327"/>
      <c r="J1445" s="605"/>
      <c r="K1445" s="327"/>
      <c r="L1445" s="594"/>
      <c r="M1445" s="327"/>
      <c r="N1445" s="575"/>
      <c r="O1445" s="327"/>
      <c r="P1445" s="594"/>
      <c r="Q1445" s="327"/>
      <c r="R1445" s="575"/>
      <c r="S1445" s="327"/>
      <c r="T1445" s="594"/>
      <c r="U1445" s="327"/>
      <c r="V1445" s="595" t="str">
        <f>'refer admin discharge'!H1446</f>
        <v>00/00/0000</v>
      </c>
      <c r="W1445" s="327"/>
      <c r="X1445" s="577"/>
      <c r="Y1445" s="327"/>
      <c r="Z1445" s="604"/>
      <c r="AA1445" s="327"/>
      <c r="AB1445" s="577"/>
      <c r="AC1445" s="327"/>
      <c r="AD1445" s="576"/>
      <c r="AE1445" s="327"/>
      <c r="AF1445" s="577"/>
      <c r="AG1445" s="327"/>
      <c r="AH1445" s="576"/>
      <c r="AI1445" s="327"/>
      <c r="AJ1445" s="577"/>
      <c r="AK1445" s="327"/>
      <c r="AL1445" s="602"/>
      <c r="AM1445" s="326"/>
      <c r="AN1445" s="326"/>
      <c r="AO1445" s="326"/>
      <c r="AP1445" s="326"/>
      <c r="AQ1445" s="326"/>
      <c r="AR1445" s="326"/>
      <c r="AS1445" s="326"/>
      <c r="AT1445" s="326"/>
      <c r="AU1445" s="326"/>
      <c r="AV1445" s="326"/>
      <c r="AW1445" s="326"/>
      <c r="AX1445" s="326"/>
      <c r="AY1445" s="326"/>
      <c r="AZ1445" s="326"/>
      <c r="BA1445" s="326"/>
      <c r="BB1445" s="327"/>
    </row>
    <row r="1446" spans="1:54" ht="15.75" customHeight="1" x14ac:dyDescent="0.25">
      <c r="A1446" s="11">
        <f t="shared" si="5"/>
        <v>1433</v>
      </c>
      <c r="B1446" s="570" t="str">
        <f>'refer admin discharge'!B1442</f>
        <v>x</v>
      </c>
      <c r="C1446" s="327"/>
      <c r="D1446" s="599" t="str">
        <f>'refer admin discharge'!D1442</f>
        <v>xx</v>
      </c>
      <c r="E1446" s="327"/>
      <c r="F1446" s="600" t="str">
        <f>'refer admin discharge'!H1442</f>
        <v>00/00/0000</v>
      </c>
      <c r="G1446" s="327"/>
      <c r="H1446" s="574"/>
      <c r="I1446" s="327"/>
      <c r="J1446" s="601"/>
      <c r="K1446" s="327"/>
      <c r="L1446" s="574"/>
      <c r="M1446" s="327"/>
      <c r="N1446" s="594"/>
      <c r="O1446" s="327"/>
      <c r="P1446" s="574"/>
      <c r="Q1446" s="327"/>
      <c r="R1446" s="594"/>
      <c r="S1446" s="327"/>
      <c r="T1446" s="574"/>
      <c r="U1446" s="327"/>
      <c r="V1446" s="595" t="str">
        <f>'refer admin discharge'!H1447</f>
        <v>00/00/0000</v>
      </c>
      <c r="W1446" s="327"/>
      <c r="X1446" s="596"/>
      <c r="Y1446" s="327"/>
      <c r="Z1446" s="597"/>
      <c r="AA1446" s="327"/>
      <c r="AB1446" s="596"/>
      <c r="AC1446" s="327"/>
      <c r="AD1446" s="577"/>
      <c r="AE1446" s="327"/>
      <c r="AF1446" s="596"/>
      <c r="AG1446" s="327"/>
      <c r="AH1446" s="577"/>
      <c r="AI1446" s="327"/>
      <c r="AJ1446" s="596"/>
      <c r="AK1446" s="327"/>
      <c r="AL1446" s="598"/>
      <c r="AM1446" s="326"/>
      <c r="AN1446" s="326"/>
      <c r="AO1446" s="326"/>
      <c r="AP1446" s="326"/>
      <c r="AQ1446" s="326"/>
      <c r="AR1446" s="326"/>
      <c r="AS1446" s="326"/>
      <c r="AT1446" s="326"/>
      <c r="AU1446" s="326"/>
      <c r="AV1446" s="326"/>
      <c r="AW1446" s="326"/>
      <c r="AX1446" s="326"/>
      <c r="AY1446" s="326"/>
      <c r="AZ1446" s="326"/>
      <c r="BA1446" s="326"/>
      <c r="BB1446" s="327"/>
    </row>
    <row r="1447" spans="1:54" ht="15.75" customHeight="1" x14ac:dyDescent="0.25">
      <c r="A1447" s="11">
        <f t="shared" si="5"/>
        <v>1434</v>
      </c>
      <c r="B1447" s="504" t="str">
        <f>'refer admin discharge'!B1443</f>
        <v>x</v>
      </c>
      <c r="C1447" s="327"/>
      <c r="D1447" s="505" t="str">
        <f>'refer admin discharge'!D1443</f>
        <v>xx</v>
      </c>
      <c r="E1447" s="327"/>
      <c r="F1447" s="606" t="str">
        <f>'refer admin discharge'!H1443</f>
        <v>00/00/0000</v>
      </c>
      <c r="G1447" s="327"/>
      <c r="H1447" s="594"/>
      <c r="I1447" s="327"/>
      <c r="J1447" s="605"/>
      <c r="K1447" s="327"/>
      <c r="L1447" s="594"/>
      <c r="M1447" s="327"/>
      <c r="N1447" s="575"/>
      <c r="O1447" s="327"/>
      <c r="P1447" s="594"/>
      <c r="Q1447" s="327"/>
      <c r="R1447" s="575"/>
      <c r="S1447" s="327"/>
      <c r="T1447" s="594"/>
      <c r="U1447" s="327"/>
      <c r="V1447" s="595" t="str">
        <f>'refer admin discharge'!H1448</f>
        <v>00/00/0000</v>
      </c>
      <c r="W1447" s="327"/>
      <c r="X1447" s="577"/>
      <c r="Y1447" s="327"/>
      <c r="Z1447" s="604"/>
      <c r="AA1447" s="327"/>
      <c r="AB1447" s="577"/>
      <c r="AC1447" s="327"/>
      <c r="AD1447" s="576"/>
      <c r="AE1447" s="327"/>
      <c r="AF1447" s="577"/>
      <c r="AG1447" s="327"/>
      <c r="AH1447" s="576"/>
      <c r="AI1447" s="327"/>
      <c r="AJ1447" s="577"/>
      <c r="AK1447" s="327"/>
      <c r="AL1447" s="602"/>
      <c r="AM1447" s="326"/>
      <c r="AN1447" s="326"/>
      <c r="AO1447" s="326"/>
      <c r="AP1447" s="326"/>
      <c r="AQ1447" s="326"/>
      <c r="AR1447" s="326"/>
      <c r="AS1447" s="326"/>
      <c r="AT1447" s="326"/>
      <c r="AU1447" s="326"/>
      <c r="AV1447" s="326"/>
      <c r="AW1447" s="326"/>
      <c r="AX1447" s="326"/>
      <c r="AY1447" s="326"/>
      <c r="AZ1447" s="326"/>
      <c r="BA1447" s="326"/>
      <c r="BB1447" s="327"/>
    </row>
    <row r="1448" spans="1:54" ht="15.75" customHeight="1" x14ac:dyDescent="0.25">
      <c r="A1448" s="11">
        <f t="shared" si="5"/>
        <v>1435</v>
      </c>
      <c r="B1448" s="570" t="str">
        <f>'refer admin discharge'!B1444</f>
        <v>x</v>
      </c>
      <c r="C1448" s="327"/>
      <c r="D1448" s="599" t="str">
        <f>'refer admin discharge'!D1444</f>
        <v>xx</v>
      </c>
      <c r="E1448" s="327"/>
      <c r="F1448" s="600" t="str">
        <f>'refer admin discharge'!H1444</f>
        <v>00/00/0000</v>
      </c>
      <c r="G1448" s="327"/>
      <c r="H1448" s="574"/>
      <c r="I1448" s="327"/>
      <c r="J1448" s="601"/>
      <c r="K1448" s="327"/>
      <c r="L1448" s="574"/>
      <c r="M1448" s="327"/>
      <c r="N1448" s="594"/>
      <c r="O1448" s="327"/>
      <c r="P1448" s="574"/>
      <c r="Q1448" s="327"/>
      <c r="R1448" s="594"/>
      <c r="S1448" s="327"/>
      <c r="T1448" s="574"/>
      <c r="U1448" s="327"/>
      <c r="V1448" s="595" t="str">
        <f>'refer admin discharge'!H1449</f>
        <v>00/00/0000</v>
      </c>
      <c r="W1448" s="327"/>
      <c r="X1448" s="596"/>
      <c r="Y1448" s="327"/>
      <c r="Z1448" s="597"/>
      <c r="AA1448" s="327"/>
      <c r="AB1448" s="596"/>
      <c r="AC1448" s="327"/>
      <c r="AD1448" s="577"/>
      <c r="AE1448" s="327"/>
      <c r="AF1448" s="596"/>
      <c r="AG1448" s="327"/>
      <c r="AH1448" s="577"/>
      <c r="AI1448" s="327"/>
      <c r="AJ1448" s="596"/>
      <c r="AK1448" s="327"/>
      <c r="AL1448" s="598"/>
      <c r="AM1448" s="326"/>
      <c r="AN1448" s="326"/>
      <c r="AO1448" s="326"/>
      <c r="AP1448" s="326"/>
      <c r="AQ1448" s="326"/>
      <c r="AR1448" s="326"/>
      <c r="AS1448" s="326"/>
      <c r="AT1448" s="326"/>
      <c r="AU1448" s="326"/>
      <c r="AV1448" s="326"/>
      <c r="AW1448" s="326"/>
      <c r="AX1448" s="326"/>
      <c r="AY1448" s="326"/>
      <c r="AZ1448" s="326"/>
      <c r="BA1448" s="326"/>
      <c r="BB1448" s="327"/>
    </row>
    <row r="1449" spans="1:54" ht="15.75" customHeight="1" x14ac:dyDescent="0.25">
      <c r="A1449" s="11">
        <f t="shared" si="5"/>
        <v>1436</v>
      </c>
      <c r="B1449" s="504" t="str">
        <f>'refer admin discharge'!B1445</f>
        <v>x</v>
      </c>
      <c r="C1449" s="327"/>
      <c r="D1449" s="505" t="str">
        <f>'refer admin discharge'!D1445</f>
        <v>xx</v>
      </c>
      <c r="E1449" s="327"/>
      <c r="F1449" s="606" t="str">
        <f>'refer admin discharge'!H1445</f>
        <v>00/00/0000</v>
      </c>
      <c r="G1449" s="327"/>
      <c r="H1449" s="594"/>
      <c r="I1449" s="327"/>
      <c r="J1449" s="605"/>
      <c r="K1449" s="327"/>
      <c r="L1449" s="594"/>
      <c r="M1449" s="327"/>
      <c r="N1449" s="575"/>
      <c r="O1449" s="327"/>
      <c r="P1449" s="594"/>
      <c r="Q1449" s="327"/>
      <c r="R1449" s="575"/>
      <c r="S1449" s="327"/>
      <c r="T1449" s="594"/>
      <c r="U1449" s="327"/>
      <c r="V1449" s="595" t="str">
        <f>'refer admin discharge'!H1450</f>
        <v>00/00/0000</v>
      </c>
      <c r="W1449" s="327"/>
      <c r="X1449" s="577"/>
      <c r="Y1449" s="327"/>
      <c r="Z1449" s="604"/>
      <c r="AA1449" s="327"/>
      <c r="AB1449" s="577"/>
      <c r="AC1449" s="327"/>
      <c r="AD1449" s="576"/>
      <c r="AE1449" s="327"/>
      <c r="AF1449" s="577"/>
      <c r="AG1449" s="327"/>
      <c r="AH1449" s="576"/>
      <c r="AI1449" s="327"/>
      <c r="AJ1449" s="577"/>
      <c r="AK1449" s="327"/>
      <c r="AL1449" s="602"/>
      <c r="AM1449" s="326"/>
      <c r="AN1449" s="326"/>
      <c r="AO1449" s="326"/>
      <c r="AP1449" s="326"/>
      <c r="AQ1449" s="326"/>
      <c r="AR1449" s="326"/>
      <c r="AS1449" s="326"/>
      <c r="AT1449" s="326"/>
      <c r="AU1449" s="326"/>
      <c r="AV1449" s="326"/>
      <c r="AW1449" s="326"/>
      <c r="AX1449" s="326"/>
      <c r="AY1449" s="326"/>
      <c r="AZ1449" s="326"/>
      <c r="BA1449" s="326"/>
      <c r="BB1449" s="327"/>
    </row>
    <row r="1450" spans="1:54" ht="15.75" customHeight="1" x14ac:dyDescent="0.25">
      <c r="A1450" s="11">
        <f t="shared" si="5"/>
        <v>1437</v>
      </c>
      <c r="B1450" s="570" t="str">
        <f>'refer admin discharge'!B1446</f>
        <v>x</v>
      </c>
      <c r="C1450" s="327"/>
      <c r="D1450" s="599" t="str">
        <f>'refer admin discharge'!D1446</f>
        <v>xx</v>
      </c>
      <c r="E1450" s="327"/>
      <c r="F1450" s="600" t="str">
        <f>'refer admin discharge'!H1446</f>
        <v>00/00/0000</v>
      </c>
      <c r="G1450" s="327"/>
      <c r="H1450" s="574"/>
      <c r="I1450" s="327"/>
      <c r="J1450" s="601"/>
      <c r="K1450" s="327"/>
      <c r="L1450" s="574"/>
      <c r="M1450" s="327"/>
      <c r="N1450" s="594"/>
      <c r="O1450" s="327"/>
      <c r="P1450" s="574"/>
      <c r="Q1450" s="327"/>
      <c r="R1450" s="594"/>
      <c r="S1450" s="327"/>
      <c r="T1450" s="574"/>
      <c r="U1450" s="327"/>
      <c r="V1450" s="595" t="str">
        <f>'refer admin discharge'!H1451</f>
        <v>00/00/0000</v>
      </c>
      <c r="W1450" s="327"/>
      <c r="X1450" s="596"/>
      <c r="Y1450" s="327"/>
      <c r="Z1450" s="597"/>
      <c r="AA1450" s="327"/>
      <c r="AB1450" s="596"/>
      <c r="AC1450" s="327"/>
      <c r="AD1450" s="577"/>
      <c r="AE1450" s="327"/>
      <c r="AF1450" s="596"/>
      <c r="AG1450" s="327"/>
      <c r="AH1450" s="577"/>
      <c r="AI1450" s="327"/>
      <c r="AJ1450" s="596"/>
      <c r="AK1450" s="327"/>
      <c r="AL1450" s="598"/>
      <c r="AM1450" s="326"/>
      <c r="AN1450" s="326"/>
      <c r="AO1450" s="326"/>
      <c r="AP1450" s="326"/>
      <c r="AQ1450" s="326"/>
      <c r="AR1450" s="326"/>
      <c r="AS1450" s="326"/>
      <c r="AT1450" s="326"/>
      <c r="AU1450" s="326"/>
      <c r="AV1450" s="326"/>
      <c r="AW1450" s="326"/>
      <c r="AX1450" s="326"/>
      <c r="AY1450" s="326"/>
      <c r="AZ1450" s="326"/>
      <c r="BA1450" s="326"/>
      <c r="BB1450" s="327"/>
    </row>
    <row r="1451" spans="1:54" ht="15.75" customHeight="1" x14ac:dyDescent="0.25">
      <c r="A1451" s="11">
        <f t="shared" si="5"/>
        <v>1438</v>
      </c>
      <c r="B1451" s="504" t="str">
        <f>'refer admin discharge'!B1447</f>
        <v>x</v>
      </c>
      <c r="C1451" s="327"/>
      <c r="D1451" s="505" t="str">
        <f>'refer admin discharge'!D1447</f>
        <v>xx</v>
      </c>
      <c r="E1451" s="327"/>
      <c r="F1451" s="606" t="str">
        <f>'refer admin discharge'!H1447</f>
        <v>00/00/0000</v>
      </c>
      <c r="G1451" s="327"/>
      <c r="H1451" s="594"/>
      <c r="I1451" s="327"/>
      <c r="J1451" s="605"/>
      <c r="K1451" s="327"/>
      <c r="L1451" s="594"/>
      <c r="M1451" s="327"/>
      <c r="N1451" s="575"/>
      <c r="O1451" s="327"/>
      <c r="P1451" s="594"/>
      <c r="Q1451" s="327"/>
      <c r="R1451" s="575"/>
      <c r="S1451" s="327"/>
      <c r="T1451" s="594"/>
      <c r="U1451" s="327"/>
      <c r="V1451" s="595" t="str">
        <f>'refer admin discharge'!H1452</f>
        <v>00/00/0000</v>
      </c>
      <c r="W1451" s="327"/>
      <c r="X1451" s="577"/>
      <c r="Y1451" s="327"/>
      <c r="Z1451" s="604"/>
      <c r="AA1451" s="327"/>
      <c r="AB1451" s="577"/>
      <c r="AC1451" s="327"/>
      <c r="AD1451" s="576"/>
      <c r="AE1451" s="327"/>
      <c r="AF1451" s="577"/>
      <c r="AG1451" s="327"/>
      <c r="AH1451" s="576"/>
      <c r="AI1451" s="327"/>
      <c r="AJ1451" s="577"/>
      <c r="AK1451" s="327"/>
      <c r="AL1451" s="602"/>
      <c r="AM1451" s="326"/>
      <c r="AN1451" s="326"/>
      <c r="AO1451" s="326"/>
      <c r="AP1451" s="326"/>
      <c r="AQ1451" s="326"/>
      <c r="AR1451" s="326"/>
      <c r="AS1451" s="326"/>
      <c r="AT1451" s="326"/>
      <c r="AU1451" s="326"/>
      <c r="AV1451" s="326"/>
      <c r="AW1451" s="326"/>
      <c r="AX1451" s="326"/>
      <c r="AY1451" s="326"/>
      <c r="AZ1451" s="326"/>
      <c r="BA1451" s="326"/>
      <c r="BB1451" s="327"/>
    </row>
    <row r="1452" spans="1:54" ht="15.75" customHeight="1" x14ac:dyDescent="0.25">
      <c r="A1452" s="11">
        <f t="shared" si="5"/>
        <v>1439</v>
      </c>
      <c r="B1452" s="570" t="str">
        <f>'refer admin discharge'!B1448</f>
        <v>x</v>
      </c>
      <c r="C1452" s="327"/>
      <c r="D1452" s="599" t="str">
        <f>'refer admin discharge'!D1448</f>
        <v>xx</v>
      </c>
      <c r="E1452" s="327"/>
      <c r="F1452" s="600" t="str">
        <f>'refer admin discharge'!H1448</f>
        <v>00/00/0000</v>
      </c>
      <c r="G1452" s="327"/>
      <c r="H1452" s="574"/>
      <c r="I1452" s="327"/>
      <c r="J1452" s="601"/>
      <c r="K1452" s="327"/>
      <c r="L1452" s="574"/>
      <c r="M1452" s="327"/>
      <c r="N1452" s="594"/>
      <c r="O1452" s="327"/>
      <c r="P1452" s="574"/>
      <c r="Q1452" s="327"/>
      <c r="R1452" s="594"/>
      <c r="S1452" s="327"/>
      <c r="T1452" s="574"/>
      <c r="U1452" s="327"/>
      <c r="V1452" s="595" t="str">
        <f>'refer admin discharge'!H1453</f>
        <v>00/00/0000</v>
      </c>
      <c r="W1452" s="327"/>
      <c r="X1452" s="596"/>
      <c r="Y1452" s="327"/>
      <c r="Z1452" s="597"/>
      <c r="AA1452" s="327"/>
      <c r="AB1452" s="596"/>
      <c r="AC1452" s="327"/>
      <c r="AD1452" s="577"/>
      <c r="AE1452" s="327"/>
      <c r="AF1452" s="596"/>
      <c r="AG1452" s="327"/>
      <c r="AH1452" s="577"/>
      <c r="AI1452" s="327"/>
      <c r="AJ1452" s="596"/>
      <c r="AK1452" s="327"/>
      <c r="AL1452" s="598"/>
      <c r="AM1452" s="326"/>
      <c r="AN1452" s="326"/>
      <c r="AO1452" s="326"/>
      <c r="AP1452" s="326"/>
      <c r="AQ1452" s="326"/>
      <c r="AR1452" s="326"/>
      <c r="AS1452" s="326"/>
      <c r="AT1452" s="326"/>
      <c r="AU1452" s="326"/>
      <c r="AV1452" s="326"/>
      <c r="AW1452" s="326"/>
      <c r="AX1452" s="326"/>
      <c r="AY1452" s="326"/>
      <c r="AZ1452" s="326"/>
      <c r="BA1452" s="326"/>
      <c r="BB1452" s="327"/>
    </row>
    <row r="1453" spans="1:54" ht="15.75" customHeight="1" x14ac:dyDescent="0.25">
      <c r="A1453" s="11">
        <f t="shared" si="5"/>
        <v>1440</v>
      </c>
      <c r="B1453" s="504" t="str">
        <f>'refer admin discharge'!B1449</f>
        <v>x</v>
      </c>
      <c r="C1453" s="327"/>
      <c r="D1453" s="505" t="str">
        <f>'refer admin discharge'!D1449</f>
        <v>xx</v>
      </c>
      <c r="E1453" s="327"/>
      <c r="F1453" s="606" t="str">
        <f>'refer admin discharge'!H1449</f>
        <v>00/00/0000</v>
      </c>
      <c r="G1453" s="327"/>
      <c r="H1453" s="594"/>
      <c r="I1453" s="327"/>
      <c r="J1453" s="605"/>
      <c r="K1453" s="327"/>
      <c r="L1453" s="594"/>
      <c r="M1453" s="327"/>
      <c r="N1453" s="575"/>
      <c r="O1453" s="327"/>
      <c r="P1453" s="594"/>
      <c r="Q1453" s="327"/>
      <c r="R1453" s="575"/>
      <c r="S1453" s="327"/>
      <c r="T1453" s="594"/>
      <c r="U1453" s="327"/>
      <c r="V1453" s="595" t="str">
        <f>'refer admin discharge'!H1454</f>
        <v>00/00/0000</v>
      </c>
      <c r="W1453" s="327"/>
      <c r="X1453" s="577"/>
      <c r="Y1453" s="327"/>
      <c r="Z1453" s="604"/>
      <c r="AA1453" s="327"/>
      <c r="AB1453" s="577"/>
      <c r="AC1453" s="327"/>
      <c r="AD1453" s="576"/>
      <c r="AE1453" s="327"/>
      <c r="AF1453" s="577"/>
      <c r="AG1453" s="327"/>
      <c r="AH1453" s="576"/>
      <c r="AI1453" s="327"/>
      <c r="AJ1453" s="577"/>
      <c r="AK1453" s="327"/>
      <c r="AL1453" s="602"/>
      <c r="AM1453" s="326"/>
      <c r="AN1453" s="326"/>
      <c r="AO1453" s="326"/>
      <c r="AP1453" s="326"/>
      <c r="AQ1453" s="326"/>
      <c r="AR1453" s="326"/>
      <c r="AS1453" s="326"/>
      <c r="AT1453" s="326"/>
      <c r="AU1453" s="326"/>
      <c r="AV1453" s="326"/>
      <c r="AW1453" s="326"/>
      <c r="AX1453" s="326"/>
      <c r="AY1453" s="326"/>
      <c r="AZ1453" s="326"/>
      <c r="BA1453" s="326"/>
      <c r="BB1453" s="327"/>
    </row>
    <row r="1454" spans="1:54" ht="15.75" customHeight="1" x14ac:dyDescent="0.25">
      <c r="A1454" s="11">
        <f t="shared" si="5"/>
        <v>1441</v>
      </c>
      <c r="B1454" s="570" t="str">
        <f>'refer admin discharge'!B1450</f>
        <v>x</v>
      </c>
      <c r="C1454" s="327"/>
      <c r="D1454" s="599" t="str">
        <f>'refer admin discharge'!D1450</f>
        <v>xx</v>
      </c>
      <c r="E1454" s="327"/>
      <c r="F1454" s="600" t="str">
        <f>'refer admin discharge'!H1450</f>
        <v>00/00/0000</v>
      </c>
      <c r="G1454" s="327"/>
      <c r="H1454" s="574"/>
      <c r="I1454" s="327"/>
      <c r="J1454" s="601"/>
      <c r="K1454" s="327"/>
      <c r="L1454" s="574"/>
      <c r="M1454" s="327"/>
      <c r="N1454" s="594"/>
      <c r="O1454" s="327"/>
      <c r="P1454" s="574"/>
      <c r="Q1454" s="327"/>
      <c r="R1454" s="594"/>
      <c r="S1454" s="327"/>
      <c r="T1454" s="574"/>
      <c r="U1454" s="327"/>
      <c r="V1454" s="595" t="str">
        <f>'refer admin discharge'!H1455</f>
        <v>00/00/0000</v>
      </c>
      <c r="W1454" s="327"/>
      <c r="X1454" s="596"/>
      <c r="Y1454" s="327"/>
      <c r="Z1454" s="597"/>
      <c r="AA1454" s="327"/>
      <c r="AB1454" s="596"/>
      <c r="AC1454" s="327"/>
      <c r="AD1454" s="577"/>
      <c r="AE1454" s="327"/>
      <c r="AF1454" s="596"/>
      <c r="AG1454" s="327"/>
      <c r="AH1454" s="577"/>
      <c r="AI1454" s="327"/>
      <c r="AJ1454" s="596"/>
      <c r="AK1454" s="327"/>
      <c r="AL1454" s="598"/>
      <c r="AM1454" s="326"/>
      <c r="AN1454" s="326"/>
      <c r="AO1454" s="326"/>
      <c r="AP1454" s="326"/>
      <c r="AQ1454" s="326"/>
      <c r="AR1454" s="326"/>
      <c r="AS1454" s="326"/>
      <c r="AT1454" s="326"/>
      <c r="AU1454" s="326"/>
      <c r="AV1454" s="326"/>
      <c r="AW1454" s="326"/>
      <c r="AX1454" s="326"/>
      <c r="AY1454" s="326"/>
      <c r="AZ1454" s="326"/>
      <c r="BA1454" s="326"/>
      <c r="BB1454" s="327"/>
    </row>
    <row r="1455" spans="1:54" ht="15.75" customHeight="1" x14ac:dyDescent="0.25">
      <c r="A1455" s="11">
        <f t="shared" si="5"/>
        <v>1442</v>
      </c>
      <c r="B1455" s="504" t="str">
        <f>'refer admin discharge'!B1451</f>
        <v>x</v>
      </c>
      <c r="C1455" s="327"/>
      <c r="D1455" s="505" t="str">
        <f>'refer admin discharge'!D1451</f>
        <v>xx</v>
      </c>
      <c r="E1455" s="327"/>
      <c r="F1455" s="606" t="str">
        <f>'refer admin discharge'!H1451</f>
        <v>00/00/0000</v>
      </c>
      <c r="G1455" s="327"/>
      <c r="H1455" s="594"/>
      <c r="I1455" s="327"/>
      <c r="J1455" s="605"/>
      <c r="K1455" s="327"/>
      <c r="L1455" s="594"/>
      <c r="M1455" s="327"/>
      <c r="N1455" s="575"/>
      <c r="O1455" s="327"/>
      <c r="P1455" s="594"/>
      <c r="Q1455" s="327"/>
      <c r="R1455" s="575"/>
      <c r="S1455" s="327"/>
      <c r="T1455" s="594"/>
      <c r="U1455" s="327"/>
      <c r="V1455" s="595" t="str">
        <f>'refer admin discharge'!H1456</f>
        <v>00/00/0000</v>
      </c>
      <c r="W1455" s="327"/>
      <c r="X1455" s="577"/>
      <c r="Y1455" s="327"/>
      <c r="Z1455" s="604"/>
      <c r="AA1455" s="327"/>
      <c r="AB1455" s="577"/>
      <c r="AC1455" s="327"/>
      <c r="AD1455" s="576"/>
      <c r="AE1455" s="327"/>
      <c r="AF1455" s="577"/>
      <c r="AG1455" s="327"/>
      <c r="AH1455" s="576"/>
      <c r="AI1455" s="327"/>
      <c r="AJ1455" s="577"/>
      <c r="AK1455" s="327"/>
      <c r="AL1455" s="602"/>
      <c r="AM1455" s="326"/>
      <c r="AN1455" s="326"/>
      <c r="AO1455" s="326"/>
      <c r="AP1455" s="326"/>
      <c r="AQ1455" s="326"/>
      <c r="AR1455" s="326"/>
      <c r="AS1455" s="326"/>
      <c r="AT1455" s="326"/>
      <c r="AU1455" s="326"/>
      <c r="AV1455" s="326"/>
      <c r="AW1455" s="326"/>
      <c r="AX1455" s="326"/>
      <c r="AY1455" s="326"/>
      <c r="AZ1455" s="326"/>
      <c r="BA1455" s="326"/>
      <c r="BB1455" s="327"/>
    </row>
    <row r="1456" spans="1:54" ht="15.75" customHeight="1" x14ac:dyDescent="0.25">
      <c r="A1456" s="11">
        <f t="shared" si="5"/>
        <v>1443</v>
      </c>
      <c r="B1456" s="570" t="str">
        <f>'refer admin discharge'!B1452</f>
        <v>x</v>
      </c>
      <c r="C1456" s="327"/>
      <c r="D1456" s="599" t="str">
        <f>'refer admin discharge'!D1452</f>
        <v>xx</v>
      </c>
      <c r="E1456" s="327"/>
      <c r="F1456" s="600" t="str">
        <f>'refer admin discharge'!H1452</f>
        <v>00/00/0000</v>
      </c>
      <c r="G1456" s="327"/>
      <c r="H1456" s="574"/>
      <c r="I1456" s="327"/>
      <c r="J1456" s="601"/>
      <c r="K1456" s="327"/>
      <c r="L1456" s="574"/>
      <c r="M1456" s="327"/>
      <c r="N1456" s="594"/>
      <c r="O1456" s="327"/>
      <c r="P1456" s="574"/>
      <c r="Q1456" s="327"/>
      <c r="R1456" s="594"/>
      <c r="S1456" s="327"/>
      <c r="T1456" s="574"/>
      <c r="U1456" s="327"/>
      <c r="V1456" s="595" t="str">
        <f>'refer admin discharge'!H1457</f>
        <v>00/00/0000</v>
      </c>
      <c r="W1456" s="327"/>
      <c r="X1456" s="596"/>
      <c r="Y1456" s="327"/>
      <c r="Z1456" s="597"/>
      <c r="AA1456" s="327"/>
      <c r="AB1456" s="596"/>
      <c r="AC1456" s="327"/>
      <c r="AD1456" s="577"/>
      <c r="AE1456" s="327"/>
      <c r="AF1456" s="596"/>
      <c r="AG1456" s="327"/>
      <c r="AH1456" s="577"/>
      <c r="AI1456" s="327"/>
      <c r="AJ1456" s="596"/>
      <c r="AK1456" s="327"/>
      <c r="AL1456" s="598"/>
      <c r="AM1456" s="326"/>
      <c r="AN1456" s="326"/>
      <c r="AO1456" s="326"/>
      <c r="AP1456" s="326"/>
      <c r="AQ1456" s="326"/>
      <c r="AR1456" s="326"/>
      <c r="AS1456" s="326"/>
      <c r="AT1456" s="326"/>
      <c r="AU1456" s="326"/>
      <c r="AV1456" s="326"/>
      <c r="AW1456" s="326"/>
      <c r="AX1456" s="326"/>
      <c r="AY1456" s="326"/>
      <c r="AZ1456" s="326"/>
      <c r="BA1456" s="326"/>
      <c r="BB1456" s="327"/>
    </row>
    <row r="1457" spans="1:54" ht="15.75" customHeight="1" x14ac:dyDescent="0.25">
      <c r="A1457" s="11">
        <f t="shared" si="5"/>
        <v>1444</v>
      </c>
      <c r="B1457" s="504" t="str">
        <f>'refer admin discharge'!B1453</f>
        <v>x</v>
      </c>
      <c r="C1457" s="327"/>
      <c r="D1457" s="505" t="str">
        <f>'refer admin discharge'!D1453</f>
        <v>xx</v>
      </c>
      <c r="E1457" s="327"/>
      <c r="F1457" s="606" t="str">
        <f>'refer admin discharge'!H1453</f>
        <v>00/00/0000</v>
      </c>
      <c r="G1457" s="327"/>
      <c r="H1457" s="594"/>
      <c r="I1457" s="327"/>
      <c r="J1457" s="605"/>
      <c r="K1457" s="327"/>
      <c r="L1457" s="594"/>
      <c r="M1457" s="327"/>
      <c r="N1457" s="575"/>
      <c r="O1457" s="327"/>
      <c r="P1457" s="594"/>
      <c r="Q1457" s="327"/>
      <c r="R1457" s="575"/>
      <c r="S1457" s="327"/>
      <c r="T1457" s="594"/>
      <c r="U1457" s="327"/>
      <c r="V1457" s="595" t="str">
        <f>'refer admin discharge'!H1458</f>
        <v>00/00/0000</v>
      </c>
      <c r="W1457" s="327"/>
      <c r="X1457" s="577"/>
      <c r="Y1457" s="327"/>
      <c r="Z1457" s="604"/>
      <c r="AA1457" s="327"/>
      <c r="AB1457" s="577"/>
      <c r="AC1457" s="327"/>
      <c r="AD1457" s="576"/>
      <c r="AE1457" s="327"/>
      <c r="AF1457" s="577"/>
      <c r="AG1457" s="327"/>
      <c r="AH1457" s="576"/>
      <c r="AI1457" s="327"/>
      <c r="AJ1457" s="577"/>
      <c r="AK1457" s="327"/>
      <c r="AL1457" s="602"/>
      <c r="AM1457" s="326"/>
      <c r="AN1457" s="326"/>
      <c r="AO1457" s="326"/>
      <c r="AP1457" s="326"/>
      <c r="AQ1457" s="326"/>
      <c r="AR1457" s="326"/>
      <c r="AS1457" s="326"/>
      <c r="AT1457" s="326"/>
      <c r="AU1457" s="326"/>
      <c r="AV1457" s="326"/>
      <c r="AW1457" s="326"/>
      <c r="AX1457" s="326"/>
      <c r="AY1457" s="326"/>
      <c r="AZ1457" s="326"/>
      <c r="BA1457" s="326"/>
      <c r="BB1457" s="327"/>
    </row>
    <row r="1458" spans="1:54" ht="15.75" customHeight="1" x14ac:dyDescent="0.25">
      <c r="A1458" s="11">
        <f t="shared" si="5"/>
        <v>1445</v>
      </c>
      <c r="B1458" s="570" t="str">
        <f>'refer admin discharge'!B1454</f>
        <v>x</v>
      </c>
      <c r="C1458" s="327"/>
      <c r="D1458" s="599" t="str">
        <f>'refer admin discharge'!D1454</f>
        <v>xx</v>
      </c>
      <c r="E1458" s="327"/>
      <c r="F1458" s="600" t="str">
        <f>'refer admin discharge'!H1454</f>
        <v>00/00/0000</v>
      </c>
      <c r="G1458" s="327"/>
      <c r="H1458" s="574"/>
      <c r="I1458" s="327"/>
      <c r="J1458" s="601"/>
      <c r="K1458" s="327"/>
      <c r="L1458" s="574"/>
      <c r="M1458" s="327"/>
      <c r="N1458" s="594"/>
      <c r="O1458" s="327"/>
      <c r="P1458" s="574"/>
      <c r="Q1458" s="327"/>
      <c r="R1458" s="594"/>
      <c r="S1458" s="327"/>
      <c r="T1458" s="574"/>
      <c r="U1458" s="327"/>
      <c r="V1458" s="595" t="str">
        <f>'refer admin discharge'!H1459</f>
        <v>00/00/0000</v>
      </c>
      <c r="W1458" s="327"/>
      <c r="X1458" s="596"/>
      <c r="Y1458" s="327"/>
      <c r="Z1458" s="597"/>
      <c r="AA1458" s="327"/>
      <c r="AB1458" s="596"/>
      <c r="AC1458" s="327"/>
      <c r="AD1458" s="577"/>
      <c r="AE1458" s="327"/>
      <c r="AF1458" s="596"/>
      <c r="AG1458" s="327"/>
      <c r="AH1458" s="577"/>
      <c r="AI1458" s="327"/>
      <c r="AJ1458" s="596"/>
      <c r="AK1458" s="327"/>
      <c r="AL1458" s="598"/>
      <c r="AM1458" s="326"/>
      <c r="AN1458" s="326"/>
      <c r="AO1458" s="326"/>
      <c r="AP1458" s="326"/>
      <c r="AQ1458" s="326"/>
      <c r="AR1458" s="326"/>
      <c r="AS1458" s="326"/>
      <c r="AT1458" s="326"/>
      <c r="AU1458" s="326"/>
      <c r="AV1458" s="326"/>
      <c r="AW1458" s="326"/>
      <c r="AX1458" s="326"/>
      <c r="AY1458" s="326"/>
      <c r="AZ1458" s="326"/>
      <c r="BA1458" s="326"/>
      <c r="BB1458" s="327"/>
    </row>
    <row r="1459" spans="1:54" ht="15.75" customHeight="1" x14ac:dyDescent="0.25">
      <c r="A1459" s="11">
        <f t="shared" si="5"/>
        <v>1446</v>
      </c>
      <c r="B1459" s="504" t="str">
        <f>'refer admin discharge'!B1455</f>
        <v>x</v>
      </c>
      <c r="C1459" s="327"/>
      <c r="D1459" s="505" t="str">
        <f>'refer admin discharge'!D1455</f>
        <v>xx</v>
      </c>
      <c r="E1459" s="327"/>
      <c r="F1459" s="606" t="str">
        <f>'refer admin discharge'!H1455</f>
        <v>00/00/0000</v>
      </c>
      <c r="G1459" s="327"/>
      <c r="H1459" s="594"/>
      <c r="I1459" s="327"/>
      <c r="J1459" s="605"/>
      <c r="K1459" s="327"/>
      <c r="L1459" s="594"/>
      <c r="M1459" s="327"/>
      <c r="N1459" s="575"/>
      <c r="O1459" s="327"/>
      <c r="P1459" s="594"/>
      <c r="Q1459" s="327"/>
      <c r="R1459" s="575"/>
      <c r="S1459" s="327"/>
      <c r="T1459" s="594"/>
      <c r="U1459" s="327"/>
      <c r="V1459" s="595" t="str">
        <f>'refer admin discharge'!H1460</f>
        <v>00/00/0000</v>
      </c>
      <c r="W1459" s="327"/>
      <c r="X1459" s="577"/>
      <c r="Y1459" s="327"/>
      <c r="Z1459" s="604"/>
      <c r="AA1459" s="327"/>
      <c r="AB1459" s="577"/>
      <c r="AC1459" s="327"/>
      <c r="AD1459" s="576"/>
      <c r="AE1459" s="327"/>
      <c r="AF1459" s="577"/>
      <c r="AG1459" s="327"/>
      <c r="AH1459" s="576"/>
      <c r="AI1459" s="327"/>
      <c r="AJ1459" s="577"/>
      <c r="AK1459" s="327"/>
      <c r="AL1459" s="602"/>
      <c r="AM1459" s="326"/>
      <c r="AN1459" s="326"/>
      <c r="AO1459" s="326"/>
      <c r="AP1459" s="326"/>
      <c r="AQ1459" s="326"/>
      <c r="AR1459" s="326"/>
      <c r="AS1459" s="326"/>
      <c r="AT1459" s="326"/>
      <c r="AU1459" s="326"/>
      <c r="AV1459" s="326"/>
      <c r="AW1459" s="326"/>
      <c r="AX1459" s="326"/>
      <c r="AY1459" s="326"/>
      <c r="AZ1459" s="326"/>
      <c r="BA1459" s="326"/>
      <c r="BB1459" s="327"/>
    </row>
    <row r="1460" spans="1:54" ht="15.75" customHeight="1" x14ac:dyDescent="0.25">
      <c r="A1460" s="11">
        <f t="shared" si="5"/>
        <v>1447</v>
      </c>
      <c r="B1460" s="570" t="str">
        <f>'refer admin discharge'!B1456</f>
        <v>x</v>
      </c>
      <c r="C1460" s="327"/>
      <c r="D1460" s="599" t="str">
        <f>'refer admin discharge'!D1456</f>
        <v>xx</v>
      </c>
      <c r="E1460" s="327"/>
      <c r="F1460" s="600" t="str">
        <f>'refer admin discharge'!H1456</f>
        <v>00/00/0000</v>
      </c>
      <c r="G1460" s="327"/>
      <c r="H1460" s="574"/>
      <c r="I1460" s="327"/>
      <c r="J1460" s="601"/>
      <c r="K1460" s="327"/>
      <c r="L1460" s="574"/>
      <c r="M1460" s="327"/>
      <c r="N1460" s="594"/>
      <c r="O1460" s="327"/>
      <c r="P1460" s="574"/>
      <c r="Q1460" s="327"/>
      <c r="R1460" s="594"/>
      <c r="S1460" s="327"/>
      <c r="T1460" s="574"/>
      <c r="U1460" s="327"/>
      <c r="V1460" s="595" t="str">
        <f>'refer admin discharge'!H1461</f>
        <v>00/00/0000</v>
      </c>
      <c r="W1460" s="327"/>
      <c r="X1460" s="596"/>
      <c r="Y1460" s="327"/>
      <c r="Z1460" s="597"/>
      <c r="AA1460" s="327"/>
      <c r="AB1460" s="596"/>
      <c r="AC1460" s="327"/>
      <c r="AD1460" s="577"/>
      <c r="AE1460" s="327"/>
      <c r="AF1460" s="596"/>
      <c r="AG1460" s="327"/>
      <c r="AH1460" s="577"/>
      <c r="AI1460" s="327"/>
      <c r="AJ1460" s="596"/>
      <c r="AK1460" s="327"/>
      <c r="AL1460" s="598"/>
      <c r="AM1460" s="326"/>
      <c r="AN1460" s="326"/>
      <c r="AO1460" s="326"/>
      <c r="AP1460" s="326"/>
      <c r="AQ1460" s="326"/>
      <c r="AR1460" s="326"/>
      <c r="AS1460" s="326"/>
      <c r="AT1460" s="326"/>
      <c r="AU1460" s="326"/>
      <c r="AV1460" s="326"/>
      <c r="AW1460" s="326"/>
      <c r="AX1460" s="326"/>
      <c r="AY1460" s="326"/>
      <c r="AZ1460" s="326"/>
      <c r="BA1460" s="326"/>
      <c r="BB1460" s="327"/>
    </row>
    <row r="1461" spans="1:54" ht="15.75" customHeight="1" x14ac:dyDescent="0.25">
      <c r="A1461" s="11">
        <f t="shared" si="5"/>
        <v>1448</v>
      </c>
      <c r="B1461" s="504" t="str">
        <f>'refer admin discharge'!B1457</f>
        <v>x</v>
      </c>
      <c r="C1461" s="327"/>
      <c r="D1461" s="505" t="str">
        <f>'refer admin discharge'!D1457</f>
        <v>xx</v>
      </c>
      <c r="E1461" s="327"/>
      <c r="F1461" s="606" t="str">
        <f>'refer admin discharge'!H1457</f>
        <v>00/00/0000</v>
      </c>
      <c r="G1461" s="327"/>
      <c r="H1461" s="594"/>
      <c r="I1461" s="327"/>
      <c r="J1461" s="605"/>
      <c r="K1461" s="327"/>
      <c r="L1461" s="594"/>
      <c r="M1461" s="327"/>
      <c r="N1461" s="575"/>
      <c r="O1461" s="327"/>
      <c r="P1461" s="594"/>
      <c r="Q1461" s="327"/>
      <c r="R1461" s="575"/>
      <c r="S1461" s="327"/>
      <c r="T1461" s="594"/>
      <c r="U1461" s="327"/>
      <c r="V1461" s="595" t="str">
        <f>'refer admin discharge'!H1462</f>
        <v>00/00/0000</v>
      </c>
      <c r="W1461" s="327"/>
      <c r="X1461" s="577"/>
      <c r="Y1461" s="327"/>
      <c r="Z1461" s="604"/>
      <c r="AA1461" s="327"/>
      <c r="AB1461" s="577"/>
      <c r="AC1461" s="327"/>
      <c r="AD1461" s="576"/>
      <c r="AE1461" s="327"/>
      <c r="AF1461" s="577"/>
      <c r="AG1461" s="327"/>
      <c r="AH1461" s="576"/>
      <c r="AI1461" s="327"/>
      <c r="AJ1461" s="577"/>
      <c r="AK1461" s="327"/>
      <c r="AL1461" s="602"/>
      <c r="AM1461" s="326"/>
      <c r="AN1461" s="326"/>
      <c r="AO1461" s="326"/>
      <c r="AP1461" s="326"/>
      <c r="AQ1461" s="326"/>
      <c r="AR1461" s="326"/>
      <c r="AS1461" s="326"/>
      <c r="AT1461" s="326"/>
      <c r="AU1461" s="326"/>
      <c r="AV1461" s="326"/>
      <c r="AW1461" s="326"/>
      <c r="AX1461" s="326"/>
      <c r="AY1461" s="326"/>
      <c r="AZ1461" s="326"/>
      <c r="BA1461" s="326"/>
      <c r="BB1461" s="327"/>
    </row>
    <row r="1462" spans="1:54" ht="15.75" customHeight="1" x14ac:dyDescent="0.25">
      <c r="A1462" s="11">
        <f t="shared" si="5"/>
        <v>1449</v>
      </c>
      <c r="B1462" s="570" t="str">
        <f>'refer admin discharge'!B1458</f>
        <v>x</v>
      </c>
      <c r="C1462" s="327"/>
      <c r="D1462" s="599" t="str">
        <f>'refer admin discharge'!D1458</f>
        <v>xx</v>
      </c>
      <c r="E1462" s="327"/>
      <c r="F1462" s="600" t="str">
        <f>'refer admin discharge'!H1458</f>
        <v>00/00/0000</v>
      </c>
      <c r="G1462" s="327"/>
      <c r="H1462" s="574"/>
      <c r="I1462" s="327"/>
      <c r="J1462" s="601"/>
      <c r="K1462" s="327"/>
      <c r="L1462" s="574"/>
      <c r="M1462" s="327"/>
      <c r="N1462" s="594"/>
      <c r="O1462" s="327"/>
      <c r="P1462" s="574"/>
      <c r="Q1462" s="327"/>
      <c r="R1462" s="594"/>
      <c r="S1462" s="327"/>
      <c r="T1462" s="574"/>
      <c r="U1462" s="327"/>
      <c r="V1462" s="595" t="str">
        <f>'refer admin discharge'!H1463</f>
        <v>00/00/0000</v>
      </c>
      <c r="W1462" s="327"/>
      <c r="X1462" s="596"/>
      <c r="Y1462" s="327"/>
      <c r="Z1462" s="597"/>
      <c r="AA1462" s="327"/>
      <c r="AB1462" s="596"/>
      <c r="AC1462" s="327"/>
      <c r="AD1462" s="577"/>
      <c r="AE1462" s="327"/>
      <c r="AF1462" s="596"/>
      <c r="AG1462" s="327"/>
      <c r="AH1462" s="577"/>
      <c r="AI1462" s="327"/>
      <c r="AJ1462" s="596"/>
      <c r="AK1462" s="327"/>
      <c r="AL1462" s="598"/>
      <c r="AM1462" s="326"/>
      <c r="AN1462" s="326"/>
      <c r="AO1462" s="326"/>
      <c r="AP1462" s="326"/>
      <c r="AQ1462" s="326"/>
      <c r="AR1462" s="326"/>
      <c r="AS1462" s="326"/>
      <c r="AT1462" s="326"/>
      <c r="AU1462" s="326"/>
      <c r="AV1462" s="326"/>
      <c r="AW1462" s="326"/>
      <c r="AX1462" s="326"/>
      <c r="AY1462" s="326"/>
      <c r="AZ1462" s="326"/>
      <c r="BA1462" s="326"/>
      <c r="BB1462" s="327"/>
    </row>
    <row r="1463" spans="1:54" ht="15.75" customHeight="1" x14ac:dyDescent="0.25">
      <c r="A1463" s="11">
        <f t="shared" si="5"/>
        <v>1450</v>
      </c>
      <c r="B1463" s="504" t="str">
        <f>'refer admin discharge'!B1459</f>
        <v>x</v>
      </c>
      <c r="C1463" s="327"/>
      <c r="D1463" s="505" t="str">
        <f>'refer admin discharge'!D1459</f>
        <v>xx</v>
      </c>
      <c r="E1463" s="327"/>
      <c r="F1463" s="606" t="str">
        <f>'refer admin discharge'!H1459</f>
        <v>00/00/0000</v>
      </c>
      <c r="G1463" s="327"/>
      <c r="H1463" s="594"/>
      <c r="I1463" s="327"/>
      <c r="J1463" s="605"/>
      <c r="K1463" s="327"/>
      <c r="L1463" s="594"/>
      <c r="M1463" s="327"/>
      <c r="N1463" s="575"/>
      <c r="O1463" s="327"/>
      <c r="P1463" s="594"/>
      <c r="Q1463" s="327"/>
      <c r="R1463" s="575"/>
      <c r="S1463" s="327"/>
      <c r="T1463" s="594"/>
      <c r="U1463" s="327"/>
      <c r="V1463" s="595" t="str">
        <f>'refer admin discharge'!H1464</f>
        <v>00/00/0000</v>
      </c>
      <c r="W1463" s="327"/>
      <c r="X1463" s="577"/>
      <c r="Y1463" s="327"/>
      <c r="Z1463" s="604"/>
      <c r="AA1463" s="327"/>
      <c r="AB1463" s="577"/>
      <c r="AC1463" s="327"/>
      <c r="AD1463" s="576"/>
      <c r="AE1463" s="327"/>
      <c r="AF1463" s="577"/>
      <c r="AG1463" s="327"/>
      <c r="AH1463" s="576"/>
      <c r="AI1463" s="327"/>
      <c r="AJ1463" s="577"/>
      <c r="AK1463" s="327"/>
      <c r="AL1463" s="602"/>
      <c r="AM1463" s="326"/>
      <c r="AN1463" s="326"/>
      <c r="AO1463" s="326"/>
      <c r="AP1463" s="326"/>
      <c r="AQ1463" s="326"/>
      <c r="AR1463" s="326"/>
      <c r="AS1463" s="326"/>
      <c r="AT1463" s="326"/>
      <c r="AU1463" s="326"/>
      <c r="AV1463" s="326"/>
      <c r="AW1463" s="326"/>
      <c r="AX1463" s="326"/>
      <c r="AY1463" s="326"/>
      <c r="AZ1463" s="326"/>
      <c r="BA1463" s="326"/>
      <c r="BB1463" s="327"/>
    </row>
    <row r="1464" spans="1:54" ht="15.75" customHeight="1" x14ac:dyDescent="0.25">
      <c r="A1464" s="11">
        <f t="shared" si="5"/>
        <v>1451</v>
      </c>
      <c r="B1464" s="570" t="str">
        <f>'refer admin discharge'!B1460</f>
        <v>x</v>
      </c>
      <c r="C1464" s="327"/>
      <c r="D1464" s="599" t="str">
        <f>'refer admin discharge'!D1460</f>
        <v>xx</v>
      </c>
      <c r="E1464" s="327"/>
      <c r="F1464" s="600" t="str">
        <f>'refer admin discharge'!H1460</f>
        <v>00/00/0000</v>
      </c>
      <c r="G1464" s="327"/>
      <c r="H1464" s="574"/>
      <c r="I1464" s="327"/>
      <c r="J1464" s="601"/>
      <c r="K1464" s="327"/>
      <c r="L1464" s="574"/>
      <c r="M1464" s="327"/>
      <c r="N1464" s="594"/>
      <c r="O1464" s="327"/>
      <c r="P1464" s="574"/>
      <c r="Q1464" s="327"/>
      <c r="R1464" s="594"/>
      <c r="S1464" s="327"/>
      <c r="T1464" s="574"/>
      <c r="U1464" s="327"/>
      <c r="V1464" s="595" t="str">
        <f>'refer admin discharge'!H1465</f>
        <v>00/00/0000</v>
      </c>
      <c r="W1464" s="327"/>
      <c r="X1464" s="596"/>
      <c r="Y1464" s="327"/>
      <c r="Z1464" s="597"/>
      <c r="AA1464" s="327"/>
      <c r="AB1464" s="596"/>
      <c r="AC1464" s="327"/>
      <c r="AD1464" s="577"/>
      <c r="AE1464" s="327"/>
      <c r="AF1464" s="596"/>
      <c r="AG1464" s="327"/>
      <c r="AH1464" s="577"/>
      <c r="AI1464" s="327"/>
      <c r="AJ1464" s="596"/>
      <c r="AK1464" s="327"/>
      <c r="AL1464" s="598"/>
      <c r="AM1464" s="326"/>
      <c r="AN1464" s="326"/>
      <c r="AO1464" s="326"/>
      <c r="AP1464" s="326"/>
      <c r="AQ1464" s="326"/>
      <c r="AR1464" s="326"/>
      <c r="AS1464" s="326"/>
      <c r="AT1464" s="326"/>
      <c r="AU1464" s="326"/>
      <c r="AV1464" s="326"/>
      <c r="AW1464" s="326"/>
      <c r="AX1464" s="326"/>
      <c r="AY1464" s="326"/>
      <c r="AZ1464" s="326"/>
      <c r="BA1464" s="326"/>
      <c r="BB1464" s="327"/>
    </row>
    <row r="1465" spans="1:54" ht="15.75" customHeight="1" x14ac:dyDescent="0.25">
      <c r="A1465" s="11">
        <f t="shared" si="5"/>
        <v>1452</v>
      </c>
      <c r="B1465" s="504" t="str">
        <f>'refer admin discharge'!B1461</f>
        <v>x</v>
      </c>
      <c r="C1465" s="327"/>
      <c r="D1465" s="505" t="str">
        <f>'refer admin discharge'!D1461</f>
        <v>xx</v>
      </c>
      <c r="E1465" s="327"/>
      <c r="F1465" s="606" t="str">
        <f>'refer admin discharge'!H1461</f>
        <v>00/00/0000</v>
      </c>
      <c r="G1465" s="327"/>
      <c r="H1465" s="594"/>
      <c r="I1465" s="327"/>
      <c r="J1465" s="605"/>
      <c r="K1465" s="327"/>
      <c r="L1465" s="594"/>
      <c r="M1465" s="327"/>
      <c r="N1465" s="575"/>
      <c r="O1465" s="327"/>
      <c r="P1465" s="594"/>
      <c r="Q1465" s="327"/>
      <c r="R1465" s="575"/>
      <c r="S1465" s="327"/>
      <c r="T1465" s="594"/>
      <c r="U1465" s="327"/>
      <c r="V1465" s="595" t="str">
        <f>'refer admin discharge'!H1466</f>
        <v>00/00/0000</v>
      </c>
      <c r="W1465" s="327"/>
      <c r="X1465" s="577"/>
      <c r="Y1465" s="327"/>
      <c r="Z1465" s="604"/>
      <c r="AA1465" s="327"/>
      <c r="AB1465" s="577"/>
      <c r="AC1465" s="327"/>
      <c r="AD1465" s="576"/>
      <c r="AE1465" s="327"/>
      <c r="AF1465" s="577"/>
      <c r="AG1465" s="327"/>
      <c r="AH1465" s="576"/>
      <c r="AI1465" s="327"/>
      <c r="AJ1465" s="577"/>
      <c r="AK1465" s="327"/>
      <c r="AL1465" s="602"/>
      <c r="AM1465" s="326"/>
      <c r="AN1465" s="326"/>
      <c r="AO1465" s="326"/>
      <c r="AP1465" s="326"/>
      <c r="AQ1465" s="326"/>
      <c r="AR1465" s="326"/>
      <c r="AS1465" s="326"/>
      <c r="AT1465" s="326"/>
      <c r="AU1465" s="326"/>
      <c r="AV1465" s="326"/>
      <c r="AW1465" s="326"/>
      <c r="AX1465" s="326"/>
      <c r="AY1465" s="326"/>
      <c r="AZ1465" s="326"/>
      <c r="BA1465" s="326"/>
      <c r="BB1465" s="327"/>
    </row>
    <row r="1466" spans="1:54" ht="15.75" customHeight="1" x14ac:dyDescent="0.25">
      <c r="A1466" s="11">
        <f t="shared" si="5"/>
        <v>1453</v>
      </c>
      <c r="B1466" s="570" t="str">
        <f>'refer admin discharge'!B1462</f>
        <v>x</v>
      </c>
      <c r="C1466" s="327"/>
      <c r="D1466" s="599" t="str">
        <f>'refer admin discharge'!D1462</f>
        <v>xx</v>
      </c>
      <c r="E1466" s="327"/>
      <c r="F1466" s="600" t="str">
        <f>'refer admin discharge'!H1462</f>
        <v>00/00/0000</v>
      </c>
      <c r="G1466" s="327"/>
      <c r="H1466" s="574"/>
      <c r="I1466" s="327"/>
      <c r="J1466" s="601"/>
      <c r="K1466" s="327"/>
      <c r="L1466" s="574"/>
      <c r="M1466" s="327"/>
      <c r="N1466" s="594"/>
      <c r="O1466" s="327"/>
      <c r="P1466" s="574"/>
      <c r="Q1466" s="327"/>
      <c r="R1466" s="594"/>
      <c r="S1466" s="327"/>
      <c r="T1466" s="574"/>
      <c r="U1466" s="327"/>
      <c r="V1466" s="595" t="str">
        <f>'refer admin discharge'!H1467</f>
        <v>00/00/0000</v>
      </c>
      <c r="W1466" s="327"/>
      <c r="X1466" s="596"/>
      <c r="Y1466" s="327"/>
      <c r="Z1466" s="597"/>
      <c r="AA1466" s="327"/>
      <c r="AB1466" s="596"/>
      <c r="AC1466" s="327"/>
      <c r="AD1466" s="577"/>
      <c r="AE1466" s="327"/>
      <c r="AF1466" s="596"/>
      <c r="AG1466" s="327"/>
      <c r="AH1466" s="577"/>
      <c r="AI1466" s="327"/>
      <c r="AJ1466" s="596"/>
      <c r="AK1466" s="327"/>
      <c r="AL1466" s="598"/>
      <c r="AM1466" s="326"/>
      <c r="AN1466" s="326"/>
      <c r="AO1466" s="326"/>
      <c r="AP1466" s="326"/>
      <c r="AQ1466" s="326"/>
      <c r="AR1466" s="326"/>
      <c r="AS1466" s="326"/>
      <c r="AT1466" s="326"/>
      <c r="AU1466" s="326"/>
      <c r="AV1466" s="326"/>
      <c r="AW1466" s="326"/>
      <c r="AX1466" s="326"/>
      <c r="AY1466" s="326"/>
      <c r="AZ1466" s="326"/>
      <c r="BA1466" s="326"/>
      <c r="BB1466" s="327"/>
    </row>
    <row r="1467" spans="1:54" ht="15.75" customHeight="1" x14ac:dyDescent="0.25">
      <c r="A1467" s="11">
        <f t="shared" si="5"/>
        <v>1454</v>
      </c>
      <c r="B1467" s="504" t="str">
        <f>'refer admin discharge'!B1463</f>
        <v>x</v>
      </c>
      <c r="C1467" s="327"/>
      <c r="D1467" s="505" t="str">
        <f>'refer admin discharge'!D1463</f>
        <v>xx</v>
      </c>
      <c r="E1467" s="327"/>
      <c r="F1467" s="606" t="str">
        <f>'refer admin discharge'!H1463</f>
        <v>00/00/0000</v>
      </c>
      <c r="G1467" s="327"/>
      <c r="H1467" s="594"/>
      <c r="I1467" s="327"/>
      <c r="J1467" s="605"/>
      <c r="K1467" s="327"/>
      <c r="L1467" s="594"/>
      <c r="M1467" s="327"/>
      <c r="N1467" s="575"/>
      <c r="O1467" s="327"/>
      <c r="P1467" s="594"/>
      <c r="Q1467" s="327"/>
      <c r="R1467" s="575"/>
      <c r="S1467" s="327"/>
      <c r="T1467" s="594"/>
      <c r="U1467" s="327"/>
      <c r="V1467" s="595" t="str">
        <f>'refer admin discharge'!H1468</f>
        <v>00/00/0000</v>
      </c>
      <c r="W1467" s="327"/>
      <c r="X1467" s="577"/>
      <c r="Y1467" s="327"/>
      <c r="Z1467" s="604"/>
      <c r="AA1467" s="327"/>
      <c r="AB1467" s="577"/>
      <c r="AC1467" s="327"/>
      <c r="AD1467" s="576"/>
      <c r="AE1467" s="327"/>
      <c r="AF1467" s="577"/>
      <c r="AG1467" s="327"/>
      <c r="AH1467" s="576"/>
      <c r="AI1467" s="327"/>
      <c r="AJ1467" s="577"/>
      <c r="AK1467" s="327"/>
      <c r="AL1467" s="602"/>
      <c r="AM1467" s="326"/>
      <c r="AN1467" s="326"/>
      <c r="AO1467" s="326"/>
      <c r="AP1467" s="326"/>
      <c r="AQ1467" s="326"/>
      <c r="AR1467" s="326"/>
      <c r="AS1467" s="326"/>
      <c r="AT1467" s="326"/>
      <c r="AU1467" s="326"/>
      <c r="AV1467" s="326"/>
      <c r="AW1467" s="326"/>
      <c r="AX1467" s="326"/>
      <c r="AY1467" s="326"/>
      <c r="AZ1467" s="326"/>
      <c r="BA1467" s="326"/>
      <c r="BB1467" s="327"/>
    </row>
    <row r="1468" spans="1:54" ht="15.75" customHeight="1" x14ac:dyDescent="0.25">
      <c r="A1468" s="11">
        <f t="shared" si="5"/>
        <v>1455</v>
      </c>
      <c r="B1468" s="570" t="str">
        <f>'refer admin discharge'!B1464</f>
        <v>x</v>
      </c>
      <c r="C1468" s="327"/>
      <c r="D1468" s="599" t="str">
        <f>'refer admin discharge'!D1464</f>
        <v>xx</v>
      </c>
      <c r="E1468" s="327"/>
      <c r="F1468" s="600" t="str">
        <f>'refer admin discharge'!H1464</f>
        <v>00/00/0000</v>
      </c>
      <c r="G1468" s="327"/>
      <c r="H1468" s="574"/>
      <c r="I1468" s="327"/>
      <c r="J1468" s="601"/>
      <c r="K1468" s="327"/>
      <c r="L1468" s="574"/>
      <c r="M1468" s="327"/>
      <c r="N1468" s="594"/>
      <c r="O1468" s="327"/>
      <c r="P1468" s="574"/>
      <c r="Q1468" s="327"/>
      <c r="R1468" s="594"/>
      <c r="S1468" s="327"/>
      <c r="T1468" s="574"/>
      <c r="U1468" s="327"/>
      <c r="V1468" s="595" t="str">
        <f>'refer admin discharge'!H1469</f>
        <v>00/00/0000</v>
      </c>
      <c r="W1468" s="327"/>
      <c r="X1468" s="596"/>
      <c r="Y1468" s="327"/>
      <c r="Z1468" s="597"/>
      <c r="AA1468" s="327"/>
      <c r="AB1468" s="596"/>
      <c r="AC1468" s="327"/>
      <c r="AD1468" s="577"/>
      <c r="AE1468" s="327"/>
      <c r="AF1468" s="596"/>
      <c r="AG1468" s="327"/>
      <c r="AH1468" s="577"/>
      <c r="AI1468" s="327"/>
      <c r="AJ1468" s="596"/>
      <c r="AK1468" s="327"/>
      <c r="AL1468" s="598"/>
      <c r="AM1468" s="326"/>
      <c r="AN1468" s="326"/>
      <c r="AO1468" s="326"/>
      <c r="AP1468" s="326"/>
      <c r="AQ1468" s="326"/>
      <c r="AR1468" s="326"/>
      <c r="AS1468" s="326"/>
      <c r="AT1468" s="326"/>
      <c r="AU1468" s="326"/>
      <c r="AV1468" s="326"/>
      <c r="AW1468" s="326"/>
      <c r="AX1468" s="326"/>
      <c r="AY1468" s="326"/>
      <c r="AZ1468" s="326"/>
      <c r="BA1468" s="326"/>
      <c r="BB1468" s="327"/>
    </row>
    <row r="1469" spans="1:54" ht="15.75" customHeight="1" x14ac:dyDescent="0.25">
      <c r="A1469" s="11">
        <f t="shared" si="5"/>
        <v>1456</v>
      </c>
      <c r="B1469" s="504" t="str">
        <f>'refer admin discharge'!B1465</f>
        <v>x</v>
      </c>
      <c r="C1469" s="327"/>
      <c r="D1469" s="505" t="str">
        <f>'refer admin discharge'!D1465</f>
        <v>xx</v>
      </c>
      <c r="E1469" s="327"/>
      <c r="F1469" s="606" t="str">
        <f>'refer admin discharge'!H1465</f>
        <v>00/00/0000</v>
      </c>
      <c r="G1469" s="327"/>
      <c r="H1469" s="594"/>
      <c r="I1469" s="327"/>
      <c r="J1469" s="605"/>
      <c r="K1469" s="327"/>
      <c r="L1469" s="594"/>
      <c r="M1469" s="327"/>
      <c r="N1469" s="575"/>
      <c r="O1469" s="327"/>
      <c r="P1469" s="594"/>
      <c r="Q1469" s="327"/>
      <c r="R1469" s="575"/>
      <c r="S1469" s="327"/>
      <c r="T1469" s="594"/>
      <c r="U1469" s="327"/>
      <c r="V1469" s="595" t="str">
        <f>'refer admin discharge'!H1470</f>
        <v>00/00/0000</v>
      </c>
      <c r="W1469" s="327"/>
      <c r="X1469" s="577"/>
      <c r="Y1469" s="327"/>
      <c r="Z1469" s="604"/>
      <c r="AA1469" s="327"/>
      <c r="AB1469" s="577"/>
      <c r="AC1469" s="327"/>
      <c r="AD1469" s="576"/>
      <c r="AE1469" s="327"/>
      <c r="AF1469" s="577"/>
      <c r="AG1469" s="327"/>
      <c r="AH1469" s="576"/>
      <c r="AI1469" s="327"/>
      <c r="AJ1469" s="577"/>
      <c r="AK1469" s="327"/>
      <c r="AL1469" s="602"/>
      <c r="AM1469" s="326"/>
      <c r="AN1469" s="326"/>
      <c r="AO1469" s="326"/>
      <c r="AP1469" s="326"/>
      <c r="AQ1469" s="326"/>
      <c r="AR1469" s="326"/>
      <c r="AS1469" s="326"/>
      <c r="AT1469" s="326"/>
      <c r="AU1469" s="326"/>
      <c r="AV1469" s="326"/>
      <c r="AW1469" s="326"/>
      <c r="AX1469" s="326"/>
      <c r="AY1469" s="326"/>
      <c r="AZ1469" s="326"/>
      <c r="BA1469" s="326"/>
      <c r="BB1469" s="327"/>
    </row>
    <row r="1470" spans="1:54" ht="15.75" customHeight="1" x14ac:dyDescent="0.25">
      <c r="A1470" s="11">
        <f t="shared" si="5"/>
        <v>1457</v>
      </c>
      <c r="B1470" s="570" t="str">
        <f>'refer admin discharge'!B1466</f>
        <v>x</v>
      </c>
      <c r="C1470" s="327"/>
      <c r="D1470" s="599" t="str">
        <f>'refer admin discharge'!D1466</f>
        <v>xx</v>
      </c>
      <c r="E1470" s="327"/>
      <c r="F1470" s="600" t="str">
        <f>'refer admin discharge'!H1466</f>
        <v>00/00/0000</v>
      </c>
      <c r="G1470" s="327"/>
      <c r="H1470" s="574"/>
      <c r="I1470" s="327"/>
      <c r="J1470" s="601"/>
      <c r="K1470" s="327"/>
      <c r="L1470" s="574"/>
      <c r="M1470" s="327"/>
      <c r="N1470" s="594"/>
      <c r="O1470" s="327"/>
      <c r="P1470" s="574"/>
      <c r="Q1470" s="327"/>
      <c r="R1470" s="594"/>
      <c r="S1470" s="327"/>
      <c r="T1470" s="574"/>
      <c r="U1470" s="327"/>
      <c r="V1470" s="595" t="str">
        <f>'refer admin discharge'!H1471</f>
        <v>00/00/0000</v>
      </c>
      <c r="W1470" s="327"/>
      <c r="X1470" s="596"/>
      <c r="Y1470" s="327"/>
      <c r="Z1470" s="597"/>
      <c r="AA1470" s="327"/>
      <c r="AB1470" s="596"/>
      <c r="AC1470" s="327"/>
      <c r="AD1470" s="577"/>
      <c r="AE1470" s="327"/>
      <c r="AF1470" s="596"/>
      <c r="AG1470" s="327"/>
      <c r="AH1470" s="577"/>
      <c r="AI1470" s="327"/>
      <c r="AJ1470" s="596"/>
      <c r="AK1470" s="327"/>
      <c r="AL1470" s="598"/>
      <c r="AM1470" s="326"/>
      <c r="AN1470" s="326"/>
      <c r="AO1470" s="326"/>
      <c r="AP1470" s="326"/>
      <c r="AQ1470" s="326"/>
      <c r="AR1470" s="326"/>
      <c r="AS1470" s="326"/>
      <c r="AT1470" s="326"/>
      <c r="AU1470" s="326"/>
      <c r="AV1470" s="326"/>
      <c r="AW1470" s="326"/>
      <c r="AX1470" s="326"/>
      <c r="AY1470" s="326"/>
      <c r="AZ1470" s="326"/>
      <c r="BA1470" s="326"/>
      <c r="BB1470" s="327"/>
    </row>
    <row r="1471" spans="1:54" ht="15.75" customHeight="1" x14ac:dyDescent="0.25">
      <c r="A1471" s="11">
        <f t="shared" si="5"/>
        <v>1458</v>
      </c>
      <c r="B1471" s="504" t="str">
        <f>'refer admin discharge'!B1467</f>
        <v>x</v>
      </c>
      <c r="C1471" s="327"/>
      <c r="D1471" s="505" t="str">
        <f>'refer admin discharge'!D1467</f>
        <v>xx</v>
      </c>
      <c r="E1471" s="327"/>
      <c r="F1471" s="606" t="str">
        <f>'refer admin discharge'!H1467</f>
        <v>00/00/0000</v>
      </c>
      <c r="G1471" s="327"/>
      <c r="H1471" s="594"/>
      <c r="I1471" s="327"/>
      <c r="J1471" s="605"/>
      <c r="K1471" s="327"/>
      <c r="L1471" s="594"/>
      <c r="M1471" s="327"/>
      <c r="N1471" s="575"/>
      <c r="O1471" s="327"/>
      <c r="P1471" s="594"/>
      <c r="Q1471" s="327"/>
      <c r="R1471" s="575"/>
      <c r="S1471" s="327"/>
      <c r="T1471" s="594"/>
      <c r="U1471" s="327"/>
      <c r="V1471" s="595" t="str">
        <f>'refer admin discharge'!H1472</f>
        <v>00/00/0000</v>
      </c>
      <c r="W1471" s="327"/>
      <c r="X1471" s="577"/>
      <c r="Y1471" s="327"/>
      <c r="Z1471" s="604"/>
      <c r="AA1471" s="327"/>
      <c r="AB1471" s="577"/>
      <c r="AC1471" s="327"/>
      <c r="AD1471" s="576"/>
      <c r="AE1471" s="327"/>
      <c r="AF1471" s="577"/>
      <c r="AG1471" s="327"/>
      <c r="AH1471" s="576"/>
      <c r="AI1471" s="327"/>
      <c r="AJ1471" s="577"/>
      <c r="AK1471" s="327"/>
      <c r="AL1471" s="602"/>
      <c r="AM1471" s="326"/>
      <c r="AN1471" s="326"/>
      <c r="AO1471" s="326"/>
      <c r="AP1471" s="326"/>
      <c r="AQ1471" s="326"/>
      <c r="AR1471" s="326"/>
      <c r="AS1471" s="326"/>
      <c r="AT1471" s="326"/>
      <c r="AU1471" s="326"/>
      <c r="AV1471" s="326"/>
      <c r="AW1471" s="326"/>
      <c r="AX1471" s="326"/>
      <c r="AY1471" s="326"/>
      <c r="AZ1471" s="326"/>
      <c r="BA1471" s="326"/>
      <c r="BB1471" s="327"/>
    </row>
    <row r="1472" spans="1:54" ht="15.75" customHeight="1" x14ac:dyDescent="0.25">
      <c r="A1472" s="11">
        <f t="shared" si="5"/>
        <v>1459</v>
      </c>
      <c r="B1472" s="570" t="str">
        <f>'refer admin discharge'!B1468</f>
        <v>x</v>
      </c>
      <c r="C1472" s="327"/>
      <c r="D1472" s="599" t="str">
        <f>'refer admin discharge'!D1468</f>
        <v>xx</v>
      </c>
      <c r="E1472" s="327"/>
      <c r="F1472" s="600" t="str">
        <f>'refer admin discharge'!H1468</f>
        <v>00/00/0000</v>
      </c>
      <c r="G1472" s="327"/>
      <c r="H1472" s="574"/>
      <c r="I1472" s="327"/>
      <c r="J1472" s="601"/>
      <c r="K1472" s="327"/>
      <c r="L1472" s="574"/>
      <c r="M1472" s="327"/>
      <c r="N1472" s="594"/>
      <c r="O1472" s="327"/>
      <c r="P1472" s="574"/>
      <c r="Q1472" s="327"/>
      <c r="R1472" s="594"/>
      <c r="S1472" s="327"/>
      <c r="T1472" s="574"/>
      <c r="U1472" s="327"/>
      <c r="V1472" s="595" t="str">
        <f>'refer admin discharge'!H1473</f>
        <v>00/00/0000</v>
      </c>
      <c r="W1472" s="327"/>
      <c r="X1472" s="596"/>
      <c r="Y1472" s="327"/>
      <c r="Z1472" s="597"/>
      <c r="AA1472" s="327"/>
      <c r="AB1472" s="596"/>
      <c r="AC1472" s="327"/>
      <c r="AD1472" s="577"/>
      <c r="AE1472" s="327"/>
      <c r="AF1472" s="596"/>
      <c r="AG1472" s="327"/>
      <c r="AH1472" s="577"/>
      <c r="AI1472" s="327"/>
      <c r="AJ1472" s="596"/>
      <c r="AK1472" s="327"/>
      <c r="AL1472" s="598"/>
      <c r="AM1472" s="326"/>
      <c r="AN1472" s="326"/>
      <c r="AO1472" s="326"/>
      <c r="AP1472" s="326"/>
      <c r="AQ1472" s="326"/>
      <c r="AR1472" s="326"/>
      <c r="AS1472" s="326"/>
      <c r="AT1472" s="326"/>
      <c r="AU1472" s="326"/>
      <c r="AV1472" s="326"/>
      <c r="AW1472" s="326"/>
      <c r="AX1472" s="326"/>
      <c r="AY1472" s="326"/>
      <c r="AZ1472" s="326"/>
      <c r="BA1472" s="326"/>
      <c r="BB1472" s="327"/>
    </row>
    <row r="1473" spans="1:54" ht="15.75" customHeight="1" x14ac:dyDescent="0.25">
      <c r="A1473" s="11">
        <f t="shared" si="5"/>
        <v>1460</v>
      </c>
      <c r="B1473" s="504" t="str">
        <f>'refer admin discharge'!B1469</f>
        <v>x</v>
      </c>
      <c r="C1473" s="327"/>
      <c r="D1473" s="505" t="str">
        <f>'refer admin discharge'!D1469</f>
        <v>xx</v>
      </c>
      <c r="E1473" s="327"/>
      <c r="F1473" s="606" t="str">
        <f>'refer admin discharge'!H1469</f>
        <v>00/00/0000</v>
      </c>
      <c r="G1473" s="327"/>
      <c r="H1473" s="594"/>
      <c r="I1473" s="327"/>
      <c r="J1473" s="605"/>
      <c r="K1473" s="327"/>
      <c r="L1473" s="594"/>
      <c r="M1473" s="327"/>
      <c r="N1473" s="575"/>
      <c r="O1473" s="327"/>
      <c r="P1473" s="594"/>
      <c r="Q1473" s="327"/>
      <c r="R1473" s="575"/>
      <c r="S1473" s="327"/>
      <c r="T1473" s="594"/>
      <c r="U1473" s="327"/>
      <c r="V1473" s="595" t="str">
        <f>'refer admin discharge'!H1474</f>
        <v>00/00/0000</v>
      </c>
      <c r="W1473" s="327"/>
      <c r="X1473" s="577"/>
      <c r="Y1473" s="327"/>
      <c r="Z1473" s="604"/>
      <c r="AA1473" s="327"/>
      <c r="AB1473" s="577"/>
      <c r="AC1473" s="327"/>
      <c r="AD1473" s="576"/>
      <c r="AE1473" s="327"/>
      <c r="AF1473" s="577"/>
      <c r="AG1473" s="327"/>
      <c r="AH1473" s="576"/>
      <c r="AI1473" s="327"/>
      <c r="AJ1473" s="577"/>
      <c r="AK1473" s="327"/>
      <c r="AL1473" s="602"/>
      <c r="AM1473" s="326"/>
      <c r="AN1473" s="326"/>
      <c r="AO1473" s="326"/>
      <c r="AP1473" s="326"/>
      <c r="AQ1473" s="326"/>
      <c r="AR1473" s="326"/>
      <c r="AS1473" s="326"/>
      <c r="AT1473" s="326"/>
      <c r="AU1473" s="326"/>
      <c r="AV1473" s="326"/>
      <c r="AW1473" s="326"/>
      <c r="AX1473" s="326"/>
      <c r="AY1473" s="326"/>
      <c r="AZ1473" s="326"/>
      <c r="BA1473" s="326"/>
      <c r="BB1473" s="327"/>
    </row>
    <row r="1474" spans="1:54" ht="15.75" customHeight="1" x14ac:dyDescent="0.25">
      <c r="A1474" s="11">
        <f t="shared" si="5"/>
        <v>1461</v>
      </c>
      <c r="B1474" s="570" t="str">
        <f>'refer admin discharge'!B1470</f>
        <v>x</v>
      </c>
      <c r="C1474" s="327"/>
      <c r="D1474" s="599" t="str">
        <f>'refer admin discharge'!D1470</f>
        <v>xx</v>
      </c>
      <c r="E1474" s="327"/>
      <c r="F1474" s="600" t="str">
        <f>'refer admin discharge'!H1470</f>
        <v>00/00/0000</v>
      </c>
      <c r="G1474" s="327"/>
      <c r="H1474" s="574"/>
      <c r="I1474" s="327"/>
      <c r="J1474" s="601"/>
      <c r="K1474" s="327"/>
      <c r="L1474" s="574"/>
      <c r="M1474" s="327"/>
      <c r="N1474" s="594"/>
      <c r="O1474" s="327"/>
      <c r="P1474" s="574"/>
      <c r="Q1474" s="327"/>
      <c r="R1474" s="594"/>
      <c r="S1474" s="327"/>
      <c r="T1474" s="574"/>
      <c r="U1474" s="327"/>
      <c r="V1474" s="595" t="str">
        <f>'refer admin discharge'!H1475</f>
        <v>00/00/0000</v>
      </c>
      <c r="W1474" s="327"/>
      <c r="X1474" s="596"/>
      <c r="Y1474" s="327"/>
      <c r="Z1474" s="597"/>
      <c r="AA1474" s="327"/>
      <c r="AB1474" s="596"/>
      <c r="AC1474" s="327"/>
      <c r="AD1474" s="577"/>
      <c r="AE1474" s="327"/>
      <c r="AF1474" s="596"/>
      <c r="AG1474" s="327"/>
      <c r="AH1474" s="577"/>
      <c r="AI1474" s="327"/>
      <c r="AJ1474" s="596"/>
      <c r="AK1474" s="327"/>
      <c r="AL1474" s="598"/>
      <c r="AM1474" s="326"/>
      <c r="AN1474" s="326"/>
      <c r="AO1474" s="326"/>
      <c r="AP1474" s="326"/>
      <c r="AQ1474" s="326"/>
      <c r="AR1474" s="326"/>
      <c r="AS1474" s="326"/>
      <c r="AT1474" s="326"/>
      <c r="AU1474" s="326"/>
      <c r="AV1474" s="326"/>
      <c r="AW1474" s="326"/>
      <c r="AX1474" s="326"/>
      <c r="AY1474" s="326"/>
      <c r="AZ1474" s="326"/>
      <c r="BA1474" s="326"/>
      <c r="BB1474" s="327"/>
    </row>
    <row r="1475" spans="1:54" ht="15.75" customHeight="1" x14ac:dyDescent="0.25">
      <c r="A1475" s="11">
        <f t="shared" si="5"/>
        <v>1462</v>
      </c>
      <c r="B1475" s="504" t="str">
        <f>'refer admin discharge'!B1471</f>
        <v>x</v>
      </c>
      <c r="C1475" s="327"/>
      <c r="D1475" s="505" t="str">
        <f>'refer admin discharge'!D1471</f>
        <v>xx</v>
      </c>
      <c r="E1475" s="327"/>
      <c r="F1475" s="606" t="str">
        <f>'refer admin discharge'!H1471</f>
        <v>00/00/0000</v>
      </c>
      <c r="G1475" s="327"/>
      <c r="H1475" s="594"/>
      <c r="I1475" s="327"/>
      <c r="J1475" s="605"/>
      <c r="K1475" s="327"/>
      <c r="L1475" s="594"/>
      <c r="M1475" s="327"/>
      <c r="N1475" s="575"/>
      <c r="O1475" s="327"/>
      <c r="P1475" s="594"/>
      <c r="Q1475" s="327"/>
      <c r="R1475" s="575"/>
      <c r="S1475" s="327"/>
      <c r="T1475" s="594"/>
      <c r="U1475" s="327"/>
      <c r="V1475" s="595" t="str">
        <f>'refer admin discharge'!H1476</f>
        <v>00/00/0000</v>
      </c>
      <c r="W1475" s="327"/>
      <c r="X1475" s="577"/>
      <c r="Y1475" s="327"/>
      <c r="Z1475" s="604"/>
      <c r="AA1475" s="327"/>
      <c r="AB1475" s="577"/>
      <c r="AC1475" s="327"/>
      <c r="AD1475" s="576"/>
      <c r="AE1475" s="327"/>
      <c r="AF1475" s="577"/>
      <c r="AG1475" s="327"/>
      <c r="AH1475" s="576"/>
      <c r="AI1475" s="327"/>
      <c r="AJ1475" s="577"/>
      <c r="AK1475" s="327"/>
      <c r="AL1475" s="602"/>
      <c r="AM1475" s="326"/>
      <c r="AN1475" s="326"/>
      <c r="AO1475" s="326"/>
      <c r="AP1475" s="326"/>
      <c r="AQ1475" s="326"/>
      <c r="AR1475" s="326"/>
      <c r="AS1475" s="326"/>
      <c r="AT1475" s="326"/>
      <c r="AU1475" s="326"/>
      <c r="AV1475" s="326"/>
      <c r="AW1475" s="326"/>
      <c r="AX1475" s="326"/>
      <c r="AY1475" s="326"/>
      <c r="AZ1475" s="326"/>
      <c r="BA1475" s="326"/>
      <c r="BB1475" s="327"/>
    </row>
    <row r="1476" spans="1:54" ht="15.75" customHeight="1" x14ac:dyDescent="0.25">
      <c r="A1476" s="11">
        <f t="shared" si="5"/>
        <v>1463</v>
      </c>
      <c r="B1476" s="570" t="str">
        <f>'refer admin discharge'!B1472</f>
        <v>x</v>
      </c>
      <c r="C1476" s="327"/>
      <c r="D1476" s="599" t="str">
        <f>'refer admin discharge'!D1472</f>
        <v>xx</v>
      </c>
      <c r="E1476" s="327"/>
      <c r="F1476" s="600" t="str">
        <f>'refer admin discharge'!H1472</f>
        <v>00/00/0000</v>
      </c>
      <c r="G1476" s="327"/>
      <c r="H1476" s="574"/>
      <c r="I1476" s="327"/>
      <c r="J1476" s="601"/>
      <c r="K1476" s="327"/>
      <c r="L1476" s="574"/>
      <c r="M1476" s="327"/>
      <c r="N1476" s="594"/>
      <c r="O1476" s="327"/>
      <c r="P1476" s="574"/>
      <c r="Q1476" s="327"/>
      <c r="R1476" s="594"/>
      <c r="S1476" s="327"/>
      <c r="T1476" s="574"/>
      <c r="U1476" s="327"/>
      <c r="V1476" s="595" t="str">
        <f>'refer admin discharge'!H1477</f>
        <v>00/00/0000</v>
      </c>
      <c r="W1476" s="327"/>
      <c r="X1476" s="596"/>
      <c r="Y1476" s="327"/>
      <c r="Z1476" s="597"/>
      <c r="AA1476" s="327"/>
      <c r="AB1476" s="596"/>
      <c r="AC1476" s="327"/>
      <c r="AD1476" s="577"/>
      <c r="AE1476" s="327"/>
      <c r="AF1476" s="596"/>
      <c r="AG1476" s="327"/>
      <c r="AH1476" s="577"/>
      <c r="AI1476" s="327"/>
      <c r="AJ1476" s="596"/>
      <c r="AK1476" s="327"/>
      <c r="AL1476" s="598"/>
      <c r="AM1476" s="326"/>
      <c r="AN1476" s="326"/>
      <c r="AO1476" s="326"/>
      <c r="AP1476" s="326"/>
      <c r="AQ1476" s="326"/>
      <c r="AR1476" s="326"/>
      <c r="AS1476" s="326"/>
      <c r="AT1476" s="326"/>
      <c r="AU1476" s="326"/>
      <c r="AV1476" s="326"/>
      <c r="AW1476" s="326"/>
      <c r="AX1476" s="326"/>
      <c r="AY1476" s="326"/>
      <c r="AZ1476" s="326"/>
      <c r="BA1476" s="326"/>
      <c r="BB1476" s="327"/>
    </row>
    <row r="1477" spans="1:54" ht="15.75" customHeight="1" x14ac:dyDescent="0.25">
      <c r="A1477" s="11">
        <f t="shared" si="5"/>
        <v>1464</v>
      </c>
      <c r="B1477" s="504" t="str">
        <f>'refer admin discharge'!B1473</f>
        <v>x</v>
      </c>
      <c r="C1477" s="327"/>
      <c r="D1477" s="505" t="str">
        <f>'refer admin discharge'!D1473</f>
        <v>xx</v>
      </c>
      <c r="E1477" s="327"/>
      <c r="F1477" s="606" t="str">
        <f>'refer admin discharge'!H1473</f>
        <v>00/00/0000</v>
      </c>
      <c r="G1477" s="327"/>
      <c r="H1477" s="594"/>
      <c r="I1477" s="327"/>
      <c r="J1477" s="605"/>
      <c r="K1477" s="327"/>
      <c r="L1477" s="594"/>
      <c r="M1477" s="327"/>
      <c r="N1477" s="575"/>
      <c r="O1477" s="327"/>
      <c r="P1477" s="594"/>
      <c r="Q1477" s="327"/>
      <c r="R1477" s="575"/>
      <c r="S1477" s="327"/>
      <c r="T1477" s="594"/>
      <c r="U1477" s="327"/>
      <c r="V1477" s="595" t="str">
        <f>'refer admin discharge'!H1478</f>
        <v>00/00/0000</v>
      </c>
      <c r="W1477" s="327"/>
      <c r="X1477" s="577"/>
      <c r="Y1477" s="327"/>
      <c r="Z1477" s="604"/>
      <c r="AA1477" s="327"/>
      <c r="AB1477" s="577"/>
      <c r="AC1477" s="327"/>
      <c r="AD1477" s="576"/>
      <c r="AE1477" s="327"/>
      <c r="AF1477" s="577"/>
      <c r="AG1477" s="327"/>
      <c r="AH1477" s="576"/>
      <c r="AI1477" s="327"/>
      <c r="AJ1477" s="577"/>
      <c r="AK1477" s="327"/>
      <c r="AL1477" s="602"/>
      <c r="AM1477" s="326"/>
      <c r="AN1477" s="326"/>
      <c r="AO1477" s="326"/>
      <c r="AP1477" s="326"/>
      <c r="AQ1477" s="326"/>
      <c r="AR1477" s="326"/>
      <c r="AS1477" s="326"/>
      <c r="AT1477" s="326"/>
      <c r="AU1477" s="326"/>
      <c r="AV1477" s="326"/>
      <c r="AW1477" s="326"/>
      <c r="AX1477" s="326"/>
      <c r="AY1477" s="326"/>
      <c r="AZ1477" s="326"/>
      <c r="BA1477" s="326"/>
      <c r="BB1477" s="327"/>
    </row>
    <row r="1478" spans="1:54" ht="15.75" customHeight="1" x14ac:dyDescent="0.25">
      <c r="A1478" s="11">
        <f t="shared" si="5"/>
        <v>1465</v>
      </c>
      <c r="B1478" s="570" t="str">
        <f>'refer admin discharge'!B1474</f>
        <v>x</v>
      </c>
      <c r="C1478" s="327"/>
      <c r="D1478" s="599" t="str">
        <f>'refer admin discharge'!D1474</f>
        <v>xx</v>
      </c>
      <c r="E1478" s="327"/>
      <c r="F1478" s="600" t="str">
        <f>'refer admin discharge'!H1474</f>
        <v>00/00/0000</v>
      </c>
      <c r="G1478" s="327"/>
      <c r="H1478" s="574"/>
      <c r="I1478" s="327"/>
      <c r="J1478" s="601"/>
      <c r="K1478" s="327"/>
      <c r="L1478" s="574"/>
      <c r="M1478" s="327"/>
      <c r="N1478" s="594"/>
      <c r="O1478" s="327"/>
      <c r="P1478" s="574"/>
      <c r="Q1478" s="327"/>
      <c r="R1478" s="594"/>
      <c r="S1478" s="327"/>
      <c r="T1478" s="574"/>
      <c r="U1478" s="327"/>
      <c r="V1478" s="595" t="str">
        <f>'refer admin discharge'!H1479</f>
        <v>00/00/0000</v>
      </c>
      <c r="W1478" s="327"/>
      <c r="X1478" s="596"/>
      <c r="Y1478" s="327"/>
      <c r="Z1478" s="597"/>
      <c r="AA1478" s="327"/>
      <c r="AB1478" s="596"/>
      <c r="AC1478" s="327"/>
      <c r="AD1478" s="577"/>
      <c r="AE1478" s="327"/>
      <c r="AF1478" s="596"/>
      <c r="AG1478" s="327"/>
      <c r="AH1478" s="577"/>
      <c r="AI1478" s="327"/>
      <c r="AJ1478" s="596"/>
      <c r="AK1478" s="327"/>
      <c r="AL1478" s="598"/>
      <c r="AM1478" s="326"/>
      <c r="AN1478" s="326"/>
      <c r="AO1478" s="326"/>
      <c r="AP1478" s="326"/>
      <c r="AQ1478" s="326"/>
      <c r="AR1478" s="326"/>
      <c r="AS1478" s="326"/>
      <c r="AT1478" s="326"/>
      <c r="AU1478" s="326"/>
      <c r="AV1478" s="326"/>
      <c r="AW1478" s="326"/>
      <c r="AX1478" s="326"/>
      <c r="AY1478" s="326"/>
      <c r="AZ1478" s="326"/>
      <c r="BA1478" s="326"/>
      <c r="BB1478" s="327"/>
    </row>
    <row r="1479" spans="1:54" ht="15.75" customHeight="1" x14ac:dyDescent="0.25">
      <c r="A1479" s="11">
        <f t="shared" si="5"/>
        <v>1466</v>
      </c>
      <c r="B1479" s="504" t="str">
        <f>'refer admin discharge'!B1475</f>
        <v>x</v>
      </c>
      <c r="C1479" s="327"/>
      <c r="D1479" s="505" t="str">
        <f>'refer admin discharge'!D1475</f>
        <v>xx</v>
      </c>
      <c r="E1479" s="327"/>
      <c r="F1479" s="606" t="str">
        <f>'refer admin discharge'!H1475</f>
        <v>00/00/0000</v>
      </c>
      <c r="G1479" s="327"/>
      <c r="H1479" s="594"/>
      <c r="I1479" s="327"/>
      <c r="J1479" s="605"/>
      <c r="K1479" s="327"/>
      <c r="L1479" s="594"/>
      <c r="M1479" s="327"/>
      <c r="N1479" s="575"/>
      <c r="O1479" s="327"/>
      <c r="P1479" s="594"/>
      <c r="Q1479" s="327"/>
      <c r="R1479" s="575"/>
      <c r="S1479" s="327"/>
      <c r="T1479" s="594"/>
      <c r="U1479" s="327"/>
      <c r="V1479" s="595" t="str">
        <f>'refer admin discharge'!H1480</f>
        <v>00/00/0000</v>
      </c>
      <c r="W1479" s="327"/>
      <c r="X1479" s="577"/>
      <c r="Y1479" s="327"/>
      <c r="Z1479" s="604"/>
      <c r="AA1479" s="327"/>
      <c r="AB1479" s="577"/>
      <c r="AC1479" s="327"/>
      <c r="AD1479" s="576"/>
      <c r="AE1479" s="327"/>
      <c r="AF1479" s="577"/>
      <c r="AG1479" s="327"/>
      <c r="AH1479" s="576"/>
      <c r="AI1479" s="327"/>
      <c r="AJ1479" s="577"/>
      <c r="AK1479" s="327"/>
      <c r="AL1479" s="602"/>
      <c r="AM1479" s="326"/>
      <c r="AN1479" s="326"/>
      <c r="AO1479" s="326"/>
      <c r="AP1479" s="326"/>
      <c r="AQ1479" s="326"/>
      <c r="AR1479" s="326"/>
      <c r="AS1479" s="326"/>
      <c r="AT1479" s="326"/>
      <c r="AU1479" s="326"/>
      <c r="AV1479" s="326"/>
      <c r="AW1479" s="326"/>
      <c r="AX1479" s="326"/>
      <c r="AY1479" s="326"/>
      <c r="AZ1479" s="326"/>
      <c r="BA1479" s="326"/>
      <c r="BB1479" s="327"/>
    </row>
    <row r="1480" spans="1:54" ht="15.75" customHeight="1" x14ac:dyDescent="0.25">
      <c r="A1480" s="11">
        <f t="shared" si="5"/>
        <v>1467</v>
      </c>
      <c r="B1480" s="570" t="str">
        <f>'refer admin discharge'!B1476</f>
        <v>x</v>
      </c>
      <c r="C1480" s="327"/>
      <c r="D1480" s="599" t="str">
        <f>'refer admin discharge'!D1476</f>
        <v>xx</v>
      </c>
      <c r="E1480" s="327"/>
      <c r="F1480" s="600" t="str">
        <f>'refer admin discharge'!H1476</f>
        <v>00/00/0000</v>
      </c>
      <c r="G1480" s="327"/>
      <c r="H1480" s="574"/>
      <c r="I1480" s="327"/>
      <c r="J1480" s="601"/>
      <c r="K1480" s="327"/>
      <c r="L1480" s="574"/>
      <c r="M1480" s="327"/>
      <c r="N1480" s="594"/>
      <c r="O1480" s="327"/>
      <c r="P1480" s="574"/>
      <c r="Q1480" s="327"/>
      <c r="R1480" s="594"/>
      <c r="S1480" s="327"/>
      <c r="T1480" s="574"/>
      <c r="U1480" s="327"/>
      <c r="V1480" s="595" t="str">
        <f>'refer admin discharge'!H1481</f>
        <v>00/00/0000</v>
      </c>
      <c r="W1480" s="327"/>
      <c r="X1480" s="596"/>
      <c r="Y1480" s="327"/>
      <c r="Z1480" s="597"/>
      <c r="AA1480" s="327"/>
      <c r="AB1480" s="596"/>
      <c r="AC1480" s="327"/>
      <c r="AD1480" s="577"/>
      <c r="AE1480" s="327"/>
      <c r="AF1480" s="596"/>
      <c r="AG1480" s="327"/>
      <c r="AH1480" s="577"/>
      <c r="AI1480" s="327"/>
      <c r="AJ1480" s="596"/>
      <c r="AK1480" s="327"/>
      <c r="AL1480" s="598"/>
      <c r="AM1480" s="326"/>
      <c r="AN1480" s="326"/>
      <c r="AO1480" s="326"/>
      <c r="AP1480" s="326"/>
      <c r="AQ1480" s="326"/>
      <c r="AR1480" s="326"/>
      <c r="AS1480" s="326"/>
      <c r="AT1480" s="326"/>
      <c r="AU1480" s="326"/>
      <c r="AV1480" s="326"/>
      <c r="AW1480" s="326"/>
      <c r="AX1480" s="326"/>
      <c r="AY1480" s="326"/>
      <c r="AZ1480" s="326"/>
      <c r="BA1480" s="326"/>
      <c r="BB1480" s="327"/>
    </row>
    <row r="1481" spans="1:54" ht="15.75" customHeight="1" x14ac:dyDescent="0.25">
      <c r="A1481" s="11">
        <f t="shared" si="5"/>
        <v>1468</v>
      </c>
      <c r="B1481" s="504" t="str">
        <f>'refer admin discharge'!B1477</f>
        <v>x</v>
      </c>
      <c r="C1481" s="327"/>
      <c r="D1481" s="505" t="str">
        <f>'refer admin discharge'!D1477</f>
        <v>xx</v>
      </c>
      <c r="E1481" s="327"/>
      <c r="F1481" s="606" t="str">
        <f>'refer admin discharge'!H1477</f>
        <v>00/00/0000</v>
      </c>
      <c r="G1481" s="327"/>
      <c r="H1481" s="594"/>
      <c r="I1481" s="327"/>
      <c r="J1481" s="605"/>
      <c r="K1481" s="327"/>
      <c r="L1481" s="594"/>
      <c r="M1481" s="327"/>
      <c r="N1481" s="575"/>
      <c r="O1481" s="327"/>
      <c r="P1481" s="594"/>
      <c r="Q1481" s="327"/>
      <c r="R1481" s="575"/>
      <c r="S1481" s="327"/>
      <c r="T1481" s="594"/>
      <c r="U1481" s="327"/>
      <c r="V1481" s="595" t="str">
        <f>'refer admin discharge'!H1482</f>
        <v>00/00/0000</v>
      </c>
      <c r="W1481" s="327"/>
      <c r="X1481" s="577"/>
      <c r="Y1481" s="327"/>
      <c r="Z1481" s="604"/>
      <c r="AA1481" s="327"/>
      <c r="AB1481" s="577"/>
      <c r="AC1481" s="327"/>
      <c r="AD1481" s="576"/>
      <c r="AE1481" s="327"/>
      <c r="AF1481" s="577"/>
      <c r="AG1481" s="327"/>
      <c r="AH1481" s="576"/>
      <c r="AI1481" s="327"/>
      <c r="AJ1481" s="577"/>
      <c r="AK1481" s="327"/>
      <c r="AL1481" s="602"/>
      <c r="AM1481" s="326"/>
      <c r="AN1481" s="326"/>
      <c r="AO1481" s="326"/>
      <c r="AP1481" s="326"/>
      <c r="AQ1481" s="326"/>
      <c r="AR1481" s="326"/>
      <c r="AS1481" s="326"/>
      <c r="AT1481" s="326"/>
      <c r="AU1481" s="326"/>
      <c r="AV1481" s="326"/>
      <c r="AW1481" s="326"/>
      <c r="AX1481" s="326"/>
      <c r="AY1481" s="326"/>
      <c r="AZ1481" s="326"/>
      <c r="BA1481" s="326"/>
      <c r="BB1481" s="327"/>
    </row>
    <row r="1482" spans="1:54" ht="15.75" customHeight="1" x14ac:dyDescent="0.25">
      <c r="A1482" s="11">
        <f t="shared" si="5"/>
        <v>1469</v>
      </c>
      <c r="B1482" s="570" t="str">
        <f>'refer admin discharge'!B1478</f>
        <v>x</v>
      </c>
      <c r="C1482" s="327"/>
      <c r="D1482" s="599" t="str">
        <f>'refer admin discharge'!D1478</f>
        <v>xx</v>
      </c>
      <c r="E1482" s="327"/>
      <c r="F1482" s="600" t="str">
        <f>'refer admin discharge'!H1478</f>
        <v>00/00/0000</v>
      </c>
      <c r="G1482" s="327"/>
      <c r="H1482" s="574"/>
      <c r="I1482" s="327"/>
      <c r="J1482" s="601"/>
      <c r="K1482" s="327"/>
      <c r="L1482" s="574"/>
      <c r="M1482" s="327"/>
      <c r="N1482" s="594"/>
      <c r="O1482" s="327"/>
      <c r="P1482" s="574"/>
      <c r="Q1482" s="327"/>
      <c r="R1482" s="594"/>
      <c r="S1482" s="327"/>
      <c r="T1482" s="574"/>
      <c r="U1482" s="327"/>
      <c r="V1482" s="595" t="str">
        <f>'refer admin discharge'!H1483</f>
        <v>00/00/0000</v>
      </c>
      <c r="W1482" s="327"/>
      <c r="X1482" s="596"/>
      <c r="Y1482" s="327"/>
      <c r="Z1482" s="597"/>
      <c r="AA1482" s="327"/>
      <c r="AB1482" s="596"/>
      <c r="AC1482" s="327"/>
      <c r="AD1482" s="577"/>
      <c r="AE1482" s="327"/>
      <c r="AF1482" s="596"/>
      <c r="AG1482" s="327"/>
      <c r="AH1482" s="577"/>
      <c r="AI1482" s="327"/>
      <c r="AJ1482" s="596"/>
      <c r="AK1482" s="327"/>
      <c r="AL1482" s="598"/>
      <c r="AM1482" s="326"/>
      <c r="AN1482" s="326"/>
      <c r="AO1482" s="326"/>
      <c r="AP1482" s="326"/>
      <c r="AQ1482" s="326"/>
      <c r="AR1482" s="326"/>
      <c r="AS1482" s="326"/>
      <c r="AT1482" s="326"/>
      <c r="AU1482" s="326"/>
      <c r="AV1482" s="326"/>
      <c r="AW1482" s="326"/>
      <c r="AX1482" s="326"/>
      <c r="AY1482" s="326"/>
      <c r="AZ1482" s="326"/>
      <c r="BA1482" s="326"/>
      <c r="BB1482" s="327"/>
    </row>
    <row r="1483" spans="1:54" ht="15.75" customHeight="1" x14ac:dyDescent="0.25">
      <c r="A1483" s="11">
        <f t="shared" si="5"/>
        <v>1470</v>
      </c>
      <c r="B1483" s="504" t="str">
        <f>'refer admin discharge'!B1479</f>
        <v>x</v>
      </c>
      <c r="C1483" s="327"/>
      <c r="D1483" s="505" t="str">
        <f>'refer admin discharge'!D1479</f>
        <v>xx</v>
      </c>
      <c r="E1483" s="327"/>
      <c r="F1483" s="606" t="str">
        <f>'refer admin discharge'!H1479</f>
        <v>00/00/0000</v>
      </c>
      <c r="G1483" s="327"/>
      <c r="H1483" s="594"/>
      <c r="I1483" s="327"/>
      <c r="J1483" s="605"/>
      <c r="K1483" s="327"/>
      <c r="L1483" s="594"/>
      <c r="M1483" s="327"/>
      <c r="N1483" s="575"/>
      <c r="O1483" s="327"/>
      <c r="P1483" s="594"/>
      <c r="Q1483" s="327"/>
      <c r="R1483" s="575"/>
      <c r="S1483" s="327"/>
      <c r="T1483" s="594"/>
      <c r="U1483" s="327"/>
      <c r="V1483" s="595" t="str">
        <f>'refer admin discharge'!H1484</f>
        <v>00/00/0000</v>
      </c>
      <c r="W1483" s="327"/>
      <c r="X1483" s="577"/>
      <c r="Y1483" s="327"/>
      <c r="Z1483" s="604"/>
      <c r="AA1483" s="327"/>
      <c r="AB1483" s="577"/>
      <c r="AC1483" s="327"/>
      <c r="AD1483" s="576"/>
      <c r="AE1483" s="327"/>
      <c r="AF1483" s="577"/>
      <c r="AG1483" s="327"/>
      <c r="AH1483" s="576"/>
      <c r="AI1483" s="327"/>
      <c r="AJ1483" s="577"/>
      <c r="AK1483" s="327"/>
      <c r="AL1483" s="602"/>
      <c r="AM1483" s="326"/>
      <c r="AN1483" s="326"/>
      <c r="AO1483" s="326"/>
      <c r="AP1483" s="326"/>
      <c r="AQ1483" s="326"/>
      <c r="AR1483" s="326"/>
      <c r="AS1483" s="326"/>
      <c r="AT1483" s="326"/>
      <c r="AU1483" s="326"/>
      <c r="AV1483" s="326"/>
      <c r="AW1483" s="326"/>
      <c r="AX1483" s="326"/>
      <c r="AY1483" s="326"/>
      <c r="AZ1483" s="326"/>
      <c r="BA1483" s="326"/>
      <c r="BB1483" s="327"/>
    </row>
    <row r="1484" spans="1:54" ht="15.75" customHeight="1" x14ac:dyDescent="0.25">
      <c r="A1484" s="11">
        <f t="shared" si="5"/>
        <v>1471</v>
      </c>
      <c r="B1484" s="570" t="str">
        <f>'refer admin discharge'!B1480</f>
        <v>x</v>
      </c>
      <c r="C1484" s="327"/>
      <c r="D1484" s="599" t="str">
        <f>'refer admin discharge'!D1480</f>
        <v>xx</v>
      </c>
      <c r="E1484" s="327"/>
      <c r="F1484" s="600" t="str">
        <f>'refer admin discharge'!H1480</f>
        <v>00/00/0000</v>
      </c>
      <c r="G1484" s="327"/>
      <c r="H1484" s="574"/>
      <c r="I1484" s="327"/>
      <c r="J1484" s="601"/>
      <c r="K1484" s="327"/>
      <c r="L1484" s="574"/>
      <c r="M1484" s="327"/>
      <c r="N1484" s="594"/>
      <c r="O1484" s="327"/>
      <c r="P1484" s="574"/>
      <c r="Q1484" s="327"/>
      <c r="R1484" s="594"/>
      <c r="S1484" s="327"/>
      <c r="T1484" s="574"/>
      <c r="U1484" s="327"/>
      <c r="V1484" s="595" t="str">
        <f>'refer admin discharge'!H1485</f>
        <v>00/00/0000</v>
      </c>
      <c r="W1484" s="327"/>
      <c r="X1484" s="596"/>
      <c r="Y1484" s="327"/>
      <c r="Z1484" s="597"/>
      <c r="AA1484" s="327"/>
      <c r="AB1484" s="596"/>
      <c r="AC1484" s="327"/>
      <c r="AD1484" s="577"/>
      <c r="AE1484" s="327"/>
      <c r="AF1484" s="596"/>
      <c r="AG1484" s="327"/>
      <c r="AH1484" s="577"/>
      <c r="AI1484" s="327"/>
      <c r="AJ1484" s="596"/>
      <c r="AK1484" s="327"/>
      <c r="AL1484" s="598"/>
      <c r="AM1484" s="326"/>
      <c r="AN1484" s="326"/>
      <c r="AO1484" s="326"/>
      <c r="AP1484" s="326"/>
      <c r="AQ1484" s="326"/>
      <c r="AR1484" s="326"/>
      <c r="AS1484" s="326"/>
      <c r="AT1484" s="326"/>
      <c r="AU1484" s="326"/>
      <c r="AV1484" s="326"/>
      <c r="AW1484" s="326"/>
      <c r="AX1484" s="326"/>
      <c r="AY1484" s="326"/>
      <c r="AZ1484" s="326"/>
      <c r="BA1484" s="326"/>
      <c r="BB1484" s="327"/>
    </row>
    <row r="1485" spans="1:54" ht="15.75" customHeight="1" x14ac:dyDescent="0.25">
      <c r="A1485" s="11">
        <f t="shared" si="5"/>
        <v>1472</v>
      </c>
      <c r="B1485" s="504" t="str">
        <f>'refer admin discharge'!B1481</f>
        <v>x</v>
      </c>
      <c r="C1485" s="327"/>
      <c r="D1485" s="505" t="str">
        <f>'refer admin discharge'!D1481</f>
        <v>xx</v>
      </c>
      <c r="E1485" s="327"/>
      <c r="F1485" s="606" t="str">
        <f>'refer admin discharge'!H1481</f>
        <v>00/00/0000</v>
      </c>
      <c r="G1485" s="327"/>
      <c r="H1485" s="594"/>
      <c r="I1485" s="327"/>
      <c r="J1485" s="605"/>
      <c r="K1485" s="327"/>
      <c r="L1485" s="594"/>
      <c r="M1485" s="327"/>
      <c r="N1485" s="575"/>
      <c r="O1485" s="327"/>
      <c r="P1485" s="594"/>
      <c r="Q1485" s="327"/>
      <c r="R1485" s="575"/>
      <c r="S1485" s="327"/>
      <c r="T1485" s="594"/>
      <c r="U1485" s="327"/>
      <c r="V1485" s="595" t="str">
        <f>'refer admin discharge'!H1486</f>
        <v>00/00/0000</v>
      </c>
      <c r="W1485" s="327"/>
      <c r="X1485" s="577"/>
      <c r="Y1485" s="327"/>
      <c r="Z1485" s="604"/>
      <c r="AA1485" s="327"/>
      <c r="AB1485" s="577"/>
      <c r="AC1485" s="327"/>
      <c r="AD1485" s="576"/>
      <c r="AE1485" s="327"/>
      <c r="AF1485" s="577"/>
      <c r="AG1485" s="327"/>
      <c r="AH1485" s="576"/>
      <c r="AI1485" s="327"/>
      <c r="AJ1485" s="577"/>
      <c r="AK1485" s="327"/>
      <c r="AL1485" s="602"/>
      <c r="AM1485" s="326"/>
      <c r="AN1485" s="326"/>
      <c r="AO1485" s="326"/>
      <c r="AP1485" s="326"/>
      <c r="AQ1485" s="326"/>
      <c r="AR1485" s="326"/>
      <c r="AS1485" s="326"/>
      <c r="AT1485" s="326"/>
      <c r="AU1485" s="326"/>
      <c r="AV1485" s="326"/>
      <c r="AW1485" s="326"/>
      <c r="AX1485" s="326"/>
      <c r="AY1485" s="326"/>
      <c r="AZ1485" s="326"/>
      <c r="BA1485" s="326"/>
      <c r="BB1485" s="327"/>
    </row>
    <row r="1486" spans="1:54" ht="15.75" customHeight="1" x14ac:dyDescent="0.25">
      <c r="A1486" s="11">
        <f t="shared" si="5"/>
        <v>1473</v>
      </c>
      <c r="B1486" s="570" t="str">
        <f>'refer admin discharge'!B1482</f>
        <v>x</v>
      </c>
      <c r="C1486" s="327"/>
      <c r="D1486" s="599" t="str">
        <f>'refer admin discharge'!D1482</f>
        <v>xx</v>
      </c>
      <c r="E1486" s="327"/>
      <c r="F1486" s="600" t="str">
        <f>'refer admin discharge'!H1482</f>
        <v>00/00/0000</v>
      </c>
      <c r="G1486" s="327"/>
      <c r="H1486" s="574"/>
      <c r="I1486" s="327"/>
      <c r="J1486" s="601"/>
      <c r="K1486" s="327"/>
      <c r="L1486" s="574"/>
      <c r="M1486" s="327"/>
      <c r="N1486" s="594"/>
      <c r="O1486" s="327"/>
      <c r="P1486" s="574"/>
      <c r="Q1486" s="327"/>
      <c r="R1486" s="594"/>
      <c r="S1486" s="327"/>
      <c r="T1486" s="574"/>
      <c r="U1486" s="327"/>
      <c r="V1486" s="595" t="str">
        <f>'refer admin discharge'!H1487</f>
        <v>00/00/0000</v>
      </c>
      <c r="W1486" s="327"/>
      <c r="X1486" s="596"/>
      <c r="Y1486" s="327"/>
      <c r="Z1486" s="597"/>
      <c r="AA1486" s="327"/>
      <c r="AB1486" s="596"/>
      <c r="AC1486" s="327"/>
      <c r="AD1486" s="577"/>
      <c r="AE1486" s="327"/>
      <c r="AF1486" s="596"/>
      <c r="AG1486" s="327"/>
      <c r="AH1486" s="577"/>
      <c r="AI1486" s="327"/>
      <c r="AJ1486" s="596"/>
      <c r="AK1486" s="327"/>
      <c r="AL1486" s="598"/>
      <c r="AM1486" s="326"/>
      <c r="AN1486" s="326"/>
      <c r="AO1486" s="326"/>
      <c r="AP1486" s="326"/>
      <c r="AQ1486" s="326"/>
      <c r="AR1486" s="326"/>
      <c r="AS1486" s="326"/>
      <c r="AT1486" s="326"/>
      <c r="AU1486" s="326"/>
      <c r="AV1486" s="326"/>
      <c r="AW1486" s="326"/>
      <c r="AX1486" s="326"/>
      <c r="AY1486" s="326"/>
      <c r="AZ1486" s="326"/>
      <c r="BA1486" s="326"/>
      <c r="BB1486" s="327"/>
    </row>
    <row r="1487" spans="1:54" ht="15.75" customHeight="1" x14ac:dyDescent="0.25">
      <c r="A1487" s="11">
        <f t="shared" si="5"/>
        <v>1474</v>
      </c>
      <c r="B1487" s="504" t="str">
        <f>'refer admin discharge'!B1483</f>
        <v>x</v>
      </c>
      <c r="C1487" s="327"/>
      <c r="D1487" s="505" t="str">
        <f>'refer admin discharge'!D1483</f>
        <v>xx</v>
      </c>
      <c r="E1487" s="327"/>
      <c r="F1487" s="606" t="str">
        <f>'refer admin discharge'!H1483</f>
        <v>00/00/0000</v>
      </c>
      <c r="G1487" s="327"/>
      <c r="H1487" s="594"/>
      <c r="I1487" s="327"/>
      <c r="J1487" s="605"/>
      <c r="K1487" s="327"/>
      <c r="L1487" s="594"/>
      <c r="M1487" s="327"/>
      <c r="N1487" s="575"/>
      <c r="O1487" s="327"/>
      <c r="P1487" s="594"/>
      <c r="Q1487" s="327"/>
      <c r="R1487" s="575"/>
      <c r="S1487" s="327"/>
      <c r="T1487" s="594"/>
      <c r="U1487" s="327"/>
      <c r="V1487" s="595" t="str">
        <f>'refer admin discharge'!H1488</f>
        <v>00/00/0000</v>
      </c>
      <c r="W1487" s="327"/>
      <c r="X1487" s="577"/>
      <c r="Y1487" s="327"/>
      <c r="Z1487" s="604"/>
      <c r="AA1487" s="327"/>
      <c r="AB1487" s="577"/>
      <c r="AC1487" s="327"/>
      <c r="AD1487" s="576"/>
      <c r="AE1487" s="327"/>
      <c r="AF1487" s="577"/>
      <c r="AG1487" s="327"/>
      <c r="AH1487" s="576"/>
      <c r="AI1487" s="327"/>
      <c r="AJ1487" s="577"/>
      <c r="AK1487" s="327"/>
      <c r="AL1487" s="602"/>
      <c r="AM1487" s="326"/>
      <c r="AN1487" s="326"/>
      <c r="AO1487" s="326"/>
      <c r="AP1487" s="326"/>
      <c r="AQ1487" s="326"/>
      <c r="AR1487" s="326"/>
      <c r="AS1487" s="326"/>
      <c r="AT1487" s="326"/>
      <c r="AU1487" s="326"/>
      <c r="AV1487" s="326"/>
      <c r="AW1487" s="326"/>
      <c r="AX1487" s="326"/>
      <c r="AY1487" s="326"/>
      <c r="AZ1487" s="326"/>
      <c r="BA1487" s="326"/>
      <c r="BB1487" s="327"/>
    </row>
    <row r="1488" spans="1:54" ht="15.75" customHeight="1" x14ac:dyDescent="0.25">
      <c r="A1488" s="11">
        <f t="shared" si="5"/>
        <v>1475</v>
      </c>
      <c r="B1488" s="570" t="str">
        <f>'refer admin discharge'!B1484</f>
        <v>x</v>
      </c>
      <c r="C1488" s="327"/>
      <c r="D1488" s="599" t="str">
        <f>'refer admin discharge'!D1484</f>
        <v>xx</v>
      </c>
      <c r="E1488" s="327"/>
      <c r="F1488" s="600" t="str">
        <f>'refer admin discharge'!H1484</f>
        <v>00/00/0000</v>
      </c>
      <c r="G1488" s="327"/>
      <c r="H1488" s="574"/>
      <c r="I1488" s="327"/>
      <c r="J1488" s="601"/>
      <c r="K1488" s="327"/>
      <c r="L1488" s="574"/>
      <c r="M1488" s="327"/>
      <c r="N1488" s="594"/>
      <c r="O1488" s="327"/>
      <c r="P1488" s="574"/>
      <c r="Q1488" s="327"/>
      <c r="R1488" s="594"/>
      <c r="S1488" s="327"/>
      <c r="T1488" s="574"/>
      <c r="U1488" s="327"/>
      <c r="V1488" s="595" t="str">
        <f>'refer admin discharge'!H1489</f>
        <v>00/00/0000</v>
      </c>
      <c r="W1488" s="327"/>
      <c r="X1488" s="596"/>
      <c r="Y1488" s="327"/>
      <c r="Z1488" s="597"/>
      <c r="AA1488" s="327"/>
      <c r="AB1488" s="596"/>
      <c r="AC1488" s="327"/>
      <c r="AD1488" s="577"/>
      <c r="AE1488" s="327"/>
      <c r="AF1488" s="596"/>
      <c r="AG1488" s="327"/>
      <c r="AH1488" s="577"/>
      <c r="AI1488" s="327"/>
      <c r="AJ1488" s="596"/>
      <c r="AK1488" s="327"/>
      <c r="AL1488" s="598"/>
      <c r="AM1488" s="326"/>
      <c r="AN1488" s="326"/>
      <c r="AO1488" s="326"/>
      <c r="AP1488" s="326"/>
      <c r="AQ1488" s="326"/>
      <c r="AR1488" s="326"/>
      <c r="AS1488" s="326"/>
      <c r="AT1488" s="326"/>
      <c r="AU1488" s="326"/>
      <c r="AV1488" s="326"/>
      <c r="AW1488" s="326"/>
      <c r="AX1488" s="326"/>
      <c r="AY1488" s="326"/>
      <c r="AZ1488" s="326"/>
      <c r="BA1488" s="326"/>
      <c r="BB1488" s="327"/>
    </row>
    <row r="1489" spans="1:54" ht="15.75" customHeight="1" x14ac:dyDescent="0.25">
      <c r="A1489" s="11">
        <f t="shared" si="5"/>
        <v>1476</v>
      </c>
      <c r="B1489" s="504" t="str">
        <f>'refer admin discharge'!B1485</f>
        <v>x</v>
      </c>
      <c r="C1489" s="327"/>
      <c r="D1489" s="505" t="str">
        <f>'refer admin discharge'!D1485</f>
        <v>xx</v>
      </c>
      <c r="E1489" s="327"/>
      <c r="F1489" s="606" t="str">
        <f>'refer admin discharge'!H1485</f>
        <v>00/00/0000</v>
      </c>
      <c r="G1489" s="327"/>
      <c r="H1489" s="594"/>
      <c r="I1489" s="327"/>
      <c r="J1489" s="605"/>
      <c r="K1489" s="327"/>
      <c r="L1489" s="594"/>
      <c r="M1489" s="327"/>
      <c r="N1489" s="575"/>
      <c r="O1489" s="327"/>
      <c r="P1489" s="594"/>
      <c r="Q1489" s="327"/>
      <c r="R1489" s="575"/>
      <c r="S1489" s="327"/>
      <c r="T1489" s="594"/>
      <c r="U1489" s="327"/>
      <c r="V1489" s="595" t="str">
        <f>'refer admin discharge'!H1490</f>
        <v>00/00/0000</v>
      </c>
      <c r="W1489" s="327"/>
      <c r="X1489" s="577"/>
      <c r="Y1489" s="327"/>
      <c r="Z1489" s="604"/>
      <c r="AA1489" s="327"/>
      <c r="AB1489" s="577"/>
      <c r="AC1489" s="327"/>
      <c r="AD1489" s="576"/>
      <c r="AE1489" s="327"/>
      <c r="AF1489" s="577"/>
      <c r="AG1489" s="327"/>
      <c r="AH1489" s="576"/>
      <c r="AI1489" s="327"/>
      <c r="AJ1489" s="577"/>
      <c r="AK1489" s="327"/>
      <c r="AL1489" s="602"/>
      <c r="AM1489" s="326"/>
      <c r="AN1489" s="326"/>
      <c r="AO1489" s="326"/>
      <c r="AP1489" s="326"/>
      <c r="AQ1489" s="326"/>
      <c r="AR1489" s="326"/>
      <c r="AS1489" s="326"/>
      <c r="AT1489" s="326"/>
      <c r="AU1489" s="326"/>
      <c r="AV1489" s="326"/>
      <c r="AW1489" s="326"/>
      <c r="AX1489" s="326"/>
      <c r="AY1489" s="326"/>
      <c r="AZ1489" s="326"/>
      <c r="BA1489" s="326"/>
      <c r="BB1489" s="327"/>
    </row>
    <row r="1490" spans="1:54" ht="15.75" customHeight="1" x14ac:dyDescent="0.25">
      <c r="A1490" s="11">
        <f t="shared" si="5"/>
        <v>1477</v>
      </c>
      <c r="B1490" s="570" t="str">
        <f>'refer admin discharge'!B1486</f>
        <v>x</v>
      </c>
      <c r="C1490" s="327"/>
      <c r="D1490" s="599" t="str">
        <f>'refer admin discharge'!D1486</f>
        <v>xx</v>
      </c>
      <c r="E1490" s="327"/>
      <c r="F1490" s="600" t="str">
        <f>'refer admin discharge'!H1486</f>
        <v>00/00/0000</v>
      </c>
      <c r="G1490" s="327"/>
      <c r="H1490" s="574"/>
      <c r="I1490" s="327"/>
      <c r="J1490" s="601"/>
      <c r="K1490" s="327"/>
      <c r="L1490" s="574"/>
      <c r="M1490" s="327"/>
      <c r="N1490" s="594"/>
      <c r="O1490" s="327"/>
      <c r="P1490" s="574"/>
      <c r="Q1490" s="327"/>
      <c r="R1490" s="594"/>
      <c r="S1490" s="327"/>
      <c r="T1490" s="574"/>
      <c r="U1490" s="327"/>
      <c r="V1490" s="595" t="str">
        <f>'refer admin discharge'!H1491</f>
        <v>00/00/0000</v>
      </c>
      <c r="W1490" s="327"/>
      <c r="X1490" s="596"/>
      <c r="Y1490" s="327"/>
      <c r="Z1490" s="597"/>
      <c r="AA1490" s="327"/>
      <c r="AB1490" s="596"/>
      <c r="AC1490" s="327"/>
      <c r="AD1490" s="577"/>
      <c r="AE1490" s="327"/>
      <c r="AF1490" s="596"/>
      <c r="AG1490" s="327"/>
      <c r="AH1490" s="577"/>
      <c r="AI1490" s="327"/>
      <c r="AJ1490" s="596"/>
      <c r="AK1490" s="327"/>
      <c r="AL1490" s="598"/>
      <c r="AM1490" s="326"/>
      <c r="AN1490" s="326"/>
      <c r="AO1490" s="326"/>
      <c r="AP1490" s="326"/>
      <c r="AQ1490" s="326"/>
      <c r="AR1490" s="326"/>
      <c r="AS1490" s="326"/>
      <c r="AT1490" s="326"/>
      <c r="AU1490" s="326"/>
      <c r="AV1490" s="326"/>
      <c r="AW1490" s="326"/>
      <c r="AX1490" s="326"/>
      <c r="AY1490" s="326"/>
      <c r="AZ1490" s="326"/>
      <c r="BA1490" s="326"/>
      <c r="BB1490" s="327"/>
    </row>
    <row r="1491" spans="1:54" ht="15.75" customHeight="1" x14ac:dyDescent="0.25">
      <c r="A1491" s="11">
        <f t="shared" si="5"/>
        <v>1478</v>
      </c>
      <c r="B1491" s="504" t="str">
        <f>'refer admin discharge'!B1487</f>
        <v>x</v>
      </c>
      <c r="C1491" s="327"/>
      <c r="D1491" s="505" t="str">
        <f>'refer admin discharge'!D1487</f>
        <v>xx</v>
      </c>
      <c r="E1491" s="327"/>
      <c r="F1491" s="606" t="str">
        <f>'refer admin discharge'!H1487</f>
        <v>00/00/0000</v>
      </c>
      <c r="G1491" s="327"/>
      <c r="H1491" s="594"/>
      <c r="I1491" s="327"/>
      <c r="J1491" s="605"/>
      <c r="K1491" s="327"/>
      <c r="L1491" s="594"/>
      <c r="M1491" s="327"/>
      <c r="N1491" s="575"/>
      <c r="O1491" s="327"/>
      <c r="P1491" s="594"/>
      <c r="Q1491" s="327"/>
      <c r="R1491" s="575"/>
      <c r="S1491" s="327"/>
      <c r="T1491" s="594"/>
      <c r="U1491" s="327"/>
      <c r="V1491" s="595" t="str">
        <f>'refer admin discharge'!H1492</f>
        <v>00/00/0000</v>
      </c>
      <c r="W1491" s="327"/>
      <c r="X1491" s="577"/>
      <c r="Y1491" s="327"/>
      <c r="Z1491" s="604"/>
      <c r="AA1491" s="327"/>
      <c r="AB1491" s="577"/>
      <c r="AC1491" s="327"/>
      <c r="AD1491" s="576"/>
      <c r="AE1491" s="327"/>
      <c r="AF1491" s="577"/>
      <c r="AG1491" s="327"/>
      <c r="AH1491" s="576"/>
      <c r="AI1491" s="327"/>
      <c r="AJ1491" s="577"/>
      <c r="AK1491" s="327"/>
      <c r="AL1491" s="602"/>
      <c r="AM1491" s="326"/>
      <c r="AN1491" s="326"/>
      <c r="AO1491" s="326"/>
      <c r="AP1491" s="326"/>
      <c r="AQ1491" s="326"/>
      <c r="AR1491" s="326"/>
      <c r="AS1491" s="326"/>
      <c r="AT1491" s="326"/>
      <c r="AU1491" s="326"/>
      <c r="AV1491" s="326"/>
      <c r="AW1491" s="326"/>
      <c r="AX1491" s="326"/>
      <c r="AY1491" s="326"/>
      <c r="AZ1491" s="326"/>
      <c r="BA1491" s="326"/>
      <c r="BB1491" s="327"/>
    </row>
    <row r="1492" spans="1:54" ht="15.75" customHeight="1" x14ac:dyDescent="0.25">
      <c r="A1492" s="11">
        <f t="shared" si="5"/>
        <v>1479</v>
      </c>
      <c r="B1492" s="570" t="str">
        <f>'refer admin discharge'!B1488</f>
        <v>x</v>
      </c>
      <c r="C1492" s="327"/>
      <c r="D1492" s="599" t="str">
        <f>'refer admin discharge'!D1488</f>
        <v>xx</v>
      </c>
      <c r="E1492" s="327"/>
      <c r="F1492" s="600" t="str">
        <f>'refer admin discharge'!H1488</f>
        <v>00/00/0000</v>
      </c>
      <c r="G1492" s="327"/>
      <c r="H1492" s="574"/>
      <c r="I1492" s="327"/>
      <c r="J1492" s="601"/>
      <c r="K1492" s="327"/>
      <c r="L1492" s="574"/>
      <c r="M1492" s="327"/>
      <c r="N1492" s="594"/>
      <c r="O1492" s="327"/>
      <c r="P1492" s="574"/>
      <c r="Q1492" s="327"/>
      <c r="R1492" s="594"/>
      <c r="S1492" s="327"/>
      <c r="T1492" s="574"/>
      <c r="U1492" s="327"/>
      <c r="V1492" s="595" t="str">
        <f>'refer admin discharge'!H1493</f>
        <v>00/00/0000</v>
      </c>
      <c r="W1492" s="327"/>
      <c r="X1492" s="596"/>
      <c r="Y1492" s="327"/>
      <c r="Z1492" s="597"/>
      <c r="AA1492" s="327"/>
      <c r="AB1492" s="596"/>
      <c r="AC1492" s="327"/>
      <c r="AD1492" s="577"/>
      <c r="AE1492" s="327"/>
      <c r="AF1492" s="596"/>
      <c r="AG1492" s="327"/>
      <c r="AH1492" s="577"/>
      <c r="AI1492" s="327"/>
      <c r="AJ1492" s="596"/>
      <c r="AK1492" s="327"/>
      <c r="AL1492" s="598"/>
      <c r="AM1492" s="326"/>
      <c r="AN1492" s="326"/>
      <c r="AO1492" s="326"/>
      <c r="AP1492" s="326"/>
      <c r="AQ1492" s="326"/>
      <c r="AR1492" s="326"/>
      <c r="AS1492" s="326"/>
      <c r="AT1492" s="326"/>
      <c r="AU1492" s="326"/>
      <c r="AV1492" s="326"/>
      <c r="AW1492" s="326"/>
      <c r="AX1492" s="326"/>
      <c r="AY1492" s="326"/>
      <c r="AZ1492" s="326"/>
      <c r="BA1492" s="326"/>
      <c r="BB1492" s="327"/>
    </row>
    <row r="1493" spans="1:54" ht="15.75" customHeight="1" x14ac:dyDescent="0.25">
      <c r="A1493" s="11">
        <f t="shared" si="5"/>
        <v>1480</v>
      </c>
      <c r="B1493" s="504" t="str">
        <f>'refer admin discharge'!B1489</f>
        <v>x</v>
      </c>
      <c r="C1493" s="327"/>
      <c r="D1493" s="505" t="str">
        <f>'refer admin discharge'!D1489</f>
        <v>xx</v>
      </c>
      <c r="E1493" s="327"/>
      <c r="F1493" s="606" t="str">
        <f>'refer admin discharge'!H1489</f>
        <v>00/00/0000</v>
      </c>
      <c r="G1493" s="327"/>
      <c r="H1493" s="594"/>
      <c r="I1493" s="327"/>
      <c r="J1493" s="605"/>
      <c r="K1493" s="327"/>
      <c r="L1493" s="594"/>
      <c r="M1493" s="327"/>
      <c r="N1493" s="575"/>
      <c r="O1493" s="327"/>
      <c r="P1493" s="594"/>
      <c r="Q1493" s="327"/>
      <c r="R1493" s="575"/>
      <c r="S1493" s="327"/>
      <c r="T1493" s="594"/>
      <c r="U1493" s="327"/>
      <c r="V1493" s="595" t="str">
        <f>'refer admin discharge'!H1494</f>
        <v>00/00/0000</v>
      </c>
      <c r="W1493" s="327"/>
      <c r="X1493" s="577"/>
      <c r="Y1493" s="327"/>
      <c r="Z1493" s="604"/>
      <c r="AA1493" s="327"/>
      <c r="AB1493" s="577"/>
      <c r="AC1493" s="327"/>
      <c r="AD1493" s="576"/>
      <c r="AE1493" s="327"/>
      <c r="AF1493" s="577"/>
      <c r="AG1493" s="327"/>
      <c r="AH1493" s="576"/>
      <c r="AI1493" s="327"/>
      <c r="AJ1493" s="577"/>
      <c r="AK1493" s="327"/>
      <c r="AL1493" s="602"/>
      <c r="AM1493" s="326"/>
      <c r="AN1493" s="326"/>
      <c r="AO1493" s="326"/>
      <c r="AP1493" s="326"/>
      <c r="AQ1493" s="326"/>
      <c r="AR1493" s="326"/>
      <c r="AS1493" s="326"/>
      <c r="AT1493" s="326"/>
      <c r="AU1493" s="326"/>
      <c r="AV1493" s="326"/>
      <c r="AW1493" s="326"/>
      <c r="AX1493" s="326"/>
      <c r="AY1493" s="326"/>
      <c r="AZ1493" s="326"/>
      <c r="BA1493" s="326"/>
      <c r="BB1493" s="327"/>
    </row>
    <row r="1494" spans="1:54" ht="15.75" customHeight="1" x14ac:dyDescent="0.25">
      <c r="A1494" s="11">
        <f t="shared" si="5"/>
        <v>1481</v>
      </c>
      <c r="B1494" s="570" t="str">
        <f>'refer admin discharge'!B1490</f>
        <v>x</v>
      </c>
      <c r="C1494" s="327"/>
      <c r="D1494" s="599" t="str">
        <f>'refer admin discharge'!D1490</f>
        <v>xx</v>
      </c>
      <c r="E1494" s="327"/>
      <c r="F1494" s="600" t="str">
        <f>'refer admin discharge'!H1490</f>
        <v>00/00/0000</v>
      </c>
      <c r="G1494" s="327"/>
      <c r="H1494" s="574"/>
      <c r="I1494" s="327"/>
      <c r="J1494" s="601"/>
      <c r="K1494" s="327"/>
      <c r="L1494" s="574"/>
      <c r="M1494" s="327"/>
      <c r="N1494" s="594"/>
      <c r="O1494" s="327"/>
      <c r="P1494" s="574"/>
      <c r="Q1494" s="327"/>
      <c r="R1494" s="594"/>
      <c r="S1494" s="327"/>
      <c r="T1494" s="574"/>
      <c r="U1494" s="327"/>
      <c r="V1494" s="595" t="str">
        <f>'refer admin discharge'!H1495</f>
        <v>00/00/0000</v>
      </c>
      <c r="W1494" s="327"/>
      <c r="X1494" s="596"/>
      <c r="Y1494" s="327"/>
      <c r="Z1494" s="597"/>
      <c r="AA1494" s="327"/>
      <c r="AB1494" s="596"/>
      <c r="AC1494" s="327"/>
      <c r="AD1494" s="577"/>
      <c r="AE1494" s="327"/>
      <c r="AF1494" s="596"/>
      <c r="AG1494" s="327"/>
      <c r="AH1494" s="577"/>
      <c r="AI1494" s="327"/>
      <c r="AJ1494" s="596"/>
      <c r="AK1494" s="327"/>
      <c r="AL1494" s="598"/>
      <c r="AM1494" s="326"/>
      <c r="AN1494" s="326"/>
      <c r="AO1494" s="326"/>
      <c r="AP1494" s="326"/>
      <c r="AQ1494" s="326"/>
      <c r="AR1494" s="326"/>
      <c r="AS1494" s="326"/>
      <c r="AT1494" s="326"/>
      <c r="AU1494" s="326"/>
      <c r="AV1494" s="326"/>
      <c r="AW1494" s="326"/>
      <c r="AX1494" s="326"/>
      <c r="AY1494" s="326"/>
      <c r="AZ1494" s="326"/>
      <c r="BA1494" s="326"/>
      <c r="BB1494" s="327"/>
    </row>
    <row r="1495" spans="1:54" ht="15.75" customHeight="1" x14ac:dyDescent="0.25">
      <c r="A1495" s="11">
        <f t="shared" si="5"/>
        <v>1482</v>
      </c>
      <c r="B1495" s="504" t="str">
        <f>'refer admin discharge'!B1491</f>
        <v>x</v>
      </c>
      <c r="C1495" s="327"/>
      <c r="D1495" s="505" t="str">
        <f>'refer admin discharge'!D1491</f>
        <v>xx</v>
      </c>
      <c r="E1495" s="327"/>
      <c r="F1495" s="606" t="str">
        <f>'refer admin discharge'!H1491</f>
        <v>00/00/0000</v>
      </c>
      <c r="G1495" s="327"/>
      <c r="H1495" s="594"/>
      <c r="I1495" s="327"/>
      <c r="J1495" s="605"/>
      <c r="K1495" s="327"/>
      <c r="L1495" s="594"/>
      <c r="M1495" s="327"/>
      <c r="N1495" s="575"/>
      <c r="O1495" s="327"/>
      <c r="P1495" s="594"/>
      <c r="Q1495" s="327"/>
      <c r="R1495" s="575"/>
      <c r="S1495" s="327"/>
      <c r="T1495" s="594"/>
      <c r="U1495" s="327"/>
      <c r="V1495" s="595" t="str">
        <f>'refer admin discharge'!H1496</f>
        <v>00/00/0000</v>
      </c>
      <c r="W1495" s="327"/>
      <c r="X1495" s="577"/>
      <c r="Y1495" s="327"/>
      <c r="Z1495" s="604"/>
      <c r="AA1495" s="327"/>
      <c r="AB1495" s="577"/>
      <c r="AC1495" s="327"/>
      <c r="AD1495" s="576"/>
      <c r="AE1495" s="327"/>
      <c r="AF1495" s="577"/>
      <c r="AG1495" s="327"/>
      <c r="AH1495" s="576"/>
      <c r="AI1495" s="327"/>
      <c r="AJ1495" s="577"/>
      <c r="AK1495" s="327"/>
      <c r="AL1495" s="602"/>
      <c r="AM1495" s="326"/>
      <c r="AN1495" s="326"/>
      <c r="AO1495" s="326"/>
      <c r="AP1495" s="326"/>
      <c r="AQ1495" s="326"/>
      <c r="AR1495" s="326"/>
      <c r="AS1495" s="326"/>
      <c r="AT1495" s="326"/>
      <c r="AU1495" s="326"/>
      <c r="AV1495" s="326"/>
      <c r="AW1495" s="326"/>
      <c r="AX1495" s="326"/>
      <c r="AY1495" s="326"/>
      <c r="AZ1495" s="326"/>
      <c r="BA1495" s="326"/>
      <c r="BB1495" s="327"/>
    </row>
    <row r="1496" spans="1:54" ht="15.75" customHeight="1" x14ac:dyDescent="0.25">
      <c r="A1496" s="11">
        <f t="shared" si="5"/>
        <v>1483</v>
      </c>
      <c r="B1496" s="570" t="str">
        <f>'refer admin discharge'!B1492</f>
        <v>x</v>
      </c>
      <c r="C1496" s="327"/>
      <c r="D1496" s="599" t="str">
        <f>'refer admin discharge'!D1492</f>
        <v>xx</v>
      </c>
      <c r="E1496" s="327"/>
      <c r="F1496" s="600" t="str">
        <f>'refer admin discharge'!H1492</f>
        <v>00/00/0000</v>
      </c>
      <c r="G1496" s="327"/>
      <c r="H1496" s="574"/>
      <c r="I1496" s="327"/>
      <c r="J1496" s="601"/>
      <c r="K1496" s="327"/>
      <c r="L1496" s="574"/>
      <c r="M1496" s="327"/>
      <c r="N1496" s="594"/>
      <c r="O1496" s="327"/>
      <c r="P1496" s="574"/>
      <c r="Q1496" s="327"/>
      <c r="R1496" s="594"/>
      <c r="S1496" s="327"/>
      <c r="T1496" s="574"/>
      <c r="U1496" s="327"/>
      <c r="V1496" s="595" t="str">
        <f>'refer admin discharge'!H1497</f>
        <v>00/00/0000</v>
      </c>
      <c r="W1496" s="327"/>
      <c r="X1496" s="596"/>
      <c r="Y1496" s="327"/>
      <c r="Z1496" s="597"/>
      <c r="AA1496" s="327"/>
      <c r="AB1496" s="596"/>
      <c r="AC1496" s="327"/>
      <c r="AD1496" s="577"/>
      <c r="AE1496" s="327"/>
      <c r="AF1496" s="596"/>
      <c r="AG1496" s="327"/>
      <c r="AH1496" s="577"/>
      <c r="AI1496" s="327"/>
      <c r="AJ1496" s="596"/>
      <c r="AK1496" s="327"/>
      <c r="AL1496" s="598"/>
      <c r="AM1496" s="326"/>
      <c r="AN1496" s="326"/>
      <c r="AO1496" s="326"/>
      <c r="AP1496" s="326"/>
      <c r="AQ1496" s="326"/>
      <c r="AR1496" s="326"/>
      <c r="AS1496" s="326"/>
      <c r="AT1496" s="326"/>
      <c r="AU1496" s="326"/>
      <c r="AV1496" s="326"/>
      <c r="AW1496" s="326"/>
      <c r="AX1496" s="326"/>
      <c r="AY1496" s="326"/>
      <c r="AZ1496" s="326"/>
      <c r="BA1496" s="326"/>
      <c r="BB1496" s="327"/>
    </row>
    <row r="1497" spans="1:54" ht="15.75" customHeight="1" x14ac:dyDescent="0.25">
      <c r="A1497" s="11">
        <f t="shared" si="5"/>
        <v>1484</v>
      </c>
      <c r="B1497" s="504" t="str">
        <f>'refer admin discharge'!B1493</f>
        <v>x</v>
      </c>
      <c r="C1497" s="327"/>
      <c r="D1497" s="505" t="str">
        <f>'refer admin discharge'!D1493</f>
        <v>xx</v>
      </c>
      <c r="E1497" s="327"/>
      <c r="F1497" s="606" t="str">
        <f>'refer admin discharge'!H1493</f>
        <v>00/00/0000</v>
      </c>
      <c r="G1497" s="327"/>
      <c r="H1497" s="594"/>
      <c r="I1497" s="327"/>
      <c r="J1497" s="605"/>
      <c r="K1497" s="327"/>
      <c r="L1497" s="594"/>
      <c r="M1497" s="327"/>
      <c r="N1497" s="575"/>
      <c r="O1497" s="327"/>
      <c r="P1497" s="594"/>
      <c r="Q1497" s="327"/>
      <c r="R1497" s="575"/>
      <c r="S1497" s="327"/>
      <c r="T1497" s="594"/>
      <c r="U1497" s="327"/>
      <c r="V1497" s="595" t="str">
        <f>'refer admin discharge'!H1498</f>
        <v>00/00/0000</v>
      </c>
      <c r="W1497" s="327"/>
      <c r="X1497" s="577"/>
      <c r="Y1497" s="327"/>
      <c r="Z1497" s="604"/>
      <c r="AA1497" s="327"/>
      <c r="AB1497" s="577"/>
      <c r="AC1497" s="327"/>
      <c r="AD1497" s="576"/>
      <c r="AE1497" s="327"/>
      <c r="AF1497" s="577"/>
      <c r="AG1497" s="327"/>
      <c r="AH1497" s="576"/>
      <c r="AI1497" s="327"/>
      <c r="AJ1497" s="577"/>
      <c r="AK1497" s="327"/>
      <c r="AL1497" s="602"/>
      <c r="AM1497" s="326"/>
      <c r="AN1497" s="326"/>
      <c r="AO1497" s="326"/>
      <c r="AP1497" s="326"/>
      <c r="AQ1497" s="326"/>
      <c r="AR1497" s="326"/>
      <c r="AS1497" s="326"/>
      <c r="AT1497" s="326"/>
      <c r="AU1497" s="326"/>
      <c r="AV1497" s="326"/>
      <c r="AW1497" s="326"/>
      <c r="AX1497" s="326"/>
      <c r="AY1497" s="326"/>
      <c r="AZ1497" s="326"/>
      <c r="BA1497" s="326"/>
      <c r="BB1497" s="327"/>
    </row>
    <row r="1498" spans="1:54" ht="15.75" customHeight="1" x14ac:dyDescent="0.25">
      <c r="A1498" s="11">
        <f t="shared" si="5"/>
        <v>1485</v>
      </c>
      <c r="B1498" s="570" t="str">
        <f>'refer admin discharge'!B1494</f>
        <v>x</v>
      </c>
      <c r="C1498" s="327"/>
      <c r="D1498" s="599" t="str">
        <f>'refer admin discharge'!D1494</f>
        <v>xx</v>
      </c>
      <c r="E1498" s="327"/>
      <c r="F1498" s="600" t="str">
        <f>'refer admin discharge'!H1494</f>
        <v>00/00/0000</v>
      </c>
      <c r="G1498" s="327"/>
      <c r="H1498" s="574"/>
      <c r="I1498" s="327"/>
      <c r="J1498" s="601"/>
      <c r="K1498" s="327"/>
      <c r="L1498" s="574"/>
      <c r="M1498" s="327"/>
      <c r="N1498" s="594"/>
      <c r="O1498" s="327"/>
      <c r="P1498" s="574"/>
      <c r="Q1498" s="327"/>
      <c r="R1498" s="594"/>
      <c r="S1498" s="327"/>
      <c r="T1498" s="574"/>
      <c r="U1498" s="327"/>
      <c r="V1498" s="595" t="str">
        <f>'refer admin discharge'!H1499</f>
        <v>00/00/0000</v>
      </c>
      <c r="W1498" s="327"/>
      <c r="X1498" s="596"/>
      <c r="Y1498" s="327"/>
      <c r="Z1498" s="597"/>
      <c r="AA1498" s="327"/>
      <c r="AB1498" s="596"/>
      <c r="AC1498" s="327"/>
      <c r="AD1498" s="577"/>
      <c r="AE1498" s="327"/>
      <c r="AF1498" s="596"/>
      <c r="AG1498" s="327"/>
      <c r="AH1498" s="577"/>
      <c r="AI1498" s="327"/>
      <c r="AJ1498" s="596"/>
      <c r="AK1498" s="327"/>
      <c r="AL1498" s="598"/>
      <c r="AM1498" s="326"/>
      <c r="AN1498" s="326"/>
      <c r="AO1498" s="326"/>
      <c r="AP1498" s="326"/>
      <c r="AQ1498" s="326"/>
      <c r="AR1498" s="326"/>
      <c r="AS1498" s="326"/>
      <c r="AT1498" s="326"/>
      <c r="AU1498" s="326"/>
      <c r="AV1498" s="326"/>
      <c r="AW1498" s="326"/>
      <c r="AX1498" s="326"/>
      <c r="AY1498" s="326"/>
      <c r="AZ1498" s="326"/>
      <c r="BA1498" s="326"/>
      <c r="BB1498" s="327"/>
    </row>
    <row r="1499" spans="1:54" ht="15.75" customHeight="1" x14ac:dyDescent="0.25">
      <c r="A1499" s="11">
        <f t="shared" si="5"/>
        <v>1486</v>
      </c>
      <c r="B1499" s="504" t="str">
        <f>'refer admin discharge'!B1495</f>
        <v>x</v>
      </c>
      <c r="C1499" s="327"/>
      <c r="D1499" s="505" t="str">
        <f>'refer admin discharge'!D1495</f>
        <v>xx</v>
      </c>
      <c r="E1499" s="327"/>
      <c r="F1499" s="606" t="str">
        <f>'refer admin discharge'!H1495</f>
        <v>00/00/0000</v>
      </c>
      <c r="G1499" s="327"/>
      <c r="H1499" s="594"/>
      <c r="I1499" s="327"/>
      <c r="J1499" s="605"/>
      <c r="K1499" s="327"/>
      <c r="L1499" s="594"/>
      <c r="M1499" s="327"/>
      <c r="N1499" s="575"/>
      <c r="O1499" s="327"/>
      <c r="P1499" s="594"/>
      <c r="Q1499" s="327"/>
      <c r="R1499" s="575"/>
      <c r="S1499" s="327"/>
      <c r="T1499" s="594"/>
      <c r="U1499" s="327"/>
      <c r="V1499" s="595" t="str">
        <f>'refer admin discharge'!H1500</f>
        <v>00/00/0000</v>
      </c>
      <c r="W1499" s="327"/>
      <c r="X1499" s="577"/>
      <c r="Y1499" s="327"/>
      <c r="Z1499" s="604"/>
      <c r="AA1499" s="327"/>
      <c r="AB1499" s="577"/>
      <c r="AC1499" s="327"/>
      <c r="AD1499" s="576"/>
      <c r="AE1499" s="327"/>
      <c r="AF1499" s="577"/>
      <c r="AG1499" s="327"/>
      <c r="AH1499" s="576"/>
      <c r="AI1499" s="327"/>
      <c r="AJ1499" s="577"/>
      <c r="AK1499" s="327"/>
      <c r="AL1499" s="602"/>
      <c r="AM1499" s="326"/>
      <c r="AN1499" s="326"/>
      <c r="AO1499" s="326"/>
      <c r="AP1499" s="326"/>
      <c r="AQ1499" s="326"/>
      <c r="AR1499" s="326"/>
      <c r="AS1499" s="326"/>
      <c r="AT1499" s="326"/>
      <c r="AU1499" s="326"/>
      <c r="AV1499" s="326"/>
      <c r="AW1499" s="326"/>
      <c r="AX1499" s="326"/>
      <c r="AY1499" s="326"/>
      <c r="AZ1499" s="326"/>
      <c r="BA1499" s="326"/>
      <c r="BB1499" s="327"/>
    </row>
    <row r="1500" spans="1:54" ht="15.75" customHeight="1" x14ac:dyDescent="0.25">
      <c r="A1500" s="11">
        <f t="shared" si="5"/>
        <v>1487</v>
      </c>
      <c r="B1500" s="570" t="str">
        <f>'refer admin discharge'!B1496</f>
        <v>x</v>
      </c>
      <c r="C1500" s="327"/>
      <c r="D1500" s="599" t="str">
        <f>'refer admin discharge'!D1496</f>
        <v>xx</v>
      </c>
      <c r="E1500" s="327"/>
      <c r="F1500" s="600" t="str">
        <f>'refer admin discharge'!H1496</f>
        <v>00/00/0000</v>
      </c>
      <c r="G1500" s="327"/>
      <c r="H1500" s="574"/>
      <c r="I1500" s="327"/>
      <c r="J1500" s="601"/>
      <c r="K1500" s="327"/>
      <c r="L1500" s="574"/>
      <c r="M1500" s="327"/>
      <c r="N1500" s="594"/>
      <c r="O1500" s="327"/>
      <c r="P1500" s="574"/>
      <c r="Q1500" s="327"/>
      <c r="R1500" s="594"/>
      <c r="S1500" s="327"/>
      <c r="T1500" s="574"/>
      <c r="U1500" s="327"/>
      <c r="V1500" s="595" t="str">
        <f>'refer admin discharge'!H1501</f>
        <v>00/00/0000</v>
      </c>
      <c r="W1500" s="327"/>
      <c r="X1500" s="596"/>
      <c r="Y1500" s="327"/>
      <c r="Z1500" s="597"/>
      <c r="AA1500" s="327"/>
      <c r="AB1500" s="596"/>
      <c r="AC1500" s="327"/>
      <c r="AD1500" s="577"/>
      <c r="AE1500" s="327"/>
      <c r="AF1500" s="596"/>
      <c r="AG1500" s="327"/>
      <c r="AH1500" s="577"/>
      <c r="AI1500" s="327"/>
      <c r="AJ1500" s="596"/>
      <c r="AK1500" s="327"/>
      <c r="AL1500" s="598"/>
      <c r="AM1500" s="326"/>
      <c r="AN1500" s="326"/>
      <c r="AO1500" s="326"/>
      <c r="AP1500" s="326"/>
      <c r="AQ1500" s="326"/>
      <c r="AR1500" s="326"/>
      <c r="AS1500" s="326"/>
      <c r="AT1500" s="326"/>
      <c r="AU1500" s="326"/>
      <c r="AV1500" s="326"/>
      <c r="AW1500" s="326"/>
      <c r="AX1500" s="326"/>
      <c r="AY1500" s="326"/>
      <c r="AZ1500" s="326"/>
      <c r="BA1500" s="326"/>
      <c r="BB1500" s="327"/>
    </row>
    <row r="1501" spans="1:54" ht="15.75" customHeight="1" x14ac:dyDescent="0.25">
      <c r="A1501" s="11">
        <f t="shared" si="5"/>
        <v>1488</v>
      </c>
      <c r="B1501" s="504" t="str">
        <f>'refer admin discharge'!B1497</f>
        <v>x</v>
      </c>
      <c r="C1501" s="327"/>
      <c r="D1501" s="505" t="str">
        <f>'refer admin discharge'!D1497</f>
        <v>xx</v>
      </c>
      <c r="E1501" s="327"/>
      <c r="F1501" s="606" t="str">
        <f>'refer admin discharge'!H1497</f>
        <v>00/00/0000</v>
      </c>
      <c r="G1501" s="327"/>
      <c r="H1501" s="594"/>
      <c r="I1501" s="327"/>
      <c r="J1501" s="605"/>
      <c r="K1501" s="327"/>
      <c r="L1501" s="594"/>
      <c r="M1501" s="327"/>
      <c r="N1501" s="575"/>
      <c r="O1501" s="327"/>
      <c r="P1501" s="594"/>
      <c r="Q1501" s="327"/>
      <c r="R1501" s="575"/>
      <c r="S1501" s="327"/>
      <c r="T1501" s="594"/>
      <c r="U1501" s="327"/>
      <c r="V1501" s="595" t="str">
        <f>'refer admin discharge'!H1502</f>
        <v>00/00/0000</v>
      </c>
      <c r="W1501" s="327"/>
      <c r="X1501" s="577"/>
      <c r="Y1501" s="327"/>
      <c r="Z1501" s="604"/>
      <c r="AA1501" s="327"/>
      <c r="AB1501" s="577"/>
      <c r="AC1501" s="327"/>
      <c r="AD1501" s="576"/>
      <c r="AE1501" s="327"/>
      <c r="AF1501" s="577"/>
      <c r="AG1501" s="327"/>
      <c r="AH1501" s="576"/>
      <c r="AI1501" s="327"/>
      <c r="AJ1501" s="577"/>
      <c r="AK1501" s="327"/>
      <c r="AL1501" s="602"/>
      <c r="AM1501" s="326"/>
      <c r="AN1501" s="326"/>
      <c r="AO1501" s="326"/>
      <c r="AP1501" s="326"/>
      <c r="AQ1501" s="326"/>
      <c r="AR1501" s="326"/>
      <c r="AS1501" s="326"/>
      <c r="AT1501" s="326"/>
      <c r="AU1501" s="326"/>
      <c r="AV1501" s="326"/>
      <c r="AW1501" s="326"/>
      <c r="AX1501" s="326"/>
      <c r="AY1501" s="326"/>
      <c r="AZ1501" s="326"/>
      <c r="BA1501" s="326"/>
      <c r="BB1501" s="327"/>
    </row>
    <row r="1502" spans="1:54" ht="15.75" customHeight="1" x14ac:dyDescent="0.25">
      <c r="A1502" s="11">
        <f t="shared" si="5"/>
        <v>1489</v>
      </c>
      <c r="B1502" s="570" t="str">
        <f>'refer admin discharge'!B1498</f>
        <v>x</v>
      </c>
      <c r="C1502" s="327"/>
      <c r="D1502" s="599" t="str">
        <f>'refer admin discharge'!D1498</f>
        <v>xx</v>
      </c>
      <c r="E1502" s="327"/>
      <c r="F1502" s="600" t="str">
        <f>'refer admin discharge'!H1498</f>
        <v>00/00/0000</v>
      </c>
      <c r="G1502" s="327"/>
      <c r="H1502" s="574"/>
      <c r="I1502" s="327"/>
      <c r="J1502" s="601"/>
      <c r="K1502" s="327"/>
      <c r="L1502" s="574"/>
      <c r="M1502" s="327"/>
      <c r="N1502" s="594"/>
      <c r="O1502" s="327"/>
      <c r="P1502" s="574"/>
      <c r="Q1502" s="327"/>
      <c r="R1502" s="594"/>
      <c r="S1502" s="327"/>
      <c r="T1502" s="574"/>
      <c r="U1502" s="327"/>
      <c r="V1502" s="595" t="str">
        <f>'refer admin discharge'!H1503</f>
        <v>00/00/0000</v>
      </c>
      <c r="W1502" s="327"/>
      <c r="X1502" s="596"/>
      <c r="Y1502" s="327"/>
      <c r="Z1502" s="597"/>
      <c r="AA1502" s="327"/>
      <c r="AB1502" s="596"/>
      <c r="AC1502" s="327"/>
      <c r="AD1502" s="577"/>
      <c r="AE1502" s="327"/>
      <c r="AF1502" s="596"/>
      <c r="AG1502" s="327"/>
      <c r="AH1502" s="577"/>
      <c r="AI1502" s="327"/>
      <c r="AJ1502" s="596"/>
      <c r="AK1502" s="327"/>
      <c r="AL1502" s="598"/>
      <c r="AM1502" s="326"/>
      <c r="AN1502" s="326"/>
      <c r="AO1502" s="326"/>
      <c r="AP1502" s="326"/>
      <c r="AQ1502" s="326"/>
      <c r="AR1502" s="326"/>
      <c r="AS1502" s="326"/>
      <c r="AT1502" s="326"/>
      <c r="AU1502" s="326"/>
      <c r="AV1502" s="326"/>
      <c r="AW1502" s="326"/>
      <c r="AX1502" s="326"/>
      <c r="AY1502" s="326"/>
      <c r="AZ1502" s="326"/>
      <c r="BA1502" s="326"/>
      <c r="BB1502" s="327"/>
    </row>
    <row r="1503" spans="1:54" ht="15.75" customHeight="1" x14ac:dyDescent="0.25">
      <c r="A1503" s="11">
        <f t="shared" si="5"/>
        <v>1490</v>
      </c>
      <c r="B1503" s="504" t="str">
        <f>'refer admin discharge'!B1499</f>
        <v>x</v>
      </c>
      <c r="C1503" s="327"/>
      <c r="D1503" s="505" t="str">
        <f>'refer admin discharge'!D1499</f>
        <v>xx</v>
      </c>
      <c r="E1503" s="327"/>
      <c r="F1503" s="606" t="str">
        <f>'refer admin discharge'!H1499</f>
        <v>00/00/0000</v>
      </c>
      <c r="G1503" s="327"/>
      <c r="H1503" s="594"/>
      <c r="I1503" s="327"/>
      <c r="J1503" s="605"/>
      <c r="K1503" s="327"/>
      <c r="L1503" s="594"/>
      <c r="M1503" s="327"/>
      <c r="N1503" s="575"/>
      <c r="O1503" s="327"/>
      <c r="P1503" s="594"/>
      <c r="Q1503" s="327"/>
      <c r="R1503" s="575"/>
      <c r="S1503" s="327"/>
      <c r="T1503" s="594"/>
      <c r="U1503" s="327"/>
      <c r="V1503" s="595" t="str">
        <f>'refer admin discharge'!H1504</f>
        <v>00/00/0000</v>
      </c>
      <c r="W1503" s="327"/>
      <c r="X1503" s="577"/>
      <c r="Y1503" s="327"/>
      <c r="Z1503" s="604"/>
      <c r="AA1503" s="327"/>
      <c r="AB1503" s="577"/>
      <c r="AC1503" s="327"/>
      <c r="AD1503" s="576"/>
      <c r="AE1503" s="327"/>
      <c r="AF1503" s="577"/>
      <c r="AG1503" s="327"/>
      <c r="AH1503" s="576"/>
      <c r="AI1503" s="327"/>
      <c r="AJ1503" s="577"/>
      <c r="AK1503" s="327"/>
      <c r="AL1503" s="602"/>
      <c r="AM1503" s="326"/>
      <c r="AN1503" s="326"/>
      <c r="AO1503" s="326"/>
      <c r="AP1503" s="326"/>
      <c r="AQ1503" s="326"/>
      <c r="AR1503" s="326"/>
      <c r="AS1503" s="326"/>
      <c r="AT1503" s="326"/>
      <c r="AU1503" s="326"/>
      <c r="AV1503" s="326"/>
      <c r="AW1503" s="326"/>
      <c r="AX1503" s="326"/>
      <c r="AY1503" s="326"/>
      <c r="AZ1503" s="326"/>
      <c r="BA1503" s="326"/>
      <c r="BB1503" s="327"/>
    </row>
    <row r="1504" spans="1:54" ht="15.75" customHeight="1" x14ac:dyDescent="0.25">
      <c r="A1504" s="11">
        <f t="shared" si="5"/>
        <v>1491</v>
      </c>
      <c r="B1504" s="570" t="str">
        <f>'refer admin discharge'!B1500</f>
        <v>x</v>
      </c>
      <c r="C1504" s="327"/>
      <c r="D1504" s="599" t="str">
        <f>'refer admin discharge'!D1500</f>
        <v>xx</v>
      </c>
      <c r="E1504" s="327"/>
      <c r="F1504" s="600" t="str">
        <f>'refer admin discharge'!H1500</f>
        <v>00/00/0000</v>
      </c>
      <c r="G1504" s="327"/>
      <c r="H1504" s="574"/>
      <c r="I1504" s="327"/>
      <c r="J1504" s="601"/>
      <c r="K1504" s="327"/>
      <c r="L1504" s="574"/>
      <c r="M1504" s="327"/>
      <c r="N1504" s="594"/>
      <c r="O1504" s="327"/>
      <c r="P1504" s="574"/>
      <c r="Q1504" s="327"/>
      <c r="R1504" s="594"/>
      <c r="S1504" s="327"/>
      <c r="T1504" s="574"/>
      <c r="U1504" s="327"/>
      <c r="V1504" s="595" t="str">
        <f>'refer admin discharge'!H1505</f>
        <v>00/00/0000</v>
      </c>
      <c r="W1504" s="327"/>
      <c r="X1504" s="596"/>
      <c r="Y1504" s="327"/>
      <c r="Z1504" s="597"/>
      <c r="AA1504" s="327"/>
      <c r="AB1504" s="596"/>
      <c r="AC1504" s="327"/>
      <c r="AD1504" s="577"/>
      <c r="AE1504" s="327"/>
      <c r="AF1504" s="596"/>
      <c r="AG1504" s="327"/>
      <c r="AH1504" s="577"/>
      <c r="AI1504" s="327"/>
      <c r="AJ1504" s="596"/>
      <c r="AK1504" s="327"/>
      <c r="AL1504" s="598"/>
      <c r="AM1504" s="326"/>
      <c r="AN1504" s="326"/>
      <c r="AO1504" s="326"/>
      <c r="AP1504" s="326"/>
      <c r="AQ1504" s="326"/>
      <c r="AR1504" s="326"/>
      <c r="AS1504" s="326"/>
      <c r="AT1504" s="326"/>
      <c r="AU1504" s="326"/>
      <c r="AV1504" s="326"/>
      <c r="AW1504" s="326"/>
      <c r="AX1504" s="326"/>
      <c r="AY1504" s="326"/>
      <c r="AZ1504" s="326"/>
      <c r="BA1504" s="326"/>
      <c r="BB1504" s="327"/>
    </row>
    <row r="1505" spans="1:54" ht="15.75" customHeight="1" x14ac:dyDescent="0.25">
      <c r="A1505" s="11">
        <f t="shared" si="5"/>
        <v>1492</v>
      </c>
      <c r="B1505" s="504" t="str">
        <f>'refer admin discharge'!B1501</f>
        <v>x</v>
      </c>
      <c r="C1505" s="327"/>
      <c r="D1505" s="505" t="str">
        <f>'refer admin discharge'!D1501</f>
        <v>xx</v>
      </c>
      <c r="E1505" s="327"/>
      <c r="F1505" s="606" t="str">
        <f>'refer admin discharge'!H1501</f>
        <v>00/00/0000</v>
      </c>
      <c r="G1505" s="327"/>
      <c r="H1505" s="594"/>
      <c r="I1505" s="327"/>
      <c r="J1505" s="605"/>
      <c r="K1505" s="327"/>
      <c r="L1505" s="594"/>
      <c r="M1505" s="327"/>
      <c r="N1505" s="575"/>
      <c r="O1505" s="327"/>
      <c r="P1505" s="594"/>
      <c r="Q1505" s="327"/>
      <c r="R1505" s="575"/>
      <c r="S1505" s="327"/>
      <c r="T1505" s="594"/>
      <c r="U1505" s="327"/>
      <c r="V1505" s="595" t="str">
        <f>'refer admin discharge'!H1506</f>
        <v>00/00/0000</v>
      </c>
      <c r="W1505" s="327"/>
      <c r="X1505" s="577"/>
      <c r="Y1505" s="327"/>
      <c r="Z1505" s="604"/>
      <c r="AA1505" s="327"/>
      <c r="AB1505" s="577"/>
      <c r="AC1505" s="327"/>
      <c r="AD1505" s="576"/>
      <c r="AE1505" s="327"/>
      <c r="AF1505" s="577"/>
      <c r="AG1505" s="327"/>
      <c r="AH1505" s="576"/>
      <c r="AI1505" s="327"/>
      <c r="AJ1505" s="577"/>
      <c r="AK1505" s="327"/>
      <c r="AL1505" s="602"/>
      <c r="AM1505" s="326"/>
      <c r="AN1505" s="326"/>
      <c r="AO1505" s="326"/>
      <c r="AP1505" s="326"/>
      <c r="AQ1505" s="326"/>
      <c r="AR1505" s="326"/>
      <c r="AS1505" s="326"/>
      <c r="AT1505" s="326"/>
      <c r="AU1505" s="326"/>
      <c r="AV1505" s="326"/>
      <c r="AW1505" s="326"/>
      <c r="AX1505" s="326"/>
      <c r="AY1505" s="326"/>
      <c r="AZ1505" s="326"/>
      <c r="BA1505" s="326"/>
      <c r="BB1505" s="327"/>
    </row>
    <row r="1506" spans="1:54" ht="15.75" customHeight="1" x14ac:dyDescent="0.25">
      <c r="A1506" s="11">
        <f t="shared" si="5"/>
        <v>1493</v>
      </c>
      <c r="B1506" s="570" t="str">
        <f>'refer admin discharge'!B1502</f>
        <v>x</v>
      </c>
      <c r="C1506" s="327"/>
      <c r="D1506" s="599" t="str">
        <f>'refer admin discharge'!D1502</f>
        <v>xx</v>
      </c>
      <c r="E1506" s="327"/>
      <c r="F1506" s="600" t="str">
        <f>'refer admin discharge'!H1502</f>
        <v>00/00/0000</v>
      </c>
      <c r="G1506" s="327"/>
      <c r="H1506" s="574"/>
      <c r="I1506" s="327"/>
      <c r="J1506" s="601"/>
      <c r="K1506" s="327"/>
      <c r="L1506" s="574"/>
      <c r="M1506" s="327"/>
      <c r="N1506" s="594"/>
      <c r="O1506" s="327"/>
      <c r="P1506" s="574"/>
      <c r="Q1506" s="327"/>
      <c r="R1506" s="594"/>
      <c r="S1506" s="327"/>
      <c r="T1506" s="574"/>
      <c r="U1506" s="327"/>
      <c r="V1506" s="595" t="str">
        <f>'refer admin discharge'!H1507</f>
        <v>00/00/0000</v>
      </c>
      <c r="W1506" s="327"/>
      <c r="X1506" s="596"/>
      <c r="Y1506" s="327"/>
      <c r="Z1506" s="597"/>
      <c r="AA1506" s="327"/>
      <c r="AB1506" s="596"/>
      <c r="AC1506" s="327"/>
      <c r="AD1506" s="577"/>
      <c r="AE1506" s="327"/>
      <c r="AF1506" s="596"/>
      <c r="AG1506" s="327"/>
      <c r="AH1506" s="577"/>
      <c r="AI1506" s="327"/>
      <c r="AJ1506" s="596"/>
      <c r="AK1506" s="327"/>
      <c r="AL1506" s="598"/>
      <c r="AM1506" s="326"/>
      <c r="AN1506" s="326"/>
      <c r="AO1506" s="326"/>
      <c r="AP1506" s="326"/>
      <c r="AQ1506" s="326"/>
      <c r="AR1506" s="326"/>
      <c r="AS1506" s="326"/>
      <c r="AT1506" s="326"/>
      <c r="AU1506" s="326"/>
      <c r="AV1506" s="326"/>
      <c r="AW1506" s="326"/>
      <c r="AX1506" s="326"/>
      <c r="AY1506" s="326"/>
      <c r="AZ1506" s="326"/>
      <c r="BA1506" s="326"/>
      <c r="BB1506" s="327"/>
    </row>
    <row r="1507" spans="1:54" ht="15.75" customHeight="1" x14ac:dyDescent="0.25">
      <c r="A1507" s="11">
        <f t="shared" si="5"/>
        <v>1494</v>
      </c>
      <c r="B1507" s="504" t="str">
        <f>'refer admin discharge'!B1503</f>
        <v>x</v>
      </c>
      <c r="C1507" s="327"/>
      <c r="D1507" s="505" t="str">
        <f>'refer admin discharge'!D1503</f>
        <v>xx</v>
      </c>
      <c r="E1507" s="327"/>
      <c r="F1507" s="606" t="str">
        <f>'refer admin discharge'!H1503</f>
        <v>00/00/0000</v>
      </c>
      <c r="G1507" s="327"/>
      <c r="H1507" s="594"/>
      <c r="I1507" s="327"/>
      <c r="J1507" s="605"/>
      <c r="K1507" s="327"/>
      <c r="L1507" s="594"/>
      <c r="M1507" s="327"/>
      <c r="N1507" s="575"/>
      <c r="O1507" s="327"/>
      <c r="P1507" s="594"/>
      <c r="Q1507" s="327"/>
      <c r="R1507" s="575"/>
      <c r="S1507" s="327"/>
      <c r="T1507" s="594"/>
      <c r="U1507" s="327"/>
      <c r="V1507" s="595" t="str">
        <f>'refer admin discharge'!H1508</f>
        <v>00/00/0000</v>
      </c>
      <c r="W1507" s="327"/>
      <c r="X1507" s="577"/>
      <c r="Y1507" s="327"/>
      <c r="Z1507" s="604"/>
      <c r="AA1507" s="327"/>
      <c r="AB1507" s="577"/>
      <c r="AC1507" s="327"/>
      <c r="AD1507" s="576"/>
      <c r="AE1507" s="327"/>
      <c r="AF1507" s="577"/>
      <c r="AG1507" s="327"/>
      <c r="AH1507" s="576"/>
      <c r="AI1507" s="327"/>
      <c r="AJ1507" s="577"/>
      <c r="AK1507" s="327"/>
      <c r="AL1507" s="602"/>
      <c r="AM1507" s="326"/>
      <c r="AN1507" s="326"/>
      <c r="AO1507" s="326"/>
      <c r="AP1507" s="326"/>
      <c r="AQ1507" s="326"/>
      <c r="AR1507" s="326"/>
      <c r="AS1507" s="326"/>
      <c r="AT1507" s="326"/>
      <c r="AU1507" s="326"/>
      <c r="AV1507" s="326"/>
      <c r="AW1507" s="326"/>
      <c r="AX1507" s="326"/>
      <c r="AY1507" s="326"/>
      <c r="AZ1507" s="326"/>
      <c r="BA1507" s="326"/>
      <c r="BB1507" s="327"/>
    </row>
    <row r="1508" spans="1:54" ht="15.75" customHeight="1" x14ac:dyDescent="0.25">
      <c r="A1508" s="11">
        <f t="shared" si="5"/>
        <v>1495</v>
      </c>
      <c r="B1508" s="570" t="str">
        <f>'refer admin discharge'!B1504</f>
        <v>x</v>
      </c>
      <c r="C1508" s="327"/>
      <c r="D1508" s="599" t="str">
        <f>'refer admin discharge'!D1504</f>
        <v>xx</v>
      </c>
      <c r="E1508" s="327"/>
      <c r="F1508" s="600" t="str">
        <f>'refer admin discharge'!H1504</f>
        <v>00/00/0000</v>
      </c>
      <c r="G1508" s="327"/>
      <c r="H1508" s="574"/>
      <c r="I1508" s="327"/>
      <c r="J1508" s="601"/>
      <c r="K1508" s="327"/>
      <c r="L1508" s="574"/>
      <c r="M1508" s="327"/>
      <c r="N1508" s="594"/>
      <c r="O1508" s="327"/>
      <c r="P1508" s="574"/>
      <c r="Q1508" s="327"/>
      <c r="R1508" s="594"/>
      <c r="S1508" s="327"/>
      <c r="T1508" s="574"/>
      <c r="U1508" s="327"/>
      <c r="V1508" s="595" t="str">
        <f>'refer admin discharge'!H1509</f>
        <v>00/00/0000</v>
      </c>
      <c r="W1508" s="327"/>
      <c r="X1508" s="596"/>
      <c r="Y1508" s="327"/>
      <c r="Z1508" s="597"/>
      <c r="AA1508" s="327"/>
      <c r="AB1508" s="596"/>
      <c r="AC1508" s="327"/>
      <c r="AD1508" s="577"/>
      <c r="AE1508" s="327"/>
      <c r="AF1508" s="596"/>
      <c r="AG1508" s="327"/>
      <c r="AH1508" s="577"/>
      <c r="AI1508" s="327"/>
      <c r="AJ1508" s="596"/>
      <c r="AK1508" s="327"/>
      <c r="AL1508" s="598"/>
      <c r="AM1508" s="326"/>
      <c r="AN1508" s="326"/>
      <c r="AO1508" s="326"/>
      <c r="AP1508" s="326"/>
      <c r="AQ1508" s="326"/>
      <c r="AR1508" s="326"/>
      <c r="AS1508" s="326"/>
      <c r="AT1508" s="326"/>
      <c r="AU1508" s="326"/>
      <c r="AV1508" s="326"/>
      <c r="AW1508" s="326"/>
      <c r="AX1508" s="326"/>
      <c r="AY1508" s="326"/>
      <c r="AZ1508" s="326"/>
      <c r="BA1508" s="326"/>
      <c r="BB1508" s="327"/>
    </row>
    <row r="1509" spans="1:54" ht="15.75" customHeight="1" x14ac:dyDescent="0.25">
      <c r="A1509" s="11">
        <f t="shared" si="5"/>
        <v>1496</v>
      </c>
      <c r="B1509" s="504" t="str">
        <f>'refer admin discharge'!B1505</f>
        <v>x</v>
      </c>
      <c r="C1509" s="327"/>
      <c r="D1509" s="505" t="str">
        <f>'refer admin discharge'!D1505</f>
        <v>xx</v>
      </c>
      <c r="E1509" s="327"/>
      <c r="F1509" s="606" t="str">
        <f>'refer admin discharge'!H1505</f>
        <v>00/00/0000</v>
      </c>
      <c r="G1509" s="327"/>
      <c r="H1509" s="594"/>
      <c r="I1509" s="327"/>
      <c r="J1509" s="605"/>
      <c r="K1509" s="327"/>
      <c r="L1509" s="594"/>
      <c r="M1509" s="327"/>
      <c r="N1509" s="575"/>
      <c r="O1509" s="327"/>
      <c r="P1509" s="594"/>
      <c r="Q1509" s="327"/>
      <c r="R1509" s="575"/>
      <c r="S1509" s="327"/>
      <c r="T1509" s="594"/>
      <c r="U1509" s="327"/>
      <c r="V1509" s="595" t="str">
        <f>'refer admin discharge'!H1510</f>
        <v>00/00/0000</v>
      </c>
      <c r="W1509" s="327"/>
      <c r="X1509" s="577"/>
      <c r="Y1509" s="327"/>
      <c r="Z1509" s="604"/>
      <c r="AA1509" s="327"/>
      <c r="AB1509" s="577"/>
      <c r="AC1509" s="327"/>
      <c r="AD1509" s="576"/>
      <c r="AE1509" s="327"/>
      <c r="AF1509" s="577"/>
      <c r="AG1509" s="327"/>
      <c r="AH1509" s="576"/>
      <c r="AI1509" s="327"/>
      <c r="AJ1509" s="577"/>
      <c r="AK1509" s="327"/>
      <c r="AL1509" s="602"/>
      <c r="AM1509" s="326"/>
      <c r="AN1509" s="326"/>
      <c r="AO1509" s="326"/>
      <c r="AP1509" s="326"/>
      <c r="AQ1509" s="326"/>
      <c r="AR1509" s="326"/>
      <c r="AS1509" s="326"/>
      <c r="AT1509" s="326"/>
      <c r="AU1509" s="326"/>
      <c r="AV1509" s="326"/>
      <c r="AW1509" s="326"/>
      <c r="AX1509" s="326"/>
      <c r="AY1509" s="326"/>
      <c r="AZ1509" s="326"/>
      <c r="BA1509" s="326"/>
      <c r="BB1509" s="327"/>
    </row>
    <row r="1510" spans="1:54" ht="15.75" customHeight="1" x14ac:dyDescent="0.25">
      <c r="A1510" s="11">
        <f t="shared" si="5"/>
        <v>1497</v>
      </c>
      <c r="B1510" s="570" t="str">
        <f>'refer admin discharge'!B1506</f>
        <v>x</v>
      </c>
      <c r="C1510" s="327"/>
      <c r="D1510" s="599" t="str">
        <f>'refer admin discharge'!D1506</f>
        <v>xx</v>
      </c>
      <c r="E1510" s="327"/>
      <c r="F1510" s="600" t="str">
        <f>'refer admin discharge'!H1506</f>
        <v>00/00/0000</v>
      </c>
      <c r="G1510" s="327"/>
      <c r="H1510" s="574"/>
      <c r="I1510" s="327"/>
      <c r="J1510" s="601"/>
      <c r="K1510" s="327"/>
      <c r="L1510" s="574"/>
      <c r="M1510" s="327"/>
      <c r="N1510" s="594"/>
      <c r="O1510" s="327"/>
      <c r="P1510" s="574"/>
      <c r="Q1510" s="327"/>
      <c r="R1510" s="594"/>
      <c r="S1510" s="327"/>
      <c r="T1510" s="574"/>
      <c r="U1510" s="327"/>
      <c r="V1510" s="595" t="str">
        <f>'refer admin discharge'!H1511</f>
        <v>00/00/0000</v>
      </c>
      <c r="W1510" s="327"/>
      <c r="X1510" s="596"/>
      <c r="Y1510" s="327"/>
      <c r="Z1510" s="597"/>
      <c r="AA1510" s="327"/>
      <c r="AB1510" s="596"/>
      <c r="AC1510" s="327"/>
      <c r="AD1510" s="577"/>
      <c r="AE1510" s="327"/>
      <c r="AF1510" s="596"/>
      <c r="AG1510" s="327"/>
      <c r="AH1510" s="577"/>
      <c r="AI1510" s="327"/>
      <c r="AJ1510" s="596"/>
      <c r="AK1510" s="327"/>
      <c r="AL1510" s="598"/>
      <c r="AM1510" s="326"/>
      <c r="AN1510" s="326"/>
      <c r="AO1510" s="326"/>
      <c r="AP1510" s="326"/>
      <c r="AQ1510" s="326"/>
      <c r="AR1510" s="326"/>
      <c r="AS1510" s="326"/>
      <c r="AT1510" s="326"/>
      <c r="AU1510" s="326"/>
      <c r="AV1510" s="326"/>
      <c r="AW1510" s="326"/>
      <c r="AX1510" s="326"/>
      <c r="AY1510" s="326"/>
      <c r="AZ1510" s="326"/>
      <c r="BA1510" s="326"/>
      <c r="BB1510" s="327"/>
    </row>
    <row r="1511" spans="1:54" ht="15.75" customHeight="1" x14ac:dyDescent="0.25">
      <c r="A1511" s="11">
        <f t="shared" si="5"/>
        <v>1498</v>
      </c>
      <c r="B1511" s="504" t="str">
        <f>'refer admin discharge'!B1507</f>
        <v>x</v>
      </c>
      <c r="C1511" s="327"/>
      <c r="D1511" s="505" t="str">
        <f>'refer admin discharge'!D1507</f>
        <v>xx</v>
      </c>
      <c r="E1511" s="327"/>
      <c r="F1511" s="606" t="str">
        <f>'refer admin discharge'!H1507</f>
        <v>00/00/0000</v>
      </c>
      <c r="G1511" s="327"/>
      <c r="H1511" s="594"/>
      <c r="I1511" s="327"/>
      <c r="J1511" s="605"/>
      <c r="K1511" s="327"/>
      <c r="L1511" s="594"/>
      <c r="M1511" s="327"/>
      <c r="N1511" s="575"/>
      <c r="O1511" s="327"/>
      <c r="P1511" s="594"/>
      <c r="Q1511" s="327"/>
      <c r="R1511" s="575"/>
      <c r="S1511" s="327"/>
      <c r="T1511" s="594"/>
      <c r="U1511" s="327"/>
      <c r="V1511" s="595" t="str">
        <f>'refer admin discharge'!H1512</f>
        <v>00/00/0000</v>
      </c>
      <c r="W1511" s="327"/>
      <c r="X1511" s="577"/>
      <c r="Y1511" s="327"/>
      <c r="Z1511" s="604"/>
      <c r="AA1511" s="327"/>
      <c r="AB1511" s="577"/>
      <c r="AC1511" s="327"/>
      <c r="AD1511" s="576"/>
      <c r="AE1511" s="327"/>
      <c r="AF1511" s="577"/>
      <c r="AG1511" s="327"/>
      <c r="AH1511" s="576"/>
      <c r="AI1511" s="327"/>
      <c r="AJ1511" s="577"/>
      <c r="AK1511" s="327"/>
      <c r="AL1511" s="602"/>
      <c r="AM1511" s="326"/>
      <c r="AN1511" s="326"/>
      <c r="AO1511" s="326"/>
      <c r="AP1511" s="326"/>
      <c r="AQ1511" s="326"/>
      <c r="AR1511" s="326"/>
      <c r="AS1511" s="326"/>
      <c r="AT1511" s="326"/>
      <c r="AU1511" s="326"/>
      <c r="AV1511" s="326"/>
      <c r="AW1511" s="326"/>
      <c r="AX1511" s="326"/>
      <c r="AY1511" s="326"/>
      <c r="AZ1511" s="326"/>
      <c r="BA1511" s="326"/>
      <c r="BB1511" s="327"/>
    </row>
    <row r="1512" spans="1:54" ht="15.75" customHeight="1" x14ac:dyDescent="0.25">
      <c r="A1512" s="11">
        <f t="shared" si="5"/>
        <v>1499</v>
      </c>
      <c r="B1512" s="570" t="str">
        <f>'refer admin discharge'!B1508</f>
        <v>x</v>
      </c>
      <c r="C1512" s="327"/>
      <c r="D1512" s="599" t="str">
        <f>'refer admin discharge'!D1508</f>
        <v>xx</v>
      </c>
      <c r="E1512" s="327"/>
      <c r="F1512" s="600" t="str">
        <f>'refer admin discharge'!H1508</f>
        <v>00/00/0000</v>
      </c>
      <c r="G1512" s="327"/>
      <c r="H1512" s="574"/>
      <c r="I1512" s="327"/>
      <c r="J1512" s="601"/>
      <c r="K1512" s="327"/>
      <c r="L1512" s="574"/>
      <c r="M1512" s="327"/>
      <c r="N1512" s="594"/>
      <c r="O1512" s="327"/>
      <c r="P1512" s="574"/>
      <c r="Q1512" s="327"/>
      <c r="R1512" s="594"/>
      <c r="S1512" s="327"/>
      <c r="T1512" s="574"/>
      <c r="U1512" s="327"/>
      <c r="V1512" s="595" t="str">
        <f>'refer admin discharge'!H1513</f>
        <v>00/00/0000</v>
      </c>
      <c r="W1512" s="327"/>
      <c r="X1512" s="596"/>
      <c r="Y1512" s="327"/>
      <c r="Z1512" s="597"/>
      <c r="AA1512" s="327"/>
      <c r="AB1512" s="596"/>
      <c r="AC1512" s="327"/>
      <c r="AD1512" s="577"/>
      <c r="AE1512" s="327"/>
      <c r="AF1512" s="596"/>
      <c r="AG1512" s="327"/>
      <c r="AH1512" s="577"/>
      <c r="AI1512" s="327"/>
      <c r="AJ1512" s="596"/>
      <c r="AK1512" s="327"/>
      <c r="AL1512" s="598"/>
      <c r="AM1512" s="326"/>
      <c r="AN1512" s="326"/>
      <c r="AO1512" s="326"/>
      <c r="AP1512" s="326"/>
      <c r="AQ1512" s="326"/>
      <c r="AR1512" s="326"/>
      <c r="AS1512" s="326"/>
      <c r="AT1512" s="326"/>
      <c r="AU1512" s="326"/>
      <c r="AV1512" s="326"/>
      <c r="AW1512" s="326"/>
      <c r="AX1512" s="326"/>
      <c r="AY1512" s="326"/>
      <c r="AZ1512" s="326"/>
      <c r="BA1512" s="326"/>
      <c r="BB1512" s="327"/>
    </row>
    <row r="1513" spans="1:54" ht="15.75" customHeight="1" x14ac:dyDescent="0.25">
      <c r="A1513" s="11">
        <f t="shared" si="5"/>
        <v>1500</v>
      </c>
      <c r="B1513" s="504" t="str">
        <f>'refer admin discharge'!B1509</f>
        <v>x</v>
      </c>
      <c r="C1513" s="327"/>
      <c r="D1513" s="505" t="str">
        <f>'refer admin discharge'!D1509</f>
        <v>xx</v>
      </c>
      <c r="E1513" s="327"/>
      <c r="F1513" s="606" t="str">
        <f>'refer admin discharge'!H1509</f>
        <v>00/00/0000</v>
      </c>
      <c r="G1513" s="327"/>
      <c r="H1513" s="594"/>
      <c r="I1513" s="327"/>
      <c r="J1513" s="605"/>
      <c r="K1513" s="327"/>
      <c r="L1513" s="594"/>
      <c r="M1513" s="327"/>
      <c r="N1513" s="575"/>
      <c r="O1513" s="327"/>
      <c r="P1513" s="594"/>
      <c r="Q1513" s="327"/>
      <c r="R1513" s="575"/>
      <c r="S1513" s="327"/>
      <c r="T1513" s="594"/>
      <c r="U1513" s="327"/>
      <c r="V1513" s="595" t="str">
        <f>'refer admin discharge'!H1514</f>
        <v>00/00/0000</v>
      </c>
      <c r="W1513" s="327"/>
      <c r="X1513" s="577"/>
      <c r="Y1513" s="327"/>
      <c r="Z1513" s="604"/>
      <c r="AA1513" s="327"/>
      <c r="AB1513" s="577"/>
      <c r="AC1513" s="327"/>
      <c r="AD1513" s="576"/>
      <c r="AE1513" s="327"/>
      <c r="AF1513" s="577"/>
      <c r="AG1513" s="327"/>
      <c r="AH1513" s="576"/>
      <c r="AI1513" s="327"/>
      <c r="AJ1513" s="577"/>
      <c r="AK1513" s="327"/>
      <c r="AL1513" s="602"/>
      <c r="AM1513" s="326"/>
      <c r="AN1513" s="326"/>
      <c r="AO1513" s="326"/>
      <c r="AP1513" s="326"/>
      <c r="AQ1513" s="326"/>
      <c r="AR1513" s="326"/>
      <c r="AS1513" s="326"/>
      <c r="AT1513" s="326"/>
      <c r="AU1513" s="326"/>
      <c r="AV1513" s="326"/>
      <c r="AW1513" s="326"/>
      <c r="AX1513" s="326"/>
      <c r="AY1513" s="326"/>
      <c r="AZ1513" s="326"/>
      <c r="BA1513" s="326"/>
      <c r="BB1513" s="327"/>
    </row>
    <row r="1514" spans="1:54" ht="15.75" customHeight="1" x14ac:dyDescent="0.25">
      <c r="A1514" s="11">
        <f t="shared" si="5"/>
        <v>1501</v>
      </c>
      <c r="B1514" s="570" t="str">
        <f>'refer admin discharge'!B1510</f>
        <v>x</v>
      </c>
      <c r="C1514" s="327"/>
      <c r="D1514" s="599" t="str">
        <f>'refer admin discharge'!D1510</f>
        <v>xx</v>
      </c>
      <c r="E1514" s="327"/>
      <c r="F1514" s="600" t="str">
        <f>'refer admin discharge'!H1510</f>
        <v>00/00/0000</v>
      </c>
      <c r="G1514" s="327"/>
      <c r="H1514" s="574"/>
      <c r="I1514" s="327"/>
      <c r="J1514" s="601"/>
      <c r="K1514" s="327"/>
      <c r="L1514" s="574"/>
      <c r="M1514" s="327"/>
      <c r="N1514" s="594"/>
      <c r="O1514" s="327"/>
      <c r="P1514" s="574"/>
      <c r="Q1514" s="327"/>
      <c r="R1514" s="594"/>
      <c r="S1514" s="327"/>
      <c r="T1514" s="574"/>
      <c r="U1514" s="327"/>
      <c r="V1514" s="595" t="str">
        <f>'refer admin discharge'!H1515</f>
        <v>00/00/0000</v>
      </c>
      <c r="W1514" s="327"/>
      <c r="X1514" s="596"/>
      <c r="Y1514" s="327"/>
      <c r="Z1514" s="597"/>
      <c r="AA1514" s="327"/>
      <c r="AB1514" s="596"/>
      <c r="AC1514" s="327"/>
      <c r="AD1514" s="577"/>
      <c r="AE1514" s="327"/>
      <c r="AF1514" s="596"/>
      <c r="AG1514" s="327"/>
      <c r="AH1514" s="577"/>
      <c r="AI1514" s="327"/>
      <c r="AJ1514" s="596"/>
      <c r="AK1514" s="327"/>
      <c r="AL1514" s="598"/>
      <c r="AM1514" s="326"/>
      <c r="AN1514" s="326"/>
      <c r="AO1514" s="326"/>
      <c r="AP1514" s="326"/>
      <c r="AQ1514" s="326"/>
      <c r="AR1514" s="326"/>
      <c r="AS1514" s="326"/>
      <c r="AT1514" s="326"/>
      <c r="AU1514" s="326"/>
      <c r="AV1514" s="326"/>
      <c r="AW1514" s="326"/>
      <c r="AX1514" s="326"/>
      <c r="AY1514" s="326"/>
      <c r="AZ1514" s="326"/>
      <c r="BA1514" s="326"/>
      <c r="BB1514" s="327"/>
    </row>
    <row r="1515" spans="1:54" ht="15.75" customHeight="1" x14ac:dyDescent="0.25">
      <c r="A1515" s="11">
        <f t="shared" si="5"/>
        <v>1502</v>
      </c>
      <c r="B1515" s="504" t="str">
        <f>'refer admin discharge'!B1511</f>
        <v>x</v>
      </c>
      <c r="C1515" s="327"/>
      <c r="D1515" s="505" t="str">
        <f>'refer admin discharge'!D1511</f>
        <v>xx</v>
      </c>
      <c r="E1515" s="327"/>
      <c r="F1515" s="606" t="str">
        <f>'refer admin discharge'!H1511</f>
        <v>00/00/0000</v>
      </c>
      <c r="G1515" s="327"/>
      <c r="H1515" s="594"/>
      <c r="I1515" s="327"/>
      <c r="J1515" s="605"/>
      <c r="K1515" s="327"/>
      <c r="L1515" s="594"/>
      <c r="M1515" s="327"/>
      <c r="N1515" s="575"/>
      <c r="O1515" s="327"/>
      <c r="P1515" s="594"/>
      <c r="Q1515" s="327"/>
      <c r="R1515" s="575"/>
      <c r="S1515" s="327"/>
      <c r="T1515" s="594"/>
      <c r="U1515" s="327"/>
      <c r="V1515" s="595" t="str">
        <f>'refer admin discharge'!H1516</f>
        <v>00/00/0000</v>
      </c>
      <c r="W1515" s="327"/>
      <c r="X1515" s="577"/>
      <c r="Y1515" s="327"/>
      <c r="Z1515" s="604"/>
      <c r="AA1515" s="327"/>
      <c r="AB1515" s="577"/>
      <c r="AC1515" s="327"/>
      <c r="AD1515" s="576"/>
      <c r="AE1515" s="327"/>
      <c r="AF1515" s="577"/>
      <c r="AG1515" s="327"/>
      <c r="AH1515" s="576"/>
      <c r="AI1515" s="327"/>
      <c r="AJ1515" s="577"/>
      <c r="AK1515" s="327"/>
      <c r="AL1515" s="602"/>
      <c r="AM1515" s="326"/>
      <c r="AN1515" s="326"/>
      <c r="AO1515" s="326"/>
      <c r="AP1515" s="326"/>
      <c r="AQ1515" s="326"/>
      <c r="AR1515" s="326"/>
      <c r="AS1515" s="326"/>
      <c r="AT1515" s="326"/>
      <c r="AU1515" s="326"/>
      <c r="AV1515" s="326"/>
      <c r="AW1515" s="326"/>
      <c r="AX1515" s="326"/>
      <c r="AY1515" s="326"/>
      <c r="AZ1515" s="326"/>
      <c r="BA1515" s="326"/>
      <c r="BB1515" s="327"/>
    </row>
    <row r="1516" spans="1:54" ht="15.75" customHeight="1" x14ac:dyDescent="0.25">
      <c r="A1516" s="11">
        <f t="shared" si="5"/>
        <v>1503</v>
      </c>
      <c r="B1516" s="570" t="str">
        <f>'refer admin discharge'!B1512</f>
        <v>x</v>
      </c>
      <c r="C1516" s="327"/>
      <c r="D1516" s="599" t="str">
        <f>'refer admin discharge'!D1512</f>
        <v>xx</v>
      </c>
      <c r="E1516" s="327"/>
      <c r="F1516" s="600" t="str">
        <f>'refer admin discharge'!H1512</f>
        <v>00/00/0000</v>
      </c>
      <c r="G1516" s="327"/>
      <c r="H1516" s="574"/>
      <c r="I1516" s="327"/>
      <c r="J1516" s="601"/>
      <c r="K1516" s="327"/>
      <c r="L1516" s="574"/>
      <c r="M1516" s="327"/>
      <c r="N1516" s="594"/>
      <c r="O1516" s="327"/>
      <c r="P1516" s="574"/>
      <c r="Q1516" s="327"/>
      <c r="R1516" s="594"/>
      <c r="S1516" s="327"/>
      <c r="T1516" s="574"/>
      <c r="U1516" s="327"/>
      <c r="V1516" s="595" t="str">
        <f>'refer admin discharge'!H1517</f>
        <v>00/00/0000</v>
      </c>
      <c r="W1516" s="327"/>
      <c r="X1516" s="596"/>
      <c r="Y1516" s="327"/>
      <c r="Z1516" s="597"/>
      <c r="AA1516" s="327"/>
      <c r="AB1516" s="596"/>
      <c r="AC1516" s="327"/>
      <c r="AD1516" s="577"/>
      <c r="AE1516" s="327"/>
      <c r="AF1516" s="596"/>
      <c r="AG1516" s="327"/>
      <c r="AH1516" s="577"/>
      <c r="AI1516" s="327"/>
      <c r="AJ1516" s="596"/>
      <c r="AK1516" s="327"/>
      <c r="AL1516" s="598"/>
      <c r="AM1516" s="326"/>
      <c r="AN1516" s="326"/>
      <c r="AO1516" s="326"/>
      <c r="AP1516" s="326"/>
      <c r="AQ1516" s="326"/>
      <c r="AR1516" s="326"/>
      <c r="AS1516" s="326"/>
      <c r="AT1516" s="326"/>
      <c r="AU1516" s="326"/>
      <c r="AV1516" s="326"/>
      <c r="AW1516" s="326"/>
      <c r="AX1516" s="326"/>
      <c r="AY1516" s="326"/>
      <c r="AZ1516" s="326"/>
      <c r="BA1516" s="326"/>
      <c r="BB1516" s="327"/>
    </row>
    <row r="1517" spans="1:54" ht="15.75" customHeight="1" x14ac:dyDescent="0.25">
      <c r="A1517" s="11">
        <f t="shared" si="5"/>
        <v>1504</v>
      </c>
      <c r="B1517" s="504" t="str">
        <f>'refer admin discharge'!B1513</f>
        <v>x</v>
      </c>
      <c r="C1517" s="327"/>
      <c r="D1517" s="505" t="str">
        <f>'refer admin discharge'!D1513</f>
        <v>xx</v>
      </c>
      <c r="E1517" s="327"/>
      <c r="F1517" s="606" t="str">
        <f>'refer admin discharge'!H1513</f>
        <v>00/00/0000</v>
      </c>
      <c r="G1517" s="327"/>
      <c r="H1517" s="594"/>
      <c r="I1517" s="327"/>
      <c r="J1517" s="605"/>
      <c r="K1517" s="327"/>
      <c r="L1517" s="594"/>
      <c r="M1517" s="327"/>
      <c r="N1517" s="575"/>
      <c r="O1517" s="327"/>
      <c r="P1517" s="594"/>
      <c r="Q1517" s="327"/>
      <c r="R1517" s="575"/>
      <c r="S1517" s="327"/>
      <c r="T1517" s="594"/>
      <c r="U1517" s="327"/>
      <c r="V1517" s="595" t="str">
        <f>'refer admin discharge'!H1518</f>
        <v>00/00/0000</v>
      </c>
      <c r="W1517" s="327"/>
      <c r="X1517" s="577"/>
      <c r="Y1517" s="327"/>
      <c r="Z1517" s="604"/>
      <c r="AA1517" s="327"/>
      <c r="AB1517" s="577"/>
      <c r="AC1517" s="327"/>
      <c r="AD1517" s="576"/>
      <c r="AE1517" s="327"/>
      <c r="AF1517" s="577"/>
      <c r="AG1517" s="327"/>
      <c r="AH1517" s="576"/>
      <c r="AI1517" s="327"/>
      <c r="AJ1517" s="577"/>
      <c r="AK1517" s="327"/>
      <c r="AL1517" s="602"/>
      <c r="AM1517" s="326"/>
      <c r="AN1517" s="326"/>
      <c r="AO1517" s="326"/>
      <c r="AP1517" s="326"/>
      <c r="AQ1517" s="326"/>
      <c r="AR1517" s="326"/>
      <c r="AS1517" s="326"/>
      <c r="AT1517" s="326"/>
      <c r="AU1517" s="326"/>
      <c r="AV1517" s="326"/>
      <c r="AW1517" s="326"/>
      <c r="AX1517" s="326"/>
      <c r="AY1517" s="326"/>
      <c r="AZ1517" s="326"/>
      <c r="BA1517" s="326"/>
      <c r="BB1517" s="327"/>
    </row>
    <row r="1518" spans="1:54" ht="15.75" customHeight="1" x14ac:dyDescent="0.25">
      <c r="A1518" s="11">
        <f t="shared" si="5"/>
        <v>1505</v>
      </c>
      <c r="B1518" s="570" t="str">
        <f>'refer admin discharge'!B1514</f>
        <v>x</v>
      </c>
      <c r="C1518" s="327"/>
      <c r="D1518" s="599" t="str">
        <f>'refer admin discharge'!D1514</f>
        <v>xx</v>
      </c>
      <c r="E1518" s="327"/>
      <c r="F1518" s="600" t="str">
        <f>'refer admin discharge'!H1514</f>
        <v>00/00/0000</v>
      </c>
      <c r="G1518" s="327"/>
      <c r="H1518" s="574"/>
      <c r="I1518" s="327"/>
      <c r="J1518" s="601"/>
      <c r="K1518" s="327"/>
      <c r="L1518" s="574"/>
      <c r="M1518" s="327"/>
      <c r="N1518" s="594"/>
      <c r="O1518" s="327"/>
      <c r="P1518" s="574"/>
      <c r="Q1518" s="327"/>
      <c r="R1518" s="594"/>
      <c r="S1518" s="327"/>
      <c r="T1518" s="574"/>
      <c r="U1518" s="327"/>
      <c r="V1518" s="595" t="str">
        <f>'refer admin discharge'!H1519</f>
        <v>00/00/0000</v>
      </c>
      <c r="W1518" s="327"/>
      <c r="X1518" s="596"/>
      <c r="Y1518" s="327"/>
      <c r="Z1518" s="597"/>
      <c r="AA1518" s="327"/>
      <c r="AB1518" s="596"/>
      <c r="AC1518" s="327"/>
      <c r="AD1518" s="577"/>
      <c r="AE1518" s="327"/>
      <c r="AF1518" s="596"/>
      <c r="AG1518" s="327"/>
      <c r="AH1518" s="577"/>
      <c r="AI1518" s="327"/>
      <c r="AJ1518" s="596"/>
      <c r="AK1518" s="327"/>
      <c r="AL1518" s="598"/>
      <c r="AM1518" s="326"/>
      <c r="AN1518" s="326"/>
      <c r="AO1518" s="326"/>
      <c r="AP1518" s="326"/>
      <c r="AQ1518" s="326"/>
      <c r="AR1518" s="326"/>
      <c r="AS1518" s="326"/>
      <c r="AT1518" s="326"/>
      <c r="AU1518" s="326"/>
      <c r="AV1518" s="326"/>
      <c r="AW1518" s="326"/>
      <c r="AX1518" s="326"/>
      <c r="AY1518" s="326"/>
      <c r="AZ1518" s="326"/>
      <c r="BA1518" s="326"/>
      <c r="BB1518" s="327"/>
    </row>
    <row r="1519" spans="1:54" ht="15.75" customHeight="1" x14ac:dyDescent="0.25">
      <c r="A1519" s="11">
        <f t="shared" si="5"/>
        <v>1506</v>
      </c>
      <c r="B1519" s="504" t="str">
        <f>'refer admin discharge'!B1515</f>
        <v>x</v>
      </c>
      <c r="C1519" s="327"/>
      <c r="D1519" s="505" t="str">
        <f>'refer admin discharge'!D1515</f>
        <v>xx</v>
      </c>
      <c r="E1519" s="327"/>
      <c r="F1519" s="606" t="str">
        <f>'refer admin discharge'!H1515</f>
        <v>00/00/0000</v>
      </c>
      <c r="G1519" s="327"/>
      <c r="H1519" s="594"/>
      <c r="I1519" s="327"/>
      <c r="J1519" s="605"/>
      <c r="K1519" s="327"/>
      <c r="L1519" s="594"/>
      <c r="M1519" s="327"/>
      <c r="N1519" s="575"/>
      <c r="O1519" s="327"/>
      <c r="P1519" s="594"/>
      <c r="Q1519" s="327"/>
      <c r="R1519" s="575"/>
      <c r="S1519" s="327"/>
      <c r="T1519" s="594"/>
      <c r="U1519" s="327"/>
      <c r="V1519" s="595" t="str">
        <f>'refer admin discharge'!H1520</f>
        <v>00/00/0000</v>
      </c>
      <c r="W1519" s="327"/>
      <c r="X1519" s="577"/>
      <c r="Y1519" s="327"/>
      <c r="Z1519" s="604"/>
      <c r="AA1519" s="327"/>
      <c r="AB1519" s="577"/>
      <c r="AC1519" s="327"/>
      <c r="AD1519" s="576"/>
      <c r="AE1519" s="327"/>
      <c r="AF1519" s="577"/>
      <c r="AG1519" s="327"/>
      <c r="AH1519" s="576"/>
      <c r="AI1519" s="327"/>
      <c r="AJ1519" s="577"/>
      <c r="AK1519" s="327"/>
      <c r="AL1519" s="602"/>
      <c r="AM1519" s="326"/>
      <c r="AN1519" s="326"/>
      <c r="AO1519" s="326"/>
      <c r="AP1519" s="326"/>
      <c r="AQ1519" s="326"/>
      <c r="AR1519" s="326"/>
      <c r="AS1519" s="326"/>
      <c r="AT1519" s="326"/>
      <c r="AU1519" s="326"/>
      <c r="AV1519" s="326"/>
      <c r="AW1519" s="326"/>
      <c r="AX1519" s="326"/>
      <c r="AY1519" s="326"/>
      <c r="AZ1519" s="326"/>
      <c r="BA1519" s="326"/>
      <c r="BB1519" s="327"/>
    </row>
    <row r="1520" spans="1:54" ht="15.75" customHeight="1" x14ac:dyDescent="0.25">
      <c r="A1520" s="11">
        <f t="shared" si="5"/>
        <v>1507</v>
      </c>
      <c r="B1520" s="570" t="str">
        <f>'refer admin discharge'!B1516</f>
        <v>x</v>
      </c>
      <c r="C1520" s="327"/>
      <c r="D1520" s="599" t="str">
        <f>'refer admin discharge'!D1516</f>
        <v>xx</v>
      </c>
      <c r="E1520" s="327"/>
      <c r="F1520" s="600" t="str">
        <f>'refer admin discharge'!H1516</f>
        <v>00/00/0000</v>
      </c>
      <c r="G1520" s="327"/>
      <c r="H1520" s="574"/>
      <c r="I1520" s="327"/>
      <c r="J1520" s="601"/>
      <c r="K1520" s="327"/>
      <c r="L1520" s="574"/>
      <c r="M1520" s="327"/>
      <c r="N1520" s="594"/>
      <c r="O1520" s="327"/>
      <c r="P1520" s="574"/>
      <c r="Q1520" s="327"/>
      <c r="R1520" s="594"/>
      <c r="S1520" s="327"/>
      <c r="T1520" s="574"/>
      <c r="U1520" s="327"/>
      <c r="V1520" s="595" t="str">
        <f>'refer admin discharge'!H1521</f>
        <v>00/00/0000</v>
      </c>
      <c r="W1520" s="327"/>
      <c r="X1520" s="596"/>
      <c r="Y1520" s="327"/>
      <c r="Z1520" s="597"/>
      <c r="AA1520" s="327"/>
      <c r="AB1520" s="596"/>
      <c r="AC1520" s="327"/>
      <c r="AD1520" s="577"/>
      <c r="AE1520" s="327"/>
      <c r="AF1520" s="596"/>
      <c r="AG1520" s="327"/>
      <c r="AH1520" s="577"/>
      <c r="AI1520" s="327"/>
      <c r="AJ1520" s="596"/>
      <c r="AK1520" s="327"/>
      <c r="AL1520" s="598"/>
      <c r="AM1520" s="326"/>
      <c r="AN1520" s="326"/>
      <c r="AO1520" s="326"/>
      <c r="AP1520" s="326"/>
      <c r="AQ1520" s="326"/>
      <c r="AR1520" s="326"/>
      <c r="AS1520" s="326"/>
      <c r="AT1520" s="326"/>
      <c r="AU1520" s="326"/>
      <c r="AV1520" s="326"/>
      <c r="AW1520" s="326"/>
      <c r="AX1520" s="326"/>
      <c r="AY1520" s="326"/>
      <c r="AZ1520" s="326"/>
      <c r="BA1520" s="326"/>
      <c r="BB1520" s="327"/>
    </row>
    <row r="1521" spans="1:54" ht="15.75" customHeight="1" x14ac:dyDescent="0.25">
      <c r="A1521" s="11">
        <f t="shared" si="5"/>
        <v>1508</v>
      </c>
      <c r="B1521" s="504" t="str">
        <f>'refer admin discharge'!B1517</f>
        <v>x</v>
      </c>
      <c r="C1521" s="327"/>
      <c r="D1521" s="505" t="str">
        <f>'refer admin discharge'!D1517</f>
        <v>xx</v>
      </c>
      <c r="E1521" s="327"/>
      <c r="F1521" s="606" t="str">
        <f>'refer admin discharge'!H1517</f>
        <v>00/00/0000</v>
      </c>
      <c r="G1521" s="327"/>
      <c r="H1521" s="594"/>
      <c r="I1521" s="327"/>
      <c r="J1521" s="605"/>
      <c r="K1521" s="327"/>
      <c r="L1521" s="594"/>
      <c r="M1521" s="327"/>
      <c r="N1521" s="575"/>
      <c r="O1521" s="327"/>
      <c r="P1521" s="594"/>
      <c r="Q1521" s="327"/>
      <c r="R1521" s="575"/>
      <c r="S1521" s="327"/>
      <c r="T1521" s="594"/>
      <c r="U1521" s="327"/>
      <c r="V1521" s="595" t="str">
        <f>'refer admin discharge'!H1522</f>
        <v>00/00/0000</v>
      </c>
      <c r="W1521" s="327"/>
      <c r="X1521" s="577"/>
      <c r="Y1521" s="327"/>
      <c r="Z1521" s="604"/>
      <c r="AA1521" s="327"/>
      <c r="AB1521" s="577"/>
      <c r="AC1521" s="327"/>
      <c r="AD1521" s="576"/>
      <c r="AE1521" s="327"/>
      <c r="AF1521" s="577"/>
      <c r="AG1521" s="327"/>
      <c r="AH1521" s="576"/>
      <c r="AI1521" s="327"/>
      <c r="AJ1521" s="577"/>
      <c r="AK1521" s="327"/>
      <c r="AL1521" s="602"/>
      <c r="AM1521" s="326"/>
      <c r="AN1521" s="326"/>
      <c r="AO1521" s="326"/>
      <c r="AP1521" s="326"/>
      <c r="AQ1521" s="326"/>
      <c r="AR1521" s="326"/>
      <c r="AS1521" s="326"/>
      <c r="AT1521" s="326"/>
      <c r="AU1521" s="326"/>
      <c r="AV1521" s="326"/>
      <c r="AW1521" s="326"/>
      <c r="AX1521" s="326"/>
      <c r="AY1521" s="326"/>
      <c r="AZ1521" s="326"/>
      <c r="BA1521" s="326"/>
      <c r="BB1521" s="327"/>
    </row>
    <row r="1522" spans="1:54" ht="15.75" customHeight="1" x14ac:dyDescent="0.25">
      <c r="A1522" s="11">
        <f t="shared" si="5"/>
        <v>1509</v>
      </c>
      <c r="B1522" s="570" t="str">
        <f>'refer admin discharge'!B1518</f>
        <v>x</v>
      </c>
      <c r="C1522" s="327"/>
      <c r="D1522" s="599" t="str">
        <f>'refer admin discharge'!D1518</f>
        <v>xx</v>
      </c>
      <c r="E1522" s="327"/>
      <c r="F1522" s="600" t="str">
        <f>'refer admin discharge'!H1518</f>
        <v>00/00/0000</v>
      </c>
      <c r="G1522" s="327"/>
      <c r="H1522" s="574"/>
      <c r="I1522" s="327"/>
      <c r="J1522" s="601"/>
      <c r="K1522" s="327"/>
      <c r="L1522" s="574"/>
      <c r="M1522" s="327"/>
      <c r="N1522" s="594"/>
      <c r="O1522" s="327"/>
      <c r="P1522" s="574"/>
      <c r="Q1522" s="327"/>
      <c r="R1522" s="594"/>
      <c r="S1522" s="327"/>
      <c r="T1522" s="574"/>
      <c r="U1522" s="327"/>
      <c r="V1522" s="595" t="str">
        <f>'refer admin discharge'!H1523</f>
        <v>00/00/0000</v>
      </c>
      <c r="W1522" s="327"/>
      <c r="X1522" s="596"/>
      <c r="Y1522" s="327"/>
      <c r="Z1522" s="597"/>
      <c r="AA1522" s="327"/>
      <c r="AB1522" s="596"/>
      <c r="AC1522" s="327"/>
      <c r="AD1522" s="577"/>
      <c r="AE1522" s="327"/>
      <c r="AF1522" s="596"/>
      <c r="AG1522" s="327"/>
      <c r="AH1522" s="577"/>
      <c r="AI1522" s="327"/>
      <c r="AJ1522" s="596"/>
      <c r="AK1522" s="327"/>
      <c r="AL1522" s="598"/>
      <c r="AM1522" s="326"/>
      <c r="AN1522" s="326"/>
      <c r="AO1522" s="326"/>
      <c r="AP1522" s="326"/>
      <c r="AQ1522" s="326"/>
      <c r="AR1522" s="326"/>
      <c r="AS1522" s="326"/>
      <c r="AT1522" s="326"/>
      <c r="AU1522" s="326"/>
      <c r="AV1522" s="326"/>
      <c r="AW1522" s="326"/>
      <c r="AX1522" s="326"/>
      <c r="AY1522" s="326"/>
      <c r="AZ1522" s="326"/>
      <c r="BA1522" s="326"/>
      <c r="BB1522" s="327"/>
    </row>
    <row r="1523" spans="1:54" ht="15.75" customHeight="1" x14ac:dyDescent="0.25">
      <c r="A1523" s="11">
        <f t="shared" si="5"/>
        <v>1510</v>
      </c>
      <c r="B1523" s="504" t="str">
        <f>'refer admin discharge'!B1519</f>
        <v>x</v>
      </c>
      <c r="C1523" s="327"/>
      <c r="D1523" s="505" t="str">
        <f>'refer admin discharge'!D1519</f>
        <v>xx</v>
      </c>
      <c r="E1523" s="327"/>
      <c r="F1523" s="606" t="str">
        <f>'refer admin discharge'!H1519</f>
        <v>00/00/0000</v>
      </c>
      <c r="G1523" s="327"/>
      <c r="H1523" s="594"/>
      <c r="I1523" s="327"/>
      <c r="J1523" s="605"/>
      <c r="K1523" s="327"/>
      <c r="L1523" s="594"/>
      <c r="M1523" s="327"/>
      <c r="N1523" s="575"/>
      <c r="O1523" s="327"/>
      <c r="P1523" s="594"/>
      <c r="Q1523" s="327"/>
      <c r="R1523" s="575"/>
      <c r="S1523" s="327"/>
      <c r="T1523" s="594"/>
      <c r="U1523" s="327"/>
      <c r="V1523" s="595" t="str">
        <f>'refer admin discharge'!H1524</f>
        <v>00/00/0000</v>
      </c>
      <c r="W1523" s="327"/>
      <c r="X1523" s="577"/>
      <c r="Y1523" s="327"/>
      <c r="Z1523" s="604"/>
      <c r="AA1523" s="327"/>
      <c r="AB1523" s="577"/>
      <c r="AC1523" s="327"/>
      <c r="AD1523" s="576"/>
      <c r="AE1523" s="327"/>
      <c r="AF1523" s="577"/>
      <c r="AG1523" s="327"/>
      <c r="AH1523" s="576"/>
      <c r="AI1523" s="327"/>
      <c r="AJ1523" s="577"/>
      <c r="AK1523" s="327"/>
      <c r="AL1523" s="602"/>
      <c r="AM1523" s="326"/>
      <c r="AN1523" s="326"/>
      <c r="AO1523" s="326"/>
      <c r="AP1523" s="326"/>
      <c r="AQ1523" s="326"/>
      <c r="AR1523" s="326"/>
      <c r="AS1523" s="326"/>
      <c r="AT1523" s="326"/>
      <c r="AU1523" s="326"/>
      <c r="AV1523" s="326"/>
      <c r="AW1523" s="326"/>
      <c r="AX1523" s="326"/>
      <c r="AY1523" s="326"/>
      <c r="AZ1523" s="326"/>
      <c r="BA1523" s="326"/>
      <c r="BB1523" s="327"/>
    </row>
    <row r="1524" spans="1:54" ht="15.75" customHeight="1" x14ac:dyDescent="0.25">
      <c r="A1524" s="11">
        <f t="shared" si="5"/>
        <v>1511</v>
      </c>
      <c r="B1524" s="570" t="str">
        <f>'refer admin discharge'!B1520</f>
        <v>x</v>
      </c>
      <c r="C1524" s="327"/>
      <c r="D1524" s="599" t="str">
        <f>'refer admin discharge'!D1520</f>
        <v>xx</v>
      </c>
      <c r="E1524" s="327"/>
      <c r="F1524" s="600" t="str">
        <f>'refer admin discharge'!H1520</f>
        <v>00/00/0000</v>
      </c>
      <c r="G1524" s="327"/>
      <c r="H1524" s="574"/>
      <c r="I1524" s="327"/>
      <c r="J1524" s="601"/>
      <c r="K1524" s="327"/>
      <c r="L1524" s="574"/>
      <c r="M1524" s="327"/>
      <c r="N1524" s="594"/>
      <c r="O1524" s="327"/>
      <c r="P1524" s="574"/>
      <c r="Q1524" s="327"/>
      <c r="R1524" s="594"/>
      <c r="S1524" s="327"/>
      <c r="T1524" s="574"/>
      <c r="U1524" s="327"/>
      <c r="V1524" s="595" t="str">
        <f>'refer admin discharge'!H1525</f>
        <v>00/00/0000</v>
      </c>
      <c r="W1524" s="327"/>
      <c r="X1524" s="596"/>
      <c r="Y1524" s="327"/>
      <c r="Z1524" s="597"/>
      <c r="AA1524" s="327"/>
      <c r="AB1524" s="596"/>
      <c r="AC1524" s="327"/>
      <c r="AD1524" s="577"/>
      <c r="AE1524" s="327"/>
      <c r="AF1524" s="596"/>
      <c r="AG1524" s="327"/>
      <c r="AH1524" s="577"/>
      <c r="AI1524" s="327"/>
      <c r="AJ1524" s="596"/>
      <c r="AK1524" s="327"/>
      <c r="AL1524" s="598"/>
      <c r="AM1524" s="326"/>
      <c r="AN1524" s="326"/>
      <c r="AO1524" s="326"/>
      <c r="AP1524" s="326"/>
      <c r="AQ1524" s="326"/>
      <c r="AR1524" s="326"/>
      <c r="AS1524" s="326"/>
      <c r="AT1524" s="326"/>
      <c r="AU1524" s="326"/>
      <c r="AV1524" s="326"/>
      <c r="AW1524" s="326"/>
      <c r="AX1524" s="326"/>
      <c r="AY1524" s="326"/>
      <c r="AZ1524" s="326"/>
      <c r="BA1524" s="326"/>
      <c r="BB1524" s="327"/>
    </row>
    <row r="1525" spans="1:54" ht="15.75" customHeight="1" x14ac:dyDescent="0.25">
      <c r="A1525" s="11">
        <f t="shared" si="5"/>
        <v>1512</v>
      </c>
      <c r="B1525" s="504" t="str">
        <f>'refer admin discharge'!B1521</f>
        <v>x</v>
      </c>
      <c r="C1525" s="327"/>
      <c r="D1525" s="505" t="str">
        <f>'refer admin discharge'!D1521</f>
        <v>xx</v>
      </c>
      <c r="E1525" s="327"/>
      <c r="F1525" s="606" t="str">
        <f>'refer admin discharge'!H1521</f>
        <v>00/00/0000</v>
      </c>
      <c r="G1525" s="327"/>
      <c r="H1525" s="594"/>
      <c r="I1525" s="327"/>
      <c r="J1525" s="605"/>
      <c r="K1525" s="327"/>
      <c r="L1525" s="594"/>
      <c r="M1525" s="327"/>
      <c r="N1525" s="575"/>
      <c r="O1525" s="327"/>
      <c r="P1525" s="594"/>
      <c r="Q1525" s="327"/>
      <c r="R1525" s="575"/>
      <c r="S1525" s="327"/>
      <c r="T1525" s="594"/>
      <c r="U1525" s="327"/>
      <c r="V1525" s="595" t="str">
        <f>'refer admin discharge'!H1526</f>
        <v>00/00/0000</v>
      </c>
      <c r="W1525" s="327"/>
      <c r="X1525" s="577"/>
      <c r="Y1525" s="327"/>
      <c r="Z1525" s="604"/>
      <c r="AA1525" s="327"/>
      <c r="AB1525" s="577"/>
      <c r="AC1525" s="327"/>
      <c r="AD1525" s="576"/>
      <c r="AE1525" s="327"/>
      <c r="AF1525" s="577"/>
      <c r="AG1525" s="327"/>
      <c r="AH1525" s="576"/>
      <c r="AI1525" s="327"/>
      <c r="AJ1525" s="577"/>
      <c r="AK1525" s="327"/>
      <c r="AL1525" s="602"/>
      <c r="AM1525" s="326"/>
      <c r="AN1525" s="326"/>
      <c r="AO1525" s="326"/>
      <c r="AP1525" s="326"/>
      <c r="AQ1525" s="326"/>
      <c r="AR1525" s="326"/>
      <c r="AS1525" s="326"/>
      <c r="AT1525" s="326"/>
      <c r="AU1525" s="326"/>
      <c r="AV1525" s="326"/>
      <c r="AW1525" s="326"/>
      <c r="AX1525" s="326"/>
      <c r="AY1525" s="326"/>
      <c r="AZ1525" s="326"/>
      <c r="BA1525" s="326"/>
      <c r="BB1525" s="327"/>
    </row>
    <row r="1526" spans="1:54" ht="15.75" customHeight="1" x14ac:dyDescent="0.25">
      <c r="A1526" s="11">
        <f t="shared" si="5"/>
        <v>1513</v>
      </c>
      <c r="B1526" s="570" t="str">
        <f>'refer admin discharge'!B1522</f>
        <v>x</v>
      </c>
      <c r="C1526" s="327"/>
      <c r="D1526" s="599" t="str">
        <f>'refer admin discharge'!D1522</f>
        <v>xx</v>
      </c>
      <c r="E1526" s="327"/>
      <c r="F1526" s="600" t="str">
        <f>'refer admin discharge'!H1522</f>
        <v>00/00/0000</v>
      </c>
      <c r="G1526" s="327"/>
      <c r="H1526" s="574"/>
      <c r="I1526" s="327"/>
      <c r="J1526" s="601"/>
      <c r="K1526" s="327"/>
      <c r="L1526" s="574"/>
      <c r="M1526" s="327"/>
      <c r="N1526" s="594"/>
      <c r="O1526" s="327"/>
      <c r="P1526" s="574"/>
      <c r="Q1526" s="327"/>
      <c r="R1526" s="594"/>
      <c r="S1526" s="327"/>
      <c r="T1526" s="574"/>
      <c r="U1526" s="327"/>
      <c r="V1526" s="595" t="str">
        <f>'refer admin discharge'!H1527</f>
        <v>00/00/0000</v>
      </c>
      <c r="W1526" s="327"/>
      <c r="X1526" s="596"/>
      <c r="Y1526" s="327"/>
      <c r="Z1526" s="597"/>
      <c r="AA1526" s="327"/>
      <c r="AB1526" s="596"/>
      <c r="AC1526" s="327"/>
      <c r="AD1526" s="577"/>
      <c r="AE1526" s="327"/>
      <c r="AF1526" s="596"/>
      <c r="AG1526" s="327"/>
      <c r="AH1526" s="577"/>
      <c r="AI1526" s="327"/>
      <c r="AJ1526" s="596"/>
      <c r="AK1526" s="327"/>
      <c r="AL1526" s="598"/>
      <c r="AM1526" s="326"/>
      <c r="AN1526" s="326"/>
      <c r="AO1526" s="326"/>
      <c r="AP1526" s="326"/>
      <c r="AQ1526" s="326"/>
      <c r="AR1526" s="326"/>
      <c r="AS1526" s="326"/>
      <c r="AT1526" s="326"/>
      <c r="AU1526" s="326"/>
      <c r="AV1526" s="326"/>
      <c r="AW1526" s="326"/>
      <c r="AX1526" s="326"/>
      <c r="AY1526" s="326"/>
      <c r="AZ1526" s="326"/>
      <c r="BA1526" s="326"/>
      <c r="BB1526" s="327"/>
    </row>
    <row r="1527" spans="1:54" ht="15.75" customHeight="1" x14ac:dyDescent="0.25">
      <c r="A1527" s="11">
        <f t="shared" si="5"/>
        <v>1514</v>
      </c>
      <c r="B1527" s="504" t="str">
        <f>'refer admin discharge'!B1523</f>
        <v>x</v>
      </c>
      <c r="C1527" s="327"/>
      <c r="D1527" s="505" t="str">
        <f>'refer admin discharge'!D1523</f>
        <v>xx</v>
      </c>
      <c r="E1527" s="327"/>
      <c r="F1527" s="606" t="str">
        <f>'refer admin discharge'!H1523</f>
        <v>00/00/0000</v>
      </c>
      <c r="G1527" s="327"/>
      <c r="H1527" s="594"/>
      <c r="I1527" s="327"/>
      <c r="J1527" s="605"/>
      <c r="K1527" s="327"/>
      <c r="L1527" s="594"/>
      <c r="M1527" s="327"/>
      <c r="N1527" s="575"/>
      <c r="O1527" s="327"/>
      <c r="P1527" s="594"/>
      <c r="Q1527" s="327"/>
      <c r="R1527" s="575"/>
      <c r="S1527" s="327"/>
      <c r="T1527" s="594"/>
      <c r="U1527" s="327"/>
      <c r="V1527" s="595" t="str">
        <f>'refer admin discharge'!H1528</f>
        <v>00/00/0000</v>
      </c>
      <c r="W1527" s="327"/>
      <c r="X1527" s="577"/>
      <c r="Y1527" s="327"/>
      <c r="Z1527" s="604"/>
      <c r="AA1527" s="327"/>
      <c r="AB1527" s="577"/>
      <c r="AC1527" s="327"/>
      <c r="AD1527" s="576"/>
      <c r="AE1527" s="327"/>
      <c r="AF1527" s="577"/>
      <c r="AG1527" s="327"/>
      <c r="AH1527" s="576"/>
      <c r="AI1527" s="327"/>
      <c r="AJ1527" s="577"/>
      <c r="AK1527" s="327"/>
      <c r="AL1527" s="602"/>
      <c r="AM1527" s="326"/>
      <c r="AN1527" s="326"/>
      <c r="AO1527" s="326"/>
      <c r="AP1527" s="326"/>
      <c r="AQ1527" s="326"/>
      <c r="AR1527" s="326"/>
      <c r="AS1527" s="326"/>
      <c r="AT1527" s="326"/>
      <c r="AU1527" s="326"/>
      <c r="AV1527" s="326"/>
      <c r="AW1527" s="326"/>
      <c r="AX1527" s="326"/>
      <c r="AY1527" s="326"/>
      <c r="AZ1527" s="326"/>
      <c r="BA1527" s="326"/>
      <c r="BB1527" s="327"/>
    </row>
    <row r="1528" spans="1:54" ht="15.75" customHeight="1" x14ac:dyDescent="0.25">
      <c r="A1528" s="11">
        <f t="shared" si="5"/>
        <v>1515</v>
      </c>
      <c r="B1528" s="570" t="str">
        <f>'refer admin discharge'!B1524</f>
        <v>x</v>
      </c>
      <c r="C1528" s="327"/>
      <c r="D1528" s="599" t="str">
        <f>'refer admin discharge'!D1524</f>
        <v>xx</v>
      </c>
      <c r="E1528" s="327"/>
      <c r="F1528" s="600" t="str">
        <f>'refer admin discharge'!H1524</f>
        <v>00/00/0000</v>
      </c>
      <c r="G1528" s="327"/>
      <c r="H1528" s="574"/>
      <c r="I1528" s="327"/>
      <c r="J1528" s="601"/>
      <c r="K1528" s="327"/>
      <c r="L1528" s="574"/>
      <c r="M1528" s="327"/>
      <c r="N1528" s="594"/>
      <c r="O1528" s="327"/>
      <c r="P1528" s="574"/>
      <c r="Q1528" s="327"/>
      <c r="R1528" s="594"/>
      <c r="S1528" s="327"/>
      <c r="T1528" s="574"/>
      <c r="U1528" s="327"/>
      <c r="V1528" s="595" t="str">
        <f>'refer admin discharge'!H1529</f>
        <v>00/00/0000</v>
      </c>
      <c r="W1528" s="327"/>
      <c r="X1528" s="596"/>
      <c r="Y1528" s="327"/>
      <c r="Z1528" s="597"/>
      <c r="AA1528" s="327"/>
      <c r="AB1528" s="596"/>
      <c r="AC1528" s="327"/>
      <c r="AD1528" s="577"/>
      <c r="AE1528" s="327"/>
      <c r="AF1528" s="596"/>
      <c r="AG1528" s="327"/>
      <c r="AH1528" s="577"/>
      <c r="AI1528" s="327"/>
      <c r="AJ1528" s="596"/>
      <c r="AK1528" s="327"/>
      <c r="AL1528" s="598"/>
      <c r="AM1528" s="326"/>
      <c r="AN1528" s="326"/>
      <c r="AO1528" s="326"/>
      <c r="AP1528" s="326"/>
      <c r="AQ1528" s="326"/>
      <c r="AR1528" s="326"/>
      <c r="AS1528" s="326"/>
      <c r="AT1528" s="326"/>
      <c r="AU1528" s="326"/>
      <c r="AV1528" s="326"/>
      <c r="AW1528" s="326"/>
      <c r="AX1528" s="326"/>
      <c r="AY1528" s="326"/>
      <c r="AZ1528" s="326"/>
      <c r="BA1528" s="326"/>
      <c r="BB1528" s="327"/>
    </row>
    <row r="1529" spans="1:54" ht="15.75" customHeight="1" x14ac:dyDescent="0.25">
      <c r="A1529" s="11">
        <f t="shared" si="5"/>
        <v>1516</v>
      </c>
      <c r="B1529" s="504" t="str">
        <f>'refer admin discharge'!B1525</f>
        <v>x</v>
      </c>
      <c r="C1529" s="327"/>
      <c r="D1529" s="505" t="str">
        <f>'refer admin discharge'!D1525</f>
        <v>xx</v>
      </c>
      <c r="E1529" s="327"/>
      <c r="F1529" s="606" t="str">
        <f>'refer admin discharge'!H1525</f>
        <v>00/00/0000</v>
      </c>
      <c r="G1529" s="327"/>
      <c r="H1529" s="594"/>
      <c r="I1529" s="327"/>
      <c r="J1529" s="605"/>
      <c r="K1529" s="327"/>
      <c r="L1529" s="594"/>
      <c r="M1529" s="327"/>
      <c r="N1529" s="575"/>
      <c r="O1529" s="327"/>
      <c r="P1529" s="594"/>
      <c r="Q1529" s="327"/>
      <c r="R1529" s="575"/>
      <c r="S1529" s="327"/>
      <c r="T1529" s="594"/>
      <c r="U1529" s="327"/>
      <c r="V1529" s="595" t="str">
        <f>'refer admin discharge'!H1530</f>
        <v>00/00/0000</v>
      </c>
      <c r="W1529" s="327"/>
      <c r="X1529" s="577"/>
      <c r="Y1529" s="327"/>
      <c r="Z1529" s="604"/>
      <c r="AA1529" s="327"/>
      <c r="AB1529" s="577"/>
      <c r="AC1529" s="327"/>
      <c r="AD1529" s="576"/>
      <c r="AE1529" s="327"/>
      <c r="AF1529" s="577"/>
      <c r="AG1529" s="327"/>
      <c r="AH1529" s="576"/>
      <c r="AI1529" s="327"/>
      <c r="AJ1529" s="577"/>
      <c r="AK1529" s="327"/>
      <c r="AL1529" s="602"/>
      <c r="AM1529" s="326"/>
      <c r="AN1529" s="326"/>
      <c r="AO1529" s="326"/>
      <c r="AP1529" s="326"/>
      <c r="AQ1529" s="326"/>
      <c r="AR1529" s="326"/>
      <c r="AS1529" s="326"/>
      <c r="AT1529" s="326"/>
      <c r="AU1529" s="326"/>
      <c r="AV1529" s="326"/>
      <c r="AW1529" s="326"/>
      <c r="AX1529" s="326"/>
      <c r="AY1529" s="326"/>
      <c r="AZ1529" s="326"/>
      <c r="BA1529" s="326"/>
      <c r="BB1529" s="327"/>
    </row>
    <row r="1530" spans="1:54" ht="15.75" customHeight="1" x14ac:dyDescent="0.25">
      <c r="A1530" s="11">
        <f t="shared" si="5"/>
        <v>1517</v>
      </c>
      <c r="B1530" s="570" t="str">
        <f>'refer admin discharge'!B1526</f>
        <v>x</v>
      </c>
      <c r="C1530" s="327"/>
      <c r="D1530" s="599" t="str">
        <f>'refer admin discharge'!D1526</f>
        <v>xx</v>
      </c>
      <c r="E1530" s="327"/>
      <c r="F1530" s="600" t="str">
        <f>'refer admin discharge'!H1526</f>
        <v>00/00/0000</v>
      </c>
      <c r="G1530" s="327"/>
      <c r="H1530" s="574"/>
      <c r="I1530" s="327"/>
      <c r="J1530" s="601"/>
      <c r="K1530" s="327"/>
      <c r="L1530" s="574"/>
      <c r="M1530" s="327"/>
      <c r="N1530" s="594"/>
      <c r="O1530" s="327"/>
      <c r="P1530" s="574"/>
      <c r="Q1530" s="327"/>
      <c r="R1530" s="594"/>
      <c r="S1530" s="327"/>
      <c r="T1530" s="574"/>
      <c r="U1530" s="327"/>
      <c r="V1530" s="595" t="str">
        <f>'refer admin discharge'!H1531</f>
        <v>00/00/0000</v>
      </c>
      <c r="W1530" s="327"/>
      <c r="X1530" s="596"/>
      <c r="Y1530" s="327"/>
      <c r="Z1530" s="597"/>
      <c r="AA1530" s="327"/>
      <c r="AB1530" s="596"/>
      <c r="AC1530" s="327"/>
      <c r="AD1530" s="577"/>
      <c r="AE1530" s="327"/>
      <c r="AF1530" s="596"/>
      <c r="AG1530" s="327"/>
      <c r="AH1530" s="577"/>
      <c r="AI1530" s="327"/>
      <c r="AJ1530" s="596"/>
      <c r="AK1530" s="327"/>
      <c r="AL1530" s="598"/>
      <c r="AM1530" s="326"/>
      <c r="AN1530" s="326"/>
      <c r="AO1530" s="326"/>
      <c r="AP1530" s="326"/>
      <c r="AQ1530" s="326"/>
      <c r="AR1530" s="326"/>
      <c r="AS1530" s="326"/>
      <c r="AT1530" s="326"/>
      <c r="AU1530" s="326"/>
      <c r="AV1530" s="326"/>
      <c r="AW1530" s="326"/>
      <c r="AX1530" s="326"/>
      <c r="AY1530" s="326"/>
      <c r="AZ1530" s="326"/>
      <c r="BA1530" s="326"/>
      <c r="BB1530" s="327"/>
    </row>
    <row r="1531" spans="1:54" ht="15.75" customHeight="1" x14ac:dyDescent="0.25">
      <c r="A1531" s="11">
        <f t="shared" si="5"/>
        <v>1518</v>
      </c>
      <c r="B1531" s="504" t="str">
        <f>'refer admin discharge'!B1527</f>
        <v>x</v>
      </c>
      <c r="C1531" s="327"/>
      <c r="D1531" s="505" t="str">
        <f>'refer admin discharge'!D1527</f>
        <v>xx</v>
      </c>
      <c r="E1531" s="327"/>
      <c r="F1531" s="606" t="str">
        <f>'refer admin discharge'!H1527</f>
        <v>00/00/0000</v>
      </c>
      <c r="G1531" s="327"/>
      <c r="H1531" s="594"/>
      <c r="I1531" s="327"/>
      <c r="J1531" s="605"/>
      <c r="K1531" s="327"/>
      <c r="L1531" s="594"/>
      <c r="M1531" s="327"/>
      <c r="N1531" s="575"/>
      <c r="O1531" s="327"/>
      <c r="P1531" s="594"/>
      <c r="Q1531" s="327"/>
      <c r="R1531" s="575"/>
      <c r="S1531" s="327"/>
      <c r="T1531" s="594"/>
      <c r="U1531" s="327"/>
      <c r="V1531" s="595" t="str">
        <f>'refer admin discharge'!H1532</f>
        <v>00/00/0000</v>
      </c>
      <c r="W1531" s="327"/>
      <c r="X1531" s="577"/>
      <c r="Y1531" s="327"/>
      <c r="Z1531" s="604"/>
      <c r="AA1531" s="327"/>
      <c r="AB1531" s="577"/>
      <c r="AC1531" s="327"/>
      <c r="AD1531" s="576"/>
      <c r="AE1531" s="327"/>
      <c r="AF1531" s="577"/>
      <c r="AG1531" s="327"/>
      <c r="AH1531" s="576"/>
      <c r="AI1531" s="327"/>
      <c r="AJ1531" s="577"/>
      <c r="AK1531" s="327"/>
      <c r="AL1531" s="602"/>
      <c r="AM1531" s="326"/>
      <c r="AN1531" s="326"/>
      <c r="AO1531" s="326"/>
      <c r="AP1531" s="326"/>
      <c r="AQ1531" s="326"/>
      <c r="AR1531" s="326"/>
      <c r="AS1531" s="326"/>
      <c r="AT1531" s="326"/>
      <c r="AU1531" s="326"/>
      <c r="AV1531" s="326"/>
      <c r="AW1531" s="326"/>
      <c r="AX1531" s="326"/>
      <c r="AY1531" s="326"/>
      <c r="AZ1531" s="326"/>
      <c r="BA1531" s="326"/>
      <c r="BB1531" s="327"/>
    </row>
    <row r="1532" spans="1:54" ht="15.75" customHeight="1" x14ac:dyDescent="0.25">
      <c r="A1532" s="11">
        <f t="shared" si="5"/>
        <v>1519</v>
      </c>
      <c r="B1532" s="570" t="str">
        <f>'refer admin discharge'!B1528</f>
        <v>x</v>
      </c>
      <c r="C1532" s="327"/>
      <c r="D1532" s="599" t="str">
        <f>'refer admin discharge'!D1528</f>
        <v>xx</v>
      </c>
      <c r="E1532" s="327"/>
      <c r="F1532" s="600" t="str">
        <f>'refer admin discharge'!H1528</f>
        <v>00/00/0000</v>
      </c>
      <c r="G1532" s="327"/>
      <c r="H1532" s="574"/>
      <c r="I1532" s="327"/>
      <c r="J1532" s="601"/>
      <c r="K1532" s="327"/>
      <c r="L1532" s="574"/>
      <c r="M1532" s="327"/>
      <c r="N1532" s="594"/>
      <c r="O1532" s="327"/>
      <c r="P1532" s="574"/>
      <c r="Q1532" s="327"/>
      <c r="R1532" s="594"/>
      <c r="S1532" s="327"/>
      <c r="T1532" s="574"/>
      <c r="U1532" s="327"/>
      <c r="V1532" s="595" t="str">
        <f>'refer admin discharge'!H1533</f>
        <v>00/00/0000</v>
      </c>
      <c r="W1532" s="327"/>
      <c r="X1532" s="596"/>
      <c r="Y1532" s="327"/>
      <c r="Z1532" s="597"/>
      <c r="AA1532" s="327"/>
      <c r="AB1532" s="596"/>
      <c r="AC1532" s="327"/>
      <c r="AD1532" s="577"/>
      <c r="AE1532" s="327"/>
      <c r="AF1532" s="596"/>
      <c r="AG1532" s="327"/>
      <c r="AH1532" s="577"/>
      <c r="AI1532" s="327"/>
      <c r="AJ1532" s="596"/>
      <c r="AK1532" s="327"/>
      <c r="AL1532" s="598"/>
      <c r="AM1532" s="326"/>
      <c r="AN1532" s="326"/>
      <c r="AO1532" s="326"/>
      <c r="AP1532" s="326"/>
      <c r="AQ1532" s="326"/>
      <c r="AR1532" s="326"/>
      <c r="AS1532" s="326"/>
      <c r="AT1532" s="326"/>
      <c r="AU1532" s="326"/>
      <c r="AV1532" s="326"/>
      <c r="AW1532" s="326"/>
      <c r="AX1532" s="326"/>
      <c r="AY1532" s="326"/>
      <c r="AZ1532" s="326"/>
      <c r="BA1532" s="326"/>
      <c r="BB1532" s="327"/>
    </row>
    <row r="1533" spans="1:54" ht="15.75" customHeight="1" x14ac:dyDescent="0.25">
      <c r="A1533" s="11">
        <f t="shared" si="5"/>
        <v>1520</v>
      </c>
      <c r="B1533" s="504" t="str">
        <f>'refer admin discharge'!B1529</f>
        <v>x</v>
      </c>
      <c r="C1533" s="327"/>
      <c r="D1533" s="505" t="str">
        <f>'refer admin discharge'!D1529</f>
        <v>xx</v>
      </c>
      <c r="E1533" s="327"/>
      <c r="F1533" s="606" t="str">
        <f>'refer admin discharge'!H1529</f>
        <v>00/00/0000</v>
      </c>
      <c r="G1533" s="327"/>
      <c r="H1533" s="594"/>
      <c r="I1533" s="327"/>
      <c r="J1533" s="605"/>
      <c r="K1533" s="327"/>
      <c r="L1533" s="594"/>
      <c r="M1533" s="327"/>
      <c r="N1533" s="575"/>
      <c r="O1533" s="327"/>
      <c r="P1533" s="594"/>
      <c r="Q1533" s="327"/>
      <c r="R1533" s="575"/>
      <c r="S1533" s="327"/>
      <c r="T1533" s="594"/>
      <c r="U1533" s="327"/>
      <c r="V1533" s="595" t="str">
        <f>'refer admin discharge'!H1534</f>
        <v>00/00/0000</v>
      </c>
      <c r="W1533" s="327"/>
      <c r="X1533" s="577"/>
      <c r="Y1533" s="327"/>
      <c r="Z1533" s="604"/>
      <c r="AA1533" s="327"/>
      <c r="AB1533" s="577"/>
      <c r="AC1533" s="327"/>
      <c r="AD1533" s="576"/>
      <c r="AE1533" s="327"/>
      <c r="AF1533" s="577"/>
      <c r="AG1533" s="327"/>
      <c r="AH1533" s="576"/>
      <c r="AI1533" s="327"/>
      <c r="AJ1533" s="577"/>
      <c r="AK1533" s="327"/>
      <c r="AL1533" s="602"/>
      <c r="AM1533" s="326"/>
      <c r="AN1533" s="326"/>
      <c r="AO1533" s="326"/>
      <c r="AP1533" s="326"/>
      <c r="AQ1533" s="326"/>
      <c r="AR1533" s="326"/>
      <c r="AS1533" s="326"/>
      <c r="AT1533" s="326"/>
      <c r="AU1533" s="326"/>
      <c r="AV1533" s="326"/>
      <c r="AW1533" s="326"/>
      <c r="AX1533" s="326"/>
      <c r="AY1533" s="326"/>
      <c r="AZ1533" s="326"/>
      <c r="BA1533" s="326"/>
      <c r="BB1533" s="327"/>
    </row>
    <row r="1534" spans="1:54" ht="15.75" customHeight="1" x14ac:dyDescent="0.25">
      <c r="A1534" s="11">
        <f t="shared" si="5"/>
        <v>1521</v>
      </c>
      <c r="B1534" s="570" t="str">
        <f>'refer admin discharge'!B1530</f>
        <v>x</v>
      </c>
      <c r="C1534" s="327"/>
      <c r="D1534" s="599" t="str">
        <f>'refer admin discharge'!D1530</f>
        <v>xx</v>
      </c>
      <c r="E1534" s="327"/>
      <c r="F1534" s="600" t="str">
        <f>'refer admin discharge'!H1530</f>
        <v>00/00/0000</v>
      </c>
      <c r="G1534" s="327"/>
      <c r="H1534" s="574"/>
      <c r="I1534" s="327"/>
      <c r="J1534" s="601"/>
      <c r="K1534" s="327"/>
      <c r="L1534" s="574"/>
      <c r="M1534" s="327"/>
      <c r="N1534" s="594"/>
      <c r="O1534" s="327"/>
      <c r="P1534" s="574"/>
      <c r="Q1534" s="327"/>
      <c r="R1534" s="594"/>
      <c r="S1534" s="327"/>
      <c r="T1534" s="574"/>
      <c r="U1534" s="327"/>
      <c r="V1534" s="595" t="str">
        <f>'refer admin discharge'!H1535</f>
        <v>00/00/0000</v>
      </c>
      <c r="W1534" s="327"/>
      <c r="X1534" s="596"/>
      <c r="Y1534" s="327"/>
      <c r="Z1534" s="597"/>
      <c r="AA1534" s="327"/>
      <c r="AB1534" s="596"/>
      <c r="AC1534" s="327"/>
      <c r="AD1534" s="577"/>
      <c r="AE1534" s="327"/>
      <c r="AF1534" s="596"/>
      <c r="AG1534" s="327"/>
      <c r="AH1534" s="577"/>
      <c r="AI1534" s="327"/>
      <c r="AJ1534" s="596"/>
      <c r="AK1534" s="327"/>
      <c r="AL1534" s="598"/>
      <c r="AM1534" s="326"/>
      <c r="AN1534" s="326"/>
      <c r="AO1534" s="326"/>
      <c r="AP1534" s="326"/>
      <c r="AQ1534" s="326"/>
      <c r="AR1534" s="326"/>
      <c r="AS1534" s="326"/>
      <c r="AT1534" s="326"/>
      <c r="AU1534" s="326"/>
      <c r="AV1534" s="326"/>
      <c r="AW1534" s="326"/>
      <c r="AX1534" s="326"/>
      <c r="AY1534" s="326"/>
      <c r="AZ1534" s="326"/>
      <c r="BA1534" s="326"/>
      <c r="BB1534" s="327"/>
    </row>
    <row r="1535" spans="1:54" ht="15.75" customHeight="1" x14ac:dyDescent="0.25">
      <c r="A1535" s="11">
        <f t="shared" si="5"/>
        <v>1522</v>
      </c>
      <c r="B1535" s="504" t="str">
        <f>'refer admin discharge'!B1531</f>
        <v>x</v>
      </c>
      <c r="C1535" s="327"/>
      <c r="D1535" s="505" t="str">
        <f>'refer admin discharge'!D1531</f>
        <v>xx</v>
      </c>
      <c r="E1535" s="327"/>
      <c r="F1535" s="606" t="str">
        <f>'refer admin discharge'!H1531</f>
        <v>00/00/0000</v>
      </c>
      <c r="G1535" s="327"/>
      <c r="H1535" s="594"/>
      <c r="I1535" s="327"/>
      <c r="J1535" s="605"/>
      <c r="K1535" s="327"/>
      <c r="L1535" s="594"/>
      <c r="M1535" s="327"/>
      <c r="N1535" s="575"/>
      <c r="O1535" s="327"/>
      <c r="P1535" s="594"/>
      <c r="Q1535" s="327"/>
      <c r="R1535" s="575"/>
      <c r="S1535" s="327"/>
      <c r="T1535" s="594"/>
      <c r="U1535" s="327"/>
      <c r="V1535" s="595" t="str">
        <f>'refer admin discharge'!H1536</f>
        <v>00/00/0000</v>
      </c>
      <c r="W1535" s="327"/>
      <c r="X1535" s="577"/>
      <c r="Y1535" s="327"/>
      <c r="Z1535" s="604"/>
      <c r="AA1535" s="327"/>
      <c r="AB1535" s="577"/>
      <c r="AC1535" s="327"/>
      <c r="AD1535" s="576"/>
      <c r="AE1535" s="327"/>
      <c r="AF1535" s="577"/>
      <c r="AG1535" s="327"/>
      <c r="AH1535" s="576"/>
      <c r="AI1535" s="327"/>
      <c r="AJ1535" s="577"/>
      <c r="AK1535" s="327"/>
      <c r="AL1535" s="602"/>
      <c r="AM1535" s="326"/>
      <c r="AN1535" s="326"/>
      <c r="AO1535" s="326"/>
      <c r="AP1535" s="326"/>
      <c r="AQ1535" s="326"/>
      <c r="AR1535" s="326"/>
      <c r="AS1535" s="326"/>
      <c r="AT1535" s="326"/>
      <c r="AU1535" s="326"/>
      <c r="AV1535" s="326"/>
      <c r="AW1535" s="326"/>
      <c r="AX1535" s="326"/>
      <c r="AY1535" s="326"/>
      <c r="AZ1535" s="326"/>
      <c r="BA1535" s="326"/>
      <c r="BB1535" s="327"/>
    </row>
    <row r="1536" spans="1:54" ht="15.75" customHeight="1" x14ac:dyDescent="0.25">
      <c r="A1536" s="11">
        <f t="shared" si="5"/>
        <v>1523</v>
      </c>
      <c r="B1536" s="570" t="str">
        <f>'refer admin discharge'!B1532</f>
        <v>x</v>
      </c>
      <c r="C1536" s="327"/>
      <c r="D1536" s="599" t="str">
        <f>'refer admin discharge'!D1532</f>
        <v>xx</v>
      </c>
      <c r="E1536" s="327"/>
      <c r="F1536" s="600" t="str">
        <f>'refer admin discharge'!H1532</f>
        <v>00/00/0000</v>
      </c>
      <c r="G1536" s="327"/>
      <c r="H1536" s="574"/>
      <c r="I1536" s="327"/>
      <c r="J1536" s="601"/>
      <c r="K1536" s="327"/>
      <c r="L1536" s="574"/>
      <c r="M1536" s="327"/>
      <c r="N1536" s="594"/>
      <c r="O1536" s="327"/>
      <c r="P1536" s="574"/>
      <c r="Q1536" s="327"/>
      <c r="R1536" s="594"/>
      <c r="S1536" s="327"/>
      <c r="T1536" s="574"/>
      <c r="U1536" s="327"/>
      <c r="V1536" s="595" t="str">
        <f>'refer admin discharge'!H1537</f>
        <v>00/00/0000</v>
      </c>
      <c r="W1536" s="327"/>
      <c r="X1536" s="596"/>
      <c r="Y1536" s="327"/>
      <c r="Z1536" s="597"/>
      <c r="AA1536" s="327"/>
      <c r="AB1536" s="596"/>
      <c r="AC1536" s="327"/>
      <c r="AD1536" s="577"/>
      <c r="AE1536" s="327"/>
      <c r="AF1536" s="596"/>
      <c r="AG1536" s="327"/>
      <c r="AH1536" s="577"/>
      <c r="AI1536" s="327"/>
      <c r="AJ1536" s="596"/>
      <c r="AK1536" s="327"/>
      <c r="AL1536" s="598"/>
      <c r="AM1536" s="326"/>
      <c r="AN1536" s="326"/>
      <c r="AO1536" s="326"/>
      <c r="AP1536" s="326"/>
      <c r="AQ1536" s="326"/>
      <c r="AR1536" s="326"/>
      <c r="AS1536" s="326"/>
      <c r="AT1536" s="326"/>
      <c r="AU1536" s="326"/>
      <c r="AV1536" s="326"/>
      <c r="AW1536" s="326"/>
      <c r="AX1536" s="326"/>
      <c r="AY1536" s="326"/>
      <c r="AZ1536" s="326"/>
      <c r="BA1536" s="326"/>
      <c r="BB1536" s="327"/>
    </row>
    <row r="1537" spans="1:54" ht="15.75" customHeight="1" x14ac:dyDescent="0.25">
      <c r="A1537" s="11">
        <f t="shared" si="5"/>
        <v>1524</v>
      </c>
      <c r="B1537" s="504" t="str">
        <f>'refer admin discharge'!B1533</f>
        <v>x</v>
      </c>
      <c r="C1537" s="327"/>
      <c r="D1537" s="505" t="str">
        <f>'refer admin discharge'!D1533</f>
        <v>xx</v>
      </c>
      <c r="E1537" s="327"/>
      <c r="F1537" s="606" t="str">
        <f>'refer admin discharge'!H1533</f>
        <v>00/00/0000</v>
      </c>
      <c r="G1537" s="327"/>
      <c r="H1537" s="594"/>
      <c r="I1537" s="327"/>
      <c r="J1537" s="605"/>
      <c r="K1537" s="327"/>
      <c r="L1537" s="594"/>
      <c r="M1537" s="327"/>
      <c r="N1537" s="575"/>
      <c r="O1537" s="327"/>
      <c r="P1537" s="594"/>
      <c r="Q1537" s="327"/>
      <c r="R1537" s="575"/>
      <c r="S1537" s="327"/>
      <c r="T1537" s="594"/>
      <c r="U1537" s="327"/>
      <c r="V1537" s="595" t="str">
        <f>'refer admin discharge'!H1538</f>
        <v>00/00/0000</v>
      </c>
      <c r="W1537" s="327"/>
      <c r="X1537" s="577"/>
      <c r="Y1537" s="327"/>
      <c r="Z1537" s="604"/>
      <c r="AA1537" s="327"/>
      <c r="AB1537" s="577"/>
      <c r="AC1537" s="327"/>
      <c r="AD1537" s="576"/>
      <c r="AE1537" s="327"/>
      <c r="AF1537" s="577"/>
      <c r="AG1537" s="327"/>
      <c r="AH1537" s="576"/>
      <c r="AI1537" s="327"/>
      <c r="AJ1537" s="577"/>
      <c r="AK1537" s="327"/>
      <c r="AL1537" s="602"/>
      <c r="AM1537" s="326"/>
      <c r="AN1537" s="326"/>
      <c r="AO1537" s="326"/>
      <c r="AP1537" s="326"/>
      <c r="AQ1537" s="326"/>
      <c r="AR1537" s="326"/>
      <c r="AS1537" s="326"/>
      <c r="AT1537" s="326"/>
      <c r="AU1537" s="326"/>
      <c r="AV1537" s="326"/>
      <c r="AW1537" s="326"/>
      <c r="AX1537" s="326"/>
      <c r="AY1537" s="326"/>
      <c r="AZ1537" s="326"/>
      <c r="BA1537" s="326"/>
      <c r="BB1537" s="327"/>
    </row>
    <row r="1538" spans="1:54" ht="15.75" customHeight="1" x14ac:dyDescent="0.25">
      <c r="A1538" s="11">
        <f t="shared" si="5"/>
        <v>1525</v>
      </c>
      <c r="B1538" s="570" t="str">
        <f>'refer admin discharge'!B1534</f>
        <v>x</v>
      </c>
      <c r="C1538" s="327"/>
      <c r="D1538" s="599" t="str">
        <f>'refer admin discharge'!D1534</f>
        <v>xx</v>
      </c>
      <c r="E1538" s="327"/>
      <c r="F1538" s="600" t="str">
        <f>'refer admin discharge'!H1534</f>
        <v>00/00/0000</v>
      </c>
      <c r="G1538" s="327"/>
      <c r="H1538" s="574"/>
      <c r="I1538" s="327"/>
      <c r="J1538" s="601"/>
      <c r="K1538" s="327"/>
      <c r="L1538" s="574"/>
      <c r="M1538" s="327"/>
      <c r="N1538" s="594"/>
      <c r="O1538" s="327"/>
      <c r="P1538" s="574"/>
      <c r="Q1538" s="327"/>
      <c r="R1538" s="594"/>
      <c r="S1538" s="327"/>
      <c r="T1538" s="574"/>
      <c r="U1538" s="327"/>
      <c r="V1538" s="595" t="str">
        <f>'refer admin discharge'!H1539</f>
        <v>00/00/0000</v>
      </c>
      <c r="W1538" s="327"/>
      <c r="X1538" s="596"/>
      <c r="Y1538" s="327"/>
      <c r="Z1538" s="597"/>
      <c r="AA1538" s="327"/>
      <c r="AB1538" s="596"/>
      <c r="AC1538" s="327"/>
      <c r="AD1538" s="577"/>
      <c r="AE1538" s="327"/>
      <c r="AF1538" s="596"/>
      <c r="AG1538" s="327"/>
      <c r="AH1538" s="577"/>
      <c r="AI1538" s="327"/>
      <c r="AJ1538" s="596"/>
      <c r="AK1538" s="327"/>
      <c r="AL1538" s="598"/>
      <c r="AM1538" s="326"/>
      <c r="AN1538" s="326"/>
      <c r="AO1538" s="326"/>
      <c r="AP1538" s="326"/>
      <c r="AQ1538" s="326"/>
      <c r="AR1538" s="326"/>
      <c r="AS1538" s="326"/>
      <c r="AT1538" s="326"/>
      <c r="AU1538" s="326"/>
      <c r="AV1538" s="326"/>
      <c r="AW1538" s="326"/>
      <c r="AX1538" s="326"/>
      <c r="AY1538" s="326"/>
      <c r="AZ1538" s="326"/>
      <c r="BA1538" s="326"/>
      <c r="BB1538" s="327"/>
    </row>
    <row r="1539" spans="1:54" ht="15.75" customHeight="1" x14ac:dyDescent="0.25">
      <c r="A1539" s="11">
        <f t="shared" si="5"/>
        <v>1526</v>
      </c>
      <c r="B1539" s="504" t="str">
        <f>'refer admin discharge'!B1535</f>
        <v>x</v>
      </c>
      <c r="C1539" s="327"/>
      <c r="D1539" s="505" t="str">
        <f>'refer admin discharge'!D1535</f>
        <v>xx</v>
      </c>
      <c r="E1539" s="327"/>
      <c r="F1539" s="606" t="str">
        <f>'refer admin discharge'!H1535</f>
        <v>00/00/0000</v>
      </c>
      <c r="G1539" s="327"/>
      <c r="H1539" s="594"/>
      <c r="I1539" s="327"/>
      <c r="J1539" s="605"/>
      <c r="K1539" s="327"/>
      <c r="L1539" s="594"/>
      <c r="M1539" s="327"/>
      <c r="N1539" s="575"/>
      <c r="O1539" s="327"/>
      <c r="P1539" s="594"/>
      <c r="Q1539" s="327"/>
      <c r="R1539" s="575"/>
      <c r="S1539" s="327"/>
      <c r="T1539" s="594"/>
      <c r="U1539" s="327"/>
      <c r="V1539" s="595" t="str">
        <f>'refer admin discharge'!H1540</f>
        <v>00/00/0000</v>
      </c>
      <c r="W1539" s="327"/>
      <c r="X1539" s="577"/>
      <c r="Y1539" s="327"/>
      <c r="Z1539" s="604"/>
      <c r="AA1539" s="327"/>
      <c r="AB1539" s="577"/>
      <c r="AC1539" s="327"/>
      <c r="AD1539" s="576"/>
      <c r="AE1539" s="327"/>
      <c r="AF1539" s="577"/>
      <c r="AG1539" s="327"/>
      <c r="AH1539" s="576"/>
      <c r="AI1539" s="327"/>
      <c r="AJ1539" s="577"/>
      <c r="AK1539" s="327"/>
      <c r="AL1539" s="602"/>
      <c r="AM1539" s="326"/>
      <c r="AN1539" s="326"/>
      <c r="AO1539" s="326"/>
      <c r="AP1539" s="326"/>
      <c r="AQ1539" s="326"/>
      <c r="AR1539" s="326"/>
      <c r="AS1539" s="326"/>
      <c r="AT1539" s="326"/>
      <c r="AU1539" s="326"/>
      <c r="AV1539" s="326"/>
      <c r="AW1539" s="326"/>
      <c r="AX1539" s="326"/>
      <c r="AY1539" s="326"/>
      <c r="AZ1539" s="326"/>
      <c r="BA1539" s="326"/>
      <c r="BB1539" s="327"/>
    </row>
    <row r="1540" spans="1:54" ht="15.75" customHeight="1" x14ac:dyDescent="0.25">
      <c r="A1540" s="11">
        <f t="shared" si="5"/>
        <v>1527</v>
      </c>
      <c r="B1540" s="570" t="str">
        <f>'refer admin discharge'!B1536</f>
        <v>x</v>
      </c>
      <c r="C1540" s="327"/>
      <c r="D1540" s="599" t="str">
        <f>'refer admin discharge'!D1536</f>
        <v>xx</v>
      </c>
      <c r="E1540" s="327"/>
      <c r="F1540" s="600" t="str">
        <f>'refer admin discharge'!H1536</f>
        <v>00/00/0000</v>
      </c>
      <c r="G1540" s="327"/>
      <c r="H1540" s="574"/>
      <c r="I1540" s="327"/>
      <c r="J1540" s="601"/>
      <c r="K1540" s="327"/>
      <c r="L1540" s="574"/>
      <c r="M1540" s="327"/>
      <c r="N1540" s="594"/>
      <c r="O1540" s="327"/>
      <c r="P1540" s="574"/>
      <c r="Q1540" s="327"/>
      <c r="R1540" s="594"/>
      <c r="S1540" s="327"/>
      <c r="T1540" s="574"/>
      <c r="U1540" s="327"/>
      <c r="V1540" s="595" t="str">
        <f>'refer admin discharge'!H1541</f>
        <v>00/00/0000</v>
      </c>
      <c r="W1540" s="327"/>
      <c r="X1540" s="596"/>
      <c r="Y1540" s="327"/>
      <c r="Z1540" s="597"/>
      <c r="AA1540" s="327"/>
      <c r="AB1540" s="596"/>
      <c r="AC1540" s="327"/>
      <c r="AD1540" s="577"/>
      <c r="AE1540" s="327"/>
      <c r="AF1540" s="596"/>
      <c r="AG1540" s="327"/>
      <c r="AH1540" s="577"/>
      <c r="AI1540" s="327"/>
      <c r="AJ1540" s="596"/>
      <c r="AK1540" s="327"/>
      <c r="AL1540" s="598"/>
      <c r="AM1540" s="326"/>
      <c r="AN1540" s="326"/>
      <c r="AO1540" s="326"/>
      <c r="AP1540" s="326"/>
      <c r="AQ1540" s="326"/>
      <c r="AR1540" s="326"/>
      <c r="AS1540" s="326"/>
      <c r="AT1540" s="326"/>
      <c r="AU1540" s="326"/>
      <c r="AV1540" s="326"/>
      <c r="AW1540" s="326"/>
      <c r="AX1540" s="326"/>
      <c r="AY1540" s="326"/>
      <c r="AZ1540" s="326"/>
      <c r="BA1540" s="326"/>
      <c r="BB1540" s="327"/>
    </row>
    <row r="1541" spans="1:54" ht="15.75" customHeight="1" x14ac:dyDescent="0.25">
      <c r="A1541" s="11">
        <f t="shared" si="5"/>
        <v>1528</v>
      </c>
      <c r="B1541" s="504" t="str">
        <f>'refer admin discharge'!B1537</f>
        <v>x</v>
      </c>
      <c r="C1541" s="327"/>
      <c r="D1541" s="505" t="str">
        <f>'refer admin discharge'!D1537</f>
        <v>xx</v>
      </c>
      <c r="E1541" s="327"/>
      <c r="F1541" s="606" t="str">
        <f>'refer admin discharge'!H1537</f>
        <v>00/00/0000</v>
      </c>
      <c r="G1541" s="327"/>
      <c r="H1541" s="594"/>
      <c r="I1541" s="327"/>
      <c r="J1541" s="605"/>
      <c r="K1541" s="327"/>
      <c r="L1541" s="594"/>
      <c r="M1541" s="327"/>
      <c r="N1541" s="575"/>
      <c r="O1541" s="327"/>
      <c r="P1541" s="594"/>
      <c r="Q1541" s="327"/>
      <c r="R1541" s="575"/>
      <c r="S1541" s="327"/>
      <c r="T1541" s="594"/>
      <c r="U1541" s="327"/>
      <c r="V1541" s="595" t="str">
        <f>'refer admin discharge'!H1542</f>
        <v>00/00/0000</v>
      </c>
      <c r="W1541" s="327"/>
      <c r="X1541" s="577"/>
      <c r="Y1541" s="327"/>
      <c r="Z1541" s="604"/>
      <c r="AA1541" s="327"/>
      <c r="AB1541" s="577"/>
      <c r="AC1541" s="327"/>
      <c r="AD1541" s="576"/>
      <c r="AE1541" s="327"/>
      <c r="AF1541" s="577"/>
      <c r="AG1541" s="327"/>
      <c r="AH1541" s="576"/>
      <c r="AI1541" s="327"/>
      <c r="AJ1541" s="577"/>
      <c r="AK1541" s="327"/>
      <c r="AL1541" s="602"/>
      <c r="AM1541" s="326"/>
      <c r="AN1541" s="326"/>
      <c r="AO1541" s="326"/>
      <c r="AP1541" s="326"/>
      <c r="AQ1541" s="326"/>
      <c r="AR1541" s="326"/>
      <c r="AS1541" s="326"/>
      <c r="AT1541" s="326"/>
      <c r="AU1541" s="326"/>
      <c r="AV1541" s="326"/>
      <c r="AW1541" s="326"/>
      <c r="AX1541" s="326"/>
      <c r="AY1541" s="326"/>
      <c r="AZ1541" s="326"/>
      <c r="BA1541" s="326"/>
      <c r="BB1541" s="327"/>
    </row>
    <row r="1542" spans="1:54" ht="15.75" customHeight="1" x14ac:dyDescent="0.25">
      <c r="A1542" s="11">
        <f t="shared" si="5"/>
        <v>1529</v>
      </c>
      <c r="B1542" s="570" t="str">
        <f>'refer admin discharge'!B1538</f>
        <v>x</v>
      </c>
      <c r="C1542" s="327"/>
      <c r="D1542" s="599" t="str">
        <f>'refer admin discharge'!D1538</f>
        <v>xx</v>
      </c>
      <c r="E1542" s="327"/>
      <c r="F1542" s="600" t="str">
        <f>'refer admin discharge'!H1538</f>
        <v>00/00/0000</v>
      </c>
      <c r="G1542" s="327"/>
      <c r="H1542" s="574"/>
      <c r="I1542" s="327"/>
      <c r="J1542" s="601"/>
      <c r="K1542" s="327"/>
      <c r="L1542" s="574"/>
      <c r="M1542" s="327"/>
      <c r="N1542" s="594"/>
      <c r="O1542" s="327"/>
      <c r="P1542" s="574"/>
      <c r="Q1542" s="327"/>
      <c r="R1542" s="594"/>
      <c r="S1542" s="327"/>
      <c r="T1542" s="574"/>
      <c r="U1542" s="327"/>
      <c r="V1542" s="595" t="str">
        <f>'refer admin discharge'!H1543</f>
        <v>00/00/0000</v>
      </c>
      <c r="W1542" s="327"/>
      <c r="X1542" s="596"/>
      <c r="Y1542" s="327"/>
      <c r="Z1542" s="597"/>
      <c r="AA1542" s="327"/>
      <c r="AB1542" s="596"/>
      <c r="AC1542" s="327"/>
      <c r="AD1542" s="577"/>
      <c r="AE1542" s="327"/>
      <c r="AF1542" s="596"/>
      <c r="AG1542" s="327"/>
      <c r="AH1542" s="577"/>
      <c r="AI1542" s="327"/>
      <c r="AJ1542" s="596"/>
      <c r="AK1542" s="327"/>
      <c r="AL1542" s="598"/>
      <c r="AM1542" s="326"/>
      <c r="AN1542" s="326"/>
      <c r="AO1542" s="326"/>
      <c r="AP1542" s="326"/>
      <c r="AQ1542" s="326"/>
      <c r="AR1542" s="326"/>
      <c r="AS1542" s="326"/>
      <c r="AT1542" s="326"/>
      <c r="AU1542" s="326"/>
      <c r="AV1542" s="326"/>
      <c r="AW1542" s="326"/>
      <c r="AX1542" s="326"/>
      <c r="AY1542" s="326"/>
      <c r="AZ1542" s="326"/>
      <c r="BA1542" s="326"/>
      <c r="BB1542" s="327"/>
    </row>
    <row r="1543" spans="1:54" ht="15.75" customHeight="1" x14ac:dyDescent="0.25">
      <c r="A1543" s="11">
        <f t="shared" si="5"/>
        <v>1530</v>
      </c>
      <c r="B1543" s="504" t="str">
        <f>'refer admin discharge'!B1539</f>
        <v>x</v>
      </c>
      <c r="C1543" s="327"/>
      <c r="D1543" s="505" t="str">
        <f>'refer admin discharge'!D1539</f>
        <v>xx</v>
      </c>
      <c r="E1543" s="327"/>
      <c r="F1543" s="606" t="str">
        <f>'refer admin discharge'!H1539</f>
        <v>00/00/0000</v>
      </c>
      <c r="G1543" s="327"/>
      <c r="H1543" s="594"/>
      <c r="I1543" s="327"/>
      <c r="J1543" s="605"/>
      <c r="K1543" s="327"/>
      <c r="L1543" s="594"/>
      <c r="M1543" s="327"/>
      <c r="N1543" s="575"/>
      <c r="O1543" s="327"/>
      <c r="P1543" s="594"/>
      <c r="Q1543" s="327"/>
      <c r="R1543" s="575"/>
      <c r="S1543" s="327"/>
      <c r="T1543" s="594"/>
      <c r="U1543" s="327"/>
      <c r="V1543" s="595" t="str">
        <f>'refer admin discharge'!H1544</f>
        <v>00/00/0000</v>
      </c>
      <c r="W1543" s="327"/>
      <c r="X1543" s="577"/>
      <c r="Y1543" s="327"/>
      <c r="Z1543" s="604"/>
      <c r="AA1543" s="327"/>
      <c r="AB1543" s="577"/>
      <c r="AC1543" s="327"/>
      <c r="AD1543" s="576"/>
      <c r="AE1543" s="327"/>
      <c r="AF1543" s="577"/>
      <c r="AG1543" s="327"/>
      <c r="AH1543" s="576"/>
      <c r="AI1543" s="327"/>
      <c r="AJ1543" s="577"/>
      <c r="AK1543" s="327"/>
      <c r="AL1543" s="602"/>
      <c r="AM1543" s="326"/>
      <c r="AN1543" s="326"/>
      <c r="AO1543" s="326"/>
      <c r="AP1543" s="326"/>
      <c r="AQ1543" s="326"/>
      <c r="AR1543" s="326"/>
      <c r="AS1543" s="326"/>
      <c r="AT1543" s="326"/>
      <c r="AU1543" s="326"/>
      <c r="AV1543" s="326"/>
      <c r="AW1543" s="326"/>
      <c r="AX1543" s="326"/>
      <c r="AY1543" s="326"/>
      <c r="AZ1543" s="326"/>
      <c r="BA1543" s="326"/>
      <c r="BB1543" s="327"/>
    </row>
    <row r="1544" spans="1:54" ht="15.75" customHeight="1" x14ac:dyDescent="0.25">
      <c r="A1544" s="11">
        <f t="shared" ref="A1544:A1613" si="6">ROW(A1531)</f>
        <v>1531</v>
      </c>
      <c r="B1544" s="570" t="str">
        <f>'refer admin discharge'!B1540</f>
        <v>x</v>
      </c>
      <c r="C1544" s="327"/>
      <c r="D1544" s="599" t="str">
        <f>'refer admin discharge'!D1540</f>
        <v>xx</v>
      </c>
      <c r="E1544" s="327"/>
      <c r="F1544" s="600" t="str">
        <f>'refer admin discharge'!H1540</f>
        <v>00/00/0000</v>
      </c>
      <c r="G1544" s="327"/>
      <c r="H1544" s="574"/>
      <c r="I1544" s="327"/>
      <c r="J1544" s="601"/>
      <c r="K1544" s="327"/>
      <c r="L1544" s="574"/>
      <c r="M1544" s="327"/>
      <c r="N1544" s="594"/>
      <c r="O1544" s="327"/>
      <c r="P1544" s="574"/>
      <c r="Q1544" s="327"/>
      <c r="R1544" s="594"/>
      <c r="S1544" s="327"/>
      <c r="T1544" s="574"/>
      <c r="U1544" s="327"/>
      <c r="V1544" s="595" t="str">
        <f>'refer admin discharge'!H1545</f>
        <v>00/00/0000</v>
      </c>
      <c r="W1544" s="327"/>
      <c r="X1544" s="596"/>
      <c r="Y1544" s="327"/>
      <c r="Z1544" s="597"/>
      <c r="AA1544" s="327"/>
      <c r="AB1544" s="596"/>
      <c r="AC1544" s="327"/>
      <c r="AD1544" s="577"/>
      <c r="AE1544" s="327"/>
      <c r="AF1544" s="596"/>
      <c r="AG1544" s="327"/>
      <c r="AH1544" s="577"/>
      <c r="AI1544" s="327"/>
      <c r="AJ1544" s="596"/>
      <c r="AK1544" s="327"/>
      <c r="AL1544" s="598"/>
      <c r="AM1544" s="326"/>
      <c r="AN1544" s="326"/>
      <c r="AO1544" s="326"/>
      <c r="AP1544" s="326"/>
      <c r="AQ1544" s="326"/>
      <c r="AR1544" s="326"/>
      <c r="AS1544" s="326"/>
      <c r="AT1544" s="326"/>
      <c r="AU1544" s="326"/>
      <c r="AV1544" s="326"/>
      <c r="AW1544" s="326"/>
      <c r="AX1544" s="326"/>
      <c r="AY1544" s="326"/>
      <c r="AZ1544" s="326"/>
      <c r="BA1544" s="326"/>
      <c r="BB1544" s="327"/>
    </row>
    <row r="1545" spans="1:54" ht="15.75" customHeight="1" x14ac:dyDescent="0.25">
      <c r="A1545" s="11">
        <f t="shared" si="6"/>
        <v>1532</v>
      </c>
      <c r="B1545" s="504" t="str">
        <f>'refer admin discharge'!B1541</f>
        <v>x</v>
      </c>
      <c r="C1545" s="327"/>
      <c r="D1545" s="505" t="str">
        <f>'refer admin discharge'!D1541</f>
        <v>xx</v>
      </c>
      <c r="E1545" s="327"/>
      <c r="F1545" s="606" t="str">
        <f>'refer admin discharge'!H1541</f>
        <v>00/00/0000</v>
      </c>
      <c r="G1545" s="327"/>
      <c r="H1545" s="594"/>
      <c r="I1545" s="327"/>
      <c r="J1545" s="605"/>
      <c r="K1545" s="327"/>
      <c r="L1545" s="594"/>
      <c r="M1545" s="327"/>
      <c r="N1545" s="575"/>
      <c r="O1545" s="327"/>
      <c r="P1545" s="594"/>
      <c r="Q1545" s="327"/>
      <c r="R1545" s="575"/>
      <c r="S1545" s="327"/>
      <c r="T1545" s="594"/>
      <c r="U1545" s="327"/>
      <c r="V1545" s="595" t="str">
        <f>'refer admin discharge'!H1546</f>
        <v>00/00/0000</v>
      </c>
      <c r="W1545" s="327"/>
      <c r="X1545" s="577"/>
      <c r="Y1545" s="327"/>
      <c r="Z1545" s="604"/>
      <c r="AA1545" s="327"/>
      <c r="AB1545" s="577"/>
      <c r="AC1545" s="327"/>
      <c r="AD1545" s="576"/>
      <c r="AE1545" s="327"/>
      <c r="AF1545" s="577"/>
      <c r="AG1545" s="327"/>
      <c r="AH1545" s="576"/>
      <c r="AI1545" s="327"/>
      <c r="AJ1545" s="577"/>
      <c r="AK1545" s="327"/>
      <c r="AL1545" s="602"/>
      <c r="AM1545" s="326"/>
      <c r="AN1545" s="326"/>
      <c r="AO1545" s="326"/>
      <c r="AP1545" s="326"/>
      <c r="AQ1545" s="326"/>
      <c r="AR1545" s="326"/>
      <c r="AS1545" s="326"/>
      <c r="AT1545" s="326"/>
      <c r="AU1545" s="326"/>
      <c r="AV1545" s="326"/>
      <c r="AW1545" s="326"/>
      <c r="AX1545" s="326"/>
      <c r="AY1545" s="326"/>
      <c r="AZ1545" s="326"/>
      <c r="BA1545" s="326"/>
      <c r="BB1545" s="327"/>
    </row>
    <row r="1546" spans="1:54" ht="15.75" customHeight="1" x14ac:dyDescent="0.25">
      <c r="A1546" s="11">
        <f t="shared" si="6"/>
        <v>1533</v>
      </c>
      <c r="B1546" s="570" t="str">
        <f>'refer admin discharge'!B1542</f>
        <v>x</v>
      </c>
      <c r="C1546" s="327"/>
      <c r="D1546" s="599" t="str">
        <f>'refer admin discharge'!D1542</f>
        <v>xx</v>
      </c>
      <c r="E1546" s="327"/>
      <c r="F1546" s="600" t="str">
        <f>'refer admin discharge'!H1542</f>
        <v>00/00/0000</v>
      </c>
      <c r="G1546" s="327"/>
      <c r="H1546" s="574"/>
      <c r="I1546" s="327"/>
      <c r="J1546" s="601"/>
      <c r="K1546" s="327"/>
      <c r="L1546" s="574"/>
      <c r="M1546" s="327"/>
      <c r="N1546" s="594"/>
      <c r="O1546" s="327"/>
      <c r="P1546" s="574"/>
      <c r="Q1546" s="327"/>
      <c r="R1546" s="594"/>
      <c r="S1546" s="327"/>
      <c r="T1546" s="574"/>
      <c r="U1546" s="327"/>
      <c r="V1546" s="595" t="str">
        <f>'refer admin discharge'!H1547</f>
        <v>00/00/0000</v>
      </c>
      <c r="W1546" s="327"/>
      <c r="X1546" s="596"/>
      <c r="Y1546" s="327"/>
      <c r="Z1546" s="597"/>
      <c r="AA1546" s="327"/>
      <c r="AB1546" s="596"/>
      <c r="AC1546" s="327"/>
      <c r="AD1546" s="577"/>
      <c r="AE1546" s="327"/>
      <c r="AF1546" s="596"/>
      <c r="AG1546" s="327"/>
      <c r="AH1546" s="577"/>
      <c r="AI1546" s="327"/>
      <c r="AJ1546" s="596"/>
      <c r="AK1546" s="327"/>
      <c r="AL1546" s="598"/>
      <c r="AM1546" s="326"/>
      <c r="AN1546" s="326"/>
      <c r="AO1546" s="326"/>
      <c r="AP1546" s="326"/>
      <c r="AQ1546" s="326"/>
      <c r="AR1546" s="326"/>
      <c r="AS1546" s="326"/>
      <c r="AT1546" s="326"/>
      <c r="AU1546" s="326"/>
      <c r="AV1546" s="326"/>
      <c r="AW1546" s="326"/>
      <c r="AX1546" s="326"/>
      <c r="AY1546" s="326"/>
      <c r="AZ1546" s="326"/>
      <c r="BA1546" s="326"/>
      <c r="BB1546" s="327"/>
    </row>
    <row r="1547" spans="1:54" ht="15.75" customHeight="1" x14ac:dyDescent="0.25">
      <c r="A1547" s="11">
        <f t="shared" si="6"/>
        <v>1534</v>
      </c>
      <c r="B1547" s="504" t="str">
        <f>'refer admin discharge'!B1543</f>
        <v>x</v>
      </c>
      <c r="C1547" s="327"/>
      <c r="D1547" s="505" t="str">
        <f>'refer admin discharge'!D1543</f>
        <v>xx</v>
      </c>
      <c r="E1547" s="327"/>
      <c r="F1547" s="606" t="str">
        <f>'refer admin discharge'!H1543</f>
        <v>00/00/0000</v>
      </c>
      <c r="G1547" s="327"/>
      <c r="H1547" s="594"/>
      <c r="I1547" s="327"/>
      <c r="J1547" s="605"/>
      <c r="K1547" s="327"/>
      <c r="L1547" s="594"/>
      <c r="M1547" s="327"/>
      <c r="N1547" s="575"/>
      <c r="O1547" s="327"/>
      <c r="P1547" s="594"/>
      <c r="Q1547" s="327"/>
      <c r="R1547" s="575"/>
      <c r="S1547" s="327"/>
      <c r="T1547" s="594"/>
      <c r="U1547" s="327"/>
      <c r="V1547" s="595" t="str">
        <f>'refer admin discharge'!H1548</f>
        <v>00/00/0000</v>
      </c>
      <c r="W1547" s="327"/>
      <c r="X1547" s="577"/>
      <c r="Y1547" s="327"/>
      <c r="Z1547" s="604"/>
      <c r="AA1547" s="327"/>
      <c r="AB1547" s="577"/>
      <c r="AC1547" s="327"/>
      <c r="AD1547" s="576"/>
      <c r="AE1547" s="327"/>
      <c r="AF1547" s="577"/>
      <c r="AG1547" s="327"/>
      <c r="AH1547" s="576"/>
      <c r="AI1547" s="327"/>
      <c r="AJ1547" s="577"/>
      <c r="AK1547" s="327"/>
      <c r="AL1547" s="602"/>
      <c r="AM1547" s="326"/>
      <c r="AN1547" s="326"/>
      <c r="AO1547" s="326"/>
      <c r="AP1547" s="326"/>
      <c r="AQ1547" s="326"/>
      <c r="AR1547" s="326"/>
      <c r="AS1547" s="326"/>
      <c r="AT1547" s="326"/>
      <c r="AU1547" s="326"/>
      <c r="AV1547" s="326"/>
      <c r="AW1547" s="326"/>
      <c r="AX1547" s="326"/>
      <c r="AY1547" s="326"/>
      <c r="AZ1547" s="326"/>
      <c r="BA1547" s="326"/>
      <c r="BB1547" s="327"/>
    </row>
    <row r="1548" spans="1:54" ht="15.75" customHeight="1" x14ac:dyDescent="0.25">
      <c r="A1548" s="11">
        <f t="shared" si="6"/>
        <v>1535</v>
      </c>
      <c r="B1548" s="570" t="str">
        <f>'refer admin discharge'!B1544</f>
        <v>x</v>
      </c>
      <c r="C1548" s="327"/>
      <c r="D1548" s="599" t="str">
        <f>'refer admin discharge'!D1544</f>
        <v>xx</v>
      </c>
      <c r="E1548" s="327"/>
      <c r="F1548" s="600" t="str">
        <f>'refer admin discharge'!H1544</f>
        <v>00/00/0000</v>
      </c>
      <c r="G1548" s="327"/>
      <c r="H1548" s="574"/>
      <c r="I1548" s="327"/>
      <c r="J1548" s="601"/>
      <c r="K1548" s="327"/>
      <c r="L1548" s="574"/>
      <c r="M1548" s="327"/>
      <c r="N1548" s="594"/>
      <c r="O1548" s="327"/>
      <c r="P1548" s="574"/>
      <c r="Q1548" s="327"/>
      <c r="R1548" s="594"/>
      <c r="S1548" s="327"/>
      <c r="T1548" s="574"/>
      <c r="U1548" s="327"/>
      <c r="V1548" s="595" t="str">
        <f>'refer admin discharge'!H1549</f>
        <v>00/00/0000</v>
      </c>
      <c r="W1548" s="327"/>
      <c r="X1548" s="596"/>
      <c r="Y1548" s="327"/>
      <c r="Z1548" s="597"/>
      <c r="AA1548" s="327"/>
      <c r="AB1548" s="596"/>
      <c r="AC1548" s="327"/>
      <c r="AD1548" s="577"/>
      <c r="AE1548" s="327"/>
      <c r="AF1548" s="596"/>
      <c r="AG1548" s="327"/>
      <c r="AH1548" s="577"/>
      <c r="AI1548" s="327"/>
      <c r="AJ1548" s="596"/>
      <c r="AK1548" s="327"/>
      <c r="AL1548" s="598"/>
      <c r="AM1548" s="326"/>
      <c r="AN1548" s="326"/>
      <c r="AO1548" s="326"/>
      <c r="AP1548" s="326"/>
      <c r="AQ1548" s="326"/>
      <c r="AR1548" s="326"/>
      <c r="AS1548" s="326"/>
      <c r="AT1548" s="326"/>
      <c r="AU1548" s="326"/>
      <c r="AV1548" s="326"/>
      <c r="AW1548" s="326"/>
      <c r="AX1548" s="326"/>
      <c r="AY1548" s="326"/>
      <c r="AZ1548" s="326"/>
      <c r="BA1548" s="326"/>
      <c r="BB1548" s="327"/>
    </row>
    <row r="1549" spans="1:54" ht="15.75" customHeight="1" x14ac:dyDescent="0.25">
      <c r="A1549" s="11">
        <f t="shared" si="6"/>
        <v>1536</v>
      </c>
      <c r="B1549" s="504" t="str">
        <f>'refer admin discharge'!B1545</f>
        <v>x</v>
      </c>
      <c r="C1549" s="327"/>
      <c r="D1549" s="505" t="str">
        <f>'refer admin discharge'!D1545</f>
        <v>xx</v>
      </c>
      <c r="E1549" s="327"/>
      <c r="F1549" s="606" t="str">
        <f>'refer admin discharge'!H1545</f>
        <v>00/00/0000</v>
      </c>
      <c r="G1549" s="327"/>
      <c r="H1549" s="594"/>
      <c r="I1549" s="327"/>
      <c r="J1549" s="605"/>
      <c r="K1549" s="327"/>
      <c r="L1549" s="594"/>
      <c r="M1549" s="327"/>
      <c r="N1549" s="575"/>
      <c r="O1549" s="327"/>
      <c r="P1549" s="594"/>
      <c r="Q1549" s="327"/>
      <c r="R1549" s="575"/>
      <c r="S1549" s="327"/>
      <c r="T1549" s="594"/>
      <c r="U1549" s="327"/>
      <c r="V1549" s="595" t="str">
        <f>'refer admin discharge'!H1550</f>
        <v>00/00/0000</v>
      </c>
      <c r="W1549" s="327"/>
      <c r="X1549" s="577"/>
      <c r="Y1549" s="327"/>
      <c r="Z1549" s="604"/>
      <c r="AA1549" s="327"/>
      <c r="AB1549" s="577"/>
      <c r="AC1549" s="327"/>
      <c r="AD1549" s="576"/>
      <c r="AE1549" s="327"/>
      <c r="AF1549" s="577"/>
      <c r="AG1549" s="327"/>
      <c r="AH1549" s="576"/>
      <c r="AI1549" s="327"/>
      <c r="AJ1549" s="577"/>
      <c r="AK1549" s="327"/>
      <c r="AL1549" s="602"/>
      <c r="AM1549" s="326"/>
      <c r="AN1549" s="326"/>
      <c r="AO1549" s="326"/>
      <c r="AP1549" s="326"/>
      <c r="AQ1549" s="326"/>
      <c r="AR1549" s="326"/>
      <c r="AS1549" s="326"/>
      <c r="AT1549" s="326"/>
      <c r="AU1549" s="326"/>
      <c r="AV1549" s="326"/>
      <c r="AW1549" s="326"/>
      <c r="AX1549" s="326"/>
      <c r="AY1549" s="326"/>
      <c r="AZ1549" s="326"/>
      <c r="BA1549" s="326"/>
      <c r="BB1549" s="327"/>
    </row>
    <row r="1550" spans="1:54" ht="15.75" customHeight="1" x14ac:dyDescent="0.25">
      <c r="A1550" s="11">
        <f t="shared" si="6"/>
        <v>1537</v>
      </c>
      <c r="B1550" s="570" t="str">
        <f>'refer admin discharge'!B1546</f>
        <v>x</v>
      </c>
      <c r="C1550" s="327"/>
      <c r="D1550" s="599" t="str">
        <f>'refer admin discharge'!D1546</f>
        <v>xx</v>
      </c>
      <c r="E1550" s="327"/>
      <c r="F1550" s="600" t="str">
        <f>'refer admin discharge'!H1546</f>
        <v>00/00/0000</v>
      </c>
      <c r="G1550" s="327"/>
      <c r="H1550" s="574"/>
      <c r="I1550" s="327"/>
      <c r="J1550" s="601"/>
      <c r="K1550" s="327"/>
      <c r="L1550" s="574"/>
      <c r="M1550" s="327"/>
      <c r="N1550" s="594"/>
      <c r="O1550" s="327"/>
      <c r="P1550" s="574"/>
      <c r="Q1550" s="327"/>
      <c r="R1550" s="594"/>
      <c r="S1550" s="327"/>
      <c r="T1550" s="574"/>
      <c r="U1550" s="327"/>
      <c r="V1550" s="595" t="str">
        <f>'refer admin discharge'!H1551</f>
        <v>00/00/0000</v>
      </c>
      <c r="W1550" s="327"/>
      <c r="X1550" s="596"/>
      <c r="Y1550" s="327"/>
      <c r="Z1550" s="597"/>
      <c r="AA1550" s="327"/>
      <c r="AB1550" s="596"/>
      <c r="AC1550" s="327"/>
      <c r="AD1550" s="577"/>
      <c r="AE1550" s="327"/>
      <c r="AF1550" s="596"/>
      <c r="AG1550" s="327"/>
      <c r="AH1550" s="577"/>
      <c r="AI1550" s="327"/>
      <c r="AJ1550" s="596"/>
      <c r="AK1550" s="327"/>
      <c r="AL1550" s="598"/>
      <c r="AM1550" s="326"/>
      <c r="AN1550" s="326"/>
      <c r="AO1550" s="326"/>
      <c r="AP1550" s="326"/>
      <c r="AQ1550" s="326"/>
      <c r="AR1550" s="326"/>
      <c r="AS1550" s="326"/>
      <c r="AT1550" s="326"/>
      <c r="AU1550" s="326"/>
      <c r="AV1550" s="326"/>
      <c r="AW1550" s="326"/>
      <c r="AX1550" s="326"/>
      <c r="AY1550" s="326"/>
      <c r="AZ1550" s="326"/>
      <c r="BA1550" s="326"/>
      <c r="BB1550" s="327"/>
    </row>
    <row r="1551" spans="1:54" ht="15.75" customHeight="1" x14ac:dyDescent="0.25">
      <c r="A1551" s="11">
        <f t="shared" si="6"/>
        <v>1538</v>
      </c>
      <c r="B1551" s="504" t="str">
        <f>'refer admin discharge'!B1547</f>
        <v>x</v>
      </c>
      <c r="C1551" s="327"/>
      <c r="D1551" s="505" t="str">
        <f>'refer admin discharge'!D1547</f>
        <v>xx</v>
      </c>
      <c r="E1551" s="327"/>
      <c r="F1551" s="606" t="str">
        <f>'refer admin discharge'!H1547</f>
        <v>00/00/0000</v>
      </c>
      <c r="G1551" s="327"/>
      <c r="H1551" s="594"/>
      <c r="I1551" s="327"/>
      <c r="J1551" s="605"/>
      <c r="K1551" s="327"/>
      <c r="L1551" s="594"/>
      <c r="M1551" s="327"/>
      <c r="N1551" s="575"/>
      <c r="O1551" s="327"/>
      <c r="P1551" s="594"/>
      <c r="Q1551" s="327"/>
      <c r="R1551" s="575"/>
      <c r="S1551" s="327"/>
      <c r="T1551" s="594"/>
      <c r="U1551" s="327"/>
      <c r="V1551" s="595" t="str">
        <f>'refer admin discharge'!H1552</f>
        <v>00/00/0000</v>
      </c>
      <c r="W1551" s="327"/>
      <c r="X1551" s="577"/>
      <c r="Y1551" s="327"/>
      <c r="Z1551" s="604"/>
      <c r="AA1551" s="327"/>
      <c r="AB1551" s="577"/>
      <c r="AC1551" s="327"/>
      <c r="AD1551" s="576"/>
      <c r="AE1551" s="327"/>
      <c r="AF1551" s="577"/>
      <c r="AG1551" s="327"/>
      <c r="AH1551" s="576"/>
      <c r="AI1551" s="327"/>
      <c r="AJ1551" s="577"/>
      <c r="AK1551" s="327"/>
      <c r="AL1551" s="602"/>
      <c r="AM1551" s="326"/>
      <c r="AN1551" s="326"/>
      <c r="AO1551" s="326"/>
      <c r="AP1551" s="326"/>
      <c r="AQ1551" s="326"/>
      <c r="AR1551" s="326"/>
      <c r="AS1551" s="326"/>
      <c r="AT1551" s="326"/>
      <c r="AU1551" s="326"/>
      <c r="AV1551" s="326"/>
      <c r="AW1551" s="326"/>
      <c r="AX1551" s="326"/>
      <c r="AY1551" s="326"/>
      <c r="AZ1551" s="326"/>
      <c r="BA1551" s="326"/>
      <c r="BB1551" s="327"/>
    </row>
    <row r="1552" spans="1:54" ht="15.75" customHeight="1" x14ac:dyDescent="0.25">
      <c r="A1552" s="11">
        <f t="shared" si="6"/>
        <v>1539</v>
      </c>
      <c r="B1552" s="570" t="str">
        <f>'refer admin discharge'!B1548</f>
        <v>x</v>
      </c>
      <c r="C1552" s="327"/>
      <c r="D1552" s="599" t="str">
        <f>'refer admin discharge'!D1548</f>
        <v>xx</v>
      </c>
      <c r="E1552" s="327"/>
      <c r="F1552" s="600" t="str">
        <f>'refer admin discharge'!H1548</f>
        <v>00/00/0000</v>
      </c>
      <c r="G1552" s="327"/>
      <c r="H1552" s="574"/>
      <c r="I1552" s="327"/>
      <c r="J1552" s="601"/>
      <c r="K1552" s="327"/>
      <c r="L1552" s="574"/>
      <c r="M1552" s="327"/>
      <c r="N1552" s="594"/>
      <c r="O1552" s="327"/>
      <c r="P1552" s="574"/>
      <c r="Q1552" s="327"/>
      <c r="R1552" s="594"/>
      <c r="S1552" s="327"/>
      <c r="T1552" s="574"/>
      <c r="U1552" s="327"/>
      <c r="V1552" s="595" t="str">
        <f>'refer admin discharge'!H1553</f>
        <v>00/00/0000</v>
      </c>
      <c r="W1552" s="327"/>
      <c r="X1552" s="596"/>
      <c r="Y1552" s="327"/>
      <c r="Z1552" s="597"/>
      <c r="AA1552" s="327"/>
      <c r="AB1552" s="596"/>
      <c r="AC1552" s="327"/>
      <c r="AD1552" s="577"/>
      <c r="AE1552" s="327"/>
      <c r="AF1552" s="596"/>
      <c r="AG1552" s="327"/>
      <c r="AH1552" s="577"/>
      <c r="AI1552" s="327"/>
      <c r="AJ1552" s="596"/>
      <c r="AK1552" s="327"/>
      <c r="AL1552" s="598"/>
      <c r="AM1552" s="326"/>
      <c r="AN1552" s="326"/>
      <c r="AO1552" s="326"/>
      <c r="AP1552" s="326"/>
      <c r="AQ1552" s="326"/>
      <c r="AR1552" s="326"/>
      <c r="AS1552" s="326"/>
      <c r="AT1552" s="326"/>
      <c r="AU1552" s="326"/>
      <c r="AV1552" s="326"/>
      <c r="AW1552" s="326"/>
      <c r="AX1552" s="326"/>
      <c r="AY1552" s="326"/>
      <c r="AZ1552" s="326"/>
      <c r="BA1552" s="326"/>
      <c r="BB1552" s="327"/>
    </row>
    <row r="1553" spans="1:54" ht="15.75" customHeight="1" x14ac:dyDescent="0.25">
      <c r="A1553" s="11">
        <f t="shared" si="6"/>
        <v>1540</v>
      </c>
      <c r="B1553" s="504" t="str">
        <f>'refer admin discharge'!B1549</f>
        <v>x</v>
      </c>
      <c r="C1553" s="327"/>
      <c r="D1553" s="505" t="str">
        <f>'refer admin discharge'!D1549</f>
        <v>xx</v>
      </c>
      <c r="E1553" s="327"/>
      <c r="F1553" s="606" t="str">
        <f>'refer admin discharge'!H1549</f>
        <v>00/00/0000</v>
      </c>
      <c r="G1553" s="327"/>
      <c r="H1553" s="594"/>
      <c r="I1553" s="327"/>
      <c r="J1553" s="605"/>
      <c r="K1553" s="327"/>
      <c r="L1553" s="594"/>
      <c r="M1553" s="327"/>
      <c r="N1553" s="575"/>
      <c r="O1553" s="327"/>
      <c r="P1553" s="594"/>
      <c r="Q1553" s="327"/>
      <c r="R1553" s="575"/>
      <c r="S1553" s="327"/>
      <c r="T1553" s="594"/>
      <c r="U1553" s="327"/>
      <c r="V1553" s="595" t="str">
        <f>'refer admin discharge'!H1554</f>
        <v>00/00/0000</v>
      </c>
      <c r="W1553" s="327"/>
      <c r="X1553" s="577"/>
      <c r="Y1553" s="327"/>
      <c r="Z1553" s="604"/>
      <c r="AA1553" s="327"/>
      <c r="AB1553" s="577"/>
      <c r="AC1553" s="327"/>
      <c r="AD1553" s="576"/>
      <c r="AE1553" s="327"/>
      <c r="AF1553" s="577"/>
      <c r="AG1553" s="327"/>
      <c r="AH1553" s="576"/>
      <c r="AI1553" s="327"/>
      <c r="AJ1553" s="577"/>
      <c r="AK1553" s="327"/>
      <c r="AL1553" s="602"/>
      <c r="AM1553" s="326"/>
      <c r="AN1553" s="326"/>
      <c r="AO1553" s="326"/>
      <c r="AP1553" s="326"/>
      <c r="AQ1553" s="326"/>
      <c r="AR1553" s="326"/>
      <c r="AS1553" s="326"/>
      <c r="AT1553" s="326"/>
      <c r="AU1553" s="326"/>
      <c r="AV1553" s="326"/>
      <c r="AW1553" s="326"/>
      <c r="AX1553" s="326"/>
      <c r="AY1553" s="326"/>
      <c r="AZ1553" s="326"/>
      <c r="BA1553" s="326"/>
      <c r="BB1553" s="327"/>
    </row>
    <row r="1554" spans="1:54" ht="15.75" customHeight="1" x14ac:dyDescent="0.25">
      <c r="A1554" s="11">
        <f t="shared" si="6"/>
        <v>1541</v>
      </c>
      <c r="B1554" s="570" t="str">
        <f>'refer admin discharge'!B1550</f>
        <v>x</v>
      </c>
      <c r="C1554" s="327"/>
      <c r="D1554" s="599" t="str">
        <f>'refer admin discharge'!D1550</f>
        <v>xx</v>
      </c>
      <c r="E1554" s="327"/>
      <c r="F1554" s="600" t="str">
        <f>'refer admin discharge'!H1550</f>
        <v>00/00/0000</v>
      </c>
      <c r="G1554" s="327"/>
      <c r="H1554" s="574"/>
      <c r="I1554" s="327"/>
      <c r="J1554" s="601"/>
      <c r="K1554" s="327"/>
      <c r="L1554" s="574"/>
      <c r="M1554" s="327"/>
      <c r="N1554" s="594"/>
      <c r="O1554" s="327"/>
      <c r="P1554" s="574"/>
      <c r="Q1554" s="327"/>
      <c r="R1554" s="594"/>
      <c r="S1554" s="327"/>
      <c r="T1554" s="574"/>
      <c r="U1554" s="327"/>
      <c r="V1554" s="595" t="str">
        <f>'refer admin discharge'!H1555</f>
        <v>00/00/0000</v>
      </c>
      <c r="W1554" s="327"/>
      <c r="X1554" s="596"/>
      <c r="Y1554" s="327"/>
      <c r="Z1554" s="597"/>
      <c r="AA1554" s="327"/>
      <c r="AB1554" s="596"/>
      <c r="AC1554" s="327"/>
      <c r="AD1554" s="577"/>
      <c r="AE1554" s="327"/>
      <c r="AF1554" s="596"/>
      <c r="AG1554" s="327"/>
      <c r="AH1554" s="577"/>
      <c r="AI1554" s="327"/>
      <c r="AJ1554" s="596"/>
      <c r="AK1554" s="327"/>
      <c r="AL1554" s="598"/>
      <c r="AM1554" s="326"/>
      <c r="AN1554" s="326"/>
      <c r="AO1554" s="326"/>
      <c r="AP1554" s="326"/>
      <c r="AQ1554" s="326"/>
      <c r="AR1554" s="326"/>
      <c r="AS1554" s="326"/>
      <c r="AT1554" s="326"/>
      <c r="AU1554" s="326"/>
      <c r="AV1554" s="326"/>
      <c r="AW1554" s="326"/>
      <c r="AX1554" s="326"/>
      <c r="AY1554" s="326"/>
      <c r="AZ1554" s="326"/>
      <c r="BA1554" s="326"/>
      <c r="BB1554" s="327"/>
    </row>
    <row r="1555" spans="1:54" ht="15.75" customHeight="1" x14ac:dyDescent="0.25">
      <c r="A1555" s="11">
        <f t="shared" si="6"/>
        <v>1542</v>
      </c>
      <c r="B1555" s="504" t="str">
        <f>'refer admin discharge'!B1551</f>
        <v>x</v>
      </c>
      <c r="C1555" s="327"/>
      <c r="D1555" s="505" t="str">
        <f>'refer admin discharge'!D1551</f>
        <v>xx</v>
      </c>
      <c r="E1555" s="327"/>
      <c r="F1555" s="606" t="str">
        <f>'refer admin discharge'!H1551</f>
        <v>00/00/0000</v>
      </c>
      <c r="G1555" s="327"/>
      <c r="H1555" s="594"/>
      <c r="I1555" s="327"/>
      <c r="J1555" s="605"/>
      <c r="K1555" s="327"/>
      <c r="L1555" s="594"/>
      <c r="M1555" s="327"/>
      <c r="N1555" s="575"/>
      <c r="O1555" s="327"/>
      <c r="P1555" s="594"/>
      <c r="Q1555" s="327"/>
      <c r="R1555" s="575"/>
      <c r="S1555" s="327"/>
      <c r="T1555" s="594"/>
      <c r="U1555" s="327"/>
      <c r="V1555" s="595" t="str">
        <f>'refer admin discharge'!H1556</f>
        <v>00/00/0000</v>
      </c>
      <c r="W1555" s="327"/>
      <c r="X1555" s="577"/>
      <c r="Y1555" s="327"/>
      <c r="Z1555" s="604"/>
      <c r="AA1555" s="327"/>
      <c r="AB1555" s="577"/>
      <c r="AC1555" s="327"/>
      <c r="AD1555" s="576"/>
      <c r="AE1555" s="327"/>
      <c r="AF1555" s="577"/>
      <c r="AG1555" s="327"/>
      <c r="AH1555" s="576"/>
      <c r="AI1555" s="327"/>
      <c r="AJ1555" s="577"/>
      <c r="AK1555" s="327"/>
      <c r="AL1555" s="602"/>
      <c r="AM1555" s="326"/>
      <c r="AN1555" s="326"/>
      <c r="AO1555" s="326"/>
      <c r="AP1555" s="326"/>
      <c r="AQ1555" s="326"/>
      <c r="AR1555" s="326"/>
      <c r="AS1555" s="326"/>
      <c r="AT1555" s="326"/>
      <c r="AU1555" s="326"/>
      <c r="AV1555" s="326"/>
      <c r="AW1555" s="326"/>
      <c r="AX1555" s="326"/>
      <c r="AY1555" s="326"/>
      <c r="AZ1555" s="326"/>
      <c r="BA1555" s="326"/>
      <c r="BB1555" s="327"/>
    </row>
    <row r="1556" spans="1:54" ht="15.75" customHeight="1" x14ac:dyDescent="0.25">
      <c r="A1556" s="11">
        <f t="shared" si="6"/>
        <v>1543</v>
      </c>
      <c r="B1556" s="570" t="str">
        <f>'refer admin discharge'!B1552</f>
        <v>x</v>
      </c>
      <c r="C1556" s="327"/>
      <c r="D1556" s="599" t="str">
        <f>'refer admin discharge'!D1552</f>
        <v>xx</v>
      </c>
      <c r="E1556" s="327"/>
      <c r="F1556" s="600" t="str">
        <f>'refer admin discharge'!H1552</f>
        <v>00/00/0000</v>
      </c>
      <c r="G1556" s="327"/>
      <c r="H1556" s="574"/>
      <c r="I1556" s="327"/>
      <c r="J1556" s="601"/>
      <c r="K1556" s="327"/>
      <c r="L1556" s="574"/>
      <c r="M1556" s="327"/>
      <c r="N1556" s="594"/>
      <c r="O1556" s="327"/>
      <c r="P1556" s="574"/>
      <c r="Q1556" s="327"/>
      <c r="R1556" s="594"/>
      <c r="S1556" s="327"/>
      <c r="T1556" s="574"/>
      <c r="U1556" s="327"/>
      <c r="V1556" s="595" t="str">
        <f>'refer admin discharge'!H1557</f>
        <v>00/00/0000</v>
      </c>
      <c r="W1556" s="327"/>
      <c r="X1556" s="596"/>
      <c r="Y1556" s="327"/>
      <c r="Z1556" s="597"/>
      <c r="AA1556" s="327"/>
      <c r="AB1556" s="596"/>
      <c r="AC1556" s="327"/>
      <c r="AD1556" s="577"/>
      <c r="AE1556" s="327"/>
      <c r="AF1556" s="596"/>
      <c r="AG1556" s="327"/>
      <c r="AH1556" s="577"/>
      <c r="AI1556" s="327"/>
      <c r="AJ1556" s="596"/>
      <c r="AK1556" s="327"/>
      <c r="AL1556" s="598"/>
      <c r="AM1556" s="326"/>
      <c r="AN1556" s="326"/>
      <c r="AO1556" s="326"/>
      <c r="AP1556" s="326"/>
      <c r="AQ1556" s="326"/>
      <c r="AR1556" s="326"/>
      <c r="AS1556" s="326"/>
      <c r="AT1556" s="326"/>
      <c r="AU1556" s="326"/>
      <c r="AV1556" s="326"/>
      <c r="AW1556" s="326"/>
      <c r="AX1556" s="326"/>
      <c r="AY1556" s="326"/>
      <c r="AZ1556" s="326"/>
      <c r="BA1556" s="326"/>
      <c r="BB1556" s="327"/>
    </row>
    <row r="1557" spans="1:54" ht="15.75" customHeight="1" x14ac:dyDescent="0.25">
      <c r="A1557" s="11">
        <f t="shared" si="6"/>
        <v>1544</v>
      </c>
      <c r="B1557" s="504" t="str">
        <f>'refer admin discharge'!B1553</f>
        <v>x</v>
      </c>
      <c r="C1557" s="327"/>
      <c r="D1557" s="505" t="str">
        <f>'refer admin discharge'!D1553</f>
        <v>xx</v>
      </c>
      <c r="E1557" s="327"/>
      <c r="F1557" s="606" t="str">
        <f>'refer admin discharge'!H1553</f>
        <v>00/00/0000</v>
      </c>
      <c r="G1557" s="327"/>
      <c r="H1557" s="594"/>
      <c r="I1557" s="327"/>
      <c r="J1557" s="605"/>
      <c r="K1557" s="327"/>
      <c r="L1557" s="594"/>
      <c r="M1557" s="327"/>
      <c r="N1557" s="575"/>
      <c r="O1557" s="327"/>
      <c r="P1557" s="594"/>
      <c r="Q1557" s="327"/>
      <c r="R1557" s="575"/>
      <c r="S1557" s="327"/>
      <c r="T1557" s="594"/>
      <c r="U1557" s="327"/>
      <c r="V1557" s="595" t="str">
        <f>'refer admin discharge'!H1558</f>
        <v>00/00/0000</v>
      </c>
      <c r="W1557" s="327"/>
      <c r="X1557" s="577"/>
      <c r="Y1557" s="327"/>
      <c r="Z1557" s="604"/>
      <c r="AA1557" s="327"/>
      <c r="AB1557" s="577"/>
      <c r="AC1557" s="327"/>
      <c r="AD1557" s="576"/>
      <c r="AE1557" s="327"/>
      <c r="AF1557" s="577"/>
      <c r="AG1557" s="327"/>
      <c r="AH1557" s="576"/>
      <c r="AI1557" s="327"/>
      <c r="AJ1557" s="577"/>
      <c r="AK1557" s="327"/>
      <c r="AL1557" s="602"/>
      <c r="AM1557" s="326"/>
      <c r="AN1557" s="326"/>
      <c r="AO1557" s="326"/>
      <c r="AP1557" s="326"/>
      <c r="AQ1557" s="326"/>
      <c r="AR1557" s="326"/>
      <c r="AS1557" s="326"/>
      <c r="AT1557" s="326"/>
      <c r="AU1557" s="326"/>
      <c r="AV1557" s="326"/>
      <c r="AW1557" s="326"/>
      <c r="AX1557" s="326"/>
      <c r="AY1557" s="326"/>
      <c r="AZ1557" s="326"/>
      <c r="BA1557" s="326"/>
      <c r="BB1557" s="327"/>
    </row>
    <row r="1558" spans="1:54" ht="15.75" customHeight="1" x14ac:dyDescent="0.25">
      <c r="A1558" s="11">
        <f t="shared" si="6"/>
        <v>1545</v>
      </c>
      <c r="B1558" s="570" t="str">
        <f>'refer admin discharge'!B1554</f>
        <v>x</v>
      </c>
      <c r="C1558" s="327"/>
      <c r="D1558" s="599" t="str">
        <f>'refer admin discharge'!D1554</f>
        <v>xx</v>
      </c>
      <c r="E1558" s="327"/>
      <c r="F1558" s="600" t="str">
        <f>'refer admin discharge'!H1554</f>
        <v>00/00/0000</v>
      </c>
      <c r="G1558" s="327"/>
      <c r="H1558" s="574"/>
      <c r="I1558" s="327"/>
      <c r="J1558" s="601"/>
      <c r="K1558" s="327"/>
      <c r="L1558" s="574"/>
      <c r="M1558" s="327"/>
      <c r="N1558" s="594"/>
      <c r="O1558" s="327"/>
      <c r="P1558" s="574"/>
      <c r="Q1558" s="327"/>
      <c r="R1558" s="594"/>
      <c r="S1558" s="327"/>
      <c r="T1558" s="574"/>
      <c r="U1558" s="327"/>
      <c r="V1558" s="595" t="str">
        <f>'refer admin discharge'!H1559</f>
        <v>00/00/0000</v>
      </c>
      <c r="W1558" s="327"/>
      <c r="X1558" s="596"/>
      <c r="Y1558" s="327"/>
      <c r="Z1558" s="597"/>
      <c r="AA1558" s="327"/>
      <c r="AB1558" s="596"/>
      <c r="AC1558" s="327"/>
      <c r="AD1558" s="577"/>
      <c r="AE1558" s="327"/>
      <c r="AF1558" s="596"/>
      <c r="AG1558" s="327"/>
      <c r="AH1558" s="577"/>
      <c r="AI1558" s="327"/>
      <c r="AJ1558" s="596"/>
      <c r="AK1558" s="327"/>
      <c r="AL1558" s="598"/>
      <c r="AM1558" s="326"/>
      <c r="AN1558" s="326"/>
      <c r="AO1558" s="326"/>
      <c r="AP1558" s="326"/>
      <c r="AQ1558" s="326"/>
      <c r="AR1558" s="326"/>
      <c r="AS1558" s="326"/>
      <c r="AT1558" s="326"/>
      <c r="AU1558" s="326"/>
      <c r="AV1558" s="326"/>
      <c r="AW1558" s="326"/>
      <c r="AX1558" s="326"/>
      <c r="AY1558" s="326"/>
      <c r="AZ1558" s="326"/>
      <c r="BA1558" s="326"/>
      <c r="BB1558" s="327"/>
    </row>
    <row r="1559" spans="1:54" ht="15.75" customHeight="1" x14ac:dyDescent="0.25">
      <c r="A1559" s="11">
        <f t="shared" si="6"/>
        <v>1546</v>
      </c>
      <c r="B1559" s="504" t="str">
        <f>'refer admin discharge'!B1555</f>
        <v>x</v>
      </c>
      <c r="C1559" s="327"/>
      <c r="D1559" s="505" t="str">
        <f>'refer admin discharge'!D1555</f>
        <v>xx</v>
      </c>
      <c r="E1559" s="327"/>
      <c r="F1559" s="606" t="str">
        <f>'refer admin discharge'!H1555</f>
        <v>00/00/0000</v>
      </c>
      <c r="G1559" s="327"/>
      <c r="H1559" s="594"/>
      <c r="I1559" s="327"/>
      <c r="J1559" s="605"/>
      <c r="K1559" s="327"/>
      <c r="L1559" s="594"/>
      <c r="M1559" s="327"/>
      <c r="N1559" s="575"/>
      <c r="O1559" s="327"/>
      <c r="P1559" s="594"/>
      <c r="Q1559" s="327"/>
      <c r="R1559" s="575"/>
      <c r="S1559" s="327"/>
      <c r="T1559" s="594"/>
      <c r="U1559" s="327"/>
      <c r="V1559" s="595" t="str">
        <f>'refer admin discharge'!H1560</f>
        <v>00/00/0000</v>
      </c>
      <c r="W1559" s="327"/>
      <c r="X1559" s="577"/>
      <c r="Y1559" s="327"/>
      <c r="Z1559" s="604"/>
      <c r="AA1559" s="327"/>
      <c r="AB1559" s="577"/>
      <c r="AC1559" s="327"/>
      <c r="AD1559" s="576"/>
      <c r="AE1559" s="327"/>
      <c r="AF1559" s="577"/>
      <c r="AG1559" s="327"/>
      <c r="AH1559" s="576"/>
      <c r="AI1559" s="327"/>
      <c r="AJ1559" s="577"/>
      <c r="AK1559" s="327"/>
      <c r="AL1559" s="602"/>
      <c r="AM1559" s="326"/>
      <c r="AN1559" s="326"/>
      <c r="AO1559" s="326"/>
      <c r="AP1559" s="326"/>
      <c r="AQ1559" s="326"/>
      <c r="AR1559" s="326"/>
      <c r="AS1559" s="326"/>
      <c r="AT1559" s="326"/>
      <c r="AU1559" s="326"/>
      <c r="AV1559" s="326"/>
      <c r="AW1559" s="326"/>
      <c r="AX1559" s="326"/>
      <c r="AY1559" s="326"/>
      <c r="AZ1559" s="326"/>
      <c r="BA1559" s="326"/>
      <c r="BB1559" s="327"/>
    </row>
    <row r="1560" spans="1:54" ht="15.75" customHeight="1" x14ac:dyDescent="0.25">
      <c r="A1560" s="11">
        <f t="shared" si="6"/>
        <v>1547</v>
      </c>
      <c r="B1560" s="570" t="str">
        <f>'refer admin discharge'!B1556</f>
        <v>x</v>
      </c>
      <c r="C1560" s="327"/>
      <c r="D1560" s="599" t="str">
        <f>'refer admin discharge'!D1556</f>
        <v>xx</v>
      </c>
      <c r="E1560" s="327"/>
      <c r="F1560" s="600" t="str">
        <f>'refer admin discharge'!H1556</f>
        <v>00/00/0000</v>
      </c>
      <c r="G1560" s="327"/>
      <c r="H1560" s="574"/>
      <c r="I1560" s="327"/>
      <c r="J1560" s="601"/>
      <c r="K1560" s="327"/>
      <c r="L1560" s="574"/>
      <c r="M1560" s="327"/>
      <c r="N1560" s="594"/>
      <c r="O1560" s="327"/>
      <c r="P1560" s="574"/>
      <c r="Q1560" s="327"/>
      <c r="R1560" s="594"/>
      <c r="S1560" s="327"/>
      <c r="T1560" s="574"/>
      <c r="U1560" s="327"/>
      <c r="V1560" s="595" t="str">
        <f>'refer admin discharge'!H1561</f>
        <v>00/00/0000</v>
      </c>
      <c r="W1560" s="327"/>
      <c r="X1560" s="596"/>
      <c r="Y1560" s="327"/>
      <c r="Z1560" s="597"/>
      <c r="AA1560" s="327"/>
      <c r="AB1560" s="596"/>
      <c r="AC1560" s="327"/>
      <c r="AD1560" s="577"/>
      <c r="AE1560" s="327"/>
      <c r="AF1560" s="596"/>
      <c r="AG1560" s="327"/>
      <c r="AH1560" s="577"/>
      <c r="AI1560" s="327"/>
      <c r="AJ1560" s="596"/>
      <c r="AK1560" s="327"/>
      <c r="AL1560" s="598"/>
      <c r="AM1560" s="326"/>
      <c r="AN1560" s="326"/>
      <c r="AO1560" s="326"/>
      <c r="AP1560" s="326"/>
      <c r="AQ1560" s="326"/>
      <c r="AR1560" s="326"/>
      <c r="AS1560" s="326"/>
      <c r="AT1560" s="326"/>
      <c r="AU1560" s="326"/>
      <c r="AV1560" s="326"/>
      <c r="AW1560" s="326"/>
      <c r="AX1560" s="326"/>
      <c r="AY1560" s="326"/>
      <c r="AZ1560" s="326"/>
      <c r="BA1560" s="326"/>
      <c r="BB1560" s="327"/>
    </row>
    <row r="1561" spans="1:54" ht="15.75" customHeight="1" x14ac:dyDescent="0.25">
      <c r="A1561" s="11">
        <f t="shared" si="6"/>
        <v>1548</v>
      </c>
      <c r="B1561" s="504" t="str">
        <f>'refer admin discharge'!B1557</f>
        <v>x</v>
      </c>
      <c r="C1561" s="327"/>
      <c r="D1561" s="505" t="str">
        <f>'refer admin discharge'!D1557</f>
        <v>xx</v>
      </c>
      <c r="E1561" s="327"/>
      <c r="F1561" s="606" t="str">
        <f>'refer admin discharge'!H1557</f>
        <v>00/00/0000</v>
      </c>
      <c r="G1561" s="327"/>
      <c r="H1561" s="594"/>
      <c r="I1561" s="327"/>
      <c r="J1561" s="605"/>
      <c r="K1561" s="327"/>
      <c r="L1561" s="594"/>
      <c r="M1561" s="327"/>
      <c r="N1561" s="575"/>
      <c r="O1561" s="327"/>
      <c r="P1561" s="594"/>
      <c r="Q1561" s="327"/>
      <c r="R1561" s="575"/>
      <c r="S1561" s="327"/>
      <c r="T1561" s="594"/>
      <c r="U1561" s="327"/>
      <c r="V1561" s="595" t="str">
        <f>'refer admin discharge'!H1562</f>
        <v>00/00/0000</v>
      </c>
      <c r="W1561" s="327"/>
      <c r="X1561" s="577"/>
      <c r="Y1561" s="327"/>
      <c r="Z1561" s="604"/>
      <c r="AA1561" s="327"/>
      <c r="AB1561" s="577"/>
      <c r="AC1561" s="327"/>
      <c r="AD1561" s="576"/>
      <c r="AE1561" s="327"/>
      <c r="AF1561" s="577"/>
      <c r="AG1561" s="327"/>
      <c r="AH1561" s="576"/>
      <c r="AI1561" s="327"/>
      <c r="AJ1561" s="577"/>
      <c r="AK1561" s="327"/>
      <c r="AL1561" s="602"/>
      <c r="AM1561" s="326"/>
      <c r="AN1561" s="326"/>
      <c r="AO1561" s="326"/>
      <c r="AP1561" s="326"/>
      <c r="AQ1561" s="326"/>
      <c r="AR1561" s="326"/>
      <c r="AS1561" s="326"/>
      <c r="AT1561" s="326"/>
      <c r="AU1561" s="326"/>
      <c r="AV1561" s="326"/>
      <c r="AW1561" s="326"/>
      <c r="AX1561" s="326"/>
      <c r="AY1561" s="326"/>
      <c r="AZ1561" s="326"/>
      <c r="BA1561" s="326"/>
      <c r="BB1561" s="327"/>
    </row>
    <row r="1562" spans="1:54" ht="15.75" customHeight="1" x14ac:dyDescent="0.25">
      <c r="A1562" s="11">
        <f t="shared" si="6"/>
        <v>1549</v>
      </c>
      <c r="B1562" s="570" t="str">
        <f>'refer admin discharge'!B1558</f>
        <v>x</v>
      </c>
      <c r="C1562" s="327"/>
      <c r="D1562" s="599" t="str">
        <f>'refer admin discharge'!D1558</f>
        <v>xx</v>
      </c>
      <c r="E1562" s="327"/>
      <c r="F1562" s="600" t="str">
        <f>'refer admin discharge'!H1558</f>
        <v>00/00/0000</v>
      </c>
      <c r="G1562" s="327"/>
      <c r="H1562" s="574"/>
      <c r="I1562" s="327"/>
      <c r="J1562" s="601"/>
      <c r="K1562" s="327"/>
      <c r="L1562" s="574"/>
      <c r="M1562" s="327"/>
      <c r="N1562" s="594"/>
      <c r="O1562" s="327"/>
      <c r="P1562" s="574"/>
      <c r="Q1562" s="327"/>
      <c r="R1562" s="594"/>
      <c r="S1562" s="327"/>
      <c r="T1562" s="574"/>
      <c r="U1562" s="327"/>
      <c r="V1562" s="595" t="str">
        <f>'refer admin discharge'!H1563</f>
        <v>00/00/0000</v>
      </c>
      <c r="W1562" s="327"/>
      <c r="X1562" s="596"/>
      <c r="Y1562" s="327"/>
      <c r="Z1562" s="597"/>
      <c r="AA1562" s="327"/>
      <c r="AB1562" s="596"/>
      <c r="AC1562" s="327"/>
      <c r="AD1562" s="577"/>
      <c r="AE1562" s="327"/>
      <c r="AF1562" s="596"/>
      <c r="AG1562" s="327"/>
      <c r="AH1562" s="577"/>
      <c r="AI1562" s="327"/>
      <c r="AJ1562" s="596"/>
      <c r="AK1562" s="327"/>
      <c r="AL1562" s="598"/>
      <c r="AM1562" s="326"/>
      <c r="AN1562" s="326"/>
      <c r="AO1562" s="326"/>
      <c r="AP1562" s="326"/>
      <c r="AQ1562" s="326"/>
      <c r="AR1562" s="326"/>
      <c r="AS1562" s="326"/>
      <c r="AT1562" s="326"/>
      <c r="AU1562" s="326"/>
      <c r="AV1562" s="326"/>
      <c r="AW1562" s="326"/>
      <c r="AX1562" s="326"/>
      <c r="AY1562" s="326"/>
      <c r="AZ1562" s="326"/>
      <c r="BA1562" s="326"/>
      <c r="BB1562" s="327"/>
    </row>
    <row r="1563" spans="1:54" ht="15.75" customHeight="1" x14ac:dyDescent="0.25">
      <c r="A1563" s="11">
        <f t="shared" si="6"/>
        <v>1550</v>
      </c>
      <c r="B1563" s="504" t="str">
        <f>'refer admin discharge'!B1559</f>
        <v>x</v>
      </c>
      <c r="C1563" s="327"/>
      <c r="D1563" s="505" t="str">
        <f>'refer admin discharge'!D1559</f>
        <v>xx</v>
      </c>
      <c r="E1563" s="327"/>
      <c r="F1563" s="606" t="str">
        <f>'refer admin discharge'!H1559</f>
        <v>00/00/0000</v>
      </c>
      <c r="G1563" s="327"/>
      <c r="H1563" s="594"/>
      <c r="I1563" s="327"/>
      <c r="J1563" s="605"/>
      <c r="K1563" s="327"/>
      <c r="L1563" s="594"/>
      <c r="M1563" s="327"/>
      <c r="N1563" s="575"/>
      <c r="O1563" s="327"/>
      <c r="P1563" s="594"/>
      <c r="Q1563" s="327"/>
      <c r="R1563" s="575"/>
      <c r="S1563" s="327"/>
      <c r="T1563" s="594"/>
      <c r="U1563" s="327"/>
      <c r="V1563" s="595" t="str">
        <f>'refer admin discharge'!H1564</f>
        <v>00/00/0000</v>
      </c>
      <c r="W1563" s="327"/>
      <c r="X1563" s="577"/>
      <c r="Y1563" s="327"/>
      <c r="Z1563" s="604"/>
      <c r="AA1563" s="327"/>
      <c r="AB1563" s="577"/>
      <c r="AC1563" s="327"/>
      <c r="AD1563" s="576"/>
      <c r="AE1563" s="327"/>
      <c r="AF1563" s="577"/>
      <c r="AG1563" s="327"/>
      <c r="AH1563" s="576"/>
      <c r="AI1563" s="327"/>
      <c r="AJ1563" s="577"/>
      <c r="AK1563" s="327"/>
      <c r="AL1563" s="602"/>
      <c r="AM1563" s="326"/>
      <c r="AN1563" s="326"/>
      <c r="AO1563" s="326"/>
      <c r="AP1563" s="326"/>
      <c r="AQ1563" s="326"/>
      <c r="AR1563" s="326"/>
      <c r="AS1563" s="326"/>
      <c r="AT1563" s="326"/>
      <c r="AU1563" s="326"/>
      <c r="AV1563" s="326"/>
      <c r="AW1563" s="326"/>
      <c r="AX1563" s="326"/>
      <c r="AY1563" s="326"/>
      <c r="AZ1563" s="326"/>
      <c r="BA1563" s="326"/>
      <c r="BB1563" s="327"/>
    </row>
    <row r="1564" spans="1:54" ht="15.75" customHeight="1" x14ac:dyDescent="0.25">
      <c r="A1564" s="11">
        <f t="shared" si="6"/>
        <v>1551</v>
      </c>
      <c r="B1564" s="570" t="str">
        <f>'refer admin discharge'!B1560</f>
        <v>x</v>
      </c>
      <c r="C1564" s="327"/>
      <c r="D1564" s="599" t="str">
        <f>'refer admin discharge'!D1560</f>
        <v>xx</v>
      </c>
      <c r="E1564" s="327"/>
      <c r="F1564" s="600" t="str">
        <f>'refer admin discharge'!H1560</f>
        <v>00/00/0000</v>
      </c>
      <c r="G1564" s="327"/>
      <c r="H1564" s="574"/>
      <c r="I1564" s="327"/>
      <c r="J1564" s="601"/>
      <c r="K1564" s="327"/>
      <c r="L1564" s="574"/>
      <c r="M1564" s="327"/>
      <c r="N1564" s="594"/>
      <c r="O1564" s="327"/>
      <c r="P1564" s="574"/>
      <c r="Q1564" s="327"/>
      <c r="R1564" s="594"/>
      <c r="S1564" s="327"/>
      <c r="T1564" s="574"/>
      <c r="U1564" s="327"/>
      <c r="V1564" s="595" t="str">
        <f>'refer admin discharge'!H1565</f>
        <v>00/00/0000</v>
      </c>
      <c r="W1564" s="327"/>
      <c r="X1564" s="596"/>
      <c r="Y1564" s="327"/>
      <c r="Z1564" s="597"/>
      <c r="AA1564" s="327"/>
      <c r="AB1564" s="596"/>
      <c r="AC1564" s="327"/>
      <c r="AD1564" s="577"/>
      <c r="AE1564" s="327"/>
      <c r="AF1564" s="596"/>
      <c r="AG1564" s="327"/>
      <c r="AH1564" s="577"/>
      <c r="AI1564" s="327"/>
      <c r="AJ1564" s="596"/>
      <c r="AK1564" s="327"/>
      <c r="AL1564" s="598"/>
      <c r="AM1564" s="326"/>
      <c r="AN1564" s="326"/>
      <c r="AO1564" s="326"/>
      <c r="AP1564" s="326"/>
      <c r="AQ1564" s="326"/>
      <c r="AR1564" s="326"/>
      <c r="AS1564" s="326"/>
      <c r="AT1564" s="326"/>
      <c r="AU1564" s="326"/>
      <c r="AV1564" s="326"/>
      <c r="AW1564" s="326"/>
      <c r="AX1564" s="326"/>
      <c r="AY1564" s="326"/>
      <c r="AZ1564" s="326"/>
      <c r="BA1564" s="326"/>
      <c r="BB1564" s="327"/>
    </row>
    <row r="1565" spans="1:54" ht="15.75" customHeight="1" x14ac:dyDescent="0.25">
      <c r="A1565" s="11">
        <f t="shared" si="6"/>
        <v>1552</v>
      </c>
      <c r="B1565" s="504" t="str">
        <f>'refer admin discharge'!B1561</f>
        <v>x</v>
      </c>
      <c r="C1565" s="327"/>
      <c r="D1565" s="505" t="str">
        <f>'refer admin discharge'!D1561</f>
        <v>xx</v>
      </c>
      <c r="E1565" s="327"/>
      <c r="F1565" s="606" t="str">
        <f>'refer admin discharge'!H1561</f>
        <v>00/00/0000</v>
      </c>
      <c r="G1565" s="327"/>
      <c r="H1565" s="594"/>
      <c r="I1565" s="327"/>
      <c r="J1565" s="605"/>
      <c r="K1565" s="327"/>
      <c r="L1565" s="594"/>
      <c r="M1565" s="327"/>
      <c r="N1565" s="575"/>
      <c r="O1565" s="327"/>
      <c r="P1565" s="594"/>
      <c r="Q1565" s="327"/>
      <c r="R1565" s="575"/>
      <c r="S1565" s="327"/>
      <c r="T1565" s="594"/>
      <c r="U1565" s="327"/>
      <c r="V1565" s="595" t="str">
        <f>'refer admin discharge'!H1566</f>
        <v>00/00/0000</v>
      </c>
      <c r="W1565" s="327"/>
      <c r="X1565" s="577"/>
      <c r="Y1565" s="327"/>
      <c r="Z1565" s="604"/>
      <c r="AA1565" s="327"/>
      <c r="AB1565" s="577"/>
      <c r="AC1565" s="327"/>
      <c r="AD1565" s="576"/>
      <c r="AE1565" s="327"/>
      <c r="AF1565" s="577"/>
      <c r="AG1565" s="327"/>
      <c r="AH1565" s="576"/>
      <c r="AI1565" s="327"/>
      <c r="AJ1565" s="577"/>
      <c r="AK1565" s="327"/>
      <c r="AL1565" s="602"/>
      <c r="AM1565" s="326"/>
      <c r="AN1565" s="326"/>
      <c r="AO1565" s="326"/>
      <c r="AP1565" s="326"/>
      <c r="AQ1565" s="326"/>
      <c r="AR1565" s="326"/>
      <c r="AS1565" s="326"/>
      <c r="AT1565" s="326"/>
      <c r="AU1565" s="326"/>
      <c r="AV1565" s="326"/>
      <c r="AW1565" s="326"/>
      <c r="AX1565" s="326"/>
      <c r="AY1565" s="326"/>
      <c r="AZ1565" s="326"/>
      <c r="BA1565" s="326"/>
      <c r="BB1565" s="327"/>
    </row>
    <row r="1566" spans="1:54" ht="15.75" customHeight="1" x14ac:dyDescent="0.25">
      <c r="A1566" s="11">
        <f t="shared" si="6"/>
        <v>1553</v>
      </c>
      <c r="B1566" s="570" t="str">
        <f>'refer admin discharge'!B1562</f>
        <v>x</v>
      </c>
      <c r="C1566" s="327"/>
      <c r="D1566" s="599" t="str">
        <f>'refer admin discharge'!D1562</f>
        <v>xx</v>
      </c>
      <c r="E1566" s="327"/>
      <c r="F1566" s="600" t="str">
        <f>'refer admin discharge'!H1562</f>
        <v>00/00/0000</v>
      </c>
      <c r="G1566" s="327"/>
      <c r="H1566" s="574"/>
      <c r="I1566" s="327"/>
      <c r="J1566" s="601"/>
      <c r="K1566" s="327"/>
      <c r="L1566" s="574"/>
      <c r="M1566" s="327"/>
      <c r="N1566" s="594"/>
      <c r="O1566" s="327"/>
      <c r="P1566" s="574"/>
      <c r="Q1566" s="327"/>
      <c r="R1566" s="594"/>
      <c r="S1566" s="327"/>
      <c r="T1566" s="574"/>
      <c r="U1566" s="327"/>
      <c r="V1566" s="595" t="str">
        <f>'refer admin discharge'!H1567</f>
        <v>00/00/0000</v>
      </c>
      <c r="W1566" s="327"/>
      <c r="X1566" s="596"/>
      <c r="Y1566" s="327"/>
      <c r="Z1566" s="597"/>
      <c r="AA1566" s="327"/>
      <c r="AB1566" s="596"/>
      <c r="AC1566" s="327"/>
      <c r="AD1566" s="577"/>
      <c r="AE1566" s="327"/>
      <c r="AF1566" s="596"/>
      <c r="AG1566" s="327"/>
      <c r="AH1566" s="577"/>
      <c r="AI1566" s="327"/>
      <c r="AJ1566" s="596"/>
      <c r="AK1566" s="327"/>
      <c r="AL1566" s="598"/>
      <c r="AM1566" s="326"/>
      <c r="AN1566" s="326"/>
      <c r="AO1566" s="326"/>
      <c r="AP1566" s="326"/>
      <c r="AQ1566" s="326"/>
      <c r="AR1566" s="326"/>
      <c r="AS1566" s="326"/>
      <c r="AT1566" s="326"/>
      <c r="AU1566" s="326"/>
      <c r="AV1566" s="326"/>
      <c r="AW1566" s="326"/>
      <c r="AX1566" s="326"/>
      <c r="AY1566" s="326"/>
      <c r="AZ1566" s="326"/>
      <c r="BA1566" s="326"/>
      <c r="BB1566" s="327"/>
    </row>
    <row r="1567" spans="1:54" ht="15.75" customHeight="1" x14ac:dyDescent="0.25">
      <c r="A1567" s="11">
        <f t="shared" si="6"/>
        <v>1554</v>
      </c>
      <c r="B1567" s="504" t="str">
        <f>'refer admin discharge'!B1563</f>
        <v>x</v>
      </c>
      <c r="C1567" s="327"/>
      <c r="D1567" s="505" t="str">
        <f>'refer admin discharge'!D1563</f>
        <v>xx</v>
      </c>
      <c r="E1567" s="327"/>
      <c r="F1567" s="606" t="str">
        <f>'refer admin discharge'!H1563</f>
        <v>00/00/0000</v>
      </c>
      <c r="G1567" s="327"/>
      <c r="H1567" s="594"/>
      <c r="I1567" s="327"/>
      <c r="J1567" s="605"/>
      <c r="K1567" s="327"/>
      <c r="L1567" s="594"/>
      <c r="M1567" s="327"/>
      <c r="N1567" s="575"/>
      <c r="O1567" s="327"/>
      <c r="P1567" s="594"/>
      <c r="Q1567" s="327"/>
      <c r="R1567" s="575"/>
      <c r="S1567" s="327"/>
      <c r="T1567" s="594"/>
      <c r="U1567" s="327"/>
      <c r="V1567" s="595" t="str">
        <f>'refer admin discharge'!H1568</f>
        <v>00/00/0000</v>
      </c>
      <c r="W1567" s="327"/>
      <c r="X1567" s="577"/>
      <c r="Y1567" s="327"/>
      <c r="Z1567" s="604"/>
      <c r="AA1567" s="327"/>
      <c r="AB1567" s="577"/>
      <c r="AC1567" s="327"/>
      <c r="AD1567" s="576"/>
      <c r="AE1567" s="327"/>
      <c r="AF1567" s="577"/>
      <c r="AG1567" s="327"/>
      <c r="AH1567" s="576"/>
      <c r="AI1567" s="327"/>
      <c r="AJ1567" s="577"/>
      <c r="AK1567" s="327"/>
      <c r="AL1567" s="602"/>
      <c r="AM1567" s="326"/>
      <c r="AN1567" s="326"/>
      <c r="AO1567" s="326"/>
      <c r="AP1567" s="326"/>
      <c r="AQ1567" s="326"/>
      <c r="AR1567" s="326"/>
      <c r="AS1567" s="326"/>
      <c r="AT1567" s="326"/>
      <c r="AU1567" s="326"/>
      <c r="AV1567" s="326"/>
      <c r="AW1567" s="326"/>
      <c r="AX1567" s="326"/>
      <c r="AY1567" s="326"/>
      <c r="AZ1567" s="326"/>
      <c r="BA1567" s="326"/>
      <c r="BB1567" s="327"/>
    </row>
    <row r="1568" spans="1:54" ht="15.75" customHeight="1" x14ac:dyDescent="0.25">
      <c r="A1568" s="11">
        <f t="shared" si="6"/>
        <v>1555</v>
      </c>
      <c r="B1568" s="570" t="str">
        <f>'refer admin discharge'!B1564</f>
        <v>x</v>
      </c>
      <c r="C1568" s="327"/>
      <c r="D1568" s="599" t="str">
        <f>'refer admin discharge'!D1564</f>
        <v>xx</v>
      </c>
      <c r="E1568" s="327"/>
      <c r="F1568" s="600" t="str">
        <f>'refer admin discharge'!H1564</f>
        <v>00/00/0000</v>
      </c>
      <c r="G1568" s="327"/>
      <c r="H1568" s="574"/>
      <c r="I1568" s="327"/>
      <c r="J1568" s="601"/>
      <c r="K1568" s="327"/>
      <c r="L1568" s="574"/>
      <c r="M1568" s="327"/>
      <c r="N1568" s="594"/>
      <c r="O1568" s="327"/>
      <c r="P1568" s="574"/>
      <c r="Q1568" s="327"/>
      <c r="R1568" s="594"/>
      <c r="S1568" s="327"/>
      <c r="T1568" s="574"/>
      <c r="U1568" s="327"/>
      <c r="V1568" s="595" t="str">
        <f>'refer admin discharge'!H1569</f>
        <v>00/00/0000</v>
      </c>
      <c r="W1568" s="327"/>
      <c r="X1568" s="596"/>
      <c r="Y1568" s="327"/>
      <c r="Z1568" s="597"/>
      <c r="AA1568" s="327"/>
      <c r="AB1568" s="596"/>
      <c r="AC1568" s="327"/>
      <c r="AD1568" s="577"/>
      <c r="AE1568" s="327"/>
      <c r="AF1568" s="596"/>
      <c r="AG1568" s="327"/>
      <c r="AH1568" s="577"/>
      <c r="AI1568" s="327"/>
      <c r="AJ1568" s="596"/>
      <c r="AK1568" s="327"/>
      <c r="AL1568" s="598"/>
      <c r="AM1568" s="326"/>
      <c r="AN1568" s="326"/>
      <c r="AO1568" s="326"/>
      <c r="AP1568" s="326"/>
      <c r="AQ1568" s="326"/>
      <c r="AR1568" s="326"/>
      <c r="AS1568" s="326"/>
      <c r="AT1568" s="326"/>
      <c r="AU1568" s="326"/>
      <c r="AV1568" s="326"/>
      <c r="AW1568" s="326"/>
      <c r="AX1568" s="326"/>
      <c r="AY1568" s="326"/>
      <c r="AZ1568" s="326"/>
      <c r="BA1568" s="326"/>
      <c r="BB1568" s="327"/>
    </row>
    <row r="1569" spans="1:54" ht="15.75" customHeight="1" x14ac:dyDescent="0.25">
      <c r="A1569" s="11">
        <f t="shared" si="6"/>
        <v>1556</v>
      </c>
      <c r="B1569" s="504" t="str">
        <f>'refer admin discharge'!B1565</f>
        <v>x</v>
      </c>
      <c r="C1569" s="327"/>
      <c r="D1569" s="505" t="str">
        <f>'refer admin discharge'!D1565</f>
        <v>xx</v>
      </c>
      <c r="E1569" s="327"/>
      <c r="F1569" s="606" t="str">
        <f>'refer admin discharge'!H1565</f>
        <v>00/00/0000</v>
      </c>
      <c r="G1569" s="327"/>
      <c r="H1569" s="594"/>
      <c r="I1569" s="327"/>
      <c r="J1569" s="605"/>
      <c r="K1569" s="327"/>
      <c r="L1569" s="594"/>
      <c r="M1569" s="327"/>
      <c r="N1569" s="575"/>
      <c r="O1569" s="327"/>
      <c r="P1569" s="594"/>
      <c r="Q1569" s="327"/>
      <c r="R1569" s="575"/>
      <c r="S1569" s="327"/>
      <c r="T1569" s="594"/>
      <c r="U1569" s="327"/>
      <c r="V1569" s="595" t="str">
        <f>'refer admin discharge'!H1570</f>
        <v>00/00/0000</v>
      </c>
      <c r="W1569" s="327"/>
      <c r="X1569" s="577"/>
      <c r="Y1569" s="327"/>
      <c r="Z1569" s="604"/>
      <c r="AA1569" s="327"/>
      <c r="AB1569" s="577"/>
      <c r="AC1569" s="327"/>
      <c r="AD1569" s="576"/>
      <c r="AE1569" s="327"/>
      <c r="AF1569" s="577"/>
      <c r="AG1569" s="327"/>
      <c r="AH1569" s="576"/>
      <c r="AI1569" s="327"/>
      <c r="AJ1569" s="577"/>
      <c r="AK1569" s="327"/>
      <c r="AL1569" s="602"/>
      <c r="AM1569" s="326"/>
      <c r="AN1569" s="326"/>
      <c r="AO1569" s="326"/>
      <c r="AP1569" s="326"/>
      <c r="AQ1569" s="326"/>
      <c r="AR1569" s="326"/>
      <c r="AS1569" s="326"/>
      <c r="AT1569" s="326"/>
      <c r="AU1569" s="326"/>
      <c r="AV1569" s="326"/>
      <c r="AW1569" s="326"/>
      <c r="AX1569" s="326"/>
      <c r="AY1569" s="326"/>
      <c r="AZ1569" s="326"/>
      <c r="BA1569" s="326"/>
      <c r="BB1569" s="327"/>
    </row>
    <row r="1570" spans="1:54" ht="15.75" customHeight="1" x14ac:dyDescent="0.25">
      <c r="A1570" s="11">
        <f t="shared" si="6"/>
        <v>1557</v>
      </c>
      <c r="B1570" s="570" t="str">
        <f>'refer admin discharge'!B1566</f>
        <v>x</v>
      </c>
      <c r="C1570" s="327"/>
      <c r="D1570" s="599" t="str">
        <f>'refer admin discharge'!D1566</f>
        <v>xx</v>
      </c>
      <c r="E1570" s="327"/>
      <c r="F1570" s="600" t="str">
        <f>'refer admin discharge'!H1566</f>
        <v>00/00/0000</v>
      </c>
      <c r="G1570" s="327"/>
      <c r="H1570" s="574"/>
      <c r="I1570" s="327"/>
      <c r="J1570" s="601"/>
      <c r="K1570" s="327"/>
      <c r="L1570" s="574"/>
      <c r="M1570" s="327"/>
      <c r="N1570" s="594"/>
      <c r="O1570" s="327"/>
      <c r="P1570" s="574"/>
      <c r="Q1570" s="327"/>
      <c r="R1570" s="594"/>
      <c r="S1570" s="327"/>
      <c r="T1570" s="574"/>
      <c r="U1570" s="327"/>
      <c r="V1570" s="595" t="str">
        <f>'refer admin discharge'!H1571</f>
        <v>00/00/0000</v>
      </c>
      <c r="W1570" s="327"/>
      <c r="X1570" s="596"/>
      <c r="Y1570" s="327"/>
      <c r="Z1570" s="597"/>
      <c r="AA1570" s="327"/>
      <c r="AB1570" s="596"/>
      <c r="AC1570" s="327"/>
      <c r="AD1570" s="577"/>
      <c r="AE1570" s="327"/>
      <c r="AF1570" s="596"/>
      <c r="AG1570" s="327"/>
      <c r="AH1570" s="577"/>
      <c r="AI1570" s="327"/>
      <c r="AJ1570" s="596"/>
      <c r="AK1570" s="327"/>
      <c r="AL1570" s="598"/>
      <c r="AM1570" s="326"/>
      <c r="AN1570" s="326"/>
      <c r="AO1570" s="326"/>
      <c r="AP1570" s="326"/>
      <c r="AQ1570" s="326"/>
      <c r="AR1570" s="326"/>
      <c r="AS1570" s="326"/>
      <c r="AT1570" s="326"/>
      <c r="AU1570" s="326"/>
      <c r="AV1570" s="326"/>
      <c r="AW1570" s="326"/>
      <c r="AX1570" s="326"/>
      <c r="AY1570" s="326"/>
      <c r="AZ1570" s="326"/>
      <c r="BA1570" s="326"/>
      <c r="BB1570" s="327"/>
    </row>
    <row r="1571" spans="1:54" ht="15.75" customHeight="1" x14ac:dyDescent="0.25">
      <c r="A1571" s="11">
        <f t="shared" si="6"/>
        <v>1558</v>
      </c>
      <c r="B1571" s="504" t="str">
        <f>'refer admin discharge'!B1567</f>
        <v>x</v>
      </c>
      <c r="C1571" s="327"/>
      <c r="D1571" s="505" t="str">
        <f>'refer admin discharge'!D1567</f>
        <v>xx</v>
      </c>
      <c r="E1571" s="327"/>
      <c r="F1571" s="606" t="str">
        <f>'refer admin discharge'!H1567</f>
        <v>00/00/0000</v>
      </c>
      <c r="G1571" s="327"/>
      <c r="H1571" s="594"/>
      <c r="I1571" s="327"/>
      <c r="J1571" s="605"/>
      <c r="K1571" s="327"/>
      <c r="L1571" s="594"/>
      <c r="M1571" s="327"/>
      <c r="N1571" s="575"/>
      <c r="O1571" s="327"/>
      <c r="P1571" s="594"/>
      <c r="Q1571" s="327"/>
      <c r="R1571" s="575"/>
      <c r="S1571" s="327"/>
      <c r="T1571" s="594"/>
      <c r="U1571" s="327"/>
      <c r="V1571" s="595" t="str">
        <f>'refer admin discharge'!H1572</f>
        <v>00/00/0000</v>
      </c>
      <c r="W1571" s="327"/>
      <c r="X1571" s="577"/>
      <c r="Y1571" s="327"/>
      <c r="Z1571" s="604"/>
      <c r="AA1571" s="327"/>
      <c r="AB1571" s="577"/>
      <c r="AC1571" s="327"/>
      <c r="AD1571" s="576"/>
      <c r="AE1571" s="327"/>
      <c r="AF1571" s="577"/>
      <c r="AG1571" s="327"/>
      <c r="AH1571" s="576"/>
      <c r="AI1571" s="327"/>
      <c r="AJ1571" s="577"/>
      <c r="AK1571" s="327"/>
      <c r="AL1571" s="602"/>
      <c r="AM1571" s="326"/>
      <c r="AN1571" s="326"/>
      <c r="AO1571" s="326"/>
      <c r="AP1571" s="326"/>
      <c r="AQ1571" s="326"/>
      <c r="AR1571" s="326"/>
      <c r="AS1571" s="326"/>
      <c r="AT1571" s="326"/>
      <c r="AU1571" s="326"/>
      <c r="AV1571" s="326"/>
      <c r="AW1571" s="326"/>
      <c r="AX1571" s="326"/>
      <c r="AY1571" s="326"/>
      <c r="AZ1571" s="326"/>
      <c r="BA1571" s="326"/>
      <c r="BB1571" s="327"/>
    </row>
    <row r="1572" spans="1:54" ht="15.75" customHeight="1" x14ac:dyDescent="0.25">
      <c r="A1572" s="11">
        <f t="shared" si="6"/>
        <v>1559</v>
      </c>
      <c r="B1572" s="570" t="str">
        <f>'refer admin discharge'!B1568</f>
        <v>x</v>
      </c>
      <c r="C1572" s="327"/>
      <c r="D1572" s="599" t="str">
        <f>'refer admin discharge'!D1568</f>
        <v>xx</v>
      </c>
      <c r="E1572" s="327"/>
      <c r="F1572" s="600" t="str">
        <f>'refer admin discharge'!H1568</f>
        <v>00/00/0000</v>
      </c>
      <c r="G1572" s="327"/>
      <c r="H1572" s="574"/>
      <c r="I1572" s="327"/>
      <c r="J1572" s="601"/>
      <c r="K1572" s="327"/>
      <c r="L1572" s="574"/>
      <c r="M1572" s="327"/>
      <c r="N1572" s="594"/>
      <c r="O1572" s="327"/>
      <c r="P1572" s="574"/>
      <c r="Q1572" s="327"/>
      <c r="R1572" s="594"/>
      <c r="S1572" s="327"/>
      <c r="T1572" s="574"/>
      <c r="U1572" s="327"/>
      <c r="V1572" s="595" t="str">
        <f>'refer admin discharge'!H1573</f>
        <v>00/00/0000</v>
      </c>
      <c r="W1572" s="327"/>
      <c r="X1572" s="596"/>
      <c r="Y1572" s="327"/>
      <c r="Z1572" s="597"/>
      <c r="AA1572" s="327"/>
      <c r="AB1572" s="596"/>
      <c r="AC1572" s="327"/>
      <c r="AD1572" s="577"/>
      <c r="AE1572" s="327"/>
      <c r="AF1572" s="596"/>
      <c r="AG1572" s="327"/>
      <c r="AH1572" s="577"/>
      <c r="AI1572" s="327"/>
      <c r="AJ1572" s="596"/>
      <c r="AK1572" s="327"/>
      <c r="AL1572" s="598"/>
      <c r="AM1572" s="326"/>
      <c r="AN1572" s="326"/>
      <c r="AO1572" s="326"/>
      <c r="AP1572" s="326"/>
      <c r="AQ1572" s="326"/>
      <c r="AR1572" s="326"/>
      <c r="AS1572" s="326"/>
      <c r="AT1572" s="326"/>
      <c r="AU1572" s="326"/>
      <c r="AV1572" s="326"/>
      <c r="AW1572" s="326"/>
      <c r="AX1572" s="326"/>
      <c r="AY1572" s="326"/>
      <c r="AZ1572" s="326"/>
      <c r="BA1572" s="326"/>
      <c r="BB1572" s="327"/>
    </row>
    <row r="1573" spans="1:54" ht="15.75" customHeight="1" x14ac:dyDescent="0.25">
      <c r="A1573" s="11">
        <f t="shared" si="6"/>
        <v>1560</v>
      </c>
      <c r="B1573" s="504" t="str">
        <f>'refer admin discharge'!B1569</f>
        <v>x</v>
      </c>
      <c r="C1573" s="327"/>
      <c r="D1573" s="505" t="str">
        <f>'refer admin discharge'!D1569</f>
        <v>xx</v>
      </c>
      <c r="E1573" s="327"/>
      <c r="F1573" s="606" t="str">
        <f>'refer admin discharge'!H1569</f>
        <v>00/00/0000</v>
      </c>
      <c r="G1573" s="327"/>
      <c r="H1573" s="594"/>
      <c r="I1573" s="327"/>
      <c r="J1573" s="605"/>
      <c r="K1573" s="327"/>
      <c r="L1573" s="594"/>
      <c r="M1573" s="327"/>
      <c r="N1573" s="575"/>
      <c r="O1573" s="327"/>
      <c r="P1573" s="594"/>
      <c r="Q1573" s="327"/>
      <c r="R1573" s="575"/>
      <c r="S1573" s="327"/>
      <c r="T1573" s="594"/>
      <c r="U1573" s="327"/>
      <c r="V1573" s="595" t="str">
        <f>'refer admin discharge'!H1574</f>
        <v>00/00/0000</v>
      </c>
      <c r="W1573" s="327"/>
      <c r="X1573" s="577"/>
      <c r="Y1573" s="327"/>
      <c r="Z1573" s="604"/>
      <c r="AA1573" s="327"/>
      <c r="AB1573" s="577"/>
      <c r="AC1573" s="327"/>
      <c r="AD1573" s="576"/>
      <c r="AE1573" s="327"/>
      <c r="AF1573" s="577"/>
      <c r="AG1573" s="327"/>
      <c r="AH1573" s="576"/>
      <c r="AI1573" s="327"/>
      <c r="AJ1573" s="577"/>
      <c r="AK1573" s="327"/>
      <c r="AL1573" s="602"/>
      <c r="AM1573" s="326"/>
      <c r="AN1573" s="326"/>
      <c r="AO1573" s="326"/>
      <c r="AP1573" s="326"/>
      <c r="AQ1573" s="326"/>
      <c r="AR1573" s="326"/>
      <c r="AS1573" s="326"/>
      <c r="AT1573" s="326"/>
      <c r="AU1573" s="326"/>
      <c r="AV1573" s="326"/>
      <c r="AW1573" s="326"/>
      <c r="AX1573" s="326"/>
      <c r="AY1573" s="326"/>
      <c r="AZ1573" s="326"/>
      <c r="BA1573" s="326"/>
      <c r="BB1573" s="327"/>
    </row>
    <row r="1574" spans="1:54" ht="15.75" customHeight="1" x14ac:dyDescent="0.25">
      <c r="A1574" s="11">
        <f t="shared" si="6"/>
        <v>1561</v>
      </c>
      <c r="B1574" s="570" t="str">
        <f>'refer admin discharge'!B1570</f>
        <v>x</v>
      </c>
      <c r="C1574" s="327"/>
      <c r="D1574" s="599" t="str">
        <f>'refer admin discharge'!D1570</f>
        <v>xx</v>
      </c>
      <c r="E1574" s="327"/>
      <c r="F1574" s="600" t="str">
        <f>'refer admin discharge'!H1570</f>
        <v>00/00/0000</v>
      </c>
      <c r="G1574" s="327"/>
      <c r="H1574" s="574"/>
      <c r="I1574" s="327"/>
      <c r="J1574" s="601"/>
      <c r="K1574" s="327"/>
      <c r="L1574" s="574"/>
      <c r="M1574" s="327"/>
      <c r="N1574" s="594"/>
      <c r="O1574" s="327"/>
      <c r="P1574" s="574"/>
      <c r="Q1574" s="327"/>
      <c r="R1574" s="594"/>
      <c r="S1574" s="327"/>
      <c r="T1574" s="574"/>
      <c r="U1574" s="327"/>
      <c r="V1574" s="595" t="str">
        <f>'refer admin discharge'!H1575</f>
        <v>00/00/0000</v>
      </c>
      <c r="W1574" s="327"/>
      <c r="X1574" s="596"/>
      <c r="Y1574" s="327"/>
      <c r="Z1574" s="597"/>
      <c r="AA1574" s="327"/>
      <c r="AB1574" s="596"/>
      <c r="AC1574" s="327"/>
      <c r="AD1574" s="577"/>
      <c r="AE1574" s="327"/>
      <c r="AF1574" s="596"/>
      <c r="AG1574" s="327"/>
      <c r="AH1574" s="577"/>
      <c r="AI1574" s="327"/>
      <c r="AJ1574" s="596"/>
      <c r="AK1574" s="327"/>
      <c r="AL1574" s="598"/>
      <c r="AM1574" s="326"/>
      <c r="AN1574" s="326"/>
      <c r="AO1574" s="326"/>
      <c r="AP1574" s="326"/>
      <c r="AQ1574" s="326"/>
      <c r="AR1574" s="326"/>
      <c r="AS1574" s="326"/>
      <c r="AT1574" s="326"/>
      <c r="AU1574" s="326"/>
      <c r="AV1574" s="326"/>
      <c r="AW1574" s="326"/>
      <c r="AX1574" s="326"/>
      <c r="AY1574" s="326"/>
      <c r="AZ1574" s="326"/>
      <c r="BA1574" s="326"/>
      <c r="BB1574" s="327"/>
    </row>
    <row r="1575" spans="1:54" ht="15.75" customHeight="1" x14ac:dyDescent="0.25">
      <c r="A1575" s="11">
        <f t="shared" si="6"/>
        <v>1562</v>
      </c>
      <c r="B1575" s="504" t="str">
        <f>'refer admin discharge'!B1571</f>
        <v>x</v>
      </c>
      <c r="C1575" s="327"/>
      <c r="D1575" s="505" t="str">
        <f>'refer admin discharge'!D1571</f>
        <v>xx</v>
      </c>
      <c r="E1575" s="327"/>
      <c r="F1575" s="606" t="str">
        <f>'refer admin discharge'!H1571</f>
        <v>00/00/0000</v>
      </c>
      <c r="G1575" s="327"/>
      <c r="H1575" s="594"/>
      <c r="I1575" s="327"/>
      <c r="J1575" s="605"/>
      <c r="K1575" s="327"/>
      <c r="L1575" s="594"/>
      <c r="M1575" s="327"/>
      <c r="N1575" s="575"/>
      <c r="O1575" s="327"/>
      <c r="P1575" s="594"/>
      <c r="Q1575" s="327"/>
      <c r="R1575" s="575"/>
      <c r="S1575" s="327"/>
      <c r="T1575" s="594"/>
      <c r="U1575" s="327"/>
      <c r="V1575" s="595" t="str">
        <f>'refer admin discharge'!H1576</f>
        <v>00/00/0000</v>
      </c>
      <c r="W1575" s="327"/>
      <c r="X1575" s="577"/>
      <c r="Y1575" s="327"/>
      <c r="Z1575" s="604"/>
      <c r="AA1575" s="327"/>
      <c r="AB1575" s="577"/>
      <c r="AC1575" s="327"/>
      <c r="AD1575" s="576"/>
      <c r="AE1575" s="327"/>
      <c r="AF1575" s="577"/>
      <c r="AG1575" s="327"/>
      <c r="AH1575" s="576"/>
      <c r="AI1575" s="327"/>
      <c r="AJ1575" s="577"/>
      <c r="AK1575" s="327"/>
      <c r="AL1575" s="602"/>
      <c r="AM1575" s="326"/>
      <c r="AN1575" s="326"/>
      <c r="AO1575" s="326"/>
      <c r="AP1575" s="326"/>
      <c r="AQ1575" s="326"/>
      <c r="AR1575" s="326"/>
      <c r="AS1575" s="326"/>
      <c r="AT1575" s="326"/>
      <c r="AU1575" s="326"/>
      <c r="AV1575" s="326"/>
      <c r="AW1575" s="326"/>
      <c r="AX1575" s="326"/>
      <c r="AY1575" s="326"/>
      <c r="AZ1575" s="326"/>
      <c r="BA1575" s="326"/>
      <c r="BB1575" s="327"/>
    </row>
    <row r="1576" spans="1:54" ht="15.75" customHeight="1" x14ac:dyDescent="0.25">
      <c r="A1576" s="11">
        <f t="shared" si="6"/>
        <v>1563</v>
      </c>
      <c r="B1576" s="570" t="str">
        <f>'refer admin discharge'!B1572</f>
        <v>x</v>
      </c>
      <c r="C1576" s="327"/>
      <c r="D1576" s="599" t="str">
        <f>'refer admin discharge'!D1572</f>
        <v>xx</v>
      </c>
      <c r="E1576" s="327"/>
      <c r="F1576" s="600" t="str">
        <f>'refer admin discharge'!H1572</f>
        <v>00/00/0000</v>
      </c>
      <c r="G1576" s="327"/>
      <c r="H1576" s="574"/>
      <c r="I1576" s="327"/>
      <c r="J1576" s="601"/>
      <c r="K1576" s="327"/>
      <c r="L1576" s="574"/>
      <c r="M1576" s="327"/>
      <c r="N1576" s="594"/>
      <c r="O1576" s="327"/>
      <c r="P1576" s="574"/>
      <c r="Q1576" s="327"/>
      <c r="R1576" s="594"/>
      <c r="S1576" s="327"/>
      <c r="T1576" s="574"/>
      <c r="U1576" s="327"/>
      <c r="V1576" s="595" t="str">
        <f>'refer admin discharge'!H1577</f>
        <v>00/00/0000</v>
      </c>
      <c r="W1576" s="327"/>
      <c r="X1576" s="596"/>
      <c r="Y1576" s="327"/>
      <c r="Z1576" s="597"/>
      <c r="AA1576" s="327"/>
      <c r="AB1576" s="596"/>
      <c r="AC1576" s="327"/>
      <c r="AD1576" s="577"/>
      <c r="AE1576" s="327"/>
      <c r="AF1576" s="596"/>
      <c r="AG1576" s="327"/>
      <c r="AH1576" s="577"/>
      <c r="AI1576" s="327"/>
      <c r="AJ1576" s="596"/>
      <c r="AK1576" s="327"/>
      <c r="AL1576" s="598"/>
      <c r="AM1576" s="326"/>
      <c r="AN1576" s="326"/>
      <c r="AO1576" s="326"/>
      <c r="AP1576" s="326"/>
      <c r="AQ1576" s="326"/>
      <c r="AR1576" s="326"/>
      <c r="AS1576" s="326"/>
      <c r="AT1576" s="326"/>
      <c r="AU1576" s="326"/>
      <c r="AV1576" s="326"/>
      <c r="AW1576" s="326"/>
      <c r="AX1576" s="326"/>
      <c r="AY1576" s="326"/>
      <c r="AZ1576" s="326"/>
      <c r="BA1576" s="326"/>
      <c r="BB1576" s="327"/>
    </row>
    <row r="1577" spans="1:54" ht="15.75" customHeight="1" x14ac:dyDescent="0.25">
      <c r="A1577" s="11">
        <f t="shared" si="6"/>
        <v>1564</v>
      </c>
      <c r="B1577" s="504" t="str">
        <f>'refer admin discharge'!B1573</f>
        <v>x</v>
      </c>
      <c r="C1577" s="327"/>
      <c r="D1577" s="505" t="str">
        <f>'refer admin discharge'!D1573</f>
        <v>xx</v>
      </c>
      <c r="E1577" s="327"/>
      <c r="F1577" s="606" t="str">
        <f>'refer admin discharge'!H1573</f>
        <v>00/00/0000</v>
      </c>
      <c r="G1577" s="327"/>
      <c r="H1577" s="594"/>
      <c r="I1577" s="327"/>
      <c r="J1577" s="605"/>
      <c r="K1577" s="327"/>
      <c r="L1577" s="594"/>
      <c r="M1577" s="327"/>
      <c r="N1577" s="575"/>
      <c r="O1577" s="327"/>
      <c r="P1577" s="594"/>
      <c r="Q1577" s="327"/>
      <c r="R1577" s="575"/>
      <c r="S1577" s="327"/>
      <c r="T1577" s="594"/>
      <c r="U1577" s="327"/>
      <c r="V1577" s="595" t="str">
        <f>'refer admin discharge'!H1578</f>
        <v>00/00/0000</v>
      </c>
      <c r="W1577" s="327"/>
      <c r="X1577" s="577"/>
      <c r="Y1577" s="327"/>
      <c r="Z1577" s="604"/>
      <c r="AA1577" s="327"/>
      <c r="AB1577" s="577"/>
      <c r="AC1577" s="327"/>
      <c r="AD1577" s="576"/>
      <c r="AE1577" s="327"/>
      <c r="AF1577" s="577"/>
      <c r="AG1577" s="327"/>
      <c r="AH1577" s="576"/>
      <c r="AI1577" s="327"/>
      <c r="AJ1577" s="577"/>
      <c r="AK1577" s="327"/>
      <c r="AL1577" s="602"/>
      <c r="AM1577" s="326"/>
      <c r="AN1577" s="326"/>
      <c r="AO1577" s="326"/>
      <c r="AP1577" s="326"/>
      <c r="AQ1577" s="326"/>
      <c r="AR1577" s="326"/>
      <c r="AS1577" s="326"/>
      <c r="AT1577" s="326"/>
      <c r="AU1577" s="326"/>
      <c r="AV1577" s="326"/>
      <c r="AW1577" s="326"/>
      <c r="AX1577" s="326"/>
      <c r="AY1577" s="326"/>
      <c r="AZ1577" s="326"/>
      <c r="BA1577" s="326"/>
      <c r="BB1577" s="327"/>
    </row>
    <row r="1578" spans="1:54" ht="15.75" customHeight="1" x14ac:dyDescent="0.25">
      <c r="A1578" s="11">
        <f t="shared" si="6"/>
        <v>1565</v>
      </c>
      <c r="B1578" s="570" t="str">
        <f>'refer admin discharge'!B1574</f>
        <v>x</v>
      </c>
      <c r="C1578" s="327"/>
      <c r="D1578" s="599" t="str">
        <f>'refer admin discharge'!D1574</f>
        <v>xx</v>
      </c>
      <c r="E1578" s="327"/>
      <c r="F1578" s="600" t="str">
        <f>'refer admin discharge'!H1574</f>
        <v>00/00/0000</v>
      </c>
      <c r="G1578" s="327"/>
      <c r="H1578" s="574"/>
      <c r="I1578" s="327"/>
      <c r="J1578" s="601"/>
      <c r="K1578" s="327"/>
      <c r="L1578" s="574"/>
      <c r="M1578" s="327"/>
      <c r="N1578" s="594"/>
      <c r="O1578" s="327"/>
      <c r="P1578" s="574"/>
      <c r="Q1578" s="327"/>
      <c r="R1578" s="594"/>
      <c r="S1578" s="327"/>
      <c r="T1578" s="574"/>
      <c r="U1578" s="327"/>
      <c r="V1578" s="595" t="str">
        <f>'refer admin discharge'!H1579</f>
        <v>00/00/0000</v>
      </c>
      <c r="W1578" s="327"/>
      <c r="X1578" s="596"/>
      <c r="Y1578" s="327"/>
      <c r="Z1578" s="597"/>
      <c r="AA1578" s="327"/>
      <c r="AB1578" s="596"/>
      <c r="AC1578" s="327"/>
      <c r="AD1578" s="577"/>
      <c r="AE1578" s="327"/>
      <c r="AF1578" s="596"/>
      <c r="AG1578" s="327"/>
      <c r="AH1578" s="577"/>
      <c r="AI1578" s="327"/>
      <c r="AJ1578" s="596"/>
      <c r="AK1578" s="327"/>
      <c r="AL1578" s="598"/>
      <c r="AM1578" s="326"/>
      <c r="AN1578" s="326"/>
      <c r="AO1578" s="326"/>
      <c r="AP1578" s="326"/>
      <c r="AQ1578" s="326"/>
      <c r="AR1578" s="326"/>
      <c r="AS1578" s="326"/>
      <c r="AT1578" s="326"/>
      <c r="AU1578" s="326"/>
      <c r="AV1578" s="326"/>
      <c r="AW1578" s="326"/>
      <c r="AX1578" s="326"/>
      <c r="AY1578" s="326"/>
      <c r="AZ1578" s="326"/>
      <c r="BA1578" s="326"/>
      <c r="BB1578" s="327"/>
    </row>
    <row r="1579" spans="1:54" ht="15.75" customHeight="1" x14ac:dyDescent="0.25">
      <c r="A1579" s="11">
        <f t="shared" si="6"/>
        <v>1566</v>
      </c>
      <c r="B1579" s="504" t="str">
        <f>'refer admin discharge'!B1575</f>
        <v>x</v>
      </c>
      <c r="C1579" s="327"/>
      <c r="D1579" s="505" t="str">
        <f>'refer admin discharge'!D1575</f>
        <v>xx</v>
      </c>
      <c r="E1579" s="327"/>
      <c r="F1579" s="606" t="str">
        <f>'refer admin discharge'!H1575</f>
        <v>00/00/0000</v>
      </c>
      <c r="G1579" s="327"/>
      <c r="H1579" s="594"/>
      <c r="I1579" s="327"/>
      <c r="J1579" s="605"/>
      <c r="K1579" s="327"/>
      <c r="L1579" s="594"/>
      <c r="M1579" s="327"/>
      <c r="N1579" s="575"/>
      <c r="O1579" s="327"/>
      <c r="P1579" s="594"/>
      <c r="Q1579" s="327"/>
      <c r="R1579" s="575"/>
      <c r="S1579" s="327"/>
      <c r="T1579" s="594"/>
      <c r="U1579" s="327"/>
      <c r="V1579" s="595" t="str">
        <f>'refer admin discharge'!H1580</f>
        <v>00/00/0000</v>
      </c>
      <c r="W1579" s="327"/>
      <c r="X1579" s="577"/>
      <c r="Y1579" s="327"/>
      <c r="Z1579" s="604"/>
      <c r="AA1579" s="327"/>
      <c r="AB1579" s="577"/>
      <c r="AC1579" s="327"/>
      <c r="AD1579" s="576"/>
      <c r="AE1579" s="327"/>
      <c r="AF1579" s="577"/>
      <c r="AG1579" s="327"/>
      <c r="AH1579" s="576"/>
      <c r="AI1579" s="327"/>
      <c r="AJ1579" s="577"/>
      <c r="AK1579" s="327"/>
      <c r="AL1579" s="602"/>
      <c r="AM1579" s="326"/>
      <c r="AN1579" s="326"/>
      <c r="AO1579" s="326"/>
      <c r="AP1579" s="326"/>
      <c r="AQ1579" s="326"/>
      <c r="AR1579" s="326"/>
      <c r="AS1579" s="326"/>
      <c r="AT1579" s="326"/>
      <c r="AU1579" s="326"/>
      <c r="AV1579" s="326"/>
      <c r="AW1579" s="326"/>
      <c r="AX1579" s="326"/>
      <c r="AY1579" s="326"/>
      <c r="AZ1579" s="326"/>
      <c r="BA1579" s="326"/>
      <c r="BB1579" s="327"/>
    </row>
    <row r="1580" spans="1:54" ht="15.75" customHeight="1" x14ac:dyDescent="0.25">
      <c r="A1580" s="11">
        <f t="shared" si="6"/>
        <v>1567</v>
      </c>
      <c r="B1580" s="570" t="str">
        <f>'refer admin discharge'!B1576</f>
        <v>x</v>
      </c>
      <c r="C1580" s="327"/>
      <c r="D1580" s="599" t="str">
        <f>'refer admin discharge'!D1576</f>
        <v>xx</v>
      </c>
      <c r="E1580" s="327"/>
      <c r="F1580" s="600" t="str">
        <f>'refer admin discharge'!H1576</f>
        <v>00/00/0000</v>
      </c>
      <c r="G1580" s="327"/>
      <c r="H1580" s="574"/>
      <c r="I1580" s="327"/>
      <c r="J1580" s="601"/>
      <c r="K1580" s="327"/>
      <c r="L1580" s="574"/>
      <c r="M1580" s="327"/>
      <c r="N1580" s="594"/>
      <c r="O1580" s="327"/>
      <c r="P1580" s="574"/>
      <c r="Q1580" s="327"/>
      <c r="R1580" s="594"/>
      <c r="S1580" s="327"/>
      <c r="T1580" s="574"/>
      <c r="U1580" s="327"/>
      <c r="V1580" s="595" t="str">
        <f>'refer admin discharge'!H1581</f>
        <v>00/00/0000</v>
      </c>
      <c r="W1580" s="327"/>
      <c r="X1580" s="596"/>
      <c r="Y1580" s="327"/>
      <c r="Z1580" s="597"/>
      <c r="AA1580" s="327"/>
      <c r="AB1580" s="596"/>
      <c r="AC1580" s="327"/>
      <c r="AD1580" s="577"/>
      <c r="AE1580" s="327"/>
      <c r="AF1580" s="596"/>
      <c r="AG1580" s="327"/>
      <c r="AH1580" s="577"/>
      <c r="AI1580" s="327"/>
      <c r="AJ1580" s="596"/>
      <c r="AK1580" s="327"/>
      <c r="AL1580" s="598"/>
      <c r="AM1580" s="326"/>
      <c r="AN1580" s="326"/>
      <c r="AO1580" s="326"/>
      <c r="AP1580" s="326"/>
      <c r="AQ1580" s="326"/>
      <c r="AR1580" s="326"/>
      <c r="AS1580" s="326"/>
      <c r="AT1580" s="326"/>
      <c r="AU1580" s="326"/>
      <c r="AV1580" s="326"/>
      <c r="AW1580" s="326"/>
      <c r="AX1580" s="326"/>
      <c r="AY1580" s="326"/>
      <c r="AZ1580" s="326"/>
      <c r="BA1580" s="326"/>
      <c r="BB1580" s="327"/>
    </row>
    <row r="1581" spans="1:54" ht="15.75" customHeight="1" x14ac:dyDescent="0.25">
      <c r="A1581" s="11">
        <f t="shared" si="6"/>
        <v>1568</v>
      </c>
      <c r="B1581" s="504" t="str">
        <f>'refer admin discharge'!B1577</f>
        <v>x</v>
      </c>
      <c r="C1581" s="327"/>
      <c r="D1581" s="505" t="str">
        <f>'refer admin discharge'!D1577</f>
        <v>xx</v>
      </c>
      <c r="E1581" s="327"/>
      <c r="F1581" s="606" t="str">
        <f>'refer admin discharge'!H1577</f>
        <v>00/00/0000</v>
      </c>
      <c r="G1581" s="327"/>
      <c r="H1581" s="594"/>
      <c r="I1581" s="327"/>
      <c r="J1581" s="605"/>
      <c r="K1581" s="327"/>
      <c r="L1581" s="594"/>
      <c r="M1581" s="327"/>
      <c r="N1581" s="575"/>
      <c r="O1581" s="327"/>
      <c r="P1581" s="594"/>
      <c r="Q1581" s="327"/>
      <c r="R1581" s="575"/>
      <c r="S1581" s="327"/>
      <c r="T1581" s="594"/>
      <c r="U1581" s="327"/>
      <c r="V1581" s="595" t="str">
        <f>'refer admin discharge'!H1582</f>
        <v>00/00/0000</v>
      </c>
      <c r="W1581" s="327"/>
      <c r="X1581" s="577"/>
      <c r="Y1581" s="327"/>
      <c r="Z1581" s="604"/>
      <c r="AA1581" s="327"/>
      <c r="AB1581" s="577"/>
      <c r="AC1581" s="327"/>
      <c r="AD1581" s="576"/>
      <c r="AE1581" s="327"/>
      <c r="AF1581" s="577"/>
      <c r="AG1581" s="327"/>
      <c r="AH1581" s="576"/>
      <c r="AI1581" s="327"/>
      <c r="AJ1581" s="577"/>
      <c r="AK1581" s="327"/>
      <c r="AL1581" s="602"/>
      <c r="AM1581" s="326"/>
      <c r="AN1581" s="326"/>
      <c r="AO1581" s="326"/>
      <c r="AP1581" s="326"/>
      <c r="AQ1581" s="326"/>
      <c r="AR1581" s="326"/>
      <c r="AS1581" s="326"/>
      <c r="AT1581" s="326"/>
      <c r="AU1581" s="326"/>
      <c r="AV1581" s="326"/>
      <c r="AW1581" s="326"/>
      <c r="AX1581" s="326"/>
      <c r="AY1581" s="326"/>
      <c r="AZ1581" s="326"/>
      <c r="BA1581" s="326"/>
      <c r="BB1581" s="327"/>
    </row>
    <row r="1582" spans="1:54" ht="15.75" customHeight="1" x14ac:dyDescent="0.25">
      <c r="A1582" s="11">
        <f t="shared" si="6"/>
        <v>1569</v>
      </c>
      <c r="B1582" s="570" t="str">
        <f>'refer admin discharge'!B1578</f>
        <v>x</v>
      </c>
      <c r="C1582" s="327"/>
      <c r="D1582" s="599" t="str">
        <f>'refer admin discharge'!D1578</f>
        <v>xx</v>
      </c>
      <c r="E1582" s="327"/>
      <c r="F1582" s="600" t="str">
        <f>'refer admin discharge'!H1578</f>
        <v>00/00/0000</v>
      </c>
      <c r="G1582" s="327"/>
      <c r="H1582" s="574"/>
      <c r="I1582" s="327"/>
      <c r="J1582" s="601"/>
      <c r="K1582" s="327"/>
      <c r="L1582" s="574"/>
      <c r="M1582" s="327"/>
      <c r="N1582" s="594"/>
      <c r="O1582" s="327"/>
      <c r="P1582" s="574"/>
      <c r="Q1582" s="327"/>
      <c r="R1582" s="594"/>
      <c r="S1582" s="327"/>
      <c r="T1582" s="574"/>
      <c r="U1582" s="327"/>
      <c r="V1582" s="595" t="str">
        <f>'refer admin discharge'!H1583</f>
        <v>00/00/0000</v>
      </c>
      <c r="W1582" s="327"/>
      <c r="X1582" s="596"/>
      <c r="Y1582" s="327"/>
      <c r="Z1582" s="597"/>
      <c r="AA1582" s="327"/>
      <c r="AB1582" s="596"/>
      <c r="AC1582" s="327"/>
      <c r="AD1582" s="577"/>
      <c r="AE1582" s="327"/>
      <c r="AF1582" s="596"/>
      <c r="AG1582" s="327"/>
      <c r="AH1582" s="577"/>
      <c r="AI1582" s="327"/>
      <c r="AJ1582" s="596"/>
      <c r="AK1582" s="327"/>
      <c r="AL1582" s="598"/>
      <c r="AM1582" s="326"/>
      <c r="AN1582" s="326"/>
      <c r="AO1582" s="326"/>
      <c r="AP1582" s="326"/>
      <c r="AQ1582" s="326"/>
      <c r="AR1582" s="326"/>
      <c r="AS1582" s="326"/>
      <c r="AT1582" s="326"/>
      <c r="AU1582" s="326"/>
      <c r="AV1582" s="326"/>
      <c r="AW1582" s="326"/>
      <c r="AX1582" s="326"/>
      <c r="AY1582" s="326"/>
      <c r="AZ1582" s="326"/>
      <c r="BA1582" s="326"/>
      <c r="BB1582" s="327"/>
    </row>
    <row r="1583" spans="1:54" ht="15.75" customHeight="1" x14ac:dyDescent="0.25">
      <c r="A1583" s="11">
        <f t="shared" si="6"/>
        <v>1570</v>
      </c>
      <c r="B1583" s="504" t="str">
        <f>'refer admin discharge'!B1579</f>
        <v>x</v>
      </c>
      <c r="C1583" s="327"/>
      <c r="D1583" s="505" t="str">
        <f>'refer admin discharge'!D1579</f>
        <v>xx</v>
      </c>
      <c r="E1583" s="327"/>
      <c r="F1583" s="606" t="str">
        <f>'refer admin discharge'!H1579</f>
        <v>00/00/0000</v>
      </c>
      <c r="G1583" s="327"/>
      <c r="H1583" s="594"/>
      <c r="I1583" s="327"/>
      <c r="J1583" s="605"/>
      <c r="K1583" s="327"/>
      <c r="L1583" s="594"/>
      <c r="M1583" s="327"/>
      <c r="N1583" s="575"/>
      <c r="O1583" s="327"/>
      <c r="P1583" s="594"/>
      <c r="Q1583" s="327"/>
      <c r="R1583" s="575"/>
      <c r="S1583" s="327"/>
      <c r="T1583" s="594"/>
      <c r="U1583" s="327"/>
      <c r="V1583" s="595" t="str">
        <f>'refer admin discharge'!H1584</f>
        <v>00/00/0000</v>
      </c>
      <c r="W1583" s="327"/>
      <c r="X1583" s="577"/>
      <c r="Y1583" s="327"/>
      <c r="Z1583" s="604"/>
      <c r="AA1583" s="327"/>
      <c r="AB1583" s="577"/>
      <c r="AC1583" s="327"/>
      <c r="AD1583" s="576"/>
      <c r="AE1583" s="327"/>
      <c r="AF1583" s="577"/>
      <c r="AG1583" s="327"/>
      <c r="AH1583" s="576"/>
      <c r="AI1583" s="327"/>
      <c r="AJ1583" s="577"/>
      <c r="AK1583" s="327"/>
      <c r="AL1583" s="602"/>
      <c r="AM1583" s="326"/>
      <c r="AN1583" s="326"/>
      <c r="AO1583" s="326"/>
      <c r="AP1583" s="326"/>
      <c r="AQ1583" s="326"/>
      <c r="AR1583" s="326"/>
      <c r="AS1583" s="326"/>
      <c r="AT1583" s="326"/>
      <c r="AU1583" s="326"/>
      <c r="AV1583" s="326"/>
      <c r="AW1583" s="326"/>
      <c r="AX1583" s="326"/>
      <c r="AY1583" s="326"/>
      <c r="AZ1583" s="326"/>
      <c r="BA1583" s="326"/>
      <c r="BB1583" s="327"/>
    </row>
    <row r="1584" spans="1:54" ht="15.75" customHeight="1" x14ac:dyDescent="0.25">
      <c r="A1584" s="11">
        <f t="shared" si="6"/>
        <v>1571</v>
      </c>
      <c r="B1584" s="570" t="str">
        <f>'refer admin discharge'!B1580</f>
        <v>x</v>
      </c>
      <c r="C1584" s="327"/>
      <c r="D1584" s="599" t="str">
        <f>'refer admin discharge'!D1580</f>
        <v>xx</v>
      </c>
      <c r="E1584" s="327"/>
      <c r="F1584" s="600" t="str">
        <f>'refer admin discharge'!H1580</f>
        <v>00/00/0000</v>
      </c>
      <c r="G1584" s="327"/>
      <c r="H1584" s="574"/>
      <c r="I1584" s="327"/>
      <c r="J1584" s="601"/>
      <c r="K1584" s="327"/>
      <c r="L1584" s="574"/>
      <c r="M1584" s="327"/>
      <c r="N1584" s="594"/>
      <c r="O1584" s="327"/>
      <c r="P1584" s="574"/>
      <c r="Q1584" s="327"/>
      <c r="R1584" s="594"/>
      <c r="S1584" s="327"/>
      <c r="T1584" s="574"/>
      <c r="U1584" s="327"/>
      <c r="V1584" s="595" t="str">
        <f>'refer admin discharge'!H1585</f>
        <v>00/00/0000</v>
      </c>
      <c r="W1584" s="327"/>
      <c r="X1584" s="596"/>
      <c r="Y1584" s="327"/>
      <c r="Z1584" s="597"/>
      <c r="AA1584" s="327"/>
      <c r="AB1584" s="596"/>
      <c r="AC1584" s="327"/>
      <c r="AD1584" s="577"/>
      <c r="AE1584" s="327"/>
      <c r="AF1584" s="596"/>
      <c r="AG1584" s="327"/>
      <c r="AH1584" s="577"/>
      <c r="AI1584" s="327"/>
      <c r="AJ1584" s="596"/>
      <c r="AK1584" s="327"/>
      <c r="AL1584" s="598"/>
      <c r="AM1584" s="326"/>
      <c r="AN1584" s="326"/>
      <c r="AO1584" s="326"/>
      <c r="AP1584" s="326"/>
      <c r="AQ1584" s="326"/>
      <c r="AR1584" s="326"/>
      <c r="AS1584" s="326"/>
      <c r="AT1584" s="326"/>
      <c r="AU1584" s="326"/>
      <c r="AV1584" s="326"/>
      <c r="AW1584" s="326"/>
      <c r="AX1584" s="326"/>
      <c r="AY1584" s="326"/>
      <c r="AZ1584" s="326"/>
      <c r="BA1584" s="326"/>
      <c r="BB1584" s="327"/>
    </row>
    <row r="1585" spans="1:54" ht="15.75" customHeight="1" x14ac:dyDescent="0.25">
      <c r="A1585" s="11">
        <f t="shared" si="6"/>
        <v>1572</v>
      </c>
      <c r="B1585" s="504" t="str">
        <f>'refer admin discharge'!B1581</f>
        <v>x</v>
      </c>
      <c r="C1585" s="327"/>
      <c r="D1585" s="505" t="str">
        <f>'refer admin discharge'!D1581</f>
        <v>xx</v>
      </c>
      <c r="E1585" s="327"/>
      <c r="F1585" s="606" t="str">
        <f>'refer admin discharge'!H1581</f>
        <v>00/00/0000</v>
      </c>
      <c r="G1585" s="327"/>
      <c r="H1585" s="594"/>
      <c r="I1585" s="327"/>
      <c r="J1585" s="605"/>
      <c r="K1585" s="327"/>
      <c r="L1585" s="594"/>
      <c r="M1585" s="327"/>
      <c r="N1585" s="575"/>
      <c r="O1585" s="327"/>
      <c r="P1585" s="594"/>
      <c r="Q1585" s="327"/>
      <c r="R1585" s="575"/>
      <c r="S1585" s="327"/>
      <c r="T1585" s="594"/>
      <c r="U1585" s="327"/>
      <c r="V1585" s="595" t="str">
        <f>'refer admin discharge'!H1586</f>
        <v>00/00/0000</v>
      </c>
      <c r="W1585" s="327"/>
      <c r="X1585" s="577"/>
      <c r="Y1585" s="327"/>
      <c r="Z1585" s="604"/>
      <c r="AA1585" s="327"/>
      <c r="AB1585" s="577"/>
      <c r="AC1585" s="327"/>
      <c r="AD1585" s="576"/>
      <c r="AE1585" s="327"/>
      <c r="AF1585" s="577"/>
      <c r="AG1585" s="327"/>
      <c r="AH1585" s="576"/>
      <c r="AI1585" s="327"/>
      <c r="AJ1585" s="577"/>
      <c r="AK1585" s="327"/>
      <c r="AL1585" s="602"/>
      <c r="AM1585" s="326"/>
      <c r="AN1585" s="326"/>
      <c r="AO1585" s="326"/>
      <c r="AP1585" s="326"/>
      <c r="AQ1585" s="326"/>
      <c r="AR1585" s="326"/>
      <c r="AS1585" s="326"/>
      <c r="AT1585" s="326"/>
      <c r="AU1585" s="326"/>
      <c r="AV1585" s="326"/>
      <c r="AW1585" s="326"/>
      <c r="AX1585" s="326"/>
      <c r="AY1585" s="326"/>
      <c r="AZ1585" s="326"/>
      <c r="BA1585" s="326"/>
      <c r="BB1585" s="327"/>
    </row>
    <row r="1586" spans="1:54" ht="15.75" customHeight="1" x14ac:dyDescent="0.25">
      <c r="A1586" s="11">
        <f t="shared" si="6"/>
        <v>1573</v>
      </c>
      <c r="B1586" s="570" t="str">
        <f>'refer admin discharge'!B1582</f>
        <v>x</v>
      </c>
      <c r="C1586" s="327"/>
      <c r="D1586" s="599" t="str">
        <f>'refer admin discharge'!D1582</f>
        <v>xx</v>
      </c>
      <c r="E1586" s="327"/>
      <c r="F1586" s="600" t="str">
        <f>'refer admin discharge'!H1582</f>
        <v>00/00/0000</v>
      </c>
      <c r="G1586" s="327"/>
      <c r="H1586" s="574"/>
      <c r="I1586" s="327"/>
      <c r="J1586" s="601"/>
      <c r="K1586" s="327"/>
      <c r="L1586" s="574"/>
      <c r="M1586" s="327"/>
      <c r="N1586" s="594"/>
      <c r="O1586" s="327"/>
      <c r="P1586" s="574"/>
      <c r="Q1586" s="327"/>
      <c r="R1586" s="594"/>
      <c r="S1586" s="327"/>
      <c r="T1586" s="574"/>
      <c r="U1586" s="327"/>
      <c r="V1586" s="595" t="str">
        <f>'refer admin discharge'!H1587</f>
        <v>00/00/0000</v>
      </c>
      <c r="W1586" s="327"/>
      <c r="X1586" s="596"/>
      <c r="Y1586" s="327"/>
      <c r="Z1586" s="597"/>
      <c r="AA1586" s="327"/>
      <c r="AB1586" s="596"/>
      <c r="AC1586" s="327"/>
      <c r="AD1586" s="577"/>
      <c r="AE1586" s="327"/>
      <c r="AF1586" s="596"/>
      <c r="AG1586" s="327"/>
      <c r="AH1586" s="577"/>
      <c r="AI1586" s="327"/>
      <c r="AJ1586" s="596"/>
      <c r="AK1586" s="327"/>
      <c r="AL1586" s="598"/>
      <c r="AM1586" s="326"/>
      <c r="AN1586" s="326"/>
      <c r="AO1586" s="326"/>
      <c r="AP1586" s="326"/>
      <c r="AQ1586" s="326"/>
      <c r="AR1586" s="326"/>
      <c r="AS1586" s="326"/>
      <c r="AT1586" s="326"/>
      <c r="AU1586" s="326"/>
      <c r="AV1586" s="326"/>
      <c r="AW1586" s="326"/>
      <c r="AX1586" s="326"/>
      <c r="AY1586" s="326"/>
      <c r="AZ1586" s="326"/>
      <c r="BA1586" s="326"/>
      <c r="BB1586" s="327"/>
    </row>
    <row r="1587" spans="1:54" ht="15.75" customHeight="1" x14ac:dyDescent="0.25">
      <c r="A1587" s="11">
        <f t="shared" si="6"/>
        <v>1574</v>
      </c>
      <c r="B1587" s="504" t="str">
        <f>'refer admin discharge'!B1583</f>
        <v>x</v>
      </c>
      <c r="C1587" s="327"/>
      <c r="D1587" s="505" t="str">
        <f>'refer admin discharge'!D1583</f>
        <v>xx</v>
      </c>
      <c r="E1587" s="327"/>
      <c r="F1587" s="606" t="str">
        <f>'refer admin discharge'!H1583</f>
        <v>00/00/0000</v>
      </c>
      <c r="G1587" s="327"/>
      <c r="H1587" s="594"/>
      <c r="I1587" s="327"/>
      <c r="J1587" s="605"/>
      <c r="K1587" s="327"/>
      <c r="L1587" s="594"/>
      <c r="M1587" s="327"/>
      <c r="N1587" s="575"/>
      <c r="O1587" s="327"/>
      <c r="P1587" s="594"/>
      <c r="Q1587" s="327"/>
      <c r="R1587" s="575"/>
      <c r="S1587" s="327"/>
      <c r="T1587" s="594"/>
      <c r="U1587" s="327"/>
      <c r="V1587" s="595" t="str">
        <f>'refer admin discharge'!H1588</f>
        <v>00/00/0000</v>
      </c>
      <c r="W1587" s="327"/>
      <c r="X1587" s="577"/>
      <c r="Y1587" s="327"/>
      <c r="Z1587" s="604"/>
      <c r="AA1587" s="327"/>
      <c r="AB1587" s="577"/>
      <c r="AC1587" s="327"/>
      <c r="AD1587" s="576"/>
      <c r="AE1587" s="327"/>
      <c r="AF1587" s="577"/>
      <c r="AG1587" s="327"/>
      <c r="AH1587" s="576"/>
      <c r="AI1587" s="327"/>
      <c r="AJ1587" s="577"/>
      <c r="AK1587" s="327"/>
      <c r="AL1587" s="602"/>
      <c r="AM1587" s="326"/>
      <c r="AN1587" s="326"/>
      <c r="AO1587" s="326"/>
      <c r="AP1587" s="326"/>
      <c r="AQ1587" s="326"/>
      <c r="AR1587" s="326"/>
      <c r="AS1587" s="326"/>
      <c r="AT1587" s="326"/>
      <c r="AU1587" s="326"/>
      <c r="AV1587" s="326"/>
      <c r="AW1587" s="326"/>
      <c r="AX1587" s="326"/>
      <c r="AY1587" s="326"/>
      <c r="AZ1587" s="326"/>
      <c r="BA1587" s="326"/>
      <c r="BB1587" s="327"/>
    </row>
    <row r="1588" spans="1:54" ht="15.75" customHeight="1" x14ac:dyDescent="0.25">
      <c r="A1588" s="11">
        <f t="shared" si="6"/>
        <v>1575</v>
      </c>
      <c r="B1588" s="570" t="str">
        <f>'refer admin discharge'!B1584</f>
        <v>x</v>
      </c>
      <c r="C1588" s="327"/>
      <c r="D1588" s="599" t="str">
        <f>'refer admin discharge'!D1584</f>
        <v>xx</v>
      </c>
      <c r="E1588" s="327"/>
      <c r="F1588" s="600" t="str">
        <f>'refer admin discharge'!H1584</f>
        <v>00/00/0000</v>
      </c>
      <c r="G1588" s="327"/>
      <c r="H1588" s="574"/>
      <c r="I1588" s="327"/>
      <c r="J1588" s="601"/>
      <c r="K1588" s="327"/>
      <c r="L1588" s="574"/>
      <c r="M1588" s="327"/>
      <c r="N1588" s="594"/>
      <c r="O1588" s="327"/>
      <c r="P1588" s="574"/>
      <c r="Q1588" s="327"/>
      <c r="R1588" s="594"/>
      <c r="S1588" s="327"/>
      <c r="T1588" s="574"/>
      <c r="U1588" s="327"/>
      <c r="V1588" s="595" t="str">
        <f>'refer admin discharge'!H1589</f>
        <v>00/00/0000</v>
      </c>
      <c r="W1588" s="327"/>
      <c r="X1588" s="596"/>
      <c r="Y1588" s="327"/>
      <c r="Z1588" s="597"/>
      <c r="AA1588" s="327"/>
      <c r="AB1588" s="596"/>
      <c r="AC1588" s="327"/>
      <c r="AD1588" s="577"/>
      <c r="AE1588" s="327"/>
      <c r="AF1588" s="596"/>
      <c r="AG1588" s="327"/>
      <c r="AH1588" s="577"/>
      <c r="AI1588" s="327"/>
      <c r="AJ1588" s="596"/>
      <c r="AK1588" s="327"/>
      <c r="AL1588" s="598"/>
      <c r="AM1588" s="326"/>
      <c r="AN1588" s="326"/>
      <c r="AO1588" s="326"/>
      <c r="AP1588" s="326"/>
      <c r="AQ1588" s="326"/>
      <c r="AR1588" s="326"/>
      <c r="AS1588" s="326"/>
      <c r="AT1588" s="326"/>
      <c r="AU1588" s="326"/>
      <c r="AV1588" s="326"/>
      <c r="AW1588" s="326"/>
      <c r="AX1588" s="326"/>
      <c r="AY1588" s="326"/>
      <c r="AZ1588" s="326"/>
      <c r="BA1588" s="326"/>
      <c r="BB1588" s="327"/>
    </row>
    <row r="1589" spans="1:54" ht="15.75" customHeight="1" x14ac:dyDescent="0.25">
      <c r="A1589" s="11">
        <f t="shared" si="6"/>
        <v>1576</v>
      </c>
      <c r="B1589" s="504" t="str">
        <f>'refer admin discharge'!B1585</f>
        <v>x</v>
      </c>
      <c r="C1589" s="327"/>
      <c r="D1589" s="505" t="str">
        <f>'refer admin discharge'!D1585</f>
        <v>xx</v>
      </c>
      <c r="E1589" s="327"/>
      <c r="F1589" s="606" t="str">
        <f>'refer admin discharge'!H1585</f>
        <v>00/00/0000</v>
      </c>
      <c r="G1589" s="327"/>
      <c r="H1589" s="594"/>
      <c r="I1589" s="327"/>
      <c r="J1589" s="605"/>
      <c r="K1589" s="327"/>
      <c r="L1589" s="594"/>
      <c r="M1589" s="327"/>
      <c r="N1589" s="575"/>
      <c r="O1589" s="327"/>
      <c r="P1589" s="594"/>
      <c r="Q1589" s="327"/>
      <c r="R1589" s="575"/>
      <c r="S1589" s="327"/>
      <c r="T1589" s="594"/>
      <c r="U1589" s="327"/>
      <c r="V1589" s="595" t="str">
        <f>'refer admin discharge'!H1590</f>
        <v>00/00/0000</v>
      </c>
      <c r="W1589" s="327"/>
      <c r="X1589" s="577"/>
      <c r="Y1589" s="327"/>
      <c r="Z1589" s="604"/>
      <c r="AA1589" s="327"/>
      <c r="AB1589" s="577"/>
      <c r="AC1589" s="327"/>
      <c r="AD1589" s="576"/>
      <c r="AE1589" s="327"/>
      <c r="AF1589" s="577"/>
      <c r="AG1589" s="327"/>
      <c r="AH1589" s="576"/>
      <c r="AI1589" s="327"/>
      <c r="AJ1589" s="577"/>
      <c r="AK1589" s="327"/>
      <c r="AL1589" s="602"/>
      <c r="AM1589" s="326"/>
      <c r="AN1589" s="326"/>
      <c r="AO1589" s="326"/>
      <c r="AP1589" s="326"/>
      <c r="AQ1589" s="326"/>
      <c r="AR1589" s="326"/>
      <c r="AS1589" s="326"/>
      <c r="AT1589" s="326"/>
      <c r="AU1589" s="326"/>
      <c r="AV1589" s="326"/>
      <c r="AW1589" s="326"/>
      <c r="AX1589" s="326"/>
      <c r="AY1589" s="326"/>
      <c r="AZ1589" s="326"/>
      <c r="BA1589" s="326"/>
      <c r="BB1589" s="327"/>
    </row>
    <row r="1590" spans="1:54" ht="15.75" customHeight="1" x14ac:dyDescent="0.25">
      <c r="A1590" s="11">
        <f t="shared" si="6"/>
        <v>1577</v>
      </c>
      <c r="B1590" s="570" t="str">
        <f>'refer admin discharge'!B1586</f>
        <v>x</v>
      </c>
      <c r="C1590" s="327"/>
      <c r="D1590" s="599" t="str">
        <f>'refer admin discharge'!D1586</f>
        <v>xx</v>
      </c>
      <c r="E1590" s="327"/>
      <c r="F1590" s="600" t="str">
        <f>'refer admin discharge'!H1586</f>
        <v>00/00/0000</v>
      </c>
      <c r="G1590" s="327"/>
      <c r="H1590" s="574"/>
      <c r="I1590" s="327"/>
      <c r="J1590" s="601"/>
      <c r="K1590" s="327"/>
      <c r="L1590" s="574"/>
      <c r="M1590" s="327"/>
      <c r="N1590" s="594"/>
      <c r="O1590" s="327"/>
      <c r="P1590" s="574"/>
      <c r="Q1590" s="327"/>
      <c r="R1590" s="594"/>
      <c r="S1590" s="327"/>
      <c r="T1590" s="574"/>
      <c r="U1590" s="327"/>
      <c r="V1590" s="595" t="str">
        <f>'refer admin discharge'!H1591</f>
        <v>00/00/0000</v>
      </c>
      <c r="W1590" s="327"/>
      <c r="X1590" s="596"/>
      <c r="Y1590" s="327"/>
      <c r="Z1590" s="597"/>
      <c r="AA1590" s="327"/>
      <c r="AB1590" s="596"/>
      <c r="AC1590" s="327"/>
      <c r="AD1590" s="577"/>
      <c r="AE1590" s="327"/>
      <c r="AF1590" s="596"/>
      <c r="AG1590" s="327"/>
      <c r="AH1590" s="577"/>
      <c r="AI1590" s="327"/>
      <c r="AJ1590" s="596"/>
      <c r="AK1590" s="327"/>
      <c r="AL1590" s="598"/>
      <c r="AM1590" s="326"/>
      <c r="AN1590" s="326"/>
      <c r="AO1590" s="326"/>
      <c r="AP1590" s="326"/>
      <c r="AQ1590" s="326"/>
      <c r="AR1590" s="326"/>
      <c r="AS1590" s="326"/>
      <c r="AT1590" s="326"/>
      <c r="AU1590" s="326"/>
      <c r="AV1590" s="326"/>
      <c r="AW1590" s="326"/>
      <c r="AX1590" s="326"/>
      <c r="AY1590" s="326"/>
      <c r="AZ1590" s="326"/>
      <c r="BA1590" s="326"/>
      <c r="BB1590" s="327"/>
    </row>
    <row r="1591" spans="1:54" ht="15.75" customHeight="1" x14ac:dyDescent="0.25">
      <c r="A1591" s="11">
        <f t="shared" si="6"/>
        <v>1578</v>
      </c>
      <c r="B1591" s="504" t="str">
        <f>'refer admin discharge'!B1587</f>
        <v>x</v>
      </c>
      <c r="C1591" s="327"/>
      <c r="D1591" s="505" t="str">
        <f>'refer admin discharge'!D1587</f>
        <v>xx</v>
      </c>
      <c r="E1591" s="327"/>
      <c r="F1591" s="606" t="str">
        <f>'refer admin discharge'!H1587</f>
        <v>00/00/0000</v>
      </c>
      <c r="G1591" s="327"/>
      <c r="H1591" s="594"/>
      <c r="I1591" s="327"/>
      <c r="J1591" s="605"/>
      <c r="K1591" s="327"/>
      <c r="L1591" s="594"/>
      <c r="M1591" s="327"/>
      <c r="N1591" s="575"/>
      <c r="O1591" s="327"/>
      <c r="P1591" s="594"/>
      <c r="Q1591" s="327"/>
      <c r="R1591" s="575"/>
      <c r="S1591" s="327"/>
      <c r="T1591" s="594"/>
      <c r="U1591" s="327"/>
      <c r="V1591" s="595" t="str">
        <f>'refer admin discharge'!H1592</f>
        <v>00/00/0000</v>
      </c>
      <c r="W1591" s="327"/>
      <c r="X1591" s="577"/>
      <c r="Y1591" s="327"/>
      <c r="Z1591" s="604"/>
      <c r="AA1591" s="327"/>
      <c r="AB1591" s="577"/>
      <c r="AC1591" s="327"/>
      <c r="AD1591" s="576"/>
      <c r="AE1591" s="327"/>
      <c r="AF1591" s="577"/>
      <c r="AG1591" s="327"/>
      <c r="AH1591" s="576"/>
      <c r="AI1591" s="327"/>
      <c r="AJ1591" s="577"/>
      <c r="AK1591" s="327"/>
      <c r="AL1591" s="602"/>
      <c r="AM1591" s="326"/>
      <c r="AN1591" s="326"/>
      <c r="AO1591" s="326"/>
      <c r="AP1591" s="326"/>
      <c r="AQ1591" s="326"/>
      <c r="AR1591" s="326"/>
      <c r="AS1591" s="326"/>
      <c r="AT1591" s="326"/>
      <c r="AU1591" s="326"/>
      <c r="AV1591" s="326"/>
      <c r="AW1591" s="326"/>
      <c r="AX1591" s="326"/>
      <c r="AY1591" s="326"/>
      <c r="AZ1591" s="326"/>
      <c r="BA1591" s="326"/>
      <c r="BB1591" s="327"/>
    </row>
    <row r="1592" spans="1:54" ht="15.75" customHeight="1" x14ac:dyDescent="0.25">
      <c r="A1592" s="11">
        <f t="shared" si="6"/>
        <v>1579</v>
      </c>
      <c r="B1592" s="570" t="str">
        <f>'refer admin discharge'!B1588</f>
        <v>x</v>
      </c>
      <c r="C1592" s="327"/>
      <c r="D1592" s="599" t="str">
        <f>'refer admin discharge'!D1588</f>
        <v>xx</v>
      </c>
      <c r="E1592" s="327"/>
      <c r="F1592" s="600" t="str">
        <f>'refer admin discharge'!H1588</f>
        <v>00/00/0000</v>
      </c>
      <c r="G1592" s="327"/>
      <c r="H1592" s="574"/>
      <c r="I1592" s="327"/>
      <c r="J1592" s="601"/>
      <c r="K1592" s="327"/>
      <c r="L1592" s="574"/>
      <c r="M1592" s="327"/>
      <c r="N1592" s="594"/>
      <c r="O1592" s="327"/>
      <c r="P1592" s="574"/>
      <c r="Q1592" s="327"/>
      <c r="R1592" s="594"/>
      <c r="S1592" s="327"/>
      <c r="T1592" s="574"/>
      <c r="U1592" s="327"/>
      <c r="V1592" s="595" t="str">
        <f>'refer admin discharge'!H1593</f>
        <v>00/00/0000</v>
      </c>
      <c r="W1592" s="327"/>
      <c r="X1592" s="596"/>
      <c r="Y1592" s="327"/>
      <c r="Z1592" s="597"/>
      <c r="AA1592" s="327"/>
      <c r="AB1592" s="596"/>
      <c r="AC1592" s="327"/>
      <c r="AD1592" s="577"/>
      <c r="AE1592" s="327"/>
      <c r="AF1592" s="596"/>
      <c r="AG1592" s="327"/>
      <c r="AH1592" s="577"/>
      <c r="AI1592" s="327"/>
      <c r="AJ1592" s="596"/>
      <c r="AK1592" s="327"/>
      <c r="AL1592" s="598"/>
      <c r="AM1592" s="326"/>
      <c r="AN1592" s="326"/>
      <c r="AO1592" s="326"/>
      <c r="AP1592" s="326"/>
      <c r="AQ1592" s="326"/>
      <c r="AR1592" s="326"/>
      <c r="AS1592" s="326"/>
      <c r="AT1592" s="326"/>
      <c r="AU1592" s="326"/>
      <c r="AV1592" s="326"/>
      <c r="AW1592" s="326"/>
      <c r="AX1592" s="326"/>
      <c r="AY1592" s="326"/>
      <c r="AZ1592" s="326"/>
      <c r="BA1592" s="326"/>
      <c r="BB1592" s="327"/>
    </row>
    <row r="1593" spans="1:54" ht="15.75" customHeight="1" x14ac:dyDescent="0.25">
      <c r="A1593" s="11">
        <f t="shared" si="6"/>
        <v>1580</v>
      </c>
      <c r="B1593" s="504" t="str">
        <f>'refer admin discharge'!B1589</f>
        <v>x</v>
      </c>
      <c r="C1593" s="327"/>
      <c r="D1593" s="505" t="str">
        <f>'refer admin discharge'!D1589</f>
        <v>xx</v>
      </c>
      <c r="E1593" s="327"/>
      <c r="F1593" s="606" t="str">
        <f>'refer admin discharge'!H1589</f>
        <v>00/00/0000</v>
      </c>
      <c r="G1593" s="327"/>
      <c r="H1593" s="594"/>
      <c r="I1593" s="327"/>
      <c r="J1593" s="605"/>
      <c r="K1593" s="327"/>
      <c r="L1593" s="594"/>
      <c r="M1593" s="327"/>
      <c r="N1593" s="575"/>
      <c r="O1593" s="327"/>
      <c r="P1593" s="594"/>
      <c r="Q1593" s="327"/>
      <c r="R1593" s="575"/>
      <c r="S1593" s="327"/>
      <c r="T1593" s="594"/>
      <c r="U1593" s="327"/>
      <c r="V1593" s="595" t="str">
        <f>'refer admin discharge'!H1594</f>
        <v>00/00/0000</v>
      </c>
      <c r="W1593" s="327"/>
      <c r="X1593" s="577"/>
      <c r="Y1593" s="327"/>
      <c r="Z1593" s="604"/>
      <c r="AA1593" s="327"/>
      <c r="AB1593" s="577"/>
      <c r="AC1593" s="327"/>
      <c r="AD1593" s="576"/>
      <c r="AE1593" s="327"/>
      <c r="AF1593" s="577"/>
      <c r="AG1593" s="327"/>
      <c r="AH1593" s="576"/>
      <c r="AI1593" s="327"/>
      <c r="AJ1593" s="577"/>
      <c r="AK1593" s="327"/>
      <c r="AL1593" s="602"/>
      <c r="AM1593" s="326"/>
      <c r="AN1593" s="326"/>
      <c r="AO1593" s="326"/>
      <c r="AP1593" s="326"/>
      <c r="AQ1593" s="326"/>
      <c r="AR1593" s="326"/>
      <c r="AS1593" s="326"/>
      <c r="AT1593" s="326"/>
      <c r="AU1593" s="326"/>
      <c r="AV1593" s="326"/>
      <c r="AW1593" s="326"/>
      <c r="AX1593" s="326"/>
      <c r="AY1593" s="326"/>
      <c r="AZ1593" s="326"/>
      <c r="BA1593" s="326"/>
      <c r="BB1593" s="327"/>
    </row>
    <row r="1594" spans="1:54" ht="15.75" customHeight="1" x14ac:dyDescent="0.25">
      <c r="A1594" s="11">
        <f t="shared" si="6"/>
        <v>1581</v>
      </c>
      <c r="B1594" s="570" t="str">
        <f>'refer admin discharge'!B1590</f>
        <v>x</v>
      </c>
      <c r="C1594" s="327"/>
      <c r="D1594" s="599" t="str">
        <f>'refer admin discharge'!D1590</f>
        <v>xx</v>
      </c>
      <c r="E1594" s="327"/>
      <c r="F1594" s="600" t="str">
        <f>'refer admin discharge'!H1590</f>
        <v>00/00/0000</v>
      </c>
      <c r="G1594" s="327"/>
      <c r="H1594" s="574"/>
      <c r="I1594" s="327"/>
      <c r="J1594" s="601"/>
      <c r="K1594" s="327"/>
      <c r="L1594" s="574"/>
      <c r="M1594" s="327"/>
      <c r="N1594" s="594"/>
      <c r="O1594" s="327"/>
      <c r="P1594" s="574"/>
      <c r="Q1594" s="327"/>
      <c r="R1594" s="594"/>
      <c r="S1594" s="327"/>
      <c r="T1594" s="574"/>
      <c r="U1594" s="327"/>
      <c r="V1594" s="595" t="str">
        <f>'refer admin discharge'!H1595</f>
        <v>00/00/0000</v>
      </c>
      <c r="W1594" s="327"/>
      <c r="X1594" s="596"/>
      <c r="Y1594" s="327"/>
      <c r="Z1594" s="597"/>
      <c r="AA1594" s="327"/>
      <c r="AB1594" s="596"/>
      <c r="AC1594" s="327"/>
      <c r="AD1594" s="577"/>
      <c r="AE1594" s="327"/>
      <c r="AF1594" s="596"/>
      <c r="AG1594" s="327"/>
      <c r="AH1594" s="577"/>
      <c r="AI1594" s="327"/>
      <c r="AJ1594" s="596"/>
      <c r="AK1594" s="327"/>
      <c r="AL1594" s="598"/>
      <c r="AM1594" s="326"/>
      <c r="AN1594" s="326"/>
      <c r="AO1594" s="326"/>
      <c r="AP1594" s="326"/>
      <c r="AQ1594" s="326"/>
      <c r="AR1594" s="326"/>
      <c r="AS1594" s="326"/>
      <c r="AT1594" s="326"/>
      <c r="AU1594" s="326"/>
      <c r="AV1594" s="326"/>
      <c r="AW1594" s="326"/>
      <c r="AX1594" s="326"/>
      <c r="AY1594" s="326"/>
      <c r="AZ1594" s="326"/>
      <c r="BA1594" s="326"/>
      <c r="BB1594" s="327"/>
    </row>
    <row r="1595" spans="1:54" ht="15.75" customHeight="1" x14ac:dyDescent="0.25">
      <c r="A1595" s="11">
        <f t="shared" si="6"/>
        <v>1582</v>
      </c>
      <c r="B1595" s="504" t="str">
        <f>'refer admin discharge'!B1591</f>
        <v>x</v>
      </c>
      <c r="C1595" s="327"/>
      <c r="D1595" s="505" t="str">
        <f>'refer admin discharge'!D1591</f>
        <v>xx</v>
      </c>
      <c r="E1595" s="327"/>
      <c r="F1595" s="606" t="str">
        <f>'refer admin discharge'!H1591</f>
        <v>00/00/0000</v>
      </c>
      <c r="G1595" s="327"/>
      <c r="H1595" s="594"/>
      <c r="I1595" s="327"/>
      <c r="J1595" s="605"/>
      <c r="K1595" s="327"/>
      <c r="L1595" s="594"/>
      <c r="M1595" s="327"/>
      <c r="N1595" s="575"/>
      <c r="O1595" s="327"/>
      <c r="P1595" s="594"/>
      <c r="Q1595" s="327"/>
      <c r="R1595" s="575"/>
      <c r="S1595" s="327"/>
      <c r="T1595" s="594"/>
      <c r="U1595" s="327"/>
      <c r="V1595" s="595" t="str">
        <f>'refer admin discharge'!H1596</f>
        <v>00/00/0000</v>
      </c>
      <c r="W1595" s="327"/>
      <c r="X1595" s="577"/>
      <c r="Y1595" s="327"/>
      <c r="Z1595" s="604"/>
      <c r="AA1595" s="327"/>
      <c r="AB1595" s="577"/>
      <c r="AC1595" s="327"/>
      <c r="AD1595" s="576"/>
      <c r="AE1595" s="327"/>
      <c r="AF1595" s="577"/>
      <c r="AG1595" s="327"/>
      <c r="AH1595" s="576"/>
      <c r="AI1595" s="327"/>
      <c r="AJ1595" s="577"/>
      <c r="AK1595" s="327"/>
      <c r="AL1595" s="602"/>
      <c r="AM1595" s="326"/>
      <c r="AN1595" s="326"/>
      <c r="AO1595" s="326"/>
      <c r="AP1595" s="326"/>
      <c r="AQ1595" s="326"/>
      <c r="AR1595" s="326"/>
      <c r="AS1595" s="326"/>
      <c r="AT1595" s="326"/>
      <c r="AU1595" s="326"/>
      <c r="AV1595" s="326"/>
      <c r="AW1595" s="326"/>
      <c r="AX1595" s="326"/>
      <c r="AY1595" s="326"/>
      <c r="AZ1595" s="326"/>
      <c r="BA1595" s="326"/>
      <c r="BB1595" s="327"/>
    </row>
    <row r="1596" spans="1:54" ht="15.75" customHeight="1" x14ac:dyDescent="0.25">
      <c r="A1596" s="11">
        <f t="shared" si="6"/>
        <v>1583</v>
      </c>
      <c r="B1596" s="570" t="str">
        <f>'refer admin discharge'!B1592</f>
        <v>x</v>
      </c>
      <c r="C1596" s="327"/>
      <c r="D1596" s="599" t="str">
        <f>'refer admin discharge'!D1592</f>
        <v>xx</v>
      </c>
      <c r="E1596" s="327"/>
      <c r="F1596" s="600" t="str">
        <f>'refer admin discharge'!H1592</f>
        <v>00/00/0000</v>
      </c>
      <c r="G1596" s="327"/>
      <c r="H1596" s="574"/>
      <c r="I1596" s="327"/>
      <c r="J1596" s="601"/>
      <c r="K1596" s="327"/>
      <c r="L1596" s="574"/>
      <c r="M1596" s="327"/>
      <c r="N1596" s="594"/>
      <c r="O1596" s="327"/>
      <c r="P1596" s="574"/>
      <c r="Q1596" s="327"/>
      <c r="R1596" s="594"/>
      <c r="S1596" s="327"/>
      <c r="T1596" s="574"/>
      <c r="U1596" s="327"/>
      <c r="V1596" s="595" t="str">
        <f>'refer admin discharge'!H1597</f>
        <v>00/00/0000</v>
      </c>
      <c r="W1596" s="327"/>
      <c r="X1596" s="596"/>
      <c r="Y1596" s="327"/>
      <c r="Z1596" s="597"/>
      <c r="AA1596" s="327"/>
      <c r="AB1596" s="596"/>
      <c r="AC1596" s="327"/>
      <c r="AD1596" s="577"/>
      <c r="AE1596" s="327"/>
      <c r="AF1596" s="596"/>
      <c r="AG1596" s="327"/>
      <c r="AH1596" s="577"/>
      <c r="AI1596" s="327"/>
      <c r="AJ1596" s="596"/>
      <c r="AK1596" s="327"/>
      <c r="AL1596" s="598"/>
      <c r="AM1596" s="326"/>
      <c r="AN1596" s="326"/>
      <c r="AO1596" s="326"/>
      <c r="AP1596" s="326"/>
      <c r="AQ1596" s="326"/>
      <c r="AR1596" s="326"/>
      <c r="AS1596" s="326"/>
      <c r="AT1596" s="326"/>
      <c r="AU1596" s="326"/>
      <c r="AV1596" s="326"/>
      <c r="AW1596" s="326"/>
      <c r="AX1596" s="326"/>
      <c r="AY1596" s="326"/>
      <c r="AZ1596" s="326"/>
      <c r="BA1596" s="326"/>
      <c r="BB1596" s="327"/>
    </row>
    <row r="1597" spans="1:54" ht="15.75" customHeight="1" x14ac:dyDescent="0.25">
      <c r="A1597" s="11">
        <f t="shared" si="6"/>
        <v>1584</v>
      </c>
      <c r="B1597" s="504" t="str">
        <f>'refer admin discharge'!B1593</f>
        <v>x</v>
      </c>
      <c r="C1597" s="327"/>
      <c r="D1597" s="505" t="str">
        <f>'refer admin discharge'!D1593</f>
        <v>xx</v>
      </c>
      <c r="E1597" s="327"/>
      <c r="F1597" s="606" t="str">
        <f>'refer admin discharge'!H1593</f>
        <v>00/00/0000</v>
      </c>
      <c r="G1597" s="327"/>
      <c r="H1597" s="594"/>
      <c r="I1597" s="327"/>
      <c r="J1597" s="605"/>
      <c r="K1597" s="327"/>
      <c r="L1597" s="594"/>
      <c r="M1597" s="327"/>
      <c r="N1597" s="575"/>
      <c r="O1597" s="327"/>
      <c r="P1597" s="594"/>
      <c r="Q1597" s="327"/>
      <c r="R1597" s="575"/>
      <c r="S1597" s="327"/>
      <c r="T1597" s="594"/>
      <c r="U1597" s="327"/>
      <c r="V1597" s="595" t="str">
        <f>'refer admin discharge'!H1598</f>
        <v>00/00/0000</v>
      </c>
      <c r="W1597" s="327"/>
      <c r="X1597" s="577"/>
      <c r="Y1597" s="327"/>
      <c r="Z1597" s="604"/>
      <c r="AA1597" s="327"/>
      <c r="AB1597" s="577"/>
      <c r="AC1597" s="327"/>
      <c r="AD1597" s="576"/>
      <c r="AE1597" s="327"/>
      <c r="AF1597" s="577"/>
      <c r="AG1597" s="327"/>
      <c r="AH1597" s="576"/>
      <c r="AI1597" s="327"/>
      <c r="AJ1597" s="577"/>
      <c r="AK1597" s="327"/>
      <c r="AL1597" s="602"/>
      <c r="AM1597" s="326"/>
      <c r="AN1597" s="326"/>
      <c r="AO1597" s="326"/>
      <c r="AP1597" s="326"/>
      <c r="AQ1597" s="326"/>
      <c r="AR1597" s="326"/>
      <c r="AS1597" s="326"/>
      <c r="AT1597" s="326"/>
      <c r="AU1597" s="326"/>
      <c r="AV1597" s="326"/>
      <c r="AW1597" s="326"/>
      <c r="AX1597" s="326"/>
      <c r="AY1597" s="326"/>
      <c r="AZ1597" s="326"/>
      <c r="BA1597" s="326"/>
      <c r="BB1597" s="327"/>
    </row>
    <row r="1598" spans="1:54" ht="15.75" customHeight="1" x14ac:dyDescent="0.25">
      <c r="A1598" s="11">
        <f t="shared" si="6"/>
        <v>1585</v>
      </c>
      <c r="B1598" s="570" t="str">
        <f>'refer admin discharge'!B1594</f>
        <v>x</v>
      </c>
      <c r="C1598" s="327"/>
      <c r="D1598" s="599" t="str">
        <f>'refer admin discharge'!D1594</f>
        <v>xx</v>
      </c>
      <c r="E1598" s="327"/>
      <c r="F1598" s="600" t="str">
        <f>'refer admin discharge'!H1594</f>
        <v>00/00/0000</v>
      </c>
      <c r="G1598" s="327"/>
      <c r="H1598" s="574"/>
      <c r="I1598" s="327"/>
      <c r="J1598" s="601"/>
      <c r="K1598" s="327"/>
      <c r="L1598" s="574"/>
      <c r="M1598" s="327"/>
      <c r="N1598" s="594"/>
      <c r="O1598" s="327"/>
      <c r="P1598" s="574"/>
      <c r="Q1598" s="327"/>
      <c r="R1598" s="594"/>
      <c r="S1598" s="327"/>
      <c r="T1598" s="574"/>
      <c r="U1598" s="327"/>
      <c r="V1598" s="595" t="str">
        <f>'refer admin discharge'!H1599</f>
        <v>00/00/0000</v>
      </c>
      <c r="W1598" s="327"/>
      <c r="X1598" s="596"/>
      <c r="Y1598" s="327"/>
      <c r="Z1598" s="597"/>
      <c r="AA1598" s="327"/>
      <c r="AB1598" s="596"/>
      <c r="AC1598" s="327"/>
      <c r="AD1598" s="577"/>
      <c r="AE1598" s="327"/>
      <c r="AF1598" s="596"/>
      <c r="AG1598" s="327"/>
      <c r="AH1598" s="577"/>
      <c r="AI1598" s="327"/>
      <c r="AJ1598" s="596"/>
      <c r="AK1598" s="327"/>
      <c r="AL1598" s="598"/>
      <c r="AM1598" s="326"/>
      <c r="AN1598" s="326"/>
      <c r="AO1598" s="326"/>
      <c r="AP1598" s="326"/>
      <c r="AQ1598" s="326"/>
      <c r="AR1598" s="326"/>
      <c r="AS1598" s="326"/>
      <c r="AT1598" s="326"/>
      <c r="AU1598" s="326"/>
      <c r="AV1598" s="326"/>
      <c r="AW1598" s="326"/>
      <c r="AX1598" s="326"/>
      <c r="AY1598" s="326"/>
      <c r="AZ1598" s="326"/>
      <c r="BA1598" s="326"/>
      <c r="BB1598" s="327"/>
    </row>
    <row r="1599" spans="1:54" ht="15.75" customHeight="1" x14ac:dyDescent="0.25">
      <c r="A1599" s="11">
        <f t="shared" si="6"/>
        <v>1586</v>
      </c>
      <c r="B1599" s="504" t="str">
        <f>'refer admin discharge'!B1595</f>
        <v>x</v>
      </c>
      <c r="C1599" s="327"/>
      <c r="D1599" s="505" t="str">
        <f>'refer admin discharge'!D1595</f>
        <v>xx</v>
      </c>
      <c r="E1599" s="327"/>
      <c r="F1599" s="606" t="str">
        <f>'refer admin discharge'!H1595</f>
        <v>00/00/0000</v>
      </c>
      <c r="G1599" s="327"/>
      <c r="H1599" s="594"/>
      <c r="I1599" s="327"/>
      <c r="J1599" s="605"/>
      <c r="K1599" s="327"/>
      <c r="L1599" s="594"/>
      <c r="M1599" s="327"/>
      <c r="N1599" s="575"/>
      <c r="O1599" s="327"/>
      <c r="P1599" s="594"/>
      <c r="Q1599" s="327"/>
      <c r="R1599" s="575"/>
      <c r="S1599" s="327"/>
      <c r="T1599" s="594"/>
      <c r="U1599" s="327"/>
      <c r="V1599" s="595" t="str">
        <f>'refer admin discharge'!H1600</f>
        <v>00/00/0000</v>
      </c>
      <c r="W1599" s="327"/>
      <c r="X1599" s="577"/>
      <c r="Y1599" s="327"/>
      <c r="Z1599" s="604"/>
      <c r="AA1599" s="327"/>
      <c r="AB1599" s="577"/>
      <c r="AC1599" s="327"/>
      <c r="AD1599" s="576"/>
      <c r="AE1599" s="327"/>
      <c r="AF1599" s="577"/>
      <c r="AG1599" s="327"/>
      <c r="AH1599" s="576"/>
      <c r="AI1599" s="327"/>
      <c r="AJ1599" s="577"/>
      <c r="AK1599" s="327"/>
      <c r="AL1599" s="602"/>
      <c r="AM1599" s="326"/>
      <c r="AN1599" s="326"/>
      <c r="AO1599" s="326"/>
      <c r="AP1599" s="326"/>
      <c r="AQ1599" s="326"/>
      <c r="AR1599" s="326"/>
      <c r="AS1599" s="326"/>
      <c r="AT1599" s="326"/>
      <c r="AU1599" s="326"/>
      <c r="AV1599" s="326"/>
      <c r="AW1599" s="326"/>
      <c r="AX1599" s="326"/>
      <c r="AY1599" s="326"/>
      <c r="AZ1599" s="326"/>
      <c r="BA1599" s="326"/>
      <c r="BB1599" s="327"/>
    </row>
    <row r="1600" spans="1:54" ht="15.75" customHeight="1" x14ac:dyDescent="0.25">
      <c r="A1600" s="11">
        <f t="shared" si="6"/>
        <v>1587</v>
      </c>
      <c r="B1600" s="570" t="str">
        <f>'refer admin discharge'!B1596</f>
        <v>x</v>
      </c>
      <c r="C1600" s="327"/>
      <c r="D1600" s="599" t="str">
        <f>'refer admin discharge'!D1596</f>
        <v>xx</v>
      </c>
      <c r="E1600" s="327"/>
      <c r="F1600" s="600" t="str">
        <f>'refer admin discharge'!H1596</f>
        <v>00/00/0000</v>
      </c>
      <c r="G1600" s="327"/>
      <c r="H1600" s="574"/>
      <c r="I1600" s="327"/>
      <c r="J1600" s="601"/>
      <c r="K1600" s="327"/>
      <c r="L1600" s="574"/>
      <c r="M1600" s="327"/>
      <c r="N1600" s="594"/>
      <c r="O1600" s="327"/>
      <c r="P1600" s="574"/>
      <c r="Q1600" s="327"/>
      <c r="R1600" s="594"/>
      <c r="S1600" s="327"/>
      <c r="T1600" s="574"/>
      <c r="U1600" s="327"/>
      <c r="V1600" s="595" t="str">
        <f>'refer admin discharge'!H1601</f>
        <v>00/00/0000</v>
      </c>
      <c r="W1600" s="327"/>
      <c r="X1600" s="596"/>
      <c r="Y1600" s="327"/>
      <c r="Z1600" s="597"/>
      <c r="AA1600" s="327"/>
      <c r="AB1600" s="596"/>
      <c r="AC1600" s="327"/>
      <c r="AD1600" s="577"/>
      <c r="AE1600" s="327"/>
      <c r="AF1600" s="596"/>
      <c r="AG1600" s="327"/>
      <c r="AH1600" s="577"/>
      <c r="AI1600" s="327"/>
      <c r="AJ1600" s="596"/>
      <c r="AK1600" s="327"/>
      <c r="AL1600" s="598"/>
      <c r="AM1600" s="326"/>
      <c r="AN1600" s="326"/>
      <c r="AO1600" s="326"/>
      <c r="AP1600" s="326"/>
      <c r="AQ1600" s="326"/>
      <c r="AR1600" s="326"/>
      <c r="AS1600" s="326"/>
      <c r="AT1600" s="326"/>
      <c r="AU1600" s="326"/>
      <c r="AV1600" s="326"/>
      <c r="AW1600" s="326"/>
      <c r="AX1600" s="326"/>
      <c r="AY1600" s="326"/>
      <c r="AZ1600" s="326"/>
      <c r="BA1600" s="326"/>
      <c r="BB1600" s="327"/>
    </row>
    <row r="1601" spans="1:54" ht="15.75" customHeight="1" x14ac:dyDescent="0.25">
      <c r="A1601" s="11">
        <f t="shared" si="6"/>
        <v>1588</v>
      </c>
      <c r="B1601" s="504" t="str">
        <f>'refer admin discharge'!B1597</f>
        <v>x</v>
      </c>
      <c r="C1601" s="327"/>
      <c r="D1601" s="505" t="str">
        <f>'refer admin discharge'!D1597</f>
        <v>xx</v>
      </c>
      <c r="E1601" s="327"/>
      <c r="F1601" s="606" t="str">
        <f>'refer admin discharge'!H1597</f>
        <v>00/00/0000</v>
      </c>
      <c r="G1601" s="327"/>
      <c r="H1601" s="594"/>
      <c r="I1601" s="327"/>
      <c r="J1601" s="605"/>
      <c r="K1601" s="327"/>
      <c r="L1601" s="594"/>
      <c r="M1601" s="327"/>
      <c r="N1601" s="575"/>
      <c r="O1601" s="327"/>
      <c r="P1601" s="594"/>
      <c r="Q1601" s="327"/>
      <c r="R1601" s="575"/>
      <c r="S1601" s="327"/>
      <c r="T1601" s="594"/>
      <c r="U1601" s="327"/>
      <c r="V1601" s="595" t="str">
        <f>'refer admin discharge'!H1602</f>
        <v>00/00/0000</v>
      </c>
      <c r="W1601" s="327"/>
      <c r="X1601" s="577"/>
      <c r="Y1601" s="327"/>
      <c r="Z1601" s="604"/>
      <c r="AA1601" s="327"/>
      <c r="AB1601" s="577"/>
      <c r="AC1601" s="327"/>
      <c r="AD1601" s="576"/>
      <c r="AE1601" s="327"/>
      <c r="AF1601" s="577"/>
      <c r="AG1601" s="327"/>
      <c r="AH1601" s="576"/>
      <c r="AI1601" s="327"/>
      <c r="AJ1601" s="577"/>
      <c r="AK1601" s="327"/>
      <c r="AL1601" s="602"/>
      <c r="AM1601" s="326"/>
      <c r="AN1601" s="326"/>
      <c r="AO1601" s="326"/>
      <c r="AP1601" s="326"/>
      <c r="AQ1601" s="326"/>
      <c r="AR1601" s="326"/>
      <c r="AS1601" s="326"/>
      <c r="AT1601" s="326"/>
      <c r="AU1601" s="326"/>
      <c r="AV1601" s="326"/>
      <c r="AW1601" s="326"/>
      <c r="AX1601" s="326"/>
      <c r="AY1601" s="326"/>
      <c r="AZ1601" s="326"/>
      <c r="BA1601" s="326"/>
      <c r="BB1601" s="327"/>
    </row>
    <row r="1602" spans="1:54" ht="15.75" customHeight="1" x14ac:dyDescent="0.25">
      <c r="A1602" s="11">
        <f t="shared" si="6"/>
        <v>1589</v>
      </c>
      <c r="B1602" s="570" t="str">
        <f>'refer admin discharge'!B1598</f>
        <v>x</v>
      </c>
      <c r="C1602" s="327"/>
      <c r="D1602" s="599" t="str">
        <f>'refer admin discharge'!D1598</f>
        <v>xx</v>
      </c>
      <c r="E1602" s="327"/>
      <c r="F1602" s="600" t="str">
        <f>'refer admin discharge'!H1598</f>
        <v>00/00/0000</v>
      </c>
      <c r="G1602" s="327"/>
      <c r="H1602" s="574"/>
      <c r="I1602" s="327"/>
      <c r="J1602" s="601"/>
      <c r="K1602" s="327"/>
      <c r="L1602" s="574"/>
      <c r="M1602" s="327"/>
      <c r="N1602" s="594"/>
      <c r="O1602" s="327"/>
      <c r="P1602" s="574"/>
      <c r="Q1602" s="327"/>
      <c r="R1602" s="594"/>
      <c r="S1602" s="327"/>
      <c r="T1602" s="574"/>
      <c r="U1602" s="327"/>
      <c r="V1602" s="595" t="str">
        <f>'refer admin discharge'!H1603</f>
        <v>00/00/0000</v>
      </c>
      <c r="W1602" s="327"/>
      <c r="X1602" s="596"/>
      <c r="Y1602" s="327"/>
      <c r="Z1602" s="597"/>
      <c r="AA1602" s="327"/>
      <c r="AB1602" s="596"/>
      <c r="AC1602" s="327"/>
      <c r="AD1602" s="577"/>
      <c r="AE1602" s="327"/>
      <c r="AF1602" s="596"/>
      <c r="AG1602" s="327"/>
      <c r="AH1602" s="577"/>
      <c r="AI1602" s="327"/>
      <c r="AJ1602" s="596"/>
      <c r="AK1602" s="327"/>
      <c r="AL1602" s="598"/>
      <c r="AM1602" s="326"/>
      <c r="AN1602" s="326"/>
      <c r="AO1602" s="326"/>
      <c r="AP1602" s="326"/>
      <c r="AQ1602" s="326"/>
      <c r="AR1602" s="326"/>
      <c r="AS1602" s="326"/>
      <c r="AT1602" s="326"/>
      <c r="AU1602" s="326"/>
      <c r="AV1602" s="326"/>
      <c r="AW1602" s="326"/>
      <c r="AX1602" s="326"/>
      <c r="AY1602" s="326"/>
      <c r="AZ1602" s="326"/>
      <c r="BA1602" s="326"/>
      <c r="BB1602" s="327"/>
    </row>
    <row r="1603" spans="1:54" ht="15.75" customHeight="1" x14ac:dyDescent="0.25">
      <c r="A1603" s="11">
        <f t="shared" si="6"/>
        <v>1590</v>
      </c>
      <c r="B1603" s="504" t="str">
        <f>'refer admin discharge'!B1599</f>
        <v>x</v>
      </c>
      <c r="C1603" s="327"/>
      <c r="D1603" s="505" t="str">
        <f>'refer admin discharge'!D1599</f>
        <v>xx</v>
      </c>
      <c r="E1603" s="327"/>
      <c r="F1603" s="606" t="str">
        <f>'refer admin discharge'!H1599</f>
        <v>00/00/0000</v>
      </c>
      <c r="G1603" s="327"/>
      <c r="H1603" s="594"/>
      <c r="I1603" s="327"/>
      <c r="J1603" s="605"/>
      <c r="K1603" s="327"/>
      <c r="L1603" s="594"/>
      <c r="M1603" s="327"/>
      <c r="N1603" s="575"/>
      <c r="O1603" s="327"/>
      <c r="P1603" s="594"/>
      <c r="Q1603" s="327"/>
      <c r="R1603" s="575"/>
      <c r="S1603" s="327"/>
      <c r="T1603" s="594"/>
      <c r="U1603" s="327"/>
      <c r="V1603" s="595" t="str">
        <f>'refer admin discharge'!H1604</f>
        <v>00/00/0000</v>
      </c>
      <c r="W1603" s="327"/>
      <c r="X1603" s="577"/>
      <c r="Y1603" s="327"/>
      <c r="Z1603" s="604"/>
      <c r="AA1603" s="327"/>
      <c r="AB1603" s="577"/>
      <c r="AC1603" s="327"/>
      <c r="AD1603" s="576"/>
      <c r="AE1603" s="327"/>
      <c r="AF1603" s="577"/>
      <c r="AG1603" s="327"/>
      <c r="AH1603" s="576"/>
      <c r="AI1603" s="327"/>
      <c r="AJ1603" s="577"/>
      <c r="AK1603" s="327"/>
      <c r="AL1603" s="602"/>
      <c r="AM1603" s="326"/>
      <c r="AN1603" s="326"/>
      <c r="AO1603" s="326"/>
      <c r="AP1603" s="326"/>
      <c r="AQ1603" s="326"/>
      <c r="AR1603" s="326"/>
      <c r="AS1603" s="326"/>
      <c r="AT1603" s="326"/>
      <c r="AU1603" s="326"/>
      <c r="AV1603" s="326"/>
      <c r="AW1603" s="326"/>
      <c r="AX1603" s="326"/>
      <c r="AY1603" s="326"/>
      <c r="AZ1603" s="326"/>
      <c r="BA1603" s="326"/>
      <c r="BB1603" s="327"/>
    </row>
    <row r="1604" spans="1:54" ht="15.75" customHeight="1" x14ac:dyDescent="0.25">
      <c r="A1604" s="11">
        <f t="shared" si="6"/>
        <v>1591</v>
      </c>
      <c r="B1604" s="570" t="str">
        <f>'refer admin discharge'!B1600</f>
        <v>x</v>
      </c>
      <c r="C1604" s="327"/>
      <c r="D1604" s="599" t="str">
        <f>'refer admin discharge'!D1600</f>
        <v>xx</v>
      </c>
      <c r="E1604" s="327"/>
      <c r="F1604" s="600" t="str">
        <f>'refer admin discharge'!H1600</f>
        <v>00/00/0000</v>
      </c>
      <c r="G1604" s="327"/>
      <c r="H1604" s="574"/>
      <c r="I1604" s="327"/>
      <c r="J1604" s="601"/>
      <c r="K1604" s="327"/>
      <c r="L1604" s="574"/>
      <c r="M1604" s="327"/>
      <c r="N1604" s="594"/>
      <c r="O1604" s="327"/>
      <c r="P1604" s="574"/>
      <c r="Q1604" s="327"/>
      <c r="R1604" s="594"/>
      <c r="S1604" s="327"/>
      <c r="T1604" s="574"/>
      <c r="U1604" s="327"/>
      <c r="V1604" s="595" t="str">
        <f>'refer admin discharge'!H1605</f>
        <v>00/00/0000</v>
      </c>
      <c r="W1604" s="327"/>
      <c r="X1604" s="596"/>
      <c r="Y1604" s="327"/>
      <c r="Z1604" s="597"/>
      <c r="AA1604" s="327"/>
      <c r="AB1604" s="596"/>
      <c r="AC1604" s="327"/>
      <c r="AD1604" s="577"/>
      <c r="AE1604" s="327"/>
      <c r="AF1604" s="596"/>
      <c r="AG1604" s="327"/>
      <c r="AH1604" s="577"/>
      <c r="AI1604" s="327"/>
      <c r="AJ1604" s="596"/>
      <c r="AK1604" s="327"/>
      <c r="AL1604" s="598"/>
      <c r="AM1604" s="326"/>
      <c r="AN1604" s="326"/>
      <c r="AO1604" s="326"/>
      <c r="AP1604" s="326"/>
      <c r="AQ1604" s="326"/>
      <c r="AR1604" s="326"/>
      <c r="AS1604" s="326"/>
      <c r="AT1604" s="326"/>
      <c r="AU1604" s="326"/>
      <c r="AV1604" s="326"/>
      <c r="AW1604" s="326"/>
      <c r="AX1604" s="326"/>
      <c r="AY1604" s="326"/>
      <c r="AZ1604" s="326"/>
      <c r="BA1604" s="326"/>
      <c r="BB1604" s="327"/>
    </row>
    <row r="1605" spans="1:54" ht="15.75" customHeight="1" x14ac:dyDescent="0.25">
      <c r="A1605" s="11">
        <f t="shared" si="6"/>
        <v>1592</v>
      </c>
      <c r="B1605" s="504" t="str">
        <f>'refer admin discharge'!B1601</f>
        <v>x</v>
      </c>
      <c r="C1605" s="327"/>
      <c r="D1605" s="505" t="str">
        <f>'refer admin discharge'!D1601</f>
        <v>xx</v>
      </c>
      <c r="E1605" s="327"/>
      <c r="F1605" s="606" t="str">
        <f>'refer admin discharge'!H1601</f>
        <v>00/00/0000</v>
      </c>
      <c r="G1605" s="327"/>
      <c r="H1605" s="594"/>
      <c r="I1605" s="327"/>
      <c r="J1605" s="605"/>
      <c r="K1605" s="327"/>
      <c r="L1605" s="594"/>
      <c r="M1605" s="327"/>
      <c r="N1605" s="575"/>
      <c r="O1605" s="327"/>
      <c r="P1605" s="594"/>
      <c r="Q1605" s="327"/>
      <c r="R1605" s="575"/>
      <c r="S1605" s="327"/>
      <c r="T1605" s="594"/>
      <c r="U1605" s="327"/>
      <c r="V1605" s="595" t="str">
        <f>'refer admin discharge'!H1606</f>
        <v>00/00/0000</v>
      </c>
      <c r="W1605" s="327"/>
      <c r="X1605" s="577"/>
      <c r="Y1605" s="327"/>
      <c r="Z1605" s="604"/>
      <c r="AA1605" s="327"/>
      <c r="AB1605" s="577"/>
      <c r="AC1605" s="327"/>
      <c r="AD1605" s="576"/>
      <c r="AE1605" s="327"/>
      <c r="AF1605" s="577"/>
      <c r="AG1605" s="327"/>
      <c r="AH1605" s="576"/>
      <c r="AI1605" s="327"/>
      <c r="AJ1605" s="577"/>
      <c r="AK1605" s="327"/>
      <c r="AL1605" s="602"/>
      <c r="AM1605" s="326"/>
      <c r="AN1605" s="326"/>
      <c r="AO1605" s="326"/>
      <c r="AP1605" s="326"/>
      <c r="AQ1605" s="326"/>
      <c r="AR1605" s="326"/>
      <c r="AS1605" s="326"/>
      <c r="AT1605" s="326"/>
      <c r="AU1605" s="326"/>
      <c r="AV1605" s="326"/>
      <c r="AW1605" s="326"/>
      <c r="AX1605" s="326"/>
      <c r="AY1605" s="326"/>
      <c r="AZ1605" s="326"/>
      <c r="BA1605" s="326"/>
      <c r="BB1605" s="327"/>
    </row>
    <row r="1606" spans="1:54" ht="15.75" customHeight="1" x14ac:dyDescent="0.25">
      <c r="A1606" s="11">
        <f t="shared" si="6"/>
        <v>1593</v>
      </c>
      <c r="B1606" s="570" t="str">
        <f>'refer admin discharge'!B1602</f>
        <v>x</v>
      </c>
      <c r="C1606" s="327"/>
      <c r="D1606" s="599" t="str">
        <f>'refer admin discharge'!D1602</f>
        <v>xx</v>
      </c>
      <c r="E1606" s="327"/>
      <c r="F1606" s="600" t="str">
        <f>'refer admin discharge'!H1602</f>
        <v>00/00/0000</v>
      </c>
      <c r="G1606" s="327"/>
      <c r="H1606" s="574"/>
      <c r="I1606" s="327"/>
      <c r="J1606" s="601"/>
      <c r="K1606" s="327"/>
      <c r="L1606" s="574"/>
      <c r="M1606" s="327"/>
      <c r="N1606" s="594"/>
      <c r="O1606" s="327"/>
      <c r="P1606" s="574"/>
      <c r="Q1606" s="327"/>
      <c r="R1606" s="594"/>
      <c r="S1606" s="327"/>
      <c r="T1606" s="574"/>
      <c r="U1606" s="327"/>
      <c r="V1606" s="595" t="str">
        <f>'refer admin discharge'!H1607</f>
        <v>00/00/0000</v>
      </c>
      <c r="W1606" s="327"/>
      <c r="X1606" s="596"/>
      <c r="Y1606" s="327"/>
      <c r="Z1606" s="597"/>
      <c r="AA1606" s="327"/>
      <c r="AB1606" s="596"/>
      <c r="AC1606" s="327"/>
      <c r="AD1606" s="577"/>
      <c r="AE1606" s="327"/>
      <c r="AF1606" s="596"/>
      <c r="AG1606" s="327"/>
      <c r="AH1606" s="577"/>
      <c r="AI1606" s="327"/>
      <c r="AJ1606" s="596"/>
      <c r="AK1606" s="327"/>
      <c r="AL1606" s="598"/>
      <c r="AM1606" s="326"/>
      <c r="AN1606" s="326"/>
      <c r="AO1606" s="326"/>
      <c r="AP1606" s="326"/>
      <c r="AQ1606" s="326"/>
      <c r="AR1606" s="326"/>
      <c r="AS1606" s="326"/>
      <c r="AT1606" s="326"/>
      <c r="AU1606" s="326"/>
      <c r="AV1606" s="326"/>
      <c r="AW1606" s="326"/>
      <c r="AX1606" s="326"/>
      <c r="AY1606" s="326"/>
      <c r="AZ1606" s="326"/>
      <c r="BA1606" s="326"/>
      <c r="BB1606" s="327"/>
    </row>
    <row r="1607" spans="1:54" ht="15.75" customHeight="1" x14ac:dyDescent="0.25">
      <c r="A1607" s="11">
        <f t="shared" si="6"/>
        <v>1594</v>
      </c>
      <c r="B1607" s="504" t="str">
        <f>'refer admin discharge'!B1603</f>
        <v>x</v>
      </c>
      <c r="C1607" s="327"/>
      <c r="D1607" s="505" t="str">
        <f>'refer admin discharge'!D1603</f>
        <v>xx</v>
      </c>
      <c r="E1607" s="327"/>
      <c r="F1607" s="606" t="str">
        <f>'refer admin discharge'!H1603</f>
        <v>00/00/0000</v>
      </c>
      <c r="G1607" s="327"/>
      <c r="H1607" s="594"/>
      <c r="I1607" s="327"/>
      <c r="J1607" s="605"/>
      <c r="K1607" s="327"/>
      <c r="L1607" s="594"/>
      <c r="M1607" s="327"/>
      <c r="N1607" s="575"/>
      <c r="O1607" s="327"/>
      <c r="P1607" s="594"/>
      <c r="Q1607" s="327"/>
      <c r="R1607" s="575"/>
      <c r="S1607" s="327"/>
      <c r="T1607" s="594"/>
      <c r="U1607" s="327"/>
      <c r="V1607" s="595" t="str">
        <f>'refer admin discharge'!H1608</f>
        <v>00/00/0000</v>
      </c>
      <c r="W1607" s="327"/>
      <c r="X1607" s="577"/>
      <c r="Y1607" s="327"/>
      <c r="Z1607" s="604"/>
      <c r="AA1607" s="327"/>
      <c r="AB1607" s="577"/>
      <c r="AC1607" s="327"/>
      <c r="AD1607" s="576"/>
      <c r="AE1607" s="327"/>
      <c r="AF1607" s="577"/>
      <c r="AG1607" s="327"/>
      <c r="AH1607" s="576"/>
      <c r="AI1607" s="327"/>
      <c r="AJ1607" s="577"/>
      <c r="AK1607" s="327"/>
      <c r="AL1607" s="602"/>
      <c r="AM1607" s="326"/>
      <c r="AN1607" s="326"/>
      <c r="AO1607" s="326"/>
      <c r="AP1607" s="326"/>
      <c r="AQ1607" s="326"/>
      <c r="AR1607" s="326"/>
      <c r="AS1607" s="326"/>
      <c r="AT1607" s="326"/>
      <c r="AU1607" s="326"/>
      <c r="AV1607" s="326"/>
      <c r="AW1607" s="326"/>
      <c r="AX1607" s="326"/>
      <c r="AY1607" s="326"/>
      <c r="AZ1607" s="326"/>
      <c r="BA1607" s="326"/>
      <c r="BB1607" s="327"/>
    </row>
    <row r="1608" spans="1:54" ht="15.75" customHeight="1" x14ac:dyDescent="0.25">
      <c r="A1608" s="11">
        <f t="shared" si="6"/>
        <v>1595</v>
      </c>
      <c r="B1608" s="570" t="str">
        <f>'refer admin discharge'!B1604</f>
        <v>x</v>
      </c>
      <c r="C1608" s="327"/>
      <c r="D1608" s="599" t="str">
        <f>'refer admin discharge'!D1604</f>
        <v>xx</v>
      </c>
      <c r="E1608" s="327"/>
      <c r="F1608" s="600" t="str">
        <f>'refer admin discharge'!H1604</f>
        <v>00/00/0000</v>
      </c>
      <c r="G1608" s="327"/>
      <c r="H1608" s="574"/>
      <c r="I1608" s="327"/>
      <c r="J1608" s="601"/>
      <c r="K1608" s="327"/>
      <c r="L1608" s="574"/>
      <c r="M1608" s="327"/>
      <c r="N1608" s="594"/>
      <c r="O1608" s="327"/>
      <c r="P1608" s="574"/>
      <c r="Q1608" s="327"/>
      <c r="R1608" s="594"/>
      <c r="S1608" s="327"/>
      <c r="T1608" s="574"/>
      <c r="U1608" s="327"/>
      <c r="V1608" s="595" t="str">
        <f>'refer admin discharge'!H1609</f>
        <v>00/00/0000</v>
      </c>
      <c r="W1608" s="327"/>
      <c r="X1608" s="596"/>
      <c r="Y1608" s="327"/>
      <c r="Z1608" s="597"/>
      <c r="AA1608" s="327"/>
      <c r="AB1608" s="596"/>
      <c r="AC1608" s="327"/>
      <c r="AD1608" s="577"/>
      <c r="AE1608" s="327"/>
      <c r="AF1608" s="596"/>
      <c r="AG1608" s="327"/>
      <c r="AH1608" s="577"/>
      <c r="AI1608" s="327"/>
      <c r="AJ1608" s="596"/>
      <c r="AK1608" s="327"/>
      <c r="AL1608" s="598"/>
      <c r="AM1608" s="326"/>
      <c r="AN1608" s="326"/>
      <c r="AO1608" s="326"/>
      <c r="AP1608" s="326"/>
      <c r="AQ1608" s="326"/>
      <c r="AR1608" s="326"/>
      <c r="AS1608" s="326"/>
      <c r="AT1608" s="326"/>
      <c r="AU1608" s="326"/>
      <c r="AV1608" s="326"/>
      <c r="AW1608" s="326"/>
      <c r="AX1608" s="326"/>
      <c r="AY1608" s="326"/>
      <c r="AZ1608" s="326"/>
      <c r="BA1608" s="326"/>
      <c r="BB1608" s="327"/>
    </row>
    <row r="1609" spans="1:54" ht="15.75" customHeight="1" x14ac:dyDescent="0.25">
      <c r="A1609" s="11">
        <f t="shared" si="6"/>
        <v>1596</v>
      </c>
      <c r="B1609" s="504" t="str">
        <f>'refer admin discharge'!B1605</f>
        <v>x</v>
      </c>
      <c r="C1609" s="327"/>
      <c r="D1609" s="505" t="str">
        <f>'refer admin discharge'!D1605</f>
        <v>xx</v>
      </c>
      <c r="E1609" s="327"/>
      <c r="F1609" s="606" t="str">
        <f>'refer admin discharge'!H1605</f>
        <v>00/00/0000</v>
      </c>
      <c r="G1609" s="327"/>
      <c r="H1609" s="594"/>
      <c r="I1609" s="327"/>
      <c r="J1609" s="605"/>
      <c r="K1609" s="327"/>
      <c r="L1609" s="594"/>
      <c r="M1609" s="327"/>
      <c r="N1609" s="575"/>
      <c r="O1609" s="327"/>
      <c r="P1609" s="594"/>
      <c r="Q1609" s="327"/>
      <c r="R1609" s="575"/>
      <c r="S1609" s="327"/>
      <c r="T1609" s="594"/>
      <c r="U1609" s="327"/>
      <c r="V1609" s="595" t="str">
        <f>'refer admin discharge'!H1610</f>
        <v>00/00/0000</v>
      </c>
      <c r="W1609" s="327"/>
      <c r="X1609" s="577"/>
      <c r="Y1609" s="327"/>
      <c r="Z1609" s="604"/>
      <c r="AA1609" s="327"/>
      <c r="AB1609" s="577"/>
      <c r="AC1609" s="327"/>
      <c r="AD1609" s="576"/>
      <c r="AE1609" s="327"/>
      <c r="AF1609" s="577"/>
      <c r="AG1609" s="327"/>
      <c r="AH1609" s="576"/>
      <c r="AI1609" s="327"/>
      <c r="AJ1609" s="577"/>
      <c r="AK1609" s="327"/>
      <c r="AL1609" s="602"/>
      <c r="AM1609" s="326"/>
      <c r="AN1609" s="326"/>
      <c r="AO1609" s="326"/>
      <c r="AP1609" s="326"/>
      <c r="AQ1609" s="326"/>
      <c r="AR1609" s="326"/>
      <c r="AS1609" s="326"/>
      <c r="AT1609" s="326"/>
      <c r="AU1609" s="326"/>
      <c r="AV1609" s="326"/>
      <c r="AW1609" s="326"/>
      <c r="AX1609" s="326"/>
      <c r="AY1609" s="326"/>
      <c r="AZ1609" s="326"/>
      <c r="BA1609" s="326"/>
      <c r="BB1609" s="327"/>
    </row>
    <row r="1610" spans="1:54" ht="15.75" customHeight="1" x14ac:dyDescent="0.25">
      <c r="A1610" s="11">
        <f t="shared" si="6"/>
        <v>1597</v>
      </c>
      <c r="B1610" s="570" t="str">
        <f>'refer admin discharge'!B1606</f>
        <v>x</v>
      </c>
      <c r="C1610" s="327"/>
      <c r="D1610" s="599" t="str">
        <f>'refer admin discharge'!D1606</f>
        <v>xx</v>
      </c>
      <c r="E1610" s="327"/>
      <c r="F1610" s="600" t="str">
        <f>'refer admin discharge'!H1606</f>
        <v>00/00/0000</v>
      </c>
      <c r="G1610" s="327"/>
      <c r="H1610" s="574"/>
      <c r="I1610" s="327"/>
      <c r="J1610" s="601"/>
      <c r="K1610" s="327"/>
      <c r="L1610" s="574"/>
      <c r="M1610" s="327"/>
      <c r="N1610" s="594"/>
      <c r="O1610" s="327"/>
      <c r="P1610" s="574"/>
      <c r="Q1610" s="327"/>
      <c r="R1610" s="594"/>
      <c r="S1610" s="327"/>
      <c r="T1610" s="574"/>
      <c r="U1610" s="327"/>
      <c r="V1610" s="595" t="str">
        <f>'refer admin discharge'!H1611</f>
        <v>00/00/0000</v>
      </c>
      <c r="W1610" s="327"/>
      <c r="X1610" s="596"/>
      <c r="Y1610" s="327"/>
      <c r="Z1610" s="597"/>
      <c r="AA1610" s="327"/>
      <c r="AB1610" s="596"/>
      <c r="AC1610" s="327"/>
      <c r="AD1610" s="577"/>
      <c r="AE1610" s="327"/>
      <c r="AF1610" s="596"/>
      <c r="AG1610" s="327"/>
      <c r="AH1610" s="577"/>
      <c r="AI1610" s="327"/>
      <c r="AJ1610" s="596"/>
      <c r="AK1610" s="327"/>
      <c r="AL1610" s="598"/>
      <c r="AM1610" s="326"/>
      <c r="AN1610" s="326"/>
      <c r="AO1610" s="326"/>
      <c r="AP1610" s="326"/>
      <c r="AQ1610" s="326"/>
      <c r="AR1610" s="326"/>
      <c r="AS1610" s="326"/>
      <c r="AT1610" s="326"/>
      <c r="AU1610" s="326"/>
      <c r="AV1610" s="326"/>
      <c r="AW1610" s="326"/>
      <c r="AX1610" s="326"/>
      <c r="AY1610" s="326"/>
      <c r="AZ1610" s="326"/>
      <c r="BA1610" s="326"/>
      <c r="BB1610" s="327"/>
    </row>
    <row r="1611" spans="1:54" ht="15.75" customHeight="1" x14ac:dyDescent="0.25">
      <c r="A1611" s="11">
        <f t="shared" si="6"/>
        <v>1598</v>
      </c>
      <c r="B1611" s="504" t="str">
        <f>'refer admin discharge'!B1607</f>
        <v>x</v>
      </c>
      <c r="C1611" s="327"/>
      <c r="D1611" s="505" t="str">
        <f>'refer admin discharge'!D1607</f>
        <v>xx</v>
      </c>
      <c r="E1611" s="327"/>
      <c r="F1611" s="606" t="str">
        <f>'refer admin discharge'!H1607</f>
        <v>00/00/0000</v>
      </c>
      <c r="G1611" s="327"/>
      <c r="H1611" s="594"/>
      <c r="I1611" s="327"/>
      <c r="J1611" s="605"/>
      <c r="K1611" s="327"/>
      <c r="L1611" s="594"/>
      <c r="M1611" s="327"/>
      <c r="N1611" s="575"/>
      <c r="O1611" s="327"/>
      <c r="P1611" s="594"/>
      <c r="Q1611" s="327"/>
      <c r="R1611" s="575"/>
      <c r="S1611" s="327"/>
      <c r="T1611" s="594"/>
      <c r="U1611" s="327"/>
      <c r="V1611" s="595" t="str">
        <f>'refer admin discharge'!H1612</f>
        <v>00/00/0000</v>
      </c>
      <c r="W1611" s="327"/>
      <c r="X1611" s="577"/>
      <c r="Y1611" s="327"/>
      <c r="Z1611" s="604"/>
      <c r="AA1611" s="327"/>
      <c r="AB1611" s="577"/>
      <c r="AC1611" s="327"/>
      <c r="AD1611" s="576"/>
      <c r="AE1611" s="327"/>
      <c r="AF1611" s="577"/>
      <c r="AG1611" s="327"/>
      <c r="AH1611" s="576"/>
      <c r="AI1611" s="327"/>
      <c r="AJ1611" s="577"/>
      <c r="AK1611" s="327"/>
      <c r="AL1611" s="602"/>
      <c r="AM1611" s="326"/>
      <c r="AN1611" s="326"/>
      <c r="AO1611" s="326"/>
      <c r="AP1611" s="326"/>
      <c r="AQ1611" s="326"/>
      <c r="AR1611" s="326"/>
      <c r="AS1611" s="326"/>
      <c r="AT1611" s="326"/>
      <c r="AU1611" s="326"/>
      <c r="AV1611" s="326"/>
      <c r="AW1611" s="326"/>
      <c r="AX1611" s="326"/>
      <c r="AY1611" s="326"/>
      <c r="AZ1611" s="326"/>
      <c r="BA1611" s="326"/>
      <c r="BB1611" s="327"/>
    </row>
    <row r="1612" spans="1:54" ht="15.75" customHeight="1" x14ac:dyDescent="0.25">
      <c r="A1612" s="11">
        <f t="shared" si="6"/>
        <v>1599</v>
      </c>
      <c r="B1612" s="570" t="str">
        <f>'refer admin discharge'!B1608</f>
        <v>x</v>
      </c>
      <c r="C1612" s="327"/>
      <c r="D1612" s="599" t="str">
        <f>'refer admin discharge'!D1608</f>
        <v>xx</v>
      </c>
      <c r="E1612" s="327"/>
      <c r="F1612" s="600" t="str">
        <f>'refer admin discharge'!H1608</f>
        <v>00/00/0000</v>
      </c>
      <c r="G1612" s="327"/>
      <c r="H1612" s="574"/>
      <c r="I1612" s="327"/>
      <c r="J1612" s="601"/>
      <c r="K1612" s="327"/>
      <c r="L1612" s="574"/>
      <c r="M1612" s="327"/>
      <c r="N1612" s="594"/>
      <c r="O1612" s="327"/>
      <c r="P1612" s="574"/>
      <c r="Q1612" s="327"/>
      <c r="R1612" s="594"/>
      <c r="S1612" s="327"/>
      <c r="T1612" s="574"/>
      <c r="U1612" s="327"/>
      <c r="V1612" s="595" t="str">
        <f>'refer admin discharge'!H1613</f>
        <v>00/00/0000</v>
      </c>
      <c r="W1612" s="327"/>
      <c r="X1612" s="596"/>
      <c r="Y1612" s="327"/>
      <c r="Z1612" s="597"/>
      <c r="AA1612" s="327"/>
      <c r="AB1612" s="596"/>
      <c r="AC1612" s="327"/>
      <c r="AD1612" s="577"/>
      <c r="AE1612" s="327"/>
      <c r="AF1612" s="596"/>
      <c r="AG1612" s="327"/>
      <c r="AH1612" s="577"/>
      <c r="AI1612" s="327"/>
      <c r="AJ1612" s="596"/>
      <c r="AK1612" s="327"/>
      <c r="AL1612" s="598"/>
      <c r="AM1612" s="326"/>
      <c r="AN1612" s="326"/>
      <c r="AO1612" s="326"/>
      <c r="AP1612" s="326"/>
      <c r="AQ1612" s="326"/>
      <c r="AR1612" s="326"/>
      <c r="AS1612" s="326"/>
      <c r="AT1612" s="326"/>
      <c r="AU1612" s="326"/>
      <c r="AV1612" s="326"/>
      <c r="AW1612" s="326"/>
      <c r="AX1612" s="326"/>
      <c r="AY1612" s="326"/>
      <c r="AZ1612" s="326"/>
      <c r="BA1612" s="326"/>
      <c r="BB1612" s="327"/>
    </row>
    <row r="1613" spans="1:54" ht="15.75" customHeight="1" x14ac:dyDescent="0.25">
      <c r="A1613" s="11">
        <f t="shared" si="6"/>
        <v>1600</v>
      </c>
      <c r="B1613" s="504" t="str">
        <f>'refer admin discharge'!B1609</f>
        <v>x</v>
      </c>
      <c r="C1613" s="327"/>
      <c r="D1613" s="505" t="str">
        <f>'refer admin discharge'!D1609</f>
        <v>xx</v>
      </c>
      <c r="E1613" s="327"/>
      <c r="F1613" s="606" t="str">
        <f>'refer admin discharge'!H1609</f>
        <v>00/00/0000</v>
      </c>
      <c r="G1613" s="327"/>
      <c r="H1613" s="594"/>
      <c r="I1613" s="327"/>
      <c r="J1613" s="605"/>
      <c r="K1613" s="327"/>
      <c r="L1613" s="594"/>
      <c r="M1613" s="327"/>
      <c r="N1613" s="575"/>
      <c r="O1613" s="327"/>
      <c r="P1613" s="594"/>
      <c r="Q1613" s="327"/>
      <c r="R1613" s="575"/>
      <c r="S1613" s="327"/>
      <c r="T1613" s="594"/>
      <c r="U1613" s="327"/>
      <c r="V1613" s="595" t="str">
        <f>'refer admin discharge'!H1614</f>
        <v>00/00/0000</v>
      </c>
      <c r="W1613" s="327"/>
      <c r="X1613" s="577"/>
      <c r="Y1613" s="327"/>
      <c r="Z1613" s="604"/>
      <c r="AA1613" s="327"/>
      <c r="AB1613" s="577"/>
      <c r="AC1613" s="327"/>
      <c r="AD1613" s="576"/>
      <c r="AE1613" s="327"/>
      <c r="AF1613" s="577"/>
      <c r="AG1613" s="327"/>
      <c r="AH1613" s="576"/>
      <c r="AI1613" s="327"/>
      <c r="AJ1613" s="577"/>
      <c r="AK1613" s="327"/>
      <c r="AL1613" s="602"/>
      <c r="AM1613" s="326"/>
      <c r="AN1613" s="326"/>
      <c r="AO1613" s="326"/>
      <c r="AP1613" s="326"/>
      <c r="AQ1613" s="326"/>
      <c r="AR1613" s="326"/>
      <c r="AS1613" s="326"/>
      <c r="AT1613" s="326"/>
      <c r="AU1613" s="326"/>
      <c r="AV1613" s="326"/>
      <c r="AW1613" s="326"/>
      <c r="AX1613" s="326"/>
      <c r="AY1613" s="326"/>
      <c r="AZ1613" s="326"/>
      <c r="BA1613" s="326"/>
      <c r="BB1613" s="327"/>
    </row>
  </sheetData>
  <mergeCells count="30466">
    <mergeCell ref="AH1423:AI1423"/>
    <mergeCell ref="AJ1423:AK1423"/>
    <mergeCell ref="AL1423:BB1423"/>
    <mergeCell ref="B1423:C1423"/>
    <mergeCell ref="D1423:E1423"/>
    <mergeCell ref="F1423:G1423"/>
    <mergeCell ref="H1423:I1423"/>
    <mergeCell ref="J1423:K1423"/>
    <mergeCell ref="L1423:M1423"/>
    <mergeCell ref="N1423:O1423"/>
    <mergeCell ref="P1425:Q1425"/>
    <mergeCell ref="R1425:S1425"/>
    <mergeCell ref="T1425:U1425"/>
    <mergeCell ref="V1425:W1425"/>
    <mergeCell ref="X1425:Y1425"/>
    <mergeCell ref="Z1425:AA1425"/>
    <mergeCell ref="AB1425:AC1425"/>
    <mergeCell ref="B1425:C1425"/>
    <mergeCell ref="D1425:E1425"/>
    <mergeCell ref="F1425:G1425"/>
    <mergeCell ref="H1425:I1425"/>
    <mergeCell ref="J1425:K1425"/>
    <mergeCell ref="L1425:M1425"/>
    <mergeCell ref="N1425:O1425"/>
    <mergeCell ref="P1428:Q1428"/>
    <mergeCell ref="R1428:S1428"/>
    <mergeCell ref="T1428:U1428"/>
    <mergeCell ref="V1428:W1428"/>
    <mergeCell ref="X1428:Y1428"/>
    <mergeCell ref="Z1428:AA1428"/>
    <mergeCell ref="AB1428:AC1428"/>
    <mergeCell ref="B1428:C1428"/>
    <mergeCell ref="D1428:E1428"/>
    <mergeCell ref="F1428:G1428"/>
    <mergeCell ref="H1428:I1428"/>
    <mergeCell ref="J1428:K1428"/>
    <mergeCell ref="L1428:M1428"/>
    <mergeCell ref="N1428:O1428"/>
    <mergeCell ref="X1426:Y1426"/>
    <mergeCell ref="Z1426:AA1426"/>
    <mergeCell ref="AB1426:AC1426"/>
    <mergeCell ref="AD1427:AE1427"/>
    <mergeCell ref="AF1427:AG1427"/>
    <mergeCell ref="AH1427:AI1427"/>
    <mergeCell ref="AJ1427:AK1427"/>
    <mergeCell ref="AL1427:BB1427"/>
    <mergeCell ref="P1427:Q1427"/>
    <mergeCell ref="R1427:S1427"/>
    <mergeCell ref="T1427:U1427"/>
    <mergeCell ref="V1427:W1427"/>
    <mergeCell ref="X1427:Y1427"/>
    <mergeCell ref="Z1427:AA1427"/>
    <mergeCell ref="AB1427:AC1427"/>
    <mergeCell ref="B1427:C1427"/>
    <mergeCell ref="D1427:E1427"/>
    <mergeCell ref="F1427:G1427"/>
    <mergeCell ref="H1427:I1427"/>
    <mergeCell ref="J1427:K1427"/>
    <mergeCell ref="L1427:M1427"/>
    <mergeCell ref="N1427:O1427"/>
    <mergeCell ref="AD1428:AE1428"/>
    <mergeCell ref="AF1428:AG1428"/>
    <mergeCell ref="AH1428:AI1428"/>
    <mergeCell ref="AJ1428:AK1428"/>
    <mergeCell ref="AH1420:AI1420"/>
    <mergeCell ref="AJ1420:AK1420"/>
    <mergeCell ref="AL1420:BB1420"/>
    <mergeCell ref="B1420:C1420"/>
    <mergeCell ref="D1420:E1420"/>
    <mergeCell ref="F1420:G1420"/>
    <mergeCell ref="H1420:I1420"/>
    <mergeCell ref="J1420:K1420"/>
    <mergeCell ref="L1420:M1420"/>
    <mergeCell ref="N1420:O1420"/>
    <mergeCell ref="P1422:Q1422"/>
    <mergeCell ref="R1422:S1422"/>
    <mergeCell ref="T1422:U1422"/>
    <mergeCell ref="V1422:W1422"/>
    <mergeCell ref="X1422:Y1422"/>
    <mergeCell ref="Z1422:AA1422"/>
    <mergeCell ref="AB1422:AC1422"/>
    <mergeCell ref="B1422:C1422"/>
    <mergeCell ref="D1422:E1422"/>
    <mergeCell ref="F1422:G1422"/>
    <mergeCell ref="H1422:I1422"/>
    <mergeCell ref="J1422:K1422"/>
    <mergeCell ref="L1422:M1422"/>
    <mergeCell ref="N1422:O1422"/>
    <mergeCell ref="AD1420:AE1420"/>
    <mergeCell ref="AF1420:AG1420"/>
    <mergeCell ref="P1420:Q1420"/>
    <mergeCell ref="R1420:S1420"/>
    <mergeCell ref="T1420:U1420"/>
    <mergeCell ref="V1420:W1420"/>
    <mergeCell ref="X1420:Y1420"/>
    <mergeCell ref="Z1420:AA1420"/>
    <mergeCell ref="AB1420:AC1420"/>
    <mergeCell ref="AD1421:AE1421"/>
    <mergeCell ref="AF1421:AG1421"/>
    <mergeCell ref="AH1421:AI1421"/>
    <mergeCell ref="AJ1421:AK1421"/>
    <mergeCell ref="AL1421:BB1421"/>
    <mergeCell ref="P1421:Q1421"/>
    <mergeCell ref="R1421:S1421"/>
    <mergeCell ref="T1421:U1421"/>
    <mergeCell ref="V1421:W1421"/>
    <mergeCell ref="X1421:Y1421"/>
    <mergeCell ref="Z1421:AA1421"/>
    <mergeCell ref="AB1421:AC1421"/>
    <mergeCell ref="B1421:C1421"/>
    <mergeCell ref="D1421:E1421"/>
    <mergeCell ref="F1421:G1421"/>
    <mergeCell ref="H1421:I1421"/>
    <mergeCell ref="J1421:K1421"/>
    <mergeCell ref="L1421:M1421"/>
    <mergeCell ref="N1421:O1421"/>
    <mergeCell ref="AD1422:AE1422"/>
    <mergeCell ref="AF1422:AG1422"/>
    <mergeCell ref="AH1422:AI1422"/>
    <mergeCell ref="AJ1422:AK1422"/>
    <mergeCell ref="AL1422:BB1422"/>
    <mergeCell ref="B1417:C1417"/>
    <mergeCell ref="D1417:E1417"/>
    <mergeCell ref="F1417:G1417"/>
    <mergeCell ref="H1417:I1417"/>
    <mergeCell ref="J1417:K1417"/>
    <mergeCell ref="L1417:M1417"/>
    <mergeCell ref="N1417:O1417"/>
    <mergeCell ref="AD1418:AE1418"/>
    <mergeCell ref="AF1418:AG1418"/>
    <mergeCell ref="AH1418:AI1418"/>
    <mergeCell ref="AJ1418:AK1418"/>
    <mergeCell ref="AL1418:BB1418"/>
    <mergeCell ref="P1418:Q1418"/>
    <mergeCell ref="R1418:S1418"/>
    <mergeCell ref="T1418:U1418"/>
    <mergeCell ref="V1418:W1418"/>
    <mergeCell ref="X1418:Y1418"/>
    <mergeCell ref="Z1418:AA1418"/>
    <mergeCell ref="AB1418:AC1418"/>
    <mergeCell ref="B1418:C1418"/>
    <mergeCell ref="D1418:E1418"/>
    <mergeCell ref="F1418:G1418"/>
    <mergeCell ref="H1418:I1418"/>
    <mergeCell ref="J1418:K1418"/>
    <mergeCell ref="L1418:M1418"/>
    <mergeCell ref="N1418:O1418"/>
    <mergeCell ref="AD1419:AE1419"/>
    <mergeCell ref="AF1419:AG1419"/>
    <mergeCell ref="AH1419:AI1419"/>
    <mergeCell ref="AJ1419:AK1419"/>
    <mergeCell ref="AL1419:BB1419"/>
    <mergeCell ref="P1419:Q1419"/>
    <mergeCell ref="R1419:S1419"/>
    <mergeCell ref="T1419:U1419"/>
    <mergeCell ref="V1419:W1419"/>
    <mergeCell ref="X1419:Y1419"/>
    <mergeCell ref="Z1419:AA1419"/>
    <mergeCell ref="AB1419:AC1419"/>
    <mergeCell ref="B1419:C1419"/>
    <mergeCell ref="D1419:E1419"/>
    <mergeCell ref="F1419:G1419"/>
    <mergeCell ref="H1419:I1419"/>
    <mergeCell ref="J1419:K1419"/>
    <mergeCell ref="L1419:M1419"/>
    <mergeCell ref="N1419:O1419"/>
    <mergeCell ref="AH1414:AI1414"/>
    <mergeCell ref="AJ1414:AK1414"/>
    <mergeCell ref="AL1414:BB1414"/>
    <mergeCell ref="B1414:C1414"/>
    <mergeCell ref="D1414:E1414"/>
    <mergeCell ref="F1414:G1414"/>
    <mergeCell ref="H1414:I1414"/>
    <mergeCell ref="J1414:K1414"/>
    <mergeCell ref="L1414:M1414"/>
    <mergeCell ref="N1414:O1414"/>
    <mergeCell ref="P1416:Q1416"/>
    <mergeCell ref="R1416:S1416"/>
    <mergeCell ref="T1416:U1416"/>
    <mergeCell ref="V1416:W1416"/>
    <mergeCell ref="X1416:Y1416"/>
    <mergeCell ref="Z1416:AA1416"/>
    <mergeCell ref="AB1416:AC1416"/>
    <mergeCell ref="B1416:C1416"/>
    <mergeCell ref="D1416:E1416"/>
    <mergeCell ref="F1416:G1416"/>
    <mergeCell ref="H1416:I1416"/>
    <mergeCell ref="J1416:K1416"/>
    <mergeCell ref="L1416:M1416"/>
    <mergeCell ref="N1416:O1416"/>
    <mergeCell ref="AD1414:AE1414"/>
    <mergeCell ref="AF1414:AG1414"/>
    <mergeCell ref="P1414:Q1414"/>
    <mergeCell ref="R1414:S1414"/>
    <mergeCell ref="T1414:U1414"/>
    <mergeCell ref="V1414:W1414"/>
    <mergeCell ref="X1414:Y1414"/>
    <mergeCell ref="Z1414:AA1414"/>
    <mergeCell ref="AB1414:AC1414"/>
    <mergeCell ref="AD1415:AE1415"/>
    <mergeCell ref="AF1415:AG1415"/>
    <mergeCell ref="AH1415:AI1415"/>
    <mergeCell ref="AJ1415:AK1415"/>
    <mergeCell ref="AL1415:BB1415"/>
    <mergeCell ref="P1415:Q1415"/>
    <mergeCell ref="R1415:S1415"/>
    <mergeCell ref="T1415:U1415"/>
    <mergeCell ref="V1415:W1415"/>
    <mergeCell ref="X1415:Y1415"/>
    <mergeCell ref="Z1415:AA1415"/>
    <mergeCell ref="AB1415:AC1415"/>
    <mergeCell ref="B1415:C1415"/>
    <mergeCell ref="D1415:E1415"/>
    <mergeCell ref="F1415:G1415"/>
    <mergeCell ref="H1415:I1415"/>
    <mergeCell ref="J1415:K1415"/>
    <mergeCell ref="L1415:M1415"/>
    <mergeCell ref="N1415:O1415"/>
    <mergeCell ref="AD1416:AE1416"/>
    <mergeCell ref="AF1416:AG1416"/>
    <mergeCell ref="AH1416:AI1416"/>
    <mergeCell ref="AJ1416:AK1416"/>
    <mergeCell ref="AL1416:BB1416"/>
    <mergeCell ref="AH1411:AI1411"/>
    <mergeCell ref="AJ1411:AK1411"/>
    <mergeCell ref="AL1411:BB1411"/>
    <mergeCell ref="B1411:C1411"/>
    <mergeCell ref="D1411:E1411"/>
    <mergeCell ref="F1411:G1411"/>
    <mergeCell ref="H1411:I1411"/>
    <mergeCell ref="J1411:K1411"/>
    <mergeCell ref="L1411:M1411"/>
    <mergeCell ref="N1411:O1411"/>
    <mergeCell ref="P1413:Q1413"/>
    <mergeCell ref="R1413:S1413"/>
    <mergeCell ref="T1413:U1413"/>
    <mergeCell ref="V1413:W1413"/>
    <mergeCell ref="X1413:Y1413"/>
    <mergeCell ref="Z1413:AA1413"/>
    <mergeCell ref="AB1413:AC1413"/>
    <mergeCell ref="B1413:C1413"/>
    <mergeCell ref="D1413:E1413"/>
    <mergeCell ref="F1413:G1413"/>
    <mergeCell ref="H1413:I1413"/>
    <mergeCell ref="J1413:K1413"/>
    <mergeCell ref="L1413:M1413"/>
    <mergeCell ref="N1413:O1413"/>
    <mergeCell ref="AD1411:AE1411"/>
    <mergeCell ref="AF1411:AG1411"/>
    <mergeCell ref="P1411:Q1411"/>
    <mergeCell ref="R1411:S1411"/>
    <mergeCell ref="T1411:U1411"/>
    <mergeCell ref="V1411:W1411"/>
    <mergeCell ref="X1411:Y1411"/>
    <mergeCell ref="Z1411:AA1411"/>
    <mergeCell ref="AB1411:AC1411"/>
    <mergeCell ref="AD1412:AE1412"/>
    <mergeCell ref="AF1412:AG1412"/>
    <mergeCell ref="AH1412:AI1412"/>
    <mergeCell ref="AJ1412:AK1412"/>
    <mergeCell ref="AL1412:BB1412"/>
    <mergeCell ref="P1412:Q1412"/>
    <mergeCell ref="R1412:S1412"/>
    <mergeCell ref="T1412:U1412"/>
    <mergeCell ref="V1412:W1412"/>
    <mergeCell ref="X1412:Y1412"/>
    <mergeCell ref="Z1412:AA1412"/>
    <mergeCell ref="AB1412:AC1412"/>
    <mergeCell ref="B1412:C1412"/>
    <mergeCell ref="D1412:E1412"/>
    <mergeCell ref="F1412:G1412"/>
    <mergeCell ref="H1412:I1412"/>
    <mergeCell ref="J1412:K1412"/>
    <mergeCell ref="L1412:M1412"/>
    <mergeCell ref="N1412:O1412"/>
    <mergeCell ref="AD1413:AE1413"/>
    <mergeCell ref="AF1413:AG1413"/>
    <mergeCell ref="AH1413:AI1413"/>
    <mergeCell ref="AJ1413:AK1413"/>
    <mergeCell ref="AL1413:BB1413"/>
    <mergeCell ref="AH1408:AI1408"/>
    <mergeCell ref="AJ1408:AK1408"/>
    <mergeCell ref="AL1408:BB1408"/>
    <mergeCell ref="B1408:C1408"/>
    <mergeCell ref="D1408:E1408"/>
    <mergeCell ref="F1408:G1408"/>
    <mergeCell ref="H1408:I1408"/>
    <mergeCell ref="J1408:K1408"/>
    <mergeCell ref="L1408:M1408"/>
    <mergeCell ref="N1408:O1408"/>
    <mergeCell ref="P1410:Q1410"/>
    <mergeCell ref="R1410:S1410"/>
    <mergeCell ref="T1410:U1410"/>
    <mergeCell ref="V1410:W1410"/>
    <mergeCell ref="X1410:Y1410"/>
    <mergeCell ref="Z1410:AA1410"/>
    <mergeCell ref="AB1410:AC1410"/>
    <mergeCell ref="B1410:C1410"/>
    <mergeCell ref="D1410:E1410"/>
    <mergeCell ref="F1410:G1410"/>
    <mergeCell ref="H1410:I1410"/>
    <mergeCell ref="J1410:K1410"/>
    <mergeCell ref="L1410:M1410"/>
    <mergeCell ref="N1410:O1410"/>
    <mergeCell ref="AD1408:AE1408"/>
    <mergeCell ref="AF1408:AG1408"/>
    <mergeCell ref="P1408:Q1408"/>
    <mergeCell ref="R1408:S1408"/>
    <mergeCell ref="T1408:U1408"/>
    <mergeCell ref="V1408:W1408"/>
    <mergeCell ref="X1408:Y1408"/>
    <mergeCell ref="Z1408:AA1408"/>
    <mergeCell ref="AB1408:AC1408"/>
    <mergeCell ref="AD1409:AE1409"/>
    <mergeCell ref="AF1409:AG1409"/>
    <mergeCell ref="AH1409:AI1409"/>
    <mergeCell ref="AJ1409:AK1409"/>
    <mergeCell ref="AL1409:BB1409"/>
    <mergeCell ref="P1409:Q1409"/>
    <mergeCell ref="R1409:S1409"/>
    <mergeCell ref="T1409:U1409"/>
    <mergeCell ref="V1409:W1409"/>
    <mergeCell ref="X1409:Y1409"/>
    <mergeCell ref="Z1409:AA1409"/>
    <mergeCell ref="AB1409:AC1409"/>
    <mergeCell ref="B1409:C1409"/>
    <mergeCell ref="D1409:E1409"/>
    <mergeCell ref="F1409:G1409"/>
    <mergeCell ref="H1409:I1409"/>
    <mergeCell ref="J1409:K1409"/>
    <mergeCell ref="L1409:M1409"/>
    <mergeCell ref="N1409:O1409"/>
    <mergeCell ref="AD1410:AE1410"/>
    <mergeCell ref="AF1410:AG1410"/>
    <mergeCell ref="AH1410:AI1410"/>
    <mergeCell ref="AJ1410:AK1410"/>
    <mergeCell ref="AL1410:BB1410"/>
    <mergeCell ref="AH1405:AI1405"/>
    <mergeCell ref="AJ1405:AK1405"/>
    <mergeCell ref="AL1405:BB1405"/>
    <mergeCell ref="B1405:C1405"/>
    <mergeCell ref="D1405:E1405"/>
    <mergeCell ref="F1405:G1405"/>
    <mergeCell ref="H1405:I1405"/>
    <mergeCell ref="J1405:K1405"/>
    <mergeCell ref="L1405:M1405"/>
    <mergeCell ref="N1405:O1405"/>
    <mergeCell ref="P1407:Q1407"/>
    <mergeCell ref="R1407:S1407"/>
    <mergeCell ref="T1407:U1407"/>
    <mergeCell ref="V1407:W1407"/>
    <mergeCell ref="X1407:Y1407"/>
    <mergeCell ref="Z1407:AA1407"/>
    <mergeCell ref="AB1407:AC1407"/>
    <mergeCell ref="B1407:C1407"/>
    <mergeCell ref="D1407:E1407"/>
    <mergeCell ref="F1407:G1407"/>
    <mergeCell ref="H1407:I1407"/>
    <mergeCell ref="J1407:K1407"/>
    <mergeCell ref="L1407:M1407"/>
    <mergeCell ref="N1407:O1407"/>
    <mergeCell ref="AD1405:AE1405"/>
    <mergeCell ref="AF1405:AG1405"/>
    <mergeCell ref="P1405:Q1405"/>
    <mergeCell ref="R1405:S1405"/>
    <mergeCell ref="T1405:U1405"/>
    <mergeCell ref="V1405:W1405"/>
    <mergeCell ref="X1405:Y1405"/>
    <mergeCell ref="Z1405:AA1405"/>
    <mergeCell ref="AB1405:AC1405"/>
    <mergeCell ref="AD1406:AE1406"/>
    <mergeCell ref="AF1406:AG1406"/>
    <mergeCell ref="AH1406:AI1406"/>
    <mergeCell ref="AJ1406:AK1406"/>
    <mergeCell ref="AL1406:BB1406"/>
    <mergeCell ref="P1406:Q1406"/>
    <mergeCell ref="R1406:S1406"/>
    <mergeCell ref="T1406:U1406"/>
    <mergeCell ref="V1406:W1406"/>
    <mergeCell ref="X1406:Y1406"/>
    <mergeCell ref="Z1406:AA1406"/>
    <mergeCell ref="AB1406:AC1406"/>
    <mergeCell ref="B1406:C1406"/>
    <mergeCell ref="D1406:E1406"/>
    <mergeCell ref="F1406:G1406"/>
    <mergeCell ref="H1406:I1406"/>
    <mergeCell ref="J1406:K1406"/>
    <mergeCell ref="L1406:M1406"/>
    <mergeCell ref="N1406:O1406"/>
    <mergeCell ref="AD1407:AE1407"/>
    <mergeCell ref="AF1407:AG1407"/>
    <mergeCell ref="AH1407:AI1407"/>
    <mergeCell ref="AJ1407:AK1407"/>
    <mergeCell ref="AL1407:BB1407"/>
    <mergeCell ref="AJ1401:AK1401"/>
    <mergeCell ref="AL1401:BB1401"/>
    <mergeCell ref="AH1402:AI1402"/>
    <mergeCell ref="AJ1402:AK1402"/>
    <mergeCell ref="AL1402:BB1402"/>
    <mergeCell ref="B1402:C1402"/>
    <mergeCell ref="D1402:E1402"/>
    <mergeCell ref="F1402:G1402"/>
    <mergeCell ref="H1402:I1402"/>
    <mergeCell ref="J1402:K1402"/>
    <mergeCell ref="L1402:M1402"/>
    <mergeCell ref="N1402:O1402"/>
    <mergeCell ref="P1404:Q1404"/>
    <mergeCell ref="R1404:S1404"/>
    <mergeCell ref="T1404:U1404"/>
    <mergeCell ref="V1404:W1404"/>
    <mergeCell ref="X1404:Y1404"/>
    <mergeCell ref="Z1404:AA1404"/>
    <mergeCell ref="AB1404:AC1404"/>
    <mergeCell ref="B1404:C1404"/>
    <mergeCell ref="D1404:E1404"/>
    <mergeCell ref="F1404:G1404"/>
    <mergeCell ref="H1404:I1404"/>
    <mergeCell ref="J1404:K1404"/>
    <mergeCell ref="L1404:M1404"/>
    <mergeCell ref="N1404:O1404"/>
    <mergeCell ref="AD1402:AE1402"/>
    <mergeCell ref="AF1402:AG1402"/>
    <mergeCell ref="P1402:Q1402"/>
    <mergeCell ref="R1402:S1402"/>
    <mergeCell ref="T1402:U1402"/>
    <mergeCell ref="V1402:W1402"/>
    <mergeCell ref="X1402:Y1402"/>
    <mergeCell ref="Z1402:AA1402"/>
    <mergeCell ref="AB1402:AC1402"/>
    <mergeCell ref="AD1403:AE1403"/>
    <mergeCell ref="AF1403:AG1403"/>
    <mergeCell ref="AH1403:AI1403"/>
    <mergeCell ref="AJ1403:AK1403"/>
    <mergeCell ref="AL1403:BB1403"/>
    <mergeCell ref="P1403:Q1403"/>
    <mergeCell ref="R1403:S1403"/>
    <mergeCell ref="T1403:U1403"/>
    <mergeCell ref="V1403:W1403"/>
    <mergeCell ref="X1403:Y1403"/>
    <mergeCell ref="Z1403:AA1403"/>
    <mergeCell ref="AB1403:AC1403"/>
    <mergeCell ref="B1403:C1403"/>
    <mergeCell ref="D1403:E1403"/>
    <mergeCell ref="F1403:G1403"/>
    <mergeCell ref="H1403:I1403"/>
    <mergeCell ref="J1403:K1403"/>
    <mergeCell ref="L1403:M1403"/>
    <mergeCell ref="N1403:O1403"/>
    <mergeCell ref="AD1404:AE1404"/>
    <mergeCell ref="AF1404:AG1404"/>
    <mergeCell ref="AH1404:AI1404"/>
    <mergeCell ref="AJ1404:AK1404"/>
    <mergeCell ref="AL1404:BB1404"/>
    <mergeCell ref="H1397:I1397"/>
    <mergeCell ref="J1397:K1397"/>
    <mergeCell ref="L1397:M1397"/>
    <mergeCell ref="N1397:O1397"/>
    <mergeCell ref="AD1398:AE1398"/>
    <mergeCell ref="AF1398:AG1398"/>
    <mergeCell ref="AH1398:AI1398"/>
    <mergeCell ref="AJ1398:AK1398"/>
    <mergeCell ref="AL1398:BB1398"/>
    <mergeCell ref="AH1399:AI1399"/>
    <mergeCell ref="AJ1399:AK1399"/>
    <mergeCell ref="AL1399:BB1399"/>
    <mergeCell ref="B1399:C1399"/>
    <mergeCell ref="D1399:E1399"/>
    <mergeCell ref="F1399:G1399"/>
    <mergeCell ref="H1399:I1399"/>
    <mergeCell ref="J1399:K1399"/>
    <mergeCell ref="L1399:M1399"/>
    <mergeCell ref="N1399:O1399"/>
    <mergeCell ref="P1401:Q1401"/>
    <mergeCell ref="R1401:S1401"/>
    <mergeCell ref="T1401:U1401"/>
    <mergeCell ref="V1401:W1401"/>
    <mergeCell ref="X1401:Y1401"/>
    <mergeCell ref="Z1401:AA1401"/>
    <mergeCell ref="AB1401:AC1401"/>
    <mergeCell ref="B1401:C1401"/>
    <mergeCell ref="D1401:E1401"/>
    <mergeCell ref="F1401:G1401"/>
    <mergeCell ref="H1401:I1401"/>
    <mergeCell ref="J1401:K1401"/>
    <mergeCell ref="L1401:M1401"/>
    <mergeCell ref="N1401:O1401"/>
    <mergeCell ref="AD1399:AE1399"/>
    <mergeCell ref="AF1399:AG1399"/>
    <mergeCell ref="P1399:Q1399"/>
    <mergeCell ref="R1399:S1399"/>
    <mergeCell ref="T1399:U1399"/>
    <mergeCell ref="V1399:W1399"/>
    <mergeCell ref="X1399:Y1399"/>
    <mergeCell ref="Z1399:AA1399"/>
    <mergeCell ref="AB1399:AC1399"/>
    <mergeCell ref="AD1400:AE1400"/>
    <mergeCell ref="AF1400:AG1400"/>
    <mergeCell ref="AH1400:AI1400"/>
    <mergeCell ref="AJ1400:AK1400"/>
    <mergeCell ref="AL1400:BB1400"/>
    <mergeCell ref="P1400:Q1400"/>
    <mergeCell ref="R1400:S1400"/>
    <mergeCell ref="T1400:U1400"/>
    <mergeCell ref="V1400:W1400"/>
    <mergeCell ref="X1400:Y1400"/>
    <mergeCell ref="Z1400:AA1400"/>
    <mergeCell ref="AB1400:AC1400"/>
    <mergeCell ref="B1400:C1400"/>
    <mergeCell ref="D1400:E1400"/>
    <mergeCell ref="F1400:G1400"/>
    <mergeCell ref="H1400:I1400"/>
    <mergeCell ref="J1400:K1400"/>
    <mergeCell ref="L1400:M1400"/>
    <mergeCell ref="N1400:O1400"/>
    <mergeCell ref="AD1401:AE1401"/>
    <mergeCell ref="AF1401:AG1401"/>
    <mergeCell ref="AH1401:AI1401"/>
    <mergeCell ref="P1395:Q1395"/>
    <mergeCell ref="R1395:S1395"/>
    <mergeCell ref="T1395:U1395"/>
    <mergeCell ref="V1395:W1395"/>
    <mergeCell ref="X1395:Y1395"/>
    <mergeCell ref="Z1395:AA1395"/>
    <mergeCell ref="AB1395:AC1395"/>
    <mergeCell ref="B1395:C1395"/>
    <mergeCell ref="D1395:E1395"/>
    <mergeCell ref="F1395:G1395"/>
    <mergeCell ref="H1395:I1395"/>
    <mergeCell ref="J1395:K1395"/>
    <mergeCell ref="L1395:M1395"/>
    <mergeCell ref="N1395:O1395"/>
    <mergeCell ref="AD1417:AE1417"/>
    <mergeCell ref="AF1417:AG1417"/>
    <mergeCell ref="AH1417:AI1417"/>
    <mergeCell ref="AJ1417:AK1417"/>
    <mergeCell ref="AL1417:BB1417"/>
    <mergeCell ref="P1417:Q1417"/>
    <mergeCell ref="R1417:S1417"/>
    <mergeCell ref="T1417:U1417"/>
    <mergeCell ref="V1417:W1417"/>
    <mergeCell ref="X1417:Y1417"/>
    <mergeCell ref="Z1417:AA1417"/>
    <mergeCell ref="AB1417:AC1417"/>
    <mergeCell ref="P1398:Q1398"/>
    <mergeCell ref="R1398:S1398"/>
    <mergeCell ref="T1398:U1398"/>
    <mergeCell ref="V1398:W1398"/>
    <mergeCell ref="X1398:Y1398"/>
    <mergeCell ref="Z1398:AA1398"/>
    <mergeCell ref="AB1398:AC1398"/>
    <mergeCell ref="B1398:C1398"/>
    <mergeCell ref="D1398:E1398"/>
    <mergeCell ref="F1398:G1398"/>
    <mergeCell ref="H1398:I1398"/>
    <mergeCell ref="J1398:K1398"/>
    <mergeCell ref="L1398:M1398"/>
    <mergeCell ref="N1398:O1398"/>
    <mergeCell ref="AD1396:AE1396"/>
    <mergeCell ref="AF1396:AG1396"/>
    <mergeCell ref="P1396:Q1396"/>
    <mergeCell ref="R1396:S1396"/>
    <mergeCell ref="T1396:U1396"/>
    <mergeCell ref="V1396:W1396"/>
    <mergeCell ref="X1396:Y1396"/>
    <mergeCell ref="Z1396:AA1396"/>
    <mergeCell ref="AB1396:AC1396"/>
    <mergeCell ref="AD1397:AE1397"/>
    <mergeCell ref="AF1397:AG1397"/>
    <mergeCell ref="AH1397:AI1397"/>
    <mergeCell ref="AJ1397:AK1397"/>
    <mergeCell ref="AL1397:BB1397"/>
    <mergeCell ref="P1397:Q1397"/>
    <mergeCell ref="R1397:S1397"/>
    <mergeCell ref="T1397:U1397"/>
    <mergeCell ref="V1397:W1397"/>
    <mergeCell ref="X1397:Y1397"/>
    <mergeCell ref="Z1397:AA1397"/>
    <mergeCell ref="AB1397:AC1397"/>
    <mergeCell ref="B1397:C1397"/>
    <mergeCell ref="D1397:E1397"/>
    <mergeCell ref="F1397:G1397"/>
    <mergeCell ref="AL1386:BB1386"/>
    <mergeCell ref="AH1387:AI1387"/>
    <mergeCell ref="AJ1387:AK1387"/>
    <mergeCell ref="AL1387:BB1387"/>
    <mergeCell ref="B1387:C1387"/>
    <mergeCell ref="D1387:E1387"/>
    <mergeCell ref="F1387:G1387"/>
    <mergeCell ref="H1387:I1387"/>
    <mergeCell ref="J1387:K1387"/>
    <mergeCell ref="L1387:M1387"/>
    <mergeCell ref="N1387:O1387"/>
    <mergeCell ref="P1389:Q1389"/>
    <mergeCell ref="R1389:S1389"/>
    <mergeCell ref="T1389:U1389"/>
    <mergeCell ref="V1389:W1389"/>
    <mergeCell ref="X1389:Y1389"/>
    <mergeCell ref="Z1389:AA1389"/>
    <mergeCell ref="AB1389:AC1389"/>
    <mergeCell ref="B1389:C1389"/>
    <mergeCell ref="D1389:E1389"/>
    <mergeCell ref="F1389:G1389"/>
    <mergeCell ref="H1389:I1389"/>
    <mergeCell ref="J1389:K1389"/>
    <mergeCell ref="L1389:M1389"/>
    <mergeCell ref="N1389:O1389"/>
    <mergeCell ref="AD1387:AE1387"/>
    <mergeCell ref="AF1387:AG1387"/>
    <mergeCell ref="P1387:Q1387"/>
    <mergeCell ref="R1387:S1387"/>
    <mergeCell ref="T1387:U1387"/>
    <mergeCell ref="V1387:W1387"/>
    <mergeCell ref="X1387:Y1387"/>
    <mergeCell ref="Z1387:AA1387"/>
    <mergeCell ref="AB1387:AC1387"/>
    <mergeCell ref="AD1388:AE1388"/>
    <mergeCell ref="AF1388:AG1388"/>
    <mergeCell ref="AH1388:AI1388"/>
    <mergeCell ref="AJ1388:AK1388"/>
    <mergeCell ref="AL1388:BB1388"/>
    <mergeCell ref="P1388:Q1388"/>
    <mergeCell ref="R1388:S1388"/>
    <mergeCell ref="T1388:U1388"/>
    <mergeCell ref="V1388:W1388"/>
    <mergeCell ref="X1388:Y1388"/>
    <mergeCell ref="Z1388:AA1388"/>
    <mergeCell ref="AB1388:AC1388"/>
    <mergeCell ref="B1388:C1388"/>
    <mergeCell ref="D1388:E1388"/>
    <mergeCell ref="F1388:G1388"/>
    <mergeCell ref="H1388:I1388"/>
    <mergeCell ref="J1388:K1388"/>
    <mergeCell ref="L1388:M1388"/>
    <mergeCell ref="N1388:O1388"/>
    <mergeCell ref="AD1389:AE1389"/>
    <mergeCell ref="AF1389:AG1389"/>
    <mergeCell ref="AH1389:AI1389"/>
    <mergeCell ref="AJ1389:AK1389"/>
    <mergeCell ref="AL1389:BB1389"/>
    <mergeCell ref="AD1395:AE1395"/>
    <mergeCell ref="AF1395:AG1395"/>
    <mergeCell ref="AH1395:AI1395"/>
    <mergeCell ref="AJ1395:AK1395"/>
    <mergeCell ref="AL1395:BB1395"/>
    <mergeCell ref="AH1396:AI1396"/>
    <mergeCell ref="AJ1396:AK1396"/>
    <mergeCell ref="AL1396:BB1396"/>
    <mergeCell ref="B1396:C1396"/>
    <mergeCell ref="D1396:E1396"/>
    <mergeCell ref="F1396:G1396"/>
    <mergeCell ref="H1396:I1396"/>
    <mergeCell ref="J1396:K1396"/>
    <mergeCell ref="L1396:M1396"/>
    <mergeCell ref="N1396:O1396"/>
    <mergeCell ref="AD1381:AE1381"/>
    <mergeCell ref="AF1381:AG1381"/>
    <mergeCell ref="P1381:Q1381"/>
    <mergeCell ref="R1381:S1381"/>
    <mergeCell ref="T1381:U1381"/>
    <mergeCell ref="V1381:W1381"/>
    <mergeCell ref="X1381:Y1381"/>
    <mergeCell ref="Z1381:AA1381"/>
    <mergeCell ref="AB1381:AC1381"/>
    <mergeCell ref="AD1382:AE1382"/>
    <mergeCell ref="AF1382:AG1382"/>
    <mergeCell ref="AH1382:AI1382"/>
    <mergeCell ref="AJ1382:AK1382"/>
    <mergeCell ref="AL1382:BB1382"/>
    <mergeCell ref="P1382:Q1382"/>
    <mergeCell ref="R1382:S1382"/>
    <mergeCell ref="T1382:U1382"/>
    <mergeCell ref="V1382:W1382"/>
    <mergeCell ref="X1382:Y1382"/>
    <mergeCell ref="Z1382:AA1382"/>
    <mergeCell ref="AB1382:AC1382"/>
    <mergeCell ref="B1382:C1382"/>
    <mergeCell ref="D1382:E1382"/>
    <mergeCell ref="F1382:G1382"/>
    <mergeCell ref="H1382:I1382"/>
    <mergeCell ref="J1382:K1382"/>
    <mergeCell ref="L1382:M1382"/>
    <mergeCell ref="N1382:O1382"/>
    <mergeCell ref="AD1383:AE1383"/>
    <mergeCell ref="AF1383:AG1383"/>
    <mergeCell ref="AH1383:AI1383"/>
    <mergeCell ref="AJ1383:AK1383"/>
    <mergeCell ref="AL1383:BB1383"/>
    <mergeCell ref="AH1384:AI1384"/>
    <mergeCell ref="AJ1384:AK1384"/>
    <mergeCell ref="AL1384:BB1384"/>
    <mergeCell ref="B1384:C1384"/>
    <mergeCell ref="D1384:E1384"/>
    <mergeCell ref="F1384:G1384"/>
    <mergeCell ref="H1384:I1384"/>
    <mergeCell ref="J1384:K1384"/>
    <mergeCell ref="L1384:M1384"/>
    <mergeCell ref="N1384:O1384"/>
    <mergeCell ref="AD1384:AE1384"/>
    <mergeCell ref="AF1384:AG1384"/>
    <mergeCell ref="P1384:Q1384"/>
    <mergeCell ref="R1384:S1384"/>
    <mergeCell ref="T1384:U1384"/>
    <mergeCell ref="V1384:W1384"/>
    <mergeCell ref="AH1393:AI1393"/>
    <mergeCell ref="AJ1393:AK1393"/>
    <mergeCell ref="AL1393:BB1393"/>
    <mergeCell ref="B1393:C1393"/>
    <mergeCell ref="D1393:E1393"/>
    <mergeCell ref="F1393:G1393"/>
    <mergeCell ref="H1393:I1393"/>
    <mergeCell ref="J1393:K1393"/>
    <mergeCell ref="L1393:M1393"/>
    <mergeCell ref="N1393:O1393"/>
    <mergeCell ref="AD1393:AE1393"/>
    <mergeCell ref="AF1393:AG1393"/>
    <mergeCell ref="P1393:Q1393"/>
    <mergeCell ref="R1393:S1393"/>
    <mergeCell ref="T1393:U1393"/>
    <mergeCell ref="V1393:W1393"/>
    <mergeCell ref="X1393:Y1393"/>
    <mergeCell ref="Z1393:AA1393"/>
    <mergeCell ref="AB1393:AC1393"/>
    <mergeCell ref="AD1394:AE1394"/>
    <mergeCell ref="AF1394:AG1394"/>
    <mergeCell ref="AH1394:AI1394"/>
    <mergeCell ref="AJ1394:AK1394"/>
    <mergeCell ref="AL1394:BB1394"/>
    <mergeCell ref="P1394:Q1394"/>
    <mergeCell ref="R1394:S1394"/>
    <mergeCell ref="T1394:U1394"/>
    <mergeCell ref="V1394:W1394"/>
    <mergeCell ref="X1394:Y1394"/>
    <mergeCell ref="Z1394:AA1394"/>
    <mergeCell ref="AB1394:AC1394"/>
    <mergeCell ref="B1394:C1394"/>
    <mergeCell ref="D1394:E1394"/>
    <mergeCell ref="F1394:G1394"/>
    <mergeCell ref="H1394:I1394"/>
    <mergeCell ref="J1394:K1394"/>
    <mergeCell ref="L1394:M1394"/>
    <mergeCell ref="N1394:O1394"/>
    <mergeCell ref="AD1390:AE1390"/>
    <mergeCell ref="AF1390:AG1390"/>
    <mergeCell ref="P1390:Q1390"/>
    <mergeCell ref="R1390:S1390"/>
    <mergeCell ref="T1390:U1390"/>
    <mergeCell ref="V1390:W1390"/>
    <mergeCell ref="X1390:Y1390"/>
    <mergeCell ref="Z1390:AA1390"/>
    <mergeCell ref="AB1390:AC1390"/>
    <mergeCell ref="AD1391:AE1391"/>
    <mergeCell ref="AF1391:AG1391"/>
    <mergeCell ref="AH1391:AI1391"/>
    <mergeCell ref="AJ1391:AK1391"/>
    <mergeCell ref="AL1391:BB1391"/>
    <mergeCell ref="P1391:Q1391"/>
    <mergeCell ref="R1391:S1391"/>
    <mergeCell ref="T1391:U1391"/>
    <mergeCell ref="V1391:W1391"/>
    <mergeCell ref="X1391:Y1391"/>
    <mergeCell ref="Z1391:AA1391"/>
    <mergeCell ref="AB1391:AC1391"/>
    <mergeCell ref="B1391:C1391"/>
    <mergeCell ref="D1391:E1391"/>
    <mergeCell ref="F1391:G1391"/>
    <mergeCell ref="H1391:I1391"/>
    <mergeCell ref="J1391:K1391"/>
    <mergeCell ref="L1391:M1391"/>
    <mergeCell ref="N1391:O1391"/>
    <mergeCell ref="AD1392:AE1392"/>
    <mergeCell ref="AF1392:AG1392"/>
    <mergeCell ref="AH1392:AI1392"/>
    <mergeCell ref="AJ1392:AK1392"/>
    <mergeCell ref="AL1392:BB1392"/>
    <mergeCell ref="AH1390:AI1390"/>
    <mergeCell ref="AJ1390:AK1390"/>
    <mergeCell ref="AL1390:BB1390"/>
    <mergeCell ref="B1390:C1390"/>
    <mergeCell ref="D1390:E1390"/>
    <mergeCell ref="F1390:G1390"/>
    <mergeCell ref="H1390:I1390"/>
    <mergeCell ref="J1390:K1390"/>
    <mergeCell ref="L1390:M1390"/>
    <mergeCell ref="N1390:O1390"/>
    <mergeCell ref="P1392:Q1392"/>
    <mergeCell ref="R1392:S1392"/>
    <mergeCell ref="T1392:U1392"/>
    <mergeCell ref="V1392:W1392"/>
    <mergeCell ref="X1392:Y1392"/>
    <mergeCell ref="Z1392:AA1392"/>
    <mergeCell ref="AB1392:AC1392"/>
    <mergeCell ref="B1392:C1392"/>
    <mergeCell ref="D1392:E1392"/>
    <mergeCell ref="F1392:G1392"/>
    <mergeCell ref="H1392:I1392"/>
    <mergeCell ref="J1392:K1392"/>
    <mergeCell ref="L1392:M1392"/>
    <mergeCell ref="N1392:O1392"/>
    <mergeCell ref="AH1381:AI1381"/>
    <mergeCell ref="AJ1381:AK1381"/>
    <mergeCell ref="AL1381:BB1381"/>
    <mergeCell ref="B1381:C1381"/>
    <mergeCell ref="D1381:E1381"/>
    <mergeCell ref="F1381:G1381"/>
    <mergeCell ref="H1381:I1381"/>
    <mergeCell ref="J1381:K1381"/>
    <mergeCell ref="L1381:M1381"/>
    <mergeCell ref="N1381:O1381"/>
    <mergeCell ref="P1383:Q1383"/>
    <mergeCell ref="R1383:S1383"/>
    <mergeCell ref="T1383:U1383"/>
    <mergeCell ref="V1383:W1383"/>
    <mergeCell ref="X1383:Y1383"/>
    <mergeCell ref="Z1383:AA1383"/>
    <mergeCell ref="AB1383:AC1383"/>
    <mergeCell ref="B1383:C1383"/>
    <mergeCell ref="D1383:E1383"/>
    <mergeCell ref="F1383:G1383"/>
    <mergeCell ref="H1383:I1383"/>
    <mergeCell ref="J1383:K1383"/>
    <mergeCell ref="L1383:M1383"/>
    <mergeCell ref="N1383:O1383"/>
    <mergeCell ref="P1386:Q1386"/>
    <mergeCell ref="R1386:S1386"/>
    <mergeCell ref="T1386:U1386"/>
    <mergeCell ref="V1386:W1386"/>
    <mergeCell ref="X1386:Y1386"/>
    <mergeCell ref="Z1386:AA1386"/>
    <mergeCell ref="AB1386:AC1386"/>
    <mergeCell ref="B1386:C1386"/>
    <mergeCell ref="D1386:E1386"/>
    <mergeCell ref="F1386:G1386"/>
    <mergeCell ref="H1386:I1386"/>
    <mergeCell ref="J1386:K1386"/>
    <mergeCell ref="L1386:M1386"/>
    <mergeCell ref="N1386:O1386"/>
    <mergeCell ref="X1384:Y1384"/>
    <mergeCell ref="Z1384:AA1384"/>
    <mergeCell ref="AB1384:AC1384"/>
    <mergeCell ref="AD1385:AE1385"/>
    <mergeCell ref="AF1385:AG1385"/>
    <mergeCell ref="AH1385:AI1385"/>
    <mergeCell ref="AJ1385:AK1385"/>
    <mergeCell ref="AL1385:BB1385"/>
    <mergeCell ref="P1385:Q1385"/>
    <mergeCell ref="R1385:S1385"/>
    <mergeCell ref="T1385:U1385"/>
    <mergeCell ref="V1385:W1385"/>
    <mergeCell ref="X1385:Y1385"/>
    <mergeCell ref="Z1385:AA1385"/>
    <mergeCell ref="AB1385:AC1385"/>
    <mergeCell ref="B1385:C1385"/>
    <mergeCell ref="D1385:E1385"/>
    <mergeCell ref="F1385:G1385"/>
    <mergeCell ref="H1385:I1385"/>
    <mergeCell ref="J1385:K1385"/>
    <mergeCell ref="L1385:M1385"/>
    <mergeCell ref="N1385:O1385"/>
    <mergeCell ref="AD1386:AE1386"/>
    <mergeCell ref="AF1386:AG1386"/>
    <mergeCell ref="AH1386:AI1386"/>
    <mergeCell ref="AJ1386:AK1386"/>
    <mergeCell ref="AH1378:AI1378"/>
    <mergeCell ref="AJ1378:AK1378"/>
    <mergeCell ref="AL1378:BB1378"/>
    <mergeCell ref="B1378:C1378"/>
    <mergeCell ref="D1378:E1378"/>
    <mergeCell ref="F1378:G1378"/>
    <mergeCell ref="H1378:I1378"/>
    <mergeCell ref="J1378:K1378"/>
    <mergeCell ref="L1378:M1378"/>
    <mergeCell ref="N1378:O1378"/>
    <mergeCell ref="P1380:Q1380"/>
    <mergeCell ref="R1380:S1380"/>
    <mergeCell ref="T1380:U1380"/>
    <mergeCell ref="V1380:W1380"/>
    <mergeCell ref="X1380:Y1380"/>
    <mergeCell ref="Z1380:AA1380"/>
    <mergeCell ref="AB1380:AC1380"/>
    <mergeCell ref="B1380:C1380"/>
    <mergeCell ref="D1380:E1380"/>
    <mergeCell ref="F1380:G1380"/>
    <mergeCell ref="H1380:I1380"/>
    <mergeCell ref="J1380:K1380"/>
    <mergeCell ref="L1380:M1380"/>
    <mergeCell ref="N1380:O1380"/>
    <mergeCell ref="AD1378:AE1378"/>
    <mergeCell ref="AF1378:AG1378"/>
    <mergeCell ref="P1378:Q1378"/>
    <mergeCell ref="R1378:S1378"/>
    <mergeCell ref="T1378:U1378"/>
    <mergeCell ref="V1378:W1378"/>
    <mergeCell ref="X1378:Y1378"/>
    <mergeCell ref="Z1378:AA1378"/>
    <mergeCell ref="AB1378:AC1378"/>
    <mergeCell ref="AD1379:AE1379"/>
    <mergeCell ref="AF1379:AG1379"/>
    <mergeCell ref="AH1379:AI1379"/>
    <mergeCell ref="AJ1379:AK1379"/>
    <mergeCell ref="AL1379:BB1379"/>
    <mergeCell ref="P1379:Q1379"/>
    <mergeCell ref="R1379:S1379"/>
    <mergeCell ref="T1379:U1379"/>
    <mergeCell ref="V1379:W1379"/>
    <mergeCell ref="X1379:Y1379"/>
    <mergeCell ref="Z1379:AA1379"/>
    <mergeCell ref="AB1379:AC1379"/>
    <mergeCell ref="B1379:C1379"/>
    <mergeCell ref="D1379:E1379"/>
    <mergeCell ref="F1379:G1379"/>
    <mergeCell ref="H1379:I1379"/>
    <mergeCell ref="J1379:K1379"/>
    <mergeCell ref="L1379:M1379"/>
    <mergeCell ref="N1379:O1379"/>
    <mergeCell ref="AD1380:AE1380"/>
    <mergeCell ref="AF1380:AG1380"/>
    <mergeCell ref="AH1380:AI1380"/>
    <mergeCell ref="AJ1380:AK1380"/>
    <mergeCell ref="AL1380:BB1380"/>
    <mergeCell ref="B1375:C1375"/>
    <mergeCell ref="D1375:E1375"/>
    <mergeCell ref="F1375:G1375"/>
    <mergeCell ref="H1375:I1375"/>
    <mergeCell ref="J1375:K1375"/>
    <mergeCell ref="L1375:M1375"/>
    <mergeCell ref="N1375:O1375"/>
    <mergeCell ref="AD1376:AE1376"/>
    <mergeCell ref="AF1376:AG1376"/>
    <mergeCell ref="AH1376:AI1376"/>
    <mergeCell ref="AJ1376:AK1376"/>
    <mergeCell ref="AL1376:BB1376"/>
    <mergeCell ref="P1376:Q1376"/>
    <mergeCell ref="R1376:S1376"/>
    <mergeCell ref="T1376:U1376"/>
    <mergeCell ref="V1376:W1376"/>
    <mergeCell ref="X1376:Y1376"/>
    <mergeCell ref="Z1376:AA1376"/>
    <mergeCell ref="AB1376:AC1376"/>
    <mergeCell ref="B1376:C1376"/>
    <mergeCell ref="D1376:E1376"/>
    <mergeCell ref="F1376:G1376"/>
    <mergeCell ref="H1376:I1376"/>
    <mergeCell ref="J1376:K1376"/>
    <mergeCell ref="L1376:M1376"/>
    <mergeCell ref="N1376:O1376"/>
    <mergeCell ref="AD1377:AE1377"/>
    <mergeCell ref="AF1377:AG1377"/>
    <mergeCell ref="AH1377:AI1377"/>
    <mergeCell ref="AJ1377:AK1377"/>
    <mergeCell ref="AL1377:BB1377"/>
    <mergeCell ref="P1377:Q1377"/>
    <mergeCell ref="R1377:S1377"/>
    <mergeCell ref="T1377:U1377"/>
    <mergeCell ref="V1377:W1377"/>
    <mergeCell ref="X1377:Y1377"/>
    <mergeCell ref="Z1377:AA1377"/>
    <mergeCell ref="AB1377:AC1377"/>
    <mergeCell ref="B1377:C1377"/>
    <mergeCell ref="D1377:E1377"/>
    <mergeCell ref="F1377:G1377"/>
    <mergeCell ref="H1377:I1377"/>
    <mergeCell ref="J1377:K1377"/>
    <mergeCell ref="L1377:M1377"/>
    <mergeCell ref="N1377:O1377"/>
    <mergeCell ref="AH1372:AI1372"/>
    <mergeCell ref="AJ1372:AK1372"/>
    <mergeCell ref="AL1372:BB1372"/>
    <mergeCell ref="B1372:C1372"/>
    <mergeCell ref="D1372:E1372"/>
    <mergeCell ref="F1372:G1372"/>
    <mergeCell ref="H1372:I1372"/>
    <mergeCell ref="J1372:K1372"/>
    <mergeCell ref="L1372:M1372"/>
    <mergeCell ref="N1372:O1372"/>
    <mergeCell ref="P1374:Q1374"/>
    <mergeCell ref="R1374:S1374"/>
    <mergeCell ref="T1374:U1374"/>
    <mergeCell ref="V1374:W1374"/>
    <mergeCell ref="X1374:Y1374"/>
    <mergeCell ref="Z1374:AA1374"/>
    <mergeCell ref="AB1374:AC1374"/>
    <mergeCell ref="B1374:C1374"/>
    <mergeCell ref="D1374:E1374"/>
    <mergeCell ref="F1374:G1374"/>
    <mergeCell ref="H1374:I1374"/>
    <mergeCell ref="J1374:K1374"/>
    <mergeCell ref="L1374:M1374"/>
    <mergeCell ref="N1374:O1374"/>
    <mergeCell ref="AD1372:AE1372"/>
    <mergeCell ref="AF1372:AG1372"/>
    <mergeCell ref="P1372:Q1372"/>
    <mergeCell ref="R1372:S1372"/>
    <mergeCell ref="T1372:U1372"/>
    <mergeCell ref="V1372:W1372"/>
    <mergeCell ref="X1372:Y1372"/>
    <mergeCell ref="Z1372:AA1372"/>
    <mergeCell ref="AB1372:AC1372"/>
    <mergeCell ref="AD1373:AE1373"/>
    <mergeCell ref="AF1373:AG1373"/>
    <mergeCell ref="AH1373:AI1373"/>
    <mergeCell ref="AJ1373:AK1373"/>
    <mergeCell ref="AL1373:BB1373"/>
    <mergeCell ref="P1373:Q1373"/>
    <mergeCell ref="R1373:S1373"/>
    <mergeCell ref="T1373:U1373"/>
    <mergeCell ref="V1373:W1373"/>
    <mergeCell ref="X1373:Y1373"/>
    <mergeCell ref="Z1373:AA1373"/>
    <mergeCell ref="AB1373:AC1373"/>
    <mergeCell ref="B1373:C1373"/>
    <mergeCell ref="D1373:E1373"/>
    <mergeCell ref="F1373:G1373"/>
    <mergeCell ref="H1373:I1373"/>
    <mergeCell ref="J1373:K1373"/>
    <mergeCell ref="L1373:M1373"/>
    <mergeCell ref="N1373:O1373"/>
    <mergeCell ref="AD1374:AE1374"/>
    <mergeCell ref="AF1374:AG1374"/>
    <mergeCell ref="AH1374:AI1374"/>
    <mergeCell ref="AJ1374:AK1374"/>
    <mergeCell ref="AL1374:BB1374"/>
    <mergeCell ref="AH1369:AI1369"/>
    <mergeCell ref="AJ1369:AK1369"/>
    <mergeCell ref="AL1369:BB1369"/>
    <mergeCell ref="B1369:C1369"/>
    <mergeCell ref="D1369:E1369"/>
    <mergeCell ref="F1369:G1369"/>
    <mergeCell ref="H1369:I1369"/>
    <mergeCell ref="J1369:K1369"/>
    <mergeCell ref="L1369:M1369"/>
    <mergeCell ref="N1369:O1369"/>
    <mergeCell ref="P1371:Q1371"/>
    <mergeCell ref="R1371:S1371"/>
    <mergeCell ref="T1371:U1371"/>
    <mergeCell ref="V1371:W1371"/>
    <mergeCell ref="X1371:Y1371"/>
    <mergeCell ref="Z1371:AA1371"/>
    <mergeCell ref="AB1371:AC1371"/>
    <mergeCell ref="B1371:C1371"/>
    <mergeCell ref="D1371:E1371"/>
    <mergeCell ref="F1371:G1371"/>
    <mergeCell ref="H1371:I1371"/>
    <mergeCell ref="J1371:K1371"/>
    <mergeCell ref="L1371:M1371"/>
    <mergeCell ref="N1371:O1371"/>
    <mergeCell ref="AD1369:AE1369"/>
    <mergeCell ref="AF1369:AG1369"/>
    <mergeCell ref="P1369:Q1369"/>
    <mergeCell ref="R1369:S1369"/>
    <mergeCell ref="T1369:U1369"/>
    <mergeCell ref="V1369:W1369"/>
    <mergeCell ref="X1369:Y1369"/>
    <mergeCell ref="Z1369:AA1369"/>
    <mergeCell ref="AB1369:AC1369"/>
    <mergeCell ref="AD1370:AE1370"/>
    <mergeCell ref="AF1370:AG1370"/>
    <mergeCell ref="AH1370:AI1370"/>
    <mergeCell ref="AJ1370:AK1370"/>
    <mergeCell ref="AL1370:BB1370"/>
    <mergeCell ref="P1370:Q1370"/>
    <mergeCell ref="R1370:S1370"/>
    <mergeCell ref="T1370:U1370"/>
    <mergeCell ref="V1370:W1370"/>
    <mergeCell ref="X1370:Y1370"/>
    <mergeCell ref="Z1370:AA1370"/>
    <mergeCell ref="AB1370:AC1370"/>
    <mergeCell ref="B1370:C1370"/>
    <mergeCell ref="D1370:E1370"/>
    <mergeCell ref="F1370:G1370"/>
    <mergeCell ref="H1370:I1370"/>
    <mergeCell ref="J1370:K1370"/>
    <mergeCell ref="L1370:M1370"/>
    <mergeCell ref="N1370:O1370"/>
    <mergeCell ref="AD1371:AE1371"/>
    <mergeCell ref="AF1371:AG1371"/>
    <mergeCell ref="AH1371:AI1371"/>
    <mergeCell ref="AJ1371:AK1371"/>
    <mergeCell ref="AL1371:BB1371"/>
    <mergeCell ref="AH1366:AI1366"/>
    <mergeCell ref="AJ1366:AK1366"/>
    <mergeCell ref="AL1366:BB1366"/>
    <mergeCell ref="B1366:C1366"/>
    <mergeCell ref="D1366:E1366"/>
    <mergeCell ref="F1366:G1366"/>
    <mergeCell ref="H1366:I1366"/>
    <mergeCell ref="J1366:K1366"/>
    <mergeCell ref="L1366:M1366"/>
    <mergeCell ref="N1366:O1366"/>
    <mergeCell ref="P1368:Q1368"/>
    <mergeCell ref="R1368:S1368"/>
    <mergeCell ref="T1368:U1368"/>
    <mergeCell ref="V1368:W1368"/>
    <mergeCell ref="X1368:Y1368"/>
    <mergeCell ref="Z1368:AA1368"/>
    <mergeCell ref="AB1368:AC1368"/>
    <mergeCell ref="B1368:C1368"/>
    <mergeCell ref="D1368:E1368"/>
    <mergeCell ref="F1368:G1368"/>
    <mergeCell ref="H1368:I1368"/>
    <mergeCell ref="J1368:K1368"/>
    <mergeCell ref="L1368:M1368"/>
    <mergeCell ref="N1368:O1368"/>
    <mergeCell ref="AD1366:AE1366"/>
    <mergeCell ref="AF1366:AG1366"/>
    <mergeCell ref="P1366:Q1366"/>
    <mergeCell ref="R1366:S1366"/>
    <mergeCell ref="T1366:U1366"/>
    <mergeCell ref="V1366:W1366"/>
    <mergeCell ref="X1366:Y1366"/>
    <mergeCell ref="Z1366:AA1366"/>
    <mergeCell ref="AB1366:AC1366"/>
    <mergeCell ref="AD1367:AE1367"/>
    <mergeCell ref="AF1367:AG1367"/>
    <mergeCell ref="AH1367:AI1367"/>
    <mergeCell ref="AJ1367:AK1367"/>
    <mergeCell ref="AL1367:BB1367"/>
    <mergeCell ref="P1367:Q1367"/>
    <mergeCell ref="R1367:S1367"/>
    <mergeCell ref="T1367:U1367"/>
    <mergeCell ref="V1367:W1367"/>
    <mergeCell ref="X1367:Y1367"/>
    <mergeCell ref="Z1367:AA1367"/>
    <mergeCell ref="AB1367:AC1367"/>
    <mergeCell ref="B1367:C1367"/>
    <mergeCell ref="D1367:E1367"/>
    <mergeCell ref="F1367:G1367"/>
    <mergeCell ref="H1367:I1367"/>
    <mergeCell ref="J1367:K1367"/>
    <mergeCell ref="L1367:M1367"/>
    <mergeCell ref="N1367:O1367"/>
    <mergeCell ref="AD1368:AE1368"/>
    <mergeCell ref="AF1368:AG1368"/>
    <mergeCell ref="AH1368:AI1368"/>
    <mergeCell ref="AJ1368:AK1368"/>
    <mergeCell ref="AL1368:BB1368"/>
    <mergeCell ref="AH1363:AI1363"/>
    <mergeCell ref="AJ1363:AK1363"/>
    <mergeCell ref="AL1363:BB1363"/>
    <mergeCell ref="B1363:C1363"/>
    <mergeCell ref="D1363:E1363"/>
    <mergeCell ref="F1363:G1363"/>
    <mergeCell ref="H1363:I1363"/>
    <mergeCell ref="J1363:K1363"/>
    <mergeCell ref="L1363:M1363"/>
    <mergeCell ref="N1363:O1363"/>
    <mergeCell ref="P1365:Q1365"/>
    <mergeCell ref="R1365:S1365"/>
    <mergeCell ref="T1365:U1365"/>
    <mergeCell ref="V1365:W1365"/>
    <mergeCell ref="X1365:Y1365"/>
    <mergeCell ref="Z1365:AA1365"/>
    <mergeCell ref="AB1365:AC1365"/>
    <mergeCell ref="B1365:C1365"/>
    <mergeCell ref="D1365:E1365"/>
    <mergeCell ref="F1365:G1365"/>
    <mergeCell ref="H1365:I1365"/>
    <mergeCell ref="J1365:K1365"/>
    <mergeCell ref="L1365:M1365"/>
    <mergeCell ref="N1365:O1365"/>
    <mergeCell ref="AD1363:AE1363"/>
    <mergeCell ref="AF1363:AG1363"/>
    <mergeCell ref="P1363:Q1363"/>
    <mergeCell ref="R1363:S1363"/>
    <mergeCell ref="T1363:U1363"/>
    <mergeCell ref="V1363:W1363"/>
    <mergeCell ref="X1363:Y1363"/>
    <mergeCell ref="Z1363:AA1363"/>
    <mergeCell ref="AB1363:AC1363"/>
    <mergeCell ref="AD1364:AE1364"/>
    <mergeCell ref="AF1364:AG1364"/>
    <mergeCell ref="AH1364:AI1364"/>
    <mergeCell ref="AJ1364:AK1364"/>
    <mergeCell ref="AL1364:BB1364"/>
    <mergeCell ref="P1364:Q1364"/>
    <mergeCell ref="R1364:S1364"/>
    <mergeCell ref="T1364:U1364"/>
    <mergeCell ref="V1364:W1364"/>
    <mergeCell ref="X1364:Y1364"/>
    <mergeCell ref="Z1364:AA1364"/>
    <mergeCell ref="AB1364:AC1364"/>
    <mergeCell ref="B1364:C1364"/>
    <mergeCell ref="D1364:E1364"/>
    <mergeCell ref="F1364:G1364"/>
    <mergeCell ref="H1364:I1364"/>
    <mergeCell ref="J1364:K1364"/>
    <mergeCell ref="L1364:M1364"/>
    <mergeCell ref="N1364:O1364"/>
    <mergeCell ref="AD1365:AE1365"/>
    <mergeCell ref="AF1365:AG1365"/>
    <mergeCell ref="AH1365:AI1365"/>
    <mergeCell ref="AJ1365:AK1365"/>
    <mergeCell ref="AL1365:BB1365"/>
    <mergeCell ref="AJ1359:AK1359"/>
    <mergeCell ref="AL1359:BB1359"/>
    <mergeCell ref="AH1360:AI1360"/>
    <mergeCell ref="AJ1360:AK1360"/>
    <mergeCell ref="AL1360:BB1360"/>
    <mergeCell ref="B1360:C1360"/>
    <mergeCell ref="D1360:E1360"/>
    <mergeCell ref="F1360:G1360"/>
    <mergeCell ref="H1360:I1360"/>
    <mergeCell ref="J1360:K1360"/>
    <mergeCell ref="L1360:M1360"/>
    <mergeCell ref="N1360:O1360"/>
    <mergeCell ref="P1362:Q1362"/>
    <mergeCell ref="R1362:S1362"/>
    <mergeCell ref="T1362:U1362"/>
    <mergeCell ref="V1362:W1362"/>
    <mergeCell ref="X1362:Y1362"/>
    <mergeCell ref="Z1362:AA1362"/>
    <mergeCell ref="AB1362:AC1362"/>
    <mergeCell ref="B1362:C1362"/>
    <mergeCell ref="D1362:E1362"/>
    <mergeCell ref="F1362:G1362"/>
    <mergeCell ref="H1362:I1362"/>
    <mergeCell ref="J1362:K1362"/>
    <mergeCell ref="L1362:M1362"/>
    <mergeCell ref="N1362:O1362"/>
    <mergeCell ref="AD1360:AE1360"/>
    <mergeCell ref="AF1360:AG1360"/>
    <mergeCell ref="P1360:Q1360"/>
    <mergeCell ref="R1360:S1360"/>
    <mergeCell ref="T1360:U1360"/>
    <mergeCell ref="V1360:W1360"/>
    <mergeCell ref="X1360:Y1360"/>
    <mergeCell ref="Z1360:AA1360"/>
    <mergeCell ref="AB1360:AC1360"/>
    <mergeCell ref="AD1361:AE1361"/>
    <mergeCell ref="AF1361:AG1361"/>
    <mergeCell ref="AH1361:AI1361"/>
    <mergeCell ref="AJ1361:AK1361"/>
    <mergeCell ref="AL1361:BB1361"/>
    <mergeCell ref="P1361:Q1361"/>
    <mergeCell ref="R1361:S1361"/>
    <mergeCell ref="T1361:U1361"/>
    <mergeCell ref="V1361:W1361"/>
    <mergeCell ref="X1361:Y1361"/>
    <mergeCell ref="Z1361:AA1361"/>
    <mergeCell ref="AB1361:AC1361"/>
    <mergeCell ref="B1361:C1361"/>
    <mergeCell ref="D1361:E1361"/>
    <mergeCell ref="F1361:G1361"/>
    <mergeCell ref="H1361:I1361"/>
    <mergeCell ref="J1361:K1361"/>
    <mergeCell ref="L1361:M1361"/>
    <mergeCell ref="N1361:O1361"/>
    <mergeCell ref="AD1362:AE1362"/>
    <mergeCell ref="AF1362:AG1362"/>
    <mergeCell ref="AH1362:AI1362"/>
    <mergeCell ref="AJ1362:AK1362"/>
    <mergeCell ref="AL1362:BB1362"/>
    <mergeCell ref="H1355:I1355"/>
    <mergeCell ref="J1355:K1355"/>
    <mergeCell ref="L1355:M1355"/>
    <mergeCell ref="N1355:O1355"/>
    <mergeCell ref="AD1356:AE1356"/>
    <mergeCell ref="AF1356:AG1356"/>
    <mergeCell ref="AH1356:AI1356"/>
    <mergeCell ref="AJ1356:AK1356"/>
    <mergeCell ref="AL1356:BB1356"/>
    <mergeCell ref="AH1357:AI1357"/>
    <mergeCell ref="AJ1357:AK1357"/>
    <mergeCell ref="AL1357:BB1357"/>
    <mergeCell ref="B1357:C1357"/>
    <mergeCell ref="D1357:E1357"/>
    <mergeCell ref="F1357:G1357"/>
    <mergeCell ref="H1357:I1357"/>
    <mergeCell ref="J1357:K1357"/>
    <mergeCell ref="L1357:M1357"/>
    <mergeCell ref="N1357:O1357"/>
    <mergeCell ref="P1359:Q1359"/>
    <mergeCell ref="R1359:S1359"/>
    <mergeCell ref="T1359:U1359"/>
    <mergeCell ref="V1359:W1359"/>
    <mergeCell ref="X1359:Y1359"/>
    <mergeCell ref="Z1359:AA1359"/>
    <mergeCell ref="AB1359:AC1359"/>
    <mergeCell ref="B1359:C1359"/>
    <mergeCell ref="D1359:E1359"/>
    <mergeCell ref="F1359:G1359"/>
    <mergeCell ref="H1359:I1359"/>
    <mergeCell ref="J1359:K1359"/>
    <mergeCell ref="L1359:M1359"/>
    <mergeCell ref="N1359:O1359"/>
    <mergeCell ref="AD1357:AE1357"/>
    <mergeCell ref="AF1357:AG1357"/>
    <mergeCell ref="P1357:Q1357"/>
    <mergeCell ref="R1357:S1357"/>
    <mergeCell ref="T1357:U1357"/>
    <mergeCell ref="V1357:W1357"/>
    <mergeCell ref="X1357:Y1357"/>
    <mergeCell ref="Z1357:AA1357"/>
    <mergeCell ref="AB1357:AC1357"/>
    <mergeCell ref="AD1358:AE1358"/>
    <mergeCell ref="AF1358:AG1358"/>
    <mergeCell ref="AH1358:AI1358"/>
    <mergeCell ref="AJ1358:AK1358"/>
    <mergeCell ref="AL1358:BB1358"/>
    <mergeCell ref="P1358:Q1358"/>
    <mergeCell ref="R1358:S1358"/>
    <mergeCell ref="T1358:U1358"/>
    <mergeCell ref="V1358:W1358"/>
    <mergeCell ref="X1358:Y1358"/>
    <mergeCell ref="Z1358:AA1358"/>
    <mergeCell ref="AB1358:AC1358"/>
    <mergeCell ref="B1358:C1358"/>
    <mergeCell ref="D1358:E1358"/>
    <mergeCell ref="F1358:G1358"/>
    <mergeCell ref="H1358:I1358"/>
    <mergeCell ref="J1358:K1358"/>
    <mergeCell ref="L1358:M1358"/>
    <mergeCell ref="N1358:O1358"/>
    <mergeCell ref="AD1359:AE1359"/>
    <mergeCell ref="AF1359:AG1359"/>
    <mergeCell ref="AH1359:AI1359"/>
    <mergeCell ref="P1353:Q1353"/>
    <mergeCell ref="R1353:S1353"/>
    <mergeCell ref="T1353:U1353"/>
    <mergeCell ref="V1353:W1353"/>
    <mergeCell ref="X1353:Y1353"/>
    <mergeCell ref="Z1353:AA1353"/>
    <mergeCell ref="AB1353:AC1353"/>
    <mergeCell ref="B1353:C1353"/>
    <mergeCell ref="D1353:E1353"/>
    <mergeCell ref="F1353:G1353"/>
    <mergeCell ref="H1353:I1353"/>
    <mergeCell ref="J1353:K1353"/>
    <mergeCell ref="L1353:M1353"/>
    <mergeCell ref="N1353:O1353"/>
    <mergeCell ref="AD1375:AE1375"/>
    <mergeCell ref="AF1375:AG1375"/>
    <mergeCell ref="AH1375:AI1375"/>
    <mergeCell ref="AJ1375:AK1375"/>
    <mergeCell ref="AL1375:BB1375"/>
    <mergeCell ref="P1375:Q1375"/>
    <mergeCell ref="R1375:S1375"/>
    <mergeCell ref="T1375:U1375"/>
    <mergeCell ref="V1375:W1375"/>
    <mergeCell ref="X1375:Y1375"/>
    <mergeCell ref="Z1375:AA1375"/>
    <mergeCell ref="AB1375:AC1375"/>
    <mergeCell ref="P1356:Q1356"/>
    <mergeCell ref="R1356:S1356"/>
    <mergeCell ref="T1356:U1356"/>
    <mergeCell ref="V1356:W1356"/>
    <mergeCell ref="X1356:Y1356"/>
    <mergeCell ref="Z1356:AA1356"/>
    <mergeCell ref="AB1356:AC1356"/>
    <mergeCell ref="B1356:C1356"/>
    <mergeCell ref="D1356:E1356"/>
    <mergeCell ref="F1356:G1356"/>
    <mergeCell ref="H1356:I1356"/>
    <mergeCell ref="J1356:K1356"/>
    <mergeCell ref="L1356:M1356"/>
    <mergeCell ref="N1356:O1356"/>
    <mergeCell ref="AD1354:AE1354"/>
    <mergeCell ref="AF1354:AG1354"/>
    <mergeCell ref="P1354:Q1354"/>
    <mergeCell ref="R1354:S1354"/>
    <mergeCell ref="T1354:U1354"/>
    <mergeCell ref="V1354:W1354"/>
    <mergeCell ref="X1354:Y1354"/>
    <mergeCell ref="Z1354:AA1354"/>
    <mergeCell ref="AB1354:AC1354"/>
    <mergeCell ref="AD1355:AE1355"/>
    <mergeCell ref="AF1355:AG1355"/>
    <mergeCell ref="AH1355:AI1355"/>
    <mergeCell ref="AJ1355:AK1355"/>
    <mergeCell ref="AL1355:BB1355"/>
    <mergeCell ref="P1355:Q1355"/>
    <mergeCell ref="R1355:S1355"/>
    <mergeCell ref="T1355:U1355"/>
    <mergeCell ref="V1355:W1355"/>
    <mergeCell ref="X1355:Y1355"/>
    <mergeCell ref="Z1355:AA1355"/>
    <mergeCell ref="AB1355:AC1355"/>
    <mergeCell ref="B1355:C1355"/>
    <mergeCell ref="D1355:E1355"/>
    <mergeCell ref="F1355:G1355"/>
    <mergeCell ref="AL1344:BB1344"/>
    <mergeCell ref="AH1345:AI1345"/>
    <mergeCell ref="AJ1345:AK1345"/>
    <mergeCell ref="AL1345:BB1345"/>
    <mergeCell ref="B1345:C1345"/>
    <mergeCell ref="D1345:E1345"/>
    <mergeCell ref="F1345:G1345"/>
    <mergeCell ref="H1345:I1345"/>
    <mergeCell ref="J1345:K1345"/>
    <mergeCell ref="L1345:M1345"/>
    <mergeCell ref="N1345:O1345"/>
    <mergeCell ref="P1347:Q1347"/>
    <mergeCell ref="R1347:S1347"/>
    <mergeCell ref="T1347:U1347"/>
    <mergeCell ref="V1347:W1347"/>
    <mergeCell ref="X1347:Y1347"/>
    <mergeCell ref="Z1347:AA1347"/>
    <mergeCell ref="AB1347:AC1347"/>
    <mergeCell ref="B1347:C1347"/>
    <mergeCell ref="D1347:E1347"/>
    <mergeCell ref="F1347:G1347"/>
    <mergeCell ref="H1347:I1347"/>
    <mergeCell ref="J1347:K1347"/>
    <mergeCell ref="L1347:M1347"/>
    <mergeCell ref="N1347:O1347"/>
    <mergeCell ref="AD1345:AE1345"/>
    <mergeCell ref="AF1345:AG1345"/>
    <mergeCell ref="P1345:Q1345"/>
    <mergeCell ref="R1345:S1345"/>
    <mergeCell ref="T1345:U1345"/>
    <mergeCell ref="V1345:W1345"/>
    <mergeCell ref="X1345:Y1345"/>
    <mergeCell ref="Z1345:AA1345"/>
    <mergeCell ref="AB1345:AC1345"/>
    <mergeCell ref="AD1346:AE1346"/>
    <mergeCell ref="AF1346:AG1346"/>
    <mergeCell ref="AH1346:AI1346"/>
    <mergeCell ref="AJ1346:AK1346"/>
    <mergeCell ref="AL1346:BB1346"/>
    <mergeCell ref="P1346:Q1346"/>
    <mergeCell ref="R1346:S1346"/>
    <mergeCell ref="T1346:U1346"/>
    <mergeCell ref="V1346:W1346"/>
    <mergeCell ref="X1346:Y1346"/>
    <mergeCell ref="Z1346:AA1346"/>
    <mergeCell ref="AB1346:AC1346"/>
    <mergeCell ref="B1346:C1346"/>
    <mergeCell ref="D1346:E1346"/>
    <mergeCell ref="F1346:G1346"/>
    <mergeCell ref="H1346:I1346"/>
    <mergeCell ref="J1346:K1346"/>
    <mergeCell ref="L1346:M1346"/>
    <mergeCell ref="N1346:O1346"/>
    <mergeCell ref="AD1347:AE1347"/>
    <mergeCell ref="AF1347:AG1347"/>
    <mergeCell ref="AH1347:AI1347"/>
    <mergeCell ref="AJ1347:AK1347"/>
    <mergeCell ref="AL1347:BB1347"/>
    <mergeCell ref="AD1353:AE1353"/>
    <mergeCell ref="AF1353:AG1353"/>
    <mergeCell ref="AH1353:AI1353"/>
    <mergeCell ref="AJ1353:AK1353"/>
    <mergeCell ref="AL1353:BB1353"/>
    <mergeCell ref="AH1354:AI1354"/>
    <mergeCell ref="AJ1354:AK1354"/>
    <mergeCell ref="AL1354:BB1354"/>
    <mergeCell ref="B1354:C1354"/>
    <mergeCell ref="D1354:E1354"/>
    <mergeCell ref="F1354:G1354"/>
    <mergeCell ref="H1354:I1354"/>
    <mergeCell ref="J1354:K1354"/>
    <mergeCell ref="L1354:M1354"/>
    <mergeCell ref="N1354:O1354"/>
    <mergeCell ref="AD1339:AE1339"/>
    <mergeCell ref="AF1339:AG1339"/>
    <mergeCell ref="P1339:Q1339"/>
    <mergeCell ref="R1339:S1339"/>
    <mergeCell ref="T1339:U1339"/>
    <mergeCell ref="V1339:W1339"/>
    <mergeCell ref="X1339:Y1339"/>
    <mergeCell ref="Z1339:AA1339"/>
    <mergeCell ref="AB1339:AC1339"/>
    <mergeCell ref="AD1340:AE1340"/>
    <mergeCell ref="AF1340:AG1340"/>
    <mergeCell ref="AH1340:AI1340"/>
    <mergeCell ref="AJ1340:AK1340"/>
    <mergeCell ref="AL1340:BB1340"/>
    <mergeCell ref="P1340:Q1340"/>
    <mergeCell ref="R1340:S1340"/>
    <mergeCell ref="T1340:U1340"/>
    <mergeCell ref="V1340:W1340"/>
    <mergeCell ref="X1340:Y1340"/>
    <mergeCell ref="Z1340:AA1340"/>
    <mergeCell ref="AB1340:AC1340"/>
    <mergeCell ref="B1340:C1340"/>
    <mergeCell ref="D1340:E1340"/>
    <mergeCell ref="F1340:G1340"/>
    <mergeCell ref="H1340:I1340"/>
    <mergeCell ref="J1340:K1340"/>
    <mergeCell ref="L1340:M1340"/>
    <mergeCell ref="N1340:O1340"/>
    <mergeCell ref="AD1341:AE1341"/>
    <mergeCell ref="AF1341:AG1341"/>
    <mergeCell ref="AH1341:AI1341"/>
    <mergeCell ref="AJ1341:AK1341"/>
    <mergeCell ref="AL1341:BB1341"/>
    <mergeCell ref="AH1342:AI1342"/>
    <mergeCell ref="AJ1342:AK1342"/>
    <mergeCell ref="AL1342:BB1342"/>
    <mergeCell ref="B1342:C1342"/>
    <mergeCell ref="D1342:E1342"/>
    <mergeCell ref="F1342:G1342"/>
    <mergeCell ref="H1342:I1342"/>
    <mergeCell ref="J1342:K1342"/>
    <mergeCell ref="L1342:M1342"/>
    <mergeCell ref="N1342:O1342"/>
    <mergeCell ref="AD1342:AE1342"/>
    <mergeCell ref="AF1342:AG1342"/>
    <mergeCell ref="P1342:Q1342"/>
    <mergeCell ref="R1342:S1342"/>
    <mergeCell ref="T1342:U1342"/>
    <mergeCell ref="V1342:W1342"/>
    <mergeCell ref="AH1351:AI1351"/>
    <mergeCell ref="AJ1351:AK1351"/>
    <mergeCell ref="AL1351:BB1351"/>
    <mergeCell ref="B1351:C1351"/>
    <mergeCell ref="D1351:E1351"/>
    <mergeCell ref="F1351:G1351"/>
    <mergeCell ref="H1351:I1351"/>
    <mergeCell ref="J1351:K1351"/>
    <mergeCell ref="L1351:M1351"/>
    <mergeCell ref="N1351:O1351"/>
    <mergeCell ref="AD1351:AE1351"/>
    <mergeCell ref="AF1351:AG1351"/>
    <mergeCell ref="P1351:Q1351"/>
    <mergeCell ref="R1351:S1351"/>
    <mergeCell ref="T1351:U1351"/>
    <mergeCell ref="V1351:W1351"/>
    <mergeCell ref="X1351:Y1351"/>
    <mergeCell ref="Z1351:AA1351"/>
    <mergeCell ref="AB1351:AC1351"/>
    <mergeCell ref="AD1352:AE1352"/>
    <mergeCell ref="AF1352:AG1352"/>
    <mergeCell ref="AH1352:AI1352"/>
    <mergeCell ref="AJ1352:AK1352"/>
    <mergeCell ref="AL1352:BB1352"/>
    <mergeCell ref="P1352:Q1352"/>
    <mergeCell ref="R1352:S1352"/>
    <mergeCell ref="T1352:U1352"/>
    <mergeCell ref="V1352:W1352"/>
    <mergeCell ref="X1352:Y1352"/>
    <mergeCell ref="Z1352:AA1352"/>
    <mergeCell ref="AB1352:AC1352"/>
    <mergeCell ref="B1352:C1352"/>
    <mergeCell ref="D1352:E1352"/>
    <mergeCell ref="F1352:G1352"/>
    <mergeCell ref="H1352:I1352"/>
    <mergeCell ref="J1352:K1352"/>
    <mergeCell ref="L1352:M1352"/>
    <mergeCell ref="N1352:O1352"/>
    <mergeCell ref="AD1348:AE1348"/>
    <mergeCell ref="AF1348:AG1348"/>
    <mergeCell ref="P1348:Q1348"/>
    <mergeCell ref="R1348:S1348"/>
    <mergeCell ref="T1348:U1348"/>
    <mergeCell ref="V1348:W1348"/>
    <mergeCell ref="X1348:Y1348"/>
    <mergeCell ref="Z1348:AA1348"/>
    <mergeCell ref="AB1348:AC1348"/>
    <mergeCell ref="AD1349:AE1349"/>
    <mergeCell ref="AF1349:AG1349"/>
    <mergeCell ref="AH1349:AI1349"/>
    <mergeCell ref="AJ1349:AK1349"/>
    <mergeCell ref="AL1349:BB1349"/>
    <mergeCell ref="P1349:Q1349"/>
    <mergeCell ref="R1349:S1349"/>
    <mergeCell ref="T1349:U1349"/>
    <mergeCell ref="V1349:W1349"/>
    <mergeCell ref="X1349:Y1349"/>
    <mergeCell ref="Z1349:AA1349"/>
    <mergeCell ref="AB1349:AC1349"/>
    <mergeCell ref="B1349:C1349"/>
    <mergeCell ref="D1349:E1349"/>
    <mergeCell ref="F1349:G1349"/>
    <mergeCell ref="H1349:I1349"/>
    <mergeCell ref="J1349:K1349"/>
    <mergeCell ref="L1349:M1349"/>
    <mergeCell ref="N1349:O1349"/>
    <mergeCell ref="AD1350:AE1350"/>
    <mergeCell ref="AF1350:AG1350"/>
    <mergeCell ref="AH1350:AI1350"/>
    <mergeCell ref="AJ1350:AK1350"/>
    <mergeCell ref="AL1350:BB1350"/>
    <mergeCell ref="AH1348:AI1348"/>
    <mergeCell ref="AJ1348:AK1348"/>
    <mergeCell ref="AL1348:BB1348"/>
    <mergeCell ref="B1348:C1348"/>
    <mergeCell ref="D1348:E1348"/>
    <mergeCell ref="F1348:G1348"/>
    <mergeCell ref="H1348:I1348"/>
    <mergeCell ref="J1348:K1348"/>
    <mergeCell ref="L1348:M1348"/>
    <mergeCell ref="N1348:O1348"/>
    <mergeCell ref="P1350:Q1350"/>
    <mergeCell ref="R1350:S1350"/>
    <mergeCell ref="T1350:U1350"/>
    <mergeCell ref="V1350:W1350"/>
    <mergeCell ref="X1350:Y1350"/>
    <mergeCell ref="Z1350:AA1350"/>
    <mergeCell ref="AB1350:AC1350"/>
    <mergeCell ref="B1350:C1350"/>
    <mergeCell ref="D1350:E1350"/>
    <mergeCell ref="F1350:G1350"/>
    <mergeCell ref="H1350:I1350"/>
    <mergeCell ref="J1350:K1350"/>
    <mergeCell ref="L1350:M1350"/>
    <mergeCell ref="N1350:O1350"/>
    <mergeCell ref="AH1339:AI1339"/>
    <mergeCell ref="AJ1339:AK1339"/>
    <mergeCell ref="AL1339:BB1339"/>
    <mergeCell ref="B1339:C1339"/>
    <mergeCell ref="D1339:E1339"/>
    <mergeCell ref="F1339:G1339"/>
    <mergeCell ref="H1339:I1339"/>
    <mergeCell ref="J1339:K1339"/>
    <mergeCell ref="L1339:M1339"/>
    <mergeCell ref="N1339:O1339"/>
    <mergeCell ref="P1341:Q1341"/>
    <mergeCell ref="R1341:S1341"/>
    <mergeCell ref="T1341:U1341"/>
    <mergeCell ref="V1341:W1341"/>
    <mergeCell ref="X1341:Y1341"/>
    <mergeCell ref="Z1341:AA1341"/>
    <mergeCell ref="AB1341:AC1341"/>
    <mergeCell ref="B1341:C1341"/>
    <mergeCell ref="D1341:E1341"/>
    <mergeCell ref="F1341:G1341"/>
    <mergeCell ref="H1341:I1341"/>
    <mergeCell ref="J1341:K1341"/>
    <mergeCell ref="L1341:M1341"/>
    <mergeCell ref="N1341:O1341"/>
    <mergeCell ref="P1344:Q1344"/>
    <mergeCell ref="R1344:S1344"/>
    <mergeCell ref="T1344:U1344"/>
    <mergeCell ref="V1344:W1344"/>
    <mergeCell ref="X1344:Y1344"/>
    <mergeCell ref="Z1344:AA1344"/>
    <mergeCell ref="AB1344:AC1344"/>
    <mergeCell ref="B1344:C1344"/>
    <mergeCell ref="D1344:E1344"/>
    <mergeCell ref="F1344:G1344"/>
    <mergeCell ref="H1344:I1344"/>
    <mergeCell ref="J1344:K1344"/>
    <mergeCell ref="L1344:M1344"/>
    <mergeCell ref="N1344:O1344"/>
    <mergeCell ref="X1342:Y1342"/>
    <mergeCell ref="Z1342:AA1342"/>
    <mergeCell ref="AB1342:AC1342"/>
    <mergeCell ref="AD1343:AE1343"/>
    <mergeCell ref="AF1343:AG1343"/>
    <mergeCell ref="AH1343:AI1343"/>
    <mergeCell ref="AJ1343:AK1343"/>
    <mergeCell ref="AL1343:BB1343"/>
    <mergeCell ref="P1343:Q1343"/>
    <mergeCell ref="R1343:S1343"/>
    <mergeCell ref="T1343:U1343"/>
    <mergeCell ref="V1343:W1343"/>
    <mergeCell ref="X1343:Y1343"/>
    <mergeCell ref="Z1343:AA1343"/>
    <mergeCell ref="AB1343:AC1343"/>
    <mergeCell ref="B1343:C1343"/>
    <mergeCell ref="D1343:E1343"/>
    <mergeCell ref="F1343:G1343"/>
    <mergeCell ref="H1343:I1343"/>
    <mergeCell ref="J1343:K1343"/>
    <mergeCell ref="L1343:M1343"/>
    <mergeCell ref="N1343:O1343"/>
    <mergeCell ref="AD1344:AE1344"/>
    <mergeCell ref="AF1344:AG1344"/>
    <mergeCell ref="AH1344:AI1344"/>
    <mergeCell ref="AJ1344:AK1344"/>
    <mergeCell ref="AH1336:AI1336"/>
    <mergeCell ref="AJ1336:AK1336"/>
    <mergeCell ref="AL1336:BB1336"/>
    <mergeCell ref="B1336:C1336"/>
    <mergeCell ref="D1336:E1336"/>
    <mergeCell ref="F1336:G1336"/>
    <mergeCell ref="H1336:I1336"/>
    <mergeCell ref="J1336:K1336"/>
    <mergeCell ref="L1336:M1336"/>
    <mergeCell ref="N1336:O1336"/>
    <mergeCell ref="P1338:Q1338"/>
    <mergeCell ref="R1338:S1338"/>
    <mergeCell ref="T1338:U1338"/>
    <mergeCell ref="V1338:W1338"/>
    <mergeCell ref="X1338:Y1338"/>
    <mergeCell ref="Z1338:AA1338"/>
    <mergeCell ref="AB1338:AC1338"/>
    <mergeCell ref="B1338:C1338"/>
    <mergeCell ref="D1338:E1338"/>
    <mergeCell ref="F1338:G1338"/>
    <mergeCell ref="H1338:I1338"/>
    <mergeCell ref="J1338:K1338"/>
    <mergeCell ref="L1338:M1338"/>
    <mergeCell ref="N1338:O1338"/>
    <mergeCell ref="AD1336:AE1336"/>
    <mergeCell ref="AF1336:AG1336"/>
    <mergeCell ref="P1336:Q1336"/>
    <mergeCell ref="R1336:S1336"/>
    <mergeCell ref="T1336:U1336"/>
    <mergeCell ref="V1336:W1336"/>
    <mergeCell ref="X1336:Y1336"/>
    <mergeCell ref="Z1336:AA1336"/>
    <mergeCell ref="AB1336:AC1336"/>
    <mergeCell ref="AD1337:AE1337"/>
    <mergeCell ref="AF1337:AG1337"/>
    <mergeCell ref="AH1337:AI1337"/>
    <mergeCell ref="AJ1337:AK1337"/>
    <mergeCell ref="AL1337:BB1337"/>
    <mergeCell ref="P1337:Q1337"/>
    <mergeCell ref="R1337:S1337"/>
    <mergeCell ref="T1337:U1337"/>
    <mergeCell ref="V1337:W1337"/>
    <mergeCell ref="X1337:Y1337"/>
    <mergeCell ref="Z1337:AA1337"/>
    <mergeCell ref="AB1337:AC1337"/>
    <mergeCell ref="B1337:C1337"/>
    <mergeCell ref="D1337:E1337"/>
    <mergeCell ref="F1337:G1337"/>
    <mergeCell ref="H1337:I1337"/>
    <mergeCell ref="J1337:K1337"/>
    <mergeCell ref="L1337:M1337"/>
    <mergeCell ref="N1337:O1337"/>
    <mergeCell ref="AD1338:AE1338"/>
    <mergeCell ref="AF1338:AG1338"/>
    <mergeCell ref="AH1338:AI1338"/>
    <mergeCell ref="AJ1338:AK1338"/>
    <mergeCell ref="AL1338:BB1338"/>
    <mergeCell ref="B1333:C1333"/>
    <mergeCell ref="D1333:E1333"/>
    <mergeCell ref="F1333:G1333"/>
    <mergeCell ref="H1333:I1333"/>
    <mergeCell ref="J1333:K1333"/>
    <mergeCell ref="L1333:M1333"/>
    <mergeCell ref="N1333:O1333"/>
    <mergeCell ref="AD1334:AE1334"/>
    <mergeCell ref="AF1334:AG1334"/>
    <mergeCell ref="AH1334:AI1334"/>
    <mergeCell ref="AJ1334:AK1334"/>
    <mergeCell ref="AL1334:BB1334"/>
    <mergeCell ref="P1334:Q1334"/>
    <mergeCell ref="R1334:S1334"/>
    <mergeCell ref="T1334:U1334"/>
    <mergeCell ref="V1334:W1334"/>
    <mergeCell ref="X1334:Y1334"/>
    <mergeCell ref="Z1334:AA1334"/>
    <mergeCell ref="AB1334:AC1334"/>
    <mergeCell ref="B1334:C1334"/>
    <mergeCell ref="D1334:E1334"/>
    <mergeCell ref="F1334:G1334"/>
    <mergeCell ref="H1334:I1334"/>
    <mergeCell ref="J1334:K1334"/>
    <mergeCell ref="L1334:M1334"/>
    <mergeCell ref="N1334:O1334"/>
    <mergeCell ref="AD1335:AE1335"/>
    <mergeCell ref="AF1335:AG1335"/>
    <mergeCell ref="AH1335:AI1335"/>
    <mergeCell ref="AJ1335:AK1335"/>
    <mergeCell ref="AL1335:BB1335"/>
    <mergeCell ref="P1335:Q1335"/>
    <mergeCell ref="R1335:S1335"/>
    <mergeCell ref="T1335:U1335"/>
    <mergeCell ref="V1335:W1335"/>
    <mergeCell ref="X1335:Y1335"/>
    <mergeCell ref="Z1335:AA1335"/>
    <mergeCell ref="AB1335:AC1335"/>
    <mergeCell ref="B1335:C1335"/>
    <mergeCell ref="D1335:E1335"/>
    <mergeCell ref="F1335:G1335"/>
    <mergeCell ref="H1335:I1335"/>
    <mergeCell ref="J1335:K1335"/>
    <mergeCell ref="L1335:M1335"/>
    <mergeCell ref="N1335:O1335"/>
    <mergeCell ref="AH1330:AI1330"/>
    <mergeCell ref="AJ1330:AK1330"/>
    <mergeCell ref="AL1330:BB1330"/>
    <mergeCell ref="B1330:C1330"/>
    <mergeCell ref="D1330:E1330"/>
    <mergeCell ref="F1330:G1330"/>
    <mergeCell ref="H1330:I1330"/>
    <mergeCell ref="J1330:K1330"/>
    <mergeCell ref="L1330:M1330"/>
    <mergeCell ref="N1330:O1330"/>
    <mergeCell ref="P1332:Q1332"/>
    <mergeCell ref="R1332:S1332"/>
    <mergeCell ref="T1332:U1332"/>
    <mergeCell ref="V1332:W1332"/>
    <mergeCell ref="X1332:Y1332"/>
    <mergeCell ref="Z1332:AA1332"/>
    <mergeCell ref="AB1332:AC1332"/>
    <mergeCell ref="B1332:C1332"/>
    <mergeCell ref="D1332:E1332"/>
    <mergeCell ref="F1332:G1332"/>
    <mergeCell ref="H1332:I1332"/>
    <mergeCell ref="J1332:K1332"/>
    <mergeCell ref="L1332:M1332"/>
    <mergeCell ref="N1332:O1332"/>
    <mergeCell ref="AD1330:AE1330"/>
    <mergeCell ref="AF1330:AG1330"/>
    <mergeCell ref="P1330:Q1330"/>
    <mergeCell ref="R1330:S1330"/>
    <mergeCell ref="T1330:U1330"/>
    <mergeCell ref="V1330:W1330"/>
    <mergeCell ref="X1330:Y1330"/>
    <mergeCell ref="Z1330:AA1330"/>
    <mergeCell ref="AB1330:AC1330"/>
    <mergeCell ref="AD1331:AE1331"/>
    <mergeCell ref="AF1331:AG1331"/>
    <mergeCell ref="AH1331:AI1331"/>
    <mergeCell ref="AJ1331:AK1331"/>
    <mergeCell ref="AL1331:BB1331"/>
    <mergeCell ref="P1331:Q1331"/>
    <mergeCell ref="R1331:S1331"/>
    <mergeCell ref="T1331:U1331"/>
    <mergeCell ref="V1331:W1331"/>
    <mergeCell ref="X1331:Y1331"/>
    <mergeCell ref="Z1331:AA1331"/>
    <mergeCell ref="AB1331:AC1331"/>
    <mergeCell ref="B1331:C1331"/>
    <mergeCell ref="D1331:E1331"/>
    <mergeCell ref="F1331:G1331"/>
    <mergeCell ref="H1331:I1331"/>
    <mergeCell ref="J1331:K1331"/>
    <mergeCell ref="L1331:M1331"/>
    <mergeCell ref="N1331:O1331"/>
    <mergeCell ref="AD1332:AE1332"/>
    <mergeCell ref="AF1332:AG1332"/>
    <mergeCell ref="AH1332:AI1332"/>
    <mergeCell ref="AJ1332:AK1332"/>
    <mergeCell ref="AL1332:BB1332"/>
    <mergeCell ref="AH1327:AI1327"/>
    <mergeCell ref="AJ1327:AK1327"/>
    <mergeCell ref="AL1327:BB1327"/>
    <mergeCell ref="B1327:C1327"/>
    <mergeCell ref="D1327:E1327"/>
    <mergeCell ref="F1327:G1327"/>
    <mergeCell ref="H1327:I1327"/>
    <mergeCell ref="J1327:K1327"/>
    <mergeCell ref="L1327:M1327"/>
    <mergeCell ref="N1327:O1327"/>
    <mergeCell ref="P1329:Q1329"/>
    <mergeCell ref="R1329:S1329"/>
    <mergeCell ref="T1329:U1329"/>
    <mergeCell ref="V1329:W1329"/>
    <mergeCell ref="X1329:Y1329"/>
    <mergeCell ref="Z1329:AA1329"/>
    <mergeCell ref="AB1329:AC1329"/>
    <mergeCell ref="B1329:C1329"/>
    <mergeCell ref="D1329:E1329"/>
    <mergeCell ref="F1329:G1329"/>
    <mergeCell ref="H1329:I1329"/>
    <mergeCell ref="J1329:K1329"/>
    <mergeCell ref="L1329:M1329"/>
    <mergeCell ref="N1329:O1329"/>
    <mergeCell ref="AD1327:AE1327"/>
    <mergeCell ref="AF1327:AG1327"/>
    <mergeCell ref="P1327:Q1327"/>
    <mergeCell ref="R1327:S1327"/>
    <mergeCell ref="T1327:U1327"/>
    <mergeCell ref="V1327:W1327"/>
    <mergeCell ref="X1327:Y1327"/>
    <mergeCell ref="Z1327:AA1327"/>
    <mergeCell ref="AB1327:AC1327"/>
    <mergeCell ref="AD1328:AE1328"/>
    <mergeCell ref="AF1328:AG1328"/>
    <mergeCell ref="AH1328:AI1328"/>
    <mergeCell ref="AJ1328:AK1328"/>
    <mergeCell ref="AL1328:BB1328"/>
    <mergeCell ref="P1328:Q1328"/>
    <mergeCell ref="R1328:S1328"/>
    <mergeCell ref="T1328:U1328"/>
    <mergeCell ref="V1328:W1328"/>
    <mergeCell ref="X1328:Y1328"/>
    <mergeCell ref="Z1328:AA1328"/>
    <mergeCell ref="AB1328:AC1328"/>
    <mergeCell ref="B1328:C1328"/>
    <mergeCell ref="D1328:E1328"/>
    <mergeCell ref="F1328:G1328"/>
    <mergeCell ref="H1328:I1328"/>
    <mergeCell ref="J1328:K1328"/>
    <mergeCell ref="L1328:M1328"/>
    <mergeCell ref="N1328:O1328"/>
    <mergeCell ref="AD1329:AE1329"/>
    <mergeCell ref="AF1329:AG1329"/>
    <mergeCell ref="AH1329:AI1329"/>
    <mergeCell ref="AJ1329:AK1329"/>
    <mergeCell ref="AL1329:BB1329"/>
    <mergeCell ref="AH1324:AI1324"/>
    <mergeCell ref="AJ1324:AK1324"/>
    <mergeCell ref="AL1324:BB1324"/>
    <mergeCell ref="B1324:C1324"/>
    <mergeCell ref="D1324:E1324"/>
    <mergeCell ref="F1324:G1324"/>
    <mergeCell ref="H1324:I1324"/>
    <mergeCell ref="J1324:K1324"/>
    <mergeCell ref="L1324:M1324"/>
    <mergeCell ref="N1324:O1324"/>
    <mergeCell ref="P1326:Q1326"/>
    <mergeCell ref="R1326:S1326"/>
    <mergeCell ref="T1326:U1326"/>
    <mergeCell ref="V1326:W1326"/>
    <mergeCell ref="X1326:Y1326"/>
    <mergeCell ref="Z1326:AA1326"/>
    <mergeCell ref="AB1326:AC1326"/>
    <mergeCell ref="B1326:C1326"/>
    <mergeCell ref="D1326:E1326"/>
    <mergeCell ref="F1326:G1326"/>
    <mergeCell ref="H1326:I1326"/>
    <mergeCell ref="J1326:K1326"/>
    <mergeCell ref="L1326:M1326"/>
    <mergeCell ref="N1326:O1326"/>
    <mergeCell ref="AD1324:AE1324"/>
    <mergeCell ref="AF1324:AG1324"/>
    <mergeCell ref="P1324:Q1324"/>
    <mergeCell ref="R1324:S1324"/>
    <mergeCell ref="T1324:U1324"/>
    <mergeCell ref="V1324:W1324"/>
    <mergeCell ref="X1324:Y1324"/>
    <mergeCell ref="Z1324:AA1324"/>
    <mergeCell ref="AB1324:AC1324"/>
    <mergeCell ref="AD1325:AE1325"/>
    <mergeCell ref="AF1325:AG1325"/>
    <mergeCell ref="AH1325:AI1325"/>
    <mergeCell ref="AJ1325:AK1325"/>
    <mergeCell ref="AL1325:BB1325"/>
    <mergeCell ref="P1325:Q1325"/>
    <mergeCell ref="R1325:S1325"/>
    <mergeCell ref="T1325:U1325"/>
    <mergeCell ref="V1325:W1325"/>
    <mergeCell ref="X1325:Y1325"/>
    <mergeCell ref="Z1325:AA1325"/>
    <mergeCell ref="AB1325:AC1325"/>
    <mergeCell ref="B1325:C1325"/>
    <mergeCell ref="D1325:E1325"/>
    <mergeCell ref="F1325:G1325"/>
    <mergeCell ref="H1325:I1325"/>
    <mergeCell ref="J1325:K1325"/>
    <mergeCell ref="L1325:M1325"/>
    <mergeCell ref="N1325:O1325"/>
    <mergeCell ref="AD1326:AE1326"/>
    <mergeCell ref="AF1326:AG1326"/>
    <mergeCell ref="AH1326:AI1326"/>
    <mergeCell ref="AJ1326:AK1326"/>
    <mergeCell ref="AL1326:BB1326"/>
    <mergeCell ref="AH1321:AI1321"/>
    <mergeCell ref="AJ1321:AK1321"/>
    <mergeCell ref="AL1321:BB1321"/>
    <mergeCell ref="B1321:C1321"/>
    <mergeCell ref="D1321:E1321"/>
    <mergeCell ref="F1321:G1321"/>
    <mergeCell ref="H1321:I1321"/>
    <mergeCell ref="J1321:K1321"/>
    <mergeCell ref="L1321:M1321"/>
    <mergeCell ref="N1321:O1321"/>
    <mergeCell ref="P1323:Q1323"/>
    <mergeCell ref="R1323:S1323"/>
    <mergeCell ref="T1323:U1323"/>
    <mergeCell ref="V1323:W1323"/>
    <mergeCell ref="X1323:Y1323"/>
    <mergeCell ref="Z1323:AA1323"/>
    <mergeCell ref="AB1323:AC1323"/>
    <mergeCell ref="B1323:C1323"/>
    <mergeCell ref="D1323:E1323"/>
    <mergeCell ref="F1323:G1323"/>
    <mergeCell ref="H1323:I1323"/>
    <mergeCell ref="J1323:K1323"/>
    <mergeCell ref="L1323:M1323"/>
    <mergeCell ref="N1323:O1323"/>
    <mergeCell ref="AD1321:AE1321"/>
    <mergeCell ref="AF1321:AG1321"/>
    <mergeCell ref="P1321:Q1321"/>
    <mergeCell ref="R1321:S1321"/>
    <mergeCell ref="T1321:U1321"/>
    <mergeCell ref="V1321:W1321"/>
    <mergeCell ref="X1321:Y1321"/>
    <mergeCell ref="Z1321:AA1321"/>
    <mergeCell ref="AB1321:AC1321"/>
    <mergeCell ref="AD1322:AE1322"/>
    <mergeCell ref="AF1322:AG1322"/>
    <mergeCell ref="AH1322:AI1322"/>
    <mergeCell ref="AJ1322:AK1322"/>
    <mergeCell ref="AL1322:BB1322"/>
    <mergeCell ref="P1322:Q1322"/>
    <mergeCell ref="R1322:S1322"/>
    <mergeCell ref="T1322:U1322"/>
    <mergeCell ref="V1322:W1322"/>
    <mergeCell ref="X1322:Y1322"/>
    <mergeCell ref="Z1322:AA1322"/>
    <mergeCell ref="AB1322:AC1322"/>
    <mergeCell ref="B1322:C1322"/>
    <mergeCell ref="D1322:E1322"/>
    <mergeCell ref="F1322:G1322"/>
    <mergeCell ref="H1322:I1322"/>
    <mergeCell ref="J1322:K1322"/>
    <mergeCell ref="L1322:M1322"/>
    <mergeCell ref="N1322:O1322"/>
    <mergeCell ref="AD1323:AE1323"/>
    <mergeCell ref="AF1323:AG1323"/>
    <mergeCell ref="AH1323:AI1323"/>
    <mergeCell ref="AJ1323:AK1323"/>
    <mergeCell ref="AL1323:BB1323"/>
    <mergeCell ref="AJ1317:AK1317"/>
    <mergeCell ref="AL1317:BB1317"/>
    <mergeCell ref="AH1318:AI1318"/>
    <mergeCell ref="AJ1318:AK1318"/>
    <mergeCell ref="AL1318:BB1318"/>
    <mergeCell ref="B1318:C1318"/>
    <mergeCell ref="D1318:E1318"/>
    <mergeCell ref="F1318:G1318"/>
    <mergeCell ref="H1318:I1318"/>
    <mergeCell ref="J1318:K1318"/>
    <mergeCell ref="L1318:M1318"/>
    <mergeCell ref="N1318:O1318"/>
    <mergeCell ref="P1320:Q1320"/>
    <mergeCell ref="R1320:S1320"/>
    <mergeCell ref="T1320:U1320"/>
    <mergeCell ref="V1320:W1320"/>
    <mergeCell ref="X1320:Y1320"/>
    <mergeCell ref="Z1320:AA1320"/>
    <mergeCell ref="AB1320:AC1320"/>
    <mergeCell ref="B1320:C1320"/>
    <mergeCell ref="D1320:E1320"/>
    <mergeCell ref="F1320:G1320"/>
    <mergeCell ref="H1320:I1320"/>
    <mergeCell ref="J1320:K1320"/>
    <mergeCell ref="L1320:M1320"/>
    <mergeCell ref="N1320:O1320"/>
    <mergeCell ref="AD1318:AE1318"/>
    <mergeCell ref="AF1318:AG1318"/>
    <mergeCell ref="P1318:Q1318"/>
    <mergeCell ref="R1318:S1318"/>
    <mergeCell ref="T1318:U1318"/>
    <mergeCell ref="V1318:W1318"/>
    <mergeCell ref="X1318:Y1318"/>
    <mergeCell ref="Z1318:AA1318"/>
    <mergeCell ref="AB1318:AC1318"/>
    <mergeCell ref="AD1319:AE1319"/>
    <mergeCell ref="AF1319:AG1319"/>
    <mergeCell ref="AH1319:AI1319"/>
    <mergeCell ref="AJ1319:AK1319"/>
    <mergeCell ref="AL1319:BB1319"/>
    <mergeCell ref="P1319:Q1319"/>
    <mergeCell ref="R1319:S1319"/>
    <mergeCell ref="T1319:U1319"/>
    <mergeCell ref="V1319:W1319"/>
    <mergeCell ref="X1319:Y1319"/>
    <mergeCell ref="Z1319:AA1319"/>
    <mergeCell ref="AB1319:AC1319"/>
    <mergeCell ref="B1319:C1319"/>
    <mergeCell ref="D1319:E1319"/>
    <mergeCell ref="F1319:G1319"/>
    <mergeCell ref="H1319:I1319"/>
    <mergeCell ref="J1319:K1319"/>
    <mergeCell ref="L1319:M1319"/>
    <mergeCell ref="N1319:O1319"/>
    <mergeCell ref="AD1320:AE1320"/>
    <mergeCell ref="AF1320:AG1320"/>
    <mergeCell ref="AH1320:AI1320"/>
    <mergeCell ref="AJ1320:AK1320"/>
    <mergeCell ref="AL1320:BB1320"/>
    <mergeCell ref="H1313:I1313"/>
    <mergeCell ref="J1313:K1313"/>
    <mergeCell ref="L1313:M1313"/>
    <mergeCell ref="N1313:O1313"/>
    <mergeCell ref="AD1314:AE1314"/>
    <mergeCell ref="AF1314:AG1314"/>
    <mergeCell ref="AH1314:AI1314"/>
    <mergeCell ref="AJ1314:AK1314"/>
    <mergeCell ref="AL1314:BB1314"/>
    <mergeCell ref="AH1315:AI1315"/>
    <mergeCell ref="AJ1315:AK1315"/>
    <mergeCell ref="AL1315:BB1315"/>
    <mergeCell ref="B1315:C1315"/>
    <mergeCell ref="D1315:E1315"/>
    <mergeCell ref="F1315:G1315"/>
    <mergeCell ref="H1315:I1315"/>
    <mergeCell ref="J1315:K1315"/>
    <mergeCell ref="L1315:M1315"/>
    <mergeCell ref="N1315:O1315"/>
    <mergeCell ref="P1317:Q1317"/>
    <mergeCell ref="R1317:S1317"/>
    <mergeCell ref="T1317:U1317"/>
    <mergeCell ref="V1317:W1317"/>
    <mergeCell ref="X1317:Y1317"/>
    <mergeCell ref="Z1317:AA1317"/>
    <mergeCell ref="AB1317:AC1317"/>
    <mergeCell ref="B1317:C1317"/>
    <mergeCell ref="D1317:E1317"/>
    <mergeCell ref="F1317:G1317"/>
    <mergeCell ref="H1317:I1317"/>
    <mergeCell ref="J1317:K1317"/>
    <mergeCell ref="L1317:M1317"/>
    <mergeCell ref="N1317:O1317"/>
    <mergeCell ref="AD1315:AE1315"/>
    <mergeCell ref="AF1315:AG1315"/>
    <mergeCell ref="P1315:Q1315"/>
    <mergeCell ref="R1315:S1315"/>
    <mergeCell ref="T1315:U1315"/>
    <mergeCell ref="V1315:W1315"/>
    <mergeCell ref="X1315:Y1315"/>
    <mergeCell ref="Z1315:AA1315"/>
    <mergeCell ref="AB1315:AC1315"/>
    <mergeCell ref="AD1316:AE1316"/>
    <mergeCell ref="AF1316:AG1316"/>
    <mergeCell ref="AH1316:AI1316"/>
    <mergeCell ref="AJ1316:AK1316"/>
    <mergeCell ref="AL1316:BB1316"/>
    <mergeCell ref="P1316:Q1316"/>
    <mergeCell ref="R1316:S1316"/>
    <mergeCell ref="T1316:U1316"/>
    <mergeCell ref="V1316:W1316"/>
    <mergeCell ref="X1316:Y1316"/>
    <mergeCell ref="Z1316:AA1316"/>
    <mergeCell ref="AB1316:AC1316"/>
    <mergeCell ref="B1316:C1316"/>
    <mergeCell ref="D1316:E1316"/>
    <mergeCell ref="F1316:G1316"/>
    <mergeCell ref="H1316:I1316"/>
    <mergeCell ref="J1316:K1316"/>
    <mergeCell ref="L1316:M1316"/>
    <mergeCell ref="N1316:O1316"/>
    <mergeCell ref="AD1317:AE1317"/>
    <mergeCell ref="AF1317:AG1317"/>
    <mergeCell ref="AH1317:AI1317"/>
    <mergeCell ref="P1311:Q1311"/>
    <mergeCell ref="R1311:S1311"/>
    <mergeCell ref="T1311:U1311"/>
    <mergeCell ref="V1311:W1311"/>
    <mergeCell ref="X1311:Y1311"/>
    <mergeCell ref="Z1311:AA1311"/>
    <mergeCell ref="AB1311:AC1311"/>
    <mergeCell ref="B1311:C1311"/>
    <mergeCell ref="D1311:E1311"/>
    <mergeCell ref="F1311:G1311"/>
    <mergeCell ref="H1311:I1311"/>
    <mergeCell ref="J1311:K1311"/>
    <mergeCell ref="L1311:M1311"/>
    <mergeCell ref="N1311:O1311"/>
    <mergeCell ref="AD1333:AE1333"/>
    <mergeCell ref="AF1333:AG1333"/>
    <mergeCell ref="AH1333:AI1333"/>
    <mergeCell ref="AJ1333:AK1333"/>
    <mergeCell ref="AL1333:BB1333"/>
    <mergeCell ref="P1333:Q1333"/>
    <mergeCell ref="R1333:S1333"/>
    <mergeCell ref="T1333:U1333"/>
    <mergeCell ref="V1333:W1333"/>
    <mergeCell ref="X1333:Y1333"/>
    <mergeCell ref="Z1333:AA1333"/>
    <mergeCell ref="AB1333:AC1333"/>
    <mergeCell ref="P1314:Q1314"/>
    <mergeCell ref="R1314:S1314"/>
    <mergeCell ref="T1314:U1314"/>
    <mergeCell ref="V1314:W1314"/>
    <mergeCell ref="X1314:Y1314"/>
    <mergeCell ref="Z1314:AA1314"/>
    <mergeCell ref="AB1314:AC1314"/>
    <mergeCell ref="B1314:C1314"/>
    <mergeCell ref="D1314:E1314"/>
    <mergeCell ref="F1314:G1314"/>
    <mergeCell ref="H1314:I1314"/>
    <mergeCell ref="J1314:K1314"/>
    <mergeCell ref="L1314:M1314"/>
    <mergeCell ref="N1314:O1314"/>
    <mergeCell ref="AD1312:AE1312"/>
    <mergeCell ref="AF1312:AG1312"/>
    <mergeCell ref="P1312:Q1312"/>
    <mergeCell ref="R1312:S1312"/>
    <mergeCell ref="T1312:U1312"/>
    <mergeCell ref="V1312:W1312"/>
    <mergeCell ref="X1312:Y1312"/>
    <mergeCell ref="Z1312:AA1312"/>
    <mergeCell ref="AB1312:AC1312"/>
    <mergeCell ref="AD1313:AE1313"/>
    <mergeCell ref="AF1313:AG1313"/>
    <mergeCell ref="AH1313:AI1313"/>
    <mergeCell ref="AJ1313:AK1313"/>
    <mergeCell ref="AL1313:BB1313"/>
    <mergeCell ref="P1313:Q1313"/>
    <mergeCell ref="R1313:S1313"/>
    <mergeCell ref="T1313:U1313"/>
    <mergeCell ref="V1313:W1313"/>
    <mergeCell ref="X1313:Y1313"/>
    <mergeCell ref="Z1313:AA1313"/>
    <mergeCell ref="AB1313:AC1313"/>
    <mergeCell ref="B1313:C1313"/>
    <mergeCell ref="D1313:E1313"/>
    <mergeCell ref="F1313:G1313"/>
    <mergeCell ref="AL1302:BB1302"/>
    <mergeCell ref="AH1303:AI1303"/>
    <mergeCell ref="AJ1303:AK1303"/>
    <mergeCell ref="AL1303:BB1303"/>
    <mergeCell ref="B1303:C1303"/>
    <mergeCell ref="D1303:E1303"/>
    <mergeCell ref="F1303:G1303"/>
    <mergeCell ref="H1303:I1303"/>
    <mergeCell ref="J1303:K1303"/>
    <mergeCell ref="L1303:M1303"/>
    <mergeCell ref="N1303:O1303"/>
    <mergeCell ref="P1305:Q1305"/>
    <mergeCell ref="R1305:S1305"/>
    <mergeCell ref="T1305:U1305"/>
    <mergeCell ref="V1305:W1305"/>
    <mergeCell ref="X1305:Y1305"/>
    <mergeCell ref="Z1305:AA1305"/>
    <mergeCell ref="AB1305:AC1305"/>
    <mergeCell ref="B1305:C1305"/>
    <mergeCell ref="D1305:E1305"/>
    <mergeCell ref="F1305:G1305"/>
    <mergeCell ref="H1305:I1305"/>
    <mergeCell ref="J1305:K1305"/>
    <mergeCell ref="L1305:M1305"/>
    <mergeCell ref="N1305:O1305"/>
    <mergeCell ref="AD1303:AE1303"/>
    <mergeCell ref="AF1303:AG1303"/>
    <mergeCell ref="P1303:Q1303"/>
    <mergeCell ref="R1303:S1303"/>
    <mergeCell ref="T1303:U1303"/>
    <mergeCell ref="V1303:W1303"/>
    <mergeCell ref="X1303:Y1303"/>
    <mergeCell ref="Z1303:AA1303"/>
    <mergeCell ref="AB1303:AC1303"/>
    <mergeCell ref="AD1304:AE1304"/>
    <mergeCell ref="AF1304:AG1304"/>
    <mergeCell ref="AH1304:AI1304"/>
    <mergeCell ref="AJ1304:AK1304"/>
    <mergeCell ref="AL1304:BB1304"/>
    <mergeCell ref="P1304:Q1304"/>
    <mergeCell ref="R1304:S1304"/>
    <mergeCell ref="T1304:U1304"/>
    <mergeCell ref="V1304:W1304"/>
    <mergeCell ref="X1304:Y1304"/>
    <mergeCell ref="Z1304:AA1304"/>
    <mergeCell ref="AB1304:AC1304"/>
    <mergeCell ref="B1304:C1304"/>
    <mergeCell ref="D1304:E1304"/>
    <mergeCell ref="F1304:G1304"/>
    <mergeCell ref="H1304:I1304"/>
    <mergeCell ref="J1304:K1304"/>
    <mergeCell ref="L1304:M1304"/>
    <mergeCell ref="N1304:O1304"/>
    <mergeCell ref="AD1305:AE1305"/>
    <mergeCell ref="AF1305:AG1305"/>
    <mergeCell ref="AH1305:AI1305"/>
    <mergeCell ref="AJ1305:AK1305"/>
    <mergeCell ref="AL1305:BB1305"/>
    <mergeCell ref="AD1311:AE1311"/>
    <mergeCell ref="AF1311:AG1311"/>
    <mergeCell ref="AH1311:AI1311"/>
    <mergeCell ref="AJ1311:AK1311"/>
    <mergeCell ref="AL1311:BB1311"/>
    <mergeCell ref="AH1312:AI1312"/>
    <mergeCell ref="AJ1312:AK1312"/>
    <mergeCell ref="AL1312:BB1312"/>
    <mergeCell ref="B1312:C1312"/>
    <mergeCell ref="D1312:E1312"/>
    <mergeCell ref="F1312:G1312"/>
    <mergeCell ref="H1312:I1312"/>
    <mergeCell ref="J1312:K1312"/>
    <mergeCell ref="L1312:M1312"/>
    <mergeCell ref="N1312:O1312"/>
    <mergeCell ref="AD1297:AE1297"/>
    <mergeCell ref="AF1297:AG1297"/>
    <mergeCell ref="P1297:Q1297"/>
    <mergeCell ref="R1297:S1297"/>
    <mergeCell ref="T1297:U1297"/>
    <mergeCell ref="V1297:W1297"/>
    <mergeCell ref="X1297:Y1297"/>
    <mergeCell ref="Z1297:AA1297"/>
    <mergeCell ref="AB1297:AC1297"/>
    <mergeCell ref="AD1298:AE1298"/>
    <mergeCell ref="AF1298:AG1298"/>
    <mergeCell ref="AH1298:AI1298"/>
    <mergeCell ref="AJ1298:AK1298"/>
    <mergeCell ref="AL1298:BB1298"/>
    <mergeCell ref="P1298:Q1298"/>
    <mergeCell ref="R1298:S1298"/>
    <mergeCell ref="T1298:U1298"/>
    <mergeCell ref="V1298:W1298"/>
    <mergeCell ref="X1298:Y1298"/>
    <mergeCell ref="Z1298:AA1298"/>
    <mergeCell ref="AB1298:AC1298"/>
    <mergeCell ref="B1298:C1298"/>
    <mergeCell ref="D1298:E1298"/>
    <mergeCell ref="F1298:G1298"/>
    <mergeCell ref="H1298:I1298"/>
    <mergeCell ref="J1298:K1298"/>
    <mergeCell ref="L1298:M1298"/>
    <mergeCell ref="N1298:O1298"/>
    <mergeCell ref="AD1299:AE1299"/>
    <mergeCell ref="AF1299:AG1299"/>
    <mergeCell ref="AH1299:AI1299"/>
    <mergeCell ref="AJ1299:AK1299"/>
    <mergeCell ref="AL1299:BB1299"/>
    <mergeCell ref="AH1300:AI1300"/>
    <mergeCell ref="AJ1300:AK1300"/>
    <mergeCell ref="AL1300:BB1300"/>
    <mergeCell ref="B1300:C1300"/>
    <mergeCell ref="D1300:E1300"/>
    <mergeCell ref="F1300:G1300"/>
    <mergeCell ref="H1300:I1300"/>
    <mergeCell ref="J1300:K1300"/>
    <mergeCell ref="L1300:M1300"/>
    <mergeCell ref="N1300:O1300"/>
    <mergeCell ref="AD1300:AE1300"/>
    <mergeCell ref="AF1300:AG1300"/>
    <mergeCell ref="P1300:Q1300"/>
    <mergeCell ref="R1300:S1300"/>
    <mergeCell ref="T1300:U1300"/>
    <mergeCell ref="V1300:W1300"/>
    <mergeCell ref="AH1309:AI1309"/>
    <mergeCell ref="AJ1309:AK1309"/>
    <mergeCell ref="AL1309:BB1309"/>
    <mergeCell ref="B1309:C1309"/>
    <mergeCell ref="D1309:E1309"/>
    <mergeCell ref="F1309:G1309"/>
    <mergeCell ref="H1309:I1309"/>
    <mergeCell ref="J1309:K1309"/>
    <mergeCell ref="L1309:M1309"/>
    <mergeCell ref="N1309:O1309"/>
    <mergeCell ref="AD1309:AE1309"/>
    <mergeCell ref="AF1309:AG1309"/>
    <mergeCell ref="P1309:Q1309"/>
    <mergeCell ref="R1309:S1309"/>
    <mergeCell ref="T1309:U1309"/>
    <mergeCell ref="V1309:W1309"/>
    <mergeCell ref="X1309:Y1309"/>
    <mergeCell ref="Z1309:AA1309"/>
    <mergeCell ref="AB1309:AC1309"/>
    <mergeCell ref="AD1310:AE1310"/>
    <mergeCell ref="AF1310:AG1310"/>
    <mergeCell ref="AH1310:AI1310"/>
    <mergeCell ref="AJ1310:AK1310"/>
    <mergeCell ref="AL1310:BB1310"/>
    <mergeCell ref="P1310:Q1310"/>
    <mergeCell ref="R1310:S1310"/>
    <mergeCell ref="T1310:U1310"/>
    <mergeCell ref="V1310:W1310"/>
    <mergeCell ref="X1310:Y1310"/>
    <mergeCell ref="Z1310:AA1310"/>
    <mergeCell ref="AB1310:AC1310"/>
    <mergeCell ref="B1310:C1310"/>
    <mergeCell ref="D1310:E1310"/>
    <mergeCell ref="F1310:G1310"/>
    <mergeCell ref="H1310:I1310"/>
    <mergeCell ref="J1310:K1310"/>
    <mergeCell ref="L1310:M1310"/>
    <mergeCell ref="N1310:O1310"/>
    <mergeCell ref="AD1306:AE1306"/>
    <mergeCell ref="AF1306:AG1306"/>
    <mergeCell ref="P1306:Q1306"/>
    <mergeCell ref="R1306:S1306"/>
    <mergeCell ref="T1306:U1306"/>
    <mergeCell ref="V1306:W1306"/>
    <mergeCell ref="X1306:Y1306"/>
    <mergeCell ref="Z1306:AA1306"/>
    <mergeCell ref="AB1306:AC1306"/>
    <mergeCell ref="AD1307:AE1307"/>
    <mergeCell ref="AF1307:AG1307"/>
    <mergeCell ref="AH1307:AI1307"/>
    <mergeCell ref="AJ1307:AK1307"/>
    <mergeCell ref="AL1307:BB1307"/>
    <mergeCell ref="P1307:Q1307"/>
    <mergeCell ref="R1307:S1307"/>
    <mergeCell ref="T1307:U1307"/>
    <mergeCell ref="V1307:W1307"/>
    <mergeCell ref="X1307:Y1307"/>
    <mergeCell ref="Z1307:AA1307"/>
    <mergeCell ref="AB1307:AC1307"/>
    <mergeCell ref="B1307:C1307"/>
    <mergeCell ref="D1307:E1307"/>
    <mergeCell ref="F1307:G1307"/>
    <mergeCell ref="H1307:I1307"/>
    <mergeCell ref="J1307:K1307"/>
    <mergeCell ref="L1307:M1307"/>
    <mergeCell ref="N1307:O1307"/>
    <mergeCell ref="AD1308:AE1308"/>
    <mergeCell ref="AF1308:AG1308"/>
    <mergeCell ref="AH1308:AI1308"/>
    <mergeCell ref="AJ1308:AK1308"/>
    <mergeCell ref="AL1308:BB1308"/>
    <mergeCell ref="AH1306:AI1306"/>
    <mergeCell ref="AJ1306:AK1306"/>
    <mergeCell ref="AL1306:BB1306"/>
    <mergeCell ref="B1306:C1306"/>
    <mergeCell ref="D1306:E1306"/>
    <mergeCell ref="F1306:G1306"/>
    <mergeCell ref="H1306:I1306"/>
    <mergeCell ref="J1306:K1306"/>
    <mergeCell ref="L1306:M1306"/>
    <mergeCell ref="N1306:O1306"/>
    <mergeCell ref="P1308:Q1308"/>
    <mergeCell ref="R1308:S1308"/>
    <mergeCell ref="T1308:U1308"/>
    <mergeCell ref="V1308:W1308"/>
    <mergeCell ref="X1308:Y1308"/>
    <mergeCell ref="Z1308:AA1308"/>
    <mergeCell ref="AB1308:AC1308"/>
    <mergeCell ref="B1308:C1308"/>
    <mergeCell ref="D1308:E1308"/>
    <mergeCell ref="F1308:G1308"/>
    <mergeCell ref="H1308:I1308"/>
    <mergeCell ref="J1308:K1308"/>
    <mergeCell ref="L1308:M1308"/>
    <mergeCell ref="N1308:O1308"/>
    <mergeCell ref="AH1297:AI1297"/>
    <mergeCell ref="AJ1297:AK1297"/>
    <mergeCell ref="AL1297:BB1297"/>
    <mergeCell ref="B1297:C1297"/>
    <mergeCell ref="D1297:E1297"/>
    <mergeCell ref="F1297:G1297"/>
    <mergeCell ref="H1297:I1297"/>
    <mergeCell ref="J1297:K1297"/>
    <mergeCell ref="L1297:M1297"/>
    <mergeCell ref="N1297:O1297"/>
    <mergeCell ref="P1299:Q1299"/>
    <mergeCell ref="R1299:S1299"/>
    <mergeCell ref="T1299:U1299"/>
    <mergeCell ref="V1299:W1299"/>
    <mergeCell ref="X1299:Y1299"/>
    <mergeCell ref="Z1299:AA1299"/>
    <mergeCell ref="AB1299:AC1299"/>
    <mergeCell ref="B1299:C1299"/>
    <mergeCell ref="D1299:E1299"/>
    <mergeCell ref="F1299:G1299"/>
    <mergeCell ref="H1299:I1299"/>
    <mergeCell ref="J1299:K1299"/>
    <mergeCell ref="L1299:M1299"/>
    <mergeCell ref="N1299:O1299"/>
    <mergeCell ref="P1302:Q1302"/>
    <mergeCell ref="R1302:S1302"/>
    <mergeCell ref="T1302:U1302"/>
    <mergeCell ref="V1302:W1302"/>
    <mergeCell ref="X1302:Y1302"/>
    <mergeCell ref="Z1302:AA1302"/>
    <mergeCell ref="AB1302:AC1302"/>
    <mergeCell ref="B1302:C1302"/>
    <mergeCell ref="D1302:E1302"/>
    <mergeCell ref="F1302:G1302"/>
    <mergeCell ref="H1302:I1302"/>
    <mergeCell ref="J1302:K1302"/>
    <mergeCell ref="L1302:M1302"/>
    <mergeCell ref="N1302:O1302"/>
    <mergeCell ref="X1300:Y1300"/>
    <mergeCell ref="Z1300:AA1300"/>
    <mergeCell ref="AB1300:AC1300"/>
    <mergeCell ref="AD1301:AE1301"/>
    <mergeCell ref="AF1301:AG1301"/>
    <mergeCell ref="AH1301:AI1301"/>
    <mergeCell ref="AJ1301:AK1301"/>
    <mergeCell ref="AL1301:BB1301"/>
    <mergeCell ref="P1301:Q1301"/>
    <mergeCell ref="R1301:S1301"/>
    <mergeCell ref="T1301:U1301"/>
    <mergeCell ref="V1301:W1301"/>
    <mergeCell ref="X1301:Y1301"/>
    <mergeCell ref="Z1301:AA1301"/>
    <mergeCell ref="AB1301:AC1301"/>
    <mergeCell ref="B1301:C1301"/>
    <mergeCell ref="D1301:E1301"/>
    <mergeCell ref="F1301:G1301"/>
    <mergeCell ref="H1301:I1301"/>
    <mergeCell ref="J1301:K1301"/>
    <mergeCell ref="L1301:M1301"/>
    <mergeCell ref="N1301:O1301"/>
    <mergeCell ref="AD1302:AE1302"/>
    <mergeCell ref="AF1302:AG1302"/>
    <mergeCell ref="AH1302:AI1302"/>
    <mergeCell ref="AJ1302:AK1302"/>
    <mergeCell ref="AH1294:AI1294"/>
    <mergeCell ref="AJ1294:AK1294"/>
    <mergeCell ref="AL1294:BB1294"/>
    <mergeCell ref="B1294:C1294"/>
    <mergeCell ref="D1294:E1294"/>
    <mergeCell ref="F1294:G1294"/>
    <mergeCell ref="H1294:I1294"/>
    <mergeCell ref="J1294:K1294"/>
    <mergeCell ref="L1294:M1294"/>
    <mergeCell ref="N1294:O1294"/>
    <mergeCell ref="P1296:Q1296"/>
    <mergeCell ref="R1296:S1296"/>
    <mergeCell ref="T1296:U1296"/>
    <mergeCell ref="V1296:W1296"/>
    <mergeCell ref="X1296:Y1296"/>
    <mergeCell ref="Z1296:AA1296"/>
    <mergeCell ref="AB1296:AC1296"/>
    <mergeCell ref="B1296:C1296"/>
    <mergeCell ref="D1296:E1296"/>
    <mergeCell ref="F1296:G1296"/>
    <mergeCell ref="H1296:I1296"/>
    <mergeCell ref="J1296:K1296"/>
    <mergeCell ref="L1296:M1296"/>
    <mergeCell ref="N1296:O1296"/>
    <mergeCell ref="AD1294:AE1294"/>
    <mergeCell ref="AF1294:AG1294"/>
    <mergeCell ref="P1294:Q1294"/>
    <mergeCell ref="R1294:S1294"/>
    <mergeCell ref="T1294:U1294"/>
    <mergeCell ref="V1294:W1294"/>
    <mergeCell ref="X1294:Y1294"/>
    <mergeCell ref="Z1294:AA1294"/>
    <mergeCell ref="AB1294:AC1294"/>
    <mergeCell ref="AD1295:AE1295"/>
    <mergeCell ref="AF1295:AG1295"/>
    <mergeCell ref="AH1295:AI1295"/>
    <mergeCell ref="AJ1295:AK1295"/>
    <mergeCell ref="AL1295:BB1295"/>
    <mergeCell ref="P1295:Q1295"/>
    <mergeCell ref="R1295:S1295"/>
    <mergeCell ref="T1295:U1295"/>
    <mergeCell ref="V1295:W1295"/>
    <mergeCell ref="X1295:Y1295"/>
    <mergeCell ref="Z1295:AA1295"/>
    <mergeCell ref="AB1295:AC1295"/>
    <mergeCell ref="B1295:C1295"/>
    <mergeCell ref="D1295:E1295"/>
    <mergeCell ref="F1295:G1295"/>
    <mergeCell ref="H1295:I1295"/>
    <mergeCell ref="J1295:K1295"/>
    <mergeCell ref="L1295:M1295"/>
    <mergeCell ref="N1295:O1295"/>
    <mergeCell ref="AD1296:AE1296"/>
    <mergeCell ref="AF1296:AG1296"/>
    <mergeCell ref="AH1296:AI1296"/>
    <mergeCell ref="AJ1296:AK1296"/>
    <mergeCell ref="AL1296:BB1296"/>
    <mergeCell ref="B1291:C1291"/>
    <mergeCell ref="D1291:E1291"/>
    <mergeCell ref="F1291:G1291"/>
    <mergeCell ref="H1291:I1291"/>
    <mergeCell ref="J1291:K1291"/>
    <mergeCell ref="L1291:M1291"/>
    <mergeCell ref="N1291:O1291"/>
    <mergeCell ref="AD1292:AE1292"/>
    <mergeCell ref="AF1292:AG1292"/>
    <mergeCell ref="AH1292:AI1292"/>
    <mergeCell ref="AJ1292:AK1292"/>
    <mergeCell ref="AL1292:BB1292"/>
    <mergeCell ref="P1292:Q1292"/>
    <mergeCell ref="R1292:S1292"/>
    <mergeCell ref="T1292:U1292"/>
    <mergeCell ref="V1292:W1292"/>
    <mergeCell ref="X1292:Y1292"/>
    <mergeCell ref="Z1292:AA1292"/>
    <mergeCell ref="AB1292:AC1292"/>
    <mergeCell ref="B1292:C1292"/>
    <mergeCell ref="D1292:E1292"/>
    <mergeCell ref="F1292:G1292"/>
    <mergeCell ref="H1292:I1292"/>
    <mergeCell ref="J1292:K1292"/>
    <mergeCell ref="L1292:M1292"/>
    <mergeCell ref="N1292:O1292"/>
    <mergeCell ref="AD1293:AE1293"/>
    <mergeCell ref="AF1293:AG1293"/>
    <mergeCell ref="AH1293:AI1293"/>
    <mergeCell ref="AJ1293:AK1293"/>
    <mergeCell ref="AL1293:BB1293"/>
    <mergeCell ref="P1293:Q1293"/>
    <mergeCell ref="R1293:S1293"/>
    <mergeCell ref="T1293:U1293"/>
    <mergeCell ref="V1293:W1293"/>
    <mergeCell ref="X1293:Y1293"/>
    <mergeCell ref="Z1293:AA1293"/>
    <mergeCell ref="AB1293:AC1293"/>
    <mergeCell ref="B1293:C1293"/>
    <mergeCell ref="D1293:E1293"/>
    <mergeCell ref="F1293:G1293"/>
    <mergeCell ref="H1293:I1293"/>
    <mergeCell ref="J1293:K1293"/>
    <mergeCell ref="L1293:M1293"/>
    <mergeCell ref="N1293:O1293"/>
    <mergeCell ref="AH1288:AI1288"/>
    <mergeCell ref="AJ1288:AK1288"/>
    <mergeCell ref="AL1288:BB1288"/>
    <mergeCell ref="B1288:C1288"/>
    <mergeCell ref="D1288:E1288"/>
    <mergeCell ref="F1288:G1288"/>
    <mergeCell ref="H1288:I1288"/>
    <mergeCell ref="J1288:K1288"/>
    <mergeCell ref="L1288:M1288"/>
    <mergeCell ref="N1288:O1288"/>
    <mergeCell ref="P1290:Q1290"/>
    <mergeCell ref="R1290:S1290"/>
    <mergeCell ref="T1290:U1290"/>
    <mergeCell ref="V1290:W1290"/>
    <mergeCell ref="X1290:Y1290"/>
    <mergeCell ref="Z1290:AA1290"/>
    <mergeCell ref="AB1290:AC1290"/>
    <mergeCell ref="B1290:C1290"/>
    <mergeCell ref="D1290:E1290"/>
    <mergeCell ref="F1290:G1290"/>
    <mergeCell ref="H1290:I1290"/>
    <mergeCell ref="J1290:K1290"/>
    <mergeCell ref="L1290:M1290"/>
    <mergeCell ref="N1290:O1290"/>
    <mergeCell ref="AD1288:AE1288"/>
    <mergeCell ref="AF1288:AG1288"/>
    <mergeCell ref="P1288:Q1288"/>
    <mergeCell ref="R1288:S1288"/>
    <mergeCell ref="T1288:U1288"/>
    <mergeCell ref="V1288:W1288"/>
    <mergeCell ref="X1288:Y1288"/>
    <mergeCell ref="Z1288:AA1288"/>
    <mergeCell ref="AB1288:AC1288"/>
    <mergeCell ref="AD1289:AE1289"/>
    <mergeCell ref="AF1289:AG1289"/>
    <mergeCell ref="AH1289:AI1289"/>
    <mergeCell ref="AJ1289:AK1289"/>
    <mergeCell ref="AL1289:BB1289"/>
    <mergeCell ref="P1289:Q1289"/>
    <mergeCell ref="R1289:S1289"/>
    <mergeCell ref="T1289:U1289"/>
    <mergeCell ref="V1289:W1289"/>
    <mergeCell ref="X1289:Y1289"/>
    <mergeCell ref="Z1289:AA1289"/>
    <mergeCell ref="AB1289:AC1289"/>
    <mergeCell ref="B1289:C1289"/>
    <mergeCell ref="D1289:E1289"/>
    <mergeCell ref="F1289:G1289"/>
    <mergeCell ref="H1289:I1289"/>
    <mergeCell ref="J1289:K1289"/>
    <mergeCell ref="L1289:M1289"/>
    <mergeCell ref="N1289:O1289"/>
    <mergeCell ref="AD1290:AE1290"/>
    <mergeCell ref="AF1290:AG1290"/>
    <mergeCell ref="AH1290:AI1290"/>
    <mergeCell ref="AJ1290:AK1290"/>
    <mergeCell ref="AL1290:BB1290"/>
    <mergeCell ref="AH1285:AI1285"/>
    <mergeCell ref="AJ1285:AK1285"/>
    <mergeCell ref="AL1285:BB1285"/>
    <mergeCell ref="B1285:C1285"/>
    <mergeCell ref="D1285:E1285"/>
    <mergeCell ref="F1285:G1285"/>
    <mergeCell ref="H1285:I1285"/>
    <mergeCell ref="J1285:K1285"/>
    <mergeCell ref="L1285:M1285"/>
    <mergeCell ref="N1285:O1285"/>
    <mergeCell ref="P1287:Q1287"/>
    <mergeCell ref="R1287:S1287"/>
    <mergeCell ref="T1287:U1287"/>
    <mergeCell ref="V1287:W1287"/>
    <mergeCell ref="X1287:Y1287"/>
    <mergeCell ref="Z1287:AA1287"/>
    <mergeCell ref="AB1287:AC1287"/>
    <mergeCell ref="B1287:C1287"/>
    <mergeCell ref="D1287:E1287"/>
    <mergeCell ref="F1287:G1287"/>
    <mergeCell ref="H1287:I1287"/>
    <mergeCell ref="J1287:K1287"/>
    <mergeCell ref="L1287:M1287"/>
    <mergeCell ref="N1287:O1287"/>
    <mergeCell ref="AD1285:AE1285"/>
    <mergeCell ref="AF1285:AG1285"/>
    <mergeCell ref="P1285:Q1285"/>
    <mergeCell ref="R1285:S1285"/>
    <mergeCell ref="T1285:U1285"/>
    <mergeCell ref="V1285:W1285"/>
    <mergeCell ref="X1285:Y1285"/>
    <mergeCell ref="Z1285:AA1285"/>
    <mergeCell ref="AB1285:AC1285"/>
    <mergeCell ref="AD1286:AE1286"/>
    <mergeCell ref="AF1286:AG1286"/>
    <mergeCell ref="AH1286:AI1286"/>
    <mergeCell ref="AJ1286:AK1286"/>
    <mergeCell ref="AL1286:BB1286"/>
    <mergeCell ref="P1286:Q1286"/>
    <mergeCell ref="R1286:S1286"/>
    <mergeCell ref="T1286:U1286"/>
    <mergeCell ref="V1286:W1286"/>
    <mergeCell ref="X1286:Y1286"/>
    <mergeCell ref="Z1286:AA1286"/>
    <mergeCell ref="AB1286:AC1286"/>
    <mergeCell ref="B1286:C1286"/>
    <mergeCell ref="D1286:E1286"/>
    <mergeCell ref="F1286:G1286"/>
    <mergeCell ref="H1286:I1286"/>
    <mergeCell ref="J1286:K1286"/>
    <mergeCell ref="L1286:M1286"/>
    <mergeCell ref="N1286:O1286"/>
    <mergeCell ref="AD1287:AE1287"/>
    <mergeCell ref="AF1287:AG1287"/>
    <mergeCell ref="AH1287:AI1287"/>
    <mergeCell ref="AJ1287:AK1287"/>
    <mergeCell ref="AL1287:BB1287"/>
    <mergeCell ref="AH1282:AI1282"/>
    <mergeCell ref="AJ1282:AK1282"/>
    <mergeCell ref="AL1282:BB1282"/>
    <mergeCell ref="B1282:C1282"/>
    <mergeCell ref="D1282:E1282"/>
    <mergeCell ref="F1282:G1282"/>
    <mergeCell ref="H1282:I1282"/>
    <mergeCell ref="J1282:K1282"/>
    <mergeCell ref="L1282:M1282"/>
    <mergeCell ref="N1282:O1282"/>
    <mergeCell ref="P1284:Q1284"/>
    <mergeCell ref="R1284:S1284"/>
    <mergeCell ref="T1284:U1284"/>
    <mergeCell ref="V1284:W1284"/>
    <mergeCell ref="X1284:Y1284"/>
    <mergeCell ref="Z1284:AA1284"/>
    <mergeCell ref="AB1284:AC1284"/>
    <mergeCell ref="B1284:C1284"/>
    <mergeCell ref="D1284:E1284"/>
    <mergeCell ref="F1284:G1284"/>
    <mergeCell ref="H1284:I1284"/>
    <mergeCell ref="J1284:K1284"/>
    <mergeCell ref="L1284:M1284"/>
    <mergeCell ref="N1284:O1284"/>
    <mergeCell ref="AD1282:AE1282"/>
    <mergeCell ref="AF1282:AG1282"/>
    <mergeCell ref="P1282:Q1282"/>
    <mergeCell ref="R1282:S1282"/>
    <mergeCell ref="T1282:U1282"/>
    <mergeCell ref="V1282:W1282"/>
    <mergeCell ref="X1282:Y1282"/>
    <mergeCell ref="Z1282:AA1282"/>
    <mergeCell ref="AB1282:AC1282"/>
    <mergeCell ref="AD1283:AE1283"/>
    <mergeCell ref="AF1283:AG1283"/>
    <mergeCell ref="AH1283:AI1283"/>
    <mergeCell ref="AJ1283:AK1283"/>
    <mergeCell ref="AL1283:BB1283"/>
    <mergeCell ref="P1283:Q1283"/>
    <mergeCell ref="R1283:S1283"/>
    <mergeCell ref="T1283:U1283"/>
    <mergeCell ref="V1283:W1283"/>
    <mergeCell ref="X1283:Y1283"/>
    <mergeCell ref="Z1283:AA1283"/>
    <mergeCell ref="AB1283:AC1283"/>
    <mergeCell ref="B1283:C1283"/>
    <mergeCell ref="D1283:E1283"/>
    <mergeCell ref="F1283:G1283"/>
    <mergeCell ref="H1283:I1283"/>
    <mergeCell ref="J1283:K1283"/>
    <mergeCell ref="L1283:M1283"/>
    <mergeCell ref="N1283:O1283"/>
    <mergeCell ref="AD1284:AE1284"/>
    <mergeCell ref="AF1284:AG1284"/>
    <mergeCell ref="AH1284:AI1284"/>
    <mergeCell ref="AJ1284:AK1284"/>
    <mergeCell ref="AL1284:BB1284"/>
    <mergeCell ref="AH1279:AI1279"/>
    <mergeCell ref="AJ1279:AK1279"/>
    <mergeCell ref="AL1279:BB1279"/>
    <mergeCell ref="B1279:C1279"/>
    <mergeCell ref="D1279:E1279"/>
    <mergeCell ref="F1279:G1279"/>
    <mergeCell ref="H1279:I1279"/>
    <mergeCell ref="J1279:K1279"/>
    <mergeCell ref="L1279:M1279"/>
    <mergeCell ref="N1279:O1279"/>
    <mergeCell ref="P1281:Q1281"/>
    <mergeCell ref="R1281:S1281"/>
    <mergeCell ref="T1281:U1281"/>
    <mergeCell ref="V1281:W1281"/>
    <mergeCell ref="X1281:Y1281"/>
    <mergeCell ref="Z1281:AA1281"/>
    <mergeCell ref="AB1281:AC1281"/>
    <mergeCell ref="B1281:C1281"/>
    <mergeCell ref="D1281:E1281"/>
    <mergeCell ref="F1281:G1281"/>
    <mergeCell ref="H1281:I1281"/>
    <mergeCell ref="J1281:K1281"/>
    <mergeCell ref="L1281:M1281"/>
    <mergeCell ref="N1281:O1281"/>
    <mergeCell ref="AD1279:AE1279"/>
    <mergeCell ref="AF1279:AG1279"/>
    <mergeCell ref="P1279:Q1279"/>
    <mergeCell ref="R1279:S1279"/>
    <mergeCell ref="T1279:U1279"/>
    <mergeCell ref="V1279:W1279"/>
    <mergeCell ref="X1279:Y1279"/>
    <mergeCell ref="Z1279:AA1279"/>
    <mergeCell ref="AB1279:AC1279"/>
    <mergeCell ref="AD1280:AE1280"/>
    <mergeCell ref="AF1280:AG1280"/>
    <mergeCell ref="AH1280:AI1280"/>
    <mergeCell ref="AJ1280:AK1280"/>
    <mergeCell ref="AL1280:BB1280"/>
    <mergeCell ref="P1280:Q1280"/>
    <mergeCell ref="R1280:S1280"/>
    <mergeCell ref="T1280:U1280"/>
    <mergeCell ref="V1280:W1280"/>
    <mergeCell ref="X1280:Y1280"/>
    <mergeCell ref="Z1280:AA1280"/>
    <mergeCell ref="AB1280:AC1280"/>
    <mergeCell ref="B1280:C1280"/>
    <mergeCell ref="D1280:E1280"/>
    <mergeCell ref="F1280:G1280"/>
    <mergeCell ref="H1280:I1280"/>
    <mergeCell ref="J1280:K1280"/>
    <mergeCell ref="L1280:M1280"/>
    <mergeCell ref="N1280:O1280"/>
    <mergeCell ref="AD1281:AE1281"/>
    <mergeCell ref="AF1281:AG1281"/>
    <mergeCell ref="AH1281:AI1281"/>
    <mergeCell ref="AJ1281:AK1281"/>
    <mergeCell ref="AL1281:BB1281"/>
    <mergeCell ref="AJ1275:AK1275"/>
    <mergeCell ref="AL1275:BB1275"/>
    <mergeCell ref="AH1276:AI1276"/>
    <mergeCell ref="AJ1276:AK1276"/>
    <mergeCell ref="AL1276:BB1276"/>
    <mergeCell ref="B1276:C1276"/>
    <mergeCell ref="D1276:E1276"/>
    <mergeCell ref="F1276:G1276"/>
    <mergeCell ref="H1276:I1276"/>
    <mergeCell ref="J1276:K1276"/>
    <mergeCell ref="L1276:M1276"/>
    <mergeCell ref="N1276:O1276"/>
    <mergeCell ref="P1278:Q1278"/>
    <mergeCell ref="R1278:S1278"/>
    <mergeCell ref="T1278:U1278"/>
    <mergeCell ref="V1278:W1278"/>
    <mergeCell ref="X1278:Y1278"/>
    <mergeCell ref="Z1278:AA1278"/>
    <mergeCell ref="AB1278:AC1278"/>
    <mergeCell ref="B1278:C1278"/>
    <mergeCell ref="D1278:E1278"/>
    <mergeCell ref="F1278:G1278"/>
    <mergeCell ref="H1278:I1278"/>
    <mergeCell ref="J1278:K1278"/>
    <mergeCell ref="L1278:M1278"/>
    <mergeCell ref="N1278:O1278"/>
    <mergeCell ref="AD1276:AE1276"/>
    <mergeCell ref="AF1276:AG1276"/>
    <mergeCell ref="P1276:Q1276"/>
    <mergeCell ref="R1276:S1276"/>
    <mergeCell ref="T1276:U1276"/>
    <mergeCell ref="V1276:W1276"/>
    <mergeCell ref="X1276:Y1276"/>
    <mergeCell ref="Z1276:AA1276"/>
    <mergeCell ref="AB1276:AC1276"/>
    <mergeCell ref="AD1277:AE1277"/>
    <mergeCell ref="AF1277:AG1277"/>
    <mergeCell ref="AH1277:AI1277"/>
    <mergeCell ref="AJ1277:AK1277"/>
    <mergeCell ref="AL1277:BB1277"/>
    <mergeCell ref="P1277:Q1277"/>
    <mergeCell ref="R1277:S1277"/>
    <mergeCell ref="T1277:U1277"/>
    <mergeCell ref="V1277:W1277"/>
    <mergeCell ref="X1277:Y1277"/>
    <mergeCell ref="Z1277:AA1277"/>
    <mergeCell ref="AB1277:AC1277"/>
    <mergeCell ref="B1277:C1277"/>
    <mergeCell ref="D1277:E1277"/>
    <mergeCell ref="F1277:G1277"/>
    <mergeCell ref="H1277:I1277"/>
    <mergeCell ref="J1277:K1277"/>
    <mergeCell ref="L1277:M1277"/>
    <mergeCell ref="N1277:O1277"/>
    <mergeCell ref="AD1278:AE1278"/>
    <mergeCell ref="AF1278:AG1278"/>
    <mergeCell ref="AH1278:AI1278"/>
    <mergeCell ref="AJ1278:AK1278"/>
    <mergeCell ref="AL1278:BB1278"/>
    <mergeCell ref="H1271:I1271"/>
    <mergeCell ref="J1271:K1271"/>
    <mergeCell ref="L1271:M1271"/>
    <mergeCell ref="N1271:O1271"/>
    <mergeCell ref="AD1272:AE1272"/>
    <mergeCell ref="AF1272:AG1272"/>
    <mergeCell ref="AH1272:AI1272"/>
    <mergeCell ref="AJ1272:AK1272"/>
    <mergeCell ref="AL1272:BB1272"/>
    <mergeCell ref="AH1273:AI1273"/>
    <mergeCell ref="AJ1273:AK1273"/>
    <mergeCell ref="AL1273:BB1273"/>
    <mergeCell ref="B1273:C1273"/>
    <mergeCell ref="D1273:E1273"/>
    <mergeCell ref="F1273:G1273"/>
    <mergeCell ref="H1273:I1273"/>
    <mergeCell ref="J1273:K1273"/>
    <mergeCell ref="L1273:M1273"/>
    <mergeCell ref="N1273:O1273"/>
    <mergeCell ref="P1275:Q1275"/>
    <mergeCell ref="R1275:S1275"/>
    <mergeCell ref="T1275:U1275"/>
    <mergeCell ref="V1275:W1275"/>
    <mergeCell ref="X1275:Y1275"/>
    <mergeCell ref="Z1275:AA1275"/>
    <mergeCell ref="AB1275:AC1275"/>
    <mergeCell ref="B1275:C1275"/>
    <mergeCell ref="D1275:E1275"/>
    <mergeCell ref="F1275:G1275"/>
    <mergeCell ref="H1275:I1275"/>
    <mergeCell ref="J1275:K1275"/>
    <mergeCell ref="L1275:M1275"/>
    <mergeCell ref="N1275:O1275"/>
    <mergeCell ref="AD1273:AE1273"/>
    <mergeCell ref="AF1273:AG1273"/>
    <mergeCell ref="P1273:Q1273"/>
    <mergeCell ref="R1273:S1273"/>
    <mergeCell ref="T1273:U1273"/>
    <mergeCell ref="V1273:W1273"/>
    <mergeCell ref="X1273:Y1273"/>
    <mergeCell ref="Z1273:AA1273"/>
    <mergeCell ref="AB1273:AC1273"/>
    <mergeCell ref="AD1274:AE1274"/>
    <mergeCell ref="AF1274:AG1274"/>
    <mergeCell ref="AH1274:AI1274"/>
    <mergeCell ref="AJ1274:AK1274"/>
    <mergeCell ref="AL1274:BB1274"/>
    <mergeCell ref="P1274:Q1274"/>
    <mergeCell ref="R1274:S1274"/>
    <mergeCell ref="T1274:U1274"/>
    <mergeCell ref="V1274:W1274"/>
    <mergeCell ref="X1274:Y1274"/>
    <mergeCell ref="Z1274:AA1274"/>
    <mergeCell ref="AB1274:AC1274"/>
    <mergeCell ref="B1274:C1274"/>
    <mergeCell ref="D1274:E1274"/>
    <mergeCell ref="F1274:G1274"/>
    <mergeCell ref="H1274:I1274"/>
    <mergeCell ref="J1274:K1274"/>
    <mergeCell ref="L1274:M1274"/>
    <mergeCell ref="N1274:O1274"/>
    <mergeCell ref="AD1275:AE1275"/>
    <mergeCell ref="AF1275:AG1275"/>
    <mergeCell ref="AH1275:AI1275"/>
    <mergeCell ref="P1269:Q1269"/>
    <mergeCell ref="R1269:S1269"/>
    <mergeCell ref="T1269:U1269"/>
    <mergeCell ref="V1269:W1269"/>
    <mergeCell ref="X1269:Y1269"/>
    <mergeCell ref="Z1269:AA1269"/>
    <mergeCell ref="AB1269:AC1269"/>
    <mergeCell ref="B1269:C1269"/>
    <mergeCell ref="D1269:E1269"/>
    <mergeCell ref="F1269:G1269"/>
    <mergeCell ref="H1269:I1269"/>
    <mergeCell ref="J1269:K1269"/>
    <mergeCell ref="L1269:M1269"/>
    <mergeCell ref="N1269:O1269"/>
    <mergeCell ref="AD1291:AE1291"/>
    <mergeCell ref="AF1291:AG1291"/>
    <mergeCell ref="AH1291:AI1291"/>
    <mergeCell ref="AJ1291:AK1291"/>
    <mergeCell ref="AL1291:BB1291"/>
    <mergeCell ref="P1291:Q1291"/>
    <mergeCell ref="R1291:S1291"/>
    <mergeCell ref="T1291:U1291"/>
    <mergeCell ref="V1291:W1291"/>
    <mergeCell ref="X1291:Y1291"/>
    <mergeCell ref="Z1291:AA1291"/>
    <mergeCell ref="AB1291:AC1291"/>
    <mergeCell ref="P1272:Q1272"/>
    <mergeCell ref="R1272:S1272"/>
    <mergeCell ref="T1272:U1272"/>
    <mergeCell ref="V1272:W1272"/>
    <mergeCell ref="X1272:Y1272"/>
    <mergeCell ref="Z1272:AA1272"/>
    <mergeCell ref="AB1272:AC1272"/>
    <mergeCell ref="B1272:C1272"/>
    <mergeCell ref="D1272:E1272"/>
    <mergeCell ref="F1272:G1272"/>
    <mergeCell ref="H1272:I1272"/>
    <mergeCell ref="J1272:K1272"/>
    <mergeCell ref="L1272:M1272"/>
    <mergeCell ref="N1272:O1272"/>
    <mergeCell ref="AD1270:AE1270"/>
    <mergeCell ref="AF1270:AG1270"/>
    <mergeCell ref="P1270:Q1270"/>
    <mergeCell ref="R1270:S1270"/>
    <mergeCell ref="T1270:U1270"/>
    <mergeCell ref="V1270:W1270"/>
    <mergeCell ref="X1270:Y1270"/>
    <mergeCell ref="Z1270:AA1270"/>
    <mergeCell ref="AB1270:AC1270"/>
    <mergeCell ref="AD1271:AE1271"/>
    <mergeCell ref="AF1271:AG1271"/>
    <mergeCell ref="AH1271:AI1271"/>
    <mergeCell ref="AJ1271:AK1271"/>
    <mergeCell ref="AL1271:BB1271"/>
    <mergeCell ref="P1271:Q1271"/>
    <mergeCell ref="R1271:S1271"/>
    <mergeCell ref="T1271:U1271"/>
    <mergeCell ref="V1271:W1271"/>
    <mergeCell ref="X1271:Y1271"/>
    <mergeCell ref="Z1271:AA1271"/>
    <mergeCell ref="AB1271:AC1271"/>
    <mergeCell ref="B1271:C1271"/>
    <mergeCell ref="D1271:E1271"/>
    <mergeCell ref="F1271:G1271"/>
    <mergeCell ref="AL1260:BB1260"/>
    <mergeCell ref="AH1261:AI1261"/>
    <mergeCell ref="AJ1261:AK1261"/>
    <mergeCell ref="AL1261:BB1261"/>
    <mergeCell ref="B1261:C1261"/>
    <mergeCell ref="D1261:E1261"/>
    <mergeCell ref="F1261:G1261"/>
    <mergeCell ref="H1261:I1261"/>
    <mergeCell ref="J1261:K1261"/>
    <mergeCell ref="L1261:M1261"/>
    <mergeCell ref="N1261:O1261"/>
    <mergeCell ref="P1263:Q1263"/>
    <mergeCell ref="R1263:S1263"/>
    <mergeCell ref="T1263:U1263"/>
    <mergeCell ref="V1263:W1263"/>
    <mergeCell ref="X1263:Y1263"/>
    <mergeCell ref="Z1263:AA1263"/>
    <mergeCell ref="AB1263:AC1263"/>
    <mergeCell ref="B1263:C1263"/>
    <mergeCell ref="D1263:E1263"/>
    <mergeCell ref="F1263:G1263"/>
    <mergeCell ref="H1263:I1263"/>
    <mergeCell ref="J1263:K1263"/>
    <mergeCell ref="L1263:M1263"/>
    <mergeCell ref="N1263:O1263"/>
    <mergeCell ref="AD1261:AE1261"/>
    <mergeCell ref="AF1261:AG1261"/>
    <mergeCell ref="P1261:Q1261"/>
    <mergeCell ref="R1261:S1261"/>
    <mergeCell ref="T1261:U1261"/>
    <mergeCell ref="V1261:W1261"/>
    <mergeCell ref="X1261:Y1261"/>
    <mergeCell ref="Z1261:AA1261"/>
    <mergeCell ref="AB1261:AC1261"/>
    <mergeCell ref="AD1262:AE1262"/>
    <mergeCell ref="AF1262:AG1262"/>
    <mergeCell ref="AH1262:AI1262"/>
    <mergeCell ref="AJ1262:AK1262"/>
    <mergeCell ref="AL1262:BB1262"/>
    <mergeCell ref="P1262:Q1262"/>
    <mergeCell ref="R1262:S1262"/>
    <mergeCell ref="T1262:U1262"/>
    <mergeCell ref="V1262:W1262"/>
    <mergeCell ref="X1262:Y1262"/>
    <mergeCell ref="Z1262:AA1262"/>
    <mergeCell ref="AB1262:AC1262"/>
    <mergeCell ref="B1262:C1262"/>
    <mergeCell ref="D1262:E1262"/>
    <mergeCell ref="F1262:G1262"/>
    <mergeCell ref="H1262:I1262"/>
    <mergeCell ref="J1262:K1262"/>
    <mergeCell ref="L1262:M1262"/>
    <mergeCell ref="N1262:O1262"/>
    <mergeCell ref="AD1263:AE1263"/>
    <mergeCell ref="AF1263:AG1263"/>
    <mergeCell ref="AH1263:AI1263"/>
    <mergeCell ref="AJ1263:AK1263"/>
    <mergeCell ref="AL1263:BB1263"/>
    <mergeCell ref="AD1269:AE1269"/>
    <mergeCell ref="AF1269:AG1269"/>
    <mergeCell ref="AH1269:AI1269"/>
    <mergeCell ref="AJ1269:AK1269"/>
    <mergeCell ref="AL1269:BB1269"/>
    <mergeCell ref="AH1270:AI1270"/>
    <mergeCell ref="AJ1270:AK1270"/>
    <mergeCell ref="AL1270:BB1270"/>
    <mergeCell ref="B1270:C1270"/>
    <mergeCell ref="D1270:E1270"/>
    <mergeCell ref="F1270:G1270"/>
    <mergeCell ref="H1270:I1270"/>
    <mergeCell ref="J1270:K1270"/>
    <mergeCell ref="L1270:M1270"/>
    <mergeCell ref="N1270:O1270"/>
    <mergeCell ref="AD1255:AE1255"/>
    <mergeCell ref="AF1255:AG1255"/>
    <mergeCell ref="P1255:Q1255"/>
    <mergeCell ref="R1255:S1255"/>
    <mergeCell ref="T1255:U1255"/>
    <mergeCell ref="V1255:W1255"/>
    <mergeCell ref="X1255:Y1255"/>
    <mergeCell ref="Z1255:AA1255"/>
    <mergeCell ref="AB1255:AC1255"/>
    <mergeCell ref="AD1256:AE1256"/>
    <mergeCell ref="AF1256:AG1256"/>
    <mergeCell ref="AH1256:AI1256"/>
    <mergeCell ref="AJ1256:AK1256"/>
    <mergeCell ref="AL1256:BB1256"/>
    <mergeCell ref="P1256:Q1256"/>
    <mergeCell ref="R1256:S1256"/>
    <mergeCell ref="T1256:U1256"/>
    <mergeCell ref="V1256:W1256"/>
    <mergeCell ref="X1256:Y1256"/>
    <mergeCell ref="Z1256:AA1256"/>
    <mergeCell ref="AB1256:AC1256"/>
    <mergeCell ref="B1256:C1256"/>
    <mergeCell ref="D1256:E1256"/>
    <mergeCell ref="F1256:G1256"/>
    <mergeCell ref="H1256:I1256"/>
    <mergeCell ref="J1256:K1256"/>
    <mergeCell ref="L1256:M1256"/>
    <mergeCell ref="N1256:O1256"/>
    <mergeCell ref="AD1257:AE1257"/>
    <mergeCell ref="AF1257:AG1257"/>
    <mergeCell ref="AH1257:AI1257"/>
    <mergeCell ref="AJ1257:AK1257"/>
    <mergeCell ref="AL1257:BB1257"/>
    <mergeCell ref="AH1258:AI1258"/>
    <mergeCell ref="AJ1258:AK1258"/>
    <mergeCell ref="AL1258:BB1258"/>
    <mergeCell ref="B1258:C1258"/>
    <mergeCell ref="D1258:E1258"/>
    <mergeCell ref="F1258:G1258"/>
    <mergeCell ref="H1258:I1258"/>
    <mergeCell ref="J1258:K1258"/>
    <mergeCell ref="L1258:M1258"/>
    <mergeCell ref="N1258:O1258"/>
    <mergeCell ref="AD1258:AE1258"/>
    <mergeCell ref="AF1258:AG1258"/>
    <mergeCell ref="P1258:Q1258"/>
    <mergeCell ref="R1258:S1258"/>
    <mergeCell ref="T1258:U1258"/>
    <mergeCell ref="V1258:W1258"/>
    <mergeCell ref="AH1267:AI1267"/>
    <mergeCell ref="AJ1267:AK1267"/>
    <mergeCell ref="AL1267:BB1267"/>
    <mergeCell ref="B1267:C1267"/>
    <mergeCell ref="D1267:E1267"/>
    <mergeCell ref="F1267:G1267"/>
    <mergeCell ref="H1267:I1267"/>
    <mergeCell ref="J1267:K1267"/>
    <mergeCell ref="L1267:M1267"/>
    <mergeCell ref="N1267:O1267"/>
    <mergeCell ref="AD1267:AE1267"/>
    <mergeCell ref="AF1267:AG1267"/>
    <mergeCell ref="P1267:Q1267"/>
    <mergeCell ref="R1267:S1267"/>
    <mergeCell ref="T1267:U1267"/>
    <mergeCell ref="V1267:W1267"/>
    <mergeCell ref="X1267:Y1267"/>
    <mergeCell ref="Z1267:AA1267"/>
    <mergeCell ref="AB1267:AC1267"/>
    <mergeCell ref="AD1268:AE1268"/>
    <mergeCell ref="AF1268:AG1268"/>
    <mergeCell ref="AH1268:AI1268"/>
    <mergeCell ref="AJ1268:AK1268"/>
    <mergeCell ref="AL1268:BB1268"/>
    <mergeCell ref="P1268:Q1268"/>
    <mergeCell ref="R1268:S1268"/>
    <mergeCell ref="T1268:U1268"/>
    <mergeCell ref="V1268:W1268"/>
    <mergeCell ref="X1268:Y1268"/>
    <mergeCell ref="Z1268:AA1268"/>
    <mergeCell ref="AB1268:AC1268"/>
    <mergeCell ref="B1268:C1268"/>
    <mergeCell ref="D1268:E1268"/>
    <mergeCell ref="F1268:G1268"/>
    <mergeCell ref="H1268:I1268"/>
    <mergeCell ref="J1268:K1268"/>
    <mergeCell ref="L1268:M1268"/>
    <mergeCell ref="N1268:O1268"/>
    <mergeCell ref="AD1264:AE1264"/>
    <mergeCell ref="AF1264:AG1264"/>
    <mergeCell ref="P1264:Q1264"/>
    <mergeCell ref="R1264:S1264"/>
    <mergeCell ref="T1264:U1264"/>
    <mergeCell ref="V1264:W1264"/>
    <mergeCell ref="X1264:Y1264"/>
    <mergeCell ref="Z1264:AA1264"/>
    <mergeCell ref="AB1264:AC1264"/>
    <mergeCell ref="AD1265:AE1265"/>
    <mergeCell ref="AF1265:AG1265"/>
    <mergeCell ref="AH1265:AI1265"/>
    <mergeCell ref="AJ1265:AK1265"/>
    <mergeCell ref="AL1265:BB1265"/>
    <mergeCell ref="P1265:Q1265"/>
    <mergeCell ref="R1265:S1265"/>
    <mergeCell ref="T1265:U1265"/>
    <mergeCell ref="V1265:W1265"/>
    <mergeCell ref="X1265:Y1265"/>
    <mergeCell ref="Z1265:AA1265"/>
    <mergeCell ref="AB1265:AC1265"/>
    <mergeCell ref="B1265:C1265"/>
    <mergeCell ref="D1265:E1265"/>
    <mergeCell ref="F1265:G1265"/>
    <mergeCell ref="H1265:I1265"/>
    <mergeCell ref="J1265:K1265"/>
    <mergeCell ref="L1265:M1265"/>
    <mergeCell ref="N1265:O1265"/>
    <mergeCell ref="AD1266:AE1266"/>
    <mergeCell ref="AF1266:AG1266"/>
    <mergeCell ref="AH1266:AI1266"/>
    <mergeCell ref="AJ1266:AK1266"/>
    <mergeCell ref="AL1266:BB1266"/>
    <mergeCell ref="AH1264:AI1264"/>
    <mergeCell ref="AJ1264:AK1264"/>
    <mergeCell ref="AL1264:BB1264"/>
    <mergeCell ref="B1264:C1264"/>
    <mergeCell ref="D1264:E1264"/>
    <mergeCell ref="F1264:G1264"/>
    <mergeCell ref="H1264:I1264"/>
    <mergeCell ref="J1264:K1264"/>
    <mergeCell ref="L1264:M1264"/>
    <mergeCell ref="N1264:O1264"/>
    <mergeCell ref="P1266:Q1266"/>
    <mergeCell ref="R1266:S1266"/>
    <mergeCell ref="T1266:U1266"/>
    <mergeCell ref="V1266:W1266"/>
    <mergeCell ref="X1266:Y1266"/>
    <mergeCell ref="Z1266:AA1266"/>
    <mergeCell ref="AB1266:AC1266"/>
    <mergeCell ref="B1266:C1266"/>
    <mergeCell ref="D1266:E1266"/>
    <mergeCell ref="F1266:G1266"/>
    <mergeCell ref="H1266:I1266"/>
    <mergeCell ref="J1266:K1266"/>
    <mergeCell ref="L1266:M1266"/>
    <mergeCell ref="N1266:O1266"/>
    <mergeCell ref="AH1255:AI1255"/>
    <mergeCell ref="AJ1255:AK1255"/>
    <mergeCell ref="AL1255:BB1255"/>
    <mergeCell ref="B1255:C1255"/>
    <mergeCell ref="D1255:E1255"/>
    <mergeCell ref="F1255:G1255"/>
    <mergeCell ref="H1255:I1255"/>
    <mergeCell ref="J1255:K1255"/>
    <mergeCell ref="L1255:M1255"/>
    <mergeCell ref="N1255:O1255"/>
    <mergeCell ref="P1257:Q1257"/>
    <mergeCell ref="R1257:S1257"/>
    <mergeCell ref="T1257:U1257"/>
    <mergeCell ref="V1257:W1257"/>
    <mergeCell ref="X1257:Y1257"/>
    <mergeCell ref="Z1257:AA1257"/>
    <mergeCell ref="AB1257:AC1257"/>
    <mergeCell ref="B1257:C1257"/>
    <mergeCell ref="D1257:E1257"/>
    <mergeCell ref="F1257:G1257"/>
    <mergeCell ref="H1257:I1257"/>
    <mergeCell ref="J1257:K1257"/>
    <mergeCell ref="L1257:M1257"/>
    <mergeCell ref="N1257:O1257"/>
    <mergeCell ref="P1260:Q1260"/>
    <mergeCell ref="R1260:S1260"/>
    <mergeCell ref="T1260:U1260"/>
    <mergeCell ref="V1260:W1260"/>
    <mergeCell ref="X1260:Y1260"/>
    <mergeCell ref="Z1260:AA1260"/>
    <mergeCell ref="AB1260:AC1260"/>
    <mergeCell ref="B1260:C1260"/>
    <mergeCell ref="D1260:E1260"/>
    <mergeCell ref="F1260:G1260"/>
    <mergeCell ref="H1260:I1260"/>
    <mergeCell ref="J1260:K1260"/>
    <mergeCell ref="L1260:M1260"/>
    <mergeCell ref="N1260:O1260"/>
    <mergeCell ref="X1258:Y1258"/>
    <mergeCell ref="Z1258:AA1258"/>
    <mergeCell ref="AB1258:AC1258"/>
    <mergeCell ref="AD1259:AE1259"/>
    <mergeCell ref="AF1259:AG1259"/>
    <mergeCell ref="AH1259:AI1259"/>
    <mergeCell ref="AJ1259:AK1259"/>
    <mergeCell ref="AL1259:BB1259"/>
    <mergeCell ref="P1259:Q1259"/>
    <mergeCell ref="R1259:S1259"/>
    <mergeCell ref="T1259:U1259"/>
    <mergeCell ref="V1259:W1259"/>
    <mergeCell ref="X1259:Y1259"/>
    <mergeCell ref="Z1259:AA1259"/>
    <mergeCell ref="AB1259:AC1259"/>
    <mergeCell ref="B1259:C1259"/>
    <mergeCell ref="D1259:E1259"/>
    <mergeCell ref="F1259:G1259"/>
    <mergeCell ref="H1259:I1259"/>
    <mergeCell ref="J1259:K1259"/>
    <mergeCell ref="L1259:M1259"/>
    <mergeCell ref="N1259:O1259"/>
    <mergeCell ref="AD1260:AE1260"/>
    <mergeCell ref="AF1260:AG1260"/>
    <mergeCell ref="AH1260:AI1260"/>
    <mergeCell ref="AJ1260:AK1260"/>
    <mergeCell ref="AH1252:AI1252"/>
    <mergeCell ref="AJ1252:AK1252"/>
    <mergeCell ref="AL1252:BB1252"/>
    <mergeCell ref="B1252:C1252"/>
    <mergeCell ref="D1252:E1252"/>
    <mergeCell ref="F1252:G1252"/>
    <mergeCell ref="H1252:I1252"/>
    <mergeCell ref="J1252:K1252"/>
    <mergeCell ref="L1252:M1252"/>
    <mergeCell ref="N1252:O1252"/>
    <mergeCell ref="P1254:Q1254"/>
    <mergeCell ref="R1254:S1254"/>
    <mergeCell ref="T1254:U1254"/>
    <mergeCell ref="V1254:W1254"/>
    <mergeCell ref="X1254:Y1254"/>
    <mergeCell ref="Z1254:AA1254"/>
    <mergeCell ref="AB1254:AC1254"/>
    <mergeCell ref="B1254:C1254"/>
    <mergeCell ref="D1254:E1254"/>
    <mergeCell ref="F1254:G1254"/>
    <mergeCell ref="H1254:I1254"/>
    <mergeCell ref="J1254:K1254"/>
    <mergeCell ref="L1254:M1254"/>
    <mergeCell ref="N1254:O1254"/>
    <mergeCell ref="AD1252:AE1252"/>
    <mergeCell ref="AF1252:AG1252"/>
    <mergeCell ref="P1252:Q1252"/>
    <mergeCell ref="R1252:S1252"/>
    <mergeCell ref="T1252:U1252"/>
    <mergeCell ref="V1252:W1252"/>
    <mergeCell ref="X1252:Y1252"/>
    <mergeCell ref="Z1252:AA1252"/>
    <mergeCell ref="AB1252:AC1252"/>
    <mergeCell ref="AD1253:AE1253"/>
    <mergeCell ref="AF1253:AG1253"/>
    <mergeCell ref="AH1253:AI1253"/>
    <mergeCell ref="AJ1253:AK1253"/>
    <mergeCell ref="AL1253:BB1253"/>
    <mergeCell ref="P1253:Q1253"/>
    <mergeCell ref="R1253:S1253"/>
    <mergeCell ref="T1253:U1253"/>
    <mergeCell ref="V1253:W1253"/>
    <mergeCell ref="X1253:Y1253"/>
    <mergeCell ref="Z1253:AA1253"/>
    <mergeCell ref="AB1253:AC1253"/>
    <mergeCell ref="B1253:C1253"/>
    <mergeCell ref="D1253:E1253"/>
    <mergeCell ref="F1253:G1253"/>
    <mergeCell ref="H1253:I1253"/>
    <mergeCell ref="J1253:K1253"/>
    <mergeCell ref="L1253:M1253"/>
    <mergeCell ref="N1253:O1253"/>
    <mergeCell ref="AD1254:AE1254"/>
    <mergeCell ref="AF1254:AG1254"/>
    <mergeCell ref="AH1254:AI1254"/>
    <mergeCell ref="AJ1254:AK1254"/>
    <mergeCell ref="AL1254:BB1254"/>
    <mergeCell ref="B1249:C1249"/>
    <mergeCell ref="D1249:E1249"/>
    <mergeCell ref="F1249:G1249"/>
    <mergeCell ref="H1249:I1249"/>
    <mergeCell ref="J1249:K1249"/>
    <mergeCell ref="L1249:M1249"/>
    <mergeCell ref="N1249:O1249"/>
    <mergeCell ref="AD1250:AE1250"/>
    <mergeCell ref="AF1250:AG1250"/>
    <mergeCell ref="AH1250:AI1250"/>
    <mergeCell ref="AJ1250:AK1250"/>
    <mergeCell ref="AL1250:BB1250"/>
    <mergeCell ref="P1250:Q1250"/>
    <mergeCell ref="R1250:S1250"/>
    <mergeCell ref="T1250:U1250"/>
    <mergeCell ref="V1250:W1250"/>
    <mergeCell ref="X1250:Y1250"/>
    <mergeCell ref="Z1250:AA1250"/>
    <mergeCell ref="AB1250:AC1250"/>
    <mergeCell ref="B1250:C1250"/>
    <mergeCell ref="D1250:E1250"/>
    <mergeCell ref="F1250:G1250"/>
    <mergeCell ref="H1250:I1250"/>
    <mergeCell ref="J1250:K1250"/>
    <mergeCell ref="L1250:M1250"/>
    <mergeCell ref="N1250:O1250"/>
    <mergeCell ref="AD1251:AE1251"/>
    <mergeCell ref="AF1251:AG1251"/>
    <mergeCell ref="AH1251:AI1251"/>
    <mergeCell ref="AJ1251:AK1251"/>
    <mergeCell ref="AL1251:BB1251"/>
    <mergeCell ref="P1251:Q1251"/>
    <mergeCell ref="R1251:S1251"/>
    <mergeCell ref="T1251:U1251"/>
    <mergeCell ref="V1251:W1251"/>
    <mergeCell ref="X1251:Y1251"/>
    <mergeCell ref="Z1251:AA1251"/>
    <mergeCell ref="AB1251:AC1251"/>
    <mergeCell ref="B1251:C1251"/>
    <mergeCell ref="D1251:E1251"/>
    <mergeCell ref="F1251:G1251"/>
    <mergeCell ref="H1251:I1251"/>
    <mergeCell ref="J1251:K1251"/>
    <mergeCell ref="L1251:M1251"/>
    <mergeCell ref="N1251:O1251"/>
    <mergeCell ref="AH1246:AI1246"/>
    <mergeCell ref="AJ1246:AK1246"/>
    <mergeCell ref="AL1246:BB1246"/>
    <mergeCell ref="B1246:C1246"/>
    <mergeCell ref="D1246:E1246"/>
    <mergeCell ref="F1246:G1246"/>
    <mergeCell ref="H1246:I1246"/>
    <mergeCell ref="J1246:K1246"/>
    <mergeCell ref="L1246:M1246"/>
    <mergeCell ref="N1246:O1246"/>
    <mergeCell ref="P1248:Q1248"/>
    <mergeCell ref="R1248:S1248"/>
    <mergeCell ref="T1248:U1248"/>
    <mergeCell ref="V1248:W1248"/>
    <mergeCell ref="X1248:Y1248"/>
    <mergeCell ref="Z1248:AA1248"/>
    <mergeCell ref="AB1248:AC1248"/>
    <mergeCell ref="B1248:C1248"/>
    <mergeCell ref="D1248:E1248"/>
    <mergeCell ref="F1248:G1248"/>
    <mergeCell ref="H1248:I1248"/>
    <mergeCell ref="J1248:K1248"/>
    <mergeCell ref="L1248:M1248"/>
    <mergeCell ref="N1248:O1248"/>
    <mergeCell ref="AD1246:AE1246"/>
    <mergeCell ref="AF1246:AG1246"/>
    <mergeCell ref="P1246:Q1246"/>
    <mergeCell ref="R1246:S1246"/>
    <mergeCell ref="T1246:U1246"/>
    <mergeCell ref="V1246:W1246"/>
    <mergeCell ref="X1246:Y1246"/>
    <mergeCell ref="Z1246:AA1246"/>
    <mergeCell ref="AB1246:AC1246"/>
    <mergeCell ref="AD1247:AE1247"/>
    <mergeCell ref="AF1247:AG1247"/>
    <mergeCell ref="AH1247:AI1247"/>
    <mergeCell ref="AJ1247:AK1247"/>
    <mergeCell ref="AL1247:BB1247"/>
    <mergeCell ref="P1247:Q1247"/>
    <mergeCell ref="R1247:S1247"/>
    <mergeCell ref="T1247:U1247"/>
    <mergeCell ref="V1247:W1247"/>
    <mergeCell ref="X1247:Y1247"/>
    <mergeCell ref="Z1247:AA1247"/>
    <mergeCell ref="AB1247:AC1247"/>
    <mergeCell ref="B1247:C1247"/>
    <mergeCell ref="D1247:E1247"/>
    <mergeCell ref="F1247:G1247"/>
    <mergeCell ref="H1247:I1247"/>
    <mergeCell ref="J1247:K1247"/>
    <mergeCell ref="L1247:M1247"/>
    <mergeCell ref="N1247:O1247"/>
    <mergeCell ref="AD1248:AE1248"/>
    <mergeCell ref="AF1248:AG1248"/>
    <mergeCell ref="AH1248:AI1248"/>
    <mergeCell ref="AJ1248:AK1248"/>
    <mergeCell ref="AL1248:BB1248"/>
    <mergeCell ref="AH1243:AI1243"/>
    <mergeCell ref="AJ1243:AK1243"/>
    <mergeCell ref="AL1243:BB1243"/>
    <mergeCell ref="B1243:C1243"/>
    <mergeCell ref="D1243:E1243"/>
    <mergeCell ref="F1243:G1243"/>
    <mergeCell ref="H1243:I1243"/>
    <mergeCell ref="J1243:K1243"/>
    <mergeCell ref="L1243:M1243"/>
    <mergeCell ref="N1243:O1243"/>
    <mergeCell ref="P1245:Q1245"/>
    <mergeCell ref="R1245:S1245"/>
    <mergeCell ref="T1245:U1245"/>
    <mergeCell ref="V1245:W1245"/>
    <mergeCell ref="X1245:Y1245"/>
    <mergeCell ref="Z1245:AA1245"/>
    <mergeCell ref="AB1245:AC1245"/>
    <mergeCell ref="B1245:C1245"/>
    <mergeCell ref="D1245:E1245"/>
    <mergeCell ref="F1245:G1245"/>
    <mergeCell ref="H1245:I1245"/>
    <mergeCell ref="J1245:K1245"/>
    <mergeCell ref="L1245:M1245"/>
    <mergeCell ref="N1245:O1245"/>
    <mergeCell ref="AD1243:AE1243"/>
    <mergeCell ref="AF1243:AG1243"/>
    <mergeCell ref="P1243:Q1243"/>
    <mergeCell ref="R1243:S1243"/>
    <mergeCell ref="T1243:U1243"/>
    <mergeCell ref="V1243:W1243"/>
    <mergeCell ref="X1243:Y1243"/>
    <mergeCell ref="Z1243:AA1243"/>
    <mergeCell ref="AB1243:AC1243"/>
    <mergeCell ref="AD1244:AE1244"/>
    <mergeCell ref="AF1244:AG1244"/>
    <mergeCell ref="AH1244:AI1244"/>
    <mergeCell ref="AJ1244:AK1244"/>
    <mergeCell ref="AL1244:BB1244"/>
    <mergeCell ref="P1244:Q1244"/>
    <mergeCell ref="R1244:S1244"/>
    <mergeCell ref="T1244:U1244"/>
    <mergeCell ref="V1244:W1244"/>
    <mergeCell ref="X1244:Y1244"/>
    <mergeCell ref="Z1244:AA1244"/>
    <mergeCell ref="AB1244:AC1244"/>
    <mergeCell ref="B1244:C1244"/>
    <mergeCell ref="D1244:E1244"/>
    <mergeCell ref="F1244:G1244"/>
    <mergeCell ref="H1244:I1244"/>
    <mergeCell ref="J1244:K1244"/>
    <mergeCell ref="L1244:M1244"/>
    <mergeCell ref="N1244:O1244"/>
    <mergeCell ref="AD1245:AE1245"/>
    <mergeCell ref="AF1245:AG1245"/>
    <mergeCell ref="AH1245:AI1245"/>
    <mergeCell ref="AJ1245:AK1245"/>
    <mergeCell ref="AL1245:BB1245"/>
    <mergeCell ref="AH1240:AI1240"/>
    <mergeCell ref="AJ1240:AK1240"/>
    <mergeCell ref="AL1240:BB1240"/>
    <mergeCell ref="B1240:C1240"/>
    <mergeCell ref="D1240:E1240"/>
    <mergeCell ref="F1240:G1240"/>
    <mergeCell ref="H1240:I1240"/>
    <mergeCell ref="J1240:K1240"/>
    <mergeCell ref="L1240:M1240"/>
    <mergeCell ref="N1240:O1240"/>
    <mergeCell ref="P1242:Q1242"/>
    <mergeCell ref="R1242:S1242"/>
    <mergeCell ref="T1242:U1242"/>
    <mergeCell ref="V1242:W1242"/>
    <mergeCell ref="X1242:Y1242"/>
    <mergeCell ref="Z1242:AA1242"/>
    <mergeCell ref="AB1242:AC1242"/>
    <mergeCell ref="B1242:C1242"/>
    <mergeCell ref="D1242:E1242"/>
    <mergeCell ref="F1242:G1242"/>
    <mergeCell ref="H1242:I1242"/>
    <mergeCell ref="J1242:K1242"/>
    <mergeCell ref="L1242:M1242"/>
    <mergeCell ref="N1242:O1242"/>
    <mergeCell ref="AD1240:AE1240"/>
    <mergeCell ref="AF1240:AG1240"/>
    <mergeCell ref="P1240:Q1240"/>
    <mergeCell ref="R1240:S1240"/>
    <mergeCell ref="T1240:U1240"/>
    <mergeCell ref="V1240:W1240"/>
    <mergeCell ref="X1240:Y1240"/>
    <mergeCell ref="Z1240:AA1240"/>
    <mergeCell ref="AB1240:AC1240"/>
    <mergeCell ref="AD1241:AE1241"/>
    <mergeCell ref="AF1241:AG1241"/>
    <mergeCell ref="AH1241:AI1241"/>
    <mergeCell ref="AJ1241:AK1241"/>
    <mergeCell ref="AL1241:BB1241"/>
    <mergeCell ref="P1241:Q1241"/>
    <mergeCell ref="R1241:S1241"/>
    <mergeCell ref="T1241:U1241"/>
    <mergeCell ref="V1241:W1241"/>
    <mergeCell ref="X1241:Y1241"/>
    <mergeCell ref="Z1241:AA1241"/>
    <mergeCell ref="AB1241:AC1241"/>
    <mergeCell ref="B1241:C1241"/>
    <mergeCell ref="D1241:E1241"/>
    <mergeCell ref="F1241:G1241"/>
    <mergeCell ref="H1241:I1241"/>
    <mergeCell ref="J1241:K1241"/>
    <mergeCell ref="L1241:M1241"/>
    <mergeCell ref="N1241:O1241"/>
    <mergeCell ref="AD1242:AE1242"/>
    <mergeCell ref="AF1242:AG1242"/>
    <mergeCell ref="AH1242:AI1242"/>
    <mergeCell ref="AJ1242:AK1242"/>
    <mergeCell ref="AL1242:BB1242"/>
    <mergeCell ref="AH1237:AI1237"/>
    <mergeCell ref="AJ1237:AK1237"/>
    <mergeCell ref="AL1237:BB1237"/>
    <mergeCell ref="B1237:C1237"/>
    <mergeCell ref="D1237:E1237"/>
    <mergeCell ref="F1237:G1237"/>
    <mergeCell ref="H1237:I1237"/>
    <mergeCell ref="J1237:K1237"/>
    <mergeCell ref="L1237:M1237"/>
    <mergeCell ref="N1237:O1237"/>
    <mergeCell ref="P1239:Q1239"/>
    <mergeCell ref="R1239:S1239"/>
    <mergeCell ref="T1239:U1239"/>
    <mergeCell ref="V1239:W1239"/>
    <mergeCell ref="X1239:Y1239"/>
    <mergeCell ref="Z1239:AA1239"/>
    <mergeCell ref="AB1239:AC1239"/>
    <mergeCell ref="B1239:C1239"/>
    <mergeCell ref="D1239:E1239"/>
    <mergeCell ref="F1239:G1239"/>
    <mergeCell ref="H1239:I1239"/>
    <mergeCell ref="J1239:K1239"/>
    <mergeCell ref="L1239:M1239"/>
    <mergeCell ref="N1239:O1239"/>
    <mergeCell ref="AD1237:AE1237"/>
    <mergeCell ref="AF1237:AG1237"/>
    <mergeCell ref="P1237:Q1237"/>
    <mergeCell ref="R1237:S1237"/>
    <mergeCell ref="T1237:U1237"/>
    <mergeCell ref="V1237:W1237"/>
    <mergeCell ref="X1237:Y1237"/>
    <mergeCell ref="Z1237:AA1237"/>
    <mergeCell ref="AB1237:AC1237"/>
    <mergeCell ref="AD1238:AE1238"/>
    <mergeCell ref="AF1238:AG1238"/>
    <mergeCell ref="AH1238:AI1238"/>
    <mergeCell ref="AJ1238:AK1238"/>
    <mergeCell ref="AL1238:BB1238"/>
    <mergeCell ref="P1238:Q1238"/>
    <mergeCell ref="R1238:S1238"/>
    <mergeCell ref="T1238:U1238"/>
    <mergeCell ref="V1238:W1238"/>
    <mergeCell ref="X1238:Y1238"/>
    <mergeCell ref="Z1238:AA1238"/>
    <mergeCell ref="AB1238:AC1238"/>
    <mergeCell ref="B1238:C1238"/>
    <mergeCell ref="D1238:E1238"/>
    <mergeCell ref="F1238:G1238"/>
    <mergeCell ref="H1238:I1238"/>
    <mergeCell ref="J1238:K1238"/>
    <mergeCell ref="L1238:M1238"/>
    <mergeCell ref="N1238:O1238"/>
    <mergeCell ref="AD1239:AE1239"/>
    <mergeCell ref="AF1239:AG1239"/>
    <mergeCell ref="AH1239:AI1239"/>
    <mergeCell ref="AJ1239:AK1239"/>
    <mergeCell ref="AL1239:BB1239"/>
    <mergeCell ref="AJ1233:AK1233"/>
    <mergeCell ref="AL1233:BB1233"/>
    <mergeCell ref="AH1234:AI1234"/>
    <mergeCell ref="AJ1234:AK1234"/>
    <mergeCell ref="AL1234:BB1234"/>
    <mergeCell ref="B1234:C1234"/>
    <mergeCell ref="D1234:E1234"/>
    <mergeCell ref="F1234:G1234"/>
    <mergeCell ref="H1234:I1234"/>
    <mergeCell ref="J1234:K1234"/>
    <mergeCell ref="L1234:M1234"/>
    <mergeCell ref="N1234:O1234"/>
    <mergeCell ref="P1236:Q1236"/>
    <mergeCell ref="R1236:S1236"/>
    <mergeCell ref="T1236:U1236"/>
    <mergeCell ref="V1236:W1236"/>
    <mergeCell ref="X1236:Y1236"/>
    <mergeCell ref="Z1236:AA1236"/>
    <mergeCell ref="AB1236:AC1236"/>
    <mergeCell ref="B1236:C1236"/>
    <mergeCell ref="D1236:E1236"/>
    <mergeCell ref="F1236:G1236"/>
    <mergeCell ref="H1236:I1236"/>
    <mergeCell ref="J1236:K1236"/>
    <mergeCell ref="L1236:M1236"/>
    <mergeCell ref="N1236:O1236"/>
    <mergeCell ref="AD1234:AE1234"/>
    <mergeCell ref="AF1234:AG1234"/>
    <mergeCell ref="P1234:Q1234"/>
    <mergeCell ref="R1234:S1234"/>
    <mergeCell ref="T1234:U1234"/>
    <mergeCell ref="V1234:W1234"/>
    <mergeCell ref="X1234:Y1234"/>
    <mergeCell ref="Z1234:AA1234"/>
    <mergeCell ref="AB1234:AC1234"/>
    <mergeCell ref="AD1235:AE1235"/>
    <mergeCell ref="AF1235:AG1235"/>
    <mergeCell ref="AH1235:AI1235"/>
    <mergeCell ref="AJ1235:AK1235"/>
    <mergeCell ref="AL1235:BB1235"/>
    <mergeCell ref="P1235:Q1235"/>
    <mergeCell ref="R1235:S1235"/>
    <mergeCell ref="T1235:U1235"/>
    <mergeCell ref="V1235:W1235"/>
    <mergeCell ref="X1235:Y1235"/>
    <mergeCell ref="Z1235:AA1235"/>
    <mergeCell ref="AB1235:AC1235"/>
    <mergeCell ref="B1235:C1235"/>
    <mergeCell ref="D1235:E1235"/>
    <mergeCell ref="F1235:G1235"/>
    <mergeCell ref="H1235:I1235"/>
    <mergeCell ref="J1235:K1235"/>
    <mergeCell ref="L1235:M1235"/>
    <mergeCell ref="N1235:O1235"/>
    <mergeCell ref="AD1236:AE1236"/>
    <mergeCell ref="AF1236:AG1236"/>
    <mergeCell ref="AH1236:AI1236"/>
    <mergeCell ref="AJ1236:AK1236"/>
    <mergeCell ref="AL1236:BB1236"/>
    <mergeCell ref="H1229:I1229"/>
    <mergeCell ref="J1229:K1229"/>
    <mergeCell ref="L1229:M1229"/>
    <mergeCell ref="N1229:O1229"/>
    <mergeCell ref="AD1230:AE1230"/>
    <mergeCell ref="AF1230:AG1230"/>
    <mergeCell ref="AH1230:AI1230"/>
    <mergeCell ref="AJ1230:AK1230"/>
    <mergeCell ref="AL1230:BB1230"/>
    <mergeCell ref="AH1231:AI1231"/>
    <mergeCell ref="AJ1231:AK1231"/>
    <mergeCell ref="AL1231:BB1231"/>
    <mergeCell ref="B1231:C1231"/>
    <mergeCell ref="D1231:E1231"/>
    <mergeCell ref="F1231:G1231"/>
    <mergeCell ref="H1231:I1231"/>
    <mergeCell ref="J1231:K1231"/>
    <mergeCell ref="L1231:M1231"/>
    <mergeCell ref="N1231:O1231"/>
    <mergeCell ref="P1233:Q1233"/>
    <mergeCell ref="R1233:S1233"/>
    <mergeCell ref="T1233:U1233"/>
    <mergeCell ref="V1233:W1233"/>
    <mergeCell ref="X1233:Y1233"/>
    <mergeCell ref="Z1233:AA1233"/>
    <mergeCell ref="AB1233:AC1233"/>
    <mergeCell ref="B1233:C1233"/>
    <mergeCell ref="D1233:E1233"/>
    <mergeCell ref="F1233:G1233"/>
    <mergeCell ref="H1233:I1233"/>
    <mergeCell ref="J1233:K1233"/>
    <mergeCell ref="L1233:M1233"/>
    <mergeCell ref="N1233:O1233"/>
    <mergeCell ref="AD1231:AE1231"/>
    <mergeCell ref="AF1231:AG1231"/>
    <mergeCell ref="P1231:Q1231"/>
    <mergeCell ref="R1231:S1231"/>
    <mergeCell ref="T1231:U1231"/>
    <mergeCell ref="V1231:W1231"/>
    <mergeCell ref="X1231:Y1231"/>
    <mergeCell ref="Z1231:AA1231"/>
    <mergeCell ref="AB1231:AC1231"/>
    <mergeCell ref="AD1232:AE1232"/>
    <mergeCell ref="AF1232:AG1232"/>
    <mergeCell ref="AH1232:AI1232"/>
    <mergeCell ref="AJ1232:AK1232"/>
    <mergeCell ref="AL1232:BB1232"/>
    <mergeCell ref="P1232:Q1232"/>
    <mergeCell ref="R1232:S1232"/>
    <mergeCell ref="T1232:U1232"/>
    <mergeCell ref="V1232:W1232"/>
    <mergeCell ref="X1232:Y1232"/>
    <mergeCell ref="Z1232:AA1232"/>
    <mergeCell ref="AB1232:AC1232"/>
    <mergeCell ref="B1232:C1232"/>
    <mergeCell ref="D1232:E1232"/>
    <mergeCell ref="F1232:G1232"/>
    <mergeCell ref="H1232:I1232"/>
    <mergeCell ref="J1232:K1232"/>
    <mergeCell ref="L1232:M1232"/>
    <mergeCell ref="N1232:O1232"/>
    <mergeCell ref="AD1233:AE1233"/>
    <mergeCell ref="AF1233:AG1233"/>
    <mergeCell ref="AH1233:AI1233"/>
    <mergeCell ref="P1227:Q1227"/>
    <mergeCell ref="R1227:S1227"/>
    <mergeCell ref="T1227:U1227"/>
    <mergeCell ref="V1227:W1227"/>
    <mergeCell ref="X1227:Y1227"/>
    <mergeCell ref="Z1227:AA1227"/>
    <mergeCell ref="AB1227:AC1227"/>
    <mergeCell ref="B1227:C1227"/>
    <mergeCell ref="D1227:E1227"/>
    <mergeCell ref="F1227:G1227"/>
    <mergeCell ref="H1227:I1227"/>
    <mergeCell ref="J1227:K1227"/>
    <mergeCell ref="L1227:M1227"/>
    <mergeCell ref="N1227:O1227"/>
    <mergeCell ref="AD1249:AE1249"/>
    <mergeCell ref="AF1249:AG1249"/>
    <mergeCell ref="AH1249:AI1249"/>
    <mergeCell ref="AJ1249:AK1249"/>
    <mergeCell ref="AL1249:BB1249"/>
    <mergeCell ref="P1249:Q1249"/>
    <mergeCell ref="R1249:S1249"/>
    <mergeCell ref="T1249:U1249"/>
    <mergeCell ref="V1249:W1249"/>
    <mergeCell ref="X1249:Y1249"/>
    <mergeCell ref="Z1249:AA1249"/>
    <mergeCell ref="AB1249:AC1249"/>
    <mergeCell ref="P1230:Q1230"/>
    <mergeCell ref="R1230:S1230"/>
    <mergeCell ref="T1230:U1230"/>
    <mergeCell ref="V1230:W1230"/>
    <mergeCell ref="X1230:Y1230"/>
    <mergeCell ref="Z1230:AA1230"/>
    <mergeCell ref="AB1230:AC1230"/>
    <mergeCell ref="B1230:C1230"/>
    <mergeCell ref="D1230:E1230"/>
    <mergeCell ref="F1230:G1230"/>
    <mergeCell ref="H1230:I1230"/>
    <mergeCell ref="J1230:K1230"/>
    <mergeCell ref="L1230:M1230"/>
    <mergeCell ref="N1230:O1230"/>
    <mergeCell ref="AD1228:AE1228"/>
    <mergeCell ref="AF1228:AG1228"/>
    <mergeCell ref="P1228:Q1228"/>
    <mergeCell ref="R1228:S1228"/>
    <mergeCell ref="T1228:U1228"/>
    <mergeCell ref="V1228:W1228"/>
    <mergeCell ref="X1228:Y1228"/>
    <mergeCell ref="Z1228:AA1228"/>
    <mergeCell ref="AB1228:AC1228"/>
    <mergeCell ref="AD1229:AE1229"/>
    <mergeCell ref="AF1229:AG1229"/>
    <mergeCell ref="AH1229:AI1229"/>
    <mergeCell ref="AJ1229:AK1229"/>
    <mergeCell ref="AL1229:BB1229"/>
    <mergeCell ref="P1229:Q1229"/>
    <mergeCell ref="R1229:S1229"/>
    <mergeCell ref="T1229:U1229"/>
    <mergeCell ref="V1229:W1229"/>
    <mergeCell ref="X1229:Y1229"/>
    <mergeCell ref="Z1229:AA1229"/>
    <mergeCell ref="AB1229:AC1229"/>
    <mergeCell ref="B1229:C1229"/>
    <mergeCell ref="D1229:E1229"/>
    <mergeCell ref="F1229:G1229"/>
    <mergeCell ref="AL1218:BB1218"/>
    <mergeCell ref="AH1219:AI1219"/>
    <mergeCell ref="AJ1219:AK1219"/>
    <mergeCell ref="AL1219:BB1219"/>
    <mergeCell ref="B1219:C1219"/>
    <mergeCell ref="D1219:E1219"/>
    <mergeCell ref="F1219:G1219"/>
    <mergeCell ref="H1219:I1219"/>
    <mergeCell ref="J1219:K1219"/>
    <mergeCell ref="L1219:M1219"/>
    <mergeCell ref="N1219:O1219"/>
    <mergeCell ref="P1221:Q1221"/>
    <mergeCell ref="R1221:S1221"/>
    <mergeCell ref="T1221:U1221"/>
    <mergeCell ref="V1221:W1221"/>
    <mergeCell ref="X1221:Y1221"/>
    <mergeCell ref="Z1221:AA1221"/>
    <mergeCell ref="AB1221:AC1221"/>
    <mergeCell ref="B1221:C1221"/>
    <mergeCell ref="D1221:E1221"/>
    <mergeCell ref="F1221:G1221"/>
    <mergeCell ref="H1221:I1221"/>
    <mergeCell ref="J1221:K1221"/>
    <mergeCell ref="L1221:M1221"/>
    <mergeCell ref="N1221:O1221"/>
    <mergeCell ref="AD1219:AE1219"/>
    <mergeCell ref="AF1219:AG1219"/>
    <mergeCell ref="P1219:Q1219"/>
    <mergeCell ref="R1219:S1219"/>
    <mergeCell ref="T1219:U1219"/>
    <mergeCell ref="V1219:W1219"/>
    <mergeCell ref="X1219:Y1219"/>
    <mergeCell ref="Z1219:AA1219"/>
    <mergeCell ref="AB1219:AC1219"/>
    <mergeCell ref="AD1220:AE1220"/>
    <mergeCell ref="AF1220:AG1220"/>
    <mergeCell ref="AH1220:AI1220"/>
    <mergeCell ref="AJ1220:AK1220"/>
    <mergeCell ref="AL1220:BB1220"/>
    <mergeCell ref="P1220:Q1220"/>
    <mergeCell ref="R1220:S1220"/>
    <mergeCell ref="T1220:U1220"/>
    <mergeCell ref="V1220:W1220"/>
    <mergeCell ref="X1220:Y1220"/>
    <mergeCell ref="Z1220:AA1220"/>
    <mergeCell ref="AB1220:AC1220"/>
    <mergeCell ref="B1220:C1220"/>
    <mergeCell ref="D1220:E1220"/>
    <mergeCell ref="F1220:G1220"/>
    <mergeCell ref="H1220:I1220"/>
    <mergeCell ref="J1220:K1220"/>
    <mergeCell ref="L1220:M1220"/>
    <mergeCell ref="N1220:O1220"/>
    <mergeCell ref="AD1221:AE1221"/>
    <mergeCell ref="AF1221:AG1221"/>
    <mergeCell ref="AH1221:AI1221"/>
    <mergeCell ref="AJ1221:AK1221"/>
    <mergeCell ref="AL1221:BB1221"/>
    <mergeCell ref="AD1227:AE1227"/>
    <mergeCell ref="AF1227:AG1227"/>
    <mergeCell ref="AH1227:AI1227"/>
    <mergeCell ref="AJ1227:AK1227"/>
    <mergeCell ref="AL1227:BB1227"/>
    <mergeCell ref="AH1228:AI1228"/>
    <mergeCell ref="AJ1228:AK1228"/>
    <mergeCell ref="AL1228:BB1228"/>
    <mergeCell ref="B1228:C1228"/>
    <mergeCell ref="D1228:E1228"/>
    <mergeCell ref="F1228:G1228"/>
    <mergeCell ref="H1228:I1228"/>
    <mergeCell ref="J1228:K1228"/>
    <mergeCell ref="L1228:M1228"/>
    <mergeCell ref="N1228:O1228"/>
    <mergeCell ref="AD1213:AE1213"/>
    <mergeCell ref="AF1213:AG1213"/>
    <mergeCell ref="P1213:Q1213"/>
    <mergeCell ref="R1213:S1213"/>
    <mergeCell ref="T1213:U1213"/>
    <mergeCell ref="V1213:W1213"/>
    <mergeCell ref="X1213:Y1213"/>
    <mergeCell ref="Z1213:AA1213"/>
    <mergeCell ref="AB1213:AC1213"/>
    <mergeCell ref="AD1214:AE1214"/>
    <mergeCell ref="AF1214:AG1214"/>
    <mergeCell ref="AH1214:AI1214"/>
    <mergeCell ref="AJ1214:AK1214"/>
    <mergeCell ref="AL1214:BB1214"/>
    <mergeCell ref="P1214:Q1214"/>
    <mergeCell ref="R1214:S1214"/>
    <mergeCell ref="T1214:U1214"/>
    <mergeCell ref="V1214:W1214"/>
    <mergeCell ref="X1214:Y1214"/>
    <mergeCell ref="Z1214:AA1214"/>
    <mergeCell ref="AB1214:AC1214"/>
    <mergeCell ref="B1214:C1214"/>
    <mergeCell ref="D1214:E1214"/>
    <mergeCell ref="F1214:G1214"/>
    <mergeCell ref="H1214:I1214"/>
    <mergeCell ref="J1214:K1214"/>
    <mergeCell ref="L1214:M1214"/>
    <mergeCell ref="N1214:O1214"/>
    <mergeCell ref="AD1215:AE1215"/>
    <mergeCell ref="AF1215:AG1215"/>
    <mergeCell ref="AH1215:AI1215"/>
    <mergeCell ref="AJ1215:AK1215"/>
    <mergeCell ref="AL1215:BB1215"/>
    <mergeCell ref="AH1216:AI1216"/>
    <mergeCell ref="AJ1216:AK1216"/>
    <mergeCell ref="AL1216:BB1216"/>
    <mergeCell ref="B1216:C1216"/>
    <mergeCell ref="D1216:E1216"/>
    <mergeCell ref="F1216:G1216"/>
    <mergeCell ref="H1216:I1216"/>
    <mergeCell ref="J1216:K1216"/>
    <mergeCell ref="L1216:M1216"/>
    <mergeCell ref="N1216:O1216"/>
    <mergeCell ref="AD1216:AE1216"/>
    <mergeCell ref="AF1216:AG1216"/>
    <mergeCell ref="P1216:Q1216"/>
    <mergeCell ref="R1216:S1216"/>
    <mergeCell ref="T1216:U1216"/>
    <mergeCell ref="V1216:W1216"/>
    <mergeCell ref="AH1225:AI1225"/>
    <mergeCell ref="AJ1225:AK1225"/>
    <mergeCell ref="AL1225:BB1225"/>
    <mergeCell ref="B1225:C1225"/>
    <mergeCell ref="D1225:E1225"/>
    <mergeCell ref="F1225:G1225"/>
    <mergeCell ref="H1225:I1225"/>
    <mergeCell ref="J1225:K1225"/>
    <mergeCell ref="L1225:M1225"/>
    <mergeCell ref="N1225:O1225"/>
    <mergeCell ref="AD1225:AE1225"/>
    <mergeCell ref="AF1225:AG1225"/>
    <mergeCell ref="P1225:Q1225"/>
    <mergeCell ref="R1225:S1225"/>
    <mergeCell ref="T1225:U1225"/>
    <mergeCell ref="V1225:W1225"/>
    <mergeCell ref="X1225:Y1225"/>
    <mergeCell ref="Z1225:AA1225"/>
    <mergeCell ref="AB1225:AC1225"/>
    <mergeCell ref="AD1226:AE1226"/>
    <mergeCell ref="AF1226:AG1226"/>
    <mergeCell ref="AH1226:AI1226"/>
    <mergeCell ref="AJ1226:AK1226"/>
    <mergeCell ref="AL1226:BB1226"/>
    <mergeCell ref="P1226:Q1226"/>
    <mergeCell ref="R1226:S1226"/>
    <mergeCell ref="T1226:U1226"/>
    <mergeCell ref="V1226:W1226"/>
    <mergeCell ref="X1226:Y1226"/>
    <mergeCell ref="Z1226:AA1226"/>
    <mergeCell ref="AB1226:AC1226"/>
    <mergeCell ref="B1226:C1226"/>
    <mergeCell ref="D1226:E1226"/>
    <mergeCell ref="F1226:G1226"/>
    <mergeCell ref="H1226:I1226"/>
    <mergeCell ref="J1226:K1226"/>
    <mergeCell ref="L1226:M1226"/>
    <mergeCell ref="N1226:O1226"/>
    <mergeCell ref="AD1222:AE1222"/>
    <mergeCell ref="AF1222:AG1222"/>
    <mergeCell ref="P1222:Q1222"/>
    <mergeCell ref="R1222:S1222"/>
    <mergeCell ref="T1222:U1222"/>
    <mergeCell ref="V1222:W1222"/>
    <mergeCell ref="X1222:Y1222"/>
    <mergeCell ref="Z1222:AA1222"/>
    <mergeCell ref="AB1222:AC1222"/>
    <mergeCell ref="AD1223:AE1223"/>
    <mergeCell ref="AF1223:AG1223"/>
    <mergeCell ref="AH1223:AI1223"/>
    <mergeCell ref="AJ1223:AK1223"/>
    <mergeCell ref="AL1223:BB1223"/>
    <mergeCell ref="P1223:Q1223"/>
    <mergeCell ref="R1223:S1223"/>
    <mergeCell ref="T1223:U1223"/>
    <mergeCell ref="V1223:W1223"/>
    <mergeCell ref="X1223:Y1223"/>
    <mergeCell ref="Z1223:AA1223"/>
    <mergeCell ref="AB1223:AC1223"/>
    <mergeCell ref="B1223:C1223"/>
    <mergeCell ref="D1223:E1223"/>
    <mergeCell ref="F1223:G1223"/>
    <mergeCell ref="H1223:I1223"/>
    <mergeCell ref="J1223:K1223"/>
    <mergeCell ref="L1223:M1223"/>
    <mergeCell ref="N1223:O1223"/>
    <mergeCell ref="AD1224:AE1224"/>
    <mergeCell ref="AF1224:AG1224"/>
    <mergeCell ref="AH1224:AI1224"/>
    <mergeCell ref="AJ1224:AK1224"/>
    <mergeCell ref="AL1224:BB1224"/>
    <mergeCell ref="AH1222:AI1222"/>
    <mergeCell ref="AJ1222:AK1222"/>
    <mergeCell ref="AL1222:BB1222"/>
    <mergeCell ref="B1222:C1222"/>
    <mergeCell ref="D1222:E1222"/>
    <mergeCell ref="F1222:G1222"/>
    <mergeCell ref="H1222:I1222"/>
    <mergeCell ref="J1222:K1222"/>
    <mergeCell ref="L1222:M1222"/>
    <mergeCell ref="N1222:O1222"/>
    <mergeCell ref="P1224:Q1224"/>
    <mergeCell ref="R1224:S1224"/>
    <mergeCell ref="T1224:U1224"/>
    <mergeCell ref="V1224:W1224"/>
    <mergeCell ref="X1224:Y1224"/>
    <mergeCell ref="Z1224:AA1224"/>
    <mergeCell ref="AB1224:AC1224"/>
    <mergeCell ref="B1224:C1224"/>
    <mergeCell ref="D1224:E1224"/>
    <mergeCell ref="F1224:G1224"/>
    <mergeCell ref="H1224:I1224"/>
    <mergeCell ref="J1224:K1224"/>
    <mergeCell ref="L1224:M1224"/>
    <mergeCell ref="N1224:O1224"/>
    <mergeCell ref="AH1213:AI1213"/>
    <mergeCell ref="AJ1213:AK1213"/>
    <mergeCell ref="AL1213:BB1213"/>
    <mergeCell ref="B1213:C1213"/>
    <mergeCell ref="D1213:E1213"/>
    <mergeCell ref="F1213:G1213"/>
    <mergeCell ref="H1213:I1213"/>
    <mergeCell ref="J1213:K1213"/>
    <mergeCell ref="L1213:M1213"/>
    <mergeCell ref="N1213:O1213"/>
    <mergeCell ref="P1215:Q1215"/>
    <mergeCell ref="R1215:S1215"/>
    <mergeCell ref="T1215:U1215"/>
    <mergeCell ref="V1215:W1215"/>
    <mergeCell ref="X1215:Y1215"/>
    <mergeCell ref="Z1215:AA1215"/>
    <mergeCell ref="AB1215:AC1215"/>
    <mergeCell ref="B1215:C1215"/>
    <mergeCell ref="D1215:E1215"/>
    <mergeCell ref="F1215:G1215"/>
    <mergeCell ref="H1215:I1215"/>
    <mergeCell ref="J1215:K1215"/>
    <mergeCell ref="L1215:M1215"/>
    <mergeCell ref="N1215:O1215"/>
    <mergeCell ref="P1218:Q1218"/>
    <mergeCell ref="R1218:S1218"/>
    <mergeCell ref="T1218:U1218"/>
    <mergeCell ref="V1218:W1218"/>
    <mergeCell ref="X1218:Y1218"/>
    <mergeCell ref="Z1218:AA1218"/>
    <mergeCell ref="AB1218:AC1218"/>
    <mergeCell ref="B1218:C1218"/>
    <mergeCell ref="D1218:E1218"/>
    <mergeCell ref="F1218:G1218"/>
    <mergeCell ref="H1218:I1218"/>
    <mergeCell ref="J1218:K1218"/>
    <mergeCell ref="L1218:M1218"/>
    <mergeCell ref="N1218:O1218"/>
    <mergeCell ref="X1216:Y1216"/>
    <mergeCell ref="Z1216:AA1216"/>
    <mergeCell ref="AB1216:AC1216"/>
    <mergeCell ref="AD1217:AE1217"/>
    <mergeCell ref="AF1217:AG1217"/>
    <mergeCell ref="AH1217:AI1217"/>
    <mergeCell ref="AJ1217:AK1217"/>
    <mergeCell ref="AL1217:BB1217"/>
    <mergeCell ref="P1217:Q1217"/>
    <mergeCell ref="R1217:S1217"/>
    <mergeCell ref="T1217:U1217"/>
    <mergeCell ref="V1217:W1217"/>
    <mergeCell ref="X1217:Y1217"/>
    <mergeCell ref="Z1217:AA1217"/>
    <mergeCell ref="AB1217:AC1217"/>
    <mergeCell ref="B1217:C1217"/>
    <mergeCell ref="D1217:E1217"/>
    <mergeCell ref="F1217:G1217"/>
    <mergeCell ref="H1217:I1217"/>
    <mergeCell ref="J1217:K1217"/>
    <mergeCell ref="L1217:M1217"/>
    <mergeCell ref="N1217:O1217"/>
    <mergeCell ref="AD1218:AE1218"/>
    <mergeCell ref="AF1218:AG1218"/>
    <mergeCell ref="AH1218:AI1218"/>
    <mergeCell ref="AJ1218:AK1218"/>
    <mergeCell ref="AH1210:AI1210"/>
    <mergeCell ref="AJ1210:AK1210"/>
    <mergeCell ref="AL1210:BB1210"/>
    <mergeCell ref="B1210:C1210"/>
    <mergeCell ref="D1210:E1210"/>
    <mergeCell ref="F1210:G1210"/>
    <mergeCell ref="H1210:I1210"/>
    <mergeCell ref="J1210:K1210"/>
    <mergeCell ref="L1210:M1210"/>
    <mergeCell ref="N1210:O1210"/>
    <mergeCell ref="P1212:Q1212"/>
    <mergeCell ref="R1212:S1212"/>
    <mergeCell ref="T1212:U1212"/>
    <mergeCell ref="V1212:W1212"/>
    <mergeCell ref="X1212:Y1212"/>
    <mergeCell ref="Z1212:AA1212"/>
    <mergeCell ref="AB1212:AC1212"/>
    <mergeCell ref="B1212:C1212"/>
    <mergeCell ref="D1212:E1212"/>
    <mergeCell ref="F1212:G1212"/>
    <mergeCell ref="H1212:I1212"/>
    <mergeCell ref="J1212:K1212"/>
    <mergeCell ref="L1212:M1212"/>
    <mergeCell ref="N1212:O1212"/>
    <mergeCell ref="AD1210:AE1210"/>
    <mergeCell ref="AF1210:AG1210"/>
    <mergeCell ref="P1210:Q1210"/>
    <mergeCell ref="R1210:S1210"/>
    <mergeCell ref="T1210:U1210"/>
    <mergeCell ref="V1210:W1210"/>
    <mergeCell ref="X1210:Y1210"/>
    <mergeCell ref="Z1210:AA1210"/>
    <mergeCell ref="AB1210:AC1210"/>
    <mergeCell ref="AD1211:AE1211"/>
    <mergeCell ref="AF1211:AG1211"/>
    <mergeCell ref="AH1211:AI1211"/>
    <mergeCell ref="AJ1211:AK1211"/>
    <mergeCell ref="AL1211:BB1211"/>
    <mergeCell ref="P1211:Q1211"/>
    <mergeCell ref="R1211:S1211"/>
    <mergeCell ref="T1211:U1211"/>
    <mergeCell ref="V1211:W1211"/>
    <mergeCell ref="X1211:Y1211"/>
    <mergeCell ref="Z1211:AA1211"/>
    <mergeCell ref="AB1211:AC1211"/>
    <mergeCell ref="B1211:C1211"/>
    <mergeCell ref="D1211:E1211"/>
    <mergeCell ref="F1211:G1211"/>
    <mergeCell ref="H1211:I1211"/>
    <mergeCell ref="J1211:K1211"/>
    <mergeCell ref="L1211:M1211"/>
    <mergeCell ref="N1211:O1211"/>
    <mergeCell ref="AD1212:AE1212"/>
    <mergeCell ref="AF1212:AG1212"/>
    <mergeCell ref="AH1212:AI1212"/>
    <mergeCell ref="AJ1212:AK1212"/>
    <mergeCell ref="AL1212:BB1212"/>
    <mergeCell ref="B1207:C1207"/>
    <mergeCell ref="D1207:E1207"/>
    <mergeCell ref="F1207:G1207"/>
    <mergeCell ref="H1207:I1207"/>
    <mergeCell ref="J1207:K1207"/>
    <mergeCell ref="L1207:M1207"/>
    <mergeCell ref="N1207:O1207"/>
    <mergeCell ref="AD1208:AE1208"/>
    <mergeCell ref="AF1208:AG1208"/>
    <mergeCell ref="AH1208:AI1208"/>
    <mergeCell ref="AJ1208:AK1208"/>
    <mergeCell ref="AL1208:BB1208"/>
    <mergeCell ref="P1208:Q1208"/>
    <mergeCell ref="R1208:S1208"/>
    <mergeCell ref="T1208:U1208"/>
    <mergeCell ref="V1208:W1208"/>
    <mergeCell ref="X1208:Y1208"/>
    <mergeCell ref="Z1208:AA1208"/>
    <mergeCell ref="AB1208:AC1208"/>
    <mergeCell ref="B1208:C1208"/>
    <mergeCell ref="D1208:E1208"/>
    <mergeCell ref="F1208:G1208"/>
    <mergeCell ref="H1208:I1208"/>
    <mergeCell ref="J1208:K1208"/>
    <mergeCell ref="L1208:M1208"/>
    <mergeCell ref="N1208:O1208"/>
    <mergeCell ref="AD1209:AE1209"/>
    <mergeCell ref="AF1209:AG1209"/>
    <mergeCell ref="AH1209:AI1209"/>
    <mergeCell ref="AJ1209:AK1209"/>
    <mergeCell ref="AL1209:BB1209"/>
    <mergeCell ref="P1209:Q1209"/>
    <mergeCell ref="R1209:S1209"/>
    <mergeCell ref="T1209:U1209"/>
    <mergeCell ref="V1209:W1209"/>
    <mergeCell ref="X1209:Y1209"/>
    <mergeCell ref="Z1209:AA1209"/>
    <mergeCell ref="AB1209:AC1209"/>
    <mergeCell ref="B1209:C1209"/>
    <mergeCell ref="D1209:E1209"/>
    <mergeCell ref="F1209:G1209"/>
    <mergeCell ref="H1209:I1209"/>
    <mergeCell ref="J1209:K1209"/>
    <mergeCell ref="L1209:M1209"/>
    <mergeCell ref="N1209:O1209"/>
    <mergeCell ref="AH1204:AI1204"/>
    <mergeCell ref="AJ1204:AK1204"/>
    <mergeCell ref="AL1204:BB1204"/>
    <mergeCell ref="B1204:C1204"/>
    <mergeCell ref="D1204:E1204"/>
    <mergeCell ref="F1204:G1204"/>
    <mergeCell ref="H1204:I1204"/>
    <mergeCell ref="J1204:K1204"/>
    <mergeCell ref="L1204:M1204"/>
    <mergeCell ref="N1204:O1204"/>
    <mergeCell ref="P1206:Q1206"/>
    <mergeCell ref="R1206:S1206"/>
    <mergeCell ref="T1206:U1206"/>
    <mergeCell ref="V1206:W1206"/>
    <mergeCell ref="X1206:Y1206"/>
    <mergeCell ref="Z1206:AA1206"/>
    <mergeCell ref="AB1206:AC1206"/>
    <mergeCell ref="B1206:C1206"/>
    <mergeCell ref="D1206:E1206"/>
    <mergeCell ref="F1206:G1206"/>
    <mergeCell ref="H1206:I1206"/>
    <mergeCell ref="J1206:K1206"/>
    <mergeCell ref="L1206:M1206"/>
    <mergeCell ref="N1206:O1206"/>
    <mergeCell ref="AD1204:AE1204"/>
    <mergeCell ref="AF1204:AG1204"/>
    <mergeCell ref="P1204:Q1204"/>
    <mergeCell ref="R1204:S1204"/>
    <mergeCell ref="T1204:U1204"/>
    <mergeCell ref="V1204:W1204"/>
    <mergeCell ref="X1204:Y1204"/>
    <mergeCell ref="Z1204:AA1204"/>
    <mergeCell ref="AB1204:AC1204"/>
    <mergeCell ref="AD1205:AE1205"/>
    <mergeCell ref="AF1205:AG1205"/>
    <mergeCell ref="AH1205:AI1205"/>
    <mergeCell ref="AJ1205:AK1205"/>
    <mergeCell ref="AL1205:BB1205"/>
    <mergeCell ref="P1205:Q1205"/>
    <mergeCell ref="R1205:S1205"/>
    <mergeCell ref="T1205:U1205"/>
    <mergeCell ref="V1205:W1205"/>
    <mergeCell ref="X1205:Y1205"/>
    <mergeCell ref="Z1205:AA1205"/>
    <mergeCell ref="AB1205:AC1205"/>
    <mergeCell ref="B1205:C1205"/>
    <mergeCell ref="D1205:E1205"/>
    <mergeCell ref="F1205:G1205"/>
    <mergeCell ref="H1205:I1205"/>
    <mergeCell ref="J1205:K1205"/>
    <mergeCell ref="L1205:M1205"/>
    <mergeCell ref="N1205:O1205"/>
    <mergeCell ref="AD1206:AE1206"/>
    <mergeCell ref="AF1206:AG1206"/>
    <mergeCell ref="AH1206:AI1206"/>
    <mergeCell ref="AJ1206:AK1206"/>
    <mergeCell ref="AL1206:BB1206"/>
    <mergeCell ref="AH1201:AI1201"/>
    <mergeCell ref="AJ1201:AK1201"/>
    <mergeCell ref="AL1201:BB1201"/>
    <mergeCell ref="B1201:C1201"/>
    <mergeCell ref="D1201:E1201"/>
    <mergeCell ref="F1201:G1201"/>
    <mergeCell ref="H1201:I1201"/>
    <mergeCell ref="J1201:K1201"/>
    <mergeCell ref="L1201:M1201"/>
    <mergeCell ref="N1201:O1201"/>
    <mergeCell ref="P1203:Q1203"/>
    <mergeCell ref="R1203:S1203"/>
    <mergeCell ref="T1203:U1203"/>
    <mergeCell ref="V1203:W1203"/>
    <mergeCell ref="X1203:Y1203"/>
    <mergeCell ref="Z1203:AA1203"/>
    <mergeCell ref="AB1203:AC1203"/>
    <mergeCell ref="B1203:C1203"/>
    <mergeCell ref="D1203:E1203"/>
    <mergeCell ref="F1203:G1203"/>
    <mergeCell ref="H1203:I1203"/>
    <mergeCell ref="J1203:K1203"/>
    <mergeCell ref="L1203:M1203"/>
    <mergeCell ref="N1203:O1203"/>
    <mergeCell ref="AD1201:AE1201"/>
    <mergeCell ref="AF1201:AG1201"/>
    <mergeCell ref="P1201:Q1201"/>
    <mergeCell ref="R1201:S1201"/>
    <mergeCell ref="T1201:U1201"/>
    <mergeCell ref="V1201:W1201"/>
    <mergeCell ref="X1201:Y1201"/>
    <mergeCell ref="Z1201:AA1201"/>
    <mergeCell ref="AB1201:AC1201"/>
    <mergeCell ref="AD1202:AE1202"/>
    <mergeCell ref="AF1202:AG1202"/>
    <mergeCell ref="AH1202:AI1202"/>
    <mergeCell ref="AJ1202:AK1202"/>
    <mergeCell ref="AL1202:BB1202"/>
    <mergeCell ref="P1202:Q1202"/>
    <mergeCell ref="R1202:S1202"/>
    <mergeCell ref="T1202:U1202"/>
    <mergeCell ref="V1202:W1202"/>
    <mergeCell ref="X1202:Y1202"/>
    <mergeCell ref="Z1202:AA1202"/>
    <mergeCell ref="AB1202:AC1202"/>
    <mergeCell ref="B1202:C1202"/>
    <mergeCell ref="D1202:E1202"/>
    <mergeCell ref="F1202:G1202"/>
    <mergeCell ref="H1202:I1202"/>
    <mergeCell ref="J1202:K1202"/>
    <mergeCell ref="L1202:M1202"/>
    <mergeCell ref="N1202:O1202"/>
    <mergeCell ref="AD1203:AE1203"/>
    <mergeCell ref="AF1203:AG1203"/>
    <mergeCell ref="AH1203:AI1203"/>
    <mergeCell ref="AJ1203:AK1203"/>
    <mergeCell ref="AL1203:BB1203"/>
    <mergeCell ref="AH1198:AI1198"/>
    <mergeCell ref="AJ1198:AK1198"/>
    <mergeCell ref="AL1198:BB1198"/>
    <mergeCell ref="B1198:C1198"/>
    <mergeCell ref="D1198:E1198"/>
    <mergeCell ref="F1198:G1198"/>
    <mergeCell ref="H1198:I1198"/>
    <mergeCell ref="J1198:K1198"/>
    <mergeCell ref="L1198:M1198"/>
    <mergeCell ref="N1198:O1198"/>
    <mergeCell ref="P1200:Q1200"/>
    <mergeCell ref="R1200:S1200"/>
    <mergeCell ref="T1200:U1200"/>
    <mergeCell ref="V1200:W1200"/>
    <mergeCell ref="X1200:Y1200"/>
    <mergeCell ref="Z1200:AA1200"/>
    <mergeCell ref="AB1200:AC1200"/>
    <mergeCell ref="B1200:C1200"/>
    <mergeCell ref="D1200:E1200"/>
    <mergeCell ref="F1200:G1200"/>
    <mergeCell ref="H1200:I1200"/>
    <mergeCell ref="J1200:K1200"/>
    <mergeCell ref="L1200:M1200"/>
    <mergeCell ref="N1200:O1200"/>
    <mergeCell ref="AD1198:AE1198"/>
    <mergeCell ref="AF1198:AG1198"/>
    <mergeCell ref="P1198:Q1198"/>
    <mergeCell ref="R1198:S1198"/>
    <mergeCell ref="T1198:U1198"/>
    <mergeCell ref="V1198:W1198"/>
    <mergeCell ref="X1198:Y1198"/>
    <mergeCell ref="Z1198:AA1198"/>
    <mergeCell ref="AB1198:AC1198"/>
    <mergeCell ref="AD1199:AE1199"/>
    <mergeCell ref="AF1199:AG1199"/>
    <mergeCell ref="AH1199:AI1199"/>
    <mergeCell ref="AJ1199:AK1199"/>
    <mergeCell ref="AL1199:BB1199"/>
    <mergeCell ref="P1199:Q1199"/>
    <mergeCell ref="R1199:S1199"/>
    <mergeCell ref="T1199:U1199"/>
    <mergeCell ref="V1199:W1199"/>
    <mergeCell ref="X1199:Y1199"/>
    <mergeCell ref="Z1199:AA1199"/>
    <mergeCell ref="AB1199:AC1199"/>
    <mergeCell ref="B1199:C1199"/>
    <mergeCell ref="D1199:E1199"/>
    <mergeCell ref="F1199:G1199"/>
    <mergeCell ref="H1199:I1199"/>
    <mergeCell ref="J1199:K1199"/>
    <mergeCell ref="L1199:M1199"/>
    <mergeCell ref="N1199:O1199"/>
    <mergeCell ref="AD1200:AE1200"/>
    <mergeCell ref="AF1200:AG1200"/>
    <mergeCell ref="AH1200:AI1200"/>
    <mergeCell ref="AJ1200:AK1200"/>
    <mergeCell ref="AL1200:BB1200"/>
    <mergeCell ref="AH1195:AI1195"/>
    <mergeCell ref="AJ1195:AK1195"/>
    <mergeCell ref="AL1195:BB1195"/>
    <mergeCell ref="B1195:C1195"/>
    <mergeCell ref="D1195:E1195"/>
    <mergeCell ref="F1195:G1195"/>
    <mergeCell ref="H1195:I1195"/>
    <mergeCell ref="J1195:K1195"/>
    <mergeCell ref="L1195:M1195"/>
    <mergeCell ref="N1195:O1195"/>
    <mergeCell ref="P1197:Q1197"/>
    <mergeCell ref="R1197:S1197"/>
    <mergeCell ref="T1197:U1197"/>
    <mergeCell ref="V1197:W1197"/>
    <mergeCell ref="X1197:Y1197"/>
    <mergeCell ref="Z1197:AA1197"/>
    <mergeCell ref="AB1197:AC1197"/>
    <mergeCell ref="B1197:C1197"/>
    <mergeCell ref="D1197:E1197"/>
    <mergeCell ref="F1197:G1197"/>
    <mergeCell ref="H1197:I1197"/>
    <mergeCell ref="J1197:K1197"/>
    <mergeCell ref="L1197:M1197"/>
    <mergeCell ref="N1197:O1197"/>
    <mergeCell ref="AD1195:AE1195"/>
    <mergeCell ref="AF1195:AG1195"/>
    <mergeCell ref="P1195:Q1195"/>
    <mergeCell ref="R1195:S1195"/>
    <mergeCell ref="T1195:U1195"/>
    <mergeCell ref="V1195:W1195"/>
    <mergeCell ref="X1195:Y1195"/>
    <mergeCell ref="Z1195:AA1195"/>
    <mergeCell ref="AB1195:AC1195"/>
    <mergeCell ref="AD1196:AE1196"/>
    <mergeCell ref="AF1196:AG1196"/>
    <mergeCell ref="AH1196:AI1196"/>
    <mergeCell ref="AJ1196:AK1196"/>
    <mergeCell ref="AL1196:BB1196"/>
    <mergeCell ref="P1196:Q1196"/>
    <mergeCell ref="R1196:S1196"/>
    <mergeCell ref="T1196:U1196"/>
    <mergeCell ref="V1196:W1196"/>
    <mergeCell ref="X1196:Y1196"/>
    <mergeCell ref="Z1196:AA1196"/>
    <mergeCell ref="AB1196:AC1196"/>
    <mergeCell ref="B1196:C1196"/>
    <mergeCell ref="D1196:E1196"/>
    <mergeCell ref="F1196:G1196"/>
    <mergeCell ref="H1196:I1196"/>
    <mergeCell ref="J1196:K1196"/>
    <mergeCell ref="L1196:M1196"/>
    <mergeCell ref="N1196:O1196"/>
    <mergeCell ref="AD1197:AE1197"/>
    <mergeCell ref="AF1197:AG1197"/>
    <mergeCell ref="AH1197:AI1197"/>
    <mergeCell ref="AJ1197:AK1197"/>
    <mergeCell ref="AL1197:BB1197"/>
    <mergeCell ref="AJ1191:AK1191"/>
    <mergeCell ref="AL1191:BB1191"/>
    <mergeCell ref="AH1192:AI1192"/>
    <mergeCell ref="AJ1192:AK1192"/>
    <mergeCell ref="AL1192:BB1192"/>
    <mergeCell ref="B1192:C1192"/>
    <mergeCell ref="D1192:E1192"/>
    <mergeCell ref="F1192:G1192"/>
    <mergeCell ref="H1192:I1192"/>
    <mergeCell ref="J1192:K1192"/>
    <mergeCell ref="L1192:M1192"/>
    <mergeCell ref="N1192:O1192"/>
    <mergeCell ref="P1194:Q1194"/>
    <mergeCell ref="R1194:S1194"/>
    <mergeCell ref="T1194:U1194"/>
    <mergeCell ref="V1194:W1194"/>
    <mergeCell ref="X1194:Y1194"/>
    <mergeCell ref="Z1194:AA1194"/>
    <mergeCell ref="AB1194:AC1194"/>
    <mergeCell ref="B1194:C1194"/>
    <mergeCell ref="D1194:E1194"/>
    <mergeCell ref="F1194:G1194"/>
    <mergeCell ref="H1194:I1194"/>
    <mergeCell ref="J1194:K1194"/>
    <mergeCell ref="L1194:M1194"/>
    <mergeCell ref="N1194:O1194"/>
    <mergeCell ref="AD1192:AE1192"/>
    <mergeCell ref="AF1192:AG1192"/>
    <mergeCell ref="P1192:Q1192"/>
    <mergeCell ref="R1192:S1192"/>
    <mergeCell ref="T1192:U1192"/>
    <mergeCell ref="V1192:W1192"/>
    <mergeCell ref="X1192:Y1192"/>
    <mergeCell ref="Z1192:AA1192"/>
    <mergeCell ref="AB1192:AC1192"/>
    <mergeCell ref="AD1193:AE1193"/>
    <mergeCell ref="AF1193:AG1193"/>
    <mergeCell ref="AH1193:AI1193"/>
    <mergeCell ref="AJ1193:AK1193"/>
    <mergeCell ref="AL1193:BB1193"/>
    <mergeCell ref="P1193:Q1193"/>
    <mergeCell ref="R1193:S1193"/>
    <mergeCell ref="T1193:U1193"/>
    <mergeCell ref="V1193:W1193"/>
    <mergeCell ref="X1193:Y1193"/>
    <mergeCell ref="Z1193:AA1193"/>
    <mergeCell ref="AB1193:AC1193"/>
    <mergeCell ref="B1193:C1193"/>
    <mergeCell ref="D1193:E1193"/>
    <mergeCell ref="F1193:G1193"/>
    <mergeCell ref="H1193:I1193"/>
    <mergeCell ref="J1193:K1193"/>
    <mergeCell ref="L1193:M1193"/>
    <mergeCell ref="N1193:O1193"/>
    <mergeCell ref="AD1194:AE1194"/>
    <mergeCell ref="AF1194:AG1194"/>
    <mergeCell ref="AH1194:AI1194"/>
    <mergeCell ref="AJ1194:AK1194"/>
    <mergeCell ref="AL1194:BB1194"/>
    <mergeCell ref="H1187:I1187"/>
    <mergeCell ref="J1187:K1187"/>
    <mergeCell ref="L1187:M1187"/>
    <mergeCell ref="N1187:O1187"/>
    <mergeCell ref="AD1188:AE1188"/>
    <mergeCell ref="AF1188:AG1188"/>
    <mergeCell ref="AH1188:AI1188"/>
    <mergeCell ref="AJ1188:AK1188"/>
    <mergeCell ref="AL1188:BB1188"/>
    <mergeCell ref="AH1189:AI1189"/>
    <mergeCell ref="AJ1189:AK1189"/>
    <mergeCell ref="AL1189:BB1189"/>
    <mergeCell ref="B1189:C1189"/>
    <mergeCell ref="D1189:E1189"/>
    <mergeCell ref="F1189:G1189"/>
    <mergeCell ref="H1189:I1189"/>
    <mergeCell ref="J1189:K1189"/>
    <mergeCell ref="L1189:M1189"/>
    <mergeCell ref="N1189:O1189"/>
    <mergeCell ref="P1191:Q1191"/>
    <mergeCell ref="R1191:S1191"/>
    <mergeCell ref="T1191:U1191"/>
    <mergeCell ref="V1191:W1191"/>
    <mergeCell ref="X1191:Y1191"/>
    <mergeCell ref="Z1191:AA1191"/>
    <mergeCell ref="AB1191:AC1191"/>
    <mergeCell ref="B1191:C1191"/>
    <mergeCell ref="D1191:E1191"/>
    <mergeCell ref="F1191:G1191"/>
    <mergeCell ref="H1191:I1191"/>
    <mergeCell ref="J1191:K1191"/>
    <mergeCell ref="L1191:M1191"/>
    <mergeCell ref="N1191:O1191"/>
    <mergeCell ref="AD1189:AE1189"/>
    <mergeCell ref="AF1189:AG1189"/>
    <mergeCell ref="P1189:Q1189"/>
    <mergeCell ref="R1189:S1189"/>
    <mergeCell ref="T1189:U1189"/>
    <mergeCell ref="V1189:W1189"/>
    <mergeCell ref="X1189:Y1189"/>
    <mergeCell ref="Z1189:AA1189"/>
    <mergeCell ref="AB1189:AC1189"/>
    <mergeCell ref="AD1190:AE1190"/>
    <mergeCell ref="AF1190:AG1190"/>
    <mergeCell ref="AH1190:AI1190"/>
    <mergeCell ref="AJ1190:AK1190"/>
    <mergeCell ref="AL1190:BB1190"/>
    <mergeCell ref="P1190:Q1190"/>
    <mergeCell ref="R1190:S1190"/>
    <mergeCell ref="T1190:U1190"/>
    <mergeCell ref="V1190:W1190"/>
    <mergeCell ref="X1190:Y1190"/>
    <mergeCell ref="Z1190:AA1190"/>
    <mergeCell ref="AB1190:AC1190"/>
    <mergeCell ref="B1190:C1190"/>
    <mergeCell ref="D1190:E1190"/>
    <mergeCell ref="F1190:G1190"/>
    <mergeCell ref="H1190:I1190"/>
    <mergeCell ref="J1190:K1190"/>
    <mergeCell ref="L1190:M1190"/>
    <mergeCell ref="N1190:O1190"/>
    <mergeCell ref="AD1191:AE1191"/>
    <mergeCell ref="AF1191:AG1191"/>
    <mergeCell ref="AH1191:AI1191"/>
    <mergeCell ref="P1185:Q1185"/>
    <mergeCell ref="R1185:S1185"/>
    <mergeCell ref="T1185:U1185"/>
    <mergeCell ref="V1185:W1185"/>
    <mergeCell ref="X1185:Y1185"/>
    <mergeCell ref="Z1185:AA1185"/>
    <mergeCell ref="AB1185:AC1185"/>
    <mergeCell ref="B1185:C1185"/>
    <mergeCell ref="D1185:E1185"/>
    <mergeCell ref="F1185:G1185"/>
    <mergeCell ref="H1185:I1185"/>
    <mergeCell ref="J1185:K1185"/>
    <mergeCell ref="L1185:M1185"/>
    <mergeCell ref="N1185:O1185"/>
    <mergeCell ref="AD1207:AE1207"/>
    <mergeCell ref="AF1207:AG1207"/>
    <mergeCell ref="AH1207:AI1207"/>
    <mergeCell ref="AJ1207:AK1207"/>
    <mergeCell ref="AL1207:BB1207"/>
    <mergeCell ref="P1207:Q1207"/>
    <mergeCell ref="R1207:S1207"/>
    <mergeCell ref="T1207:U1207"/>
    <mergeCell ref="V1207:W1207"/>
    <mergeCell ref="X1207:Y1207"/>
    <mergeCell ref="Z1207:AA1207"/>
    <mergeCell ref="AB1207:AC1207"/>
    <mergeCell ref="P1188:Q1188"/>
    <mergeCell ref="R1188:S1188"/>
    <mergeCell ref="T1188:U1188"/>
    <mergeCell ref="V1188:W1188"/>
    <mergeCell ref="X1188:Y1188"/>
    <mergeCell ref="Z1188:AA1188"/>
    <mergeCell ref="AB1188:AC1188"/>
    <mergeCell ref="B1188:C1188"/>
    <mergeCell ref="D1188:E1188"/>
    <mergeCell ref="F1188:G1188"/>
    <mergeCell ref="H1188:I1188"/>
    <mergeCell ref="J1188:K1188"/>
    <mergeCell ref="L1188:M1188"/>
    <mergeCell ref="N1188:O1188"/>
    <mergeCell ref="AD1186:AE1186"/>
    <mergeCell ref="AF1186:AG1186"/>
    <mergeCell ref="P1186:Q1186"/>
    <mergeCell ref="R1186:S1186"/>
    <mergeCell ref="T1186:U1186"/>
    <mergeCell ref="V1186:W1186"/>
    <mergeCell ref="X1186:Y1186"/>
    <mergeCell ref="Z1186:AA1186"/>
    <mergeCell ref="AB1186:AC1186"/>
    <mergeCell ref="AD1187:AE1187"/>
    <mergeCell ref="AF1187:AG1187"/>
    <mergeCell ref="AH1187:AI1187"/>
    <mergeCell ref="AJ1187:AK1187"/>
    <mergeCell ref="AL1187:BB1187"/>
    <mergeCell ref="P1187:Q1187"/>
    <mergeCell ref="R1187:S1187"/>
    <mergeCell ref="T1187:U1187"/>
    <mergeCell ref="V1187:W1187"/>
    <mergeCell ref="X1187:Y1187"/>
    <mergeCell ref="Z1187:AA1187"/>
    <mergeCell ref="AB1187:AC1187"/>
    <mergeCell ref="B1187:C1187"/>
    <mergeCell ref="D1187:E1187"/>
    <mergeCell ref="F1187:G1187"/>
    <mergeCell ref="AL1176:BB1176"/>
    <mergeCell ref="AH1177:AI1177"/>
    <mergeCell ref="AJ1177:AK1177"/>
    <mergeCell ref="AL1177:BB1177"/>
    <mergeCell ref="B1177:C1177"/>
    <mergeCell ref="D1177:E1177"/>
    <mergeCell ref="F1177:G1177"/>
    <mergeCell ref="H1177:I1177"/>
    <mergeCell ref="J1177:K1177"/>
    <mergeCell ref="L1177:M1177"/>
    <mergeCell ref="N1177:O1177"/>
    <mergeCell ref="P1179:Q1179"/>
    <mergeCell ref="R1179:S1179"/>
    <mergeCell ref="T1179:U1179"/>
    <mergeCell ref="V1179:W1179"/>
    <mergeCell ref="X1179:Y1179"/>
    <mergeCell ref="Z1179:AA1179"/>
    <mergeCell ref="AB1179:AC1179"/>
    <mergeCell ref="B1179:C1179"/>
    <mergeCell ref="D1179:E1179"/>
    <mergeCell ref="F1179:G1179"/>
    <mergeCell ref="H1179:I1179"/>
    <mergeCell ref="J1179:K1179"/>
    <mergeCell ref="L1179:M1179"/>
    <mergeCell ref="N1179:O1179"/>
    <mergeCell ref="AD1177:AE1177"/>
    <mergeCell ref="AF1177:AG1177"/>
    <mergeCell ref="P1177:Q1177"/>
    <mergeCell ref="R1177:S1177"/>
    <mergeCell ref="T1177:U1177"/>
    <mergeCell ref="V1177:W1177"/>
    <mergeCell ref="X1177:Y1177"/>
    <mergeCell ref="Z1177:AA1177"/>
    <mergeCell ref="AB1177:AC1177"/>
    <mergeCell ref="AD1178:AE1178"/>
    <mergeCell ref="AF1178:AG1178"/>
    <mergeCell ref="AH1178:AI1178"/>
    <mergeCell ref="AJ1178:AK1178"/>
    <mergeCell ref="AL1178:BB1178"/>
    <mergeCell ref="P1178:Q1178"/>
    <mergeCell ref="R1178:S1178"/>
    <mergeCell ref="T1178:U1178"/>
    <mergeCell ref="V1178:W1178"/>
    <mergeCell ref="X1178:Y1178"/>
    <mergeCell ref="Z1178:AA1178"/>
    <mergeCell ref="AB1178:AC1178"/>
    <mergeCell ref="B1178:C1178"/>
    <mergeCell ref="D1178:E1178"/>
    <mergeCell ref="F1178:G1178"/>
    <mergeCell ref="H1178:I1178"/>
    <mergeCell ref="J1178:K1178"/>
    <mergeCell ref="L1178:M1178"/>
    <mergeCell ref="N1178:O1178"/>
    <mergeCell ref="AD1179:AE1179"/>
    <mergeCell ref="AF1179:AG1179"/>
    <mergeCell ref="AH1179:AI1179"/>
    <mergeCell ref="AJ1179:AK1179"/>
    <mergeCell ref="AL1179:BB1179"/>
    <mergeCell ref="AD1185:AE1185"/>
    <mergeCell ref="AF1185:AG1185"/>
    <mergeCell ref="AH1185:AI1185"/>
    <mergeCell ref="AJ1185:AK1185"/>
    <mergeCell ref="AL1185:BB1185"/>
    <mergeCell ref="AH1186:AI1186"/>
    <mergeCell ref="AJ1186:AK1186"/>
    <mergeCell ref="AL1186:BB1186"/>
    <mergeCell ref="B1186:C1186"/>
    <mergeCell ref="D1186:E1186"/>
    <mergeCell ref="F1186:G1186"/>
    <mergeCell ref="H1186:I1186"/>
    <mergeCell ref="J1186:K1186"/>
    <mergeCell ref="L1186:M1186"/>
    <mergeCell ref="N1186:O1186"/>
    <mergeCell ref="AD1171:AE1171"/>
    <mergeCell ref="AF1171:AG1171"/>
    <mergeCell ref="P1171:Q1171"/>
    <mergeCell ref="R1171:S1171"/>
    <mergeCell ref="T1171:U1171"/>
    <mergeCell ref="V1171:W1171"/>
    <mergeCell ref="X1171:Y1171"/>
    <mergeCell ref="Z1171:AA1171"/>
    <mergeCell ref="AB1171:AC1171"/>
    <mergeCell ref="AD1172:AE1172"/>
    <mergeCell ref="AF1172:AG1172"/>
    <mergeCell ref="AH1172:AI1172"/>
    <mergeCell ref="AJ1172:AK1172"/>
    <mergeCell ref="AL1172:BB1172"/>
    <mergeCell ref="P1172:Q1172"/>
    <mergeCell ref="R1172:S1172"/>
    <mergeCell ref="T1172:U1172"/>
    <mergeCell ref="V1172:W1172"/>
    <mergeCell ref="X1172:Y1172"/>
    <mergeCell ref="Z1172:AA1172"/>
    <mergeCell ref="AB1172:AC1172"/>
    <mergeCell ref="B1172:C1172"/>
    <mergeCell ref="D1172:E1172"/>
    <mergeCell ref="F1172:G1172"/>
    <mergeCell ref="H1172:I1172"/>
    <mergeCell ref="J1172:K1172"/>
    <mergeCell ref="L1172:M1172"/>
    <mergeCell ref="N1172:O1172"/>
    <mergeCell ref="AD1173:AE1173"/>
    <mergeCell ref="AF1173:AG1173"/>
    <mergeCell ref="AH1173:AI1173"/>
    <mergeCell ref="AJ1173:AK1173"/>
    <mergeCell ref="AL1173:BB1173"/>
    <mergeCell ref="AH1174:AI1174"/>
    <mergeCell ref="AJ1174:AK1174"/>
    <mergeCell ref="AL1174:BB1174"/>
    <mergeCell ref="B1174:C1174"/>
    <mergeCell ref="D1174:E1174"/>
    <mergeCell ref="F1174:G1174"/>
    <mergeCell ref="H1174:I1174"/>
    <mergeCell ref="J1174:K1174"/>
    <mergeCell ref="L1174:M1174"/>
    <mergeCell ref="N1174:O1174"/>
    <mergeCell ref="AD1174:AE1174"/>
    <mergeCell ref="AF1174:AG1174"/>
    <mergeCell ref="P1174:Q1174"/>
    <mergeCell ref="R1174:S1174"/>
    <mergeCell ref="T1174:U1174"/>
    <mergeCell ref="V1174:W1174"/>
    <mergeCell ref="AH1183:AI1183"/>
    <mergeCell ref="AJ1183:AK1183"/>
    <mergeCell ref="AL1183:BB1183"/>
    <mergeCell ref="B1183:C1183"/>
    <mergeCell ref="D1183:E1183"/>
    <mergeCell ref="F1183:G1183"/>
    <mergeCell ref="H1183:I1183"/>
    <mergeCell ref="J1183:K1183"/>
    <mergeCell ref="L1183:M1183"/>
    <mergeCell ref="N1183:O1183"/>
    <mergeCell ref="AD1183:AE1183"/>
    <mergeCell ref="AF1183:AG1183"/>
    <mergeCell ref="P1183:Q1183"/>
    <mergeCell ref="R1183:S1183"/>
    <mergeCell ref="T1183:U1183"/>
    <mergeCell ref="V1183:W1183"/>
    <mergeCell ref="X1183:Y1183"/>
    <mergeCell ref="Z1183:AA1183"/>
    <mergeCell ref="AB1183:AC1183"/>
    <mergeCell ref="AD1184:AE1184"/>
    <mergeCell ref="AF1184:AG1184"/>
    <mergeCell ref="AH1184:AI1184"/>
    <mergeCell ref="AJ1184:AK1184"/>
    <mergeCell ref="AL1184:BB1184"/>
    <mergeCell ref="P1184:Q1184"/>
    <mergeCell ref="R1184:S1184"/>
    <mergeCell ref="T1184:U1184"/>
    <mergeCell ref="V1184:W1184"/>
    <mergeCell ref="X1184:Y1184"/>
    <mergeCell ref="Z1184:AA1184"/>
    <mergeCell ref="AB1184:AC1184"/>
    <mergeCell ref="B1184:C1184"/>
    <mergeCell ref="D1184:E1184"/>
    <mergeCell ref="F1184:G1184"/>
    <mergeCell ref="H1184:I1184"/>
    <mergeCell ref="J1184:K1184"/>
    <mergeCell ref="L1184:M1184"/>
    <mergeCell ref="N1184:O1184"/>
    <mergeCell ref="AD1180:AE1180"/>
    <mergeCell ref="AF1180:AG1180"/>
    <mergeCell ref="P1180:Q1180"/>
    <mergeCell ref="R1180:S1180"/>
    <mergeCell ref="T1180:U1180"/>
    <mergeCell ref="V1180:W1180"/>
    <mergeCell ref="X1180:Y1180"/>
    <mergeCell ref="Z1180:AA1180"/>
    <mergeCell ref="AB1180:AC1180"/>
    <mergeCell ref="AD1181:AE1181"/>
    <mergeCell ref="AF1181:AG1181"/>
    <mergeCell ref="AH1181:AI1181"/>
    <mergeCell ref="AJ1181:AK1181"/>
    <mergeCell ref="AL1181:BB1181"/>
    <mergeCell ref="P1181:Q1181"/>
    <mergeCell ref="R1181:S1181"/>
    <mergeCell ref="T1181:U1181"/>
    <mergeCell ref="V1181:W1181"/>
    <mergeCell ref="X1181:Y1181"/>
    <mergeCell ref="Z1181:AA1181"/>
    <mergeCell ref="AB1181:AC1181"/>
    <mergeCell ref="B1181:C1181"/>
    <mergeCell ref="D1181:E1181"/>
    <mergeCell ref="F1181:G1181"/>
    <mergeCell ref="H1181:I1181"/>
    <mergeCell ref="J1181:K1181"/>
    <mergeCell ref="L1181:M1181"/>
    <mergeCell ref="N1181:O1181"/>
    <mergeCell ref="AD1182:AE1182"/>
    <mergeCell ref="AF1182:AG1182"/>
    <mergeCell ref="AH1182:AI1182"/>
    <mergeCell ref="AJ1182:AK1182"/>
    <mergeCell ref="AL1182:BB1182"/>
    <mergeCell ref="AH1180:AI1180"/>
    <mergeCell ref="AJ1180:AK1180"/>
    <mergeCell ref="AL1180:BB1180"/>
    <mergeCell ref="B1180:C1180"/>
    <mergeCell ref="D1180:E1180"/>
    <mergeCell ref="F1180:G1180"/>
    <mergeCell ref="H1180:I1180"/>
    <mergeCell ref="J1180:K1180"/>
    <mergeCell ref="L1180:M1180"/>
    <mergeCell ref="N1180:O1180"/>
    <mergeCell ref="P1182:Q1182"/>
    <mergeCell ref="R1182:S1182"/>
    <mergeCell ref="T1182:U1182"/>
    <mergeCell ref="V1182:W1182"/>
    <mergeCell ref="X1182:Y1182"/>
    <mergeCell ref="Z1182:AA1182"/>
    <mergeCell ref="AB1182:AC1182"/>
    <mergeCell ref="B1182:C1182"/>
    <mergeCell ref="D1182:E1182"/>
    <mergeCell ref="F1182:G1182"/>
    <mergeCell ref="H1182:I1182"/>
    <mergeCell ref="J1182:K1182"/>
    <mergeCell ref="L1182:M1182"/>
    <mergeCell ref="N1182:O1182"/>
    <mergeCell ref="AH1171:AI1171"/>
    <mergeCell ref="AJ1171:AK1171"/>
    <mergeCell ref="AL1171:BB1171"/>
    <mergeCell ref="B1171:C1171"/>
    <mergeCell ref="D1171:E1171"/>
    <mergeCell ref="F1171:G1171"/>
    <mergeCell ref="H1171:I1171"/>
    <mergeCell ref="J1171:K1171"/>
    <mergeCell ref="L1171:M1171"/>
    <mergeCell ref="N1171:O1171"/>
    <mergeCell ref="P1173:Q1173"/>
    <mergeCell ref="R1173:S1173"/>
    <mergeCell ref="T1173:U1173"/>
    <mergeCell ref="V1173:W1173"/>
    <mergeCell ref="X1173:Y1173"/>
    <mergeCell ref="Z1173:AA1173"/>
    <mergeCell ref="AB1173:AC1173"/>
    <mergeCell ref="B1173:C1173"/>
    <mergeCell ref="D1173:E1173"/>
    <mergeCell ref="F1173:G1173"/>
    <mergeCell ref="H1173:I1173"/>
    <mergeCell ref="J1173:K1173"/>
    <mergeCell ref="L1173:M1173"/>
    <mergeCell ref="N1173:O1173"/>
    <mergeCell ref="P1176:Q1176"/>
    <mergeCell ref="R1176:S1176"/>
    <mergeCell ref="T1176:U1176"/>
    <mergeCell ref="V1176:W1176"/>
    <mergeCell ref="X1176:Y1176"/>
    <mergeCell ref="Z1176:AA1176"/>
    <mergeCell ref="AB1176:AC1176"/>
    <mergeCell ref="B1176:C1176"/>
    <mergeCell ref="D1176:E1176"/>
    <mergeCell ref="F1176:G1176"/>
    <mergeCell ref="H1176:I1176"/>
    <mergeCell ref="J1176:K1176"/>
    <mergeCell ref="L1176:M1176"/>
    <mergeCell ref="N1176:O1176"/>
    <mergeCell ref="X1174:Y1174"/>
    <mergeCell ref="Z1174:AA1174"/>
    <mergeCell ref="AB1174:AC1174"/>
    <mergeCell ref="AD1175:AE1175"/>
    <mergeCell ref="AF1175:AG1175"/>
    <mergeCell ref="AH1175:AI1175"/>
    <mergeCell ref="AJ1175:AK1175"/>
    <mergeCell ref="AL1175:BB1175"/>
    <mergeCell ref="P1175:Q1175"/>
    <mergeCell ref="R1175:S1175"/>
    <mergeCell ref="T1175:U1175"/>
    <mergeCell ref="V1175:W1175"/>
    <mergeCell ref="X1175:Y1175"/>
    <mergeCell ref="Z1175:AA1175"/>
    <mergeCell ref="AB1175:AC1175"/>
    <mergeCell ref="B1175:C1175"/>
    <mergeCell ref="D1175:E1175"/>
    <mergeCell ref="F1175:G1175"/>
    <mergeCell ref="H1175:I1175"/>
    <mergeCell ref="J1175:K1175"/>
    <mergeCell ref="L1175:M1175"/>
    <mergeCell ref="N1175:O1175"/>
    <mergeCell ref="AD1176:AE1176"/>
    <mergeCell ref="AF1176:AG1176"/>
    <mergeCell ref="AH1176:AI1176"/>
    <mergeCell ref="AJ1176:AK1176"/>
    <mergeCell ref="AH1168:AI1168"/>
    <mergeCell ref="AJ1168:AK1168"/>
    <mergeCell ref="AL1168:BB1168"/>
    <mergeCell ref="B1168:C1168"/>
    <mergeCell ref="D1168:E1168"/>
    <mergeCell ref="F1168:G1168"/>
    <mergeCell ref="H1168:I1168"/>
    <mergeCell ref="J1168:K1168"/>
    <mergeCell ref="L1168:M1168"/>
    <mergeCell ref="N1168:O1168"/>
    <mergeCell ref="P1170:Q1170"/>
    <mergeCell ref="R1170:S1170"/>
    <mergeCell ref="T1170:U1170"/>
    <mergeCell ref="V1170:W1170"/>
    <mergeCell ref="X1170:Y1170"/>
    <mergeCell ref="Z1170:AA1170"/>
    <mergeCell ref="AB1170:AC1170"/>
    <mergeCell ref="B1170:C1170"/>
    <mergeCell ref="D1170:E1170"/>
    <mergeCell ref="F1170:G1170"/>
    <mergeCell ref="H1170:I1170"/>
    <mergeCell ref="J1170:K1170"/>
    <mergeCell ref="L1170:M1170"/>
    <mergeCell ref="N1170:O1170"/>
    <mergeCell ref="AD1168:AE1168"/>
    <mergeCell ref="AF1168:AG1168"/>
    <mergeCell ref="P1168:Q1168"/>
    <mergeCell ref="R1168:S1168"/>
    <mergeCell ref="T1168:U1168"/>
    <mergeCell ref="V1168:W1168"/>
    <mergeCell ref="X1168:Y1168"/>
    <mergeCell ref="Z1168:AA1168"/>
    <mergeCell ref="AB1168:AC1168"/>
    <mergeCell ref="AD1169:AE1169"/>
    <mergeCell ref="AF1169:AG1169"/>
    <mergeCell ref="AH1169:AI1169"/>
    <mergeCell ref="AJ1169:AK1169"/>
    <mergeCell ref="AL1169:BB1169"/>
    <mergeCell ref="P1169:Q1169"/>
    <mergeCell ref="R1169:S1169"/>
    <mergeCell ref="T1169:U1169"/>
    <mergeCell ref="V1169:W1169"/>
    <mergeCell ref="X1169:Y1169"/>
    <mergeCell ref="Z1169:AA1169"/>
    <mergeCell ref="AB1169:AC1169"/>
    <mergeCell ref="B1169:C1169"/>
    <mergeCell ref="D1169:E1169"/>
    <mergeCell ref="F1169:G1169"/>
    <mergeCell ref="H1169:I1169"/>
    <mergeCell ref="J1169:K1169"/>
    <mergeCell ref="L1169:M1169"/>
    <mergeCell ref="N1169:O1169"/>
    <mergeCell ref="AD1170:AE1170"/>
    <mergeCell ref="AF1170:AG1170"/>
    <mergeCell ref="AH1170:AI1170"/>
    <mergeCell ref="AJ1170:AK1170"/>
    <mergeCell ref="AL1170:BB1170"/>
    <mergeCell ref="B1165:C1165"/>
    <mergeCell ref="D1165:E1165"/>
    <mergeCell ref="F1165:G1165"/>
    <mergeCell ref="H1165:I1165"/>
    <mergeCell ref="J1165:K1165"/>
    <mergeCell ref="L1165:M1165"/>
    <mergeCell ref="N1165:O1165"/>
    <mergeCell ref="AD1166:AE1166"/>
    <mergeCell ref="AF1166:AG1166"/>
    <mergeCell ref="AH1166:AI1166"/>
    <mergeCell ref="AJ1166:AK1166"/>
    <mergeCell ref="AL1166:BB1166"/>
    <mergeCell ref="P1166:Q1166"/>
    <mergeCell ref="R1166:S1166"/>
    <mergeCell ref="T1166:U1166"/>
    <mergeCell ref="V1166:W1166"/>
    <mergeCell ref="X1166:Y1166"/>
    <mergeCell ref="Z1166:AA1166"/>
    <mergeCell ref="AB1166:AC1166"/>
    <mergeCell ref="B1166:C1166"/>
    <mergeCell ref="D1166:E1166"/>
    <mergeCell ref="F1166:G1166"/>
    <mergeCell ref="H1166:I1166"/>
    <mergeCell ref="J1166:K1166"/>
    <mergeCell ref="L1166:M1166"/>
    <mergeCell ref="N1166:O1166"/>
    <mergeCell ref="AD1167:AE1167"/>
    <mergeCell ref="AF1167:AG1167"/>
    <mergeCell ref="AH1167:AI1167"/>
    <mergeCell ref="AJ1167:AK1167"/>
    <mergeCell ref="AL1167:BB1167"/>
    <mergeCell ref="P1167:Q1167"/>
    <mergeCell ref="R1167:S1167"/>
    <mergeCell ref="T1167:U1167"/>
    <mergeCell ref="V1167:W1167"/>
    <mergeCell ref="X1167:Y1167"/>
    <mergeCell ref="Z1167:AA1167"/>
    <mergeCell ref="AB1167:AC1167"/>
    <mergeCell ref="B1167:C1167"/>
    <mergeCell ref="D1167:E1167"/>
    <mergeCell ref="F1167:G1167"/>
    <mergeCell ref="H1167:I1167"/>
    <mergeCell ref="J1167:K1167"/>
    <mergeCell ref="L1167:M1167"/>
    <mergeCell ref="N1167:O1167"/>
    <mergeCell ref="AH1162:AI1162"/>
    <mergeCell ref="AJ1162:AK1162"/>
    <mergeCell ref="AL1162:BB1162"/>
    <mergeCell ref="B1162:C1162"/>
    <mergeCell ref="D1162:E1162"/>
    <mergeCell ref="F1162:G1162"/>
    <mergeCell ref="H1162:I1162"/>
    <mergeCell ref="J1162:K1162"/>
    <mergeCell ref="L1162:M1162"/>
    <mergeCell ref="N1162:O1162"/>
    <mergeCell ref="P1164:Q1164"/>
    <mergeCell ref="R1164:S1164"/>
    <mergeCell ref="T1164:U1164"/>
    <mergeCell ref="V1164:W1164"/>
    <mergeCell ref="X1164:Y1164"/>
    <mergeCell ref="Z1164:AA1164"/>
    <mergeCell ref="AB1164:AC1164"/>
    <mergeCell ref="B1164:C1164"/>
    <mergeCell ref="D1164:E1164"/>
    <mergeCell ref="F1164:G1164"/>
    <mergeCell ref="H1164:I1164"/>
    <mergeCell ref="J1164:K1164"/>
    <mergeCell ref="L1164:M1164"/>
    <mergeCell ref="N1164:O1164"/>
    <mergeCell ref="AD1162:AE1162"/>
    <mergeCell ref="AF1162:AG1162"/>
    <mergeCell ref="P1162:Q1162"/>
    <mergeCell ref="R1162:S1162"/>
    <mergeCell ref="T1162:U1162"/>
    <mergeCell ref="V1162:W1162"/>
    <mergeCell ref="X1162:Y1162"/>
    <mergeCell ref="Z1162:AA1162"/>
    <mergeCell ref="AB1162:AC1162"/>
    <mergeCell ref="AD1163:AE1163"/>
    <mergeCell ref="AF1163:AG1163"/>
    <mergeCell ref="AH1163:AI1163"/>
    <mergeCell ref="AJ1163:AK1163"/>
    <mergeCell ref="AL1163:BB1163"/>
    <mergeCell ref="P1163:Q1163"/>
    <mergeCell ref="R1163:S1163"/>
    <mergeCell ref="T1163:U1163"/>
    <mergeCell ref="V1163:W1163"/>
    <mergeCell ref="X1163:Y1163"/>
    <mergeCell ref="Z1163:AA1163"/>
    <mergeCell ref="AB1163:AC1163"/>
    <mergeCell ref="B1163:C1163"/>
    <mergeCell ref="D1163:E1163"/>
    <mergeCell ref="F1163:G1163"/>
    <mergeCell ref="H1163:I1163"/>
    <mergeCell ref="J1163:K1163"/>
    <mergeCell ref="L1163:M1163"/>
    <mergeCell ref="N1163:O1163"/>
    <mergeCell ref="AD1164:AE1164"/>
    <mergeCell ref="AF1164:AG1164"/>
    <mergeCell ref="AH1164:AI1164"/>
    <mergeCell ref="AJ1164:AK1164"/>
    <mergeCell ref="AL1164:BB1164"/>
    <mergeCell ref="AH1159:AI1159"/>
    <mergeCell ref="AJ1159:AK1159"/>
    <mergeCell ref="AL1159:BB1159"/>
    <mergeCell ref="B1159:C1159"/>
    <mergeCell ref="D1159:E1159"/>
    <mergeCell ref="F1159:G1159"/>
    <mergeCell ref="H1159:I1159"/>
    <mergeCell ref="J1159:K1159"/>
    <mergeCell ref="L1159:M1159"/>
    <mergeCell ref="N1159:O1159"/>
    <mergeCell ref="P1161:Q1161"/>
    <mergeCell ref="R1161:S1161"/>
    <mergeCell ref="T1161:U1161"/>
    <mergeCell ref="V1161:W1161"/>
    <mergeCell ref="X1161:Y1161"/>
    <mergeCell ref="Z1161:AA1161"/>
    <mergeCell ref="AB1161:AC1161"/>
    <mergeCell ref="B1161:C1161"/>
    <mergeCell ref="D1161:E1161"/>
    <mergeCell ref="F1161:G1161"/>
    <mergeCell ref="H1161:I1161"/>
    <mergeCell ref="J1161:K1161"/>
    <mergeCell ref="L1161:M1161"/>
    <mergeCell ref="N1161:O1161"/>
    <mergeCell ref="AD1159:AE1159"/>
    <mergeCell ref="AF1159:AG1159"/>
    <mergeCell ref="P1159:Q1159"/>
    <mergeCell ref="R1159:S1159"/>
    <mergeCell ref="T1159:U1159"/>
    <mergeCell ref="V1159:W1159"/>
    <mergeCell ref="X1159:Y1159"/>
    <mergeCell ref="Z1159:AA1159"/>
    <mergeCell ref="AB1159:AC1159"/>
    <mergeCell ref="AD1160:AE1160"/>
    <mergeCell ref="AF1160:AG1160"/>
    <mergeCell ref="AH1160:AI1160"/>
    <mergeCell ref="AJ1160:AK1160"/>
    <mergeCell ref="AL1160:BB1160"/>
    <mergeCell ref="P1160:Q1160"/>
    <mergeCell ref="R1160:S1160"/>
    <mergeCell ref="T1160:U1160"/>
    <mergeCell ref="V1160:W1160"/>
    <mergeCell ref="X1160:Y1160"/>
    <mergeCell ref="Z1160:AA1160"/>
    <mergeCell ref="AB1160:AC1160"/>
    <mergeCell ref="B1160:C1160"/>
    <mergeCell ref="D1160:E1160"/>
    <mergeCell ref="F1160:G1160"/>
    <mergeCell ref="H1160:I1160"/>
    <mergeCell ref="J1160:K1160"/>
    <mergeCell ref="L1160:M1160"/>
    <mergeCell ref="N1160:O1160"/>
    <mergeCell ref="AD1161:AE1161"/>
    <mergeCell ref="AF1161:AG1161"/>
    <mergeCell ref="AH1161:AI1161"/>
    <mergeCell ref="AJ1161:AK1161"/>
    <mergeCell ref="AL1161:BB1161"/>
    <mergeCell ref="AH1156:AI1156"/>
    <mergeCell ref="AJ1156:AK1156"/>
    <mergeCell ref="AL1156:BB1156"/>
    <mergeCell ref="B1156:C1156"/>
    <mergeCell ref="D1156:E1156"/>
    <mergeCell ref="F1156:G1156"/>
    <mergeCell ref="H1156:I1156"/>
    <mergeCell ref="J1156:K1156"/>
    <mergeCell ref="L1156:M1156"/>
    <mergeCell ref="N1156:O1156"/>
    <mergeCell ref="P1158:Q1158"/>
    <mergeCell ref="R1158:S1158"/>
    <mergeCell ref="T1158:U1158"/>
    <mergeCell ref="V1158:W1158"/>
    <mergeCell ref="X1158:Y1158"/>
    <mergeCell ref="Z1158:AA1158"/>
    <mergeCell ref="AB1158:AC1158"/>
    <mergeCell ref="B1158:C1158"/>
    <mergeCell ref="D1158:E1158"/>
    <mergeCell ref="F1158:G1158"/>
    <mergeCell ref="H1158:I1158"/>
    <mergeCell ref="J1158:K1158"/>
    <mergeCell ref="L1158:M1158"/>
    <mergeCell ref="N1158:O1158"/>
    <mergeCell ref="AD1156:AE1156"/>
    <mergeCell ref="AF1156:AG1156"/>
    <mergeCell ref="P1156:Q1156"/>
    <mergeCell ref="R1156:S1156"/>
    <mergeCell ref="T1156:U1156"/>
    <mergeCell ref="V1156:W1156"/>
    <mergeCell ref="X1156:Y1156"/>
    <mergeCell ref="Z1156:AA1156"/>
    <mergeCell ref="AB1156:AC1156"/>
    <mergeCell ref="AD1157:AE1157"/>
    <mergeCell ref="AF1157:AG1157"/>
    <mergeCell ref="AH1157:AI1157"/>
    <mergeCell ref="AJ1157:AK1157"/>
    <mergeCell ref="AL1157:BB1157"/>
    <mergeCell ref="P1157:Q1157"/>
    <mergeCell ref="R1157:S1157"/>
    <mergeCell ref="T1157:U1157"/>
    <mergeCell ref="V1157:W1157"/>
    <mergeCell ref="X1157:Y1157"/>
    <mergeCell ref="Z1157:AA1157"/>
    <mergeCell ref="AB1157:AC1157"/>
    <mergeCell ref="B1157:C1157"/>
    <mergeCell ref="D1157:E1157"/>
    <mergeCell ref="F1157:G1157"/>
    <mergeCell ref="H1157:I1157"/>
    <mergeCell ref="J1157:K1157"/>
    <mergeCell ref="L1157:M1157"/>
    <mergeCell ref="N1157:O1157"/>
    <mergeCell ref="AD1158:AE1158"/>
    <mergeCell ref="AF1158:AG1158"/>
    <mergeCell ref="AH1158:AI1158"/>
    <mergeCell ref="AJ1158:AK1158"/>
    <mergeCell ref="AL1158:BB1158"/>
    <mergeCell ref="AH1153:AI1153"/>
    <mergeCell ref="AJ1153:AK1153"/>
    <mergeCell ref="AL1153:BB1153"/>
    <mergeCell ref="B1153:C1153"/>
    <mergeCell ref="D1153:E1153"/>
    <mergeCell ref="F1153:G1153"/>
    <mergeCell ref="H1153:I1153"/>
    <mergeCell ref="J1153:K1153"/>
    <mergeCell ref="L1153:M1153"/>
    <mergeCell ref="N1153:O1153"/>
    <mergeCell ref="P1155:Q1155"/>
    <mergeCell ref="R1155:S1155"/>
    <mergeCell ref="T1155:U1155"/>
    <mergeCell ref="V1155:W1155"/>
    <mergeCell ref="X1155:Y1155"/>
    <mergeCell ref="Z1155:AA1155"/>
    <mergeCell ref="AB1155:AC1155"/>
    <mergeCell ref="B1155:C1155"/>
    <mergeCell ref="D1155:E1155"/>
    <mergeCell ref="F1155:G1155"/>
    <mergeCell ref="H1155:I1155"/>
    <mergeCell ref="J1155:K1155"/>
    <mergeCell ref="L1155:M1155"/>
    <mergeCell ref="N1155:O1155"/>
    <mergeCell ref="AD1153:AE1153"/>
    <mergeCell ref="AF1153:AG1153"/>
    <mergeCell ref="P1153:Q1153"/>
    <mergeCell ref="R1153:S1153"/>
    <mergeCell ref="T1153:U1153"/>
    <mergeCell ref="V1153:W1153"/>
    <mergeCell ref="X1153:Y1153"/>
    <mergeCell ref="Z1153:AA1153"/>
    <mergeCell ref="AB1153:AC1153"/>
    <mergeCell ref="AD1154:AE1154"/>
    <mergeCell ref="AF1154:AG1154"/>
    <mergeCell ref="AH1154:AI1154"/>
    <mergeCell ref="AJ1154:AK1154"/>
    <mergeCell ref="AL1154:BB1154"/>
    <mergeCell ref="P1154:Q1154"/>
    <mergeCell ref="R1154:S1154"/>
    <mergeCell ref="T1154:U1154"/>
    <mergeCell ref="V1154:W1154"/>
    <mergeCell ref="X1154:Y1154"/>
    <mergeCell ref="Z1154:AA1154"/>
    <mergeCell ref="AB1154:AC1154"/>
    <mergeCell ref="B1154:C1154"/>
    <mergeCell ref="D1154:E1154"/>
    <mergeCell ref="F1154:G1154"/>
    <mergeCell ref="H1154:I1154"/>
    <mergeCell ref="J1154:K1154"/>
    <mergeCell ref="L1154:M1154"/>
    <mergeCell ref="N1154:O1154"/>
    <mergeCell ref="AD1155:AE1155"/>
    <mergeCell ref="AF1155:AG1155"/>
    <mergeCell ref="AH1155:AI1155"/>
    <mergeCell ref="AJ1155:AK1155"/>
    <mergeCell ref="AL1155:BB1155"/>
    <mergeCell ref="AJ1149:AK1149"/>
    <mergeCell ref="AL1149:BB1149"/>
    <mergeCell ref="AH1150:AI1150"/>
    <mergeCell ref="AJ1150:AK1150"/>
    <mergeCell ref="AL1150:BB1150"/>
    <mergeCell ref="B1150:C1150"/>
    <mergeCell ref="D1150:E1150"/>
    <mergeCell ref="F1150:G1150"/>
    <mergeCell ref="H1150:I1150"/>
    <mergeCell ref="J1150:K1150"/>
    <mergeCell ref="L1150:M1150"/>
    <mergeCell ref="N1150:O1150"/>
    <mergeCell ref="P1152:Q1152"/>
    <mergeCell ref="R1152:S1152"/>
    <mergeCell ref="T1152:U1152"/>
    <mergeCell ref="V1152:W1152"/>
    <mergeCell ref="X1152:Y1152"/>
    <mergeCell ref="Z1152:AA1152"/>
    <mergeCell ref="AB1152:AC1152"/>
    <mergeCell ref="B1152:C1152"/>
    <mergeCell ref="D1152:E1152"/>
    <mergeCell ref="F1152:G1152"/>
    <mergeCell ref="H1152:I1152"/>
    <mergeCell ref="J1152:K1152"/>
    <mergeCell ref="L1152:M1152"/>
    <mergeCell ref="N1152:O1152"/>
    <mergeCell ref="AD1150:AE1150"/>
    <mergeCell ref="AF1150:AG1150"/>
    <mergeCell ref="P1150:Q1150"/>
    <mergeCell ref="R1150:S1150"/>
    <mergeCell ref="T1150:U1150"/>
    <mergeCell ref="V1150:W1150"/>
    <mergeCell ref="X1150:Y1150"/>
    <mergeCell ref="Z1150:AA1150"/>
    <mergeCell ref="AB1150:AC1150"/>
    <mergeCell ref="AD1151:AE1151"/>
    <mergeCell ref="AF1151:AG1151"/>
    <mergeCell ref="AH1151:AI1151"/>
    <mergeCell ref="AJ1151:AK1151"/>
    <mergeCell ref="AL1151:BB1151"/>
    <mergeCell ref="P1151:Q1151"/>
    <mergeCell ref="R1151:S1151"/>
    <mergeCell ref="T1151:U1151"/>
    <mergeCell ref="V1151:W1151"/>
    <mergeCell ref="X1151:Y1151"/>
    <mergeCell ref="Z1151:AA1151"/>
    <mergeCell ref="AB1151:AC1151"/>
    <mergeCell ref="B1151:C1151"/>
    <mergeCell ref="D1151:E1151"/>
    <mergeCell ref="F1151:G1151"/>
    <mergeCell ref="H1151:I1151"/>
    <mergeCell ref="J1151:K1151"/>
    <mergeCell ref="L1151:M1151"/>
    <mergeCell ref="N1151:O1151"/>
    <mergeCell ref="AD1152:AE1152"/>
    <mergeCell ref="AF1152:AG1152"/>
    <mergeCell ref="AH1152:AI1152"/>
    <mergeCell ref="AJ1152:AK1152"/>
    <mergeCell ref="AL1152:BB1152"/>
    <mergeCell ref="H1145:I1145"/>
    <mergeCell ref="J1145:K1145"/>
    <mergeCell ref="L1145:M1145"/>
    <mergeCell ref="N1145:O1145"/>
    <mergeCell ref="AD1146:AE1146"/>
    <mergeCell ref="AF1146:AG1146"/>
    <mergeCell ref="AH1146:AI1146"/>
    <mergeCell ref="AJ1146:AK1146"/>
    <mergeCell ref="AL1146:BB1146"/>
    <mergeCell ref="AH1147:AI1147"/>
    <mergeCell ref="AJ1147:AK1147"/>
    <mergeCell ref="AL1147:BB1147"/>
    <mergeCell ref="B1147:C1147"/>
    <mergeCell ref="D1147:E1147"/>
    <mergeCell ref="F1147:G1147"/>
    <mergeCell ref="H1147:I1147"/>
    <mergeCell ref="J1147:K1147"/>
    <mergeCell ref="L1147:M1147"/>
    <mergeCell ref="N1147:O1147"/>
    <mergeCell ref="P1149:Q1149"/>
    <mergeCell ref="R1149:S1149"/>
    <mergeCell ref="T1149:U1149"/>
    <mergeCell ref="V1149:W1149"/>
    <mergeCell ref="X1149:Y1149"/>
    <mergeCell ref="Z1149:AA1149"/>
    <mergeCell ref="AB1149:AC1149"/>
    <mergeCell ref="B1149:C1149"/>
    <mergeCell ref="D1149:E1149"/>
    <mergeCell ref="F1149:G1149"/>
    <mergeCell ref="H1149:I1149"/>
    <mergeCell ref="J1149:K1149"/>
    <mergeCell ref="L1149:M1149"/>
    <mergeCell ref="N1149:O1149"/>
    <mergeCell ref="AD1147:AE1147"/>
    <mergeCell ref="AF1147:AG1147"/>
    <mergeCell ref="P1147:Q1147"/>
    <mergeCell ref="R1147:S1147"/>
    <mergeCell ref="T1147:U1147"/>
    <mergeCell ref="V1147:W1147"/>
    <mergeCell ref="X1147:Y1147"/>
    <mergeCell ref="Z1147:AA1147"/>
    <mergeCell ref="AB1147:AC1147"/>
    <mergeCell ref="AD1148:AE1148"/>
    <mergeCell ref="AF1148:AG1148"/>
    <mergeCell ref="AH1148:AI1148"/>
    <mergeCell ref="AJ1148:AK1148"/>
    <mergeCell ref="AL1148:BB1148"/>
    <mergeCell ref="P1148:Q1148"/>
    <mergeCell ref="R1148:S1148"/>
    <mergeCell ref="T1148:U1148"/>
    <mergeCell ref="V1148:W1148"/>
    <mergeCell ref="X1148:Y1148"/>
    <mergeCell ref="Z1148:AA1148"/>
    <mergeCell ref="AB1148:AC1148"/>
    <mergeCell ref="B1148:C1148"/>
    <mergeCell ref="D1148:E1148"/>
    <mergeCell ref="F1148:G1148"/>
    <mergeCell ref="H1148:I1148"/>
    <mergeCell ref="J1148:K1148"/>
    <mergeCell ref="L1148:M1148"/>
    <mergeCell ref="N1148:O1148"/>
    <mergeCell ref="AD1149:AE1149"/>
    <mergeCell ref="AF1149:AG1149"/>
    <mergeCell ref="AH1149:AI1149"/>
    <mergeCell ref="P1143:Q1143"/>
    <mergeCell ref="R1143:S1143"/>
    <mergeCell ref="T1143:U1143"/>
    <mergeCell ref="V1143:W1143"/>
    <mergeCell ref="X1143:Y1143"/>
    <mergeCell ref="Z1143:AA1143"/>
    <mergeCell ref="AB1143:AC1143"/>
    <mergeCell ref="B1143:C1143"/>
    <mergeCell ref="D1143:E1143"/>
    <mergeCell ref="F1143:G1143"/>
    <mergeCell ref="H1143:I1143"/>
    <mergeCell ref="J1143:K1143"/>
    <mergeCell ref="L1143:M1143"/>
    <mergeCell ref="N1143:O1143"/>
    <mergeCell ref="AD1165:AE1165"/>
    <mergeCell ref="AF1165:AG1165"/>
    <mergeCell ref="AH1165:AI1165"/>
    <mergeCell ref="AJ1165:AK1165"/>
    <mergeCell ref="AL1165:BB1165"/>
    <mergeCell ref="P1165:Q1165"/>
    <mergeCell ref="R1165:S1165"/>
    <mergeCell ref="T1165:U1165"/>
    <mergeCell ref="V1165:W1165"/>
    <mergeCell ref="X1165:Y1165"/>
    <mergeCell ref="Z1165:AA1165"/>
    <mergeCell ref="AB1165:AC1165"/>
    <mergeCell ref="P1146:Q1146"/>
    <mergeCell ref="R1146:S1146"/>
    <mergeCell ref="T1146:U1146"/>
    <mergeCell ref="V1146:W1146"/>
    <mergeCell ref="X1146:Y1146"/>
    <mergeCell ref="Z1146:AA1146"/>
    <mergeCell ref="AB1146:AC1146"/>
    <mergeCell ref="B1146:C1146"/>
    <mergeCell ref="D1146:E1146"/>
    <mergeCell ref="F1146:G1146"/>
    <mergeCell ref="H1146:I1146"/>
    <mergeCell ref="J1146:K1146"/>
    <mergeCell ref="L1146:M1146"/>
    <mergeCell ref="N1146:O1146"/>
    <mergeCell ref="AD1144:AE1144"/>
    <mergeCell ref="AF1144:AG1144"/>
    <mergeCell ref="P1144:Q1144"/>
    <mergeCell ref="R1144:S1144"/>
    <mergeCell ref="T1144:U1144"/>
    <mergeCell ref="V1144:W1144"/>
    <mergeCell ref="X1144:Y1144"/>
    <mergeCell ref="Z1144:AA1144"/>
    <mergeCell ref="AB1144:AC1144"/>
    <mergeCell ref="AD1145:AE1145"/>
    <mergeCell ref="AF1145:AG1145"/>
    <mergeCell ref="AH1145:AI1145"/>
    <mergeCell ref="AJ1145:AK1145"/>
    <mergeCell ref="AL1145:BB1145"/>
    <mergeCell ref="P1145:Q1145"/>
    <mergeCell ref="R1145:S1145"/>
    <mergeCell ref="T1145:U1145"/>
    <mergeCell ref="V1145:W1145"/>
    <mergeCell ref="X1145:Y1145"/>
    <mergeCell ref="Z1145:AA1145"/>
    <mergeCell ref="AB1145:AC1145"/>
    <mergeCell ref="B1145:C1145"/>
    <mergeCell ref="D1145:E1145"/>
    <mergeCell ref="F1145:G1145"/>
    <mergeCell ref="AL1134:BB1134"/>
    <mergeCell ref="AH1135:AI1135"/>
    <mergeCell ref="AJ1135:AK1135"/>
    <mergeCell ref="AL1135:BB1135"/>
    <mergeCell ref="B1135:C1135"/>
    <mergeCell ref="D1135:E1135"/>
    <mergeCell ref="F1135:G1135"/>
    <mergeCell ref="H1135:I1135"/>
    <mergeCell ref="J1135:K1135"/>
    <mergeCell ref="L1135:M1135"/>
    <mergeCell ref="N1135:O1135"/>
    <mergeCell ref="P1137:Q1137"/>
    <mergeCell ref="R1137:S1137"/>
    <mergeCell ref="T1137:U1137"/>
    <mergeCell ref="V1137:W1137"/>
    <mergeCell ref="X1137:Y1137"/>
    <mergeCell ref="Z1137:AA1137"/>
    <mergeCell ref="AB1137:AC1137"/>
    <mergeCell ref="B1137:C1137"/>
    <mergeCell ref="D1137:E1137"/>
    <mergeCell ref="F1137:G1137"/>
    <mergeCell ref="H1137:I1137"/>
    <mergeCell ref="J1137:K1137"/>
    <mergeCell ref="L1137:M1137"/>
    <mergeCell ref="N1137:O1137"/>
    <mergeCell ref="AD1135:AE1135"/>
    <mergeCell ref="AF1135:AG1135"/>
    <mergeCell ref="P1135:Q1135"/>
    <mergeCell ref="R1135:S1135"/>
    <mergeCell ref="T1135:U1135"/>
    <mergeCell ref="V1135:W1135"/>
    <mergeCell ref="X1135:Y1135"/>
    <mergeCell ref="Z1135:AA1135"/>
    <mergeCell ref="AB1135:AC1135"/>
    <mergeCell ref="AD1136:AE1136"/>
    <mergeCell ref="AF1136:AG1136"/>
    <mergeCell ref="AH1136:AI1136"/>
    <mergeCell ref="AJ1136:AK1136"/>
    <mergeCell ref="AL1136:BB1136"/>
    <mergeCell ref="P1136:Q1136"/>
    <mergeCell ref="R1136:S1136"/>
    <mergeCell ref="T1136:U1136"/>
    <mergeCell ref="V1136:W1136"/>
    <mergeCell ref="X1136:Y1136"/>
    <mergeCell ref="Z1136:AA1136"/>
    <mergeCell ref="AB1136:AC1136"/>
    <mergeCell ref="B1136:C1136"/>
    <mergeCell ref="D1136:E1136"/>
    <mergeCell ref="F1136:G1136"/>
    <mergeCell ref="H1136:I1136"/>
    <mergeCell ref="J1136:K1136"/>
    <mergeCell ref="L1136:M1136"/>
    <mergeCell ref="N1136:O1136"/>
    <mergeCell ref="AD1137:AE1137"/>
    <mergeCell ref="AF1137:AG1137"/>
    <mergeCell ref="AH1137:AI1137"/>
    <mergeCell ref="AJ1137:AK1137"/>
    <mergeCell ref="AL1137:BB1137"/>
    <mergeCell ref="AD1143:AE1143"/>
    <mergeCell ref="AF1143:AG1143"/>
    <mergeCell ref="AH1143:AI1143"/>
    <mergeCell ref="AJ1143:AK1143"/>
    <mergeCell ref="AL1143:BB1143"/>
    <mergeCell ref="AH1144:AI1144"/>
    <mergeCell ref="AJ1144:AK1144"/>
    <mergeCell ref="AL1144:BB1144"/>
    <mergeCell ref="B1144:C1144"/>
    <mergeCell ref="D1144:E1144"/>
    <mergeCell ref="F1144:G1144"/>
    <mergeCell ref="H1144:I1144"/>
    <mergeCell ref="J1144:K1144"/>
    <mergeCell ref="L1144:M1144"/>
    <mergeCell ref="N1144:O1144"/>
    <mergeCell ref="AD1129:AE1129"/>
    <mergeCell ref="AF1129:AG1129"/>
    <mergeCell ref="P1129:Q1129"/>
    <mergeCell ref="R1129:S1129"/>
    <mergeCell ref="T1129:U1129"/>
    <mergeCell ref="V1129:W1129"/>
    <mergeCell ref="X1129:Y1129"/>
    <mergeCell ref="Z1129:AA1129"/>
    <mergeCell ref="AB1129:AC1129"/>
    <mergeCell ref="AD1130:AE1130"/>
    <mergeCell ref="AF1130:AG1130"/>
    <mergeCell ref="AH1130:AI1130"/>
    <mergeCell ref="AJ1130:AK1130"/>
    <mergeCell ref="AL1130:BB1130"/>
    <mergeCell ref="P1130:Q1130"/>
    <mergeCell ref="R1130:S1130"/>
    <mergeCell ref="T1130:U1130"/>
    <mergeCell ref="V1130:W1130"/>
    <mergeCell ref="X1130:Y1130"/>
    <mergeCell ref="Z1130:AA1130"/>
    <mergeCell ref="AB1130:AC1130"/>
    <mergeCell ref="B1130:C1130"/>
    <mergeCell ref="D1130:E1130"/>
    <mergeCell ref="F1130:G1130"/>
    <mergeCell ref="H1130:I1130"/>
    <mergeCell ref="J1130:K1130"/>
    <mergeCell ref="L1130:M1130"/>
    <mergeCell ref="N1130:O1130"/>
    <mergeCell ref="AD1131:AE1131"/>
    <mergeCell ref="AF1131:AG1131"/>
    <mergeCell ref="AH1131:AI1131"/>
    <mergeCell ref="AJ1131:AK1131"/>
    <mergeCell ref="AL1131:BB1131"/>
    <mergeCell ref="AH1132:AI1132"/>
    <mergeCell ref="AJ1132:AK1132"/>
    <mergeCell ref="AL1132:BB1132"/>
    <mergeCell ref="B1132:C1132"/>
    <mergeCell ref="D1132:E1132"/>
    <mergeCell ref="F1132:G1132"/>
    <mergeCell ref="H1132:I1132"/>
    <mergeCell ref="J1132:K1132"/>
    <mergeCell ref="L1132:M1132"/>
    <mergeCell ref="N1132:O1132"/>
    <mergeCell ref="AD1132:AE1132"/>
    <mergeCell ref="AF1132:AG1132"/>
    <mergeCell ref="P1132:Q1132"/>
    <mergeCell ref="R1132:S1132"/>
    <mergeCell ref="T1132:U1132"/>
    <mergeCell ref="V1132:W1132"/>
    <mergeCell ref="AH1141:AI1141"/>
    <mergeCell ref="AJ1141:AK1141"/>
    <mergeCell ref="AL1141:BB1141"/>
    <mergeCell ref="B1141:C1141"/>
    <mergeCell ref="D1141:E1141"/>
    <mergeCell ref="F1141:G1141"/>
    <mergeCell ref="H1141:I1141"/>
    <mergeCell ref="J1141:K1141"/>
    <mergeCell ref="L1141:M1141"/>
    <mergeCell ref="N1141:O1141"/>
    <mergeCell ref="AD1141:AE1141"/>
    <mergeCell ref="AF1141:AG1141"/>
    <mergeCell ref="P1141:Q1141"/>
    <mergeCell ref="R1141:S1141"/>
    <mergeCell ref="T1141:U1141"/>
    <mergeCell ref="V1141:W1141"/>
    <mergeCell ref="X1141:Y1141"/>
    <mergeCell ref="Z1141:AA1141"/>
    <mergeCell ref="AB1141:AC1141"/>
    <mergeCell ref="AD1142:AE1142"/>
    <mergeCell ref="AF1142:AG1142"/>
    <mergeCell ref="AH1142:AI1142"/>
    <mergeCell ref="AJ1142:AK1142"/>
    <mergeCell ref="AL1142:BB1142"/>
    <mergeCell ref="P1142:Q1142"/>
    <mergeCell ref="R1142:S1142"/>
    <mergeCell ref="T1142:U1142"/>
    <mergeCell ref="V1142:W1142"/>
    <mergeCell ref="X1142:Y1142"/>
    <mergeCell ref="Z1142:AA1142"/>
    <mergeCell ref="AB1142:AC1142"/>
    <mergeCell ref="B1142:C1142"/>
    <mergeCell ref="D1142:E1142"/>
    <mergeCell ref="F1142:G1142"/>
    <mergeCell ref="H1142:I1142"/>
    <mergeCell ref="J1142:K1142"/>
    <mergeCell ref="L1142:M1142"/>
    <mergeCell ref="N1142:O1142"/>
    <mergeCell ref="AD1138:AE1138"/>
    <mergeCell ref="AF1138:AG1138"/>
    <mergeCell ref="P1138:Q1138"/>
    <mergeCell ref="R1138:S1138"/>
    <mergeCell ref="T1138:U1138"/>
    <mergeCell ref="V1138:W1138"/>
    <mergeCell ref="X1138:Y1138"/>
    <mergeCell ref="Z1138:AA1138"/>
    <mergeCell ref="AB1138:AC1138"/>
    <mergeCell ref="AD1139:AE1139"/>
    <mergeCell ref="AF1139:AG1139"/>
    <mergeCell ref="AH1139:AI1139"/>
    <mergeCell ref="AJ1139:AK1139"/>
    <mergeCell ref="AL1139:BB1139"/>
    <mergeCell ref="P1139:Q1139"/>
    <mergeCell ref="R1139:S1139"/>
    <mergeCell ref="T1139:U1139"/>
    <mergeCell ref="V1139:W1139"/>
    <mergeCell ref="X1139:Y1139"/>
    <mergeCell ref="Z1139:AA1139"/>
    <mergeCell ref="AB1139:AC1139"/>
    <mergeCell ref="B1139:C1139"/>
    <mergeCell ref="D1139:E1139"/>
    <mergeCell ref="F1139:G1139"/>
    <mergeCell ref="H1139:I1139"/>
    <mergeCell ref="J1139:K1139"/>
    <mergeCell ref="L1139:M1139"/>
    <mergeCell ref="N1139:O1139"/>
    <mergeCell ref="AD1140:AE1140"/>
    <mergeCell ref="AF1140:AG1140"/>
    <mergeCell ref="AH1140:AI1140"/>
    <mergeCell ref="AJ1140:AK1140"/>
    <mergeCell ref="AL1140:BB1140"/>
    <mergeCell ref="AH1138:AI1138"/>
    <mergeCell ref="AJ1138:AK1138"/>
    <mergeCell ref="AL1138:BB1138"/>
    <mergeCell ref="B1138:C1138"/>
    <mergeCell ref="D1138:E1138"/>
    <mergeCell ref="F1138:G1138"/>
    <mergeCell ref="H1138:I1138"/>
    <mergeCell ref="J1138:K1138"/>
    <mergeCell ref="L1138:M1138"/>
    <mergeCell ref="N1138:O1138"/>
    <mergeCell ref="P1140:Q1140"/>
    <mergeCell ref="R1140:S1140"/>
    <mergeCell ref="T1140:U1140"/>
    <mergeCell ref="V1140:W1140"/>
    <mergeCell ref="X1140:Y1140"/>
    <mergeCell ref="Z1140:AA1140"/>
    <mergeCell ref="AB1140:AC1140"/>
    <mergeCell ref="B1140:C1140"/>
    <mergeCell ref="D1140:E1140"/>
    <mergeCell ref="F1140:G1140"/>
    <mergeCell ref="H1140:I1140"/>
    <mergeCell ref="J1140:K1140"/>
    <mergeCell ref="L1140:M1140"/>
    <mergeCell ref="N1140:O1140"/>
    <mergeCell ref="T1605:U1605"/>
    <mergeCell ref="V1605:W1605"/>
    <mergeCell ref="X1605:Y1605"/>
    <mergeCell ref="Z1605:AA1605"/>
    <mergeCell ref="AB1605:AC1605"/>
    <mergeCell ref="B1605:C1605"/>
    <mergeCell ref="D1605:E1605"/>
    <mergeCell ref="F1605:G1605"/>
    <mergeCell ref="H1605:I1605"/>
    <mergeCell ref="J1605:K1605"/>
    <mergeCell ref="L1605:M1605"/>
    <mergeCell ref="N1605:O1605"/>
    <mergeCell ref="AD1612:AE1612"/>
    <mergeCell ref="AF1612:AG1612"/>
    <mergeCell ref="P1612:Q1612"/>
    <mergeCell ref="R1612:S1612"/>
    <mergeCell ref="T1612:U1612"/>
    <mergeCell ref="V1612:W1612"/>
    <mergeCell ref="X1612:Y1612"/>
    <mergeCell ref="Z1612:AA1612"/>
    <mergeCell ref="AB1612:AC1612"/>
    <mergeCell ref="B1613:C1613"/>
    <mergeCell ref="D1613:E1613"/>
    <mergeCell ref="F1613:G1613"/>
    <mergeCell ref="H1613:I1613"/>
    <mergeCell ref="J1613:K1613"/>
    <mergeCell ref="L1613:M1613"/>
    <mergeCell ref="N1613:O1613"/>
    <mergeCell ref="AD1613:AE1613"/>
    <mergeCell ref="AF1613:AG1613"/>
    <mergeCell ref="AH1613:AI1613"/>
    <mergeCell ref="AJ1613:AK1613"/>
    <mergeCell ref="AL1613:BB1613"/>
    <mergeCell ref="P1613:Q1613"/>
    <mergeCell ref="R1613:S1613"/>
    <mergeCell ref="T1613:U1613"/>
    <mergeCell ref="V1613:W1613"/>
    <mergeCell ref="X1613:Y1613"/>
    <mergeCell ref="Z1613:AA1613"/>
    <mergeCell ref="AB1613:AC1613"/>
    <mergeCell ref="AH1612:AI1612"/>
    <mergeCell ref="AJ1612:AK1612"/>
    <mergeCell ref="AL1612:BB1612"/>
    <mergeCell ref="B1612:C1612"/>
    <mergeCell ref="D1612:E1612"/>
    <mergeCell ref="F1612:G1612"/>
    <mergeCell ref="H1612:I1612"/>
    <mergeCell ref="J1612:K1612"/>
    <mergeCell ref="L1612:M1612"/>
    <mergeCell ref="N1612:O1612"/>
    <mergeCell ref="Z1610:AA1610"/>
    <mergeCell ref="AB1610:AC1610"/>
    <mergeCell ref="B1610:C1610"/>
    <mergeCell ref="D1610:E1610"/>
    <mergeCell ref="F1610:G1610"/>
    <mergeCell ref="H1610:I1610"/>
    <mergeCell ref="J1610:K1610"/>
    <mergeCell ref="L1610:M1610"/>
    <mergeCell ref="N1610:O1610"/>
    <mergeCell ref="AD1611:AE1611"/>
    <mergeCell ref="AF1611:AG1611"/>
    <mergeCell ref="AH1611:AI1611"/>
    <mergeCell ref="AJ1611:AK1611"/>
    <mergeCell ref="AL1611:BB1611"/>
    <mergeCell ref="AH1597:AI1597"/>
    <mergeCell ref="AJ1597:AK1597"/>
    <mergeCell ref="AL1597:BB1597"/>
    <mergeCell ref="B1597:C1597"/>
    <mergeCell ref="D1597:E1597"/>
    <mergeCell ref="F1597:G1597"/>
    <mergeCell ref="H1597:I1597"/>
    <mergeCell ref="J1597:K1597"/>
    <mergeCell ref="L1597:M1597"/>
    <mergeCell ref="N1597:O1597"/>
    <mergeCell ref="P1599:Q1599"/>
    <mergeCell ref="R1599:S1599"/>
    <mergeCell ref="T1599:U1599"/>
    <mergeCell ref="V1599:W1599"/>
    <mergeCell ref="X1599:Y1599"/>
    <mergeCell ref="Z1599:AA1599"/>
    <mergeCell ref="AB1599:AC1599"/>
    <mergeCell ref="B1599:C1599"/>
    <mergeCell ref="D1599:E1599"/>
    <mergeCell ref="F1599:G1599"/>
    <mergeCell ref="H1599:I1599"/>
    <mergeCell ref="J1599:K1599"/>
    <mergeCell ref="L1599:M1599"/>
    <mergeCell ref="N1599:O1599"/>
    <mergeCell ref="AD1597:AE1597"/>
    <mergeCell ref="AF1597:AG1597"/>
    <mergeCell ref="P1597:Q1597"/>
    <mergeCell ref="R1597:S1597"/>
    <mergeCell ref="T1597:U1597"/>
    <mergeCell ref="V1597:W1597"/>
    <mergeCell ref="X1597:Y1597"/>
    <mergeCell ref="Z1597:AA1597"/>
    <mergeCell ref="AB1597:AC1597"/>
    <mergeCell ref="AD1598:AE1598"/>
    <mergeCell ref="AF1598:AG1598"/>
    <mergeCell ref="AH1598:AI1598"/>
    <mergeCell ref="AJ1598:AK1598"/>
    <mergeCell ref="AL1598:BB1598"/>
    <mergeCell ref="P1598:Q1598"/>
    <mergeCell ref="R1598:S1598"/>
    <mergeCell ref="T1598:U1598"/>
    <mergeCell ref="V1598:W1598"/>
    <mergeCell ref="X1598:Y1598"/>
    <mergeCell ref="Z1598:AA1598"/>
    <mergeCell ref="AB1598:AC1598"/>
    <mergeCell ref="B1598:C1598"/>
    <mergeCell ref="D1598:E1598"/>
    <mergeCell ref="F1598:G1598"/>
    <mergeCell ref="H1598:I1598"/>
    <mergeCell ref="J1598:K1598"/>
    <mergeCell ref="L1598:M1598"/>
    <mergeCell ref="N1598:O1598"/>
    <mergeCell ref="AD1599:AE1599"/>
    <mergeCell ref="AF1599:AG1599"/>
    <mergeCell ref="AH1599:AI1599"/>
    <mergeCell ref="AJ1599:AK1599"/>
    <mergeCell ref="AL1599:BB1599"/>
    <mergeCell ref="AD1591:AE1591"/>
    <mergeCell ref="AF1591:AG1591"/>
    <mergeCell ref="P1591:Q1591"/>
    <mergeCell ref="R1591:S1591"/>
    <mergeCell ref="T1591:U1591"/>
    <mergeCell ref="V1591:W1591"/>
    <mergeCell ref="X1591:Y1591"/>
    <mergeCell ref="Z1591:AA1591"/>
    <mergeCell ref="AB1591:AC1591"/>
    <mergeCell ref="AD1592:AE1592"/>
    <mergeCell ref="AF1592:AG1592"/>
    <mergeCell ref="AH1592:AI1592"/>
    <mergeCell ref="AJ1592:AK1592"/>
    <mergeCell ref="AL1592:BB1592"/>
    <mergeCell ref="P1592:Q1592"/>
    <mergeCell ref="R1592:S1592"/>
    <mergeCell ref="T1592:U1592"/>
    <mergeCell ref="V1592:W1592"/>
    <mergeCell ref="X1592:Y1592"/>
    <mergeCell ref="Z1592:AA1592"/>
    <mergeCell ref="AB1592:AC1592"/>
    <mergeCell ref="B1592:C1592"/>
    <mergeCell ref="D1592:E1592"/>
    <mergeCell ref="F1592:G1592"/>
    <mergeCell ref="H1592:I1592"/>
    <mergeCell ref="J1592:K1592"/>
    <mergeCell ref="L1592:M1592"/>
    <mergeCell ref="N1592:O1592"/>
    <mergeCell ref="AD1593:AE1593"/>
    <mergeCell ref="AF1593:AG1593"/>
    <mergeCell ref="AH1593:AI1593"/>
    <mergeCell ref="AJ1593:AK1593"/>
    <mergeCell ref="AL1593:BB1593"/>
    <mergeCell ref="AH1591:AI1591"/>
    <mergeCell ref="AJ1591:AK1591"/>
    <mergeCell ref="AL1591:BB1591"/>
    <mergeCell ref="B1591:C1591"/>
    <mergeCell ref="D1591:E1591"/>
    <mergeCell ref="F1591:G1591"/>
    <mergeCell ref="H1591:I1591"/>
    <mergeCell ref="J1591:K1591"/>
    <mergeCell ref="L1591:M1591"/>
    <mergeCell ref="N1591:O1591"/>
    <mergeCell ref="P1593:Q1593"/>
    <mergeCell ref="R1593:S1593"/>
    <mergeCell ref="T1593:U1593"/>
    <mergeCell ref="V1593:W1593"/>
    <mergeCell ref="X1593:Y1593"/>
    <mergeCell ref="Z1593:AA1593"/>
    <mergeCell ref="AB1593:AC1593"/>
    <mergeCell ref="B1593:C1593"/>
    <mergeCell ref="D1593:E1593"/>
    <mergeCell ref="F1593:G1593"/>
    <mergeCell ref="H1593:I1593"/>
    <mergeCell ref="J1593:K1593"/>
    <mergeCell ref="L1593:M1593"/>
    <mergeCell ref="N1593:O1593"/>
    <mergeCell ref="AH1594:AI1594"/>
    <mergeCell ref="AJ1594:AK1594"/>
    <mergeCell ref="AL1594:BB1594"/>
    <mergeCell ref="B1594:C1594"/>
    <mergeCell ref="D1594:E1594"/>
    <mergeCell ref="F1594:G1594"/>
    <mergeCell ref="H1594:I1594"/>
    <mergeCell ref="J1594:K1594"/>
    <mergeCell ref="L1594:M1594"/>
    <mergeCell ref="N1594:O1594"/>
    <mergeCell ref="AD1594:AE1594"/>
    <mergeCell ref="AF1594:AG1594"/>
    <mergeCell ref="P1594:Q1594"/>
    <mergeCell ref="R1594:S1594"/>
    <mergeCell ref="T1594:U1594"/>
    <mergeCell ref="V1594:W1594"/>
    <mergeCell ref="X1594:Y1594"/>
    <mergeCell ref="Z1594:AA1594"/>
    <mergeCell ref="AB1594:AC1594"/>
    <mergeCell ref="AD1595:AE1595"/>
    <mergeCell ref="AF1595:AG1595"/>
    <mergeCell ref="AH1609:AI1609"/>
    <mergeCell ref="AJ1609:AK1609"/>
    <mergeCell ref="AL1609:BB1609"/>
    <mergeCell ref="B1609:C1609"/>
    <mergeCell ref="D1609:E1609"/>
    <mergeCell ref="F1609:G1609"/>
    <mergeCell ref="H1609:I1609"/>
    <mergeCell ref="J1609:K1609"/>
    <mergeCell ref="L1609:M1609"/>
    <mergeCell ref="N1609:O1609"/>
    <mergeCell ref="P1611:Q1611"/>
    <mergeCell ref="R1611:S1611"/>
    <mergeCell ref="T1611:U1611"/>
    <mergeCell ref="V1611:W1611"/>
    <mergeCell ref="X1611:Y1611"/>
    <mergeCell ref="Z1611:AA1611"/>
    <mergeCell ref="AB1611:AC1611"/>
    <mergeCell ref="B1611:C1611"/>
    <mergeCell ref="D1611:E1611"/>
    <mergeCell ref="F1611:G1611"/>
    <mergeCell ref="H1611:I1611"/>
    <mergeCell ref="J1611:K1611"/>
    <mergeCell ref="L1611:M1611"/>
    <mergeCell ref="N1611:O1611"/>
    <mergeCell ref="AD1609:AE1609"/>
    <mergeCell ref="AF1609:AG1609"/>
    <mergeCell ref="P1609:Q1609"/>
    <mergeCell ref="R1609:S1609"/>
    <mergeCell ref="T1609:U1609"/>
    <mergeCell ref="V1609:W1609"/>
    <mergeCell ref="X1609:Y1609"/>
    <mergeCell ref="Z1609:AA1609"/>
    <mergeCell ref="AB1609:AC1609"/>
    <mergeCell ref="AD1610:AE1610"/>
    <mergeCell ref="AF1610:AG1610"/>
    <mergeCell ref="AH1610:AI1610"/>
    <mergeCell ref="AJ1610:AK1610"/>
    <mergeCell ref="AL1610:BB1610"/>
    <mergeCell ref="P1610:Q1610"/>
    <mergeCell ref="R1610:S1610"/>
    <mergeCell ref="T1610:U1610"/>
    <mergeCell ref="V1610:W1610"/>
    <mergeCell ref="X1610:Y1610"/>
    <mergeCell ref="AD1605:AE1605"/>
    <mergeCell ref="AF1605:AG1605"/>
    <mergeCell ref="AH1605:AI1605"/>
    <mergeCell ref="AJ1605:AK1605"/>
    <mergeCell ref="AL1605:BB1605"/>
    <mergeCell ref="AH1606:AI1606"/>
    <mergeCell ref="AJ1606:AK1606"/>
    <mergeCell ref="AL1606:BB1606"/>
    <mergeCell ref="B1606:C1606"/>
    <mergeCell ref="D1606:E1606"/>
    <mergeCell ref="F1606:G1606"/>
    <mergeCell ref="H1606:I1606"/>
    <mergeCell ref="J1606:K1606"/>
    <mergeCell ref="L1606:M1606"/>
    <mergeCell ref="N1606:O1606"/>
    <mergeCell ref="P1608:Q1608"/>
    <mergeCell ref="R1608:S1608"/>
    <mergeCell ref="T1608:U1608"/>
    <mergeCell ref="V1608:W1608"/>
    <mergeCell ref="X1608:Y1608"/>
    <mergeCell ref="Z1608:AA1608"/>
    <mergeCell ref="AB1608:AC1608"/>
    <mergeCell ref="B1608:C1608"/>
    <mergeCell ref="D1608:E1608"/>
    <mergeCell ref="F1608:G1608"/>
    <mergeCell ref="H1608:I1608"/>
    <mergeCell ref="J1608:K1608"/>
    <mergeCell ref="L1608:M1608"/>
    <mergeCell ref="N1608:O1608"/>
    <mergeCell ref="AD1606:AE1606"/>
    <mergeCell ref="AF1606:AG1606"/>
    <mergeCell ref="P1606:Q1606"/>
    <mergeCell ref="R1606:S1606"/>
    <mergeCell ref="T1606:U1606"/>
    <mergeCell ref="V1606:W1606"/>
    <mergeCell ref="X1606:Y1606"/>
    <mergeCell ref="Z1606:AA1606"/>
    <mergeCell ref="AB1606:AC1606"/>
    <mergeCell ref="AD1607:AE1607"/>
    <mergeCell ref="AF1607:AG1607"/>
    <mergeCell ref="AH1607:AI1607"/>
    <mergeCell ref="AJ1607:AK1607"/>
    <mergeCell ref="AL1607:BB1607"/>
    <mergeCell ref="P1607:Q1607"/>
    <mergeCell ref="R1607:S1607"/>
    <mergeCell ref="T1607:U1607"/>
    <mergeCell ref="V1607:W1607"/>
    <mergeCell ref="X1607:Y1607"/>
    <mergeCell ref="Z1607:AA1607"/>
    <mergeCell ref="AB1607:AC1607"/>
    <mergeCell ref="B1607:C1607"/>
    <mergeCell ref="D1607:E1607"/>
    <mergeCell ref="F1607:G1607"/>
    <mergeCell ref="H1607:I1607"/>
    <mergeCell ref="J1607:K1607"/>
    <mergeCell ref="L1607:M1607"/>
    <mergeCell ref="N1607:O1607"/>
    <mergeCell ref="AD1608:AE1608"/>
    <mergeCell ref="AF1608:AG1608"/>
    <mergeCell ref="AH1608:AI1608"/>
    <mergeCell ref="AJ1608:AK1608"/>
    <mergeCell ref="AL1608:BB1608"/>
    <mergeCell ref="P1605:Q1605"/>
    <mergeCell ref="R1605:S1605"/>
    <mergeCell ref="AH1603:AI1603"/>
    <mergeCell ref="AJ1603:AK1603"/>
    <mergeCell ref="AL1603:BB1603"/>
    <mergeCell ref="B1603:C1603"/>
    <mergeCell ref="D1603:E1603"/>
    <mergeCell ref="F1603:G1603"/>
    <mergeCell ref="H1603:I1603"/>
    <mergeCell ref="J1603:K1603"/>
    <mergeCell ref="L1603:M1603"/>
    <mergeCell ref="N1603:O1603"/>
    <mergeCell ref="AD1603:AE1603"/>
    <mergeCell ref="AF1603:AG1603"/>
    <mergeCell ref="P1603:Q1603"/>
    <mergeCell ref="R1603:S1603"/>
    <mergeCell ref="T1603:U1603"/>
    <mergeCell ref="V1603:W1603"/>
    <mergeCell ref="X1603:Y1603"/>
    <mergeCell ref="Z1603:AA1603"/>
    <mergeCell ref="AB1603:AC1603"/>
    <mergeCell ref="AD1604:AE1604"/>
    <mergeCell ref="AF1604:AG1604"/>
    <mergeCell ref="AH1604:AI1604"/>
    <mergeCell ref="AJ1604:AK1604"/>
    <mergeCell ref="AL1604:BB1604"/>
    <mergeCell ref="P1604:Q1604"/>
    <mergeCell ref="R1604:S1604"/>
    <mergeCell ref="T1604:U1604"/>
    <mergeCell ref="V1604:W1604"/>
    <mergeCell ref="X1604:Y1604"/>
    <mergeCell ref="Z1604:AA1604"/>
    <mergeCell ref="AB1604:AC1604"/>
    <mergeCell ref="B1604:C1604"/>
    <mergeCell ref="D1604:E1604"/>
    <mergeCell ref="F1604:G1604"/>
    <mergeCell ref="H1604:I1604"/>
    <mergeCell ref="J1604:K1604"/>
    <mergeCell ref="L1604:M1604"/>
    <mergeCell ref="N1604:O1604"/>
    <mergeCell ref="AD1600:AE1600"/>
    <mergeCell ref="AF1600:AG1600"/>
    <mergeCell ref="P1600:Q1600"/>
    <mergeCell ref="R1600:S1600"/>
    <mergeCell ref="T1600:U1600"/>
    <mergeCell ref="V1600:W1600"/>
    <mergeCell ref="X1600:Y1600"/>
    <mergeCell ref="Z1600:AA1600"/>
    <mergeCell ref="AB1600:AC1600"/>
    <mergeCell ref="AD1601:AE1601"/>
    <mergeCell ref="AF1601:AG1601"/>
    <mergeCell ref="AH1601:AI1601"/>
    <mergeCell ref="AJ1601:AK1601"/>
    <mergeCell ref="AL1601:BB1601"/>
    <mergeCell ref="P1601:Q1601"/>
    <mergeCell ref="R1601:S1601"/>
    <mergeCell ref="T1601:U1601"/>
    <mergeCell ref="V1601:W1601"/>
    <mergeCell ref="X1601:Y1601"/>
    <mergeCell ref="Z1601:AA1601"/>
    <mergeCell ref="AB1601:AC1601"/>
    <mergeCell ref="B1601:C1601"/>
    <mergeCell ref="D1601:E1601"/>
    <mergeCell ref="F1601:G1601"/>
    <mergeCell ref="H1601:I1601"/>
    <mergeCell ref="J1601:K1601"/>
    <mergeCell ref="L1601:M1601"/>
    <mergeCell ref="N1601:O1601"/>
    <mergeCell ref="AD1602:AE1602"/>
    <mergeCell ref="AF1602:AG1602"/>
    <mergeCell ref="AH1602:AI1602"/>
    <mergeCell ref="AJ1602:AK1602"/>
    <mergeCell ref="AL1602:BB1602"/>
    <mergeCell ref="AH1600:AI1600"/>
    <mergeCell ref="AJ1600:AK1600"/>
    <mergeCell ref="AL1600:BB1600"/>
    <mergeCell ref="B1600:C1600"/>
    <mergeCell ref="D1600:E1600"/>
    <mergeCell ref="F1600:G1600"/>
    <mergeCell ref="H1600:I1600"/>
    <mergeCell ref="J1600:K1600"/>
    <mergeCell ref="L1600:M1600"/>
    <mergeCell ref="N1600:O1600"/>
    <mergeCell ref="P1602:Q1602"/>
    <mergeCell ref="R1602:S1602"/>
    <mergeCell ref="T1602:U1602"/>
    <mergeCell ref="V1602:W1602"/>
    <mergeCell ref="X1602:Y1602"/>
    <mergeCell ref="Z1602:AA1602"/>
    <mergeCell ref="AB1602:AC1602"/>
    <mergeCell ref="B1602:C1602"/>
    <mergeCell ref="D1602:E1602"/>
    <mergeCell ref="F1602:G1602"/>
    <mergeCell ref="H1602:I1602"/>
    <mergeCell ref="J1602:K1602"/>
    <mergeCell ref="L1602:M1602"/>
    <mergeCell ref="N1602:O1602"/>
    <mergeCell ref="AH289:AI289"/>
    <mergeCell ref="AJ289:AK289"/>
    <mergeCell ref="AL289:BB289"/>
    <mergeCell ref="B289:C289"/>
    <mergeCell ref="D289:E289"/>
    <mergeCell ref="F289:G289"/>
    <mergeCell ref="H289:I289"/>
    <mergeCell ref="J289:K289"/>
    <mergeCell ref="L289:M289"/>
    <mergeCell ref="N289:O289"/>
    <mergeCell ref="P291:Q291"/>
    <mergeCell ref="R291:S291"/>
    <mergeCell ref="T291:U291"/>
    <mergeCell ref="V291:W291"/>
    <mergeCell ref="X291:Y291"/>
    <mergeCell ref="Z291:AA291"/>
    <mergeCell ref="AB291:AC291"/>
    <mergeCell ref="B291:C291"/>
    <mergeCell ref="D291:E291"/>
    <mergeCell ref="F291:G291"/>
    <mergeCell ref="H291:I291"/>
    <mergeCell ref="J291:K291"/>
    <mergeCell ref="L291:M291"/>
    <mergeCell ref="N291:O291"/>
    <mergeCell ref="P294:Q294"/>
    <mergeCell ref="R294:S294"/>
    <mergeCell ref="T294:U294"/>
    <mergeCell ref="V294:W294"/>
    <mergeCell ref="X294:Y294"/>
    <mergeCell ref="Z294:AA294"/>
    <mergeCell ref="AB294:AC294"/>
    <mergeCell ref="B294:C294"/>
    <mergeCell ref="D294:E294"/>
    <mergeCell ref="F294:G294"/>
    <mergeCell ref="H294:I294"/>
    <mergeCell ref="J294:K294"/>
    <mergeCell ref="L294:M294"/>
    <mergeCell ref="N294:O294"/>
    <mergeCell ref="X292:Y292"/>
    <mergeCell ref="Z292:AA292"/>
    <mergeCell ref="AB292:AC292"/>
    <mergeCell ref="AD293:AE293"/>
    <mergeCell ref="AF293:AG293"/>
    <mergeCell ref="AH293:AI293"/>
    <mergeCell ref="AJ293:AK293"/>
    <mergeCell ref="AL293:BB293"/>
    <mergeCell ref="P293:Q293"/>
    <mergeCell ref="R293:S293"/>
    <mergeCell ref="T293:U293"/>
    <mergeCell ref="V293:W293"/>
    <mergeCell ref="X293:Y293"/>
    <mergeCell ref="Z293:AA293"/>
    <mergeCell ref="AB293:AC293"/>
    <mergeCell ref="B293:C293"/>
    <mergeCell ref="D293:E293"/>
    <mergeCell ref="F293:G293"/>
    <mergeCell ref="H293:I293"/>
    <mergeCell ref="J293:K293"/>
    <mergeCell ref="L293:M293"/>
    <mergeCell ref="N293:O293"/>
    <mergeCell ref="AD294:AE294"/>
    <mergeCell ref="AF294:AG294"/>
    <mergeCell ref="AH294:AI294"/>
    <mergeCell ref="AJ294:AK294"/>
    <mergeCell ref="AH286:AI286"/>
    <mergeCell ref="AJ286:AK286"/>
    <mergeCell ref="AL286:BB286"/>
    <mergeCell ref="B286:C286"/>
    <mergeCell ref="D286:E286"/>
    <mergeCell ref="F286:G286"/>
    <mergeCell ref="H286:I286"/>
    <mergeCell ref="J286:K286"/>
    <mergeCell ref="L286:M286"/>
    <mergeCell ref="N286:O286"/>
    <mergeCell ref="P288:Q288"/>
    <mergeCell ref="R288:S288"/>
    <mergeCell ref="T288:U288"/>
    <mergeCell ref="V288:W288"/>
    <mergeCell ref="X288:Y288"/>
    <mergeCell ref="Z288:AA288"/>
    <mergeCell ref="AB288:AC288"/>
    <mergeCell ref="B288:C288"/>
    <mergeCell ref="D288:E288"/>
    <mergeCell ref="F288:G288"/>
    <mergeCell ref="H288:I288"/>
    <mergeCell ref="J288:K288"/>
    <mergeCell ref="L288:M288"/>
    <mergeCell ref="N288:O288"/>
    <mergeCell ref="AD286:AE286"/>
    <mergeCell ref="AF286:AG286"/>
    <mergeCell ref="P286:Q286"/>
    <mergeCell ref="R286:S286"/>
    <mergeCell ref="T286:U286"/>
    <mergeCell ref="V286:W286"/>
    <mergeCell ref="X286:Y286"/>
    <mergeCell ref="Z286:AA286"/>
    <mergeCell ref="AB286:AC286"/>
    <mergeCell ref="AD287:AE287"/>
    <mergeCell ref="AF287:AG287"/>
    <mergeCell ref="AH287:AI287"/>
    <mergeCell ref="AJ287:AK287"/>
    <mergeCell ref="AL287:BB287"/>
    <mergeCell ref="P287:Q287"/>
    <mergeCell ref="R287:S287"/>
    <mergeCell ref="T287:U287"/>
    <mergeCell ref="V287:W287"/>
    <mergeCell ref="X287:Y287"/>
    <mergeCell ref="Z287:AA287"/>
    <mergeCell ref="AB287:AC287"/>
    <mergeCell ref="B287:C287"/>
    <mergeCell ref="D287:E287"/>
    <mergeCell ref="F287:G287"/>
    <mergeCell ref="H287:I287"/>
    <mergeCell ref="J287:K287"/>
    <mergeCell ref="L287:M287"/>
    <mergeCell ref="N287:O287"/>
    <mergeCell ref="AD288:AE288"/>
    <mergeCell ref="AF288:AG288"/>
    <mergeCell ref="AH288:AI288"/>
    <mergeCell ref="AJ288:AK288"/>
    <mergeCell ref="AL288:BB288"/>
    <mergeCell ref="B283:C283"/>
    <mergeCell ref="D283:E283"/>
    <mergeCell ref="F283:G283"/>
    <mergeCell ref="H283:I283"/>
    <mergeCell ref="J283:K283"/>
    <mergeCell ref="L283:M283"/>
    <mergeCell ref="N283:O283"/>
    <mergeCell ref="AD284:AE284"/>
    <mergeCell ref="AF284:AG284"/>
    <mergeCell ref="AH284:AI284"/>
    <mergeCell ref="AJ284:AK284"/>
    <mergeCell ref="AL284:BB284"/>
    <mergeCell ref="P284:Q284"/>
    <mergeCell ref="R284:S284"/>
    <mergeCell ref="T284:U284"/>
    <mergeCell ref="V284:W284"/>
    <mergeCell ref="X284:Y284"/>
    <mergeCell ref="Z284:AA284"/>
    <mergeCell ref="AB284:AC284"/>
    <mergeCell ref="B284:C284"/>
    <mergeCell ref="D284:E284"/>
    <mergeCell ref="F284:G284"/>
    <mergeCell ref="H284:I284"/>
    <mergeCell ref="J284:K284"/>
    <mergeCell ref="L284:M284"/>
    <mergeCell ref="N284:O284"/>
    <mergeCell ref="AD285:AE285"/>
    <mergeCell ref="AF285:AG285"/>
    <mergeCell ref="AH285:AI285"/>
    <mergeCell ref="AJ285:AK285"/>
    <mergeCell ref="AL285:BB285"/>
    <mergeCell ref="P285:Q285"/>
    <mergeCell ref="R285:S285"/>
    <mergeCell ref="T285:U285"/>
    <mergeCell ref="V285:W285"/>
    <mergeCell ref="X285:Y285"/>
    <mergeCell ref="Z285:AA285"/>
    <mergeCell ref="AB285:AC285"/>
    <mergeCell ref="B285:C285"/>
    <mergeCell ref="D285:E285"/>
    <mergeCell ref="F285:G285"/>
    <mergeCell ref="H285:I285"/>
    <mergeCell ref="J285:K285"/>
    <mergeCell ref="L285:M285"/>
    <mergeCell ref="N285:O285"/>
    <mergeCell ref="AH280:AI280"/>
    <mergeCell ref="AJ280:AK280"/>
    <mergeCell ref="AL280:BB280"/>
    <mergeCell ref="B280:C280"/>
    <mergeCell ref="D280:E280"/>
    <mergeCell ref="F280:G280"/>
    <mergeCell ref="H280:I280"/>
    <mergeCell ref="J280:K280"/>
    <mergeCell ref="L280:M280"/>
    <mergeCell ref="N280:O280"/>
    <mergeCell ref="P282:Q282"/>
    <mergeCell ref="R282:S282"/>
    <mergeCell ref="T282:U282"/>
    <mergeCell ref="V282:W282"/>
    <mergeCell ref="X282:Y282"/>
    <mergeCell ref="Z282:AA282"/>
    <mergeCell ref="AB282:AC282"/>
    <mergeCell ref="B282:C282"/>
    <mergeCell ref="D282:E282"/>
    <mergeCell ref="F282:G282"/>
    <mergeCell ref="H282:I282"/>
    <mergeCell ref="J282:K282"/>
    <mergeCell ref="L282:M282"/>
    <mergeCell ref="N282:O282"/>
    <mergeCell ref="AD280:AE280"/>
    <mergeCell ref="AF280:AG280"/>
    <mergeCell ref="P280:Q280"/>
    <mergeCell ref="R280:S280"/>
    <mergeCell ref="T280:U280"/>
    <mergeCell ref="V280:W280"/>
    <mergeCell ref="X280:Y280"/>
    <mergeCell ref="Z280:AA280"/>
    <mergeCell ref="AB280:AC280"/>
    <mergeCell ref="AD281:AE281"/>
    <mergeCell ref="AF281:AG281"/>
    <mergeCell ref="AH281:AI281"/>
    <mergeCell ref="AJ281:AK281"/>
    <mergeCell ref="AL281:BB281"/>
    <mergeCell ref="P281:Q281"/>
    <mergeCell ref="R281:S281"/>
    <mergeCell ref="T281:U281"/>
    <mergeCell ref="V281:W281"/>
    <mergeCell ref="X281:Y281"/>
    <mergeCell ref="Z281:AA281"/>
    <mergeCell ref="AB281:AC281"/>
    <mergeCell ref="B281:C281"/>
    <mergeCell ref="D281:E281"/>
    <mergeCell ref="F281:G281"/>
    <mergeCell ref="H281:I281"/>
    <mergeCell ref="J281:K281"/>
    <mergeCell ref="L281:M281"/>
    <mergeCell ref="N281:O281"/>
    <mergeCell ref="AD282:AE282"/>
    <mergeCell ref="AF282:AG282"/>
    <mergeCell ref="AH282:AI282"/>
    <mergeCell ref="AJ282:AK282"/>
    <mergeCell ref="AL282:BB282"/>
    <mergeCell ref="AH277:AI277"/>
    <mergeCell ref="AJ277:AK277"/>
    <mergeCell ref="AL277:BB277"/>
    <mergeCell ref="B277:C277"/>
    <mergeCell ref="D277:E277"/>
    <mergeCell ref="F277:G277"/>
    <mergeCell ref="H277:I277"/>
    <mergeCell ref="J277:K277"/>
    <mergeCell ref="L277:M277"/>
    <mergeCell ref="N277:O277"/>
    <mergeCell ref="P279:Q279"/>
    <mergeCell ref="R279:S279"/>
    <mergeCell ref="T279:U279"/>
    <mergeCell ref="V279:W279"/>
    <mergeCell ref="X279:Y279"/>
    <mergeCell ref="Z279:AA279"/>
    <mergeCell ref="AB279:AC279"/>
    <mergeCell ref="B279:C279"/>
    <mergeCell ref="D279:E279"/>
    <mergeCell ref="F279:G279"/>
    <mergeCell ref="H279:I279"/>
    <mergeCell ref="J279:K279"/>
    <mergeCell ref="L279:M279"/>
    <mergeCell ref="N279:O279"/>
    <mergeCell ref="AD277:AE277"/>
    <mergeCell ref="AF277:AG277"/>
    <mergeCell ref="P277:Q277"/>
    <mergeCell ref="R277:S277"/>
    <mergeCell ref="T277:U277"/>
    <mergeCell ref="V277:W277"/>
    <mergeCell ref="X277:Y277"/>
    <mergeCell ref="Z277:AA277"/>
    <mergeCell ref="AB277:AC277"/>
    <mergeCell ref="AD278:AE278"/>
    <mergeCell ref="AF278:AG278"/>
    <mergeCell ref="AH278:AI278"/>
    <mergeCell ref="AJ278:AK278"/>
    <mergeCell ref="AL278:BB278"/>
    <mergeCell ref="P278:Q278"/>
    <mergeCell ref="R278:S278"/>
    <mergeCell ref="T278:U278"/>
    <mergeCell ref="V278:W278"/>
    <mergeCell ref="X278:Y278"/>
    <mergeCell ref="Z278:AA278"/>
    <mergeCell ref="AB278:AC278"/>
    <mergeCell ref="B278:C278"/>
    <mergeCell ref="D278:E278"/>
    <mergeCell ref="F278:G278"/>
    <mergeCell ref="H278:I278"/>
    <mergeCell ref="J278:K278"/>
    <mergeCell ref="L278:M278"/>
    <mergeCell ref="N278:O278"/>
    <mergeCell ref="AD279:AE279"/>
    <mergeCell ref="AF279:AG279"/>
    <mergeCell ref="AH279:AI279"/>
    <mergeCell ref="AJ279:AK279"/>
    <mergeCell ref="AL279:BB279"/>
    <mergeCell ref="AH274:AI274"/>
    <mergeCell ref="AJ274:AK274"/>
    <mergeCell ref="AL274:BB274"/>
    <mergeCell ref="B274:C274"/>
    <mergeCell ref="D274:E274"/>
    <mergeCell ref="F274:G274"/>
    <mergeCell ref="H274:I274"/>
    <mergeCell ref="J274:K274"/>
    <mergeCell ref="L274:M274"/>
    <mergeCell ref="N274:O274"/>
    <mergeCell ref="P276:Q276"/>
    <mergeCell ref="R276:S276"/>
    <mergeCell ref="T276:U276"/>
    <mergeCell ref="V276:W276"/>
    <mergeCell ref="X276:Y276"/>
    <mergeCell ref="Z276:AA276"/>
    <mergeCell ref="AB276:AC276"/>
    <mergeCell ref="B276:C276"/>
    <mergeCell ref="D276:E276"/>
    <mergeCell ref="F276:G276"/>
    <mergeCell ref="H276:I276"/>
    <mergeCell ref="J276:K276"/>
    <mergeCell ref="L276:M276"/>
    <mergeCell ref="N276:O276"/>
    <mergeCell ref="AD274:AE274"/>
    <mergeCell ref="AF274:AG274"/>
    <mergeCell ref="P274:Q274"/>
    <mergeCell ref="R274:S274"/>
    <mergeCell ref="T274:U274"/>
    <mergeCell ref="V274:W274"/>
    <mergeCell ref="X274:Y274"/>
    <mergeCell ref="Z274:AA274"/>
    <mergeCell ref="AB274:AC274"/>
    <mergeCell ref="AD275:AE275"/>
    <mergeCell ref="AF275:AG275"/>
    <mergeCell ref="AH275:AI275"/>
    <mergeCell ref="AJ275:AK275"/>
    <mergeCell ref="AL275:BB275"/>
    <mergeCell ref="P275:Q275"/>
    <mergeCell ref="R275:S275"/>
    <mergeCell ref="T275:U275"/>
    <mergeCell ref="V275:W275"/>
    <mergeCell ref="X275:Y275"/>
    <mergeCell ref="Z275:AA275"/>
    <mergeCell ref="AB275:AC275"/>
    <mergeCell ref="B275:C275"/>
    <mergeCell ref="D275:E275"/>
    <mergeCell ref="F275:G275"/>
    <mergeCell ref="H275:I275"/>
    <mergeCell ref="J275:K275"/>
    <mergeCell ref="L275:M275"/>
    <mergeCell ref="N275:O275"/>
    <mergeCell ref="AD276:AE276"/>
    <mergeCell ref="AF276:AG276"/>
    <mergeCell ref="AH276:AI276"/>
    <mergeCell ref="AJ276:AK276"/>
    <mergeCell ref="AL276:BB276"/>
    <mergeCell ref="AH271:AI271"/>
    <mergeCell ref="AJ271:AK271"/>
    <mergeCell ref="AL271:BB271"/>
    <mergeCell ref="B271:C271"/>
    <mergeCell ref="D271:E271"/>
    <mergeCell ref="F271:G271"/>
    <mergeCell ref="H271:I271"/>
    <mergeCell ref="J271:K271"/>
    <mergeCell ref="L271:M271"/>
    <mergeCell ref="N271:O271"/>
    <mergeCell ref="P273:Q273"/>
    <mergeCell ref="R273:S273"/>
    <mergeCell ref="T273:U273"/>
    <mergeCell ref="V273:W273"/>
    <mergeCell ref="X273:Y273"/>
    <mergeCell ref="Z273:AA273"/>
    <mergeCell ref="AB273:AC273"/>
    <mergeCell ref="B273:C273"/>
    <mergeCell ref="D273:E273"/>
    <mergeCell ref="F273:G273"/>
    <mergeCell ref="H273:I273"/>
    <mergeCell ref="J273:K273"/>
    <mergeCell ref="L273:M273"/>
    <mergeCell ref="N273:O273"/>
    <mergeCell ref="AD271:AE271"/>
    <mergeCell ref="AF271:AG271"/>
    <mergeCell ref="P271:Q271"/>
    <mergeCell ref="R271:S271"/>
    <mergeCell ref="T271:U271"/>
    <mergeCell ref="V271:W271"/>
    <mergeCell ref="X271:Y271"/>
    <mergeCell ref="Z271:AA271"/>
    <mergeCell ref="AB271:AC271"/>
    <mergeCell ref="AD272:AE272"/>
    <mergeCell ref="AF272:AG272"/>
    <mergeCell ref="AH272:AI272"/>
    <mergeCell ref="AJ272:AK272"/>
    <mergeCell ref="AL272:BB272"/>
    <mergeCell ref="P272:Q272"/>
    <mergeCell ref="R272:S272"/>
    <mergeCell ref="T272:U272"/>
    <mergeCell ref="V272:W272"/>
    <mergeCell ref="X272:Y272"/>
    <mergeCell ref="Z272:AA272"/>
    <mergeCell ref="AB272:AC272"/>
    <mergeCell ref="B272:C272"/>
    <mergeCell ref="D272:E272"/>
    <mergeCell ref="F272:G272"/>
    <mergeCell ref="H272:I272"/>
    <mergeCell ref="J272:K272"/>
    <mergeCell ref="L272:M272"/>
    <mergeCell ref="N272:O272"/>
    <mergeCell ref="AD273:AE273"/>
    <mergeCell ref="AF273:AG273"/>
    <mergeCell ref="AH273:AI273"/>
    <mergeCell ref="AJ273:AK273"/>
    <mergeCell ref="AL273:BB273"/>
    <mergeCell ref="AJ267:AK267"/>
    <mergeCell ref="AL267:BB267"/>
    <mergeCell ref="AH268:AI268"/>
    <mergeCell ref="AJ268:AK268"/>
    <mergeCell ref="AL268:BB268"/>
    <mergeCell ref="B268:C268"/>
    <mergeCell ref="D268:E268"/>
    <mergeCell ref="F268:G268"/>
    <mergeCell ref="H268:I268"/>
    <mergeCell ref="J268:K268"/>
    <mergeCell ref="L268:M268"/>
    <mergeCell ref="N268:O268"/>
    <mergeCell ref="P270:Q270"/>
    <mergeCell ref="R270:S270"/>
    <mergeCell ref="T270:U270"/>
    <mergeCell ref="V270:W270"/>
    <mergeCell ref="X270:Y270"/>
    <mergeCell ref="Z270:AA270"/>
    <mergeCell ref="AB270:AC270"/>
    <mergeCell ref="B270:C270"/>
    <mergeCell ref="D270:E270"/>
    <mergeCell ref="F270:G270"/>
    <mergeCell ref="H270:I270"/>
    <mergeCell ref="J270:K270"/>
    <mergeCell ref="L270:M270"/>
    <mergeCell ref="N270:O270"/>
    <mergeCell ref="AD268:AE268"/>
    <mergeCell ref="AF268:AG268"/>
    <mergeCell ref="P268:Q268"/>
    <mergeCell ref="R268:S268"/>
    <mergeCell ref="T268:U268"/>
    <mergeCell ref="V268:W268"/>
    <mergeCell ref="X268:Y268"/>
    <mergeCell ref="Z268:AA268"/>
    <mergeCell ref="AB268:AC268"/>
    <mergeCell ref="AD269:AE269"/>
    <mergeCell ref="AF269:AG269"/>
    <mergeCell ref="AH269:AI269"/>
    <mergeCell ref="AJ269:AK269"/>
    <mergeCell ref="AL269:BB269"/>
    <mergeCell ref="P269:Q269"/>
    <mergeCell ref="R269:S269"/>
    <mergeCell ref="T269:U269"/>
    <mergeCell ref="V269:W269"/>
    <mergeCell ref="X269:Y269"/>
    <mergeCell ref="Z269:AA269"/>
    <mergeCell ref="AB269:AC269"/>
    <mergeCell ref="B269:C269"/>
    <mergeCell ref="D269:E269"/>
    <mergeCell ref="F269:G269"/>
    <mergeCell ref="H269:I269"/>
    <mergeCell ref="J269:K269"/>
    <mergeCell ref="L269:M269"/>
    <mergeCell ref="N269:O269"/>
    <mergeCell ref="AD270:AE270"/>
    <mergeCell ref="AF270:AG270"/>
    <mergeCell ref="AH270:AI270"/>
    <mergeCell ref="AJ270:AK270"/>
    <mergeCell ref="AL270:BB270"/>
    <mergeCell ref="H263:I263"/>
    <mergeCell ref="J263:K263"/>
    <mergeCell ref="L263:M263"/>
    <mergeCell ref="N263:O263"/>
    <mergeCell ref="AD264:AE264"/>
    <mergeCell ref="AF264:AG264"/>
    <mergeCell ref="AH264:AI264"/>
    <mergeCell ref="AJ264:AK264"/>
    <mergeCell ref="AL264:BB264"/>
    <mergeCell ref="AH265:AI265"/>
    <mergeCell ref="AJ265:AK265"/>
    <mergeCell ref="AL265:BB265"/>
    <mergeCell ref="B265:C265"/>
    <mergeCell ref="D265:E265"/>
    <mergeCell ref="F265:G265"/>
    <mergeCell ref="H265:I265"/>
    <mergeCell ref="J265:K265"/>
    <mergeCell ref="L265:M265"/>
    <mergeCell ref="N265:O265"/>
    <mergeCell ref="P267:Q267"/>
    <mergeCell ref="R267:S267"/>
    <mergeCell ref="T267:U267"/>
    <mergeCell ref="V267:W267"/>
    <mergeCell ref="X267:Y267"/>
    <mergeCell ref="Z267:AA267"/>
    <mergeCell ref="AB267:AC267"/>
    <mergeCell ref="B267:C267"/>
    <mergeCell ref="D267:E267"/>
    <mergeCell ref="F267:G267"/>
    <mergeCell ref="H267:I267"/>
    <mergeCell ref="J267:K267"/>
    <mergeCell ref="L267:M267"/>
    <mergeCell ref="N267:O267"/>
    <mergeCell ref="AD265:AE265"/>
    <mergeCell ref="AF265:AG265"/>
    <mergeCell ref="P265:Q265"/>
    <mergeCell ref="R265:S265"/>
    <mergeCell ref="T265:U265"/>
    <mergeCell ref="V265:W265"/>
    <mergeCell ref="X265:Y265"/>
    <mergeCell ref="Z265:AA265"/>
    <mergeCell ref="AB265:AC265"/>
    <mergeCell ref="AD266:AE266"/>
    <mergeCell ref="AF266:AG266"/>
    <mergeCell ref="AH266:AI266"/>
    <mergeCell ref="AJ266:AK266"/>
    <mergeCell ref="AL266:BB266"/>
    <mergeCell ref="P266:Q266"/>
    <mergeCell ref="R266:S266"/>
    <mergeCell ref="T266:U266"/>
    <mergeCell ref="V266:W266"/>
    <mergeCell ref="X266:Y266"/>
    <mergeCell ref="Z266:AA266"/>
    <mergeCell ref="AB266:AC266"/>
    <mergeCell ref="B266:C266"/>
    <mergeCell ref="D266:E266"/>
    <mergeCell ref="F266:G266"/>
    <mergeCell ref="H266:I266"/>
    <mergeCell ref="J266:K266"/>
    <mergeCell ref="L266:M266"/>
    <mergeCell ref="N266:O266"/>
    <mergeCell ref="AD267:AE267"/>
    <mergeCell ref="AF267:AG267"/>
    <mergeCell ref="AH267:AI267"/>
    <mergeCell ref="P261:Q261"/>
    <mergeCell ref="R261:S261"/>
    <mergeCell ref="T261:U261"/>
    <mergeCell ref="V261:W261"/>
    <mergeCell ref="X261:Y261"/>
    <mergeCell ref="Z261:AA261"/>
    <mergeCell ref="AB261:AC261"/>
    <mergeCell ref="B261:C261"/>
    <mergeCell ref="D261:E261"/>
    <mergeCell ref="F261:G261"/>
    <mergeCell ref="H261:I261"/>
    <mergeCell ref="J261:K261"/>
    <mergeCell ref="L261:M261"/>
    <mergeCell ref="N261:O261"/>
    <mergeCell ref="AD283:AE283"/>
    <mergeCell ref="AF283:AG283"/>
    <mergeCell ref="AH283:AI283"/>
    <mergeCell ref="AJ283:AK283"/>
    <mergeCell ref="AL283:BB283"/>
    <mergeCell ref="P283:Q283"/>
    <mergeCell ref="R283:S283"/>
    <mergeCell ref="T283:U283"/>
    <mergeCell ref="V283:W283"/>
    <mergeCell ref="X283:Y283"/>
    <mergeCell ref="Z283:AA283"/>
    <mergeCell ref="AB283:AC283"/>
    <mergeCell ref="P264:Q264"/>
    <mergeCell ref="R264:S264"/>
    <mergeCell ref="T264:U264"/>
    <mergeCell ref="V264:W264"/>
    <mergeCell ref="X264:Y264"/>
    <mergeCell ref="Z264:AA264"/>
    <mergeCell ref="AB264:AC264"/>
    <mergeCell ref="B264:C264"/>
    <mergeCell ref="D264:E264"/>
    <mergeCell ref="F264:G264"/>
    <mergeCell ref="H264:I264"/>
    <mergeCell ref="J264:K264"/>
    <mergeCell ref="L264:M264"/>
    <mergeCell ref="N264:O264"/>
    <mergeCell ref="AD262:AE262"/>
    <mergeCell ref="AF262:AG262"/>
    <mergeCell ref="P262:Q262"/>
    <mergeCell ref="R262:S262"/>
    <mergeCell ref="T262:U262"/>
    <mergeCell ref="V262:W262"/>
    <mergeCell ref="X262:Y262"/>
    <mergeCell ref="Z262:AA262"/>
    <mergeCell ref="AB262:AC262"/>
    <mergeCell ref="AD263:AE263"/>
    <mergeCell ref="AF263:AG263"/>
    <mergeCell ref="AH263:AI263"/>
    <mergeCell ref="AJ263:AK263"/>
    <mergeCell ref="AL263:BB263"/>
    <mergeCell ref="P263:Q263"/>
    <mergeCell ref="R263:S263"/>
    <mergeCell ref="T263:U263"/>
    <mergeCell ref="V263:W263"/>
    <mergeCell ref="X263:Y263"/>
    <mergeCell ref="Z263:AA263"/>
    <mergeCell ref="AB263:AC263"/>
    <mergeCell ref="B263:C263"/>
    <mergeCell ref="D263:E263"/>
    <mergeCell ref="F263:G263"/>
    <mergeCell ref="AL252:BB252"/>
    <mergeCell ref="AH253:AI253"/>
    <mergeCell ref="AJ253:AK253"/>
    <mergeCell ref="AL253:BB253"/>
    <mergeCell ref="B253:C253"/>
    <mergeCell ref="D253:E253"/>
    <mergeCell ref="F253:G253"/>
    <mergeCell ref="H253:I253"/>
    <mergeCell ref="J253:K253"/>
    <mergeCell ref="L253:M253"/>
    <mergeCell ref="N253:O253"/>
    <mergeCell ref="P255:Q255"/>
    <mergeCell ref="R255:S255"/>
    <mergeCell ref="T255:U255"/>
    <mergeCell ref="V255:W255"/>
    <mergeCell ref="X255:Y255"/>
    <mergeCell ref="Z255:AA255"/>
    <mergeCell ref="AB255:AC255"/>
    <mergeCell ref="B255:C255"/>
    <mergeCell ref="D255:E255"/>
    <mergeCell ref="F255:G255"/>
    <mergeCell ref="H255:I255"/>
    <mergeCell ref="J255:K255"/>
    <mergeCell ref="L255:M255"/>
    <mergeCell ref="N255:O255"/>
    <mergeCell ref="AD253:AE253"/>
    <mergeCell ref="AF253:AG253"/>
    <mergeCell ref="P253:Q253"/>
    <mergeCell ref="R253:S253"/>
    <mergeCell ref="T253:U253"/>
    <mergeCell ref="V253:W253"/>
    <mergeCell ref="X253:Y253"/>
    <mergeCell ref="Z253:AA253"/>
    <mergeCell ref="AB253:AC253"/>
    <mergeCell ref="AD254:AE254"/>
    <mergeCell ref="AF254:AG254"/>
    <mergeCell ref="AH254:AI254"/>
    <mergeCell ref="AJ254:AK254"/>
    <mergeCell ref="AL254:BB254"/>
    <mergeCell ref="P254:Q254"/>
    <mergeCell ref="R254:S254"/>
    <mergeCell ref="T254:U254"/>
    <mergeCell ref="V254:W254"/>
    <mergeCell ref="X254:Y254"/>
    <mergeCell ref="Z254:AA254"/>
    <mergeCell ref="AB254:AC254"/>
    <mergeCell ref="B254:C254"/>
    <mergeCell ref="D254:E254"/>
    <mergeCell ref="F254:G254"/>
    <mergeCell ref="H254:I254"/>
    <mergeCell ref="J254:K254"/>
    <mergeCell ref="L254:M254"/>
    <mergeCell ref="N254:O254"/>
    <mergeCell ref="AD255:AE255"/>
    <mergeCell ref="AF255:AG255"/>
    <mergeCell ref="AH255:AI255"/>
    <mergeCell ref="AJ255:AK255"/>
    <mergeCell ref="AL255:BB255"/>
    <mergeCell ref="AD261:AE261"/>
    <mergeCell ref="AF261:AG261"/>
    <mergeCell ref="AH261:AI261"/>
    <mergeCell ref="AJ261:AK261"/>
    <mergeCell ref="AL261:BB261"/>
    <mergeCell ref="AH262:AI262"/>
    <mergeCell ref="AJ262:AK262"/>
    <mergeCell ref="AL262:BB262"/>
    <mergeCell ref="B262:C262"/>
    <mergeCell ref="D262:E262"/>
    <mergeCell ref="F262:G262"/>
    <mergeCell ref="H262:I262"/>
    <mergeCell ref="J262:K262"/>
    <mergeCell ref="L262:M262"/>
    <mergeCell ref="N262:O262"/>
    <mergeCell ref="AD247:AE247"/>
    <mergeCell ref="AF247:AG247"/>
    <mergeCell ref="P247:Q247"/>
    <mergeCell ref="R247:S247"/>
    <mergeCell ref="T247:U247"/>
    <mergeCell ref="V247:W247"/>
    <mergeCell ref="X247:Y247"/>
    <mergeCell ref="Z247:AA247"/>
    <mergeCell ref="AB247:AC247"/>
    <mergeCell ref="AD248:AE248"/>
    <mergeCell ref="AF248:AG248"/>
    <mergeCell ref="AH248:AI248"/>
    <mergeCell ref="AJ248:AK248"/>
    <mergeCell ref="AL248:BB248"/>
    <mergeCell ref="P248:Q248"/>
    <mergeCell ref="R248:S248"/>
    <mergeCell ref="T248:U248"/>
    <mergeCell ref="V248:W248"/>
    <mergeCell ref="X248:Y248"/>
    <mergeCell ref="Z248:AA248"/>
    <mergeCell ref="AB248:AC248"/>
    <mergeCell ref="B248:C248"/>
    <mergeCell ref="D248:E248"/>
    <mergeCell ref="F248:G248"/>
    <mergeCell ref="H248:I248"/>
    <mergeCell ref="J248:K248"/>
    <mergeCell ref="L248:M248"/>
    <mergeCell ref="N248:O248"/>
    <mergeCell ref="AD249:AE249"/>
    <mergeCell ref="AF249:AG249"/>
    <mergeCell ref="AH249:AI249"/>
    <mergeCell ref="AJ249:AK249"/>
    <mergeCell ref="AL249:BB249"/>
    <mergeCell ref="AH250:AI250"/>
    <mergeCell ref="AJ250:AK250"/>
    <mergeCell ref="AL250:BB250"/>
    <mergeCell ref="B250:C250"/>
    <mergeCell ref="D250:E250"/>
    <mergeCell ref="F250:G250"/>
    <mergeCell ref="H250:I250"/>
    <mergeCell ref="J250:K250"/>
    <mergeCell ref="L250:M250"/>
    <mergeCell ref="N250:O250"/>
    <mergeCell ref="AD250:AE250"/>
    <mergeCell ref="AF250:AG250"/>
    <mergeCell ref="P250:Q250"/>
    <mergeCell ref="R250:S250"/>
    <mergeCell ref="T250:U250"/>
    <mergeCell ref="V250:W250"/>
    <mergeCell ref="AH259:AI259"/>
    <mergeCell ref="AJ259:AK259"/>
    <mergeCell ref="AL259:BB259"/>
    <mergeCell ref="B259:C259"/>
    <mergeCell ref="D259:E259"/>
    <mergeCell ref="F259:G259"/>
    <mergeCell ref="H259:I259"/>
    <mergeCell ref="J259:K259"/>
    <mergeCell ref="L259:M259"/>
    <mergeCell ref="N259:O259"/>
    <mergeCell ref="AD259:AE259"/>
    <mergeCell ref="AF259:AG259"/>
    <mergeCell ref="P259:Q259"/>
    <mergeCell ref="R259:S259"/>
    <mergeCell ref="T259:U259"/>
    <mergeCell ref="V259:W259"/>
    <mergeCell ref="X259:Y259"/>
    <mergeCell ref="Z259:AA259"/>
    <mergeCell ref="AB259:AC259"/>
    <mergeCell ref="AD260:AE260"/>
    <mergeCell ref="AF260:AG260"/>
    <mergeCell ref="AH260:AI260"/>
    <mergeCell ref="AJ260:AK260"/>
    <mergeCell ref="AL260:BB260"/>
    <mergeCell ref="P260:Q260"/>
    <mergeCell ref="R260:S260"/>
    <mergeCell ref="T260:U260"/>
    <mergeCell ref="V260:W260"/>
    <mergeCell ref="X260:Y260"/>
    <mergeCell ref="Z260:AA260"/>
    <mergeCell ref="AB260:AC260"/>
    <mergeCell ref="B260:C260"/>
    <mergeCell ref="D260:E260"/>
    <mergeCell ref="F260:G260"/>
    <mergeCell ref="H260:I260"/>
    <mergeCell ref="J260:K260"/>
    <mergeCell ref="L260:M260"/>
    <mergeCell ref="N260:O260"/>
    <mergeCell ref="AD256:AE256"/>
    <mergeCell ref="AF256:AG256"/>
    <mergeCell ref="P256:Q256"/>
    <mergeCell ref="R256:S256"/>
    <mergeCell ref="T256:U256"/>
    <mergeCell ref="V256:W256"/>
    <mergeCell ref="X256:Y256"/>
    <mergeCell ref="Z256:AA256"/>
    <mergeCell ref="AB256:AC256"/>
    <mergeCell ref="AD257:AE257"/>
    <mergeCell ref="AF257:AG257"/>
    <mergeCell ref="AH257:AI257"/>
    <mergeCell ref="AJ257:AK257"/>
    <mergeCell ref="AL257:BB257"/>
    <mergeCell ref="P257:Q257"/>
    <mergeCell ref="R257:S257"/>
    <mergeCell ref="T257:U257"/>
    <mergeCell ref="V257:W257"/>
    <mergeCell ref="X257:Y257"/>
    <mergeCell ref="Z257:AA257"/>
    <mergeCell ref="AB257:AC257"/>
    <mergeCell ref="B257:C257"/>
    <mergeCell ref="D257:E257"/>
    <mergeCell ref="F257:G257"/>
    <mergeCell ref="H257:I257"/>
    <mergeCell ref="J257:K257"/>
    <mergeCell ref="L257:M257"/>
    <mergeCell ref="N257:O257"/>
    <mergeCell ref="AD258:AE258"/>
    <mergeCell ref="AF258:AG258"/>
    <mergeCell ref="AH258:AI258"/>
    <mergeCell ref="AJ258:AK258"/>
    <mergeCell ref="AL258:BB258"/>
    <mergeCell ref="AH256:AI256"/>
    <mergeCell ref="AJ256:AK256"/>
    <mergeCell ref="AL256:BB256"/>
    <mergeCell ref="B256:C256"/>
    <mergeCell ref="D256:E256"/>
    <mergeCell ref="F256:G256"/>
    <mergeCell ref="H256:I256"/>
    <mergeCell ref="J256:K256"/>
    <mergeCell ref="L256:M256"/>
    <mergeCell ref="N256:O256"/>
    <mergeCell ref="P258:Q258"/>
    <mergeCell ref="R258:S258"/>
    <mergeCell ref="T258:U258"/>
    <mergeCell ref="V258:W258"/>
    <mergeCell ref="X258:Y258"/>
    <mergeCell ref="Z258:AA258"/>
    <mergeCell ref="AB258:AC258"/>
    <mergeCell ref="B258:C258"/>
    <mergeCell ref="D258:E258"/>
    <mergeCell ref="F258:G258"/>
    <mergeCell ref="H258:I258"/>
    <mergeCell ref="J258:K258"/>
    <mergeCell ref="L258:M258"/>
    <mergeCell ref="N258:O258"/>
    <mergeCell ref="AH247:AI247"/>
    <mergeCell ref="AJ247:AK247"/>
    <mergeCell ref="AL247:BB247"/>
    <mergeCell ref="B247:C247"/>
    <mergeCell ref="D247:E247"/>
    <mergeCell ref="F247:G247"/>
    <mergeCell ref="H247:I247"/>
    <mergeCell ref="J247:K247"/>
    <mergeCell ref="L247:M247"/>
    <mergeCell ref="N247:O247"/>
    <mergeCell ref="P249:Q249"/>
    <mergeCell ref="R249:S249"/>
    <mergeCell ref="T249:U249"/>
    <mergeCell ref="V249:W249"/>
    <mergeCell ref="X249:Y249"/>
    <mergeCell ref="Z249:AA249"/>
    <mergeCell ref="AB249:AC249"/>
    <mergeCell ref="B249:C249"/>
    <mergeCell ref="D249:E249"/>
    <mergeCell ref="F249:G249"/>
    <mergeCell ref="H249:I249"/>
    <mergeCell ref="J249:K249"/>
    <mergeCell ref="L249:M249"/>
    <mergeCell ref="N249:O249"/>
    <mergeCell ref="P252:Q252"/>
    <mergeCell ref="R252:S252"/>
    <mergeCell ref="T252:U252"/>
    <mergeCell ref="V252:W252"/>
    <mergeCell ref="X252:Y252"/>
    <mergeCell ref="Z252:AA252"/>
    <mergeCell ref="AB252:AC252"/>
    <mergeCell ref="B252:C252"/>
    <mergeCell ref="D252:E252"/>
    <mergeCell ref="F252:G252"/>
    <mergeCell ref="H252:I252"/>
    <mergeCell ref="J252:K252"/>
    <mergeCell ref="L252:M252"/>
    <mergeCell ref="N252:O252"/>
    <mergeCell ref="X250:Y250"/>
    <mergeCell ref="Z250:AA250"/>
    <mergeCell ref="AB250:AC250"/>
    <mergeCell ref="AD251:AE251"/>
    <mergeCell ref="AF251:AG251"/>
    <mergeCell ref="AH251:AI251"/>
    <mergeCell ref="AJ251:AK251"/>
    <mergeCell ref="AL251:BB251"/>
    <mergeCell ref="P251:Q251"/>
    <mergeCell ref="R251:S251"/>
    <mergeCell ref="T251:U251"/>
    <mergeCell ref="V251:W251"/>
    <mergeCell ref="X251:Y251"/>
    <mergeCell ref="Z251:AA251"/>
    <mergeCell ref="AB251:AC251"/>
    <mergeCell ref="B251:C251"/>
    <mergeCell ref="D251:E251"/>
    <mergeCell ref="F251:G251"/>
    <mergeCell ref="H251:I251"/>
    <mergeCell ref="J251:K251"/>
    <mergeCell ref="L251:M251"/>
    <mergeCell ref="N251:O251"/>
    <mergeCell ref="AD252:AE252"/>
    <mergeCell ref="AF252:AG252"/>
    <mergeCell ref="AH252:AI252"/>
    <mergeCell ref="AJ252:AK252"/>
    <mergeCell ref="AH244:AI244"/>
    <mergeCell ref="AJ244:AK244"/>
    <mergeCell ref="AL244:BB244"/>
    <mergeCell ref="B244:C244"/>
    <mergeCell ref="D244:E244"/>
    <mergeCell ref="F244:G244"/>
    <mergeCell ref="H244:I244"/>
    <mergeCell ref="J244:K244"/>
    <mergeCell ref="L244:M244"/>
    <mergeCell ref="N244:O244"/>
    <mergeCell ref="P246:Q246"/>
    <mergeCell ref="R246:S246"/>
    <mergeCell ref="T246:U246"/>
    <mergeCell ref="V246:W246"/>
    <mergeCell ref="X246:Y246"/>
    <mergeCell ref="Z246:AA246"/>
    <mergeCell ref="AB246:AC246"/>
    <mergeCell ref="B246:C246"/>
    <mergeCell ref="D246:E246"/>
    <mergeCell ref="F246:G246"/>
    <mergeCell ref="H246:I246"/>
    <mergeCell ref="J246:K246"/>
    <mergeCell ref="L246:M246"/>
    <mergeCell ref="N246:O246"/>
    <mergeCell ref="AD244:AE244"/>
    <mergeCell ref="AF244:AG244"/>
    <mergeCell ref="P244:Q244"/>
    <mergeCell ref="R244:S244"/>
    <mergeCell ref="T244:U244"/>
    <mergeCell ref="V244:W244"/>
    <mergeCell ref="X244:Y244"/>
    <mergeCell ref="Z244:AA244"/>
    <mergeCell ref="AB244:AC244"/>
    <mergeCell ref="AD245:AE245"/>
    <mergeCell ref="AF245:AG245"/>
    <mergeCell ref="AH245:AI245"/>
    <mergeCell ref="AJ245:AK245"/>
    <mergeCell ref="AL245:BB245"/>
    <mergeCell ref="P245:Q245"/>
    <mergeCell ref="R245:S245"/>
    <mergeCell ref="T245:U245"/>
    <mergeCell ref="V245:W245"/>
    <mergeCell ref="X245:Y245"/>
    <mergeCell ref="Z245:AA245"/>
    <mergeCell ref="AB245:AC245"/>
    <mergeCell ref="B245:C245"/>
    <mergeCell ref="D245:E245"/>
    <mergeCell ref="F245:G245"/>
    <mergeCell ref="H245:I245"/>
    <mergeCell ref="J245:K245"/>
    <mergeCell ref="L245:M245"/>
    <mergeCell ref="N245:O245"/>
    <mergeCell ref="AD246:AE246"/>
    <mergeCell ref="AF246:AG246"/>
    <mergeCell ref="AH246:AI246"/>
    <mergeCell ref="AJ246:AK246"/>
    <mergeCell ref="AL246:BB246"/>
    <mergeCell ref="B241:C241"/>
    <mergeCell ref="D241:E241"/>
    <mergeCell ref="F241:G241"/>
    <mergeCell ref="H241:I241"/>
    <mergeCell ref="J241:K241"/>
    <mergeCell ref="L241:M241"/>
    <mergeCell ref="N241:O241"/>
    <mergeCell ref="AD242:AE242"/>
    <mergeCell ref="AF242:AG242"/>
    <mergeCell ref="AH242:AI242"/>
    <mergeCell ref="AJ242:AK242"/>
    <mergeCell ref="AL242:BB242"/>
    <mergeCell ref="P242:Q242"/>
    <mergeCell ref="R242:S242"/>
    <mergeCell ref="T242:U242"/>
    <mergeCell ref="V242:W242"/>
    <mergeCell ref="X242:Y242"/>
    <mergeCell ref="Z242:AA242"/>
    <mergeCell ref="AB242:AC242"/>
    <mergeCell ref="B242:C242"/>
    <mergeCell ref="D242:E242"/>
    <mergeCell ref="F242:G242"/>
    <mergeCell ref="H242:I242"/>
    <mergeCell ref="J242:K242"/>
    <mergeCell ref="L242:M242"/>
    <mergeCell ref="N242:O242"/>
    <mergeCell ref="AD243:AE243"/>
    <mergeCell ref="AF243:AG243"/>
    <mergeCell ref="AH243:AI243"/>
    <mergeCell ref="AJ243:AK243"/>
    <mergeCell ref="AL243:BB243"/>
    <mergeCell ref="P243:Q243"/>
    <mergeCell ref="R243:S243"/>
    <mergeCell ref="T243:U243"/>
    <mergeCell ref="V243:W243"/>
    <mergeCell ref="X243:Y243"/>
    <mergeCell ref="Z243:AA243"/>
    <mergeCell ref="AB243:AC243"/>
    <mergeCell ref="B243:C243"/>
    <mergeCell ref="D243:E243"/>
    <mergeCell ref="F243:G243"/>
    <mergeCell ref="H243:I243"/>
    <mergeCell ref="J243:K243"/>
    <mergeCell ref="L243:M243"/>
    <mergeCell ref="N243:O243"/>
    <mergeCell ref="AH238:AI238"/>
    <mergeCell ref="AJ238:AK238"/>
    <mergeCell ref="AL238:BB238"/>
    <mergeCell ref="B238:C238"/>
    <mergeCell ref="D238:E238"/>
    <mergeCell ref="F238:G238"/>
    <mergeCell ref="H238:I238"/>
    <mergeCell ref="J238:K238"/>
    <mergeCell ref="L238:M238"/>
    <mergeCell ref="N238:O238"/>
    <mergeCell ref="P240:Q240"/>
    <mergeCell ref="R240:S240"/>
    <mergeCell ref="T240:U240"/>
    <mergeCell ref="V240:W240"/>
    <mergeCell ref="X240:Y240"/>
    <mergeCell ref="Z240:AA240"/>
    <mergeCell ref="AB240:AC240"/>
    <mergeCell ref="B240:C240"/>
    <mergeCell ref="D240:E240"/>
    <mergeCell ref="F240:G240"/>
    <mergeCell ref="H240:I240"/>
    <mergeCell ref="J240:K240"/>
    <mergeCell ref="L240:M240"/>
    <mergeCell ref="N240:O240"/>
    <mergeCell ref="AD238:AE238"/>
    <mergeCell ref="AF238:AG238"/>
    <mergeCell ref="P238:Q238"/>
    <mergeCell ref="R238:S238"/>
    <mergeCell ref="T238:U238"/>
    <mergeCell ref="V238:W238"/>
    <mergeCell ref="X238:Y238"/>
    <mergeCell ref="Z238:AA238"/>
    <mergeCell ref="AB238:AC238"/>
    <mergeCell ref="AD239:AE239"/>
    <mergeCell ref="AF239:AG239"/>
    <mergeCell ref="AH239:AI239"/>
    <mergeCell ref="AJ239:AK239"/>
    <mergeCell ref="AL239:BB239"/>
    <mergeCell ref="P239:Q239"/>
    <mergeCell ref="R239:S239"/>
    <mergeCell ref="T239:U239"/>
    <mergeCell ref="V239:W239"/>
    <mergeCell ref="X239:Y239"/>
    <mergeCell ref="Z239:AA239"/>
    <mergeCell ref="AB239:AC239"/>
    <mergeCell ref="B239:C239"/>
    <mergeCell ref="D239:E239"/>
    <mergeCell ref="F239:G239"/>
    <mergeCell ref="H239:I239"/>
    <mergeCell ref="J239:K239"/>
    <mergeCell ref="L239:M239"/>
    <mergeCell ref="N239:O239"/>
    <mergeCell ref="AD240:AE240"/>
    <mergeCell ref="AF240:AG240"/>
    <mergeCell ref="AH240:AI240"/>
    <mergeCell ref="AJ240:AK240"/>
    <mergeCell ref="AL240:BB240"/>
    <mergeCell ref="AH235:AI235"/>
    <mergeCell ref="AJ235:AK235"/>
    <mergeCell ref="AL235:BB235"/>
    <mergeCell ref="B235:C235"/>
    <mergeCell ref="D235:E235"/>
    <mergeCell ref="F235:G235"/>
    <mergeCell ref="H235:I235"/>
    <mergeCell ref="J235:K235"/>
    <mergeCell ref="L235:M235"/>
    <mergeCell ref="N235:O235"/>
    <mergeCell ref="P237:Q237"/>
    <mergeCell ref="R237:S237"/>
    <mergeCell ref="T237:U237"/>
    <mergeCell ref="V237:W237"/>
    <mergeCell ref="X237:Y237"/>
    <mergeCell ref="Z237:AA237"/>
    <mergeCell ref="AB237:AC237"/>
    <mergeCell ref="B237:C237"/>
    <mergeCell ref="D237:E237"/>
    <mergeCell ref="F237:G237"/>
    <mergeCell ref="H237:I237"/>
    <mergeCell ref="J237:K237"/>
    <mergeCell ref="L237:M237"/>
    <mergeCell ref="N237:O237"/>
    <mergeCell ref="AD235:AE235"/>
    <mergeCell ref="AF235:AG235"/>
    <mergeCell ref="P235:Q235"/>
    <mergeCell ref="R235:S235"/>
    <mergeCell ref="T235:U235"/>
    <mergeCell ref="V235:W235"/>
    <mergeCell ref="X235:Y235"/>
    <mergeCell ref="Z235:AA235"/>
    <mergeCell ref="AB235:AC235"/>
    <mergeCell ref="AD236:AE236"/>
    <mergeCell ref="AF236:AG236"/>
    <mergeCell ref="AH236:AI236"/>
    <mergeCell ref="AJ236:AK236"/>
    <mergeCell ref="AL236:BB236"/>
    <mergeCell ref="P236:Q236"/>
    <mergeCell ref="R236:S236"/>
    <mergeCell ref="T236:U236"/>
    <mergeCell ref="V236:W236"/>
    <mergeCell ref="X236:Y236"/>
    <mergeCell ref="Z236:AA236"/>
    <mergeCell ref="AB236:AC236"/>
    <mergeCell ref="B236:C236"/>
    <mergeCell ref="D236:E236"/>
    <mergeCell ref="F236:G236"/>
    <mergeCell ref="H236:I236"/>
    <mergeCell ref="J236:K236"/>
    <mergeCell ref="L236:M236"/>
    <mergeCell ref="N236:O236"/>
    <mergeCell ref="AD237:AE237"/>
    <mergeCell ref="AF237:AG237"/>
    <mergeCell ref="AH237:AI237"/>
    <mergeCell ref="AJ237:AK237"/>
    <mergeCell ref="AL237:BB237"/>
    <mergeCell ref="AH232:AI232"/>
    <mergeCell ref="AJ232:AK232"/>
    <mergeCell ref="AL232:BB232"/>
    <mergeCell ref="B232:C232"/>
    <mergeCell ref="D232:E232"/>
    <mergeCell ref="F232:G232"/>
    <mergeCell ref="H232:I232"/>
    <mergeCell ref="J232:K232"/>
    <mergeCell ref="L232:M232"/>
    <mergeCell ref="N232:O232"/>
    <mergeCell ref="P234:Q234"/>
    <mergeCell ref="R234:S234"/>
    <mergeCell ref="T234:U234"/>
    <mergeCell ref="V234:W234"/>
    <mergeCell ref="X234:Y234"/>
    <mergeCell ref="Z234:AA234"/>
    <mergeCell ref="AB234:AC234"/>
    <mergeCell ref="B234:C234"/>
    <mergeCell ref="D234:E234"/>
    <mergeCell ref="F234:G234"/>
    <mergeCell ref="H234:I234"/>
    <mergeCell ref="J234:K234"/>
    <mergeCell ref="L234:M234"/>
    <mergeCell ref="N234:O234"/>
    <mergeCell ref="AD232:AE232"/>
    <mergeCell ref="AF232:AG232"/>
    <mergeCell ref="P232:Q232"/>
    <mergeCell ref="R232:S232"/>
    <mergeCell ref="T232:U232"/>
    <mergeCell ref="V232:W232"/>
    <mergeCell ref="X232:Y232"/>
    <mergeCell ref="Z232:AA232"/>
    <mergeCell ref="AB232:AC232"/>
    <mergeCell ref="AD233:AE233"/>
    <mergeCell ref="AF233:AG233"/>
    <mergeCell ref="AH233:AI233"/>
    <mergeCell ref="AJ233:AK233"/>
    <mergeCell ref="AL233:BB233"/>
    <mergeCell ref="P233:Q233"/>
    <mergeCell ref="R233:S233"/>
    <mergeCell ref="T233:U233"/>
    <mergeCell ref="V233:W233"/>
    <mergeCell ref="X233:Y233"/>
    <mergeCell ref="Z233:AA233"/>
    <mergeCell ref="AB233:AC233"/>
    <mergeCell ref="B233:C233"/>
    <mergeCell ref="D233:E233"/>
    <mergeCell ref="F233:G233"/>
    <mergeCell ref="H233:I233"/>
    <mergeCell ref="J233:K233"/>
    <mergeCell ref="L233:M233"/>
    <mergeCell ref="N233:O233"/>
    <mergeCell ref="AD234:AE234"/>
    <mergeCell ref="AF234:AG234"/>
    <mergeCell ref="AH234:AI234"/>
    <mergeCell ref="AJ234:AK234"/>
    <mergeCell ref="AL234:BB234"/>
    <mergeCell ref="AH229:AI229"/>
    <mergeCell ref="AJ229:AK229"/>
    <mergeCell ref="AL229:BB229"/>
    <mergeCell ref="B229:C229"/>
    <mergeCell ref="D229:E229"/>
    <mergeCell ref="F229:G229"/>
    <mergeCell ref="H229:I229"/>
    <mergeCell ref="J229:K229"/>
    <mergeCell ref="L229:M229"/>
    <mergeCell ref="N229:O229"/>
    <mergeCell ref="P231:Q231"/>
    <mergeCell ref="R231:S231"/>
    <mergeCell ref="T231:U231"/>
    <mergeCell ref="V231:W231"/>
    <mergeCell ref="X231:Y231"/>
    <mergeCell ref="Z231:AA231"/>
    <mergeCell ref="AB231:AC231"/>
    <mergeCell ref="B231:C231"/>
    <mergeCell ref="D231:E231"/>
    <mergeCell ref="F231:G231"/>
    <mergeCell ref="H231:I231"/>
    <mergeCell ref="J231:K231"/>
    <mergeCell ref="L231:M231"/>
    <mergeCell ref="N231:O231"/>
    <mergeCell ref="AD229:AE229"/>
    <mergeCell ref="AF229:AG229"/>
    <mergeCell ref="P229:Q229"/>
    <mergeCell ref="R229:S229"/>
    <mergeCell ref="T229:U229"/>
    <mergeCell ref="V229:W229"/>
    <mergeCell ref="X229:Y229"/>
    <mergeCell ref="Z229:AA229"/>
    <mergeCell ref="AB229:AC229"/>
    <mergeCell ref="AD230:AE230"/>
    <mergeCell ref="AF230:AG230"/>
    <mergeCell ref="AH230:AI230"/>
    <mergeCell ref="AJ230:AK230"/>
    <mergeCell ref="AL230:BB230"/>
    <mergeCell ref="P230:Q230"/>
    <mergeCell ref="R230:S230"/>
    <mergeCell ref="T230:U230"/>
    <mergeCell ref="V230:W230"/>
    <mergeCell ref="X230:Y230"/>
    <mergeCell ref="Z230:AA230"/>
    <mergeCell ref="AB230:AC230"/>
    <mergeCell ref="B230:C230"/>
    <mergeCell ref="D230:E230"/>
    <mergeCell ref="F230:G230"/>
    <mergeCell ref="H230:I230"/>
    <mergeCell ref="J230:K230"/>
    <mergeCell ref="L230:M230"/>
    <mergeCell ref="N230:O230"/>
    <mergeCell ref="AD231:AE231"/>
    <mergeCell ref="AF231:AG231"/>
    <mergeCell ref="AH231:AI231"/>
    <mergeCell ref="AJ231:AK231"/>
    <mergeCell ref="AL231:BB231"/>
    <mergeCell ref="AJ225:AK225"/>
    <mergeCell ref="AL225:BB225"/>
    <mergeCell ref="AH226:AI226"/>
    <mergeCell ref="AJ226:AK226"/>
    <mergeCell ref="AL226:BB226"/>
    <mergeCell ref="B226:C226"/>
    <mergeCell ref="D226:E226"/>
    <mergeCell ref="F226:G226"/>
    <mergeCell ref="H226:I226"/>
    <mergeCell ref="J226:K226"/>
    <mergeCell ref="L226:M226"/>
    <mergeCell ref="N226:O226"/>
    <mergeCell ref="P228:Q228"/>
    <mergeCell ref="R228:S228"/>
    <mergeCell ref="T228:U228"/>
    <mergeCell ref="V228:W228"/>
    <mergeCell ref="X228:Y228"/>
    <mergeCell ref="Z228:AA228"/>
    <mergeCell ref="AB228:AC228"/>
    <mergeCell ref="B228:C228"/>
    <mergeCell ref="D228:E228"/>
    <mergeCell ref="F228:G228"/>
    <mergeCell ref="H228:I228"/>
    <mergeCell ref="J228:K228"/>
    <mergeCell ref="L228:M228"/>
    <mergeCell ref="N228:O228"/>
    <mergeCell ref="AD226:AE226"/>
    <mergeCell ref="AF226:AG226"/>
    <mergeCell ref="P226:Q226"/>
    <mergeCell ref="R226:S226"/>
    <mergeCell ref="T226:U226"/>
    <mergeCell ref="V226:W226"/>
    <mergeCell ref="X226:Y226"/>
    <mergeCell ref="Z226:AA226"/>
    <mergeCell ref="AB226:AC226"/>
    <mergeCell ref="AD227:AE227"/>
    <mergeCell ref="AF227:AG227"/>
    <mergeCell ref="AH227:AI227"/>
    <mergeCell ref="AJ227:AK227"/>
    <mergeCell ref="AL227:BB227"/>
    <mergeCell ref="P227:Q227"/>
    <mergeCell ref="R227:S227"/>
    <mergeCell ref="T227:U227"/>
    <mergeCell ref="V227:W227"/>
    <mergeCell ref="X227:Y227"/>
    <mergeCell ref="Z227:AA227"/>
    <mergeCell ref="AB227:AC227"/>
    <mergeCell ref="B227:C227"/>
    <mergeCell ref="D227:E227"/>
    <mergeCell ref="F227:G227"/>
    <mergeCell ref="H227:I227"/>
    <mergeCell ref="J227:K227"/>
    <mergeCell ref="L227:M227"/>
    <mergeCell ref="N227:O227"/>
    <mergeCell ref="AD228:AE228"/>
    <mergeCell ref="AF228:AG228"/>
    <mergeCell ref="AH228:AI228"/>
    <mergeCell ref="AJ228:AK228"/>
    <mergeCell ref="AL228:BB228"/>
    <mergeCell ref="H221:I221"/>
    <mergeCell ref="J221:K221"/>
    <mergeCell ref="L221:M221"/>
    <mergeCell ref="N221:O221"/>
    <mergeCell ref="AD222:AE222"/>
    <mergeCell ref="AF222:AG222"/>
    <mergeCell ref="AH222:AI222"/>
    <mergeCell ref="AJ222:AK222"/>
    <mergeCell ref="AL222:BB222"/>
    <mergeCell ref="AH223:AI223"/>
    <mergeCell ref="AJ223:AK223"/>
    <mergeCell ref="AL223:BB223"/>
    <mergeCell ref="B223:C223"/>
    <mergeCell ref="D223:E223"/>
    <mergeCell ref="F223:G223"/>
    <mergeCell ref="H223:I223"/>
    <mergeCell ref="J223:K223"/>
    <mergeCell ref="L223:M223"/>
    <mergeCell ref="N223:O223"/>
    <mergeCell ref="P225:Q225"/>
    <mergeCell ref="R225:S225"/>
    <mergeCell ref="T225:U225"/>
    <mergeCell ref="V225:W225"/>
    <mergeCell ref="X225:Y225"/>
    <mergeCell ref="Z225:AA225"/>
    <mergeCell ref="AB225:AC225"/>
    <mergeCell ref="B225:C225"/>
    <mergeCell ref="D225:E225"/>
    <mergeCell ref="F225:G225"/>
    <mergeCell ref="H225:I225"/>
    <mergeCell ref="J225:K225"/>
    <mergeCell ref="L225:M225"/>
    <mergeCell ref="N225:O225"/>
    <mergeCell ref="AD223:AE223"/>
    <mergeCell ref="AF223:AG223"/>
    <mergeCell ref="P223:Q223"/>
    <mergeCell ref="R223:S223"/>
    <mergeCell ref="T223:U223"/>
    <mergeCell ref="V223:W223"/>
    <mergeCell ref="X223:Y223"/>
    <mergeCell ref="Z223:AA223"/>
    <mergeCell ref="AB223:AC223"/>
    <mergeCell ref="AD224:AE224"/>
    <mergeCell ref="AF224:AG224"/>
    <mergeCell ref="AH224:AI224"/>
    <mergeCell ref="AJ224:AK224"/>
    <mergeCell ref="AL224:BB224"/>
    <mergeCell ref="P224:Q224"/>
    <mergeCell ref="R224:S224"/>
    <mergeCell ref="T224:U224"/>
    <mergeCell ref="V224:W224"/>
    <mergeCell ref="X224:Y224"/>
    <mergeCell ref="Z224:AA224"/>
    <mergeCell ref="AB224:AC224"/>
    <mergeCell ref="B224:C224"/>
    <mergeCell ref="D224:E224"/>
    <mergeCell ref="F224:G224"/>
    <mergeCell ref="H224:I224"/>
    <mergeCell ref="J224:K224"/>
    <mergeCell ref="L224:M224"/>
    <mergeCell ref="N224:O224"/>
    <mergeCell ref="AD225:AE225"/>
    <mergeCell ref="AF225:AG225"/>
    <mergeCell ref="AH225:AI225"/>
    <mergeCell ref="P219:Q219"/>
    <mergeCell ref="R219:S219"/>
    <mergeCell ref="T219:U219"/>
    <mergeCell ref="V219:W219"/>
    <mergeCell ref="X219:Y219"/>
    <mergeCell ref="Z219:AA219"/>
    <mergeCell ref="AB219:AC219"/>
    <mergeCell ref="B219:C219"/>
    <mergeCell ref="D219:E219"/>
    <mergeCell ref="F219:G219"/>
    <mergeCell ref="H219:I219"/>
    <mergeCell ref="J219:K219"/>
    <mergeCell ref="L219:M219"/>
    <mergeCell ref="N219:O219"/>
    <mergeCell ref="AD241:AE241"/>
    <mergeCell ref="AF241:AG241"/>
    <mergeCell ref="AH241:AI241"/>
    <mergeCell ref="AJ241:AK241"/>
    <mergeCell ref="AL241:BB241"/>
    <mergeCell ref="P241:Q241"/>
    <mergeCell ref="R241:S241"/>
    <mergeCell ref="T241:U241"/>
    <mergeCell ref="V241:W241"/>
    <mergeCell ref="X241:Y241"/>
    <mergeCell ref="Z241:AA241"/>
    <mergeCell ref="AB241:AC241"/>
    <mergeCell ref="P222:Q222"/>
    <mergeCell ref="R222:S222"/>
    <mergeCell ref="T222:U222"/>
    <mergeCell ref="V222:W222"/>
    <mergeCell ref="X222:Y222"/>
    <mergeCell ref="Z222:AA222"/>
    <mergeCell ref="AB222:AC222"/>
    <mergeCell ref="B222:C222"/>
    <mergeCell ref="D222:E222"/>
    <mergeCell ref="F222:G222"/>
    <mergeCell ref="H222:I222"/>
    <mergeCell ref="J222:K222"/>
    <mergeCell ref="L222:M222"/>
    <mergeCell ref="N222:O222"/>
    <mergeCell ref="AD220:AE220"/>
    <mergeCell ref="AF220:AG220"/>
    <mergeCell ref="P220:Q220"/>
    <mergeCell ref="R220:S220"/>
    <mergeCell ref="T220:U220"/>
    <mergeCell ref="V220:W220"/>
    <mergeCell ref="X220:Y220"/>
    <mergeCell ref="Z220:AA220"/>
    <mergeCell ref="AB220:AC220"/>
    <mergeCell ref="AD221:AE221"/>
    <mergeCell ref="AF221:AG221"/>
    <mergeCell ref="AH221:AI221"/>
    <mergeCell ref="AJ221:AK221"/>
    <mergeCell ref="AL221:BB221"/>
    <mergeCell ref="P221:Q221"/>
    <mergeCell ref="R221:S221"/>
    <mergeCell ref="T221:U221"/>
    <mergeCell ref="V221:W221"/>
    <mergeCell ref="X221:Y221"/>
    <mergeCell ref="Z221:AA221"/>
    <mergeCell ref="AB221:AC221"/>
    <mergeCell ref="B221:C221"/>
    <mergeCell ref="D221:E221"/>
    <mergeCell ref="F221:G221"/>
    <mergeCell ref="AL210:BB210"/>
    <mergeCell ref="AH211:AI211"/>
    <mergeCell ref="AJ211:AK211"/>
    <mergeCell ref="AL211:BB211"/>
    <mergeCell ref="B211:C211"/>
    <mergeCell ref="D211:E211"/>
    <mergeCell ref="F211:G211"/>
    <mergeCell ref="H211:I211"/>
    <mergeCell ref="J211:K211"/>
    <mergeCell ref="L211:M211"/>
    <mergeCell ref="N211:O211"/>
    <mergeCell ref="P213:Q213"/>
    <mergeCell ref="R213:S213"/>
    <mergeCell ref="T213:U213"/>
    <mergeCell ref="V213:W213"/>
    <mergeCell ref="X213:Y213"/>
    <mergeCell ref="Z213:AA213"/>
    <mergeCell ref="AB213:AC213"/>
    <mergeCell ref="B213:C213"/>
    <mergeCell ref="D213:E213"/>
    <mergeCell ref="F213:G213"/>
    <mergeCell ref="H213:I213"/>
    <mergeCell ref="J213:K213"/>
    <mergeCell ref="L213:M213"/>
    <mergeCell ref="N213:O213"/>
    <mergeCell ref="AD211:AE211"/>
    <mergeCell ref="AF211:AG211"/>
    <mergeCell ref="P211:Q211"/>
    <mergeCell ref="R211:S211"/>
    <mergeCell ref="T211:U211"/>
    <mergeCell ref="V211:W211"/>
    <mergeCell ref="X211:Y211"/>
    <mergeCell ref="Z211:AA211"/>
    <mergeCell ref="AB211:AC211"/>
    <mergeCell ref="AD212:AE212"/>
    <mergeCell ref="AF212:AG212"/>
    <mergeCell ref="AH212:AI212"/>
    <mergeCell ref="AJ212:AK212"/>
    <mergeCell ref="AL212:BB212"/>
    <mergeCell ref="P212:Q212"/>
    <mergeCell ref="R212:S212"/>
    <mergeCell ref="T212:U212"/>
    <mergeCell ref="V212:W212"/>
    <mergeCell ref="X212:Y212"/>
    <mergeCell ref="Z212:AA212"/>
    <mergeCell ref="AB212:AC212"/>
    <mergeCell ref="B212:C212"/>
    <mergeCell ref="D212:E212"/>
    <mergeCell ref="F212:G212"/>
    <mergeCell ref="H212:I212"/>
    <mergeCell ref="J212:K212"/>
    <mergeCell ref="L212:M212"/>
    <mergeCell ref="N212:O212"/>
    <mergeCell ref="AD213:AE213"/>
    <mergeCell ref="AF213:AG213"/>
    <mergeCell ref="AH213:AI213"/>
    <mergeCell ref="AJ213:AK213"/>
    <mergeCell ref="AL213:BB213"/>
    <mergeCell ref="AD219:AE219"/>
    <mergeCell ref="AF219:AG219"/>
    <mergeCell ref="AH219:AI219"/>
    <mergeCell ref="AJ219:AK219"/>
    <mergeCell ref="AL219:BB219"/>
    <mergeCell ref="AH220:AI220"/>
    <mergeCell ref="AJ220:AK220"/>
    <mergeCell ref="AL220:BB220"/>
    <mergeCell ref="B220:C220"/>
    <mergeCell ref="D220:E220"/>
    <mergeCell ref="F220:G220"/>
    <mergeCell ref="H220:I220"/>
    <mergeCell ref="J220:K220"/>
    <mergeCell ref="L220:M220"/>
    <mergeCell ref="N220:O220"/>
    <mergeCell ref="AD205:AE205"/>
    <mergeCell ref="AF205:AG205"/>
    <mergeCell ref="P205:Q205"/>
    <mergeCell ref="R205:S205"/>
    <mergeCell ref="T205:U205"/>
    <mergeCell ref="V205:W205"/>
    <mergeCell ref="X205:Y205"/>
    <mergeCell ref="Z205:AA205"/>
    <mergeCell ref="AB205:AC205"/>
    <mergeCell ref="AD206:AE206"/>
    <mergeCell ref="AF206:AG206"/>
    <mergeCell ref="AH206:AI206"/>
    <mergeCell ref="AJ206:AK206"/>
    <mergeCell ref="AL206:BB206"/>
    <mergeCell ref="P206:Q206"/>
    <mergeCell ref="R206:S206"/>
    <mergeCell ref="T206:U206"/>
    <mergeCell ref="V206:W206"/>
    <mergeCell ref="X206:Y206"/>
    <mergeCell ref="Z206:AA206"/>
    <mergeCell ref="AB206:AC206"/>
    <mergeCell ref="B206:C206"/>
    <mergeCell ref="D206:E206"/>
    <mergeCell ref="F206:G206"/>
    <mergeCell ref="H206:I206"/>
    <mergeCell ref="J206:K206"/>
    <mergeCell ref="L206:M206"/>
    <mergeCell ref="N206:O206"/>
    <mergeCell ref="AD207:AE207"/>
    <mergeCell ref="AF207:AG207"/>
    <mergeCell ref="AH207:AI207"/>
    <mergeCell ref="AJ207:AK207"/>
    <mergeCell ref="AL207:BB207"/>
    <mergeCell ref="AH208:AI208"/>
    <mergeCell ref="AJ208:AK208"/>
    <mergeCell ref="AL208:BB208"/>
    <mergeCell ref="B208:C208"/>
    <mergeCell ref="D208:E208"/>
    <mergeCell ref="F208:G208"/>
    <mergeCell ref="H208:I208"/>
    <mergeCell ref="J208:K208"/>
    <mergeCell ref="L208:M208"/>
    <mergeCell ref="N208:O208"/>
    <mergeCell ref="AD208:AE208"/>
    <mergeCell ref="AF208:AG208"/>
    <mergeCell ref="P208:Q208"/>
    <mergeCell ref="R208:S208"/>
    <mergeCell ref="T208:U208"/>
    <mergeCell ref="V208:W208"/>
    <mergeCell ref="AH217:AI217"/>
    <mergeCell ref="AJ217:AK217"/>
    <mergeCell ref="AL217:BB217"/>
    <mergeCell ref="B217:C217"/>
    <mergeCell ref="D217:E217"/>
    <mergeCell ref="F217:G217"/>
    <mergeCell ref="H217:I217"/>
    <mergeCell ref="J217:K217"/>
    <mergeCell ref="L217:M217"/>
    <mergeCell ref="N217:O217"/>
    <mergeCell ref="AD217:AE217"/>
    <mergeCell ref="AF217:AG217"/>
    <mergeCell ref="P217:Q217"/>
    <mergeCell ref="R217:S217"/>
    <mergeCell ref="T217:U217"/>
    <mergeCell ref="V217:W217"/>
    <mergeCell ref="X217:Y217"/>
    <mergeCell ref="Z217:AA217"/>
    <mergeCell ref="AB217:AC217"/>
    <mergeCell ref="AD218:AE218"/>
    <mergeCell ref="AF218:AG218"/>
    <mergeCell ref="AH218:AI218"/>
    <mergeCell ref="AJ218:AK218"/>
    <mergeCell ref="AL218:BB218"/>
    <mergeCell ref="P218:Q218"/>
    <mergeCell ref="R218:S218"/>
    <mergeCell ref="T218:U218"/>
    <mergeCell ref="V218:W218"/>
    <mergeCell ref="X218:Y218"/>
    <mergeCell ref="Z218:AA218"/>
    <mergeCell ref="AB218:AC218"/>
    <mergeCell ref="B218:C218"/>
    <mergeCell ref="D218:E218"/>
    <mergeCell ref="F218:G218"/>
    <mergeCell ref="H218:I218"/>
    <mergeCell ref="J218:K218"/>
    <mergeCell ref="L218:M218"/>
    <mergeCell ref="N218:O218"/>
    <mergeCell ref="AD214:AE214"/>
    <mergeCell ref="AF214:AG214"/>
    <mergeCell ref="P214:Q214"/>
    <mergeCell ref="R214:S214"/>
    <mergeCell ref="T214:U214"/>
    <mergeCell ref="V214:W214"/>
    <mergeCell ref="X214:Y214"/>
    <mergeCell ref="Z214:AA214"/>
    <mergeCell ref="AB214:AC214"/>
    <mergeCell ref="AD215:AE215"/>
    <mergeCell ref="AF215:AG215"/>
    <mergeCell ref="AH215:AI215"/>
    <mergeCell ref="AJ215:AK215"/>
    <mergeCell ref="AL215:BB215"/>
    <mergeCell ref="P215:Q215"/>
    <mergeCell ref="R215:S215"/>
    <mergeCell ref="T215:U215"/>
    <mergeCell ref="V215:W215"/>
    <mergeCell ref="X215:Y215"/>
    <mergeCell ref="Z215:AA215"/>
    <mergeCell ref="AB215:AC215"/>
    <mergeCell ref="B215:C215"/>
    <mergeCell ref="D215:E215"/>
    <mergeCell ref="F215:G215"/>
    <mergeCell ref="H215:I215"/>
    <mergeCell ref="J215:K215"/>
    <mergeCell ref="L215:M215"/>
    <mergeCell ref="N215:O215"/>
    <mergeCell ref="AD216:AE216"/>
    <mergeCell ref="AF216:AG216"/>
    <mergeCell ref="AH216:AI216"/>
    <mergeCell ref="AJ216:AK216"/>
    <mergeCell ref="AL216:BB216"/>
    <mergeCell ref="AH214:AI214"/>
    <mergeCell ref="AJ214:AK214"/>
    <mergeCell ref="AL214:BB214"/>
    <mergeCell ref="B214:C214"/>
    <mergeCell ref="D214:E214"/>
    <mergeCell ref="F214:G214"/>
    <mergeCell ref="H214:I214"/>
    <mergeCell ref="J214:K214"/>
    <mergeCell ref="L214:M214"/>
    <mergeCell ref="N214:O214"/>
    <mergeCell ref="P216:Q216"/>
    <mergeCell ref="R216:S216"/>
    <mergeCell ref="T216:U216"/>
    <mergeCell ref="V216:W216"/>
    <mergeCell ref="X216:Y216"/>
    <mergeCell ref="Z216:AA216"/>
    <mergeCell ref="AB216:AC216"/>
    <mergeCell ref="B216:C216"/>
    <mergeCell ref="D216:E216"/>
    <mergeCell ref="F216:G216"/>
    <mergeCell ref="H216:I216"/>
    <mergeCell ref="J216:K216"/>
    <mergeCell ref="L216:M216"/>
    <mergeCell ref="N216:O216"/>
    <mergeCell ref="AH205:AI205"/>
    <mergeCell ref="AJ205:AK205"/>
    <mergeCell ref="AL205:BB205"/>
    <mergeCell ref="B205:C205"/>
    <mergeCell ref="D205:E205"/>
    <mergeCell ref="F205:G205"/>
    <mergeCell ref="H205:I205"/>
    <mergeCell ref="J205:K205"/>
    <mergeCell ref="L205:M205"/>
    <mergeCell ref="N205:O205"/>
    <mergeCell ref="P207:Q207"/>
    <mergeCell ref="R207:S207"/>
    <mergeCell ref="T207:U207"/>
    <mergeCell ref="V207:W207"/>
    <mergeCell ref="X207:Y207"/>
    <mergeCell ref="Z207:AA207"/>
    <mergeCell ref="AB207:AC207"/>
    <mergeCell ref="B207:C207"/>
    <mergeCell ref="D207:E207"/>
    <mergeCell ref="F207:G207"/>
    <mergeCell ref="H207:I207"/>
    <mergeCell ref="J207:K207"/>
    <mergeCell ref="L207:M207"/>
    <mergeCell ref="N207:O207"/>
    <mergeCell ref="P210:Q210"/>
    <mergeCell ref="R210:S210"/>
    <mergeCell ref="T210:U210"/>
    <mergeCell ref="V210:W210"/>
    <mergeCell ref="X210:Y210"/>
    <mergeCell ref="Z210:AA210"/>
    <mergeCell ref="AB210:AC210"/>
    <mergeCell ref="B210:C210"/>
    <mergeCell ref="D210:E210"/>
    <mergeCell ref="F210:G210"/>
    <mergeCell ref="H210:I210"/>
    <mergeCell ref="J210:K210"/>
    <mergeCell ref="L210:M210"/>
    <mergeCell ref="N210:O210"/>
    <mergeCell ref="X208:Y208"/>
    <mergeCell ref="Z208:AA208"/>
    <mergeCell ref="AB208:AC208"/>
    <mergeCell ref="AD209:AE209"/>
    <mergeCell ref="AF209:AG209"/>
    <mergeCell ref="AH209:AI209"/>
    <mergeCell ref="AJ209:AK209"/>
    <mergeCell ref="AL209:BB209"/>
    <mergeCell ref="P209:Q209"/>
    <mergeCell ref="R209:S209"/>
    <mergeCell ref="T209:U209"/>
    <mergeCell ref="V209:W209"/>
    <mergeCell ref="X209:Y209"/>
    <mergeCell ref="Z209:AA209"/>
    <mergeCell ref="AB209:AC209"/>
    <mergeCell ref="B209:C209"/>
    <mergeCell ref="D209:E209"/>
    <mergeCell ref="F209:G209"/>
    <mergeCell ref="H209:I209"/>
    <mergeCell ref="J209:K209"/>
    <mergeCell ref="L209:M209"/>
    <mergeCell ref="N209:O209"/>
    <mergeCell ref="AD210:AE210"/>
    <mergeCell ref="AF210:AG210"/>
    <mergeCell ref="AH210:AI210"/>
    <mergeCell ref="AJ210:AK210"/>
    <mergeCell ref="AH202:AI202"/>
    <mergeCell ref="AJ202:AK202"/>
    <mergeCell ref="AL202:BB202"/>
    <mergeCell ref="B202:C202"/>
    <mergeCell ref="D202:E202"/>
    <mergeCell ref="F202:G202"/>
    <mergeCell ref="H202:I202"/>
    <mergeCell ref="J202:K202"/>
    <mergeCell ref="L202:M202"/>
    <mergeCell ref="N202:O202"/>
    <mergeCell ref="P204:Q204"/>
    <mergeCell ref="R204:S204"/>
    <mergeCell ref="T204:U204"/>
    <mergeCell ref="V204:W204"/>
    <mergeCell ref="X204:Y204"/>
    <mergeCell ref="Z204:AA204"/>
    <mergeCell ref="AB204:AC204"/>
    <mergeCell ref="B204:C204"/>
    <mergeCell ref="D204:E204"/>
    <mergeCell ref="F204:G204"/>
    <mergeCell ref="H204:I204"/>
    <mergeCell ref="J204:K204"/>
    <mergeCell ref="L204:M204"/>
    <mergeCell ref="N204:O204"/>
    <mergeCell ref="AD202:AE202"/>
    <mergeCell ref="AF202:AG202"/>
    <mergeCell ref="P202:Q202"/>
    <mergeCell ref="R202:S202"/>
    <mergeCell ref="T202:U202"/>
    <mergeCell ref="V202:W202"/>
    <mergeCell ref="X202:Y202"/>
    <mergeCell ref="Z202:AA202"/>
    <mergeCell ref="AB202:AC202"/>
    <mergeCell ref="AD203:AE203"/>
    <mergeCell ref="AF203:AG203"/>
    <mergeCell ref="AH203:AI203"/>
    <mergeCell ref="AJ203:AK203"/>
    <mergeCell ref="AL203:BB203"/>
    <mergeCell ref="P203:Q203"/>
    <mergeCell ref="R203:S203"/>
    <mergeCell ref="T203:U203"/>
    <mergeCell ref="V203:W203"/>
    <mergeCell ref="X203:Y203"/>
    <mergeCell ref="Z203:AA203"/>
    <mergeCell ref="AB203:AC203"/>
    <mergeCell ref="B203:C203"/>
    <mergeCell ref="D203:E203"/>
    <mergeCell ref="F203:G203"/>
    <mergeCell ref="H203:I203"/>
    <mergeCell ref="J203:K203"/>
    <mergeCell ref="L203:M203"/>
    <mergeCell ref="N203:O203"/>
    <mergeCell ref="AD204:AE204"/>
    <mergeCell ref="AF204:AG204"/>
    <mergeCell ref="AH204:AI204"/>
    <mergeCell ref="AJ204:AK204"/>
    <mergeCell ref="AL204:BB204"/>
    <mergeCell ref="B199:C199"/>
    <mergeCell ref="D199:E199"/>
    <mergeCell ref="F199:G199"/>
    <mergeCell ref="H199:I199"/>
    <mergeCell ref="J199:K199"/>
    <mergeCell ref="L199:M199"/>
    <mergeCell ref="N199:O199"/>
    <mergeCell ref="AD200:AE200"/>
    <mergeCell ref="AF200:AG200"/>
    <mergeCell ref="AH200:AI200"/>
    <mergeCell ref="AJ200:AK200"/>
    <mergeCell ref="AL200:BB200"/>
    <mergeCell ref="P200:Q200"/>
    <mergeCell ref="R200:S200"/>
    <mergeCell ref="T200:U200"/>
    <mergeCell ref="V200:W200"/>
    <mergeCell ref="X200:Y200"/>
    <mergeCell ref="Z200:AA200"/>
    <mergeCell ref="AB200:AC200"/>
    <mergeCell ref="B200:C200"/>
    <mergeCell ref="D200:E200"/>
    <mergeCell ref="F200:G200"/>
    <mergeCell ref="H200:I200"/>
    <mergeCell ref="J200:K200"/>
    <mergeCell ref="L200:M200"/>
    <mergeCell ref="N200:O200"/>
    <mergeCell ref="AD201:AE201"/>
    <mergeCell ref="AF201:AG201"/>
    <mergeCell ref="AH201:AI201"/>
    <mergeCell ref="AJ201:AK201"/>
    <mergeCell ref="AL201:BB201"/>
    <mergeCell ref="P201:Q201"/>
    <mergeCell ref="R201:S201"/>
    <mergeCell ref="T201:U201"/>
    <mergeCell ref="V201:W201"/>
    <mergeCell ref="X201:Y201"/>
    <mergeCell ref="Z201:AA201"/>
    <mergeCell ref="AB201:AC201"/>
    <mergeCell ref="B201:C201"/>
    <mergeCell ref="D201:E201"/>
    <mergeCell ref="F201:G201"/>
    <mergeCell ref="H201:I201"/>
    <mergeCell ref="J201:K201"/>
    <mergeCell ref="L201:M201"/>
    <mergeCell ref="N201:O201"/>
    <mergeCell ref="AH196:AI196"/>
    <mergeCell ref="AJ196:AK196"/>
    <mergeCell ref="AL196:BB196"/>
    <mergeCell ref="B196:C196"/>
    <mergeCell ref="D196:E196"/>
    <mergeCell ref="F196:G196"/>
    <mergeCell ref="H196:I196"/>
    <mergeCell ref="J196:K196"/>
    <mergeCell ref="L196:M196"/>
    <mergeCell ref="N196:O196"/>
    <mergeCell ref="P198:Q198"/>
    <mergeCell ref="R198:S198"/>
    <mergeCell ref="T198:U198"/>
    <mergeCell ref="V198:W198"/>
    <mergeCell ref="X198:Y198"/>
    <mergeCell ref="Z198:AA198"/>
    <mergeCell ref="AB198:AC198"/>
    <mergeCell ref="B198:C198"/>
    <mergeCell ref="D198:E198"/>
    <mergeCell ref="F198:G198"/>
    <mergeCell ref="H198:I198"/>
    <mergeCell ref="J198:K198"/>
    <mergeCell ref="L198:M198"/>
    <mergeCell ref="N198:O198"/>
    <mergeCell ref="AD196:AE196"/>
    <mergeCell ref="AF196:AG196"/>
    <mergeCell ref="P196:Q196"/>
    <mergeCell ref="R196:S196"/>
    <mergeCell ref="T196:U196"/>
    <mergeCell ref="V196:W196"/>
    <mergeCell ref="X196:Y196"/>
    <mergeCell ref="Z196:AA196"/>
    <mergeCell ref="AB196:AC196"/>
    <mergeCell ref="AD197:AE197"/>
    <mergeCell ref="AF197:AG197"/>
    <mergeCell ref="AH197:AI197"/>
    <mergeCell ref="AJ197:AK197"/>
    <mergeCell ref="AL197:BB197"/>
    <mergeCell ref="P197:Q197"/>
    <mergeCell ref="R197:S197"/>
    <mergeCell ref="T197:U197"/>
    <mergeCell ref="V197:W197"/>
    <mergeCell ref="X197:Y197"/>
    <mergeCell ref="Z197:AA197"/>
    <mergeCell ref="AB197:AC197"/>
    <mergeCell ref="B197:C197"/>
    <mergeCell ref="D197:E197"/>
    <mergeCell ref="F197:G197"/>
    <mergeCell ref="H197:I197"/>
    <mergeCell ref="J197:K197"/>
    <mergeCell ref="L197:M197"/>
    <mergeCell ref="N197:O197"/>
    <mergeCell ref="AD198:AE198"/>
    <mergeCell ref="AF198:AG198"/>
    <mergeCell ref="AH198:AI198"/>
    <mergeCell ref="AJ198:AK198"/>
    <mergeCell ref="AL198:BB198"/>
    <mergeCell ref="AH193:AI193"/>
    <mergeCell ref="AJ193:AK193"/>
    <mergeCell ref="AL193:BB193"/>
    <mergeCell ref="B193:C193"/>
    <mergeCell ref="D193:E193"/>
    <mergeCell ref="F193:G193"/>
    <mergeCell ref="H193:I193"/>
    <mergeCell ref="J193:K193"/>
    <mergeCell ref="L193:M193"/>
    <mergeCell ref="N193:O193"/>
    <mergeCell ref="P195:Q195"/>
    <mergeCell ref="R195:S195"/>
    <mergeCell ref="T195:U195"/>
    <mergeCell ref="V195:W195"/>
    <mergeCell ref="X195:Y195"/>
    <mergeCell ref="Z195:AA195"/>
    <mergeCell ref="AB195:AC195"/>
    <mergeCell ref="B195:C195"/>
    <mergeCell ref="D195:E195"/>
    <mergeCell ref="F195:G195"/>
    <mergeCell ref="H195:I195"/>
    <mergeCell ref="J195:K195"/>
    <mergeCell ref="L195:M195"/>
    <mergeCell ref="N195:O195"/>
    <mergeCell ref="AD193:AE193"/>
    <mergeCell ref="AF193:AG193"/>
    <mergeCell ref="P193:Q193"/>
    <mergeCell ref="R193:S193"/>
    <mergeCell ref="T193:U193"/>
    <mergeCell ref="V193:W193"/>
    <mergeCell ref="X193:Y193"/>
    <mergeCell ref="Z193:AA193"/>
    <mergeCell ref="AB193:AC193"/>
    <mergeCell ref="AD194:AE194"/>
    <mergeCell ref="AF194:AG194"/>
    <mergeCell ref="AH194:AI194"/>
    <mergeCell ref="AJ194:AK194"/>
    <mergeCell ref="AL194:BB194"/>
    <mergeCell ref="P194:Q194"/>
    <mergeCell ref="R194:S194"/>
    <mergeCell ref="T194:U194"/>
    <mergeCell ref="V194:W194"/>
    <mergeCell ref="X194:Y194"/>
    <mergeCell ref="Z194:AA194"/>
    <mergeCell ref="AB194:AC194"/>
    <mergeCell ref="B194:C194"/>
    <mergeCell ref="D194:E194"/>
    <mergeCell ref="F194:G194"/>
    <mergeCell ref="H194:I194"/>
    <mergeCell ref="J194:K194"/>
    <mergeCell ref="L194:M194"/>
    <mergeCell ref="N194:O194"/>
    <mergeCell ref="AD195:AE195"/>
    <mergeCell ref="AF195:AG195"/>
    <mergeCell ref="AH195:AI195"/>
    <mergeCell ref="AJ195:AK195"/>
    <mergeCell ref="AL195:BB195"/>
    <mergeCell ref="AH190:AI190"/>
    <mergeCell ref="AJ190:AK190"/>
    <mergeCell ref="AL190:BB190"/>
    <mergeCell ref="B190:C190"/>
    <mergeCell ref="D190:E190"/>
    <mergeCell ref="F190:G190"/>
    <mergeCell ref="H190:I190"/>
    <mergeCell ref="J190:K190"/>
    <mergeCell ref="L190:M190"/>
    <mergeCell ref="N190:O190"/>
    <mergeCell ref="P192:Q192"/>
    <mergeCell ref="R192:S192"/>
    <mergeCell ref="T192:U192"/>
    <mergeCell ref="V192:W192"/>
    <mergeCell ref="X192:Y192"/>
    <mergeCell ref="Z192:AA192"/>
    <mergeCell ref="AB192:AC192"/>
    <mergeCell ref="B192:C192"/>
    <mergeCell ref="D192:E192"/>
    <mergeCell ref="F192:G192"/>
    <mergeCell ref="H192:I192"/>
    <mergeCell ref="J192:K192"/>
    <mergeCell ref="L192:M192"/>
    <mergeCell ref="N192:O192"/>
    <mergeCell ref="AD190:AE190"/>
    <mergeCell ref="AF190:AG190"/>
    <mergeCell ref="P190:Q190"/>
    <mergeCell ref="R190:S190"/>
    <mergeCell ref="T190:U190"/>
    <mergeCell ref="V190:W190"/>
    <mergeCell ref="X190:Y190"/>
    <mergeCell ref="Z190:AA190"/>
    <mergeCell ref="AB190:AC190"/>
    <mergeCell ref="AD191:AE191"/>
    <mergeCell ref="AF191:AG191"/>
    <mergeCell ref="AH191:AI191"/>
    <mergeCell ref="AJ191:AK191"/>
    <mergeCell ref="AL191:BB191"/>
    <mergeCell ref="P191:Q191"/>
    <mergeCell ref="R191:S191"/>
    <mergeCell ref="T191:U191"/>
    <mergeCell ref="V191:W191"/>
    <mergeCell ref="X191:Y191"/>
    <mergeCell ref="Z191:AA191"/>
    <mergeCell ref="AB191:AC191"/>
    <mergeCell ref="B191:C191"/>
    <mergeCell ref="D191:E191"/>
    <mergeCell ref="F191:G191"/>
    <mergeCell ref="H191:I191"/>
    <mergeCell ref="J191:K191"/>
    <mergeCell ref="L191:M191"/>
    <mergeCell ref="N191:O191"/>
    <mergeCell ref="AD192:AE192"/>
    <mergeCell ref="AF192:AG192"/>
    <mergeCell ref="AH192:AI192"/>
    <mergeCell ref="AJ192:AK192"/>
    <mergeCell ref="AL192:BB192"/>
    <mergeCell ref="AH187:AI187"/>
    <mergeCell ref="AJ187:AK187"/>
    <mergeCell ref="AL187:BB187"/>
    <mergeCell ref="B187:C187"/>
    <mergeCell ref="D187:E187"/>
    <mergeCell ref="F187:G187"/>
    <mergeCell ref="H187:I187"/>
    <mergeCell ref="J187:K187"/>
    <mergeCell ref="L187:M187"/>
    <mergeCell ref="N187:O187"/>
    <mergeCell ref="P189:Q189"/>
    <mergeCell ref="R189:S189"/>
    <mergeCell ref="T189:U189"/>
    <mergeCell ref="V189:W189"/>
    <mergeCell ref="X189:Y189"/>
    <mergeCell ref="Z189:AA189"/>
    <mergeCell ref="AB189:AC189"/>
    <mergeCell ref="B189:C189"/>
    <mergeCell ref="D189:E189"/>
    <mergeCell ref="F189:G189"/>
    <mergeCell ref="H189:I189"/>
    <mergeCell ref="J189:K189"/>
    <mergeCell ref="L189:M189"/>
    <mergeCell ref="N189:O189"/>
    <mergeCell ref="AD187:AE187"/>
    <mergeCell ref="AF187:AG187"/>
    <mergeCell ref="P187:Q187"/>
    <mergeCell ref="R187:S187"/>
    <mergeCell ref="T187:U187"/>
    <mergeCell ref="V187:W187"/>
    <mergeCell ref="X187:Y187"/>
    <mergeCell ref="Z187:AA187"/>
    <mergeCell ref="AB187:AC187"/>
    <mergeCell ref="AD188:AE188"/>
    <mergeCell ref="AF188:AG188"/>
    <mergeCell ref="AH188:AI188"/>
    <mergeCell ref="AJ188:AK188"/>
    <mergeCell ref="AL188:BB188"/>
    <mergeCell ref="P188:Q188"/>
    <mergeCell ref="R188:S188"/>
    <mergeCell ref="T188:U188"/>
    <mergeCell ref="V188:W188"/>
    <mergeCell ref="X188:Y188"/>
    <mergeCell ref="Z188:AA188"/>
    <mergeCell ref="AB188:AC188"/>
    <mergeCell ref="B188:C188"/>
    <mergeCell ref="D188:E188"/>
    <mergeCell ref="F188:G188"/>
    <mergeCell ref="H188:I188"/>
    <mergeCell ref="J188:K188"/>
    <mergeCell ref="L188:M188"/>
    <mergeCell ref="N188:O188"/>
    <mergeCell ref="AD189:AE189"/>
    <mergeCell ref="AF189:AG189"/>
    <mergeCell ref="AH189:AI189"/>
    <mergeCell ref="AJ189:AK189"/>
    <mergeCell ref="AL189:BB189"/>
    <mergeCell ref="AJ183:AK183"/>
    <mergeCell ref="AL183:BB183"/>
    <mergeCell ref="AH184:AI184"/>
    <mergeCell ref="AJ184:AK184"/>
    <mergeCell ref="AL184:BB184"/>
    <mergeCell ref="B184:C184"/>
    <mergeCell ref="D184:E184"/>
    <mergeCell ref="F184:G184"/>
    <mergeCell ref="H184:I184"/>
    <mergeCell ref="J184:K184"/>
    <mergeCell ref="L184:M184"/>
    <mergeCell ref="N184:O184"/>
    <mergeCell ref="P186:Q186"/>
    <mergeCell ref="R186:S186"/>
    <mergeCell ref="T186:U186"/>
    <mergeCell ref="V186:W186"/>
    <mergeCell ref="X186:Y186"/>
    <mergeCell ref="Z186:AA186"/>
    <mergeCell ref="AB186:AC186"/>
    <mergeCell ref="B186:C186"/>
    <mergeCell ref="D186:E186"/>
    <mergeCell ref="F186:G186"/>
    <mergeCell ref="H186:I186"/>
    <mergeCell ref="J186:K186"/>
    <mergeCell ref="L186:M186"/>
    <mergeCell ref="N186:O186"/>
    <mergeCell ref="AD184:AE184"/>
    <mergeCell ref="AF184:AG184"/>
    <mergeCell ref="P184:Q184"/>
    <mergeCell ref="R184:S184"/>
    <mergeCell ref="T184:U184"/>
    <mergeCell ref="V184:W184"/>
    <mergeCell ref="X184:Y184"/>
    <mergeCell ref="Z184:AA184"/>
    <mergeCell ref="AB184:AC184"/>
    <mergeCell ref="AD185:AE185"/>
    <mergeCell ref="AF185:AG185"/>
    <mergeCell ref="AH185:AI185"/>
    <mergeCell ref="AJ185:AK185"/>
    <mergeCell ref="AL185:BB185"/>
    <mergeCell ref="P185:Q185"/>
    <mergeCell ref="R185:S185"/>
    <mergeCell ref="T185:U185"/>
    <mergeCell ref="V185:W185"/>
    <mergeCell ref="X185:Y185"/>
    <mergeCell ref="Z185:AA185"/>
    <mergeCell ref="AB185:AC185"/>
    <mergeCell ref="B185:C185"/>
    <mergeCell ref="D185:E185"/>
    <mergeCell ref="F185:G185"/>
    <mergeCell ref="H185:I185"/>
    <mergeCell ref="J185:K185"/>
    <mergeCell ref="L185:M185"/>
    <mergeCell ref="N185:O185"/>
    <mergeCell ref="AD186:AE186"/>
    <mergeCell ref="AF186:AG186"/>
    <mergeCell ref="AH186:AI186"/>
    <mergeCell ref="AJ186:AK186"/>
    <mergeCell ref="AL186:BB186"/>
    <mergeCell ref="H179:I179"/>
    <mergeCell ref="J179:K179"/>
    <mergeCell ref="L179:M179"/>
    <mergeCell ref="N179:O179"/>
    <mergeCell ref="AD180:AE180"/>
    <mergeCell ref="AF180:AG180"/>
    <mergeCell ref="AH180:AI180"/>
    <mergeCell ref="AJ180:AK180"/>
    <mergeCell ref="AL180:BB180"/>
    <mergeCell ref="AH181:AI181"/>
    <mergeCell ref="AJ181:AK181"/>
    <mergeCell ref="AL181:BB181"/>
    <mergeCell ref="B181:C181"/>
    <mergeCell ref="D181:E181"/>
    <mergeCell ref="F181:G181"/>
    <mergeCell ref="H181:I181"/>
    <mergeCell ref="J181:K181"/>
    <mergeCell ref="L181:M181"/>
    <mergeCell ref="N181:O181"/>
    <mergeCell ref="P183:Q183"/>
    <mergeCell ref="R183:S183"/>
    <mergeCell ref="T183:U183"/>
    <mergeCell ref="V183:W183"/>
    <mergeCell ref="X183:Y183"/>
    <mergeCell ref="Z183:AA183"/>
    <mergeCell ref="AB183:AC183"/>
    <mergeCell ref="B183:C183"/>
    <mergeCell ref="D183:E183"/>
    <mergeCell ref="F183:G183"/>
    <mergeCell ref="H183:I183"/>
    <mergeCell ref="J183:K183"/>
    <mergeCell ref="L183:M183"/>
    <mergeCell ref="N183:O183"/>
    <mergeCell ref="AD181:AE181"/>
    <mergeCell ref="AF181:AG181"/>
    <mergeCell ref="P181:Q181"/>
    <mergeCell ref="R181:S181"/>
    <mergeCell ref="T181:U181"/>
    <mergeCell ref="V181:W181"/>
    <mergeCell ref="X181:Y181"/>
    <mergeCell ref="Z181:AA181"/>
    <mergeCell ref="AB181:AC181"/>
    <mergeCell ref="AD182:AE182"/>
    <mergeCell ref="AF182:AG182"/>
    <mergeCell ref="AH182:AI182"/>
    <mergeCell ref="AJ182:AK182"/>
    <mergeCell ref="AL182:BB182"/>
    <mergeCell ref="P182:Q182"/>
    <mergeCell ref="R182:S182"/>
    <mergeCell ref="T182:U182"/>
    <mergeCell ref="V182:W182"/>
    <mergeCell ref="X182:Y182"/>
    <mergeCell ref="Z182:AA182"/>
    <mergeCell ref="AB182:AC182"/>
    <mergeCell ref="B182:C182"/>
    <mergeCell ref="D182:E182"/>
    <mergeCell ref="F182:G182"/>
    <mergeCell ref="H182:I182"/>
    <mergeCell ref="J182:K182"/>
    <mergeCell ref="L182:M182"/>
    <mergeCell ref="N182:O182"/>
    <mergeCell ref="AD183:AE183"/>
    <mergeCell ref="AF183:AG183"/>
    <mergeCell ref="AH183:AI183"/>
    <mergeCell ref="P177:Q177"/>
    <mergeCell ref="R177:S177"/>
    <mergeCell ref="T177:U177"/>
    <mergeCell ref="V177:W177"/>
    <mergeCell ref="X177:Y177"/>
    <mergeCell ref="Z177:AA177"/>
    <mergeCell ref="AB177:AC177"/>
    <mergeCell ref="B177:C177"/>
    <mergeCell ref="D177:E177"/>
    <mergeCell ref="F177:G177"/>
    <mergeCell ref="H177:I177"/>
    <mergeCell ref="J177:K177"/>
    <mergeCell ref="L177:M177"/>
    <mergeCell ref="N177:O177"/>
    <mergeCell ref="AD199:AE199"/>
    <mergeCell ref="AF199:AG199"/>
    <mergeCell ref="AH199:AI199"/>
    <mergeCell ref="AJ199:AK199"/>
    <mergeCell ref="AL199:BB199"/>
    <mergeCell ref="P199:Q199"/>
    <mergeCell ref="R199:S199"/>
    <mergeCell ref="T199:U199"/>
    <mergeCell ref="V199:W199"/>
    <mergeCell ref="X199:Y199"/>
    <mergeCell ref="Z199:AA199"/>
    <mergeCell ref="AB199:AC199"/>
    <mergeCell ref="P180:Q180"/>
    <mergeCell ref="R180:S180"/>
    <mergeCell ref="T180:U180"/>
    <mergeCell ref="V180:W180"/>
    <mergeCell ref="X180:Y180"/>
    <mergeCell ref="Z180:AA180"/>
    <mergeCell ref="AB180:AC180"/>
    <mergeCell ref="B180:C180"/>
    <mergeCell ref="D180:E180"/>
    <mergeCell ref="F180:G180"/>
    <mergeCell ref="H180:I180"/>
    <mergeCell ref="J180:K180"/>
    <mergeCell ref="L180:M180"/>
    <mergeCell ref="N180:O180"/>
    <mergeCell ref="AD178:AE178"/>
    <mergeCell ref="AF178:AG178"/>
    <mergeCell ref="P178:Q178"/>
    <mergeCell ref="R178:S178"/>
    <mergeCell ref="T178:U178"/>
    <mergeCell ref="V178:W178"/>
    <mergeCell ref="X178:Y178"/>
    <mergeCell ref="Z178:AA178"/>
    <mergeCell ref="AB178:AC178"/>
    <mergeCell ref="AD179:AE179"/>
    <mergeCell ref="AF179:AG179"/>
    <mergeCell ref="AH179:AI179"/>
    <mergeCell ref="AJ179:AK179"/>
    <mergeCell ref="AL179:BB179"/>
    <mergeCell ref="P179:Q179"/>
    <mergeCell ref="R179:S179"/>
    <mergeCell ref="T179:U179"/>
    <mergeCell ref="V179:W179"/>
    <mergeCell ref="X179:Y179"/>
    <mergeCell ref="Z179:AA179"/>
    <mergeCell ref="AB179:AC179"/>
    <mergeCell ref="B179:C179"/>
    <mergeCell ref="D179:E179"/>
    <mergeCell ref="F179:G179"/>
    <mergeCell ref="AL168:BB168"/>
    <mergeCell ref="AH169:AI169"/>
    <mergeCell ref="AJ169:AK169"/>
    <mergeCell ref="AL169:BB169"/>
    <mergeCell ref="B169:C169"/>
    <mergeCell ref="D169:E169"/>
    <mergeCell ref="F169:G169"/>
    <mergeCell ref="H169:I169"/>
    <mergeCell ref="J169:K169"/>
    <mergeCell ref="L169:M169"/>
    <mergeCell ref="N169:O169"/>
    <mergeCell ref="P171:Q171"/>
    <mergeCell ref="R171:S171"/>
    <mergeCell ref="T171:U171"/>
    <mergeCell ref="V171:W171"/>
    <mergeCell ref="X171:Y171"/>
    <mergeCell ref="Z171:AA171"/>
    <mergeCell ref="AB171:AC171"/>
    <mergeCell ref="B171:C171"/>
    <mergeCell ref="D171:E171"/>
    <mergeCell ref="F171:G171"/>
    <mergeCell ref="H171:I171"/>
    <mergeCell ref="J171:K171"/>
    <mergeCell ref="L171:M171"/>
    <mergeCell ref="N171:O171"/>
    <mergeCell ref="AD169:AE169"/>
    <mergeCell ref="AF169:AG169"/>
    <mergeCell ref="P169:Q169"/>
    <mergeCell ref="R169:S169"/>
    <mergeCell ref="T169:U169"/>
    <mergeCell ref="V169:W169"/>
    <mergeCell ref="X169:Y169"/>
    <mergeCell ref="Z169:AA169"/>
    <mergeCell ref="AB169:AC169"/>
    <mergeCell ref="AD170:AE170"/>
    <mergeCell ref="AF170:AG170"/>
    <mergeCell ref="AH170:AI170"/>
    <mergeCell ref="AJ170:AK170"/>
    <mergeCell ref="AL170:BB170"/>
    <mergeCell ref="P170:Q170"/>
    <mergeCell ref="R170:S170"/>
    <mergeCell ref="T170:U170"/>
    <mergeCell ref="V170:W170"/>
    <mergeCell ref="X170:Y170"/>
    <mergeCell ref="Z170:AA170"/>
    <mergeCell ref="AB170:AC170"/>
    <mergeCell ref="B170:C170"/>
    <mergeCell ref="D170:E170"/>
    <mergeCell ref="F170:G170"/>
    <mergeCell ref="H170:I170"/>
    <mergeCell ref="J170:K170"/>
    <mergeCell ref="L170:M170"/>
    <mergeCell ref="N170:O170"/>
    <mergeCell ref="AD171:AE171"/>
    <mergeCell ref="AF171:AG171"/>
    <mergeCell ref="AH171:AI171"/>
    <mergeCell ref="AJ171:AK171"/>
    <mergeCell ref="AL171:BB171"/>
    <mergeCell ref="AD177:AE177"/>
    <mergeCell ref="AF177:AG177"/>
    <mergeCell ref="AH177:AI177"/>
    <mergeCell ref="AJ177:AK177"/>
    <mergeCell ref="AL177:BB177"/>
    <mergeCell ref="AH178:AI178"/>
    <mergeCell ref="AJ178:AK178"/>
    <mergeCell ref="AL178:BB178"/>
    <mergeCell ref="B178:C178"/>
    <mergeCell ref="D178:E178"/>
    <mergeCell ref="F178:G178"/>
    <mergeCell ref="H178:I178"/>
    <mergeCell ref="J178:K178"/>
    <mergeCell ref="L178:M178"/>
    <mergeCell ref="N178:O178"/>
    <mergeCell ref="AD163:AE163"/>
    <mergeCell ref="AF163:AG163"/>
    <mergeCell ref="P163:Q163"/>
    <mergeCell ref="R163:S163"/>
    <mergeCell ref="T163:U163"/>
    <mergeCell ref="V163:W163"/>
    <mergeCell ref="X163:Y163"/>
    <mergeCell ref="Z163:AA163"/>
    <mergeCell ref="AB163:AC163"/>
    <mergeCell ref="AD164:AE164"/>
    <mergeCell ref="AF164:AG164"/>
    <mergeCell ref="AH164:AI164"/>
    <mergeCell ref="AJ164:AK164"/>
    <mergeCell ref="AL164:BB164"/>
    <mergeCell ref="P164:Q164"/>
    <mergeCell ref="R164:S164"/>
    <mergeCell ref="T164:U164"/>
    <mergeCell ref="V164:W164"/>
    <mergeCell ref="X164:Y164"/>
    <mergeCell ref="Z164:AA164"/>
    <mergeCell ref="AB164:AC164"/>
    <mergeCell ref="B164:C164"/>
    <mergeCell ref="D164:E164"/>
    <mergeCell ref="F164:G164"/>
    <mergeCell ref="H164:I164"/>
    <mergeCell ref="J164:K164"/>
    <mergeCell ref="L164:M164"/>
    <mergeCell ref="N164:O164"/>
    <mergeCell ref="AD165:AE165"/>
    <mergeCell ref="AF165:AG165"/>
    <mergeCell ref="AH165:AI165"/>
    <mergeCell ref="AJ165:AK165"/>
    <mergeCell ref="AL165:BB165"/>
    <mergeCell ref="AH166:AI166"/>
    <mergeCell ref="AJ166:AK166"/>
    <mergeCell ref="AL166:BB166"/>
    <mergeCell ref="B166:C166"/>
    <mergeCell ref="D166:E166"/>
    <mergeCell ref="F166:G166"/>
    <mergeCell ref="H166:I166"/>
    <mergeCell ref="J166:K166"/>
    <mergeCell ref="L166:M166"/>
    <mergeCell ref="N166:O166"/>
    <mergeCell ref="AD166:AE166"/>
    <mergeCell ref="AF166:AG166"/>
    <mergeCell ref="P166:Q166"/>
    <mergeCell ref="R166:S166"/>
    <mergeCell ref="T166:U166"/>
    <mergeCell ref="V166:W166"/>
    <mergeCell ref="AH175:AI175"/>
    <mergeCell ref="AJ175:AK175"/>
    <mergeCell ref="AL175:BB175"/>
    <mergeCell ref="B175:C175"/>
    <mergeCell ref="D175:E175"/>
    <mergeCell ref="F175:G175"/>
    <mergeCell ref="H175:I175"/>
    <mergeCell ref="J175:K175"/>
    <mergeCell ref="L175:M175"/>
    <mergeCell ref="N175:O175"/>
    <mergeCell ref="AD175:AE175"/>
    <mergeCell ref="AF175:AG175"/>
    <mergeCell ref="P175:Q175"/>
    <mergeCell ref="R175:S175"/>
    <mergeCell ref="T175:U175"/>
    <mergeCell ref="V175:W175"/>
    <mergeCell ref="X175:Y175"/>
    <mergeCell ref="Z175:AA175"/>
    <mergeCell ref="AB175:AC175"/>
    <mergeCell ref="AD176:AE176"/>
    <mergeCell ref="AF176:AG176"/>
    <mergeCell ref="AH176:AI176"/>
    <mergeCell ref="AJ176:AK176"/>
    <mergeCell ref="AL176:BB176"/>
    <mergeCell ref="P176:Q176"/>
    <mergeCell ref="R176:S176"/>
    <mergeCell ref="T176:U176"/>
    <mergeCell ref="V176:W176"/>
    <mergeCell ref="X176:Y176"/>
    <mergeCell ref="Z176:AA176"/>
    <mergeCell ref="AB176:AC176"/>
    <mergeCell ref="B176:C176"/>
    <mergeCell ref="D176:E176"/>
    <mergeCell ref="F176:G176"/>
    <mergeCell ref="H176:I176"/>
    <mergeCell ref="J176:K176"/>
    <mergeCell ref="L176:M176"/>
    <mergeCell ref="N176:O176"/>
    <mergeCell ref="AD172:AE172"/>
    <mergeCell ref="AF172:AG172"/>
    <mergeCell ref="P172:Q172"/>
    <mergeCell ref="R172:S172"/>
    <mergeCell ref="T172:U172"/>
    <mergeCell ref="V172:W172"/>
    <mergeCell ref="X172:Y172"/>
    <mergeCell ref="Z172:AA172"/>
    <mergeCell ref="AB172:AC172"/>
    <mergeCell ref="AD173:AE173"/>
    <mergeCell ref="AF173:AG173"/>
    <mergeCell ref="AH173:AI173"/>
    <mergeCell ref="AJ173:AK173"/>
    <mergeCell ref="AL173:BB173"/>
    <mergeCell ref="P173:Q173"/>
    <mergeCell ref="R173:S173"/>
    <mergeCell ref="T173:U173"/>
    <mergeCell ref="V173:W173"/>
    <mergeCell ref="X173:Y173"/>
    <mergeCell ref="Z173:AA173"/>
    <mergeCell ref="AB173:AC173"/>
    <mergeCell ref="B173:C173"/>
    <mergeCell ref="D173:E173"/>
    <mergeCell ref="F173:G173"/>
    <mergeCell ref="H173:I173"/>
    <mergeCell ref="J173:K173"/>
    <mergeCell ref="L173:M173"/>
    <mergeCell ref="N173:O173"/>
    <mergeCell ref="AD174:AE174"/>
    <mergeCell ref="AF174:AG174"/>
    <mergeCell ref="AH174:AI174"/>
    <mergeCell ref="AJ174:AK174"/>
    <mergeCell ref="AL174:BB174"/>
    <mergeCell ref="AH172:AI172"/>
    <mergeCell ref="AJ172:AK172"/>
    <mergeCell ref="AL172:BB172"/>
    <mergeCell ref="B172:C172"/>
    <mergeCell ref="D172:E172"/>
    <mergeCell ref="F172:G172"/>
    <mergeCell ref="H172:I172"/>
    <mergeCell ref="J172:K172"/>
    <mergeCell ref="L172:M172"/>
    <mergeCell ref="N172:O172"/>
    <mergeCell ref="P174:Q174"/>
    <mergeCell ref="R174:S174"/>
    <mergeCell ref="T174:U174"/>
    <mergeCell ref="V174:W174"/>
    <mergeCell ref="X174:Y174"/>
    <mergeCell ref="Z174:AA174"/>
    <mergeCell ref="AB174:AC174"/>
    <mergeCell ref="B174:C174"/>
    <mergeCell ref="D174:E174"/>
    <mergeCell ref="F174:G174"/>
    <mergeCell ref="H174:I174"/>
    <mergeCell ref="J174:K174"/>
    <mergeCell ref="L174:M174"/>
    <mergeCell ref="N174:O174"/>
    <mergeCell ref="P1596:Q1596"/>
    <mergeCell ref="R1596:S1596"/>
    <mergeCell ref="T1596:U1596"/>
    <mergeCell ref="V1596:W1596"/>
    <mergeCell ref="X1596:Y1596"/>
    <mergeCell ref="Z1596:AA1596"/>
    <mergeCell ref="AB1596:AC1596"/>
    <mergeCell ref="B1596:C1596"/>
    <mergeCell ref="D1596:E1596"/>
    <mergeCell ref="F1596:G1596"/>
    <mergeCell ref="H1596:I1596"/>
    <mergeCell ref="J1596:K1596"/>
    <mergeCell ref="L1596:M1596"/>
    <mergeCell ref="N1596:O1596"/>
    <mergeCell ref="AH1595:AI1595"/>
    <mergeCell ref="AJ1595:AK1595"/>
    <mergeCell ref="AL1595:BB1595"/>
    <mergeCell ref="P1595:Q1595"/>
    <mergeCell ref="R1595:S1595"/>
    <mergeCell ref="T1595:U1595"/>
    <mergeCell ref="V1595:W1595"/>
    <mergeCell ref="X1595:Y1595"/>
    <mergeCell ref="Z1595:AA1595"/>
    <mergeCell ref="AB1595:AC1595"/>
    <mergeCell ref="B1595:C1595"/>
    <mergeCell ref="D1595:E1595"/>
    <mergeCell ref="F1595:G1595"/>
    <mergeCell ref="H1595:I1595"/>
    <mergeCell ref="J1595:K1595"/>
    <mergeCell ref="L1595:M1595"/>
    <mergeCell ref="N1595:O1595"/>
    <mergeCell ref="AD1596:AE1596"/>
    <mergeCell ref="AF1596:AG1596"/>
    <mergeCell ref="AH1596:AI1596"/>
    <mergeCell ref="AJ1596:AK1596"/>
    <mergeCell ref="AL1596:BB1596"/>
    <mergeCell ref="AH1588:AI1588"/>
    <mergeCell ref="AJ1588:AK1588"/>
    <mergeCell ref="AL1588:BB1588"/>
    <mergeCell ref="B1588:C1588"/>
    <mergeCell ref="D1588:E1588"/>
    <mergeCell ref="F1588:G1588"/>
    <mergeCell ref="H1588:I1588"/>
    <mergeCell ref="J1588:K1588"/>
    <mergeCell ref="L1588:M1588"/>
    <mergeCell ref="N1588:O1588"/>
    <mergeCell ref="P1590:Q1590"/>
    <mergeCell ref="R1590:S1590"/>
    <mergeCell ref="T1590:U1590"/>
    <mergeCell ref="V1590:W1590"/>
    <mergeCell ref="X1590:Y1590"/>
    <mergeCell ref="Z1590:AA1590"/>
    <mergeCell ref="AB1590:AC1590"/>
    <mergeCell ref="B1590:C1590"/>
    <mergeCell ref="D1590:E1590"/>
    <mergeCell ref="F1590:G1590"/>
    <mergeCell ref="H1590:I1590"/>
    <mergeCell ref="J1590:K1590"/>
    <mergeCell ref="L1590:M1590"/>
    <mergeCell ref="N1590:O1590"/>
    <mergeCell ref="AD1588:AE1588"/>
    <mergeCell ref="AF1588:AG1588"/>
    <mergeCell ref="P1588:Q1588"/>
    <mergeCell ref="R1588:S1588"/>
    <mergeCell ref="T1588:U1588"/>
    <mergeCell ref="V1588:W1588"/>
    <mergeCell ref="X1588:Y1588"/>
    <mergeCell ref="Z1588:AA1588"/>
    <mergeCell ref="AB1588:AC1588"/>
    <mergeCell ref="AD1589:AE1589"/>
    <mergeCell ref="AF1589:AG1589"/>
    <mergeCell ref="AH1589:AI1589"/>
    <mergeCell ref="AJ1589:AK1589"/>
    <mergeCell ref="AL1589:BB1589"/>
    <mergeCell ref="P1589:Q1589"/>
    <mergeCell ref="R1589:S1589"/>
    <mergeCell ref="T1589:U1589"/>
    <mergeCell ref="V1589:W1589"/>
    <mergeCell ref="X1589:Y1589"/>
    <mergeCell ref="Z1589:AA1589"/>
    <mergeCell ref="AB1589:AC1589"/>
    <mergeCell ref="B1589:C1589"/>
    <mergeCell ref="D1589:E1589"/>
    <mergeCell ref="F1589:G1589"/>
    <mergeCell ref="H1589:I1589"/>
    <mergeCell ref="J1589:K1589"/>
    <mergeCell ref="L1589:M1589"/>
    <mergeCell ref="N1589:O1589"/>
    <mergeCell ref="AD1590:AE1590"/>
    <mergeCell ref="AF1590:AG1590"/>
    <mergeCell ref="AH1590:AI1590"/>
    <mergeCell ref="AJ1590:AK1590"/>
    <mergeCell ref="AL1590:BB1590"/>
    <mergeCell ref="B1585:C1585"/>
    <mergeCell ref="D1585:E1585"/>
    <mergeCell ref="F1585:G1585"/>
    <mergeCell ref="H1585:I1585"/>
    <mergeCell ref="J1585:K1585"/>
    <mergeCell ref="L1585:M1585"/>
    <mergeCell ref="N1585:O1585"/>
    <mergeCell ref="AD1586:AE1586"/>
    <mergeCell ref="AF1586:AG1586"/>
    <mergeCell ref="AH1586:AI1586"/>
    <mergeCell ref="AJ1586:AK1586"/>
    <mergeCell ref="AL1586:BB1586"/>
    <mergeCell ref="P1586:Q1586"/>
    <mergeCell ref="R1586:S1586"/>
    <mergeCell ref="T1586:U1586"/>
    <mergeCell ref="V1586:W1586"/>
    <mergeCell ref="X1586:Y1586"/>
    <mergeCell ref="Z1586:AA1586"/>
    <mergeCell ref="AB1586:AC1586"/>
    <mergeCell ref="B1586:C1586"/>
    <mergeCell ref="D1586:E1586"/>
    <mergeCell ref="F1586:G1586"/>
    <mergeCell ref="H1586:I1586"/>
    <mergeCell ref="J1586:K1586"/>
    <mergeCell ref="L1586:M1586"/>
    <mergeCell ref="N1586:O1586"/>
    <mergeCell ref="AD1587:AE1587"/>
    <mergeCell ref="AF1587:AG1587"/>
    <mergeCell ref="AH1587:AI1587"/>
    <mergeCell ref="AJ1587:AK1587"/>
    <mergeCell ref="AL1587:BB1587"/>
    <mergeCell ref="P1587:Q1587"/>
    <mergeCell ref="R1587:S1587"/>
    <mergeCell ref="T1587:U1587"/>
    <mergeCell ref="V1587:W1587"/>
    <mergeCell ref="X1587:Y1587"/>
    <mergeCell ref="Z1587:AA1587"/>
    <mergeCell ref="AB1587:AC1587"/>
    <mergeCell ref="B1587:C1587"/>
    <mergeCell ref="D1587:E1587"/>
    <mergeCell ref="F1587:G1587"/>
    <mergeCell ref="H1587:I1587"/>
    <mergeCell ref="J1587:K1587"/>
    <mergeCell ref="L1587:M1587"/>
    <mergeCell ref="N1587:O1587"/>
    <mergeCell ref="AH1582:AI1582"/>
    <mergeCell ref="AJ1582:AK1582"/>
    <mergeCell ref="AL1582:BB1582"/>
    <mergeCell ref="B1582:C1582"/>
    <mergeCell ref="D1582:E1582"/>
    <mergeCell ref="F1582:G1582"/>
    <mergeCell ref="H1582:I1582"/>
    <mergeCell ref="J1582:K1582"/>
    <mergeCell ref="L1582:M1582"/>
    <mergeCell ref="N1582:O1582"/>
    <mergeCell ref="P1584:Q1584"/>
    <mergeCell ref="R1584:S1584"/>
    <mergeCell ref="T1584:U1584"/>
    <mergeCell ref="V1584:W1584"/>
    <mergeCell ref="X1584:Y1584"/>
    <mergeCell ref="Z1584:AA1584"/>
    <mergeCell ref="AB1584:AC1584"/>
    <mergeCell ref="B1584:C1584"/>
    <mergeCell ref="D1584:E1584"/>
    <mergeCell ref="F1584:G1584"/>
    <mergeCell ref="H1584:I1584"/>
    <mergeCell ref="J1584:K1584"/>
    <mergeCell ref="L1584:M1584"/>
    <mergeCell ref="N1584:O1584"/>
    <mergeCell ref="AD1582:AE1582"/>
    <mergeCell ref="AF1582:AG1582"/>
    <mergeCell ref="P1582:Q1582"/>
    <mergeCell ref="R1582:S1582"/>
    <mergeCell ref="T1582:U1582"/>
    <mergeCell ref="V1582:W1582"/>
    <mergeCell ref="X1582:Y1582"/>
    <mergeCell ref="Z1582:AA1582"/>
    <mergeCell ref="AB1582:AC1582"/>
    <mergeCell ref="AD1583:AE1583"/>
    <mergeCell ref="AF1583:AG1583"/>
    <mergeCell ref="AH1583:AI1583"/>
    <mergeCell ref="AJ1583:AK1583"/>
    <mergeCell ref="AL1583:BB1583"/>
    <mergeCell ref="P1583:Q1583"/>
    <mergeCell ref="R1583:S1583"/>
    <mergeCell ref="T1583:U1583"/>
    <mergeCell ref="V1583:W1583"/>
    <mergeCell ref="X1583:Y1583"/>
    <mergeCell ref="Z1583:AA1583"/>
    <mergeCell ref="AB1583:AC1583"/>
    <mergeCell ref="B1583:C1583"/>
    <mergeCell ref="D1583:E1583"/>
    <mergeCell ref="F1583:G1583"/>
    <mergeCell ref="H1583:I1583"/>
    <mergeCell ref="J1583:K1583"/>
    <mergeCell ref="L1583:M1583"/>
    <mergeCell ref="N1583:O1583"/>
    <mergeCell ref="AD1584:AE1584"/>
    <mergeCell ref="AF1584:AG1584"/>
    <mergeCell ref="AH1584:AI1584"/>
    <mergeCell ref="AJ1584:AK1584"/>
    <mergeCell ref="AL1584:BB1584"/>
    <mergeCell ref="AH1579:AI1579"/>
    <mergeCell ref="AJ1579:AK1579"/>
    <mergeCell ref="AL1579:BB1579"/>
    <mergeCell ref="B1579:C1579"/>
    <mergeCell ref="D1579:E1579"/>
    <mergeCell ref="F1579:G1579"/>
    <mergeCell ref="H1579:I1579"/>
    <mergeCell ref="J1579:K1579"/>
    <mergeCell ref="L1579:M1579"/>
    <mergeCell ref="N1579:O1579"/>
    <mergeCell ref="P1581:Q1581"/>
    <mergeCell ref="R1581:S1581"/>
    <mergeCell ref="T1581:U1581"/>
    <mergeCell ref="V1581:W1581"/>
    <mergeCell ref="X1581:Y1581"/>
    <mergeCell ref="Z1581:AA1581"/>
    <mergeCell ref="AB1581:AC1581"/>
    <mergeCell ref="B1581:C1581"/>
    <mergeCell ref="D1581:E1581"/>
    <mergeCell ref="F1581:G1581"/>
    <mergeCell ref="H1581:I1581"/>
    <mergeCell ref="J1581:K1581"/>
    <mergeCell ref="L1581:M1581"/>
    <mergeCell ref="N1581:O1581"/>
    <mergeCell ref="AD1579:AE1579"/>
    <mergeCell ref="AF1579:AG1579"/>
    <mergeCell ref="P1579:Q1579"/>
    <mergeCell ref="R1579:S1579"/>
    <mergeCell ref="T1579:U1579"/>
    <mergeCell ref="V1579:W1579"/>
    <mergeCell ref="X1579:Y1579"/>
    <mergeCell ref="Z1579:AA1579"/>
    <mergeCell ref="AB1579:AC1579"/>
    <mergeCell ref="AD1580:AE1580"/>
    <mergeCell ref="AF1580:AG1580"/>
    <mergeCell ref="AH1580:AI1580"/>
    <mergeCell ref="AJ1580:AK1580"/>
    <mergeCell ref="AL1580:BB1580"/>
    <mergeCell ref="P1580:Q1580"/>
    <mergeCell ref="R1580:S1580"/>
    <mergeCell ref="T1580:U1580"/>
    <mergeCell ref="V1580:W1580"/>
    <mergeCell ref="X1580:Y1580"/>
    <mergeCell ref="Z1580:AA1580"/>
    <mergeCell ref="AB1580:AC1580"/>
    <mergeCell ref="B1580:C1580"/>
    <mergeCell ref="D1580:E1580"/>
    <mergeCell ref="F1580:G1580"/>
    <mergeCell ref="H1580:I1580"/>
    <mergeCell ref="J1580:K1580"/>
    <mergeCell ref="L1580:M1580"/>
    <mergeCell ref="N1580:O1580"/>
    <mergeCell ref="AD1581:AE1581"/>
    <mergeCell ref="AF1581:AG1581"/>
    <mergeCell ref="AH1581:AI1581"/>
    <mergeCell ref="AJ1581:AK1581"/>
    <mergeCell ref="AL1581:BB1581"/>
    <mergeCell ref="AH1576:AI1576"/>
    <mergeCell ref="AJ1576:AK1576"/>
    <mergeCell ref="AL1576:BB1576"/>
    <mergeCell ref="B1576:C1576"/>
    <mergeCell ref="D1576:E1576"/>
    <mergeCell ref="F1576:G1576"/>
    <mergeCell ref="H1576:I1576"/>
    <mergeCell ref="J1576:K1576"/>
    <mergeCell ref="L1576:M1576"/>
    <mergeCell ref="N1576:O1576"/>
    <mergeCell ref="P1578:Q1578"/>
    <mergeCell ref="R1578:S1578"/>
    <mergeCell ref="T1578:U1578"/>
    <mergeCell ref="V1578:W1578"/>
    <mergeCell ref="X1578:Y1578"/>
    <mergeCell ref="Z1578:AA1578"/>
    <mergeCell ref="AB1578:AC1578"/>
    <mergeCell ref="B1578:C1578"/>
    <mergeCell ref="D1578:E1578"/>
    <mergeCell ref="F1578:G1578"/>
    <mergeCell ref="H1578:I1578"/>
    <mergeCell ref="J1578:K1578"/>
    <mergeCell ref="L1578:M1578"/>
    <mergeCell ref="N1578:O1578"/>
    <mergeCell ref="AD1576:AE1576"/>
    <mergeCell ref="AF1576:AG1576"/>
    <mergeCell ref="P1576:Q1576"/>
    <mergeCell ref="R1576:S1576"/>
    <mergeCell ref="T1576:U1576"/>
    <mergeCell ref="V1576:W1576"/>
    <mergeCell ref="X1576:Y1576"/>
    <mergeCell ref="Z1576:AA1576"/>
    <mergeCell ref="AB1576:AC1576"/>
    <mergeCell ref="AD1577:AE1577"/>
    <mergeCell ref="AF1577:AG1577"/>
    <mergeCell ref="AH1577:AI1577"/>
    <mergeCell ref="AJ1577:AK1577"/>
    <mergeCell ref="AL1577:BB1577"/>
    <mergeCell ref="P1577:Q1577"/>
    <mergeCell ref="R1577:S1577"/>
    <mergeCell ref="T1577:U1577"/>
    <mergeCell ref="V1577:W1577"/>
    <mergeCell ref="X1577:Y1577"/>
    <mergeCell ref="Z1577:AA1577"/>
    <mergeCell ref="AB1577:AC1577"/>
    <mergeCell ref="B1577:C1577"/>
    <mergeCell ref="D1577:E1577"/>
    <mergeCell ref="F1577:G1577"/>
    <mergeCell ref="H1577:I1577"/>
    <mergeCell ref="J1577:K1577"/>
    <mergeCell ref="L1577:M1577"/>
    <mergeCell ref="N1577:O1577"/>
    <mergeCell ref="AD1578:AE1578"/>
    <mergeCell ref="AF1578:AG1578"/>
    <mergeCell ref="AH1578:AI1578"/>
    <mergeCell ref="AJ1578:AK1578"/>
    <mergeCell ref="AL1578:BB1578"/>
    <mergeCell ref="AH1573:AI1573"/>
    <mergeCell ref="AJ1573:AK1573"/>
    <mergeCell ref="AL1573:BB1573"/>
    <mergeCell ref="B1573:C1573"/>
    <mergeCell ref="D1573:E1573"/>
    <mergeCell ref="F1573:G1573"/>
    <mergeCell ref="H1573:I1573"/>
    <mergeCell ref="J1573:K1573"/>
    <mergeCell ref="L1573:M1573"/>
    <mergeCell ref="N1573:O1573"/>
    <mergeCell ref="P1575:Q1575"/>
    <mergeCell ref="R1575:S1575"/>
    <mergeCell ref="T1575:U1575"/>
    <mergeCell ref="V1575:W1575"/>
    <mergeCell ref="X1575:Y1575"/>
    <mergeCell ref="Z1575:AA1575"/>
    <mergeCell ref="AB1575:AC1575"/>
    <mergeCell ref="B1575:C1575"/>
    <mergeCell ref="D1575:E1575"/>
    <mergeCell ref="F1575:G1575"/>
    <mergeCell ref="H1575:I1575"/>
    <mergeCell ref="J1575:K1575"/>
    <mergeCell ref="L1575:M1575"/>
    <mergeCell ref="N1575:O1575"/>
    <mergeCell ref="AD1573:AE1573"/>
    <mergeCell ref="AF1573:AG1573"/>
    <mergeCell ref="P1573:Q1573"/>
    <mergeCell ref="R1573:S1573"/>
    <mergeCell ref="T1573:U1573"/>
    <mergeCell ref="V1573:W1573"/>
    <mergeCell ref="X1573:Y1573"/>
    <mergeCell ref="Z1573:AA1573"/>
    <mergeCell ref="AB1573:AC1573"/>
    <mergeCell ref="AD1574:AE1574"/>
    <mergeCell ref="AF1574:AG1574"/>
    <mergeCell ref="AH1574:AI1574"/>
    <mergeCell ref="AJ1574:AK1574"/>
    <mergeCell ref="AL1574:BB1574"/>
    <mergeCell ref="P1574:Q1574"/>
    <mergeCell ref="R1574:S1574"/>
    <mergeCell ref="T1574:U1574"/>
    <mergeCell ref="V1574:W1574"/>
    <mergeCell ref="X1574:Y1574"/>
    <mergeCell ref="Z1574:AA1574"/>
    <mergeCell ref="AB1574:AC1574"/>
    <mergeCell ref="B1574:C1574"/>
    <mergeCell ref="D1574:E1574"/>
    <mergeCell ref="F1574:G1574"/>
    <mergeCell ref="H1574:I1574"/>
    <mergeCell ref="J1574:K1574"/>
    <mergeCell ref="L1574:M1574"/>
    <mergeCell ref="N1574:O1574"/>
    <mergeCell ref="AD1575:AE1575"/>
    <mergeCell ref="AF1575:AG1575"/>
    <mergeCell ref="AH1575:AI1575"/>
    <mergeCell ref="AJ1575:AK1575"/>
    <mergeCell ref="AL1575:BB1575"/>
    <mergeCell ref="AJ1569:AK1569"/>
    <mergeCell ref="AL1569:BB1569"/>
    <mergeCell ref="AH1570:AI1570"/>
    <mergeCell ref="AJ1570:AK1570"/>
    <mergeCell ref="AL1570:BB1570"/>
    <mergeCell ref="B1570:C1570"/>
    <mergeCell ref="D1570:E1570"/>
    <mergeCell ref="F1570:G1570"/>
    <mergeCell ref="H1570:I1570"/>
    <mergeCell ref="J1570:K1570"/>
    <mergeCell ref="L1570:M1570"/>
    <mergeCell ref="N1570:O1570"/>
    <mergeCell ref="P1572:Q1572"/>
    <mergeCell ref="R1572:S1572"/>
    <mergeCell ref="T1572:U1572"/>
    <mergeCell ref="V1572:W1572"/>
    <mergeCell ref="X1572:Y1572"/>
    <mergeCell ref="Z1572:AA1572"/>
    <mergeCell ref="AB1572:AC1572"/>
    <mergeCell ref="B1572:C1572"/>
    <mergeCell ref="D1572:E1572"/>
    <mergeCell ref="F1572:G1572"/>
    <mergeCell ref="H1572:I1572"/>
    <mergeCell ref="J1572:K1572"/>
    <mergeCell ref="L1572:M1572"/>
    <mergeCell ref="N1572:O1572"/>
    <mergeCell ref="AD1570:AE1570"/>
    <mergeCell ref="AF1570:AG1570"/>
    <mergeCell ref="P1570:Q1570"/>
    <mergeCell ref="R1570:S1570"/>
    <mergeCell ref="T1570:U1570"/>
    <mergeCell ref="V1570:W1570"/>
    <mergeCell ref="X1570:Y1570"/>
    <mergeCell ref="Z1570:AA1570"/>
    <mergeCell ref="AB1570:AC1570"/>
    <mergeCell ref="AD1571:AE1571"/>
    <mergeCell ref="AF1571:AG1571"/>
    <mergeCell ref="AH1571:AI1571"/>
    <mergeCell ref="AJ1571:AK1571"/>
    <mergeCell ref="AL1571:BB1571"/>
    <mergeCell ref="P1571:Q1571"/>
    <mergeCell ref="R1571:S1571"/>
    <mergeCell ref="T1571:U1571"/>
    <mergeCell ref="V1571:W1571"/>
    <mergeCell ref="X1571:Y1571"/>
    <mergeCell ref="Z1571:AA1571"/>
    <mergeCell ref="AB1571:AC1571"/>
    <mergeCell ref="B1571:C1571"/>
    <mergeCell ref="D1571:E1571"/>
    <mergeCell ref="F1571:G1571"/>
    <mergeCell ref="H1571:I1571"/>
    <mergeCell ref="J1571:K1571"/>
    <mergeCell ref="L1571:M1571"/>
    <mergeCell ref="N1571:O1571"/>
    <mergeCell ref="AD1572:AE1572"/>
    <mergeCell ref="AF1572:AG1572"/>
    <mergeCell ref="AH1572:AI1572"/>
    <mergeCell ref="AJ1572:AK1572"/>
    <mergeCell ref="AL1572:BB1572"/>
    <mergeCell ref="H1565:I1565"/>
    <mergeCell ref="J1565:K1565"/>
    <mergeCell ref="L1565:M1565"/>
    <mergeCell ref="N1565:O1565"/>
    <mergeCell ref="AD1566:AE1566"/>
    <mergeCell ref="AF1566:AG1566"/>
    <mergeCell ref="AH1566:AI1566"/>
    <mergeCell ref="AJ1566:AK1566"/>
    <mergeCell ref="AL1566:BB1566"/>
    <mergeCell ref="AH1567:AI1567"/>
    <mergeCell ref="AJ1567:AK1567"/>
    <mergeCell ref="AL1567:BB1567"/>
    <mergeCell ref="B1567:C1567"/>
    <mergeCell ref="D1567:E1567"/>
    <mergeCell ref="F1567:G1567"/>
    <mergeCell ref="H1567:I1567"/>
    <mergeCell ref="J1567:K1567"/>
    <mergeCell ref="L1567:M1567"/>
    <mergeCell ref="N1567:O1567"/>
    <mergeCell ref="P1569:Q1569"/>
    <mergeCell ref="R1569:S1569"/>
    <mergeCell ref="T1569:U1569"/>
    <mergeCell ref="V1569:W1569"/>
    <mergeCell ref="X1569:Y1569"/>
    <mergeCell ref="Z1569:AA1569"/>
    <mergeCell ref="AB1569:AC1569"/>
    <mergeCell ref="B1569:C1569"/>
    <mergeCell ref="D1569:E1569"/>
    <mergeCell ref="F1569:G1569"/>
    <mergeCell ref="H1569:I1569"/>
    <mergeCell ref="J1569:K1569"/>
    <mergeCell ref="L1569:M1569"/>
    <mergeCell ref="N1569:O1569"/>
    <mergeCell ref="AD1567:AE1567"/>
    <mergeCell ref="AF1567:AG1567"/>
    <mergeCell ref="P1567:Q1567"/>
    <mergeCell ref="R1567:S1567"/>
    <mergeCell ref="T1567:U1567"/>
    <mergeCell ref="V1567:W1567"/>
    <mergeCell ref="X1567:Y1567"/>
    <mergeCell ref="Z1567:AA1567"/>
    <mergeCell ref="AB1567:AC1567"/>
    <mergeCell ref="AD1568:AE1568"/>
    <mergeCell ref="AF1568:AG1568"/>
    <mergeCell ref="AH1568:AI1568"/>
    <mergeCell ref="AJ1568:AK1568"/>
    <mergeCell ref="AL1568:BB1568"/>
    <mergeCell ref="P1568:Q1568"/>
    <mergeCell ref="R1568:S1568"/>
    <mergeCell ref="T1568:U1568"/>
    <mergeCell ref="V1568:W1568"/>
    <mergeCell ref="X1568:Y1568"/>
    <mergeCell ref="Z1568:AA1568"/>
    <mergeCell ref="AB1568:AC1568"/>
    <mergeCell ref="B1568:C1568"/>
    <mergeCell ref="D1568:E1568"/>
    <mergeCell ref="F1568:G1568"/>
    <mergeCell ref="H1568:I1568"/>
    <mergeCell ref="J1568:K1568"/>
    <mergeCell ref="L1568:M1568"/>
    <mergeCell ref="N1568:O1568"/>
    <mergeCell ref="AD1569:AE1569"/>
    <mergeCell ref="AF1569:AG1569"/>
    <mergeCell ref="AH1569:AI1569"/>
    <mergeCell ref="P1563:Q1563"/>
    <mergeCell ref="R1563:S1563"/>
    <mergeCell ref="T1563:U1563"/>
    <mergeCell ref="V1563:W1563"/>
    <mergeCell ref="X1563:Y1563"/>
    <mergeCell ref="Z1563:AA1563"/>
    <mergeCell ref="AB1563:AC1563"/>
    <mergeCell ref="B1563:C1563"/>
    <mergeCell ref="D1563:E1563"/>
    <mergeCell ref="F1563:G1563"/>
    <mergeCell ref="H1563:I1563"/>
    <mergeCell ref="J1563:K1563"/>
    <mergeCell ref="L1563:M1563"/>
    <mergeCell ref="N1563:O1563"/>
    <mergeCell ref="AD1585:AE1585"/>
    <mergeCell ref="AF1585:AG1585"/>
    <mergeCell ref="AH1585:AI1585"/>
    <mergeCell ref="AJ1585:AK1585"/>
    <mergeCell ref="AL1585:BB1585"/>
    <mergeCell ref="P1585:Q1585"/>
    <mergeCell ref="R1585:S1585"/>
    <mergeCell ref="T1585:U1585"/>
    <mergeCell ref="V1585:W1585"/>
    <mergeCell ref="X1585:Y1585"/>
    <mergeCell ref="Z1585:AA1585"/>
    <mergeCell ref="AB1585:AC1585"/>
    <mergeCell ref="P1566:Q1566"/>
    <mergeCell ref="R1566:S1566"/>
    <mergeCell ref="T1566:U1566"/>
    <mergeCell ref="V1566:W1566"/>
    <mergeCell ref="X1566:Y1566"/>
    <mergeCell ref="Z1566:AA1566"/>
    <mergeCell ref="AB1566:AC1566"/>
    <mergeCell ref="B1566:C1566"/>
    <mergeCell ref="D1566:E1566"/>
    <mergeCell ref="F1566:G1566"/>
    <mergeCell ref="H1566:I1566"/>
    <mergeCell ref="J1566:K1566"/>
    <mergeCell ref="L1566:M1566"/>
    <mergeCell ref="N1566:O1566"/>
    <mergeCell ref="AD1564:AE1564"/>
    <mergeCell ref="AF1564:AG1564"/>
    <mergeCell ref="P1564:Q1564"/>
    <mergeCell ref="R1564:S1564"/>
    <mergeCell ref="T1564:U1564"/>
    <mergeCell ref="V1564:W1564"/>
    <mergeCell ref="X1564:Y1564"/>
    <mergeCell ref="Z1564:AA1564"/>
    <mergeCell ref="AB1564:AC1564"/>
    <mergeCell ref="AD1565:AE1565"/>
    <mergeCell ref="AF1565:AG1565"/>
    <mergeCell ref="AH1565:AI1565"/>
    <mergeCell ref="AJ1565:AK1565"/>
    <mergeCell ref="AL1565:BB1565"/>
    <mergeCell ref="P1565:Q1565"/>
    <mergeCell ref="R1565:S1565"/>
    <mergeCell ref="T1565:U1565"/>
    <mergeCell ref="V1565:W1565"/>
    <mergeCell ref="X1565:Y1565"/>
    <mergeCell ref="Z1565:AA1565"/>
    <mergeCell ref="AB1565:AC1565"/>
    <mergeCell ref="B1565:C1565"/>
    <mergeCell ref="D1565:E1565"/>
    <mergeCell ref="F1565:G1565"/>
    <mergeCell ref="AL1554:BB1554"/>
    <mergeCell ref="AH1555:AI1555"/>
    <mergeCell ref="AJ1555:AK1555"/>
    <mergeCell ref="AL1555:BB1555"/>
    <mergeCell ref="B1555:C1555"/>
    <mergeCell ref="D1555:E1555"/>
    <mergeCell ref="F1555:G1555"/>
    <mergeCell ref="H1555:I1555"/>
    <mergeCell ref="J1555:K1555"/>
    <mergeCell ref="L1555:M1555"/>
    <mergeCell ref="N1555:O1555"/>
    <mergeCell ref="P1557:Q1557"/>
    <mergeCell ref="R1557:S1557"/>
    <mergeCell ref="T1557:U1557"/>
    <mergeCell ref="V1557:W1557"/>
    <mergeCell ref="X1557:Y1557"/>
    <mergeCell ref="Z1557:AA1557"/>
    <mergeCell ref="AB1557:AC1557"/>
    <mergeCell ref="B1557:C1557"/>
    <mergeCell ref="D1557:E1557"/>
    <mergeCell ref="F1557:G1557"/>
    <mergeCell ref="H1557:I1557"/>
    <mergeCell ref="J1557:K1557"/>
    <mergeCell ref="L1557:M1557"/>
    <mergeCell ref="N1557:O1557"/>
    <mergeCell ref="AD1555:AE1555"/>
    <mergeCell ref="AF1555:AG1555"/>
    <mergeCell ref="P1555:Q1555"/>
    <mergeCell ref="R1555:S1555"/>
    <mergeCell ref="T1555:U1555"/>
    <mergeCell ref="V1555:W1555"/>
    <mergeCell ref="X1555:Y1555"/>
    <mergeCell ref="Z1555:AA1555"/>
    <mergeCell ref="AB1555:AC1555"/>
    <mergeCell ref="AD1556:AE1556"/>
    <mergeCell ref="AF1556:AG1556"/>
    <mergeCell ref="AH1556:AI1556"/>
    <mergeCell ref="AJ1556:AK1556"/>
    <mergeCell ref="AL1556:BB1556"/>
    <mergeCell ref="P1556:Q1556"/>
    <mergeCell ref="R1556:S1556"/>
    <mergeCell ref="T1556:U1556"/>
    <mergeCell ref="V1556:W1556"/>
    <mergeCell ref="X1556:Y1556"/>
    <mergeCell ref="Z1556:AA1556"/>
    <mergeCell ref="AB1556:AC1556"/>
    <mergeCell ref="B1556:C1556"/>
    <mergeCell ref="D1556:E1556"/>
    <mergeCell ref="F1556:G1556"/>
    <mergeCell ref="H1556:I1556"/>
    <mergeCell ref="J1556:K1556"/>
    <mergeCell ref="L1556:M1556"/>
    <mergeCell ref="N1556:O1556"/>
    <mergeCell ref="AD1557:AE1557"/>
    <mergeCell ref="AF1557:AG1557"/>
    <mergeCell ref="AH1557:AI1557"/>
    <mergeCell ref="AJ1557:AK1557"/>
    <mergeCell ref="AL1557:BB1557"/>
    <mergeCell ref="AD1563:AE1563"/>
    <mergeCell ref="AF1563:AG1563"/>
    <mergeCell ref="AH1563:AI1563"/>
    <mergeCell ref="AJ1563:AK1563"/>
    <mergeCell ref="AL1563:BB1563"/>
    <mergeCell ref="AH1564:AI1564"/>
    <mergeCell ref="AJ1564:AK1564"/>
    <mergeCell ref="AL1564:BB1564"/>
    <mergeCell ref="B1564:C1564"/>
    <mergeCell ref="D1564:E1564"/>
    <mergeCell ref="F1564:G1564"/>
    <mergeCell ref="H1564:I1564"/>
    <mergeCell ref="J1564:K1564"/>
    <mergeCell ref="L1564:M1564"/>
    <mergeCell ref="N1564:O1564"/>
    <mergeCell ref="AD1549:AE1549"/>
    <mergeCell ref="AF1549:AG1549"/>
    <mergeCell ref="P1549:Q1549"/>
    <mergeCell ref="R1549:S1549"/>
    <mergeCell ref="T1549:U1549"/>
    <mergeCell ref="V1549:W1549"/>
    <mergeCell ref="X1549:Y1549"/>
    <mergeCell ref="Z1549:AA1549"/>
    <mergeCell ref="AB1549:AC1549"/>
    <mergeCell ref="AD1550:AE1550"/>
    <mergeCell ref="AF1550:AG1550"/>
    <mergeCell ref="AH1550:AI1550"/>
    <mergeCell ref="AJ1550:AK1550"/>
    <mergeCell ref="AL1550:BB1550"/>
    <mergeCell ref="P1550:Q1550"/>
    <mergeCell ref="R1550:S1550"/>
    <mergeCell ref="T1550:U1550"/>
    <mergeCell ref="V1550:W1550"/>
    <mergeCell ref="X1550:Y1550"/>
    <mergeCell ref="Z1550:AA1550"/>
    <mergeCell ref="AB1550:AC1550"/>
    <mergeCell ref="B1550:C1550"/>
    <mergeCell ref="D1550:E1550"/>
    <mergeCell ref="F1550:G1550"/>
    <mergeCell ref="H1550:I1550"/>
    <mergeCell ref="J1550:K1550"/>
    <mergeCell ref="L1550:M1550"/>
    <mergeCell ref="N1550:O1550"/>
    <mergeCell ref="AD1551:AE1551"/>
    <mergeCell ref="AF1551:AG1551"/>
    <mergeCell ref="AH1551:AI1551"/>
    <mergeCell ref="AJ1551:AK1551"/>
    <mergeCell ref="AL1551:BB1551"/>
    <mergeCell ref="AH1552:AI1552"/>
    <mergeCell ref="AJ1552:AK1552"/>
    <mergeCell ref="AL1552:BB1552"/>
    <mergeCell ref="B1552:C1552"/>
    <mergeCell ref="D1552:E1552"/>
    <mergeCell ref="F1552:G1552"/>
    <mergeCell ref="H1552:I1552"/>
    <mergeCell ref="J1552:K1552"/>
    <mergeCell ref="L1552:M1552"/>
    <mergeCell ref="N1552:O1552"/>
    <mergeCell ref="AD1552:AE1552"/>
    <mergeCell ref="AF1552:AG1552"/>
    <mergeCell ref="P1552:Q1552"/>
    <mergeCell ref="R1552:S1552"/>
    <mergeCell ref="T1552:U1552"/>
    <mergeCell ref="V1552:W1552"/>
    <mergeCell ref="AH1561:AI1561"/>
    <mergeCell ref="AJ1561:AK1561"/>
    <mergeCell ref="AL1561:BB1561"/>
    <mergeCell ref="B1561:C1561"/>
    <mergeCell ref="D1561:E1561"/>
    <mergeCell ref="F1561:G1561"/>
    <mergeCell ref="H1561:I1561"/>
    <mergeCell ref="J1561:K1561"/>
    <mergeCell ref="L1561:M1561"/>
    <mergeCell ref="N1561:O1561"/>
    <mergeCell ref="AD1561:AE1561"/>
    <mergeCell ref="AF1561:AG1561"/>
    <mergeCell ref="P1561:Q1561"/>
    <mergeCell ref="R1561:S1561"/>
    <mergeCell ref="T1561:U1561"/>
    <mergeCell ref="V1561:W1561"/>
    <mergeCell ref="X1561:Y1561"/>
    <mergeCell ref="Z1561:AA1561"/>
    <mergeCell ref="AB1561:AC1561"/>
    <mergeCell ref="AD1562:AE1562"/>
    <mergeCell ref="AF1562:AG1562"/>
    <mergeCell ref="AH1562:AI1562"/>
    <mergeCell ref="AJ1562:AK1562"/>
    <mergeCell ref="AL1562:BB1562"/>
    <mergeCell ref="P1562:Q1562"/>
    <mergeCell ref="R1562:S1562"/>
    <mergeCell ref="T1562:U1562"/>
    <mergeCell ref="V1562:W1562"/>
    <mergeCell ref="X1562:Y1562"/>
    <mergeCell ref="Z1562:AA1562"/>
    <mergeCell ref="AB1562:AC1562"/>
    <mergeCell ref="B1562:C1562"/>
    <mergeCell ref="D1562:E1562"/>
    <mergeCell ref="F1562:G1562"/>
    <mergeCell ref="H1562:I1562"/>
    <mergeCell ref="J1562:K1562"/>
    <mergeCell ref="L1562:M1562"/>
    <mergeCell ref="N1562:O1562"/>
    <mergeCell ref="AD1558:AE1558"/>
    <mergeCell ref="AF1558:AG1558"/>
    <mergeCell ref="P1558:Q1558"/>
    <mergeCell ref="R1558:S1558"/>
    <mergeCell ref="T1558:U1558"/>
    <mergeCell ref="V1558:W1558"/>
    <mergeCell ref="X1558:Y1558"/>
    <mergeCell ref="Z1558:AA1558"/>
    <mergeCell ref="AB1558:AC1558"/>
    <mergeCell ref="AD1559:AE1559"/>
    <mergeCell ref="AF1559:AG1559"/>
    <mergeCell ref="AH1559:AI1559"/>
    <mergeCell ref="AJ1559:AK1559"/>
    <mergeCell ref="AL1559:BB1559"/>
    <mergeCell ref="P1559:Q1559"/>
    <mergeCell ref="R1559:S1559"/>
    <mergeCell ref="T1559:U1559"/>
    <mergeCell ref="V1559:W1559"/>
    <mergeCell ref="X1559:Y1559"/>
    <mergeCell ref="Z1559:AA1559"/>
    <mergeCell ref="AB1559:AC1559"/>
    <mergeCell ref="B1559:C1559"/>
    <mergeCell ref="D1559:E1559"/>
    <mergeCell ref="F1559:G1559"/>
    <mergeCell ref="H1559:I1559"/>
    <mergeCell ref="J1559:K1559"/>
    <mergeCell ref="L1559:M1559"/>
    <mergeCell ref="N1559:O1559"/>
    <mergeCell ref="AD1560:AE1560"/>
    <mergeCell ref="AF1560:AG1560"/>
    <mergeCell ref="AH1560:AI1560"/>
    <mergeCell ref="AJ1560:AK1560"/>
    <mergeCell ref="AL1560:BB1560"/>
    <mergeCell ref="AH1558:AI1558"/>
    <mergeCell ref="AJ1558:AK1558"/>
    <mergeCell ref="AL1558:BB1558"/>
    <mergeCell ref="B1558:C1558"/>
    <mergeCell ref="D1558:E1558"/>
    <mergeCell ref="F1558:G1558"/>
    <mergeCell ref="H1558:I1558"/>
    <mergeCell ref="J1558:K1558"/>
    <mergeCell ref="L1558:M1558"/>
    <mergeCell ref="N1558:O1558"/>
    <mergeCell ref="P1560:Q1560"/>
    <mergeCell ref="R1560:S1560"/>
    <mergeCell ref="T1560:U1560"/>
    <mergeCell ref="V1560:W1560"/>
    <mergeCell ref="X1560:Y1560"/>
    <mergeCell ref="Z1560:AA1560"/>
    <mergeCell ref="AB1560:AC1560"/>
    <mergeCell ref="B1560:C1560"/>
    <mergeCell ref="D1560:E1560"/>
    <mergeCell ref="F1560:G1560"/>
    <mergeCell ref="H1560:I1560"/>
    <mergeCell ref="J1560:K1560"/>
    <mergeCell ref="L1560:M1560"/>
    <mergeCell ref="N1560:O1560"/>
    <mergeCell ref="AH1549:AI1549"/>
    <mergeCell ref="AJ1549:AK1549"/>
    <mergeCell ref="AL1549:BB1549"/>
    <mergeCell ref="B1549:C1549"/>
    <mergeCell ref="D1549:E1549"/>
    <mergeCell ref="F1549:G1549"/>
    <mergeCell ref="H1549:I1549"/>
    <mergeCell ref="J1549:K1549"/>
    <mergeCell ref="L1549:M1549"/>
    <mergeCell ref="N1549:O1549"/>
    <mergeCell ref="P1551:Q1551"/>
    <mergeCell ref="R1551:S1551"/>
    <mergeCell ref="T1551:U1551"/>
    <mergeCell ref="V1551:W1551"/>
    <mergeCell ref="X1551:Y1551"/>
    <mergeCell ref="Z1551:AA1551"/>
    <mergeCell ref="AB1551:AC1551"/>
    <mergeCell ref="B1551:C1551"/>
    <mergeCell ref="D1551:E1551"/>
    <mergeCell ref="F1551:G1551"/>
    <mergeCell ref="H1551:I1551"/>
    <mergeCell ref="J1551:K1551"/>
    <mergeCell ref="L1551:M1551"/>
    <mergeCell ref="N1551:O1551"/>
    <mergeCell ref="P1554:Q1554"/>
    <mergeCell ref="R1554:S1554"/>
    <mergeCell ref="T1554:U1554"/>
    <mergeCell ref="V1554:W1554"/>
    <mergeCell ref="X1554:Y1554"/>
    <mergeCell ref="Z1554:AA1554"/>
    <mergeCell ref="AB1554:AC1554"/>
    <mergeCell ref="B1554:C1554"/>
    <mergeCell ref="D1554:E1554"/>
    <mergeCell ref="F1554:G1554"/>
    <mergeCell ref="H1554:I1554"/>
    <mergeCell ref="J1554:K1554"/>
    <mergeCell ref="L1554:M1554"/>
    <mergeCell ref="N1554:O1554"/>
    <mergeCell ref="X1552:Y1552"/>
    <mergeCell ref="Z1552:AA1552"/>
    <mergeCell ref="AB1552:AC1552"/>
    <mergeCell ref="AD1553:AE1553"/>
    <mergeCell ref="AF1553:AG1553"/>
    <mergeCell ref="AH1553:AI1553"/>
    <mergeCell ref="AJ1553:AK1553"/>
    <mergeCell ref="AL1553:BB1553"/>
    <mergeCell ref="P1553:Q1553"/>
    <mergeCell ref="R1553:S1553"/>
    <mergeCell ref="T1553:U1553"/>
    <mergeCell ref="V1553:W1553"/>
    <mergeCell ref="X1553:Y1553"/>
    <mergeCell ref="Z1553:AA1553"/>
    <mergeCell ref="AB1553:AC1553"/>
    <mergeCell ref="B1553:C1553"/>
    <mergeCell ref="D1553:E1553"/>
    <mergeCell ref="F1553:G1553"/>
    <mergeCell ref="H1553:I1553"/>
    <mergeCell ref="J1553:K1553"/>
    <mergeCell ref="L1553:M1553"/>
    <mergeCell ref="N1553:O1553"/>
    <mergeCell ref="AD1554:AE1554"/>
    <mergeCell ref="AF1554:AG1554"/>
    <mergeCell ref="AH1554:AI1554"/>
    <mergeCell ref="AJ1554:AK1554"/>
    <mergeCell ref="AH1546:AI1546"/>
    <mergeCell ref="AJ1546:AK1546"/>
    <mergeCell ref="AL1546:BB1546"/>
    <mergeCell ref="B1546:C1546"/>
    <mergeCell ref="D1546:E1546"/>
    <mergeCell ref="F1546:G1546"/>
    <mergeCell ref="H1546:I1546"/>
    <mergeCell ref="J1546:K1546"/>
    <mergeCell ref="L1546:M1546"/>
    <mergeCell ref="N1546:O1546"/>
    <mergeCell ref="P1548:Q1548"/>
    <mergeCell ref="R1548:S1548"/>
    <mergeCell ref="T1548:U1548"/>
    <mergeCell ref="V1548:W1548"/>
    <mergeCell ref="X1548:Y1548"/>
    <mergeCell ref="Z1548:AA1548"/>
    <mergeCell ref="AB1548:AC1548"/>
    <mergeCell ref="B1548:C1548"/>
    <mergeCell ref="D1548:E1548"/>
    <mergeCell ref="F1548:G1548"/>
    <mergeCell ref="H1548:I1548"/>
    <mergeCell ref="J1548:K1548"/>
    <mergeCell ref="L1548:M1548"/>
    <mergeCell ref="N1548:O1548"/>
    <mergeCell ref="AD1546:AE1546"/>
    <mergeCell ref="AF1546:AG1546"/>
    <mergeCell ref="P1546:Q1546"/>
    <mergeCell ref="R1546:S1546"/>
    <mergeCell ref="T1546:U1546"/>
    <mergeCell ref="V1546:W1546"/>
    <mergeCell ref="X1546:Y1546"/>
    <mergeCell ref="Z1546:AA1546"/>
    <mergeCell ref="AB1546:AC1546"/>
    <mergeCell ref="AD1547:AE1547"/>
    <mergeCell ref="AF1547:AG1547"/>
    <mergeCell ref="AH1547:AI1547"/>
    <mergeCell ref="AJ1547:AK1547"/>
    <mergeCell ref="AL1547:BB1547"/>
    <mergeCell ref="P1547:Q1547"/>
    <mergeCell ref="R1547:S1547"/>
    <mergeCell ref="T1547:U1547"/>
    <mergeCell ref="V1547:W1547"/>
    <mergeCell ref="X1547:Y1547"/>
    <mergeCell ref="Z1547:AA1547"/>
    <mergeCell ref="AB1547:AC1547"/>
    <mergeCell ref="B1547:C1547"/>
    <mergeCell ref="D1547:E1547"/>
    <mergeCell ref="F1547:G1547"/>
    <mergeCell ref="H1547:I1547"/>
    <mergeCell ref="J1547:K1547"/>
    <mergeCell ref="L1547:M1547"/>
    <mergeCell ref="N1547:O1547"/>
    <mergeCell ref="AD1548:AE1548"/>
    <mergeCell ref="AF1548:AG1548"/>
    <mergeCell ref="AH1548:AI1548"/>
    <mergeCell ref="AJ1548:AK1548"/>
    <mergeCell ref="AL1548:BB1548"/>
    <mergeCell ref="B1543:C1543"/>
    <mergeCell ref="D1543:E1543"/>
    <mergeCell ref="F1543:G1543"/>
    <mergeCell ref="H1543:I1543"/>
    <mergeCell ref="J1543:K1543"/>
    <mergeCell ref="L1543:M1543"/>
    <mergeCell ref="N1543:O1543"/>
    <mergeCell ref="AD1544:AE1544"/>
    <mergeCell ref="AF1544:AG1544"/>
    <mergeCell ref="AH1544:AI1544"/>
    <mergeCell ref="AJ1544:AK1544"/>
    <mergeCell ref="AL1544:BB1544"/>
    <mergeCell ref="P1544:Q1544"/>
    <mergeCell ref="R1544:S1544"/>
    <mergeCell ref="T1544:U1544"/>
    <mergeCell ref="V1544:W1544"/>
    <mergeCell ref="X1544:Y1544"/>
    <mergeCell ref="Z1544:AA1544"/>
    <mergeCell ref="AB1544:AC1544"/>
    <mergeCell ref="B1544:C1544"/>
    <mergeCell ref="D1544:E1544"/>
    <mergeCell ref="F1544:G1544"/>
    <mergeCell ref="H1544:I1544"/>
    <mergeCell ref="J1544:K1544"/>
    <mergeCell ref="L1544:M1544"/>
    <mergeCell ref="N1544:O1544"/>
    <mergeCell ref="AD1545:AE1545"/>
    <mergeCell ref="AF1545:AG1545"/>
    <mergeCell ref="AH1545:AI1545"/>
    <mergeCell ref="AJ1545:AK1545"/>
    <mergeCell ref="AL1545:BB1545"/>
    <mergeCell ref="P1545:Q1545"/>
    <mergeCell ref="R1545:S1545"/>
    <mergeCell ref="T1545:U1545"/>
    <mergeCell ref="V1545:W1545"/>
    <mergeCell ref="X1545:Y1545"/>
    <mergeCell ref="Z1545:AA1545"/>
    <mergeCell ref="AB1545:AC1545"/>
    <mergeCell ref="B1545:C1545"/>
    <mergeCell ref="D1545:E1545"/>
    <mergeCell ref="F1545:G1545"/>
    <mergeCell ref="H1545:I1545"/>
    <mergeCell ref="J1545:K1545"/>
    <mergeCell ref="L1545:M1545"/>
    <mergeCell ref="N1545:O1545"/>
    <mergeCell ref="AH1540:AI1540"/>
    <mergeCell ref="AJ1540:AK1540"/>
    <mergeCell ref="AL1540:BB1540"/>
    <mergeCell ref="B1540:C1540"/>
    <mergeCell ref="D1540:E1540"/>
    <mergeCell ref="F1540:G1540"/>
    <mergeCell ref="H1540:I1540"/>
    <mergeCell ref="J1540:K1540"/>
    <mergeCell ref="L1540:M1540"/>
    <mergeCell ref="N1540:O1540"/>
    <mergeCell ref="P1542:Q1542"/>
    <mergeCell ref="R1542:S1542"/>
    <mergeCell ref="T1542:U1542"/>
    <mergeCell ref="V1542:W1542"/>
    <mergeCell ref="X1542:Y1542"/>
    <mergeCell ref="Z1542:AA1542"/>
    <mergeCell ref="AB1542:AC1542"/>
    <mergeCell ref="B1542:C1542"/>
    <mergeCell ref="D1542:E1542"/>
    <mergeCell ref="F1542:G1542"/>
    <mergeCell ref="H1542:I1542"/>
    <mergeCell ref="J1542:K1542"/>
    <mergeCell ref="L1542:M1542"/>
    <mergeCell ref="N1542:O1542"/>
    <mergeCell ref="AD1540:AE1540"/>
    <mergeCell ref="AF1540:AG1540"/>
    <mergeCell ref="P1540:Q1540"/>
    <mergeCell ref="R1540:S1540"/>
    <mergeCell ref="T1540:U1540"/>
    <mergeCell ref="V1540:W1540"/>
    <mergeCell ref="X1540:Y1540"/>
    <mergeCell ref="Z1540:AA1540"/>
    <mergeCell ref="AB1540:AC1540"/>
    <mergeCell ref="AD1541:AE1541"/>
    <mergeCell ref="AF1541:AG1541"/>
    <mergeCell ref="AH1541:AI1541"/>
    <mergeCell ref="AJ1541:AK1541"/>
    <mergeCell ref="AL1541:BB1541"/>
    <mergeCell ref="P1541:Q1541"/>
    <mergeCell ref="R1541:S1541"/>
    <mergeCell ref="T1541:U1541"/>
    <mergeCell ref="V1541:W1541"/>
    <mergeCell ref="X1541:Y1541"/>
    <mergeCell ref="Z1541:AA1541"/>
    <mergeCell ref="AB1541:AC1541"/>
    <mergeCell ref="B1541:C1541"/>
    <mergeCell ref="D1541:E1541"/>
    <mergeCell ref="F1541:G1541"/>
    <mergeCell ref="H1541:I1541"/>
    <mergeCell ref="J1541:K1541"/>
    <mergeCell ref="L1541:M1541"/>
    <mergeCell ref="N1541:O1541"/>
    <mergeCell ref="AD1542:AE1542"/>
    <mergeCell ref="AF1542:AG1542"/>
    <mergeCell ref="AH1542:AI1542"/>
    <mergeCell ref="AJ1542:AK1542"/>
    <mergeCell ref="AL1542:BB1542"/>
    <mergeCell ref="AH1537:AI1537"/>
    <mergeCell ref="AJ1537:AK1537"/>
    <mergeCell ref="AL1537:BB1537"/>
    <mergeCell ref="B1537:C1537"/>
    <mergeCell ref="D1537:E1537"/>
    <mergeCell ref="F1537:G1537"/>
    <mergeCell ref="H1537:I1537"/>
    <mergeCell ref="J1537:K1537"/>
    <mergeCell ref="L1537:M1537"/>
    <mergeCell ref="N1537:O1537"/>
    <mergeCell ref="P1539:Q1539"/>
    <mergeCell ref="R1539:S1539"/>
    <mergeCell ref="T1539:U1539"/>
    <mergeCell ref="V1539:W1539"/>
    <mergeCell ref="X1539:Y1539"/>
    <mergeCell ref="Z1539:AA1539"/>
    <mergeCell ref="AB1539:AC1539"/>
    <mergeCell ref="B1539:C1539"/>
    <mergeCell ref="D1539:E1539"/>
    <mergeCell ref="F1539:G1539"/>
    <mergeCell ref="H1539:I1539"/>
    <mergeCell ref="J1539:K1539"/>
    <mergeCell ref="L1539:M1539"/>
    <mergeCell ref="N1539:O1539"/>
    <mergeCell ref="AD1537:AE1537"/>
    <mergeCell ref="AF1537:AG1537"/>
    <mergeCell ref="P1537:Q1537"/>
    <mergeCell ref="R1537:S1537"/>
    <mergeCell ref="T1537:U1537"/>
    <mergeCell ref="V1537:W1537"/>
    <mergeCell ref="X1537:Y1537"/>
    <mergeCell ref="Z1537:AA1537"/>
    <mergeCell ref="AB1537:AC1537"/>
    <mergeCell ref="AD1538:AE1538"/>
    <mergeCell ref="AF1538:AG1538"/>
    <mergeCell ref="AH1538:AI1538"/>
    <mergeCell ref="AJ1538:AK1538"/>
    <mergeCell ref="AL1538:BB1538"/>
    <mergeCell ref="P1538:Q1538"/>
    <mergeCell ref="R1538:S1538"/>
    <mergeCell ref="T1538:U1538"/>
    <mergeCell ref="V1538:W1538"/>
    <mergeCell ref="X1538:Y1538"/>
    <mergeCell ref="Z1538:AA1538"/>
    <mergeCell ref="AB1538:AC1538"/>
    <mergeCell ref="B1538:C1538"/>
    <mergeCell ref="D1538:E1538"/>
    <mergeCell ref="F1538:G1538"/>
    <mergeCell ref="H1538:I1538"/>
    <mergeCell ref="J1538:K1538"/>
    <mergeCell ref="L1538:M1538"/>
    <mergeCell ref="N1538:O1538"/>
    <mergeCell ref="AD1539:AE1539"/>
    <mergeCell ref="AF1539:AG1539"/>
    <mergeCell ref="AH1539:AI1539"/>
    <mergeCell ref="AJ1539:AK1539"/>
    <mergeCell ref="AL1539:BB1539"/>
    <mergeCell ref="AH1534:AI1534"/>
    <mergeCell ref="AJ1534:AK1534"/>
    <mergeCell ref="AL1534:BB1534"/>
    <mergeCell ref="B1534:C1534"/>
    <mergeCell ref="D1534:E1534"/>
    <mergeCell ref="F1534:G1534"/>
    <mergeCell ref="H1534:I1534"/>
    <mergeCell ref="J1534:K1534"/>
    <mergeCell ref="L1534:M1534"/>
    <mergeCell ref="N1534:O1534"/>
    <mergeCell ref="P1536:Q1536"/>
    <mergeCell ref="R1536:S1536"/>
    <mergeCell ref="T1536:U1536"/>
    <mergeCell ref="V1536:W1536"/>
    <mergeCell ref="X1536:Y1536"/>
    <mergeCell ref="Z1536:AA1536"/>
    <mergeCell ref="AB1536:AC1536"/>
    <mergeCell ref="B1536:C1536"/>
    <mergeCell ref="D1536:E1536"/>
    <mergeCell ref="F1536:G1536"/>
    <mergeCell ref="H1536:I1536"/>
    <mergeCell ref="J1536:K1536"/>
    <mergeCell ref="L1536:M1536"/>
    <mergeCell ref="N1536:O1536"/>
    <mergeCell ref="AD1534:AE1534"/>
    <mergeCell ref="AF1534:AG1534"/>
    <mergeCell ref="P1534:Q1534"/>
    <mergeCell ref="R1534:S1534"/>
    <mergeCell ref="T1534:U1534"/>
    <mergeCell ref="V1534:W1534"/>
    <mergeCell ref="X1534:Y1534"/>
    <mergeCell ref="Z1534:AA1534"/>
    <mergeCell ref="AB1534:AC1534"/>
    <mergeCell ref="AD1535:AE1535"/>
    <mergeCell ref="AF1535:AG1535"/>
    <mergeCell ref="AH1535:AI1535"/>
    <mergeCell ref="AJ1535:AK1535"/>
    <mergeCell ref="AL1535:BB1535"/>
    <mergeCell ref="P1535:Q1535"/>
    <mergeCell ref="R1535:S1535"/>
    <mergeCell ref="T1535:U1535"/>
    <mergeCell ref="V1535:W1535"/>
    <mergeCell ref="X1535:Y1535"/>
    <mergeCell ref="Z1535:AA1535"/>
    <mergeCell ref="AB1535:AC1535"/>
    <mergeCell ref="B1535:C1535"/>
    <mergeCell ref="D1535:E1535"/>
    <mergeCell ref="F1535:G1535"/>
    <mergeCell ref="H1535:I1535"/>
    <mergeCell ref="J1535:K1535"/>
    <mergeCell ref="L1535:M1535"/>
    <mergeCell ref="N1535:O1535"/>
    <mergeCell ref="AD1536:AE1536"/>
    <mergeCell ref="AF1536:AG1536"/>
    <mergeCell ref="AH1536:AI1536"/>
    <mergeCell ref="AJ1536:AK1536"/>
    <mergeCell ref="AL1536:BB1536"/>
    <mergeCell ref="AH1531:AI1531"/>
    <mergeCell ref="AJ1531:AK1531"/>
    <mergeCell ref="AL1531:BB1531"/>
    <mergeCell ref="B1531:C1531"/>
    <mergeCell ref="D1531:E1531"/>
    <mergeCell ref="F1531:G1531"/>
    <mergeCell ref="H1531:I1531"/>
    <mergeCell ref="J1531:K1531"/>
    <mergeCell ref="L1531:M1531"/>
    <mergeCell ref="N1531:O1531"/>
    <mergeCell ref="P1533:Q1533"/>
    <mergeCell ref="R1533:S1533"/>
    <mergeCell ref="T1533:U1533"/>
    <mergeCell ref="V1533:W1533"/>
    <mergeCell ref="X1533:Y1533"/>
    <mergeCell ref="Z1533:AA1533"/>
    <mergeCell ref="AB1533:AC1533"/>
    <mergeCell ref="B1533:C1533"/>
    <mergeCell ref="D1533:E1533"/>
    <mergeCell ref="F1533:G1533"/>
    <mergeCell ref="H1533:I1533"/>
    <mergeCell ref="J1533:K1533"/>
    <mergeCell ref="L1533:M1533"/>
    <mergeCell ref="N1533:O1533"/>
    <mergeCell ref="AD1531:AE1531"/>
    <mergeCell ref="AF1531:AG1531"/>
    <mergeCell ref="P1531:Q1531"/>
    <mergeCell ref="R1531:S1531"/>
    <mergeCell ref="T1531:U1531"/>
    <mergeCell ref="V1531:W1531"/>
    <mergeCell ref="X1531:Y1531"/>
    <mergeCell ref="Z1531:AA1531"/>
    <mergeCell ref="AB1531:AC1531"/>
    <mergeCell ref="AD1532:AE1532"/>
    <mergeCell ref="AF1532:AG1532"/>
    <mergeCell ref="AH1532:AI1532"/>
    <mergeCell ref="AJ1532:AK1532"/>
    <mergeCell ref="AL1532:BB1532"/>
    <mergeCell ref="P1532:Q1532"/>
    <mergeCell ref="R1532:S1532"/>
    <mergeCell ref="T1532:U1532"/>
    <mergeCell ref="V1532:W1532"/>
    <mergeCell ref="X1532:Y1532"/>
    <mergeCell ref="Z1532:AA1532"/>
    <mergeCell ref="AB1532:AC1532"/>
    <mergeCell ref="B1532:C1532"/>
    <mergeCell ref="D1532:E1532"/>
    <mergeCell ref="F1532:G1532"/>
    <mergeCell ref="H1532:I1532"/>
    <mergeCell ref="J1532:K1532"/>
    <mergeCell ref="L1532:M1532"/>
    <mergeCell ref="N1532:O1532"/>
    <mergeCell ref="AD1533:AE1533"/>
    <mergeCell ref="AF1533:AG1533"/>
    <mergeCell ref="AH1533:AI1533"/>
    <mergeCell ref="AJ1533:AK1533"/>
    <mergeCell ref="AL1533:BB1533"/>
    <mergeCell ref="AJ1527:AK1527"/>
    <mergeCell ref="AL1527:BB1527"/>
    <mergeCell ref="AH1528:AI1528"/>
    <mergeCell ref="AJ1528:AK1528"/>
    <mergeCell ref="AL1528:BB1528"/>
    <mergeCell ref="B1528:C1528"/>
    <mergeCell ref="D1528:E1528"/>
    <mergeCell ref="F1528:G1528"/>
    <mergeCell ref="H1528:I1528"/>
    <mergeCell ref="J1528:K1528"/>
    <mergeCell ref="L1528:M1528"/>
    <mergeCell ref="N1528:O1528"/>
    <mergeCell ref="P1530:Q1530"/>
    <mergeCell ref="R1530:S1530"/>
    <mergeCell ref="T1530:U1530"/>
    <mergeCell ref="V1530:W1530"/>
    <mergeCell ref="X1530:Y1530"/>
    <mergeCell ref="Z1530:AA1530"/>
    <mergeCell ref="AB1530:AC1530"/>
    <mergeCell ref="B1530:C1530"/>
    <mergeCell ref="D1530:E1530"/>
    <mergeCell ref="F1530:G1530"/>
    <mergeCell ref="H1530:I1530"/>
    <mergeCell ref="J1530:K1530"/>
    <mergeCell ref="L1530:M1530"/>
    <mergeCell ref="N1530:O1530"/>
    <mergeCell ref="AD1528:AE1528"/>
    <mergeCell ref="AF1528:AG1528"/>
    <mergeCell ref="P1528:Q1528"/>
    <mergeCell ref="R1528:S1528"/>
    <mergeCell ref="T1528:U1528"/>
    <mergeCell ref="V1528:W1528"/>
    <mergeCell ref="X1528:Y1528"/>
    <mergeCell ref="Z1528:AA1528"/>
    <mergeCell ref="AB1528:AC1528"/>
    <mergeCell ref="AD1529:AE1529"/>
    <mergeCell ref="AF1529:AG1529"/>
    <mergeCell ref="AH1529:AI1529"/>
    <mergeCell ref="AJ1529:AK1529"/>
    <mergeCell ref="AL1529:BB1529"/>
    <mergeCell ref="P1529:Q1529"/>
    <mergeCell ref="R1529:S1529"/>
    <mergeCell ref="T1529:U1529"/>
    <mergeCell ref="V1529:W1529"/>
    <mergeCell ref="X1529:Y1529"/>
    <mergeCell ref="Z1529:AA1529"/>
    <mergeCell ref="AB1529:AC1529"/>
    <mergeCell ref="B1529:C1529"/>
    <mergeCell ref="D1529:E1529"/>
    <mergeCell ref="F1529:G1529"/>
    <mergeCell ref="H1529:I1529"/>
    <mergeCell ref="J1529:K1529"/>
    <mergeCell ref="L1529:M1529"/>
    <mergeCell ref="N1529:O1529"/>
    <mergeCell ref="AD1530:AE1530"/>
    <mergeCell ref="AF1530:AG1530"/>
    <mergeCell ref="AH1530:AI1530"/>
    <mergeCell ref="AJ1530:AK1530"/>
    <mergeCell ref="AL1530:BB1530"/>
    <mergeCell ref="H1523:I1523"/>
    <mergeCell ref="J1523:K1523"/>
    <mergeCell ref="L1523:M1523"/>
    <mergeCell ref="N1523:O1523"/>
    <mergeCell ref="AD1524:AE1524"/>
    <mergeCell ref="AF1524:AG1524"/>
    <mergeCell ref="AH1524:AI1524"/>
    <mergeCell ref="AJ1524:AK1524"/>
    <mergeCell ref="AL1524:BB1524"/>
    <mergeCell ref="AH1525:AI1525"/>
    <mergeCell ref="AJ1525:AK1525"/>
    <mergeCell ref="AL1525:BB1525"/>
    <mergeCell ref="B1525:C1525"/>
    <mergeCell ref="D1525:E1525"/>
    <mergeCell ref="F1525:G1525"/>
    <mergeCell ref="H1525:I1525"/>
    <mergeCell ref="J1525:K1525"/>
    <mergeCell ref="L1525:M1525"/>
    <mergeCell ref="N1525:O1525"/>
    <mergeCell ref="P1527:Q1527"/>
    <mergeCell ref="R1527:S1527"/>
    <mergeCell ref="T1527:U1527"/>
    <mergeCell ref="V1527:W1527"/>
    <mergeCell ref="X1527:Y1527"/>
    <mergeCell ref="Z1527:AA1527"/>
    <mergeCell ref="AB1527:AC1527"/>
    <mergeCell ref="B1527:C1527"/>
    <mergeCell ref="D1527:E1527"/>
    <mergeCell ref="F1527:G1527"/>
    <mergeCell ref="H1527:I1527"/>
    <mergeCell ref="J1527:K1527"/>
    <mergeCell ref="L1527:M1527"/>
    <mergeCell ref="N1527:O1527"/>
    <mergeCell ref="AD1525:AE1525"/>
    <mergeCell ref="AF1525:AG1525"/>
    <mergeCell ref="P1525:Q1525"/>
    <mergeCell ref="R1525:S1525"/>
    <mergeCell ref="T1525:U1525"/>
    <mergeCell ref="V1525:W1525"/>
    <mergeCell ref="X1525:Y1525"/>
    <mergeCell ref="Z1525:AA1525"/>
    <mergeCell ref="AB1525:AC1525"/>
    <mergeCell ref="AD1526:AE1526"/>
    <mergeCell ref="AF1526:AG1526"/>
    <mergeCell ref="AH1526:AI1526"/>
    <mergeCell ref="AJ1526:AK1526"/>
    <mergeCell ref="AL1526:BB1526"/>
    <mergeCell ref="P1526:Q1526"/>
    <mergeCell ref="R1526:S1526"/>
    <mergeCell ref="T1526:U1526"/>
    <mergeCell ref="V1526:W1526"/>
    <mergeCell ref="X1526:Y1526"/>
    <mergeCell ref="Z1526:AA1526"/>
    <mergeCell ref="AB1526:AC1526"/>
    <mergeCell ref="B1526:C1526"/>
    <mergeCell ref="D1526:E1526"/>
    <mergeCell ref="F1526:G1526"/>
    <mergeCell ref="H1526:I1526"/>
    <mergeCell ref="J1526:K1526"/>
    <mergeCell ref="L1526:M1526"/>
    <mergeCell ref="N1526:O1526"/>
    <mergeCell ref="AD1527:AE1527"/>
    <mergeCell ref="AF1527:AG1527"/>
    <mergeCell ref="AH1527:AI1527"/>
    <mergeCell ref="P1521:Q1521"/>
    <mergeCell ref="R1521:S1521"/>
    <mergeCell ref="T1521:U1521"/>
    <mergeCell ref="V1521:W1521"/>
    <mergeCell ref="X1521:Y1521"/>
    <mergeCell ref="Z1521:AA1521"/>
    <mergeCell ref="AB1521:AC1521"/>
    <mergeCell ref="B1521:C1521"/>
    <mergeCell ref="D1521:E1521"/>
    <mergeCell ref="F1521:G1521"/>
    <mergeCell ref="H1521:I1521"/>
    <mergeCell ref="J1521:K1521"/>
    <mergeCell ref="L1521:M1521"/>
    <mergeCell ref="N1521:O1521"/>
    <mergeCell ref="AD1543:AE1543"/>
    <mergeCell ref="AF1543:AG1543"/>
    <mergeCell ref="AH1543:AI1543"/>
    <mergeCell ref="AJ1543:AK1543"/>
    <mergeCell ref="AL1543:BB1543"/>
    <mergeCell ref="P1543:Q1543"/>
    <mergeCell ref="R1543:S1543"/>
    <mergeCell ref="T1543:U1543"/>
    <mergeCell ref="V1543:W1543"/>
    <mergeCell ref="X1543:Y1543"/>
    <mergeCell ref="Z1543:AA1543"/>
    <mergeCell ref="AB1543:AC1543"/>
    <mergeCell ref="P1524:Q1524"/>
    <mergeCell ref="R1524:S1524"/>
    <mergeCell ref="T1524:U1524"/>
    <mergeCell ref="V1524:W1524"/>
    <mergeCell ref="X1524:Y1524"/>
    <mergeCell ref="Z1524:AA1524"/>
    <mergeCell ref="AB1524:AC1524"/>
    <mergeCell ref="B1524:C1524"/>
    <mergeCell ref="D1524:E1524"/>
    <mergeCell ref="F1524:G1524"/>
    <mergeCell ref="H1524:I1524"/>
    <mergeCell ref="J1524:K1524"/>
    <mergeCell ref="L1524:M1524"/>
    <mergeCell ref="N1524:O1524"/>
    <mergeCell ref="AD1522:AE1522"/>
    <mergeCell ref="AF1522:AG1522"/>
    <mergeCell ref="P1522:Q1522"/>
    <mergeCell ref="R1522:S1522"/>
    <mergeCell ref="T1522:U1522"/>
    <mergeCell ref="V1522:W1522"/>
    <mergeCell ref="X1522:Y1522"/>
    <mergeCell ref="Z1522:AA1522"/>
    <mergeCell ref="AB1522:AC1522"/>
    <mergeCell ref="AD1523:AE1523"/>
    <mergeCell ref="AF1523:AG1523"/>
    <mergeCell ref="AH1523:AI1523"/>
    <mergeCell ref="AJ1523:AK1523"/>
    <mergeCell ref="AL1523:BB1523"/>
    <mergeCell ref="P1523:Q1523"/>
    <mergeCell ref="R1523:S1523"/>
    <mergeCell ref="T1523:U1523"/>
    <mergeCell ref="V1523:W1523"/>
    <mergeCell ref="X1523:Y1523"/>
    <mergeCell ref="Z1523:AA1523"/>
    <mergeCell ref="AB1523:AC1523"/>
    <mergeCell ref="B1523:C1523"/>
    <mergeCell ref="D1523:E1523"/>
    <mergeCell ref="F1523:G1523"/>
    <mergeCell ref="AL1512:BB1512"/>
    <mergeCell ref="AH1513:AI1513"/>
    <mergeCell ref="AJ1513:AK1513"/>
    <mergeCell ref="AL1513:BB1513"/>
    <mergeCell ref="B1513:C1513"/>
    <mergeCell ref="D1513:E1513"/>
    <mergeCell ref="F1513:G1513"/>
    <mergeCell ref="H1513:I1513"/>
    <mergeCell ref="J1513:K1513"/>
    <mergeCell ref="L1513:M1513"/>
    <mergeCell ref="N1513:O1513"/>
    <mergeCell ref="P1515:Q1515"/>
    <mergeCell ref="R1515:S1515"/>
    <mergeCell ref="T1515:U1515"/>
    <mergeCell ref="V1515:W1515"/>
    <mergeCell ref="X1515:Y1515"/>
    <mergeCell ref="Z1515:AA1515"/>
    <mergeCell ref="AB1515:AC1515"/>
    <mergeCell ref="B1515:C1515"/>
    <mergeCell ref="D1515:E1515"/>
    <mergeCell ref="F1515:G1515"/>
    <mergeCell ref="H1515:I1515"/>
    <mergeCell ref="J1515:K1515"/>
    <mergeCell ref="L1515:M1515"/>
    <mergeCell ref="N1515:O1515"/>
    <mergeCell ref="AD1513:AE1513"/>
    <mergeCell ref="AF1513:AG1513"/>
    <mergeCell ref="P1513:Q1513"/>
    <mergeCell ref="R1513:S1513"/>
    <mergeCell ref="T1513:U1513"/>
    <mergeCell ref="V1513:W1513"/>
    <mergeCell ref="X1513:Y1513"/>
    <mergeCell ref="Z1513:AA1513"/>
    <mergeCell ref="AB1513:AC1513"/>
    <mergeCell ref="AD1514:AE1514"/>
    <mergeCell ref="AF1514:AG1514"/>
    <mergeCell ref="AH1514:AI1514"/>
    <mergeCell ref="AJ1514:AK1514"/>
    <mergeCell ref="AL1514:BB1514"/>
    <mergeCell ref="P1514:Q1514"/>
    <mergeCell ref="R1514:S1514"/>
    <mergeCell ref="T1514:U1514"/>
    <mergeCell ref="V1514:W1514"/>
    <mergeCell ref="X1514:Y1514"/>
    <mergeCell ref="Z1514:AA1514"/>
    <mergeCell ref="AB1514:AC1514"/>
    <mergeCell ref="B1514:C1514"/>
    <mergeCell ref="D1514:E1514"/>
    <mergeCell ref="F1514:G1514"/>
    <mergeCell ref="H1514:I1514"/>
    <mergeCell ref="J1514:K1514"/>
    <mergeCell ref="L1514:M1514"/>
    <mergeCell ref="N1514:O1514"/>
    <mergeCell ref="AD1515:AE1515"/>
    <mergeCell ref="AF1515:AG1515"/>
    <mergeCell ref="AH1515:AI1515"/>
    <mergeCell ref="AJ1515:AK1515"/>
    <mergeCell ref="AL1515:BB1515"/>
    <mergeCell ref="AD1521:AE1521"/>
    <mergeCell ref="AF1521:AG1521"/>
    <mergeCell ref="AH1521:AI1521"/>
    <mergeCell ref="AJ1521:AK1521"/>
    <mergeCell ref="AL1521:BB1521"/>
    <mergeCell ref="AH1522:AI1522"/>
    <mergeCell ref="AJ1522:AK1522"/>
    <mergeCell ref="AL1522:BB1522"/>
    <mergeCell ref="B1522:C1522"/>
    <mergeCell ref="D1522:E1522"/>
    <mergeCell ref="F1522:G1522"/>
    <mergeCell ref="H1522:I1522"/>
    <mergeCell ref="J1522:K1522"/>
    <mergeCell ref="L1522:M1522"/>
    <mergeCell ref="N1522:O1522"/>
    <mergeCell ref="AD1507:AE1507"/>
    <mergeCell ref="AF1507:AG1507"/>
    <mergeCell ref="P1507:Q1507"/>
    <mergeCell ref="R1507:S1507"/>
    <mergeCell ref="T1507:U1507"/>
    <mergeCell ref="V1507:W1507"/>
    <mergeCell ref="X1507:Y1507"/>
    <mergeCell ref="Z1507:AA1507"/>
    <mergeCell ref="AB1507:AC1507"/>
    <mergeCell ref="AD1508:AE1508"/>
    <mergeCell ref="AF1508:AG1508"/>
    <mergeCell ref="AH1508:AI1508"/>
    <mergeCell ref="AJ1508:AK1508"/>
    <mergeCell ref="AL1508:BB1508"/>
    <mergeCell ref="P1508:Q1508"/>
    <mergeCell ref="R1508:S1508"/>
    <mergeCell ref="T1508:U1508"/>
    <mergeCell ref="V1508:W1508"/>
    <mergeCell ref="X1508:Y1508"/>
    <mergeCell ref="Z1508:AA1508"/>
    <mergeCell ref="AB1508:AC1508"/>
    <mergeCell ref="B1508:C1508"/>
    <mergeCell ref="D1508:E1508"/>
    <mergeCell ref="F1508:G1508"/>
    <mergeCell ref="H1508:I1508"/>
    <mergeCell ref="J1508:K1508"/>
    <mergeCell ref="L1508:M1508"/>
    <mergeCell ref="N1508:O1508"/>
    <mergeCell ref="AD1509:AE1509"/>
    <mergeCell ref="AF1509:AG1509"/>
    <mergeCell ref="AH1509:AI1509"/>
    <mergeCell ref="AJ1509:AK1509"/>
    <mergeCell ref="AL1509:BB1509"/>
    <mergeCell ref="AH1510:AI1510"/>
    <mergeCell ref="AJ1510:AK1510"/>
    <mergeCell ref="AL1510:BB1510"/>
    <mergeCell ref="B1510:C1510"/>
    <mergeCell ref="D1510:E1510"/>
    <mergeCell ref="F1510:G1510"/>
    <mergeCell ref="H1510:I1510"/>
    <mergeCell ref="J1510:K1510"/>
    <mergeCell ref="L1510:M1510"/>
    <mergeCell ref="N1510:O1510"/>
    <mergeCell ref="AD1510:AE1510"/>
    <mergeCell ref="AF1510:AG1510"/>
    <mergeCell ref="P1510:Q1510"/>
    <mergeCell ref="R1510:S1510"/>
    <mergeCell ref="T1510:U1510"/>
    <mergeCell ref="V1510:W1510"/>
    <mergeCell ref="AH1519:AI1519"/>
    <mergeCell ref="AJ1519:AK1519"/>
    <mergeCell ref="AL1519:BB1519"/>
    <mergeCell ref="B1519:C1519"/>
    <mergeCell ref="D1519:E1519"/>
    <mergeCell ref="F1519:G1519"/>
    <mergeCell ref="H1519:I1519"/>
    <mergeCell ref="J1519:K1519"/>
    <mergeCell ref="L1519:M1519"/>
    <mergeCell ref="N1519:O1519"/>
    <mergeCell ref="AD1519:AE1519"/>
    <mergeCell ref="AF1519:AG1519"/>
    <mergeCell ref="P1519:Q1519"/>
    <mergeCell ref="R1519:S1519"/>
    <mergeCell ref="T1519:U1519"/>
    <mergeCell ref="V1519:W1519"/>
    <mergeCell ref="X1519:Y1519"/>
    <mergeCell ref="Z1519:AA1519"/>
    <mergeCell ref="AB1519:AC1519"/>
    <mergeCell ref="AD1520:AE1520"/>
    <mergeCell ref="AF1520:AG1520"/>
    <mergeCell ref="AH1520:AI1520"/>
    <mergeCell ref="AJ1520:AK1520"/>
    <mergeCell ref="AL1520:BB1520"/>
    <mergeCell ref="P1520:Q1520"/>
    <mergeCell ref="R1520:S1520"/>
    <mergeCell ref="T1520:U1520"/>
    <mergeCell ref="V1520:W1520"/>
    <mergeCell ref="X1520:Y1520"/>
    <mergeCell ref="Z1520:AA1520"/>
    <mergeCell ref="AB1520:AC1520"/>
    <mergeCell ref="B1520:C1520"/>
    <mergeCell ref="D1520:E1520"/>
    <mergeCell ref="F1520:G1520"/>
    <mergeCell ref="H1520:I1520"/>
    <mergeCell ref="J1520:K1520"/>
    <mergeCell ref="L1520:M1520"/>
    <mergeCell ref="N1520:O1520"/>
    <mergeCell ref="AD1516:AE1516"/>
    <mergeCell ref="AF1516:AG1516"/>
    <mergeCell ref="P1516:Q1516"/>
    <mergeCell ref="R1516:S1516"/>
    <mergeCell ref="T1516:U1516"/>
    <mergeCell ref="V1516:W1516"/>
    <mergeCell ref="X1516:Y1516"/>
    <mergeCell ref="Z1516:AA1516"/>
    <mergeCell ref="AB1516:AC1516"/>
    <mergeCell ref="AD1517:AE1517"/>
    <mergeCell ref="AF1517:AG1517"/>
    <mergeCell ref="AH1517:AI1517"/>
    <mergeCell ref="AJ1517:AK1517"/>
    <mergeCell ref="AL1517:BB1517"/>
    <mergeCell ref="P1517:Q1517"/>
    <mergeCell ref="R1517:S1517"/>
    <mergeCell ref="T1517:U1517"/>
    <mergeCell ref="V1517:W1517"/>
    <mergeCell ref="X1517:Y1517"/>
    <mergeCell ref="Z1517:AA1517"/>
    <mergeCell ref="AB1517:AC1517"/>
    <mergeCell ref="B1517:C1517"/>
    <mergeCell ref="D1517:E1517"/>
    <mergeCell ref="F1517:G1517"/>
    <mergeCell ref="H1517:I1517"/>
    <mergeCell ref="J1517:K1517"/>
    <mergeCell ref="L1517:M1517"/>
    <mergeCell ref="N1517:O1517"/>
    <mergeCell ref="AD1518:AE1518"/>
    <mergeCell ref="AF1518:AG1518"/>
    <mergeCell ref="AH1518:AI1518"/>
    <mergeCell ref="AJ1518:AK1518"/>
    <mergeCell ref="AL1518:BB1518"/>
    <mergeCell ref="AH1516:AI1516"/>
    <mergeCell ref="AJ1516:AK1516"/>
    <mergeCell ref="AL1516:BB1516"/>
    <mergeCell ref="B1516:C1516"/>
    <mergeCell ref="D1516:E1516"/>
    <mergeCell ref="F1516:G1516"/>
    <mergeCell ref="H1516:I1516"/>
    <mergeCell ref="J1516:K1516"/>
    <mergeCell ref="L1516:M1516"/>
    <mergeCell ref="N1516:O1516"/>
    <mergeCell ref="P1518:Q1518"/>
    <mergeCell ref="R1518:S1518"/>
    <mergeCell ref="T1518:U1518"/>
    <mergeCell ref="V1518:W1518"/>
    <mergeCell ref="X1518:Y1518"/>
    <mergeCell ref="Z1518:AA1518"/>
    <mergeCell ref="AB1518:AC1518"/>
    <mergeCell ref="B1518:C1518"/>
    <mergeCell ref="D1518:E1518"/>
    <mergeCell ref="F1518:G1518"/>
    <mergeCell ref="H1518:I1518"/>
    <mergeCell ref="J1518:K1518"/>
    <mergeCell ref="L1518:M1518"/>
    <mergeCell ref="N1518:O1518"/>
    <mergeCell ref="AH1507:AI1507"/>
    <mergeCell ref="AJ1507:AK1507"/>
    <mergeCell ref="AL1507:BB1507"/>
    <mergeCell ref="B1507:C1507"/>
    <mergeCell ref="D1507:E1507"/>
    <mergeCell ref="F1507:G1507"/>
    <mergeCell ref="H1507:I1507"/>
    <mergeCell ref="J1507:K1507"/>
    <mergeCell ref="L1507:M1507"/>
    <mergeCell ref="N1507:O1507"/>
    <mergeCell ref="P1509:Q1509"/>
    <mergeCell ref="R1509:S1509"/>
    <mergeCell ref="T1509:U1509"/>
    <mergeCell ref="V1509:W1509"/>
    <mergeCell ref="X1509:Y1509"/>
    <mergeCell ref="Z1509:AA1509"/>
    <mergeCell ref="AB1509:AC1509"/>
    <mergeCell ref="B1509:C1509"/>
    <mergeCell ref="D1509:E1509"/>
    <mergeCell ref="F1509:G1509"/>
    <mergeCell ref="H1509:I1509"/>
    <mergeCell ref="J1509:K1509"/>
    <mergeCell ref="L1509:M1509"/>
    <mergeCell ref="N1509:O1509"/>
    <mergeCell ref="P1512:Q1512"/>
    <mergeCell ref="R1512:S1512"/>
    <mergeCell ref="T1512:U1512"/>
    <mergeCell ref="V1512:W1512"/>
    <mergeCell ref="X1512:Y1512"/>
    <mergeCell ref="Z1512:AA1512"/>
    <mergeCell ref="AB1512:AC1512"/>
    <mergeCell ref="B1512:C1512"/>
    <mergeCell ref="D1512:E1512"/>
    <mergeCell ref="F1512:G1512"/>
    <mergeCell ref="H1512:I1512"/>
    <mergeCell ref="J1512:K1512"/>
    <mergeCell ref="L1512:M1512"/>
    <mergeCell ref="N1512:O1512"/>
    <mergeCell ref="X1510:Y1510"/>
    <mergeCell ref="Z1510:AA1510"/>
    <mergeCell ref="AB1510:AC1510"/>
    <mergeCell ref="AD1511:AE1511"/>
    <mergeCell ref="AF1511:AG1511"/>
    <mergeCell ref="AH1511:AI1511"/>
    <mergeCell ref="AJ1511:AK1511"/>
    <mergeCell ref="AL1511:BB1511"/>
    <mergeCell ref="P1511:Q1511"/>
    <mergeCell ref="R1511:S1511"/>
    <mergeCell ref="T1511:U1511"/>
    <mergeCell ref="V1511:W1511"/>
    <mergeCell ref="X1511:Y1511"/>
    <mergeCell ref="Z1511:AA1511"/>
    <mergeCell ref="AB1511:AC1511"/>
    <mergeCell ref="B1511:C1511"/>
    <mergeCell ref="D1511:E1511"/>
    <mergeCell ref="F1511:G1511"/>
    <mergeCell ref="H1511:I1511"/>
    <mergeCell ref="J1511:K1511"/>
    <mergeCell ref="L1511:M1511"/>
    <mergeCell ref="N1511:O1511"/>
    <mergeCell ref="AD1512:AE1512"/>
    <mergeCell ref="AF1512:AG1512"/>
    <mergeCell ref="AH1512:AI1512"/>
    <mergeCell ref="AJ1512:AK1512"/>
    <mergeCell ref="AH1504:AI1504"/>
    <mergeCell ref="AJ1504:AK1504"/>
    <mergeCell ref="AL1504:BB1504"/>
    <mergeCell ref="B1504:C1504"/>
    <mergeCell ref="D1504:E1504"/>
    <mergeCell ref="F1504:G1504"/>
    <mergeCell ref="H1504:I1504"/>
    <mergeCell ref="J1504:K1504"/>
    <mergeCell ref="L1504:M1504"/>
    <mergeCell ref="N1504:O1504"/>
    <mergeCell ref="P1506:Q1506"/>
    <mergeCell ref="R1506:S1506"/>
    <mergeCell ref="T1506:U1506"/>
    <mergeCell ref="V1506:W1506"/>
    <mergeCell ref="X1506:Y1506"/>
    <mergeCell ref="Z1506:AA1506"/>
    <mergeCell ref="AB1506:AC1506"/>
    <mergeCell ref="B1506:C1506"/>
    <mergeCell ref="D1506:E1506"/>
    <mergeCell ref="F1506:G1506"/>
    <mergeCell ref="H1506:I1506"/>
    <mergeCell ref="J1506:K1506"/>
    <mergeCell ref="L1506:M1506"/>
    <mergeCell ref="N1506:O1506"/>
    <mergeCell ref="AD1504:AE1504"/>
    <mergeCell ref="AF1504:AG1504"/>
    <mergeCell ref="P1504:Q1504"/>
    <mergeCell ref="R1504:S1504"/>
    <mergeCell ref="T1504:U1504"/>
    <mergeCell ref="V1504:W1504"/>
    <mergeCell ref="X1504:Y1504"/>
    <mergeCell ref="Z1504:AA1504"/>
    <mergeCell ref="AB1504:AC1504"/>
    <mergeCell ref="AD1505:AE1505"/>
    <mergeCell ref="AF1505:AG1505"/>
    <mergeCell ref="AH1505:AI1505"/>
    <mergeCell ref="AJ1505:AK1505"/>
    <mergeCell ref="AL1505:BB1505"/>
    <mergeCell ref="P1505:Q1505"/>
    <mergeCell ref="R1505:S1505"/>
    <mergeCell ref="T1505:U1505"/>
    <mergeCell ref="V1505:W1505"/>
    <mergeCell ref="X1505:Y1505"/>
    <mergeCell ref="Z1505:AA1505"/>
    <mergeCell ref="AB1505:AC1505"/>
    <mergeCell ref="B1505:C1505"/>
    <mergeCell ref="D1505:E1505"/>
    <mergeCell ref="F1505:G1505"/>
    <mergeCell ref="H1505:I1505"/>
    <mergeCell ref="J1505:K1505"/>
    <mergeCell ref="L1505:M1505"/>
    <mergeCell ref="N1505:O1505"/>
    <mergeCell ref="AD1506:AE1506"/>
    <mergeCell ref="AF1506:AG1506"/>
    <mergeCell ref="AH1506:AI1506"/>
    <mergeCell ref="AJ1506:AK1506"/>
    <mergeCell ref="AL1506:BB1506"/>
    <mergeCell ref="B1501:C1501"/>
    <mergeCell ref="D1501:E1501"/>
    <mergeCell ref="F1501:G1501"/>
    <mergeCell ref="H1501:I1501"/>
    <mergeCell ref="J1501:K1501"/>
    <mergeCell ref="L1501:M1501"/>
    <mergeCell ref="N1501:O1501"/>
    <mergeCell ref="AD1502:AE1502"/>
    <mergeCell ref="AF1502:AG1502"/>
    <mergeCell ref="AH1502:AI1502"/>
    <mergeCell ref="AJ1502:AK1502"/>
    <mergeCell ref="AL1502:BB1502"/>
    <mergeCell ref="P1502:Q1502"/>
    <mergeCell ref="R1502:S1502"/>
    <mergeCell ref="T1502:U1502"/>
    <mergeCell ref="V1502:W1502"/>
    <mergeCell ref="X1502:Y1502"/>
    <mergeCell ref="Z1502:AA1502"/>
    <mergeCell ref="AB1502:AC1502"/>
    <mergeCell ref="B1502:C1502"/>
    <mergeCell ref="D1502:E1502"/>
    <mergeCell ref="F1502:G1502"/>
    <mergeCell ref="H1502:I1502"/>
    <mergeCell ref="J1502:K1502"/>
    <mergeCell ref="L1502:M1502"/>
    <mergeCell ref="N1502:O1502"/>
    <mergeCell ref="AD1503:AE1503"/>
    <mergeCell ref="AF1503:AG1503"/>
    <mergeCell ref="AH1503:AI1503"/>
    <mergeCell ref="AJ1503:AK1503"/>
    <mergeCell ref="AL1503:BB1503"/>
    <mergeCell ref="P1503:Q1503"/>
    <mergeCell ref="R1503:S1503"/>
    <mergeCell ref="T1503:U1503"/>
    <mergeCell ref="V1503:W1503"/>
    <mergeCell ref="X1503:Y1503"/>
    <mergeCell ref="Z1503:AA1503"/>
    <mergeCell ref="AB1503:AC1503"/>
    <mergeCell ref="B1503:C1503"/>
    <mergeCell ref="D1503:E1503"/>
    <mergeCell ref="F1503:G1503"/>
    <mergeCell ref="H1503:I1503"/>
    <mergeCell ref="J1503:K1503"/>
    <mergeCell ref="L1503:M1503"/>
    <mergeCell ref="N1503:O1503"/>
    <mergeCell ref="AH1498:AI1498"/>
    <mergeCell ref="AJ1498:AK1498"/>
    <mergeCell ref="AL1498:BB1498"/>
    <mergeCell ref="B1498:C1498"/>
    <mergeCell ref="D1498:E1498"/>
    <mergeCell ref="F1498:G1498"/>
    <mergeCell ref="H1498:I1498"/>
    <mergeCell ref="J1498:K1498"/>
    <mergeCell ref="L1498:M1498"/>
    <mergeCell ref="N1498:O1498"/>
    <mergeCell ref="P1500:Q1500"/>
    <mergeCell ref="R1500:S1500"/>
    <mergeCell ref="T1500:U1500"/>
    <mergeCell ref="V1500:W1500"/>
    <mergeCell ref="X1500:Y1500"/>
    <mergeCell ref="Z1500:AA1500"/>
    <mergeCell ref="AB1500:AC1500"/>
    <mergeCell ref="B1500:C1500"/>
    <mergeCell ref="D1500:E1500"/>
    <mergeCell ref="F1500:G1500"/>
    <mergeCell ref="H1500:I1500"/>
    <mergeCell ref="J1500:K1500"/>
    <mergeCell ref="L1500:M1500"/>
    <mergeCell ref="N1500:O1500"/>
    <mergeCell ref="AD1498:AE1498"/>
    <mergeCell ref="AF1498:AG1498"/>
    <mergeCell ref="P1498:Q1498"/>
    <mergeCell ref="R1498:S1498"/>
    <mergeCell ref="T1498:U1498"/>
    <mergeCell ref="V1498:W1498"/>
    <mergeCell ref="X1498:Y1498"/>
    <mergeCell ref="Z1498:AA1498"/>
    <mergeCell ref="AB1498:AC1498"/>
    <mergeCell ref="AD1499:AE1499"/>
    <mergeCell ref="AF1499:AG1499"/>
    <mergeCell ref="AH1499:AI1499"/>
    <mergeCell ref="AJ1499:AK1499"/>
    <mergeCell ref="AL1499:BB1499"/>
    <mergeCell ref="P1499:Q1499"/>
    <mergeCell ref="R1499:S1499"/>
    <mergeCell ref="T1499:U1499"/>
    <mergeCell ref="V1499:W1499"/>
    <mergeCell ref="X1499:Y1499"/>
    <mergeCell ref="Z1499:AA1499"/>
    <mergeCell ref="AB1499:AC1499"/>
    <mergeCell ref="B1499:C1499"/>
    <mergeCell ref="D1499:E1499"/>
    <mergeCell ref="F1499:G1499"/>
    <mergeCell ref="H1499:I1499"/>
    <mergeCell ref="J1499:K1499"/>
    <mergeCell ref="L1499:M1499"/>
    <mergeCell ref="N1499:O1499"/>
    <mergeCell ref="AD1500:AE1500"/>
    <mergeCell ref="AF1500:AG1500"/>
    <mergeCell ref="AH1500:AI1500"/>
    <mergeCell ref="AJ1500:AK1500"/>
    <mergeCell ref="AL1500:BB1500"/>
    <mergeCell ref="AH1495:AI1495"/>
    <mergeCell ref="AJ1495:AK1495"/>
    <mergeCell ref="AL1495:BB1495"/>
    <mergeCell ref="B1495:C1495"/>
    <mergeCell ref="D1495:E1495"/>
    <mergeCell ref="F1495:G1495"/>
    <mergeCell ref="H1495:I1495"/>
    <mergeCell ref="J1495:K1495"/>
    <mergeCell ref="L1495:M1495"/>
    <mergeCell ref="N1495:O1495"/>
    <mergeCell ref="P1497:Q1497"/>
    <mergeCell ref="R1497:S1497"/>
    <mergeCell ref="T1497:U1497"/>
    <mergeCell ref="V1497:W1497"/>
    <mergeCell ref="X1497:Y1497"/>
    <mergeCell ref="Z1497:AA1497"/>
    <mergeCell ref="AB1497:AC1497"/>
    <mergeCell ref="B1497:C1497"/>
    <mergeCell ref="D1497:E1497"/>
    <mergeCell ref="F1497:G1497"/>
    <mergeCell ref="H1497:I1497"/>
    <mergeCell ref="J1497:K1497"/>
    <mergeCell ref="L1497:M1497"/>
    <mergeCell ref="N1497:O1497"/>
    <mergeCell ref="AD1495:AE1495"/>
    <mergeCell ref="AF1495:AG1495"/>
    <mergeCell ref="P1495:Q1495"/>
    <mergeCell ref="R1495:S1495"/>
    <mergeCell ref="T1495:U1495"/>
    <mergeCell ref="V1495:W1495"/>
    <mergeCell ref="X1495:Y1495"/>
    <mergeCell ref="Z1495:AA1495"/>
    <mergeCell ref="AB1495:AC1495"/>
    <mergeCell ref="AD1496:AE1496"/>
    <mergeCell ref="AF1496:AG1496"/>
    <mergeCell ref="AH1496:AI1496"/>
    <mergeCell ref="AJ1496:AK1496"/>
    <mergeCell ref="AL1496:BB1496"/>
    <mergeCell ref="P1496:Q1496"/>
    <mergeCell ref="R1496:S1496"/>
    <mergeCell ref="T1496:U1496"/>
    <mergeCell ref="V1496:W1496"/>
    <mergeCell ref="X1496:Y1496"/>
    <mergeCell ref="Z1496:AA1496"/>
    <mergeCell ref="AB1496:AC1496"/>
    <mergeCell ref="B1496:C1496"/>
    <mergeCell ref="D1496:E1496"/>
    <mergeCell ref="F1496:G1496"/>
    <mergeCell ref="H1496:I1496"/>
    <mergeCell ref="J1496:K1496"/>
    <mergeCell ref="L1496:M1496"/>
    <mergeCell ref="N1496:O1496"/>
    <mergeCell ref="AD1497:AE1497"/>
    <mergeCell ref="AF1497:AG1497"/>
    <mergeCell ref="AH1497:AI1497"/>
    <mergeCell ref="AJ1497:AK1497"/>
    <mergeCell ref="AL1497:BB1497"/>
    <mergeCell ref="AH1492:AI1492"/>
    <mergeCell ref="AJ1492:AK1492"/>
    <mergeCell ref="AL1492:BB1492"/>
    <mergeCell ref="B1492:C1492"/>
    <mergeCell ref="D1492:E1492"/>
    <mergeCell ref="F1492:G1492"/>
    <mergeCell ref="H1492:I1492"/>
    <mergeCell ref="J1492:K1492"/>
    <mergeCell ref="L1492:M1492"/>
    <mergeCell ref="N1492:O1492"/>
    <mergeCell ref="P1494:Q1494"/>
    <mergeCell ref="R1494:S1494"/>
    <mergeCell ref="T1494:U1494"/>
    <mergeCell ref="V1494:W1494"/>
    <mergeCell ref="X1494:Y1494"/>
    <mergeCell ref="Z1494:AA1494"/>
    <mergeCell ref="AB1494:AC1494"/>
    <mergeCell ref="B1494:C1494"/>
    <mergeCell ref="D1494:E1494"/>
    <mergeCell ref="F1494:G1494"/>
    <mergeCell ref="H1494:I1494"/>
    <mergeCell ref="J1494:K1494"/>
    <mergeCell ref="L1494:M1494"/>
    <mergeCell ref="N1494:O1494"/>
    <mergeCell ref="AD1492:AE1492"/>
    <mergeCell ref="AF1492:AG1492"/>
    <mergeCell ref="P1492:Q1492"/>
    <mergeCell ref="R1492:S1492"/>
    <mergeCell ref="T1492:U1492"/>
    <mergeCell ref="V1492:W1492"/>
    <mergeCell ref="X1492:Y1492"/>
    <mergeCell ref="Z1492:AA1492"/>
    <mergeCell ref="AB1492:AC1492"/>
    <mergeCell ref="AD1493:AE1493"/>
    <mergeCell ref="AF1493:AG1493"/>
    <mergeCell ref="AH1493:AI1493"/>
    <mergeCell ref="AJ1493:AK1493"/>
    <mergeCell ref="AL1493:BB1493"/>
    <mergeCell ref="P1493:Q1493"/>
    <mergeCell ref="R1493:S1493"/>
    <mergeCell ref="T1493:U1493"/>
    <mergeCell ref="V1493:W1493"/>
    <mergeCell ref="X1493:Y1493"/>
    <mergeCell ref="Z1493:AA1493"/>
    <mergeCell ref="AB1493:AC1493"/>
    <mergeCell ref="B1493:C1493"/>
    <mergeCell ref="D1493:E1493"/>
    <mergeCell ref="F1493:G1493"/>
    <mergeCell ref="H1493:I1493"/>
    <mergeCell ref="J1493:K1493"/>
    <mergeCell ref="L1493:M1493"/>
    <mergeCell ref="N1493:O1493"/>
    <mergeCell ref="AD1494:AE1494"/>
    <mergeCell ref="AF1494:AG1494"/>
    <mergeCell ref="AH1494:AI1494"/>
    <mergeCell ref="AJ1494:AK1494"/>
    <mergeCell ref="AL1494:BB1494"/>
    <mergeCell ref="AH1489:AI1489"/>
    <mergeCell ref="AJ1489:AK1489"/>
    <mergeCell ref="AL1489:BB1489"/>
    <mergeCell ref="B1489:C1489"/>
    <mergeCell ref="D1489:E1489"/>
    <mergeCell ref="F1489:G1489"/>
    <mergeCell ref="H1489:I1489"/>
    <mergeCell ref="J1489:K1489"/>
    <mergeCell ref="L1489:M1489"/>
    <mergeCell ref="N1489:O1489"/>
    <mergeCell ref="P1491:Q1491"/>
    <mergeCell ref="R1491:S1491"/>
    <mergeCell ref="T1491:U1491"/>
    <mergeCell ref="V1491:W1491"/>
    <mergeCell ref="X1491:Y1491"/>
    <mergeCell ref="Z1491:AA1491"/>
    <mergeCell ref="AB1491:AC1491"/>
    <mergeCell ref="B1491:C1491"/>
    <mergeCell ref="D1491:E1491"/>
    <mergeCell ref="F1491:G1491"/>
    <mergeCell ref="H1491:I1491"/>
    <mergeCell ref="J1491:K1491"/>
    <mergeCell ref="L1491:M1491"/>
    <mergeCell ref="N1491:O1491"/>
    <mergeCell ref="AD1489:AE1489"/>
    <mergeCell ref="AF1489:AG1489"/>
    <mergeCell ref="P1489:Q1489"/>
    <mergeCell ref="R1489:S1489"/>
    <mergeCell ref="T1489:U1489"/>
    <mergeCell ref="V1489:W1489"/>
    <mergeCell ref="X1489:Y1489"/>
    <mergeCell ref="Z1489:AA1489"/>
    <mergeCell ref="AB1489:AC1489"/>
    <mergeCell ref="AD1490:AE1490"/>
    <mergeCell ref="AF1490:AG1490"/>
    <mergeCell ref="AH1490:AI1490"/>
    <mergeCell ref="AJ1490:AK1490"/>
    <mergeCell ref="AL1490:BB1490"/>
    <mergeCell ref="P1490:Q1490"/>
    <mergeCell ref="R1490:S1490"/>
    <mergeCell ref="T1490:U1490"/>
    <mergeCell ref="V1490:W1490"/>
    <mergeCell ref="X1490:Y1490"/>
    <mergeCell ref="Z1490:AA1490"/>
    <mergeCell ref="AB1490:AC1490"/>
    <mergeCell ref="B1490:C1490"/>
    <mergeCell ref="D1490:E1490"/>
    <mergeCell ref="F1490:G1490"/>
    <mergeCell ref="H1490:I1490"/>
    <mergeCell ref="J1490:K1490"/>
    <mergeCell ref="L1490:M1490"/>
    <mergeCell ref="N1490:O1490"/>
    <mergeCell ref="AD1491:AE1491"/>
    <mergeCell ref="AF1491:AG1491"/>
    <mergeCell ref="AH1491:AI1491"/>
    <mergeCell ref="AJ1491:AK1491"/>
    <mergeCell ref="AL1491:BB1491"/>
    <mergeCell ref="AJ1485:AK1485"/>
    <mergeCell ref="AL1485:BB1485"/>
    <mergeCell ref="AH1486:AI1486"/>
    <mergeCell ref="AJ1486:AK1486"/>
    <mergeCell ref="AL1486:BB1486"/>
    <mergeCell ref="B1486:C1486"/>
    <mergeCell ref="D1486:E1486"/>
    <mergeCell ref="F1486:G1486"/>
    <mergeCell ref="H1486:I1486"/>
    <mergeCell ref="J1486:K1486"/>
    <mergeCell ref="L1486:M1486"/>
    <mergeCell ref="N1486:O1486"/>
    <mergeCell ref="P1488:Q1488"/>
    <mergeCell ref="R1488:S1488"/>
    <mergeCell ref="T1488:U1488"/>
    <mergeCell ref="V1488:W1488"/>
    <mergeCell ref="X1488:Y1488"/>
    <mergeCell ref="Z1488:AA1488"/>
    <mergeCell ref="AB1488:AC1488"/>
    <mergeCell ref="B1488:C1488"/>
    <mergeCell ref="D1488:E1488"/>
    <mergeCell ref="F1488:G1488"/>
    <mergeCell ref="H1488:I1488"/>
    <mergeCell ref="J1488:K1488"/>
    <mergeCell ref="L1488:M1488"/>
    <mergeCell ref="N1488:O1488"/>
    <mergeCell ref="AD1486:AE1486"/>
    <mergeCell ref="AF1486:AG1486"/>
    <mergeCell ref="P1486:Q1486"/>
    <mergeCell ref="R1486:S1486"/>
    <mergeCell ref="T1486:U1486"/>
    <mergeCell ref="V1486:W1486"/>
    <mergeCell ref="X1486:Y1486"/>
    <mergeCell ref="Z1486:AA1486"/>
    <mergeCell ref="AB1486:AC1486"/>
    <mergeCell ref="AD1487:AE1487"/>
    <mergeCell ref="AF1487:AG1487"/>
    <mergeCell ref="AH1487:AI1487"/>
    <mergeCell ref="AJ1487:AK1487"/>
    <mergeCell ref="AL1487:BB1487"/>
    <mergeCell ref="P1487:Q1487"/>
    <mergeCell ref="R1487:S1487"/>
    <mergeCell ref="T1487:U1487"/>
    <mergeCell ref="V1487:W1487"/>
    <mergeCell ref="X1487:Y1487"/>
    <mergeCell ref="Z1487:AA1487"/>
    <mergeCell ref="AB1487:AC1487"/>
    <mergeCell ref="B1487:C1487"/>
    <mergeCell ref="D1487:E1487"/>
    <mergeCell ref="F1487:G1487"/>
    <mergeCell ref="H1487:I1487"/>
    <mergeCell ref="J1487:K1487"/>
    <mergeCell ref="L1487:M1487"/>
    <mergeCell ref="N1487:O1487"/>
    <mergeCell ref="AD1488:AE1488"/>
    <mergeCell ref="AF1488:AG1488"/>
    <mergeCell ref="AH1488:AI1488"/>
    <mergeCell ref="AJ1488:AK1488"/>
    <mergeCell ref="AL1488:BB1488"/>
    <mergeCell ref="H1481:I1481"/>
    <mergeCell ref="J1481:K1481"/>
    <mergeCell ref="L1481:M1481"/>
    <mergeCell ref="N1481:O1481"/>
    <mergeCell ref="AD1482:AE1482"/>
    <mergeCell ref="AF1482:AG1482"/>
    <mergeCell ref="AH1482:AI1482"/>
    <mergeCell ref="AJ1482:AK1482"/>
    <mergeCell ref="AL1482:BB1482"/>
    <mergeCell ref="AH1483:AI1483"/>
    <mergeCell ref="AJ1483:AK1483"/>
    <mergeCell ref="AL1483:BB1483"/>
    <mergeCell ref="B1483:C1483"/>
    <mergeCell ref="D1483:E1483"/>
    <mergeCell ref="F1483:G1483"/>
    <mergeCell ref="H1483:I1483"/>
    <mergeCell ref="J1483:K1483"/>
    <mergeCell ref="L1483:M1483"/>
    <mergeCell ref="N1483:O1483"/>
    <mergeCell ref="P1485:Q1485"/>
    <mergeCell ref="R1485:S1485"/>
    <mergeCell ref="T1485:U1485"/>
    <mergeCell ref="V1485:W1485"/>
    <mergeCell ref="X1485:Y1485"/>
    <mergeCell ref="Z1485:AA1485"/>
    <mergeCell ref="AB1485:AC1485"/>
    <mergeCell ref="B1485:C1485"/>
    <mergeCell ref="D1485:E1485"/>
    <mergeCell ref="F1485:G1485"/>
    <mergeCell ref="H1485:I1485"/>
    <mergeCell ref="J1485:K1485"/>
    <mergeCell ref="L1485:M1485"/>
    <mergeCell ref="N1485:O1485"/>
    <mergeCell ref="AD1483:AE1483"/>
    <mergeCell ref="AF1483:AG1483"/>
    <mergeCell ref="P1483:Q1483"/>
    <mergeCell ref="R1483:S1483"/>
    <mergeCell ref="T1483:U1483"/>
    <mergeCell ref="V1483:W1483"/>
    <mergeCell ref="X1483:Y1483"/>
    <mergeCell ref="Z1483:AA1483"/>
    <mergeCell ref="AB1483:AC1483"/>
    <mergeCell ref="AD1484:AE1484"/>
    <mergeCell ref="AF1484:AG1484"/>
    <mergeCell ref="AH1484:AI1484"/>
    <mergeCell ref="AJ1484:AK1484"/>
    <mergeCell ref="AL1484:BB1484"/>
    <mergeCell ref="P1484:Q1484"/>
    <mergeCell ref="R1484:S1484"/>
    <mergeCell ref="T1484:U1484"/>
    <mergeCell ref="V1484:W1484"/>
    <mergeCell ref="X1484:Y1484"/>
    <mergeCell ref="Z1484:AA1484"/>
    <mergeCell ref="AB1484:AC1484"/>
    <mergeCell ref="B1484:C1484"/>
    <mergeCell ref="D1484:E1484"/>
    <mergeCell ref="F1484:G1484"/>
    <mergeCell ref="H1484:I1484"/>
    <mergeCell ref="J1484:K1484"/>
    <mergeCell ref="L1484:M1484"/>
    <mergeCell ref="N1484:O1484"/>
    <mergeCell ref="AD1485:AE1485"/>
    <mergeCell ref="AF1485:AG1485"/>
    <mergeCell ref="AH1485:AI1485"/>
    <mergeCell ref="P1479:Q1479"/>
    <mergeCell ref="R1479:S1479"/>
    <mergeCell ref="T1479:U1479"/>
    <mergeCell ref="V1479:W1479"/>
    <mergeCell ref="X1479:Y1479"/>
    <mergeCell ref="Z1479:AA1479"/>
    <mergeCell ref="AB1479:AC1479"/>
    <mergeCell ref="B1479:C1479"/>
    <mergeCell ref="D1479:E1479"/>
    <mergeCell ref="F1479:G1479"/>
    <mergeCell ref="H1479:I1479"/>
    <mergeCell ref="J1479:K1479"/>
    <mergeCell ref="L1479:M1479"/>
    <mergeCell ref="N1479:O1479"/>
    <mergeCell ref="AD1501:AE1501"/>
    <mergeCell ref="AF1501:AG1501"/>
    <mergeCell ref="AH1501:AI1501"/>
    <mergeCell ref="AJ1501:AK1501"/>
    <mergeCell ref="AL1501:BB1501"/>
    <mergeCell ref="P1501:Q1501"/>
    <mergeCell ref="R1501:S1501"/>
    <mergeCell ref="T1501:U1501"/>
    <mergeCell ref="V1501:W1501"/>
    <mergeCell ref="X1501:Y1501"/>
    <mergeCell ref="Z1501:AA1501"/>
    <mergeCell ref="AB1501:AC1501"/>
    <mergeCell ref="P1482:Q1482"/>
    <mergeCell ref="R1482:S1482"/>
    <mergeCell ref="T1482:U1482"/>
    <mergeCell ref="V1482:W1482"/>
    <mergeCell ref="X1482:Y1482"/>
    <mergeCell ref="Z1482:AA1482"/>
    <mergeCell ref="AB1482:AC1482"/>
    <mergeCell ref="B1482:C1482"/>
    <mergeCell ref="D1482:E1482"/>
    <mergeCell ref="F1482:G1482"/>
    <mergeCell ref="H1482:I1482"/>
    <mergeCell ref="J1482:K1482"/>
    <mergeCell ref="L1482:M1482"/>
    <mergeCell ref="N1482:O1482"/>
    <mergeCell ref="AD1480:AE1480"/>
    <mergeCell ref="AF1480:AG1480"/>
    <mergeCell ref="P1480:Q1480"/>
    <mergeCell ref="R1480:S1480"/>
    <mergeCell ref="T1480:U1480"/>
    <mergeCell ref="V1480:W1480"/>
    <mergeCell ref="X1480:Y1480"/>
    <mergeCell ref="Z1480:AA1480"/>
    <mergeCell ref="AB1480:AC1480"/>
    <mergeCell ref="AD1481:AE1481"/>
    <mergeCell ref="AF1481:AG1481"/>
    <mergeCell ref="AH1481:AI1481"/>
    <mergeCell ref="AJ1481:AK1481"/>
    <mergeCell ref="AL1481:BB1481"/>
    <mergeCell ref="P1481:Q1481"/>
    <mergeCell ref="R1481:S1481"/>
    <mergeCell ref="T1481:U1481"/>
    <mergeCell ref="V1481:W1481"/>
    <mergeCell ref="X1481:Y1481"/>
    <mergeCell ref="Z1481:AA1481"/>
    <mergeCell ref="AB1481:AC1481"/>
    <mergeCell ref="B1481:C1481"/>
    <mergeCell ref="D1481:E1481"/>
    <mergeCell ref="F1481:G1481"/>
    <mergeCell ref="AL1470:BB1470"/>
    <mergeCell ref="AH1471:AI1471"/>
    <mergeCell ref="AJ1471:AK1471"/>
    <mergeCell ref="AL1471:BB1471"/>
    <mergeCell ref="B1471:C1471"/>
    <mergeCell ref="D1471:E1471"/>
    <mergeCell ref="F1471:G1471"/>
    <mergeCell ref="H1471:I1471"/>
    <mergeCell ref="J1471:K1471"/>
    <mergeCell ref="L1471:M1471"/>
    <mergeCell ref="N1471:O1471"/>
    <mergeCell ref="P1473:Q1473"/>
    <mergeCell ref="R1473:S1473"/>
    <mergeCell ref="T1473:U1473"/>
    <mergeCell ref="V1473:W1473"/>
    <mergeCell ref="X1473:Y1473"/>
    <mergeCell ref="Z1473:AA1473"/>
    <mergeCell ref="AB1473:AC1473"/>
    <mergeCell ref="B1473:C1473"/>
    <mergeCell ref="D1473:E1473"/>
    <mergeCell ref="F1473:G1473"/>
    <mergeCell ref="H1473:I1473"/>
    <mergeCell ref="J1473:K1473"/>
    <mergeCell ref="L1473:M1473"/>
    <mergeCell ref="N1473:O1473"/>
    <mergeCell ref="AD1471:AE1471"/>
    <mergeCell ref="AF1471:AG1471"/>
    <mergeCell ref="P1471:Q1471"/>
    <mergeCell ref="R1471:S1471"/>
    <mergeCell ref="T1471:U1471"/>
    <mergeCell ref="V1471:W1471"/>
    <mergeCell ref="X1471:Y1471"/>
    <mergeCell ref="Z1471:AA1471"/>
    <mergeCell ref="AB1471:AC1471"/>
    <mergeCell ref="AD1472:AE1472"/>
    <mergeCell ref="AF1472:AG1472"/>
    <mergeCell ref="AH1472:AI1472"/>
    <mergeCell ref="AJ1472:AK1472"/>
    <mergeCell ref="AL1472:BB1472"/>
    <mergeCell ref="P1472:Q1472"/>
    <mergeCell ref="R1472:S1472"/>
    <mergeCell ref="T1472:U1472"/>
    <mergeCell ref="V1472:W1472"/>
    <mergeCell ref="X1472:Y1472"/>
    <mergeCell ref="Z1472:AA1472"/>
    <mergeCell ref="AB1472:AC1472"/>
    <mergeCell ref="B1472:C1472"/>
    <mergeCell ref="D1472:E1472"/>
    <mergeCell ref="F1472:G1472"/>
    <mergeCell ref="H1472:I1472"/>
    <mergeCell ref="J1472:K1472"/>
    <mergeCell ref="L1472:M1472"/>
    <mergeCell ref="N1472:O1472"/>
    <mergeCell ref="AD1473:AE1473"/>
    <mergeCell ref="AF1473:AG1473"/>
    <mergeCell ref="AH1473:AI1473"/>
    <mergeCell ref="AJ1473:AK1473"/>
    <mergeCell ref="AL1473:BB1473"/>
    <mergeCell ref="AD1479:AE1479"/>
    <mergeCell ref="AF1479:AG1479"/>
    <mergeCell ref="AH1479:AI1479"/>
    <mergeCell ref="AJ1479:AK1479"/>
    <mergeCell ref="AL1479:BB1479"/>
    <mergeCell ref="AH1480:AI1480"/>
    <mergeCell ref="AJ1480:AK1480"/>
    <mergeCell ref="AL1480:BB1480"/>
    <mergeCell ref="B1480:C1480"/>
    <mergeCell ref="D1480:E1480"/>
    <mergeCell ref="F1480:G1480"/>
    <mergeCell ref="H1480:I1480"/>
    <mergeCell ref="J1480:K1480"/>
    <mergeCell ref="L1480:M1480"/>
    <mergeCell ref="N1480:O1480"/>
    <mergeCell ref="AD1465:AE1465"/>
    <mergeCell ref="AF1465:AG1465"/>
    <mergeCell ref="P1465:Q1465"/>
    <mergeCell ref="R1465:S1465"/>
    <mergeCell ref="T1465:U1465"/>
    <mergeCell ref="V1465:W1465"/>
    <mergeCell ref="X1465:Y1465"/>
    <mergeCell ref="Z1465:AA1465"/>
    <mergeCell ref="AB1465:AC1465"/>
    <mergeCell ref="AD1466:AE1466"/>
    <mergeCell ref="AF1466:AG1466"/>
    <mergeCell ref="AH1466:AI1466"/>
    <mergeCell ref="AJ1466:AK1466"/>
    <mergeCell ref="AL1466:BB1466"/>
    <mergeCell ref="P1466:Q1466"/>
    <mergeCell ref="R1466:S1466"/>
    <mergeCell ref="T1466:U1466"/>
    <mergeCell ref="V1466:W1466"/>
    <mergeCell ref="X1466:Y1466"/>
    <mergeCell ref="Z1466:AA1466"/>
    <mergeCell ref="AB1466:AC1466"/>
    <mergeCell ref="B1466:C1466"/>
    <mergeCell ref="D1466:E1466"/>
    <mergeCell ref="F1466:G1466"/>
    <mergeCell ref="H1466:I1466"/>
    <mergeCell ref="J1466:K1466"/>
    <mergeCell ref="L1466:M1466"/>
    <mergeCell ref="N1466:O1466"/>
    <mergeCell ref="AD1467:AE1467"/>
    <mergeCell ref="AF1467:AG1467"/>
    <mergeCell ref="AH1467:AI1467"/>
    <mergeCell ref="AJ1467:AK1467"/>
    <mergeCell ref="AL1467:BB1467"/>
    <mergeCell ref="AH1468:AI1468"/>
    <mergeCell ref="AJ1468:AK1468"/>
    <mergeCell ref="AL1468:BB1468"/>
    <mergeCell ref="B1468:C1468"/>
    <mergeCell ref="D1468:E1468"/>
    <mergeCell ref="F1468:G1468"/>
    <mergeCell ref="H1468:I1468"/>
    <mergeCell ref="J1468:K1468"/>
    <mergeCell ref="L1468:M1468"/>
    <mergeCell ref="N1468:O1468"/>
    <mergeCell ref="AD1468:AE1468"/>
    <mergeCell ref="AF1468:AG1468"/>
    <mergeCell ref="P1468:Q1468"/>
    <mergeCell ref="R1468:S1468"/>
    <mergeCell ref="T1468:U1468"/>
    <mergeCell ref="V1468:W1468"/>
    <mergeCell ref="AH1477:AI1477"/>
    <mergeCell ref="AJ1477:AK1477"/>
    <mergeCell ref="AL1477:BB1477"/>
    <mergeCell ref="B1477:C1477"/>
    <mergeCell ref="D1477:E1477"/>
    <mergeCell ref="F1477:G1477"/>
    <mergeCell ref="H1477:I1477"/>
    <mergeCell ref="J1477:K1477"/>
    <mergeCell ref="L1477:M1477"/>
    <mergeCell ref="N1477:O1477"/>
    <mergeCell ref="AD1477:AE1477"/>
    <mergeCell ref="AF1477:AG1477"/>
    <mergeCell ref="P1477:Q1477"/>
    <mergeCell ref="R1477:S1477"/>
    <mergeCell ref="T1477:U1477"/>
    <mergeCell ref="V1477:W1477"/>
    <mergeCell ref="X1477:Y1477"/>
    <mergeCell ref="Z1477:AA1477"/>
    <mergeCell ref="AB1477:AC1477"/>
    <mergeCell ref="AD1478:AE1478"/>
    <mergeCell ref="AF1478:AG1478"/>
    <mergeCell ref="AH1478:AI1478"/>
    <mergeCell ref="AJ1478:AK1478"/>
    <mergeCell ref="AL1478:BB1478"/>
    <mergeCell ref="P1478:Q1478"/>
    <mergeCell ref="R1478:S1478"/>
    <mergeCell ref="T1478:U1478"/>
    <mergeCell ref="V1478:W1478"/>
    <mergeCell ref="X1478:Y1478"/>
    <mergeCell ref="Z1478:AA1478"/>
    <mergeCell ref="AB1478:AC1478"/>
    <mergeCell ref="B1478:C1478"/>
    <mergeCell ref="D1478:E1478"/>
    <mergeCell ref="F1478:G1478"/>
    <mergeCell ref="H1478:I1478"/>
    <mergeCell ref="J1478:K1478"/>
    <mergeCell ref="L1478:M1478"/>
    <mergeCell ref="N1478:O1478"/>
    <mergeCell ref="AD1474:AE1474"/>
    <mergeCell ref="AF1474:AG1474"/>
    <mergeCell ref="P1474:Q1474"/>
    <mergeCell ref="R1474:S1474"/>
    <mergeCell ref="T1474:U1474"/>
    <mergeCell ref="V1474:W1474"/>
    <mergeCell ref="X1474:Y1474"/>
    <mergeCell ref="Z1474:AA1474"/>
    <mergeCell ref="AB1474:AC1474"/>
    <mergeCell ref="AD1475:AE1475"/>
    <mergeCell ref="AF1475:AG1475"/>
    <mergeCell ref="AH1475:AI1475"/>
    <mergeCell ref="AJ1475:AK1475"/>
    <mergeCell ref="AL1475:BB1475"/>
    <mergeCell ref="P1475:Q1475"/>
    <mergeCell ref="R1475:S1475"/>
    <mergeCell ref="T1475:U1475"/>
    <mergeCell ref="V1475:W1475"/>
    <mergeCell ref="X1475:Y1475"/>
    <mergeCell ref="Z1475:AA1475"/>
    <mergeCell ref="AB1475:AC1475"/>
    <mergeCell ref="B1475:C1475"/>
    <mergeCell ref="D1475:E1475"/>
    <mergeCell ref="F1475:G1475"/>
    <mergeCell ref="H1475:I1475"/>
    <mergeCell ref="J1475:K1475"/>
    <mergeCell ref="L1475:M1475"/>
    <mergeCell ref="N1475:O1475"/>
    <mergeCell ref="AD1476:AE1476"/>
    <mergeCell ref="AF1476:AG1476"/>
    <mergeCell ref="AH1476:AI1476"/>
    <mergeCell ref="AJ1476:AK1476"/>
    <mergeCell ref="AL1476:BB1476"/>
    <mergeCell ref="AH1474:AI1474"/>
    <mergeCell ref="AJ1474:AK1474"/>
    <mergeCell ref="AL1474:BB1474"/>
    <mergeCell ref="B1474:C1474"/>
    <mergeCell ref="D1474:E1474"/>
    <mergeCell ref="F1474:G1474"/>
    <mergeCell ref="H1474:I1474"/>
    <mergeCell ref="J1474:K1474"/>
    <mergeCell ref="L1474:M1474"/>
    <mergeCell ref="N1474:O1474"/>
    <mergeCell ref="P1476:Q1476"/>
    <mergeCell ref="R1476:S1476"/>
    <mergeCell ref="T1476:U1476"/>
    <mergeCell ref="V1476:W1476"/>
    <mergeCell ref="X1476:Y1476"/>
    <mergeCell ref="Z1476:AA1476"/>
    <mergeCell ref="AB1476:AC1476"/>
    <mergeCell ref="B1476:C1476"/>
    <mergeCell ref="D1476:E1476"/>
    <mergeCell ref="F1476:G1476"/>
    <mergeCell ref="H1476:I1476"/>
    <mergeCell ref="J1476:K1476"/>
    <mergeCell ref="L1476:M1476"/>
    <mergeCell ref="N1476:O1476"/>
    <mergeCell ref="AH1465:AI1465"/>
    <mergeCell ref="AJ1465:AK1465"/>
    <mergeCell ref="AL1465:BB1465"/>
    <mergeCell ref="B1465:C1465"/>
    <mergeCell ref="D1465:E1465"/>
    <mergeCell ref="F1465:G1465"/>
    <mergeCell ref="H1465:I1465"/>
    <mergeCell ref="J1465:K1465"/>
    <mergeCell ref="L1465:M1465"/>
    <mergeCell ref="N1465:O1465"/>
    <mergeCell ref="P1467:Q1467"/>
    <mergeCell ref="R1467:S1467"/>
    <mergeCell ref="T1467:U1467"/>
    <mergeCell ref="V1467:W1467"/>
    <mergeCell ref="X1467:Y1467"/>
    <mergeCell ref="Z1467:AA1467"/>
    <mergeCell ref="AB1467:AC1467"/>
    <mergeCell ref="B1467:C1467"/>
    <mergeCell ref="D1467:E1467"/>
    <mergeCell ref="F1467:G1467"/>
    <mergeCell ref="H1467:I1467"/>
    <mergeCell ref="J1467:K1467"/>
    <mergeCell ref="L1467:M1467"/>
    <mergeCell ref="N1467:O1467"/>
    <mergeCell ref="P1470:Q1470"/>
    <mergeCell ref="R1470:S1470"/>
    <mergeCell ref="T1470:U1470"/>
    <mergeCell ref="V1470:W1470"/>
    <mergeCell ref="X1470:Y1470"/>
    <mergeCell ref="Z1470:AA1470"/>
    <mergeCell ref="AB1470:AC1470"/>
    <mergeCell ref="B1470:C1470"/>
    <mergeCell ref="D1470:E1470"/>
    <mergeCell ref="F1470:G1470"/>
    <mergeCell ref="H1470:I1470"/>
    <mergeCell ref="J1470:K1470"/>
    <mergeCell ref="L1470:M1470"/>
    <mergeCell ref="N1470:O1470"/>
    <mergeCell ref="X1468:Y1468"/>
    <mergeCell ref="Z1468:AA1468"/>
    <mergeCell ref="AB1468:AC1468"/>
    <mergeCell ref="AD1469:AE1469"/>
    <mergeCell ref="AF1469:AG1469"/>
    <mergeCell ref="AH1469:AI1469"/>
    <mergeCell ref="AJ1469:AK1469"/>
    <mergeCell ref="AL1469:BB1469"/>
    <mergeCell ref="P1469:Q1469"/>
    <mergeCell ref="R1469:S1469"/>
    <mergeCell ref="T1469:U1469"/>
    <mergeCell ref="V1469:W1469"/>
    <mergeCell ref="X1469:Y1469"/>
    <mergeCell ref="Z1469:AA1469"/>
    <mergeCell ref="AB1469:AC1469"/>
    <mergeCell ref="B1469:C1469"/>
    <mergeCell ref="D1469:E1469"/>
    <mergeCell ref="F1469:G1469"/>
    <mergeCell ref="H1469:I1469"/>
    <mergeCell ref="J1469:K1469"/>
    <mergeCell ref="L1469:M1469"/>
    <mergeCell ref="N1469:O1469"/>
    <mergeCell ref="AD1470:AE1470"/>
    <mergeCell ref="AF1470:AG1470"/>
    <mergeCell ref="AH1470:AI1470"/>
    <mergeCell ref="AJ1470:AK1470"/>
    <mergeCell ref="AH1462:AI1462"/>
    <mergeCell ref="AJ1462:AK1462"/>
    <mergeCell ref="AL1462:BB1462"/>
    <mergeCell ref="B1462:C1462"/>
    <mergeCell ref="D1462:E1462"/>
    <mergeCell ref="F1462:G1462"/>
    <mergeCell ref="H1462:I1462"/>
    <mergeCell ref="J1462:K1462"/>
    <mergeCell ref="L1462:M1462"/>
    <mergeCell ref="N1462:O1462"/>
    <mergeCell ref="P1464:Q1464"/>
    <mergeCell ref="R1464:S1464"/>
    <mergeCell ref="T1464:U1464"/>
    <mergeCell ref="V1464:W1464"/>
    <mergeCell ref="X1464:Y1464"/>
    <mergeCell ref="Z1464:AA1464"/>
    <mergeCell ref="AB1464:AC1464"/>
    <mergeCell ref="B1464:C1464"/>
    <mergeCell ref="D1464:E1464"/>
    <mergeCell ref="F1464:G1464"/>
    <mergeCell ref="H1464:I1464"/>
    <mergeCell ref="J1464:K1464"/>
    <mergeCell ref="L1464:M1464"/>
    <mergeCell ref="N1464:O1464"/>
    <mergeCell ref="AD1462:AE1462"/>
    <mergeCell ref="AF1462:AG1462"/>
    <mergeCell ref="P1462:Q1462"/>
    <mergeCell ref="R1462:S1462"/>
    <mergeCell ref="T1462:U1462"/>
    <mergeCell ref="V1462:W1462"/>
    <mergeCell ref="X1462:Y1462"/>
    <mergeCell ref="Z1462:AA1462"/>
    <mergeCell ref="AB1462:AC1462"/>
    <mergeCell ref="AD1463:AE1463"/>
    <mergeCell ref="AF1463:AG1463"/>
    <mergeCell ref="AH1463:AI1463"/>
    <mergeCell ref="AJ1463:AK1463"/>
    <mergeCell ref="AL1463:BB1463"/>
    <mergeCell ref="P1463:Q1463"/>
    <mergeCell ref="R1463:S1463"/>
    <mergeCell ref="T1463:U1463"/>
    <mergeCell ref="V1463:W1463"/>
    <mergeCell ref="X1463:Y1463"/>
    <mergeCell ref="Z1463:AA1463"/>
    <mergeCell ref="AB1463:AC1463"/>
    <mergeCell ref="B1463:C1463"/>
    <mergeCell ref="D1463:E1463"/>
    <mergeCell ref="F1463:G1463"/>
    <mergeCell ref="H1463:I1463"/>
    <mergeCell ref="J1463:K1463"/>
    <mergeCell ref="L1463:M1463"/>
    <mergeCell ref="N1463:O1463"/>
    <mergeCell ref="AD1464:AE1464"/>
    <mergeCell ref="AF1464:AG1464"/>
    <mergeCell ref="AH1464:AI1464"/>
    <mergeCell ref="AJ1464:AK1464"/>
    <mergeCell ref="AL1464:BB1464"/>
    <mergeCell ref="B1459:C1459"/>
    <mergeCell ref="D1459:E1459"/>
    <mergeCell ref="F1459:G1459"/>
    <mergeCell ref="H1459:I1459"/>
    <mergeCell ref="J1459:K1459"/>
    <mergeCell ref="L1459:M1459"/>
    <mergeCell ref="N1459:O1459"/>
    <mergeCell ref="AD1460:AE1460"/>
    <mergeCell ref="AF1460:AG1460"/>
    <mergeCell ref="AH1460:AI1460"/>
    <mergeCell ref="AJ1460:AK1460"/>
    <mergeCell ref="AL1460:BB1460"/>
    <mergeCell ref="P1460:Q1460"/>
    <mergeCell ref="R1460:S1460"/>
    <mergeCell ref="T1460:U1460"/>
    <mergeCell ref="V1460:W1460"/>
    <mergeCell ref="X1460:Y1460"/>
    <mergeCell ref="Z1460:AA1460"/>
    <mergeCell ref="AB1460:AC1460"/>
    <mergeCell ref="B1460:C1460"/>
    <mergeCell ref="D1460:E1460"/>
    <mergeCell ref="F1460:G1460"/>
    <mergeCell ref="H1460:I1460"/>
    <mergeCell ref="J1460:K1460"/>
    <mergeCell ref="L1460:M1460"/>
    <mergeCell ref="N1460:O1460"/>
    <mergeCell ref="AD1461:AE1461"/>
    <mergeCell ref="AF1461:AG1461"/>
    <mergeCell ref="AH1461:AI1461"/>
    <mergeCell ref="AJ1461:AK1461"/>
    <mergeCell ref="AL1461:BB1461"/>
    <mergeCell ref="P1461:Q1461"/>
    <mergeCell ref="R1461:S1461"/>
    <mergeCell ref="T1461:U1461"/>
    <mergeCell ref="V1461:W1461"/>
    <mergeCell ref="X1461:Y1461"/>
    <mergeCell ref="Z1461:AA1461"/>
    <mergeCell ref="AB1461:AC1461"/>
    <mergeCell ref="B1461:C1461"/>
    <mergeCell ref="D1461:E1461"/>
    <mergeCell ref="F1461:G1461"/>
    <mergeCell ref="H1461:I1461"/>
    <mergeCell ref="J1461:K1461"/>
    <mergeCell ref="L1461:M1461"/>
    <mergeCell ref="N1461:O1461"/>
    <mergeCell ref="AH1456:AI1456"/>
    <mergeCell ref="AJ1456:AK1456"/>
    <mergeCell ref="AL1456:BB1456"/>
    <mergeCell ref="B1456:C1456"/>
    <mergeCell ref="D1456:E1456"/>
    <mergeCell ref="F1456:G1456"/>
    <mergeCell ref="H1456:I1456"/>
    <mergeCell ref="J1456:K1456"/>
    <mergeCell ref="L1456:M1456"/>
    <mergeCell ref="N1456:O1456"/>
    <mergeCell ref="P1458:Q1458"/>
    <mergeCell ref="R1458:S1458"/>
    <mergeCell ref="T1458:U1458"/>
    <mergeCell ref="V1458:W1458"/>
    <mergeCell ref="X1458:Y1458"/>
    <mergeCell ref="Z1458:AA1458"/>
    <mergeCell ref="AB1458:AC1458"/>
    <mergeCell ref="B1458:C1458"/>
    <mergeCell ref="D1458:E1458"/>
    <mergeCell ref="F1458:G1458"/>
    <mergeCell ref="H1458:I1458"/>
    <mergeCell ref="J1458:K1458"/>
    <mergeCell ref="L1458:M1458"/>
    <mergeCell ref="N1458:O1458"/>
    <mergeCell ref="AD1456:AE1456"/>
    <mergeCell ref="AF1456:AG1456"/>
    <mergeCell ref="P1456:Q1456"/>
    <mergeCell ref="R1456:S1456"/>
    <mergeCell ref="T1456:U1456"/>
    <mergeCell ref="V1456:W1456"/>
    <mergeCell ref="X1456:Y1456"/>
    <mergeCell ref="Z1456:AA1456"/>
    <mergeCell ref="AB1456:AC1456"/>
    <mergeCell ref="AD1457:AE1457"/>
    <mergeCell ref="AF1457:AG1457"/>
    <mergeCell ref="AH1457:AI1457"/>
    <mergeCell ref="AJ1457:AK1457"/>
    <mergeCell ref="AL1457:BB1457"/>
    <mergeCell ref="P1457:Q1457"/>
    <mergeCell ref="R1457:S1457"/>
    <mergeCell ref="T1457:U1457"/>
    <mergeCell ref="V1457:W1457"/>
    <mergeCell ref="X1457:Y1457"/>
    <mergeCell ref="Z1457:AA1457"/>
    <mergeCell ref="AB1457:AC1457"/>
    <mergeCell ref="B1457:C1457"/>
    <mergeCell ref="D1457:E1457"/>
    <mergeCell ref="F1457:G1457"/>
    <mergeCell ref="H1457:I1457"/>
    <mergeCell ref="J1457:K1457"/>
    <mergeCell ref="L1457:M1457"/>
    <mergeCell ref="N1457:O1457"/>
    <mergeCell ref="AD1458:AE1458"/>
    <mergeCell ref="AF1458:AG1458"/>
    <mergeCell ref="AH1458:AI1458"/>
    <mergeCell ref="AJ1458:AK1458"/>
    <mergeCell ref="AL1458:BB1458"/>
    <mergeCell ref="AH1453:AI1453"/>
    <mergeCell ref="AJ1453:AK1453"/>
    <mergeCell ref="AL1453:BB1453"/>
    <mergeCell ref="B1453:C1453"/>
    <mergeCell ref="D1453:E1453"/>
    <mergeCell ref="F1453:G1453"/>
    <mergeCell ref="H1453:I1453"/>
    <mergeCell ref="J1453:K1453"/>
    <mergeCell ref="L1453:M1453"/>
    <mergeCell ref="N1453:O1453"/>
    <mergeCell ref="P1455:Q1455"/>
    <mergeCell ref="R1455:S1455"/>
    <mergeCell ref="T1455:U1455"/>
    <mergeCell ref="V1455:W1455"/>
    <mergeCell ref="X1455:Y1455"/>
    <mergeCell ref="Z1455:AA1455"/>
    <mergeCell ref="AB1455:AC1455"/>
    <mergeCell ref="B1455:C1455"/>
    <mergeCell ref="D1455:E1455"/>
    <mergeCell ref="F1455:G1455"/>
    <mergeCell ref="H1455:I1455"/>
    <mergeCell ref="J1455:K1455"/>
    <mergeCell ref="L1455:M1455"/>
    <mergeCell ref="N1455:O1455"/>
    <mergeCell ref="AD1453:AE1453"/>
    <mergeCell ref="AF1453:AG1453"/>
    <mergeCell ref="P1453:Q1453"/>
    <mergeCell ref="R1453:S1453"/>
    <mergeCell ref="T1453:U1453"/>
    <mergeCell ref="V1453:W1453"/>
    <mergeCell ref="X1453:Y1453"/>
    <mergeCell ref="Z1453:AA1453"/>
    <mergeCell ref="AB1453:AC1453"/>
    <mergeCell ref="AD1454:AE1454"/>
    <mergeCell ref="AF1454:AG1454"/>
    <mergeCell ref="AH1454:AI1454"/>
    <mergeCell ref="AJ1454:AK1454"/>
    <mergeCell ref="AL1454:BB1454"/>
    <mergeCell ref="P1454:Q1454"/>
    <mergeCell ref="R1454:S1454"/>
    <mergeCell ref="T1454:U1454"/>
    <mergeCell ref="V1454:W1454"/>
    <mergeCell ref="X1454:Y1454"/>
    <mergeCell ref="Z1454:AA1454"/>
    <mergeCell ref="AB1454:AC1454"/>
    <mergeCell ref="B1454:C1454"/>
    <mergeCell ref="D1454:E1454"/>
    <mergeCell ref="F1454:G1454"/>
    <mergeCell ref="H1454:I1454"/>
    <mergeCell ref="J1454:K1454"/>
    <mergeCell ref="L1454:M1454"/>
    <mergeCell ref="N1454:O1454"/>
    <mergeCell ref="AD1455:AE1455"/>
    <mergeCell ref="AF1455:AG1455"/>
    <mergeCell ref="AH1455:AI1455"/>
    <mergeCell ref="AJ1455:AK1455"/>
    <mergeCell ref="AL1455:BB1455"/>
    <mergeCell ref="AH1450:AI1450"/>
    <mergeCell ref="AJ1450:AK1450"/>
    <mergeCell ref="AL1450:BB1450"/>
    <mergeCell ref="B1450:C1450"/>
    <mergeCell ref="D1450:E1450"/>
    <mergeCell ref="F1450:G1450"/>
    <mergeCell ref="H1450:I1450"/>
    <mergeCell ref="J1450:K1450"/>
    <mergeCell ref="L1450:M1450"/>
    <mergeCell ref="N1450:O1450"/>
    <mergeCell ref="P1452:Q1452"/>
    <mergeCell ref="R1452:S1452"/>
    <mergeCell ref="T1452:U1452"/>
    <mergeCell ref="V1452:W1452"/>
    <mergeCell ref="X1452:Y1452"/>
    <mergeCell ref="Z1452:AA1452"/>
    <mergeCell ref="AB1452:AC1452"/>
    <mergeCell ref="B1452:C1452"/>
    <mergeCell ref="D1452:E1452"/>
    <mergeCell ref="F1452:G1452"/>
    <mergeCell ref="H1452:I1452"/>
    <mergeCell ref="J1452:K1452"/>
    <mergeCell ref="L1452:M1452"/>
    <mergeCell ref="N1452:O1452"/>
    <mergeCell ref="AD1450:AE1450"/>
    <mergeCell ref="AF1450:AG1450"/>
    <mergeCell ref="P1450:Q1450"/>
    <mergeCell ref="R1450:S1450"/>
    <mergeCell ref="T1450:U1450"/>
    <mergeCell ref="V1450:W1450"/>
    <mergeCell ref="X1450:Y1450"/>
    <mergeCell ref="Z1450:AA1450"/>
    <mergeCell ref="AB1450:AC1450"/>
    <mergeCell ref="AD1451:AE1451"/>
    <mergeCell ref="AF1451:AG1451"/>
    <mergeCell ref="AH1451:AI1451"/>
    <mergeCell ref="AJ1451:AK1451"/>
    <mergeCell ref="AL1451:BB1451"/>
    <mergeCell ref="P1451:Q1451"/>
    <mergeCell ref="R1451:S1451"/>
    <mergeCell ref="T1451:U1451"/>
    <mergeCell ref="V1451:W1451"/>
    <mergeCell ref="X1451:Y1451"/>
    <mergeCell ref="Z1451:AA1451"/>
    <mergeCell ref="AB1451:AC1451"/>
    <mergeCell ref="B1451:C1451"/>
    <mergeCell ref="D1451:E1451"/>
    <mergeCell ref="F1451:G1451"/>
    <mergeCell ref="H1451:I1451"/>
    <mergeCell ref="J1451:K1451"/>
    <mergeCell ref="L1451:M1451"/>
    <mergeCell ref="N1451:O1451"/>
    <mergeCell ref="AD1452:AE1452"/>
    <mergeCell ref="AF1452:AG1452"/>
    <mergeCell ref="AH1452:AI1452"/>
    <mergeCell ref="AJ1452:AK1452"/>
    <mergeCell ref="AL1452:BB1452"/>
    <mergeCell ref="AH1447:AI1447"/>
    <mergeCell ref="AJ1447:AK1447"/>
    <mergeCell ref="AL1447:BB1447"/>
    <mergeCell ref="B1447:C1447"/>
    <mergeCell ref="D1447:E1447"/>
    <mergeCell ref="F1447:G1447"/>
    <mergeCell ref="H1447:I1447"/>
    <mergeCell ref="J1447:K1447"/>
    <mergeCell ref="L1447:M1447"/>
    <mergeCell ref="N1447:O1447"/>
    <mergeCell ref="P1449:Q1449"/>
    <mergeCell ref="R1449:S1449"/>
    <mergeCell ref="T1449:U1449"/>
    <mergeCell ref="V1449:W1449"/>
    <mergeCell ref="X1449:Y1449"/>
    <mergeCell ref="Z1449:AA1449"/>
    <mergeCell ref="AB1449:AC1449"/>
    <mergeCell ref="B1449:C1449"/>
    <mergeCell ref="D1449:E1449"/>
    <mergeCell ref="F1449:G1449"/>
    <mergeCell ref="H1449:I1449"/>
    <mergeCell ref="J1449:K1449"/>
    <mergeCell ref="L1449:M1449"/>
    <mergeCell ref="N1449:O1449"/>
    <mergeCell ref="AD1447:AE1447"/>
    <mergeCell ref="AF1447:AG1447"/>
    <mergeCell ref="P1447:Q1447"/>
    <mergeCell ref="R1447:S1447"/>
    <mergeCell ref="T1447:U1447"/>
    <mergeCell ref="V1447:W1447"/>
    <mergeCell ref="X1447:Y1447"/>
    <mergeCell ref="Z1447:AA1447"/>
    <mergeCell ref="AB1447:AC1447"/>
    <mergeCell ref="AD1448:AE1448"/>
    <mergeCell ref="AF1448:AG1448"/>
    <mergeCell ref="AH1448:AI1448"/>
    <mergeCell ref="AJ1448:AK1448"/>
    <mergeCell ref="AL1448:BB1448"/>
    <mergeCell ref="P1448:Q1448"/>
    <mergeCell ref="R1448:S1448"/>
    <mergeCell ref="T1448:U1448"/>
    <mergeCell ref="V1448:W1448"/>
    <mergeCell ref="X1448:Y1448"/>
    <mergeCell ref="Z1448:AA1448"/>
    <mergeCell ref="AB1448:AC1448"/>
    <mergeCell ref="B1448:C1448"/>
    <mergeCell ref="D1448:E1448"/>
    <mergeCell ref="F1448:G1448"/>
    <mergeCell ref="H1448:I1448"/>
    <mergeCell ref="J1448:K1448"/>
    <mergeCell ref="L1448:M1448"/>
    <mergeCell ref="N1448:O1448"/>
    <mergeCell ref="AD1449:AE1449"/>
    <mergeCell ref="AF1449:AG1449"/>
    <mergeCell ref="AH1449:AI1449"/>
    <mergeCell ref="AJ1449:AK1449"/>
    <mergeCell ref="AL1449:BB1449"/>
    <mergeCell ref="AJ1443:AK1443"/>
    <mergeCell ref="AL1443:BB1443"/>
    <mergeCell ref="AH1444:AI1444"/>
    <mergeCell ref="AJ1444:AK1444"/>
    <mergeCell ref="AL1444:BB1444"/>
    <mergeCell ref="B1444:C1444"/>
    <mergeCell ref="D1444:E1444"/>
    <mergeCell ref="F1444:G1444"/>
    <mergeCell ref="H1444:I1444"/>
    <mergeCell ref="J1444:K1444"/>
    <mergeCell ref="L1444:M1444"/>
    <mergeCell ref="N1444:O1444"/>
    <mergeCell ref="P1446:Q1446"/>
    <mergeCell ref="R1446:S1446"/>
    <mergeCell ref="T1446:U1446"/>
    <mergeCell ref="V1446:W1446"/>
    <mergeCell ref="X1446:Y1446"/>
    <mergeCell ref="Z1446:AA1446"/>
    <mergeCell ref="AB1446:AC1446"/>
    <mergeCell ref="B1446:C1446"/>
    <mergeCell ref="D1446:E1446"/>
    <mergeCell ref="F1446:G1446"/>
    <mergeCell ref="H1446:I1446"/>
    <mergeCell ref="J1446:K1446"/>
    <mergeCell ref="L1446:M1446"/>
    <mergeCell ref="N1446:O1446"/>
    <mergeCell ref="AD1444:AE1444"/>
    <mergeCell ref="AF1444:AG1444"/>
    <mergeCell ref="P1444:Q1444"/>
    <mergeCell ref="R1444:S1444"/>
    <mergeCell ref="T1444:U1444"/>
    <mergeCell ref="V1444:W1444"/>
    <mergeCell ref="X1444:Y1444"/>
    <mergeCell ref="Z1444:AA1444"/>
    <mergeCell ref="AB1444:AC1444"/>
    <mergeCell ref="AD1445:AE1445"/>
    <mergeCell ref="AF1445:AG1445"/>
    <mergeCell ref="AH1445:AI1445"/>
    <mergeCell ref="AJ1445:AK1445"/>
    <mergeCell ref="AL1445:BB1445"/>
    <mergeCell ref="P1445:Q1445"/>
    <mergeCell ref="R1445:S1445"/>
    <mergeCell ref="T1445:U1445"/>
    <mergeCell ref="V1445:W1445"/>
    <mergeCell ref="X1445:Y1445"/>
    <mergeCell ref="Z1445:AA1445"/>
    <mergeCell ref="AB1445:AC1445"/>
    <mergeCell ref="B1445:C1445"/>
    <mergeCell ref="D1445:E1445"/>
    <mergeCell ref="F1445:G1445"/>
    <mergeCell ref="H1445:I1445"/>
    <mergeCell ref="J1445:K1445"/>
    <mergeCell ref="L1445:M1445"/>
    <mergeCell ref="N1445:O1445"/>
    <mergeCell ref="AD1446:AE1446"/>
    <mergeCell ref="AF1446:AG1446"/>
    <mergeCell ref="AH1446:AI1446"/>
    <mergeCell ref="AJ1446:AK1446"/>
    <mergeCell ref="AL1446:BB1446"/>
    <mergeCell ref="H1439:I1439"/>
    <mergeCell ref="J1439:K1439"/>
    <mergeCell ref="L1439:M1439"/>
    <mergeCell ref="N1439:O1439"/>
    <mergeCell ref="AD1440:AE1440"/>
    <mergeCell ref="AF1440:AG1440"/>
    <mergeCell ref="AH1440:AI1440"/>
    <mergeCell ref="AJ1440:AK1440"/>
    <mergeCell ref="AL1440:BB1440"/>
    <mergeCell ref="AH1441:AI1441"/>
    <mergeCell ref="AJ1441:AK1441"/>
    <mergeCell ref="AL1441:BB1441"/>
    <mergeCell ref="B1441:C1441"/>
    <mergeCell ref="D1441:E1441"/>
    <mergeCell ref="F1441:G1441"/>
    <mergeCell ref="H1441:I1441"/>
    <mergeCell ref="J1441:K1441"/>
    <mergeCell ref="L1441:M1441"/>
    <mergeCell ref="N1441:O1441"/>
    <mergeCell ref="P1443:Q1443"/>
    <mergeCell ref="R1443:S1443"/>
    <mergeCell ref="T1443:U1443"/>
    <mergeCell ref="V1443:W1443"/>
    <mergeCell ref="X1443:Y1443"/>
    <mergeCell ref="Z1443:AA1443"/>
    <mergeCell ref="AB1443:AC1443"/>
    <mergeCell ref="B1443:C1443"/>
    <mergeCell ref="D1443:E1443"/>
    <mergeCell ref="F1443:G1443"/>
    <mergeCell ref="H1443:I1443"/>
    <mergeCell ref="J1443:K1443"/>
    <mergeCell ref="L1443:M1443"/>
    <mergeCell ref="N1443:O1443"/>
    <mergeCell ref="AD1441:AE1441"/>
    <mergeCell ref="AF1441:AG1441"/>
    <mergeCell ref="P1441:Q1441"/>
    <mergeCell ref="R1441:S1441"/>
    <mergeCell ref="T1441:U1441"/>
    <mergeCell ref="V1441:W1441"/>
    <mergeCell ref="X1441:Y1441"/>
    <mergeCell ref="Z1441:AA1441"/>
    <mergeCell ref="AB1441:AC1441"/>
    <mergeCell ref="AD1442:AE1442"/>
    <mergeCell ref="AF1442:AG1442"/>
    <mergeCell ref="AH1442:AI1442"/>
    <mergeCell ref="AJ1442:AK1442"/>
    <mergeCell ref="AL1442:BB1442"/>
    <mergeCell ref="P1442:Q1442"/>
    <mergeCell ref="R1442:S1442"/>
    <mergeCell ref="T1442:U1442"/>
    <mergeCell ref="V1442:W1442"/>
    <mergeCell ref="X1442:Y1442"/>
    <mergeCell ref="Z1442:AA1442"/>
    <mergeCell ref="AB1442:AC1442"/>
    <mergeCell ref="B1442:C1442"/>
    <mergeCell ref="D1442:E1442"/>
    <mergeCell ref="F1442:G1442"/>
    <mergeCell ref="H1442:I1442"/>
    <mergeCell ref="J1442:K1442"/>
    <mergeCell ref="L1442:M1442"/>
    <mergeCell ref="N1442:O1442"/>
    <mergeCell ref="AD1443:AE1443"/>
    <mergeCell ref="AF1443:AG1443"/>
    <mergeCell ref="AH1443:AI1443"/>
    <mergeCell ref="P1437:Q1437"/>
    <mergeCell ref="R1437:S1437"/>
    <mergeCell ref="T1437:U1437"/>
    <mergeCell ref="V1437:W1437"/>
    <mergeCell ref="X1437:Y1437"/>
    <mergeCell ref="Z1437:AA1437"/>
    <mergeCell ref="AB1437:AC1437"/>
    <mergeCell ref="B1437:C1437"/>
    <mergeCell ref="D1437:E1437"/>
    <mergeCell ref="F1437:G1437"/>
    <mergeCell ref="H1437:I1437"/>
    <mergeCell ref="J1437:K1437"/>
    <mergeCell ref="L1437:M1437"/>
    <mergeCell ref="N1437:O1437"/>
    <mergeCell ref="AD1459:AE1459"/>
    <mergeCell ref="AF1459:AG1459"/>
    <mergeCell ref="AH1459:AI1459"/>
    <mergeCell ref="AJ1459:AK1459"/>
    <mergeCell ref="AL1459:BB1459"/>
    <mergeCell ref="P1459:Q1459"/>
    <mergeCell ref="R1459:S1459"/>
    <mergeCell ref="T1459:U1459"/>
    <mergeCell ref="V1459:W1459"/>
    <mergeCell ref="X1459:Y1459"/>
    <mergeCell ref="Z1459:AA1459"/>
    <mergeCell ref="AB1459:AC1459"/>
    <mergeCell ref="P1440:Q1440"/>
    <mergeCell ref="R1440:S1440"/>
    <mergeCell ref="T1440:U1440"/>
    <mergeCell ref="V1440:W1440"/>
    <mergeCell ref="X1440:Y1440"/>
    <mergeCell ref="Z1440:AA1440"/>
    <mergeCell ref="AB1440:AC1440"/>
    <mergeCell ref="B1440:C1440"/>
    <mergeCell ref="D1440:E1440"/>
    <mergeCell ref="F1440:G1440"/>
    <mergeCell ref="H1440:I1440"/>
    <mergeCell ref="J1440:K1440"/>
    <mergeCell ref="L1440:M1440"/>
    <mergeCell ref="N1440:O1440"/>
    <mergeCell ref="AD1438:AE1438"/>
    <mergeCell ref="AF1438:AG1438"/>
    <mergeCell ref="P1438:Q1438"/>
    <mergeCell ref="R1438:S1438"/>
    <mergeCell ref="T1438:U1438"/>
    <mergeCell ref="V1438:W1438"/>
    <mergeCell ref="X1438:Y1438"/>
    <mergeCell ref="Z1438:AA1438"/>
    <mergeCell ref="AB1438:AC1438"/>
    <mergeCell ref="AD1439:AE1439"/>
    <mergeCell ref="AF1439:AG1439"/>
    <mergeCell ref="AH1439:AI1439"/>
    <mergeCell ref="AJ1439:AK1439"/>
    <mergeCell ref="AL1439:BB1439"/>
    <mergeCell ref="P1439:Q1439"/>
    <mergeCell ref="R1439:S1439"/>
    <mergeCell ref="T1439:U1439"/>
    <mergeCell ref="V1439:W1439"/>
    <mergeCell ref="X1439:Y1439"/>
    <mergeCell ref="Z1439:AA1439"/>
    <mergeCell ref="AB1439:AC1439"/>
    <mergeCell ref="B1439:C1439"/>
    <mergeCell ref="D1439:E1439"/>
    <mergeCell ref="F1439:G1439"/>
    <mergeCell ref="P1431:Q1431"/>
    <mergeCell ref="R1431:S1431"/>
    <mergeCell ref="T1431:U1431"/>
    <mergeCell ref="V1431:W1431"/>
    <mergeCell ref="X1431:Y1431"/>
    <mergeCell ref="Z1431:AA1431"/>
    <mergeCell ref="AB1431:AC1431"/>
    <mergeCell ref="B1431:C1431"/>
    <mergeCell ref="D1431:E1431"/>
    <mergeCell ref="F1431:G1431"/>
    <mergeCell ref="H1431:I1431"/>
    <mergeCell ref="J1431:K1431"/>
    <mergeCell ref="L1431:M1431"/>
    <mergeCell ref="N1431:O1431"/>
    <mergeCell ref="AD1429:AE1429"/>
    <mergeCell ref="AF1429:AG1429"/>
    <mergeCell ref="P1429:Q1429"/>
    <mergeCell ref="R1429:S1429"/>
    <mergeCell ref="T1429:U1429"/>
    <mergeCell ref="V1429:W1429"/>
    <mergeCell ref="X1429:Y1429"/>
    <mergeCell ref="Z1429:AA1429"/>
    <mergeCell ref="AB1429:AC1429"/>
    <mergeCell ref="AD1430:AE1430"/>
    <mergeCell ref="AF1430:AG1430"/>
    <mergeCell ref="AH1430:AI1430"/>
    <mergeCell ref="AJ1430:AK1430"/>
    <mergeCell ref="AL1430:BB1430"/>
    <mergeCell ref="P1430:Q1430"/>
    <mergeCell ref="R1430:S1430"/>
    <mergeCell ref="T1430:U1430"/>
    <mergeCell ref="V1430:W1430"/>
    <mergeCell ref="X1430:Y1430"/>
    <mergeCell ref="Z1430:AA1430"/>
    <mergeCell ref="AB1430:AC1430"/>
    <mergeCell ref="B1430:C1430"/>
    <mergeCell ref="D1430:E1430"/>
    <mergeCell ref="F1430:G1430"/>
    <mergeCell ref="H1430:I1430"/>
    <mergeCell ref="J1430:K1430"/>
    <mergeCell ref="L1430:M1430"/>
    <mergeCell ref="N1430:O1430"/>
    <mergeCell ref="AD1431:AE1431"/>
    <mergeCell ref="AF1431:AG1431"/>
    <mergeCell ref="AH1431:AI1431"/>
    <mergeCell ref="AJ1431:AK1431"/>
    <mergeCell ref="AL1431:BB1431"/>
    <mergeCell ref="AL1428:BB1428"/>
    <mergeCell ref="AH1429:AI1429"/>
    <mergeCell ref="AJ1429:AK1429"/>
    <mergeCell ref="AL1429:BB1429"/>
    <mergeCell ref="B1429:C1429"/>
    <mergeCell ref="D1429:E1429"/>
    <mergeCell ref="F1429:G1429"/>
    <mergeCell ref="H1429:I1429"/>
    <mergeCell ref="J1429:K1429"/>
    <mergeCell ref="L1429:M1429"/>
    <mergeCell ref="N1429:O1429"/>
    <mergeCell ref="AD1437:AE1437"/>
    <mergeCell ref="AF1437:AG1437"/>
    <mergeCell ref="AH1437:AI1437"/>
    <mergeCell ref="AJ1437:AK1437"/>
    <mergeCell ref="AL1437:BB1437"/>
    <mergeCell ref="AH1438:AI1438"/>
    <mergeCell ref="AJ1438:AK1438"/>
    <mergeCell ref="AL1438:BB1438"/>
    <mergeCell ref="B1438:C1438"/>
    <mergeCell ref="D1438:E1438"/>
    <mergeCell ref="F1438:G1438"/>
    <mergeCell ref="H1438:I1438"/>
    <mergeCell ref="J1438:K1438"/>
    <mergeCell ref="L1438:M1438"/>
    <mergeCell ref="N1438:O1438"/>
    <mergeCell ref="AD1423:AE1423"/>
    <mergeCell ref="AF1423:AG1423"/>
    <mergeCell ref="P1423:Q1423"/>
    <mergeCell ref="R1423:S1423"/>
    <mergeCell ref="T1423:U1423"/>
    <mergeCell ref="V1423:W1423"/>
    <mergeCell ref="X1423:Y1423"/>
    <mergeCell ref="Z1423:AA1423"/>
    <mergeCell ref="AB1423:AC1423"/>
    <mergeCell ref="AD1424:AE1424"/>
    <mergeCell ref="AF1424:AG1424"/>
    <mergeCell ref="AH1424:AI1424"/>
    <mergeCell ref="AJ1424:AK1424"/>
    <mergeCell ref="AL1424:BB1424"/>
    <mergeCell ref="P1424:Q1424"/>
    <mergeCell ref="R1424:S1424"/>
    <mergeCell ref="T1424:U1424"/>
    <mergeCell ref="V1424:W1424"/>
    <mergeCell ref="X1424:Y1424"/>
    <mergeCell ref="Z1424:AA1424"/>
    <mergeCell ref="AB1424:AC1424"/>
    <mergeCell ref="B1424:C1424"/>
    <mergeCell ref="D1424:E1424"/>
    <mergeCell ref="F1424:G1424"/>
    <mergeCell ref="H1424:I1424"/>
    <mergeCell ref="J1424:K1424"/>
    <mergeCell ref="L1424:M1424"/>
    <mergeCell ref="N1424:O1424"/>
    <mergeCell ref="AD1425:AE1425"/>
    <mergeCell ref="AF1425:AG1425"/>
    <mergeCell ref="AH1425:AI1425"/>
    <mergeCell ref="AJ1425:AK1425"/>
    <mergeCell ref="AL1425:BB1425"/>
    <mergeCell ref="AH1426:AI1426"/>
    <mergeCell ref="AJ1426:AK1426"/>
    <mergeCell ref="AL1426:BB1426"/>
    <mergeCell ref="B1426:C1426"/>
    <mergeCell ref="D1426:E1426"/>
    <mergeCell ref="F1426:G1426"/>
    <mergeCell ref="H1426:I1426"/>
    <mergeCell ref="J1426:K1426"/>
    <mergeCell ref="L1426:M1426"/>
    <mergeCell ref="N1426:O1426"/>
    <mergeCell ref="AD1426:AE1426"/>
    <mergeCell ref="AF1426:AG1426"/>
    <mergeCell ref="P1426:Q1426"/>
    <mergeCell ref="R1426:S1426"/>
    <mergeCell ref="T1426:U1426"/>
    <mergeCell ref="V1426:W1426"/>
    <mergeCell ref="AH1435:AI1435"/>
    <mergeCell ref="AJ1435:AK1435"/>
    <mergeCell ref="AL1435:BB1435"/>
    <mergeCell ref="B1435:C1435"/>
    <mergeCell ref="D1435:E1435"/>
    <mergeCell ref="F1435:G1435"/>
    <mergeCell ref="H1435:I1435"/>
    <mergeCell ref="J1435:K1435"/>
    <mergeCell ref="L1435:M1435"/>
    <mergeCell ref="N1435:O1435"/>
    <mergeCell ref="AD1435:AE1435"/>
    <mergeCell ref="AF1435:AG1435"/>
    <mergeCell ref="P1435:Q1435"/>
    <mergeCell ref="R1435:S1435"/>
    <mergeCell ref="T1435:U1435"/>
    <mergeCell ref="V1435:W1435"/>
    <mergeCell ref="X1435:Y1435"/>
    <mergeCell ref="Z1435:AA1435"/>
    <mergeCell ref="AB1435:AC1435"/>
    <mergeCell ref="AD1436:AE1436"/>
    <mergeCell ref="AF1436:AG1436"/>
    <mergeCell ref="AH1436:AI1436"/>
    <mergeCell ref="AJ1436:AK1436"/>
    <mergeCell ref="AL1436:BB1436"/>
    <mergeCell ref="P1436:Q1436"/>
    <mergeCell ref="R1436:S1436"/>
    <mergeCell ref="T1436:U1436"/>
    <mergeCell ref="V1436:W1436"/>
    <mergeCell ref="X1436:Y1436"/>
    <mergeCell ref="Z1436:AA1436"/>
    <mergeCell ref="AB1436:AC1436"/>
    <mergeCell ref="B1436:C1436"/>
    <mergeCell ref="D1436:E1436"/>
    <mergeCell ref="F1436:G1436"/>
    <mergeCell ref="H1436:I1436"/>
    <mergeCell ref="J1436:K1436"/>
    <mergeCell ref="L1436:M1436"/>
    <mergeCell ref="N1436:O1436"/>
    <mergeCell ref="AD1432:AE1432"/>
    <mergeCell ref="AF1432:AG1432"/>
    <mergeCell ref="P1432:Q1432"/>
    <mergeCell ref="R1432:S1432"/>
    <mergeCell ref="T1432:U1432"/>
    <mergeCell ref="V1432:W1432"/>
    <mergeCell ref="X1432:Y1432"/>
    <mergeCell ref="Z1432:AA1432"/>
    <mergeCell ref="AB1432:AC1432"/>
    <mergeCell ref="AD1433:AE1433"/>
    <mergeCell ref="AF1433:AG1433"/>
    <mergeCell ref="AH1433:AI1433"/>
    <mergeCell ref="AJ1433:AK1433"/>
    <mergeCell ref="AL1433:BB1433"/>
    <mergeCell ref="P1433:Q1433"/>
    <mergeCell ref="R1433:S1433"/>
    <mergeCell ref="T1433:U1433"/>
    <mergeCell ref="V1433:W1433"/>
    <mergeCell ref="X1433:Y1433"/>
    <mergeCell ref="Z1433:AA1433"/>
    <mergeCell ref="AB1433:AC1433"/>
    <mergeCell ref="B1433:C1433"/>
    <mergeCell ref="D1433:E1433"/>
    <mergeCell ref="F1433:G1433"/>
    <mergeCell ref="H1433:I1433"/>
    <mergeCell ref="J1433:K1433"/>
    <mergeCell ref="L1433:M1433"/>
    <mergeCell ref="N1433:O1433"/>
    <mergeCell ref="AD1434:AE1434"/>
    <mergeCell ref="AF1434:AG1434"/>
    <mergeCell ref="AH1434:AI1434"/>
    <mergeCell ref="AJ1434:AK1434"/>
    <mergeCell ref="AL1434:BB1434"/>
    <mergeCell ref="AH1432:AI1432"/>
    <mergeCell ref="AJ1432:AK1432"/>
    <mergeCell ref="AL1432:BB1432"/>
    <mergeCell ref="B1432:C1432"/>
    <mergeCell ref="D1432:E1432"/>
    <mergeCell ref="F1432:G1432"/>
    <mergeCell ref="H1432:I1432"/>
    <mergeCell ref="J1432:K1432"/>
    <mergeCell ref="L1432:M1432"/>
    <mergeCell ref="N1432:O1432"/>
    <mergeCell ref="P1434:Q1434"/>
    <mergeCell ref="R1434:S1434"/>
    <mergeCell ref="T1434:U1434"/>
    <mergeCell ref="V1434:W1434"/>
    <mergeCell ref="X1434:Y1434"/>
    <mergeCell ref="Z1434:AA1434"/>
    <mergeCell ref="AB1434:AC1434"/>
    <mergeCell ref="B1434:C1434"/>
    <mergeCell ref="D1434:E1434"/>
    <mergeCell ref="F1434:G1434"/>
    <mergeCell ref="H1434:I1434"/>
    <mergeCell ref="J1434:K1434"/>
    <mergeCell ref="L1434:M1434"/>
    <mergeCell ref="N1434:O1434"/>
    <mergeCell ref="AH1129:AI1129"/>
    <mergeCell ref="AJ1129:AK1129"/>
    <mergeCell ref="AL1129:BB1129"/>
    <mergeCell ref="B1129:C1129"/>
    <mergeCell ref="D1129:E1129"/>
    <mergeCell ref="F1129:G1129"/>
    <mergeCell ref="H1129:I1129"/>
    <mergeCell ref="J1129:K1129"/>
    <mergeCell ref="L1129:M1129"/>
    <mergeCell ref="N1129:O1129"/>
    <mergeCell ref="P1131:Q1131"/>
    <mergeCell ref="R1131:S1131"/>
    <mergeCell ref="T1131:U1131"/>
    <mergeCell ref="V1131:W1131"/>
    <mergeCell ref="X1131:Y1131"/>
    <mergeCell ref="Z1131:AA1131"/>
    <mergeCell ref="AB1131:AC1131"/>
    <mergeCell ref="B1131:C1131"/>
    <mergeCell ref="D1131:E1131"/>
    <mergeCell ref="F1131:G1131"/>
    <mergeCell ref="H1131:I1131"/>
    <mergeCell ref="J1131:K1131"/>
    <mergeCell ref="L1131:M1131"/>
    <mergeCell ref="N1131:O1131"/>
    <mergeCell ref="P1134:Q1134"/>
    <mergeCell ref="R1134:S1134"/>
    <mergeCell ref="T1134:U1134"/>
    <mergeCell ref="V1134:W1134"/>
    <mergeCell ref="X1134:Y1134"/>
    <mergeCell ref="Z1134:AA1134"/>
    <mergeCell ref="AB1134:AC1134"/>
    <mergeCell ref="B1134:C1134"/>
    <mergeCell ref="D1134:E1134"/>
    <mergeCell ref="F1134:G1134"/>
    <mergeCell ref="H1134:I1134"/>
    <mergeCell ref="J1134:K1134"/>
    <mergeCell ref="L1134:M1134"/>
    <mergeCell ref="N1134:O1134"/>
    <mergeCell ref="X1132:Y1132"/>
    <mergeCell ref="Z1132:AA1132"/>
    <mergeCell ref="AB1132:AC1132"/>
    <mergeCell ref="AD1133:AE1133"/>
    <mergeCell ref="AF1133:AG1133"/>
    <mergeCell ref="AH1133:AI1133"/>
    <mergeCell ref="AJ1133:AK1133"/>
    <mergeCell ref="AL1133:BB1133"/>
    <mergeCell ref="P1133:Q1133"/>
    <mergeCell ref="R1133:S1133"/>
    <mergeCell ref="T1133:U1133"/>
    <mergeCell ref="V1133:W1133"/>
    <mergeCell ref="X1133:Y1133"/>
    <mergeCell ref="Z1133:AA1133"/>
    <mergeCell ref="AB1133:AC1133"/>
    <mergeCell ref="B1133:C1133"/>
    <mergeCell ref="D1133:E1133"/>
    <mergeCell ref="F1133:G1133"/>
    <mergeCell ref="H1133:I1133"/>
    <mergeCell ref="J1133:K1133"/>
    <mergeCell ref="L1133:M1133"/>
    <mergeCell ref="N1133:O1133"/>
    <mergeCell ref="AD1134:AE1134"/>
    <mergeCell ref="AF1134:AG1134"/>
    <mergeCell ref="AH1134:AI1134"/>
    <mergeCell ref="AJ1134:AK1134"/>
    <mergeCell ref="AH1126:AI1126"/>
    <mergeCell ref="AJ1126:AK1126"/>
    <mergeCell ref="AL1126:BB1126"/>
    <mergeCell ref="B1126:C1126"/>
    <mergeCell ref="D1126:E1126"/>
    <mergeCell ref="F1126:G1126"/>
    <mergeCell ref="H1126:I1126"/>
    <mergeCell ref="J1126:K1126"/>
    <mergeCell ref="L1126:M1126"/>
    <mergeCell ref="N1126:O1126"/>
    <mergeCell ref="P1128:Q1128"/>
    <mergeCell ref="R1128:S1128"/>
    <mergeCell ref="T1128:U1128"/>
    <mergeCell ref="V1128:W1128"/>
    <mergeCell ref="X1128:Y1128"/>
    <mergeCell ref="Z1128:AA1128"/>
    <mergeCell ref="AB1128:AC1128"/>
    <mergeCell ref="B1128:C1128"/>
    <mergeCell ref="D1128:E1128"/>
    <mergeCell ref="F1128:G1128"/>
    <mergeCell ref="H1128:I1128"/>
    <mergeCell ref="J1128:K1128"/>
    <mergeCell ref="L1128:M1128"/>
    <mergeCell ref="N1128:O1128"/>
    <mergeCell ref="AD1126:AE1126"/>
    <mergeCell ref="AF1126:AG1126"/>
    <mergeCell ref="P1126:Q1126"/>
    <mergeCell ref="R1126:S1126"/>
    <mergeCell ref="T1126:U1126"/>
    <mergeCell ref="V1126:W1126"/>
    <mergeCell ref="X1126:Y1126"/>
    <mergeCell ref="Z1126:AA1126"/>
    <mergeCell ref="AB1126:AC1126"/>
    <mergeCell ref="AD1127:AE1127"/>
    <mergeCell ref="AF1127:AG1127"/>
    <mergeCell ref="AH1127:AI1127"/>
    <mergeCell ref="AJ1127:AK1127"/>
    <mergeCell ref="AL1127:BB1127"/>
    <mergeCell ref="P1127:Q1127"/>
    <mergeCell ref="R1127:S1127"/>
    <mergeCell ref="T1127:U1127"/>
    <mergeCell ref="V1127:W1127"/>
    <mergeCell ref="X1127:Y1127"/>
    <mergeCell ref="Z1127:AA1127"/>
    <mergeCell ref="AB1127:AC1127"/>
    <mergeCell ref="B1127:C1127"/>
    <mergeCell ref="D1127:E1127"/>
    <mergeCell ref="F1127:G1127"/>
    <mergeCell ref="H1127:I1127"/>
    <mergeCell ref="J1127:K1127"/>
    <mergeCell ref="L1127:M1127"/>
    <mergeCell ref="N1127:O1127"/>
    <mergeCell ref="AD1128:AE1128"/>
    <mergeCell ref="AF1128:AG1128"/>
    <mergeCell ref="AH1128:AI1128"/>
    <mergeCell ref="AJ1128:AK1128"/>
    <mergeCell ref="AL1128:BB1128"/>
    <mergeCell ref="B1123:C1123"/>
    <mergeCell ref="D1123:E1123"/>
    <mergeCell ref="F1123:G1123"/>
    <mergeCell ref="H1123:I1123"/>
    <mergeCell ref="J1123:K1123"/>
    <mergeCell ref="L1123:M1123"/>
    <mergeCell ref="N1123:O1123"/>
    <mergeCell ref="AD1124:AE1124"/>
    <mergeCell ref="AF1124:AG1124"/>
    <mergeCell ref="AH1124:AI1124"/>
    <mergeCell ref="AJ1124:AK1124"/>
    <mergeCell ref="AL1124:BB1124"/>
    <mergeCell ref="P1124:Q1124"/>
    <mergeCell ref="R1124:S1124"/>
    <mergeCell ref="T1124:U1124"/>
    <mergeCell ref="V1124:W1124"/>
    <mergeCell ref="X1124:Y1124"/>
    <mergeCell ref="Z1124:AA1124"/>
    <mergeCell ref="AB1124:AC1124"/>
    <mergeCell ref="B1124:C1124"/>
    <mergeCell ref="D1124:E1124"/>
    <mergeCell ref="F1124:G1124"/>
    <mergeCell ref="H1124:I1124"/>
    <mergeCell ref="J1124:K1124"/>
    <mergeCell ref="L1124:M1124"/>
    <mergeCell ref="N1124:O1124"/>
    <mergeCell ref="AD1125:AE1125"/>
    <mergeCell ref="AF1125:AG1125"/>
    <mergeCell ref="AH1125:AI1125"/>
    <mergeCell ref="AJ1125:AK1125"/>
    <mergeCell ref="AL1125:BB1125"/>
    <mergeCell ref="P1125:Q1125"/>
    <mergeCell ref="R1125:S1125"/>
    <mergeCell ref="T1125:U1125"/>
    <mergeCell ref="V1125:W1125"/>
    <mergeCell ref="X1125:Y1125"/>
    <mergeCell ref="Z1125:AA1125"/>
    <mergeCell ref="AB1125:AC1125"/>
    <mergeCell ref="B1125:C1125"/>
    <mergeCell ref="D1125:E1125"/>
    <mergeCell ref="F1125:G1125"/>
    <mergeCell ref="H1125:I1125"/>
    <mergeCell ref="J1125:K1125"/>
    <mergeCell ref="L1125:M1125"/>
    <mergeCell ref="N1125:O1125"/>
    <mergeCell ref="AH1120:AI1120"/>
    <mergeCell ref="AJ1120:AK1120"/>
    <mergeCell ref="AL1120:BB1120"/>
    <mergeCell ref="B1120:C1120"/>
    <mergeCell ref="D1120:E1120"/>
    <mergeCell ref="F1120:G1120"/>
    <mergeCell ref="H1120:I1120"/>
    <mergeCell ref="J1120:K1120"/>
    <mergeCell ref="L1120:M1120"/>
    <mergeCell ref="N1120:O1120"/>
    <mergeCell ref="P1122:Q1122"/>
    <mergeCell ref="R1122:S1122"/>
    <mergeCell ref="T1122:U1122"/>
    <mergeCell ref="V1122:W1122"/>
    <mergeCell ref="X1122:Y1122"/>
    <mergeCell ref="Z1122:AA1122"/>
    <mergeCell ref="AB1122:AC1122"/>
    <mergeCell ref="B1122:C1122"/>
    <mergeCell ref="D1122:E1122"/>
    <mergeCell ref="F1122:G1122"/>
    <mergeCell ref="H1122:I1122"/>
    <mergeCell ref="J1122:K1122"/>
    <mergeCell ref="L1122:M1122"/>
    <mergeCell ref="N1122:O1122"/>
    <mergeCell ref="AD1120:AE1120"/>
    <mergeCell ref="AF1120:AG1120"/>
    <mergeCell ref="P1120:Q1120"/>
    <mergeCell ref="R1120:S1120"/>
    <mergeCell ref="T1120:U1120"/>
    <mergeCell ref="V1120:W1120"/>
    <mergeCell ref="X1120:Y1120"/>
    <mergeCell ref="Z1120:AA1120"/>
    <mergeCell ref="AB1120:AC1120"/>
    <mergeCell ref="AD1121:AE1121"/>
    <mergeCell ref="AF1121:AG1121"/>
    <mergeCell ref="AH1121:AI1121"/>
    <mergeCell ref="AJ1121:AK1121"/>
    <mergeCell ref="AL1121:BB1121"/>
    <mergeCell ref="P1121:Q1121"/>
    <mergeCell ref="R1121:S1121"/>
    <mergeCell ref="T1121:U1121"/>
    <mergeCell ref="V1121:W1121"/>
    <mergeCell ref="X1121:Y1121"/>
    <mergeCell ref="Z1121:AA1121"/>
    <mergeCell ref="AB1121:AC1121"/>
    <mergeCell ref="B1121:C1121"/>
    <mergeCell ref="D1121:E1121"/>
    <mergeCell ref="F1121:G1121"/>
    <mergeCell ref="H1121:I1121"/>
    <mergeCell ref="J1121:K1121"/>
    <mergeCell ref="L1121:M1121"/>
    <mergeCell ref="N1121:O1121"/>
    <mergeCell ref="AD1122:AE1122"/>
    <mergeCell ref="AF1122:AG1122"/>
    <mergeCell ref="AH1122:AI1122"/>
    <mergeCell ref="AJ1122:AK1122"/>
    <mergeCell ref="AL1122:BB1122"/>
    <mergeCell ref="AH1117:AI1117"/>
    <mergeCell ref="AJ1117:AK1117"/>
    <mergeCell ref="AL1117:BB1117"/>
    <mergeCell ref="B1117:C1117"/>
    <mergeCell ref="D1117:E1117"/>
    <mergeCell ref="F1117:G1117"/>
    <mergeCell ref="H1117:I1117"/>
    <mergeCell ref="J1117:K1117"/>
    <mergeCell ref="L1117:M1117"/>
    <mergeCell ref="N1117:O1117"/>
    <mergeCell ref="P1119:Q1119"/>
    <mergeCell ref="R1119:S1119"/>
    <mergeCell ref="T1119:U1119"/>
    <mergeCell ref="V1119:W1119"/>
    <mergeCell ref="X1119:Y1119"/>
    <mergeCell ref="Z1119:AA1119"/>
    <mergeCell ref="AB1119:AC1119"/>
    <mergeCell ref="B1119:C1119"/>
    <mergeCell ref="D1119:E1119"/>
    <mergeCell ref="F1119:G1119"/>
    <mergeCell ref="H1119:I1119"/>
    <mergeCell ref="J1119:K1119"/>
    <mergeCell ref="L1119:M1119"/>
    <mergeCell ref="N1119:O1119"/>
    <mergeCell ref="AD1117:AE1117"/>
    <mergeCell ref="AF1117:AG1117"/>
    <mergeCell ref="P1117:Q1117"/>
    <mergeCell ref="R1117:S1117"/>
    <mergeCell ref="T1117:U1117"/>
    <mergeCell ref="V1117:W1117"/>
    <mergeCell ref="X1117:Y1117"/>
    <mergeCell ref="Z1117:AA1117"/>
    <mergeCell ref="AB1117:AC1117"/>
    <mergeCell ref="AD1118:AE1118"/>
    <mergeCell ref="AF1118:AG1118"/>
    <mergeCell ref="AH1118:AI1118"/>
    <mergeCell ref="AJ1118:AK1118"/>
    <mergeCell ref="AL1118:BB1118"/>
    <mergeCell ref="P1118:Q1118"/>
    <mergeCell ref="R1118:S1118"/>
    <mergeCell ref="T1118:U1118"/>
    <mergeCell ref="V1118:W1118"/>
    <mergeCell ref="X1118:Y1118"/>
    <mergeCell ref="Z1118:AA1118"/>
    <mergeCell ref="AB1118:AC1118"/>
    <mergeCell ref="B1118:C1118"/>
    <mergeCell ref="D1118:E1118"/>
    <mergeCell ref="F1118:G1118"/>
    <mergeCell ref="H1118:I1118"/>
    <mergeCell ref="J1118:K1118"/>
    <mergeCell ref="L1118:M1118"/>
    <mergeCell ref="N1118:O1118"/>
    <mergeCell ref="AD1119:AE1119"/>
    <mergeCell ref="AF1119:AG1119"/>
    <mergeCell ref="AH1119:AI1119"/>
    <mergeCell ref="AJ1119:AK1119"/>
    <mergeCell ref="AL1119:BB1119"/>
    <mergeCell ref="AH1114:AI1114"/>
    <mergeCell ref="AJ1114:AK1114"/>
    <mergeCell ref="AL1114:BB1114"/>
    <mergeCell ref="B1114:C1114"/>
    <mergeCell ref="D1114:E1114"/>
    <mergeCell ref="F1114:G1114"/>
    <mergeCell ref="H1114:I1114"/>
    <mergeCell ref="J1114:K1114"/>
    <mergeCell ref="L1114:M1114"/>
    <mergeCell ref="N1114:O1114"/>
    <mergeCell ref="P1116:Q1116"/>
    <mergeCell ref="R1116:S1116"/>
    <mergeCell ref="T1116:U1116"/>
    <mergeCell ref="V1116:W1116"/>
    <mergeCell ref="X1116:Y1116"/>
    <mergeCell ref="Z1116:AA1116"/>
    <mergeCell ref="AB1116:AC1116"/>
    <mergeCell ref="B1116:C1116"/>
    <mergeCell ref="D1116:E1116"/>
    <mergeCell ref="F1116:G1116"/>
    <mergeCell ref="H1116:I1116"/>
    <mergeCell ref="J1116:K1116"/>
    <mergeCell ref="L1116:M1116"/>
    <mergeCell ref="N1116:O1116"/>
    <mergeCell ref="AD1114:AE1114"/>
    <mergeCell ref="AF1114:AG1114"/>
    <mergeCell ref="P1114:Q1114"/>
    <mergeCell ref="R1114:S1114"/>
    <mergeCell ref="T1114:U1114"/>
    <mergeCell ref="V1114:W1114"/>
    <mergeCell ref="X1114:Y1114"/>
    <mergeCell ref="Z1114:AA1114"/>
    <mergeCell ref="AB1114:AC1114"/>
    <mergeCell ref="AD1115:AE1115"/>
    <mergeCell ref="AF1115:AG1115"/>
    <mergeCell ref="AH1115:AI1115"/>
    <mergeCell ref="AJ1115:AK1115"/>
    <mergeCell ref="AL1115:BB1115"/>
    <mergeCell ref="P1115:Q1115"/>
    <mergeCell ref="R1115:S1115"/>
    <mergeCell ref="T1115:U1115"/>
    <mergeCell ref="V1115:W1115"/>
    <mergeCell ref="X1115:Y1115"/>
    <mergeCell ref="Z1115:AA1115"/>
    <mergeCell ref="AB1115:AC1115"/>
    <mergeCell ref="B1115:C1115"/>
    <mergeCell ref="D1115:E1115"/>
    <mergeCell ref="F1115:G1115"/>
    <mergeCell ref="H1115:I1115"/>
    <mergeCell ref="J1115:K1115"/>
    <mergeCell ref="L1115:M1115"/>
    <mergeCell ref="N1115:O1115"/>
    <mergeCell ref="AD1116:AE1116"/>
    <mergeCell ref="AF1116:AG1116"/>
    <mergeCell ref="AH1116:AI1116"/>
    <mergeCell ref="AJ1116:AK1116"/>
    <mergeCell ref="AL1116:BB1116"/>
    <mergeCell ref="AH1111:AI1111"/>
    <mergeCell ref="AJ1111:AK1111"/>
    <mergeCell ref="AL1111:BB1111"/>
    <mergeCell ref="B1111:C1111"/>
    <mergeCell ref="D1111:E1111"/>
    <mergeCell ref="F1111:G1111"/>
    <mergeCell ref="H1111:I1111"/>
    <mergeCell ref="J1111:K1111"/>
    <mergeCell ref="L1111:M1111"/>
    <mergeCell ref="N1111:O1111"/>
    <mergeCell ref="P1113:Q1113"/>
    <mergeCell ref="R1113:S1113"/>
    <mergeCell ref="T1113:U1113"/>
    <mergeCell ref="V1113:W1113"/>
    <mergeCell ref="X1113:Y1113"/>
    <mergeCell ref="Z1113:AA1113"/>
    <mergeCell ref="AB1113:AC1113"/>
    <mergeCell ref="B1113:C1113"/>
    <mergeCell ref="D1113:E1113"/>
    <mergeCell ref="F1113:G1113"/>
    <mergeCell ref="H1113:I1113"/>
    <mergeCell ref="J1113:K1113"/>
    <mergeCell ref="L1113:M1113"/>
    <mergeCell ref="N1113:O1113"/>
    <mergeCell ref="AD1111:AE1111"/>
    <mergeCell ref="AF1111:AG1111"/>
    <mergeCell ref="P1111:Q1111"/>
    <mergeCell ref="R1111:S1111"/>
    <mergeCell ref="T1111:U1111"/>
    <mergeCell ref="V1111:W1111"/>
    <mergeCell ref="X1111:Y1111"/>
    <mergeCell ref="Z1111:AA1111"/>
    <mergeCell ref="AB1111:AC1111"/>
    <mergeCell ref="AD1112:AE1112"/>
    <mergeCell ref="AF1112:AG1112"/>
    <mergeCell ref="AH1112:AI1112"/>
    <mergeCell ref="AJ1112:AK1112"/>
    <mergeCell ref="AL1112:BB1112"/>
    <mergeCell ref="P1112:Q1112"/>
    <mergeCell ref="R1112:S1112"/>
    <mergeCell ref="T1112:U1112"/>
    <mergeCell ref="V1112:W1112"/>
    <mergeCell ref="X1112:Y1112"/>
    <mergeCell ref="Z1112:AA1112"/>
    <mergeCell ref="AB1112:AC1112"/>
    <mergeCell ref="B1112:C1112"/>
    <mergeCell ref="D1112:E1112"/>
    <mergeCell ref="F1112:G1112"/>
    <mergeCell ref="H1112:I1112"/>
    <mergeCell ref="J1112:K1112"/>
    <mergeCell ref="L1112:M1112"/>
    <mergeCell ref="N1112:O1112"/>
    <mergeCell ref="AD1113:AE1113"/>
    <mergeCell ref="AF1113:AG1113"/>
    <mergeCell ref="AH1113:AI1113"/>
    <mergeCell ref="AJ1113:AK1113"/>
    <mergeCell ref="AL1113:BB1113"/>
    <mergeCell ref="AJ1107:AK1107"/>
    <mergeCell ref="AL1107:BB1107"/>
    <mergeCell ref="AH1108:AI1108"/>
    <mergeCell ref="AJ1108:AK1108"/>
    <mergeCell ref="AL1108:BB1108"/>
    <mergeCell ref="B1108:C1108"/>
    <mergeCell ref="D1108:E1108"/>
    <mergeCell ref="F1108:G1108"/>
    <mergeCell ref="H1108:I1108"/>
    <mergeCell ref="J1108:K1108"/>
    <mergeCell ref="L1108:M1108"/>
    <mergeCell ref="N1108:O1108"/>
    <mergeCell ref="P1110:Q1110"/>
    <mergeCell ref="R1110:S1110"/>
    <mergeCell ref="T1110:U1110"/>
    <mergeCell ref="V1110:W1110"/>
    <mergeCell ref="X1110:Y1110"/>
    <mergeCell ref="Z1110:AA1110"/>
    <mergeCell ref="AB1110:AC1110"/>
    <mergeCell ref="B1110:C1110"/>
    <mergeCell ref="D1110:E1110"/>
    <mergeCell ref="F1110:G1110"/>
    <mergeCell ref="H1110:I1110"/>
    <mergeCell ref="J1110:K1110"/>
    <mergeCell ref="L1110:M1110"/>
    <mergeCell ref="N1110:O1110"/>
    <mergeCell ref="AD1108:AE1108"/>
    <mergeCell ref="AF1108:AG1108"/>
    <mergeCell ref="P1108:Q1108"/>
    <mergeCell ref="R1108:S1108"/>
    <mergeCell ref="T1108:U1108"/>
    <mergeCell ref="V1108:W1108"/>
    <mergeCell ref="X1108:Y1108"/>
    <mergeCell ref="Z1108:AA1108"/>
    <mergeCell ref="AB1108:AC1108"/>
    <mergeCell ref="AD1109:AE1109"/>
    <mergeCell ref="AF1109:AG1109"/>
    <mergeCell ref="AH1109:AI1109"/>
    <mergeCell ref="AJ1109:AK1109"/>
    <mergeCell ref="AL1109:BB1109"/>
    <mergeCell ref="P1109:Q1109"/>
    <mergeCell ref="R1109:S1109"/>
    <mergeCell ref="T1109:U1109"/>
    <mergeCell ref="V1109:W1109"/>
    <mergeCell ref="X1109:Y1109"/>
    <mergeCell ref="Z1109:AA1109"/>
    <mergeCell ref="AB1109:AC1109"/>
    <mergeCell ref="B1109:C1109"/>
    <mergeCell ref="D1109:E1109"/>
    <mergeCell ref="F1109:G1109"/>
    <mergeCell ref="H1109:I1109"/>
    <mergeCell ref="J1109:K1109"/>
    <mergeCell ref="L1109:M1109"/>
    <mergeCell ref="N1109:O1109"/>
    <mergeCell ref="AD1110:AE1110"/>
    <mergeCell ref="AF1110:AG1110"/>
    <mergeCell ref="AH1110:AI1110"/>
    <mergeCell ref="AJ1110:AK1110"/>
    <mergeCell ref="AL1110:BB1110"/>
    <mergeCell ref="H1103:I1103"/>
    <mergeCell ref="J1103:K1103"/>
    <mergeCell ref="L1103:M1103"/>
    <mergeCell ref="N1103:O1103"/>
    <mergeCell ref="AD1104:AE1104"/>
    <mergeCell ref="AF1104:AG1104"/>
    <mergeCell ref="AH1104:AI1104"/>
    <mergeCell ref="AJ1104:AK1104"/>
    <mergeCell ref="AL1104:BB1104"/>
    <mergeCell ref="AH1105:AI1105"/>
    <mergeCell ref="AJ1105:AK1105"/>
    <mergeCell ref="AL1105:BB1105"/>
    <mergeCell ref="B1105:C1105"/>
    <mergeCell ref="D1105:E1105"/>
    <mergeCell ref="F1105:G1105"/>
    <mergeCell ref="H1105:I1105"/>
    <mergeCell ref="J1105:K1105"/>
    <mergeCell ref="L1105:M1105"/>
    <mergeCell ref="N1105:O1105"/>
    <mergeCell ref="P1107:Q1107"/>
    <mergeCell ref="R1107:S1107"/>
    <mergeCell ref="T1107:U1107"/>
    <mergeCell ref="V1107:W1107"/>
    <mergeCell ref="X1107:Y1107"/>
    <mergeCell ref="Z1107:AA1107"/>
    <mergeCell ref="AB1107:AC1107"/>
    <mergeCell ref="B1107:C1107"/>
    <mergeCell ref="D1107:E1107"/>
    <mergeCell ref="F1107:G1107"/>
    <mergeCell ref="H1107:I1107"/>
    <mergeCell ref="J1107:K1107"/>
    <mergeCell ref="L1107:M1107"/>
    <mergeCell ref="N1107:O1107"/>
    <mergeCell ref="AD1105:AE1105"/>
    <mergeCell ref="AF1105:AG1105"/>
    <mergeCell ref="P1105:Q1105"/>
    <mergeCell ref="R1105:S1105"/>
    <mergeCell ref="T1105:U1105"/>
    <mergeCell ref="V1105:W1105"/>
    <mergeCell ref="X1105:Y1105"/>
    <mergeCell ref="Z1105:AA1105"/>
    <mergeCell ref="AB1105:AC1105"/>
    <mergeCell ref="AD1106:AE1106"/>
    <mergeCell ref="AF1106:AG1106"/>
    <mergeCell ref="AH1106:AI1106"/>
    <mergeCell ref="AJ1106:AK1106"/>
    <mergeCell ref="AL1106:BB1106"/>
    <mergeCell ref="P1106:Q1106"/>
    <mergeCell ref="R1106:S1106"/>
    <mergeCell ref="T1106:U1106"/>
    <mergeCell ref="V1106:W1106"/>
    <mergeCell ref="X1106:Y1106"/>
    <mergeCell ref="Z1106:AA1106"/>
    <mergeCell ref="AB1106:AC1106"/>
    <mergeCell ref="B1106:C1106"/>
    <mergeCell ref="D1106:E1106"/>
    <mergeCell ref="F1106:G1106"/>
    <mergeCell ref="H1106:I1106"/>
    <mergeCell ref="J1106:K1106"/>
    <mergeCell ref="L1106:M1106"/>
    <mergeCell ref="N1106:O1106"/>
    <mergeCell ref="AD1107:AE1107"/>
    <mergeCell ref="AF1107:AG1107"/>
    <mergeCell ref="AH1107:AI1107"/>
    <mergeCell ref="P1101:Q1101"/>
    <mergeCell ref="R1101:S1101"/>
    <mergeCell ref="T1101:U1101"/>
    <mergeCell ref="V1101:W1101"/>
    <mergeCell ref="X1101:Y1101"/>
    <mergeCell ref="Z1101:AA1101"/>
    <mergeCell ref="AB1101:AC1101"/>
    <mergeCell ref="B1101:C1101"/>
    <mergeCell ref="D1101:E1101"/>
    <mergeCell ref="F1101:G1101"/>
    <mergeCell ref="H1101:I1101"/>
    <mergeCell ref="J1101:K1101"/>
    <mergeCell ref="L1101:M1101"/>
    <mergeCell ref="N1101:O1101"/>
    <mergeCell ref="AD1123:AE1123"/>
    <mergeCell ref="AF1123:AG1123"/>
    <mergeCell ref="AH1123:AI1123"/>
    <mergeCell ref="AJ1123:AK1123"/>
    <mergeCell ref="AL1123:BB1123"/>
    <mergeCell ref="P1123:Q1123"/>
    <mergeCell ref="R1123:S1123"/>
    <mergeCell ref="T1123:U1123"/>
    <mergeCell ref="V1123:W1123"/>
    <mergeCell ref="X1123:Y1123"/>
    <mergeCell ref="Z1123:AA1123"/>
    <mergeCell ref="AB1123:AC1123"/>
    <mergeCell ref="P1104:Q1104"/>
    <mergeCell ref="R1104:S1104"/>
    <mergeCell ref="T1104:U1104"/>
    <mergeCell ref="V1104:W1104"/>
    <mergeCell ref="X1104:Y1104"/>
    <mergeCell ref="Z1104:AA1104"/>
    <mergeCell ref="AB1104:AC1104"/>
    <mergeCell ref="B1104:C1104"/>
    <mergeCell ref="D1104:E1104"/>
    <mergeCell ref="F1104:G1104"/>
    <mergeCell ref="H1104:I1104"/>
    <mergeCell ref="J1104:K1104"/>
    <mergeCell ref="L1104:M1104"/>
    <mergeCell ref="N1104:O1104"/>
    <mergeCell ref="AD1102:AE1102"/>
    <mergeCell ref="AF1102:AG1102"/>
    <mergeCell ref="P1102:Q1102"/>
    <mergeCell ref="R1102:S1102"/>
    <mergeCell ref="T1102:U1102"/>
    <mergeCell ref="V1102:W1102"/>
    <mergeCell ref="X1102:Y1102"/>
    <mergeCell ref="Z1102:AA1102"/>
    <mergeCell ref="AB1102:AC1102"/>
    <mergeCell ref="AD1103:AE1103"/>
    <mergeCell ref="AF1103:AG1103"/>
    <mergeCell ref="AH1103:AI1103"/>
    <mergeCell ref="AJ1103:AK1103"/>
    <mergeCell ref="AL1103:BB1103"/>
    <mergeCell ref="P1103:Q1103"/>
    <mergeCell ref="R1103:S1103"/>
    <mergeCell ref="T1103:U1103"/>
    <mergeCell ref="V1103:W1103"/>
    <mergeCell ref="X1103:Y1103"/>
    <mergeCell ref="Z1103:AA1103"/>
    <mergeCell ref="AB1103:AC1103"/>
    <mergeCell ref="B1103:C1103"/>
    <mergeCell ref="D1103:E1103"/>
    <mergeCell ref="F1103:G1103"/>
    <mergeCell ref="AL1092:BB1092"/>
    <mergeCell ref="AH1093:AI1093"/>
    <mergeCell ref="AJ1093:AK1093"/>
    <mergeCell ref="AL1093:BB1093"/>
    <mergeCell ref="B1093:C1093"/>
    <mergeCell ref="D1093:E1093"/>
    <mergeCell ref="F1093:G1093"/>
    <mergeCell ref="H1093:I1093"/>
    <mergeCell ref="J1093:K1093"/>
    <mergeCell ref="L1093:M1093"/>
    <mergeCell ref="N1093:O1093"/>
    <mergeCell ref="P1095:Q1095"/>
    <mergeCell ref="R1095:S1095"/>
    <mergeCell ref="T1095:U1095"/>
    <mergeCell ref="V1095:W1095"/>
    <mergeCell ref="X1095:Y1095"/>
    <mergeCell ref="Z1095:AA1095"/>
    <mergeCell ref="AB1095:AC1095"/>
    <mergeCell ref="B1095:C1095"/>
    <mergeCell ref="D1095:E1095"/>
    <mergeCell ref="F1095:G1095"/>
    <mergeCell ref="H1095:I1095"/>
    <mergeCell ref="J1095:K1095"/>
    <mergeCell ref="L1095:M1095"/>
    <mergeCell ref="N1095:O1095"/>
    <mergeCell ref="AD1093:AE1093"/>
    <mergeCell ref="AF1093:AG1093"/>
    <mergeCell ref="P1093:Q1093"/>
    <mergeCell ref="R1093:S1093"/>
    <mergeCell ref="T1093:U1093"/>
    <mergeCell ref="V1093:W1093"/>
    <mergeCell ref="X1093:Y1093"/>
    <mergeCell ref="Z1093:AA1093"/>
    <mergeCell ref="AB1093:AC1093"/>
    <mergeCell ref="AD1094:AE1094"/>
    <mergeCell ref="AF1094:AG1094"/>
    <mergeCell ref="AH1094:AI1094"/>
    <mergeCell ref="AJ1094:AK1094"/>
    <mergeCell ref="AL1094:BB1094"/>
    <mergeCell ref="P1094:Q1094"/>
    <mergeCell ref="R1094:S1094"/>
    <mergeCell ref="T1094:U1094"/>
    <mergeCell ref="V1094:W1094"/>
    <mergeCell ref="X1094:Y1094"/>
    <mergeCell ref="Z1094:AA1094"/>
    <mergeCell ref="AB1094:AC1094"/>
    <mergeCell ref="B1094:C1094"/>
    <mergeCell ref="D1094:E1094"/>
    <mergeCell ref="F1094:G1094"/>
    <mergeCell ref="H1094:I1094"/>
    <mergeCell ref="J1094:K1094"/>
    <mergeCell ref="L1094:M1094"/>
    <mergeCell ref="N1094:O1094"/>
    <mergeCell ref="AD1095:AE1095"/>
    <mergeCell ref="AF1095:AG1095"/>
    <mergeCell ref="AH1095:AI1095"/>
    <mergeCell ref="AJ1095:AK1095"/>
    <mergeCell ref="AL1095:BB1095"/>
    <mergeCell ref="AD1101:AE1101"/>
    <mergeCell ref="AF1101:AG1101"/>
    <mergeCell ref="AH1101:AI1101"/>
    <mergeCell ref="AJ1101:AK1101"/>
    <mergeCell ref="AL1101:BB1101"/>
    <mergeCell ref="AH1102:AI1102"/>
    <mergeCell ref="AJ1102:AK1102"/>
    <mergeCell ref="AL1102:BB1102"/>
    <mergeCell ref="B1102:C1102"/>
    <mergeCell ref="D1102:E1102"/>
    <mergeCell ref="F1102:G1102"/>
    <mergeCell ref="H1102:I1102"/>
    <mergeCell ref="J1102:K1102"/>
    <mergeCell ref="L1102:M1102"/>
    <mergeCell ref="N1102:O1102"/>
    <mergeCell ref="AD1087:AE1087"/>
    <mergeCell ref="AF1087:AG1087"/>
    <mergeCell ref="P1087:Q1087"/>
    <mergeCell ref="R1087:S1087"/>
    <mergeCell ref="T1087:U1087"/>
    <mergeCell ref="V1087:W1087"/>
    <mergeCell ref="X1087:Y1087"/>
    <mergeCell ref="Z1087:AA1087"/>
    <mergeCell ref="AB1087:AC1087"/>
    <mergeCell ref="AD1088:AE1088"/>
    <mergeCell ref="AF1088:AG1088"/>
    <mergeCell ref="AH1088:AI1088"/>
    <mergeCell ref="AJ1088:AK1088"/>
    <mergeCell ref="AL1088:BB1088"/>
    <mergeCell ref="P1088:Q1088"/>
    <mergeCell ref="R1088:S1088"/>
    <mergeCell ref="T1088:U1088"/>
    <mergeCell ref="V1088:W1088"/>
    <mergeCell ref="X1088:Y1088"/>
    <mergeCell ref="Z1088:AA1088"/>
    <mergeCell ref="AB1088:AC1088"/>
    <mergeCell ref="B1088:C1088"/>
    <mergeCell ref="D1088:E1088"/>
    <mergeCell ref="F1088:G1088"/>
    <mergeCell ref="H1088:I1088"/>
    <mergeCell ref="J1088:K1088"/>
    <mergeCell ref="L1088:M1088"/>
    <mergeCell ref="N1088:O1088"/>
    <mergeCell ref="AD1089:AE1089"/>
    <mergeCell ref="AF1089:AG1089"/>
    <mergeCell ref="AH1089:AI1089"/>
    <mergeCell ref="AJ1089:AK1089"/>
    <mergeCell ref="AL1089:BB1089"/>
    <mergeCell ref="AH1090:AI1090"/>
    <mergeCell ref="AJ1090:AK1090"/>
    <mergeCell ref="AL1090:BB1090"/>
    <mergeCell ref="B1090:C1090"/>
    <mergeCell ref="D1090:E1090"/>
    <mergeCell ref="F1090:G1090"/>
    <mergeCell ref="H1090:I1090"/>
    <mergeCell ref="J1090:K1090"/>
    <mergeCell ref="L1090:M1090"/>
    <mergeCell ref="N1090:O1090"/>
    <mergeCell ref="AD1090:AE1090"/>
    <mergeCell ref="AF1090:AG1090"/>
    <mergeCell ref="P1090:Q1090"/>
    <mergeCell ref="R1090:S1090"/>
    <mergeCell ref="T1090:U1090"/>
    <mergeCell ref="V1090:W1090"/>
    <mergeCell ref="AH1099:AI1099"/>
    <mergeCell ref="AJ1099:AK1099"/>
    <mergeCell ref="AL1099:BB1099"/>
    <mergeCell ref="B1099:C1099"/>
    <mergeCell ref="D1099:E1099"/>
    <mergeCell ref="F1099:G1099"/>
    <mergeCell ref="H1099:I1099"/>
    <mergeCell ref="J1099:K1099"/>
    <mergeCell ref="L1099:M1099"/>
    <mergeCell ref="N1099:O1099"/>
    <mergeCell ref="AD1099:AE1099"/>
    <mergeCell ref="AF1099:AG1099"/>
    <mergeCell ref="P1099:Q1099"/>
    <mergeCell ref="R1099:S1099"/>
    <mergeCell ref="T1099:U1099"/>
    <mergeCell ref="V1099:W1099"/>
    <mergeCell ref="X1099:Y1099"/>
    <mergeCell ref="Z1099:AA1099"/>
    <mergeCell ref="AB1099:AC1099"/>
    <mergeCell ref="AD1100:AE1100"/>
    <mergeCell ref="AF1100:AG1100"/>
    <mergeCell ref="AH1100:AI1100"/>
    <mergeCell ref="AJ1100:AK1100"/>
    <mergeCell ref="AL1100:BB1100"/>
    <mergeCell ref="P1100:Q1100"/>
    <mergeCell ref="R1100:S1100"/>
    <mergeCell ref="T1100:U1100"/>
    <mergeCell ref="V1100:W1100"/>
    <mergeCell ref="X1100:Y1100"/>
    <mergeCell ref="Z1100:AA1100"/>
    <mergeCell ref="AB1100:AC1100"/>
    <mergeCell ref="B1100:C1100"/>
    <mergeCell ref="D1100:E1100"/>
    <mergeCell ref="F1100:G1100"/>
    <mergeCell ref="H1100:I1100"/>
    <mergeCell ref="J1100:K1100"/>
    <mergeCell ref="L1100:M1100"/>
    <mergeCell ref="N1100:O1100"/>
    <mergeCell ref="AD1096:AE1096"/>
    <mergeCell ref="AF1096:AG1096"/>
    <mergeCell ref="P1096:Q1096"/>
    <mergeCell ref="R1096:S1096"/>
    <mergeCell ref="T1096:U1096"/>
    <mergeCell ref="V1096:W1096"/>
    <mergeCell ref="X1096:Y1096"/>
    <mergeCell ref="Z1096:AA1096"/>
    <mergeCell ref="AB1096:AC1096"/>
    <mergeCell ref="AD1097:AE1097"/>
    <mergeCell ref="AF1097:AG1097"/>
    <mergeCell ref="AH1097:AI1097"/>
    <mergeCell ref="AJ1097:AK1097"/>
    <mergeCell ref="AL1097:BB1097"/>
    <mergeCell ref="P1097:Q1097"/>
    <mergeCell ref="R1097:S1097"/>
    <mergeCell ref="T1097:U1097"/>
    <mergeCell ref="V1097:W1097"/>
    <mergeCell ref="X1097:Y1097"/>
    <mergeCell ref="Z1097:AA1097"/>
    <mergeCell ref="AB1097:AC1097"/>
    <mergeCell ref="B1097:C1097"/>
    <mergeCell ref="D1097:E1097"/>
    <mergeCell ref="F1097:G1097"/>
    <mergeCell ref="H1097:I1097"/>
    <mergeCell ref="J1097:K1097"/>
    <mergeCell ref="L1097:M1097"/>
    <mergeCell ref="N1097:O1097"/>
    <mergeCell ref="AD1098:AE1098"/>
    <mergeCell ref="AF1098:AG1098"/>
    <mergeCell ref="AH1098:AI1098"/>
    <mergeCell ref="AJ1098:AK1098"/>
    <mergeCell ref="AL1098:BB1098"/>
    <mergeCell ref="AH1096:AI1096"/>
    <mergeCell ref="AJ1096:AK1096"/>
    <mergeCell ref="AL1096:BB1096"/>
    <mergeCell ref="B1096:C1096"/>
    <mergeCell ref="D1096:E1096"/>
    <mergeCell ref="F1096:G1096"/>
    <mergeCell ref="H1096:I1096"/>
    <mergeCell ref="J1096:K1096"/>
    <mergeCell ref="L1096:M1096"/>
    <mergeCell ref="N1096:O1096"/>
    <mergeCell ref="P1098:Q1098"/>
    <mergeCell ref="R1098:S1098"/>
    <mergeCell ref="T1098:U1098"/>
    <mergeCell ref="V1098:W1098"/>
    <mergeCell ref="X1098:Y1098"/>
    <mergeCell ref="Z1098:AA1098"/>
    <mergeCell ref="AB1098:AC1098"/>
    <mergeCell ref="B1098:C1098"/>
    <mergeCell ref="D1098:E1098"/>
    <mergeCell ref="F1098:G1098"/>
    <mergeCell ref="H1098:I1098"/>
    <mergeCell ref="J1098:K1098"/>
    <mergeCell ref="L1098:M1098"/>
    <mergeCell ref="N1098:O1098"/>
    <mergeCell ref="AH1087:AI1087"/>
    <mergeCell ref="AJ1087:AK1087"/>
    <mergeCell ref="AL1087:BB1087"/>
    <mergeCell ref="B1087:C1087"/>
    <mergeCell ref="D1087:E1087"/>
    <mergeCell ref="F1087:G1087"/>
    <mergeCell ref="H1087:I1087"/>
    <mergeCell ref="J1087:K1087"/>
    <mergeCell ref="L1087:M1087"/>
    <mergeCell ref="N1087:O1087"/>
    <mergeCell ref="P1089:Q1089"/>
    <mergeCell ref="R1089:S1089"/>
    <mergeCell ref="T1089:U1089"/>
    <mergeCell ref="V1089:W1089"/>
    <mergeCell ref="X1089:Y1089"/>
    <mergeCell ref="Z1089:AA1089"/>
    <mergeCell ref="AB1089:AC1089"/>
    <mergeCell ref="B1089:C1089"/>
    <mergeCell ref="D1089:E1089"/>
    <mergeCell ref="F1089:G1089"/>
    <mergeCell ref="H1089:I1089"/>
    <mergeCell ref="J1089:K1089"/>
    <mergeCell ref="L1089:M1089"/>
    <mergeCell ref="N1089:O1089"/>
    <mergeCell ref="P1092:Q1092"/>
    <mergeCell ref="R1092:S1092"/>
    <mergeCell ref="T1092:U1092"/>
    <mergeCell ref="V1092:W1092"/>
    <mergeCell ref="X1092:Y1092"/>
    <mergeCell ref="Z1092:AA1092"/>
    <mergeCell ref="AB1092:AC1092"/>
    <mergeCell ref="B1092:C1092"/>
    <mergeCell ref="D1092:E1092"/>
    <mergeCell ref="F1092:G1092"/>
    <mergeCell ref="H1092:I1092"/>
    <mergeCell ref="J1092:K1092"/>
    <mergeCell ref="L1092:M1092"/>
    <mergeCell ref="N1092:O1092"/>
    <mergeCell ref="X1090:Y1090"/>
    <mergeCell ref="Z1090:AA1090"/>
    <mergeCell ref="AB1090:AC1090"/>
    <mergeCell ref="AD1091:AE1091"/>
    <mergeCell ref="AF1091:AG1091"/>
    <mergeCell ref="AH1091:AI1091"/>
    <mergeCell ref="AJ1091:AK1091"/>
    <mergeCell ref="AL1091:BB1091"/>
    <mergeCell ref="P1091:Q1091"/>
    <mergeCell ref="R1091:S1091"/>
    <mergeCell ref="T1091:U1091"/>
    <mergeCell ref="V1091:W1091"/>
    <mergeCell ref="X1091:Y1091"/>
    <mergeCell ref="Z1091:AA1091"/>
    <mergeCell ref="AB1091:AC1091"/>
    <mergeCell ref="B1091:C1091"/>
    <mergeCell ref="D1091:E1091"/>
    <mergeCell ref="F1091:G1091"/>
    <mergeCell ref="H1091:I1091"/>
    <mergeCell ref="J1091:K1091"/>
    <mergeCell ref="L1091:M1091"/>
    <mergeCell ref="N1091:O1091"/>
    <mergeCell ref="AD1092:AE1092"/>
    <mergeCell ref="AF1092:AG1092"/>
    <mergeCell ref="AH1092:AI1092"/>
    <mergeCell ref="AJ1092:AK1092"/>
    <mergeCell ref="AH1084:AI1084"/>
    <mergeCell ref="AJ1084:AK1084"/>
    <mergeCell ref="AL1084:BB1084"/>
    <mergeCell ref="B1084:C1084"/>
    <mergeCell ref="D1084:E1084"/>
    <mergeCell ref="F1084:G1084"/>
    <mergeCell ref="H1084:I1084"/>
    <mergeCell ref="J1084:K1084"/>
    <mergeCell ref="L1084:M1084"/>
    <mergeCell ref="N1084:O1084"/>
    <mergeCell ref="P1086:Q1086"/>
    <mergeCell ref="R1086:S1086"/>
    <mergeCell ref="T1086:U1086"/>
    <mergeCell ref="V1086:W1086"/>
    <mergeCell ref="X1086:Y1086"/>
    <mergeCell ref="Z1086:AA1086"/>
    <mergeCell ref="AB1086:AC1086"/>
    <mergeCell ref="B1086:C1086"/>
    <mergeCell ref="D1086:E1086"/>
    <mergeCell ref="F1086:G1086"/>
    <mergeCell ref="H1086:I1086"/>
    <mergeCell ref="J1086:K1086"/>
    <mergeCell ref="L1086:M1086"/>
    <mergeCell ref="N1086:O1086"/>
    <mergeCell ref="AD1084:AE1084"/>
    <mergeCell ref="AF1084:AG1084"/>
    <mergeCell ref="P1084:Q1084"/>
    <mergeCell ref="R1084:S1084"/>
    <mergeCell ref="T1084:U1084"/>
    <mergeCell ref="V1084:W1084"/>
    <mergeCell ref="X1084:Y1084"/>
    <mergeCell ref="Z1084:AA1084"/>
    <mergeCell ref="AB1084:AC1084"/>
    <mergeCell ref="AD1085:AE1085"/>
    <mergeCell ref="AF1085:AG1085"/>
    <mergeCell ref="AH1085:AI1085"/>
    <mergeCell ref="AJ1085:AK1085"/>
    <mergeCell ref="AL1085:BB1085"/>
    <mergeCell ref="P1085:Q1085"/>
    <mergeCell ref="R1085:S1085"/>
    <mergeCell ref="T1085:U1085"/>
    <mergeCell ref="V1085:W1085"/>
    <mergeCell ref="X1085:Y1085"/>
    <mergeCell ref="Z1085:AA1085"/>
    <mergeCell ref="AB1085:AC1085"/>
    <mergeCell ref="B1085:C1085"/>
    <mergeCell ref="D1085:E1085"/>
    <mergeCell ref="F1085:G1085"/>
    <mergeCell ref="H1085:I1085"/>
    <mergeCell ref="J1085:K1085"/>
    <mergeCell ref="L1085:M1085"/>
    <mergeCell ref="N1085:O1085"/>
    <mergeCell ref="AD1086:AE1086"/>
    <mergeCell ref="AF1086:AG1086"/>
    <mergeCell ref="AH1086:AI1086"/>
    <mergeCell ref="AJ1086:AK1086"/>
    <mergeCell ref="AL1086:BB1086"/>
    <mergeCell ref="B1081:C1081"/>
    <mergeCell ref="D1081:E1081"/>
    <mergeCell ref="F1081:G1081"/>
    <mergeCell ref="H1081:I1081"/>
    <mergeCell ref="J1081:K1081"/>
    <mergeCell ref="L1081:M1081"/>
    <mergeCell ref="N1081:O1081"/>
    <mergeCell ref="AD1082:AE1082"/>
    <mergeCell ref="AF1082:AG1082"/>
    <mergeCell ref="AH1082:AI1082"/>
    <mergeCell ref="AJ1082:AK1082"/>
    <mergeCell ref="AL1082:BB1082"/>
    <mergeCell ref="P1082:Q1082"/>
    <mergeCell ref="R1082:S1082"/>
    <mergeCell ref="T1082:U1082"/>
    <mergeCell ref="V1082:W1082"/>
    <mergeCell ref="X1082:Y1082"/>
    <mergeCell ref="Z1082:AA1082"/>
    <mergeCell ref="AB1082:AC1082"/>
    <mergeCell ref="B1082:C1082"/>
    <mergeCell ref="D1082:E1082"/>
    <mergeCell ref="F1082:G1082"/>
    <mergeCell ref="H1082:I1082"/>
    <mergeCell ref="J1082:K1082"/>
    <mergeCell ref="L1082:M1082"/>
    <mergeCell ref="N1082:O1082"/>
    <mergeCell ref="AD1083:AE1083"/>
    <mergeCell ref="AF1083:AG1083"/>
    <mergeCell ref="AH1083:AI1083"/>
    <mergeCell ref="AJ1083:AK1083"/>
    <mergeCell ref="AL1083:BB1083"/>
    <mergeCell ref="P1083:Q1083"/>
    <mergeCell ref="R1083:S1083"/>
    <mergeCell ref="T1083:U1083"/>
    <mergeCell ref="V1083:W1083"/>
    <mergeCell ref="X1083:Y1083"/>
    <mergeCell ref="Z1083:AA1083"/>
    <mergeCell ref="AB1083:AC1083"/>
    <mergeCell ref="B1083:C1083"/>
    <mergeCell ref="D1083:E1083"/>
    <mergeCell ref="F1083:G1083"/>
    <mergeCell ref="H1083:I1083"/>
    <mergeCell ref="J1083:K1083"/>
    <mergeCell ref="L1083:M1083"/>
    <mergeCell ref="N1083:O1083"/>
    <mergeCell ref="AH1078:AI1078"/>
    <mergeCell ref="AJ1078:AK1078"/>
    <mergeCell ref="AL1078:BB1078"/>
    <mergeCell ref="B1078:C1078"/>
    <mergeCell ref="D1078:E1078"/>
    <mergeCell ref="F1078:G1078"/>
    <mergeCell ref="H1078:I1078"/>
    <mergeCell ref="J1078:K1078"/>
    <mergeCell ref="L1078:M1078"/>
    <mergeCell ref="N1078:O1078"/>
    <mergeCell ref="P1080:Q1080"/>
    <mergeCell ref="R1080:S1080"/>
    <mergeCell ref="T1080:U1080"/>
    <mergeCell ref="V1080:W1080"/>
    <mergeCell ref="X1080:Y1080"/>
    <mergeCell ref="Z1080:AA1080"/>
    <mergeCell ref="AB1080:AC1080"/>
    <mergeCell ref="B1080:C1080"/>
    <mergeCell ref="D1080:E1080"/>
    <mergeCell ref="F1080:G1080"/>
    <mergeCell ref="H1080:I1080"/>
    <mergeCell ref="J1080:K1080"/>
    <mergeCell ref="L1080:M1080"/>
    <mergeCell ref="N1080:O1080"/>
    <mergeCell ref="AD1078:AE1078"/>
    <mergeCell ref="AF1078:AG1078"/>
    <mergeCell ref="P1078:Q1078"/>
    <mergeCell ref="R1078:S1078"/>
    <mergeCell ref="T1078:U1078"/>
    <mergeCell ref="V1078:W1078"/>
    <mergeCell ref="X1078:Y1078"/>
    <mergeCell ref="Z1078:AA1078"/>
    <mergeCell ref="AB1078:AC1078"/>
    <mergeCell ref="AD1079:AE1079"/>
    <mergeCell ref="AF1079:AG1079"/>
    <mergeCell ref="AH1079:AI1079"/>
    <mergeCell ref="AJ1079:AK1079"/>
    <mergeCell ref="AL1079:BB1079"/>
    <mergeCell ref="P1079:Q1079"/>
    <mergeCell ref="R1079:S1079"/>
    <mergeCell ref="T1079:U1079"/>
    <mergeCell ref="V1079:W1079"/>
    <mergeCell ref="X1079:Y1079"/>
    <mergeCell ref="Z1079:AA1079"/>
    <mergeCell ref="AB1079:AC1079"/>
    <mergeCell ref="B1079:C1079"/>
    <mergeCell ref="D1079:E1079"/>
    <mergeCell ref="F1079:G1079"/>
    <mergeCell ref="H1079:I1079"/>
    <mergeCell ref="J1079:K1079"/>
    <mergeCell ref="L1079:M1079"/>
    <mergeCell ref="N1079:O1079"/>
    <mergeCell ref="AD1080:AE1080"/>
    <mergeCell ref="AF1080:AG1080"/>
    <mergeCell ref="AH1080:AI1080"/>
    <mergeCell ref="AJ1080:AK1080"/>
    <mergeCell ref="AL1080:BB1080"/>
    <mergeCell ref="AH1075:AI1075"/>
    <mergeCell ref="AJ1075:AK1075"/>
    <mergeCell ref="AL1075:BB1075"/>
    <mergeCell ref="B1075:C1075"/>
    <mergeCell ref="D1075:E1075"/>
    <mergeCell ref="F1075:G1075"/>
    <mergeCell ref="H1075:I1075"/>
    <mergeCell ref="J1075:K1075"/>
    <mergeCell ref="L1075:M1075"/>
    <mergeCell ref="N1075:O1075"/>
    <mergeCell ref="P1077:Q1077"/>
    <mergeCell ref="R1077:S1077"/>
    <mergeCell ref="T1077:U1077"/>
    <mergeCell ref="V1077:W1077"/>
    <mergeCell ref="X1077:Y1077"/>
    <mergeCell ref="Z1077:AA1077"/>
    <mergeCell ref="AB1077:AC1077"/>
    <mergeCell ref="B1077:C1077"/>
    <mergeCell ref="D1077:E1077"/>
    <mergeCell ref="F1077:G1077"/>
    <mergeCell ref="H1077:I1077"/>
    <mergeCell ref="J1077:K1077"/>
    <mergeCell ref="L1077:M1077"/>
    <mergeCell ref="N1077:O1077"/>
    <mergeCell ref="AD1075:AE1075"/>
    <mergeCell ref="AF1075:AG1075"/>
    <mergeCell ref="P1075:Q1075"/>
    <mergeCell ref="R1075:S1075"/>
    <mergeCell ref="T1075:U1075"/>
    <mergeCell ref="V1075:W1075"/>
    <mergeCell ref="X1075:Y1075"/>
    <mergeCell ref="Z1075:AA1075"/>
    <mergeCell ref="AB1075:AC1075"/>
    <mergeCell ref="AD1076:AE1076"/>
    <mergeCell ref="AF1076:AG1076"/>
    <mergeCell ref="AH1076:AI1076"/>
    <mergeCell ref="AJ1076:AK1076"/>
    <mergeCell ref="AL1076:BB1076"/>
    <mergeCell ref="P1076:Q1076"/>
    <mergeCell ref="R1076:S1076"/>
    <mergeCell ref="T1076:U1076"/>
    <mergeCell ref="V1076:W1076"/>
    <mergeCell ref="X1076:Y1076"/>
    <mergeCell ref="Z1076:AA1076"/>
    <mergeCell ref="AB1076:AC1076"/>
    <mergeCell ref="B1076:C1076"/>
    <mergeCell ref="D1076:E1076"/>
    <mergeCell ref="F1076:G1076"/>
    <mergeCell ref="H1076:I1076"/>
    <mergeCell ref="J1076:K1076"/>
    <mergeCell ref="L1076:M1076"/>
    <mergeCell ref="N1076:O1076"/>
    <mergeCell ref="AD1077:AE1077"/>
    <mergeCell ref="AF1077:AG1077"/>
    <mergeCell ref="AH1077:AI1077"/>
    <mergeCell ref="AJ1077:AK1077"/>
    <mergeCell ref="AL1077:BB1077"/>
    <mergeCell ref="AH1072:AI1072"/>
    <mergeCell ref="AJ1072:AK1072"/>
    <mergeCell ref="AL1072:BB1072"/>
    <mergeCell ref="B1072:C1072"/>
    <mergeCell ref="D1072:E1072"/>
    <mergeCell ref="F1072:G1072"/>
    <mergeCell ref="H1072:I1072"/>
    <mergeCell ref="J1072:K1072"/>
    <mergeCell ref="L1072:M1072"/>
    <mergeCell ref="N1072:O1072"/>
    <mergeCell ref="P1074:Q1074"/>
    <mergeCell ref="R1074:S1074"/>
    <mergeCell ref="T1074:U1074"/>
    <mergeCell ref="V1074:W1074"/>
    <mergeCell ref="X1074:Y1074"/>
    <mergeCell ref="Z1074:AA1074"/>
    <mergeCell ref="AB1074:AC1074"/>
    <mergeCell ref="B1074:C1074"/>
    <mergeCell ref="D1074:E1074"/>
    <mergeCell ref="F1074:G1074"/>
    <mergeCell ref="H1074:I1074"/>
    <mergeCell ref="J1074:K1074"/>
    <mergeCell ref="L1074:M1074"/>
    <mergeCell ref="N1074:O1074"/>
    <mergeCell ref="AD1072:AE1072"/>
    <mergeCell ref="AF1072:AG1072"/>
    <mergeCell ref="P1072:Q1072"/>
    <mergeCell ref="R1072:S1072"/>
    <mergeCell ref="T1072:U1072"/>
    <mergeCell ref="V1072:W1072"/>
    <mergeCell ref="X1072:Y1072"/>
    <mergeCell ref="Z1072:AA1072"/>
    <mergeCell ref="AB1072:AC1072"/>
    <mergeCell ref="AD1073:AE1073"/>
    <mergeCell ref="AF1073:AG1073"/>
    <mergeCell ref="AH1073:AI1073"/>
    <mergeCell ref="AJ1073:AK1073"/>
    <mergeCell ref="AL1073:BB1073"/>
    <mergeCell ref="P1073:Q1073"/>
    <mergeCell ref="R1073:S1073"/>
    <mergeCell ref="T1073:U1073"/>
    <mergeCell ref="V1073:W1073"/>
    <mergeCell ref="X1073:Y1073"/>
    <mergeCell ref="Z1073:AA1073"/>
    <mergeCell ref="AB1073:AC1073"/>
    <mergeCell ref="B1073:C1073"/>
    <mergeCell ref="D1073:E1073"/>
    <mergeCell ref="F1073:G1073"/>
    <mergeCell ref="H1073:I1073"/>
    <mergeCell ref="J1073:K1073"/>
    <mergeCell ref="L1073:M1073"/>
    <mergeCell ref="N1073:O1073"/>
    <mergeCell ref="AD1074:AE1074"/>
    <mergeCell ref="AF1074:AG1074"/>
    <mergeCell ref="AH1074:AI1074"/>
    <mergeCell ref="AJ1074:AK1074"/>
    <mergeCell ref="AL1074:BB1074"/>
    <mergeCell ref="AH1069:AI1069"/>
    <mergeCell ref="AJ1069:AK1069"/>
    <mergeCell ref="AL1069:BB1069"/>
    <mergeCell ref="B1069:C1069"/>
    <mergeCell ref="D1069:E1069"/>
    <mergeCell ref="F1069:G1069"/>
    <mergeCell ref="H1069:I1069"/>
    <mergeCell ref="J1069:K1069"/>
    <mergeCell ref="L1069:M1069"/>
    <mergeCell ref="N1069:O1069"/>
    <mergeCell ref="P1071:Q1071"/>
    <mergeCell ref="R1071:S1071"/>
    <mergeCell ref="T1071:U1071"/>
    <mergeCell ref="V1071:W1071"/>
    <mergeCell ref="X1071:Y1071"/>
    <mergeCell ref="Z1071:AA1071"/>
    <mergeCell ref="AB1071:AC1071"/>
    <mergeCell ref="B1071:C1071"/>
    <mergeCell ref="D1071:E1071"/>
    <mergeCell ref="F1071:G1071"/>
    <mergeCell ref="H1071:I1071"/>
    <mergeCell ref="J1071:K1071"/>
    <mergeCell ref="L1071:M1071"/>
    <mergeCell ref="N1071:O1071"/>
    <mergeCell ref="AD1069:AE1069"/>
    <mergeCell ref="AF1069:AG1069"/>
    <mergeCell ref="P1069:Q1069"/>
    <mergeCell ref="R1069:S1069"/>
    <mergeCell ref="T1069:U1069"/>
    <mergeCell ref="V1069:W1069"/>
    <mergeCell ref="X1069:Y1069"/>
    <mergeCell ref="Z1069:AA1069"/>
    <mergeCell ref="AB1069:AC1069"/>
    <mergeCell ref="AD1070:AE1070"/>
    <mergeCell ref="AF1070:AG1070"/>
    <mergeCell ref="AH1070:AI1070"/>
    <mergeCell ref="AJ1070:AK1070"/>
    <mergeCell ref="AL1070:BB1070"/>
    <mergeCell ref="P1070:Q1070"/>
    <mergeCell ref="R1070:S1070"/>
    <mergeCell ref="T1070:U1070"/>
    <mergeCell ref="V1070:W1070"/>
    <mergeCell ref="X1070:Y1070"/>
    <mergeCell ref="Z1070:AA1070"/>
    <mergeCell ref="AB1070:AC1070"/>
    <mergeCell ref="B1070:C1070"/>
    <mergeCell ref="D1070:E1070"/>
    <mergeCell ref="F1070:G1070"/>
    <mergeCell ref="H1070:I1070"/>
    <mergeCell ref="J1070:K1070"/>
    <mergeCell ref="L1070:M1070"/>
    <mergeCell ref="N1070:O1070"/>
    <mergeCell ref="AD1071:AE1071"/>
    <mergeCell ref="AF1071:AG1071"/>
    <mergeCell ref="AH1071:AI1071"/>
    <mergeCell ref="AJ1071:AK1071"/>
    <mergeCell ref="AL1071:BB1071"/>
    <mergeCell ref="AJ1065:AK1065"/>
    <mergeCell ref="AL1065:BB1065"/>
    <mergeCell ref="AH1066:AI1066"/>
    <mergeCell ref="AJ1066:AK1066"/>
    <mergeCell ref="AL1066:BB1066"/>
    <mergeCell ref="B1066:C1066"/>
    <mergeCell ref="D1066:E1066"/>
    <mergeCell ref="F1066:G1066"/>
    <mergeCell ref="H1066:I1066"/>
    <mergeCell ref="J1066:K1066"/>
    <mergeCell ref="L1066:M1066"/>
    <mergeCell ref="N1066:O1066"/>
    <mergeCell ref="P1068:Q1068"/>
    <mergeCell ref="R1068:S1068"/>
    <mergeCell ref="T1068:U1068"/>
    <mergeCell ref="V1068:W1068"/>
    <mergeCell ref="X1068:Y1068"/>
    <mergeCell ref="Z1068:AA1068"/>
    <mergeCell ref="AB1068:AC1068"/>
    <mergeCell ref="B1068:C1068"/>
    <mergeCell ref="D1068:E1068"/>
    <mergeCell ref="F1068:G1068"/>
    <mergeCell ref="H1068:I1068"/>
    <mergeCell ref="J1068:K1068"/>
    <mergeCell ref="L1068:M1068"/>
    <mergeCell ref="N1068:O1068"/>
    <mergeCell ref="AD1066:AE1066"/>
    <mergeCell ref="AF1066:AG1066"/>
    <mergeCell ref="P1066:Q1066"/>
    <mergeCell ref="R1066:S1066"/>
    <mergeCell ref="T1066:U1066"/>
    <mergeCell ref="V1066:W1066"/>
    <mergeCell ref="X1066:Y1066"/>
    <mergeCell ref="Z1066:AA1066"/>
    <mergeCell ref="AB1066:AC1066"/>
    <mergeCell ref="AD1067:AE1067"/>
    <mergeCell ref="AF1067:AG1067"/>
    <mergeCell ref="AH1067:AI1067"/>
    <mergeCell ref="AJ1067:AK1067"/>
    <mergeCell ref="AL1067:BB1067"/>
    <mergeCell ref="P1067:Q1067"/>
    <mergeCell ref="R1067:S1067"/>
    <mergeCell ref="T1067:U1067"/>
    <mergeCell ref="V1067:W1067"/>
    <mergeCell ref="X1067:Y1067"/>
    <mergeCell ref="Z1067:AA1067"/>
    <mergeCell ref="AB1067:AC1067"/>
    <mergeCell ref="B1067:C1067"/>
    <mergeCell ref="D1067:E1067"/>
    <mergeCell ref="F1067:G1067"/>
    <mergeCell ref="H1067:I1067"/>
    <mergeCell ref="J1067:K1067"/>
    <mergeCell ref="L1067:M1067"/>
    <mergeCell ref="N1067:O1067"/>
    <mergeCell ref="AD1068:AE1068"/>
    <mergeCell ref="AF1068:AG1068"/>
    <mergeCell ref="AH1068:AI1068"/>
    <mergeCell ref="AJ1068:AK1068"/>
    <mergeCell ref="AL1068:BB1068"/>
    <mergeCell ref="H1061:I1061"/>
    <mergeCell ref="J1061:K1061"/>
    <mergeCell ref="L1061:M1061"/>
    <mergeCell ref="N1061:O1061"/>
    <mergeCell ref="AD1062:AE1062"/>
    <mergeCell ref="AF1062:AG1062"/>
    <mergeCell ref="AH1062:AI1062"/>
    <mergeCell ref="AJ1062:AK1062"/>
    <mergeCell ref="AL1062:BB1062"/>
    <mergeCell ref="AH1063:AI1063"/>
    <mergeCell ref="AJ1063:AK1063"/>
    <mergeCell ref="AL1063:BB1063"/>
    <mergeCell ref="B1063:C1063"/>
    <mergeCell ref="D1063:E1063"/>
    <mergeCell ref="F1063:G1063"/>
    <mergeCell ref="H1063:I1063"/>
    <mergeCell ref="J1063:K1063"/>
    <mergeCell ref="L1063:M1063"/>
    <mergeCell ref="N1063:O1063"/>
    <mergeCell ref="P1065:Q1065"/>
    <mergeCell ref="R1065:S1065"/>
    <mergeCell ref="T1065:U1065"/>
    <mergeCell ref="V1065:W1065"/>
    <mergeCell ref="X1065:Y1065"/>
    <mergeCell ref="Z1065:AA1065"/>
    <mergeCell ref="AB1065:AC1065"/>
    <mergeCell ref="B1065:C1065"/>
    <mergeCell ref="D1065:E1065"/>
    <mergeCell ref="F1065:G1065"/>
    <mergeCell ref="H1065:I1065"/>
    <mergeCell ref="J1065:K1065"/>
    <mergeCell ref="L1065:M1065"/>
    <mergeCell ref="N1065:O1065"/>
    <mergeCell ref="AD1063:AE1063"/>
    <mergeCell ref="AF1063:AG1063"/>
    <mergeCell ref="P1063:Q1063"/>
    <mergeCell ref="R1063:S1063"/>
    <mergeCell ref="T1063:U1063"/>
    <mergeCell ref="V1063:W1063"/>
    <mergeCell ref="X1063:Y1063"/>
    <mergeCell ref="Z1063:AA1063"/>
    <mergeCell ref="AB1063:AC1063"/>
    <mergeCell ref="AD1064:AE1064"/>
    <mergeCell ref="AF1064:AG1064"/>
    <mergeCell ref="AH1064:AI1064"/>
    <mergeCell ref="AJ1064:AK1064"/>
    <mergeCell ref="AL1064:BB1064"/>
    <mergeCell ref="P1064:Q1064"/>
    <mergeCell ref="R1064:S1064"/>
    <mergeCell ref="T1064:U1064"/>
    <mergeCell ref="V1064:W1064"/>
    <mergeCell ref="X1064:Y1064"/>
    <mergeCell ref="Z1064:AA1064"/>
    <mergeCell ref="AB1064:AC1064"/>
    <mergeCell ref="B1064:C1064"/>
    <mergeCell ref="D1064:E1064"/>
    <mergeCell ref="F1064:G1064"/>
    <mergeCell ref="H1064:I1064"/>
    <mergeCell ref="J1064:K1064"/>
    <mergeCell ref="L1064:M1064"/>
    <mergeCell ref="N1064:O1064"/>
    <mergeCell ref="AD1065:AE1065"/>
    <mergeCell ref="AF1065:AG1065"/>
    <mergeCell ref="AH1065:AI1065"/>
    <mergeCell ref="P1059:Q1059"/>
    <mergeCell ref="R1059:S1059"/>
    <mergeCell ref="T1059:U1059"/>
    <mergeCell ref="V1059:W1059"/>
    <mergeCell ref="X1059:Y1059"/>
    <mergeCell ref="Z1059:AA1059"/>
    <mergeCell ref="AB1059:AC1059"/>
    <mergeCell ref="B1059:C1059"/>
    <mergeCell ref="D1059:E1059"/>
    <mergeCell ref="F1059:G1059"/>
    <mergeCell ref="H1059:I1059"/>
    <mergeCell ref="J1059:K1059"/>
    <mergeCell ref="L1059:M1059"/>
    <mergeCell ref="N1059:O1059"/>
    <mergeCell ref="AD1081:AE1081"/>
    <mergeCell ref="AF1081:AG1081"/>
    <mergeCell ref="AH1081:AI1081"/>
    <mergeCell ref="AJ1081:AK1081"/>
    <mergeCell ref="AL1081:BB1081"/>
    <mergeCell ref="P1081:Q1081"/>
    <mergeCell ref="R1081:S1081"/>
    <mergeCell ref="T1081:U1081"/>
    <mergeCell ref="V1081:W1081"/>
    <mergeCell ref="X1081:Y1081"/>
    <mergeCell ref="Z1081:AA1081"/>
    <mergeCell ref="AB1081:AC1081"/>
    <mergeCell ref="P1062:Q1062"/>
    <mergeCell ref="R1062:S1062"/>
    <mergeCell ref="T1062:U1062"/>
    <mergeCell ref="V1062:W1062"/>
    <mergeCell ref="X1062:Y1062"/>
    <mergeCell ref="Z1062:AA1062"/>
    <mergeCell ref="AB1062:AC1062"/>
    <mergeCell ref="B1062:C1062"/>
    <mergeCell ref="D1062:E1062"/>
    <mergeCell ref="F1062:G1062"/>
    <mergeCell ref="H1062:I1062"/>
    <mergeCell ref="J1062:K1062"/>
    <mergeCell ref="L1062:M1062"/>
    <mergeCell ref="N1062:O1062"/>
    <mergeCell ref="AD1060:AE1060"/>
    <mergeCell ref="AF1060:AG1060"/>
    <mergeCell ref="P1060:Q1060"/>
    <mergeCell ref="R1060:S1060"/>
    <mergeCell ref="T1060:U1060"/>
    <mergeCell ref="V1060:W1060"/>
    <mergeCell ref="X1060:Y1060"/>
    <mergeCell ref="Z1060:AA1060"/>
    <mergeCell ref="AB1060:AC1060"/>
    <mergeCell ref="AD1061:AE1061"/>
    <mergeCell ref="AF1061:AG1061"/>
    <mergeCell ref="AH1061:AI1061"/>
    <mergeCell ref="AJ1061:AK1061"/>
    <mergeCell ref="AL1061:BB1061"/>
    <mergeCell ref="P1061:Q1061"/>
    <mergeCell ref="R1061:S1061"/>
    <mergeCell ref="T1061:U1061"/>
    <mergeCell ref="V1061:W1061"/>
    <mergeCell ref="X1061:Y1061"/>
    <mergeCell ref="Z1061:AA1061"/>
    <mergeCell ref="AB1061:AC1061"/>
    <mergeCell ref="B1061:C1061"/>
    <mergeCell ref="D1061:E1061"/>
    <mergeCell ref="F1061:G1061"/>
    <mergeCell ref="AL1050:BB1050"/>
    <mergeCell ref="AH1051:AI1051"/>
    <mergeCell ref="AJ1051:AK1051"/>
    <mergeCell ref="AL1051:BB1051"/>
    <mergeCell ref="B1051:C1051"/>
    <mergeCell ref="D1051:E1051"/>
    <mergeCell ref="F1051:G1051"/>
    <mergeCell ref="H1051:I1051"/>
    <mergeCell ref="J1051:K1051"/>
    <mergeCell ref="L1051:M1051"/>
    <mergeCell ref="N1051:O1051"/>
    <mergeCell ref="P1053:Q1053"/>
    <mergeCell ref="R1053:S1053"/>
    <mergeCell ref="T1053:U1053"/>
    <mergeCell ref="V1053:W1053"/>
    <mergeCell ref="X1053:Y1053"/>
    <mergeCell ref="Z1053:AA1053"/>
    <mergeCell ref="AB1053:AC1053"/>
    <mergeCell ref="B1053:C1053"/>
    <mergeCell ref="D1053:E1053"/>
    <mergeCell ref="F1053:G1053"/>
    <mergeCell ref="H1053:I1053"/>
    <mergeCell ref="J1053:K1053"/>
    <mergeCell ref="L1053:M1053"/>
    <mergeCell ref="N1053:O1053"/>
    <mergeCell ref="AD1051:AE1051"/>
    <mergeCell ref="AF1051:AG1051"/>
    <mergeCell ref="P1051:Q1051"/>
    <mergeCell ref="R1051:S1051"/>
    <mergeCell ref="T1051:U1051"/>
    <mergeCell ref="V1051:W1051"/>
    <mergeCell ref="X1051:Y1051"/>
    <mergeCell ref="Z1051:AA1051"/>
    <mergeCell ref="AB1051:AC1051"/>
    <mergeCell ref="AD1052:AE1052"/>
    <mergeCell ref="AF1052:AG1052"/>
    <mergeCell ref="AH1052:AI1052"/>
    <mergeCell ref="AJ1052:AK1052"/>
    <mergeCell ref="AL1052:BB1052"/>
    <mergeCell ref="P1052:Q1052"/>
    <mergeCell ref="R1052:S1052"/>
    <mergeCell ref="T1052:U1052"/>
    <mergeCell ref="V1052:W1052"/>
    <mergeCell ref="X1052:Y1052"/>
    <mergeCell ref="Z1052:AA1052"/>
    <mergeCell ref="AB1052:AC1052"/>
    <mergeCell ref="B1052:C1052"/>
    <mergeCell ref="D1052:E1052"/>
    <mergeCell ref="F1052:G1052"/>
    <mergeCell ref="H1052:I1052"/>
    <mergeCell ref="J1052:K1052"/>
    <mergeCell ref="L1052:M1052"/>
    <mergeCell ref="N1052:O1052"/>
    <mergeCell ref="AD1053:AE1053"/>
    <mergeCell ref="AF1053:AG1053"/>
    <mergeCell ref="AH1053:AI1053"/>
    <mergeCell ref="AJ1053:AK1053"/>
    <mergeCell ref="AL1053:BB1053"/>
    <mergeCell ref="AD1059:AE1059"/>
    <mergeCell ref="AF1059:AG1059"/>
    <mergeCell ref="AH1059:AI1059"/>
    <mergeCell ref="AJ1059:AK1059"/>
    <mergeCell ref="AL1059:BB1059"/>
    <mergeCell ref="AH1060:AI1060"/>
    <mergeCell ref="AJ1060:AK1060"/>
    <mergeCell ref="AL1060:BB1060"/>
    <mergeCell ref="B1060:C1060"/>
    <mergeCell ref="D1060:E1060"/>
    <mergeCell ref="F1060:G1060"/>
    <mergeCell ref="H1060:I1060"/>
    <mergeCell ref="J1060:K1060"/>
    <mergeCell ref="L1060:M1060"/>
    <mergeCell ref="N1060:O1060"/>
    <mergeCell ref="AD1045:AE1045"/>
    <mergeCell ref="AF1045:AG1045"/>
    <mergeCell ref="P1045:Q1045"/>
    <mergeCell ref="R1045:S1045"/>
    <mergeCell ref="T1045:U1045"/>
    <mergeCell ref="V1045:W1045"/>
    <mergeCell ref="X1045:Y1045"/>
    <mergeCell ref="Z1045:AA1045"/>
    <mergeCell ref="AB1045:AC1045"/>
    <mergeCell ref="AD1046:AE1046"/>
    <mergeCell ref="AF1046:AG1046"/>
    <mergeCell ref="AH1046:AI1046"/>
    <mergeCell ref="AJ1046:AK1046"/>
    <mergeCell ref="AL1046:BB1046"/>
    <mergeCell ref="P1046:Q1046"/>
    <mergeCell ref="R1046:S1046"/>
    <mergeCell ref="T1046:U1046"/>
    <mergeCell ref="V1046:W1046"/>
    <mergeCell ref="X1046:Y1046"/>
    <mergeCell ref="Z1046:AA1046"/>
    <mergeCell ref="AB1046:AC1046"/>
    <mergeCell ref="B1046:C1046"/>
    <mergeCell ref="D1046:E1046"/>
    <mergeCell ref="F1046:G1046"/>
    <mergeCell ref="H1046:I1046"/>
    <mergeCell ref="J1046:K1046"/>
    <mergeCell ref="L1046:M1046"/>
    <mergeCell ref="N1046:O1046"/>
    <mergeCell ref="AD1047:AE1047"/>
    <mergeCell ref="AF1047:AG1047"/>
    <mergeCell ref="AH1047:AI1047"/>
    <mergeCell ref="AJ1047:AK1047"/>
    <mergeCell ref="AL1047:BB1047"/>
    <mergeCell ref="AH1048:AI1048"/>
    <mergeCell ref="AJ1048:AK1048"/>
    <mergeCell ref="AL1048:BB1048"/>
    <mergeCell ref="B1048:C1048"/>
    <mergeCell ref="D1048:E1048"/>
    <mergeCell ref="F1048:G1048"/>
    <mergeCell ref="H1048:I1048"/>
    <mergeCell ref="J1048:K1048"/>
    <mergeCell ref="L1048:M1048"/>
    <mergeCell ref="N1048:O1048"/>
    <mergeCell ref="AD1048:AE1048"/>
    <mergeCell ref="AF1048:AG1048"/>
    <mergeCell ref="P1048:Q1048"/>
    <mergeCell ref="R1048:S1048"/>
    <mergeCell ref="T1048:U1048"/>
    <mergeCell ref="V1048:W1048"/>
    <mergeCell ref="AH1057:AI1057"/>
    <mergeCell ref="AJ1057:AK1057"/>
    <mergeCell ref="AL1057:BB1057"/>
    <mergeCell ref="B1057:C1057"/>
    <mergeCell ref="D1057:E1057"/>
    <mergeCell ref="F1057:G1057"/>
    <mergeCell ref="H1057:I1057"/>
    <mergeCell ref="J1057:K1057"/>
    <mergeCell ref="L1057:M1057"/>
    <mergeCell ref="N1057:O1057"/>
    <mergeCell ref="AD1057:AE1057"/>
    <mergeCell ref="AF1057:AG1057"/>
    <mergeCell ref="P1057:Q1057"/>
    <mergeCell ref="R1057:S1057"/>
    <mergeCell ref="T1057:U1057"/>
    <mergeCell ref="V1057:W1057"/>
    <mergeCell ref="X1057:Y1057"/>
    <mergeCell ref="Z1057:AA1057"/>
    <mergeCell ref="AB1057:AC1057"/>
    <mergeCell ref="AD1058:AE1058"/>
    <mergeCell ref="AF1058:AG1058"/>
    <mergeCell ref="AH1058:AI1058"/>
    <mergeCell ref="AJ1058:AK1058"/>
    <mergeCell ref="AL1058:BB1058"/>
    <mergeCell ref="P1058:Q1058"/>
    <mergeCell ref="R1058:S1058"/>
    <mergeCell ref="T1058:U1058"/>
    <mergeCell ref="V1058:W1058"/>
    <mergeCell ref="X1058:Y1058"/>
    <mergeCell ref="Z1058:AA1058"/>
    <mergeCell ref="AB1058:AC1058"/>
    <mergeCell ref="B1058:C1058"/>
    <mergeCell ref="D1058:E1058"/>
    <mergeCell ref="F1058:G1058"/>
    <mergeCell ref="H1058:I1058"/>
    <mergeCell ref="J1058:K1058"/>
    <mergeCell ref="L1058:M1058"/>
    <mergeCell ref="N1058:O1058"/>
    <mergeCell ref="AD1054:AE1054"/>
    <mergeCell ref="AF1054:AG1054"/>
    <mergeCell ref="P1054:Q1054"/>
    <mergeCell ref="R1054:S1054"/>
    <mergeCell ref="T1054:U1054"/>
    <mergeCell ref="V1054:W1054"/>
    <mergeCell ref="X1054:Y1054"/>
    <mergeCell ref="Z1054:AA1054"/>
    <mergeCell ref="AB1054:AC1054"/>
    <mergeCell ref="AD1055:AE1055"/>
    <mergeCell ref="AF1055:AG1055"/>
    <mergeCell ref="AH1055:AI1055"/>
    <mergeCell ref="AJ1055:AK1055"/>
    <mergeCell ref="AL1055:BB1055"/>
    <mergeCell ref="P1055:Q1055"/>
    <mergeCell ref="R1055:S1055"/>
    <mergeCell ref="T1055:U1055"/>
    <mergeCell ref="V1055:W1055"/>
    <mergeCell ref="X1055:Y1055"/>
    <mergeCell ref="Z1055:AA1055"/>
    <mergeCell ref="AB1055:AC1055"/>
    <mergeCell ref="B1055:C1055"/>
    <mergeCell ref="D1055:E1055"/>
    <mergeCell ref="F1055:G1055"/>
    <mergeCell ref="H1055:I1055"/>
    <mergeCell ref="J1055:K1055"/>
    <mergeCell ref="L1055:M1055"/>
    <mergeCell ref="N1055:O1055"/>
    <mergeCell ref="AD1056:AE1056"/>
    <mergeCell ref="AF1056:AG1056"/>
    <mergeCell ref="AH1056:AI1056"/>
    <mergeCell ref="AJ1056:AK1056"/>
    <mergeCell ref="AL1056:BB1056"/>
    <mergeCell ref="AH1054:AI1054"/>
    <mergeCell ref="AJ1054:AK1054"/>
    <mergeCell ref="AL1054:BB1054"/>
    <mergeCell ref="B1054:C1054"/>
    <mergeCell ref="D1054:E1054"/>
    <mergeCell ref="F1054:G1054"/>
    <mergeCell ref="H1054:I1054"/>
    <mergeCell ref="J1054:K1054"/>
    <mergeCell ref="L1054:M1054"/>
    <mergeCell ref="N1054:O1054"/>
    <mergeCell ref="P1056:Q1056"/>
    <mergeCell ref="R1056:S1056"/>
    <mergeCell ref="T1056:U1056"/>
    <mergeCell ref="V1056:W1056"/>
    <mergeCell ref="X1056:Y1056"/>
    <mergeCell ref="Z1056:AA1056"/>
    <mergeCell ref="AB1056:AC1056"/>
    <mergeCell ref="B1056:C1056"/>
    <mergeCell ref="D1056:E1056"/>
    <mergeCell ref="F1056:G1056"/>
    <mergeCell ref="H1056:I1056"/>
    <mergeCell ref="J1056:K1056"/>
    <mergeCell ref="L1056:M1056"/>
    <mergeCell ref="N1056:O1056"/>
    <mergeCell ref="AH1045:AI1045"/>
    <mergeCell ref="AJ1045:AK1045"/>
    <mergeCell ref="AL1045:BB1045"/>
    <mergeCell ref="B1045:C1045"/>
    <mergeCell ref="D1045:E1045"/>
    <mergeCell ref="F1045:G1045"/>
    <mergeCell ref="H1045:I1045"/>
    <mergeCell ref="J1045:K1045"/>
    <mergeCell ref="L1045:M1045"/>
    <mergeCell ref="N1045:O1045"/>
    <mergeCell ref="P1047:Q1047"/>
    <mergeCell ref="R1047:S1047"/>
    <mergeCell ref="T1047:U1047"/>
    <mergeCell ref="V1047:W1047"/>
    <mergeCell ref="X1047:Y1047"/>
    <mergeCell ref="Z1047:AA1047"/>
    <mergeCell ref="AB1047:AC1047"/>
    <mergeCell ref="B1047:C1047"/>
    <mergeCell ref="D1047:E1047"/>
    <mergeCell ref="F1047:G1047"/>
    <mergeCell ref="H1047:I1047"/>
    <mergeCell ref="J1047:K1047"/>
    <mergeCell ref="L1047:M1047"/>
    <mergeCell ref="N1047:O1047"/>
    <mergeCell ref="P1050:Q1050"/>
    <mergeCell ref="R1050:S1050"/>
    <mergeCell ref="T1050:U1050"/>
    <mergeCell ref="V1050:W1050"/>
    <mergeCell ref="X1050:Y1050"/>
    <mergeCell ref="Z1050:AA1050"/>
    <mergeCell ref="AB1050:AC1050"/>
    <mergeCell ref="B1050:C1050"/>
    <mergeCell ref="D1050:E1050"/>
    <mergeCell ref="F1050:G1050"/>
    <mergeCell ref="H1050:I1050"/>
    <mergeCell ref="J1050:K1050"/>
    <mergeCell ref="L1050:M1050"/>
    <mergeCell ref="N1050:O1050"/>
    <mergeCell ref="X1048:Y1048"/>
    <mergeCell ref="Z1048:AA1048"/>
    <mergeCell ref="AB1048:AC1048"/>
    <mergeCell ref="AD1049:AE1049"/>
    <mergeCell ref="AF1049:AG1049"/>
    <mergeCell ref="AH1049:AI1049"/>
    <mergeCell ref="AJ1049:AK1049"/>
    <mergeCell ref="AL1049:BB1049"/>
    <mergeCell ref="P1049:Q1049"/>
    <mergeCell ref="R1049:S1049"/>
    <mergeCell ref="T1049:U1049"/>
    <mergeCell ref="V1049:W1049"/>
    <mergeCell ref="X1049:Y1049"/>
    <mergeCell ref="Z1049:AA1049"/>
    <mergeCell ref="AB1049:AC1049"/>
    <mergeCell ref="B1049:C1049"/>
    <mergeCell ref="D1049:E1049"/>
    <mergeCell ref="F1049:G1049"/>
    <mergeCell ref="H1049:I1049"/>
    <mergeCell ref="J1049:K1049"/>
    <mergeCell ref="L1049:M1049"/>
    <mergeCell ref="N1049:O1049"/>
    <mergeCell ref="AD1050:AE1050"/>
    <mergeCell ref="AF1050:AG1050"/>
    <mergeCell ref="AH1050:AI1050"/>
    <mergeCell ref="AJ1050:AK1050"/>
    <mergeCell ref="AH1042:AI1042"/>
    <mergeCell ref="AJ1042:AK1042"/>
    <mergeCell ref="AL1042:BB1042"/>
    <mergeCell ref="B1042:C1042"/>
    <mergeCell ref="D1042:E1042"/>
    <mergeCell ref="F1042:G1042"/>
    <mergeCell ref="H1042:I1042"/>
    <mergeCell ref="J1042:K1042"/>
    <mergeCell ref="L1042:M1042"/>
    <mergeCell ref="N1042:O1042"/>
    <mergeCell ref="P1044:Q1044"/>
    <mergeCell ref="R1044:S1044"/>
    <mergeCell ref="T1044:U1044"/>
    <mergeCell ref="V1044:W1044"/>
    <mergeCell ref="X1044:Y1044"/>
    <mergeCell ref="Z1044:AA1044"/>
    <mergeCell ref="AB1044:AC1044"/>
    <mergeCell ref="B1044:C1044"/>
    <mergeCell ref="D1044:E1044"/>
    <mergeCell ref="F1044:G1044"/>
    <mergeCell ref="H1044:I1044"/>
    <mergeCell ref="J1044:K1044"/>
    <mergeCell ref="L1044:M1044"/>
    <mergeCell ref="N1044:O1044"/>
    <mergeCell ref="AD1042:AE1042"/>
    <mergeCell ref="AF1042:AG1042"/>
    <mergeCell ref="P1042:Q1042"/>
    <mergeCell ref="R1042:S1042"/>
    <mergeCell ref="T1042:U1042"/>
    <mergeCell ref="V1042:W1042"/>
    <mergeCell ref="X1042:Y1042"/>
    <mergeCell ref="Z1042:AA1042"/>
    <mergeCell ref="AB1042:AC1042"/>
    <mergeCell ref="AD1043:AE1043"/>
    <mergeCell ref="AF1043:AG1043"/>
    <mergeCell ref="AH1043:AI1043"/>
    <mergeCell ref="AJ1043:AK1043"/>
    <mergeCell ref="AL1043:BB1043"/>
    <mergeCell ref="P1043:Q1043"/>
    <mergeCell ref="R1043:S1043"/>
    <mergeCell ref="T1043:U1043"/>
    <mergeCell ref="V1043:W1043"/>
    <mergeCell ref="X1043:Y1043"/>
    <mergeCell ref="Z1043:AA1043"/>
    <mergeCell ref="AB1043:AC1043"/>
    <mergeCell ref="B1043:C1043"/>
    <mergeCell ref="D1043:E1043"/>
    <mergeCell ref="F1043:G1043"/>
    <mergeCell ref="H1043:I1043"/>
    <mergeCell ref="J1043:K1043"/>
    <mergeCell ref="L1043:M1043"/>
    <mergeCell ref="N1043:O1043"/>
    <mergeCell ref="AD1044:AE1044"/>
    <mergeCell ref="AF1044:AG1044"/>
    <mergeCell ref="AH1044:AI1044"/>
    <mergeCell ref="AJ1044:AK1044"/>
    <mergeCell ref="AL1044:BB1044"/>
    <mergeCell ref="B1039:C1039"/>
    <mergeCell ref="D1039:E1039"/>
    <mergeCell ref="F1039:G1039"/>
    <mergeCell ref="H1039:I1039"/>
    <mergeCell ref="J1039:K1039"/>
    <mergeCell ref="L1039:M1039"/>
    <mergeCell ref="N1039:O1039"/>
    <mergeCell ref="AD1040:AE1040"/>
    <mergeCell ref="AF1040:AG1040"/>
    <mergeCell ref="AH1040:AI1040"/>
    <mergeCell ref="AJ1040:AK1040"/>
    <mergeCell ref="AL1040:BB1040"/>
    <mergeCell ref="P1040:Q1040"/>
    <mergeCell ref="R1040:S1040"/>
    <mergeCell ref="T1040:U1040"/>
    <mergeCell ref="V1040:W1040"/>
    <mergeCell ref="X1040:Y1040"/>
    <mergeCell ref="Z1040:AA1040"/>
    <mergeCell ref="AB1040:AC1040"/>
    <mergeCell ref="B1040:C1040"/>
    <mergeCell ref="D1040:E1040"/>
    <mergeCell ref="F1040:G1040"/>
    <mergeCell ref="H1040:I1040"/>
    <mergeCell ref="J1040:K1040"/>
    <mergeCell ref="L1040:M1040"/>
    <mergeCell ref="N1040:O1040"/>
    <mergeCell ref="AD1041:AE1041"/>
    <mergeCell ref="AF1041:AG1041"/>
    <mergeCell ref="AH1041:AI1041"/>
    <mergeCell ref="AJ1041:AK1041"/>
    <mergeCell ref="AL1041:BB1041"/>
    <mergeCell ref="P1041:Q1041"/>
    <mergeCell ref="R1041:S1041"/>
    <mergeCell ref="T1041:U1041"/>
    <mergeCell ref="V1041:W1041"/>
    <mergeCell ref="X1041:Y1041"/>
    <mergeCell ref="Z1041:AA1041"/>
    <mergeCell ref="AB1041:AC1041"/>
    <mergeCell ref="B1041:C1041"/>
    <mergeCell ref="D1041:E1041"/>
    <mergeCell ref="F1041:G1041"/>
    <mergeCell ref="H1041:I1041"/>
    <mergeCell ref="J1041:K1041"/>
    <mergeCell ref="L1041:M1041"/>
    <mergeCell ref="N1041:O1041"/>
    <mergeCell ref="AH1036:AI1036"/>
    <mergeCell ref="AJ1036:AK1036"/>
    <mergeCell ref="AL1036:BB1036"/>
    <mergeCell ref="B1036:C1036"/>
    <mergeCell ref="D1036:E1036"/>
    <mergeCell ref="F1036:G1036"/>
    <mergeCell ref="H1036:I1036"/>
    <mergeCell ref="J1036:K1036"/>
    <mergeCell ref="L1036:M1036"/>
    <mergeCell ref="N1036:O1036"/>
    <mergeCell ref="P1038:Q1038"/>
    <mergeCell ref="R1038:S1038"/>
    <mergeCell ref="T1038:U1038"/>
    <mergeCell ref="V1038:W1038"/>
    <mergeCell ref="X1038:Y1038"/>
    <mergeCell ref="Z1038:AA1038"/>
    <mergeCell ref="AB1038:AC1038"/>
    <mergeCell ref="B1038:C1038"/>
    <mergeCell ref="D1038:E1038"/>
    <mergeCell ref="F1038:G1038"/>
    <mergeCell ref="H1038:I1038"/>
    <mergeCell ref="J1038:K1038"/>
    <mergeCell ref="L1038:M1038"/>
    <mergeCell ref="N1038:O1038"/>
    <mergeCell ref="AD1036:AE1036"/>
    <mergeCell ref="AF1036:AG1036"/>
    <mergeCell ref="P1036:Q1036"/>
    <mergeCell ref="R1036:S1036"/>
    <mergeCell ref="T1036:U1036"/>
    <mergeCell ref="V1036:W1036"/>
    <mergeCell ref="X1036:Y1036"/>
    <mergeCell ref="Z1036:AA1036"/>
    <mergeCell ref="AB1036:AC1036"/>
    <mergeCell ref="AD1037:AE1037"/>
    <mergeCell ref="AF1037:AG1037"/>
    <mergeCell ref="AH1037:AI1037"/>
    <mergeCell ref="AJ1037:AK1037"/>
    <mergeCell ref="AL1037:BB1037"/>
    <mergeCell ref="P1037:Q1037"/>
    <mergeCell ref="R1037:S1037"/>
    <mergeCell ref="T1037:U1037"/>
    <mergeCell ref="V1037:W1037"/>
    <mergeCell ref="X1037:Y1037"/>
    <mergeCell ref="Z1037:AA1037"/>
    <mergeCell ref="AB1037:AC1037"/>
    <mergeCell ref="B1037:C1037"/>
    <mergeCell ref="D1037:E1037"/>
    <mergeCell ref="F1037:G1037"/>
    <mergeCell ref="H1037:I1037"/>
    <mergeCell ref="J1037:K1037"/>
    <mergeCell ref="L1037:M1037"/>
    <mergeCell ref="N1037:O1037"/>
    <mergeCell ref="AD1038:AE1038"/>
    <mergeCell ref="AF1038:AG1038"/>
    <mergeCell ref="AH1038:AI1038"/>
    <mergeCell ref="AJ1038:AK1038"/>
    <mergeCell ref="AL1038:BB1038"/>
    <mergeCell ref="AH1033:AI1033"/>
    <mergeCell ref="AJ1033:AK1033"/>
    <mergeCell ref="AL1033:BB1033"/>
    <mergeCell ref="B1033:C1033"/>
    <mergeCell ref="D1033:E1033"/>
    <mergeCell ref="F1033:G1033"/>
    <mergeCell ref="H1033:I1033"/>
    <mergeCell ref="J1033:K1033"/>
    <mergeCell ref="L1033:M1033"/>
    <mergeCell ref="N1033:O1033"/>
    <mergeCell ref="P1035:Q1035"/>
    <mergeCell ref="R1035:S1035"/>
    <mergeCell ref="T1035:U1035"/>
    <mergeCell ref="V1035:W1035"/>
    <mergeCell ref="X1035:Y1035"/>
    <mergeCell ref="Z1035:AA1035"/>
    <mergeCell ref="AB1035:AC1035"/>
    <mergeCell ref="B1035:C1035"/>
    <mergeCell ref="D1035:E1035"/>
    <mergeCell ref="F1035:G1035"/>
    <mergeCell ref="H1035:I1035"/>
    <mergeCell ref="J1035:K1035"/>
    <mergeCell ref="L1035:M1035"/>
    <mergeCell ref="N1035:O1035"/>
    <mergeCell ref="AD1033:AE1033"/>
    <mergeCell ref="AF1033:AG1033"/>
    <mergeCell ref="P1033:Q1033"/>
    <mergeCell ref="R1033:S1033"/>
    <mergeCell ref="T1033:U1033"/>
    <mergeCell ref="V1033:W1033"/>
    <mergeCell ref="X1033:Y1033"/>
    <mergeCell ref="Z1033:AA1033"/>
    <mergeCell ref="AB1033:AC1033"/>
    <mergeCell ref="AD1034:AE1034"/>
    <mergeCell ref="AF1034:AG1034"/>
    <mergeCell ref="AH1034:AI1034"/>
    <mergeCell ref="AJ1034:AK1034"/>
    <mergeCell ref="AL1034:BB1034"/>
    <mergeCell ref="P1034:Q1034"/>
    <mergeCell ref="R1034:S1034"/>
    <mergeCell ref="T1034:U1034"/>
    <mergeCell ref="V1034:W1034"/>
    <mergeCell ref="X1034:Y1034"/>
    <mergeCell ref="Z1034:AA1034"/>
    <mergeCell ref="AB1034:AC1034"/>
    <mergeCell ref="B1034:C1034"/>
    <mergeCell ref="D1034:E1034"/>
    <mergeCell ref="F1034:G1034"/>
    <mergeCell ref="H1034:I1034"/>
    <mergeCell ref="J1034:K1034"/>
    <mergeCell ref="L1034:M1034"/>
    <mergeCell ref="N1034:O1034"/>
    <mergeCell ref="AD1035:AE1035"/>
    <mergeCell ref="AF1035:AG1035"/>
    <mergeCell ref="AH1035:AI1035"/>
    <mergeCell ref="AJ1035:AK1035"/>
    <mergeCell ref="AL1035:BB1035"/>
    <mergeCell ref="AH1030:AI1030"/>
    <mergeCell ref="AJ1030:AK1030"/>
    <mergeCell ref="AL1030:BB1030"/>
    <mergeCell ref="B1030:C1030"/>
    <mergeCell ref="D1030:E1030"/>
    <mergeCell ref="F1030:G1030"/>
    <mergeCell ref="H1030:I1030"/>
    <mergeCell ref="J1030:K1030"/>
    <mergeCell ref="L1030:M1030"/>
    <mergeCell ref="N1030:O1030"/>
    <mergeCell ref="P1032:Q1032"/>
    <mergeCell ref="R1032:S1032"/>
    <mergeCell ref="T1032:U1032"/>
    <mergeCell ref="V1032:W1032"/>
    <mergeCell ref="X1032:Y1032"/>
    <mergeCell ref="Z1032:AA1032"/>
    <mergeCell ref="AB1032:AC1032"/>
    <mergeCell ref="B1032:C1032"/>
    <mergeCell ref="D1032:E1032"/>
    <mergeCell ref="F1032:G1032"/>
    <mergeCell ref="H1032:I1032"/>
    <mergeCell ref="J1032:K1032"/>
    <mergeCell ref="L1032:M1032"/>
    <mergeCell ref="N1032:O1032"/>
    <mergeCell ref="AD1030:AE1030"/>
    <mergeCell ref="AF1030:AG1030"/>
    <mergeCell ref="P1030:Q1030"/>
    <mergeCell ref="R1030:S1030"/>
    <mergeCell ref="T1030:U1030"/>
    <mergeCell ref="V1030:W1030"/>
    <mergeCell ref="X1030:Y1030"/>
    <mergeCell ref="Z1030:AA1030"/>
    <mergeCell ref="AB1030:AC1030"/>
    <mergeCell ref="AD1031:AE1031"/>
    <mergeCell ref="AF1031:AG1031"/>
    <mergeCell ref="AH1031:AI1031"/>
    <mergeCell ref="AJ1031:AK1031"/>
    <mergeCell ref="AL1031:BB1031"/>
    <mergeCell ref="P1031:Q1031"/>
    <mergeCell ref="R1031:S1031"/>
    <mergeCell ref="T1031:U1031"/>
    <mergeCell ref="V1031:W1031"/>
    <mergeCell ref="X1031:Y1031"/>
    <mergeCell ref="Z1031:AA1031"/>
    <mergeCell ref="AB1031:AC1031"/>
    <mergeCell ref="B1031:C1031"/>
    <mergeCell ref="D1031:E1031"/>
    <mergeCell ref="F1031:G1031"/>
    <mergeCell ref="H1031:I1031"/>
    <mergeCell ref="J1031:K1031"/>
    <mergeCell ref="L1031:M1031"/>
    <mergeCell ref="N1031:O1031"/>
    <mergeCell ref="AD1032:AE1032"/>
    <mergeCell ref="AF1032:AG1032"/>
    <mergeCell ref="AH1032:AI1032"/>
    <mergeCell ref="AJ1032:AK1032"/>
    <mergeCell ref="AL1032:BB1032"/>
    <mergeCell ref="AH1027:AI1027"/>
    <mergeCell ref="AJ1027:AK1027"/>
    <mergeCell ref="AL1027:BB1027"/>
    <mergeCell ref="B1027:C1027"/>
    <mergeCell ref="D1027:E1027"/>
    <mergeCell ref="F1027:G1027"/>
    <mergeCell ref="H1027:I1027"/>
    <mergeCell ref="J1027:K1027"/>
    <mergeCell ref="L1027:M1027"/>
    <mergeCell ref="N1027:O1027"/>
    <mergeCell ref="P1029:Q1029"/>
    <mergeCell ref="R1029:S1029"/>
    <mergeCell ref="T1029:U1029"/>
    <mergeCell ref="V1029:W1029"/>
    <mergeCell ref="X1029:Y1029"/>
    <mergeCell ref="Z1029:AA1029"/>
    <mergeCell ref="AB1029:AC1029"/>
    <mergeCell ref="B1029:C1029"/>
    <mergeCell ref="D1029:E1029"/>
    <mergeCell ref="F1029:G1029"/>
    <mergeCell ref="H1029:I1029"/>
    <mergeCell ref="J1029:K1029"/>
    <mergeCell ref="L1029:M1029"/>
    <mergeCell ref="N1029:O1029"/>
    <mergeCell ref="AD1027:AE1027"/>
    <mergeCell ref="AF1027:AG1027"/>
    <mergeCell ref="P1027:Q1027"/>
    <mergeCell ref="R1027:S1027"/>
    <mergeCell ref="T1027:U1027"/>
    <mergeCell ref="V1027:W1027"/>
    <mergeCell ref="X1027:Y1027"/>
    <mergeCell ref="Z1027:AA1027"/>
    <mergeCell ref="AB1027:AC1027"/>
    <mergeCell ref="AD1028:AE1028"/>
    <mergeCell ref="AF1028:AG1028"/>
    <mergeCell ref="AH1028:AI1028"/>
    <mergeCell ref="AJ1028:AK1028"/>
    <mergeCell ref="AL1028:BB1028"/>
    <mergeCell ref="P1028:Q1028"/>
    <mergeCell ref="R1028:S1028"/>
    <mergeCell ref="T1028:U1028"/>
    <mergeCell ref="V1028:W1028"/>
    <mergeCell ref="X1028:Y1028"/>
    <mergeCell ref="Z1028:AA1028"/>
    <mergeCell ref="AB1028:AC1028"/>
    <mergeCell ref="B1028:C1028"/>
    <mergeCell ref="D1028:E1028"/>
    <mergeCell ref="F1028:G1028"/>
    <mergeCell ref="H1028:I1028"/>
    <mergeCell ref="J1028:K1028"/>
    <mergeCell ref="L1028:M1028"/>
    <mergeCell ref="N1028:O1028"/>
    <mergeCell ref="AD1029:AE1029"/>
    <mergeCell ref="AF1029:AG1029"/>
    <mergeCell ref="AH1029:AI1029"/>
    <mergeCell ref="AJ1029:AK1029"/>
    <mergeCell ref="AL1029:BB1029"/>
    <mergeCell ref="AJ1023:AK1023"/>
    <mergeCell ref="AL1023:BB1023"/>
    <mergeCell ref="AH1024:AI1024"/>
    <mergeCell ref="AJ1024:AK1024"/>
    <mergeCell ref="AL1024:BB1024"/>
    <mergeCell ref="B1024:C1024"/>
    <mergeCell ref="D1024:E1024"/>
    <mergeCell ref="F1024:G1024"/>
    <mergeCell ref="H1024:I1024"/>
    <mergeCell ref="J1024:K1024"/>
    <mergeCell ref="L1024:M1024"/>
    <mergeCell ref="N1024:O1024"/>
    <mergeCell ref="P1026:Q1026"/>
    <mergeCell ref="R1026:S1026"/>
    <mergeCell ref="T1026:U1026"/>
    <mergeCell ref="V1026:W1026"/>
    <mergeCell ref="X1026:Y1026"/>
    <mergeCell ref="Z1026:AA1026"/>
    <mergeCell ref="AB1026:AC1026"/>
    <mergeCell ref="B1026:C1026"/>
    <mergeCell ref="D1026:E1026"/>
    <mergeCell ref="F1026:G1026"/>
    <mergeCell ref="H1026:I1026"/>
    <mergeCell ref="J1026:K1026"/>
    <mergeCell ref="L1026:M1026"/>
    <mergeCell ref="N1026:O1026"/>
    <mergeCell ref="AD1024:AE1024"/>
    <mergeCell ref="AF1024:AG1024"/>
    <mergeCell ref="P1024:Q1024"/>
    <mergeCell ref="R1024:S1024"/>
    <mergeCell ref="T1024:U1024"/>
    <mergeCell ref="V1024:W1024"/>
    <mergeCell ref="X1024:Y1024"/>
    <mergeCell ref="Z1024:AA1024"/>
    <mergeCell ref="AB1024:AC1024"/>
    <mergeCell ref="AD1025:AE1025"/>
    <mergeCell ref="AF1025:AG1025"/>
    <mergeCell ref="AH1025:AI1025"/>
    <mergeCell ref="AJ1025:AK1025"/>
    <mergeCell ref="AL1025:BB1025"/>
    <mergeCell ref="P1025:Q1025"/>
    <mergeCell ref="R1025:S1025"/>
    <mergeCell ref="T1025:U1025"/>
    <mergeCell ref="V1025:W1025"/>
    <mergeCell ref="X1025:Y1025"/>
    <mergeCell ref="Z1025:AA1025"/>
    <mergeCell ref="AB1025:AC1025"/>
    <mergeCell ref="B1025:C1025"/>
    <mergeCell ref="D1025:E1025"/>
    <mergeCell ref="F1025:G1025"/>
    <mergeCell ref="H1025:I1025"/>
    <mergeCell ref="J1025:K1025"/>
    <mergeCell ref="L1025:M1025"/>
    <mergeCell ref="N1025:O1025"/>
    <mergeCell ref="AD1026:AE1026"/>
    <mergeCell ref="AF1026:AG1026"/>
    <mergeCell ref="AH1026:AI1026"/>
    <mergeCell ref="AJ1026:AK1026"/>
    <mergeCell ref="AL1026:BB1026"/>
    <mergeCell ref="H1019:I1019"/>
    <mergeCell ref="J1019:K1019"/>
    <mergeCell ref="L1019:M1019"/>
    <mergeCell ref="N1019:O1019"/>
    <mergeCell ref="AD1020:AE1020"/>
    <mergeCell ref="AF1020:AG1020"/>
    <mergeCell ref="AH1020:AI1020"/>
    <mergeCell ref="AJ1020:AK1020"/>
    <mergeCell ref="AL1020:BB1020"/>
    <mergeCell ref="AH1021:AI1021"/>
    <mergeCell ref="AJ1021:AK1021"/>
    <mergeCell ref="AL1021:BB1021"/>
    <mergeCell ref="B1021:C1021"/>
    <mergeCell ref="D1021:E1021"/>
    <mergeCell ref="F1021:G1021"/>
    <mergeCell ref="H1021:I1021"/>
    <mergeCell ref="J1021:K1021"/>
    <mergeCell ref="L1021:M1021"/>
    <mergeCell ref="N1021:O1021"/>
    <mergeCell ref="P1023:Q1023"/>
    <mergeCell ref="R1023:S1023"/>
    <mergeCell ref="T1023:U1023"/>
    <mergeCell ref="V1023:W1023"/>
    <mergeCell ref="X1023:Y1023"/>
    <mergeCell ref="Z1023:AA1023"/>
    <mergeCell ref="AB1023:AC1023"/>
    <mergeCell ref="B1023:C1023"/>
    <mergeCell ref="D1023:E1023"/>
    <mergeCell ref="F1023:G1023"/>
    <mergeCell ref="H1023:I1023"/>
    <mergeCell ref="J1023:K1023"/>
    <mergeCell ref="L1023:M1023"/>
    <mergeCell ref="N1023:O1023"/>
    <mergeCell ref="AD1021:AE1021"/>
    <mergeCell ref="AF1021:AG1021"/>
    <mergeCell ref="P1021:Q1021"/>
    <mergeCell ref="R1021:S1021"/>
    <mergeCell ref="T1021:U1021"/>
    <mergeCell ref="V1021:W1021"/>
    <mergeCell ref="X1021:Y1021"/>
    <mergeCell ref="Z1021:AA1021"/>
    <mergeCell ref="AB1021:AC1021"/>
    <mergeCell ref="AD1022:AE1022"/>
    <mergeCell ref="AF1022:AG1022"/>
    <mergeCell ref="AH1022:AI1022"/>
    <mergeCell ref="AJ1022:AK1022"/>
    <mergeCell ref="AL1022:BB1022"/>
    <mergeCell ref="P1022:Q1022"/>
    <mergeCell ref="R1022:S1022"/>
    <mergeCell ref="T1022:U1022"/>
    <mergeCell ref="V1022:W1022"/>
    <mergeCell ref="X1022:Y1022"/>
    <mergeCell ref="Z1022:AA1022"/>
    <mergeCell ref="AB1022:AC1022"/>
    <mergeCell ref="B1022:C1022"/>
    <mergeCell ref="D1022:E1022"/>
    <mergeCell ref="F1022:G1022"/>
    <mergeCell ref="H1022:I1022"/>
    <mergeCell ref="J1022:K1022"/>
    <mergeCell ref="L1022:M1022"/>
    <mergeCell ref="N1022:O1022"/>
    <mergeCell ref="AD1023:AE1023"/>
    <mergeCell ref="AF1023:AG1023"/>
    <mergeCell ref="AH1023:AI1023"/>
    <mergeCell ref="P1017:Q1017"/>
    <mergeCell ref="R1017:S1017"/>
    <mergeCell ref="T1017:U1017"/>
    <mergeCell ref="V1017:W1017"/>
    <mergeCell ref="X1017:Y1017"/>
    <mergeCell ref="Z1017:AA1017"/>
    <mergeCell ref="AB1017:AC1017"/>
    <mergeCell ref="B1017:C1017"/>
    <mergeCell ref="D1017:E1017"/>
    <mergeCell ref="F1017:G1017"/>
    <mergeCell ref="H1017:I1017"/>
    <mergeCell ref="J1017:K1017"/>
    <mergeCell ref="L1017:M1017"/>
    <mergeCell ref="N1017:O1017"/>
    <mergeCell ref="AD1039:AE1039"/>
    <mergeCell ref="AF1039:AG1039"/>
    <mergeCell ref="AH1039:AI1039"/>
    <mergeCell ref="AJ1039:AK1039"/>
    <mergeCell ref="AL1039:BB1039"/>
    <mergeCell ref="P1039:Q1039"/>
    <mergeCell ref="R1039:S1039"/>
    <mergeCell ref="T1039:U1039"/>
    <mergeCell ref="V1039:W1039"/>
    <mergeCell ref="X1039:Y1039"/>
    <mergeCell ref="Z1039:AA1039"/>
    <mergeCell ref="AB1039:AC1039"/>
    <mergeCell ref="P1020:Q1020"/>
    <mergeCell ref="R1020:S1020"/>
    <mergeCell ref="T1020:U1020"/>
    <mergeCell ref="V1020:W1020"/>
    <mergeCell ref="X1020:Y1020"/>
    <mergeCell ref="Z1020:AA1020"/>
    <mergeCell ref="AB1020:AC1020"/>
    <mergeCell ref="B1020:C1020"/>
    <mergeCell ref="D1020:E1020"/>
    <mergeCell ref="F1020:G1020"/>
    <mergeCell ref="H1020:I1020"/>
    <mergeCell ref="J1020:K1020"/>
    <mergeCell ref="L1020:M1020"/>
    <mergeCell ref="N1020:O1020"/>
    <mergeCell ref="AD1018:AE1018"/>
    <mergeCell ref="AF1018:AG1018"/>
    <mergeCell ref="P1018:Q1018"/>
    <mergeCell ref="R1018:S1018"/>
    <mergeCell ref="T1018:U1018"/>
    <mergeCell ref="V1018:W1018"/>
    <mergeCell ref="X1018:Y1018"/>
    <mergeCell ref="Z1018:AA1018"/>
    <mergeCell ref="AB1018:AC1018"/>
    <mergeCell ref="AD1019:AE1019"/>
    <mergeCell ref="AF1019:AG1019"/>
    <mergeCell ref="AH1019:AI1019"/>
    <mergeCell ref="AJ1019:AK1019"/>
    <mergeCell ref="AL1019:BB1019"/>
    <mergeCell ref="P1019:Q1019"/>
    <mergeCell ref="R1019:S1019"/>
    <mergeCell ref="T1019:U1019"/>
    <mergeCell ref="V1019:W1019"/>
    <mergeCell ref="X1019:Y1019"/>
    <mergeCell ref="Z1019:AA1019"/>
    <mergeCell ref="AB1019:AC1019"/>
    <mergeCell ref="B1019:C1019"/>
    <mergeCell ref="D1019:E1019"/>
    <mergeCell ref="F1019:G1019"/>
    <mergeCell ref="AL1008:BB1008"/>
    <mergeCell ref="AH1009:AI1009"/>
    <mergeCell ref="AJ1009:AK1009"/>
    <mergeCell ref="AL1009:BB1009"/>
    <mergeCell ref="B1009:C1009"/>
    <mergeCell ref="D1009:E1009"/>
    <mergeCell ref="F1009:G1009"/>
    <mergeCell ref="H1009:I1009"/>
    <mergeCell ref="J1009:K1009"/>
    <mergeCell ref="L1009:M1009"/>
    <mergeCell ref="N1009:O1009"/>
    <mergeCell ref="P1011:Q1011"/>
    <mergeCell ref="R1011:S1011"/>
    <mergeCell ref="T1011:U1011"/>
    <mergeCell ref="V1011:W1011"/>
    <mergeCell ref="X1011:Y1011"/>
    <mergeCell ref="Z1011:AA1011"/>
    <mergeCell ref="AB1011:AC1011"/>
    <mergeCell ref="B1011:C1011"/>
    <mergeCell ref="D1011:E1011"/>
    <mergeCell ref="F1011:G1011"/>
    <mergeCell ref="H1011:I1011"/>
    <mergeCell ref="J1011:K1011"/>
    <mergeCell ref="L1011:M1011"/>
    <mergeCell ref="N1011:O1011"/>
    <mergeCell ref="AD1009:AE1009"/>
    <mergeCell ref="AF1009:AG1009"/>
    <mergeCell ref="P1009:Q1009"/>
    <mergeCell ref="R1009:S1009"/>
    <mergeCell ref="T1009:U1009"/>
    <mergeCell ref="V1009:W1009"/>
    <mergeCell ref="X1009:Y1009"/>
    <mergeCell ref="Z1009:AA1009"/>
    <mergeCell ref="AB1009:AC1009"/>
    <mergeCell ref="AD1010:AE1010"/>
    <mergeCell ref="AF1010:AG1010"/>
    <mergeCell ref="AH1010:AI1010"/>
    <mergeCell ref="AJ1010:AK1010"/>
    <mergeCell ref="AL1010:BB1010"/>
    <mergeCell ref="P1010:Q1010"/>
    <mergeCell ref="R1010:S1010"/>
    <mergeCell ref="T1010:U1010"/>
    <mergeCell ref="V1010:W1010"/>
    <mergeCell ref="X1010:Y1010"/>
    <mergeCell ref="Z1010:AA1010"/>
    <mergeCell ref="AB1010:AC1010"/>
    <mergeCell ref="B1010:C1010"/>
    <mergeCell ref="D1010:E1010"/>
    <mergeCell ref="F1010:G1010"/>
    <mergeCell ref="H1010:I1010"/>
    <mergeCell ref="J1010:K1010"/>
    <mergeCell ref="L1010:M1010"/>
    <mergeCell ref="N1010:O1010"/>
    <mergeCell ref="AD1011:AE1011"/>
    <mergeCell ref="AF1011:AG1011"/>
    <mergeCell ref="AH1011:AI1011"/>
    <mergeCell ref="AJ1011:AK1011"/>
    <mergeCell ref="AL1011:BB1011"/>
    <mergeCell ref="AD1017:AE1017"/>
    <mergeCell ref="AF1017:AG1017"/>
    <mergeCell ref="AH1017:AI1017"/>
    <mergeCell ref="AJ1017:AK1017"/>
    <mergeCell ref="AL1017:BB1017"/>
    <mergeCell ref="AH1018:AI1018"/>
    <mergeCell ref="AJ1018:AK1018"/>
    <mergeCell ref="AL1018:BB1018"/>
    <mergeCell ref="B1018:C1018"/>
    <mergeCell ref="D1018:E1018"/>
    <mergeCell ref="F1018:G1018"/>
    <mergeCell ref="H1018:I1018"/>
    <mergeCell ref="J1018:K1018"/>
    <mergeCell ref="L1018:M1018"/>
    <mergeCell ref="N1018:O1018"/>
    <mergeCell ref="AD1003:AE1003"/>
    <mergeCell ref="AF1003:AG1003"/>
    <mergeCell ref="P1003:Q1003"/>
    <mergeCell ref="R1003:S1003"/>
    <mergeCell ref="T1003:U1003"/>
    <mergeCell ref="V1003:W1003"/>
    <mergeCell ref="X1003:Y1003"/>
    <mergeCell ref="Z1003:AA1003"/>
    <mergeCell ref="AB1003:AC1003"/>
    <mergeCell ref="AD1004:AE1004"/>
    <mergeCell ref="AF1004:AG1004"/>
    <mergeCell ref="AH1004:AI1004"/>
    <mergeCell ref="AJ1004:AK1004"/>
    <mergeCell ref="AL1004:BB1004"/>
    <mergeCell ref="P1004:Q1004"/>
    <mergeCell ref="R1004:S1004"/>
    <mergeCell ref="T1004:U1004"/>
    <mergeCell ref="V1004:W1004"/>
    <mergeCell ref="X1004:Y1004"/>
    <mergeCell ref="Z1004:AA1004"/>
    <mergeCell ref="AB1004:AC1004"/>
    <mergeCell ref="B1004:C1004"/>
    <mergeCell ref="D1004:E1004"/>
    <mergeCell ref="F1004:G1004"/>
    <mergeCell ref="H1004:I1004"/>
    <mergeCell ref="J1004:K1004"/>
    <mergeCell ref="L1004:M1004"/>
    <mergeCell ref="N1004:O1004"/>
    <mergeCell ref="AD1005:AE1005"/>
    <mergeCell ref="AF1005:AG1005"/>
    <mergeCell ref="AH1005:AI1005"/>
    <mergeCell ref="AJ1005:AK1005"/>
    <mergeCell ref="AL1005:BB1005"/>
    <mergeCell ref="AH1006:AI1006"/>
    <mergeCell ref="AJ1006:AK1006"/>
    <mergeCell ref="AL1006:BB1006"/>
    <mergeCell ref="B1006:C1006"/>
    <mergeCell ref="D1006:E1006"/>
    <mergeCell ref="F1006:G1006"/>
    <mergeCell ref="H1006:I1006"/>
    <mergeCell ref="J1006:K1006"/>
    <mergeCell ref="L1006:M1006"/>
    <mergeCell ref="N1006:O1006"/>
    <mergeCell ref="AD1006:AE1006"/>
    <mergeCell ref="AF1006:AG1006"/>
    <mergeCell ref="P1006:Q1006"/>
    <mergeCell ref="R1006:S1006"/>
    <mergeCell ref="T1006:U1006"/>
    <mergeCell ref="V1006:W1006"/>
    <mergeCell ref="AH1015:AI1015"/>
    <mergeCell ref="AJ1015:AK1015"/>
    <mergeCell ref="AL1015:BB1015"/>
    <mergeCell ref="B1015:C1015"/>
    <mergeCell ref="D1015:E1015"/>
    <mergeCell ref="F1015:G1015"/>
    <mergeCell ref="H1015:I1015"/>
    <mergeCell ref="J1015:K1015"/>
    <mergeCell ref="L1015:M1015"/>
    <mergeCell ref="N1015:O1015"/>
    <mergeCell ref="AD1015:AE1015"/>
    <mergeCell ref="AF1015:AG1015"/>
    <mergeCell ref="P1015:Q1015"/>
    <mergeCell ref="R1015:S1015"/>
    <mergeCell ref="T1015:U1015"/>
    <mergeCell ref="V1015:W1015"/>
    <mergeCell ref="X1015:Y1015"/>
    <mergeCell ref="Z1015:AA1015"/>
    <mergeCell ref="AB1015:AC1015"/>
    <mergeCell ref="AD1016:AE1016"/>
    <mergeCell ref="AF1016:AG1016"/>
    <mergeCell ref="AH1016:AI1016"/>
    <mergeCell ref="AJ1016:AK1016"/>
    <mergeCell ref="AL1016:BB1016"/>
    <mergeCell ref="P1016:Q1016"/>
    <mergeCell ref="R1016:S1016"/>
    <mergeCell ref="T1016:U1016"/>
    <mergeCell ref="V1016:W1016"/>
    <mergeCell ref="X1016:Y1016"/>
    <mergeCell ref="Z1016:AA1016"/>
    <mergeCell ref="AB1016:AC1016"/>
    <mergeCell ref="B1016:C1016"/>
    <mergeCell ref="D1016:E1016"/>
    <mergeCell ref="F1016:G1016"/>
    <mergeCell ref="H1016:I1016"/>
    <mergeCell ref="J1016:K1016"/>
    <mergeCell ref="L1016:M1016"/>
    <mergeCell ref="N1016:O1016"/>
    <mergeCell ref="AD1012:AE1012"/>
    <mergeCell ref="AF1012:AG1012"/>
    <mergeCell ref="P1012:Q1012"/>
    <mergeCell ref="R1012:S1012"/>
    <mergeCell ref="T1012:U1012"/>
    <mergeCell ref="V1012:W1012"/>
    <mergeCell ref="X1012:Y1012"/>
    <mergeCell ref="Z1012:AA1012"/>
    <mergeCell ref="AB1012:AC1012"/>
    <mergeCell ref="AD1013:AE1013"/>
    <mergeCell ref="AF1013:AG1013"/>
    <mergeCell ref="AH1013:AI1013"/>
    <mergeCell ref="AJ1013:AK1013"/>
    <mergeCell ref="AL1013:BB1013"/>
    <mergeCell ref="P1013:Q1013"/>
    <mergeCell ref="R1013:S1013"/>
    <mergeCell ref="T1013:U1013"/>
    <mergeCell ref="V1013:W1013"/>
    <mergeCell ref="X1013:Y1013"/>
    <mergeCell ref="Z1013:AA1013"/>
    <mergeCell ref="AB1013:AC1013"/>
    <mergeCell ref="B1013:C1013"/>
    <mergeCell ref="D1013:E1013"/>
    <mergeCell ref="F1013:G1013"/>
    <mergeCell ref="H1013:I1013"/>
    <mergeCell ref="J1013:K1013"/>
    <mergeCell ref="L1013:M1013"/>
    <mergeCell ref="N1013:O1013"/>
    <mergeCell ref="AD1014:AE1014"/>
    <mergeCell ref="AF1014:AG1014"/>
    <mergeCell ref="AH1014:AI1014"/>
    <mergeCell ref="AJ1014:AK1014"/>
    <mergeCell ref="AL1014:BB1014"/>
    <mergeCell ref="AH1012:AI1012"/>
    <mergeCell ref="AJ1012:AK1012"/>
    <mergeCell ref="AL1012:BB1012"/>
    <mergeCell ref="B1012:C1012"/>
    <mergeCell ref="D1012:E1012"/>
    <mergeCell ref="F1012:G1012"/>
    <mergeCell ref="H1012:I1012"/>
    <mergeCell ref="J1012:K1012"/>
    <mergeCell ref="L1012:M1012"/>
    <mergeCell ref="N1012:O1012"/>
    <mergeCell ref="P1014:Q1014"/>
    <mergeCell ref="R1014:S1014"/>
    <mergeCell ref="T1014:U1014"/>
    <mergeCell ref="V1014:W1014"/>
    <mergeCell ref="X1014:Y1014"/>
    <mergeCell ref="Z1014:AA1014"/>
    <mergeCell ref="AB1014:AC1014"/>
    <mergeCell ref="B1014:C1014"/>
    <mergeCell ref="D1014:E1014"/>
    <mergeCell ref="F1014:G1014"/>
    <mergeCell ref="H1014:I1014"/>
    <mergeCell ref="J1014:K1014"/>
    <mergeCell ref="L1014:M1014"/>
    <mergeCell ref="N1014:O1014"/>
    <mergeCell ref="AH1003:AI1003"/>
    <mergeCell ref="AJ1003:AK1003"/>
    <mergeCell ref="AL1003:BB1003"/>
    <mergeCell ref="B1003:C1003"/>
    <mergeCell ref="D1003:E1003"/>
    <mergeCell ref="F1003:G1003"/>
    <mergeCell ref="H1003:I1003"/>
    <mergeCell ref="J1003:K1003"/>
    <mergeCell ref="L1003:M1003"/>
    <mergeCell ref="N1003:O1003"/>
    <mergeCell ref="P1005:Q1005"/>
    <mergeCell ref="R1005:S1005"/>
    <mergeCell ref="T1005:U1005"/>
    <mergeCell ref="V1005:W1005"/>
    <mergeCell ref="X1005:Y1005"/>
    <mergeCell ref="Z1005:AA1005"/>
    <mergeCell ref="AB1005:AC1005"/>
    <mergeCell ref="B1005:C1005"/>
    <mergeCell ref="D1005:E1005"/>
    <mergeCell ref="F1005:G1005"/>
    <mergeCell ref="H1005:I1005"/>
    <mergeCell ref="J1005:K1005"/>
    <mergeCell ref="L1005:M1005"/>
    <mergeCell ref="N1005:O1005"/>
    <mergeCell ref="P1008:Q1008"/>
    <mergeCell ref="R1008:S1008"/>
    <mergeCell ref="T1008:U1008"/>
    <mergeCell ref="V1008:W1008"/>
    <mergeCell ref="X1008:Y1008"/>
    <mergeCell ref="Z1008:AA1008"/>
    <mergeCell ref="AB1008:AC1008"/>
    <mergeCell ref="B1008:C1008"/>
    <mergeCell ref="D1008:E1008"/>
    <mergeCell ref="F1008:G1008"/>
    <mergeCell ref="H1008:I1008"/>
    <mergeCell ref="J1008:K1008"/>
    <mergeCell ref="L1008:M1008"/>
    <mergeCell ref="N1008:O1008"/>
    <mergeCell ref="X1006:Y1006"/>
    <mergeCell ref="Z1006:AA1006"/>
    <mergeCell ref="AB1006:AC1006"/>
    <mergeCell ref="AD1007:AE1007"/>
    <mergeCell ref="AF1007:AG1007"/>
    <mergeCell ref="AH1007:AI1007"/>
    <mergeCell ref="AJ1007:AK1007"/>
    <mergeCell ref="AL1007:BB1007"/>
    <mergeCell ref="P1007:Q1007"/>
    <mergeCell ref="R1007:S1007"/>
    <mergeCell ref="T1007:U1007"/>
    <mergeCell ref="V1007:W1007"/>
    <mergeCell ref="X1007:Y1007"/>
    <mergeCell ref="Z1007:AA1007"/>
    <mergeCell ref="AB1007:AC1007"/>
    <mergeCell ref="B1007:C1007"/>
    <mergeCell ref="D1007:E1007"/>
    <mergeCell ref="F1007:G1007"/>
    <mergeCell ref="H1007:I1007"/>
    <mergeCell ref="J1007:K1007"/>
    <mergeCell ref="L1007:M1007"/>
    <mergeCell ref="N1007:O1007"/>
    <mergeCell ref="AD1008:AE1008"/>
    <mergeCell ref="AF1008:AG1008"/>
    <mergeCell ref="AH1008:AI1008"/>
    <mergeCell ref="AJ1008:AK1008"/>
    <mergeCell ref="AH1000:AI1000"/>
    <mergeCell ref="AJ1000:AK1000"/>
    <mergeCell ref="AL1000:BB1000"/>
    <mergeCell ref="B1000:C1000"/>
    <mergeCell ref="D1000:E1000"/>
    <mergeCell ref="F1000:G1000"/>
    <mergeCell ref="H1000:I1000"/>
    <mergeCell ref="J1000:K1000"/>
    <mergeCell ref="L1000:M1000"/>
    <mergeCell ref="N1000:O1000"/>
    <mergeCell ref="P1002:Q1002"/>
    <mergeCell ref="R1002:S1002"/>
    <mergeCell ref="T1002:U1002"/>
    <mergeCell ref="V1002:W1002"/>
    <mergeCell ref="X1002:Y1002"/>
    <mergeCell ref="Z1002:AA1002"/>
    <mergeCell ref="AB1002:AC1002"/>
    <mergeCell ref="B1002:C1002"/>
    <mergeCell ref="D1002:E1002"/>
    <mergeCell ref="F1002:G1002"/>
    <mergeCell ref="H1002:I1002"/>
    <mergeCell ref="J1002:K1002"/>
    <mergeCell ref="L1002:M1002"/>
    <mergeCell ref="N1002:O1002"/>
    <mergeCell ref="AD1000:AE1000"/>
    <mergeCell ref="AF1000:AG1000"/>
    <mergeCell ref="P1000:Q1000"/>
    <mergeCell ref="R1000:S1000"/>
    <mergeCell ref="T1000:U1000"/>
    <mergeCell ref="V1000:W1000"/>
    <mergeCell ref="X1000:Y1000"/>
    <mergeCell ref="Z1000:AA1000"/>
    <mergeCell ref="AB1000:AC1000"/>
    <mergeCell ref="AD1001:AE1001"/>
    <mergeCell ref="AF1001:AG1001"/>
    <mergeCell ref="AH1001:AI1001"/>
    <mergeCell ref="AJ1001:AK1001"/>
    <mergeCell ref="AL1001:BB1001"/>
    <mergeCell ref="P1001:Q1001"/>
    <mergeCell ref="R1001:S1001"/>
    <mergeCell ref="T1001:U1001"/>
    <mergeCell ref="V1001:W1001"/>
    <mergeCell ref="X1001:Y1001"/>
    <mergeCell ref="Z1001:AA1001"/>
    <mergeCell ref="AB1001:AC1001"/>
    <mergeCell ref="B1001:C1001"/>
    <mergeCell ref="D1001:E1001"/>
    <mergeCell ref="F1001:G1001"/>
    <mergeCell ref="H1001:I1001"/>
    <mergeCell ref="J1001:K1001"/>
    <mergeCell ref="L1001:M1001"/>
    <mergeCell ref="N1001:O1001"/>
    <mergeCell ref="AD1002:AE1002"/>
    <mergeCell ref="AF1002:AG1002"/>
    <mergeCell ref="AH1002:AI1002"/>
    <mergeCell ref="AJ1002:AK1002"/>
    <mergeCell ref="AL1002:BB1002"/>
    <mergeCell ref="B997:C997"/>
    <mergeCell ref="D997:E997"/>
    <mergeCell ref="F997:G997"/>
    <mergeCell ref="H997:I997"/>
    <mergeCell ref="J997:K997"/>
    <mergeCell ref="L997:M997"/>
    <mergeCell ref="N997:O997"/>
    <mergeCell ref="AD998:AE998"/>
    <mergeCell ref="AF998:AG998"/>
    <mergeCell ref="AH998:AI998"/>
    <mergeCell ref="AJ998:AK998"/>
    <mergeCell ref="AL998:BB998"/>
    <mergeCell ref="P998:Q998"/>
    <mergeCell ref="R998:S998"/>
    <mergeCell ref="T998:U998"/>
    <mergeCell ref="V998:W998"/>
    <mergeCell ref="X998:Y998"/>
    <mergeCell ref="Z998:AA998"/>
    <mergeCell ref="AB998:AC998"/>
    <mergeCell ref="B998:C998"/>
    <mergeCell ref="D998:E998"/>
    <mergeCell ref="F998:G998"/>
    <mergeCell ref="H998:I998"/>
    <mergeCell ref="J998:K998"/>
    <mergeCell ref="L998:M998"/>
    <mergeCell ref="N998:O998"/>
    <mergeCell ref="AD999:AE999"/>
    <mergeCell ref="AF999:AG999"/>
    <mergeCell ref="AH999:AI999"/>
    <mergeCell ref="AJ999:AK999"/>
    <mergeCell ref="AL999:BB999"/>
    <mergeCell ref="P999:Q999"/>
    <mergeCell ref="R999:S999"/>
    <mergeCell ref="T999:U999"/>
    <mergeCell ref="V999:W999"/>
    <mergeCell ref="X999:Y999"/>
    <mergeCell ref="Z999:AA999"/>
    <mergeCell ref="AB999:AC999"/>
    <mergeCell ref="B999:C999"/>
    <mergeCell ref="D999:E999"/>
    <mergeCell ref="F999:G999"/>
    <mergeCell ref="H999:I999"/>
    <mergeCell ref="J999:K999"/>
    <mergeCell ref="L999:M999"/>
    <mergeCell ref="N999:O999"/>
    <mergeCell ref="AH994:AI994"/>
    <mergeCell ref="AJ994:AK994"/>
    <mergeCell ref="AL994:BB994"/>
    <mergeCell ref="B994:C994"/>
    <mergeCell ref="D994:E994"/>
    <mergeCell ref="F994:G994"/>
    <mergeCell ref="H994:I994"/>
    <mergeCell ref="J994:K994"/>
    <mergeCell ref="L994:M994"/>
    <mergeCell ref="N994:O994"/>
    <mergeCell ref="P996:Q996"/>
    <mergeCell ref="R996:S996"/>
    <mergeCell ref="T996:U996"/>
    <mergeCell ref="V996:W996"/>
    <mergeCell ref="X996:Y996"/>
    <mergeCell ref="Z996:AA996"/>
    <mergeCell ref="AB996:AC996"/>
    <mergeCell ref="B996:C996"/>
    <mergeCell ref="D996:E996"/>
    <mergeCell ref="F996:G996"/>
    <mergeCell ref="H996:I996"/>
    <mergeCell ref="J996:K996"/>
    <mergeCell ref="L996:M996"/>
    <mergeCell ref="N996:O996"/>
    <mergeCell ref="AD994:AE994"/>
    <mergeCell ref="AF994:AG994"/>
    <mergeCell ref="P994:Q994"/>
    <mergeCell ref="R994:S994"/>
    <mergeCell ref="T994:U994"/>
    <mergeCell ref="V994:W994"/>
    <mergeCell ref="X994:Y994"/>
    <mergeCell ref="Z994:AA994"/>
    <mergeCell ref="AB994:AC994"/>
    <mergeCell ref="AD995:AE995"/>
    <mergeCell ref="AF995:AG995"/>
    <mergeCell ref="AH995:AI995"/>
    <mergeCell ref="AJ995:AK995"/>
    <mergeCell ref="AL995:BB995"/>
    <mergeCell ref="P995:Q995"/>
    <mergeCell ref="R995:S995"/>
    <mergeCell ref="T995:U995"/>
    <mergeCell ref="V995:W995"/>
    <mergeCell ref="X995:Y995"/>
    <mergeCell ref="Z995:AA995"/>
    <mergeCell ref="AB995:AC995"/>
    <mergeCell ref="B995:C995"/>
    <mergeCell ref="D995:E995"/>
    <mergeCell ref="F995:G995"/>
    <mergeCell ref="H995:I995"/>
    <mergeCell ref="J995:K995"/>
    <mergeCell ref="L995:M995"/>
    <mergeCell ref="N995:O995"/>
    <mergeCell ref="AD996:AE996"/>
    <mergeCell ref="AF996:AG996"/>
    <mergeCell ref="AH996:AI996"/>
    <mergeCell ref="AJ996:AK996"/>
    <mergeCell ref="AL996:BB996"/>
    <mergeCell ref="AH991:AI991"/>
    <mergeCell ref="AJ991:AK991"/>
    <mergeCell ref="AL991:BB991"/>
    <mergeCell ref="B991:C991"/>
    <mergeCell ref="D991:E991"/>
    <mergeCell ref="F991:G991"/>
    <mergeCell ref="H991:I991"/>
    <mergeCell ref="J991:K991"/>
    <mergeCell ref="L991:M991"/>
    <mergeCell ref="N991:O991"/>
    <mergeCell ref="P993:Q993"/>
    <mergeCell ref="R993:S993"/>
    <mergeCell ref="T993:U993"/>
    <mergeCell ref="V993:W993"/>
    <mergeCell ref="X993:Y993"/>
    <mergeCell ref="Z993:AA993"/>
    <mergeCell ref="AB993:AC993"/>
    <mergeCell ref="B993:C993"/>
    <mergeCell ref="D993:E993"/>
    <mergeCell ref="F993:G993"/>
    <mergeCell ref="H993:I993"/>
    <mergeCell ref="J993:K993"/>
    <mergeCell ref="L993:M993"/>
    <mergeCell ref="N993:O993"/>
    <mergeCell ref="AD991:AE991"/>
    <mergeCell ref="AF991:AG991"/>
    <mergeCell ref="P991:Q991"/>
    <mergeCell ref="R991:S991"/>
    <mergeCell ref="T991:U991"/>
    <mergeCell ref="V991:W991"/>
    <mergeCell ref="X991:Y991"/>
    <mergeCell ref="Z991:AA991"/>
    <mergeCell ref="AB991:AC991"/>
    <mergeCell ref="AD992:AE992"/>
    <mergeCell ref="AF992:AG992"/>
    <mergeCell ref="AH992:AI992"/>
    <mergeCell ref="AJ992:AK992"/>
    <mergeCell ref="AL992:BB992"/>
    <mergeCell ref="P992:Q992"/>
    <mergeCell ref="R992:S992"/>
    <mergeCell ref="T992:U992"/>
    <mergeCell ref="V992:W992"/>
    <mergeCell ref="X992:Y992"/>
    <mergeCell ref="Z992:AA992"/>
    <mergeCell ref="AB992:AC992"/>
    <mergeCell ref="B992:C992"/>
    <mergeCell ref="D992:E992"/>
    <mergeCell ref="F992:G992"/>
    <mergeCell ref="H992:I992"/>
    <mergeCell ref="J992:K992"/>
    <mergeCell ref="L992:M992"/>
    <mergeCell ref="N992:O992"/>
    <mergeCell ref="AD993:AE993"/>
    <mergeCell ref="AF993:AG993"/>
    <mergeCell ref="AH993:AI993"/>
    <mergeCell ref="AJ993:AK993"/>
    <mergeCell ref="AL993:BB993"/>
    <mergeCell ref="AH988:AI988"/>
    <mergeCell ref="AJ988:AK988"/>
    <mergeCell ref="AL988:BB988"/>
    <mergeCell ref="B988:C988"/>
    <mergeCell ref="D988:E988"/>
    <mergeCell ref="F988:G988"/>
    <mergeCell ref="H988:I988"/>
    <mergeCell ref="J988:K988"/>
    <mergeCell ref="L988:M988"/>
    <mergeCell ref="N988:O988"/>
    <mergeCell ref="P990:Q990"/>
    <mergeCell ref="R990:S990"/>
    <mergeCell ref="T990:U990"/>
    <mergeCell ref="V990:W990"/>
    <mergeCell ref="X990:Y990"/>
    <mergeCell ref="Z990:AA990"/>
    <mergeCell ref="AB990:AC990"/>
    <mergeCell ref="B990:C990"/>
    <mergeCell ref="D990:E990"/>
    <mergeCell ref="F990:G990"/>
    <mergeCell ref="H990:I990"/>
    <mergeCell ref="J990:K990"/>
    <mergeCell ref="L990:M990"/>
    <mergeCell ref="N990:O990"/>
    <mergeCell ref="AD988:AE988"/>
    <mergeCell ref="AF988:AG988"/>
    <mergeCell ref="P988:Q988"/>
    <mergeCell ref="R988:S988"/>
    <mergeCell ref="T988:U988"/>
    <mergeCell ref="V988:W988"/>
    <mergeCell ref="X988:Y988"/>
    <mergeCell ref="Z988:AA988"/>
    <mergeCell ref="AB988:AC988"/>
    <mergeCell ref="AD989:AE989"/>
    <mergeCell ref="AF989:AG989"/>
    <mergeCell ref="AH989:AI989"/>
    <mergeCell ref="AJ989:AK989"/>
    <mergeCell ref="AL989:BB989"/>
    <mergeCell ref="P989:Q989"/>
    <mergeCell ref="R989:S989"/>
    <mergeCell ref="T989:U989"/>
    <mergeCell ref="V989:W989"/>
    <mergeCell ref="X989:Y989"/>
    <mergeCell ref="Z989:AA989"/>
    <mergeCell ref="AB989:AC989"/>
    <mergeCell ref="B989:C989"/>
    <mergeCell ref="D989:E989"/>
    <mergeCell ref="F989:G989"/>
    <mergeCell ref="H989:I989"/>
    <mergeCell ref="J989:K989"/>
    <mergeCell ref="L989:M989"/>
    <mergeCell ref="N989:O989"/>
    <mergeCell ref="AD990:AE990"/>
    <mergeCell ref="AF990:AG990"/>
    <mergeCell ref="AH990:AI990"/>
    <mergeCell ref="AJ990:AK990"/>
    <mergeCell ref="AL990:BB990"/>
    <mergeCell ref="AH985:AI985"/>
    <mergeCell ref="AJ985:AK985"/>
    <mergeCell ref="AL985:BB985"/>
    <mergeCell ref="B985:C985"/>
    <mergeCell ref="D985:E985"/>
    <mergeCell ref="F985:G985"/>
    <mergeCell ref="H985:I985"/>
    <mergeCell ref="J985:K985"/>
    <mergeCell ref="L985:M985"/>
    <mergeCell ref="N985:O985"/>
    <mergeCell ref="P987:Q987"/>
    <mergeCell ref="R987:S987"/>
    <mergeCell ref="T987:U987"/>
    <mergeCell ref="V987:W987"/>
    <mergeCell ref="X987:Y987"/>
    <mergeCell ref="Z987:AA987"/>
    <mergeCell ref="AB987:AC987"/>
    <mergeCell ref="B987:C987"/>
    <mergeCell ref="D987:E987"/>
    <mergeCell ref="F987:G987"/>
    <mergeCell ref="H987:I987"/>
    <mergeCell ref="J987:K987"/>
    <mergeCell ref="L987:M987"/>
    <mergeCell ref="N987:O987"/>
    <mergeCell ref="AD985:AE985"/>
    <mergeCell ref="AF985:AG985"/>
    <mergeCell ref="P985:Q985"/>
    <mergeCell ref="R985:S985"/>
    <mergeCell ref="T985:U985"/>
    <mergeCell ref="V985:W985"/>
    <mergeCell ref="X985:Y985"/>
    <mergeCell ref="Z985:AA985"/>
    <mergeCell ref="AB985:AC985"/>
    <mergeCell ref="AD986:AE986"/>
    <mergeCell ref="AF986:AG986"/>
    <mergeCell ref="AH986:AI986"/>
    <mergeCell ref="AJ986:AK986"/>
    <mergeCell ref="AL986:BB986"/>
    <mergeCell ref="P986:Q986"/>
    <mergeCell ref="R986:S986"/>
    <mergeCell ref="T986:U986"/>
    <mergeCell ref="V986:W986"/>
    <mergeCell ref="X986:Y986"/>
    <mergeCell ref="Z986:AA986"/>
    <mergeCell ref="AB986:AC986"/>
    <mergeCell ref="B986:C986"/>
    <mergeCell ref="D986:E986"/>
    <mergeCell ref="F986:G986"/>
    <mergeCell ref="H986:I986"/>
    <mergeCell ref="J986:K986"/>
    <mergeCell ref="L986:M986"/>
    <mergeCell ref="N986:O986"/>
    <mergeCell ref="AD987:AE987"/>
    <mergeCell ref="AF987:AG987"/>
    <mergeCell ref="AH987:AI987"/>
    <mergeCell ref="AJ987:AK987"/>
    <mergeCell ref="AL987:BB987"/>
    <mergeCell ref="AJ981:AK981"/>
    <mergeCell ref="AL981:BB981"/>
    <mergeCell ref="AH982:AI982"/>
    <mergeCell ref="AJ982:AK982"/>
    <mergeCell ref="AL982:BB982"/>
    <mergeCell ref="B982:C982"/>
    <mergeCell ref="D982:E982"/>
    <mergeCell ref="F982:G982"/>
    <mergeCell ref="H982:I982"/>
    <mergeCell ref="J982:K982"/>
    <mergeCell ref="L982:M982"/>
    <mergeCell ref="N982:O982"/>
    <mergeCell ref="P984:Q984"/>
    <mergeCell ref="R984:S984"/>
    <mergeCell ref="T984:U984"/>
    <mergeCell ref="V984:W984"/>
    <mergeCell ref="X984:Y984"/>
    <mergeCell ref="Z984:AA984"/>
    <mergeCell ref="AB984:AC984"/>
    <mergeCell ref="B984:C984"/>
    <mergeCell ref="D984:E984"/>
    <mergeCell ref="F984:G984"/>
    <mergeCell ref="H984:I984"/>
    <mergeCell ref="J984:K984"/>
    <mergeCell ref="L984:M984"/>
    <mergeCell ref="N984:O984"/>
    <mergeCell ref="AD982:AE982"/>
    <mergeCell ref="AF982:AG982"/>
    <mergeCell ref="P982:Q982"/>
    <mergeCell ref="R982:S982"/>
    <mergeCell ref="T982:U982"/>
    <mergeCell ref="V982:W982"/>
    <mergeCell ref="X982:Y982"/>
    <mergeCell ref="Z982:AA982"/>
    <mergeCell ref="AB982:AC982"/>
    <mergeCell ref="AD983:AE983"/>
    <mergeCell ref="AF983:AG983"/>
    <mergeCell ref="AH983:AI983"/>
    <mergeCell ref="AJ983:AK983"/>
    <mergeCell ref="AL983:BB983"/>
    <mergeCell ref="P983:Q983"/>
    <mergeCell ref="R983:S983"/>
    <mergeCell ref="T983:U983"/>
    <mergeCell ref="V983:W983"/>
    <mergeCell ref="X983:Y983"/>
    <mergeCell ref="Z983:AA983"/>
    <mergeCell ref="AB983:AC983"/>
    <mergeCell ref="B983:C983"/>
    <mergeCell ref="D983:E983"/>
    <mergeCell ref="F983:G983"/>
    <mergeCell ref="H983:I983"/>
    <mergeCell ref="J983:K983"/>
    <mergeCell ref="L983:M983"/>
    <mergeCell ref="N983:O983"/>
    <mergeCell ref="AD984:AE984"/>
    <mergeCell ref="AF984:AG984"/>
    <mergeCell ref="AH984:AI984"/>
    <mergeCell ref="AJ984:AK984"/>
    <mergeCell ref="AL984:BB984"/>
    <mergeCell ref="H977:I977"/>
    <mergeCell ref="J977:K977"/>
    <mergeCell ref="L977:M977"/>
    <mergeCell ref="N977:O977"/>
    <mergeCell ref="AD978:AE978"/>
    <mergeCell ref="AF978:AG978"/>
    <mergeCell ref="AH978:AI978"/>
    <mergeCell ref="AJ978:AK978"/>
    <mergeCell ref="AL978:BB978"/>
    <mergeCell ref="AH979:AI979"/>
    <mergeCell ref="AJ979:AK979"/>
    <mergeCell ref="AL979:BB979"/>
    <mergeCell ref="B979:C979"/>
    <mergeCell ref="D979:E979"/>
    <mergeCell ref="F979:G979"/>
    <mergeCell ref="H979:I979"/>
    <mergeCell ref="J979:K979"/>
    <mergeCell ref="L979:M979"/>
    <mergeCell ref="N979:O979"/>
    <mergeCell ref="P981:Q981"/>
    <mergeCell ref="R981:S981"/>
    <mergeCell ref="T981:U981"/>
    <mergeCell ref="V981:W981"/>
    <mergeCell ref="X981:Y981"/>
    <mergeCell ref="Z981:AA981"/>
    <mergeCell ref="AB981:AC981"/>
    <mergeCell ref="B981:C981"/>
    <mergeCell ref="D981:E981"/>
    <mergeCell ref="F981:G981"/>
    <mergeCell ref="H981:I981"/>
    <mergeCell ref="J981:K981"/>
    <mergeCell ref="L981:M981"/>
    <mergeCell ref="N981:O981"/>
    <mergeCell ref="AD979:AE979"/>
    <mergeCell ref="AF979:AG979"/>
    <mergeCell ref="P979:Q979"/>
    <mergeCell ref="R979:S979"/>
    <mergeCell ref="T979:U979"/>
    <mergeCell ref="V979:W979"/>
    <mergeCell ref="X979:Y979"/>
    <mergeCell ref="Z979:AA979"/>
    <mergeCell ref="AB979:AC979"/>
    <mergeCell ref="AD980:AE980"/>
    <mergeCell ref="AF980:AG980"/>
    <mergeCell ref="AH980:AI980"/>
    <mergeCell ref="AJ980:AK980"/>
    <mergeCell ref="AL980:BB980"/>
    <mergeCell ref="P980:Q980"/>
    <mergeCell ref="R980:S980"/>
    <mergeCell ref="T980:U980"/>
    <mergeCell ref="V980:W980"/>
    <mergeCell ref="X980:Y980"/>
    <mergeCell ref="Z980:AA980"/>
    <mergeCell ref="AB980:AC980"/>
    <mergeCell ref="B980:C980"/>
    <mergeCell ref="D980:E980"/>
    <mergeCell ref="F980:G980"/>
    <mergeCell ref="H980:I980"/>
    <mergeCell ref="J980:K980"/>
    <mergeCell ref="L980:M980"/>
    <mergeCell ref="N980:O980"/>
    <mergeCell ref="AD981:AE981"/>
    <mergeCell ref="AF981:AG981"/>
    <mergeCell ref="AH981:AI981"/>
    <mergeCell ref="P975:Q975"/>
    <mergeCell ref="R975:S975"/>
    <mergeCell ref="T975:U975"/>
    <mergeCell ref="V975:W975"/>
    <mergeCell ref="X975:Y975"/>
    <mergeCell ref="Z975:AA975"/>
    <mergeCell ref="AB975:AC975"/>
    <mergeCell ref="B975:C975"/>
    <mergeCell ref="D975:E975"/>
    <mergeCell ref="F975:G975"/>
    <mergeCell ref="H975:I975"/>
    <mergeCell ref="J975:K975"/>
    <mergeCell ref="L975:M975"/>
    <mergeCell ref="N975:O975"/>
    <mergeCell ref="AD997:AE997"/>
    <mergeCell ref="AF997:AG997"/>
    <mergeCell ref="AH997:AI997"/>
    <mergeCell ref="AJ997:AK997"/>
    <mergeCell ref="AL997:BB997"/>
    <mergeCell ref="P997:Q997"/>
    <mergeCell ref="R997:S997"/>
    <mergeCell ref="T997:U997"/>
    <mergeCell ref="V997:W997"/>
    <mergeCell ref="X997:Y997"/>
    <mergeCell ref="Z997:AA997"/>
    <mergeCell ref="AB997:AC997"/>
    <mergeCell ref="P978:Q978"/>
    <mergeCell ref="R978:S978"/>
    <mergeCell ref="T978:U978"/>
    <mergeCell ref="V978:W978"/>
    <mergeCell ref="X978:Y978"/>
    <mergeCell ref="Z978:AA978"/>
    <mergeCell ref="AB978:AC978"/>
    <mergeCell ref="B978:C978"/>
    <mergeCell ref="D978:E978"/>
    <mergeCell ref="F978:G978"/>
    <mergeCell ref="H978:I978"/>
    <mergeCell ref="J978:K978"/>
    <mergeCell ref="L978:M978"/>
    <mergeCell ref="N978:O978"/>
    <mergeCell ref="AD976:AE976"/>
    <mergeCell ref="AF976:AG976"/>
    <mergeCell ref="P976:Q976"/>
    <mergeCell ref="R976:S976"/>
    <mergeCell ref="T976:U976"/>
    <mergeCell ref="V976:W976"/>
    <mergeCell ref="X976:Y976"/>
    <mergeCell ref="Z976:AA976"/>
    <mergeCell ref="AB976:AC976"/>
    <mergeCell ref="AD977:AE977"/>
    <mergeCell ref="AF977:AG977"/>
    <mergeCell ref="AH977:AI977"/>
    <mergeCell ref="AJ977:AK977"/>
    <mergeCell ref="AL977:BB977"/>
    <mergeCell ref="P977:Q977"/>
    <mergeCell ref="R977:S977"/>
    <mergeCell ref="T977:U977"/>
    <mergeCell ref="V977:W977"/>
    <mergeCell ref="X977:Y977"/>
    <mergeCell ref="Z977:AA977"/>
    <mergeCell ref="AB977:AC977"/>
    <mergeCell ref="B977:C977"/>
    <mergeCell ref="D977:E977"/>
    <mergeCell ref="F977:G977"/>
    <mergeCell ref="AL966:BB966"/>
    <mergeCell ref="AH967:AI967"/>
    <mergeCell ref="AJ967:AK967"/>
    <mergeCell ref="AL967:BB967"/>
    <mergeCell ref="B967:C967"/>
    <mergeCell ref="D967:E967"/>
    <mergeCell ref="F967:G967"/>
    <mergeCell ref="H967:I967"/>
    <mergeCell ref="J967:K967"/>
    <mergeCell ref="L967:M967"/>
    <mergeCell ref="N967:O967"/>
    <mergeCell ref="P969:Q969"/>
    <mergeCell ref="R969:S969"/>
    <mergeCell ref="T969:U969"/>
    <mergeCell ref="V969:W969"/>
    <mergeCell ref="X969:Y969"/>
    <mergeCell ref="Z969:AA969"/>
    <mergeCell ref="AB969:AC969"/>
    <mergeCell ref="B969:C969"/>
    <mergeCell ref="D969:E969"/>
    <mergeCell ref="F969:G969"/>
    <mergeCell ref="H969:I969"/>
    <mergeCell ref="J969:K969"/>
    <mergeCell ref="L969:M969"/>
    <mergeCell ref="N969:O969"/>
    <mergeCell ref="AD967:AE967"/>
    <mergeCell ref="AF967:AG967"/>
    <mergeCell ref="P967:Q967"/>
    <mergeCell ref="R967:S967"/>
    <mergeCell ref="T967:U967"/>
    <mergeCell ref="V967:W967"/>
    <mergeCell ref="X967:Y967"/>
    <mergeCell ref="Z967:AA967"/>
    <mergeCell ref="AB967:AC967"/>
    <mergeCell ref="AD968:AE968"/>
    <mergeCell ref="AF968:AG968"/>
    <mergeCell ref="AH968:AI968"/>
    <mergeCell ref="AJ968:AK968"/>
    <mergeCell ref="AL968:BB968"/>
    <mergeCell ref="P968:Q968"/>
    <mergeCell ref="R968:S968"/>
    <mergeCell ref="T968:U968"/>
    <mergeCell ref="V968:W968"/>
    <mergeCell ref="X968:Y968"/>
    <mergeCell ref="Z968:AA968"/>
    <mergeCell ref="AB968:AC968"/>
    <mergeCell ref="B968:C968"/>
    <mergeCell ref="D968:E968"/>
    <mergeCell ref="F968:G968"/>
    <mergeCell ref="H968:I968"/>
    <mergeCell ref="J968:K968"/>
    <mergeCell ref="L968:M968"/>
    <mergeCell ref="N968:O968"/>
    <mergeCell ref="AD969:AE969"/>
    <mergeCell ref="AF969:AG969"/>
    <mergeCell ref="AH969:AI969"/>
    <mergeCell ref="AJ969:AK969"/>
    <mergeCell ref="AL969:BB969"/>
    <mergeCell ref="AD975:AE975"/>
    <mergeCell ref="AF975:AG975"/>
    <mergeCell ref="AH975:AI975"/>
    <mergeCell ref="AJ975:AK975"/>
    <mergeCell ref="AL975:BB975"/>
    <mergeCell ref="AH976:AI976"/>
    <mergeCell ref="AJ976:AK976"/>
    <mergeCell ref="AL976:BB976"/>
    <mergeCell ref="B976:C976"/>
    <mergeCell ref="D976:E976"/>
    <mergeCell ref="F976:G976"/>
    <mergeCell ref="H976:I976"/>
    <mergeCell ref="J976:K976"/>
    <mergeCell ref="L976:M976"/>
    <mergeCell ref="N976:O976"/>
    <mergeCell ref="AD961:AE961"/>
    <mergeCell ref="AF961:AG961"/>
    <mergeCell ref="P961:Q961"/>
    <mergeCell ref="R961:S961"/>
    <mergeCell ref="T961:U961"/>
    <mergeCell ref="V961:W961"/>
    <mergeCell ref="X961:Y961"/>
    <mergeCell ref="Z961:AA961"/>
    <mergeCell ref="AB961:AC961"/>
    <mergeCell ref="AD962:AE962"/>
    <mergeCell ref="AF962:AG962"/>
    <mergeCell ref="AH962:AI962"/>
    <mergeCell ref="AJ962:AK962"/>
    <mergeCell ref="AL962:BB962"/>
    <mergeCell ref="P962:Q962"/>
    <mergeCell ref="R962:S962"/>
    <mergeCell ref="T962:U962"/>
    <mergeCell ref="V962:W962"/>
    <mergeCell ref="X962:Y962"/>
    <mergeCell ref="Z962:AA962"/>
    <mergeCell ref="AB962:AC962"/>
    <mergeCell ref="B962:C962"/>
    <mergeCell ref="D962:E962"/>
    <mergeCell ref="F962:G962"/>
    <mergeCell ref="H962:I962"/>
    <mergeCell ref="J962:K962"/>
    <mergeCell ref="L962:M962"/>
    <mergeCell ref="N962:O962"/>
    <mergeCell ref="AD963:AE963"/>
    <mergeCell ref="AF963:AG963"/>
    <mergeCell ref="AH963:AI963"/>
    <mergeCell ref="AJ963:AK963"/>
    <mergeCell ref="AL963:BB963"/>
    <mergeCell ref="AH964:AI964"/>
    <mergeCell ref="AJ964:AK964"/>
    <mergeCell ref="AL964:BB964"/>
    <mergeCell ref="B964:C964"/>
    <mergeCell ref="D964:E964"/>
    <mergeCell ref="F964:G964"/>
    <mergeCell ref="H964:I964"/>
    <mergeCell ref="J964:K964"/>
    <mergeCell ref="L964:M964"/>
    <mergeCell ref="N964:O964"/>
    <mergeCell ref="AD964:AE964"/>
    <mergeCell ref="AF964:AG964"/>
    <mergeCell ref="P964:Q964"/>
    <mergeCell ref="R964:S964"/>
    <mergeCell ref="T964:U964"/>
    <mergeCell ref="V964:W964"/>
    <mergeCell ref="AH973:AI973"/>
    <mergeCell ref="AJ973:AK973"/>
    <mergeCell ref="AL973:BB973"/>
    <mergeCell ref="B973:C973"/>
    <mergeCell ref="D973:E973"/>
    <mergeCell ref="F973:G973"/>
    <mergeCell ref="H973:I973"/>
    <mergeCell ref="J973:K973"/>
    <mergeCell ref="L973:M973"/>
    <mergeCell ref="N973:O973"/>
    <mergeCell ref="AD973:AE973"/>
    <mergeCell ref="AF973:AG973"/>
    <mergeCell ref="P973:Q973"/>
    <mergeCell ref="R973:S973"/>
    <mergeCell ref="T973:U973"/>
    <mergeCell ref="V973:W973"/>
    <mergeCell ref="X973:Y973"/>
    <mergeCell ref="Z973:AA973"/>
    <mergeCell ref="AB973:AC973"/>
    <mergeCell ref="AD974:AE974"/>
    <mergeCell ref="AF974:AG974"/>
    <mergeCell ref="AH974:AI974"/>
    <mergeCell ref="AJ974:AK974"/>
    <mergeCell ref="AL974:BB974"/>
    <mergeCell ref="P974:Q974"/>
    <mergeCell ref="R974:S974"/>
    <mergeCell ref="T974:U974"/>
    <mergeCell ref="V974:W974"/>
    <mergeCell ref="X974:Y974"/>
    <mergeCell ref="Z974:AA974"/>
    <mergeCell ref="AB974:AC974"/>
    <mergeCell ref="B974:C974"/>
    <mergeCell ref="D974:E974"/>
    <mergeCell ref="F974:G974"/>
    <mergeCell ref="H974:I974"/>
    <mergeCell ref="J974:K974"/>
    <mergeCell ref="L974:M974"/>
    <mergeCell ref="N974:O974"/>
    <mergeCell ref="AD970:AE970"/>
    <mergeCell ref="AF970:AG970"/>
    <mergeCell ref="P970:Q970"/>
    <mergeCell ref="R970:S970"/>
    <mergeCell ref="T970:U970"/>
    <mergeCell ref="V970:W970"/>
    <mergeCell ref="X970:Y970"/>
    <mergeCell ref="Z970:AA970"/>
    <mergeCell ref="AB970:AC970"/>
    <mergeCell ref="AD971:AE971"/>
    <mergeCell ref="AF971:AG971"/>
    <mergeCell ref="AH971:AI971"/>
    <mergeCell ref="AJ971:AK971"/>
    <mergeCell ref="AL971:BB971"/>
    <mergeCell ref="P971:Q971"/>
    <mergeCell ref="R971:S971"/>
    <mergeCell ref="T971:U971"/>
    <mergeCell ref="V971:W971"/>
    <mergeCell ref="X971:Y971"/>
    <mergeCell ref="Z971:AA971"/>
    <mergeCell ref="AB971:AC971"/>
    <mergeCell ref="B971:C971"/>
    <mergeCell ref="D971:E971"/>
    <mergeCell ref="F971:G971"/>
    <mergeCell ref="H971:I971"/>
    <mergeCell ref="J971:K971"/>
    <mergeCell ref="L971:M971"/>
    <mergeCell ref="N971:O971"/>
    <mergeCell ref="AD972:AE972"/>
    <mergeCell ref="AF972:AG972"/>
    <mergeCell ref="AH972:AI972"/>
    <mergeCell ref="AJ972:AK972"/>
    <mergeCell ref="AL972:BB972"/>
    <mergeCell ref="AH970:AI970"/>
    <mergeCell ref="AJ970:AK970"/>
    <mergeCell ref="AL970:BB970"/>
    <mergeCell ref="B970:C970"/>
    <mergeCell ref="D970:E970"/>
    <mergeCell ref="F970:G970"/>
    <mergeCell ref="H970:I970"/>
    <mergeCell ref="J970:K970"/>
    <mergeCell ref="L970:M970"/>
    <mergeCell ref="N970:O970"/>
    <mergeCell ref="P972:Q972"/>
    <mergeCell ref="R972:S972"/>
    <mergeCell ref="T972:U972"/>
    <mergeCell ref="V972:W972"/>
    <mergeCell ref="X972:Y972"/>
    <mergeCell ref="Z972:AA972"/>
    <mergeCell ref="AB972:AC972"/>
    <mergeCell ref="B972:C972"/>
    <mergeCell ref="D972:E972"/>
    <mergeCell ref="F972:G972"/>
    <mergeCell ref="H972:I972"/>
    <mergeCell ref="J972:K972"/>
    <mergeCell ref="L972:M972"/>
    <mergeCell ref="N972:O972"/>
    <mergeCell ref="AH961:AI961"/>
    <mergeCell ref="AJ961:AK961"/>
    <mergeCell ref="AL961:BB961"/>
    <mergeCell ref="B961:C961"/>
    <mergeCell ref="D961:E961"/>
    <mergeCell ref="F961:G961"/>
    <mergeCell ref="H961:I961"/>
    <mergeCell ref="J961:K961"/>
    <mergeCell ref="L961:M961"/>
    <mergeCell ref="N961:O961"/>
    <mergeCell ref="P963:Q963"/>
    <mergeCell ref="R963:S963"/>
    <mergeCell ref="T963:U963"/>
    <mergeCell ref="V963:W963"/>
    <mergeCell ref="X963:Y963"/>
    <mergeCell ref="Z963:AA963"/>
    <mergeCell ref="AB963:AC963"/>
    <mergeCell ref="B963:C963"/>
    <mergeCell ref="D963:E963"/>
    <mergeCell ref="F963:G963"/>
    <mergeCell ref="H963:I963"/>
    <mergeCell ref="J963:K963"/>
    <mergeCell ref="L963:M963"/>
    <mergeCell ref="N963:O963"/>
    <mergeCell ref="P966:Q966"/>
    <mergeCell ref="R966:S966"/>
    <mergeCell ref="T966:U966"/>
    <mergeCell ref="V966:W966"/>
    <mergeCell ref="X966:Y966"/>
    <mergeCell ref="Z966:AA966"/>
    <mergeCell ref="AB966:AC966"/>
    <mergeCell ref="B966:C966"/>
    <mergeCell ref="D966:E966"/>
    <mergeCell ref="F966:G966"/>
    <mergeCell ref="H966:I966"/>
    <mergeCell ref="J966:K966"/>
    <mergeCell ref="L966:M966"/>
    <mergeCell ref="N966:O966"/>
    <mergeCell ref="X964:Y964"/>
    <mergeCell ref="Z964:AA964"/>
    <mergeCell ref="AB964:AC964"/>
    <mergeCell ref="AD965:AE965"/>
    <mergeCell ref="AF965:AG965"/>
    <mergeCell ref="AH965:AI965"/>
    <mergeCell ref="AJ965:AK965"/>
    <mergeCell ref="AL965:BB965"/>
    <mergeCell ref="P965:Q965"/>
    <mergeCell ref="R965:S965"/>
    <mergeCell ref="T965:U965"/>
    <mergeCell ref="V965:W965"/>
    <mergeCell ref="X965:Y965"/>
    <mergeCell ref="Z965:AA965"/>
    <mergeCell ref="AB965:AC965"/>
    <mergeCell ref="B965:C965"/>
    <mergeCell ref="D965:E965"/>
    <mergeCell ref="F965:G965"/>
    <mergeCell ref="H965:I965"/>
    <mergeCell ref="J965:K965"/>
    <mergeCell ref="L965:M965"/>
    <mergeCell ref="N965:O965"/>
    <mergeCell ref="AD966:AE966"/>
    <mergeCell ref="AF966:AG966"/>
    <mergeCell ref="AH966:AI966"/>
    <mergeCell ref="AJ966:AK966"/>
    <mergeCell ref="AH958:AI958"/>
    <mergeCell ref="AJ958:AK958"/>
    <mergeCell ref="AL958:BB958"/>
    <mergeCell ref="B958:C958"/>
    <mergeCell ref="D958:E958"/>
    <mergeCell ref="F958:G958"/>
    <mergeCell ref="H958:I958"/>
    <mergeCell ref="J958:K958"/>
    <mergeCell ref="L958:M958"/>
    <mergeCell ref="N958:O958"/>
    <mergeCell ref="P960:Q960"/>
    <mergeCell ref="R960:S960"/>
    <mergeCell ref="T960:U960"/>
    <mergeCell ref="V960:W960"/>
    <mergeCell ref="X960:Y960"/>
    <mergeCell ref="Z960:AA960"/>
    <mergeCell ref="AB960:AC960"/>
    <mergeCell ref="B960:C960"/>
    <mergeCell ref="D960:E960"/>
    <mergeCell ref="F960:G960"/>
    <mergeCell ref="H960:I960"/>
    <mergeCell ref="J960:K960"/>
    <mergeCell ref="L960:M960"/>
    <mergeCell ref="N960:O960"/>
    <mergeCell ref="AD958:AE958"/>
    <mergeCell ref="AF958:AG958"/>
    <mergeCell ref="P958:Q958"/>
    <mergeCell ref="R958:S958"/>
    <mergeCell ref="T958:U958"/>
    <mergeCell ref="V958:W958"/>
    <mergeCell ref="X958:Y958"/>
    <mergeCell ref="Z958:AA958"/>
    <mergeCell ref="AB958:AC958"/>
    <mergeCell ref="AD959:AE959"/>
    <mergeCell ref="AF959:AG959"/>
    <mergeCell ref="AH959:AI959"/>
    <mergeCell ref="AJ959:AK959"/>
    <mergeCell ref="AL959:BB959"/>
    <mergeCell ref="P959:Q959"/>
    <mergeCell ref="R959:S959"/>
    <mergeCell ref="T959:U959"/>
    <mergeCell ref="V959:W959"/>
    <mergeCell ref="X959:Y959"/>
    <mergeCell ref="Z959:AA959"/>
    <mergeCell ref="AB959:AC959"/>
    <mergeCell ref="B959:C959"/>
    <mergeCell ref="D959:E959"/>
    <mergeCell ref="F959:G959"/>
    <mergeCell ref="H959:I959"/>
    <mergeCell ref="J959:K959"/>
    <mergeCell ref="L959:M959"/>
    <mergeCell ref="N959:O959"/>
    <mergeCell ref="AD960:AE960"/>
    <mergeCell ref="AF960:AG960"/>
    <mergeCell ref="AH960:AI960"/>
    <mergeCell ref="AJ960:AK960"/>
    <mergeCell ref="AL960:BB960"/>
    <mergeCell ref="B955:C955"/>
    <mergeCell ref="D955:E955"/>
    <mergeCell ref="F955:G955"/>
    <mergeCell ref="H955:I955"/>
    <mergeCell ref="J955:K955"/>
    <mergeCell ref="L955:M955"/>
    <mergeCell ref="N955:O955"/>
    <mergeCell ref="AD956:AE956"/>
    <mergeCell ref="AF956:AG956"/>
    <mergeCell ref="AH956:AI956"/>
    <mergeCell ref="AJ956:AK956"/>
    <mergeCell ref="AL956:BB956"/>
    <mergeCell ref="P956:Q956"/>
    <mergeCell ref="R956:S956"/>
    <mergeCell ref="T956:U956"/>
    <mergeCell ref="V956:W956"/>
    <mergeCell ref="X956:Y956"/>
    <mergeCell ref="Z956:AA956"/>
    <mergeCell ref="AB956:AC956"/>
    <mergeCell ref="B956:C956"/>
    <mergeCell ref="D956:E956"/>
    <mergeCell ref="F956:G956"/>
    <mergeCell ref="H956:I956"/>
    <mergeCell ref="J956:K956"/>
    <mergeCell ref="L956:M956"/>
    <mergeCell ref="N956:O956"/>
    <mergeCell ref="AD957:AE957"/>
    <mergeCell ref="AF957:AG957"/>
    <mergeCell ref="AH957:AI957"/>
    <mergeCell ref="AJ957:AK957"/>
    <mergeCell ref="AL957:BB957"/>
    <mergeCell ref="P957:Q957"/>
    <mergeCell ref="R957:S957"/>
    <mergeCell ref="T957:U957"/>
    <mergeCell ref="V957:W957"/>
    <mergeCell ref="X957:Y957"/>
    <mergeCell ref="Z957:AA957"/>
    <mergeCell ref="AB957:AC957"/>
    <mergeCell ref="B957:C957"/>
    <mergeCell ref="D957:E957"/>
    <mergeCell ref="F957:G957"/>
    <mergeCell ref="H957:I957"/>
    <mergeCell ref="J957:K957"/>
    <mergeCell ref="L957:M957"/>
    <mergeCell ref="N957:O957"/>
    <mergeCell ref="AH952:AI952"/>
    <mergeCell ref="AJ952:AK952"/>
    <mergeCell ref="AL952:BB952"/>
    <mergeCell ref="B952:C952"/>
    <mergeCell ref="D952:E952"/>
    <mergeCell ref="F952:G952"/>
    <mergeCell ref="H952:I952"/>
    <mergeCell ref="J952:K952"/>
    <mergeCell ref="L952:M952"/>
    <mergeCell ref="N952:O952"/>
    <mergeCell ref="P954:Q954"/>
    <mergeCell ref="R954:S954"/>
    <mergeCell ref="T954:U954"/>
    <mergeCell ref="V954:W954"/>
    <mergeCell ref="X954:Y954"/>
    <mergeCell ref="Z954:AA954"/>
    <mergeCell ref="AB954:AC954"/>
    <mergeCell ref="B954:C954"/>
    <mergeCell ref="D954:E954"/>
    <mergeCell ref="F954:G954"/>
    <mergeCell ref="H954:I954"/>
    <mergeCell ref="J954:K954"/>
    <mergeCell ref="L954:M954"/>
    <mergeCell ref="N954:O954"/>
    <mergeCell ref="AD952:AE952"/>
    <mergeCell ref="AF952:AG952"/>
    <mergeCell ref="P952:Q952"/>
    <mergeCell ref="R952:S952"/>
    <mergeCell ref="T952:U952"/>
    <mergeCell ref="V952:W952"/>
    <mergeCell ref="X952:Y952"/>
    <mergeCell ref="Z952:AA952"/>
    <mergeCell ref="AB952:AC952"/>
    <mergeCell ref="AD953:AE953"/>
    <mergeCell ref="AF953:AG953"/>
    <mergeCell ref="AH953:AI953"/>
    <mergeCell ref="AJ953:AK953"/>
    <mergeCell ref="AL953:BB953"/>
    <mergeCell ref="P953:Q953"/>
    <mergeCell ref="R953:S953"/>
    <mergeCell ref="T953:U953"/>
    <mergeCell ref="V953:W953"/>
    <mergeCell ref="X953:Y953"/>
    <mergeCell ref="Z953:AA953"/>
    <mergeCell ref="AB953:AC953"/>
    <mergeCell ref="B953:C953"/>
    <mergeCell ref="D953:E953"/>
    <mergeCell ref="F953:G953"/>
    <mergeCell ref="H953:I953"/>
    <mergeCell ref="J953:K953"/>
    <mergeCell ref="L953:M953"/>
    <mergeCell ref="N953:O953"/>
    <mergeCell ref="AD954:AE954"/>
    <mergeCell ref="AF954:AG954"/>
    <mergeCell ref="AH954:AI954"/>
    <mergeCell ref="AJ954:AK954"/>
    <mergeCell ref="AL954:BB954"/>
    <mergeCell ref="AH949:AI949"/>
    <mergeCell ref="AJ949:AK949"/>
    <mergeCell ref="AL949:BB949"/>
    <mergeCell ref="B949:C949"/>
    <mergeCell ref="D949:E949"/>
    <mergeCell ref="F949:G949"/>
    <mergeCell ref="H949:I949"/>
    <mergeCell ref="J949:K949"/>
    <mergeCell ref="L949:M949"/>
    <mergeCell ref="N949:O949"/>
    <mergeCell ref="P951:Q951"/>
    <mergeCell ref="R951:S951"/>
    <mergeCell ref="T951:U951"/>
    <mergeCell ref="V951:W951"/>
    <mergeCell ref="X951:Y951"/>
    <mergeCell ref="Z951:AA951"/>
    <mergeCell ref="AB951:AC951"/>
    <mergeCell ref="B951:C951"/>
    <mergeCell ref="D951:E951"/>
    <mergeCell ref="F951:G951"/>
    <mergeCell ref="H951:I951"/>
    <mergeCell ref="J951:K951"/>
    <mergeCell ref="L951:M951"/>
    <mergeCell ref="N951:O951"/>
    <mergeCell ref="AD949:AE949"/>
    <mergeCell ref="AF949:AG949"/>
    <mergeCell ref="P949:Q949"/>
    <mergeCell ref="R949:S949"/>
    <mergeCell ref="T949:U949"/>
    <mergeCell ref="V949:W949"/>
    <mergeCell ref="X949:Y949"/>
    <mergeCell ref="Z949:AA949"/>
    <mergeCell ref="AB949:AC949"/>
    <mergeCell ref="AD950:AE950"/>
    <mergeCell ref="AF950:AG950"/>
    <mergeCell ref="AH950:AI950"/>
    <mergeCell ref="AJ950:AK950"/>
    <mergeCell ref="AL950:BB950"/>
    <mergeCell ref="P950:Q950"/>
    <mergeCell ref="R950:S950"/>
    <mergeCell ref="T950:U950"/>
    <mergeCell ref="V950:W950"/>
    <mergeCell ref="X950:Y950"/>
    <mergeCell ref="Z950:AA950"/>
    <mergeCell ref="AB950:AC950"/>
    <mergeCell ref="B950:C950"/>
    <mergeCell ref="D950:E950"/>
    <mergeCell ref="F950:G950"/>
    <mergeCell ref="H950:I950"/>
    <mergeCell ref="J950:K950"/>
    <mergeCell ref="L950:M950"/>
    <mergeCell ref="N950:O950"/>
    <mergeCell ref="AD951:AE951"/>
    <mergeCell ref="AF951:AG951"/>
    <mergeCell ref="AH951:AI951"/>
    <mergeCell ref="AJ951:AK951"/>
    <mergeCell ref="AL951:BB951"/>
    <mergeCell ref="AH946:AI946"/>
    <mergeCell ref="AJ946:AK946"/>
    <mergeCell ref="AL946:BB946"/>
    <mergeCell ref="B946:C946"/>
    <mergeCell ref="D946:E946"/>
    <mergeCell ref="F946:G946"/>
    <mergeCell ref="H946:I946"/>
    <mergeCell ref="J946:K946"/>
    <mergeCell ref="L946:M946"/>
    <mergeCell ref="N946:O946"/>
    <mergeCell ref="P948:Q948"/>
    <mergeCell ref="R948:S948"/>
    <mergeCell ref="T948:U948"/>
    <mergeCell ref="V948:W948"/>
    <mergeCell ref="X948:Y948"/>
    <mergeCell ref="Z948:AA948"/>
    <mergeCell ref="AB948:AC948"/>
    <mergeCell ref="B948:C948"/>
    <mergeCell ref="D948:E948"/>
    <mergeCell ref="F948:G948"/>
    <mergeCell ref="H948:I948"/>
    <mergeCell ref="J948:K948"/>
    <mergeCell ref="L948:M948"/>
    <mergeCell ref="N948:O948"/>
    <mergeCell ref="AD946:AE946"/>
    <mergeCell ref="AF946:AG946"/>
    <mergeCell ref="P946:Q946"/>
    <mergeCell ref="R946:S946"/>
    <mergeCell ref="T946:U946"/>
    <mergeCell ref="V946:W946"/>
    <mergeCell ref="X946:Y946"/>
    <mergeCell ref="Z946:AA946"/>
    <mergeCell ref="AB946:AC946"/>
    <mergeCell ref="AD947:AE947"/>
    <mergeCell ref="AF947:AG947"/>
    <mergeCell ref="AH947:AI947"/>
    <mergeCell ref="AJ947:AK947"/>
    <mergeCell ref="AL947:BB947"/>
    <mergeCell ref="P947:Q947"/>
    <mergeCell ref="R947:S947"/>
    <mergeCell ref="T947:U947"/>
    <mergeCell ref="V947:W947"/>
    <mergeCell ref="X947:Y947"/>
    <mergeCell ref="Z947:AA947"/>
    <mergeCell ref="AB947:AC947"/>
    <mergeCell ref="B947:C947"/>
    <mergeCell ref="D947:E947"/>
    <mergeCell ref="F947:G947"/>
    <mergeCell ref="H947:I947"/>
    <mergeCell ref="J947:K947"/>
    <mergeCell ref="L947:M947"/>
    <mergeCell ref="N947:O947"/>
    <mergeCell ref="AD948:AE948"/>
    <mergeCell ref="AF948:AG948"/>
    <mergeCell ref="AH948:AI948"/>
    <mergeCell ref="AJ948:AK948"/>
    <mergeCell ref="AL948:BB948"/>
    <mergeCell ref="AH943:AI943"/>
    <mergeCell ref="AJ943:AK943"/>
    <mergeCell ref="AL943:BB943"/>
    <mergeCell ref="B943:C943"/>
    <mergeCell ref="D943:E943"/>
    <mergeCell ref="F943:G943"/>
    <mergeCell ref="H943:I943"/>
    <mergeCell ref="J943:K943"/>
    <mergeCell ref="L943:M943"/>
    <mergeCell ref="N943:O943"/>
    <mergeCell ref="P945:Q945"/>
    <mergeCell ref="R945:S945"/>
    <mergeCell ref="T945:U945"/>
    <mergeCell ref="V945:W945"/>
    <mergeCell ref="X945:Y945"/>
    <mergeCell ref="Z945:AA945"/>
    <mergeCell ref="AB945:AC945"/>
    <mergeCell ref="B945:C945"/>
    <mergeCell ref="D945:E945"/>
    <mergeCell ref="F945:G945"/>
    <mergeCell ref="H945:I945"/>
    <mergeCell ref="J945:K945"/>
    <mergeCell ref="L945:M945"/>
    <mergeCell ref="N945:O945"/>
    <mergeCell ref="AD943:AE943"/>
    <mergeCell ref="AF943:AG943"/>
    <mergeCell ref="P943:Q943"/>
    <mergeCell ref="R943:S943"/>
    <mergeCell ref="T943:U943"/>
    <mergeCell ref="V943:W943"/>
    <mergeCell ref="X943:Y943"/>
    <mergeCell ref="Z943:AA943"/>
    <mergeCell ref="AB943:AC943"/>
    <mergeCell ref="AD944:AE944"/>
    <mergeCell ref="AF944:AG944"/>
    <mergeCell ref="AH944:AI944"/>
    <mergeCell ref="AJ944:AK944"/>
    <mergeCell ref="AL944:BB944"/>
    <mergeCell ref="P944:Q944"/>
    <mergeCell ref="R944:S944"/>
    <mergeCell ref="T944:U944"/>
    <mergeCell ref="V944:W944"/>
    <mergeCell ref="X944:Y944"/>
    <mergeCell ref="Z944:AA944"/>
    <mergeCell ref="AB944:AC944"/>
    <mergeCell ref="B944:C944"/>
    <mergeCell ref="D944:E944"/>
    <mergeCell ref="F944:G944"/>
    <mergeCell ref="H944:I944"/>
    <mergeCell ref="J944:K944"/>
    <mergeCell ref="L944:M944"/>
    <mergeCell ref="N944:O944"/>
    <mergeCell ref="AD945:AE945"/>
    <mergeCell ref="AF945:AG945"/>
    <mergeCell ref="AH945:AI945"/>
    <mergeCell ref="AJ945:AK945"/>
    <mergeCell ref="AL945:BB945"/>
    <mergeCell ref="AJ939:AK939"/>
    <mergeCell ref="AL939:BB939"/>
    <mergeCell ref="AH940:AI940"/>
    <mergeCell ref="AJ940:AK940"/>
    <mergeCell ref="AL940:BB940"/>
    <mergeCell ref="B940:C940"/>
    <mergeCell ref="D940:E940"/>
    <mergeCell ref="F940:G940"/>
    <mergeCell ref="H940:I940"/>
    <mergeCell ref="J940:K940"/>
    <mergeCell ref="L940:M940"/>
    <mergeCell ref="N940:O940"/>
    <mergeCell ref="P942:Q942"/>
    <mergeCell ref="R942:S942"/>
    <mergeCell ref="T942:U942"/>
    <mergeCell ref="V942:W942"/>
    <mergeCell ref="X942:Y942"/>
    <mergeCell ref="Z942:AA942"/>
    <mergeCell ref="AB942:AC942"/>
    <mergeCell ref="B942:C942"/>
    <mergeCell ref="D942:E942"/>
    <mergeCell ref="F942:G942"/>
    <mergeCell ref="H942:I942"/>
    <mergeCell ref="J942:K942"/>
    <mergeCell ref="L942:M942"/>
    <mergeCell ref="N942:O942"/>
    <mergeCell ref="AD940:AE940"/>
    <mergeCell ref="AF940:AG940"/>
    <mergeCell ref="P940:Q940"/>
    <mergeCell ref="R940:S940"/>
    <mergeCell ref="T940:U940"/>
    <mergeCell ref="V940:W940"/>
    <mergeCell ref="X940:Y940"/>
    <mergeCell ref="Z940:AA940"/>
    <mergeCell ref="AB940:AC940"/>
    <mergeCell ref="AD941:AE941"/>
    <mergeCell ref="AF941:AG941"/>
    <mergeCell ref="AH941:AI941"/>
    <mergeCell ref="AJ941:AK941"/>
    <mergeCell ref="AL941:BB941"/>
    <mergeCell ref="P941:Q941"/>
    <mergeCell ref="R941:S941"/>
    <mergeCell ref="T941:U941"/>
    <mergeCell ref="V941:W941"/>
    <mergeCell ref="X941:Y941"/>
    <mergeCell ref="Z941:AA941"/>
    <mergeCell ref="AB941:AC941"/>
    <mergeCell ref="B941:C941"/>
    <mergeCell ref="D941:E941"/>
    <mergeCell ref="F941:G941"/>
    <mergeCell ref="H941:I941"/>
    <mergeCell ref="J941:K941"/>
    <mergeCell ref="L941:M941"/>
    <mergeCell ref="N941:O941"/>
    <mergeCell ref="AD942:AE942"/>
    <mergeCell ref="AF942:AG942"/>
    <mergeCell ref="AH942:AI942"/>
    <mergeCell ref="AJ942:AK942"/>
    <mergeCell ref="AL942:BB942"/>
    <mergeCell ref="H935:I935"/>
    <mergeCell ref="J935:K935"/>
    <mergeCell ref="L935:M935"/>
    <mergeCell ref="N935:O935"/>
    <mergeCell ref="AD936:AE936"/>
    <mergeCell ref="AF936:AG936"/>
    <mergeCell ref="AH936:AI936"/>
    <mergeCell ref="AJ936:AK936"/>
    <mergeCell ref="AL936:BB936"/>
    <mergeCell ref="AH937:AI937"/>
    <mergeCell ref="AJ937:AK937"/>
    <mergeCell ref="AL937:BB937"/>
    <mergeCell ref="B937:C937"/>
    <mergeCell ref="D937:E937"/>
    <mergeCell ref="F937:G937"/>
    <mergeCell ref="H937:I937"/>
    <mergeCell ref="J937:K937"/>
    <mergeCell ref="L937:M937"/>
    <mergeCell ref="N937:O937"/>
    <mergeCell ref="P939:Q939"/>
    <mergeCell ref="R939:S939"/>
    <mergeCell ref="T939:U939"/>
    <mergeCell ref="V939:W939"/>
    <mergeCell ref="X939:Y939"/>
    <mergeCell ref="Z939:AA939"/>
    <mergeCell ref="AB939:AC939"/>
    <mergeCell ref="B939:C939"/>
    <mergeCell ref="D939:E939"/>
    <mergeCell ref="F939:G939"/>
    <mergeCell ref="H939:I939"/>
    <mergeCell ref="J939:K939"/>
    <mergeCell ref="L939:M939"/>
    <mergeCell ref="N939:O939"/>
    <mergeCell ref="AD937:AE937"/>
    <mergeCell ref="AF937:AG937"/>
    <mergeCell ref="P937:Q937"/>
    <mergeCell ref="R937:S937"/>
    <mergeCell ref="T937:U937"/>
    <mergeCell ref="V937:W937"/>
    <mergeCell ref="X937:Y937"/>
    <mergeCell ref="Z937:AA937"/>
    <mergeCell ref="AB937:AC937"/>
    <mergeCell ref="AD938:AE938"/>
    <mergeCell ref="AF938:AG938"/>
    <mergeCell ref="AH938:AI938"/>
    <mergeCell ref="AJ938:AK938"/>
    <mergeCell ref="AL938:BB938"/>
    <mergeCell ref="P938:Q938"/>
    <mergeCell ref="R938:S938"/>
    <mergeCell ref="T938:U938"/>
    <mergeCell ref="V938:W938"/>
    <mergeCell ref="X938:Y938"/>
    <mergeCell ref="Z938:AA938"/>
    <mergeCell ref="AB938:AC938"/>
    <mergeCell ref="B938:C938"/>
    <mergeCell ref="D938:E938"/>
    <mergeCell ref="F938:G938"/>
    <mergeCell ref="H938:I938"/>
    <mergeCell ref="J938:K938"/>
    <mergeCell ref="L938:M938"/>
    <mergeCell ref="N938:O938"/>
    <mergeCell ref="AD939:AE939"/>
    <mergeCell ref="AF939:AG939"/>
    <mergeCell ref="AH939:AI939"/>
    <mergeCell ref="P933:Q933"/>
    <mergeCell ref="R933:S933"/>
    <mergeCell ref="T933:U933"/>
    <mergeCell ref="V933:W933"/>
    <mergeCell ref="X933:Y933"/>
    <mergeCell ref="Z933:AA933"/>
    <mergeCell ref="AB933:AC933"/>
    <mergeCell ref="B933:C933"/>
    <mergeCell ref="D933:E933"/>
    <mergeCell ref="F933:G933"/>
    <mergeCell ref="H933:I933"/>
    <mergeCell ref="J933:K933"/>
    <mergeCell ref="L933:M933"/>
    <mergeCell ref="N933:O933"/>
    <mergeCell ref="AD955:AE955"/>
    <mergeCell ref="AF955:AG955"/>
    <mergeCell ref="AH955:AI955"/>
    <mergeCell ref="AJ955:AK955"/>
    <mergeCell ref="AL955:BB955"/>
    <mergeCell ref="P955:Q955"/>
    <mergeCell ref="R955:S955"/>
    <mergeCell ref="T955:U955"/>
    <mergeCell ref="V955:W955"/>
    <mergeCell ref="X955:Y955"/>
    <mergeCell ref="Z955:AA955"/>
    <mergeCell ref="AB955:AC955"/>
    <mergeCell ref="P936:Q936"/>
    <mergeCell ref="R936:S936"/>
    <mergeCell ref="T936:U936"/>
    <mergeCell ref="V936:W936"/>
    <mergeCell ref="X936:Y936"/>
    <mergeCell ref="Z936:AA936"/>
    <mergeCell ref="AB936:AC936"/>
    <mergeCell ref="B936:C936"/>
    <mergeCell ref="D936:E936"/>
    <mergeCell ref="F936:G936"/>
    <mergeCell ref="H936:I936"/>
    <mergeCell ref="J936:K936"/>
    <mergeCell ref="L936:M936"/>
    <mergeCell ref="N936:O936"/>
    <mergeCell ref="AD934:AE934"/>
    <mergeCell ref="AF934:AG934"/>
    <mergeCell ref="P934:Q934"/>
    <mergeCell ref="R934:S934"/>
    <mergeCell ref="T934:U934"/>
    <mergeCell ref="V934:W934"/>
    <mergeCell ref="X934:Y934"/>
    <mergeCell ref="Z934:AA934"/>
    <mergeCell ref="AB934:AC934"/>
    <mergeCell ref="AD935:AE935"/>
    <mergeCell ref="AF935:AG935"/>
    <mergeCell ref="AH935:AI935"/>
    <mergeCell ref="AJ935:AK935"/>
    <mergeCell ref="AL935:BB935"/>
    <mergeCell ref="P935:Q935"/>
    <mergeCell ref="R935:S935"/>
    <mergeCell ref="T935:U935"/>
    <mergeCell ref="V935:W935"/>
    <mergeCell ref="X935:Y935"/>
    <mergeCell ref="Z935:AA935"/>
    <mergeCell ref="AB935:AC935"/>
    <mergeCell ref="B935:C935"/>
    <mergeCell ref="D935:E935"/>
    <mergeCell ref="F935:G935"/>
    <mergeCell ref="AL924:BB924"/>
    <mergeCell ref="AH925:AI925"/>
    <mergeCell ref="AJ925:AK925"/>
    <mergeCell ref="AL925:BB925"/>
    <mergeCell ref="B925:C925"/>
    <mergeCell ref="D925:E925"/>
    <mergeCell ref="F925:G925"/>
    <mergeCell ref="H925:I925"/>
    <mergeCell ref="J925:K925"/>
    <mergeCell ref="L925:M925"/>
    <mergeCell ref="N925:O925"/>
    <mergeCell ref="P927:Q927"/>
    <mergeCell ref="R927:S927"/>
    <mergeCell ref="T927:U927"/>
    <mergeCell ref="V927:W927"/>
    <mergeCell ref="X927:Y927"/>
    <mergeCell ref="Z927:AA927"/>
    <mergeCell ref="AB927:AC927"/>
    <mergeCell ref="B927:C927"/>
    <mergeCell ref="D927:E927"/>
    <mergeCell ref="F927:G927"/>
    <mergeCell ref="H927:I927"/>
    <mergeCell ref="J927:K927"/>
    <mergeCell ref="L927:M927"/>
    <mergeCell ref="N927:O927"/>
    <mergeCell ref="AD925:AE925"/>
    <mergeCell ref="AF925:AG925"/>
    <mergeCell ref="P925:Q925"/>
    <mergeCell ref="R925:S925"/>
    <mergeCell ref="T925:U925"/>
    <mergeCell ref="V925:W925"/>
    <mergeCell ref="X925:Y925"/>
    <mergeCell ref="Z925:AA925"/>
    <mergeCell ref="AB925:AC925"/>
    <mergeCell ref="AD926:AE926"/>
    <mergeCell ref="AF926:AG926"/>
    <mergeCell ref="AH926:AI926"/>
    <mergeCell ref="AJ926:AK926"/>
    <mergeCell ref="AL926:BB926"/>
    <mergeCell ref="P926:Q926"/>
    <mergeCell ref="R926:S926"/>
    <mergeCell ref="T926:U926"/>
    <mergeCell ref="V926:W926"/>
    <mergeCell ref="X926:Y926"/>
    <mergeCell ref="Z926:AA926"/>
    <mergeCell ref="AB926:AC926"/>
    <mergeCell ref="B926:C926"/>
    <mergeCell ref="D926:E926"/>
    <mergeCell ref="F926:G926"/>
    <mergeCell ref="H926:I926"/>
    <mergeCell ref="J926:K926"/>
    <mergeCell ref="L926:M926"/>
    <mergeCell ref="N926:O926"/>
    <mergeCell ref="AD927:AE927"/>
    <mergeCell ref="AF927:AG927"/>
    <mergeCell ref="AH927:AI927"/>
    <mergeCell ref="AJ927:AK927"/>
    <mergeCell ref="AL927:BB927"/>
    <mergeCell ref="AD933:AE933"/>
    <mergeCell ref="AF933:AG933"/>
    <mergeCell ref="AH933:AI933"/>
    <mergeCell ref="AJ933:AK933"/>
    <mergeCell ref="AL933:BB933"/>
    <mergeCell ref="AH934:AI934"/>
    <mergeCell ref="AJ934:AK934"/>
    <mergeCell ref="AL934:BB934"/>
    <mergeCell ref="B934:C934"/>
    <mergeCell ref="D934:E934"/>
    <mergeCell ref="F934:G934"/>
    <mergeCell ref="H934:I934"/>
    <mergeCell ref="J934:K934"/>
    <mergeCell ref="L934:M934"/>
    <mergeCell ref="N934:O934"/>
    <mergeCell ref="AD919:AE919"/>
    <mergeCell ref="AF919:AG919"/>
    <mergeCell ref="P919:Q919"/>
    <mergeCell ref="R919:S919"/>
    <mergeCell ref="T919:U919"/>
    <mergeCell ref="V919:W919"/>
    <mergeCell ref="X919:Y919"/>
    <mergeCell ref="Z919:AA919"/>
    <mergeCell ref="AB919:AC919"/>
    <mergeCell ref="AD920:AE920"/>
    <mergeCell ref="AF920:AG920"/>
    <mergeCell ref="AH920:AI920"/>
    <mergeCell ref="AJ920:AK920"/>
    <mergeCell ref="AL920:BB920"/>
    <mergeCell ref="P920:Q920"/>
    <mergeCell ref="R920:S920"/>
    <mergeCell ref="T920:U920"/>
    <mergeCell ref="V920:W920"/>
    <mergeCell ref="X920:Y920"/>
    <mergeCell ref="Z920:AA920"/>
    <mergeCell ref="AB920:AC920"/>
    <mergeCell ref="B920:C920"/>
    <mergeCell ref="D920:E920"/>
    <mergeCell ref="F920:G920"/>
    <mergeCell ref="H920:I920"/>
    <mergeCell ref="J920:K920"/>
    <mergeCell ref="L920:M920"/>
    <mergeCell ref="N920:O920"/>
    <mergeCell ref="AD921:AE921"/>
    <mergeCell ref="AF921:AG921"/>
    <mergeCell ref="AH921:AI921"/>
    <mergeCell ref="AJ921:AK921"/>
    <mergeCell ref="AL921:BB921"/>
    <mergeCell ref="AH922:AI922"/>
    <mergeCell ref="AJ922:AK922"/>
    <mergeCell ref="AL922:BB922"/>
    <mergeCell ref="B922:C922"/>
    <mergeCell ref="D922:E922"/>
    <mergeCell ref="F922:G922"/>
    <mergeCell ref="H922:I922"/>
    <mergeCell ref="J922:K922"/>
    <mergeCell ref="L922:M922"/>
    <mergeCell ref="N922:O922"/>
    <mergeCell ref="AD922:AE922"/>
    <mergeCell ref="AF922:AG922"/>
    <mergeCell ref="P922:Q922"/>
    <mergeCell ref="R922:S922"/>
    <mergeCell ref="T922:U922"/>
    <mergeCell ref="V922:W922"/>
    <mergeCell ref="AH931:AI931"/>
    <mergeCell ref="AJ931:AK931"/>
    <mergeCell ref="AL931:BB931"/>
    <mergeCell ref="B931:C931"/>
    <mergeCell ref="D931:E931"/>
    <mergeCell ref="F931:G931"/>
    <mergeCell ref="H931:I931"/>
    <mergeCell ref="J931:K931"/>
    <mergeCell ref="L931:M931"/>
    <mergeCell ref="N931:O931"/>
    <mergeCell ref="AD931:AE931"/>
    <mergeCell ref="AF931:AG931"/>
    <mergeCell ref="P931:Q931"/>
    <mergeCell ref="R931:S931"/>
    <mergeCell ref="T931:U931"/>
    <mergeCell ref="V931:W931"/>
    <mergeCell ref="X931:Y931"/>
    <mergeCell ref="Z931:AA931"/>
    <mergeCell ref="AB931:AC931"/>
    <mergeCell ref="AD932:AE932"/>
    <mergeCell ref="AF932:AG932"/>
    <mergeCell ref="AH932:AI932"/>
    <mergeCell ref="AJ932:AK932"/>
    <mergeCell ref="AL932:BB932"/>
    <mergeCell ref="P932:Q932"/>
    <mergeCell ref="R932:S932"/>
    <mergeCell ref="T932:U932"/>
    <mergeCell ref="V932:W932"/>
    <mergeCell ref="X932:Y932"/>
    <mergeCell ref="Z932:AA932"/>
    <mergeCell ref="AB932:AC932"/>
    <mergeCell ref="B932:C932"/>
    <mergeCell ref="D932:E932"/>
    <mergeCell ref="F932:G932"/>
    <mergeCell ref="H932:I932"/>
    <mergeCell ref="J932:K932"/>
    <mergeCell ref="L932:M932"/>
    <mergeCell ref="N932:O932"/>
    <mergeCell ref="AD928:AE928"/>
    <mergeCell ref="AF928:AG928"/>
    <mergeCell ref="P928:Q928"/>
    <mergeCell ref="R928:S928"/>
    <mergeCell ref="T928:U928"/>
    <mergeCell ref="V928:W928"/>
    <mergeCell ref="X928:Y928"/>
    <mergeCell ref="Z928:AA928"/>
    <mergeCell ref="AB928:AC928"/>
    <mergeCell ref="AD929:AE929"/>
    <mergeCell ref="AF929:AG929"/>
    <mergeCell ref="AH929:AI929"/>
    <mergeCell ref="AJ929:AK929"/>
    <mergeCell ref="AL929:BB929"/>
    <mergeCell ref="P929:Q929"/>
    <mergeCell ref="R929:S929"/>
    <mergeCell ref="T929:U929"/>
    <mergeCell ref="V929:W929"/>
    <mergeCell ref="X929:Y929"/>
    <mergeCell ref="Z929:AA929"/>
    <mergeCell ref="AB929:AC929"/>
    <mergeCell ref="B929:C929"/>
    <mergeCell ref="D929:E929"/>
    <mergeCell ref="F929:G929"/>
    <mergeCell ref="H929:I929"/>
    <mergeCell ref="J929:K929"/>
    <mergeCell ref="L929:M929"/>
    <mergeCell ref="N929:O929"/>
    <mergeCell ref="AD930:AE930"/>
    <mergeCell ref="AF930:AG930"/>
    <mergeCell ref="AH930:AI930"/>
    <mergeCell ref="AJ930:AK930"/>
    <mergeCell ref="AL930:BB930"/>
    <mergeCell ref="AH928:AI928"/>
    <mergeCell ref="AJ928:AK928"/>
    <mergeCell ref="AL928:BB928"/>
    <mergeCell ref="B928:C928"/>
    <mergeCell ref="D928:E928"/>
    <mergeCell ref="F928:G928"/>
    <mergeCell ref="H928:I928"/>
    <mergeCell ref="J928:K928"/>
    <mergeCell ref="L928:M928"/>
    <mergeCell ref="N928:O928"/>
    <mergeCell ref="P930:Q930"/>
    <mergeCell ref="R930:S930"/>
    <mergeCell ref="T930:U930"/>
    <mergeCell ref="V930:W930"/>
    <mergeCell ref="X930:Y930"/>
    <mergeCell ref="Z930:AA930"/>
    <mergeCell ref="AB930:AC930"/>
    <mergeCell ref="B930:C930"/>
    <mergeCell ref="D930:E930"/>
    <mergeCell ref="F930:G930"/>
    <mergeCell ref="H930:I930"/>
    <mergeCell ref="J930:K930"/>
    <mergeCell ref="L930:M930"/>
    <mergeCell ref="N930:O930"/>
    <mergeCell ref="AH919:AI919"/>
    <mergeCell ref="AJ919:AK919"/>
    <mergeCell ref="AL919:BB919"/>
    <mergeCell ref="B919:C919"/>
    <mergeCell ref="D919:E919"/>
    <mergeCell ref="F919:G919"/>
    <mergeCell ref="H919:I919"/>
    <mergeCell ref="J919:K919"/>
    <mergeCell ref="L919:M919"/>
    <mergeCell ref="N919:O919"/>
    <mergeCell ref="P921:Q921"/>
    <mergeCell ref="R921:S921"/>
    <mergeCell ref="T921:U921"/>
    <mergeCell ref="V921:W921"/>
    <mergeCell ref="X921:Y921"/>
    <mergeCell ref="Z921:AA921"/>
    <mergeCell ref="AB921:AC921"/>
    <mergeCell ref="B921:C921"/>
    <mergeCell ref="D921:E921"/>
    <mergeCell ref="F921:G921"/>
    <mergeCell ref="H921:I921"/>
    <mergeCell ref="J921:K921"/>
    <mergeCell ref="L921:M921"/>
    <mergeCell ref="N921:O921"/>
    <mergeCell ref="P924:Q924"/>
    <mergeCell ref="R924:S924"/>
    <mergeCell ref="T924:U924"/>
    <mergeCell ref="V924:W924"/>
    <mergeCell ref="X924:Y924"/>
    <mergeCell ref="Z924:AA924"/>
    <mergeCell ref="AB924:AC924"/>
    <mergeCell ref="B924:C924"/>
    <mergeCell ref="D924:E924"/>
    <mergeCell ref="F924:G924"/>
    <mergeCell ref="H924:I924"/>
    <mergeCell ref="J924:K924"/>
    <mergeCell ref="L924:M924"/>
    <mergeCell ref="N924:O924"/>
    <mergeCell ref="X922:Y922"/>
    <mergeCell ref="Z922:AA922"/>
    <mergeCell ref="AB922:AC922"/>
    <mergeCell ref="AD923:AE923"/>
    <mergeCell ref="AF923:AG923"/>
    <mergeCell ref="AH923:AI923"/>
    <mergeCell ref="AJ923:AK923"/>
    <mergeCell ref="AL923:BB923"/>
    <mergeCell ref="P923:Q923"/>
    <mergeCell ref="R923:S923"/>
    <mergeCell ref="T923:U923"/>
    <mergeCell ref="V923:W923"/>
    <mergeCell ref="X923:Y923"/>
    <mergeCell ref="Z923:AA923"/>
    <mergeCell ref="AB923:AC923"/>
    <mergeCell ref="B923:C923"/>
    <mergeCell ref="D923:E923"/>
    <mergeCell ref="F923:G923"/>
    <mergeCell ref="H923:I923"/>
    <mergeCell ref="J923:K923"/>
    <mergeCell ref="L923:M923"/>
    <mergeCell ref="N923:O923"/>
    <mergeCell ref="AD924:AE924"/>
    <mergeCell ref="AF924:AG924"/>
    <mergeCell ref="AH924:AI924"/>
    <mergeCell ref="AJ924:AK924"/>
    <mergeCell ref="AH916:AI916"/>
    <mergeCell ref="AJ916:AK916"/>
    <mergeCell ref="AL916:BB916"/>
    <mergeCell ref="B916:C916"/>
    <mergeCell ref="D916:E916"/>
    <mergeCell ref="F916:G916"/>
    <mergeCell ref="H916:I916"/>
    <mergeCell ref="J916:K916"/>
    <mergeCell ref="L916:M916"/>
    <mergeCell ref="N916:O916"/>
    <mergeCell ref="P918:Q918"/>
    <mergeCell ref="R918:S918"/>
    <mergeCell ref="T918:U918"/>
    <mergeCell ref="V918:W918"/>
    <mergeCell ref="X918:Y918"/>
    <mergeCell ref="Z918:AA918"/>
    <mergeCell ref="AB918:AC918"/>
    <mergeCell ref="B918:C918"/>
    <mergeCell ref="D918:E918"/>
    <mergeCell ref="F918:G918"/>
    <mergeCell ref="H918:I918"/>
    <mergeCell ref="J918:K918"/>
    <mergeCell ref="L918:M918"/>
    <mergeCell ref="N918:O918"/>
    <mergeCell ref="AD916:AE916"/>
    <mergeCell ref="AF916:AG916"/>
    <mergeCell ref="P916:Q916"/>
    <mergeCell ref="R916:S916"/>
    <mergeCell ref="T916:U916"/>
    <mergeCell ref="V916:W916"/>
    <mergeCell ref="X916:Y916"/>
    <mergeCell ref="Z916:AA916"/>
    <mergeCell ref="AB916:AC916"/>
    <mergeCell ref="AD917:AE917"/>
    <mergeCell ref="AF917:AG917"/>
    <mergeCell ref="AH917:AI917"/>
    <mergeCell ref="AJ917:AK917"/>
    <mergeCell ref="AL917:BB917"/>
    <mergeCell ref="P917:Q917"/>
    <mergeCell ref="R917:S917"/>
    <mergeCell ref="T917:U917"/>
    <mergeCell ref="V917:W917"/>
    <mergeCell ref="X917:Y917"/>
    <mergeCell ref="Z917:AA917"/>
    <mergeCell ref="AB917:AC917"/>
    <mergeCell ref="B917:C917"/>
    <mergeCell ref="D917:E917"/>
    <mergeCell ref="F917:G917"/>
    <mergeCell ref="H917:I917"/>
    <mergeCell ref="J917:K917"/>
    <mergeCell ref="L917:M917"/>
    <mergeCell ref="N917:O917"/>
    <mergeCell ref="AD918:AE918"/>
    <mergeCell ref="AF918:AG918"/>
    <mergeCell ref="AH918:AI918"/>
    <mergeCell ref="AJ918:AK918"/>
    <mergeCell ref="AL918:BB918"/>
    <mergeCell ref="B913:C913"/>
    <mergeCell ref="D913:E913"/>
    <mergeCell ref="F913:G913"/>
    <mergeCell ref="H913:I913"/>
    <mergeCell ref="J913:K913"/>
    <mergeCell ref="L913:M913"/>
    <mergeCell ref="N913:O913"/>
    <mergeCell ref="AD914:AE914"/>
    <mergeCell ref="AF914:AG914"/>
    <mergeCell ref="AH914:AI914"/>
    <mergeCell ref="AJ914:AK914"/>
    <mergeCell ref="AL914:BB914"/>
    <mergeCell ref="P914:Q914"/>
    <mergeCell ref="R914:S914"/>
    <mergeCell ref="T914:U914"/>
    <mergeCell ref="V914:W914"/>
    <mergeCell ref="X914:Y914"/>
    <mergeCell ref="Z914:AA914"/>
    <mergeCell ref="AB914:AC914"/>
    <mergeCell ref="B914:C914"/>
    <mergeCell ref="D914:E914"/>
    <mergeCell ref="F914:G914"/>
    <mergeCell ref="H914:I914"/>
    <mergeCell ref="J914:K914"/>
    <mergeCell ref="L914:M914"/>
    <mergeCell ref="N914:O914"/>
    <mergeCell ref="AD915:AE915"/>
    <mergeCell ref="AF915:AG915"/>
    <mergeCell ref="AH915:AI915"/>
    <mergeCell ref="AJ915:AK915"/>
    <mergeCell ref="AL915:BB915"/>
    <mergeCell ref="P915:Q915"/>
    <mergeCell ref="R915:S915"/>
    <mergeCell ref="T915:U915"/>
    <mergeCell ref="V915:W915"/>
    <mergeCell ref="X915:Y915"/>
    <mergeCell ref="Z915:AA915"/>
    <mergeCell ref="AB915:AC915"/>
    <mergeCell ref="B915:C915"/>
    <mergeCell ref="D915:E915"/>
    <mergeCell ref="F915:G915"/>
    <mergeCell ref="H915:I915"/>
    <mergeCell ref="J915:K915"/>
    <mergeCell ref="L915:M915"/>
    <mergeCell ref="N915:O915"/>
    <mergeCell ref="AH910:AI910"/>
    <mergeCell ref="AJ910:AK910"/>
    <mergeCell ref="AL910:BB910"/>
    <mergeCell ref="B910:C910"/>
    <mergeCell ref="D910:E910"/>
    <mergeCell ref="F910:G910"/>
    <mergeCell ref="H910:I910"/>
    <mergeCell ref="J910:K910"/>
    <mergeCell ref="L910:M910"/>
    <mergeCell ref="N910:O910"/>
    <mergeCell ref="P912:Q912"/>
    <mergeCell ref="R912:S912"/>
    <mergeCell ref="T912:U912"/>
    <mergeCell ref="V912:W912"/>
    <mergeCell ref="X912:Y912"/>
    <mergeCell ref="Z912:AA912"/>
    <mergeCell ref="AB912:AC912"/>
    <mergeCell ref="B912:C912"/>
    <mergeCell ref="D912:E912"/>
    <mergeCell ref="F912:G912"/>
    <mergeCell ref="H912:I912"/>
    <mergeCell ref="J912:K912"/>
    <mergeCell ref="L912:M912"/>
    <mergeCell ref="N912:O912"/>
    <mergeCell ref="AD910:AE910"/>
    <mergeCell ref="AF910:AG910"/>
    <mergeCell ref="P910:Q910"/>
    <mergeCell ref="R910:S910"/>
    <mergeCell ref="T910:U910"/>
    <mergeCell ref="V910:W910"/>
    <mergeCell ref="X910:Y910"/>
    <mergeCell ref="Z910:AA910"/>
    <mergeCell ref="AB910:AC910"/>
    <mergeCell ref="AD911:AE911"/>
    <mergeCell ref="AF911:AG911"/>
    <mergeCell ref="AH911:AI911"/>
    <mergeCell ref="AJ911:AK911"/>
    <mergeCell ref="AL911:BB911"/>
    <mergeCell ref="P911:Q911"/>
    <mergeCell ref="R911:S911"/>
    <mergeCell ref="T911:U911"/>
    <mergeCell ref="V911:W911"/>
    <mergeCell ref="X911:Y911"/>
    <mergeCell ref="Z911:AA911"/>
    <mergeCell ref="AB911:AC911"/>
    <mergeCell ref="B911:C911"/>
    <mergeCell ref="D911:E911"/>
    <mergeCell ref="F911:G911"/>
    <mergeCell ref="H911:I911"/>
    <mergeCell ref="J911:K911"/>
    <mergeCell ref="L911:M911"/>
    <mergeCell ref="N911:O911"/>
    <mergeCell ref="AD912:AE912"/>
    <mergeCell ref="AF912:AG912"/>
    <mergeCell ref="AH912:AI912"/>
    <mergeCell ref="AJ912:AK912"/>
    <mergeCell ref="AL912:BB912"/>
    <mergeCell ref="AH907:AI907"/>
    <mergeCell ref="AJ907:AK907"/>
    <mergeCell ref="AL907:BB907"/>
    <mergeCell ref="B907:C907"/>
    <mergeCell ref="D907:E907"/>
    <mergeCell ref="F907:G907"/>
    <mergeCell ref="H907:I907"/>
    <mergeCell ref="J907:K907"/>
    <mergeCell ref="L907:M907"/>
    <mergeCell ref="N907:O907"/>
    <mergeCell ref="P909:Q909"/>
    <mergeCell ref="R909:S909"/>
    <mergeCell ref="T909:U909"/>
    <mergeCell ref="V909:W909"/>
    <mergeCell ref="X909:Y909"/>
    <mergeCell ref="Z909:AA909"/>
    <mergeCell ref="AB909:AC909"/>
    <mergeCell ref="B909:C909"/>
    <mergeCell ref="D909:E909"/>
    <mergeCell ref="F909:G909"/>
    <mergeCell ref="H909:I909"/>
    <mergeCell ref="J909:K909"/>
    <mergeCell ref="L909:M909"/>
    <mergeCell ref="N909:O909"/>
    <mergeCell ref="AD907:AE907"/>
    <mergeCell ref="AF907:AG907"/>
    <mergeCell ref="P907:Q907"/>
    <mergeCell ref="R907:S907"/>
    <mergeCell ref="T907:U907"/>
    <mergeCell ref="V907:W907"/>
    <mergeCell ref="X907:Y907"/>
    <mergeCell ref="Z907:AA907"/>
    <mergeCell ref="AB907:AC907"/>
    <mergeCell ref="AD908:AE908"/>
    <mergeCell ref="AF908:AG908"/>
    <mergeCell ref="AH908:AI908"/>
    <mergeCell ref="AJ908:AK908"/>
    <mergeCell ref="AL908:BB908"/>
    <mergeCell ref="P908:Q908"/>
    <mergeCell ref="R908:S908"/>
    <mergeCell ref="T908:U908"/>
    <mergeCell ref="V908:W908"/>
    <mergeCell ref="X908:Y908"/>
    <mergeCell ref="Z908:AA908"/>
    <mergeCell ref="AB908:AC908"/>
    <mergeCell ref="B908:C908"/>
    <mergeCell ref="D908:E908"/>
    <mergeCell ref="F908:G908"/>
    <mergeCell ref="H908:I908"/>
    <mergeCell ref="J908:K908"/>
    <mergeCell ref="L908:M908"/>
    <mergeCell ref="N908:O908"/>
    <mergeCell ref="AD909:AE909"/>
    <mergeCell ref="AF909:AG909"/>
    <mergeCell ref="AH909:AI909"/>
    <mergeCell ref="AJ909:AK909"/>
    <mergeCell ref="AL909:BB909"/>
    <mergeCell ref="AH904:AI904"/>
    <mergeCell ref="AJ904:AK904"/>
    <mergeCell ref="AL904:BB904"/>
    <mergeCell ref="B904:C904"/>
    <mergeCell ref="D904:E904"/>
    <mergeCell ref="F904:G904"/>
    <mergeCell ref="H904:I904"/>
    <mergeCell ref="J904:K904"/>
    <mergeCell ref="L904:M904"/>
    <mergeCell ref="N904:O904"/>
    <mergeCell ref="P906:Q906"/>
    <mergeCell ref="R906:S906"/>
    <mergeCell ref="T906:U906"/>
    <mergeCell ref="V906:W906"/>
    <mergeCell ref="X906:Y906"/>
    <mergeCell ref="Z906:AA906"/>
    <mergeCell ref="AB906:AC906"/>
    <mergeCell ref="B906:C906"/>
    <mergeCell ref="D906:E906"/>
    <mergeCell ref="F906:G906"/>
    <mergeCell ref="H906:I906"/>
    <mergeCell ref="J906:K906"/>
    <mergeCell ref="L906:M906"/>
    <mergeCell ref="N906:O906"/>
    <mergeCell ref="AD904:AE904"/>
    <mergeCell ref="AF904:AG904"/>
    <mergeCell ref="P904:Q904"/>
    <mergeCell ref="R904:S904"/>
    <mergeCell ref="T904:U904"/>
    <mergeCell ref="V904:W904"/>
    <mergeCell ref="X904:Y904"/>
    <mergeCell ref="Z904:AA904"/>
    <mergeCell ref="AB904:AC904"/>
    <mergeCell ref="AD905:AE905"/>
    <mergeCell ref="AF905:AG905"/>
    <mergeCell ref="AH905:AI905"/>
    <mergeCell ref="AJ905:AK905"/>
    <mergeCell ref="AL905:BB905"/>
    <mergeCell ref="P905:Q905"/>
    <mergeCell ref="R905:S905"/>
    <mergeCell ref="T905:U905"/>
    <mergeCell ref="V905:W905"/>
    <mergeCell ref="X905:Y905"/>
    <mergeCell ref="Z905:AA905"/>
    <mergeCell ref="AB905:AC905"/>
    <mergeCell ref="B905:C905"/>
    <mergeCell ref="D905:E905"/>
    <mergeCell ref="F905:G905"/>
    <mergeCell ref="H905:I905"/>
    <mergeCell ref="J905:K905"/>
    <mergeCell ref="L905:M905"/>
    <mergeCell ref="N905:O905"/>
    <mergeCell ref="AD906:AE906"/>
    <mergeCell ref="AF906:AG906"/>
    <mergeCell ref="AH906:AI906"/>
    <mergeCell ref="AJ906:AK906"/>
    <mergeCell ref="AL906:BB906"/>
    <mergeCell ref="AH901:AI901"/>
    <mergeCell ref="AJ901:AK901"/>
    <mergeCell ref="AL901:BB901"/>
    <mergeCell ref="B901:C901"/>
    <mergeCell ref="D901:E901"/>
    <mergeCell ref="F901:G901"/>
    <mergeCell ref="H901:I901"/>
    <mergeCell ref="J901:K901"/>
    <mergeCell ref="L901:M901"/>
    <mergeCell ref="N901:O901"/>
    <mergeCell ref="P903:Q903"/>
    <mergeCell ref="R903:S903"/>
    <mergeCell ref="T903:U903"/>
    <mergeCell ref="V903:W903"/>
    <mergeCell ref="X903:Y903"/>
    <mergeCell ref="Z903:AA903"/>
    <mergeCell ref="AB903:AC903"/>
    <mergeCell ref="B903:C903"/>
    <mergeCell ref="D903:E903"/>
    <mergeCell ref="F903:G903"/>
    <mergeCell ref="H903:I903"/>
    <mergeCell ref="J903:K903"/>
    <mergeCell ref="L903:M903"/>
    <mergeCell ref="N903:O903"/>
    <mergeCell ref="AD901:AE901"/>
    <mergeCell ref="AF901:AG901"/>
    <mergeCell ref="P901:Q901"/>
    <mergeCell ref="R901:S901"/>
    <mergeCell ref="T901:U901"/>
    <mergeCell ref="V901:W901"/>
    <mergeCell ref="X901:Y901"/>
    <mergeCell ref="Z901:AA901"/>
    <mergeCell ref="AB901:AC901"/>
    <mergeCell ref="AD902:AE902"/>
    <mergeCell ref="AF902:AG902"/>
    <mergeCell ref="AH902:AI902"/>
    <mergeCell ref="AJ902:AK902"/>
    <mergeCell ref="AL902:BB902"/>
    <mergeCell ref="P902:Q902"/>
    <mergeCell ref="R902:S902"/>
    <mergeCell ref="T902:U902"/>
    <mergeCell ref="V902:W902"/>
    <mergeCell ref="X902:Y902"/>
    <mergeCell ref="Z902:AA902"/>
    <mergeCell ref="AB902:AC902"/>
    <mergeCell ref="B902:C902"/>
    <mergeCell ref="D902:E902"/>
    <mergeCell ref="F902:G902"/>
    <mergeCell ref="H902:I902"/>
    <mergeCell ref="J902:K902"/>
    <mergeCell ref="L902:M902"/>
    <mergeCell ref="N902:O902"/>
    <mergeCell ref="AD903:AE903"/>
    <mergeCell ref="AF903:AG903"/>
    <mergeCell ref="AH903:AI903"/>
    <mergeCell ref="AJ903:AK903"/>
    <mergeCell ref="AL903:BB903"/>
    <mergeCell ref="AJ897:AK897"/>
    <mergeCell ref="AL897:BB897"/>
    <mergeCell ref="AH898:AI898"/>
    <mergeCell ref="AJ898:AK898"/>
    <mergeCell ref="AL898:BB898"/>
    <mergeCell ref="B898:C898"/>
    <mergeCell ref="D898:E898"/>
    <mergeCell ref="F898:G898"/>
    <mergeCell ref="H898:I898"/>
    <mergeCell ref="J898:K898"/>
    <mergeCell ref="L898:M898"/>
    <mergeCell ref="N898:O898"/>
    <mergeCell ref="P900:Q900"/>
    <mergeCell ref="R900:S900"/>
    <mergeCell ref="T900:U900"/>
    <mergeCell ref="V900:W900"/>
    <mergeCell ref="X900:Y900"/>
    <mergeCell ref="Z900:AA900"/>
    <mergeCell ref="AB900:AC900"/>
    <mergeCell ref="B900:C900"/>
    <mergeCell ref="D900:E900"/>
    <mergeCell ref="F900:G900"/>
    <mergeCell ref="H900:I900"/>
    <mergeCell ref="J900:K900"/>
    <mergeCell ref="L900:M900"/>
    <mergeCell ref="N900:O900"/>
    <mergeCell ref="AD898:AE898"/>
    <mergeCell ref="AF898:AG898"/>
    <mergeCell ref="P898:Q898"/>
    <mergeCell ref="R898:S898"/>
    <mergeCell ref="T898:U898"/>
    <mergeCell ref="V898:W898"/>
    <mergeCell ref="X898:Y898"/>
    <mergeCell ref="Z898:AA898"/>
    <mergeCell ref="AB898:AC898"/>
    <mergeCell ref="AD899:AE899"/>
    <mergeCell ref="AF899:AG899"/>
    <mergeCell ref="AH899:AI899"/>
    <mergeCell ref="AJ899:AK899"/>
    <mergeCell ref="AL899:BB899"/>
    <mergeCell ref="P899:Q899"/>
    <mergeCell ref="R899:S899"/>
    <mergeCell ref="T899:U899"/>
    <mergeCell ref="V899:W899"/>
    <mergeCell ref="X899:Y899"/>
    <mergeCell ref="Z899:AA899"/>
    <mergeCell ref="AB899:AC899"/>
    <mergeCell ref="B899:C899"/>
    <mergeCell ref="D899:E899"/>
    <mergeCell ref="F899:G899"/>
    <mergeCell ref="H899:I899"/>
    <mergeCell ref="J899:K899"/>
    <mergeCell ref="L899:M899"/>
    <mergeCell ref="N899:O899"/>
    <mergeCell ref="AD900:AE900"/>
    <mergeCell ref="AF900:AG900"/>
    <mergeCell ref="AH900:AI900"/>
    <mergeCell ref="AJ900:AK900"/>
    <mergeCell ref="AL900:BB900"/>
    <mergeCell ref="H893:I893"/>
    <mergeCell ref="J893:K893"/>
    <mergeCell ref="L893:M893"/>
    <mergeCell ref="N893:O893"/>
    <mergeCell ref="AD894:AE894"/>
    <mergeCell ref="AF894:AG894"/>
    <mergeCell ref="AH894:AI894"/>
    <mergeCell ref="AJ894:AK894"/>
    <mergeCell ref="AL894:BB894"/>
    <mergeCell ref="AH895:AI895"/>
    <mergeCell ref="AJ895:AK895"/>
    <mergeCell ref="AL895:BB895"/>
    <mergeCell ref="B895:C895"/>
    <mergeCell ref="D895:E895"/>
    <mergeCell ref="F895:G895"/>
    <mergeCell ref="H895:I895"/>
    <mergeCell ref="J895:K895"/>
    <mergeCell ref="L895:M895"/>
    <mergeCell ref="N895:O895"/>
    <mergeCell ref="P897:Q897"/>
    <mergeCell ref="R897:S897"/>
    <mergeCell ref="T897:U897"/>
    <mergeCell ref="V897:W897"/>
    <mergeCell ref="X897:Y897"/>
    <mergeCell ref="Z897:AA897"/>
    <mergeCell ref="AB897:AC897"/>
    <mergeCell ref="B897:C897"/>
    <mergeCell ref="D897:E897"/>
    <mergeCell ref="F897:G897"/>
    <mergeCell ref="H897:I897"/>
    <mergeCell ref="J897:K897"/>
    <mergeCell ref="L897:M897"/>
    <mergeCell ref="N897:O897"/>
    <mergeCell ref="AD895:AE895"/>
    <mergeCell ref="AF895:AG895"/>
    <mergeCell ref="P895:Q895"/>
    <mergeCell ref="R895:S895"/>
    <mergeCell ref="T895:U895"/>
    <mergeCell ref="V895:W895"/>
    <mergeCell ref="X895:Y895"/>
    <mergeCell ref="Z895:AA895"/>
    <mergeCell ref="AB895:AC895"/>
    <mergeCell ref="AD896:AE896"/>
    <mergeCell ref="AF896:AG896"/>
    <mergeCell ref="AH896:AI896"/>
    <mergeCell ref="AJ896:AK896"/>
    <mergeCell ref="AL896:BB896"/>
    <mergeCell ref="P896:Q896"/>
    <mergeCell ref="R896:S896"/>
    <mergeCell ref="T896:U896"/>
    <mergeCell ref="V896:W896"/>
    <mergeCell ref="X896:Y896"/>
    <mergeCell ref="Z896:AA896"/>
    <mergeCell ref="AB896:AC896"/>
    <mergeCell ref="B896:C896"/>
    <mergeCell ref="D896:E896"/>
    <mergeCell ref="F896:G896"/>
    <mergeCell ref="H896:I896"/>
    <mergeCell ref="J896:K896"/>
    <mergeCell ref="L896:M896"/>
    <mergeCell ref="N896:O896"/>
    <mergeCell ref="AD897:AE897"/>
    <mergeCell ref="AF897:AG897"/>
    <mergeCell ref="AH897:AI897"/>
    <mergeCell ref="P891:Q891"/>
    <mergeCell ref="R891:S891"/>
    <mergeCell ref="T891:U891"/>
    <mergeCell ref="V891:W891"/>
    <mergeCell ref="X891:Y891"/>
    <mergeCell ref="Z891:AA891"/>
    <mergeCell ref="AB891:AC891"/>
    <mergeCell ref="B891:C891"/>
    <mergeCell ref="D891:E891"/>
    <mergeCell ref="F891:G891"/>
    <mergeCell ref="H891:I891"/>
    <mergeCell ref="J891:K891"/>
    <mergeCell ref="L891:M891"/>
    <mergeCell ref="N891:O891"/>
    <mergeCell ref="AD913:AE913"/>
    <mergeCell ref="AF913:AG913"/>
    <mergeCell ref="AH913:AI913"/>
    <mergeCell ref="AJ913:AK913"/>
    <mergeCell ref="AL913:BB913"/>
    <mergeCell ref="P913:Q913"/>
    <mergeCell ref="R913:S913"/>
    <mergeCell ref="T913:U913"/>
    <mergeCell ref="V913:W913"/>
    <mergeCell ref="X913:Y913"/>
    <mergeCell ref="Z913:AA913"/>
    <mergeCell ref="AB913:AC913"/>
    <mergeCell ref="P894:Q894"/>
    <mergeCell ref="R894:S894"/>
    <mergeCell ref="T894:U894"/>
    <mergeCell ref="V894:W894"/>
    <mergeCell ref="X894:Y894"/>
    <mergeCell ref="Z894:AA894"/>
    <mergeCell ref="AB894:AC894"/>
    <mergeCell ref="B894:C894"/>
    <mergeCell ref="D894:E894"/>
    <mergeCell ref="F894:G894"/>
    <mergeCell ref="H894:I894"/>
    <mergeCell ref="J894:K894"/>
    <mergeCell ref="L894:M894"/>
    <mergeCell ref="N894:O894"/>
    <mergeCell ref="AD892:AE892"/>
    <mergeCell ref="AF892:AG892"/>
    <mergeCell ref="P892:Q892"/>
    <mergeCell ref="R892:S892"/>
    <mergeCell ref="T892:U892"/>
    <mergeCell ref="V892:W892"/>
    <mergeCell ref="X892:Y892"/>
    <mergeCell ref="Z892:AA892"/>
    <mergeCell ref="AB892:AC892"/>
    <mergeCell ref="AD893:AE893"/>
    <mergeCell ref="AF893:AG893"/>
    <mergeCell ref="AH893:AI893"/>
    <mergeCell ref="AJ893:AK893"/>
    <mergeCell ref="AL893:BB893"/>
    <mergeCell ref="P893:Q893"/>
    <mergeCell ref="R893:S893"/>
    <mergeCell ref="T893:U893"/>
    <mergeCell ref="V893:W893"/>
    <mergeCell ref="X893:Y893"/>
    <mergeCell ref="Z893:AA893"/>
    <mergeCell ref="AB893:AC893"/>
    <mergeCell ref="B893:C893"/>
    <mergeCell ref="D893:E893"/>
    <mergeCell ref="F893:G893"/>
    <mergeCell ref="AL882:BB882"/>
    <mergeCell ref="AH883:AI883"/>
    <mergeCell ref="AJ883:AK883"/>
    <mergeCell ref="AL883:BB883"/>
    <mergeCell ref="B883:C883"/>
    <mergeCell ref="D883:E883"/>
    <mergeCell ref="F883:G883"/>
    <mergeCell ref="H883:I883"/>
    <mergeCell ref="J883:K883"/>
    <mergeCell ref="L883:M883"/>
    <mergeCell ref="N883:O883"/>
    <mergeCell ref="P885:Q885"/>
    <mergeCell ref="R885:S885"/>
    <mergeCell ref="T885:U885"/>
    <mergeCell ref="V885:W885"/>
    <mergeCell ref="X885:Y885"/>
    <mergeCell ref="Z885:AA885"/>
    <mergeCell ref="AB885:AC885"/>
    <mergeCell ref="B885:C885"/>
    <mergeCell ref="D885:E885"/>
    <mergeCell ref="F885:G885"/>
    <mergeCell ref="H885:I885"/>
    <mergeCell ref="J885:K885"/>
    <mergeCell ref="L885:M885"/>
    <mergeCell ref="N885:O885"/>
    <mergeCell ref="AD883:AE883"/>
    <mergeCell ref="AF883:AG883"/>
    <mergeCell ref="P883:Q883"/>
    <mergeCell ref="R883:S883"/>
    <mergeCell ref="T883:U883"/>
    <mergeCell ref="V883:W883"/>
    <mergeCell ref="X883:Y883"/>
    <mergeCell ref="Z883:AA883"/>
    <mergeCell ref="AB883:AC883"/>
    <mergeCell ref="AD884:AE884"/>
    <mergeCell ref="AF884:AG884"/>
    <mergeCell ref="AH884:AI884"/>
    <mergeCell ref="AJ884:AK884"/>
    <mergeCell ref="AL884:BB884"/>
    <mergeCell ref="P884:Q884"/>
    <mergeCell ref="R884:S884"/>
    <mergeCell ref="T884:U884"/>
    <mergeCell ref="V884:W884"/>
    <mergeCell ref="X884:Y884"/>
    <mergeCell ref="Z884:AA884"/>
    <mergeCell ref="AB884:AC884"/>
    <mergeCell ref="B884:C884"/>
    <mergeCell ref="D884:E884"/>
    <mergeCell ref="F884:G884"/>
    <mergeCell ref="H884:I884"/>
    <mergeCell ref="J884:K884"/>
    <mergeCell ref="L884:M884"/>
    <mergeCell ref="N884:O884"/>
    <mergeCell ref="AD885:AE885"/>
    <mergeCell ref="AF885:AG885"/>
    <mergeCell ref="AH885:AI885"/>
    <mergeCell ref="AJ885:AK885"/>
    <mergeCell ref="AL885:BB885"/>
    <mergeCell ref="AD891:AE891"/>
    <mergeCell ref="AF891:AG891"/>
    <mergeCell ref="AH891:AI891"/>
    <mergeCell ref="AJ891:AK891"/>
    <mergeCell ref="AL891:BB891"/>
    <mergeCell ref="AH892:AI892"/>
    <mergeCell ref="AJ892:AK892"/>
    <mergeCell ref="AL892:BB892"/>
    <mergeCell ref="B892:C892"/>
    <mergeCell ref="D892:E892"/>
    <mergeCell ref="F892:G892"/>
    <mergeCell ref="H892:I892"/>
    <mergeCell ref="J892:K892"/>
    <mergeCell ref="L892:M892"/>
    <mergeCell ref="N892:O892"/>
    <mergeCell ref="AD877:AE877"/>
    <mergeCell ref="AF877:AG877"/>
    <mergeCell ref="P877:Q877"/>
    <mergeCell ref="R877:S877"/>
    <mergeCell ref="T877:U877"/>
    <mergeCell ref="V877:W877"/>
    <mergeCell ref="X877:Y877"/>
    <mergeCell ref="Z877:AA877"/>
    <mergeCell ref="AB877:AC877"/>
    <mergeCell ref="AD878:AE878"/>
    <mergeCell ref="AF878:AG878"/>
    <mergeCell ref="AH878:AI878"/>
    <mergeCell ref="AJ878:AK878"/>
    <mergeCell ref="AL878:BB878"/>
    <mergeCell ref="P878:Q878"/>
    <mergeCell ref="R878:S878"/>
    <mergeCell ref="T878:U878"/>
    <mergeCell ref="V878:W878"/>
    <mergeCell ref="X878:Y878"/>
    <mergeCell ref="Z878:AA878"/>
    <mergeCell ref="AB878:AC878"/>
    <mergeCell ref="B878:C878"/>
    <mergeCell ref="D878:E878"/>
    <mergeCell ref="F878:G878"/>
    <mergeCell ref="H878:I878"/>
    <mergeCell ref="J878:K878"/>
    <mergeCell ref="L878:M878"/>
    <mergeCell ref="N878:O878"/>
    <mergeCell ref="AD879:AE879"/>
    <mergeCell ref="AF879:AG879"/>
    <mergeCell ref="AH879:AI879"/>
    <mergeCell ref="AJ879:AK879"/>
    <mergeCell ref="AL879:BB879"/>
    <mergeCell ref="AH880:AI880"/>
    <mergeCell ref="AJ880:AK880"/>
    <mergeCell ref="AL880:BB880"/>
    <mergeCell ref="B880:C880"/>
    <mergeCell ref="D880:E880"/>
    <mergeCell ref="F880:G880"/>
    <mergeCell ref="H880:I880"/>
    <mergeCell ref="J880:K880"/>
    <mergeCell ref="L880:M880"/>
    <mergeCell ref="N880:O880"/>
    <mergeCell ref="AD880:AE880"/>
    <mergeCell ref="AF880:AG880"/>
    <mergeCell ref="P880:Q880"/>
    <mergeCell ref="R880:S880"/>
    <mergeCell ref="T880:U880"/>
    <mergeCell ref="V880:W880"/>
    <mergeCell ref="AH889:AI889"/>
    <mergeCell ref="AJ889:AK889"/>
    <mergeCell ref="AL889:BB889"/>
    <mergeCell ref="B889:C889"/>
    <mergeCell ref="D889:E889"/>
    <mergeCell ref="F889:G889"/>
    <mergeCell ref="H889:I889"/>
    <mergeCell ref="J889:K889"/>
    <mergeCell ref="L889:M889"/>
    <mergeCell ref="N889:O889"/>
    <mergeCell ref="AD889:AE889"/>
    <mergeCell ref="AF889:AG889"/>
    <mergeCell ref="P889:Q889"/>
    <mergeCell ref="R889:S889"/>
    <mergeCell ref="T889:U889"/>
    <mergeCell ref="V889:W889"/>
    <mergeCell ref="X889:Y889"/>
    <mergeCell ref="Z889:AA889"/>
    <mergeCell ref="AB889:AC889"/>
    <mergeCell ref="AD890:AE890"/>
    <mergeCell ref="AF890:AG890"/>
    <mergeCell ref="AH890:AI890"/>
    <mergeCell ref="AJ890:AK890"/>
    <mergeCell ref="AL890:BB890"/>
    <mergeCell ref="P890:Q890"/>
    <mergeCell ref="R890:S890"/>
    <mergeCell ref="T890:U890"/>
    <mergeCell ref="V890:W890"/>
    <mergeCell ref="X890:Y890"/>
    <mergeCell ref="Z890:AA890"/>
    <mergeCell ref="AB890:AC890"/>
    <mergeCell ref="B890:C890"/>
    <mergeCell ref="D890:E890"/>
    <mergeCell ref="F890:G890"/>
    <mergeCell ref="H890:I890"/>
    <mergeCell ref="J890:K890"/>
    <mergeCell ref="L890:M890"/>
    <mergeCell ref="N890:O890"/>
    <mergeCell ref="AD886:AE886"/>
    <mergeCell ref="AF886:AG886"/>
    <mergeCell ref="P886:Q886"/>
    <mergeCell ref="R886:S886"/>
    <mergeCell ref="T886:U886"/>
    <mergeCell ref="V886:W886"/>
    <mergeCell ref="X886:Y886"/>
    <mergeCell ref="Z886:AA886"/>
    <mergeCell ref="AB886:AC886"/>
    <mergeCell ref="AD887:AE887"/>
    <mergeCell ref="AF887:AG887"/>
    <mergeCell ref="AH887:AI887"/>
    <mergeCell ref="AJ887:AK887"/>
    <mergeCell ref="AL887:BB887"/>
    <mergeCell ref="P887:Q887"/>
    <mergeCell ref="R887:S887"/>
    <mergeCell ref="T887:U887"/>
    <mergeCell ref="V887:W887"/>
    <mergeCell ref="X887:Y887"/>
    <mergeCell ref="Z887:AA887"/>
    <mergeCell ref="AB887:AC887"/>
    <mergeCell ref="B887:C887"/>
    <mergeCell ref="D887:E887"/>
    <mergeCell ref="F887:G887"/>
    <mergeCell ref="H887:I887"/>
    <mergeCell ref="J887:K887"/>
    <mergeCell ref="L887:M887"/>
    <mergeCell ref="N887:O887"/>
    <mergeCell ref="AD888:AE888"/>
    <mergeCell ref="AF888:AG888"/>
    <mergeCell ref="AH888:AI888"/>
    <mergeCell ref="AJ888:AK888"/>
    <mergeCell ref="AL888:BB888"/>
    <mergeCell ref="AH886:AI886"/>
    <mergeCell ref="AJ886:AK886"/>
    <mergeCell ref="AL886:BB886"/>
    <mergeCell ref="B886:C886"/>
    <mergeCell ref="D886:E886"/>
    <mergeCell ref="F886:G886"/>
    <mergeCell ref="H886:I886"/>
    <mergeCell ref="J886:K886"/>
    <mergeCell ref="L886:M886"/>
    <mergeCell ref="N886:O886"/>
    <mergeCell ref="P888:Q888"/>
    <mergeCell ref="R888:S888"/>
    <mergeCell ref="T888:U888"/>
    <mergeCell ref="V888:W888"/>
    <mergeCell ref="X888:Y888"/>
    <mergeCell ref="Z888:AA888"/>
    <mergeCell ref="AB888:AC888"/>
    <mergeCell ref="B888:C888"/>
    <mergeCell ref="D888:E888"/>
    <mergeCell ref="F888:G888"/>
    <mergeCell ref="H888:I888"/>
    <mergeCell ref="J888:K888"/>
    <mergeCell ref="L888:M888"/>
    <mergeCell ref="N888:O888"/>
    <mergeCell ref="AH877:AI877"/>
    <mergeCell ref="AJ877:AK877"/>
    <mergeCell ref="AL877:BB877"/>
    <mergeCell ref="B877:C877"/>
    <mergeCell ref="D877:E877"/>
    <mergeCell ref="F877:G877"/>
    <mergeCell ref="H877:I877"/>
    <mergeCell ref="J877:K877"/>
    <mergeCell ref="L877:M877"/>
    <mergeCell ref="N877:O877"/>
    <mergeCell ref="P879:Q879"/>
    <mergeCell ref="R879:S879"/>
    <mergeCell ref="T879:U879"/>
    <mergeCell ref="V879:W879"/>
    <mergeCell ref="X879:Y879"/>
    <mergeCell ref="Z879:AA879"/>
    <mergeCell ref="AB879:AC879"/>
    <mergeCell ref="B879:C879"/>
    <mergeCell ref="D879:E879"/>
    <mergeCell ref="F879:G879"/>
    <mergeCell ref="H879:I879"/>
    <mergeCell ref="J879:K879"/>
    <mergeCell ref="L879:M879"/>
    <mergeCell ref="N879:O879"/>
    <mergeCell ref="P882:Q882"/>
    <mergeCell ref="R882:S882"/>
    <mergeCell ref="T882:U882"/>
    <mergeCell ref="V882:W882"/>
    <mergeCell ref="X882:Y882"/>
    <mergeCell ref="Z882:AA882"/>
    <mergeCell ref="AB882:AC882"/>
    <mergeCell ref="B882:C882"/>
    <mergeCell ref="D882:E882"/>
    <mergeCell ref="F882:G882"/>
    <mergeCell ref="H882:I882"/>
    <mergeCell ref="J882:K882"/>
    <mergeCell ref="L882:M882"/>
    <mergeCell ref="N882:O882"/>
    <mergeCell ref="X880:Y880"/>
    <mergeCell ref="Z880:AA880"/>
    <mergeCell ref="AB880:AC880"/>
    <mergeCell ref="AD881:AE881"/>
    <mergeCell ref="AF881:AG881"/>
    <mergeCell ref="AH881:AI881"/>
    <mergeCell ref="AJ881:AK881"/>
    <mergeCell ref="AL881:BB881"/>
    <mergeCell ref="P881:Q881"/>
    <mergeCell ref="R881:S881"/>
    <mergeCell ref="T881:U881"/>
    <mergeCell ref="V881:W881"/>
    <mergeCell ref="X881:Y881"/>
    <mergeCell ref="Z881:AA881"/>
    <mergeCell ref="AB881:AC881"/>
    <mergeCell ref="B881:C881"/>
    <mergeCell ref="D881:E881"/>
    <mergeCell ref="F881:G881"/>
    <mergeCell ref="H881:I881"/>
    <mergeCell ref="J881:K881"/>
    <mergeCell ref="L881:M881"/>
    <mergeCell ref="N881:O881"/>
    <mergeCell ref="AD882:AE882"/>
    <mergeCell ref="AF882:AG882"/>
    <mergeCell ref="AH882:AI882"/>
    <mergeCell ref="AJ882:AK882"/>
    <mergeCell ref="AH874:AI874"/>
    <mergeCell ref="AJ874:AK874"/>
    <mergeCell ref="AL874:BB874"/>
    <mergeCell ref="B874:C874"/>
    <mergeCell ref="D874:E874"/>
    <mergeCell ref="F874:G874"/>
    <mergeCell ref="H874:I874"/>
    <mergeCell ref="J874:K874"/>
    <mergeCell ref="L874:M874"/>
    <mergeCell ref="N874:O874"/>
    <mergeCell ref="P876:Q876"/>
    <mergeCell ref="R876:S876"/>
    <mergeCell ref="T876:U876"/>
    <mergeCell ref="V876:W876"/>
    <mergeCell ref="X876:Y876"/>
    <mergeCell ref="Z876:AA876"/>
    <mergeCell ref="AB876:AC876"/>
    <mergeCell ref="B876:C876"/>
    <mergeCell ref="D876:E876"/>
    <mergeCell ref="F876:G876"/>
    <mergeCell ref="H876:I876"/>
    <mergeCell ref="J876:K876"/>
    <mergeCell ref="L876:M876"/>
    <mergeCell ref="N876:O876"/>
    <mergeCell ref="AD874:AE874"/>
    <mergeCell ref="AF874:AG874"/>
    <mergeCell ref="P874:Q874"/>
    <mergeCell ref="R874:S874"/>
    <mergeCell ref="T874:U874"/>
    <mergeCell ref="V874:W874"/>
    <mergeCell ref="X874:Y874"/>
    <mergeCell ref="Z874:AA874"/>
    <mergeCell ref="AB874:AC874"/>
    <mergeCell ref="AD875:AE875"/>
    <mergeCell ref="AF875:AG875"/>
    <mergeCell ref="AH875:AI875"/>
    <mergeCell ref="AJ875:AK875"/>
    <mergeCell ref="AL875:BB875"/>
    <mergeCell ref="P875:Q875"/>
    <mergeCell ref="R875:S875"/>
    <mergeCell ref="T875:U875"/>
    <mergeCell ref="V875:W875"/>
    <mergeCell ref="X875:Y875"/>
    <mergeCell ref="Z875:AA875"/>
    <mergeCell ref="AB875:AC875"/>
    <mergeCell ref="B875:C875"/>
    <mergeCell ref="D875:E875"/>
    <mergeCell ref="F875:G875"/>
    <mergeCell ref="H875:I875"/>
    <mergeCell ref="J875:K875"/>
    <mergeCell ref="L875:M875"/>
    <mergeCell ref="N875:O875"/>
    <mergeCell ref="AD876:AE876"/>
    <mergeCell ref="AF876:AG876"/>
    <mergeCell ref="AH876:AI876"/>
    <mergeCell ref="AJ876:AK876"/>
    <mergeCell ref="AL876:BB876"/>
    <mergeCell ref="B871:C871"/>
    <mergeCell ref="D871:E871"/>
    <mergeCell ref="F871:G871"/>
    <mergeCell ref="H871:I871"/>
    <mergeCell ref="J871:K871"/>
    <mergeCell ref="L871:M871"/>
    <mergeCell ref="N871:O871"/>
    <mergeCell ref="AD872:AE872"/>
    <mergeCell ref="AF872:AG872"/>
    <mergeCell ref="AH872:AI872"/>
    <mergeCell ref="AJ872:AK872"/>
    <mergeCell ref="AL872:BB872"/>
    <mergeCell ref="P872:Q872"/>
    <mergeCell ref="R872:S872"/>
    <mergeCell ref="T872:U872"/>
    <mergeCell ref="V872:W872"/>
    <mergeCell ref="X872:Y872"/>
    <mergeCell ref="Z872:AA872"/>
    <mergeCell ref="AB872:AC872"/>
    <mergeCell ref="B872:C872"/>
    <mergeCell ref="D872:E872"/>
    <mergeCell ref="F872:G872"/>
    <mergeCell ref="H872:I872"/>
    <mergeCell ref="J872:K872"/>
    <mergeCell ref="L872:M872"/>
    <mergeCell ref="N872:O872"/>
    <mergeCell ref="AD873:AE873"/>
    <mergeCell ref="AF873:AG873"/>
    <mergeCell ref="AH873:AI873"/>
    <mergeCell ref="AJ873:AK873"/>
    <mergeCell ref="AL873:BB873"/>
    <mergeCell ref="P873:Q873"/>
    <mergeCell ref="R873:S873"/>
    <mergeCell ref="T873:U873"/>
    <mergeCell ref="V873:W873"/>
    <mergeCell ref="X873:Y873"/>
    <mergeCell ref="Z873:AA873"/>
    <mergeCell ref="AB873:AC873"/>
    <mergeCell ref="B873:C873"/>
    <mergeCell ref="D873:E873"/>
    <mergeCell ref="F873:G873"/>
    <mergeCell ref="H873:I873"/>
    <mergeCell ref="J873:K873"/>
    <mergeCell ref="L873:M873"/>
    <mergeCell ref="N873:O873"/>
    <mergeCell ref="AH868:AI868"/>
    <mergeCell ref="AJ868:AK868"/>
    <mergeCell ref="AL868:BB868"/>
    <mergeCell ref="B868:C868"/>
    <mergeCell ref="D868:E868"/>
    <mergeCell ref="F868:G868"/>
    <mergeCell ref="H868:I868"/>
    <mergeCell ref="J868:K868"/>
    <mergeCell ref="L868:M868"/>
    <mergeCell ref="N868:O868"/>
    <mergeCell ref="P870:Q870"/>
    <mergeCell ref="R870:S870"/>
    <mergeCell ref="T870:U870"/>
    <mergeCell ref="V870:W870"/>
    <mergeCell ref="X870:Y870"/>
    <mergeCell ref="Z870:AA870"/>
    <mergeCell ref="AB870:AC870"/>
    <mergeCell ref="B870:C870"/>
    <mergeCell ref="D870:E870"/>
    <mergeCell ref="F870:G870"/>
    <mergeCell ref="H870:I870"/>
    <mergeCell ref="J870:K870"/>
    <mergeCell ref="L870:M870"/>
    <mergeCell ref="N870:O870"/>
    <mergeCell ref="AD868:AE868"/>
    <mergeCell ref="AF868:AG868"/>
    <mergeCell ref="P868:Q868"/>
    <mergeCell ref="R868:S868"/>
    <mergeCell ref="T868:U868"/>
    <mergeCell ref="V868:W868"/>
    <mergeCell ref="X868:Y868"/>
    <mergeCell ref="Z868:AA868"/>
    <mergeCell ref="AB868:AC868"/>
    <mergeCell ref="AD869:AE869"/>
    <mergeCell ref="AF869:AG869"/>
    <mergeCell ref="AH869:AI869"/>
    <mergeCell ref="AJ869:AK869"/>
    <mergeCell ref="AL869:BB869"/>
    <mergeCell ref="P869:Q869"/>
    <mergeCell ref="R869:S869"/>
    <mergeCell ref="T869:U869"/>
    <mergeCell ref="V869:W869"/>
    <mergeCell ref="X869:Y869"/>
    <mergeCell ref="Z869:AA869"/>
    <mergeCell ref="AB869:AC869"/>
    <mergeCell ref="B869:C869"/>
    <mergeCell ref="D869:E869"/>
    <mergeCell ref="F869:G869"/>
    <mergeCell ref="H869:I869"/>
    <mergeCell ref="J869:K869"/>
    <mergeCell ref="L869:M869"/>
    <mergeCell ref="N869:O869"/>
    <mergeCell ref="AD870:AE870"/>
    <mergeCell ref="AF870:AG870"/>
    <mergeCell ref="AH870:AI870"/>
    <mergeCell ref="AJ870:AK870"/>
    <mergeCell ref="AL870:BB870"/>
    <mergeCell ref="AH865:AI865"/>
    <mergeCell ref="AJ865:AK865"/>
    <mergeCell ref="AL865:BB865"/>
    <mergeCell ref="B865:C865"/>
    <mergeCell ref="D865:E865"/>
    <mergeCell ref="F865:G865"/>
    <mergeCell ref="H865:I865"/>
    <mergeCell ref="J865:K865"/>
    <mergeCell ref="L865:M865"/>
    <mergeCell ref="N865:O865"/>
    <mergeCell ref="P867:Q867"/>
    <mergeCell ref="R867:S867"/>
    <mergeCell ref="T867:U867"/>
    <mergeCell ref="V867:W867"/>
    <mergeCell ref="X867:Y867"/>
    <mergeCell ref="Z867:AA867"/>
    <mergeCell ref="AB867:AC867"/>
    <mergeCell ref="B867:C867"/>
    <mergeCell ref="D867:E867"/>
    <mergeCell ref="F867:G867"/>
    <mergeCell ref="H867:I867"/>
    <mergeCell ref="J867:K867"/>
    <mergeCell ref="L867:M867"/>
    <mergeCell ref="N867:O867"/>
    <mergeCell ref="AD865:AE865"/>
    <mergeCell ref="AF865:AG865"/>
    <mergeCell ref="P865:Q865"/>
    <mergeCell ref="R865:S865"/>
    <mergeCell ref="T865:U865"/>
    <mergeCell ref="V865:W865"/>
    <mergeCell ref="X865:Y865"/>
    <mergeCell ref="Z865:AA865"/>
    <mergeCell ref="AB865:AC865"/>
    <mergeCell ref="AD866:AE866"/>
    <mergeCell ref="AF866:AG866"/>
    <mergeCell ref="AH866:AI866"/>
    <mergeCell ref="AJ866:AK866"/>
    <mergeCell ref="AL866:BB866"/>
    <mergeCell ref="P866:Q866"/>
    <mergeCell ref="R866:S866"/>
    <mergeCell ref="T866:U866"/>
    <mergeCell ref="V866:W866"/>
    <mergeCell ref="X866:Y866"/>
    <mergeCell ref="Z866:AA866"/>
    <mergeCell ref="AB866:AC866"/>
    <mergeCell ref="B866:C866"/>
    <mergeCell ref="D866:E866"/>
    <mergeCell ref="F866:G866"/>
    <mergeCell ref="H866:I866"/>
    <mergeCell ref="J866:K866"/>
    <mergeCell ref="L866:M866"/>
    <mergeCell ref="N866:O866"/>
    <mergeCell ref="AD867:AE867"/>
    <mergeCell ref="AF867:AG867"/>
    <mergeCell ref="AH867:AI867"/>
    <mergeCell ref="AJ867:AK867"/>
    <mergeCell ref="AL867:BB867"/>
    <mergeCell ref="AH862:AI862"/>
    <mergeCell ref="AJ862:AK862"/>
    <mergeCell ref="AL862:BB862"/>
    <mergeCell ref="B862:C862"/>
    <mergeCell ref="D862:E862"/>
    <mergeCell ref="F862:G862"/>
    <mergeCell ref="H862:I862"/>
    <mergeCell ref="J862:K862"/>
    <mergeCell ref="L862:M862"/>
    <mergeCell ref="N862:O862"/>
    <mergeCell ref="P864:Q864"/>
    <mergeCell ref="R864:S864"/>
    <mergeCell ref="T864:U864"/>
    <mergeCell ref="V864:W864"/>
    <mergeCell ref="X864:Y864"/>
    <mergeCell ref="Z864:AA864"/>
    <mergeCell ref="AB864:AC864"/>
    <mergeCell ref="B864:C864"/>
    <mergeCell ref="D864:E864"/>
    <mergeCell ref="F864:G864"/>
    <mergeCell ref="H864:I864"/>
    <mergeCell ref="J864:K864"/>
    <mergeCell ref="L864:M864"/>
    <mergeCell ref="N864:O864"/>
    <mergeCell ref="AD862:AE862"/>
    <mergeCell ref="AF862:AG862"/>
    <mergeCell ref="P862:Q862"/>
    <mergeCell ref="R862:S862"/>
    <mergeCell ref="T862:U862"/>
    <mergeCell ref="V862:W862"/>
    <mergeCell ref="X862:Y862"/>
    <mergeCell ref="Z862:AA862"/>
    <mergeCell ref="AB862:AC862"/>
    <mergeCell ref="AD863:AE863"/>
    <mergeCell ref="AF863:AG863"/>
    <mergeCell ref="AH863:AI863"/>
    <mergeCell ref="AJ863:AK863"/>
    <mergeCell ref="AL863:BB863"/>
    <mergeCell ref="P863:Q863"/>
    <mergeCell ref="R863:S863"/>
    <mergeCell ref="T863:U863"/>
    <mergeCell ref="V863:W863"/>
    <mergeCell ref="X863:Y863"/>
    <mergeCell ref="Z863:AA863"/>
    <mergeCell ref="AB863:AC863"/>
    <mergeCell ref="B863:C863"/>
    <mergeCell ref="D863:E863"/>
    <mergeCell ref="F863:G863"/>
    <mergeCell ref="H863:I863"/>
    <mergeCell ref="J863:K863"/>
    <mergeCell ref="L863:M863"/>
    <mergeCell ref="N863:O863"/>
    <mergeCell ref="AD864:AE864"/>
    <mergeCell ref="AF864:AG864"/>
    <mergeCell ref="AH864:AI864"/>
    <mergeCell ref="AJ864:AK864"/>
    <mergeCell ref="AL864:BB864"/>
    <mergeCell ref="AH859:AI859"/>
    <mergeCell ref="AJ859:AK859"/>
    <mergeCell ref="AL859:BB859"/>
    <mergeCell ref="B859:C859"/>
    <mergeCell ref="D859:E859"/>
    <mergeCell ref="F859:G859"/>
    <mergeCell ref="H859:I859"/>
    <mergeCell ref="J859:K859"/>
    <mergeCell ref="L859:M859"/>
    <mergeCell ref="N859:O859"/>
    <mergeCell ref="P861:Q861"/>
    <mergeCell ref="R861:S861"/>
    <mergeCell ref="T861:U861"/>
    <mergeCell ref="V861:W861"/>
    <mergeCell ref="X861:Y861"/>
    <mergeCell ref="Z861:AA861"/>
    <mergeCell ref="AB861:AC861"/>
    <mergeCell ref="B861:C861"/>
    <mergeCell ref="D861:E861"/>
    <mergeCell ref="F861:G861"/>
    <mergeCell ref="H861:I861"/>
    <mergeCell ref="J861:K861"/>
    <mergeCell ref="L861:M861"/>
    <mergeCell ref="N861:O861"/>
    <mergeCell ref="AD859:AE859"/>
    <mergeCell ref="AF859:AG859"/>
    <mergeCell ref="P859:Q859"/>
    <mergeCell ref="R859:S859"/>
    <mergeCell ref="T859:U859"/>
    <mergeCell ref="V859:W859"/>
    <mergeCell ref="X859:Y859"/>
    <mergeCell ref="Z859:AA859"/>
    <mergeCell ref="AB859:AC859"/>
    <mergeCell ref="AD860:AE860"/>
    <mergeCell ref="AF860:AG860"/>
    <mergeCell ref="AH860:AI860"/>
    <mergeCell ref="AJ860:AK860"/>
    <mergeCell ref="AL860:BB860"/>
    <mergeCell ref="P860:Q860"/>
    <mergeCell ref="R860:S860"/>
    <mergeCell ref="T860:U860"/>
    <mergeCell ref="V860:W860"/>
    <mergeCell ref="X860:Y860"/>
    <mergeCell ref="Z860:AA860"/>
    <mergeCell ref="AB860:AC860"/>
    <mergeCell ref="B860:C860"/>
    <mergeCell ref="D860:E860"/>
    <mergeCell ref="F860:G860"/>
    <mergeCell ref="H860:I860"/>
    <mergeCell ref="J860:K860"/>
    <mergeCell ref="L860:M860"/>
    <mergeCell ref="N860:O860"/>
    <mergeCell ref="AD861:AE861"/>
    <mergeCell ref="AF861:AG861"/>
    <mergeCell ref="AH861:AI861"/>
    <mergeCell ref="AJ861:AK861"/>
    <mergeCell ref="AL861:BB861"/>
    <mergeCell ref="AJ855:AK855"/>
    <mergeCell ref="AL855:BB855"/>
    <mergeCell ref="AH856:AI856"/>
    <mergeCell ref="AJ856:AK856"/>
    <mergeCell ref="AL856:BB856"/>
    <mergeCell ref="B856:C856"/>
    <mergeCell ref="D856:E856"/>
    <mergeCell ref="F856:G856"/>
    <mergeCell ref="H856:I856"/>
    <mergeCell ref="J856:K856"/>
    <mergeCell ref="L856:M856"/>
    <mergeCell ref="N856:O856"/>
    <mergeCell ref="P858:Q858"/>
    <mergeCell ref="R858:S858"/>
    <mergeCell ref="T858:U858"/>
    <mergeCell ref="V858:W858"/>
    <mergeCell ref="X858:Y858"/>
    <mergeCell ref="Z858:AA858"/>
    <mergeCell ref="AB858:AC858"/>
    <mergeCell ref="B858:C858"/>
    <mergeCell ref="D858:E858"/>
    <mergeCell ref="F858:G858"/>
    <mergeCell ref="H858:I858"/>
    <mergeCell ref="J858:K858"/>
    <mergeCell ref="L858:M858"/>
    <mergeCell ref="N858:O858"/>
    <mergeCell ref="AD856:AE856"/>
    <mergeCell ref="AF856:AG856"/>
    <mergeCell ref="P856:Q856"/>
    <mergeCell ref="R856:S856"/>
    <mergeCell ref="T856:U856"/>
    <mergeCell ref="V856:W856"/>
    <mergeCell ref="X856:Y856"/>
    <mergeCell ref="Z856:AA856"/>
    <mergeCell ref="AB856:AC856"/>
    <mergeCell ref="AD857:AE857"/>
    <mergeCell ref="AF857:AG857"/>
    <mergeCell ref="AH857:AI857"/>
    <mergeCell ref="AJ857:AK857"/>
    <mergeCell ref="AL857:BB857"/>
    <mergeCell ref="P857:Q857"/>
    <mergeCell ref="R857:S857"/>
    <mergeCell ref="T857:U857"/>
    <mergeCell ref="V857:W857"/>
    <mergeCell ref="X857:Y857"/>
    <mergeCell ref="Z857:AA857"/>
    <mergeCell ref="AB857:AC857"/>
    <mergeCell ref="B857:C857"/>
    <mergeCell ref="D857:E857"/>
    <mergeCell ref="F857:G857"/>
    <mergeCell ref="H857:I857"/>
    <mergeCell ref="J857:K857"/>
    <mergeCell ref="L857:M857"/>
    <mergeCell ref="N857:O857"/>
    <mergeCell ref="AD858:AE858"/>
    <mergeCell ref="AF858:AG858"/>
    <mergeCell ref="AH858:AI858"/>
    <mergeCell ref="AJ858:AK858"/>
    <mergeCell ref="AL858:BB858"/>
    <mergeCell ref="H851:I851"/>
    <mergeCell ref="J851:K851"/>
    <mergeCell ref="L851:M851"/>
    <mergeCell ref="N851:O851"/>
    <mergeCell ref="AD852:AE852"/>
    <mergeCell ref="AF852:AG852"/>
    <mergeCell ref="AH852:AI852"/>
    <mergeCell ref="AJ852:AK852"/>
    <mergeCell ref="AL852:BB852"/>
    <mergeCell ref="AH853:AI853"/>
    <mergeCell ref="AJ853:AK853"/>
    <mergeCell ref="AL853:BB853"/>
    <mergeCell ref="B853:C853"/>
    <mergeCell ref="D853:E853"/>
    <mergeCell ref="F853:G853"/>
    <mergeCell ref="H853:I853"/>
    <mergeCell ref="J853:K853"/>
    <mergeCell ref="L853:M853"/>
    <mergeCell ref="N853:O853"/>
    <mergeCell ref="P855:Q855"/>
    <mergeCell ref="R855:S855"/>
    <mergeCell ref="T855:U855"/>
    <mergeCell ref="V855:W855"/>
    <mergeCell ref="X855:Y855"/>
    <mergeCell ref="Z855:AA855"/>
    <mergeCell ref="AB855:AC855"/>
    <mergeCell ref="B855:C855"/>
    <mergeCell ref="D855:E855"/>
    <mergeCell ref="F855:G855"/>
    <mergeCell ref="H855:I855"/>
    <mergeCell ref="J855:K855"/>
    <mergeCell ref="L855:M855"/>
    <mergeCell ref="N855:O855"/>
    <mergeCell ref="AD853:AE853"/>
    <mergeCell ref="AF853:AG853"/>
    <mergeCell ref="P853:Q853"/>
    <mergeCell ref="R853:S853"/>
    <mergeCell ref="T853:U853"/>
    <mergeCell ref="V853:W853"/>
    <mergeCell ref="X853:Y853"/>
    <mergeCell ref="Z853:AA853"/>
    <mergeCell ref="AB853:AC853"/>
    <mergeCell ref="AD854:AE854"/>
    <mergeCell ref="AF854:AG854"/>
    <mergeCell ref="AH854:AI854"/>
    <mergeCell ref="AJ854:AK854"/>
    <mergeCell ref="AL854:BB854"/>
    <mergeCell ref="P854:Q854"/>
    <mergeCell ref="R854:S854"/>
    <mergeCell ref="T854:U854"/>
    <mergeCell ref="V854:W854"/>
    <mergeCell ref="X854:Y854"/>
    <mergeCell ref="Z854:AA854"/>
    <mergeCell ref="AB854:AC854"/>
    <mergeCell ref="B854:C854"/>
    <mergeCell ref="D854:E854"/>
    <mergeCell ref="F854:G854"/>
    <mergeCell ref="H854:I854"/>
    <mergeCell ref="J854:K854"/>
    <mergeCell ref="L854:M854"/>
    <mergeCell ref="N854:O854"/>
    <mergeCell ref="AD855:AE855"/>
    <mergeCell ref="AF855:AG855"/>
    <mergeCell ref="AH855:AI855"/>
    <mergeCell ref="P849:Q849"/>
    <mergeCell ref="R849:S849"/>
    <mergeCell ref="T849:U849"/>
    <mergeCell ref="V849:W849"/>
    <mergeCell ref="X849:Y849"/>
    <mergeCell ref="Z849:AA849"/>
    <mergeCell ref="AB849:AC849"/>
    <mergeCell ref="B849:C849"/>
    <mergeCell ref="D849:E849"/>
    <mergeCell ref="F849:G849"/>
    <mergeCell ref="H849:I849"/>
    <mergeCell ref="J849:K849"/>
    <mergeCell ref="L849:M849"/>
    <mergeCell ref="N849:O849"/>
    <mergeCell ref="AD871:AE871"/>
    <mergeCell ref="AF871:AG871"/>
    <mergeCell ref="AH871:AI871"/>
    <mergeCell ref="AJ871:AK871"/>
    <mergeCell ref="AL871:BB871"/>
    <mergeCell ref="P871:Q871"/>
    <mergeCell ref="R871:S871"/>
    <mergeCell ref="T871:U871"/>
    <mergeCell ref="V871:W871"/>
    <mergeCell ref="X871:Y871"/>
    <mergeCell ref="Z871:AA871"/>
    <mergeCell ref="AB871:AC871"/>
    <mergeCell ref="P852:Q852"/>
    <mergeCell ref="R852:S852"/>
    <mergeCell ref="T852:U852"/>
    <mergeCell ref="V852:W852"/>
    <mergeCell ref="X852:Y852"/>
    <mergeCell ref="Z852:AA852"/>
    <mergeCell ref="AB852:AC852"/>
    <mergeCell ref="B852:C852"/>
    <mergeCell ref="D852:E852"/>
    <mergeCell ref="F852:G852"/>
    <mergeCell ref="H852:I852"/>
    <mergeCell ref="J852:K852"/>
    <mergeCell ref="L852:M852"/>
    <mergeCell ref="N852:O852"/>
    <mergeCell ref="AD850:AE850"/>
    <mergeCell ref="AF850:AG850"/>
    <mergeCell ref="P850:Q850"/>
    <mergeCell ref="R850:S850"/>
    <mergeCell ref="T850:U850"/>
    <mergeCell ref="V850:W850"/>
    <mergeCell ref="X850:Y850"/>
    <mergeCell ref="Z850:AA850"/>
    <mergeCell ref="AB850:AC850"/>
    <mergeCell ref="AD851:AE851"/>
    <mergeCell ref="AF851:AG851"/>
    <mergeCell ref="AH851:AI851"/>
    <mergeCell ref="AJ851:AK851"/>
    <mergeCell ref="AL851:BB851"/>
    <mergeCell ref="P851:Q851"/>
    <mergeCell ref="R851:S851"/>
    <mergeCell ref="T851:U851"/>
    <mergeCell ref="V851:W851"/>
    <mergeCell ref="X851:Y851"/>
    <mergeCell ref="Z851:AA851"/>
    <mergeCell ref="AB851:AC851"/>
    <mergeCell ref="B851:C851"/>
    <mergeCell ref="D851:E851"/>
    <mergeCell ref="F851:G851"/>
    <mergeCell ref="AL840:BB840"/>
    <mergeCell ref="AH841:AI841"/>
    <mergeCell ref="AJ841:AK841"/>
    <mergeCell ref="AL841:BB841"/>
    <mergeCell ref="B841:C841"/>
    <mergeCell ref="D841:E841"/>
    <mergeCell ref="F841:G841"/>
    <mergeCell ref="H841:I841"/>
    <mergeCell ref="J841:K841"/>
    <mergeCell ref="L841:M841"/>
    <mergeCell ref="N841:O841"/>
    <mergeCell ref="P843:Q843"/>
    <mergeCell ref="R843:S843"/>
    <mergeCell ref="T843:U843"/>
    <mergeCell ref="V843:W843"/>
    <mergeCell ref="X843:Y843"/>
    <mergeCell ref="Z843:AA843"/>
    <mergeCell ref="AB843:AC843"/>
    <mergeCell ref="B843:C843"/>
    <mergeCell ref="D843:E843"/>
    <mergeCell ref="F843:G843"/>
    <mergeCell ref="H843:I843"/>
    <mergeCell ref="J843:K843"/>
    <mergeCell ref="L843:M843"/>
    <mergeCell ref="N843:O843"/>
    <mergeCell ref="AD841:AE841"/>
    <mergeCell ref="AF841:AG841"/>
    <mergeCell ref="P841:Q841"/>
    <mergeCell ref="R841:S841"/>
    <mergeCell ref="T841:U841"/>
    <mergeCell ref="V841:W841"/>
    <mergeCell ref="X841:Y841"/>
    <mergeCell ref="Z841:AA841"/>
    <mergeCell ref="AB841:AC841"/>
    <mergeCell ref="AD842:AE842"/>
    <mergeCell ref="AF842:AG842"/>
    <mergeCell ref="AH842:AI842"/>
    <mergeCell ref="AJ842:AK842"/>
    <mergeCell ref="AL842:BB842"/>
    <mergeCell ref="P842:Q842"/>
    <mergeCell ref="R842:S842"/>
    <mergeCell ref="T842:U842"/>
    <mergeCell ref="V842:W842"/>
    <mergeCell ref="X842:Y842"/>
    <mergeCell ref="Z842:AA842"/>
    <mergeCell ref="AB842:AC842"/>
    <mergeCell ref="B842:C842"/>
    <mergeCell ref="D842:E842"/>
    <mergeCell ref="F842:G842"/>
    <mergeCell ref="H842:I842"/>
    <mergeCell ref="J842:K842"/>
    <mergeCell ref="L842:M842"/>
    <mergeCell ref="N842:O842"/>
    <mergeCell ref="AD843:AE843"/>
    <mergeCell ref="AF843:AG843"/>
    <mergeCell ref="AH843:AI843"/>
    <mergeCell ref="AJ843:AK843"/>
    <mergeCell ref="AL843:BB843"/>
    <mergeCell ref="AD849:AE849"/>
    <mergeCell ref="AF849:AG849"/>
    <mergeCell ref="AH849:AI849"/>
    <mergeCell ref="AJ849:AK849"/>
    <mergeCell ref="AL849:BB849"/>
    <mergeCell ref="AH850:AI850"/>
    <mergeCell ref="AJ850:AK850"/>
    <mergeCell ref="AL850:BB850"/>
    <mergeCell ref="B850:C850"/>
    <mergeCell ref="D850:E850"/>
    <mergeCell ref="F850:G850"/>
    <mergeCell ref="H850:I850"/>
    <mergeCell ref="J850:K850"/>
    <mergeCell ref="L850:M850"/>
    <mergeCell ref="N850:O850"/>
    <mergeCell ref="AD835:AE835"/>
    <mergeCell ref="AF835:AG835"/>
    <mergeCell ref="P835:Q835"/>
    <mergeCell ref="R835:S835"/>
    <mergeCell ref="T835:U835"/>
    <mergeCell ref="V835:W835"/>
    <mergeCell ref="X835:Y835"/>
    <mergeCell ref="Z835:AA835"/>
    <mergeCell ref="AB835:AC835"/>
    <mergeCell ref="AD836:AE836"/>
    <mergeCell ref="AF836:AG836"/>
    <mergeCell ref="AH836:AI836"/>
    <mergeCell ref="AJ836:AK836"/>
    <mergeCell ref="AL836:BB836"/>
    <mergeCell ref="P836:Q836"/>
    <mergeCell ref="R836:S836"/>
    <mergeCell ref="T836:U836"/>
    <mergeCell ref="V836:W836"/>
    <mergeCell ref="X836:Y836"/>
    <mergeCell ref="Z836:AA836"/>
    <mergeCell ref="AB836:AC836"/>
    <mergeCell ref="B836:C836"/>
    <mergeCell ref="D836:E836"/>
    <mergeCell ref="F836:G836"/>
    <mergeCell ref="H836:I836"/>
    <mergeCell ref="J836:K836"/>
    <mergeCell ref="L836:M836"/>
    <mergeCell ref="N836:O836"/>
    <mergeCell ref="AD837:AE837"/>
    <mergeCell ref="AF837:AG837"/>
    <mergeCell ref="AH837:AI837"/>
    <mergeCell ref="AJ837:AK837"/>
    <mergeCell ref="AL837:BB837"/>
    <mergeCell ref="AH838:AI838"/>
    <mergeCell ref="AJ838:AK838"/>
    <mergeCell ref="AL838:BB838"/>
    <mergeCell ref="B838:C838"/>
    <mergeCell ref="D838:E838"/>
    <mergeCell ref="F838:G838"/>
    <mergeCell ref="H838:I838"/>
    <mergeCell ref="J838:K838"/>
    <mergeCell ref="L838:M838"/>
    <mergeCell ref="N838:O838"/>
    <mergeCell ref="AD838:AE838"/>
    <mergeCell ref="AF838:AG838"/>
    <mergeCell ref="P838:Q838"/>
    <mergeCell ref="R838:S838"/>
    <mergeCell ref="T838:U838"/>
    <mergeCell ref="V838:W838"/>
    <mergeCell ref="AH847:AI847"/>
    <mergeCell ref="AJ847:AK847"/>
    <mergeCell ref="AL847:BB847"/>
    <mergeCell ref="B847:C847"/>
    <mergeCell ref="D847:E847"/>
    <mergeCell ref="F847:G847"/>
    <mergeCell ref="H847:I847"/>
    <mergeCell ref="J847:K847"/>
    <mergeCell ref="L847:M847"/>
    <mergeCell ref="N847:O847"/>
    <mergeCell ref="AD847:AE847"/>
    <mergeCell ref="AF847:AG847"/>
    <mergeCell ref="P847:Q847"/>
    <mergeCell ref="R847:S847"/>
    <mergeCell ref="T847:U847"/>
    <mergeCell ref="V847:W847"/>
    <mergeCell ref="X847:Y847"/>
    <mergeCell ref="Z847:AA847"/>
    <mergeCell ref="AB847:AC847"/>
    <mergeCell ref="AD848:AE848"/>
    <mergeCell ref="AF848:AG848"/>
    <mergeCell ref="AH848:AI848"/>
    <mergeCell ref="AJ848:AK848"/>
    <mergeCell ref="AL848:BB848"/>
    <mergeCell ref="P848:Q848"/>
    <mergeCell ref="R848:S848"/>
    <mergeCell ref="T848:U848"/>
    <mergeCell ref="V848:W848"/>
    <mergeCell ref="X848:Y848"/>
    <mergeCell ref="Z848:AA848"/>
    <mergeCell ref="AB848:AC848"/>
    <mergeCell ref="B848:C848"/>
    <mergeCell ref="D848:E848"/>
    <mergeCell ref="F848:G848"/>
    <mergeCell ref="H848:I848"/>
    <mergeCell ref="J848:K848"/>
    <mergeCell ref="L848:M848"/>
    <mergeCell ref="N848:O848"/>
    <mergeCell ref="AD844:AE844"/>
    <mergeCell ref="AF844:AG844"/>
    <mergeCell ref="P844:Q844"/>
    <mergeCell ref="R844:S844"/>
    <mergeCell ref="T844:U844"/>
    <mergeCell ref="V844:W844"/>
    <mergeCell ref="X844:Y844"/>
    <mergeCell ref="Z844:AA844"/>
    <mergeCell ref="AB844:AC844"/>
    <mergeCell ref="AD845:AE845"/>
    <mergeCell ref="AF845:AG845"/>
    <mergeCell ref="AH845:AI845"/>
    <mergeCell ref="AJ845:AK845"/>
    <mergeCell ref="AL845:BB845"/>
    <mergeCell ref="P845:Q845"/>
    <mergeCell ref="R845:S845"/>
    <mergeCell ref="T845:U845"/>
    <mergeCell ref="V845:W845"/>
    <mergeCell ref="X845:Y845"/>
    <mergeCell ref="Z845:AA845"/>
    <mergeCell ref="AB845:AC845"/>
    <mergeCell ref="B845:C845"/>
    <mergeCell ref="D845:E845"/>
    <mergeCell ref="F845:G845"/>
    <mergeCell ref="H845:I845"/>
    <mergeCell ref="J845:K845"/>
    <mergeCell ref="L845:M845"/>
    <mergeCell ref="N845:O845"/>
    <mergeCell ref="AD846:AE846"/>
    <mergeCell ref="AF846:AG846"/>
    <mergeCell ref="AH846:AI846"/>
    <mergeCell ref="AJ846:AK846"/>
    <mergeCell ref="AL846:BB846"/>
    <mergeCell ref="AH844:AI844"/>
    <mergeCell ref="AJ844:AK844"/>
    <mergeCell ref="AL844:BB844"/>
    <mergeCell ref="B844:C844"/>
    <mergeCell ref="D844:E844"/>
    <mergeCell ref="F844:G844"/>
    <mergeCell ref="H844:I844"/>
    <mergeCell ref="J844:K844"/>
    <mergeCell ref="L844:M844"/>
    <mergeCell ref="N844:O844"/>
    <mergeCell ref="P846:Q846"/>
    <mergeCell ref="R846:S846"/>
    <mergeCell ref="T846:U846"/>
    <mergeCell ref="V846:W846"/>
    <mergeCell ref="X846:Y846"/>
    <mergeCell ref="Z846:AA846"/>
    <mergeCell ref="AB846:AC846"/>
    <mergeCell ref="B846:C846"/>
    <mergeCell ref="D846:E846"/>
    <mergeCell ref="F846:G846"/>
    <mergeCell ref="H846:I846"/>
    <mergeCell ref="J846:K846"/>
    <mergeCell ref="L846:M846"/>
    <mergeCell ref="N846:O846"/>
    <mergeCell ref="AH835:AI835"/>
    <mergeCell ref="AJ835:AK835"/>
    <mergeCell ref="AL835:BB835"/>
    <mergeCell ref="B835:C835"/>
    <mergeCell ref="D835:E835"/>
    <mergeCell ref="F835:G835"/>
    <mergeCell ref="H835:I835"/>
    <mergeCell ref="J835:K835"/>
    <mergeCell ref="L835:M835"/>
    <mergeCell ref="N835:O835"/>
    <mergeCell ref="P837:Q837"/>
    <mergeCell ref="R837:S837"/>
    <mergeCell ref="T837:U837"/>
    <mergeCell ref="V837:W837"/>
    <mergeCell ref="X837:Y837"/>
    <mergeCell ref="Z837:AA837"/>
    <mergeCell ref="AB837:AC837"/>
    <mergeCell ref="B837:C837"/>
    <mergeCell ref="D837:E837"/>
    <mergeCell ref="F837:G837"/>
    <mergeCell ref="H837:I837"/>
    <mergeCell ref="J837:K837"/>
    <mergeCell ref="L837:M837"/>
    <mergeCell ref="N837:O837"/>
    <mergeCell ref="P840:Q840"/>
    <mergeCell ref="R840:S840"/>
    <mergeCell ref="T840:U840"/>
    <mergeCell ref="V840:W840"/>
    <mergeCell ref="X840:Y840"/>
    <mergeCell ref="Z840:AA840"/>
    <mergeCell ref="AB840:AC840"/>
    <mergeCell ref="B840:C840"/>
    <mergeCell ref="D840:E840"/>
    <mergeCell ref="F840:G840"/>
    <mergeCell ref="H840:I840"/>
    <mergeCell ref="J840:K840"/>
    <mergeCell ref="L840:M840"/>
    <mergeCell ref="N840:O840"/>
    <mergeCell ref="X838:Y838"/>
    <mergeCell ref="Z838:AA838"/>
    <mergeCell ref="AB838:AC838"/>
    <mergeCell ref="AD839:AE839"/>
    <mergeCell ref="AF839:AG839"/>
    <mergeCell ref="AH839:AI839"/>
    <mergeCell ref="AJ839:AK839"/>
    <mergeCell ref="AL839:BB839"/>
    <mergeCell ref="P839:Q839"/>
    <mergeCell ref="R839:S839"/>
    <mergeCell ref="T839:U839"/>
    <mergeCell ref="V839:W839"/>
    <mergeCell ref="X839:Y839"/>
    <mergeCell ref="Z839:AA839"/>
    <mergeCell ref="AB839:AC839"/>
    <mergeCell ref="B839:C839"/>
    <mergeCell ref="D839:E839"/>
    <mergeCell ref="F839:G839"/>
    <mergeCell ref="H839:I839"/>
    <mergeCell ref="J839:K839"/>
    <mergeCell ref="L839:M839"/>
    <mergeCell ref="N839:O839"/>
    <mergeCell ref="AD840:AE840"/>
    <mergeCell ref="AF840:AG840"/>
    <mergeCell ref="AH840:AI840"/>
    <mergeCell ref="AJ840:AK840"/>
    <mergeCell ref="AH832:AI832"/>
    <mergeCell ref="AJ832:AK832"/>
    <mergeCell ref="AL832:BB832"/>
    <mergeCell ref="B832:C832"/>
    <mergeCell ref="D832:E832"/>
    <mergeCell ref="F832:G832"/>
    <mergeCell ref="H832:I832"/>
    <mergeCell ref="J832:K832"/>
    <mergeCell ref="L832:M832"/>
    <mergeCell ref="N832:O832"/>
    <mergeCell ref="P834:Q834"/>
    <mergeCell ref="R834:S834"/>
    <mergeCell ref="T834:U834"/>
    <mergeCell ref="V834:W834"/>
    <mergeCell ref="X834:Y834"/>
    <mergeCell ref="Z834:AA834"/>
    <mergeCell ref="AB834:AC834"/>
    <mergeCell ref="B834:C834"/>
    <mergeCell ref="D834:E834"/>
    <mergeCell ref="F834:G834"/>
    <mergeCell ref="H834:I834"/>
    <mergeCell ref="J834:K834"/>
    <mergeCell ref="L834:M834"/>
    <mergeCell ref="N834:O834"/>
    <mergeCell ref="AD832:AE832"/>
    <mergeCell ref="AF832:AG832"/>
    <mergeCell ref="P832:Q832"/>
    <mergeCell ref="R832:S832"/>
    <mergeCell ref="T832:U832"/>
    <mergeCell ref="V832:W832"/>
    <mergeCell ref="X832:Y832"/>
    <mergeCell ref="Z832:AA832"/>
    <mergeCell ref="AB832:AC832"/>
    <mergeCell ref="AD833:AE833"/>
    <mergeCell ref="AF833:AG833"/>
    <mergeCell ref="AH833:AI833"/>
    <mergeCell ref="AJ833:AK833"/>
    <mergeCell ref="AL833:BB833"/>
    <mergeCell ref="P833:Q833"/>
    <mergeCell ref="R833:S833"/>
    <mergeCell ref="T833:U833"/>
    <mergeCell ref="V833:W833"/>
    <mergeCell ref="X833:Y833"/>
    <mergeCell ref="Z833:AA833"/>
    <mergeCell ref="AB833:AC833"/>
    <mergeCell ref="B833:C833"/>
    <mergeCell ref="D833:E833"/>
    <mergeCell ref="F833:G833"/>
    <mergeCell ref="H833:I833"/>
    <mergeCell ref="J833:K833"/>
    <mergeCell ref="L833:M833"/>
    <mergeCell ref="N833:O833"/>
    <mergeCell ref="AD834:AE834"/>
    <mergeCell ref="AF834:AG834"/>
    <mergeCell ref="AH834:AI834"/>
    <mergeCell ref="AJ834:AK834"/>
    <mergeCell ref="AL834:BB834"/>
    <mergeCell ref="B829:C829"/>
    <mergeCell ref="D829:E829"/>
    <mergeCell ref="F829:G829"/>
    <mergeCell ref="H829:I829"/>
    <mergeCell ref="J829:K829"/>
    <mergeCell ref="L829:M829"/>
    <mergeCell ref="N829:O829"/>
    <mergeCell ref="AD830:AE830"/>
    <mergeCell ref="AF830:AG830"/>
    <mergeCell ref="AH830:AI830"/>
    <mergeCell ref="AJ830:AK830"/>
    <mergeCell ref="AL830:BB830"/>
    <mergeCell ref="P830:Q830"/>
    <mergeCell ref="R830:S830"/>
    <mergeCell ref="T830:U830"/>
    <mergeCell ref="V830:W830"/>
    <mergeCell ref="X830:Y830"/>
    <mergeCell ref="Z830:AA830"/>
    <mergeCell ref="AB830:AC830"/>
    <mergeCell ref="B830:C830"/>
    <mergeCell ref="D830:E830"/>
    <mergeCell ref="F830:G830"/>
    <mergeCell ref="H830:I830"/>
    <mergeCell ref="J830:K830"/>
    <mergeCell ref="L830:M830"/>
    <mergeCell ref="N830:O830"/>
    <mergeCell ref="AD831:AE831"/>
    <mergeCell ref="AF831:AG831"/>
    <mergeCell ref="AH831:AI831"/>
    <mergeCell ref="AJ831:AK831"/>
    <mergeCell ref="AL831:BB831"/>
    <mergeCell ref="P831:Q831"/>
    <mergeCell ref="R831:S831"/>
    <mergeCell ref="T831:U831"/>
    <mergeCell ref="V831:W831"/>
    <mergeCell ref="X831:Y831"/>
    <mergeCell ref="Z831:AA831"/>
    <mergeCell ref="AB831:AC831"/>
    <mergeCell ref="B831:C831"/>
    <mergeCell ref="D831:E831"/>
    <mergeCell ref="F831:G831"/>
    <mergeCell ref="H831:I831"/>
    <mergeCell ref="J831:K831"/>
    <mergeCell ref="L831:M831"/>
    <mergeCell ref="N831:O831"/>
    <mergeCell ref="AH826:AI826"/>
    <mergeCell ref="AJ826:AK826"/>
    <mergeCell ref="AL826:BB826"/>
    <mergeCell ref="B826:C826"/>
    <mergeCell ref="D826:E826"/>
    <mergeCell ref="F826:G826"/>
    <mergeCell ref="H826:I826"/>
    <mergeCell ref="J826:K826"/>
    <mergeCell ref="L826:M826"/>
    <mergeCell ref="N826:O826"/>
    <mergeCell ref="P828:Q828"/>
    <mergeCell ref="R828:S828"/>
    <mergeCell ref="T828:U828"/>
    <mergeCell ref="V828:W828"/>
    <mergeCell ref="X828:Y828"/>
    <mergeCell ref="Z828:AA828"/>
    <mergeCell ref="AB828:AC828"/>
    <mergeCell ref="B828:C828"/>
    <mergeCell ref="D828:E828"/>
    <mergeCell ref="F828:G828"/>
    <mergeCell ref="H828:I828"/>
    <mergeCell ref="J828:K828"/>
    <mergeCell ref="L828:M828"/>
    <mergeCell ref="N828:O828"/>
    <mergeCell ref="AD826:AE826"/>
    <mergeCell ref="AF826:AG826"/>
    <mergeCell ref="P826:Q826"/>
    <mergeCell ref="R826:S826"/>
    <mergeCell ref="T826:U826"/>
    <mergeCell ref="V826:W826"/>
    <mergeCell ref="X826:Y826"/>
    <mergeCell ref="Z826:AA826"/>
    <mergeCell ref="AB826:AC826"/>
    <mergeCell ref="AD827:AE827"/>
    <mergeCell ref="AF827:AG827"/>
    <mergeCell ref="AH827:AI827"/>
    <mergeCell ref="AJ827:AK827"/>
    <mergeCell ref="AL827:BB827"/>
    <mergeCell ref="P827:Q827"/>
    <mergeCell ref="R827:S827"/>
    <mergeCell ref="T827:U827"/>
    <mergeCell ref="V827:W827"/>
    <mergeCell ref="X827:Y827"/>
    <mergeCell ref="Z827:AA827"/>
    <mergeCell ref="AB827:AC827"/>
    <mergeCell ref="B827:C827"/>
    <mergeCell ref="D827:E827"/>
    <mergeCell ref="F827:G827"/>
    <mergeCell ref="H827:I827"/>
    <mergeCell ref="J827:K827"/>
    <mergeCell ref="L827:M827"/>
    <mergeCell ref="N827:O827"/>
    <mergeCell ref="AD828:AE828"/>
    <mergeCell ref="AF828:AG828"/>
    <mergeCell ref="AH828:AI828"/>
    <mergeCell ref="AJ828:AK828"/>
    <mergeCell ref="AL828:BB828"/>
    <mergeCell ref="AH823:AI823"/>
    <mergeCell ref="AJ823:AK823"/>
    <mergeCell ref="AL823:BB823"/>
    <mergeCell ref="B823:C823"/>
    <mergeCell ref="D823:E823"/>
    <mergeCell ref="F823:G823"/>
    <mergeCell ref="H823:I823"/>
    <mergeCell ref="J823:K823"/>
    <mergeCell ref="L823:M823"/>
    <mergeCell ref="N823:O823"/>
    <mergeCell ref="P825:Q825"/>
    <mergeCell ref="R825:S825"/>
    <mergeCell ref="T825:U825"/>
    <mergeCell ref="V825:W825"/>
    <mergeCell ref="X825:Y825"/>
    <mergeCell ref="Z825:AA825"/>
    <mergeCell ref="AB825:AC825"/>
    <mergeCell ref="B825:C825"/>
    <mergeCell ref="D825:E825"/>
    <mergeCell ref="F825:G825"/>
    <mergeCell ref="H825:I825"/>
    <mergeCell ref="J825:K825"/>
    <mergeCell ref="L825:M825"/>
    <mergeCell ref="N825:O825"/>
    <mergeCell ref="AD823:AE823"/>
    <mergeCell ref="AF823:AG823"/>
    <mergeCell ref="P823:Q823"/>
    <mergeCell ref="R823:S823"/>
    <mergeCell ref="T823:U823"/>
    <mergeCell ref="V823:W823"/>
    <mergeCell ref="X823:Y823"/>
    <mergeCell ref="Z823:AA823"/>
    <mergeCell ref="AB823:AC823"/>
    <mergeCell ref="AD824:AE824"/>
    <mergeCell ref="AF824:AG824"/>
    <mergeCell ref="AH824:AI824"/>
    <mergeCell ref="AJ824:AK824"/>
    <mergeCell ref="AL824:BB824"/>
    <mergeCell ref="P824:Q824"/>
    <mergeCell ref="R824:S824"/>
    <mergeCell ref="T824:U824"/>
    <mergeCell ref="V824:W824"/>
    <mergeCell ref="X824:Y824"/>
    <mergeCell ref="Z824:AA824"/>
    <mergeCell ref="AB824:AC824"/>
    <mergeCell ref="B824:C824"/>
    <mergeCell ref="D824:E824"/>
    <mergeCell ref="F824:G824"/>
    <mergeCell ref="H824:I824"/>
    <mergeCell ref="J824:K824"/>
    <mergeCell ref="L824:M824"/>
    <mergeCell ref="N824:O824"/>
    <mergeCell ref="AD825:AE825"/>
    <mergeCell ref="AF825:AG825"/>
    <mergeCell ref="AH825:AI825"/>
    <mergeCell ref="AJ825:AK825"/>
    <mergeCell ref="AL825:BB825"/>
    <mergeCell ref="AH820:AI820"/>
    <mergeCell ref="AJ820:AK820"/>
    <mergeCell ref="AL820:BB820"/>
    <mergeCell ref="B820:C820"/>
    <mergeCell ref="D820:E820"/>
    <mergeCell ref="F820:G820"/>
    <mergeCell ref="H820:I820"/>
    <mergeCell ref="J820:K820"/>
    <mergeCell ref="L820:M820"/>
    <mergeCell ref="N820:O820"/>
    <mergeCell ref="P822:Q822"/>
    <mergeCell ref="R822:S822"/>
    <mergeCell ref="T822:U822"/>
    <mergeCell ref="V822:W822"/>
    <mergeCell ref="X822:Y822"/>
    <mergeCell ref="Z822:AA822"/>
    <mergeCell ref="AB822:AC822"/>
    <mergeCell ref="B822:C822"/>
    <mergeCell ref="D822:E822"/>
    <mergeCell ref="F822:G822"/>
    <mergeCell ref="H822:I822"/>
    <mergeCell ref="J822:K822"/>
    <mergeCell ref="L822:M822"/>
    <mergeCell ref="N822:O822"/>
    <mergeCell ref="AD820:AE820"/>
    <mergeCell ref="AF820:AG820"/>
    <mergeCell ref="P820:Q820"/>
    <mergeCell ref="R820:S820"/>
    <mergeCell ref="T820:U820"/>
    <mergeCell ref="V820:W820"/>
    <mergeCell ref="X820:Y820"/>
    <mergeCell ref="Z820:AA820"/>
    <mergeCell ref="AB820:AC820"/>
    <mergeCell ref="AD821:AE821"/>
    <mergeCell ref="AF821:AG821"/>
    <mergeCell ref="AH821:AI821"/>
    <mergeCell ref="AJ821:AK821"/>
    <mergeCell ref="AL821:BB821"/>
    <mergeCell ref="P821:Q821"/>
    <mergeCell ref="R821:S821"/>
    <mergeCell ref="T821:U821"/>
    <mergeCell ref="V821:W821"/>
    <mergeCell ref="X821:Y821"/>
    <mergeCell ref="Z821:AA821"/>
    <mergeCell ref="AB821:AC821"/>
    <mergeCell ref="B821:C821"/>
    <mergeCell ref="D821:E821"/>
    <mergeCell ref="F821:G821"/>
    <mergeCell ref="H821:I821"/>
    <mergeCell ref="J821:K821"/>
    <mergeCell ref="L821:M821"/>
    <mergeCell ref="N821:O821"/>
    <mergeCell ref="AD822:AE822"/>
    <mergeCell ref="AF822:AG822"/>
    <mergeCell ref="AH822:AI822"/>
    <mergeCell ref="AJ822:AK822"/>
    <mergeCell ref="AL822:BB822"/>
    <mergeCell ref="AH817:AI817"/>
    <mergeCell ref="AJ817:AK817"/>
    <mergeCell ref="AL817:BB817"/>
    <mergeCell ref="B817:C817"/>
    <mergeCell ref="D817:E817"/>
    <mergeCell ref="F817:G817"/>
    <mergeCell ref="H817:I817"/>
    <mergeCell ref="J817:K817"/>
    <mergeCell ref="L817:M817"/>
    <mergeCell ref="N817:O817"/>
    <mergeCell ref="P819:Q819"/>
    <mergeCell ref="R819:S819"/>
    <mergeCell ref="T819:U819"/>
    <mergeCell ref="V819:W819"/>
    <mergeCell ref="X819:Y819"/>
    <mergeCell ref="Z819:AA819"/>
    <mergeCell ref="AB819:AC819"/>
    <mergeCell ref="B819:C819"/>
    <mergeCell ref="D819:E819"/>
    <mergeCell ref="F819:G819"/>
    <mergeCell ref="H819:I819"/>
    <mergeCell ref="J819:K819"/>
    <mergeCell ref="L819:M819"/>
    <mergeCell ref="N819:O819"/>
    <mergeCell ref="AD817:AE817"/>
    <mergeCell ref="AF817:AG817"/>
    <mergeCell ref="P817:Q817"/>
    <mergeCell ref="R817:S817"/>
    <mergeCell ref="T817:U817"/>
    <mergeCell ref="V817:W817"/>
    <mergeCell ref="X817:Y817"/>
    <mergeCell ref="Z817:AA817"/>
    <mergeCell ref="AB817:AC817"/>
    <mergeCell ref="AD818:AE818"/>
    <mergeCell ref="AF818:AG818"/>
    <mergeCell ref="AH818:AI818"/>
    <mergeCell ref="AJ818:AK818"/>
    <mergeCell ref="AL818:BB818"/>
    <mergeCell ref="P818:Q818"/>
    <mergeCell ref="R818:S818"/>
    <mergeCell ref="T818:U818"/>
    <mergeCell ref="V818:W818"/>
    <mergeCell ref="X818:Y818"/>
    <mergeCell ref="Z818:AA818"/>
    <mergeCell ref="AB818:AC818"/>
    <mergeCell ref="B818:C818"/>
    <mergeCell ref="D818:E818"/>
    <mergeCell ref="F818:G818"/>
    <mergeCell ref="H818:I818"/>
    <mergeCell ref="J818:K818"/>
    <mergeCell ref="L818:M818"/>
    <mergeCell ref="N818:O818"/>
    <mergeCell ref="AD819:AE819"/>
    <mergeCell ref="AF819:AG819"/>
    <mergeCell ref="AH819:AI819"/>
    <mergeCell ref="AJ819:AK819"/>
    <mergeCell ref="AL819:BB819"/>
    <mergeCell ref="AJ813:AK813"/>
    <mergeCell ref="AL813:BB813"/>
    <mergeCell ref="AH814:AI814"/>
    <mergeCell ref="AJ814:AK814"/>
    <mergeCell ref="AL814:BB814"/>
    <mergeCell ref="B814:C814"/>
    <mergeCell ref="D814:E814"/>
    <mergeCell ref="F814:G814"/>
    <mergeCell ref="H814:I814"/>
    <mergeCell ref="J814:K814"/>
    <mergeCell ref="L814:M814"/>
    <mergeCell ref="N814:O814"/>
    <mergeCell ref="P816:Q816"/>
    <mergeCell ref="R816:S816"/>
    <mergeCell ref="T816:U816"/>
    <mergeCell ref="V816:W816"/>
    <mergeCell ref="X816:Y816"/>
    <mergeCell ref="Z816:AA816"/>
    <mergeCell ref="AB816:AC816"/>
    <mergeCell ref="B816:C816"/>
    <mergeCell ref="D816:E816"/>
    <mergeCell ref="F816:G816"/>
    <mergeCell ref="H816:I816"/>
    <mergeCell ref="J816:K816"/>
    <mergeCell ref="L816:M816"/>
    <mergeCell ref="N816:O816"/>
    <mergeCell ref="AD814:AE814"/>
    <mergeCell ref="AF814:AG814"/>
    <mergeCell ref="P814:Q814"/>
    <mergeCell ref="R814:S814"/>
    <mergeCell ref="T814:U814"/>
    <mergeCell ref="V814:W814"/>
    <mergeCell ref="X814:Y814"/>
    <mergeCell ref="Z814:AA814"/>
    <mergeCell ref="AB814:AC814"/>
    <mergeCell ref="AD815:AE815"/>
    <mergeCell ref="AF815:AG815"/>
    <mergeCell ref="AH815:AI815"/>
    <mergeCell ref="AJ815:AK815"/>
    <mergeCell ref="AL815:BB815"/>
    <mergeCell ref="P815:Q815"/>
    <mergeCell ref="R815:S815"/>
    <mergeCell ref="T815:U815"/>
    <mergeCell ref="V815:W815"/>
    <mergeCell ref="X815:Y815"/>
    <mergeCell ref="Z815:AA815"/>
    <mergeCell ref="AB815:AC815"/>
    <mergeCell ref="B815:C815"/>
    <mergeCell ref="D815:E815"/>
    <mergeCell ref="F815:G815"/>
    <mergeCell ref="H815:I815"/>
    <mergeCell ref="J815:K815"/>
    <mergeCell ref="L815:M815"/>
    <mergeCell ref="N815:O815"/>
    <mergeCell ref="AD816:AE816"/>
    <mergeCell ref="AF816:AG816"/>
    <mergeCell ref="AH816:AI816"/>
    <mergeCell ref="AJ816:AK816"/>
    <mergeCell ref="AL816:BB816"/>
    <mergeCell ref="H809:I809"/>
    <mergeCell ref="J809:K809"/>
    <mergeCell ref="L809:M809"/>
    <mergeCell ref="N809:O809"/>
    <mergeCell ref="AD810:AE810"/>
    <mergeCell ref="AF810:AG810"/>
    <mergeCell ref="AH810:AI810"/>
    <mergeCell ref="AJ810:AK810"/>
    <mergeCell ref="AL810:BB810"/>
    <mergeCell ref="AH811:AI811"/>
    <mergeCell ref="AJ811:AK811"/>
    <mergeCell ref="AL811:BB811"/>
    <mergeCell ref="B811:C811"/>
    <mergeCell ref="D811:E811"/>
    <mergeCell ref="F811:G811"/>
    <mergeCell ref="H811:I811"/>
    <mergeCell ref="J811:K811"/>
    <mergeCell ref="L811:M811"/>
    <mergeCell ref="N811:O811"/>
    <mergeCell ref="P813:Q813"/>
    <mergeCell ref="R813:S813"/>
    <mergeCell ref="T813:U813"/>
    <mergeCell ref="V813:W813"/>
    <mergeCell ref="X813:Y813"/>
    <mergeCell ref="Z813:AA813"/>
    <mergeCell ref="AB813:AC813"/>
    <mergeCell ref="B813:C813"/>
    <mergeCell ref="D813:E813"/>
    <mergeCell ref="F813:G813"/>
    <mergeCell ref="H813:I813"/>
    <mergeCell ref="J813:K813"/>
    <mergeCell ref="L813:M813"/>
    <mergeCell ref="N813:O813"/>
    <mergeCell ref="AD811:AE811"/>
    <mergeCell ref="AF811:AG811"/>
    <mergeCell ref="P811:Q811"/>
    <mergeCell ref="R811:S811"/>
    <mergeCell ref="T811:U811"/>
    <mergeCell ref="V811:W811"/>
    <mergeCell ref="X811:Y811"/>
    <mergeCell ref="Z811:AA811"/>
    <mergeCell ref="AB811:AC811"/>
    <mergeCell ref="AD812:AE812"/>
    <mergeCell ref="AF812:AG812"/>
    <mergeCell ref="AH812:AI812"/>
    <mergeCell ref="AJ812:AK812"/>
    <mergeCell ref="AL812:BB812"/>
    <mergeCell ref="P812:Q812"/>
    <mergeCell ref="R812:S812"/>
    <mergeCell ref="T812:U812"/>
    <mergeCell ref="V812:W812"/>
    <mergeCell ref="X812:Y812"/>
    <mergeCell ref="Z812:AA812"/>
    <mergeCell ref="AB812:AC812"/>
    <mergeCell ref="B812:C812"/>
    <mergeCell ref="D812:E812"/>
    <mergeCell ref="F812:G812"/>
    <mergeCell ref="H812:I812"/>
    <mergeCell ref="J812:K812"/>
    <mergeCell ref="L812:M812"/>
    <mergeCell ref="N812:O812"/>
    <mergeCell ref="AD813:AE813"/>
    <mergeCell ref="AF813:AG813"/>
    <mergeCell ref="AH813:AI813"/>
    <mergeCell ref="P807:Q807"/>
    <mergeCell ref="R807:S807"/>
    <mergeCell ref="T807:U807"/>
    <mergeCell ref="V807:W807"/>
    <mergeCell ref="X807:Y807"/>
    <mergeCell ref="Z807:AA807"/>
    <mergeCell ref="AB807:AC807"/>
    <mergeCell ref="B807:C807"/>
    <mergeCell ref="D807:E807"/>
    <mergeCell ref="F807:G807"/>
    <mergeCell ref="H807:I807"/>
    <mergeCell ref="J807:K807"/>
    <mergeCell ref="L807:M807"/>
    <mergeCell ref="N807:O807"/>
    <mergeCell ref="AD829:AE829"/>
    <mergeCell ref="AF829:AG829"/>
    <mergeCell ref="AH829:AI829"/>
    <mergeCell ref="AJ829:AK829"/>
    <mergeCell ref="AL829:BB829"/>
    <mergeCell ref="P829:Q829"/>
    <mergeCell ref="R829:S829"/>
    <mergeCell ref="T829:U829"/>
    <mergeCell ref="V829:W829"/>
    <mergeCell ref="X829:Y829"/>
    <mergeCell ref="Z829:AA829"/>
    <mergeCell ref="AB829:AC829"/>
    <mergeCell ref="P810:Q810"/>
    <mergeCell ref="R810:S810"/>
    <mergeCell ref="T810:U810"/>
    <mergeCell ref="V810:W810"/>
    <mergeCell ref="X810:Y810"/>
    <mergeCell ref="Z810:AA810"/>
    <mergeCell ref="AB810:AC810"/>
    <mergeCell ref="B810:C810"/>
    <mergeCell ref="D810:E810"/>
    <mergeCell ref="F810:G810"/>
    <mergeCell ref="H810:I810"/>
    <mergeCell ref="J810:K810"/>
    <mergeCell ref="L810:M810"/>
    <mergeCell ref="N810:O810"/>
    <mergeCell ref="AD808:AE808"/>
    <mergeCell ref="AF808:AG808"/>
    <mergeCell ref="P808:Q808"/>
    <mergeCell ref="R808:S808"/>
    <mergeCell ref="T808:U808"/>
    <mergeCell ref="V808:W808"/>
    <mergeCell ref="X808:Y808"/>
    <mergeCell ref="Z808:AA808"/>
    <mergeCell ref="AB808:AC808"/>
    <mergeCell ref="AD809:AE809"/>
    <mergeCell ref="AF809:AG809"/>
    <mergeCell ref="AH809:AI809"/>
    <mergeCell ref="AJ809:AK809"/>
    <mergeCell ref="AL809:BB809"/>
    <mergeCell ref="P809:Q809"/>
    <mergeCell ref="R809:S809"/>
    <mergeCell ref="T809:U809"/>
    <mergeCell ref="V809:W809"/>
    <mergeCell ref="X809:Y809"/>
    <mergeCell ref="Z809:AA809"/>
    <mergeCell ref="AB809:AC809"/>
    <mergeCell ref="B809:C809"/>
    <mergeCell ref="D809:E809"/>
    <mergeCell ref="F809:G809"/>
    <mergeCell ref="AL798:BB798"/>
    <mergeCell ref="AH799:AI799"/>
    <mergeCell ref="AJ799:AK799"/>
    <mergeCell ref="AL799:BB799"/>
    <mergeCell ref="B799:C799"/>
    <mergeCell ref="D799:E799"/>
    <mergeCell ref="F799:G799"/>
    <mergeCell ref="H799:I799"/>
    <mergeCell ref="J799:K799"/>
    <mergeCell ref="L799:M799"/>
    <mergeCell ref="N799:O799"/>
    <mergeCell ref="P801:Q801"/>
    <mergeCell ref="R801:S801"/>
    <mergeCell ref="T801:U801"/>
    <mergeCell ref="V801:W801"/>
    <mergeCell ref="X801:Y801"/>
    <mergeCell ref="Z801:AA801"/>
    <mergeCell ref="AB801:AC801"/>
    <mergeCell ref="B801:C801"/>
    <mergeCell ref="D801:E801"/>
    <mergeCell ref="F801:G801"/>
    <mergeCell ref="H801:I801"/>
    <mergeCell ref="J801:K801"/>
    <mergeCell ref="L801:M801"/>
    <mergeCell ref="N801:O801"/>
    <mergeCell ref="AD799:AE799"/>
    <mergeCell ref="AF799:AG799"/>
    <mergeCell ref="P799:Q799"/>
    <mergeCell ref="R799:S799"/>
    <mergeCell ref="T799:U799"/>
    <mergeCell ref="V799:W799"/>
    <mergeCell ref="X799:Y799"/>
    <mergeCell ref="Z799:AA799"/>
    <mergeCell ref="AB799:AC799"/>
    <mergeCell ref="AD800:AE800"/>
    <mergeCell ref="AF800:AG800"/>
    <mergeCell ref="AH800:AI800"/>
    <mergeCell ref="AJ800:AK800"/>
    <mergeCell ref="AL800:BB800"/>
    <mergeCell ref="P800:Q800"/>
    <mergeCell ref="R800:S800"/>
    <mergeCell ref="T800:U800"/>
    <mergeCell ref="V800:W800"/>
    <mergeCell ref="X800:Y800"/>
    <mergeCell ref="Z800:AA800"/>
    <mergeCell ref="AB800:AC800"/>
    <mergeCell ref="B800:C800"/>
    <mergeCell ref="D800:E800"/>
    <mergeCell ref="F800:G800"/>
    <mergeCell ref="H800:I800"/>
    <mergeCell ref="J800:K800"/>
    <mergeCell ref="L800:M800"/>
    <mergeCell ref="N800:O800"/>
    <mergeCell ref="AD801:AE801"/>
    <mergeCell ref="AF801:AG801"/>
    <mergeCell ref="AH801:AI801"/>
    <mergeCell ref="AJ801:AK801"/>
    <mergeCell ref="AL801:BB801"/>
    <mergeCell ref="AD807:AE807"/>
    <mergeCell ref="AF807:AG807"/>
    <mergeCell ref="AH807:AI807"/>
    <mergeCell ref="AJ807:AK807"/>
    <mergeCell ref="AL807:BB807"/>
    <mergeCell ref="AH808:AI808"/>
    <mergeCell ref="AJ808:AK808"/>
    <mergeCell ref="AL808:BB808"/>
    <mergeCell ref="B808:C808"/>
    <mergeCell ref="D808:E808"/>
    <mergeCell ref="F808:G808"/>
    <mergeCell ref="H808:I808"/>
    <mergeCell ref="J808:K808"/>
    <mergeCell ref="L808:M808"/>
    <mergeCell ref="N808:O808"/>
    <mergeCell ref="AD793:AE793"/>
    <mergeCell ref="AF793:AG793"/>
    <mergeCell ref="P793:Q793"/>
    <mergeCell ref="R793:S793"/>
    <mergeCell ref="T793:U793"/>
    <mergeCell ref="V793:W793"/>
    <mergeCell ref="X793:Y793"/>
    <mergeCell ref="Z793:AA793"/>
    <mergeCell ref="AB793:AC793"/>
    <mergeCell ref="AD794:AE794"/>
    <mergeCell ref="AF794:AG794"/>
    <mergeCell ref="AH794:AI794"/>
    <mergeCell ref="AJ794:AK794"/>
    <mergeCell ref="AL794:BB794"/>
    <mergeCell ref="P794:Q794"/>
    <mergeCell ref="R794:S794"/>
    <mergeCell ref="T794:U794"/>
    <mergeCell ref="V794:W794"/>
    <mergeCell ref="X794:Y794"/>
    <mergeCell ref="Z794:AA794"/>
    <mergeCell ref="AB794:AC794"/>
    <mergeCell ref="B794:C794"/>
    <mergeCell ref="D794:E794"/>
    <mergeCell ref="F794:G794"/>
    <mergeCell ref="H794:I794"/>
    <mergeCell ref="J794:K794"/>
    <mergeCell ref="L794:M794"/>
    <mergeCell ref="N794:O794"/>
    <mergeCell ref="AD795:AE795"/>
    <mergeCell ref="AF795:AG795"/>
    <mergeCell ref="AH795:AI795"/>
    <mergeCell ref="AJ795:AK795"/>
    <mergeCell ref="AL795:BB795"/>
    <mergeCell ref="AH796:AI796"/>
    <mergeCell ref="AJ796:AK796"/>
    <mergeCell ref="AL796:BB796"/>
    <mergeCell ref="B796:C796"/>
    <mergeCell ref="D796:E796"/>
    <mergeCell ref="F796:G796"/>
    <mergeCell ref="H796:I796"/>
    <mergeCell ref="J796:K796"/>
    <mergeCell ref="L796:M796"/>
    <mergeCell ref="N796:O796"/>
    <mergeCell ref="AD796:AE796"/>
    <mergeCell ref="AF796:AG796"/>
    <mergeCell ref="P796:Q796"/>
    <mergeCell ref="R796:S796"/>
    <mergeCell ref="T796:U796"/>
    <mergeCell ref="V796:W796"/>
    <mergeCell ref="AH805:AI805"/>
    <mergeCell ref="AJ805:AK805"/>
    <mergeCell ref="AL805:BB805"/>
    <mergeCell ref="B805:C805"/>
    <mergeCell ref="D805:E805"/>
    <mergeCell ref="F805:G805"/>
    <mergeCell ref="H805:I805"/>
    <mergeCell ref="J805:K805"/>
    <mergeCell ref="L805:M805"/>
    <mergeCell ref="N805:O805"/>
    <mergeCell ref="AD805:AE805"/>
    <mergeCell ref="AF805:AG805"/>
    <mergeCell ref="P805:Q805"/>
    <mergeCell ref="R805:S805"/>
    <mergeCell ref="T805:U805"/>
    <mergeCell ref="V805:W805"/>
    <mergeCell ref="X805:Y805"/>
    <mergeCell ref="Z805:AA805"/>
    <mergeCell ref="AB805:AC805"/>
    <mergeCell ref="AD806:AE806"/>
    <mergeCell ref="AF806:AG806"/>
    <mergeCell ref="AH806:AI806"/>
    <mergeCell ref="AJ806:AK806"/>
    <mergeCell ref="AL806:BB806"/>
    <mergeCell ref="P806:Q806"/>
    <mergeCell ref="R806:S806"/>
    <mergeCell ref="T806:U806"/>
    <mergeCell ref="V806:W806"/>
    <mergeCell ref="X806:Y806"/>
    <mergeCell ref="Z806:AA806"/>
    <mergeCell ref="AB806:AC806"/>
    <mergeCell ref="B806:C806"/>
    <mergeCell ref="D806:E806"/>
    <mergeCell ref="F806:G806"/>
    <mergeCell ref="H806:I806"/>
    <mergeCell ref="J806:K806"/>
    <mergeCell ref="L806:M806"/>
    <mergeCell ref="N806:O806"/>
    <mergeCell ref="AD802:AE802"/>
    <mergeCell ref="AF802:AG802"/>
    <mergeCell ref="P802:Q802"/>
    <mergeCell ref="R802:S802"/>
    <mergeCell ref="T802:U802"/>
    <mergeCell ref="V802:W802"/>
    <mergeCell ref="X802:Y802"/>
    <mergeCell ref="Z802:AA802"/>
    <mergeCell ref="AB802:AC802"/>
    <mergeCell ref="AD803:AE803"/>
    <mergeCell ref="AF803:AG803"/>
    <mergeCell ref="AH803:AI803"/>
    <mergeCell ref="AJ803:AK803"/>
    <mergeCell ref="AL803:BB803"/>
    <mergeCell ref="P803:Q803"/>
    <mergeCell ref="R803:S803"/>
    <mergeCell ref="T803:U803"/>
    <mergeCell ref="V803:W803"/>
    <mergeCell ref="X803:Y803"/>
    <mergeCell ref="Z803:AA803"/>
    <mergeCell ref="AB803:AC803"/>
    <mergeCell ref="B803:C803"/>
    <mergeCell ref="D803:E803"/>
    <mergeCell ref="F803:G803"/>
    <mergeCell ref="H803:I803"/>
    <mergeCell ref="J803:K803"/>
    <mergeCell ref="L803:M803"/>
    <mergeCell ref="N803:O803"/>
    <mergeCell ref="AD804:AE804"/>
    <mergeCell ref="AF804:AG804"/>
    <mergeCell ref="AH804:AI804"/>
    <mergeCell ref="AJ804:AK804"/>
    <mergeCell ref="AL804:BB804"/>
    <mergeCell ref="AH802:AI802"/>
    <mergeCell ref="AJ802:AK802"/>
    <mergeCell ref="AL802:BB802"/>
    <mergeCell ref="B802:C802"/>
    <mergeCell ref="D802:E802"/>
    <mergeCell ref="F802:G802"/>
    <mergeCell ref="H802:I802"/>
    <mergeCell ref="J802:K802"/>
    <mergeCell ref="L802:M802"/>
    <mergeCell ref="N802:O802"/>
    <mergeCell ref="P804:Q804"/>
    <mergeCell ref="R804:S804"/>
    <mergeCell ref="T804:U804"/>
    <mergeCell ref="V804:W804"/>
    <mergeCell ref="X804:Y804"/>
    <mergeCell ref="Z804:AA804"/>
    <mergeCell ref="AB804:AC804"/>
    <mergeCell ref="B804:C804"/>
    <mergeCell ref="D804:E804"/>
    <mergeCell ref="F804:G804"/>
    <mergeCell ref="H804:I804"/>
    <mergeCell ref="J804:K804"/>
    <mergeCell ref="L804:M804"/>
    <mergeCell ref="N804:O804"/>
    <mergeCell ref="AH793:AI793"/>
    <mergeCell ref="AJ793:AK793"/>
    <mergeCell ref="AL793:BB793"/>
    <mergeCell ref="B793:C793"/>
    <mergeCell ref="D793:E793"/>
    <mergeCell ref="F793:G793"/>
    <mergeCell ref="H793:I793"/>
    <mergeCell ref="J793:K793"/>
    <mergeCell ref="L793:M793"/>
    <mergeCell ref="N793:O793"/>
    <mergeCell ref="P795:Q795"/>
    <mergeCell ref="R795:S795"/>
    <mergeCell ref="T795:U795"/>
    <mergeCell ref="V795:W795"/>
    <mergeCell ref="X795:Y795"/>
    <mergeCell ref="Z795:AA795"/>
    <mergeCell ref="AB795:AC795"/>
    <mergeCell ref="B795:C795"/>
    <mergeCell ref="D795:E795"/>
    <mergeCell ref="F795:G795"/>
    <mergeCell ref="H795:I795"/>
    <mergeCell ref="J795:K795"/>
    <mergeCell ref="L795:M795"/>
    <mergeCell ref="N795:O795"/>
    <mergeCell ref="P798:Q798"/>
    <mergeCell ref="R798:S798"/>
    <mergeCell ref="T798:U798"/>
    <mergeCell ref="V798:W798"/>
    <mergeCell ref="X798:Y798"/>
    <mergeCell ref="Z798:AA798"/>
    <mergeCell ref="AB798:AC798"/>
    <mergeCell ref="B798:C798"/>
    <mergeCell ref="D798:E798"/>
    <mergeCell ref="F798:G798"/>
    <mergeCell ref="H798:I798"/>
    <mergeCell ref="J798:K798"/>
    <mergeCell ref="L798:M798"/>
    <mergeCell ref="N798:O798"/>
    <mergeCell ref="X796:Y796"/>
    <mergeCell ref="Z796:AA796"/>
    <mergeCell ref="AB796:AC796"/>
    <mergeCell ref="AD797:AE797"/>
    <mergeCell ref="AF797:AG797"/>
    <mergeCell ref="AH797:AI797"/>
    <mergeCell ref="AJ797:AK797"/>
    <mergeCell ref="AL797:BB797"/>
    <mergeCell ref="P797:Q797"/>
    <mergeCell ref="R797:S797"/>
    <mergeCell ref="T797:U797"/>
    <mergeCell ref="V797:W797"/>
    <mergeCell ref="X797:Y797"/>
    <mergeCell ref="Z797:AA797"/>
    <mergeCell ref="AB797:AC797"/>
    <mergeCell ref="B797:C797"/>
    <mergeCell ref="D797:E797"/>
    <mergeCell ref="F797:G797"/>
    <mergeCell ref="H797:I797"/>
    <mergeCell ref="J797:K797"/>
    <mergeCell ref="L797:M797"/>
    <mergeCell ref="N797:O797"/>
    <mergeCell ref="AD798:AE798"/>
    <mergeCell ref="AF798:AG798"/>
    <mergeCell ref="AH798:AI798"/>
    <mergeCell ref="AJ798:AK798"/>
    <mergeCell ref="AH790:AI790"/>
    <mergeCell ref="AJ790:AK790"/>
    <mergeCell ref="AL790:BB790"/>
    <mergeCell ref="B790:C790"/>
    <mergeCell ref="D790:E790"/>
    <mergeCell ref="F790:G790"/>
    <mergeCell ref="H790:I790"/>
    <mergeCell ref="J790:K790"/>
    <mergeCell ref="L790:M790"/>
    <mergeCell ref="N790:O790"/>
    <mergeCell ref="P792:Q792"/>
    <mergeCell ref="R792:S792"/>
    <mergeCell ref="T792:U792"/>
    <mergeCell ref="V792:W792"/>
    <mergeCell ref="X792:Y792"/>
    <mergeCell ref="Z792:AA792"/>
    <mergeCell ref="AB792:AC792"/>
    <mergeCell ref="B792:C792"/>
    <mergeCell ref="D792:E792"/>
    <mergeCell ref="F792:G792"/>
    <mergeCell ref="H792:I792"/>
    <mergeCell ref="J792:K792"/>
    <mergeCell ref="L792:M792"/>
    <mergeCell ref="N792:O792"/>
    <mergeCell ref="AD790:AE790"/>
    <mergeCell ref="AF790:AG790"/>
    <mergeCell ref="P790:Q790"/>
    <mergeCell ref="R790:S790"/>
    <mergeCell ref="T790:U790"/>
    <mergeCell ref="V790:W790"/>
    <mergeCell ref="X790:Y790"/>
    <mergeCell ref="Z790:AA790"/>
    <mergeCell ref="AB790:AC790"/>
    <mergeCell ref="AD791:AE791"/>
    <mergeCell ref="AF791:AG791"/>
    <mergeCell ref="AH791:AI791"/>
    <mergeCell ref="AJ791:AK791"/>
    <mergeCell ref="AL791:BB791"/>
    <mergeCell ref="P791:Q791"/>
    <mergeCell ref="R791:S791"/>
    <mergeCell ref="T791:U791"/>
    <mergeCell ref="V791:W791"/>
    <mergeCell ref="X791:Y791"/>
    <mergeCell ref="Z791:AA791"/>
    <mergeCell ref="AB791:AC791"/>
    <mergeCell ref="B791:C791"/>
    <mergeCell ref="D791:E791"/>
    <mergeCell ref="F791:G791"/>
    <mergeCell ref="H791:I791"/>
    <mergeCell ref="J791:K791"/>
    <mergeCell ref="L791:M791"/>
    <mergeCell ref="N791:O791"/>
    <mergeCell ref="AD792:AE792"/>
    <mergeCell ref="AF792:AG792"/>
    <mergeCell ref="AH792:AI792"/>
    <mergeCell ref="AJ792:AK792"/>
    <mergeCell ref="AL792:BB792"/>
    <mergeCell ref="B787:C787"/>
    <mergeCell ref="D787:E787"/>
    <mergeCell ref="F787:G787"/>
    <mergeCell ref="H787:I787"/>
    <mergeCell ref="J787:K787"/>
    <mergeCell ref="L787:M787"/>
    <mergeCell ref="N787:O787"/>
    <mergeCell ref="AD788:AE788"/>
    <mergeCell ref="AF788:AG788"/>
    <mergeCell ref="AH788:AI788"/>
    <mergeCell ref="AJ788:AK788"/>
    <mergeCell ref="AL788:BB788"/>
    <mergeCell ref="P788:Q788"/>
    <mergeCell ref="R788:S788"/>
    <mergeCell ref="T788:U788"/>
    <mergeCell ref="V788:W788"/>
    <mergeCell ref="X788:Y788"/>
    <mergeCell ref="Z788:AA788"/>
    <mergeCell ref="AB788:AC788"/>
    <mergeCell ref="B788:C788"/>
    <mergeCell ref="D788:E788"/>
    <mergeCell ref="F788:G788"/>
    <mergeCell ref="H788:I788"/>
    <mergeCell ref="J788:K788"/>
    <mergeCell ref="L788:M788"/>
    <mergeCell ref="N788:O788"/>
    <mergeCell ref="AD789:AE789"/>
    <mergeCell ref="AF789:AG789"/>
    <mergeCell ref="AH789:AI789"/>
    <mergeCell ref="AJ789:AK789"/>
    <mergeCell ref="AL789:BB789"/>
    <mergeCell ref="P789:Q789"/>
    <mergeCell ref="R789:S789"/>
    <mergeCell ref="T789:U789"/>
    <mergeCell ref="V789:W789"/>
    <mergeCell ref="X789:Y789"/>
    <mergeCell ref="Z789:AA789"/>
    <mergeCell ref="AB789:AC789"/>
    <mergeCell ref="B789:C789"/>
    <mergeCell ref="D789:E789"/>
    <mergeCell ref="F789:G789"/>
    <mergeCell ref="H789:I789"/>
    <mergeCell ref="J789:K789"/>
    <mergeCell ref="L789:M789"/>
    <mergeCell ref="N789:O789"/>
    <mergeCell ref="AH784:AI784"/>
    <mergeCell ref="AJ784:AK784"/>
    <mergeCell ref="AL784:BB784"/>
    <mergeCell ref="B784:C784"/>
    <mergeCell ref="D784:E784"/>
    <mergeCell ref="F784:G784"/>
    <mergeCell ref="H784:I784"/>
    <mergeCell ref="J784:K784"/>
    <mergeCell ref="L784:M784"/>
    <mergeCell ref="N784:O784"/>
    <mergeCell ref="P786:Q786"/>
    <mergeCell ref="R786:S786"/>
    <mergeCell ref="T786:U786"/>
    <mergeCell ref="V786:W786"/>
    <mergeCell ref="X786:Y786"/>
    <mergeCell ref="Z786:AA786"/>
    <mergeCell ref="AB786:AC786"/>
    <mergeCell ref="B786:C786"/>
    <mergeCell ref="D786:E786"/>
    <mergeCell ref="F786:G786"/>
    <mergeCell ref="H786:I786"/>
    <mergeCell ref="J786:K786"/>
    <mergeCell ref="L786:M786"/>
    <mergeCell ref="N786:O786"/>
    <mergeCell ref="AD784:AE784"/>
    <mergeCell ref="AF784:AG784"/>
    <mergeCell ref="P784:Q784"/>
    <mergeCell ref="R784:S784"/>
    <mergeCell ref="T784:U784"/>
    <mergeCell ref="V784:W784"/>
    <mergeCell ref="X784:Y784"/>
    <mergeCell ref="Z784:AA784"/>
    <mergeCell ref="AB784:AC784"/>
    <mergeCell ref="AD785:AE785"/>
    <mergeCell ref="AF785:AG785"/>
    <mergeCell ref="AH785:AI785"/>
    <mergeCell ref="AJ785:AK785"/>
    <mergeCell ref="AL785:BB785"/>
    <mergeCell ref="P785:Q785"/>
    <mergeCell ref="R785:S785"/>
    <mergeCell ref="T785:U785"/>
    <mergeCell ref="V785:W785"/>
    <mergeCell ref="X785:Y785"/>
    <mergeCell ref="Z785:AA785"/>
    <mergeCell ref="AB785:AC785"/>
    <mergeCell ref="B785:C785"/>
    <mergeCell ref="D785:E785"/>
    <mergeCell ref="F785:G785"/>
    <mergeCell ref="H785:I785"/>
    <mergeCell ref="J785:K785"/>
    <mergeCell ref="L785:M785"/>
    <mergeCell ref="N785:O785"/>
    <mergeCell ref="AD786:AE786"/>
    <mergeCell ref="AF786:AG786"/>
    <mergeCell ref="AH786:AI786"/>
    <mergeCell ref="AJ786:AK786"/>
    <mergeCell ref="AL786:BB786"/>
    <mergeCell ref="AH781:AI781"/>
    <mergeCell ref="AJ781:AK781"/>
    <mergeCell ref="AL781:BB781"/>
    <mergeCell ref="B781:C781"/>
    <mergeCell ref="D781:E781"/>
    <mergeCell ref="F781:G781"/>
    <mergeCell ref="H781:I781"/>
    <mergeCell ref="J781:K781"/>
    <mergeCell ref="L781:M781"/>
    <mergeCell ref="N781:O781"/>
    <mergeCell ref="P783:Q783"/>
    <mergeCell ref="R783:S783"/>
    <mergeCell ref="T783:U783"/>
    <mergeCell ref="V783:W783"/>
    <mergeCell ref="X783:Y783"/>
    <mergeCell ref="Z783:AA783"/>
    <mergeCell ref="AB783:AC783"/>
    <mergeCell ref="B783:C783"/>
    <mergeCell ref="D783:E783"/>
    <mergeCell ref="F783:G783"/>
    <mergeCell ref="H783:I783"/>
    <mergeCell ref="J783:K783"/>
    <mergeCell ref="L783:M783"/>
    <mergeCell ref="N783:O783"/>
    <mergeCell ref="AD781:AE781"/>
    <mergeCell ref="AF781:AG781"/>
    <mergeCell ref="P781:Q781"/>
    <mergeCell ref="R781:S781"/>
    <mergeCell ref="T781:U781"/>
    <mergeCell ref="V781:W781"/>
    <mergeCell ref="X781:Y781"/>
    <mergeCell ref="Z781:AA781"/>
    <mergeCell ref="AB781:AC781"/>
    <mergeCell ref="AD782:AE782"/>
    <mergeCell ref="AF782:AG782"/>
    <mergeCell ref="AH782:AI782"/>
    <mergeCell ref="AJ782:AK782"/>
    <mergeCell ref="AL782:BB782"/>
    <mergeCell ref="P782:Q782"/>
    <mergeCell ref="R782:S782"/>
    <mergeCell ref="T782:U782"/>
    <mergeCell ref="V782:W782"/>
    <mergeCell ref="X782:Y782"/>
    <mergeCell ref="Z782:AA782"/>
    <mergeCell ref="AB782:AC782"/>
    <mergeCell ref="B782:C782"/>
    <mergeCell ref="D782:E782"/>
    <mergeCell ref="F782:G782"/>
    <mergeCell ref="H782:I782"/>
    <mergeCell ref="J782:K782"/>
    <mergeCell ref="L782:M782"/>
    <mergeCell ref="N782:O782"/>
    <mergeCell ref="AD783:AE783"/>
    <mergeCell ref="AF783:AG783"/>
    <mergeCell ref="AH783:AI783"/>
    <mergeCell ref="AJ783:AK783"/>
    <mergeCell ref="AL783:BB783"/>
    <mergeCell ref="AH778:AI778"/>
    <mergeCell ref="AJ778:AK778"/>
    <mergeCell ref="AL778:BB778"/>
    <mergeCell ref="B778:C778"/>
    <mergeCell ref="D778:E778"/>
    <mergeCell ref="F778:G778"/>
    <mergeCell ref="H778:I778"/>
    <mergeCell ref="J778:K778"/>
    <mergeCell ref="L778:M778"/>
    <mergeCell ref="N778:O778"/>
    <mergeCell ref="P780:Q780"/>
    <mergeCell ref="R780:S780"/>
    <mergeCell ref="T780:U780"/>
    <mergeCell ref="V780:W780"/>
    <mergeCell ref="X780:Y780"/>
    <mergeCell ref="Z780:AA780"/>
    <mergeCell ref="AB780:AC780"/>
    <mergeCell ref="B780:C780"/>
    <mergeCell ref="D780:E780"/>
    <mergeCell ref="F780:G780"/>
    <mergeCell ref="H780:I780"/>
    <mergeCell ref="J780:K780"/>
    <mergeCell ref="L780:M780"/>
    <mergeCell ref="N780:O780"/>
    <mergeCell ref="AD778:AE778"/>
    <mergeCell ref="AF778:AG778"/>
    <mergeCell ref="P778:Q778"/>
    <mergeCell ref="R778:S778"/>
    <mergeCell ref="T778:U778"/>
    <mergeCell ref="V778:W778"/>
    <mergeCell ref="X778:Y778"/>
    <mergeCell ref="Z778:AA778"/>
    <mergeCell ref="AB778:AC778"/>
    <mergeCell ref="AD779:AE779"/>
    <mergeCell ref="AF779:AG779"/>
    <mergeCell ref="AH779:AI779"/>
    <mergeCell ref="AJ779:AK779"/>
    <mergeCell ref="AL779:BB779"/>
    <mergeCell ref="P779:Q779"/>
    <mergeCell ref="R779:S779"/>
    <mergeCell ref="T779:U779"/>
    <mergeCell ref="V779:W779"/>
    <mergeCell ref="X779:Y779"/>
    <mergeCell ref="Z779:AA779"/>
    <mergeCell ref="AB779:AC779"/>
    <mergeCell ref="B779:C779"/>
    <mergeCell ref="D779:E779"/>
    <mergeCell ref="F779:G779"/>
    <mergeCell ref="H779:I779"/>
    <mergeCell ref="J779:K779"/>
    <mergeCell ref="L779:M779"/>
    <mergeCell ref="N779:O779"/>
    <mergeCell ref="AD780:AE780"/>
    <mergeCell ref="AF780:AG780"/>
    <mergeCell ref="AH780:AI780"/>
    <mergeCell ref="AJ780:AK780"/>
    <mergeCell ref="AL780:BB780"/>
    <mergeCell ref="AH775:AI775"/>
    <mergeCell ref="AJ775:AK775"/>
    <mergeCell ref="AL775:BB775"/>
    <mergeCell ref="B775:C775"/>
    <mergeCell ref="D775:E775"/>
    <mergeCell ref="F775:G775"/>
    <mergeCell ref="H775:I775"/>
    <mergeCell ref="J775:K775"/>
    <mergeCell ref="L775:M775"/>
    <mergeCell ref="N775:O775"/>
    <mergeCell ref="P777:Q777"/>
    <mergeCell ref="R777:S777"/>
    <mergeCell ref="T777:U777"/>
    <mergeCell ref="V777:W777"/>
    <mergeCell ref="X777:Y777"/>
    <mergeCell ref="Z777:AA777"/>
    <mergeCell ref="AB777:AC777"/>
    <mergeCell ref="B777:C777"/>
    <mergeCell ref="D777:E777"/>
    <mergeCell ref="F777:G777"/>
    <mergeCell ref="H777:I777"/>
    <mergeCell ref="J777:K777"/>
    <mergeCell ref="L777:M777"/>
    <mergeCell ref="N777:O777"/>
    <mergeCell ref="AD775:AE775"/>
    <mergeCell ref="AF775:AG775"/>
    <mergeCell ref="P775:Q775"/>
    <mergeCell ref="R775:S775"/>
    <mergeCell ref="T775:U775"/>
    <mergeCell ref="V775:W775"/>
    <mergeCell ref="X775:Y775"/>
    <mergeCell ref="Z775:AA775"/>
    <mergeCell ref="AB775:AC775"/>
    <mergeCell ref="AD776:AE776"/>
    <mergeCell ref="AF776:AG776"/>
    <mergeCell ref="AH776:AI776"/>
    <mergeCell ref="AJ776:AK776"/>
    <mergeCell ref="AL776:BB776"/>
    <mergeCell ref="P776:Q776"/>
    <mergeCell ref="R776:S776"/>
    <mergeCell ref="T776:U776"/>
    <mergeCell ref="V776:W776"/>
    <mergeCell ref="X776:Y776"/>
    <mergeCell ref="Z776:AA776"/>
    <mergeCell ref="AB776:AC776"/>
    <mergeCell ref="B776:C776"/>
    <mergeCell ref="D776:E776"/>
    <mergeCell ref="F776:G776"/>
    <mergeCell ref="H776:I776"/>
    <mergeCell ref="J776:K776"/>
    <mergeCell ref="L776:M776"/>
    <mergeCell ref="N776:O776"/>
    <mergeCell ref="AD777:AE777"/>
    <mergeCell ref="AF777:AG777"/>
    <mergeCell ref="AH777:AI777"/>
    <mergeCell ref="AJ777:AK777"/>
    <mergeCell ref="AL777:BB777"/>
    <mergeCell ref="AJ771:AK771"/>
    <mergeCell ref="AL771:BB771"/>
    <mergeCell ref="AH772:AI772"/>
    <mergeCell ref="AJ772:AK772"/>
    <mergeCell ref="AL772:BB772"/>
    <mergeCell ref="B772:C772"/>
    <mergeCell ref="D772:E772"/>
    <mergeCell ref="F772:G772"/>
    <mergeCell ref="H772:I772"/>
    <mergeCell ref="J772:K772"/>
    <mergeCell ref="L772:M772"/>
    <mergeCell ref="N772:O772"/>
    <mergeCell ref="P774:Q774"/>
    <mergeCell ref="R774:S774"/>
    <mergeCell ref="T774:U774"/>
    <mergeCell ref="V774:W774"/>
    <mergeCell ref="X774:Y774"/>
    <mergeCell ref="Z774:AA774"/>
    <mergeCell ref="AB774:AC774"/>
    <mergeCell ref="B774:C774"/>
    <mergeCell ref="D774:E774"/>
    <mergeCell ref="F774:G774"/>
    <mergeCell ref="H774:I774"/>
    <mergeCell ref="J774:K774"/>
    <mergeCell ref="L774:M774"/>
    <mergeCell ref="N774:O774"/>
    <mergeCell ref="AD772:AE772"/>
    <mergeCell ref="AF772:AG772"/>
    <mergeCell ref="P772:Q772"/>
    <mergeCell ref="R772:S772"/>
    <mergeCell ref="T772:U772"/>
    <mergeCell ref="V772:W772"/>
    <mergeCell ref="X772:Y772"/>
    <mergeCell ref="Z772:AA772"/>
    <mergeCell ref="AB772:AC772"/>
    <mergeCell ref="AD773:AE773"/>
    <mergeCell ref="AF773:AG773"/>
    <mergeCell ref="AH773:AI773"/>
    <mergeCell ref="AJ773:AK773"/>
    <mergeCell ref="AL773:BB773"/>
    <mergeCell ref="P773:Q773"/>
    <mergeCell ref="R773:S773"/>
    <mergeCell ref="T773:U773"/>
    <mergeCell ref="V773:W773"/>
    <mergeCell ref="X773:Y773"/>
    <mergeCell ref="Z773:AA773"/>
    <mergeCell ref="AB773:AC773"/>
    <mergeCell ref="B773:C773"/>
    <mergeCell ref="D773:E773"/>
    <mergeCell ref="F773:G773"/>
    <mergeCell ref="H773:I773"/>
    <mergeCell ref="J773:K773"/>
    <mergeCell ref="L773:M773"/>
    <mergeCell ref="N773:O773"/>
    <mergeCell ref="AD774:AE774"/>
    <mergeCell ref="AF774:AG774"/>
    <mergeCell ref="AH774:AI774"/>
    <mergeCell ref="AJ774:AK774"/>
    <mergeCell ref="AL774:BB774"/>
    <mergeCell ref="H767:I767"/>
    <mergeCell ref="J767:K767"/>
    <mergeCell ref="L767:M767"/>
    <mergeCell ref="N767:O767"/>
    <mergeCell ref="AD768:AE768"/>
    <mergeCell ref="AF768:AG768"/>
    <mergeCell ref="AH768:AI768"/>
    <mergeCell ref="AJ768:AK768"/>
    <mergeCell ref="AL768:BB768"/>
    <mergeCell ref="AH769:AI769"/>
    <mergeCell ref="AJ769:AK769"/>
    <mergeCell ref="AL769:BB769"/>
    <mergeCell ref="B769:C769"/>
    <mergeCell ref="D769:E769"/>
    <mergeCell ref="F769:G769"/>
    <mergeCell ref="H769:I769"/>
    <mergeCell ref="J769:K769"/>
    <mergeCell ref="L769:M769"/>
    <mergeCell ref="N769:O769"/>
    <mergeCell ref="P771:Q771"/>
    <mergeCell ref="R771:S771"/>
    <mergeCell ref="T771:U771"/>
    <mergeCell ref="V771:W771"/>
    <mergeCell ref="X771:Y771"/>
    <mergeCell ref="Z771:AA771"/>
    <mergeCell ref="AB771:AC771"/>
    <mergeCell ref="B771:C771"/>
    <mergeCell ref="D771:E771"/>
    <mergeCell ref="F771:G771"/>
    <mergeCell ref="H771:I771"/>
    <mergeCell ref="J771:K771"/>
    <mergeCell ref="L771:M771"/>
    <mergeCell ref="N771:O771"/>
    <mergeCell ref="AD769:AE769"/>
    <mergeCell ref="AF769:AG769"/>
    <mergeCell ref="P769:Q769"/>
    <mergeCell ref="R769:S769"/>
    <mergeCell ref="T769:U769"/>
    <mergeCell ref="V769:W769"/>
    <mergeCell ref="X769:Y769"/>
    <mergeCell ref="Z769:AA769"/>
    <mergeCell ref="AB769:AC769"/>
    <mergeCell ref="AD770:AE770"/>
    <mergeCell ref="AF770:AG770"/>
    <mergeCell ref="AH770:AI770"/>
    <mergeCell ref="AJ770:AK770"/>
    <mergeCell ref="AL770:BB770"/>
    <mergeCell ref="P770:Q770"/>
    <mergeCell ref="R770:S770"/>
    <mergeCell ref="T770:U770"/>
    <mergeCell ref="V770:W770"/>
    <mergeCell ref="X770:Y770"/>
    <mergeCell ref="Z770:AA770"/>
    <mergeCell ref="AB770:AC770"/>
    <mergeCell ref="B770:C770"/>
    <mergeCell ref="D770:E770"/>
    <mergeCell ref="F770:G770"/>
    <mergeCell ref="H770:I770"/>
    <mergeCell ref="J770:K770"/>
    <mergeCell ref="L770:M770"/>
    <mergeCell ref="N770:O770"/>
    <mergeCell ref="AD771:AE771"/>
    <mergeCell ref="AF771:AG771"/>
    <mergeCell ref="AH771:AI771"/>
    <mergeCell ref="P765:Q765"/>
    <mergeCell ref="R765:S765"/>
    <mergeCell ref="T765:U765"/>
    <mergeCell ref="V765:W765"/>
    <mergeCell ref="X765:Y765"/>
    <mergeCell ref="Z765:AA765"/>
    <mergeCell ref="AB765:AC765"/>
    <mergeCell ref="B765:C765"/>
    <mergeCell ref="D765:E765"/>
    <mergeCell ref="F765:G765"/>
    <mergeCell ref="H765:I765"/>
    <mergeCell ref="J765:K765"/>
    <mergeCell ref="L765:M765"/>
    <mergeCell ref="N765:O765"/>
    <mergeCell ref="AD787:AE787"/>
    <mergeCell ref="AF787:AG787"/>
    <mergeCell ref="AH787:AI787"/>
    <mergeCell ref="AJ787:AK787"/>
    <mergeCell ref="AL787:BB787"/>
    <mergeCell ref="P787:Q787"/>
    <mergeCell ref="R787:S787"/>
    <mergeCell ref="T787:U787"/>
    <mergeCell ref="V787:W787"/>
    <mergeCell ref="X787:Y787"/>
    <mergeCell ref="Z787:AA787"/>
    <mergeCell ref="AB787:AC787"/>
    <mergeCell ref="P768:Q768"/>
    <mergeCell ref="R768:S768"/>
    <mergeCell ref="T768:U768"/>
    <mergeCell ref="V768:W768"/>
    <mergeCell ref="X768:Y768"/>
    <mergeCell ref="Z768:AA768"/>
    <mergeCell ref="AB768:AC768"/>
    <mergeCell ref="B768:C768"/>
    <mergeCell ref="D768:E768"/>
    <mergeCell ref="F768:G768"/>
    <mergeCell ref="H768:I768"/>
    <mergeCell ref="J768:K768"/>
    <mergeCell ref="L768:M768"/>
    <mergeCell ref="N768:O768"/>
    <mergeCell ref="AD766:AE766"/>
    <mergeCell ref="AF766:AG766"/>
    <mergeCell ref="P766:Q766"/>
    <mergeCell ref="R766:S766"/>
    <mergeCell ref="T766:U766"/>
    <mergeCell ref="V766:W766"/>
    <mergeCell ref="X766:Y766"/>
    <mergeCell ref="Z766:AA766"/>
    <mergeCell ref="AB766:AC766"/>
    <mergeCell ref="AD767:AE767"/>
    <mergeCell ref="AF767:AG767"/>
    <mergeCell ref="AH767:AI767"/>
    <mergeCell ref="AJ767:AK767"/>
    <mergeCell ref="AL767:BB767"/>
    <mergeCell ref="P767:Q767"/>
    <mergeCell ref="R767:S767"/>
    <mergeCell ref="T767:U767"/>
    <mergeCell ref="V767:W767"/>
    <mergeCell ref="X767:Y767"/>
    <mergeCell ref="Z767:AA767"/>
    <mergeCell ref="AB767:AC767"/>
    <mergeCell ref="B767:C767"/>
    <mergeCell ref="D767:E767"/>
    <mergeCell ref="F767:G767"/>
    <mergeCell ref="AL756:BB756"/>
    <mergeCell ref="AH757:AI757"/>
    <mergeCell ref="AJ757:AK757"/>
    <mergeCell ref="AL757:BB757"/>
    <mergeCell ref="B757:C757"/>
    <mergeCell ref="D757:E757"/>
    <mergeCell ref="F757:G757"/>
    <mergeCell ref="H757:I757"/>
    <mergeCell ref="J757:K757"/>
    <mergeCell ref="L757:M757"/>
    <mergeCell ref="N757:O757"/>
    <mergeCell ref="P759:Q759"/>
    <mergeCell ref="R759:S759"/>
    <mergeCell ref="T759:U759"/>
    <mergeCell ref="V759:W759"/>
    <mergeCell ref="X759:Y759"/>
    <mergeCell ref="Z759:AA759"/>
    <mergeCell ref="AB759:AC759"/>
    <mergeCell ref="B759:C759"/>
    <mergeCell ref="D759:E759"/>
    <mergeCell ref="F759:G759"/>
    <mergeCell ref="H759:I759"/>
    <mergeCell ref="J759:K759"/>
    <mergeCell ref="L759:M759"/>
    <mergeCell ref="N759:O759"/>
    <mergeCell ref="AD757:AE757"/>
    <mergeCell ref="AF757:AG757"/>
    <mergeCell ref="P757:Q757"/>
    <mergeCell ref="R757:S757"/>
    <mergeCell ref="T757:U757"/>
    <mergeCell ref="V757:W757"/>
    <mergeCell ref="X757:Y757"/>
    <mergeCell ref="Z757:AA757"/>
    <mergeCell ref="AB757:AC757"/>
    <mergeCell ref="AD758:AE758"/>
    <mergeCell ref="AF758:AG758"/>
    <mergeCell ref="AH758:AI758"/>
    <mergeCell ref="AJ758:AK758"/>
    <mergeCell ref="AL758:BB758"/>
    <mergeCell ref="P758:Q758"/>
    <mergeCell ref="R758:S758"/>
    <mergeCell ref="T758:U758"/>
    <mergeCell ref="V758:W758"/>
    <mergeCell ref="X758:Y758"/>
    <mergeCell ref="Z758:AA758"/>
    <mergeCell ref="AB758:AC758"/>
    <mergeCell ref="B758:C758"/>
    <mergeCell ref="D758:E758"/>
    <mergeCell ref="F758:G758"/>
    <mergeCell ref="H758:I758"/>
    <mergeCell ref="J758:K758"/>
    <mergeCell ref="L758:M758"/>
    <mergeCell ref="N758:O758"/>
    <mergeCell ref="AD759:AE759"/>
    <mergeCell ref="AF759:AG759"/>
    <mergeCell ref="AH759:AI759"/>
    <mergeCell ref="AJ759:AK759"/>
    <mergeCell ref="AL759:BB759"/>
    <mergeCell ref="AD765:AE765"/>
    <mergeCell ref="AF765:AG765"/>
    <mergeCell ref="AH765:AI765"/>
    <mergeCell ref="AJ765:AK765"/>
    <mergeCell ref="AL765:BB765"/>
    <mergeCell ref="AH766:AI766"/>
    <mergeCell ref="AJ766:AK766"/>
    <mergeCell ref="AL766:BB766"/>
    <mergeCell ref="B766:C766"/>
    <mergeCell ref="D766:E766"/>
    <mergeCell ref="F766:G766"/>
    <mergeCell ref="H766:I766"/>
    <mergeCell ref="J766:K766"/>
    <mergeCell ref="L766:M766"/>
    <mergeCell ref="N766:O766"/>
    <mergeCell ref="AD751:AE751"/>
    <mergeCell ref="AF751:AG751"/>
    <mergeCell ref="P751:Q751"/>
    <mergeCell ref="R751:S751"/>
    <mergeCell ref="T751:U751"/>
    <mergeCell ref="V751:W751"/>
    <mergeCell ref="X751:Y751"/>
    <mergeCell ref="Z751:AA751"/>
    <mergeCell ref="AB751:AC751"/>
    <mergeCell ref="AD752:AE752"/>
    <mergeCell ref="AF752:AG752"/>
    <mergeCell ref="AH752:AI752"/>
    <mergeCell ref="AJ752:AK752"/>
    <mergeCell ref="AL752:BB752"/>
    <mergeCell ref="P752:Q752"/>
    <mergeCell ref="R752:S752"/>
    <mergeCell ref="T752:U752"/>
    <mergeCell ref="V752:W752"/>
    <mergeCell ref="X752:Y752"/>
    <mergeCell ref="Z752:AA752"/>
    <mergeCell ref="AB752:AC752"/>
    <mergeCell ref="B752:C752"/>
    <mergeCell ref="D752:E752"/>
    <mergeCell ref="F752:G752"/>
    <mergeCell ref="H752:I752"/>
    <mergeCell ref="J752:K752"/>
    <mergeCell ref="L752:M752"/>
    <mergeCell ref="N752:O752"/>
    <mergeCell ref="AD753:AE753"/>
    <mergeCell ref="AF753:AG753"/>
    <mergeCell ref="AH753:AI753"/>
    <mergeCell ref="AJ753:AK753"/>
    <mergeCell ref="AL753:BB753"/>
    <mergeCell ref="AH754:AI754"/>
    <mergeCell ref="AJ754:AK754"/>
    <mergeCell ref="AL754:BB754"/>
    <mergeCell ref="B754:C754"/>
    <mergeCell ref="D754:E754"/>
    <mergeCell ref="F754:G754"/>
    <mergeCell ref="H754:I754"/>
    <mergeCell ref="J754:K754"/>
    <mergeCell ref="L754:M754"/>
    <mergeCell ref="N754:O754"/>
    <mergeCell ref="AD754:AE754"/>
    <mergeCell ref="AF754:AG754"/>
    <mergeCell ref="P754:Q754"/>
    <mergeCell ref="R754:S754"/>
    <mergeCell ref="T754:U754"/>
    <mergeCell ref="V754:W754"/>
    <mergeCell ref="AH763:AI763"/>
    <mergeCell ref="AJ763:AK763"/>
    <mergeCell ref="AL763:BB763"/>
    <mergeCell ref="B763:C763"/>
    <mergeCell ref="D763:E763"/>
    <mergeCell ref="F763:G763"/>
    <mergeCell ref="H763:I763"/>
    <mergeCell ref="J763:K763"/>
    <mergeCell ref="L763:M763"/>
    <mergeCell ref="N763:O763"/>
    <mergeCell ref="AD763:AE763"/>
    <mergeCell ref="AF763:AG763"/>
    <mergeCell ref="P763:Q763"/>
    <mergeCell ref="R763:S763"/>
    <mergeCell ref="T763:U763"/>
    <mergeCell ref="V763:W763"/>
    <mergeCell ref="X763:Y763"/>
    <mergeCell ref="Z763:AA763"/>
    <mergeCell ref="AB763:AC763"/>
    <mergeCell ref="AD764:AE764"/>
    <mergeCell ref="AF764:AG764"/>
    <mergeCell ref="AH764:AI764"/>
    <mergeCell ref="AJ764:AK764"/>
    <mergeCell ref="AL764:BB764"/>
    <mergeCell ref="P764:Q764"/>
    <mergeCell ref="R764:S764"/>
    <mergeCell ref="T764:U764"/>
    <mergeCell ref="V764:W764"/>
    <mergeCell ref="X764:Y764"/>
    <mergeCell ref="Z764:AA764"/>
    <mergeCell ref="AB764:AC764"/>
    <mergeCell ref="B764:C764"/>
    <mergeCell ref="D764:E764"/>
    <mergeCell ref="F764:G764"/>
    <mergeCell ref="H764:I764"/>
    <mergeCell ref="J764:K764"/>
    <mergeCell ref="L764:M764"/>
    <mergeCell ref="N764:O764"/>
    <mergeCell ref="AD760:AE760"/>
    <mergeCell ref="AF760:AG760"/>
    <mergeCell ref="P760:Q760"/>
    <mergeCell ref="R760:S760"/>
    <mergeCell ref="T760:U760"/>
    <mergeCell ref="V760:W760"/>
    <mergeCell ref="X760:Y760"/>
    <mergeCell ref="Z760:AA760"/>
    <mergeCell ref="AB760:AC760"/>
    <mergeCell ref="AD761:AE761"/>
    <mergeCell ref="AF761:AG761"/>
    <mergeCell ref="AH761:AI761"/>
    <mergeCell ref="AJ761:AK761"/>
    <mergeCell ref="AL761:BB761"/>
    <mergeCell ref="P761:Q761"/>
    <mergeCell ref="R761:S761"/>
    <mergeCell ref="T761:U761"/>
    <mergeCell ref="V761:W761"/>
    <mergeCell ref="X761:Y761"/>
    <mergeCell ref="Z761:AA761"/>
    <mergeCell ref="AB761:AC761"/>
    <mergeCell ref="B761:C761"/>
    <mergeCell ref="D761:E761"/>
    <mergeCell ref="F761:G761"/>
    <mergeCell ref="H761:I761"/>
    <mergeCell ref="J761:K761"/>
    <mergeCell ref="L761:M761"/>
    <mergeCell ref="N761:O761"/>
    <mergeCell ref="AD762:AE762"/>
    <mergeCell ref="AF762:AG762"/>
    <mergeCell ref="AH762:AI762"/>
    <mergeCell ref="AJ762:AK762"/>
    <mergeCell ref="AL762:BB762"/>
    <mergeCell ref="AH760:AI760"/>
    <mergeCell ref="AJ760:AK760"/>
    <mergeCell ref="AL760:BB760"/>
    <mergeCell ref="B760:C760"/>
    <mergeCell ref="D760:E760"/>
    <mergeCell ref="F760:G760"/>
    <mergeCell ref="H760:I760"/>
    <mergeCell ref="J760:K760"/>
    <mergeCell ref="L760:M760"/>
    <mergeCell ref="N760:O760"/>
    <mergeCell ref="P762:Q762"/>
    <mergeCell ref="R762:S762"/>
    <mergeCell ref="T762:U762"/>
    <mergeCell ref="V762:W762"/>
    <mergeCell ref="X762:Y762"/>
    <mergeCell ref="Z762:AA762"/>
    <mergeCell ref="AB762:AC762"/>
    <mergeCell ref="B762:C762"/>
    <mergeCell ref="D762:E762"/>
    <mergeCell ref="F762:G762"/>
    <mergeCell ref="H762:I762"/>
    <mergeCell ref="J762:K762"/>
    <mergeCell ref="L762:M762"/>
    <mergeCell ref="N762:O762"/>
    <mergeCell ref="AH751:AI751"/>
    <mergeCell ref="AJ751:AK751"/>
    <mergeCell ref="AL751:BB751"/>
    <mergeCell ref="B751:C751"/>
    <mergeCell ref="D751:E751"/>
    <mergeCell ref="F751:G751"/>
    <mergeCell ref="H751:I751"/>
    <mergeCell ref="J751:K751"/>
    <mergeCell ref="L751:M751"/>
    <mergeCell ref="N751:O751"/>
    <mergeCell ref="P753:Q753"/>
    <mergeCell ref="R753:S753"/>
    <mergeCell ref="T753:U753"/>
    <mergeCell ref="V753:W753"/>
    <mergeCell ref="X753:Y753"/>
    <mergeCell ref="Z753:AA753"/>
    <mergeCell ref="AB753:AC753"/>
    <mergeCell ref="B753:C753"/>
    <mergeCell ref="D753:E753"/>
    <mergeCell ref="F753:G753"/>
    <mergeCell ref="H753:I753"/>
    <mergeCell ref="J753:K753"/>
    <mergeCell ref="L753:M753"/>
    <mergeCell ref="N753:O753"/>
    <mergeCell ref="P756:Q756"/>
    <mergeCell ref="R756:S756"/>
    <mergeCell ref="T756:U756"/>
    <mergeCell ref="V756:W756"/>
    <mergeCell ref="X756:Y756"/>
    <mergeCell ref="Z756:AA756"/>
    <mergeCell ref="AB756:AC756"/>
    <mergeCell ref="B756:C756"/>
    <mergeCell ref="D756:E756"/>
    <mergeCell ref="F756:G756"/>
    <mergeCell ref="H756:I756"/>
    <mergeCell ref="J756:K756"/>
    <mergeCell ref="L756:M756"/>
    <mergeCell ref="N756:O756"/>
    <mergeCell ref="X754:Y754"/>
    <mergeCell ref="Z754:AA754"/>
    <mergeCell ref="AB754:AC754"/>
    <mergeCell ref="AD755:AE755"/>
    <mergeCell ref="AF755:AG755"/>
    <mergeCell ref="AH755:AI755"/>
    <mergeCell ref="AJ755:AK755"/>
    <mergeCell ref="AL755:BB755"/>
    <mergeCell ref="P755:Q755"/>
    <mergeCell ref="R755:S755"/>
    <mergeCell ref="T755:U755"/>
    <mergeCell ref="V755:W755"/>
    <mergeCell ref="X755:Y755"/>
    <mergeCell ref="Z755:AA755"/>
    <mergeCell ref="AB755:AC755"/>
    <mergeCell ref="B755:C755"/>
    <mergeCell ref="D755:E755"/>
    <mergeCell ref="F755:G755"/>
    <mergeCell ref="H755:I755"/>
    <mergeCell ref="J755:K755"/>
    <mergeCell ref="L755:M755"/>
    <mergeCell ref="N755:O755"/>
    <mergeCell ref="AD756:AE756"/>
    <mergeCell ref="AF756:AG756"/>
    <mergeCell ref="AH756:AI756"/>
    <mergeCell ref="AJ756:AK756"/>
    <mergeCell ref="AH748:AI748"/>
    <mergeCell ref="AJ748:AK748"/>
    <mergeCell ref="AL748:BB748"/>
    <mergeCell ref="B748:C748"/>
    <mergeCell ref="D748:E748"/>
    <mergeCell ref="F748:G748"/>
    <mergeCell ref="H748:I748"/>
    <mergeCell ref="J748:K748"/>
    <mergeCell ref="L748:M748"/>
    <mergeCell ref="N748:O748"/>
    <mergeCell ref="P750:Q750"/>
    <mergeCell ref="R750:S750"/>
    <mergeCell ref="T750:U750"/>
    <mergeCell ref="V750:W750"/>
    <mergeCell ref="X750:Y750"/>
    <mergeCell ref="Z750:AA750"/>
    <mergeCell ref="AB750:AC750"/>
    <mergeCell ref="B750:C750"/>
    <mergeCell ref="D750:E750"/>
    <mergeCell ref="F750:G750"/>
    <mergeCell ref="H750:I750"/>
    <mergeCell ref="J750:K750"/>
    <mergeCell ref="L750:M750"/>
    <mergeCell ref="N750:O750"/>
    <mergeCell ref="AD748:AE748"/>
    <mergeCell ref="AF748:AG748"/>
    <mergeCell ref="P748:Q748"/>
    <mergeCell ref="R748:S748"/>
    <mergeCell ref="T748:U748"/>
    <mergeCell ref="V748:W748"/>
    <mergeCell ref="X748:Y748"/>
    <mergeCell ref="Z748:AA748"/>
    <mergeCell ref="AB748:AC748"/>
    <mergeCell ref="AD749:AE749"/>
    <mergeCell ref="AF749:AG749"/>
    <mergeCell ref="AH749:AI749"/>
    <mergeCell ref="AJ749:AK749"/>
    <mergeCell ref="AL749:BB749"/>
    <mergeCell ref="P749:Q749"/>
    <mergeCell ref="R749:S749"/>
    <mergeCell ref="T749:U749"/>
    <mergeCell ref="V749:W749"/>
    <mergeCell ref="X749:Y749"/>
    <mergeCell ref="Z749:AA749"/>
    <mergeCell ref="AB749:AC749"/>
    <mergeCell ref="B749:C749"/>
    <mergeCell ref="D749:E749"/>
    <mergeCell ref="F749:G749"/>
    <mergeCell ref="H749:I749"/>
    <mergeCell ref="J749:K749"/>
    <mergeCell ref="L749:M749"/>
    <mergeCell ref="N749:O749"/>
    <mergeCell ref="AD750:AE750"/>
    <mergeCell ref="AF750:AG750"/>
    <mergeCell ref="AH750:AI750"/>
    <mergeCell ref="AJ750:AK750"/>
    <mergeCell ref="AL750:BB750"/>
    <mergeCell ref="B745:C745"/>
    <mergeCell ref="D745:E745"/>
    <mergeCell ref="F745:G745"/>
    <mergeCell ref="H745:I745"/>
    <mergeCell ref="J745:K745"/>
    <mergeCell ref="L745:M745"/>
    <mergeCell ref="N745:O745"/>
    <mergeCell ref="AD746:AE746"/>
    <mergeCell ref="AF746:AG746"/>
    <mergeCell ref="AH746:AI746"/>
    <mergeCell ref="AJ746:AK746"/>
    <mergeCell ref="AL746:BB746"/>
    <mergeCell ref="P746:Q746"/>
    <mergeCell ref="R746:S746"/>
    <mergeCell ref="T746:U746"/>
    <mergeCell ref="V746:W746"/>
    <mergeCell ref="X746:Y746"/>
    <mergeCell ref="Z746:AA746"/>
    <mergeCell ref="AB746:AC746"/>
    <mergeCell ref="B746:C746"/>
    <mergeCell ref="D746:E746"/>
    <mergeCell ref="F746:G746"/>
    <mergeCell ref="H746:I746"/>
    <mergeCell ref="J746:K746"/>
    <mergeCell ref="L746:M746"/>
    <mergeCell ref="N746:O746"/>
    <mergeCell ref="AD747:AE747"/>
    <mergeCell ref="AF747:AG747"/>
    <mergeCell ref="AH747:AI747"/>
    <mergeCell ref="AJ747:AK747"/>
    <mergeCell ref="AL747:BB747"/>
    <mergeCell ref="P747:Q747"/>
    <mergeCell ref="R747:S747"/>
    <mergeCell ref="T747:U747"/>
    <mergeCell ref="V747:W747"/>
    <mergeCell ref="X747:Y747"/>
    <mergeCell ref="Z747:AA747"/>
    <mergeCell ref="AB747:AC747"/>
    <mergeCell ref="B747:C747"/>
    <mergeCell ref="D747:E747"/>
    <mergeCell ref="F747:G747"/>
    <mergeCell ref="H747:I747"/>
    <mergeCell ref="J747:K747"/>
    <mergeCell ref="L747:M747"/>
    <mergeCell ref="N747:O747"/>
    <mergeCell ref="AH742:AI742"/>
    <mergeCell ref="AJ742:AK742"/>
    <mergeCell ref="AL742:BB742"/>
    <mergeCell ref="B742:C742"/>
    <mergeCell ref="D742:E742"/>
    <mergeCell ref="F742:G742"/>
    <mergeCell ref="H742:I742"/>
    <mergeCell ref="J742:K742"/>
    <mergeCell ref="L742:M742"/>
    <mergeCell ref="N742:O742"/>
    <mergeCell ref="P744:Q744"/>
    <mergeCell ref="R744:S744"/>
    <mergeCell ref="T744:U744"/>
    <mergeCell ref="V744:W744"/>
    <mergeCell ref="X744:Y744"/>
    <mergeCell ref="Z744:AA744"/>
    <mergeCell ref="AB744:AC744"/>
    <mergeCell ref="B744:C744"/>
    <mergeCell ref="D744:E744"/>
    <mergeCell ref="F744:G744"/>
    <mergeCell ref="H744:I744"/>
    <mergeCell ref="J744:K744"/>
    <mergeCell ref="L744:M744"/>
    <mergeCell ref="N744:O744"/>
    <mergeCell ref="AD742:AE742"/>
    <mergeCell ref="AF742:AG742"/>
    <mergeCell ref="P742:Q742"/>
    <mergeCell ref="R742:S742"/>
    <mergeCell ref="T742:U742"/>
    <mergeCell ref="V742:W742"/>
    <mergeCell ref="X742:Y742"/>
    <mergeCell ref="Z742:AA742"/>
    <mergeCell ref="AB742:AC742"/>
    <mergeCell ref="AD743:AE743"/>
    <mergeCell ref="AF743:AG743"/>
    <mergeCell ref="AH743:AI743"/>
    <mergeCell ref="AJ743:AK743"/>
    <mergeCell ref="AL743:BB743"/>
    <mergeCell ref="P743:Q743"/>
    <mergeCell ref="R743:S743"/>
    <mergeCell ref="T743:U743"/>
    <mergeCell ref="V743:W743"/>
    <mergeCell ref="X743:Y743"/>
    <mergeCell ref="Z743:AA743"/>
    <mergeCell ref="AB743:AC743"/>
    <mergeCell ref="B743:C743"/>
    <mergeCell ref="D743:E743"/>
    <mergeCell ref="F743:G743"/>
    <mergeCell ref="H743:I743"/>
    <mergeCell ref="J743:K743"/>
    <mergeCell ref="L743:M743"/>
    <mergeCell ref="N743:O743"/>
    <mergeCell ref="AD744:AE744"/>
    <mergeCell ref="AF744:AG744"/>
    <mergeCell ref="AH744:AI744"/>
    <mergeCell ref="AJ744:AK744"/>
    <mergeCell ref="AL744:BB744"/>
    <mergeCell ref="AH739:AI739"/>
    <mergeCell ref="AJ739:AK739"/>
    <mergeCell ref="AL739:BB739"/>
    <mergeCell ref="B739:C739"/>
    <mergeCell ref="D739:E739"/>
    <mergeCell ref="F739:G739"/>
    <mergeCell ref="H739:I739"/>
    <mergeCell ref="J739:K739"/>
    <mergeCell ref="L739:M739"/>
    <mergeCell ref="N739:O739"/>
    <mergeCell ref="P741:Q741"/>
    <mergeCell ref="R741:S741"/>
    <mergeCell ref="T741:U741"/>
    <mergeCell ref="V741:W741"/>
    <mergeCell ref="X741:Y741"/>
    <mergeCell ref="Z741:AA741"/>
    <mergeCell ref="AB741:AC741"/>
    <mergeCell ref="B741:C741"/>
    <mergeCell ref="D741:E741"/>
    <mergeCell ref="F741:G741"/>
    <mergeCell ref="H741:I741"/>
    <mergeCell ref="J741:K741"/>
    <mergeCell ref="L741:M741"/>
    <mergeCell ref="N741:O741"/>
    <mergeCell ref="AD739:AE739"/>
    <mergeCell ref="AF739:AG739"/>
    <mergeCell ref="P739:Q739"/>
    <mergeCell ref="R739:S739"/>
    <mergeCell ref="T739:U739"/>
    <mergeCell ref="V739:W739"/>
    <mergeCell ref="X739:Y739"/>
    <mergeCell ref="Z739:AA739"/>
    <mergeCell ref="AB739:AC739"/>
    <mergeCell ref="AD740:AE740"/>
    <mergeCell ref="AF740:AG740"/>
    <mergeCell ref="AH740:AI740"/>
    <mergeCell ref="AJ740:AK740"/>
    <mergeCell ref="AL740:BB740"/>
    <mergeCell ref="P740:Q740"/>
    <mergeCell ref="R740:S740"/>
    <mergeCell ref="T740:U740"/>
    <mergeCell ref="V740:W740"/>
    <mergeCell ref="X740:Y740"/>
    <mergeCell ref="Z740:AA740"/>
    <mergeCell ref="AB740:AC740"/>
    <mergeCell ref="B740:C740"/>
    <mergeCell ref="D740:E740"/>
    <mergeCell ref="F740:G740"/>
    <mergeCell ref="H740:I740"/>
    <mergeCell ref="J740:K740"/>
    <mergeCell ref="L740:M740"/>
    <mergeCell ref="N740:O740"/>
    <mergeCell ref="AD741:AE741"/>
    <mergeCell ref="AF741:AG741"/>
    <mergeCell ref="AH741:AI741"/>
    <mergeCell ref="AJ741:AK741"/>
    <mergeCell ref="AL741:BB741"/>
    <mergeCell ref="AH736:AI736"/>
    <mergeCell ref="AJ736:AK736"/>
    <mergeCell ref="AL736:BB736"/>
    <mergeCell ref="B736:C736"/>
    <mergeCell ref="D736:E736"/>
    <mergeCell ref="F736:G736"/>
    <mergeCell ref="H736:I736"/>
    <mergeCell ref="J736:K736"/>
    <mergeCell ref="L736:M736"/>
    <mergeCell ref="N736:O736"/>
    <mergeCell ref="P738:Q738"/>
    <mergeCell ref="R738:S738"/>
    <mergeCell ref="T738:U738"/>
    <mergeCell ref="V738:W738"/>
    <mergeCell ref="X738:Y738"/>
    <mergeCell ref="Z738:AA738"/>
    <mergeCell ref="AB738:AC738"/>
    <mergeCell ref="B738:C738"/>
    <mergeCell ref="D738:E738"/>
    <mergeCell ref="F738:G738"/>
    <mergeCell ref="H738:I738"/>
    <mergeCell ref="J738:K738"/>
    <mergeCell ref="L738:M738"/>
    <mergeCell ref="N738:O738"/>
    <mergeCell ref="AD736:AE736"/>
    <mergeCell ref="AF736:AG736"/>
    <mergeCell ref="P736:Q736"/>
    <mergeCell ref="R736:S736"/>
    <mergeCell ref="T736:U736"/>
    <mergeCell ref="V736:W736"/>
    <mergeCell ref="X736:Y736"/>
    <mergeCell ref="Z736:AA736"/>
    <mergeCell ref="AB736:AC736"/>
    <mergeCell ref="AD737:AE737"/>
    <mergeCell ref="AF737:AG737"/>
    <mergeCell ref="AH737:AI737"/>
    <mergeCell ref="AJ737:AK737"/>
    <mergeCell ref="AL737:BB737"/>
    <mergeCell ref="P737:Q737"/>
    <mergeCell ref="R737:S737"/>
    <mergeCell ref="T737:U737"/>
    <mergeCell ref="V737:W737"/>
    <mergeCell ref="X737:Y737"/>
    <mergeCell ref="Z737:AA737"/>
    <mergeCell ref="AB737:AC737"/>
    <mergeCell ref="B737:C737"/>
    <mergeCell ref="D737:E737"/>
    <mergeCell ref="F737:G737"/>
    <mergeCell ref="H737:I737"/>
    <mergeCell ref="J737:K737"/>
    <mergeCell ref="L737:M737"/>
    <mergeCell ref="N737:O737"/>
    <mergeCell ref="AD738:AE738"/>
    <mergeCell ref="AF738:AG738"/>
    <mergeCell ref="AH738:AI738"/>
    <mergeCell ref="AJ738:AK738"/>
    <mergeCell ref="AL738:BB738"/>
    <mergeCell ref="AH733:AI733"/>
    <mergeCell ref="AJ733:AK733"/>
    <mergeCell ref="AL733:BB733"/>
    <mergeCell ref="B733:C733"/>
    <mergeCell ref="D733:E733"/>
    <mergeCell ref="F733:G733"/>
    <mergeCell ref="H733:I733"/>
    <mergeCell ref="J733:K733"/>
    <mergeCell ref="L733:M733"/>
    <mergeCell ref="N733:O733"/>
    <mergeCell ref="P735:Q735"/>
    <mergeCell ref="R735:S735"/>
    <mergeCell ref="T735:U735"/>
    <mergeCell ref="V735:W735"/>
    <mergeCell ref="X735:Y735"/>
    <mergeCell ref="Z735:AA735"/>
    <mergeCell ref="AB735:AC735"/>
    <mergeCell ref="B735:C735"/>
    <mergeCell ref="D735:E735"/>
    <mergeCell ref="F735:G735"/>
    <mergeCell ref="H735:I735"/>
    <mergeCell ref="J735:K735"/>
    <mergeCell ref="L735:M735"/>
    <mergeCell ref="N735:O735"/>
    <mergeCell ref="AD733:AE733"/>
    <mergeCell ref="AF733:AG733"/>
    <mergeCell ref="P733:Q733"/>
    <mergeCell ref="R733:S733"/>
    <mergeCell ref="T733:U733"/>
    <mergeCell ref="V733:W733"/>
    <mergeCell ref="X733:Y733"/>
    <mergeCell ref="Z733:AA733"/>
    <mergeCell ref="AB733:AC733"/>
    <mergeCell ref="AD734:AE734"/>
    <mergeCell ref="AF734:AG734"/>
    <mergeCell ref="AH734:AI734"/>
    <mergeCell ref="AJ734:AK734"/>
    <mergeCell ref="AL734:BB734"/>
    <mergeCell ref="P734:Q734"/>
    <mergeCell ref="R734:S734"/>
    <mergeCell ref="T734:U734"/>
    <mergeCell ref="V734:W734"/>
    <mergeCell ref="X734:Y734"/>
    <mergeCell ref="Z734:AA734"/>
    <mergeCell ref="AB734:AC734"/>
    <mergeCell ref="B734:C734"/>
    <mergeCell ref="D734:E734"/>
    <mergeCell ref="F734:G734"/>
    <mergeCell ref="H734:I734"/>
    <mergeCell ref="J734:K734"/>
    <mergeCell ref="L734:M734"/>
    <mergeCell ref="N734:O734"/>
    <mergeCell ref="AD735:AE735"/>
    <mergeCell ref="AF735:AG735"/>
    <mergeCell ref="AH735:AI735"/>
    <mergeCell ref="AJ735:AK735"/>
    <mergeCell ref="AL735:BB735"/>
    <mergeCell ref="AJ729:AK729"/>
    <mergeCell ref="AL729:BB729"/>
    <mergeCell ref="AH730:AI730"/>
    <mergeCell ref="AJ730:AK730"/>
    <mergeCell ref="AL730:BB730"/>
    <mergeCell ref="B730:C730"/>
    <mergeCell ref="D730:E730"/>
    <mergeCell ref="F730:G730"/>
    <mergeCell ref="H730:I730"/>
    <mergeCell ref="J730:K730"/>
    <mergeCell ref="L730:M730"/>
    <mergeCell ref="N730:O730"/>
    <mergeCell ref="P732:Q732"/>
    <mergeCell ref="R732:S732"/>
    <mergeCell ref="T732:U732"/>
    <mergeCell ref="V732:W732"/>
    <mergeCell ref="X732:Y732"/>
    <mergeCell ref="Z732:AA732"/>
    <mergeCell ref="AB732:AC732"/>
    <mergeCell ref="B732:C732"/>
    <mergeCell ref="D732:E732"/>
    <mergeCell ref="F732:G732"/>
    <mergeCell ref="H732:I732"/>
    <mergeCell ref="J732:K732"/>
    <mergeCell ref="L732:M732"/>
    <mergeCell ref="N732:O732"/>
    <mergeCell ref="AD730:AE730"/>
    <mergeCell ref="AF730:AG730"/>
    <mergeCell ref="P730:Q730"/>
    <mergeCell ref="R730:S730"/>
    <mergeCell ref="T730:U730"/>
    <mergeCell ref="V730:W730"/>
    <mergeCell ref="X730:Y730"/>
    <mergeCell ref="Z730:AA730"/>
    <mergeCell ref="AB730:AC730"/>
    <mergeCell ref="AD731:AE731"/>
    <mergeCell ref="AF731:AG731"/>
    <mergeCell ref="AH731:AI731"/>
    <mergeCell ref="AJ731:AK731"/>
    <mergeCell ref="AL731:BB731"/>
    <mergeCell ref="P731:Q731"/>
    <mergeCell ref="R731:S731"/>
    <mergeCell ref="T731:U731"/>
    <mergeCell ref="V731:W731"/>
    <mergeCell ref="X731:Y731"/>
    <mergeCell ref="Z731:AA731"/>
    <mergeCell ref="AB731:AC731"/>
    <mergeCell ref="B731:C731"/>
    <mergeCell ref="D731:E731"/>
    <mergeCell ref="F731:G731"/>
    <mergeCell ref="H731:I731"/>
    <mergeCell ref="J731:K731"/>
    <mergeCell ref="L731:M731"/>
    <mergeCell ref="N731:O731"/>
    <mergeCell ref="AD732:AE732"/>
    <mergeCell ref="AF732:AG732"/>
    <mergeCell ref="AH732:AI732"/>
    <mergeCell ref="AJ732:AK732"/>
    <mergeCell ref="AL732:BB732"/>
    <mergeCell ref="H725:I725"/>
    <mergeCell ref="J725:K725"/>
    <mergeCell ref="L725:M725"/>
    <mergeCell ref="N725:O725"/>
    <mergeCell ref="AD726:AE726"/>
    <mergeCell ref="AF726:AG726"/>
    <mergeCell ref="AH726:AI726"/>
    <mergeCell ref="AJ726:AK726"/>
    <mergeCell ref="AL726:BB726"/>
    <mergeCell ref="AH727:AI727"/>
    <mergeCell ref="AJ727:AK727"/>
    <mergeCell ref="AL727:BB727"/>
    <mergeCell ref="B727:C727"/>
    <mergeCell ref="D727:E727"/>
    <mergeCell ref="F727:G727"/>
    <mergeCell ref="H727:I727"/>
    <mergeCell ref="J727:K727"/>
    <mergeCell ref="L727:M727"/>
    <mergeCell ref="N727:O727"/>
    <mergeCell ref="P729:Q729"/>
    <mergeCell ref="R729:S729"/>
    <mergeCell ref="T729:U729"/>
    <mergeCell ref="V729:W729"/>
    <mergeCell ref="X729:Y729"/>
    <mergeCell ref="Z729:AA729"/>
    <mergeCell ref="AB729:AC729"/>
    <mergeCell ref="B729:C729"/>
    <mergeCell ref="D729:E729"/>
    <mergeCell ref="F729:G729"/>
    <mergeCell ref="H729:I729"/>
    <mergeCell ref="J729:K729"/>
    <mergeCell ref="L729:M729"/>
    <mergeCell ref="N729:O729"/>
    <mergeCell ref="AD727:AE727"/>
    <mergeCell ref="AF727:AG727"/>
    <mergeCell ref="P727:Q727"/>
    <mergeCell ref="R727:S727"/>
    <mergeCell ref="T727:U727"/>
    <mergeCell ref="V727:W727"/>
    <mergeCell ref="X727:Y727"/>
    <mergeCell ref="Z727:AA727"/>
    <mergeCell ref="AB727:AC727"/>
    <mergeCell ref="AD728:AE728"/>
    <mergeCell ref="AF728:AG728"/>
    <mergeCell ref="AH728:AI728"/>
    <mergeCell ref="AJ728:AK728"/>
    <mergeCell ref="AL728:BB728"/>
    <mergeCell ref="P728:Q728"/>
    <mergeCell ref="R728:S728"/>
    <mergeCell ref="T728:U728"/>
    <mergeCell ref="V728:W728"/>
    <mergeCell ref="X728:Y728"/>
    <mergeCell ref="Z728:AA728"/>
    <mergeCell ref="AB728:AC728"/>
    <mergeCell ref="B728:C728"/>
    <mergeCell ref="D728:E728"/>
    <mergeCell ref="F728:G728"/>
    <mergeCell ref="H728:I728"/>
    <mergeCell ref="J728:K728"/>
    <mergeCell ref="L728:M728"/>
    <mergeCell ref="N728:O728"/>
    <mergeCell ref="AD729:AE729"/>
    <mergeCell ref="AF729:AG729"/>
    <mergeCell ref="AH729:AI729"/>
    <mergeCell ref="P723:Q723"/>
    <mergeCell ref="R723:S723"/>
    <mergeCell ref="T723:U723"/>
    <mergeCell ref="V723:W723"/>
    <mergeCell ref="X723:Y723"/>
    <mergeCell ref="Z723:AA723"/>
    <mergeCell ref="AB723:AC723"/>
    <mergeCell ref="B723:C723"/>
    <mergeCell ref="D723:E723"/>
    <mergeCell ref="F723:G723"/>
    <mergeCell ref="H723:I723"/>
    <mergeCell ref="J723:K723"/>
    <mergeCell ref="L723:M723"/>
    <mergeCell ref="N723:O723"/>
    <mergeCell ref="AD745:AE745"/>
    <mergeCell ref="AF745:AG745"/>
    <mergeCell ref="AH745:AI745"/>
    <mergeCell ref="AJ745:AK745"/>
    <mergeCell ref="AL745:BB745"/>
    <mergeCell ref="P745:Q745"/>
    <mergeCell ref="R745:S745"/>
    <mergeCell ref="T745:U745"/>
    <mergeCell ref="V745:W745"/>
    <mergeCell ref="X745:Y745"/>
    <mergeCell ref="Z745:AA745"/>
    <mergeCell ref="AB745:AC745"/>
    <mergeCell ref="P726:Q726"/>
    <mergeCell ref="R726:S726"/>
    <mergeCell ref="T726:U726"/>
    <mergeCell ref="V726:W726"/>
    <mergeCell ref="X726:Y726"/>
    <mergeCell ref="Z726:AA726"/>
    <mergeCell ref="AB726:AC726"/>
    <mergeCell ref="B726:C726"/>
    <mergeCell ref="D726:E726"/>
    <mergeCell ref="F726:G726"/>
    <mergeCell ref="H726:I726"/>
    <mergeCell ref="J726:K726"/>
    <mergeCell ref="L726:M726"/>
    <mergeCell ref="N726:O726"/>
    <mergeCell ref="AD724:AE724"/>
    <mergeCell ref="AF724:AG724"/>
    <mergeCell ref="P724:Q724"/>
    <mergeCell ref="R724:S724"/>
    <mergeCell ref="T724:U724"/>
    <mergeCell ref="V724:W724"/>
    <mergeCell ref="X724:Y724"/>
    <mergeCell ref="Z724:AA724"/>
    <mergeCell ref="AB724:AC724"/>
    <mergeCell ref="AD725:AE725"/>
    <mergeCell ref="AF725:AG725"/>
    <mergeCell ref="AH725:AI725"/>
    <mergeCell ref="AJ725:AK725"/>
    <mergeCell ref="AL725:BB725"/>
    <mergeCell ref="P725:Q725"/>
    <mergeCell ref="R725:S725"/>
    <mergeCell ref="T725:U725"/>
    <mergeCell ref="V725:W725"/>
    <mergeCell ref="X725:Y725"/>
    <mergeCell ref="Z725:AA725"/>
    <mergeCell ref="AB725:AC725"/>
    <mergeCell ref="B725:C725"/>
    <mergeCell ref="D725:E725"/>
    <mergeCell ref="F725:G725"/>
    <mergeCell ref="AL714:BB714"/>
    <mergeCell ref="AH715:AI715"/>
    <mergeCell ref="AJ715:AK715"/>
    <mergeCell ref="AL715:BB715"/>
    <mergeCell ref="B715:C715"/>
    <mergeCell ref="D715:E715"/>
    <mergeCell ref="F715:G715"/>
    <mergeCell ref="H715:I715"/>
    <mergeCell ref="J715:K715"/>
    <mergeCell ref="L715:M715"/>
    <mergeCell ref="N715:O715"/>
    <mergeCell ref="P717:Q717"/>
    <mergeCell ref="R717:S717"/>
    <mergeCell ref="T717:U717"/>
    <mergeCell ref="V717:W717"/>
    <mergeCell ref="X717:Y717"/>
    <mergeCell ref="Z717:AA717"/>
    <mergeCell ref="AB717:AC717"/>
    <mergeCell ref="B717:C717"/>
    <mergeCell ref="D717:E717"/>
    <mergeCell ref="F717:G717"/>
    <mergeCell ref="H717:I717"/>
    <mergeCell ref="J717:K717"/>
    <mergeCell ref="L717:M717"/>
    <mergeCell ref="N717:O717"/>
    <mergeCell ref="AD715:AE715"/>
    <mergeCell ref="AF715:AG715"/>
    <mergeCell ref="P715:Q715"/>
    <mergeCell ref="R715:S715"/>
    <mergeCell ref="T715:U715"/>
    <mergeCell ref="V715:W715"/>
    <mergeCell ref="X715:Y715"/>
    <mergeCell ref="Z715:AA715"/>
    <mergeCell ref="AB715:AC715"/>
    <mergeCell ref="AD716:AE716"/>
    <mergeCell ref="AF716:AG716"/>
    <mergeCell ref="AH716:AI716"/>
    <mergeCell ref="AJ716:AK716"/>
    <mergeCell ref="AL716:BB716"/>
    <mergeCell ref="P716:Q716"/>
    <mergeCell ref="R716:S716"/>
    <mergeCell ref="T716:U716"/>
    <mergeCell ref="V716:W716"/>
    <mergeCell ref="X716:Y716"/>
    <mergeCell ref="Z716:AA716"/>
    <mergeCell ref="AB716:AC716"/>
    <mergeCell ref="B716:C716"/>
    <mergeCell ref="D716:E716"/>
    <mergeCell ref="F716:G716"/>
    <mergeCell ref="H716:I716"/>
    <mergeCell ref="J716:K716"/>
    <mergeCell ref="L716:M716"/>
    <mergeCell ref="N716:O716"/>
    <mergeCell ref="AD717:AE717"/>
    <mergeCell ref="AF717:AG717"/>
    <mergeCell ref="AH717:AI717"/>
    <mergeCell ref="AJ717:AK717"/>
    <mergeCell ref="AL717:BB717"/>
    <mergeCell ref="AD723:AE723"/>
    <mergeCell ref="AF723:AG723"/>
    <mergeCell ref="AH723:AI723"/>
    <mergeCell ref="AJ723:AK723"/>
    <mergeCell ref="AL723:BB723"/>
    <mergeCell ref="AH724:AI724"/>
    <mergeCell ref="AJ724:AK724"/>
    <mergeCell ref="AL724:BB724"/>
    <mergeCell ref="B724:C724"/>
    <mergeCell ref="D724:E724"/>
    <mergeCell ref="F724:G724"/>
    <mergeCell ref="H724:I724"/>
    <mergeCell ref="J724:K724"/>
    <mergeCell ref="L724:M724"/>
    <mergeCell ref="N724:O724"/>
    <mergeCell ref="AD709:AE709"/>
    <mergeCell ref="AF709:AG709"/>
    <mergeCell ref="P709:Q709"/>
    <mergeCell ref="R709:S709"/>
    <mergeCell ref="T709:U709"/>
    <mergeCell ref="V709:W709"/>
    <mergeCell ref="X709:Y709"/>
    <mergeCell ref="Z709:AA709"/>
    <mergeCell ref="AB709:AC709"/>
    <mergeCell ref="AD710:AE710"/>
    <mergeCell ref="AF710:AG710"/>
    <mergeCell ref="AH710:AI710"/>
    <mergeCell ref="AJ710:AK710"/>
    <mergeCell ref="AL710:BB710"/>
    <mergeCell ref="P710:Q710"/>
    <mergeCell ref="R710:S710"/>
    <mergeCell ref="T710:U710"/>
    <mergeCell ref="V710:W710"/>
    <mergeCell ref="X710:Y710"/>
    <mergeCell ref="Z710:AA710"/>
    <mergeCell ref="AB710:AC710"/>
    <mergeCell ref="B710:C710"/>
    <mergeCell ref="D710:E710"/>
    <mergeCell ref="F710:G710"/>
    <mergeCell ref="H710:I710"/>
    <mergeCell ref="J710:K710"/>
    <mergeCell ref="L710:M710"/>
    <mergeCell ref="N710:O710"/>
    <mergeCell ref="AD711:AE711"/>
    <mergeCell ref="AF711:AG711"/>
    <mergeCell ref="AH711:AI711"/>
    <mergeCell ref="AJ711:AK711"/>
    <mergeCell ref="AL711:BB711"/>
    <mergeCell ref="AH712:AI712"/>
    <mergeCell ref="AJ712:AK712"/>
    <mergeCell ref="AL712:BB712"/>
    <mergeCell ref="B712:C712"/>
    <mergeCell ref="D712:E712"/>
    <mergeCell ref="F712:G712"/>
    <mergeCell ref="H712:I712"/>
    <mergeCell ref="J712:K712"/>
    <mergeCell ref="L712:M712"/>
    <mergeCell ref="N712:O712"/>
    <mergeCell ref="AD712:AE712"/>
    <mergeCell ref="AF712:AG712"/>
    <mergeCell ref="P712:Q712"/>
    <mergeCell ref="R712:S712"/>
    <mergeCell ref="T712:U712"/>
    <mergeCell ref="V712:W712"/>
    <mergeCell ref="AH721:AI721"/>
    <mergeCell ref="AJ721:AK721"/>
    <mergeCell ref="AL721:BB721"/>
    <mergeCell ref="B721:C721"/>
    <mergeCell ref="D721:E721"/>
    <mergeCell ref="F721:G721"/>
    <mergeCell ref="H721:I721"/>
    <mergeCell ref="J721:K721"/>
    <mergeCell ref="L721:M721"/>
    <mergeCell ref="N721:O721"/>
    <mergeCell ref="AD721:AE721"/>
    <mergeCell ref="AF721:AG721"/>
    <mergeCell ref="P721:Q721"/>
    <mergeCell ref="R721:S721"/>
    <mergeCell ref="T721:U721"/>
    <mergeCell ref="V721:W721"/>
    <mergeCell ref="X721:Y721"/>
    <mergeCell ref="Z721:AA721"/>
    <mergeCell ref="AB721:AC721"/>
    <mergeCell ref="AD722:AE722"/>
    <mergeCell ref="AF722:AG722"/>
    <mergeCell ref="AH722:AI722"/>
    <mergeCell ref="AJ722:AK722"/>
    <mergeCell ref="AL722:BB722"/>
    <mergeCell ref="P722:Q722"/>
    <mergeCell ref="R722:S722"/>
    <mergeCell ref="T722:U722"/>
    <mergeCell ref="V722:W722"/>
    <mergeCell ref="X722:Y722"/>
    <mergeCell ref="Z722:AA722"/>
    <mergeCell ref="AB722:AC722"/>
    <mergeCell ref="B722:C722"/>
    <mergeCell ref="D722:E722"/>
    <mergeCell ref="F722:G722"/>
    <mergeCell ref="H722:I722"/>
    <mergeCell ref="J722:K722"/>
    <mergeCell ref="L722:M722"/>
    <mergeCell ref="N722:O722"/>
    <mergeCell ref="AD718:AE718"/>
    <mergeCell ref="AF718:AG718"/>
    <mergeCell ref="P718:Q718"/>
    <mergeCell ref="R718:S718"/>
    <mergeCell ref="T718:U718"/>
    <mergeCell ref="V718:W718"/>
    <mergeCell ref="X718:Y718"/>
    <mergeCell ref="Z718:AA718"/>
    <mergeCell ref="AB718:AC718"/>
    <mergeCell ref="AD719:AE719"/>
    <mergeCell ref="AF719:AG719"/>
    <mergeCell ref="AH719:AI719"/>
    <mergeCell ref="AJ719:AK719"/>
    <mergeCell ref="AL719:BB719"/>
    <mergeCell ref="P719:Q719"/>
    <mergeCell ref="R719:S719"/>
    <mergeCell ref="T719:U719"/>
    <mergeCell ref="V719:W719"/>
    <mergeCell ref="X719:Y719"/>
    <mergeCell ref="Z719:AA719"/>
    <mergeCell ref="AB719:AC719"/>
    <mergeCell ref="B719:C719"/>
    <mergeCell ref="D719:E719"/>
    <mergeCell ref="F719:G719"/>
    <mergeCell ref="H719:I719"/>
    <mergeCell ref="J719:K719"/>
    <mergeCell ref="L719:M719"/>
    <mergeCell ref="N719:O719"/>
    <mergeCell ref="AD720:AE720"/>
    <mergeCell ref="AF720:AG720"/>
    <mergeCell ref="AH720:AI720"/>
    <mergeCell ref="AJ720:AK720"/>
    <mergeCell ref="AL720:BB720"/>
    <mergeCell ref="AH718:AI718"/>
    <mergeCell ref="AJ718:AK718"/>
    <mergeCell ref="AL718:BB718"/>
    <mergeCell ref="B718:C718"/>
    <mergeCell ref="D718:E718"/>
    <mergeCell ref="F718:G718"/>
    <mergeCell ref="H718:I718"/>
    <mergeCell ref="J718:K718"/>
    <mergeCell ref="L718:M718"/>
    <mergeCell ref="N718:O718"/>
    <mergeCell ref="P720:Q720"/>
    <mergeCell ref="R720:S720"/>
    <mergeCell ref="T720:U720"/>
    <mergeCell ref="V720:W720"/>
    <mergeCell ref="X720:Y720"/>
    <mergeCell ref="Z720:AA720"/>
    <mergeCell ref="AB720:AC720"/>
    <mergeCell ref="B720:C720"/>
    <mergeCell ref="D720:E720"/>
    <mergeCell ref="F720:G720"/>
    <mergeCell ref="H720:I720"/>
    <mergeCell ref="J720:K720"/>
    <mergeCell ref="L720:M720"/>
    <mergeCell ref="N720:O720"/>
    <mergeCell ref="AH709:AI709"/>
    <mergeCell ref="AJ709:AK709"/>
    <mergeCell ref="AL709:BB709"/>
    <mergeCell ref="B709:C709"/>
    <mergeCell ref="D709:E709"/>
    <mergeCell ref="F709:G709"/>
    <mergeCell ref="H709:I709"/>
    <mergeCell ref="J709:K709"/>
    <mergeCell ref="L709:M709"/>
    <mergeCell ref="N709:O709"/>
    <mergeCell ref="P711:Q711"/>
    <mergeCell ref="R711:S711"/>
    <mergeCell ref="T711:U711"/>
    <mergeCell ref="V711:W711"/>
    <mergeCell ref="X711:Y711"/>
    <mergeCell ref="Z711:AA711"/>
    <mergeCell ref="AB711:AC711"/>
    <mergeCell ref="B711:C711"/>
    <mergeCell ref="D711:E711"/>
    <mergeCell ref="F711:G711"/>
    <mergeCell ref="H711:I711"/>
    <mergeCell ref="J711:K711"/>
    <mergeCell ref="L711:M711"/>
    <mergeCell ref="N711:O711"/>
    <mergeCell ref="P714:Q714"/>
    <mergeCell ref="R714:S714"/>
    <mergeCell ref="T714:U714"/>
    <mergeCell ref="V714:W714"/>
    <mergeCell ref="X714:Y714"/>
    <mergeCell ref="Z714:AA714"/>
    <mergeCell ref="AB714:AC714"/>
    <mergeCell ref="B714:C714"/>
    <mergeCell ref="D714:E714"/>
    <mergeCell ref="F714:G714"/>
    <mergeCell ref="H714:I714"/>
    <mergeCell ref="J714:K714"/>
    <mergeCell ref="L714:M714"/>
    <mergeCell ref="N714:O714"/>
    <mergeCell ref="X712:Y712"/>
    <mergeCell ref="Z712:AA712"/>
    <mergeCell ref="AB712:AC712"/>
    <mergeCell ref="AD713:AE713"/>
    <mergeCell ref="AF713:AG713"/>
    <mergeCell ref="AH713:AI713"/>
    <mergeCell ref="AJ713:AK713"/>
    <mergeCell ref="AL713:BB713"/>
    <mergeCell ref="P713:Q713"/>
    <mergeCell ref="R713:S713"/>
    <mergeCell ref="T713:U713"/>
    <mergeCell ref="V713:W713"/>
    <mergeCell ref="X713:Y713"/>
    <mergeCell ref="Z713:AA713"/>
    <mergeCell ref="AB713:AC713"/>
    <mergeCell ref="B713:C713"/>
    <mergeCell ref="D713:E713"/>
    <mergeCell ref="F713:G713"/>
    <mergeCell ref="H713:I713"/>
    <mergeCell ref="J713:K713"/>
    <mergeCell ref="L713:M713"/>
    <mergeCell ref="N713:O713"/>
    <mergeCell ref="AD714:AE714"/>
    <mergeCell ref="AF714:AG714"/>
    <mergeCell ref="AH714:AI714"/>
    <mergeCell ref="AJ714:AK714"/>
    <mergeCell ref="AH706:AI706"/>
    <mergeCell ref="AJ706:AK706"/>
    <mergeCell ref="AL706:BB706"/>
    <mergeCell ref="B706:C706"/>
    <mergeCell ref="D706:E706"/>
    <mergeCell ref="F706:G706"/>
    <mergeCell ref="H706:I706"/>
    <mergeCell ref="J706:K706"/>
    <mergeCell ref="L706:M706"/>
    <mergeCell ref="N706:O706"/>
    <mergeCell ref="P708:Q708"/>
    <mergeCell ref="R708:S708"/>
    <mergeCell ref="T708:U708"/>
    <mergeCell ref="V708:W708"/>
    <mergeCell ref="X708:Y708"/>
    <mergeCell ref="Z708:AA708"/>
    <mergeCell ref="AB708:AC708"/>
    <mergeCell ref="B708:C708"/>
    <mergeCell ref="D708:E708"/>
    <mergeCell ref="F708:G708"/>
    <mergeCell ref="H708:I708"/>
    <mergeCell ref="J708:K708"/>
    <mergeCell ref="L708:M708"/>
    <mergeCell ref="N708:O708"/>
    <mergeCell ref="AD706:AE706"/>
    <mergeCell ref="AF706:AG706"/>
    <mergeCell ref="P706:Q706"/>
    <mergeCell ref="R706:S706"/>
    <mergeCell ref="T706:U706"/>
    <mergeCell ref="V706:W706"/>
    <mergeCell ref="X706:Y706"/>
    <mergeCell ref="Z706:AA706"/>
    <mergeCell ref="AB706:AC706"/>
    <mergeCell ref="AD707:AE707"/>
    <mergeCell ref="AF707:AG707"/>
    <mergeCell ref="AH707:AI707"/>
    <mergeCell ref="AJ707:AK707"/>
    <mergeCell ref="AL707:BB707"/>
    <mergeCell ref="P707:Q707"/>
    <mergeCell ref="R707:S707"/>
    <mergeCell ref="T707:U707"/>
    <mergeCell ref="V707:W707"/>
    <mergeCell ref="X707:Y707"/>
    <mergeCell ref="Z707:AA707"/>
    <mergeCell ref="AB707:AC707"/>
    <mergeCell ref="B707:C707"/>
    <mergeCell ref="D707:E707"/>
    <mergeCell ref="F707:G707"/>
    <mergeCell ref="H707:I707"/>
    <mergeCell ref="J707:K707"/>
    <mergeCell ref="L707:M707"/>
    <mergeCell ref="N707:O707"/>
    <mergeCell ref="AD708:AE708"/>
    <mergeCell ref="AF708:AG708"/>
    <mergeCell ref="AH708:AI708"/>
    <mergeCell ref="AJ708:AK708"/>
    <mergeCell ref="AL708:BB708"/>
    <mergeCell ref="B703:C703"/>
    <mergeCell ref="D703:E703"/>
    <mergeCell ref="F703:G703"/>
    <mergeCell ref="H703:I703"/>
    <mergeCell ref="J703:K703"/>
    <mergeCell ref="L703:M703"/>
    <mergeCell ref="N703:O703"/>
    <mergeCell ref="AD704:AE704"/>
    <mergeCell ref="AF704:AG704"/>
    <mergeCell ref="AH704:AI704"/>
    <mergeCell ref="AJ704:AK704"/>
    <mergeCell ref="AL704:BB704"/>
    <mergeCell ref="P704:Q704"/>
    <mergeCell ref="R704:S704"/>
    <mergeCell ref="T704:U704"/>
    <mergeCell ref="V704:W704"/>
    <mergeCell ref="X704:Y704"/>
    <mergeCell ref="Z704:AA704"/>
    <mergeCell ref="AB704:AC704"/>
    <mergeCell ref="B704:C704"/>
    <mergeCell ref="D704:E704"/>
    <mergeCell ref="F704:G704"/>
    <mergeCell ref="H704:I704"/>
    <mergeCell ref="J704:K704"/>
    <mergeCell ref="L704:M704"/>
    <mergeCell ref="N704:O704"/>
    <mergeCell ref="AD705:AE705"/>
    <mergeCell ref="AF705:AG705"/>
    <mergeCell ref="AH705:AI705"/>
    <mergeCell ref="AJ705:AK705"/>
    <mergeCell ref="AL705:BB705"/>
    <mergeCell ref="P705:Q705"/>
    <mergeCell ref="R705:S705"/>
    <mergeCell ref="T705:U705"/>
    <mergeCell ref="V705:W705"/>
    <mergeCell ref="X705:Y705"/>
    <mergeCell ref="Z705:AA705"/>
    <mergeCell ref="AB705:AC705"/>
    <mergeCell ref="B705:C705"/>
    <mergeCell ref="D705:E705"/>
    <mergeCell ref="F705:G705"/>
    <mergeCell ref="H705:I705"/>
    <mergeCell ref="J705:K705"/>
    <mergeCell ref="L705:M705"/>
    <mergeCell ref="N705:O705"/>
    <mergeCell ref="AH700:AI700"/>
    <mergeCell ref="AJ700:AK700"/>
    <mergeCell ref="AL700:BB700"/>
    <mergeCell ref="B700:C700"/>
    <mergeCell ref="D700:E700"/>
    <mergeCell ref="F700:G700"/>
    <mergeCell ref="H700:I700"/>
    <mergeCell ref="J700:K700"/>
    <mergeCell ref="L700:M700"/>
    <mergeCell ref="N700:O700"/>
    <mergeCell ref="P702:Q702"/>
    <mergeCell ref="R702:S702"/>
    <mergeCell ref="T702:U702"/>
    <mergeCell ref="V702:W702"/>
    <mergeCell ref="X702:Y702"/>
    <mergeCell ref="Z702:AA702"/>
    <mergeCell ref="AB702:AC702"/>
    <mergeCell ref="B702:C702"/>
    <mergeCell ref="D702:E702"/>
    <mergeCell ref="F702:G702"/>
    <mergeCell ref="H702:I702"/>
    <mergeCell ref="J702:K702"/>
    <mergeCell ref="L702:M702"/>
    <mergeCell ref="N702:O702"/>
    <mergeCell ref="AD700:AE700"/>
    <mergeCell ref="AF700:AG700"/>
    <mergeCell ref="P700:Q700"/>
    <mergeCell ref="R700:S700"/>
    <mergeCell ref="T700:U700"/>
    <mergeCell ref="V700:W700"/>
    <mergeCell ref="X700:Y700"/>
    <mergeCell ref="Z700:AA700"/>
    <mergeCell ref="AB700:AC700"/>
    <mergeCell ref="AD701:AE701"/>
    <mergeCell ref="AF701:AG701"/>
    <mergeCell ref="AH701:AI701"/>
    <mergeCell ref="AJ701:AK701"/>
    <mergeCell ref="AL701:BB701"/>
    <mergeCell ref="P701:Q701"/>
    <mergeCell ref="R701:S701"/>
    <mergeCell ref="T701:U701"/>
    <mergeCell ref="V701:W701"/>
    <mergeCell ref="X701:Y701"/>
    <mergeCell ref="Z701:AA701"/>
    <mergeCell ref="AB701:AC701"/>
    <mergeCell ref="B701:C701"/>
    <mergeCell ref="D701:E701"/>
    <mergeCell ref="F701:G701"/>
    <mergeCell ref="H701:I701"/>
    <mergeCell ref="J701:K701"/>
    <mergeCell ref="L701:M701"/>
    <mergeCell ref="N701:O701"/>
    <mergeCell ref="AD702:AE702"/>
    <mergeCell ref="AF702:AG702"/>
    <mergeCell ref="AH702:AI702"/>
    <mergeCell ref="AJ702:AK702"/>
    <mergeCell ref="AL702:BB702"/>
    <mergeCell ref="AH697:AI697"/>
    <mergeCell ref="AJ697:AK697"/>
    <mergeCell ref="AL697:BB697"/>
    <mergeCell ref="B697:C697"/>
    <mergeCell ref="D697:E697"/>
    <mergeCell ref="F697:G697"/>
    <mergeCell ref="H697:I697"/>
    <mergeCell ref="J697:K697"/>
    <mergeCell ref="L697:M697"/>
    <mergeCell ref="N697:O697"/>
    <mergeCell ref="P699:Q699"/>
    <mergeCell ref="R699:S699"/>
    <mergeCell ref="T699:U699"/>
    <mergeCell ref="V699:W699"/>
    <mergeCell ref="X699:Y699"/>
    <mergeCell ref="Z699:AA699"/>
    <mergeCell ref="AB699:AC699"/>
    <mergeCell ref="B699:C699"/>
    <mergeCell ref="D699:E699"/>
    <mergeCell ref="F699:G699"/>
    <mergeCell ref="H699:I699"/>
    <mergeCell ref="J699:K699"/>
    <mergeCell ref="L699:M699"/>
    <mergeCell ref="N699:O699"/>
    <mergeCell ref="AD697:AE697"/>
    <mergeCell ref="AF697:AG697"/>
    <mergeCell ref="P697:Q697"/>
    <mergeCell ref="R697:S697"/>
    <mergeCell ref="T697:U697"/>
    <mergeCell ref="V697:W697"/>
    <mergeCell ref="X697:Y697"/>
    <mergeCell ref="Z697:AA697"/>
    <mergeCell ref="AB697:AC697"/>
    <mergeCell ref="AD698:AE698"/>
    <mergeCell ref="AF698:AG698"/>
    <mergeCell ref="AH698:AI698"/>
    <mergeCell ref="AJ698:AK698"/>
    <mergeCell ref="AL698:BB698"/>
    <mergeCell ref="P698:Q698"/>
    <mergeCell ref="R698:S698"/>
    <mergeCell ref="T698:U698"/>
    <mergeCell ref="V698:W698"/>
    <mergeCell ref="X698:Y698"/>
    <mergeCell ref="Z698:AA698"/>
    <mergeCell ref="AB698:AC698"/>
    <mergeCell ref="B698:C698"/>
    <mergeCell ref="D698:E698"/>
    <mergeCell ref="F698:G698"/>
    <mergeCell ref="H698:I698"/>
    <mergeCell ref="J698:K698"/>
    <mergeCell ref="L698:M698"/>
    <mergeCell ref="N698:O698"/>
    <mergeCell ref="AD699:AE699"/>
    <mergeCell ref="AF699:AG699"/>
    <mergeCell ref="AH699:AI699"/>
    <mergeCell ref="AJ699:AK699"/>
    <mergeCell ref="AL699:BB699"/>
    <mergeCell ref="AH694:AI694"/>
    <mergeCell ref="AJ694:AK694"/>
    <mergeCell ref="AL694:BB694"/>
    <mergeCell ref="B694:C694"/>
    <mergeCell ref="D694:E694"/>
    <mergeCell ref="F694:G694"/>
    <mergeCell ref="H694:I694"/>
    <mergeCell ref="J694:K694"/>
    <mergeCell ref="L694:M694"/>
    <mergeCell ref="N694:O694"/>
    <mergeCell ref="P696:Q696"/>
    <mergeCell ref="R696:S696"/>
    <mergeCell ref="T696:U696"/>
    <mergeCell ref="V696:W696"/>
    <mergeCell ref="X696:Y696"/>
    <mergeCell ref="Z696:AA696"/>
    <mergeCell ref="AB696:AC696"/>
    <mergeCell ref="B696:C696"/>
    <mergeCell ref="D696:E696"/>
    <mergeCell ref="F696:G696"/>
    <mergeCell ref="H696:I696"/>
    <mergeCell ref="J696:K696"/>
    <mergeCell ref="L696:M696"/>
    <mergeCell ref="N696:O696"/>
    <mergeCell ref="AD694:AE694"/>
    <mergeCell ref="AF694:AG694"/>
    <mergeCell ref="P694:Q694"/>
    <mergeCell ref="R694:S694"/>
    <mergeCell ref="T694:U694"/>
    <mergeCell ref="V694:W694"/>
    <mergeCell ref="X694:Y694"/>
    <mergeCell ref="Z694:AA694"/>
    <mergeCell ref="AB694:AC694"/>
    <mergeCell ref="AD695:AE695"/>
    <mergeCell ref="AF695:AG695"/>
    <mergeCell ref="AH695:AI695"/>
    <mergeCell ref="AJ695:AK695"/>
    <mergeCell ref="AL695:BB695"/>
    <mergeCell ref="P695:Q695"/>
    <mergeCell ref="R695:S695"/>
    <mergeCell ref="T695:U695"/>
    <mergeCell ref="V695:W695"/>
    <mergeCell ref="X695:Y695"/>
    <mergeCell ref="Z695:AA695"/>
    <mergeCell ref="AB695:AC695"/>
    <mergeCell ref="B695:C695"/>
    <mergeCell ref="D695:E695"/>
    <mergeCell ref="F695:G695"/>
    <mergeCell ref="H695:I695"/>
    <mergeCell ref="J695:K695"/>
    <mergeCell ref="L695:M695"/>
    <mergeCell ref="N695:O695"/>
    <mergeCell ref="AD696:AE696"/>
    <mergeCell ref="AF696:AG696"/>
    <mergeCell ref="AH696:AI696"/>
    <mergeCell ref="AJ696:AK696"/>
    <mergeCell ref="AL696:BB696"/>
    <mergeCell ref="AH691:AI691"/>
    <mergeCell ref="AJ691:AK691"/>
    <mergeCell ref="AL691:BB691"/>
    <mergeCell ref="B691:C691"/>
    <mergeCell ref="D691:E691"/>
    <mergeCell ref="F691:G691"/>
    <mergeCell ref="H691:I691"/>
    <mergeCell ref="J691:K691"/>
    <mergeCell ref="L691:M691"/>
    <mergeCell ref="N691:O691"/>
    <mergeCell ref="P693:Q693"/>
    <mergeCell ref="R693:S693"/>
    <mergeCell ref="T693:U693"/>
    <mergeCell ref="V693:W693"/>
    <mergeCell ref="X693:Y693"/>
    <mergeCell ref="Z693:AA693"/>
    <mergeCell ref="AB693:AC693"/>
    <mergeCell ref="B693:C693"/>
    <mergeCell ref="D693:E693"/>
    <mergeCell ref="F693:G693"/>
    <mergeCell ref="H693:I693"/>
    <mergeCell ref="J693:K693"/>
    <mergeCell ref="L693:M693"/>
    <mergeCell ref="N693:O693"/>
    <mergeCell ref="AD691:AE691"/>
    <mergeCell ref="AF691:AG691"/>
    <mergeCell ref="P691:Q691"/>
    <mergeCell ref="R691:S691"/>
    <mergeCell ref="T691:U691"/>
    <mergeCell ref="V691:W691"/>
    <mergeCell ref="X691:Y691"/>
    <mergeCell ref="Z691:AA691"/>
    <mergeCell ref="AB691:AC691"/>
    <mergeCell ref="AD692:AE692"/>
    <mergeCell ref="AF692:AG692"/>
    <mergeCell ref="AH692:AI692"/>
    <mergeCell ref="AJ692:AK692"/>
    <mergeCell ref="AL692:BB692"/>
    <mergeCell ref="P692:Q692"/>
    <mergeCell ref="R692:S692"/>
    <mergeCell ref="T692:U692"/>
    <mergeCell ref="V692:W692"/>
    <mergeCell ref="X692:Y692"/>
    <mergeCell ref="Z692:AA692"/>
    <mergeCell ref="AB692:AC692"/>
    <mergeCell ref="B692:C692"/>
    <mergeCell ref="D692:E692"/>
    <mergeCell ref="F692:G692"/>
    <mergeCell ref="H692:I692"/>
    <mergeCell ref="J692:K692"/>
    <mergeCell ref="L692:M692"/>
    <mergeCell ref="N692:O692"/>
    <mergeCell ref="AD693:AE693"/>
    <mergeCell ref="AF693:AG693"/>
    <mergeCell ref="AH693:AI693"/>
    <mergeCell ref="AJ693:AK693"/>
    <mergeCell ref="AL693:BB693"/>
    <mergeCell ref="AJ687:AK687"/>
    <mergeCell ref="AL687:BB687"/>
    <mergeCell ref="AH688:AI688"/>
    <mergeCell ref="AJ688:AK688"/>
    <mergeCell ref="AL688:BB688"/>
    <mergeCell ref="B688:C688"/>
    <mergeCell ref="D688:E688"/>
    <mergeCell ref="F688:G688"/>
    <mergeCell ref="H688:I688"/>
    <mergeCell ref="J688:K688"/>
    <mergeCell ref="L688:M688"/>
    <mergeCell ref="N688:O688"/>
    <mergeCell ref="P690:Q690"/>
    <mergeCell ref="R690:S690"/>
    <mergeCell ref="T690:U690"/>
    <mergeCell ref="V690:W690"/>
    <mergeCell ref="X690:Y690"/>
    <mergeCell ref="Z690:AA690"/>
    <mergeCell ref="AB690:AC690"/>
    <mergeCell ref="B690:C690"/>
    <mergeCell ref="D690:E690"/>
    <mergeCell ref="F690:G690"/>
    <mergeCell ref="H690:I690"/>
    <mergeCell ref="J690:K690"/>
    <mergeCell ref="L690:M690"/>
    <mergeCell ref="N690:O690"/>
    <mergeCell ref="AD688:AE688"/>
    <mergeCell ref="AF688:AG688"/>
    <mergeCell ref="P688:Q688"/>
    <mergeCell ref="R688:S688"/>
    <mergeCell ref="T688:U688"/>
    <mergeCell ref="V688:W688"/>
    <mergeCell ref="X688:Y688"/>
    <mergeCell ref="Z688:AA688"/>
    <mergeCell ref="AB688:AC688"/>
    <mergeCell ref="AD689:AE689"/>
    <mergeCell ref="AF689:AG689"/>
    <mergeCell ref="AH689:AI689"/>
    <mergeCell ref="AJ689:AK689"/>
    <mergeCell ref="AL689:BB689"/>
    <mergeCell ref="P689:Q689"/>
    <mergeCell ref="R689:S689"/>
    <mergeCell ref="T689:U689"/>
    <mergeCell ref="V689:W689"/>
    <mergeCell ref="X689:Y689"/>
    <mergeCell ref="Z689:AA689"/>
    <mergeCell ref="AB689:AC689"/>
    <mergeCell ref="B689:C689"/>
    <mergeCell ref="D689:E689"/>
    <mergeCell ref="F689:G689"/>
    <mergeCell ref="H689:I689"/>
    <mergeCell ref="J689:K689"/>
    <mergeCell ref="L689:M689"/>
    <mergeCell ref="N689:O689"/>
    <mergeCell ref="AD690:AE690"/>
    <mergeCell ref="AF690:AG690"/>
    <mergeCell ref="AH690:AI690"/>
    <mergeCell ref="AJ690:AK690"/>
    <mergeCell ref="AL690:BB690"/>
    <mergeCell ref="H683:I683"/>
    <mergeCell ref="J683:K683"/>
    <mergeCell ref="L683:M683"/>
    <mergeCell ref="N683:O683"/>
    <mergeCell ref="AD684:AE684"/>
    <mergeCell ref="AF684:AG684"/>
    <mergeCell ref="AH684:AI684"/>
    <mergeCell ref="AJ684:AK684"/>
    <mergeCell ref="AL684:BB684"/>
    <mergeCell ref="AH685:AI685"/>
    <mergeCell ref="AJ685:AK685"/>
    <mergeCell ref="AL685:BB685"/>
    <mergeCell ref="B685:C685"/>
    <mergeCell ref="D685:E685"/>
    <mergeCell ref="F685:G685"/>
    <mergeCell ref="H685:I685"/>
    <mergeCell ref="J685:K685"/>
    <mergeCell ref="L685:M685"/>
    <mergeCell ref="N685:O685"/>
    <mergeCell ref="P687:Q687"/>
    <mergeCell ref="R687:S687"/>
    <mergeCell ref="T687:U687"/>
    <mergeCell ref="V687:W687"/>
    <mergeCell ref="X687:Y687"/>
    <mergeCell ref="Z687:AA687"/>
    <mergeCell ref="AB687:AC687"/>
    <mergeCell ref="B687:C687"/>
    <mergeCell ref="D687:E687"/>
    <mergeCell ref="F687:G687"/>
    <mergeCell ref="H687:I687"/>
    <mergeCell ref="J687:K687"/>
    <mergeCell ref="L687:M687"/>
    <mergeCell ref="N687:O687"/>
    <mergeCell ref="AD685:AE685"/>
    <mergeCell ref="AF685:AG685"/>
    <mergeCell ref="P685:Q685"/>
    <mergeCell ref="R685:S685"/>
    <mergeCell ref="T685:U685"/>
    <mergeCell ref="V685:W685"/>
    <mergeCell ref="X685:Y685"/>
    <mergeCell ref="Z685:AA685"/>
    <mergeCell ref="AB685:AC685"/>
    <mergeCell ref="AD686:AE686"/>
    <mergeCell ref="AF686:AG686"/>
    <mergeCell ref="AH686:AI686"/>
    <mergeCell ref="AJ686:AK686"/>
    <mergeCell ref="AL686:BB686"/>
    <mergeCell ref="P686:Q686"/>
    <mergeCell ref="R686:S686"/>
    <mergeCell ref="T686:U686"/>
    <mergeCell ref="V686:W686"/>
    <mergeCell ref="X686:Y686"/>
    <mergeCell ref="Z686:AA686"/>
    <mergeCell ref="AB686:AC686"/>
    <mergeCell ref="B686:C686"/>
    <mergeCell ref="D686:E686"/>
    <mergeCell ref="F686:G686"/>
    <mergeCell ref="H686:I686"/>
    <mergeCell ref="J686:K686"/>
    <mergeCell ref="L686:M686"/>
    <mergeCell ref="N686:O686"/>
    <mergeCell ref="AD687:AE687"/>
    <mergeCell ref="AF687:AG687"/>
    <mergeCell ref="AH687:AI687"/>
    <mergeCell ref="P681:Q681"/>
    <mergeCell ref="R681:S681"/>
    <mergeCell ref="T681:U681"/>
    <mergeCell ref="V681:W681"/>
    <mergeCell ref="X681:Y681"/>
    <mergeCell ref="Z681:AA681"/>
    <mergeCell ref="AB681:AC681"/>
    <mergeCell ref="B681:C681"/>
    <mergeCell ref="D681:E681"/>
    <mergeCell ref="F681:G681"/>
    <mergeCell ref="H681:I681"/>
    <mergeCell ref="J681:K681"/>
    <mergeCell ref="L681:M681"/>
    <mergeCell ref="N681:O681"/>
    <mergeCell ref="AD703:AE703"/>
    <mergeCell ref="AF703:AG703"/>
    <mergeCell ref="AH703:AI703"/>
    <mergeCell ref="AJ703:AK703"/>
    <mergeCell ref="AL703:BB703"/>
    <mergeCell ref="P703:Q703"/>
    <mergeCell ref="R703:S703"/>
    <mergeCell ref="T703:U703"/>
    <mergeCell ref="V703:W703"/>
    <mergeCell ref="X703:Y703"/>
    <mergeCell ref="Z703:AA703"/>
    <mergeCell ref="AB703:AC703"/>
    <mergeCell ref="P684:Q684"/>
    <mergeCell ref="R684:S684"/>
    <mergeCell ref="T684:U684"/>
    <mergeCell ref="V684:W684"/>
    <mergeCell ref="X684:Y684"/>
    <mergeCell ref="Z684:AA684"/>
    <mergeCell ref="AB684:AC684"/>
    <mergeCell ref="B684:C684"/>
    <mergeCell ref="D684:E684"/>
    <mergeCell ref="F684:G684"/>
    <mergeCell ref="H684:I684"/>
    <mergeCell ref="J684:K684"/>
    <mergeCell ref="L684:M684"/>
    <mergeCell ref="N684:O684"/>
    <mergeCell ref="AD682:AE682"/>
    <mergeCell ref="AF682:AG682"/>
    <mergeCell ref="P682:Q682"/>
    <mergeCell ref="R682:S682"/>
    <mergeCell ref="T682:U682"/>
    <mergeCell ref="V682:W682"/>
    <mergeCell ref="X682:Y682"/>
    <mergeCell ref="Z682:AA682"/>
    <mergeCell ref="AB682:AC682"/>
    <mergeCell ref="AD683:AE683"/>
    <mergeCell ref="AF683:AG683"/>
    <mergeCell ref="AH683:AI683"/>
    <mergeCell ref="AJ683:AK683"/>
    <mergeCell ref="AL683:BB683"/>
    <mergeCell ref="P683:Q683"/>
    <mergeCell ref="R683:S683"/>
    <mergeCell ref="T683:U683"/>
    <mergeCell ref="V683:W683"/>
    <mergeCell ref="X683:Y683"/>
    <mergeCell ref="Z683:AA683"/>
    <mergeCell ref="AB683:AC683"/>
    <mergeCell ref="B683:C683"/>
    <mergeCell ref="D683:E683"/>
    <mergeCell ref="F683:G683"/>
    <mergeCell ref="AL672:BB672"/>
    <mergeCell ref="AH673:AI673"/>
    <mergeCell ref="AJ673:AK673"/>
    <mergeCell ref="AL673:BB673"/>
    <mergeCell ref="B673:C673"/>
    <mergeCell ref="D673:E673"/>
    <mergeCell ref="F673:G673"/>
    <mergeCell ref="H673:I673"/>
    <mergeCell ref="J673:K673"/>
    <mergeCell ref="L673:M673"/>
    <mergeCell ref="N673:O673"/>
    <mergeCell ref="P675:Q675"/>
    <mergeCell ref="R675:S675"/>
    <mergeCell ref="T675:U675"/>
    <mergeCell ref="V675:W675"/>
    <mergeCell ref="X675:Y675"/>
    <mergeCell ref="Z675:AA675"/>
    <mergeCell ref="AB675:AC675"/>
    <mergeCell ref="B675:C675"/>
    <mergeCell ref="D675:E675"/>
    <mergeCell ref="F675:G675"/>
    <mergeCell ref="H675:I675"/>
    <mergeCell ref="J675:K675"/>
    <mergeCell ref="L675:M675"/>
    <mergeCell ref="N675:O675"/>
    <mergeCell ref="AD673:AE673"/>
    <mergeCell ref="AF673:AG673"/>
    <mergeCell ref="P673:Q673"/>
    <mergeCell ref="R673:S673"/>
    <mergeCell ref="T673:U673"/>
    <mergeCell ref="V673:W673"/>
    <mergeCell ref="X673:Y673"/>
    <mergeCell ref="Z673:AA673"/>
    <mergeCell ref="AB673:AC673"/>
    <mergeCell ref="AD674:AE674"/>
    <mergeCell ref="AF674:AG674"/>
    <mergeCell ref="AH674:AI674"/>
    <mergeCell ref="AJ674:AK674"/>
    <mergeCell ref="AL674:BB674"/>
    <mergeCell ref="P674:Q674"/>
    <mergeCell ref="R674:S674"/>
    <mergeCell ref="T674:U674"/>
    <mergeCell ref="V674:W674"/>
    <mergeCell ref="X674:Y674"/>
    <mergeCell ref="Z674:AA674"/>
    <mergeCell ref="AB674:AC674"/>
    <mergeCell ref="B674:C674"/>
    <mergeCell ref="D674:E674"/>
    <mergeCell ref="F674:G674"/>
    <mergeCell ref="H674:I674"/>
    <mergeCell ref="J674:K674"/>
    <mergeCell ref="L674:M674"/>
    <mergeCell ref="N674:O674"/>
    <mergeCell ref="AD675:AE675"/>
    <mergeCell ref="AF675:AG675"/>
    <mergeCell ref="AH675:AI675"/>
    <mergeCell ref="AJ675:AK675"/>
    <mergeCell ref="AL675:BB675"/>
    <mergeCell ref="AD681:AE681"/>
    <mergeCell ref="AF681:AG681"/>
    <mergeCell ref="AH681:AI681"/>
    <mergeCell ref="AJ681:AK681"/>
    <mergeCell ref="AL681:BB681"/>
    <mergeCell ref="AH682:AI682"/>
    <mergeCell ref="AJ682:AK682"/>
    <mergeCell ref="AL682:BB682"/>
    <mergeCell ref="B682:C682"/>
    <mergeCell ref="D682:E682"/>
    <mergeCell ref="F682:G682"/>
    <mergeCell ref="H682:I682"/>
    <mergeCell ref="J682:K682"/>
    <mergeCell ref="L682:M682"/>
    <mergeCell ref="N682:O682"/>
    <mergeCell ref="AD667:AE667"/>
    <mergeCell ref="AF667:AG667"/>
    <mergeCell ref="P667:Q667"/>
    <mergeCell ref="R667:S667"/>
    <mergeCell ref="T667:U667"/>
    <mergeCell ref="V667:W667"/>
    <mergeCell ref="X667:Y667"/>
    <mergeCell ref="Z667:AA667"/>
    <mergeCell ref="AB667:AC667"/>
    <mergeCell ref="AD668:AE668"/>
    <mergeCell ref="AF668:AG668"/>
    <mergeCell ref="AH668:AI668"/>
    <mergeCell ref="AJ668:AK668"/>
    <mergeCell ref="AL668:BB668"/>
    <mergeCell ref="P668:Q668"/>
    <mergeCell ref="R668:S668"/>
    <mergeCell ref="T668:U668"/>
    <mergeCell ref="V668:W668"/>
    <mergeCell ref="X668:Y668"/>
    <mergeCell ref="Z668:AA668"/>
    <mergeCell ref="AB668:AC668"/>
    <mergeCell ref="B668:C668"/>
    <mergeCell ref="D668:E668"/>
    <mergeCell ref="F668:G668"/>
    <mergeCell ref="H668:I668"/>
    <mergeCell ref="J668:K668"/>
    <mergeCell ref="L668:M668"/>
    <mergeCell ref="N668:O668"/>
    <mergeCell ref="AD669:AE669"/>
    <mergeCell ref="AF669:AG669"/>
    <mergeCell ref="AH669:AI669"/>
    <mergeCell ref="AJ669:AK669"/>
    <mergeCell ref="AL669:BB669"/>
    <mergeCell ref="AH670:AI670"/>
    <mergeCell ref="AJ670:AK670"/>
    <mergeCell ref="AL670:BB670"/>
    <mergeCell ref="B670:C670"/>
    <mergeCell ref="D670:E670"/>
    <mergeCell ref="F670:G670"/>
    <mergeCell ref="H670:I670"/>
    <mergeCell ref="J670:K670"/>
    <mergeCell ref="L670:M670"/>
    <mergeCell ref="N670:O670"/>
    <mergeCell ref="AD670:AE670"/>
    <mergeCell ref="AF670:AG670"/>
    <mergeCell ref="P670:Q670"/>
    <mergeCell ref="R670:S670"/>
    <mergeCell ref="T670:U670"/>
    <mergeCell ref="V670:W670"/>
    <mergeCell ref="AH679:AI679"/>
    <mergeCell ref="AJ679:AK679"/>
    <mergeCell ref="AL679:BB679"/>
    <mergeCell ref="B679:C679"/>
    <mergeCell ref="D679:E679"/>
    <mergeCell ref="F679:G679"/>
    <mergeCell ref="H679:I679"/>
    <mergeCell ref="J679:K679"/>
    <mergeCell ref="L679:M679"/>
    <mergeCell ref="N679:O679"/>
    <mergeCell ref="AD679:AE679"/>
    <mergeCell ref="AF679:AG679"/>
    <mergeCell ref="P679:Q679"/>
    <mergeCell ref="R679:S679"/>
    <mergeCell ref="T679:U679"/>
    <mergeCell ref="V679:W679"/>
    <mergeCell ref="X679:Y679"/>
    <mergeCell ref="Z679:AA679"/>
    <mergeCell ref="AB679:AC679"/>
    <mergeCell ref="AD680:AE680"/>
    <mergeCell ref="AF680:AG680"/>
    <mergeCell ref="AH680:AI680"/>
    <mergeCell ref="AJ680:AK680"/>
    <mergeCell ref="AL680:BB680"/>
    <mergeCell ref="P680:Q680"/>
    <mergeCell ref="R680:S680"/>
    <mergeCell ref="T680:U680"/>
    <mergeCell ref="V680:W680"/>
    <mergeCell ref="X680:Y680"/>
    <mergeCell ref="Z680:AA680"/>
    <mergeCell ref="AB680:AC680"/>
    <mergeCell ref="B680:C680"/>
    <mergeCell ref="D680:E680"/>
    <mergeCell ref="F680:G680"/>
    <mergeCell ref="H680:I680"/>
    <mergeCell ref="J680:K680"/>
    <mergeCell ref="L680:M680"/>
    <mergeCell ref="N680:O680"/>
    <mergeCell ref="AD676:AE676"/>
    <mergeCell ref="AF676:AG676"/>
    <mergeCell ref="P676:Q676"/>
    <mergeCell ref="R676:S676"/>
    <mergeCell ref="T676:U676"/>
    <mergeCell ref="V676:W676"/>
    <mergeCell ref="X676:Y676"/>
    <mergeCell ref="Z676:AA676"/>
    <mergeCell ref="AB676:AC676"/>
    <mergeCell ref="AD677:AE677"/>
    <mergeCell ref="AF677:AG677"/>
    <mergeCell ref="AH677:AI677"/>
    <mergeCell ref="AJ677:AK677"/>
    <mergeCell ref="AL677:BB677"/>
    <mergeCell ref="P677:Q677"/>
    <mergeCell ref="R677:S677"/>
    <mergeCell ref="T677:U677"/>
    <mergeCell ref="V677:W677"/>
    <mergeCell ref="X677:Y677"/>
    <mergeCell ref="Z677:AA677"/>
    <mergeCell ref="AB677:AC677"/>
    <mergeCell ref="B677:C677"/>
    <mergeCell ref="D677:E677"/>
    <mergeCell ref="F677:G677"/>
    <mergeCell ref="H677:I677"/>
    <mergeCell ref="J677:K677"/>
    <mergeCell ref="L677:M677"/>
    <mergeCell ref="N677:O677"/>
    <mergeCell ref="AD678:AE678"/>
    <mergeCell ref="AF678:AG678"/>
    <mergeCell ref="AH678:AI678"/>
    <mergeCell ref="AJ678:AK678"/>
    <mergeCell ref="AL678:BB678"/>
    <mergeCell ref="AH676:AI676"/>
    <mergeCell ref="AJ676:AK676"/>
    <mergeCell ref="AL676:BB676"/>
    <mergeCell ref="B676:C676"/>
    <mergeCell ref="D676:E676"/>
    <mergeCell ref="F676:G676"/>
    <mergeCell ref="H676:I676"/>
    <mergeCell ref="J676:K676"/>
    <mergeCell ref="L676:M676"/>
    <mergeCell ref="N676:O676"/>
    <mergeCell ref="P678:Q678"/>
    <mergeCell ref="R678:S678"/>
    <mergeCell ref="T678:U678"/>
    <mergeCell ref="V678:W678"/>
    <mergeCell ref="X678:Y678"/>
    <mergeCell ref="Z678:AA678"/>
    <mergeCell ref="AB678:AC678"/>
    <mergeCell ref="B678:C678"/>
    <mergeCell ref="D678:E678"/>
    <mergeCell ref="F678:G678"/>
    <mergeCell ref="H678:I678"/>
    <mergeCell ref="J678:K678"/>
    <mergeCell ref="L678:M678"/>
    <mergeCell ref="N678:O678"/>
    <mergeCell ref="AH667:AI667"/>
    <mergeCell ref="AJ667:AK667"/>
    <mergeCell ref="AL667:BB667"/>
    <mergeCell ref="B667:C667"/>
    <mergeCell ref="D667:E667"/>
    <mergeCell ref="F667:G667"/>
    <mergeCell ref="H667:I667"/>
    <mergeCell ref="J667:K667"/>
    <mergeCell ref="L667:M667"/>
    <mergeCell ref="N667:O667"/>
    <mergeCell ref="P669:Q669"/>
    <mergeCell ref="R669:S669"/>
    <mergeCell ref="T669:U669"/>
    <mergeCell ref="V669:W669"/>
    <mergeCell ref="X669:Y669"/>
    <mergeCell ref="Z669:AA669"/>
    <mergeCell ref="AB669:AC669"/>
    <mergeCell ref="B669:C669"/>
    <mergeCell ref="D669:E669"/>
    <mergeCell ref="F669:G669"/>
    <mergeCell ref="H669:I669"/>
    <mergeCell ref="J669:K669"/>
    <mergeCell ref="L669:M669"/>
    <mergeCell ref="N669:O669"/>
    <mergeCell ref="P672:Q672"/>
    <mergeCell ref="R672:S672"/>
    <mergeCell ref="T672:U672"/>
    <mergeCell ref="V672:W672"/>
    <mergeCell ref="X672:Y672"/>
    <mergeCell ref="Z672:AA672"/>
    <mergeCell ref="AB672:AC672"/>
    <mergeCell ref="B672:C672"/>
    <mergeCell ref="D672:E672"/>
    <mergeCell ref="F672:G672"/>
    <mergeCell ref="H672:I672"/>
    <mergeCell ref="J672:K672"/>
    <mergeCell ref="L672:M672"/>
    <mergeCell ref="N672:O672"/>
    <mergeCell ref="X670:Y670"/>
    <mergeCell ref="Z670:AA670"/>
    <mergeCell ref="AB670:AC670"/>
    <mergeCell ref="AD671:AE671"/>
    <mergeCell ref="AF671:AG671"/>
    <mergeCell ref="AH671:AI671"/>
    <mergeCell ref="AJ671:AK671"/>
    <mergeCell ref="AL671:BB671"/>
    <mergeCell ref="P671:Q671"/>
    <mergeCell ref="R671:S671"/>
    <mergeCell ref="T671:U671"/>
    <mergeCell ref="V671:W671"/>
    <mergeCell ref="X671:Y671"/>
    <mergeCell ref="Z671:AA671"/>
    <mergeCell ref="AB671:AC671"/>
    <mergeCell ref="B671:C671"/>
    <mergeCell ref="D671:E671"/>
    <mergeCell ref="F671:G671"/>
    <mergeCell ref="H671:I671"/>
    <mergeCell ref="J671:K671"/>
    <mergeCell ref="L671:M671"/>
    <mergeCell ref="N671:O671"/>
    <mergeCell ref="AD672:AE672"/>
    <mergeCell ref="AF672:AG672"/>
    <mergeCell ref="AH672:AI672"/>
    <mergeCell ref="AJ672:AK672"/>
    <mergeCell ref="AH664:AI664"/>
    <mergeCell ref="AJ664:AK664"/>
    <mergeCell ref="AL664:BB664"/>
    <mergeCell ref="B664:C664"/>
    <mergeCell ref="D664:E664"/>
    <mergeCell ref="F664:G664"/>
    <mergeCell ref="H664:I664"/>
    <mergeCell ref="J664:K664"/>
    <mergeCell ref="L664:M664"/>
    <mergeCell ref="N664:O664"/>
    <mergeCell ref="P666:Q666"/>
    <mergeCell ref="R666:S666"/>
    <mergeCell ref="T666:U666"/>
    <mergeCell ref="V666:W666"/>
    <mergeCell ref="X666:Y666"/>
    <mergeCell ref="Z666:AA666"/>
    <mergeCell ref="AB666:AC666"/>
    <mergeCell ref="B666:C666"/>
    <mergeCell ref="D666:E666"/>
    <mergeCell ref="F666:G666"/>
    <mergeCell ref="H666:I666"/>
    <mergeCell ref="J666:K666"/>
    <mergeCell ref="L666:M666"/>
    <mergeCell ref="N666:O666"/>
    <mergeCell ref="AD664:AE664"/>
    <mergeCell ref="AF664:AG664"/>
    <mergeCell ref="P664:Q664"/>
    <mergeCell ref="R664:S664"/>
    <mergeCell ref="T664:U664"/>
    <mergeCell ref="V664:W664"/>
    <mergeCell ref="X664:Y664"/>
    <mergeCell ref="Z664:AA664"/>
    <mergeCell ref="AB664:AC664"/>
    <mergeCell ref="AD665:AE665"/>
    <mergeCell ref="AF665:AG665"/>
    <mergeCell ref="AH665:AI665"/>
    <mergeCell ref="AJ665:AK665"/>
    <mergeCell ref="AL665:BB665"/>
    <mergeCell ref="P665:Q665"/>
    <mergeCell ref="R665:S665"/>
    <mergeCell ref="T665:U665"/>
    <mergeCell ref="V665:W665"/>
    <mergeCell ref="X665:Y665"/>
    <mergeCell ref="Z665:AA665"/>
    <mergeCell ref="AB665:AC665"/>
    <mergeCell ref="B665:C665"/>
    <mergeCell ref="D665:E665"/>
    <mergeCell ref="F665:G665"/>
    <mergeCell ref="H665:I665"/>
    <mergeCell ref="J665:K665"/>
    <mergeCell ref="L665:M665"/>
    <mergeCell ref="N665:O665"/>
    <mergeCell ref="AD666:AE666"/>
    <mergeCell ref="AF666:AG666"/>
    <mergeCell ref="AH666:AI666"/>
    <mergeCell ref="AJ666:AK666"/>
    <mergeCell ref="AL666:BB666"/>
    <mergeCell ref="B661:C661"/>
    <mergeCell ref="D661:E661"/>
    <mergeCell ref="F661:G661"/>
    <mergeCell ref="H661:I661"/>
    <mergeCell ref="J661:K661"/>
    <mergeCell ref="L661:M661"/>
    <mergeCell ref="N661:O661"/>
    <mergeCell ref="AD662:AE662"/>
    <mergeCell ref="AF662:AG662"/>
    <mergeCell ref="AH662:AI662"/>
    <mergeCell ref="AJ662:AK662"/>
    <mergeCell ref="AL662:BB662"/>
    <mergeCell ref="P662:Q662"/>
    <mergeCell ref="R662:S662"/>
    <mergeCell ref="T662:U662"/>
    <mergeCell ref="V662:W662"/>
    <mergeCell ref="X662:Y662"/>
    <mergeCell ref="Z662:AA662"/>
    <mergeCell ref="AB662:AC662"/>
    <mergeCell ref="B662:C662"/>
    <mergeCell ref="D662:E662"/>
    <mergeCell ref="F662:G662"/>
    <mergeCell ref="H662:I662"/>
    <mergeCell ref="J662:K662"/>
    <mergeCell ref="L662:M662"/>
    <mergeCell ref="N662:O662"/>
    <mergeCell ref="AD663:AE663"/>
    <mergeCell ref="AF663:AG663"/>
    <mergeCell ref="AH663:AI663"/>
    <mergeCell ref="AJ663:AK663"/>
    <mergeCell ref="AL663:BB663"/>
    <mergeCell ref="P663:Q663"/>
    <mergeCell ref="R663:S663"/>
    <mergeCell ref="T663:U663"/>
    <mergeCell ref="V663:W663"/>
    <mergeCell ref="X663:Y663"/>
    <mergeCell ref="Z663:AA663"/>
    <mergeCell ref="AB663:AC663"/>
    <mergeCell ref="B663:C663"/>
    <mergeCell ref="D663:E663"/>
    <mergeCell ref="F663:G663"/>
    <mergeCell ref="H663:I663"/>
    <mergeCell ref="J663:K663"/>
    <mergeCell ref="L663:M663"/>
    <mergeCell ref="N663:O663"/>
    <mergeCell ref="AH658:AI658"/>
    <mergeCell ref="AJ658:AK658"/>
    <mergeCell ref="AL658:BB658"/>
    <mergeCell ref="B658:C658"/>
    <mergeCell ref="D658:E658"/>
    <mergeCell ref="F658:G658"/>
    <mergeCell ref="H658:I658"/>
    <mergeCell ref="J658:K658"/>
    <mergeCell ref="L658:M658"/>
    <mergeCell ref="N658:O658"/>
    <mergeCell ref="P660:Q660"/>
    <mergeCell ref="R660:S660"/>
    <mergeCell ref="T660:U660"/>
    <mergeCell ref="V660:W660"/>
    <mergeCell ref="X660:Y660"/>
    <mergeCell ref="Z660:AA660"/>
    <mergeCell ref="AB660:AC660"/>
    <mergeCell ref="B660:C660"/>
    <mergeCell ref="D660:E660"/>
    <mergeCell ref="F660:G660"/>
    <mergeCell ref="H660:I660"/>
    <mergeCell ref="J660:K660"/>
    <mergeCell ref="L660:M660"/>
    <mergeCell ref="N660:O660"/>
    <mergeCell ref="AD658:AE658"/>
    <mergeCell ref="AF658:AG658"/>
    <mergeCell ref="P658:Q658"/>
    <mergeCell ref="R658:S658"/>
    <mergeCell ref="T658:U658"/>
    <mergeCell ref="V658:W658"/>
    <mergeCell ref="X658:Y658"/>
    <mergeCell ref="Z658:AA658"/>
    <mergeCell ref="AB658:AC658"/>
    <mergeCell ref="AD659:AE659"/>
    <mergeCell ref="AF659:AG659"/>
    <mergeCell ref="AH659:AI659"/>
    <mergeCell ref="AJ659:AK659"/>
    <mergeCell ref="AL659:BB659"/>
    <mergeCell ref="P659:Q659"/>
    <mergeCell ref="R659:S659"/>
    <mergeCell ref="T659:U659"/>
    <mergeCell ref="V659:W659"/>
    <mergeCell ref="X659:Y659"/>
    <mergeCell ref="Z659:AA659"/>
    <mergeCell ref="AB659:AC659"/>
    <mergeCell ref="B659:C659"/>
    <mergeCell ref="D659:E659"/>
    <mergeCell ref="F659:G659"/>
    <mergeCell ref="H659:I659"/>
    <mergeCell ref="J659:K659"/>
    <mergeCell ref="L659:M659"/>
    <mergeCell ref="N659:O659"/>
    <mergeCell ref="AD660:AE660"/>
    <mergeCell ref="AF660:AG660"/>
    <mergeCell ref="AH660:AI660"/>
    <mergeCell ref="AJ660:AK660"/>
    <mergeCell ref="AL660:BB660"/>
    <mergeCell ref="AH655:AI655"/>
    <mergeCell ref="AJ655:AK655"/>
    <mergeCell ref="AL655:BB655"/>
    <mergeCell ref="B655:C655"/>
    <mergeCell ref="D655:E655"/>
    <mergeCell ref="F655:G655"/>
    <mergeCell ref="H655:I655"/>
    <mergeCell ref="J655:K655"/>
    <mergeCell ref="L655:M655"/>
    <mergeCell ref="N655:O655"/>
    <mergeCell ref="P657:Q657"/>
    <mergeCell ref="R657:S657"/>
    <mergeCell ref="T657:U657"/>
    <mergeCell ref="V657:W657"/>
    <mergeCell ref="X657:Y657"/>
    <mergeCell ref="Z657:AA657"/>
    <mergeCell ref="AB657:AC657"/>
    <mergeCell ref="B657:C657"/>
    <mergeCell ref="D657:E657"/>
    <mergeCell ref="F657:G657"/>
    <mergeCell ref="H657:I657"/>
    <mergeCell ref="J657:K657"/>
    <mergeCell ref="L657:M657"/>
    <mergeCell ref="N657:O657"/>
    <mergeCell ref="AD655:AE655"/>
    <mergeCell ref="AF655:AG655"/>
    <mergeCell ref="P655:Q655"/>
    <mergeCell ref="R655:S655"/>
    <mergeCell ref="T655:U655"/>
    <mergeCell ref="V655:W655"/>
    <mergeCell ref="X655:Y655"/>
    <mergeCell ref="Z655:AA655"/>
    <mergeCell ref="AB655:AC655"/>
    <mergeCell ref="AD656:AE656"/>
    <mergeCell ref="AF656:AG656"/>
    <mergeCell ref="AH656:AI656"/>
    <mergeCell ref="AJ656:AK656"/>
    <mergeCell ref="AL656:BB656"/>
    <mergeCell ref="P656:Q656"/>
    <mergeCell ref="R656:S656"/>
    <mergeCell ref="T656:U656"/>
    <mergeCell ref="V656:W656"/>
    <mergeCell ref="X656:Y656"/>
    <mergeCell ref="Z656:AA656"/>
    <mergeCell ref="AB656:AC656"/>
    <mergeCell ref="B656:C656"/>
    <mergeCell ref="D656:E656"/>
    <mergeCell ref="F656:G656"/>
    <mergeCell ref="H656:I656"/>
    <mergeCell ref="J656:K656"/>
    <mergeCell ref="L656:M656"/>
    <mergeCell ref="N656:O656"/>
    <mergeCell ref="AD657:AE657"/>
    <mergeCell ref="AF657:AG657"/>
    <mergeCell ref="AH657:AI657"/>
    <mergeCell ref="AJ657:AK657"/>
    <mergeCell ref="AL657:BB657"/>
    <mergeCell ref="AH652:AI652"/>
    <mergeCell ref="AJ652:AK652"/>
    <mergeCell ref="AL652:BB652"/>
    <mergeCell ref="B652:C652"/>
    <mergeCell ref="D652:E652"/>
    <mergeCell ref="F652:G652"/>
    <mergeCell ref="H652:I652"/>
    <mergeCell ref="J652:K652"/>
    <mergeCell ref="L652:M652"/>
    <mergeCell ref="N652:O652"/>
    <mergeCell ref="P654:Q654"/>
    <mergeCell ref="R654:S654"/>
    <mergeCell ref="T654:U654"/>
    <mergeCell ref="V654:W654"/>
    <mergeCell ref="X654:Y654"/>
    <mergeCell ref="Z654:AA654"/>
    <mergeCell ref="AB654:AC654"/>
    <mergeCell ref="B654:C654"/>
    <mergeCell ref="D654:E654"/>
    <mergeCell ref="F654:G654"/>
    <mergeCell ref="H654:I654"/>
    <mergeCell ref="J654:K654"/>
    <mergeCell ref="L654:M654"/>
    <mergeCell ref="N654:O654"/>
    <mergeCell ref="AD652:AE652"/>
    <mergeCell ref="AF652:AG652"/>
    <mergeCell ref="P652:Q652"/>
    <mergeCell ref="R652:S652"/>
    <mergeCell ref="T652:U652"/>
    <mergeCell ref="V652:W652"/>
    <mergeCell ref="X652:Y652"/>
    <mergeCell ref="Z652:AA652"/>
    <mergeCell ref="AB652:AC652"/>
    <mergeCell ref="AD653:AE653"/>
    <mergeCell ref="AF653:AG653"/>
    <mergeCell ref="AH653:AI653"/>
    <mergeCell ref="AJ653:AK653"/>
    <mergeCell ref="AL653:BB653"/>
    <mergeCell ref="P653:Q653"/>
    <mergeCell ref="R653:S653"/>
    <mergeCell ref="T653:U653"/>
    <mergeCell ref="V653:W653"/>
    <mergeCell ref="X653:Y653"/>
    <mergeCell ref="Z653:AA653"/>
    <mergeCell ref="AB653:AC653"/>
    <mergeCell ref="B653:C653"/>
    <mergeCell ref="D653:E653"/>
    <mergeCell ref="F653:G653"/>
    <mergeCell ref="H653:I653"/>
    <mergeCell ref="J653:K653"/>
    <mergeCell ref="L653:M653"/>
    <mergeCell ref="N653:O653"/>
    <mergeCell ref="AD654:AE654"/>
    <mergeCell ref="AF654:AG654"/>
    <mergeCell ref="AH654:AI654"/>
    <mergeCell ref="AJ654:AK654"/>
    <mergeCell ref="AL654:BB654"/>
    <mergeCell ref="AH649:AI649"/>
    <mergeCell ref="AJ649:AK649"/>
    <mergeCell ref="AL649:BB649"/>
    <mergeCell ref="B649:C649"/>
    <mergeCell ref="D649:E649"/>
    <mergeCell ref="F649:G649"/>
    <mergeCell ref="H649:I649"/>
    <mergeCell ref="J649:K649"/>
    <mergeCell ref="L649:M649"/>
    <mergeCell ref="N649:O649"/>
    <mergeCell ref="P651:Q651"/>
    <mergeCell ref="R651:S651"/>
    <mergeCell ref="T651:U651"/>
    <mergeCell ref="V651:W651"/>
    <mergeCell ref="X651:Y651"/>
    <mergeCell ref="Z651:AA651"/>
    <mergeCell ref="AB651:AC651"/>
    <mergeCell ref="B651:C651"/>
    <mergeCell ref="D651:E651"/>
    <mergeCell ref="F651:G651"/>
    <mergeCell ref="H651:I651"/>
    <mergeCell ref="J651:K651"/>
    <mergeCell ref="L651:M651"/>
    <mergeCell ref="N651:O651"/>
    <mergeCell ref="AD649:AE649"/>
    <mergeCell ref="AF649:AG649"/>
    <mergeCell ref="P649:Q649"/>
    <mergeCell ref="R649:S649"/>
    <mergeCell ref="T649:U649"/>
    <mergeCell ref="V649:W649"/>
    <mergeCell ref="X649:Y649"/>
    <mergeCell ref="Z649:AA649"/>
    <mergeCell ref="AB649:AC649"/>
    <mergeCell ref="AD650:AE650"/>
    <mergeCell ref="AF650:AG650"/>
    <mergeCell ref="AH650:AI650"/>
    <mergeCell ref="AJ650:AK650"/>
    <mergeCell ref="AL650:BB650"/>
    <mergeCell ref="P650:Q650"/>
    <mergeCell ref="R650:S650"/>
    <mergeCell ref="T650:U650"/>
    <mergeCell ref="V650:W650"/>
    <mergeCell ref="X650:Y650"/>
    <mergeCell ref="Z650:AA650"/>
    <mergeCell ref="AB650:AC650"/>
    <mergeCell ref="B650:C650"/>
    <mergeCell ref="D650:E650"/>
    <mergeCell ref="F650:G650"/>
    <mergeCell ref="H650:I650"/>
    <mergeCell ref="J650:K650"/>
    <mergeCell ref="L650:M650"/>
    <mergeCell ref="N650:O650"/>
    <mergeCell ref="AD651:AE651"/>
    <mergeCell ref="AF651:AG651"/>
    <mergeCell ref="AH651:AI651"/>
    <mergeCell ref="AJ651:AK651"/>
    <mergeCell ref="AL651:BB651"/>
    <mergeCell ref="AJ645:AK645"/>
    <mergeCell ref="AL645:BB645"/>
    <mergeCell ref="AH646:AI646"/>
    <mergeCell ref="AJ646:AK646"/>
    <mergeCell ref="AL646:BB646"/>
    <mergeCell ref="B646:C646"/>
    <mergeCell ref="D646:E646"/>
    <mergeCell ref="F646:G646"/>
    <mergeCell ref="H646:I646"/>
    <mergeCell ref="J646:K646"/>
    <mergeCell ref="L646:M646"/>
    <mergeCell ref="N646:O646"/>
    <mergeCell ref="P648:Q648"/>
    <mergeCell ref="R648:S648"/>
    <mergeCell ref="T648:U648"/>
    <mergeCell ref="V648:W648"/>
    <mergeCell ref="X648:Y648"/>
    <mergeCell ref="Z648:AA648"/>
    <mergeCell ref="AB648:AC648"/>
    <mergeCell ref="B648:C648"/>
    <mergeCell ref="D648:E648"/>
    <mergeCell ref="F648:G648"/>
    <mergeCell ref="H648:I648"/>
    <mergeCell ref="J648:K648"/>
    <mergeCell ref="L648:M648"/>
    <mergeCell ref="N648:O648"/>
    <mergeCell ref="AD646:AE646"/>
    <mergeCell ref="AF646:AG646"/>
    <mergeCell ref="P646:Q646"/>
    <mergeCell ref="R646:S646"/>
    <mergeCell ref="T646:U646"/>
    <mergeCell ref="V646:W646"/>
    <mergeCell ref="X646:Y646"/>
    <mergeCell ref="Z646:AA646"/>
    <mergeCell ref="AB646:AC646"/>
    <mergeCell ref="AD647:AE647"/>
    <mergeCell ref="AF647:AG647"/>
    <mergeCell ref="AH647:AI647"/>
    <mergeCell ref="AJ647:AK647"/>
    <mergeCell ref="AL647:BB647"/>
    <mergeCell ref="P647:Q647"/>
    <mergeCell ref="R647:S647"/>
    <mergeCell ref="T647:U647"/>
    <mergeCell ref="V647:W647"/>
    <mergeCell ref="X647:Y647"/>
    <mergeCell ref="Z647:AA647"/>
    <mergeCell ref="AB647:AC647"/>
    <mergeCell ref="B647:C647"/>
    <mergeCell ref="D647:E647"/>
    <mergeCell ref="F647:G647"/>
    <mergeCell ref="H647:I647"/>
    <mergeCell ref="J647:K647"/>
    <mergeCell ref="L647:M647"/>
    <mergeCell ref="N647:O647"/>
    <mergeCell ref="AD648:AE648"/>
    <mergeCell ref="AF648:AG648"/>
    <mergeCell ref="AH648:AI648"/>
    <mergeCell ref="AJ648:AK648"/>
    <mergeCell ref="AL648:BB648"/>
    <mergeCell ref="H641:I641"/>
    <mergeCell ref="J641:K641"/>
    <mergeCell ref="L641:M641"/>
    <mergeCell ref="N641:O641"/>
    <mergeCell ref="AD642:AE642"/>
    <mergeCell ref="AF642:AG642"/>
    <mergeCell ref="AH642:AI642"/>
    <mergeCell ref="AJ642:AK642"/>
    <mergeCell ref="AL642:BB642"/>
    <mergeCell ref="AH643:AI643"/>
    <mergeCell ref="AJ643:AK643"/>
    <mergeCell ref="AL643:BB643"/>
    <mergeCell ref="B643:C643"/>
    <mergeCell ref="D643:E643"/>
    <mergeCell ref="F643:G643"/>
    <mergeCell ref="H643:I643"/>
    <mergeCell ref="J643:K643"/>
    <mergeCell ref="L643:M643"/>
    <mergeCell ref="N643:O643"/>
    <mergeCell ref="P645:Q645"/>
    <mergeCell ref="R645:S645"/>
    <mergeCell ref="T645:U645"/>
    <mergeCell ref="V645:W645"/>
    <mergeCell ref="X645:Y645"/>
    <mergeCell ref="Z645:AA645"/>
    <mergeCell ref="AB645:AC645"/>
    <mergeCell ref="B645:C645"/>
    <mergeCell ref="D645:E645"/>
    <mergeCell ref="F645:G645"/>
    <mergeCell ref="H645:I645"/>
    <mergeCell ref="J645:K645"/>
    <mergeCell ref="L645:M645"/>
    <mergeCell ref="N645:O645"/>
    <mergeCell ref="AD643:AE643"/>
    <mergeCell ref="AF643:AG643"/>
    <mergeCell ref="P643:Q643"/>
    <mergeCell ref="R643:S643"/>
    <mergeCell ref="T643:U643"/>
    <mergeCell ref="V643:W643"/>
    <mergeCell ref="X643:Y643"/>
    <mergeCell ref="Z643:AA643"/>
    <mergeCell ref="AB643:AC643"/>
    <mergeCell ref="AD644:AE644"/>
    <mergeCell ref="AF644:AG644"/>
    <mergeCell ref="AH644:AI644"/>
    <mergeCell ref="AJ644:AK644"/>
    <mergeCell ref="AL644:BB644"/>
    <mergeCell ref="P644:Q644"/>
    <mergeCell ref="R644:S644"/>
    <mergeCell ref="T644:U644"/>
    <mergeCell ref="V644:W644"/>
    <mergeCell ref="X644:Y644"/>
    <mergeCell ref="Z644:AA644"/>
    <mergeCell ref="AB644:AC644"/>
    <mergeCell ref="B644:C644"/>
    <mergeCell ref="D644:E644"/>
    <mergeCell ref="F644:G644"/>
    <mergeCell ref="H644:I644"/>
    <mergeCell ref="J644:K644"/>
    <mergeCell ref="L644:M644"/>
    <mergeCell ref="N644:O644"/>
    <mergeCell ref="AD645:AE645"/>
    <mergeCell ref="AF645:AG645"/>
    <mergeCell ref="AH645:AI645"/>
    <mergeCell ref="P639:Q639"/>
    <mergeCell ref="R639:S639"/>
    <mergeCell ref="T639:U639"/>
    <mergeCell ref="V639:W639"/>
    <mergeCell ref="X639:Y639"/>
    <mergeCell ref="Z639:AA639"/>
    <mergeCell ref="AB639:AC639"/>
    <mergeCell ref="B639:C639"/>
    <mergeCell ref="D639:E639"/>
    <mergeCell ref="F639:G639"/>
    <mergeCell ref="H639:I639"/>
    <mergeCell ref="J639:K639"/>
    <mergeCell ref="L639:M639"/>
    <mergeCell ref="N639:O639"/>
    <mergeCell ref="AD661:AE661"/>
    <mergeCell ref="AF661:AG661"/>
    <mergeCell ref="AH661:AI661"/>
    <mergeCell ref="AJ661:AK661"/>
    <mergeCell ref="AL661:BB661"/>
    <mergeCell ref="P661:Q661"/>
    <mergeCell ref="R661:S661"/>
    <mergeCell ref="T661:U661"/>
    <mergeCell ref="V661:W661"/>
    <mergeCell ref="X661:Y661"/>
    <mergeCell ref="Z661:AA661"/>
    <mergeCell ref="AB661:AC661"/>
    <mergeCell ref="P642:Q642"/>
    <mergeCell ref="R642:S642"/>
    <mergeCell ref="T642:U642"/>
    <mergeCell ref="V642:W642"/>
    <mergeCell ref="X642:Y642"/>
    <mergeCell ref="Z642:AA642"/>
    <mergeCell ref="AB642:AC642"/>
    <mergeCell ref="B642:C642"/>
    <mergeCell ref="D642:E642"/>
    <mergeCell ref="F642:G642"/>
    <mergeCell ref="H642:I642"/>
    <mergeCell ref="J642:K642"/>
    <mergeCell ref="L642:M642"/>
    <mergeCell ref="N642:O642"/>
    <mergeCell ref="AD640:AE640"/>
    <mergeCell ref="AF640:AG640"/>
    <mergeCell ref="P640:Q640"/>
    <mergeCell ref="R640:S640"/>
    <mergeCell ref="T640:U640"/>
    <mergeCell ref="V640:W640"/>
    <mergeCell ref="X640:Y640"/>
    <mergeCell ref="Z640:AA640"/>
    <mergeCell ref="AB640:AC640"/>
    <mergeCell ref="AD641:AE641"/>
    <mergeCell ref="AF641:AG641"/>
    <mergeCell ref="AH641:AI641"/>
    <mergeCell ref="AJ641:AK641"/>
    <mergeCell ref="AL641:BB641"/>
    <mergeCell ref="P641:Q641"/>
    <mergeCell ref="R641:S641"/>
    <mergeCell ref="T641:U641"/>
    <mergeCell ref="V641:W641"/>
    <mergeCell ref="X641:Y641"/>
    <mergeCell ref="Z641:AA641"/>
    <mergeCell ref="AB641:AC641"/>
    <mergeCell ref="B641:C641"/>
    <mergeCell ref="D641:E641"/>
    <mergeCell ref="F641:G641"/>
    <mergeCell ref="AL630:BB630"/>
    <mergeCell ref="AH631:AI631"/>
    <mergeCell ref="AJ631:AK631"/>
    <mergeCell ref="AL631:BB631"/>
    <mergeCell ref="B631:C631"/>
    <mergeCell ref="D631:E631"/>
    <mergeCell ref="F631:G631"/>
    <mergeCell ref="H631:I631"/>
    <mergeCell ref="J631:K631"/>
    <mergeCell ref="L631:M631"/>
    <mergeCell ref="N631:O631"/>
    <mergeCell ref="P633:Q633"/>
    <mergeCell ref="R633:S633"/>
    <mergeCell ref="T633:U633"/>
    <mergeCell ref="V633:W633"/>
    <mergeCell ref="X633:Y633"/>
    <mergeCell ref="Z633:AA633"/>
    <mergeCell ref="AB633:AC633"/>
    <mergeCell ref="B633:C633"/>
    <mergeCell ref="D633:E633"/>
    <mergeCell ref="F633:G633"/>
    <mergeCell ref="H633:I633"/>
    <mergeCell ref="J633:K633"/>
    <mergeCell ref="L633:M633"/>
    <mergeCell ref="N633:O633"/>
    <mergeCell ref="AD631:AE631"/>
    <mergeCell ref="AF631:AG631"/>
    <mergeCell ref="P631:Q631"/>
    <mergeCell ref="R631:S631"/>
    <mergeCell ref="T631:U631"/>
    <mergeCell ref="V631:W631"/>
    <mergeCell ref="X631:Y631"/>
    <mergeCell ref="Z631:AA631"/>
    <mergeCell ref="AB631:AC631"/>
    <mergeCell ref="AD632:AE632"/>
    <mergeCell ref="AF632:AG632"/>
    <mergeCell ref="AH632:AI632"/>
    <mergeCell ref="AJ632:AK632"/>
    <mergeCell ref="AL632:BB632"/>
    <mergeCell ref="P632:Q632"/>
    <mergeCell ref="R632:S632"/>
    <mergeCell ref="T632:U632"/>
    <mergeCell ref="V632:W632"/>
    <mergeCell ref="X632:Y632"/>
    <mergeCell ref="Z632:AA632"/>
    <mergeCell ref="AB632:AC632"/>
    <mergeCell ref="B632:C632"/>
    <mergeCell ref="D632:E632"/>
    <mergeCell ref="F632:G632"/>
    <mergeCell ref="H632:I632"/>
    <mergeCell ref="J632:K632"/>
    <mergeCell ref="L632:M632"/>
    <mergeCell ref="N632:O632"/>
    <mergeCell ref="AD633:AE633"/>
    <mergeCell ref="AF633:AG633"/>
    <mergeCell ref="AH633:AI633"/>
    <mergeCell ref="AJ633:AK633"/>
    <mergeCell ref="AL633:BB633"/>
    <mergeCell ref="AD639:AE639"/>
    <mergeCell ref="AF639:AG639"/>
    <mergeCell ref="AH639:AI639"/>
    <mergeCell ref="AJ639:AK639"/>
    <mergeCell ref="AL639:BB639"/>
    <mergeCell ref="AH640:AI640"/>
    <mergeCell ref="AJ640:AK640"/>
    <mergeCell ref="AL640:BB640"/>
    <mergeCell ref="B640:C640"/>
    <mergeCell ref="D640:E640"/>
    <mergeCell ref="F640:G640"/>
    <mergeCell ref="H640:I640"/>
    <mergeCell ref="J640:K640"/>
    <mergeCell ref="L640:M640"/>
    <mergeCell ref="N640:O640"/>
    <mergeCell ref="AD625:AE625"/>
    <mergeCell ref="AF625:AG625"/>
    <mergeCell ref="P625:Q625"/>
    <mergeCell ref="R625:S625"/>
    <mergeCell ref="T625:U625"/>
    <mergeCell ref="V625:W625"/>
    <mergeCell ref="X625:Y625"/>
    <mergeCell ref="Z625:AA625"/>
    <mergeCell ref="AB625:AC625"/>
    <mergeCell ref="AD626:AE626"/>
    <mergeCell ref="AF626:AG626"/>
    <mergeCell ref="AH626:AI626"/>
    <mergeCell ref="AJ626:AK626"/>
    <mergeCell ref="AL626:BB626"/>
    <mergeCell ref="P626:Q626"/>
    <mergeCell ref="R626:S626"/>
    <mergeCell ref="T626:U626"/>
    <mergeCell ref="V626:W626"/>
    <mergeCell ref="X626:Y626"/>
    <mergeCell ref="Z626:AA626"/>
    <mergeCell ref="AB626:AC626"/>
    <mergeCell ref="B626:C626"/>
    <mergeCell ref="D626:E626"/>
    <mergeCell ref="F626:G626"/>
    <mergeCell ref="H626:I626"/>
    <mergeCell ref="J626:K626"/>
    <mergeCell ref="L626:M626"/>
    <mergeCell ref="N626:O626"/>
    <mergeCell ref="AD627:AE627"/>
    <mergeCell ref="AF627:AG627"/>
    <mergeCell ref="AH627:AI627"/>
    <mergeCell ref="AJ627:AK627"/>
    <mergeCell ref="AL627:BB627"/>
    <mergeCell ref="AH628:AI628"/>
    <mergeCell ref="AJ628:AK628"/>
    <mergeCell ref="AL628:BB628"/>
    <mergeCell ref="B628:C628"/>
    <mergeCell ref="D628:E628"/>
    <mergeCell ref="F628:G628"/>
    <mergeCell ref="H628:I628"/>
    <mergeCell ref="J628:K628"/>
    <mergeCell ref="L628:M628"/>
    <mergeCell ref="N628:O628"/>
    <mergeCell ref="AD628:AE628"/>
    <mergeCell ref="AF628:AG628"/>
    <mergeCell ref="P628:Q628"/>
    <mergeCell ref="R628:S628"/>
    <mergeCell ref="T628:U628"/>
    <mergeCell ref="V628:W628"/>
    <mergeCell ref="AH637:AI637"/>
    <mergeCell ref="AJ637:AK637"/>
    <mergeCell ref="AL637:BB637"/>
    <mergeCell ref="B637:C637"/>
    <mergeCell ref="D637:E637"/>
    <mergeCell ref="F637:G637"/>
    <mergeCell ref="H637:I637"/>
    <mergeCell ref="J637:K637"/>
    <mergeCell ref="L637:M637"/>
    <mergeCell ref="N637:O637"/>
    <mergeCell ref="AD637:AE637"/>
    <mergeCell ref="AF637:AG637"/>
    <mergeCell ref="P637:Q637"/>
    <mergeCell ref="R637:S637"/>
    <mergeCell ref="T637:U637"/>
    <mergeCell ref="V637:W637"/>
    <mergeCell ref="X637:Y637"/>
    <mergeCell ref="Z637:AA637"/>
    <mergeCell ref="AB637:AC637"/>
    <mergeCell ref="AD638:AE638"/>
    <mergeCell ref="AF638:AG638"/>
    <mergeCell ref="AH638:AI638"/>
    <mergeCell ref="AJ638:AK638"/>
    <mergeCell ref="AL638:BB638"/>
    <mergeCell ref="P638:Q638"/>
    <mergeCell ref="R638:S638"/>
    <mergeCell ref="T638:U638"/>
    <mergeCell ref="V638:W638"/>
    <mergeCell ref="X638:Y638"/>
    <mergeCell ref="Z638:AA638"/>
    <mergeCell ref="AB638:AC638"/>
    <mergeCell ref="B638:C638"/>
    <mergeCell ref="D638:E638"/>
    <mergeCell ref="F638:G638"/>
    <mergeCell ref="H638:I638"/>
    <mergeCell ref="J638:K638"/>
    <mergeCell ref="L638:M638"/>
    <mergeCell ref="N638:O638"/>
    <mergeCell ref="AD634:AE634"/>
    <mergeCell ref="AF634:AG634"/>
    <mergeCell ref="P634:Q634"/>
    <mergeCell ref="R634:S634"/>
    <mergeCell ref="T634:U634"/>
    <mergeCell ref="V634:W634"/>
    <mergeCell ref="X634:Y634"/>
    <mergeCell ref="Z634:AA634"/>
    <mergeCell ref="AB634:AC634"/>
    <mergeCell ref="AD635:AE635"/>
    <mergeCell ref="AF635:AG635"/>
    <mergeCell ref="AH635:AI635"/>
    <mergeCell ref="AJ635:AK635"/>
    <mergeCell ref="AL635:BB635"/>
    <mergeCell ref="P635:Q635"/>
    <mergeCell ref="R635:S635"/>
    <mergeCell ref="T635:U635"/>
    <mergeCell ref="V635:W635"/>
    <mergeCell ref="X635:Y635"/>
    <mergeCell ref="Z635:AA635"/>
    <mergeCell ref="AB635:AC635"/>
    <mergeCell ref="B635:C635"/>
    <mergeCell ref="D635:E635"/>
    <mergeCell ref="F635:G635"/>
    <mergeCell ref="H635:I635"/>
    <mergeCell ref="J635:K635"/>
    <mergeCell ref="L635:M635"/>
    <mergeCell ref="N635:O635"/>
    <mergeCell ref="AD636:AE636"/>
    <mergeCell ref="AF636:AG636"/>
    <mergeCell ref="AH636:AI636"/>
    <mergeCell ref="AJ636:AK636"/>
    <mergeCell ref="AL636:BB636"/>
    <mergeCell ref="AH634:AI634"/>
    <mergeCell ref="AJ634:AK634"/>
    <mergeCell ref="AL634:BB634"/>
    <mergeCell ref="B634:C634"/>
    <mergeCell ref="D634:E634"/>
    <mergeCell ref="F634:G634"/>
    <mergeCell ref="H634:I634"/>
    <mergeCell ref="J634:K634"/>
    <mergeCell ref="L634:M634"/>
    <mergeCell ref="N634:O634"/>
    <mergeCell ref="P636:Q636"/>
    <mergeCell ref="R636:S636"/>
    <mergeCell ref="T636:U636"/>
    <mergeCell ref="V636:W636"/>
    <mergeCell ref="X636:Y636"/>
    <mergeCell ref="Z636:AA636"/>
    <mergeCell ref="AB636:AC636"/>
    <mergeCell ref="B636:C636"/>
    <mergeCell ref="D636:E636"/>
    <mergeCell ref="F636:G636"/>
    <mergeCell ref="H636:I636"/>
    <mergeCell ref="J636:K636"/>
    <mergeCell ref="L636:M636"/>
    <mergeCell ref="N636:O636"/>
    <mergeCell ref="AH625:AI625"/>
    <mergeCell ref="AJ625:AK625"/>
    <mergeCell ref="AL625:BB625"/>
    <mergeCell ref="B625:C625"/>
    <mergeCell ref="D625:E625"/>
    <mergeCell ref="F625:G625"/>
    <mergeCell ref="H625:I625"/>
    <mergeCell ref="J625:K625"/>
    <mergeCell ref="L625:M625"/>
    <mergeCell ref="N625:O625"/>
    <mergeCell ref="P627:Q627"/>
    <mergeCell ref="R627:S627"/>
    <mergeCell ref="T627:U627"/>
    <mergeCell ref="V627:W627"/>
    <mergeCell ref="X627:Y627"/>
    <mergeCell ref="Z627:AA627"/>
    <mergeCell ref="AB627:AC627"/>
    <mergeCell ref="B627:C627"/>
    <mergeCell ref="D627:E627"/>
    <mergeCell ref="F627:G627"/>
    <mergeCell ref="H627:I627"/>
    <mergeCell ref="J627:K627"/>
    <mergeCell ref="L627:M627"/>
    <mergeCell ref="N627:O627"/>
    <mergeCell ref="P630:Q630"/>
    <mergeCell ref="R630:S630"/>
    <mergeCell ref="T630:U630"/>
    <mergeCell ref="V630:W630"/>
    <mergeCell ref="X630:Y630"/>
    <mergeCell ref="Z630:AA630"/>
    <mergeCell ref="AB630:AC630"/>
    <mergeCell ref="B630:C630"/>
    <mergeCell ref="D630:E630"/>
    <mergeCell ref="F630:G630"/>
    <mergeCell ref="H630:I630"/>
    <mergeCell ref="J630:K630"/>
    <mergeCell ref="L630:M630"/>
    <mergeCell ref="N630:O630"/>
    <mergeCell ref="X628:Y628"/>
    <mergeCell ref="Z628:AA628"/>
    <mergeCell ref="AB628:AC628"/>
    <mergeCell ref="AD629:AE629"/>
    <mergeCell ref="AF629:AG629"/>
    <mergeCell ref="AH629:AI629"/>
    <mergeCell ref="AJ629:AK629"/>
    <mergeCell ref="AL629:BB629"/>
    <mergeCell ref="P629:Q629"/>
    <mergeCell ref="R629:S629"/>
    <mergeCell ref="T629:U629"/>
    <mergeCell ref="V629:W629"/>
    <mergeCell ref="X629:Y629"/>
    <mergeCell ref="Z629:AA629"/>
    <mergeCell ref="AB629:AC629"/>
    <mergeCell ref="B629:C629"/>
    <mergeCell ref="D629:E629"/>
    <mergeCell ref="F629:G629"/>
    <mergeCell ref="H629:I629"/>
    <mergeCell ref="J629:K629"/>
    <mergeCell ref="L629:M629"/>
    <mergeCell ref="N629:O629"/>
    <mergeCell ref="AD630:AE630"/>
    <mergeCell ref="AF630:AG630"/>
    <mergeCell ref="AH630:AI630"/>
    <mergeCell ref="AJ630:AK630"/>
    <mergeCell ref="AH622:AI622"/>
    <mergeCell ref="AJ622:AK622"/>
    <mergeCell ref="AL622:BB622"/>
    <mergeCell ref="B622:C622"/>
    <mergeCell ref="D622:E622"/>
    <mergeCell ref="F622:G622"/>
    <mergeCell ref="H622:I622"/>
    <mergeCell ref="J622:K622"/>
    <mergeCell ref="L622:M622"/>
    <mergeCell ref="N622:O622"/>
    <mergeCell ref="P624:Q624"/>
    <mergeCell ref="R624:S624"/>
    <mergeCell ref="T624:U624"/>
    <mergeCell ref="V624:W624"/>
    <mergeCell ref="X624:Y624"/>
    <mergeCell ref="Z624:AA624"/>
    <mergeCell ref="AB624:AC624"/>
    <mergeCell ref="B624:C624"/>
    <mergeCell ref="D624:E624"/>
    <mergeCell ref="F624:G624"/>
    <mergeCell ref="H624:I624"/>
    <mergeCell ref="J624:K624"/>
    <mergeCell ref="L624:M624"/>
    <mergeCell ref="N624:O624"/>
    <mergeCell ref="AD622:AE622"/>
    <mergeCell ref="AF622:AG622"/>
    <mergeCell ref="P622:Q622"/>
    <mergeCell ref="R622:S622"/>
    <mergeCell ref="T622:U622"/>
    <mergeCell ref="V622:W622"/>
    <mergeCell ref="X622:Y622"/>
    <mergeCell ref="Z622:AA622"/>
    <mergeCell ref="AB622:AC622"/>
    <mergeCell ref="AD623:AE623"/>
    <mergeCell ref="AF623:AG623"/>
    <mergeCell ref="AH623:AI623"/>
    <mergeCell ref="AJ623:AK623"/>
    <mergeCell ref="AL623:BB623"/>
    <mergeCell ref="P623:Q623"/>
    <mergeCell ref="R623:S623"/>
    <mergeCell ref="T623:U623"/>
    <mergeCell ref="V623:W623"/>
    <mergeCell ref="X623:Y623"/>
    <mergeCell ref="Z623:AA623"/>
    <mergeCell ref="AB623:AC623"/>
    <mergeCell ref="B623:C623"/>
    <mergeCell ref="D623:E623"/>
    <mergeCell ref="F623:G623"/>
    <mergeCell ref="H623:I623"/>
    <mergeCell ref="J623:K623"/>
    <mergeCell ref="L623:M623"/>
    <mergeCell ref="N623:O623"/>
    <mergeCell ref="AD624:AE624"/>
    <mergeCell ref="AF624:AG624"/>
    <mergeCell ref="AH624:AI624"/>
    <mergeCell ref="AJ624:AK624"/>
    <mergeCell ref="AL624:BB624"/>
    <mergeCell ref="B619:C619"/>
    <mergeCell ref="D619:E619"/>
    <mergeCell ref="F619:G619"/>
    <mergeCell ref="H619:I619"/>
    <mergeCell ref="J619:K619"/>
    <mergeCell ref="L619:M619"/>
    <mergeCell ref="N619:O619"/>
    <mergeCell ref="AD620:AE620"/>
    <mergeCell ref="AF620:AG620"/>
    <mergeCell ref="AH620:AI620"/>
    <mergeCell ref="AJ620:AK620"/>
    <mergeCell ref="AL620:BB620"/>
    <mergeCell ref="P620:Q620"/>
    <mergeCell ref="R620:S620"/>
    <mergeCell ref="T620:U620"/>
    <mergeCell ref="V620:W620"/>
    <mergeCell ref="X620:Y620"/>
    <mergeCell ref="Z620:AA620"/>
    <mergeCell ref="AB620:AC620"/>
    <mergeCell ref="B620:C620"/>
    <mergeCell ref="D620:E620"/>
    <mergeCell ref="F620:G620"/>
    <mergeCell ref="H620:I620"/>
    <mergeCell ref="J620:K620"/>
    <mergeCell ref="L620:M620"/>
    <mergeCell ref="N620:O620"/>
    <mergeCell ref="AD621:AE621"/>
    <mergeCell ref="AF621:AG621"/>
    <mergeCell ref="AH621:AI621"/>
    <mergeCell ref="AJ621:AK621"/>
    <mergeCell ref="AL621:BB621"/>
    <mergeCell ref="P621:Q621"/>
    <mergeCell ref="R621:S621"/>
    <mergeCell ref="T621:U621"/>
    <mergeCell ref="V621:W621"/>
    <mergeCell ref="X621:Y621"/>
    <mergeCell ref="Z621:AA621"/>
    <mergeCell ref="AB621:AC621"/>
    <mergeCell ref="B621:C621"/>
    <mergeCell ref="D621:E621"/>
    <mergeCell ref="F621:G621"/>
    <mergeCell ref="H621:I621"/>
    <mergeCell ref="J621:K621"/>
    <mergeCell ref="L621:M621"/>
    <mergeCell ref="N621:O621"/>
    <mergeCell ref="AH616:AI616"/>
    <mergeCell ref="AJ616:AK616"/>
    <mergeCell ref="AL616:BB616"/>
    <mergeCell ref="B616:C616"/>
    <mergeCell ref="D616:E616"/>
    <mergeCell ref="F616:G616"/>
    <mergeCell ref="H616:I616"/>
    <mergeCell ref="J616:K616"/>
    <mergeCell ref="L616:M616"/>
    <mergeCell ref="N616:O616"/>
    <mergeCell ref="P618:Q618"/>
    <mergeCell ref="R618:S618"/>
    <mergeCell ref="T618:U618"/>
    <mergeCell ref="V618:W618"/>
    <mergeCell ref="X618:Y618"/>
    <mergeCell ref="Z618:AA618"/>
    <mergeCell ref="AB618:AC618"/>
    <mergeCell ref="B618:C618"/>
    <mergeCell ref="D618:E618"/>
    <mergeCell ref="F618:G618"/>
    <mergeCell ref="H618:I618"/>
    <mergeCell ref="J618:K618"/>
    <mergeCell ref="L618:M618"/>
    <mergeCell ref="N618:O618"/>
    <mergeCell ref="AD616:AE616"/>
    <mergeCell ref="AF616:AG616"/>
    <mergeCell ref="P616:Q616"/>
    <mergeCell ref="R616:S616"/>
    <mergeCell ref="T616:U616"/>
    <mergeCell ref="V616:W616"/>
    <mergeCell ref="X616:Y616"/>
    <mergeCell ref="Z616:AA616"/>
    <mergeCell ref="AB616:AC616"/>
    <mergeCell ref="AD617:AE617"/>
    <mergeCell ref="AF617:AG617"/>
    <mergeCell ref="AH617:AI617"/>
    <mergeCell ref="AJ617:AK617"/>
    <mergeCell ref="AL617:BB617"/>
    <mergeCell ref="P617:Q617"/>
    <mergeCell ref="R617:S617"/>
    <mergeCell ref="T617:U617"/>
    <mergeCell ref="V617:W617"/>
    <mergeCell ref="X617:Y617"/>
    <mergeCell ref="Z617:AA617"/>
    <mergeCell ref="AB617:AC617"/>
    <mergeCell ref="B617:C617"/>
    <mergeCell ref="D617:E617"/>
    <mergeCell ref="F617:G617"/>
    <mergeCell ref="H617:I617"/>
    <mergeCell ref="J617:K617"/>
    <mergeCell ref="L617:M617"/>
    <mergeCell ref="N617:O617"/>
    <mergeCell ref="AD618:AE618"/>
    <mergeCell ref="AF618:AG618"/>
    <mergeCell ref="AH618:AI618"/>
    <mergeCell ref="AJ618:AK618"/>
    <mergeCell ref="AL618:BB618"/>
    <mergeCell ref="AH613:AI613"/>
    <mergeCell ref="AJ613:AK613"/>
    <mergeCell ref="AL613:BB613"/>
    <mergeCell ref="B613:C613"/>
    <mergeCell ref="D613:E613"/>
    <mergeCell ref="F613:G613"/>
    <mergeCell ref="H613:I613"/>
    <mergeCell ref="J613:K613"/>
    <mergeCell ref="L613:M613"/>
    <mergeCell ref="N613:O613"/>
    <mergeCell ref="P615:Q615"/>
    <mergeCell ref="R615:S615"/>
    <mergeCell ref="T615:U615"/>
    <mergeCell ref="V615:W615"/>
    <mergeCell ref="X615:Y615"/>
    <mergeCell ref="Z615:AA615"/>
    <mergeCell ref="AB615:AC615"/>
    <mergeCell ref="B615:C615"/>
    <mergeCell ref="D615:E615"/>
    <mergeCell ref="F615:G615"/>
    <mergeCell ref="H615:I615"/>
    <mergeCell ref="J615:K615"/>
    <mergeCell ref="L615:M615"/>
    <mergeCell ref="N615:O615"/>
    <mergeCell ref="AD613:AE613"/>
    <mergeCell ref="AF613:AG613"/>
    <mergeCell ref="P613:Q613"/>
    <mergeCell ref="R613:S613"/>
    <mergeCell ref="T613:U613"/>
    <mergeCell ref="V613:W613"/>
    <mergeCell ref="X613:Y613"/>
    <mergeCell ref="Z613:AA613"/>
    <mergeCell ref="AB613:AC613"/>
    <mergeCell ref="AD614:AE614"/>
    <mergeCell ref="AF614:AG614"/>
    <mergeCell ref="AH614:AI614"/>
    <mergeCell ref="AJ614:AK614"/>
    <mergeCell ref="AL614:BB614"/>
    <mergeCell ref="P614:Q614"/>
    <mergeCell ref="R614:S614"/>
    <mergeCell ref="T614:U614"/>
    <mergeCell ref="V614:W614"/>
    <mergeCell ref="X614:Y614"/>
    <mergeCell ref="Z614:AA614"/>
    <mergeCell ref="AB614:AC614"/>
    <mergeCell ref="B614:C614"/>
    <mergeCell ref="D614:E614"/>
    <mergeCell ref="F614:G614"/>
    <mergeCell ref="H614:I614"/>
    <mergeCell ref="J614:K614"/>
    <mergeCell ref="L614:M614"/>
    <mergeCell ref="N614:O614"/>
    <mergeCell ref="AD615:AE615"/>
    <mergeCell ref="AF615:AG615"/>
    <mergeCell ref="AH615:AI615"/>
    <mergeCell ref="AJ615:AK615"/>
    <mergeCell ref="AL615:BB615"/>
    <mergeCell ref="AH610:AI610"/>
    <mergeCell ref="AJ610:AK610"/>
    <mergeCell ref="AL610:BB610"/>
    <mergeCell ref="B610:C610"/>
    <mergeCell ref="D610:E610"/>
    <mergeCell ref="F610:G610"/>
    <mergeCell ref="H610:I610"/>
    <mergeCell ref="J610:K610"/>
    <mergeCell ref="L610:M610"/>
    <mergeCell ref="N610:O610"/>
    <mergeCell ref="P612:Q612"/>
    <mergeCell ref="R612:S612"/>
    <mergeCell ref="T612:U612"/>
    <mergeCell ref="V612:W612"/>
    <mergeCell ref="X612:Y612"/>
    <mergeCell ref="Z612:AA612"/>
    <mergeCell ref="AB612:AC612"/>
    <mergeCell ref="B612:C612"/>
    <mergeCell ref="D612:E612"/>
    <mergeCell ref="F612:G612"/>
    <mergeCell ref="H612:I612"/>
    <mergeCell ref="J612:K612"/>
    <mergeCell ref="L612:M612"/>
    <mergeCell ref="N612:O612"/>
    <mergeCell ref="AD610:AE610"/>
    <mergeCell ref="AF610:AG610"/>
    <mergeCell ref="P610:Q610"/>
    <mergeCell ref="R610:S610"/>
    <mergeCell ref="T610:U610"/>
    <mergeCell ref="V610:W610"/>
    <mergeCell ref="X610:Y610"/>
    <mergeCell ref="Z610:AA610"/>
    <mergeCell ref="AB610:AC610"/>
    <mergeCell ref="AD611:AE611"/>
    <mergeCell ref="AF611:AG611"/>
    <mergeCell ref="AH611:AI611"/>
    <mergeCell ref="AJ611:AK611"/>
    <mergeCell ref="AL611:BB611"/>
    <mergeCell ref="P611:Q611"/>
    <mergeCell ref="R611:S611"/>
    <mergeCell ref="T611:U611"/>
    <mergeCell ref="V611:W611"/>
    <mergeCell ref="X611:Y611"/>
    <mergeCell ref="Z611:AA611"/>
    <mergeCell ref="AB611:AC611"/>
    <mergeCell ref="B611:C611"/>
    <mergeCell ref="D611:E611"/>
    <mergeCell ref="F611:G611"/>
    <mergeCell ref="H611:I611"/>
    <mergeCell ref="J611:K611"/>
    <mergeCell ref="L611:M611"/>
    <mergeCell ref="N611:O611"/>
    <mergeCell ref="AD612:AE612"/>
    <mergeCell ref="AF612:AG612"/>
    <mergeCell ref="AH612:AI612"/>
    <mergeCell ref="AJ612:AK612"/>
    <mergeCell ref="AL612:BB612"/>
    <mergeCell ref="AH607:AI607"/>
    <mergeCell ref="AJ607:AK607"/>
    <mergeCell ref="AL607:BB607"/>
    <mergeCell ref="B607:C607"/>
    <mergeCell ref="D607:E607"/>
    <mergeCell ref="F607:G607"/>
    <mergeCell ref="H607:I607"/>
    <mergeCell ref="J607:K607"/>
    <mergeCell ref="L607:M607"/>
    <mergeCell ref="N607:O607"/>
    <mergeCell ref="P609:Q609"/>
    <mergeCell ref="R609:S609"/>
    <mergeCell ref="T609:U609"/>
    <mergeCell ref="V609:W609"/>
    <mergeCell ref="X609:Y609"/>
    <mergeCell ref="Z609:AA609"/>
    <mergeCell ref="AB609:AC609"/>
    <mergeCell ref="B609:C609"/>
    <mergeCell ref="D609:E609"/>
    <mergeCell ref="F609:G609"/>
    <mergeCell ref="H609:I609"/>
    <mergeCell ref="J609:K609"/>
    <mergeCell ref="L609:M609"/>
    <mergeCell ref="N609:O609"/>
    <mergeCell ref="AD607:AE607"/>
    <mergeCell ref="AF607:AG607"/>
    <mergeCell ref="P607:Q607"/>
    <mergeCell ref="R607:S607"/>
    <mergeCell ref="T607:U607"/>
    <mergeCell ref="V607:W607"/>
    <mergeCell ref="X607:Y607"/>
    <mergeCell ref="Z607:AA607"/>
    <mergeCell ref="AB607:AC607"/>
    <mergeCell ref="AD608:AE608"/>
    <mergeCell ref="AF608:AG608"/>
    <mergeCell ref="AH608:AI608"/>
    <mergeCell ref="AJ608:AK608"/>
    <mergeCell ref="AL608:BB608"/>
    <mergeCell ref="P608:Q608"/>
    <mergeCell ref="R608:S608"/>
    <mergeCell ref="T608:U608"/>
    <mergeCell ref="V608:W608"/>
    <mergeCell ref="X608:Y608"/>
    <mergeCell ref="Z608:AA608"/>
    <mergeCell ref="AB608:AC608"/>
    <mergeCell ref="B608:C608"/>
    <mergeCell ref="D608:E608"/>
    <mergeCell ref="F608:G608"/>
    <mergeCell ref="H608:I608"/>
    <mergeCell ref="J608:K608"/>
    <mergeCell ref="L608:M608"/>
    <mergeCell ref="N608:O608"/>
    <mergeCell ref="AD609:AE609"/>
    <mergeCell ref="AF609:AG609"/>
    <mergeCell ref="AH609:AI609"/>
    <mergeCell ref="AJ609:AK609"/>
    <mergeCell ref="AL609:BB609"/>
    <mergeCell ref="AJ603:AK603"/>
    <mergeCell ref="AL603:BB603"/>
    <mergeCell ref="AH604:AI604"/>
    <mergeCell ref="AJ604:AK604"/>
    <mergeCell ref="AL604:BB604"/>
    <mergeCell ref="B604:C604"/>
    <mergeCell ref="D604:E604"/>
    <mergeCell ref="F604:G604"/>
    <mergeCell ref="H604:I604"/>
    <mergeCell ref="J604:K604"/>
    <mergeCell ref="L604:M604"/>
    <mergeCell ref="N604:O604"/>
    <mergeCell ref="P606:Q606"/>
    <mergeCell ref="R606:S606"/>
    <mergeCell ref="T606:U606"/>
    <mergeCell ref="V606:W606"/>
    <mergeCell ref="X606:Y606"/>
    <mergeCell ref="Z606:AA606"/>
    <mergeCell ref="AB606:AC606"/>
    <mergeCell ref="B606:C606"/>
    <mergeCell ref="D606:E606"/>
    <mergeCell ref="F606:G606"/>
    <mergeCell ref="H606:I606"/>
    <mergeCell ref="J606:K606"/>
    <mergeCell ref="L606:M606"/>
    <mergeCell ref="N606:O606"/>
    <mergeCell ref="AD604:AE604"/>
    <mergeCell ref="AF604:AG604"/>
    <mergeCell ref="P604:Q604"/>
    <mergeCell ref="R604:S604"/>
    <mergeCell ref="T604:U604"/>
    <mergeCell ref="V604:W604"/>
    <mergeCell ref="X604:Y604"/>
    <mergeCell ref="Z604:AA604"/>
    <mergeCell ref="AB604:AC604"/>
    <mergeCell ref="AD605:AE605"/>
    <mergeCell ref="AF605:AG605"/>
    <mergeCell ref="AH605:AI605"/>
    <mergeCell ref="AJ605:AK605"/>
    <mergeCell ref="AL605:BB605"/>
    <mergeCell ref="P605:Q605"/>
    <mergeCell ref="R605:S605"/>
    <mergeCell ref="T605:U605"/>
    <mergeCell ref="V605:W605"/>
    <mergeCell ref="X605:Y605"/>
    <mergeCell ref="Z605:AA605"/>
    <mergeCell ref="AB605:AC605"/>
    <mergeCell ref="B605:C605"/>
    <mergeCell ref="D605:E605"/>
    <mergeCell ref="F605:G605"/>
    <mergeCell ref="H605:I605"/>
    <mergeCell ref="J605:K605"/>
    <mergeCell ref="L605:M605"/>
    <mergeCell ref="N605:O605"/>
    <mergeCell ref="AD606:AE606"/>
    <mergeCell ref="AF606:AG606"/>
    <mergeCell ref="AH606:AI606"/>
    <mergeCell ref="AJ606:AK606"/>
    <mergeCell ref="AL606:BB606"/>
    <mergeCell ref="H599:I599"/>
    <mergeCell ref="J599:K599"/>
    <mergeCell ref="L599:M599"/>
    <mergeCell ref="N599:O599"/>
    <mergeCell ref="AD600:AE600"/>
    <mergeCell ref="AF600:AG600"/>
    <mergeCell ref="AH600:AI600"/>
    <mergeCell ref="AJ600:AK600"/>
    <mergeCell ref="AL600:BB600"/>
    <mergeCell ref="AH601:AI601"/>
    <mergeCell ref="AJ601:AK601"/>
    <mergeCell ref="AL601:BB601"/>
    <mergeCell ref="B601:C601"/>
    <mergeCell ref="D601:E601"/>
    <mergeCell ref="F601:G601"/>
    <mergeCell ref="H601:I601"/>
    <mergeCell ref="J601:K601"/>
    <mergeCell ref="L601:M601"/>
    <mergeCell ref="N601:O601"/>
    <mergeCell ref="P603:Q603"/>
    <mergeCell ref="R603:S603"/>
    <mergeCell ref="T603:U603"/>
    <mergeCell ref="V603:W603"/>
    <mergeCell ref="X603:Y603"/>
    <mergeCell ref="Z603:AA603"/>
    <mergeCell ref="AB603:AC603"/>
    <mergeCell ref="B603:C603"/>
    <mergeCell ref="D603:E603"/>
    <mergeCell ref="F603:G603"/>
    <mergeCell ref="H603:I603"/>
    <mergeCell ref="J603:K603"/>
    <mergeCell ref="L603:M603"/>
    <mergeCell ref="N603:O603"/>
    <mergeCell ref="AD601:AE601"/>
    <mergeCell ref="AF601:AG601"/>
    <mergeCell ref="P601:Q601"/>
    <mergeCell ref="R601:S601"/>
    <mergeCell ref="T601:U601"/>
    <mergeCell ref="V601:W601"/>
    <mergeCell ref="X601:Y601"/>
    <mergeCell ref="Z601:AA601"/>
    <mergeCell ref="AB601:AC601"/>
    <mergeCell ref="AD602:AE602"/>
    <mergeCell ref="AF602:AG602"/>
    <mergeCell ref="AH602:AI602"/>
    <mergeCell ref="AJ602:AK602"/>
    <mergeCell ref="AL602:BB602"/>
    <mergeCell ref="P602:Q602"/>
    <mergeCell ref="R602:S602"/>
    <mergeCell ref="T602:U602"/>
    <mergeCell ref="V602:W602"/>
    <mergeCell ref="X602:Y602"/>
    <mergeCell ref="Z602:AA602"/>
    <mergeCell ref="AB602:AC602"/>
    <mergeCell ref="B602:C602"/>
    <mergeCell ref="D602:E602"/>
    <mergeCell ref="F602:G602"/>
    <mergeCell ref="H602:I602"/>
    <mergeCell ref="J602:K602"/>
    <mergeCell ref="L602:M602"/>
    <mergeCell ref="N602:O602"/>
    <mergeCell ref="AD603:AE603"/>
    <mergeCell ref="AF603:AG603"/>
    <mergeCell ref="AH603:AI603"/>
    <mergeCell ref="P597:Q597"/>
    <mergeCell ref="R597:S597"/>
    <mergeCell ref="T597:U597"/>
    <mergeCell ref="V597:W597"/>
    <mergeCell ref="X597:Y597"/>
    <mergeCell ref="Z597:AA597"/>
    <mergeCell ref="AB597:AC597"/>
    <mergeCell ref="B597:C597"/>
    <mergeCell ref="D597:E597"/>
    <mergeCell ref="F597:G597"/>
    <mergeCell ref="H597:I597"/>
    <mergeCell ref="J597:K597"/>
    <mergeCell ref="L597:M597"/>
    <mergeCell ref="N597:O597"/>
    <mergeCell ref="AD619:AE619"/>
    <mergeCell ref="AF619:AG619"/>
    <mergeCell ref="AH619:AI619"/>
    <mergeCell ref="AJ619:AK619"/>
    <mergeCell ref="AL619:BB619"/>
    <mergeCell ref="P619:Q619"/>
    <mergeCell ref="R619:S619"/>
    <mergeCell ref="T619:U619"/>
    <mergeCell ref="V619:W619"/>
    <mergeCell ref="X619:Y619"/>
    <mergeCell ref="Z619:AA619"/>
    <mergeCell ref="AB619:AC619"/>
    <mergeCell ref="P600:Q600"/>
    <mergeCell ref="R600:S600"/>
    <mergeCell ref="T600:U600"/>
    <mergeCell ref="V600:W600"/>
    <mergeCell ref="X600:Y600"/>
    <mergeCell ref="Z600:AA600"/>
    <mergeCell ref="AB600:AC600"/>
    <mergeCell ref="B600:C600"/>
    <mergeCell ref="D600:E600"/>
    <mergeCell ref="F600:G600"/>
    <mergeCell ref="H600:I600"/>
    <mergeCell ref="J600:K600"/>
    <mergeCell ref="L600:M600"/>
    <mergeCell ref="N600:O600"/>
    <mergeCell ref="AD598:AE598"/>
    <mergeCell ref="AF598:AG598"/>
    <mergeCell ref="P598:Q598"/>
    <mergeCell ref="R598:S598"/>
    <mergeCell ref="T598:U598"/>
    <mergeCell ref="V598:W598"/>
    <mergeCell ref="X598:Y598"/>
    <mergeCell ref="Z598:AA598"/>
    <mergeCell ref="AB598:AC598"/>
    <mergeCell ref="AD599:AE599"/>
    <mergeCell ref="AF599:AG599"/>
    <mergeCell ref="AH599:AI599"/>
    <mergeCell ref="AJ599:AK599"/>
    <mergeCell ref="AL599:BB599"/>
    <mergeCell ref="P599:Q599"/>
    <mergeCell ref="R599:S599"/>
    <mergeCell ref="T599:U599"/>
    <mergeCell ref="V599:W599"/>
    <mergeCell ref="X599:Y599"/>
    <mergeCell ref="Z599:AA599"/>
    <mergeCell ref="AB599:AC599"/>
    <mergeCell ref="B599:C599"/>
    <mergeCell ref="D599:E599"/>
    <mergeCell ref="F599:G599"/>
    <mergeCell ref="AL588:BB588"/>
    <mergeCell ref="AH589:AI589"/>
    <mergeCell ref="AJ589:AK589"/>
    <mergeCell ref="AL589:BB589"/>
    <mergeCell ref="B589:C589"/>
    <mergeCell ref="D589:E589"/>
    <mergeCell ref="F589:G589"/>
    <mergeCell ref="H589:I589"/>
    <mergeCell ref="J589:K589"/>
    <mergeCell ref="L589:M589"/>
    <mergeCell ref="N589:O589"/>
    <mergeCell ref="P591:Q591"/>
    <mergeCell ref="R591:S591"/>
    <mergeCell ref="T591:U591"/>
    <mergeCell ref="V591:W591"/>
    <mergeCell ref="X591:Y591"/>
    <mergeCell ref="Z591:AA591"/>
    <mergeCell ref="AB591:AC591"/>
    <mergeCell ref="B591:C591"/>
    <mergeCell ref="D591:E591"/>
    <mergeCell ref="F591:G591"/>
    <mergeCell ref="H591:I591"/>
    <mergeCell ref="J591:K591"/>
    <mergeCell ref="L591:M591"/>
    <mergeCell ref="N591:O591"/>
    <mergeCell ref="AD589:AE589"/>
    <mergeCell ref="AF589:AG589"/>
    <mergeCell ref="P589:Q589"/>
    <mergeCell ref="R589:S589"/>
    <mergeCell ref="T589:U589"/>
    <mergeCell ref="V589:W589"/>
    <mergeCell ref="X589:Y589"/>
    <mergeCell ref="Z589:AA589"/>
    <mergeCell ref="AB589:AC589"/>
    <mergeCell ref="AD590:AE590"/>
    <mergeCell ref="AF590:AG590"/>
    <mergeCell ref="AH590:AI590"/>
    <mergeCell ref="AJ590:AK590"/>
    <mergeCell ref="AL590:BB590"/>
    <mergeCell ref="P590:Q590"/>
    <mergeCell ref="R590:S590"/>
    <mergeCell ref="T590:U590"/>
    <mergeCell ref="V590:W590"/>
    <mergeCell ref="X590:Y590"/>
    <mergeCell ref="Z590:AA590"/>
    <mergeCell ref="AB590:AC590"/>
    <mergeCell ref="B590:C590"/>
    <mergeCell ref="D590:E590"/>
    <mergeCell ref="F590:G590"/>
    <mergeCell ref="H590:I590"/>
    <mergeCell ref="J590:K590"/>
    <mergeCell ref="L590:M590"/>
    <mergeCell ref="N590:O590"/>
    <mergeCell ref="AD591:AE591"/>
    <mergeCell ref="AF591:AG591"/>
    <mergeCell ref="AH591:AI591"/>
    <mergeCell ref="AJ591:AK591"/>
    <mergeCell ref="AL591:BB591"/>
    <mergeCell ref="AD597:AE597"/>
    <mergeCell ref="AF597:AG597"/>
    <mergeCell ref="AH597:AI597"/>
    <mergeCell ref="AJ597:AK597"/>
    <mergeCell ref="AL597:BB597"/>
    <mergeCell ref="AH598:AI598"/>
    <mergeCell ref="AJ598:AK598"/>
    <mergeCell ref="AL598:BB598"/>
    <mergeCell ref="B598:C598"/>
    <mergeCell ref="D598:E598"/>
    <mergeCell ref="F598:G598"/>
    <mergeCell ref="H598:I598"/>
    <mergeCell ref="J598:K598"/>
    <mergeCell ref="L598:M598"/>
    <mergeCell ref="N598:O598"/>
    <mergeCell ref="AD583:AE583"/>
    <mergeCell ref="AF583:AG583"/>
    <mergeCell ref="P583:Q583"/>
    <mergeCell ref="R583:S583"/>
    <mergeCell ref="T583:U583"/>
    <mergeCell ref="V583:W583"/>
    <mergeCell ref="X583:Y583"/>
    <mergeCell ref="Z583:AA583"/>
    <mergeCell ref="AB583:AC583"/>
    <mergeCell ref="AD584:AE584"/>
    <mergeCell ref="AF584:AG584"/>
    <mergeCell ref="AH584:AI584"/>
    <mergeCell ref="AJ584:AK584"/>
    <mergeCell ref="AL584:BB584"/>
    <mergeCell ref="P584:Q584"/>
    <mergeCell ref="R584:S584"/>
    <mergeCell ref="T584:U584"/>
    <mergeCell ref="V584:W584"/>
    <mergeCell ref="X584:Y584"/>
    <mergeCell ref="Z584:AA584"/>
    <mergeCell ref="AB584:AC584"/>
    <mergeCell ref="B584:C584"/>
    <mergeCell ref="D584:E584"/>
    <mergeCell ref="F584:G584"/>
    <mergeCell ref="H584:I584"/>
    <mergeCell ref="J584:K584"/>
    <mergeCell ref="L584:M584"/>
    <mergeCell ref="N584:O584"/>
    <mergeCell ref="AD585:AE585"/>
    <mergeCell ref="AF585:AG585"/>
    <mergeCell ref="AH585:AI585"/>
    <mergeCell ref="AJ585:AK585"/>
    <mergeCell ref="AL585:BB585"/>
    <mergeCell ref="AH586:AI586"/>
    <mergeCell ref="AJ586:AK586"/>
    <mergeCell ref="AL586:BB586"/>
    <mergeCell ref="B586:C586"/>
    <mergeCell ref="D586:E586"/>
    <mergeCell ref="F586:G586"/>
    <mergeCell ref="H586:I586"/>
    <mergeCell ref="J586:K586"/>
    <mergeCell ref="L586:M586"/>
    <mergeCell ref="N586:O586"/>
    <mergeCell ref="AD586:AE586"/>
    <mergeCell ref="AF586:AG586"/>
    <mergeCell ref="P586:Q586"/>
    <mergeCell ref="R586:S586"/>
    <mergeCell ref="T586:U586"/>
    <mergeCell ref="V586:W586"/>
    <mergeCell ref="AH595:AI595"/>
    <mergeCell ref="AJ595:AK595"/>
    <mergeCell ref="AL595:BB595"/>
    <mergeCell ref="B595:C595"/>
    <mergeCell ref="D595:E595"/>
    <mergeCell ref="F595:G595"/>
    <mergeCell ref="H595:I595"/>
    <mergeCell ref="J595:K595"/>
    <mergeCell ref="L595:M595"/>
    <mergeCell ref="N595:O595"/>
    <mergeCell ref="AD595:AE595"/>
    <mergeCell ref="AF595:AG595"/>
    <mergeCell ref="P595:Q595"/>
    <mergeCell ref="R595:S595"/>
    <mergeCell ref="T595:U595"/>
    <mergeCell ref="V595:W595"/>
    <mergeCell ref="X595:Y595"/>
    <mergeCell ref="Z595:AA595"/>
    <mergeCell ref="AB595:AC595"/>
    <mergeCell ref="AD596:AE596"/>
    <mergeCell ref="AF596:AG596"/>
    <mergeCell ref="AH596:AI596"/>
    <mergeCell ref="AJ596:AK596"/>
    <mergeCell ref="AL596:BB596"/>
    <mergeCell ref="P596:Q596"/>
    <mergeCell ref="R596:S596"/>
    <mergeCell ref="T596:U596"/>
    <mergeCell ref="V596:W596"/>
    <mergeCell ref="X596:Y596"/>
    <mergeCell ref="Z596:AA596"/>
    <mergeCell ref="AB596:AC596"/>
    <mergeCell ref="B596:C596"/>
    <mergeCell ref="D596:E596"/>
    <mergeCell ref="F596:G596"/>
    <mergeCell ref="H596:I596"/>
    <mergeCell ref="J596:K596"/>
    <mergeCell ref="L596:M596"/>
    <mergeCell ref="N596:O596"/>
    <mergeCell ref="AD592:AE592"/>
    <mergeCell ref="AF592:AG592"/>
    <mergeCell ref="P592:Q592"/>
    <mergeCell ref="R592:S592"/>
    <mergeCell ref="T592:U592"/>
    <mergeCell ref="V592:W592"/>
    <mergeCell ref="X592:Y592"/>
    <mergeCell ref="Z592:AA592"/>
    <mergeCell ref="AB592:AC592"/>
    <mergeCell ref="AD593:AE593"/>
    <mergeCell ref="AF593:AG593"/>
    <mergeCell ref="AH593:AI593"/>
    <mergeCell ref="AJ593:AK593"/>
    <mergeCell ref="AL593:BB593"/>
    <mergeCell ref="P593:Q593"/>
    <mergeCell ref="R593:S593"/>
    <mergeCell ref="T593:U593"/>
    <mergeCell ref="V593:W593"/>
    <mergeCell ref="X593:Y593"/>
    <mergeCell ref="Z593:AA593"/>
    <mergeCell ref="AB593:AC593"/>
    <mergeCell ref="B593:C593"/>
    <mergeCell ref="D593:E593"/>
    <mergeCell ref="F593:G593"/>
    <mergeCell ref="H593:I593"/>
    <mergeCell ref="J593:K593"/>
    <mergeCell ref="L593:M593"/>
    <mergeCell ref="N593:O593"/>
    <mergeCell ref="AD594:AE594"/>
    <mergeCell ref="AF594:AG594"/>
    <mergeCell ref="AH594:AI594"/>
    <mergeCell ref="AJ594:AK594"/>
    <mergeCell ref="AL594:BB594"/>
    <mergeCell ref="AH592:AI592"/>
    <mergeCell ref="AJ592:AK592"/>
    <mergeCell ref="AL592:BB592"/>
    <mergeCell ref="B592:C592"/>
    <mergeCell ref="D592:E592"/>
    <mergeCell ref="F592:G592"/>
    <mergeCell ref="H592:I592"/>
    <mergeCell ref="J592:K592"/>
    <mergeCell ref="L592:M592"/>
    <mergeCell ref="N592:O592"/>
    <mergeCell ref="P594:Q594"/>
    <mergeCell ref="R594:S594"/>
    <mergeCell ref="T594:U594"/>
    <mergeCell ref="V594:W594"/>
    <mergeCell ref="X594:Y594"/>
    <mergeCell ref="Z594:AA594"/>
    <mergeCell ref="AB594:AC594"/>
    <mergeCell ref="B594:C594"/>
    <mergeCell ref="D594:E594"/>
    <mergeCell ref="F594:G594"/>
    <mergeCell ref="H594:I594"/>
    <mergeCell ref="J594:K594"/>
    <mergeCell ref="L594:M594"/>
    <mergeCell ref="N594:O594"/>
    <mergeCell ref="AH583:AI583"/>
    <mergeCell ref="AJ583:AK583"/>
    <mergeCell ref="AL583:BB583"/>
    <mergeCell ref="B583:C583"/>
    <mergeCell ref="D583:E583"/>
    <mergeCell ref="F583:G583"/>
    <mergeCell ref="H583:I583"/>
    <mergeCell ref="J583:K583"/>
    <mergeCell ref="L583:M583"/>
    <mergeCell ref="N583:O583"/>
    <mergeCell ref="P585:Q585"/>
    <mergeCell ref="R585:S585"/>
    <mergeCell ref="T585:U585"/>
    <mergeCell ref="V585:W585"/>
    <mergeCell ref="X585:Y585"/>
    <mergeCell ref="Z585:AA585"/>
    <mergeCell ref="AB585:AC585"/>
    <mergeCell ref="B585:C585"/>
    <mergeCell ref="D585:E585"/>
    <mergeCell ref="F585:G585"/>
    <mergeCell ref="H585:I585"/>
    <mergeCell ref="J585:K585"/>
    <mergeCell ref="L585:M585"/>
    <mergeCell ref="N585:O585"/>
    <mergeCell ref="P588:Q588"/>
    <mergeCell ref="R588:S588"/>
    <mergeCell ref="T588:U588"/>
    <mergeCell ref="V588:W588"/>
    <mergeCell ref="X588:Y588"/>
    <mergeCell ref="Z588:AA588"/>
    <mergeCell ref="AB588:AC588"/>
    <mergeCell ref="B588:C588"/>
    <mergeCell ref="D588:E588"/>
    <mergeCell ref="F588:G588"/>
    <mergeCell ref="H588:I588"/>
    <mergeCell ref="J588:K588"/>
    <mergeCell ref="L588:M588"/>
    <mergeCell ref="N588:O588"/>
    <mergeCell ref="X586:Y586"/>
    <mergeCell ref="Z586:AA586"/>
    <mergeCell ref="AB586:AC586"/>
    <mergeCell ref="AD587:AE587"/>
    <mergeCell ref="AF587:AG587"/>
    <mergeCell ref="AH587:AI587"/>
    <mergeCell ref="AJ587:AK587"/>
    <mergeCell ref="AL587:BB587"/>
    <mergeCell ref="P587:Q587"/>
    <mergeCell ref="R587:S587"/>
    <mergeCell ref="T587:U587"/>
    <mergeCell ref="V587:W587"/>
    <mergeCell ref="X587:Y587"/>
    <mergeCell ref="Z587:AA587"/>
    <mergeCell ref="AB587:AC587"/>
    <mergeCell ref="B587:C587"/>
    <mergeCell ref="D587:E587"/>
    <mergeCell ref="F587:G587"/>
    <mergeCell ref="H587:I587"/>
    <mergeCell ref="J587:K587"/>
    <mergeCell ref="L587:M587"/>
    <mergeCell ref="N587:O587"/>
    <mergeCell ref="AD588:AE588"/>
    <mergeCell ref="AF588:AG588"/>
    <mergeCell ref="AH588:AI588"/>
    <mergeCell ref="AJ588:AK588"/>
    <mergeCell ref="AH580:AI580"/>
    <mergeCell ref="AJ580:AK580"/>
    <mergeCell ref="AL580:BB580"/>
    <mergeCell ref="B580:C580"/>
    <mergeCell ref="D580:E580"/>
    <mergeCell ref="F580:G580"/>
    <mergeCell ref="H580:I580"/>
    <mergeCell ref="J580:K580"/>
    <mergeCell ref="L580:M580"/>
    <mergeCell ref="N580:O580"/>
    <mergeCell ref="P582:Q582"/>
    <mergeCell ref="R582:S582"/>
    <mergeCell ref="T582:U582"/>
    <mergeCell ref="V582:W582"/>
    <mergeCell ref="X582:Y582"/>
    <mergeCell ref="Z582:AA582"/>
    <mergeCell ref="AB582:AC582"/>
    <mergeCell ref="B582:C582"/>
    <mergeCell ref="D582:E582"/>
    <mergeCell ref="F582:G582"/>
    <mergeCell ref="H582:I582"/>
    <mergeCell ref="J582:K582"/>
    <mergeCell ref="L582:M582"/>
    <mergeCell ref="N582:O582"/>
    <mergeCell ref="AD580:AE580"/>
    <mergeCell ref="AF580:AG580"/>
    <mergeCell ref="P580:Q580"/>
    <mergeCell ref="R580:S580"/>
    <mergeCell ref="T580:U580"/>
    <mergeCell ref="V580:W580"/>
    <mergeCell ref="X580:Y580"/>
    <mergeCell ref="Z580:AA580"/>
    <mergeCell ref="AB580:AC580"/>
    <mergeCell ref="AD581:AE581"/>
    <mergeCell ref="AF581:AG581"/>
    <mergeCell ref="AH581:AI581"/>
    <mergeCell ref="AJ581:AK581"/>
    <mergeCell ref="AL581:BB581"/>
    <mergeCell ref="P581:Q581"/>
    <mergeCell ref="R581:S581"/>
    <mergeCell ref="T581:U581"/>
    <mergeCell ref="V581:W581"/>
    <mergeCell ref="X581:Y581"/>
    <mergeCell ref="Z581:AA581"/>
    <mergeCell ref="AB581:AC581"/>
    <mergeCell ref="B581:C581"/>
    <mergeCell ref="D581:E581"/>
    <mergeCell ref="F581:G581"/>
    <mergeCell ref="H581:I581"/>
    <mergeCell ref="J581:K581"/>
    <mergeCell ref="L581:M581"/>
    <mergeCell ref="N581:O581"/>
    <mergeCell ref="AD582:AE582"/>
    <mergeCell ref="AF582:AG582"/>
    <mergeCell ref="AH582:AI582"/>
    <mergeCell ref="AJ582:AK582"/>
    <mergeCell ref="AL582:BB582"/>
    <mergeCell ref="B577:C577"/>
    <mergeCell ref="D577:E577"/>
    <mergeCell ref="F577:G577"/>
    <mergeCell ref="H577:I577"/>
    <mergeCell ref="J577:K577"/>
    <mergeCell ref="L577:M577"/>
    <mergeCell ref="N577:O577"/>
    <mergeCell ref="AD578:AE578"/>
    <mergeCell ref="AF578:AG578"/>
    <mergeCell ref="AH578:AI578"/>
    <mergeCell ref="AJ578:AK578"/>
    <mergeCell ref="AL578:BB578"/>
    <mergeCell ref="P578:Q578"/>
    <mergeCell ref="R578:S578"/>
    <mergeCell ref="T578:U578"/>
    <mergeCell ref="V578:W578"/>
    <mergeCell ref="X578:Y578"/>
    <mergeCell ref="Z578:AA578"/>
    <mergeCell ref="AB578:AC578"/>
    <mergeCell ref="B578:C578"/>
    <mergeCell ref="D578:E578"/>
    <mergeCell ref="F578:G578"/>
    <mergeCell ref="H578:I578"/>
    <mergeCell ref="J578:K578"/>
    <mergeCell ref="L578:M578"/>
    <mergeCell ref="N578:O578"/>
    <mergeCell ref="AD579:AE579"/>
    <mergeCell ref="AF579:AG579"/>
    <mergeCell ref="AH579:AI579"/>
    <mergeCell ref="AJ579:AK579"/>
    <mergeCell ref="AL579:BB579"/>
    <mergeCell ref="P579:Q579"/>
    <mergeCell ref="R579:S579"/>
    <mergeCell ref="T579:U579"/>
    <mergeCell ref="V579:W579"/>
    <mergeCell ref="X579:Y579"/>
    <mergeCell ref="Z579:AA579"/>
    <mergeCell ref="AB579:AC579"/>
    <mergeCell ref="B579:C579"/>
    <mergeCell ref="D579:E579"/>
    <mergeCell ref="F579:G579"/>
    <mergeCell ref="H579:I579"/>
    <mergeCell ref="J579:K579"/>
    <mergeCell ref="L579:M579"/>
    <mergeCell ref="N579:O579"/>
    <mergeCell ref="AH574:AI574"/>
    <mergeCell ref="AJ574:AK574"/>
    <mergeCell ref="AL574:BB574"/>
    <mergeCell ref="B574:C574"/>
    <mergeCell ref="D574:E574"/>
    <mergeCell ref="F574:G574"/>
    <mergeCell ref="H574:I574"/>
    <mergeCell ref="J574:K574"/>
    <mergeCell ref="L574:M574"/>
    <mergeCell ref="N574:O574"/>
    <mergeCell ref="P576:Q576"/>
    <mergeCell ref="R576:S576"/>
    <mergeCell ref="T576:U576"/>
    <mergeCell ref="V576:W576"/>
    <mergeCell ref="X576:Y576"/>
    <mergeCell ref="Z576:AA576"/>
    <mergeCell ref="AB576:AC576"/>
    <mergeCell ref="B576:C576"/>
    <mergeCell ref="D576:E576"/>
    <mergeCell ref="F576:G576"/>
    <mergeCell ref="H576:I576"/>
    <mergeCell ref="J576:K576"/>
    <mergeCell ref="L576:M576"/>
    <mergeCell ref="N576:O576"/>
    <mergeCell ref="AD574:AE574"/>
    <mergeCell ref="AF574:AG574"/>
    <mergeCell ref="P574:Q574"/>
    <mergeCell ref="R574:S574"/>
    <mergeCell ref="T574:U574"/>
    <mergeCell ref="V574:W574"/>
    <mergeCell ref="X574:Y574"/>
    <mergeCell ref="Z574:AA574"/>
    <mergeCell ref="AB574:AC574"/>
    <mergeCell ref="AD575:AE575"/>
    <mergeCell ref="AF575:AG575"/>
    <mergeCell ref="AH575:AI575"/>
    <mergeCell ref="AJ575:AK575"/>
    <mergeCell ref="AL575:BB575"/>
    <mergeCell ref="P575:Q575"/>
    <mergeCell ref="R575:S575"/>
    <mergeCell ref="T575:U575"/>
    <mergeCell ref="V575:W575"/>
    <mergeCell ref="X575:Y575"/>
    <mergeCell ref="Z575:AA575"/>
    <mergeCell ref="AB575:AC575"/>
    <mergeCell ref="B575:C575"/>
    <mergeCell ref="D575:E575"/>
    <mergeCell ref="F575:G575"/>
    <mergeCell ref="H575:I575"/>
    <mergeCell ref="J575:K575"/>
    <mergeCell ref="L575:M575"/>
    <mergeCell ref="N575:O575"/>
    <mergeCell ref="AD576:AE576"/>
    <mergeCell ref="AF576:AG576"/>
    <mergeCell ref="AH576:AI576"/>
    <mergeCell ref="AJ576:AK576"/>
    <mergeCell ref="AL576:BB576"/>
    <mergeCell ref="AH571:AI571"/>
    <mergeCell ref="AJ571:AK571"/>
    <mergeCell ref="AL571:BB571"/>
    <mergeCell ref="B571:C571"/>
    <mergeCell ref="D571:E571"/>
    <mergeCell ref="F571:G571"/>
    <mergeCell ref="H571:I571"/>
    <mergeCell ref="J571:K571"/>
    <mergeCell ref="L571:M571"/>
    <mergeCell ref="N571:O571"/>
    <mergeCell ref="P573:Q573"/>
    <mergeCell ref="R573:S573"/>
    <mergeCell ref="T573:U573"/>
    <mergeCell ref="V573:W573"/>
    <mergeCell ref="X573:Y573"/>
    <mergeCell ref="Z573:AA573"/>
    <mergeCell ref="AB573:AC573"/>
    <mergeCell ref="B573:C573"/>
    <mergeCell ref="D573:E573"/>
    <mergeCell ref="F573:G573"/>
    <mergeCell ref="H573:I573"/>
    <mergeCell ref="J573:K573"/>
    <mergeCell ref="L573:M573"/>
    <mergeCell ref="N573:O573"/>
    <mergeCell ref="AD571:AE571"/>
    <mergeCell ref="AF571:AG571"/>
    <mergeCell ref="P571:Q571"/>
    <mergeCell ref="R571:S571"/>
    <mergeCell ref="T571:U571"/>
    <mergeCell ref="V571:W571"/>
    <mergeCell ref="X571:Y571"/>
    <mergeCell ref="Z571:AA571"/>
    <mergeCell ref="AB571:AC571"/>
    <mergeCell ref="AD572:AE572"/>
    <mergeCell ref="AF572:AG572"/>
    <mergeCell ref="AH572:AI572"/>
    <mergeCell ref="AJ572:AK572"/>
    <mergeCell ref="AL572:BB572"/>
    <mergeCell ref="P572:Q572"/>
    <mergeCell ref="R572:S572"/>
    <mergeCell ref="T572:U572"/>
    <mergeCell ref="V572:W572"/>
    <mergeCell ref="X572:Y572"/>
    <mergeCell ref="Z572:AA572"/>
    <mergeCell ref="AB572:AC572"/>
    <mergeCell ref="B572:C572"/>
    <mergeCell ref="D572:E572"/>
    <mergeCell ref="F572:G572"/>
    <mergeCell ref="H572:I572"/>
    <mergeCell ref="J572:K572"/>
    <mergeCell ref="L572:M572"/>
    <mergeCell ref="N572:O572"/>
    <mergeCell ref="AD573:AE573"/>
    <mergeCell ref="AF573:AG573"/>
    <mergeCell ref="AH573:AI573"/>
    <mergeCell ref="AJ573:AK573"/>
    <mergeCell ref="AL573:BB573"/>
    <mergeCell ref="AH568:AI568"/>
    <mergeCell ref="AJ568:AK568"/>
    <mergeCell ref="AL568:BB568"/>
    <mergeCell ref="B568:C568"/>
    <mergeCell ref="D568:E568"/>
    <mergeCell ref="F568:G568"/>
    <mergeCell ref="H568:I568"/>
    <mergeCell ref="J568:K568"/>
    <mergeCell ref="L568:M568"/>
    <mergeCell ref="N568:O568"/>
    <mergeCell ref="P570:Q570"/>
    <mergeCell ref="R570:S570"/>
    <mergeCell ref="T570:U570"/>
    <mergeCell ref="V570:W570"/>
    <mergeCell ref="X570:Y570"/>
    <mergeCell ref="Z570:AA570"/>
    <mergeCell ref="AB570:AC570"/>
    <mergeCell ref="B570:C570"/>
    <mergeCell ref="D570:E570"/>
    <mergeCell ref="F570:G570"/>
    <mergeCell ref="H570:I570"/>
    <mergeCell ref="J570:K570"/>
    <mergeCell ref="L570:M570"/>
    <mergeCell ref="N570:O570"/>
    <mergeCell ref="AD568:AE568"/>
    <mergeCell ref="AF568:AG568"/>
    <mergeCell ref="P568:Q568"/>
    <mergeCell ref="R568:S568"/>
    <mergeCell ref="T568:U568"/>
    <mergeCell ref="V568:W568"/>
    <mergeCell ref="X568:Y568"/>
    <mergeCell ref="Z568:AA568"/>
    <mergeCell ref="AB568:AC568"/>
    <mergeCell ref="AD569:AE569"/>
    <mergeCell ref="AF569:AG569"/>
    <mergeCell ref="AH569:AI569"/>
    <mergeCell ref="AJ569:AK569"/>
    <mergeCell ref="AL569:BB569"/>
    <mergeCell ref="P569:Q569"/>
    <mergeCell ref="R569:S569"/>
    <mergeCell ref="T569:U569"/>
    <mergeCell ref="V569:W569"/>
    <mergeCell ref="X569:Y569"/>
    <mergeCell ref="Z569:AA569"/>
    <mergeCell ref="AB569:AC569"/>
    <mergeCell ref="B569:C569"/>
    <mergeCell ref="D569:E569"/>
    <mergeCell ref="F569:G569"/>
    <mergeCell ref="H569:I569"/>
    <mergeCell ref="J569:K569"/>
    <mergeCell ref="L569:M569"/>
    <mergeCell ref="N569:O569"/>
    <mergeCell ref="AD570:AE570"/>
    <mergeCell ref="AF570:AG570"/>
    <mergeCell ref="AH570:AI570"/>
    <mergeCell ref="AJ570:AK570"/>
    <mergeCell ref="AL570:BB570"/>
    <mergeCell ref="AH565:AI565"/>
    <mergeCell ref="AJ565:AK565"/>
    <mergeCell ref="AL565:BB565"/>
    <mergeCell ref="B565:C565"/>
    <mergeCell ref="D565:E565"/>
    <mergeCell ref="F565:G565"/>
    <mergeCell ref="H565:I565"/>
    <mergeCell ref="J565:K565"/>
    <mergeCell ref="L565:M565"/>
    <mergeCell ref="N565:O565"/>
    <mergeCell ref="P567:Q567"/>
    <mergeCell ref="R567:S567"/>
    <mergeCell ref="T567:U567"/>
    <mergeCell ref="V567:W567"/>
    <mergeCell ref="X567:Y567"/>
    <mergeCell ref="Z567:AA567"/>
    <mergeCell ref="AB567:AC567"/>
    <mergeCell ref="B567:C567"/>
    <mergeCell ref="D567:E567"/>
    <mergeCell ref="F567:G567"/>
    <mergeCell ref="H567:I567"/>
    <mergeCell ref="J567:K567"/>
    <mergeCell ref="L567:M567"/>
    <mergeCell ref="N567:O567"/>
    <mergeCell ref="AD565:AE565"/>
    <mergeCell ref="AF565:AG565"/>
    <mergeCell ref="P565:Q565"/>
    <mergeCell ref="R565:S565"/>
    <mergeCell ref="T565:U565"/>
    <mergeCell ref="V565:W565"/>
    <mergeCell ref="X565:Y565"/>
    <mergeCell ref="Z565:AA565"/>
    <mergeCell ref="AB565:AC565"/>
    <mergeCell ref="AD566:AE566"/>
    <mergeCell ref="AF566:AG566"/>
    <mergeCell ref="AH566:AI566"/>
    <mergeCell ref="AJ566:AK566"/>
    <mergeCell ref="AL566:BB566"/>
    <mergeCell ref="P566:Q566"/>
    <mergeCell ref="R566:S566"/>
    <mergeCell ref="T566:U566"/>
    <mergeCell ref="V566:W566"/>
    <mergeCell ref="X566:Y566"/>
    <mergeCell ref="Z566:AA566"/>
    <mergeCell ref="AB566:AC566"/>
    <mergeCell ref="B566:C566"/>
    <mergeCell ref="D566:E566"/>
    <mergeCell ref="F566:G566"/>
    <mergeCell ref="H566:I566"/>
    <mergeCell ref="J566:K566"/>
    <mergeCell ref="L566:M566"/>
    <mergeCell ref="N566:O566"/>
    <mergeCell ref="AD567:AE567"/>
    <mergeCell ref="AF567:AG567"/>
    <mergeCell ref="AH567:AI567"/>
    <mergeCell ref="AJ567:AK567"/>
    <mergeCell ref="AL567:BB567"/>
    <mergeCell ref="AJ561:AK561"/>
    <mergeCell ref="AL561:BB561"/>
    <mergeCell ref="AH562:AI562"/>
    <mergeCell ref="AJ562:AK562"/>
    <mergeCell ref="AL562:BB562"/>
    <mergeCell ref="B562:C562"/>
    <mergeCell ref="D562:E562"/>
    <mergeCell ref="F562:G562"/>
    <mergeCell ref="H562:I562"/>
    <mergeCell ref="J562:K562"/>
    <mergeCell ref="L562:M562"/>
    <mergeCell ref="N562:O562"/>
    <mergeCell ref="P564:Q564"/>
    <mergeCell ref="R564:S564"/>
    <mergeCell ref="T564:U564"/>
    <mergeCell ref="V564:W564"/>
    <mergeCell ref="X564:Y564"/>
    <mergeCell ref="Z564:AA564"/>
    <mergeCell ref="AB564:AC564"/>
    <mergeCell ref="B564:C564"/>
    <mergeCell ref="D564:E564"/>
    <mergeCell ref="F564:G564"/>
    <mergeCell ref="H564:I564"/>
    <mergeCell ref="J564:K564"/>
    <mergeCell ref="L564:M564"/>
    <mergeCell ref="N564:O564"/>
    <mergeCell ref="AD562:AE562"/>
    <mergeCell ref="AF562:AG562"/>
    <mergeCell ref="P562:Q562"/>
    <mergeCell ref="R562:S562"/>
    <mergeCell ref="T562:U562"/>
    <mergeCell ref="V562:W562"/>
    <mergeCell ref="X562:Y562"/>
    <mergeCell ref="Z562:AA562"/>
    <mergeCell ref="AB562:AC562"/>
    <mergeCell ref="AD563:AE563"/>
    <mergeCell ref="AF563:AG563"/>
    <mergeCell ref="AH563:AI563"/>
    <mergeCell ref="AJ563:AK563"/>
    <mergeCell ref="AL563:BB563"/>
    <mergeCell ref="P563:Q563"/>
    <mergeCell ref="R563:S563"/>
    <mergeCell ref="T563:U563"/>
    <mergeCell ref="V563:W563"/>
    <mergeCell ref="X563:Y563"/>
    <mergeCell ref="Z563:AA563"/>
    <mergeCell ref="AB563:AC563"/>
    <mergeCell ref="B563:C563"/>
    <mergeCell ref="D563:E563"/>
    <mergeCell ref="F563:G563"/>
    <mergeCell ref="H563:I563"/>
    <mergeCell ref="J563:K563"/>
    <mergeCell ref="L563:M563"/>
    <mergeCell ref="N563:O563"/>
    <mergeCell ref="AD564:AE564"/>
    <mergeCell ref="AF564:AG564"/>
    <mergeCell ref="AH564:AI564"/>
    <mergeCell ref="AJ564:AK564"/>
    <mergeCell ref="AL564:BB564"/>
    <mergeCell ref="H557:I557"/>
    <mergeCell ref="J557:K557"/>
    <mergeCell ref="L557:M557"/>
    <mergeCell ref="N557:O557"/>
    <mergeCell ref="AD558:AE558"/>
    <mergeCell ref="AF558:AG558"/>
    <mergeCell ref="AH558:AI558"/>
    <mergeCell ref="AJ558:AK558"/>
    <mergeCell ref="AL558:BB558"/>
    <mergeCell ref="AH559:AI559"/>
    <mergeCell ref="AJ559:AK559"/>
    <mergeCell ref="AL559:BB559"/>
    <mergeCell ref="B559:C559"/>
    <mergeCell ref="D559:E559"/>
    <mergeCell ref="F559:G559"/>
    <mergeCell ref="H559:I559"/>
    <mergeCell ref="J559:K559"/>
    <mergeCell ref="L559:M559"/>
    <mergeCell ref="N559:O559"/>
    <mergeCell ref="P561:Q561"/>
    <mergeCell ref="R561:S561"/>
    <mergeCell ref="T561:U561"/>
    <mergeCell ref="V561:W561"/>
    <mergeCell ref="X561:Y561"/>
    <mergeCell ref="Z561:AA561"/>
    <mergeCell ref="AB561:AC561"/>
    <mergeCell ref="B561:C561"/>
    <mergeCell ref="D561:E561"/>
    <mergeCell ref="F561:G561"/>
    <mergeCell ref="H561:I561"/>
    <mergeCell ref="J561:K561"/>
    <mergeCell ref="L561:M561"/>
    <mergeCell ref="N561:O561"/>
    <mergeCell ref="AD559:AE559"/>
    <mergeCell ref="AF559:AG559"/>
    <mergeCell ref="P559:Q559"/>
    <mergeCell ref="R559:S559"/>
    <mergeCell ref="T559:U559"/>
    <mergeCell ref="V559:W559"/>
    <mergeCell ref="X559:Y559"/>
    <mergeCell ref="Z559:AA559"/>
    <mergeCell ref="AB559:AC559"/>
    <mergeCell ref="AD560:AE560"/>
    <mergeCell ref="AF560:AG560"/>
    <mergeCell ref="AH560:AI560"/>
    <mergeCell ref="AJ560:AK560"/>
    <mergeCell ref="AL560:BB560"/>
    <mergeCell ref="P560:Q560"/>
    <mergeCell ref="R560:S560"/>
    <mergeCell ref="T560:U560"/>
    <mergeCell ref="V560:W560"/>
    <mergeCell ref="X560:Y560"/>
    <mergeCell ref="Z560:AA560"/>
    <mergeCell ref="AB560:AC560"/>
    <mergeCell ref="B560:C560"/>
    <mergeCell ref="D560:E560"/>
    <mergeCell ref="F560:G560"/>
    <mergeCell ref="H560:I560"/>
    <mergeCell ref="J560:K560"/>
    <mergeCell ref="L560:M560"/>
    <mergeCell ref="N560:O560"/>
    <mergeCell ref="AD561:AE561"/>
    <mergeCell ref="AF561:AG561"/>
    <mergeCell ref="AH561:AI561"/>
    <mergeCell ref="P555:Q555"/>
    <mergeCell ref="R555:S555"/>
    <mergeCell ref="T555:U555"/>
    <mergeCell ref="V555:W555"/>
    <mergeCell ref="X555:Y555"/>
    <mergeCell ref="Z555:AA555"/>
    <mergeCell ref="AB555:AC555"/>
    <mergeCell ref="B555:C555"/>
    <mergeCell ref="D555:E555"/>
    <mergeCell ref="F555:G555"/>
    <mergeCell ref="H555:I555"/>
    <mergeCell ref="J555:K555"/>
    <mergeCell ref="L555:M555"/>
    <mergeCell ref="N555:O555"/>
    <mergeCell ref="AD577:AE577"/>
    <mergeCell ref="AF577:AG577"/>
    <mergeCell ref="AH577:AI577"/>
    <mergeCell ref="AJ577:AK577"/>
    <mergeCell ref="AL577:BB577"/>
    <mergeCell ref="P577:Q577"/>
    <mergeCell ref="R577:S577"/>
    <mergeCell ref="T577:U577"/>
    <mergeCell ref="V577:W577"/>
    <mergeCell ref="X577:Y577"/>
    <mergeCell ref="Z577:AA577"/>
    <mergeCell ref="AB577:AC577"/>
    <mergeCell ref="P558:Q558"/>
    <mergeCell ref="R558:S558"/>
    <mergeCell ref="T558:U558"/>
    <mergeCell ref="V558:W558"/>
    <mergeCell ref="X558:Y558"/>
    <mergeCell ref="Z558:AA558"/>
    <mergeCell ref="AB558:AC558"/>
    <mergeCell ref="B558:C558"/>
    <mergeCell ref="D558:E558"/>
    <mergeCell ref="F558:G558"/>
    <mergeCell ref="H558:I558"/>
    <mergeCell ref="J558:K558"/>
    <mergeCell ref="L558:M558"/>
    <mergeCell ref="N558:O558"/>
    <mergeCell ref="AD556:AE556"/>
    <mergeCell ref="AF556:AG556"/>
    <mergeCell ref="P556:Q556"/>
    <mergeCell ref="R556:S556"/>
    <mergeCell ref="T556:U556"/>
    <mergeCell ref="V556:W556"/>
    <mergeCell ref="X556:Y556"/>
    <mergeCell ref="Z556:AA556"/>
    <mergeCell ref="AB556:AC556"/>
    <mergeCell ref="AD557:AE557"/>
    <mergeCell ref="AF557:AG557"/>
    <mergeCell ref="AH557:AI557"/>
    <mergeCell ref="AJ557:AK557"/>
    <mergeCell ref="AL557:BB557"/>
    <mergeCell ref="P557:Q557"/>
    <mergeCell ref="R557:S557"/>
    <mergeCell ref="T557:U557"/>
    <mergeCell ref="V557:W557"/>
    <mergeCell ref="X557:Y557"/>
    <mergeCell ref="Z557:AA557"/>
    <mergeCell ref="AB557:AC557"/>
    <mergeCell ref="B557:C557"/>
    <mergeCell ref="D557:E557"/>
    <mergeCell ref="F557:G557"/>
    <mergeCell ref="AL546:BB546"/>
    <mergeCell ref="AH547:AI547"/>
    <mergeCell ref="AJ547:AK547"/>
    <mergeCell ref="AL547:BB547"/>
    <mergeCell ref="B547:C547"/>
    <mergeCell ref="D547:E547"/>
    <mergeCell ref="F547:G547"/>
    <mergeCell ref="H547:I547"/>
    <mergeCell ref="J547:K547"/>
    <mergeCell ref="L547:M547"/>
    <mergeCell ref="N547:O547"/>
    <mergeCell ref="P549:Q549"/>
    <mergeCell ref="R549:S549"/>
    <mergeCell ref="T549:U549"/>
    <mergeCell ref="V549:W549"/>
    <mergeCell ref="X549:Y549"/>
    <mergeCell ref="Z549:AA549"/>
    <mergeCell ref="AB549:AC549"/>
    <mergeCell ref="B549:C549"/>
    <mergeCell ref="D549:E549"/>
    <mergeCell ref="F549:G549"/>
    <mergeCell ref="H549:I549"/>
    <mergeCell ref="J549:K549"/>
    <mergeCell ref="L549:M549"/>
    <mergeCell ref="N549:O549"/>
    <mergeCell ref="AD547:AE547"/>
    <mergeCell ref="AF547:AG547"/>
    <mergeCell ref="P547:Q547"/>
    <mergeCell ref="R547:S547"/>
    <mergeCell ref="T547:U547"/>
    <mergeCell ref="V547:W547"/>
    <mergeCell ref="X547:Y547"/>
    <mergeCell ref="Z547:AA547"/>
    <mergeCell ref="AB547:AC547"/>
    <mergeCell ref="AD548:AE548"/>
    <mergeCell ref="AF548:AG548"/>
    <mergeCell ref="AH548:AI548"/>
    <mergeCell ref="AJ548:AK548"/>
    <mergeCell ref="AL548:BB548"/>
    <mergeCell ref="P548:Q548"/>
    <mergeCell ref="R548:S548"/>
    <mergeCell ref="T548:U548"/>
    <mergeCell ref="V548:W548"/>
    <mergeCell ref="X548:Y548"/>
    <mergeCell ref="Z548:AA548"/>
    <mergeCell ref="AB548:AC548"/>
    <mergeCell ref="B548:C548"/>
    <mergeCell ref="D548:E548"/>
    <mergeCell ref="F548:G548"/>
    <mergeCell ref="H548:I548"/>
    <mergeCell ref="J548:K548"/>
    <mergeCell ref="L548:M548"/>
    <mergeCell ref="N548:O548"/>
    <mergeCell ref="AD549:AE549"/>
    <mergeCell ref="AF549:AG549"/>
    <mergeCell ref="AH549:AI549"/>
    <mergeCell ref="AJ549:AK549"/>
    <mergeCell ref="AL549:BB549"/>
    <mergeCell ref="AD555:AE555"/>
    <mergeCell ref="AF555:AG555"/>
    <mergeCell ref="AH555:AI555"/>
    <mergeCell ref="AJ555:AK555"/>
    <mergeCell ref="AL555:BB555"/>
    <mergeCell ref="AH556:AI556"/>
    <mergeCell ref="AJ556:AK556"/>
    <mergeCell ref="AL556:BB556"/>
    <mergeCell ref="B556:C556"/>
    <mergeCell ref="D556:E556"/>
    <mergeCell ref="F556:G556"/>
    <mergeCell ref="H556:I556"/>
    <mergeCell ref="J556:K556"/>
    <mergeCell ref="L556:M556"/>
    <mergeCell ref="N556:O556"/>
    <mergeCell ref="AD541:AE541"/>
    <mergeCell ref="AF541:AG541"/>
    <mergeCell ref="P541:Q541"/>
    <mergeCell ref="R541:S541"/>
    <mergeCell ref="T541:U541"/>
    <mergeCell ref="V541:W541"/>
    <mergeCell ref="X541:Y541"/>
    <mergeCell ref="Z541:AA541"/>
    <mergeCell ref="AB541:AC541"/>
    <mergeCell ref="AD542:AE542"/>
    <mergeCell ref="AF542:AG542"/>
    <mergeCell ref="AH542:AI542"/>
    <mergeCell ref="AJ542:AK542"/>
    <mergeCell ref="AL542:BB542"/>
    <mergeCell ref="P542:Q542"/>
    <mergeCell ref="R542:S542"/>
    <mergeCell ref="T542:U542"/>
    <mergeCell ref="V542:W542"/>
    <mergeCell ref="X542:Y542"/>
    <mergeCell ref="Z542:AA542"/>
    <mergeCell ref="AB542:AC542"/>
    <mergeCell ref="B542:C542"/>
    <mergeCell ref="D542:E542"/>
    <mergeCell ref="F542:G542"/>
    <mergeCell ref="H542:I542"/>
    <mergeCell ref="J542:K542"/>
    <mergeCell ref="L542:M542"/>
    <mergeCell ref="N542:O542"/>
    <mergeCell ref="AD543:AE543"/>
    <mergeCell ref="AF543:AG543"/>
    <mergeCell ref="AH543:AI543"/>
    <mergeCell ref="AJ543:AK543"/>
    <mergeCell ref="AL543:BB543"/>
    <mergeCell ref="AH544:AI544"/>
    <mergeCell ref="AJ544:AK544"/>
    <mergeCell ref="AL544:BB544"/>
    <mergeCell ref="B544:C544"/>
    <mergeCell ref="D544:E544"/>
    <mergeCell ref="F544:G544"/>
    <mergeCell ref="H544:I544"/>
    <mergeCell ref="J544:K544"/>
    <mergeCell ref="L544:M544"/>
    <mergeCell ref="N544:O544"/>
    <mergeCell ref="AD544:AE544"/>
    <mergeCell ref="AF544:AG544"/>
    <mergeCell ref="P544:Q544"/>
    <mergeCell ref="R544:S544"/>
    <mergeCell ref="T544:U544"/>
    <mergeCell ref="V544:W544"/>
    <mergeCell ref="AH553:AI553"/>
    <mergeCell ref="AJ553:AK553"/>
    <mergeCell ref="AL553:BB553"/>
    <mergeCell ref="B553:C553"/>
    <mergeCell ref="D553:E553"/>
    <mergeCell ref="F553:G553"/>
    <mergeCell ref="H553:I553"/>
    <mergeCell ref="J553:K553"/>
    <mergeCell ref="L553:M553"/>
    <mergeCell ref="N553:O553"/>
    <mergeCell ref="AD553:AE553"/>
    <mergeCell ref="AF553:AG553"/>
    <mergeCell ref="P553:Q553"/>
    <mergeCell ref="R553:S553"/>
    <mergeCell ref="T553:U553"/>
    <mergeCell ref="V553:W553"/>
    <mergeCell ref="X553:Y553"/>
    <mergeCell ref="Z553:AA553"/>
    <mergeCell ref="AB553:AC553"/>
    <mergeCell ref="AD554:AE554"/>
    <mergeCell ref="AF554:AG554"/>
    <mergeCell ref="AH554:AI554"/>
    <mergeCell ref="AJ554:AK554"/>
    <mergeCell ref="AL554:BB554"/>
    <mergeCell ref="P554:Q554"/>
    <mergeCell ref="R554:S554"/>
    <mergeCell ref="T554:U554"/>
    <mergeCell ref="V554:W554"/>
    <mergeCell ref="X554:Y554"/>
    <mergeCell ref="Z554:AA554"/>
    <mergeCell ref="AB554:AC554"/>
    <mergeCell ref="B554:C554"/>
    <mergeCell ref="D554:E554"/>
    <mergeCell ref="F554:G554"/>
    <mergeCell ref="H554:I554"/>
    <mergeCell ref="J554:K554"/>
    <mergeCell ref="L554:M554"/>
    <mergeCell ref="N554:O554"/>
    <mergeCell ref="AD550:AE550"/>
    <mergeCell ref="AF550:AG550"/>
    <mergeCell ref="P550:Q550"/>
    <mergeCell ref="R550:S550"/>
    <mergeCell ref="T550:U550"/>
    <mergeCell ref="V550:W550"/>
    <mergeCell ref="X550:Y550"/>
    <mergeCell ref="Z550:AA550"/>
    <mergeCell ref="AB550:AC550"/>
    <mergeCell ref="AD551:AE551"/>
    <mergeCell ref="AF551:AG551"/>
    <mergeCell ref="AH551:AI551"/>
    <mergeCell ref="AJ551:AK551"/>
    <mergeCell ref="AL551:BB551"/>
    <mergeCell ref="P551:Q551"/>
    <mergeCell ref="R551:S551"/>
    <mergeCell ref="T551:U551"/>
    <mergeCell ref="V551:W551"/>
    <mergeCell ref="X551:Y551"/>
    <mergeCell ref="Z551:AA551"/>
    <mergeCell ref="AB551:AC551"/>
    <mergeCell ref="B551:C551"/>
    <mergeCell ref="D551:E551"/>
    <mergeCell ref="F551:G551"/>
    <mergeCell ref="H551:I551"/>
    <mergeCell ref="J551:K551"/>
    <mergeCell ref="L551:M551"/>
    <mergeCell ref="N551:O551"/>
    <mergeCell ref="AD552:AE552"/>
    <mergeCell ref="AF552:AG552"/>
    <mergeCell ref="AH552:AI552"/>
    <mergeCell ref="AJ552:AK552"/>
    <mergeCell ref="AL552:BB552"/>
    <mergeCell ref="AH550:AI550"/>
    <mergeCell ref="AJ550:AK550"/>
    <mergeCell ref="AL550:BB550"/>
    <mergeCell ref="B550:C550"/>
    <mergeCell ref="D550:E550"/>
    <mergeCell ref="F550:G550"/>
    <mergeCell ref="H550:I550"/>
    <mergeCell ref="J550:K550"/>
    <mergeCell ref="L550:M550"/>
    <mergeCell ref="N550:O550"/>
    <mergeCell ref="P552:Q552"/>
    <mergeCell ref="R552:S552"/>
    <mergeCell ref="T552:U552"/>
    <mergeCell ref="V552:W552"/>
    <mergeCell ref="X552:Y552"/>
    <mergeCell ref="Z552:AA552"/>
    <mergeCell ref="AB552:AC552"/>
    <mergeCell ref="B552:C552"/>
    <mergeCell ref="D552:E552"/>
    <mergeCell ref="F552:G552"/>
    <mergeCell ref="H552:I552"/>
    <mergeCell ref="J552:K552"/>
    <mergeCell ref="L552:M552"/>
    <mergeCell ref="N552:O552"/>
    <mergeCell ref="AH541:AI541"/>
    <mergeCell ref="AJ541:AK541"/>
    <mergeCell ref="AL541:BB541"/>
    <mergeCell ref="B541:C541"/>
    <mergeCell ref="D541:E541"/>
    <mergeCell ref="F541:G541"/>
    <mergeCell ref="H541:I541"/>
    <mergeCell ref="J541:K541"/>
    <mergeCell ref="L541:M541"/>
    <mergeCell ref="N541:O541"/>
    <mergeCell ref="P543:Q543"/>
    <mergeCell ref="R543:S543"/>
    <mergeCell ref="T543:U543"/>
    <mergeCell ref="V543:W543"/>
    <mergeCell ref="X543:Y543"/>
    <mergeCell ref="Z543:AA543"/>
    <mergeCell ref="AB543:AC543"/>
    <mergeCell ref="B543:C543"/>
    <mergeCell ref="D543:E543"/>
    <mergeCell ref="F543:G543"/>
    <mergeCell ref="H543:I543"/>
    <mergeCell ref="J543:K543"/>
    <mergeCell ref="L543:M543"/>
    <mergeCell ref="N543:O543"/>
    <mergeCell ref="P546:Q546"/>
    <mergeCell ref="R546:S546"/>
    <mergeCell ref="T546:U546"/>
    <mergeCell ref="V546:W546"/>
    <mergeCell ref="X546:Y546"/>
    <mergeCell ref="Z546:AA546"/>
    <mergeCell ref="AB546:AC546"/>
    <mergeCell ref="B546:C546"/>
    <mergeCell ref="D546:E546"/>
    <mergeCell ref="F546:G546"/>
    <mergeCell ref="H546:I546"/>
    <mergeCell ref="J546:K546"/>
    <mergeCell ref="L546:M546"/>
    <mergeCell ref="N546:O546"/>
    <mergeCell ref="X544:Y544"/>
    <mergeCell ref="Z544:AA544"/>
    <mergeCell ref="AB544:AC544"/>
    <mergeCell ref="AD545:AE545"/>
    <mergeCell ref="AF545:AG545"/>
    <mergeCell ref="AH545:AI545"/>
    <mergeCell ref="AJ545:AK545"/>
    <mergeCell ref="AL545:BB545"/>
    <mergeCell ref="P545:Q545"/>
    <mergeCell ref="R545:S545"/>
    <mergeCell ref="T545:U545"/>
    <mergeCell ref="V545:W545"/>
    <mergeCell ref="X545:Y545"/>
    <mergeCell ref="Z545:AA545"/>
    <mergeCell ref="AB545:AC545"/>
    <mergeCell ref="B545:C545"/>
    <mergeCell ref="D545:E545"/>
    <mergeCell ref="F545:G545"/>
    <mergeCell ref="H545:I545"/>
    <mergeCell ref="J545:K545"/>
    <mergeCell ref="L545:M545"/>
    <mergeCell ref="N545:O545"/>
    <mergeCell ref="AD546:AE546"/>
    <mergeCell ref="AF546:AG546"/>
    <mergeCell ref="AH546:AI546"/>
    <mergeCell ref="AJ546:AK546"/>
    <mergeCell ref="AH538:AI538"/>
    <mergeCell ref="AJ538:AK538"/>
    <mergeCell ref="AL538:BB538"/>
    <mergeCell ref="B538:C538"/>
    <mergeCell ref="D538:E538"/>
    <mergeCell ref="F538:G538"/>
    <mergeCell ref="H538:I538"/>
    <mergeCell ref="J538:K538"/>
    <mergeCell ref="L538:M538"/>
    <mergeCell ref="N538:O538"/>
    <mergeCell ref="P540:Q540"/>
    <mergeCell ref="R540:S540"/>
    <mergeCell ref="T540:U540"/>
    <mergeCell ref="V540:W540"/>
    <mergeCell ref="X540:Y540"/>
    <mergeCell ref="Z540:AA540"/>
    <mergeCell ref="AB540:AC540"/>
    <mergeCell ref="B540:C540"/>
    <mergeCell ref="D540:E540"/>
    <mergeCell ref="F540:G540"/>
    <mergeCell ref="H540:I540"/>
    <mergeCell ref="J540:K540"/>
    <mergeCell ref="L540:M540"/>
    <mergeCell ref="N540:O540"/>
    <mergeCell ref="AD538:AE538"/>
    <mergeCell ref="AF538:AG538"/>
    <mergeCell ref="P538:Q538"/>
    <mergeCell ref="R538:S538"/>
    <mergeCell ref="T538:U538"/>
    <mergeCell ref="V538:W538"/>
    <mergeCell ref="X538:Y538"/>
    <mergeCell ref="Z538:AA538"/>
    <mergeCell ref="AB538:AC538"/>
    <mergeCell ref="AD539:AE539"/>
    <mergeCell ref="AF539:AG539"/>
    <mergeCell ref="AH539:AI539"/>
    <mergeCell ref="AJ539:AK539"/>
    <mergeCell ref="AL539:BB539"/>
    <mergeCell ref="P539:Q539"/>
    <mergeCell ref="R539:S539"/>
    <mergeCell ref="T539:U539"/>
    <mergeCell ref="V539:W539"/>
    <mergeCell ref="X539:Y539"/>
    <mergeCell ref="Z539:AA539"/>
    <mergeCell ref="AB539:AC539"/>
    <mergeCell ref="B539:C539"/>
    <mergeCell ref="D539:E539"/>
    <mergeCell ref="F539:G539"/>
    <mergeCell ref="H539:I539"/>
    <mergeCell ref="J539:K539"/>
    <mergeCell ref="L539:M539"/>
    <mergeCell ref="N539:O539"/>
    <mergeCell ref="AD540:AE540"/>
    <mergeCell ref="AF540:AG540"/>
    <mergeCell ref="AH540:AI540"/>
    <mergeCell ref="AJ540:AK540"/>
    <mergeCell ref="AL540:BB540"/>
    <mergeCell ref="B535:C535"/>
    <mergeCell ref="D535:E535"/>
    <mergeCell ref="F535:G535"/>
    <mergeCell ref="H535:I535"/>
    <mergeCell ref="J535:K535"/>
    <mergeCell ref="L535:M535"/>
    <mergeCell ref="N535:O535"/>
    <mergeCell ref="AD536:AE536"/>
    <mergeCell ref="AF536:AG536"/>
    <mergeCell ref="AH536:AI536"/>
    <mergeCell ref="AJ536:AK536"/>
    <mergeCell ref="AL536:BB536"/>
    <mergeCell ref="P536:Q536"/>
    <mergeCell ref="R536:S536"/>
    <mergeCell ref="T536:U536"/>
    <mergeCell ref="V536:W536"/>
    <mergeCell ref="X536:Y536"/>
    <mergeCell ref="Z536:AA536"/>
    <mergeCell ref="AB536:AC536"/>
    <mergeCell ref="B536:C536"/>
    <mergeCell ref="D536:E536"/>
    <mergeCell ref="F536:G536"/>
    <mergeCell ref="H536:I536"/>
    <mergeCell ref="J536:K536"/>
    <mergeCell ref="L536:M536"/>
    <mergeCell ref="N536:O536"/>
    <mergeCell ref="AD537:AE537"/>
    <mergeCell ref="AF537:AG537"/>
    <mergeCell ref="AH537:AI537"/>
    <mergeCell ref="AJ537:AK537"/>
    <mergeCell ref="AL537:BB537"/>
    <mergeCell ref="P537:Q537"/>
    <mergeCell ref="R537:S537"/>
    <mergeCell ref="T537:U537"/>
    <mergeCell ref="V537:W537"/>
    <mergeCell ref="X537:Y537"/>
    <mergeCell ref="Z537:AA537"/>
    <mergeCell ref="AB537:AC537"/>
    <mergeCell ref="B537:C537"/>
    <mergeCell ref="D537:E537"/>
    <mergeCell ref="F537:G537"/>
    <mergeCell ref="H537:I537"/>
    <mergeCell ref="J537:K537"/>
    <mergeCell ref="L537:M537"/>
    <mergeCell ref="N537:O537"/>
    <mergeCell ref="AH532:AI532"/>
    <mergeCell ref="AJ532:AK532"/>
    <mergeCell ref="AL532:BB532"/>
    <mergeCell ref="B532:C532"/>
    <mergeCell ref="D532:E532"/>
    <mergeCell ref="F532:G532"/>
    <mergeCell ref="H532:I532"/>
    <mergeCell ref="J532:K532"/>
    <mergeCell ref="L532:M532"/>
    <mergeCell ref="N532:O532"/>
    <mergeCell ref="P534:Q534"/>
    <mergeCell ref="R534:S534"/>
    <mergeCell ref="T534:U534"/>
    <mergeCell ref="V534:W534"/>
    <mergeCell ref="X534:Y534"/>
    <mergeCell ref="Z534:AA534"/>
    <mergeCell ref="AB534:AC534"/>
    <mergeCell ref="B534:C534"/>
    <mergeCell ref="D534:E534"/>
    <mergeCell ref="F534:G534"/>
    <mergeCell ref="H534:I534"/>
    <mergeCell ref="J534:K534"/>
    <mergeCell ref="L534:M534"/>
    <mergeCell ref="N534:O534"/>
    <mergeCell ref="AD532:AE532"/>
    <mergeCell ref="AF532:AG532"/>
    <mergeCell ref="P532:Q532"/>
    <mergeCell ref="R532:S532"/>
    <mergeCell ref="T532:U532"/>
    <mergeCell ref="V532:W532"/>
    <mergeCell ref="X532:Y532"/>
    <mergeCell ref="Z532:AA532"/>
    <mergeCell ref="AB532:AC532"/>
    <mergeCell ref="AD533:AE533"/>
    <mergeCell ref="AF533:AG533"/>
    <mergeCell ref="AH533:AI533"/>
    <mergeCell ref="AJ533:AK533"/>
    <mergeCell ref="AL533:BB533"/>
    <mergeCell ref="P533:Q533"/>
    <mergeCell ref="R533:S533"/>
    <mergeCell ref="T533:U533"/>
    <mergeCell ref="V533:W533"/>
    <mergeCell ref="X533:Y533"/>
    <mergeCell ref="Z533:AA533"/>
    <mergeCell ref="AB533:AC533"/>
    <mergeCell ref="B533:C533"/>
    <mergeCell ref="D533:E533"/>
    <mergeCell ref="F533:G533"/>
    <mergeCell ref="H533:I533"/>
    <mergeCell ref="J533:K533"/>
    <mergeCell ref="L533:M533"/>
    <mergeCell ref="N533:O533"/>
    <mergeCell ref="AD534:AE534"/>
    <mergeCell ref="AF534:AG534"/>
    <mergeCell ref="AH534:AI534"/>
    <mergeCell ref="AJ534:AK534"/>
    <mergeCell ref="AL534:BB534"/>
    <mergeCell ref="AH529:AI529"/>
    <mergeCell ref="AJ529:AK529"/>
    <mergeCell ref="AL529:BB529"/>
    <mergeCell ref="B529:C529"/>
    <mergeCell ref="D529:E529"/>
    <mergeCell ref="F529:G529"/>
    <mergeCell ref="H529:I529"/>
    <mergeCell ref="J529:K529"/>
    <mergeCell ref="L529:M529"/>
    <mergeCell ref="N529:O529"/>
    <mergeCell ref="P531:Q531"/>
    <mergeCell ref="R531:S531"/>
    <mergeCell ref="T531:U531"/>
    <mergeCell ref="V531:W531"/>
    <mergeCell ref="X531:Y531"/>
    <mergeCell ref="Z531:AA531"/>
    <mergeCell ref="AB531:AC531"/>
    <mergeCell ref="B531:C531"/>
    <mergeCell ref="D531:E531"/>
    <mergeCell ref="F531:G531"/>
    <mergeCell ref="H531:I531"/>
    <mergeCell ref="J531:K531"/>
    <mergeCell ref="L531:M531"/>
    <mergeCell ref="N531:O531"/>
    <mergeCell ref="AD529:AE529"/>
    <mergeCell ref="AF529:AG529"/>
    <mergeCell ref="P529:Q529"/>
    <mergeCell ref="R529:S529"/>
    <mergeCell ref="T529:U529"/>
    <mergeCell ref="V529:W529"/>
    <mergeCell ref="X529:Y529"/>
    <mergeCell ref="Z529:AA529"/>
    <mergeCell ref="AB529:AC529"/>
    <mergeCell ref="AD530:AE530"/>
    <mergeCell ref="AF530:AG530"/>
    <mergeCell ref="AH530:AI530"/>
    <mergeCell ref="AJ530:AK530"/>
    <mergeCell ref="AL530:BB530"/>
    <mergeCell ref="P530:Q530"/>
    <mergeCell ref="R530:S530"/>
    <mergeCell ref="T530:U530"/>
    <mergeCell ref="V530:W530"/>
    <mergeCell ref="X530:Y530"/>
    <mergeCell ref="Z530:AA530"/>
    <mergeCell ref="AB530:AC530"/>
    <mergeCell ref="B530:C530"/>
    <mergeCell ref="D530:E530"/>
    <mergeCell ref="F530:G530"/>
    <mergeCell ref="H530:I530"/>
    <mergeCell ref="J530:K530"/>
    <mergeCell ref="L530:M530"/>
    <mergeCell ref="N530:O530"/>
    <mergeCell ref="AD531:AE531"/>
    <mergeCell ref="AF531:AG531"/>
    <mergeCell ref="AH531:AI531"/>
    <mergeCell ref="AJ531:AK531"/>
    <mergeCell ref="AL531:BB531"/>
    <mergeCell ref="AH526:AI526"/>
    <mergeCell ref="AJ526:AK526"/>
    <mergeCell ref="AL526:BB526"/>
    <mergeCell ref="B526:C526"/>
    <mergeCell ref="D526:E526"/>
    <mergeCell ref="F526:G526"/>
    <mergeCell ref="H526:I526"/>
    <mergeCell ref="J526:K526"/>
    <mergeCell ref="L526:M526"/>
    <mergeCell ref="N526:O526"/>
    <mergeCell ref="P528:Q528"/>
    <mergeCell ref="R528:S528"/>
    <mergeCell ref="T528:U528"/>
    <mergeCell ref="V528:W528"/>
    <mergeCell ref="X528:Y528"/>
    <mergeCell ref="Z528:AA528"/>
    <mergeCell ref="AB528:AC528"/>
    <mergeCell ref="B528:C528"/>
    <mergeCell ref="D528:E528"/>
    <mergeCell ref="F528:G528"/>
    <mergeCell ref="H528:I528"/>
    <mergeCell ref="J528:K528"/>
    <mergeCell ref="L528:M528"/>
    <mergeCell ref="N528:O528"/>
    <mergeCell ref="AD526:AE526"/>
    <mergeCell ref="AF526:AG526"/>
    <mergeCell ref="P526:Q526"/>
    <mergeCell ref="R526:S526"/>
    <mergeCell ref="T526:U526"/>
    <mergeCell ref="V526:W526"/>
    <mergeCell ref="X526:Y526"/>
    <mergeCell ref="Z526:AA526"/>
    <mergeCell ref="AB526:AC526"/>
    <mergeCell ref="AD527:AE527"/>
    <mergeCell ref="AF527:AG527"/>
    <mergeCell ref="AH527:AI527"/>
    <mergeCell ref="AJ527:AK527"/>
    <mergeCell ref="AL527:BB527"/>
    <mergeCell ref="P527:Q527"/>
    <mergeCell ref="R527:S527"/>
    <mergeCell ref="T527:U527"/>
    <mergeCell ref="V527:W527"/>
    <mergeCell ref="X527:Y527"/>
    <mergeCell ref="Z527:AA527"/>
    <mergeCell ref="AB527:AC527"/>
    <mergeCell ref="B527:C527"/>
    <mergeCell ref="D527:E527"/>
    <mergeCell ref="F527:G527"/>
    <mergeCell ref="H527:I527"/>
    <mergeCell ref="J527:K527"/>
    <mergeCell ref="L527:M527"/>
    <mergeCell ref="N527:O527"/>
    <mergeCell ref="AD528:AE528"/>
    <mergeCell ref="AF528:AG528"/>
    <mergeCell ref="AH528:AI528"/>
    <mergeCell ref="AJ528:AK528"/>
    <mergeCell ref="AL528:BB528"/>
    <mergeCell ref="AH523:AI523"/>
    <mergeCell ref="AJ523:AK523"/>
    <mergeCell ref="AL523:BB523"/>
    <mergeCell ref="B523:C523"/>
    <mergeCell ref="D523:E523"/>
    <mergeCell ref="F523:G523"/>
    <mergeCell ref="H523:I523"/>
    <mergeCell ref="J523:K523"/>
    <mergeCell ref="L523:M523"/>
    <mergeCell ref="N523:O523"/>
    <mergeCell ref="P525:Q525"/>
    <mergeCell ref="R525:S525"/>
    <mergeCell ref="T525:U525"/>
    <mergeCell ref="V525:W525"/>
    <mergeCell ref="X525:Y525"/>
    <mergeCell ref="Z525:AA525"/>
    <mergeCell ref="AB525:AC525"/>
    <mergeCell ref="B525:C525"/>
    <mergeCell ref="D525:E525"/>
    <mergeCell ref="F525:G525"/>
    <mergeCell ref="H525:I525"/>
    <mergeCell ref="J525:K525"/>
    <mergeCell ref="L525:M525"/>
    <mergeCell ref="N525:O525"/>
    <mergeCell ref="AD523:AE523"/>
    <mergeCell ref="AF523:AG523"/>
    <mergeCell ref="P523:Q523"/>
    <mergeCell ref="R523:S523"/>
    <mergeCell ref="T523:U523"/>
    <mergeCell ref="V523:W523"/>
    <mergeCell ref="X523:Y523"/>
    <mergeCell ref="Z523:AA523"/>
    <mergeCell ref="AB523:AC523"/>
    <mergeCell ref="AD524:AE524"/>
    <mergeCell ref="AF524:AG524"/>
    <mergeCell ref="AH524:AI524"/>
    <mergeCell ref="AJ524:AK524"/>
    <mergeCell ref="AL524:BB524"/>
    <mergeCell ref="P524:Q524"/>
    <mergeCell ref="R524:S524"/>
    <mergeCell ref="T524:U524"/>
    <mergeCell ref="V524:W524"/>
    <mergeCell ref="X524:Y524"/>
    <mergeCell ref="Z524:AA524"/>
    <mergeCell ref="AB524:AC524"/>
    <mergeCell ref="B524:C524"/>
    <mergeCell ref="D524:E524"/>
    <mergeCell ref="F524:G524"/>
    <mergeCell ref="H524:I524"/>
    <mergeCell ref="J524:K524"/>
    <mergeCell ref="L524:M524"/>
    <mergeCell ref="N524:O524"/>
    <mergeCell ref="AD525:AE525"/>
    <mergeCell ref="AF525:AG525"/>
    <mergeCell ref="AH525:AI525"/>
    <mergeCell ref="AJ525:AK525"/>
    <mergeCell ref="AL525:BB525"/>
    <mergeCell ref="AJ519:AK519"/>
    <mergeCell ref="AL519:BB519"/>
    <mergeCell ref="AH520:AI520"/>
    <mergeCell ref="AJ520:AK520"/>
    <mergeCell ref="AL520:BB520"/>
    <mergeCell ref="B520:C520"/>
    <mergeCell ref="D520:E520"/>
    <mergeCell ref="F520:G520"/>
    <mergeCell ref="H520:I520"/>
    <mergeCell ref="J520:K520"/>
    <mergeCell ref="L520:M520"/>
    <mergeCell ref="N520:O520"/>
    <mergeCell ref="P522:Q522"/>
    <mergeCell ref="R522:S522"/>
    <mergeCell ref="T522:U522"/>
    <mergeCell ref="V522:W522"/>
    <mergeCell ref="X522:Y522"/>
    <mergeCell ref="Z522:AA522"/>
    <mergeCell ref="AB522:AC522"/>
    <mergeCell ref="B522:C522"/>
    <mergeCell ref="D522:E522"/>
    <mergeCell ref="F522:G522"/>
    <mergeCell ref="H522:I522"/>
    <mergeCell ref="J522:K522"/>
    <mergeCell ref="L522:M522"/>
    <mergeCell ref="N522:O522"/>
    <mergeCell ref="AD520:AE520"/>
    <mergeCell ref="AF520:AG520"/>
    <mergeCell ref="P520:Q520"/>
    <mergeCell ref="R520:S520"/>
    <mergeCell ref="T520:U520"/>
    <mergeCell ref="V520:W520"/>
    <mergeCell ref="X520:Y520"/>
    <mergeCell ref="Z520:AA520"/>
    <mergeCell ref="AB520:AC520"/>
    <mergeCell ref="AD521:AE521"/>
    <mergeCell ref="AF521:AG521"/>
    <mergeCell ref="AH521:AI521"/>
    <mergeCell ref="AJ521:AK521"/>
    <mergeCell ref="AL521:BB521"/>
    <mergeCell ref="P521:Q521"/>
    <mergeCell ref="R521:S521"/>
    <mergeCell ref="T521:U521"/>
    <mergeCell ref="V521:W521"/>
    <mergeCell ref="X521:Y521"/>
    <mergeCell ref="Z521:AA521"/>
    <mergeCell ref="AB521:AC521"/>
    <mergeCell ref="B521:C521"/>
    <mergeCell ref="D521:E521"/>
    <mergeCell ref="F521:G521"/>
    <mergeCell ref="H521:I521"/>
    <mergeCell ref="J521:K521"/>
    <mergeCell ref="L521:M521"/>
    <mergeCell ref="N521:O521"/>
    <mergeCell ref="AD522:AE522"/>
    <mergeCell ref="AF522:AG522"/>
    <mergeCell ref="AH522:AI522"/>
    <mergeCell ref="AJ522:AK522"/>
    <mergeCell ref="AL522:BB522"/>
    <mergeCell ref="H515:I515"/>
    <mergeCell ref="J515:K515"/>
    <mergeCell ref="L515:M515"/>
    <mergeCell ref="N515:O515"/>
    <mergeCell ref="AD516:AE516"/>
    <mergeCell ref="AF516:AG516"/>
    <mergeCell ref="AH516:AI516"/>
    <mergeCell ref="AJ516:AK516"/>
    <mergeCell ref="AL516:BB516"/>
    <mergeCell ref="AH517:AI517"/>
    <mergeCell ref="AJ517:AK517"/>
    <mergeCell ref="AL517:BB517"/>
    <mergeCell ref="B517:C517"/>
    <mergeCell ref="D517:E517"/>
    <mergeCell ref="F517:G517"/>
    <mergeCell ref="H517:I517"/>
    <mergeCell ref="J517:K517"/>
    <mergeCell ref="L517:M517"/>
    <mergeCell ref="N517:O517"/>
    <mergeCell ref="P519:Q519"/>
    <mergeCell ref="R519:S519"/>
    <mergeCell ref="T519:U519"/>
    <mergeCell ref="V519:W519"/>
    <mergeCell ref="X519:Y519"/>
    <mergeCell ref="Z519:AA519"/>
    <mergeCell ref="AB519:AC519"/>
    <mergeCell ref="B519:C519"/>
    <mergeCell ref="D519:E519"/>
    <mergeCell ref="F519:G519"/>
    <mergeCell ref="H519:I519"/>
    <mergeCell ref="J519:K519"/>
    <mergeCell ref="L519:M519"/>
    <mergeCell ref="N519:O519"/>
    <mergeCell ref="AD517:AE517"/>
    <mergeCell ref="AF517:AG517"/>
    <mergeCell ref="P517:Q517"/>
    <mergeCell ref="R517:S517"/>
    <mergeCell ref="T517:U517"/>
    <mergeCell ref="V517:W517"/>
    <mergeCell ref="X517:Y517"/>
    <mergeCell ref="Z517:AA517"/>
    <mergeCell ref="AB517:AC517"/>
    <mergeCell ref="AD518:AE518"/>
    <mergeCell ref="AF518:AG518"/>
    <mergeCell ref="AH518:AI518"/>
    <mergeCell ref="AJ518:AK518"/>
    <mergeCell ref="AL518:BB518"/>
    <mergeCell ref="P518:Q518"/>
    <mergeCell ref="R518:S518"/>
    <mergeCell ref="T518:U518"/>
    <mergeCell ref="V518:W518"/>
    <mergeCell ref="X518:Y518"/>
    <mergeCell ref="Z518:AA518"/>
    <mergeCell ref="AB518:AC518"/>
    <mergeCell ref="B518:C518"/>
    <mergeCell ref="D518:E518"/>
    <mergeCell ref="F518:G518"/>
    <mergeCell ref="H518:I518"/>
    <mergeCell ref="J518:K518"/>
    <mergeCell ref="L518:M518"/>
    <mergeCell ref="N518:O518"/>
    <mergeCell ref="AD519:AE519"/>
    <mergeCell ref="AF519:AG519"/>
    <mergeCell ref="AH519:AI519"/>
    <mergeCell ref="P513:Q513"/>
    <mergeCell ref="R513:S513"/>
    <mergeCell ref="T513:U513"/>
    <mergeCell ref="V513:W513"/>
    <mergeCell ref="X513:Y513"/>
    <mergeCell ref="Z513:AA513"/>
    <mergeCell ref="AB513:AC513"/>
    <mergeCell ref="B513:C513"/>
    <mergeCell ref="D513:E513"/>
    <mergeCell ref="F513:G513"/>
    <mergeCell ref="H513:I513"/>
    <mergeCell ref="J513:K513"/>
    <mergeCell ref="L513:M513"/>
    <mergeCell ref="N513:O513"/>
    <mergeCell ref="AD535:AE535"/>
    <mergeCell ref="AF535:AG535"/>
    <mergeCell ref="AH535:AI535"/>
    <mergeCell ref="AJ535:AK535"/>
    <mergeCell ref="AL535:BB535"/>
    <mergeCell ref="P535:Q535"/>
    <mergeCell ref="R535:S535"/>
    <mergeCell ref="T535:U535"/>
    <mergeCell ref="V535:W535"/>
    <mergeCell ref="X535:Y535"/>
    <mergeCell ref="Z535:AA535"/>
    <mergeCell ref="AB535:AC535"/>
    <mergeCell ref="P516:Q516"/>
    <mergeCell ref="R516:S516"/>
    <mergeCell ref="T516:U516"/>
    <mergeCell ref="V516:W516"/>
    <mergeCell ref="X516:Y516"/>
    <mergeCell ref="Z516:AA516"/>
    <mergeCell ref="AB516:AC516"/>
    <mergeCell ref="B516:C516"/>
    <mergeCell ref="D516:E516"/>
    <mergeCell ref="F516:G516"/>
    <mergeCell ref="H516:I516"/>
    <mergeCell ref="J516:K516"/>
    <mergeCell ref="L516:M516"/>
    <mergeCell ref="N516:O516"/>
    <mergeCell ref="AD514:AE514"/>
    <mergeCell ref="AF514:AG514"/>
    <mergeCell ref="P514:Q514"/>
    <mergeCell ref="R514:S514"/>
    <mergeCell ref="T514:U514"/>
    <mergeCell ref="V514:W514"/>
    <mergeCell ref="X514:Y514"/>
    <mergeCell ref="Z514:AA514"/>
    <mergeCell ref="AB514:AC514"/>
    <mergeCell ref="AD515:AE515"/>
    <mergeCell ref="AF515:AG515"/>
    <mergeCell ref="AH515:AI515"/>
    <mergeCell ref="AJ515:AK515"/>
    <mergeCell ref="AL515:BB515"/>
    <mergeCell ref="P515:Q515"/>
    <mergeCell ref="R515:S515"/>
    <mergeCell ref="T515:U515"/>
    <mergeCell ref="V515:W515"/>
    <mergeCell ref="X515:Y515"/>
    <mergeCell ref="Z515:AA515"/>
    <mergeCell ref="AB515:AC515"/>
    <mergeCell ref="B515:C515"/>
    <mergeCell ref="D515:E515"/>
    <mergeCell ref="F515:G515"/>
    <mergeCell ref="AL504:BB504"/>
    <mergeCell ref="AH505:AI505"/>
    <mergeCell ref="AJ505:AK505"/>
    <mergeCell ref="AL505:BB505"/>
    <mergeCell ref="B505:C505"/>
    <mergeCell ref="D505:E505"/>
    <mergeCell ref="F505:G505"/>
    <mergeCell ref="H505:I505"/>
    <mergeCell ref="J505:K505"/>
    <mergeCell ref="L505:M505"/>
    <mergeCell ref="N505:O505"/>
    <mergeCell ref="P507:Q507"/>
    <mergeCell ref="R507:S507"/>
    <mergeCell ref="T507:U507"/>
    <mergeCell ref="V507:W507"/>
    <mergeCell ref="X507:Y507"/>
    <mergeCell ref="Z507:AA507"/>
    <mergeCell ref="AB507:AC507"/>
    <mergeCell ref="B507:C507"/>
    <mergeCell ref="D507:E507"/>
    <mergeCell ref="F507:G507"/>
    <mergeCell ref="H507:I507"/>
    <mergeCell ref="J507:K507"/>
    <mergeCell ref="L507:M507"/>
    <mergeCell ref="N507:O507"/>
    <mergeCell ref="AD505:AE505"/>
    <mergeCell ref="AF505:AG505"/>
    <mergeCell ref="P505:Q505"/>
    <mergeCell ref="R505:S505"/>
    <mergeCell ref="T505:U505"/>
    <mergeCell ref="V505:W505"/>
    <mergeCell ref="X505:Y505"/>
    <mergeCell ref="Z505:AA505"/>
    <mergeCell ref="AB505:AC505"/>
    <mergeCell ref="AD506:AE506"/>
    <mergeCell ref="AF506:AG506"/>
    <mergeCell ref="AH506:AI506"/>
    <mergeCell ref="AJ506:AK506"/>
    <mergeCell ref="AL506:BB506"/>
    <mergeCell ref="P506:Q506"/>
    <mergeCell ref="R506:S506"/>
    <mergeCell ref="T506:U506"/>
    <mergeCell ref="V506:W506"/>
    <mergeCell ref="X506:Y506"/>
    <mergeCell ref="Z506:AA506"/>
    <mergeCell ref="AB506:AC506"/>
    <mergeCell ref="B506:C506"/>
    <mergeCell ref="D506:E506"/>
    <mergeCell ref="F506:G506"/>
    <mergeCell ref="H506:I506"/>
    <mergeCell ref="J506:K506"/>
    <mergeCell ref="L506:M506"/>
    <mergeCell ref="N506:O506"/>
    <mergeCell ref="AD507:AE507"/>
    <mergeCell ref="AF507:AG507"/>
    <mergeCell ref="AH507:AI507"/>
    <mergeCell ref="AJ507:AK507"/>
    <mergeCell ref="AL507:BB507"/>
    <mergeCell ref="AD513:AE513"/>
    <mergeCell ref="AF513:AG513"/>
    <mergeCell ref="AH513:AI513"/>
    <mergeCell ref="AJ513:AK513"/>
    <mergeCell ref="AL513:BB513"/>
    <mergeCell ref="AH514:AI514"/>
    <mergeCell ref="AJ514:AK514"/>
    <mergeCell ref="AL514:BB514"/>
    <mergeCell ref="B514:C514"/>
    <mergeCell ref="D514:E514"/>
    <mergeCell ref="F514:G514"/>
    <mergeCell ref="H514:I514"/>
    <mergeCell ref="J514:K514"/>
    <mergeCell ref="L514:M514"/>
    <mergeCell ref="N514:O514"/>
    <mergeCell ref="AD499:AE499"/>
    <mergeCell ref="AF499:AG499"/>
    <mergeCell ref="P499:Q499"/>
    <mergeCell ref="R499:S499"/>
    <mergeCell ref="T499:U499"/>
    <mergeCell ref="V499:W499"/>
    <mergeCell ref="X499:Y499"/>
    <mergeCell ref="Z499:AA499"/>
    <mergeCell ref="AB499:AC499"/>
    <mergeCell ref="AD500:AE500"/>
    <mergeCell ref="AF500:AG500"/>
    <mergeCell ref="AH500:AI500"/>
    <mergeCell ref="AJ500:AK500"/>
    <mergeCell ref="AL500:BB500"/>
    <mergeCell ref="P500:Q500"/>
    <mergeCell ref="R500:S500"/>
    <mergeCell ref="T500:U500"/>
    <mergeCell ref="V500:W500"/>
    <mergeCell ref="X500:Y500"/>
    <mergeCell ref="Z500:AA500"/>
    <mergeCell ref="AB500:AC500"/>
    <mergeCell ref="B500:C500"/>
    <mergeCell ref="D500:E500"/>
    <mergeCell ref="F500:G500"/>
    <mergeCell ref="H500:I500"/>
    <mergeCell ref="J500:K500"/>
    <mergeCell ref="L500:M500"/>
    <mergeCell ref="N500:O500"/>
    <mergeCell ref="AD501:AE501"/>
    <mergeCell ref="AF501:AG501"/>
    <mergeCell ref="AH501:AI501"/>
    <mergeCell ref="AJ501:AK501"/>
    <mergeCell ref="AL501:BB501"/>
    <mergeCell ref="AH502:AI502"/>
    <mergeCell ref="AJ502:AK502"/>
    <mergeCell ref="AL502:BB502"/>
    <mergeCell ref="B502:C502"/>
    <mergeCell ref="D502:E502"/>
    <mergeCell ref="F502:G502"/>
    <mergeCell ref="H502:I502"/>
    <mergeCell ref="J502:K502"/>
    <mergeCell ref="L502:M502"/>
    <mergeCell ref="N502:O502"/>
    <mergeCell ref="AD502:AE502"/>
    <mergeCell ref="AF502:AG502"/>
    <mergeCell ref="P502:Q502"/>
    <mergeCell ref="R502:S502"/>
    <mergeCell ref="T502:U502"/>
    <mergeCell ref="V502:W502"/>
    <mergeCell ref="AH511:AI511"/>
    <mergeCell ref="AJ511:AK511"/>
    <mergeCell ref="AL511:BB511"/>
    <mergeCell ref="B511:C511"/>
    <mergeCell ref="D511:E511"/>
    <mergeCell ref="F511:G511"/>
    <mergeCell ref="H511:I511"/>
    <mergeCell ref="J511:K511"/>
    <mergeCell ref="L511:M511"/>
    <mergeCell ref="N511:O511"/>
    <mergeCell ref="AD511:AE511"/>
    <mergeCell ref="AF511:AG511"/>
    <mergeCell ref="P511:Q511"/>
    <mergeCell ref="R511:S511"/>
    <mergeCell ref="T511:U511"/>
    <mergeCell ref="V511:W511"/>
    <mergeCell ref="X511:Y511"/>
    <mergeCell ref="Z511:AA511"/>
    <mergeCell ref="AB511:AC511"/>
    <mergeCell ref="AD512:AE512"/>
    <mergeCell ref="AF512:AG512"/>
    <mergeCell ref="AH512:AI512"/>
    <mergeCell ref="AJ512:AK512"/>
    <mergeCell ref="AL512:BB512"/>
    <mergeCell ref="P512:Q512"/>
    <mergeCell ref="R512:S512"/>
    <mergeCell ref="T512:U512"/>
    <mergeCell ref="V512:W512"/>
    <mergeCell ref="X512:Y512"/>
    <mergeCell ref="Z512:AA512"/>
    <mergeCell ref="AB512:AC512"/>
    <mergeCell ref="B512:C512"/>
    <mergeCell ref="D512:E512"/>
    <mergeCell ref="F512:G512"/>
    <mergeCell ref="H512:I512"/>
    <mergeCell ref="J512:K512"/>
    <mergeCell ref="L512:M512"/>
    <mergeCell ref="N512:O512"/>
    <mergeCell ref="AD508:AE508"/>
    <mergeCell ref="AF508:AG508"/>
    <mergeCell ref="P508:Q508"/>
    <mergeCell ref="R508:S508"/>
    <mergeCell ref="T508:U508"/>
    <mergeCell ref="V508:W508"/>
    <mergeCell ref="X508:Y508"/>
    <mergeCell ref="Z508:AA508"/>
    <mergeCell ref="AB508:AC508"/>
    <mergeCell ref="AD509:AE509"/>
    <mergeCell ref="AF509:AG509"/>
    <mergeCell ref="AH509:AI509"/>
    <mergeCell ref="AJ509:AK509"/>
    <mergeCell ref="AL509:BB509"/>
    <mergeCell ref="P509:Q509"/>
    <mergeCell ref="R509:S509"/>
    <mergeCell ref="T509:U509"/>
    <mergeCell ref="V509:W509"/>
    <mergeCell ref="X509:Y509"/>
    <mergeCell ref="Z509:AA509"/>
    <mergeCell ref="AB509:AC509"/>
    <mergeCell ref="B509:C509"/>
    <mergeCell ref="D509:E509"/>
    <mergeCell ref="F509:G509"/>
    <mergeCell ref="H509:I509"/>
    <mergeCell ref="J509:K509"/>
    <mergeCell ref="L509:M509"/>
    <mergeCell ref="N509:O509"/>
    <mergeCell ref="AD510:AE510"/>
    <mergeCell ref="AF510:AG510"/>
    <mergeCell ref="AH510:AI510"/>
    <mergeCell ref="AJ510:AK510"/>
    <mergeCell ref="AL510:BB510"/>
    <mergeCell ref="AH508:AI508"/>
    <mergeCell ref="AJ508:AK508"/>
    <mergeCell ref="AL508:BB508"/>
    <mergeCell ref="B508:C508"/>
    <mergeCell ref="D508:E508"/>
    <mergeCell ref="F508:G508"/>
    <mergeCell ref="H508:I508"/>
    <mergeCell ref="J508:K508"/>
    <mergeCell ref="L508:M508"/>
    <mergeCell ref="N508:O508"/>
    <mergeCell ref="P510:Q510"/>
    <mergeCell ref="R510:S510"/>
    <mergeCell ref="T510:U510"/>
    <mergeCell ref="V510:W510"/>
    <mergeCell ref="X510:Y510"/>
    <mergeCell ref="Z510:AA510"/>
    <mergeCell ref="AB510:AC510"/>
    <mergeCell ref="B510:C510"/>
    <mergeCell ref="D510:E510"/>
    <mergeCell ref="F510:G510"/>
    <mergeCell ref="H510:I510"/>
    <mergeCell ref="J510:K510"/>
    <mergeCell ref="L510:M510"/>
    <mergeCell ref="N510:O510"/>
    <mergeCell ref="AH499:AI499"/>
    <mergeCell ref="AJ499:AK499"/>
    <mergeCell ref="AL499:BB499"/>
    <mergeCell ref="B499:C499"/>
    <mergeCell ref="D499:E499"/>
    <mergeCell ref="F499:G499"/>
    <mergeCell ref="H499:I499"/>
    <mergeCell ref="J499:K499"/>
    <mergeCell ref="L499:M499"/>
    <mergeCell ref="N499:O499"/>
    <mergeCell ref="P501:Q501"/>
    <mergeCell ref="R501:S501"/>
    <mergeCell ref="T501:U501"/>
    <mergeCell ref="V501:W501"/>
    <mergeCell ref="X501:Y501"/>
    <mergeCell ref="Z501:AA501"/>
    <mergeCell ref="AB501:AC501"/>
    <mergeCell ref="B501:C501"/>
    <mergeCell ref="D501:E501"/>
    <mergeCell ref="F501:G501"/>
    <mergeCell ref="H501:I501"/>
    <mergeCell ref="J501:K501"/>
    <mergeCell ref="L501:M501"/>
    <mergeCell ref="N501:O501"/>
    <mergeCell ref="P504:Q504"/>
    <mergeCell ref="R504:S504"/>
    <mergeCell ref="T504:U504"/>
    <mergeCell ref="V504:W504"/>
    <mergeCell ref="X504:Y504"/>
    <mergeCell ref="Z504:AA504"/>
    <mergeCell ref="AB504:AC504"/>
    <mergeCell ref="B504:C504"/>
    <mergeCell ref="D504:E504"/>
    <mergeCell ref="F504:G504"/>
    <mergeCell ref="H504:I504"/>
    <mergeCell ref="J504:K504"/>
    <mergeCell ref="L504:M504"/>
    <mergeCell ref="N504:O504"/>
    <mergeCell ref="X502:Y502"/>
    <mergeCell ref="Z502:AA502"/>
    <mergeCell ref="AB502:AC502"/>
    <mergeCell ref="AD503:AE503"/>
    <mergeCell ref="AF503:AG503"/>
    <mergeCell ref="AH503:AI503"/>
    <mergeCell ref="AJ503:AK503"/>
    <mergeCell ref="AL503:BB503"/>
    <mergeCell ref="P503:Q503"/>
    <mergeCell ref="R503:S503"/>
    <mergeCell ref="T503:U503"/>
    <mergeCell ref="V503:W503"/>
    <mergeCell ref="X503:Y503"/>
    <mergeCell ref="Z503:AA503"/>
    <mergeCell ref="AB503:AC503"/>
    <mergeCell ref="B503:C503"/>
    <mergeCell ref="D503:E503"/>
    <mergeCell ref="F503:G503"/>
    <mergeCell ref="H503:I503"/>
    <mergeCell ref="J503:K503"/>
    <mergeCell ref="L503:M503"/>
    <mergeCell ref="N503:O503"/>
    <mergeCell ref="AD504:AE504"/>
    <mergeCell ref="AF504:AG504"/>
    <mergeCell ref="AH504:AI504"/>
    <mergeCell ref="AJ504:AK504"/>
    <mergeCell ref="AH496:AI496"/>
    <mergeCell ref="AJ496:AK496"/>
    <mergeCell ref="AL496:BB496"/>
    <mergeCell ref="B496:C496"/>
    <mergeCell ref="D496:E496"/>
    <mergeCell ref="F496:G496"/>
    <mergeCell ref="H496:I496"/>
    <mergeCell ref="J496:K496"/>
    <mergeCell ref="L496:M496"/>
    <mergeCell ref="N496:O496"/>
    <mergeCell ref="P498:Q498"/>
    <mergeCell ref="R498:S498"/>
    <mergeCell ref="T498:U498"/>
    <mergeCell ref="V498:W498"/>
    <mergeCell ref="X498:Y498"/>
    <mergeCell ref="Z498:AA498"/>
    <mergeCell ref="AB498:AC498"/>
    <mergeCell ref="B498:C498"/>
    <mergeCell ref="D498:E498"/>
    <mergeCell ref="F498:G498"/>
    <mergeCell ref="H498:I498"/>
    <mergeCell ref="J498:K498"/>
    <mergeCell ref="L498:M498"/>
    <mergeCell ref="N498:O498"/>
    <mergeCell ref="AD496:AE496"/>
    <mergeCell ref="AF496:AG496"/>
    <mergeCell ref="P496:Q496"/>
    <mergeCell ref="R496:S496"/>
    <mergeCell ref="T496:U496"/>
    <mergeCell ref="V496:W496"/>
    <mergeCell ref="X496:Y496"/>
    <mergeCell ref="Z496:AA496"/>
    <mergeCell ref="AB496:AC496"/>
    <mergeCell ref="AD497:AE497"/>
    <mergeCell ref="AF497:AG497"/>
    <mergeCell ref="AH497:AI497"/>
    <mergeCell ref="AJ497:AK497"/>
    <mergeCell ref="AL497:BB497"/>
    <mergeCell ref="P497:Q497"/>
    <mergeCell ref="R497:S497"/>
    <mergeCell ref="T497:U497"/>
    <mergeCell ref="V497:W497"/>
    <mergeCell ref="X497:Y497"/>
    <mergeCell ref="Z497:AA497"/>
    <mergeCell ref="AB497:AC497"/>
    <mergeCell ref="B497:C497"/>
    <mergeCell ref="D497:E497"/>
    <mergeCell ref="F497:G497"/>
    <mergeCell ref="H497:I497"/>
    <mergeCell ref="J497:K497"/>
    <mergeCell ref="L497:M497"/>
    <mergeCell ref="N497:O497"/>
    <mergeCell ref="AD498:AE498"/>
    <mergeCell ref="AF498:AG498"/>
    <mergeCell ref="AH498:AI498"/>
    <mergeCell ref="AJ498:AK498"/>
    <mergeCell ref="AL498:BB498"/>
    <mergeCell ref="B493:C493"/>
    <mergeCell ref="D493:E493"/>
    <mergeCell ref="F493:G493"/>
    <mergeCell ref="H493:I493"/>
    <mergeCell ref="J493:K493"/>
    <mergeCell ref="L493:M493"/>
    <mergeCell ref="N493:O493"/>
    <mergeCell ref="AD494:AE494"/>
    <mergeCell ref="AF494:AG494"/>
    <mergeCell ref="AH494:AI494"/>
    <mergeCell ref="AJ494:AK494"/>
    <mergeCell ref="AL494:BB494"/>
    <mergeCell ref="P494:Q494"/>
    <mergeCell ref="R494:S494"/>
    <mergeCell ref="T494:U494"/>
    <mergeCell ref="V494:W494"/>
    <mergeCell ref="X494:Y494"/>
    <mergeCell ref="Z494:AA494"/>
    <mergeCell ref="AB494:AC494"/>
    <mergeCell ref="B494:C494"/>
    <mergeCell ref="D494:E494"/>
    <mergeCell ref="F494:G494"/>
    <mergeCell ref="H494:I494"/>
    <mergeCell ref="J494:K494"/>
    <mergeCell ref="L494:M494"/>
    <mergeCell ref="N494:O494"/>
    <mergeCell ref="AD495:AE495"/>
    <mergeCell ref="AF495:AG495"/>
    <mergeCell ref="AH495:AI495"/>
    <mergeCell ref="AJ495:AK495"/>
    <mergeCell ref="AL495:BB495"/>
    <mergeCell ref="P495:Q495"/>
    <mergeCell ref="R495:S495"/>
    <mergeCell ref="T495:U495"/>
    <mergeCell ref="V495:W495"/>
    <mergeCell ref="X495:Y495"/>
    <mergeCell ref="Z495:AA495"/>
    <mergeCell ref="AB495:AC495"/>
    <mergeCell ref="B495:C495"/>
    <mergeCell ref="D495:E495"/>
    <mergeCell ref="F495:G495"/>
    <mergeCell ref="H495:I495"/>
    <mergeCell ref="J495:K495"/>
    <mergeCell ref="L495:M495"/>
    <mergeCell ref="N495:O495"/>
    <mergeCell ref="AH490:AI490"/>
    <mergeCell ref="AJ490:AK490"/>
    <mergeCell ref="AL490:BB490"/>
    <mergeCell ref="B490:C490"/>
    <mergeCell ref="D490:E490"/>
    <mergeCell ref="F490:G490"/>
    <mergeCell ref="H490:I490"/>
    <mergeCell ref="J490:K490"/>
    <mergeCell ref="L490:M490"/>
    <mergeCell ref="N490:O490"/>
    <mergeCell ref="P492:Q492"/>
    <mergeCell ref="R492:S492"/>
    <mergeCell ref="T492:U492"/>
    <mergeCell ref="V492:W492"/>
    <mergeCell ref="X492:Y492"/>
    <mergeCell ref="Z492:AA492"/>
    <mergeCell ref="AB492:AC492"/>
    <mergeCell ref="B492:C492"/>
    <mergeCell ref="D492:E492"/>
    <mergeCell ref="F492:G492"/>
    <mergeCell ref="H492:I492"/>
    <mergeCell ref="J492:K492"/>
    <mergeCell ref="L492:M492"/>
    <mergeCell ref="N492:O492"/>
    <mergeCell ref="AD490:AE490"/>
    <mergeCell ref="AF490:AG490"/>
    <mergeCell ref="P490:Q490"/>
    <mergeCell ref="R490:S490"/>
    <mergeCell ref="T490:U490"/>
    <mergeCell ref="V490:W490"/>
    <mergeCell ref="X490:Y490"/>
    <mergeCell ref="Z490:AA490"/>
    <mergeCell ref="AB490:AC490"/>
    <mergeCell ref="AD491:AE491"/>
    <mergeCell ref="AF491:AG491"/>
    <mergeCell ref="AH491:AI491"/>
    <mergeCell ref="AJ491:AK491"/>
    <mergeCell ref="AL491:BB491"/>
    <mergeCell ref="P491:Q491"/>
    <mergeCell ref="R491:S491"/>
    <mergeCell ref="T491:U491"/>
    <mergeCell ref="V491:W491"/>
    <mergeCell ref="X491:Y491"/>
    <mergeCell ref="Z491:AA491"/>
    <mergeCell ref="AB491:AC491"/>
    <mergeCell ref="B491:C491"/>
    <mergeCell ref="D491:E491"/>
    <mergeCell ref="F491:G491"/>
    <mergeCell ref="H491:I491"/>
    <mergeCell ref="J491:K491"/>
    <mergeCell ref="L491:M491"/>
    <mergeCell ref="N491:O491"/>
    <mergeCell ref="AD492:AE492"/>
    <mergeCell ref="AF492:AG492"/>
    <mergeCell ref="AH492:AI492"/>
    <mergeCell ref="AJ492:AK492"/>
    <mergeCell ref="AL492:BB492"/>
    <mergeCell ref="AH487:AI487"/>
    <mergeCell ref="AJ487:AK487"/>
    <mergeCell ref="AL487:BB487"/>
    <mergeCell ref="B487:C487"/>
    <mergeCell ref="D487:E487"/>
    <mergeCell ref="F487:G487"/>
    <mergeCell ref="H487:I487"/>
    <mergeCell ref="J487:K487"/>
    <mergeCell ref="L487:M487"/>
    <mergeCell ref="N487:O487"/>
    <mergeCell ref="P489:Q489"/>
    <mergeCell ref="R489:S489"/>
    <mergeCell ref="T489:U489"/>
    <mergeCell ref="V489:W489"/>
    <mergeCell ref="X489:Y489"/>
    <mergeCell ref="Z489:AA489"/>
    <mergeCell ref="AB489:AC489"/>
    <mergeCell ref="B489:C489"/>
    <mergeCell ref="D489:E489"/>
    <mergeCell ref="F489:G489"/>
    <mergeCell ref="H489:I489"/>
    <mergeCell ref="J489:K489"/>
    <mergeCell ref="L489:M489"/>
    <mergeCell ref="N489:O489"/>
    <mergeCell ref="AD487:AE487"/>
    <mergeCell ref="AF487:AG487"/>
    <mergeCell ref="P487:Q487"/>
    <mergeCell ref="R487:S487"/>
    <mergeCell ref="T487:U487"/>
    <mergeCell ref="V487:W487"/>
    <mergeCell ref="X487:Y487"/>
    <mergeCell ref="Z487:AA487"/>
    <mergeCell ref="AB487:AC487"/>
    <mergeCell ref="AD488:AE488"/>
    <mergeCell ref="AF488:AG488"/>
    <mergeCell ref="AH488:AI488"/>
    <mergeCell ref="AJ488:AK488"/>
    <mergeCell ref="AL488:BB488"/>
    <mergeCell ref="P488:Q488"/>
    <mergeCell ref="R488:S488"/>
    <mergeCell ref="T488:U488"/>
    <mergeCell ref="V488:W488"/>
    <mergeCell ref="X488:Y488"/>
    <mergeCell ref="Z488:AA488"/>
    <mergeCell ref="AB488:AC488"/>
    <mergeCell ref="B488:C488"/>
    <mergeCell ref="D488:E488"/>
    <mergeCell ref="F488:G488"/>
    <mergeCell ref="H488:I488"/>
    <mergeCell ref="J488:K488"/>
    <mergeCell ref="L488:M488"/>
    <mergeCell ref="N488:O488"/>
    <mergeCell ref="AD489:AE489"/>
    <mergeCell ref="AF489:AG489"/>
    <mergeCell ref="AH489:AI489"/>
    <mergeCell ref="AJ489:AK489"/>
    <mergeCell ref="AL489:BB489"/>
    <mergeCell ref="AH484:AI484"/>
    <mergeCell ref="AJ484:AK484"/>
    <mergeCell ref="AL484:BB484"/>
    <mergeCell ref="B484:C484"/>
    <mergeCell ref="D484:E484"/>
    <mergeCell ref="F484:G484"/>
    <mergeCell ref="H484:I484"/>
    <mergeCell ref="J484:K484"/>
    <mergeCell ref="L484:M484"/>
    <mergeCell ref="N484:O484"/>
    <mergeCell ref="P486:Q486"/>
    <mergeCell ref="R486:S486"/>
    <mergeCell ref="T486:U486"/>
    <mergeCell ref="V486:W486"/>
    <mergeCell ref="X486:Y486"/>
    <mergeCell ref="Z486:AA486"/>
    <mergeCell ref="AB486:AC486"/>
    <mergeCell ref="B486:C486"/>
    <mergeCell ref="D486:E486"/>
    <mergeCell ref="F486:G486"/>
    <mergeCell ref="H486:I486"/>
    <mergeCell ref="J486:K486"/>
    <mergeCell ref="L486:M486"/>
    <mergeCell ref="N486:O486"/>
    <mergeCell ref="AD484:AE484"/>
    <mergeCell ref="AF484:AG484"/>
    <mergeCell ref="P484:Q484"/>
    <mergeCell ref="R484:S484"/>
    <mergeCell ref="T484:U484"/>
    <mergeCell ref="V484:W484"/>
    <mergeCell ref="X484:Y484"/>
    <mergeCell ref="Z484:AA484"/>
    <mergeCell ref="AB484:AC484"/>
    <mergeCell ref="AD485:AE485"/>
    <mergeCell ref="AF485:AG485"/>
    <mergeCell ref="AH485:AI485"/>
    <mergeCell ref="AJ485:AK485"/>
    <mergeCell ref="AL485:BB485"/>
    <mergeCell ref="P485:Q485"/>
    <mergeCell ref="R485:S485"/>
    <mergeCell ref="T485:U485"/>
    <mergeCell ref="V485:W485"/>
    <mergeCell ref="X485:Y485"/>
    <mergeCell ref="Z485:AA485"/>
    <mergeCell ref="AB485:AC485"/>
    <mergeCell ref="B485:C485"/>
    <mergeCell ref="D485:E485"/>
    <mergeCell ref="F485:G485"/>
    <mergeCell ref="H485:I485"/>
    <mergeCell ref="J485:K485"/>
    <mergeCell ref="L485:M485"/>
    <mergeCell ref="N485:O485"/>
    <mergeCell ref="AD486:AE486"/>
    <mergeCell ref="AF486:AG486"/>
    <mergeCell ref="AH486:AI486"/>
    <mergeCell ref="AJ486:AK486"/>
    <mergeCell ref="AL486:BB486"/>
    <mergeCell ref="AH481:AI481"/>
    <mergeCell ref="AJ481:AK481"/>
    <mergeCell ref="AL481:BB481"/>
    <mergeCell ref="B481:C481"/>
    <mergeCell ref="D481:E481"/>
    <mergeCell ref="F481:G481"/>
    <mergeCell ref="H481:I481"/>
    <mergeCell ref="J481:K481"/>
    <mergeCell ref="L481:M481"/>
    <mergeCell ref="N481:O481"/>
    <mergeCell ref="P483:Q483"/>
    <mergeCell ref="R483:S483"/>
    <mergeCell ref="T483:U483"/>
    <mergeCell ref="V483:W483"/>
    <mergeCell ref="X483:Y483"/>
    <mergeCell ref="Z483:AA483"/>
    <mergeCell ref="AB483:AC483"/>
    <mergeCell ref="B483:C483"/>
    <mergeCell ref="D483:E483"/>
    <mergeCell ref="F483:G483"/>
    <mergeCell ref="H483:I483"/>
    <mergeCell ref="J483:K483"/>
    <mergeCell ref="L483:M483"/>
    <mergeCell ref="N483:O483"/>
    <mergeCell ref="AD481:AE481"/>
    <mergeCell ref="AF481:AG481"/>
    <mergeCell ref="P481:Q481"/>
    <mergeCell ref="R481:S481"/>
    <mergeCell ref="T481:U481"/>
    <mergeCell ref="V481:W481"/>
    <mergeCell ref="X481:Y481"/>
    <mergeCell ref="Z481:AA481"/>
    <mergeCell ref="AB481:AC481"/>
    <mergeCell ref="AD482:AE482"/>
    <mergeCell ref="AF482:AG482"/>
    <mergeCell ref="AH482:AI482"/>
    <mergeCell ref="AJ482:AK482"/>
    <mergeCell ref="AL482:BB482"/>
    <mergeCell ref="P482:Q482"/>
    <mergeCell ref="R482:S482"/>
    <mergeCell ref="T482:U482"/>
    <mergeCell ref="V482:W482"/>
    <mergeCell ref="X482:Y482"/>
    <mergeCell ref="Z482:AA482"/>
    <mergeCell ref="AB482:AC482"/>
    <mergeCell ref="B482:C482"/>
    <mergeCell ref="D482:E482"/>
    <mergeCell ref="F482:G482"/>
    <mergeCell ref="H482:I482"/>
    <mergeCell ref="J482:K482"/>
    <mergeCell ref="L482:M482"/>
    <mergeCell ref="N482:O482"/>
    <mergeCell ref="AD483:AE483"/>
    <mergeCell ref="AF483:AG483"/>
    <mergeCell ref="AH483:AI483"/>
    <mergeCell ref="AJ483:AK483"/>
    <mergeCell ref="AL483:BB483"/>
    <mergeCell ref="AJ477:AK477"/>
    <mergeCell ref="AL477:BB477"/>
    <mergeCell ref="AH478:AI478"/>
    <mergeCell ref="AJ478:AK478"/>
    <mergeCell ref="AL478:BB478"/>
    <mergeCell ref="B478:C478"/>
    <mergeCell ref="D478:E478"/>
    <mergeCell ref="F478:G478"/>
    <mergeCell ref="H478:I478"/>
    <mergeCell ref="J478:K478"/>
    <mergeCell ref="L478:M478"/>
    <mergeCell ref="N478:O478"/>
    <mergeCell ref="P480:Q480"/>
    <mergeCell ref="R480:S480"/>
    <mergeCell ref="T480:U480"/>
    <mergeCell ref="V480:W480"/>
    <mergeCell ref="X480:Y480"/>
    <mergeCell ref="Z480:AA480"/>
    <mergeCell ref="AB480:AC480"/>
    <mergeCell ref="B480:C480"/>
    <mergeCell ref="D480:E480"/>
    <mergeCell ref="F480:G480"/>
    <mergeCell ref="H480:I480"/>
    <mergeCell ref="J480:K480"/>
    <mergeCell ref="L480:M480"/>
    <mergeCell ref="N480:O480"/>
    <mergeCell ref="AD478:AE478"/>
    <mergeCell ref="AF478:AG478"/>
    <mergeCell ref="P478:Q478"/>
    <mergeCell ref="R478:S478"/>
    <mergeCell ref="T478:U478"/>
    <mergeCell ref="V478:W478"/>
    <mergeCell ref="X478:Y478"/>
    <mergeCell ref="Z478:AA478"/>
    <mergeCell ref="AB478:AC478"/>
    <mergeCell ref="AD479:AE479"/>
    <mergeCell ref="AF479:AG479"/>
    <mergeCell ref="AH479:AI479"/>
    <mergeCell ref="AJ479:AK479"/>
    <mergeCell ref="AL479:BB479"/>
    <mergeCell ref="P479:Q479"/>
    <mergeCell ref="R479:S479"/>
    <mergeCell ref="T479:U479"/>
    <mergeCell ref="V479:W479"/>
    <mergeCell ref="X479:Y479"/>
    <mergeCell ref="Z479:AA479"/>
    <mergeCell ref="AB479:AC479"/>
    <mergeCell ref="B479:C479"/>
    <mergeCell ref="D479:E479"/>
    <mergeCell ref="F479:G479"/>
    <mergeCell ref="H479:I479"/>
    <mergeCell ref="J479:K479"/>
    <mergeCell ref="L479:M479"/>
    <mergeCell ref="N479:O479"/>
    <mergeCell ref="AD480:AE480"/>
    <mergeCell ref="AF480:AG480"/>
    <mergeCell ref="AH480:AI480"/>
    <mergeCell ref="AJ480:AK480"/>
    <mergeCell ref="AL480:BB480"/>
    <mergeCell ref="H473:I473"/>
    <mergeCell ref="J473:K473"/>
    <mergeCell ref="L473:M473"/>
    <mergeCell ref="N473:O473"/>
    <mergeCell ref="AD474:AE474"/>
    <mergeCell ref="AF474:AG474"/>
    <mergeCell ref="AH474:AI474"/>
    <mergeCell ref="AJ474:AK474"/>
    <mergeCell ref="AL474:BB474"/>
    <mergeCell ref="AH475:AI475"/>
    <mergeCell ref="AJ475:AK475"/>
    <mergeCell ref="AL475:BB475"/>
    <mergeCell ref="B475:C475"/>
    <mergeCell ref="D475:E475"/>
    <mergeCell ref="F475:G475"/>
    <mergeCell ref="H475:I475"/>
    <mergeCell ref="J475:K475"/>
    <mergeCell ref="L475:M475"/>
    <mergeCell ref="N475:O475"/>
    <mergeCell ref="P477:Q477"/>
    <mergeCell ref="R477:S477"/>
    <mergeCell ref="T477:U477"/>
    <mergeCell ref="V477:W477"/>
    <mergeCell ref="X477:Y477"/>
    <mergeCell ref="Z477:AA477"/>
    <mergeCell ref="AB477:AC477"/>
    <mergeCell ref="B477:C477"/>
    <mergeCell ref="D477:E477"/>
    <mergeCell ref="F477:G477"/>
    <mergeCell ref="H477:I477"/>
    <mergeCell ref="J477:K477"/>
    <mergeCell ref="L477:M477"/>
    <mergeCell ref="N477:O477"/>
    <mergeCell ref="AD475:AE475"/>
    <mergeCell ref="AF475:AG475"/>
    <mergeCell ref="P475:Q475"/>
    <mergeCell ref="R475:S475"/>
    <mergeCell ref="T475:U475"/>
    <mergeCell ref="V475:W475"/>
    <mergeCell ref="X475:Y475"/>
    <mergeCell ref="Z475:AA475"/>
    <mergeCell ref="AB475:AC475"/>
    <mergeCell ref="AD476:AE476"/>
    <mergeCell ref="AF476:AG476"/>
    <mergeCell ref="AH476:AI476"/>
    <mergeCell ref="AJ476:AK476"/>
    <mergeCell ref="AL476:BB476"/>
    <mergeCell ref="P476:Q476"/>
    <mergeCell ref="R476:S476"/>
    <mergeCell ref="T476:U476"/>
    <mergeCell ref="V476:W476"/>
    <mergeCell ref="X476:Y476"/>
    <mergeCell ref="Z476:AA476"/>
    <mergeCell ref="AB476:AC476"/>
    <mergeCell ref="B476:C476"/>
    <mergeCell ref="D476:E476"/>
    <mergeCell ref="F476:G476"/>
    <mergeCell ref="H476:I476"/>
    <mergeCell ref="J476:K476"/>
    <mergeCell ref="L476:M476"/>
    <mergeCell ref="N476:O476"/>
    <mergeCell ref="AD477:AE477"/>
    <mergeCell ref="AF477:AG477"/>
    <mergeCell ref="AH477:AI477"/>
    <mergeCell ref="P471:Q471"/>
    <mergeCell ref="R471:S471"/>
    <mergeCell ref="T471:U471"/>
    <mergeCell ref="V471:W471"/>
    <mergeCell ref="X471:Y471"/>
    <mergeCell ref="Z471:AA471"/>
    <mergeCell ref="AB471:AC471"/>
    <mergeCell ref="B471:C471"/>
    <mergeCell ref="D471:E471"/>
    <mergeCell ref="F471:G471"/>
    <mergeCell ref="H471:I471"/>
    <mergeCell ref="J471:K471"/>
    <mergeCell ref="L471:M471"/>
    <mergeCell ref="N471:O471"/>
    <mergeCell ref="AD493:AE493"/>
    <mergeCell ref="AF493:AG493"/>
    <mergeCell ref="AH493:AI493"/>
    <mergeCell ref="AJ493:AK493"/>
    <mergeCell ref="AL493:BB493"/>
    <mergeCell ref="P493:Q493"/>
    <mergeCell ref="R493:S493"/>
    <mergeCell ref="T493:U493"/>
    <mergeCell ref="V493:W493"/>
    <mergeCell ref="X493:Y493"/>
    <mergeCell ref="Z493:AA493"/>
    <mergeCell ref="AB493:AC493"/>
    <mergeCell ref="P474:Q474"/>
    <mergeCell ref="R474:S474"/>
    <mergeCell ref="T474:U474"/>
    <mergeCell ref="V474:W474"/>
    <mergeCell ref="X474:Y474"/>
    <mergeCell ref="Z474:AA474"/>
    <mergeCell ref="AB474:AC474"/>
    <mergeCell ref="B474:C474"/>
    <mergeCell ref="D474:E474"/>
    <mergeCell ref="F474:G474"/>
    <mergeCell ref="H474:I474"/>
    <mergeCell ref="J474:K474"/>
    <mergeCell ref="L474:M474"/>
    <mergeCell ref="N474:O474"/>
    <mergeCell ref="AD472:AE472"/>
    <mergeCell ref="AF472:AG472"/>
    <mergeCell ref="P472:Q472"/>
    <mergeCell ref="R472:S472"/>
    <mergeCell ref="T472:U472"/>
    <mergeCell ref="V472:W472"/>
    <mergeCell ref="X472:Y472"/>
    <mergeCell ref="Z472:AA472"/>
    <mergeCell ref="AB472:AC472"/>
    <mergeCell ref="AD473:AE473"/>
    <mergeCell ref="AF473:AG473"/>
    <mergeCell ref="AH473:AI473"/>
    <mergeCell ref="AJ473:AK473"/>
    <mergeCell ref="AL473:BB473"/>
    <mergeCell ref="P473:Q473"/>
    <mergeCell ref="R473:S473"/>
    <mergeCell ref="T473:U473"/>
    <mergeCell ref="V473:W473"/>
    <mergeCell ref="X473:Y473"/>
    <mergeCell ref="Z473:AA473"/>
    <mergeCell ref="AB473:AC473"/>
    <mergeCell ref="B473:C473"/>
    <mergeCell ref="D473:E473"/>
    <mergeCell ref="F473:G473"/>
    <mergeCell ref="AL462:BB462"/>
    <mergeCell ref="AH463:AI463"/>
    <mergeCell ref="AJ463:AK463"/>
    <mergeCell ref="AL463:BB463"/>
    <mergeCell ref="B463:C463"/>
    <mergeCell ref="D463:E463"/>
    <mergeCell ref="F463:G463"/>
    <mergeCell ref="H463:I463"/>
    <mergeCell ref="J463:K463"/>
    <mergeCell ref="L463:M463"/>
    <mergeCell ref="N463:O463"/>
    <mergeCell ref="P465:Q465"/>
    <mergeCell ref="R465:S465"/>
    <mergeCell ref="T465:U465"/>
    <mergeCell ref="V465:W465"/>
    <mergeCell ref="X465:Y465"/>
    <mergeCell ref="Z465:AA465"/>
    <mergeCell ref="AB465:AC465"/>
    <mergeCell ref="B465:C465"/>
    <mergeCell ref="D465:E465"/>
    <mergeCell ref="F465:G465"/>
    <mergeCell ref="H465:I465"/>
    <mergeCell ref="J465:K465"/>
    <mergeCell ref="L465:M465"/>
    <mergeCell ref="N465:O465"/>
    <mergeCell ref="AD463:AE463"/>
    <mergeCell ref="AF463:AG463"/>
    <mergeCell ref="P463:Q463"/>
    <mergeCell ref="R463:S463"/>
    <mergeCell ref="T463:U463"/>
    <mergeCell ref="V463:W463"/>
    <mergeCell ref="X463:Y463"/>
    <mergeCell ref="Z463:AA463"/>
    <mergeCell ref="AB463:AC463"/>
    <mergeCell ref="AD464:AE464"/>
    <mergeCell ref="AF464:AG464"/>
    <mergeCell ref="AH464:AI464"/>
    <mergeCell ref="AJ464:AK464"/>
    <mergeCell ref="AL464:BB464"/>
    <mergeCell ref="P464:Q464"/>
    <mergeCell ref="R464:S464"/>
    <mergeCell ref="T464:U464"/>
    <mergeCell ref="V464:W464"/>
    <mergeCell ref="X464:Y464"/>
    <mergeCell ref="Z464:AA464"/>
    <mergeCell ref="AB464:AC464"/>
    <mergeCell ref="B464:C464"/>
    <mergeCell ref="D464:E464"/>
    <mergeCell ref="F464:G464"/>
    <mergeCell ref="H464:I464"/>
    <mergeCell ref="J464:K464"/>
    <mergeCell ref="L464:M464"/>
    <mergeCell ref="N464:O464"/>
    <mergeCell ref="AD465:AE465"/>
    <mergeCell ref="AF465:AG465"/>
    <mergeCell ref="AH465:AI465"/>
    <mergeCell ref="AJ465:AK465"/>
    <mergeCell ref="AL465:BB465"/>
    <mergeCell ref="AD471:AE471"/>
    <mergeCell ref="AF471:AG471"/>
    <mergeCell ref="AH471:AI471"/>
    <mergeCell ref="AJ471:AK471"/>
    <mergeCell ref="AL471:BB471"/>
    <mergeCell ref="AH472:AI472"/>
    <mergeCell ref="AJ472:AK472"/>
    <mergeCell ref="AL472:BB472"/>
    <mergeCell ref="B472:C472"/>
    <mergeCell ref="D472:E472"/>
    <mergeCell ref="F472:G472"/>
    <mergeCell ref="H472:I472"/>
    <mergeCell ref="J472:K472"/>
    <mergeCell ref="L472:M472"/>
    <mergeCell ref="N472:O472"/>
    <mergeCell ref="AD457:AE457"/>
    <mergeCell ref="AF457:AG457"/>
    <mergeCell ref="P457:Q457"/>
    <mergeCell ref="R457:S457"/>
    <mergeCell ref="T457:U457"/>
    <mergeCell ref="V457:W457"/>
    <mergeCell ref="X457:Y457"/>
    <mergeCell ref="Z457:AA457"/>
    <mergeCell ref="AB457:AC457"/>
    <mergeCell ref="AD458:AE458"/>
    <mergeCell ref="AF458:AG458"/>
    <mergeCell ref="AH458:AI458"/>
    <mergeCell ref="AJ458:AK458"/>
    <mergeCell ref="AL458:BB458"/>
    <mergeCell ref="P458:Q458"/>
    <mergeCell ref="R458:S458"/>
    <mergeCell ref="T458:U458"/>
    <mergeCell ref="V458:W458"/>
    <mergeCell ref="X458:Y458"/>
    <mergeCell ref="Z458:AA458"/>
    <mergeCell ref="AB458:AC458"/>
    <mergeCell ref="B458:C458"/>
    <mergeCell ref="D458:E458"/>
    <mergeCell ref="F458:G458"/>
    <mergeCell ref="H458:I458"/>
    <mergeCell ref="J458:K458"/>
    <mergeCell ref="L458:M458"/>
    <mergeCell ref="N458:O458"/>
    <mergeCell ref="AD459:AE459"/>
    <mergeCell ref="AF459:AG459"/>
    <mergeCell ref="AH459:AI459"/>
    <mergeCell ref="AJ459:AK459"/>
    <mergeCell ref="AL459:BB459"/>
    <mergeCell ref="AH460:AI460"/>
    <mergeCell ref="AJ460:AK460"/>
    <mergeCell ref="AL460:BB460"/>
    <mergeCell ref="B460:C460"/>
    <mergeCell ref="D460:E460"/>
    <mergeCell ref="F460:G460"/>
    <mergeCell ref="H460:I460"/>
    <mergeCell ref="J460:K460"/>
    <mergeCell ref="L460:M460"/>
    <mergeCell ref="N460:O460"/>
    <mergeCell ref="AD460:AE460"/>
    <mergeCell ref="AF460:AG460"/>
    <mergeCell ref="P460:Q460"/>
    <mergeCell ref="R460:S460"/>
    <mergeCell ref="T460:U460"/>
    <mergeCell ref="V460:W460"/>
    <mergeCell ref="AH469:AI469"/>
    <mergeCell ref="AJ469:AK469"/>
    <mergeCell ref="AL469:BB469"/>
    <mergeCell ref="B469:C469"/>
    <mergeCell ref="D469:E469"/>
    <mergeCell ref="F469:G469"/>
    <mergeCell ref="H469:I469"/>
    <mergeCell ref="J469:K469"/>
    <mergeCell ref="L469:M469"/>
    <mergeCell ref="N469:O469"/>
    <mergeCell ref="AD469:AE469"/>
    <mergeCell ref="AF469:AG469"/>
    <mergeCell ref="P469:Q469"/>
    <mergeCell ref="R469:S469"/>
    <mergeCell ref="T469:U469"/>
    <mergeCell ref="V469:W469"/>
    <mergeCell ref="X469:Y469"/>
    <mergeCell ref="Z469:AA469"/>
    <mergeCell ref="AB469:AC469"/>
    <mergeCell ref="AD470:AE470"/>
    <mergeCell ref="AF470:AG470"/>
    <mergeCell ref="AH470:AI470"/>
    <mergeCell ref="AJ470:AK470"/>
    <mergeCell ref="AL470:BB470"/>
    <mergeCell ref="P470:Q470"/>
    <mergeCell ref="R470:S470"/>
    <mergeCell ref="T470:U470"/>
    <mergeCell ref="V470:W470"/>
    <mergeCell ref="X470:Y470"/>
    <mergeCell ref="Z470:AA470"/>
    <mergeCell ref="AB470:AC470"/>
    <mergeCell ref="B470:C470"/>
    <mergeCell ref="D470:E470"/>
    <mergeCell ref="F470:G470"/>
    <mergeCell ref="H470:I470"/>
    <mergeCell ref="J470:K470"/>
    <mergeCell ref="L470:M470"/>
    <mergeCell ref="N470:O470"/>
    <mergeCell ref="AD466:AE466"/>
    <mergeCell ref="AF466:AG466"/>
    <mergeCell ref="P466:Q466"/>
    <mergeCell ref="R466:S466"/>
    <mergeCell ref="T466:U466"/>
    <mergeCell ref="V466:W466"/>
    <mergeCell ref="X466:Y466"/>
    <mergeCell ref="Z466:AA466"/>
    <mergeCell ref="AB466:AC466"/>
    <mergeCell ref="AD467:AE467"/>
    <mergeCell ref="AF467:AG467"/>
    <mergeCell ref="AH467:AI467"/>
    <mergeCell ref="AJ467:AK467"/>
    <mergeCell ref="AL467:BB467"/>
    <mergeCell ref="P467:Q467"/>
    <mergeCell ref="R467:S467"/>
    <mergeCell ref="T467:U467"/>
    <mergeCell ref="V467:W467"/>
    <mergeCell ref="X467:Y467"/>
    <mergeCell ref="Z467:AA467"/>
    <mergeCell ref="AB467:AC467"/>
    <mergeCell ref="B467:C467"/>
    <mergeCell ref="D467:E467"/>
    <mergeCell ref="F467:G467"/>
    <mergeCell ref="H467:I467"/>
    <mergeCell ref="J467:K467"/>
    <mergeCell ref="L467:M467"/>
    <mergeCell ref="N467:O467"/>
    <mergeCell ref="AD468:AE468"/>
    <mergeCell ref="AF468:AG468"/>
    <mergeCell ref="AH468:AI468"/>
    <mergeCell ref="AJ468:AK468"/>
    <mergeCell ref="AL468:BB468"/>
    <mergeCell ref="AH466:AI466"/>
    <mergeCell ref="AJ466:AK466"/>
    <mergeCell ref="AL466:BB466"/>
    <mergeCell ref="B466:C466"/>
    <mergeCell ref="D466:E466"/>
    <mergeCell ref="F466:G466"/>
    <mergeCell ref="H466:I466"/>
    <mergeCell ref="J466:K466"/>
    <mergeCell ref="L466:M466"/>
    <mergeCell ref="N466:O466"/>
    <mergeCell ref="P468:Q468"/>
    <mergeCell ref="R468:S468"/>
    <mergeCell ref="T468:U468"/>
    <mergeCell ref="V468:W468"/>
    <mergeCell ref="X468:Y468"/>
    <mergeCell ref="Z468:AA468"/>
    <mergeCell ref="AB468:AC468"/>
    <mergeCell ref="B468:C468"/>
    <mergeCell ref="D468:E468"/>
    <mergeCell ref="F468:G468"/>
    <mergeCell ref="H468:I468"/>
    <mergeCell ref="J468:K468"/>
    <mergeCell ref="L468:M468"/>
    <mergeCell ref="N468:O468"/>
    <mergeCell ref="AH457:AI457"/>
    <mergeCell ref="AJ457:AK457"/>
    <mergeCell ref="AL457:BB457"/>
    <mergeCell ref="B457:C457"/>
    <mergeCell ref="D457:E457"/>
    <mergeCell ref="F457:G457"/>
    <mergeCell ref="H457:I457"/>
    <mergeCell ref="J457:K457"/>
    <mergeCell ref="L457:M457"/>
    <mergeCell ref="N457:O457"/>
    <mergeCell ref="P459:Q459"/>
    <mergeCell ref="R459:S459"/>
    <mergeCell ref="T459:U459"/>
    <mergeCell ref="V459:W459"/>
    <mergeCell ref="X459:Y459"/>
    <mergeCell ref="Z459:AA459"/>
    <mergeCell ref="AB459:AC459"/>
    <mergeCell ref="B459:C459"/>
    <mergeCell ref="D459:E459"/>
    <mergeCell ref="F459:G459"/>
    <mergeCell ref="H459:I459"/>
    <mergeCell ref="J459:K459"/>
    <mergeCell ref="L459:M459"/>
    <mergeCell ref="N459:O459"/>
    <mergeCell ref="P462:Q462"/>
    <mergeCell ref="R462:S462"/>
    <mergeCell ref="T462:U462"/>
    <mergeCell ref="V462:W462"/>
    <mergeCell ref="X462:Y462"/>
    <mergeCell ref="Z462:AA462"/>
    <mergeCell ref="AB462:AC462"/>
    <mergeCell ref="B462:C462"/>
    <mergeCell ref="D462:E462"/>
    <mergeCell ref="F462:G462"/>
    <mergeCell ref="H462:I462"/>
    <mergeCell ref="J462:K462"/>
    <mergeCell ref="L462:M462"/>
    <mergeCell ref="N462:O462"/>
    <mergeCell ref="X460:Y460"/>
    <mergeCell ref="Z460:AA460"/>
    <mergeCell ref="AB460:AC460"/>
    <mergeCell ref="AD461:AE461"/>
    <mergeCell ref="AF461:AG461"/>
    <mergeCell ref="AH461:AI461"/>
    <mergeCell ref="AJ461:AK461"/>
    <mergeCell ref="AL461:BB461"/>
    <mergeCell ref="P461:Q461"/>
    <mergeCell ref="R461:S461"/>
    <mergeCell ref="T461:U461"/>
    <mergeCell ref="V461:W461"/>
    <mergeCell ref="X461:Y461"/>
    <mergeCell ref="Z461:AA461"/>
    <mergeCell ref="AB461:AC461"/>
    <mergeCell ref="B461:C461"/>
    <mergeCell ref="D461:E461"/>
    <mergeCell ref="F461:G461"/>
    <mergeCell ref="H461:I461"/>
    <mergeCell ref="J461:K461"/>
    <mergeCell ref="L461:M461"/>
    <mergeCell ref="N461:O461"/>
    <mergeCell ref="AD462:AE462"/>
    <mergeCell ref="AF462:AG462"/>
    <mergeCell ref="AH462:AI462"/>
    <mergeCell ref="AJ462:AK462"/>
    <mergeCell ref="AH454:AI454"/>
    <mergeCell ref="AJ454:AK454"/>
    <mergeCell ref="AL454:BB454"/>
    <mergeCell ref="B454:C454"/>
    <mergeCell ref="D454:E454"/>
    <mergeCell ref="F454:G454"/>
    <mergeCell ref="H454:I454"/>
    <mergeCell ref="J454:K454"/>
    <mergeCell ref="L454:M454"/>
    <mergeCell ref="N454:O454"/>
    <mergeCell ref="P456:Q456"/>
    <mergeCell ref="R456:S456"/>
    <mergeCell ref="T456:U456"/>
    <mergeCell ref="V456:W456"/>
    <mergeCell ref="X456:Y456"/>
    <mergeCell ref="Z456:AA456"/>
    <mergeCell ref="AB456:AC456"/>
    <mergeCell ref="B456:C456"/>
    <mergeCell ref="D456:E456"/>
    <mergeCell ref="F456:G456"/>
    <mergeCell ref="H456:I456"/>
    <mergeCell ref="J456:K456"/>
    <mergeCell ref="L456:M456"/>
    <mergeCell ref="N456:O456"/>
    <mergeCell ref="AD454:AE454"/>
    <mergeCell ref="AF454:AG454"/>
    <mergeCell ref="P454:Q454"/>
    <mergeCell ref="R454:S454"/>
    <mergeCell ref="T454:U454"/>
    <mergeCell ref="V454:W454"/>
    <mergeCell ref="X454:Y454"/>
    <mergeCell ref="Z454:AA454"/>
    <mergeCell ref="AB454:AC454"/>
    <mergeCell ref="AD455:AE455"/>
    <mergeCell ref="AF455:AG455"/>
    <mergeCell ref="AH455:AI455"/>
    <mergeCell ref="AJ455:AK455"/>
    <mergeCell ref="AL455:BB455"/>
    <mergeCell ref="P455:Q455"/>
    <mergeCell ref="R455:S455"/>
    <mergeCell ref="T455:U455"/>
    <mergeCell ref="V455:W455"/>
    <mergeCell ref="X455:Y455"/>
    <mergeCell ref="Z455:AA455"/>
    <mergeCell ref="AB455:AC455"/>
    <mergeCell ref="B455:C455"/>
    <mergeCell ref="D455:E455"/>
    <mergeCell ref="F455:G455"/>
    <mergeCell ref="H455:I455"/>
    <mergeCell ref="J455:K455"/>
    <mergeCell ref="L455:M455"/>
    <mergeCell ref="N455:O455"/>
    <mergeCell ref="AD456:AE456"/>
    <mergeCell ref="AF456:AG456"/>
    <mergeCell ref="AH456:AI456"/>
    <mergeCell ref="AJ456:AK456"/>
    <mergeCell ref="AL456:BB456"/>
    <mergeCell ref="B451:C451"/>
    <mergeCell ref="D451:E451"/>
    <mergeCell ref="F451:G451"/>
    <mergeCell ref="H451:I451"/>
    <mergeCell ref="J451:K451"/>
    <mergeCell ref="L451:M451"/>
    <mergeCell ref="N451:O451"/>
    <mergeCell ref="AD452:AE452"/>
    <mergeCell ref="AF452:AG452"/>
    <mergeCell ref="AH452:AI452"/>
    <mergeCell ref="AJ452:AK452"/>
    <mergeCell ref="AL452:BB452"/>
    <mergeCell ref="P452:Q452"/>
    <mergeCell ref="R452:S452"/>
    <mergeCell ref="T452:U452"/>
    <mergeCell ref="V452:W452"/>
    <mergeCell ref="X452:Y452"/>
    <mergeCell ref="Z452:AA452"/>
    <mergeCell ref="AB452:AC452"/>
    <mergeCell ref="B452:C452"/>
    <mergeCell ref="D452:E452"/>
    <mergeCell ref="F452:G452"/>
    <mergeCell ref="H452:I452"/>
    <mergeCell ref="J452:K452"/>
    <mergeCell ref="L452:M452"/>
    <mergeCell ref="N452:O452"/>
    <mergeCell ref="AD453:AE453"/>
    <mergeCell ref="AF453:AG453"/>
    <mergeCell ref="AH453:AI453"/>
    <mergeCell ref="AJ453:AK453"/>
    <mergeCell ref="AL453:BB453"/>
    <mergeCell ref="P453:Q453"/>
    <mergeCell ref="R453:S453"/>
    <mergeCell ref="T453:U453"/>
    <mergeCell ref="V453:W453"/>
    <mergeCell ref="X453:Y453"/>
    <mergeCell ref="Z453:AA453"/>
    <mergeCell ref="AB453:AC453"/>
    <mergeCell ref="B453:C453"/>
    <mergeCell ref="D453:E453"/>
    <mergeCell ref="F453:G453"/>
    <mergeCell ref="H453:I453"/>
    <mergeCell ref="J453:K453"/>
    <mergeCell ref="L453:M453"/>
    <mergeCell ref="N453:O453"/>
    <mergeCell ref="AH448:AI448"/>
    <mergeCell ref="AJ448:AK448"/>
    <mergeCell ref="AL448:BB448"/>
    <mergeCell ref="B448:C448"/>
    <mergeCell ref="D448:E448"/>
    <mergeCell ref="F448:G448"/>
    <mergeCell ref="H448:I448"/>
    <mergeCell ref="J448:K448"/>
    <mergeCell ref="L448:M448"/>
    <mergeCell ref="N448:O448"/>
    <mergeCell ref="P450:Q450"/>
    <mergeCell ref="R450:S450"/>
    <mergeCell ref="T450:U450"/>
    <mergeCell ref="V450:W450"/>
    <mergeCell ref="X450:Y450"/>
    <mergeCell ref="Z450:AA450"/>
    <mergeCell ref="AB450:AC450"/>
    <mergeCell ref="B450:C450"/>
    <mergeCell ref="D450:E450"/>
    <mergeCell ref="F450:G450"/>
    <mergeCell ref="H450:I450"/>
    <mergeCell ref="J450:K450"/>
    <mergeCell ref="L450:M450"/>
    <mergeCell ref="N450:O450"/>
    <mergeCell ref="AD448:AE448"/>
    <mergeCell ref="AF448:AG448"/>
    <mergeCell ref="P448:Q448"/>
    <mergeCell ref="R448:S448"/>
    <mergeCell ref="T448:U448"/>
    <mergeCell ref="V448:W448"/>
    <mergeCell ref="X448:Y448"/>
    <mergeCell ref="Z448:AA448"/>
    <mergeCell ref="AB448:AC448"/>
    <mergeCell ref="AD449:AE449"/>
    <mergeCell ref="AF449:AG449"/>
    <mergeCell ref="AH449:AI449"/>
    <mergeCell ref="AJ449:AK449"/>
    <mergeCell ref="AL449:BB449"/>
    <mergeCell ref="P449:Q449"/>
    <mergeCell ref="R449:S449"/>
    <mergeCell ref="T449:U449"/>
    <mergeCell ref="V449:W449"/>
    <mergeCell ref="X449:Y449"/>
    <mergeCell ref="Z449:AA449"/>
    <mergeCell ref="AB449:AC449"/>
    <mergeCell ref="B449:C449"/>
    <mergeCell ref="D449:E449"/>
    <mergeCell ref="F449:G449"/>
    <mergeCell ref="H449:I449"/>
    <mergeCell ref="J449:K449"/>
    <mergeCell ref="L449:M449"/>
    <mergeCell ref="N449:O449"/>
    <mergeCell ref="AD450:AE450"/>
    <mergeCell ref="AF450:AG450"/>
    <mergeCell ref="AH450:AI450"/>
    <mergeCell ref="AJ450:AK450"/>
    <mergeCell ref="AL450:BB450"/>
    <mergeCell ref="AH445:AI445"/>
    <mergeCell ref="AJ445:AK445"/>
    <mergeCell ref="AL445:BB445"/>
    <mergeCell ref="B445:C445"/>
    <mergeCell ref="D445:E445"/>
    <mergeCell ref="F445:G445"/>
    <mergeCell ref="H445:I445"/>
    <mergeCell ref="J445:K445"/>
    <mergeCell ref="L445:M445"/>
    <mergeCell ref="N445:O445"/>
    <mergeCell ref="P447:Q447"/>
    <mergeCell ref="R447:S447"/>
    <mergeCell ref="T447:U447"/>
    <mergeCell ref="V447:W447"/>
    <mergeCell ref="X447:Y447"/>
    <mergeCell ref="Z447:AA447"/>
    <mergeCell ref="AB447:AC447"/>
    <mergeCell ref="B447:C447"/>
    <mergeCell ref="D447:E447"/>
    <mergeCell ref="F447:G447"/>
    <mergeCell ref="H447:I447"/>
    <mergeCell ref="J447:K447"/>
    <mergeCell ref="L447:M447"/>
    <mergeCell ref="N447:O447"/>
    <mergeCell ref="AD445:AE445"/>
    <mergeCell ref="AF445:AG445"/>
    <mergeCell ref="P445:Q445"/>
    <mergeCell ref="R445:S445"/>
    <mergeCell ref="T445:U445"/>
    <mergeCell ref="V445:W445"/>
    <mergeCell ref="X445:Y445"/>
    <mergeCell ref="Z445:AA445"/>
    <mergeCell ref="AB445:AC445"/>
    <mergeCell ref="AD446:AE446"/>
    <mergeCell ref="AF446:AG446"/>
    <mergeCell ref="AH446:AI446"/>
    <mergeCell ref="AJ446:AK446"/>
    <mergeCell ref="AL446:BB446"/>
    <mergeCell ref="P446:Q446"/>
    <mergeCell ref="R446:S446"/>
    <mergeCell ref="T446:U446"/>
    <mergeCell ref="V446:W446"/>
    <mergeCell ref="X446:Y446"/>
    <mergeCell ref="Z446:AA446"/>
    <mergeCell ref="AB446:AC446"/>
    <mergeCell ref="B446:C446"/>
    <mergeCell ref="D446:E446"/>
    <mergeCell ref="F446:G446"/>
    <mergeCell ref="H446:I446"/>
    <mergeCell ref="J446:K446"/>
    <mergeCell ref="L446:M446"/>
    <mergeCell ref="N446:O446"/>
    <mergeCell ref="AD447:AE447"/>
    <mergeCell ref="AF447:AG447"/>
    <mergeCell ref="AH447:AI447"/>
    <mergeCell ref="AJ447:AK447"/>
    <mergeCell ref="AL447:BB447"/>
    <mergeCell ref="AH442:AI442"/>
    <mergeCell ref="AJ442:AK442"/>
    <mergeCell ref="AL442:BB442"/>
    <mergeCell ref="B442:C442"/>
    <mergeCell ref="D442:E442"/>
    <mergeCell ref="F442:G442"/>
    <mergeCell ref="H442:I442"/>
    <mergeCell ref="J442:K442"/>
    <mergeCell ref="L442:M442"/>
    <mergeCell ref="N442:O442"/>
    <mergeCell ref="P444:Q444"/>
    <mergeCell ref="R444:S444"/>
    <mergeCell ref="T444:U444"/>
    <mergeCell ref="V444:W444"/>
    <mergeCell ref="X444:Y444"/>
    <mergeCell ref="Z444:AA444"/>
    <mergeCell ref="AB444:AC444"/>
    <mergeCell ref="B444:C444"/>
    <mergeCell ref="D444:E444"/>
    <mergeCell ref="F444:G444"/>
    <mergeCell ref="H444:I444"/>
    <mergeCell ref="J444:K444"/>
    <mergeCell ref="L444:M444"/>
    <mergeCell ref="N444:O444"/>
    <mergeCell ref="AD442:AE442"/>
    <mergeCell ref="AF442:AG442"/>
    <mergeCell ref="P442:Q442"/>
    <mergeCell ref="R442:S442"/>
    <mergeCell ref="T442:U442"/>
    <mergeCell ref="V442:W442"/>
    <mergeCell ref="X442:Y442"/>
    <mergeCell ref="Z442:AA442"/>
    <mergeCell ref="AB442:AC442"/>
    <mergeCell ref="AD443:AE443"/>
    <mergeCell ref="AF443:AG443"/>
    <mergeCell ref="AH443:AI443"/>
    <mergeCell ref="AJ443:AK443"/>
    <mergeCell ref="AL443:BB443"/>
    <mergeCell ref="P443:Q443"/>
    <mergeCell ref="R443:S443"/>
    <mergeCell ref="T443:U443"/>
    <mergeCell ref="V443:W443"/>
    <mergeCell ref="X443:Y443"/>
    <mergeCell ref="Z443:AA443"/>
    <mergeCell ref="AB443:AC443"/>
    <mergeCell ref="B443:C443"/>
    <mergeCell ref="D443:E443"/>
    <mergeCell ref="F443:G443"/>
    <mergeCell ref="H443:I443"/>
    <mergeCell ref="J443:K443"/>
    <mergeCell ref="L443:M443"/>
    <mergeCell ref="N443:O443"/>
    <mergeCell ref="AD444:AE444"/>
    <mergeCell ref="AF444:AG444"/>
    <mergeCell ref="AH444:AI444"/>
    <mergeCell ref="AJ444:AK444"/>
    <mergeCell ref="AL444:BB444"/>
    <mergeCell ref="AH439:AI439"/>
    <mergeCell ref="AJ439:AK439"/>
    <mergeCell ref="AL439:BB439"/>
    <mergeCell ref="B439:C439"/>
    <mergeCell ref="D439:E439"/>
    <mergeCell ref="F439:G439"/>
    <mergeCell ref="H439:I439"/>
    <mergeCell ref="J439:K439"/>
    <mergeCell ref="L439:M439"/>
    <mergeCell ref="N439:O439"/>
    <mergeCell ref="P441:Q441"/>
    <mergeCell ref="R441:S441"/>
    <mergeCell ref="T441:U441"/>
    <mergeCell ref="V441:W441"/>
    <mergeCell ref="X441:Y441"/>
    <mergeCell ref="Z441:AA441"/>
    <mergeCell ref="AB441:AC441"/>
    <mergeCell ref="B441:C441"/>
    <mergeCell ref="D441:E441"/>
    <mergeCell ref="F441:G441"/>
    <mergeCell ref="H441:I441"/>
    <mergeCell ref="J441:K441"/>
    <mergeCell ref="L441:M441"/>
    <mergeCell ref="N441:O441"/>
    <mergeCell ref="AD439:AE439"/>
    <mergeCell ref="AF439:AG439"/>
    <mergeCell ref="P439:Q439"/>
    <mergeCell ref="R439:S439"/>
    <mergeCell ref="T439:U439"/>
    <mergeCell ref="V439:W439"/>
    <mergeCell ref="X439:Y439"/>
    <mergeCell ref="Z439:AA439"/>
    <mergeCell ref="AB439:AC439"/>
    <mergeCell ref="AD440:AE440"/>
    <mergeCell ref="AF440:AG440"/>
    <mergeCell ref="AH440:AI440"/>
    <mergeCell ref="AJ440:AK440"/>
    <mergeCell ref="AL440:BB440"/>
    <mergeCell ref="P440:Q440"/>
    <mergeCell ref="R440:S440"/>
    <mergeCell ref="T440:U440"/>
    <mergeCell ref="V440:W440"/>
    <mergeCell ref="X440:Y440"/>
    <mergeCell ref="Z440:AA440"/>
    <mergeCell ref="AB440:AC440"/>
    <mergeCell ref="B440:C440"/>
    <mergeCell ref="D440:E440"/>
    <mergeCell ref="F440:G440"/>
    <mergeCell ref="H440:I440"/>
    <mergeCell ref="J440:K440"/>
    <mergeCell ref="L440:M440"/>
    <mergeCell ref="N440:O440"/>
    <mergeCell ref="AD441:AE441"/>
    <mergeCell ref="AF441:AG441"/>
    <mergeCell ref="AH441:AI441"/>
    <mergeCell ref="AJ441:AK441"/>
    <mergeCell ref="AL441:BB441"/>
    <mergeCell ref="AJ435:AK435"/>
    <mergeCell ref="AL435:BB435"/>
    <mergeCell ref="AH436:AI436"/>
    <mergeCell ref="AJ436:AK436"/>
    <mergeCell ref="AL436:BB436"/>
    <mergeCell ref="B436:C436"/>
    <mergeCell ref="D436:E436"/>
    <mergeCell ref="F436:G436"/>
    <mergeCell ref="H436:I436"/>
    <mergeCell ref="J436:K436"/>
    <mergeCell ref="L436:M436"/>
    <mergeCell ref="N436:O436"/>
    <mergeCell ref="P438:Q438"/>
    <mergeCell ref="R438:S438"/>
    <mergeCell ref="T438:U438"/>
    <mergeCell ref="V438:W438"/>
    <mergeCell ref="X438:Y438"/>
    <mergeCell ref="Z438:AA438"/>
    <mergeCell ref="AB438:AC438"/>
    <mergeCell ref="B438:C438"/>
    <mergeCell ref="D438:E438"/>
    <mergeCell ref="F438:G438"/>
    <mergeCell ref="H438:I438"/>
    <mergeCell ref="J438:K438"/>
    <mergeCell ref="L438:M438"/>
    <mergeCell ref="N438:O438"/>
    <mergeCell ref="AD436:AE436"/>
    <mergeCell ref="AF436:AG436"/>
    <mergeCell ref="P436:Q436"/>
    <mergeCell ref="R436:S436"/>
    <mergeCell ref="T436:U436"/>
    <mergeCell ref="V436:W436"/>
    <mergeCell ref="X436:Y436"/>
    <mergeCell ref="Z436:AA436"/>
    <mergeCell ref="AB436:AC436"/>
    <mergeCell ref="AD437:AE437"/>
    <mergeCell ref="AF437:AG437"/>
    <mergeCell ref="AH437:AI437"/>
    <mergeCell ref="AJ437:AK437"/>
    <mergeCell ref="AL437:BB437"/>
    <mergeCell ref="P437:Q437"/>
    <mergeCell ref="R437:S437"/>
    <mergeCell ref="T437:U437"/>
    <mergeCell ref="V437:W437"/>
    <mergeCell ref="X437:Y437"/>
    <mergeCell ref="Z437:AA437"/>
    <mergeCell ref="AB437:AC437"/>
    <mergeCell ref="B437:C437"/>
    <mergeCell ref="D437:E437"/>
    <mergeCell ref="F437:G437"/>
    <mergeCell ref="H437:I437"/>
    <mergeCell ref="J437:K437"/>
    <mergeCell ref="L437:M437"/>
    <mergeCell ref="N437:O437"/>
    <mergeCell ref="AD438:AE438"/>
    <mergeCell ref="AF438:AG438"/>
    <mergeCell ref="AH438:AI438"/>
    <mergeCell ref="AJ438:AK438"/>
    <mergeCell ref="AL438:BB438"/>
    <mergeCell ref="H431:I431"/>
    <mergeCell ref="J431:K431"/>
    <mergeCell ref="L431:M431"/>
    <mergeCell ref="N431:O431"/>
    <mergeCell ref="AD432:AE432"/>
    <mergeCell ref="AF432:AG432"/>
    <mergeCell ref="AH432:AI432"/>
    <mergeCell ref="AJ432:AK432"/>
    <mergeCell ref="AL432:BB432"/>
    <mergeCell ref="AH433:AI433"/>
    <mergeCell ref="AJ433:AK433"/>
    <mergeCell ref="AL433:BB433"/>
    <mergeCell ref="B433:C433"/>
    <mergeCell ref="D433:E433"/>
    <mergeCell ref="F433:G433"/>
    <mergeCell ref="H433:I433"/>
    <mergeCell ref="J433:K433"/>
    <mergeCell ref="L433:M433"/>
    <mergeCell ref="N433:O433"/>
    <mergeCell ref="P435:Q435"/>
    <mergeCell ref="R435:S435"/>
    <mergeCell ref="T435:U435"/>
    <mergeCell ref="V435:W435"/>
    <mergeCell ref="X435:Y435"/>
    <mergeCell ref="Z435:AA435"/>
    <mergeCell ref="AB435:AC435"/>
    <mergeCell ref="B435:C435"/>
    <mergeCell ref="D435:E435"/>
    <mergeCell ref="F435:G435"/>
    <mergeCell ref="H435:I435"/>
    <mergeCell ref="J435:K435"/>
    <mergeCell ref="L435:M435"/>
    <mergeCell ref="N435:O435"/>
    <mergeCell ref="AD433:AE433"/>
    <mergeCell ref="AF433:AG433"/>
    <mergeCell ref="P433:Q433"/>
    <mergeCell ref="R433:S433"/>
    <mergeCell ref="T433:U433"/>
    <mergeCell ref="V433:W433"/>
    <mergeCell ref="X433:Y433"/>
    <mergeCell ref="Z433:AA433"/>
    <mergeCell ref="AB433:AC433"/>
    <mergeCell ref="AD434:AE434"/>
    <mergeCell ref="AF434:AG434"/>
    <mergeCell ref="AH434:AI434"/>
    <mergeCell ref="AJ434:AK434"/>
    <mergeCell ref="AL434:BB434"/>
    <mergeCell ref="P434:Q434"/>
    <mergeCell ref="R434:S434"/>
    <mergeCell ref="T434:U434"/>
    <mergeCell ref="V434:W434"/>
    <mergeCell ref="X434:Y434"/>
    <mergeCell ref="Z434:AA434"/>
    <mergeCell ref="AB434:AC434"/>
    <mergeCell ref="B434:C434"/>
    <mergeCell ref="D434:E434"/>
    <mergeCell ref="F434:G434"/>
    <mergeCell ref="H434:I434"/>
    <mergeCell ref="J434:K434"/>
    <mergeCell ref="L434:M434"/>
    <mergeCell ref="N434:O434"/>
    <mergeCell ref="AD435:AE435"/>
    <mergeCell ref="AF435:AG435"/>
    <mergeCell ref="AH435:AI435"/>
    <mergeCell ref="P429:Q429"/>
    <mergeCell ref="R429:S429"/>
    <mergeCell ref="T429:U429"/>
    <mergeCell ref="V429:W429"/>
    <mergeCell ref="X429:Y429"/>
    <mergeCell ref="Z429:AA429"/>
    <mergeCell ref="AB429:AC429"/>
    <mergeCell ref="B429:C429"/>
    <mergeCell ref="D429:E429"/>
    <mergeCell ref="F429:G429"/>
    <mergeCell ref="H429:I429"/>
    <mergeCell ref="J429:K429"/>
    <mergeCell ref="L429:M429"/>
    <mergeCell ref="N429:O429"/>
    <mergeCell ref="AD451:AE451"/>
    <mergeCell ref="AF451:AG451"/>
    <mergeCell ref="AH451:AI451"/>
    <mergeCell ref="AJ451:AK451"/>
    <mergeCell ref="AL451:BB451"/>
    <mergeCell ref="P451:Q451"/>
    <mergeCell ref="R451:S451"/>
    <mergeCell ref="T451:U451"/>
    <mergeCell ref="V451:W451"/>
    <mergeCell ref="X451:Y451"/>
    <mergeCell ref="Z451:AA451"/>
    <mergeCell ref="AB451:AC451"/>
    <mergeCell ref="P432:Q432"/>
    <mergeCell ref="R432:S432"/>
    <mergeCell ref="T432:U432"/>
    <mergeCell ref="V432:W432"/>
    <mergeCell ref="X432:Y432"/>
    <mergeCell ref="Z432:AA432"/>
    <mergeCell ref="AB432:AC432"/>
    <mergeCell ref="B432:C432"/>
    <mergeCell ref="D432:E432"/>
    <mergeCell ref="F432:G432"/>
    <mergeCell ref="H432:I432"/>
    <mergeCell ref="J432:K432"/>
    <mergeCell ref="L432:M432"/>
    <mergeCell ref="N432:O432"/>
    <mergeCell ref="AD430:AE430"/>
    <mergeCell ref="AF430:AG430"/>
    <mergeCell ref="P430:Q430"/>
    <mergeCell ref="R430:S430"/>
    <mergeCell ref="T430:U430"/>
    <mergeCell ref="V430:W430"/>
    <mergeCell ref="X430:Y430"/>
    <mergeCell ref="Z430:AA430"/>
    <mergeCell ref="AB430:AC430"/>
    <mergeCell ref="AD431:AE431"/>
    <mergeCell ref="AF431:AG431"/>
    <mergeCell ref="AH431:AI431"/>
    <mergeCell ref="AJ431:AK431"/>
    <mergeCell ref="AL431:BB431"/>
    <mergeCell ref="P431:Q431"/>
    <mergeCell ref="R431:S431"/>
    <mergeCell ref="T431:U431"/>
    <mergeCell ref="V431:W431"/>
    <mergeCell ref="X431:Y431"/>
    <mergeCell ref="Z431:AA431"/>
    <mergeCell ref="AB431:AC431"/>
    <mergeCell ref="B431:C431"/>
    <mergeCell ref="D431:E431"/>
    <mergeCell ref="F431:G431"/>
    <mergeCell ref="AL420:BB420"/>
    <mergeCell ref="AH421:AI421"/>
    <mergeCell ref="AJ421:AK421"/>
    <mergeCell ref="AL421:BB421"/>
    <mergeCell ref="B421:C421"/>
    <mergeCell ref="D421:E421"/>
    <mergeCell ref="F421:G421"/>
    <mergeCell ref="H421:I421"/>
    <mergeCell ref="J421:K421"/>
    <mergeCell ref="L421:M421"/>
    <mergeCell ref="N421:O421"/>
    <mergeCell ref="P423:Q423"/>
    <mergeCell ref="R423:S423"/>
    <mergeCell ref="T423:U423"/>
    <mergeCell ref="V423:W423"/>
    <mergeCell ref="X423:Y423"/>
    <mergeCell ref="Z423:AA423"/>
    <mergeCell ref="AB423:AC423"/>
    <mergeCell ref="B423:C423"/>
    <mergeCell ref="D423:E423"/>
    <mergeCell ref="F423:G423"/>
    <mergeCell ref="H423:I423"/>
    <mergeCell ref="J423:K423"/>
    <mergeCell ref="L423:M423"/>
    <mergeCell ref="N423:O423"/>
    <mergeCell ref="AD421:AE421"/>
    <mergeCell ref="AF421:AG421"/>
    <mergeCell ref="P421:Q421"/>
    <mergeCell ref="R421:S421"/>
    <mergeCell ref="T421:U421"/>
    <mergeCell ref="V421:W421"/>
    <mergeCell ref="X421:Y421"/>
    <mergeCell ref="Z421:AA421"/>
    <mergeCell ref="AB421:AC421"/>
    <mergeCell ref="AD422:AE422"/>
    <mergeCell ref="AF422:AG422"/>
    <mergeCell ref="AH422:AI422"/>
    <mergeCell ref="AJ422:AK422"/>
    <mergeCell ref="AL422:BB422"/>
    <mergeCell ref="P422:Q422"/>
    <mergeCell ref="R422:S422"/>
    <mergeCell ref="T422:U422"/>
    <mergeCell ref="V422:W422"/>
    <mergeCell ref="X422:Y422"/>
    <mergeCell ref="Z422:AA422"/>
    <mergeCell ref="AB422:AC422"/>
    <mergeCell ref="B422:C422"/>
    <mergeCell ref="D422:E422"/>
    <mergeCell ref="F422:G422"/>
    <mergeCell ref="H422:I422"/>
    <mergeCell ref="J422:K422"/>
    <mergeCell ref="L422:M422"/>
    <mergeCell ref="N422:O422"/>
    <mergeCell ref="AD423:AE423"/>
    <mergeCell ref="AF423:AG423"/>
    <mergeCell ref="AH423:AI423"/>
    <mergeCell ref="AJ423:AK423"/>
    <mergeCell ref="AL423:BB423"/>
    <mergeCell ref="AD429:AE429"/>
    <mergeCell ref="AF429:AG429"/>
    <mergeCell ref="AH429:AI429"/>
    <mergeCell ref="AJ429:AK429"/>
    <mergeCell ref="AL429:BB429"/>
    <mergeCell ref="AH430:AI430"/>
    <mergeCell ref="AJ430:AK430"/>
    <mergeCell ref="AL430:BB430"/>
    <mergeCell ref="B430:C430"/>
    <mergeCell ref="D430:E430"/>
    <mergeCell ref="F430:G430"/>
    <mergeCell ref="H430:I430"/>
    <mergeCell ref="J430:K430"/>
    <mergeCell ref="L430:M430"/>
    <mergeCell ref="N430:O430"/>
    <mergeCell ref="AD415:AE415"/>
    <mergeCell ref="AF415:AG415"/>
    <mergeCell ref="P415:Q415"/>
    <mergeCell ref="R415:S415"/>
    <mergeCell ref="T415:U415"/>
    <mergeCell ref="V415:W415"/>
    <mergeCell ref="X415:Y415"/>
    <mergeCell ref="Z415:AA415"/>
    <mergeCell ref="AB415:AC415"/>
    <mergeCell ref="AD416:AE416"/>
    <mergeCell ref="AF416:AG416"/>
    <mergeCell ref="AH416:AI416"/>
    <mergeCell ref="AJ416:AK416"/>
    <mergeCell ref="AL416:BB416"/>
    <mergeCell ref="P416:Q416"/>
    <mergeCell ref="R416:S416"/>
    <mergeCell ref="T416:U416"/>
    <mergeCell ref="V416:W416"/>
    <mergeCell ref="X416:Y416"/>
    <mergeCell ref="Z416:AA416"/>
    <mergeCell ref="AB416:AC416"/>
    <mergeCell ref="B416:C416"/>
    <mergeCell ref="D416:E416"/>
    <mergeCell ref="F416:G416"/>
    <mergeCell ref="H416:I416"/>
    <mergeCell ref="J416:K416"/>
    <mergeCell ref="L416:M416"/>
    <mergeCell ref="N416:O416"/>
    <mergeCell ref="AD417:AE417"/>
    <mergeCell ref="AF417:AG417"/>
    <mergeCell ref="AH417:AI417"/>
    <mergeCell ref="AJ417:AK417"/>
    <mergeCell ref="AL417:BB417"/>
    <mergeCell ref="AH418:AI418"/>
    <mergeCell ref="AJ418:AK418"/>
    <mergeCell ref="AL418:BB418"/>
    <mergeCell ref="B418:C418"/>
    <mergeCell ref="D418:E418"/>
    <mergeCell ref="F418:G418"/>
    <mergeCell ref="H418:I418"/>
    <mergeCell ref="J418:K418"/>
    <mergeCell ref="L418:M418"/>
    <mergeCell ref="N418:O418"/>
    <mergeCell ref="AD418:AE418"/>
    <mergeCell ref="AF418:AG418"/>
    <mergeCell ref="P418:Q418"/>
    <mergeCell ref="R418:S418"/>
    <mergeCell ref="T418:U418"/>
    <mergeCell ref="V418:W418"/>
    <mergeCell ref="AH427:AI427"/>
    <mergeCell ref="AJ427:AK427"/>
    <mergeCell ref="AL427:BB427"/>
    <mergeCell ref="B427:C427"/>
    <mergeCell ref="D427:E427"/>
    <mergeCell ref="F427:G427"/>
    <mergeCell ref="H427:I427"/>
    <mergeCell ref="J427:K427"/>
    <mergeCell ref="L427:M427"/>
    <mergeCell ref="N427:O427"/>
    <mergeCell ref="AD427:AE427"/>
    <mergeCell ref="AF427:AG427"/>
    <mergeCell ref="P427:Q427"/>
    <mergeCell ref="R427:S427"/>
    <mergeCell ref="T427:U427"/>
    <mergeCell ref="V427:W427"/>
    <mergeCell ref="X427:Y427"/>
    <mergeCell ref="Z427:AA427"/>
    <mergeCell ref="AB427:AC427"/>
    <mergeCell ref="AD428:AE428"/>
    <mergeCell ref="AF428:AG428"/>
    <mergeCell ref="AH428:AI428"/>
    <mergeCell ref="AJ428:AK428"/>
    <mergeCell ref="AL428:BB428"/>
    <mergeCell ref="P428:Q428"/>
    <mergeCell ref="R428:S428"/>
    <mergeCell ref="T428:U428"/>
    <mergeCell ref="V428:W428"/>
    <mergeCell ref="X428:Y428"/>
    <mergeCell ref="Z428:AA428"/>
    <mergeCell ref="AB428:AC428"/>
    <mergeCell ref="B428:C428"/>
    <mergeCell ref="D428:E428"/>
    <mergeCell ref="F428:G428"/>
    <mergeCell ref="H428:I428"/>
    <mergeCell ref="J428:K428"/>
    <mergeCell ref="L428:M428"/>
    <mergeCell ref="N428:O428"/>
    <mergeCell ref="AD424:AE424"/>
    <mergeCell ref="AF424:AG424"/>
    <mergeCell ref="P424:Q424"/>
    <mergeCell ref="R424:S424"/>
    <mergeCell ref="T424:U424"/>
    <mergeCell ref="V424:W424"/>
    <mergeCell ref="X424:Y424"/>
    <mergeCell ref="Z424:AA424"/>
    <mergeCell ref="AB424:AC424"/>
    <mergeCell ref="AD425:AE425"/>
    <mergeCell ref="AF425:AG425"/>
    <mergeCell ref="AH425:AI425"/>
    <mergeCell ref="AJ425:AK425"/>
    <mergeCell ref="AL425:BB425"/>
    <mergeCell ref="P425:Q425"/>
    <mergeCell ref="R425:S425"/>
    <mergeCell ref="T425:U425"/>
    <mergeCell ref="V425:W425"/>
    <mergeCell ref="X425:Y425"/>
    <mergeCell ref="Z425:AA425"/>
    <mergeCell ref="AB425:AC425"/>
    <mergeCell ref="B425:C425"/>
    <mergeCell ref="D425:E425"/>
    <mergeCell ref="F425:G425"/>
    <mergeCell ref="H425:I425"/>
    <mergeCell ref="J425:K425"/>
    <mergeCell ref="L425:M425"/>
    <mergeCell ref="N425:O425"/>
    <mergeCell ref="AD426:AE426"/>
    <mergeCell ref="AF426:AG426"/>
    <mergeCell ref="AH426:AI426"/>
    <mergeCell ref="AJ426:AK426"/>
    <mergeCell ref="AL426:BB426"/>
    <mergeCell ref="AH424:AI424"/>
    <mergeCell ref="AJ424:AK424"/>
    <mergeCell ref="AL424:BB424"/>
    <mergeCell ref="B424:C424"/>
    <mergeCell ref="D424:E424"/>
    <mergeCell ref="F424:G424"/>
    <mergeCell ref="H424:I424"/>
    <mergeCell ref="J424:K424"/>
    <mergeCell ref="L424:M424"/>
    <mergeCell ref="N424:O424"/>
    <mergeCell ref="P426:Q426"/>
    <mergeCell ref="R426:S426"/>
    <mergeCell ref="T426:U426"/>
    <mergeCell ref="V426:W426"/>
    <mergeCell ref="X426:Y426"/>
    <mergeCell ref="Z426:AA426"/>
    <mergeCell ref="AB426:AC426"/>
    <mergeCell ref="B426:C426"/>
    <mergeCell ref="D426:E426"/>
    <mergeCell ref="F426:G426"/>
    <mergeCell ref="H426:I426"/>
    <mergeCell ref="J426:K426"/>
    <mergeCell ref="L426:M426"/>
    <mergeCell ref="N426:O426"/>
    <mergeCell ref="AH415:AI415"/>
    <mergeCell ref="AJ415:AK415"/>
    <mergeCell ref="AL415:BB415"/>
    <mergeCell ref="B415:C415"/>
    <mergeCell ref="D415:E415"/>
    <mergeCell ref="F415:G415"/>
    <mergeCell ref="H415:I415"/>
    <mergeCell ref="J415:K415"/>
    <mergeCell ref="L415:M415"/>
    <mergeCell ref="N415:O415"/>
    <mergeCell ref="P417:Q417"/>
    <mergeCell ref="R417:S417"/>
    <mergeCell ref="T417:U417"/>
    <mergeCell ref="V417:W417"/>
    <mergeCell ref="X417:Y417"/>
    <mergeCell ref="Z417:AA417"/>
    <mergeCell ref="AB417:AC417"/>
    <mergeCell ref="B417:C417"/>
    <mergeCell ref="D417:E417"/>
    <mergeCell ref="F417:G417"/>
    <mergeCell ref="H417:I417"/>
    <mergeCell ref="J417:K417"/>
    <mergeCell ref="L417:M417"/>
    <mergeCell ref="N417:O417"/>
    <mergeCell ref="P420:Q420"/>
    <mergeCell ref="R420:S420"/>
    <mergeCell ref="T420:U420"/>
    <mergeCell ref="V420:W420"/>
    <mergeCell ref="X420:Y420"/>
    <mergeCell ref="Z420:AA420"/>
    <mergeCell ref="AB420:AC420"/>
    <mergeCell ref="B420:C420"/>
    <mergeCell ref="D420:E420"/>
    <mergeCell ref="F420:G420"/>
    <mergeCell ref="H420:I420"/>
    <mergeCell ref="J420:K420"/>
    <mergeCell ref="L420:M420"/>
    <mergeCell ref="N420:O420"/>
    <mergeCell ref="X418:Y418"/>
    <mergeCell ref="Z418:AA418"/>
    <mergeCell ref="AB418:AC418"/>
    <mergeCell ref="AD419:AE419"/>
    <mergeCell ref="AF419:AG419"/>
    <mergeCell ref="AH419:AI419"/>
    <mergeCell ref="AJ419:AK419"/>
    <mergeCell ref="AL419:BB419"/>
    <mergeCell ref="P419:Q419"/>
    <mergeCell ref="R419:S419"/>
    <mergeCell ref="T419:U419"/>
    <mergeCell ref="V419:W419"/>
    <mergeCell ref="X419:Y419"/>
    <mergeCell ref="Z419:AA419"/>
    <mergeCell ref="AB419:AC419"/>
    <mergeCell ref="B419:C419"/>
    <mergeCell ref="D419:E419"/>
    <mergeCell ref="F419:G419"/>
    <mergeCell ref="H419:I419"/>
    <mergeCell ref="J419:K419"/>
    <mergeCell ref="L419:M419"/>
    <mergeCell ref="N419:O419"/>
    <mergeCell ref="AD420:AE420"/>
    <mergeCell ref="AF420:AG420"/>
    <mergeCell ref="AH420:AI420"/>
    <mergeCell ref="AJ420:AK420"/>
    <mergeCell ref="AH412:AI412"/>
    <mergeCell ref="AJ412:AK412"/>
    <mergeCell ref="AL412:BB412"/>
    <mergeCell ref="B412:C412"/>
    <mergeCell ref="D412:E412"/>
    <mergeCell ref="F412:G412"/>
    <mergeCell ref="H412:I412"/>
    <mergeCell ref="J412:K412"/>
    <mergeCell ref="L412:M412"/>
    <mergeCell ref="N412:O412"/>
    <mergeCell ref="P414:Q414"/>
    <mergeCell ref="R414:S414"/>
    <mergeCell ref="T414:U414"/>
    <mergeCell ref="V414:W414"/>
    <mergeCell ref="X414:Y414"/>
    <mergeCell ref="Z414:AA414"/>
    <mergeCell ref="AB414:AC414"/>
    <mergeCell ref="B414:C414"/>
    <mergeCell ref="D414:E414"/>
    <mergeCell ref="F414:G414"/>
    <mergeCell ref="H414:I414"/>
    <mergeCell ref="J414:K414"/>
    <mergeCell ref="L414:M414"/>
    <mergeCell ref="N414:O414"/>
    <mergeCell ref="AD412:AE412"/>
    <mergeCell ref="AF412:AG412"/>
    <mergeCell ref="P412:Q412"/>
    <mergeCell ref="R412:S412"/>
    <mergeCell ref="T412:U412"/>
    <mergeCell ref="V412:W412"/>
    <mergeCell ref="X412:Y412"/>
    <mergeCell ref="Z412:AA412"/>
    <mergeCell ref="AB412:AC412"/>
    <mergeCell ref="AD413:AE413"/>
    <mergeCell ref="AF413:AG413"/>
    <mergeCell ref="AH413:AI413"/>
    <mergeCell ref="AJ413:AK413"/>
    <mergeCell ref="AL413:BB413"/>
    <mergeCell ref="P413:Q413"/>
    <mergeCell ref="R413:S413"/>
    <mergeCell ref="T413:U413"/>
    <mergeCell ref="V413:W413"/>
    <mergeCell ref="X413:Y413"/>
    <mergeCell ref="Z413:AA413"/>
    <mergeCell ref="AB413:AC413"/>
    <mergeCell ref="B413:C413"/>
    <mergeCell ref="D413:E413"/>
    <mergeCell ref="F413:G413"/>
    <mergeCell ref="H413:I413"/>
    <mergeCell ref="J413:K413"/>
    <mergeCell ref="L413:M413"/>
    <mergeCell ref="N413:O413"/>
    <mergeCell ref="AD414:AE414"/>
    <mergeCell ref="AF414:AG414"/>
    <mergeCell ref="AH414:AI414"/>
    <mergeCell ref="AJ414:AK414"/>
    <mergeCell ref="AL414:BB414"/>
    <mergeCell ref="B409:C409"/>
    <mergeCell ref="D409:E409"/>
    <mergeCell ref="F409:G409"/>
    <mergeCell ref="H409:I409"/>
    <mergeCell ref="J409:K409"/>
    <mergeCell ref="L409:M409"/>
    <mergeCell ref="N409:O409"/>
    <mergeCell ref="AD410:AE410"/>
    <mergeCell ref="AF410:AG410"/>
    <mergeCell ref="AH410:AI410"/>
    <mergeCell ref="AJ410:AK410"/>
    <mergeCell ref="AL410:BB410"/>
    <mergeCell ref="P410:Q410"/>
    <mergeCell ref="R410:S410"/>
    <mergeCell ref="T410:U410"/>
    <mergeCell ref="V410:W410"/>
    <mergeCell ref="X410:Y410"/>
    <mergeCell ref="Z410:AA410"/>
    <mergeCell ref="AB410:AC410"/>
    <mergeCell ref="B410:C410"/>
    <mergeCell ref="D410:E410"/>
    <mergeCell ref="F410:G410"/>
    <mergeCell ref="H410:I410"/>
    <mergeCell ref="J410:K410"/>
    <mergeCell ref="L410:M410"/>
    <mergeCell ref="N410:O410"/>
    <mergeCell ref="AD411:AE411"/>
    <mergeCell ref="AF411:AG411"/>
    <mergeCell ref="AH411:AI411"/>
    <mergeCell ref="AJ411:AK411"/>
    <mergeCell ref="AL411:BB411"/>
    <mergeCell ref="P411:Q411"/>
    <mergeCell ref="R411:S411"/>
    <mergeCell ref="T411:U411"/>
    <mergeCell ref="V411:W411"/>
    <mergeCell ref="X411:Y411"/>
    <mergeCell ref="Z411:AA411"/>
    <mergeCell ref="AB411:AC411"/>
    <mergeCell ref="B411:C411"/>
    <mergeCell ref="D411:E411"/>
    <mergeCell ref="F411:G411"/>
    <mergeCell ref="H411:I411"/>
    <mergeCell ref="J411:K411"/>
    <mergeCell ref="L411:M411"/>
    <mergeCell ref="N411:O411"/>
    <mergeCell ref="AH406:AI406"/>
    <mergeCell ref="AJ406:AK406"/>
    <mergeCell ref="AL406:BB406"/>
    <mergeCell ref="B406:C406"/>
    <mergeCell ref="D406:E406"/>
    <mergeCell ref="F406:G406"/>
    <mergeCell ref="H406:I406"/>
    <mergeCell ref="J406:K406"/>
    <mergeCell ref="L406:M406"/>
    <mergeCell ref="N406:O406"/>
    <mergeCell ref="P408:Q408"/>
    <mergeCell ref="R408:S408"/>
    <mergeCell ref="T408:U408"/>
    <mergeCell ref="V408:W408"/>
    <mergeCell ref="X408:Y408"/>
    <mergeCell ref="Z408:AA408"/>
    <mergeCell ref="AB408:AC408"/>
    <mergeCell ref="B408:C408"/>
    <mergeCell ref="D408:E408"/>
    <mergeCell ref="F408:G408"/>
    <mergeCell ref="H408:I408"/>
    <mergeCell ref="J408:K408"/>
    <mergeCell ref="L408:M408"/>
    <mergeCell ref="N408:O408"/>
    <mergeCell ref="AD406:AE406"/>
    <mergeCell ref="AF406:AG406"/>
    <mergeCell ref="P406:Q406"/>
    <mergeCell ref="R406:S406"/>
    <mergeCell ref="T406:U406"/>
    <mergeCell ref="V406:W406"/>
    <mergeCell ref="X406:Y406"/>
    <mergeCell ref="Z406:AA406"/>
    <mergeCell ref="AB406:AC406"/>
    <mergeCell ref="AD407:AE407"/>
    <mergeCell ref="AF407:AG407"/>
    <mergeCell ref="AH407:AI407"/>
    <mergeCell ref="AJ407:AK407"/>
    <mergeCell ref="AL407:BB407"/>
    <mergeCell ref="P407:Q407"/>
    <mergeCell ref="R407:S407"/>
    <mergeCell ref="T407:U407"/>
    <mergeCell ref="V407:W407"/>
    <mergeCell ref="X407:Y407"/>
    <mergeCell ref="Z407:AA407"/>
    <mergeCell ref="AB407:AC407"/>
    <mergeCell ref="B407:C407"/>
    <mergeCell ref="D407:E407"/>
    <mergeCell ref="F407:G407"/>
    <mergeCell ref="H407:I407"/>
    <mergeCell ref="J407:K407"/>
    <mergeCell ref="L407:M407"/>
    <mergeCell ref="N407:O407"/>
    <mergeCell ref="AD408:AE408"/>
    <mergeCell ref="AF408:AG408"/>
    <mergeCell ref="AH408:AI408"/>
    <mergeCell ref="AJ408:AK408"/>
    <mergeCell ref="AL408:BB408"/>
    <mergeCell ref="AH403:AI403"/>
    <mergeCell ref="AJ403:AK403"/>
    <mergeCell ref="AL403:BB403"/>
    <mergeCell ref="B403:C403"/>
    <mergeCell ref="D403:E403"/>
    <mergeCell ref="F403:G403"/>
    <mergeCell ref="H403:I403"/>
    <mergeCell ref="J403:K403"/>
    <mergeCell ref="L403:M403"/>
    <mergeCell ref="N403:O403"/>
    <mergeCell ref="P405:Q405"/>
    <mergeCell ref="R405:S405"/>
    <mergeCell ref="T405:U405"/>
    <mergeCell ref="V405:W405"/>
    <mergeCell ref="X405:Y405"/>
    <mergeCell ref="Z405:AA405"/>
    <mergeCell ref="AB405:AC405"/>
    <mergeCell ref="B405:C405"/>
    <mergeCell ref="D405:E405"/>
    <mergeCell ref="F405:G405"/>
    <mergeCell ref="H405:I405"/>
    <mergeCell ref="J405:K405"/>
    <mergeCell ref="L405:M405"/>
    <mergeCell ref="N405:O405"/>
    <mergeCell ref="AD403:AE403"/>
    <mergeCell ref="AF403:AG403"/>
    <mergeCell ref="P403:Q403"/>
    <mergeCell ref="R403:S403"/>
    <mergeCell ref="T403:U403"/>
    <mergeCell ref="V403:W403"/>
    <mergeCell ref="X403:Y403"/>
    <mergeCell ref="Z403:AA403"/>
    <mergeCell ref="AB403:AC403"/>
    <mergeCell ref="AD404:AE404"/>
    <mergeCell ref="AF404:AG404"/>
    <mergeCell ref="AH404:AI404"/>
    <mergeCell ref="AJ404:AK404"/>
    <mergeCell ref="AL404:BB404"/>
    <mergeCell ref="P404:Q404"/>
    <mergeCell ref="R404:S404"/>
    <mergeCell ref="T404:U404"/>
    <mergeCell ref="V404:W404"/>
    <mergeCell ref="X404:Y404"/>
    <mergeCell ref="Z404:AA404"/>
    <mergeCell ref="AB404:AC404"/>
    <mergeCell ref="B404:C404"/>
    <mergeCell ref="D404:E404"/>
    <mergeCell ref="F404:G404"/>
    <mergeCell ref="H404:I404"/>
    <mergeCell ref="J404:K404"/>
    <mergeCell ref="L404:M404"/>
    <mergeCell ref="N404:O404"/>
    <mergeCell ref="AD405:AE405"/>
    <mergeCell ref="AF405:AG405"/>
    <mergeCell ref="AH405:AI405"/>
    <mergeCell ref="AJ405:AK405"/>
    <mergeCell ref="AL405:BB405"/>
    <mergeCell ref="AH400:AI400"/>
    <mergeCell ref="AJ400:AK400"/>
    <mergeCell ref="AL400:BB400"/>
    <mergeCell ref="B400:C400"/>
    <mergeCell ref="D400:E400"/>
    <mergeCell ref="F400:G400"/>
    <mergeCell ref="H400:I400"/>
    <mergeCell ref="J400:K400"/>
    <mergeCell ref="L400:M400"/>
    <mergeCell ref="N400:O400"/>
    <mergeCell ref="P402:Q402"/>
    <mergeCell ref="R402:S402"/>
    <mergeCell ref="T402:U402"/>
    <mergeCell ref="V402:W402"/>
    <mergeCell ref="X402:Y402"/>
    <mergeCell ref="Z402:AA402"/>
    <mergeCell ref="AB402:AC402"/>
    <mergeCell ref="B402:C402"/>
    <mergeCell ref="D402:E402"/>
    <mergeCell ref="F402:G402"/>
    <mergeCell ref="H402:I402"/>
    <mergeCell ref="J402:K402"/>
    <mergeCell ref="L402:M402"/>
    <mergeCell ref="N402:O402"/>
    <mergeCell ref="AD400:AE400"/>
    <mergeCell ref="AF400:AG400"/>
    <mergeCell ref="P400:Q400"/>
    <mergeCell ref="R400:S400"/>
    <mergeCell ref="T400:U400"/>
    <mergeCell ref="V400:W400"/>
    <mergeCell ref="X400:Y400"/>
    <mergeCell ref="Z400:AA400"/>
    <mergeCell ref="AB400:AC400"/>
    <mergeCell ref="AD401:AE401"/>
    <mergeCell ref="AF401:AG401"/>
    <mergeCell ref="AH401:AI401"/>
    <mergeCell ref="AJ401:AK401"/>
    <mergeCell ref="AL401:BB401"/>
    <mergeCell ref="P401:Q401"/>
    <mergeCell ref="R401:S401"/>
    <mergeCell ref="T401:U401"/>
    <mergeCell ref="V401:W401"/>
    <mergeCell ref="X401:Y401"/>
    <mergeCell ref="Z401:AA401"/>
    <mergeCell ref="AB401:AC401"/>
    <mergeCell ref="B401:C401"/>
    <mergeCell ref="D401:E401"/>
    <mergeCell ref="F401:G401"/>
    <mergeCell ref="H401:I401"/>
    <mergeCell ref="J401:K401"/>
    <mergeCell ref="L401:M401"/>
    <mergeCell ref="N401:O401"/>
    <mergeCell ref="AD402:AE402"/>
    <mergeCell ref="AF402:AG402"/>
    <mergeCell ref="AH402:AI402"/>
    <mergeCell ref="AJ402:AK402"/>
    <mergeCell ref="AL402:BB402"/>
    <mergeCell ref="AH397:AI397"/>
    <mergeCell ref="AJ397:AK397"/>
    <mergeCell ref="AL397:BB397"/>
    <mergeCell ref="B397:C397"/>
    <mergeCell ref="D397:E397"/>
    <mergeCell ref="F397:G397"/>
    <mergeCell ref="H397:I397"/>
    <mergeCell ref="J397:K397"/>
    <mergeCell ref="L397:M397"/>
    <mergeCell ref="N397:O397"/>
    <mergeCell ref="P399:Q399"/>
    <mergeCell ref="R399:S399"/>
    <mergeCell ref="T399:U399"/>
    <mergeCell ref="V399:W399"/>
    <mergeCell ref="X399:Y399"/>
    <mergeCell ref="Z399:AA399"/>
    <mergeCell ref="AB399:AC399"/>
    <mergeCell ref="B399:C399"/>
    <mergeCell ref="D399:E399"/>
    <mergeCell ref="F399:G399"/>
    <mergeCell ref="H399:I399"/>
    <mergeCell ref="J399:K399"/>
    <mergeCell ref="L399:M399"/>
    <mergeCell ref="N399:O399"/>
    <mergeCell ref="AD397:AE397"/>
    <mergeCell ref="AF397:AG397"/>
    <mergeCell ref="P397:Q397"/>
    <mergeCell ref="R397:S397"/>
    <mergeCell ref="T397:U397"/>
    <mergeCell ref="V397:W397"/>
    <mergeCell ref="X397:Y397"/>
    <mergeCell ref="Z397:AA397"/>
    <mergeCell ref="AB397:AC397"/>
    <mergeCell ref="AD398:AE398"/>
    <mergeCell ref="AF398:AG398"/>
    <mergeCell ref="AH398:AI398"/>
    <mergeCell ref="AJ398:AK398"/>
    <mergeCell ref="AL398:BB398"/>
    <mergeCell ref="P398:Q398"/>
    <mergeCell ref="R398:S398"/>
    <mergeCell ref="T398:U398"/>
    <mergeCell ref="V398:W398"/>
    <mergeCell ref="X398:Y398"/>
    <mergeCell ref="Z398:AA398"/>
    <mergeCell ref="AB398:AC398"/>
    <mergeCell ref="B398:C398"/>
    <mergeCell ref="D398:E398"/>
    <mergeCell ref="F398:G398"/>
    <mergeCell ref="H398:I398"/>
    <mergeCell ref="J398:K398"/>
    <mergeCell ref="L398:M398"/>
    <mergeCell ref="N398:O398"/>
    <mergeCell ref="AD399:AE399"/>
    <mergeCell ref="AF399:AG399"/>
    <mergeCell ref="AH399:AI399"/>
    <mergeCell ref="AJ399:AK399"/>
    <mergeCell ref="AL399:BB399"/>
    <mergeCell ref="AJ393:AK393"/>
    <mergeCell ref="AL393:BB393"/>
    <mergeCell ref="AH394:AI394"/>
    <mergeCell ref="AJ394:AK394"/>
    <mergeCell ref="AL394:BB394"/>
    <mergeCell ref="B394:C394"/>
    <mergeCell ref="D394:E394"/>
    <mergeCell ref="F394:G394"/>
    <mergeCell ref="H394:I394"/>
    <mergeCell ref="J394:K394"/>
    <mergeCell ref="L394:M394"/>
    <mergeCell ref="N394:O394"/>
    <mergeCell ref="P396:Q396"/>
    <mergeCell ref="R396:S396"/>
    <mergeCell ref="T396:U396"/>
    <mergeCell ref="V396:W396"/>
    <mergeCell ref="X396:Y396"/>
    <mergeCell ref="Z396:AA396"/>
    <mergeCell ref="AB396:AC396"/>
    <mergeCell ref="B396:C396"/>
    <mergeCell ref="D396:E396"/>
    <mergeCell ref="F396:G396"/>
    <mergeCell ref="H396:I396"/>
    <mergeCell ref="J396:K396"/>
    <mergeCell ref="L396:M396"/>
    <mergeCell ref="N396:O396"/>
    <mergeCell ref="AD394:AE394"/>
    <mergeCell ref="AF394:AG394"/>
    <mergeCell ref="P394:Q394"/>
    <mergeCell ref="R394:S394"/>
    <mergeCell ref="T394:U394"/>
    <mergeCell ref="V394:W394"/>
    <mergeCell ref="X394:Y394"/>
    <mergeCell ref="Z394:AA394"/>
    <mergeCell ref="AB394:AC394"/>
    <mergeCell ref="AD395:AE395"/>
    <mergeCell ref="AF395:AG395"/>
    <mergeCell ref="AH395:AI395"/>
    <mergeCell ref="AJ395:AK395"/>
    <mergeCell ref="AL395:BB395"/>
    <mergeCell ref="P395:Q395"/>
    <mergeCell ref="R395:S395"/>
    <mergeCell ref="T395:U395"/>
    <mergeCell ref="V395:W395"/>
    <mergeCell ref="X395:Y395"/>
    <mergeCell ref="Z395:AA395"/>
    <mergeCell ref="AB395:AC395"/>
    <mergeCell ref="B395:C395"/>
    <mergeCell ref="D395:E395"/>
    <mergeCell ref="F395:G395"/>
    <mergeCell ref="H395:I395"/>
    <mergeCell ref="J395:K395"/>
    <mergeCell ref="L395:M395"/>
    <mergeCell ref="N395:O395"/>
    <mergeCell ref="AD396:AE396"/>
    <mergeCell ref="AF396:AG396"/>
    <mergeCell ref="AH396:AI396"/>
    <mergeCell ref="AJ396:AK396"/>
    <mergeCell ref="AL396:BB396"/>
    <mergeCell ref="H389:I389"/>
    <mergeCell ref="J389:K389"/>
    <mergeCell ref="L389:M389"/>
    <mergeCell ref="N389:O389"/>
    <mergeCell ref="AD390:AE390"/>
    <mergeCell ref="AF390:AG390"/>
    <mergeCell ref="AH390:AI390"/>
    <mergeCell ref="AJ390:AK390"/>
    <mergeCell ref="AL390:BB390"/>
    <mergeCell ref="AH391:AI391"/>
    <mergeCell ref="AJ391:AK391"/>
    <mergeCell ref="AL391:BB391"/>
    <mergeCell ref="B391:C391"/>
    <mergeCell ref="D391:E391"/>
    <mergeCell ref="F391:G391"/>
    <mergeCell ref="H391:I391"/>
    <mergeCell ref="J391:K391"/>
    <mergeCell ref="L391:M391"/>
    <mergeCell ref="N391:O391"/>
    <mergeCell ref="P393:Q393"/>
    <mergeCell ref="R393:S393"/>
    <mergeCell ref="T393:U393"/>
    <mergeCell ref="V393:W393"/>
    <mergeCell ref="X393:Y393"/>
    <mergeCell ref="Z393:AA393"/>
    <mergeCell ref="AB393:AC393"/>
    <mergeCell ref="B393:C393"/>
    <mergeCell ref="D393:E393"/>
    <mergeCell ref="F393:G393"/>
    <mergeCell ref="H393:I393"/>
    <mergeCell ref="J393:K393"/>
    <mergeCell ref="L393:M393"/>
    <mergeCell ref="N393:O393"/>
    <mergeCell ref="AD391:AE391"/>
    <mergeCell ref="AF391:AG391"/>
    <mergeCell ref="P391:Q391"/>
    <mergeCell ref="R391:S391"/>
    <mergeCell ref="T391:U391"/>
    <mergeCell ref="V391:W391"/>
    <mergeCell ref="X391:Y391"/>
    <mergeCell ref="Z391:AA391"/>
    <mergeCell ref="AB391:AC391"/>
    <mergeCell ref="AD392:AE392"/>
    <mergeCell ref="AF392:AG392"/>
    <mergeCell ref="AH392:AI392"/>
    <mergeCell ref="AJ392:AK392"/>
    <mergeCell ref="AL392:BB392"/>
    <mergeCell ref="P392:Q392"/>
    <mergeCell ref="R392:S392"/>
    <mergeCell ref="T392:U392"/>
    <mergeCell ref="V392:W392"/>
    <mergeCell ref="X392:Y392"/>
    <mergeCell ref="Z392:AA392"/>
    <mergeCell ref="AB392:AC392"/>
    <mergeCell ref="B392:C392"/>
    <mergeCell ref="D392:E392"/>
    <mergeCell ref="F392:G392"/>
    <mergeCell ref="H392:I392"/>
    <mergeCell ref="J392:K392"/>
    <mergeCell ref="L392:M392"/>
    <mergeCell ref="N392:O392"/>
    <mergeCell ref="AD393:AE393"/>
    <mergeCell ref="AF393:AG393"/>
    <mergeCell ref="AH393:AI393"/>
    <mergeCell ref="P387:Q387"/>
    <mergeCell ref="R387:S387"/>
    <mergeCell ref="T387:U387"/>
    <mergeCell ref="V387:W387"/>
    <mergeCell ref="X387:Y387"/>
    <mergeCell ref="Z387:AA387"/>
    <mergeCell ref="AB387:AC387"/>
    <mergeCell ref="B387:C387"/>
    <mergeCell ref="D387:E387"/>
    <mergeCell ref="F387:G387"/>
    <mergeCell ref="H387:I387"/>
    <mergeCell ref="J387:K387"/>
    <mergeCell ref="L387:M387"/>
    <mergeCell ref="N387:O387"/>
    <mergeCell ref="AD409:AE409"/>
    <mergeCell ref="AF409:AG409"/>
    <mergeCell ref="AH409:AI409"/>
    <mergeCell ref="AJ409:AK409"/>
    <mergeCell ref="AL409:BB409"/>
    <mergeCell ref="P409:Q409"/>
    <mergeCell ref="R409:S409"/>
    <mergeCell ref="T409:U409"/>
    <mergeCell ref="V409:W409"/>
    <mergeCell ref="X409:Y409"/>
    <mergeCell ref="Z409:AA409"/>
    <mergeCell ref="AB409:AC409"/>
    <mergeCell ref="P390:Q390"/>
    <mergeCell ref="R390:S390"/>
    <mergeCell ref="T390:U390"/>
    <mergeCell ref="V390:W390"/>
    <mergeCell ref="X390:Y390"/>
    <mergeCell ref="Z390:AA390"/>
    <mergeCell ref="AB390:AC390"/>
    <mergeCell ref="B390:C390"/>
    <mergeCell ref="D390:E390"/>
    <mergeCell ref="F390:G390"/>
    <mergeCell ref="H390:I390"/>
    <mergeCell ref="J390:K390"/>
    <mergeCell ref="L390:M390"/>
    <mergeCell ref="N390:O390"/>
    <mergeCell ref="AD388:AE388"/>
    <mergeCell ref="AF388:AG388"/>
    <mergeCell ref="P388:Q388"/>
    <mergeCell ref="R388:S388"/>
    <mergeCell ref="T388:U388"/>
    <mergeCell ref="V388:W388"/>
    <mergeCell ref="X388:Y388"/>
    <mergeCell ref="Z388:AA388"/>
    <mergeCell ref="AB388:AC388"/>
    <mergeCell ref="AD389:AE389"/>
    <mergeCell ref="AF389:AG389"/>
    <mergeCell ref="AH389:AI389"/>
    <mergeCell ref="AJ389:AK389"/>
    <mergeCell ref="AL389:BB389"/>
    <mergeCell ref="P389:Q389"/>
    <mergeCell ref="R389:S389"/>
    <mergeCell ref="T389:U389"/>
    <mergeCell ref="V389:W389"/>
    <mergeCell ref="X389:Y389"/>
    <mergeCell ref="Z389:AA389"/>
    <mergeCell ref="AB389:AC389"/>
    <mergeCell ref="B389:C389"/>
    <mergeCell ref="D389:E389"/>
    <mergeCell ref="F389:G389"/>
    <mergeCell ref="AL378:BB378"/>
    <mergeCell ref="AH379:AI379"/>
    <mergeCell ref="AJ379:AK379"/>
    <mergeCell ref="AL379:BB379"/>
    <mergeCell ref="B379:C379"/>
    <mergeCell ref="D379:E379"/>
    <mergeCell ref="F379:G379"/>
    <mergeCell ref="H379:I379"/>
    <mergeCell ref="J379:K379"/>
    <mergeCell ref="L379:M379"/>
    <mergeCell ref="N379:O379"/>
    <mergeCell ref="P381:Q381"/>
    <mergeCell ref="R381:S381"/>
    <mergeCell ref="T381:U381"/>
    <mergeCell ref="V381:W381"/>
    <mergeCell ref="X381:Y381"/>
    <mergeCell ref="Z381:AA381"/>
    <mergeCell ref="AB381:AC381"/>
    <mergeCell ref="B381:C381"/>
    <mergeCell ref="D381:E381"/>
    <mergeCell ref="F381:G381"/>
    <mergeCell ref="H381:I381"/>
    <mergeCell ref="J381:K381"/>
    <mergeCell ref="L381:M381"/>
    <mergeCell ref="N381:O381"/>
    <mergeCell ref="AD379:AE379"/>
    <mergeCell ref="AF379:AG379"/>
    <mergeCell ref="P379:Q379"/>
    <mergeCell ref="R379:S379"/>
    <mergeCell ref="T379:U379"/>
    <mergeCell ref="V379:W379"/>
    <mergeCell ref="X379:Y379"/>
    <mergeCell ref="Z379:AA379"/>
    <mergeCell ref="AB379:AC379"/>
    <mergeCell ref="AD380:AE380"/>
    <mergeCell ref="AF380:AG380"/>
    <mergeCell ref="AH380:AI380"/>
    <mergeCell ref="AJ380:AK380"/>
    <mergeCell ref="AL380:BB380"/>
    <mergeCell ref="P380:Q380"/>
    <mergeCell ref="R380:S380"/>
    <mergeCell ref="T380:U380"/>
    <mergeCell ref="V380:W380"/>
    <mergeCell ref="X380:Y380"/>
    <mergeCell ref="Z380:AA380"/>
    <mergeCell ref="AB380:AC380"/>
    <mergeCell ref="B380:C380"/>
    <mergeCell ref="D380:E380"/>
    <mergeCell ref="F380:G380"/>
    <mergeCell ref="H380:I380"/>
    <mergeCell ref="J380:K380"/>
    <mergeCell ref="L380:M380"/>
    <mergeCell ref="N380:O380"/>
    <mergeCell ref="AD381:AE381"/>
    <mergeCell ref="AF381:AG381"/>
    <mergeCell ref="AH381:AI381"/>
    <mergeCell ref="AJ381:AK381"/>
    <mergeCell ref="AL381:BB381"/>
    <mergeCell ref="AD387:AE387"/>
    <mergeCell ref="AF387:AG387"/>
    <mergeCell ref="AH387:AI387"/>
    <mergeCell ref="AJ387:AK387"/>
    <mergeCell ref="AL387:BB387"/>
    <mergeCell ref="AH388:AI388"/>
    <mergeCell ref="AJ388:AK388"/>
    <mergeCell ref="AL388:BB388"/>
    <mergeCell ref="B388:C388"/>
    <mergeCell ref="D388:E388"/>
    <mergeCell ref="F388:G388"/>
    <mergeCell ref="H388:I388"/>
    <mergeCell ref="J388:K388"/>
    <mergeCell ref="L388:M388"/>
    <mergeCell ref="N388:O388"/>
    <mergeCell ref="AD373:AE373"/>
    <mergeCell ref="AF373:AG373"/>
    <mergeCell ref="P373:Q373"/>
    <mergeCell ref="R373:S373"/>
    <mergeCell ref="T373:U373"/>
    <mergeCell ref="V373:W373"/>
    <mergeCell ref="X373:Y373"/>
    <mergeCell ref="Z373:AA373"/>
    <mergeCell ref="AB373:AC373"/>
    <mergeCell ref="AD374:AE374"/>
    <mergeCell ref="AF374:AG374"/>
    <mergeCell ref="AH374:AI374"/>
    <mergeCell ref="AJ374:AK374"/>
    <mergeCell ref="AL374:BB374"/>
    <mergeCell ref="P374:Q374"/>
    <mergeCell ref="R374:S374"/>
    <mergeCell ref="T374:U374"/>
    <mergeCell ref="V374:W374"/>
    <mergeCell ref="X374:Y374"/>
    <mergeCell ref="Z374:AA374"/>
    <mergeCell ref="AB374:AC374"/>
    <mergeCell ref="B374:C374"/>
    <mergeCell ref="D374:E374"/>
    <mergeCell ref="F374:G374"/>
    <mergeCell ref="H374:I374"/>
    <mergeCell ref="J374:K374"/>
    <mergeCell ref="L374:M374"/>
    <mergeCell ref="N374:O374"/>
    <mergeCell ref="AD375:AE375"/>
    <mergeCell ref="AF375:AG375"/>
    <mergeCell ref="AH375:AI375"/>
    <mergeCell ref="AJ375:AK375"/>
    <mergeCell ref="AL375:BB375"/>
    <mergeCell ref="AH376:AI376"/>
    <mergeCell ref="AJ376:AK376"/>
    <mergeCell ref="AL376:BB376"/>
    <mergeCell ref="B376:C376"/>
    <mergeCell ref="D376:E376"/>
    <mergeCell ref="F376:G376"/>
    <mergeCell ref="H376:I376"/>
    <mergeCell ref="J376:K376"/>
    <mergeCell ref="L376:M376"/>
    <mergeCell ref="N376:O376"/>
    <mergeCell ref="AD376:AE376"/>
    <mergeCell ref="AF376:AG376"/>
    <mergeCell ref="P376:Q376"/>
    <mergeCell ref="R376:S376"/>
    <mergeCell ref="T376:U376"/>
    <mergeCell ref="V376:W376"/>
    <mergeCell ref="AH385:AI385"/>
    <mergeCell ref="AJ385:AK385"/>
    <mergeCell ref="AL385:BB385"/>
    <mergeCell ref="B385:C385"/>
    <mergeCell ref="D385:E385"/>
    <mergeCell ref="F385:G385"/>
    <mergeCell ref="H385:I385"/>
    <mergeCell ref="J385:K385"/>
    <mergeCell ref="L385:M385"/>
    <mergeCell ref="N385:O385"/>
    <mergeCell ref="AD385:AE385"/>
    <mergeCell ref="AF385:AG385"/>
    <mergeCell ref="P385:Q385"/>
    <mergeCell ref="R385:S385"/>
    <mergeCell ref="T385:U385"/>
    <mergeCell ref="V385:W385"/>
    <mergeCell ref="X385:Y385"/>
    <mergeCell ref="Z385:AA385"/>
    <mergeCell ref="AB385:AC385"/>
    <mergeCell ref="AD386:AE386"/>
    <mergeCell ref="AF386:AG386"/>
    <mergeCell ref="AH386:AI386"/>
    <mergeCell ref="AJ386:AK386"/>
    <mergeCell ref="AL386:BB386"/>
    <mergeCell ref="P386:Q386"/>
    <mergeCell ref="R386:S386"/>
    <mergeCell ref="T386:U386"/>
    <mergeCell ref="V386:W386"/>
    <mergeCell ref="X386:Y386"/>
    <mergeCell ref="Z386:AA386"/>
    <mergeCell ref="AB386:AC386"/>
    <mergeCell ref="B386:C386"/>
    <mergeCell ref="D386:E386"/>
    <mergeCell ref="F386:G386"/>
    <mergeCell ref="H386:I386"/>
    <mergeCell ref="J386:K386"/>
    <mergeCell ref="L386:M386"/>
    <mergeCell ref="N386:O386"/>
    <mergeCell ref="AD382:AE382"/>
    <mergeCell ref="AF382:AG382"/>
    <mergeCell ref="P382:Q382"/>
    <mergeCell ref="R382:S382"/>
    <mergeCell ref="T382:U382"/>
    <mergeCell ref="V382:W382"/>
    <mergeCell ref="X382:Y382"/>
    <mergeCell ref="Z382:AA382"/>
    <mergeCell ref="AB382:AC382"/>
    <mergeCell ref="AD383:AE383"/>
    <mergeCell ref="AF383:AG383"/>
    <mergeCell ref="AH383:AI383"/>
    <mergeCell ref="AJ383:AK383"/>
    <mergeCell ref="AL383:BB383"/>
    <mergeCell ref="P383:Q383"/>
    <mergeCell ref="R383:S383"/>
    <mergeCell ref="T383:U383"/>
    <mergeCell ref="V383:W383"/>
    <mergeCell ref="X383:Y383"/>
    <mergeCell ref="Z383:AA383"/>
    <mergeCell ref="AB383:AC383"/>
    <mergeCell ref="B383:C383"/>
    <mergeCell ref="D383:E383"/>
    <mergeCell ref="F383:G383"/>
    <mergeCell ref="H383:I383"/>
    <mergeCell ref="J383:K383"/>
    <mergeCell ref="L383:M383"/>
    <mergeCell ref="N383:O383"/>
    <mergeCell ref="AD384:AE384"/>
    <mergeCell ref="AF384:AG384"/>
    <mergeCell ref="AH384:AI384"/>
    <mergeCell ref="AJ384:AK384"/>
    <mergeCell ref="AL384:BB384"/>
    <mergeCell ref="AH382:AI382"/>
    <mergeCell ref="AJ382:AK382"/>
    <mergeCell ref="AL382:BB382"/>
    <mergeCell ref="B382:C382"/>
    <mergeCell ref="D382:E382"/>
    <mergeCell ref="F382:G382"/>
    <mergeCell ref="H382:I382"/>
    <mergeCell ref="J382:K382"/>
    <mergeCell ref="L382:M382"/>
    <mergeCell ref="N382:O382"/>
    <mergeCell ref="P384:Q384"/>
    <mergeCell ref="R384:S384"/>
    <mergeCell ref="T384:U384"/>
    <mergeCell ref="V384:W384"/>
    <mergeCell ref="X384:Y384"/>
    <mergeCell ref="Z384:AA384"/>
    <mergeCell ref="AB384:AC384"/>
    <mergeCell ref="B384:C384"/>
    <mergeCell ref="D384:E384"/>
    <mergeCell ref="F384:G384"/>
    <mergeCell ref="H384:I384"/>
    <mergeCell ref="J384:K384"/>
    <mergeCell ref="L384:M384"/>
    <mergeCell ref="N384:O384"/>
    <mergeCell ref="AH373:AI373"/>
    <mergeCell ref="AJ373:AK373"/>
    <mergeCell ref="AL373:BB373"/>
    <mergeCell ref="B373:C373"/>
    <mergeCell ref="D373:E373"/>
    <mergeCell ref="F373:G373"/>
    <mergeCell ref="H373:I373"/>
    <mergeCell ref="J373:K373"/>
    <mergeCell ref="L373:M373"/>
    <mergeCell ref="N373:O373"/>
    <mergeCell ref="P375:Q375"/>
    <mergeCell ref="R375:S375"/>
    <mergeCell ref="T375:U375"/>
    <mergeCell ref="V375:W375"/>
    <mergeCell ref="X375:Y375"/>
    <mergeCell ref="Z375:AA375"/>
    <mergeCell ref="AB375:AC375"/>
    <mergeCell ref="B375:C375"/>
    <mergeCell ref="D375:E375"/>
    <mergeCell ref="F375:G375"/>
    <mergeCell ref="H375:I375"/>
    <mergeCell ref="J375:K375"/>
    <mergeCell ref="L375:M375"/>
    <mergeCell ref="N375:O375"/>
    <mergeCell ref="P378:Q378"/>
    <mergeCell ref="R378:S378"/>
    <mergeCell ref="T378:U378"/>
    <mergeCell ref="V378:W378"/>
    <mergeCell ref="X378:Y378"/>
    <mergeCell ref="Z378:AA378"/>
    <mergeCell ref="AB378:AC378"/>
    <mergeCell ref="B378:C378"/>
    <mergeCell ref="D378:E378"/>
    <mergeCell ref="F378:G378"/>
    <mergeCell ref="H378:I378"/>
    <mergeCell ref="J378:K378"/>
    <mergeCell ref="L378:M378"/>
    <mergeCell ref="N378:O378"/>
    <mergeCell ref="X376:Y376"/>
    <mergeCell ref="Z376:AA376"/>
    <mergeCell ref="AB376:AC376"/>
    <mergeCell ref="AD377:AE377"/>
    <mergeCell ref="AF377:AG377"/>
    <mergeCell ref="AH377:AI377"/>
    <mergeCell ref="AJ377:AK377"/>
    <mergeCell ref="AL377:BB377"/>
    <mergeCell ref="P377:Q377"/>
    <mergeCell ref="R377:S377"/>
    <mergeCell ref="T377:U377"/>
    <mergeCell ref="V377:W377"/>
    <mergeCell ref="X377:Y377"/>
    <mergeCell ref="Z377:AA377"/>
    <mergeCell ref="AB377:AC377"/>
    <mergeCell ref="B377:C377"/>
    <mergeCell ref="D377:E377"/>
    <mergeCell ref="F377:G377"/>
    <mergeCell ref="H377:I377"/>
    <mergeCell ref="J377:K377"/>
    <mergeCell ref="L377:M377"/>
    <mergeCell ref="N377:O377"/>
    <mergeCell ref="AD378:AE378"/>
    <mergeCell ref="AF378:AG378"/>
    <mergeCell ref="AH378:AI378"/>
    <mergeCell ref="AJ378:AK378"/>
    <mergeCell ref="AH370:AI370"/>
    <mergeCell ref="AJ370:AK370"/>
    <mergeCell ref="AL370:BB370"/>
    <mergeCell ref="B370:C370"/>
    <mergeCell ref="D370:E370"/>
    <mergeCell ref="F370:G370"/>
    <mergeCell ref="H370:I370"/>
    <mergeCell ref="J370:K370"/>
    <mergeCell ref="L370:M370"/>
    <mergeCell ref="N370:O370"/>
    <mergeCell ref="P372:Q372"/>
    <mergeCell ref="R372:S372"/>
    <mergeCell ref="T372:U372"/>
    <mergeCell ref="V372:W372"/>
    <mergeCell ref="X372:Y372"/>
    <mergeCell ref="Z372:AA372"/>
    <mergeCell ref="AB372:AC372"/>
    <mergeCell ref="B372:C372"/>
    <mergeCell ref="D372:E372"/>
    <mergeCell ref="F372:G372"/>
    <mergeCell ref="H372:I372"/>
    <mergeCell ref="J372:K372"/>
    <mergeCell ref="L372:M372"/>
    <mergeCell ref="N372:O372"/>
    <mergeCell ref="AD370:AE370"/>
    <mergeCell ref="AF370:AG370"/>
    <mergeCell ref="P370:Q370"/>
    <mergeCell ref="R370:S370"/>
    <mergeCell ref="T370:U370"/>
    <mergeCell ref="V370:W370"/>
    <mergeCell ref="X370:Y370"/>
    <mergeCell ref="Z370:AA370"/>
    <mergeCell ref="AB370:AC370"/>
    <mergeCell ref="AD371:AE371"/>
    <mergeCell ref="AF371:AG371"/>
    <mergeCell ref="AH371:AI371"/>
    <mergeCell ref="AJ371:AK371"/>
    <mergeCell ref="AL371:BB371"/>
    <mergeCell ref="P371:Q371"/>
    <mergeCell ref="R371:S371"/>
    <mergeCell ref="T371:U371"/>
    <mergeCell ref="V371:W371"/>
    <mergeCell ref="X371:Y371"/>
    <mergeCell ref="Z371:AA371"/>
    <mergeCell ref="AB371:AC371"/>
    <mergeCell ref="B371:C371"/>
    <mergeCell ref="D371:E371"/>
    <mergeCell ref="F371:G371"/>
    <mergeCell ref="H371:I371"/>
    <mergeCell ref="J371:K371"/>
    <mergeCell ref="L371:M371"/>
    <mergeCell ref="N371:O371"/>
    <mergeCell ref="AD372:AE372"/>
    <mergeCell ref="AF372:AG372"/>
    <mergeCell ref="AH372:AI372"/>
    <mergeCell ref="AJ372:AK372"/>
    <mergeCell ref="AL372:BB372"/>
    <mergeCell ref="B367:C367"/>
    <mergeCell ref="D367:E367"/>
    <mergeCell ref="F367:G367"/>
    <mergeCell ref="H367:I367"/>
    <mergeCell ref="J367:K367"/>
    <mergeCell ref="L367:M367"/>
    <mergeCell ref="N367:O367"/>
    <mergeCell ref="AD368:AE368"/>
    <mergeCell ref="AF368:AG368"/>
    <mergeCell ref="AH368:AI368"/>
    <mergeCell ref="AJ368:AK368"/>
    <mergeCell ref="AL368:BB368"/>
    <mergeCell ref="P368:Q368"/>
    <mergeCell ref="R368:S368"/>
    <mergeCell ref="T368:U368"/>
    <mergeCell ref="V368:W368"/>
    <mergeCell ref="X368:Y368"/>
    <mergeCell ref="Z368:AA368"/>
    <mergeCell ref="AB368:AC368"/>
    <mergeCell ref="B368:C368"/>
    <mergeCell ref="D368:E368"/>
    <mergeCell ref="F368:G368"/>
    <mergeCell ref="H368:I368"/>
    <mergeCell ref="J368:K368"/>
    <mergeCell ref="L368:M368"/>
    <mergeCell ref="N368:O368"/>
    <mergeCell ref="AD369:AE369"/>
    <mergeCell ref="AF369:AG369"/>
    <mergeCell ref="AH369:AI369"/>
    <mergeCell ref="AJ369:AK369"/>
    <mergeCell ref="AL369:BB369"/>
    <mergeCell ref="P369:Q369"/>
    <mergeCell ref="R369:S369"/>
    <mergeCell ref="T369:U369"/>
    <mergeCell ref="V369:W369"/>
    <mergeCell ref="X369:Y369"/>
    <mergeCell ref="Z369:AA369"/>
    <mergeCell ref="AB369:AC369"/>
    <mergeCell ref="B369:C369"/>
    <mergeCell ref="D369:E369"/>
    <mergeCell ref="F369:G369"/>
    <mergeCell ref="H369:I369"/>
    <mergeCell ref="J369:K369"/>
    <mergeCell ref="L369:M369"/>
    <mergeCell ref="N369:O369"/>
    <mergeCell ref="AH364:AI364"/>
    <mergeCell ref="AJ364:AK364"/>
    <mergeCell ref="AL364:BB364"/>
    <mergeCell ref="B364:C364"/>
    <mergeCell ref="D364:E364"/>
    <mergeCell ref="F364:G364"/>
    <mergeCell ref="H364:I364"/>
    <mergeCell ref="J364:K364"/>
    <mergeCell ref="L364:M364"/>
    <mergeCell ref="N364:O364"/>
    <mergeCell ref="P366:Q366"/>
    <mergeCell ref="R366:S366"/>
    <mergeCell ref="T366:U366"/>
    <mergeCell ref="V366:W366"/>
    <mergeCell ref="X366:Y366"/>
    <mergeCell ref="Z366:AA366"/>
    <mergeCell ref="AB366:AC366"/>
    <mergeCell ref="B366:C366"/>
    <mergeCell ref="D366:E366"/>
    <mergeCell ref="F366:G366"/>
    <mergeCell ref="H366:I366"/>
    <mergeCell ref="J366:K366"/>
    <mergeCell ref="L366:M366"/>
    <mergeCell ref="N366:O366"/>
    <mergeCell ref="AD364:AE364"/>
    <mergeCell ref="AF364:AG364"/>
    <mergeCell ref="P364:Q364"/>
    <mergeCell ref="R364:S364"/>
    <mergeCell ref="T364:U364"/>
    <mergeCell ref="V364:W364"/>
    <mergeCell ref="X364:Y364"/>
    <mergeCell ref="Z364:AA364"/>
    <mergeCell ref="AB364:AC364"/>
    <mergeCell ref="AD365:AE365"/>
    <mergeCell ref="AF365:AG365"/>
    <mergeCell ref="AH365:AI365"/>
    <mergeCell ref="AJ365:AK365"/>
    <mergeCell ref="AL365:BB365"/>
    <mergeCell ref="P365:Q365"/>
    <mergeCell ref="R365:S365"/>
    <mergeCell ref="T365:U365"/>
    <mergeCell ref="V365:W365"/>
    <mergeCell ref="X365:Y365"/>
    <mergeCell ref="Z365:AA365"/>
    <mergeCell ref="AB365:AC365"/>
    <mergeCell ref="B365:C365"/>
    <mergeCell ref="D365:E365"/>
    <mergeCell ref="F365:G365"/>
    <mergeCell ref="H365:I365"/>
    <mergeCell ref="J365:K365"/>
    <mergeCell ref="L365:M365"/>
    <mergeCell ref="N365:O365"/>
    <mergeCell ref="AD366:AE366"/>
    <mergeCell ref="AF366:AG366"/>
    <mergeCell ref="AH366:AI366"/>
    <mergeCell ref="AJ366:AK366"/>
    <mergeCell ref="AL366:BB366"/>
    <mergeCell ref="AH361:AI361"/>
    <mergeCell ref="AJ361:AK361"/>
    <mergeCell ref="AL361:BB361"/>
    <mergeCell ref="B361:C361"/>
    <mergeCell ref="D361:E361"/>
    <mergeCell ref="F361:G361"/>
    <mergeCell ref="H361:I361"/>
    <mergeCell ref="J361:K361"/>
    <mergeCell ref="L361:M361"/>
    <mergeCell ref="N361:O361"/>
    <mergeCell ref="P363:Q363"/>
    <mergeCell ref="R363:S363"/>
    <mergeCell ref="T363:U363"/>
    <mergeCell ref="V363:W363"/>
    <mergeCell ref="X363:Y363"/>
    <mergeCell ref="Z363:AA363"/>
    <mergeCell ref="AB363:AC363"/>
    <mergeCell ref="B363:C363"/>
    <mergeCell ref="D363:E363"/>
    <mergeCell ref="F363:G363"/>
    <mergeCell ref="H363:I363"/>
    <mergeCell ref="J363:K363"/>
    <mergeCell ref="L363:M363"/>
    <mergeCell ref="N363:O363"/>
    <mergeCell ref="AD361:AE361"/>
    <mergeCell ref="AF361:AG361"/>
    <mergeCell ref="P361:Q361"/>
    <mergeCell ref="R361:S361"/>
    <mergeCell ref="T361:U361"/>
    <mergeCell ref="V361:W361"/>
    <mergeCell ref="X361:Y361"/>
    <mergeCell ref="Z361:AA361"/>
    <mergeCell ref="AB361:AC361"/>
    <mergeCell ref="AD362:AE362"/>
    <mergeCell ref="AF362:AG362"/>
    <mergeCell ref="AH362:AI362"/>
    <mergeCell ref="AJ362:AK362"/>
    <mergeCell ref="AL362:BB362"/>
    <mergeCell ref="P362:Q362"/>
    <mergeCell ref="R362:S362"/>
    <mergeCell ref="T362:U362"/>
    <mergeCell ref="V362:W362"/>
    <mergeCell ref="X362:Y362"/>
    <mergeCell ref="Z362:AA362"/>
    <mergeCell ref="AB362:AC362"/>
    <mergeCell ref="B362:C362"/>
    <mergeCell ref="D362:E362"/>
    <mergeCell ref="F362:G362"/>
    <mergeCell ref="H362:I362"/>
    <mergeCell ref="J362:K362"/>
    <mergeCell ref="L362:M362"/>
    <mergeCell ref="N362:O362"/>
    <mergeCell ref="AD363:AE363"/>
    <mergeCell ref="AF363:AG363"/>
    <mergeCell ref="AH363:AI363"/>
    <mergeCell ref="AJ363:AK363"/>
    <mergeCell ref="AL363:BB363"/>
    <mergeCell ref="AH358:AI358"/>
    <mergeCell ref="AJ358:AK358"/>
    <mergeCell ref="AL358:BB358"/>
    <mergeCell ref="B358:C358"/>
    <mergeCell ref="D358:E358"/>
    <mergeCell ref="F358:G358"/>
    <mergeCell ref="H358:I358"/>
    <mergeCell ref="J358:K358"/>
    <mergeCell ref="L358:M358"/>
    <mergeCell ref="N358:O358"/>
    <mergeCell ref="P360:Q360"/>
    <mergeCell ref="R360:S360"/>
    <mergeCell ref="T360:U360"/>
    <mergeCell ref="V360:W360"/>
    <mergeCell ref="X360:Y360"/>
    <mergeCell ref="Z360:AA360"/>
    <mergeCell ref="AB360:AC360"/>
    <mergeCell ref="B360:C360"/>
    <mergeCell ref="D360:E360"/>
    <mergeCell ref="F360:G360"/>
    <mergeCell ref="H360:I360"/>
    <mergeCell ref="J360:K360"/>
    <mergeCell ref="L360:M360"/>
    <mergeCell ref="N360:O360"/>
    <mergeCell ref="AD358:AE358"/>
    <mergeCell ref="AF358:AG358"/>
    <mergeCell ref="P358:Q358"/>
    <mergeCell ref="R358:S358"/>
    <mergeCell ref="T358:U358"/>
    <mergeCell ref="V358:W358"/>
    <mergeCell ref="X358:Y358"/>
    <mergeCell ref="Z358:AA358"/>
    <mergeCell ref="AB358:AC358"/>
    <mergeCell ref="AD359:AE359"/>
    <mergeCell ref="AF359:AG359"/>
    <mergeCell ref="AH359:AI359"/>
    <mergeCell ref="AJ359:AK359"/>
    <mergeCell ref="AL359:BB359"/>
    <mergeCell ref="P359:Q359"/>
    <mergeCell ref="R359:S359"/>
    <mergeCell ref="T359:U359"/>
    <mergeCell ref="V359:W359"/>
    <mergeCell ref="X359:Y359"/>
    <mergeCell ref="Z359:AA359"/>
    <mergeCell ref="AB359:AC359"/>
    <mergeCell ref="B359:C359"/>
    <mergeCell ref="D359:E359"/>
    <mergeCell ref="F359:G359"/>
    <mergeCell ref="H359:I359"/>
    <mergeCell ref="J359:K359"/>
    <mergeCell ref="L359:M359"/>
    <mergeCell ref="N359:O359"/>
    <mergeCell ref="AD360:AE360"/>
    <mergeCell ref="AF360:AG360"/>
    <mergeCell ref="AH360:AI360"/>
    <mergeCell ref="AJ360:AK360"/>
    <mergeCell ref="AL360:BB360"/>
    <mergeCell ref="AH355:AI355"/>
    <mergeCell ref="AJ355:AK355"/>
    <mergeCell ref="AL355:BB355"/>
    <mergeCell ref="B355:C355"/>
    <mergeCell ref="D355:E355"/>
    <mergeCell ref="F355:G355"/>
    <mergeCell ref="H355:I355"/>
    <mergeCell ref="J355:K355"/>
    <mergeCell ref="L355:M355"/>
    <mergeCell ref="N355:O355"/>
    <mergeCell ref="P357:Q357"/>
    <mergeCell ref="R357:S357"/>
    <mergeCell ref="T357:U357"/>
    <mergeCell ref="V357:W357"/>
    <mergeCell ref="X357:Y357"/>
    <mergeCell ref="Z357:AA357"/>
    <mergeCell ref="AB357:AC357"/>
    <mergeCell ref="B357:C357"/>
    <mergeCell ref="D357:E357"/>
    <mergeCell ref="F357:G357"/>
    <mergeCell ref="H357:I357"/>
    <mergeCell ref="J357:K357"/>
    <mergeCell ref="L357:M357"/>
    <mergeCell ref="N357:O357"/>
    <mergeCell ref="AD355:AE355"/>
    <mergeCell ref="AF355:AG355"/>
    <mergeCell ref="P355:Q355"/>
    <mergeCell ref="R355:S355"/>
    <mergeCell ref="T355:U355"/>
    <mergeCell ref="V355:W355"/>
    <mergeCell ref="X355:Y355"/>
    <mergeCell ref="Z355:AA355"/>
    <mergeCell ref="AB355:AC355"/>
    <mergeCell ref="AD356:AE356"/>
    <mergeCell ref="AF356:AG356"/>
    <mergeCell ref="AH356:AI356"/>
    <mergeCell ref="AJ356:AK356"/>
    <mergeCell ref="AL356:BB356"/>
    <mergeCell ref="P356:Q356"/>
    <mergeCell ref="R356:S356"/>
    <mergeCell ref="T356:U356"/>
    <mergeCell ref="V356:W356"/>
    <mergeCell ref="X356:Y356"/>
    <mergeCell ref="Z356:AA356"/>
    <mergeCell ref="AB356:AC356"/>
    <mergeCell ref="B356:C356"/>
    <mergeCell ref="D356:E356"/>
    <mergeCell ref="F356:G356"/>
    <mergeCell ref="H356:I356"/>
    <mergeCell ref="J356:K356"/>
    <mergeCell ref="L356:M356"/>
    <mergeCell ref="N356:O356"/>
    <mergeCell ref="AD357:AE357"/>
    <mergeCell ref="AF357:AG357"/>
    <mergeCell ref="AH357:AI357"/>
    <mergeCell ref="AJ357:AK357"/>
    <mergeCell ref="AL357:BB357"/>
    <mergeCell ref="AJ351:AK351"/>
    <mergeCell ref="AL351:BB351"/>
    <mergeCell ref="AH352:AI352"/>
    <mergeCell ref="AJ352:AK352"/>
    <mergeCell ref="AL352:BB352"/>
    <mergeCell ref="B352:C352"/>
    <mergeCell ref="D352:E352"/>
    <mergeCell ref="F352:G352"/>
    <mergeCell ref="H352:I352"/>
    <mergeCell ref="J352:K352"/>
    <mergeCell ref="L352:M352"/>
    <mergeCell ref="N352:O352"/>
    <mergeCell ref="P354:Q354"/>
    <mergeCell ref="R354:S354"/>
    <mergeCell ref="T354:U354"/>
    <mergeCell ref="V354:W354"/>
    <mergeCell ref="X354:Y354"/>
    <mergeCell ref="Z354:AA354"/>
    <mergeCell ref="AB354:AC354"/>
    <mergeCell ref="B354:C354"/>
    <mergeCell ref="D354:E354"/>
    <mergeCell ref="F354:G354"/>
    <mergeCell ref="H354:I354"/>
    <mergeCell ref="J354:K354"/>
    <mergeCell ref="L354:M354"/>
    <mergeCell ref="N354:O354"/>
    <mergeCell ref="AD352:AE352"/>
    <mergeCell ref="AF352:AG352"/>
    <mergeCell ref="P352:Q352"/>
    <mergeCell ref="R352:S352"/>
    <mergeCell ref="T352:U352"/>
    <mergeCell ref="V352:W352"/>
    <mergeCell ref="X352:Y352"/>
    <mergeCell ref="Z352:AA352"/>
    <mergeCell ref="AB352:AC352"/>
    <mergeCell ref="AD353:AE353"/>
    <mergeCell ref="AF353:AG353"/>
    <mergeCell ref="AH353:AI353"/>
    <mergeCell ref="AJ353:AK353"/>
    <mergeCell ref="AL353:BB353"/>
    <mergeCell ref="P353:Q353"/>
    <mergeCell ref="R353:S353"/>
    <mergeCell ref="T353:U353"/>
    <mergeCell ref="V353:W353"/>
    <mergeCell ref="X353:Y353"/>
    <mergeCell ref="Z353:AA353"/>
    <mergeCell ref="AB353:AC353"/>
    <mergeCell ref="B353:C353"/>
    <mergeCell ref="D353:E353"/>
    <mergeCell ref="F353:G353"/>
    <mergeCell ref="H353:I353"/>
    <mergeCell ref="J353:K353"/>
    <mergeCell ref="L353:M353"/>
    <mergeCell ref="N353:O353"/>
    <mergeCell ref="AD354:AE354"/>
    <mergeCell ref="AF354:AG354"/>
    <mergeCell ref="AH354:AI354"/>
    <mergeCell ref="AJ354:AK354"/>
    <mergeCell ref="AL354:BB354"/>
    <mergeCell ref="H347:I347"/>
    <mergeCell ref="J347:K347"/>
    <mergeCell ref="L347:M347"/>
    <mergeCell ref="N347:O347"/>
    <mergeCell ref="AD348:AE348"/>
    <mergeCell ref="AF348:AG348"/>
    <mergeCell ref="AH348:AI348"/>
    <mergeCell ref="AJ348:AK348"/>
    <mergeCell ref="AL348:BB348"/>
    <mergeCell ref="AH349:AI349"/>
    <mergeCell ref="AJ349:AK349"/>
    <mergeCell ref="AL349:BB349"/>
    <mergeCell ref="B349:C349"/>
    <mergeCell ref="D349:E349"/>
    <mergeCell ref="F349:G349"/>
    <mergeCell ref="H349:I349"/>
    <mergeCell ref="J349:K349"/>
    <mergeCell ref="L349:M349"/>
    <mergeCell ref="N349:O349"/>
    <mergeCell ref="P351:Q351"/>
    <mergeCell ref="R351:S351"/>
    <mergeCell ref="T351:U351"/>
    <mergeCell ref="V351:W351"/>
    <mergeCell ref="X351:Y351"/>
    <mergeCell ref="Z351:AA351"/>
    <mergeCell ref="AB351:AC351"/>
    <mergeCell ref="B351:C351"/>
    <mergeCell ref="D351:E351"/>
    <mergeCell ref="F351:G351"/>
    <mergeCell ref="H351:I351"/>
    <mergeCell ref="J351:K351"/>
    <mergeCell ref="L351:M351"/>
    <mergeCell ref="N351:O351"/>
    <mergeCell ref="AD349:AE349"/>
    <mergeCell ref="AF349:AG349"/>
    <mergeCell ref="P349:Q349"/>
    <mergeCell ref="R349:S349"/>
    <mergeCell ref="T349:U349"/>
    <mergeCell ref="V349:W349"/>
    <mergeCell ref="X349:Y349"/>
    <mergeCell ref="Z349:AA349"/>
    <mergeCell ref="AB349:AC349"/>
    <mergeCell ref="AD350:AE350"/>
    <mergeCell ref="AF350:AG350"/>
    <mergeCell ref="AH350:AI350"/>
    <mergeCell ref="AJ350:AK350"/>
    <mergeCell ref="AL350:BB350"/>
    <mergeCell ref="P350:Q350"/>
    <mergeCell ref="R350:S350"/>
    <mergeCell ref="T350:U350"/>
    <mergeCell ref="V350:W350"/>
    <mergeCell ref="X350:Y350"/>
    <mergeCell ref="Z350:AA350"/>
    <mergeCell ref="AB350:AC350"/>
    <mergeCell ref="B350:C350"/>
    <mergeCell ref="D350:E350"/>
    <mergeCell ref="F350:G350"/>
    <mergeCell ref="H350:I350"/>
    <mergeCell ref="J350:K350"/>
    <mergeCell ref="L350:M350"/>
    <mergeCell ref="N350:O350"/>
    <mergeCell ref="AD351:AE351"/>
    <mergeCell ref="AF351:AG351"/>
    <mergeCell ref="AH351:AI351"/>
    <mergeCell ref="P345:Q345"/>
    <mergeCell ref="R345:S345"/>
    <mergeCell ref="T345:U345"/>
    <mergeCell ref="V345:W345"/>
    <mergeCell ref="X345:Y345"/>
    <mergeCell ref="Z345:AA345"/>
    <mergeCell ref="AB345:AC345"/>
    <mergeCell ref="B345:C345"/>
    <mergeCell ref="D345:E345"/>
    <mergeCell ref="F345:G345"/>
    <mergeCell ref="H345:I345"/>
    <mergeCell ref="J345:K345"/>
    <mergeCell ref="L345:M345"/>
    <mergeCell ref="N345:O345"/>
    <mergeCell ref="AD367:AE367"/>
    <mergeCell ref="AF367:AG367"/>
    <mergeCell ref="AH367:AI367"/>
    <mergeCell ref="AJ367:AK367"/>
    <mergeCell ref="AL367:BB367"/>
    <mergeCell ref="P367:Q367"/>
    <mergeCell ref="R367:S367"/>
    <mergeCell ref="T367:U367"/>
    <mergeCell ref="V367:W367"/>
    <mergeCell ref="X367:Y367"/>
    <mergeCell ref="Z367:AA367"/>
    <mergeCell ref="AB367:AC367"/>
    <mergeCell ref="P348:Q348"/>
    <mergeCell ref="R348:S348"/>
    <mergeCell ref="T348:U348"/>
    <mergeCell ref="V348:W348"/>
    <mergeCell ref="X348:Y348"/>
    <mergeCell ref="Z348:AA348"/>
    <mergeCell ref="AB348:AC348"/>
    <mergeCell ref="B348:C348"/>
    <mergeCell ref="D348:E348"/>
    <mergeCell ref="F348:G348"/>
    <mergeCell ref="H348:I348"/>
    <mergeCell ref="J348:K348"/>
    <mergeCell ref="L348:M348"/>
    <mergeCell ref="N348:O348"/>
    <mergeCell ref="AD346:AE346"/>
    <mergeCell ref="AF346:AG346"/>
    <mergeCell ref="P346:Q346"/>
    <mergeCell ref="R346:S346"/>
    <mergeCell ref="T346:U346"/>
    <mergeCell ref="V346:W346"/>
    <mergeCell ref="X346:Y346"/>
    <mergeCell ref="Z346:AA346"/>
    <mergeCell ref="AB346:AC346"/>
    <mergeCell ref="AD347:AE347"/>
    <mergeCell ref="AF347:AG347"/>
    <mergeCell ref="AH347:AI347"/>
    <mergeCell ref="AJ347:AK347"/>
    <mergeCell ref="AL347:BB347"/>
    <mergeCell ref="P347:Q347"/>
    <mergeCell ref="R347:S347"/>
    <mergeCell ref="T347:U347"/>
    <mergeCell ref="V347:W347"/>
    <mergeCell ref="X347:Y347"/>
    <mergeCell ref="Z347:AA347"/>
    <mergeCell ref="AB347:AC347"/>
    <mergeCell ref="B347:C347"/>
    <mergeCell ref="D347:E347"/>
    <mergeCell ref="F347:G347"/>
    <mergeCell ref="AL336:BB336"/>
    <mergeCell ref="AH337:AI337"/>
    <mergeCell ref="AJ337:AK337"/>
    <mergeCell ref="AL337:BB337"/>
    <mergeCell ref="B337:C337"/>
    <mergeCell ref="D337:E337"/>
    <mergeCell ref="F337:G337"/>
    <mergeCell ref="H337:I337"/>
    <mergeCell ref="J337:K337"/>
    <mergeCell ref="L337:M337"/>
    <mergeCell ref="N337:O337"/>
    <mergeCell ref="P339:Q339"/>
    <mergeCell ref="R339:S339"/>
    <mergeCell ref="T339:U339"/>
    <mergeCell ref="V339:W339"/>
    <mergeCell ref="X339:Y339"/>
    <mergeCell ref="Z339:AA339"/>
    <mergeCell ref="AB339:AC339"/>
    <mergeCell ref="B339:C339"/>
    <mergeCell ref="D339:E339"/>
    <mergeCell ref="F339:G339"/>
    <mergeCell ref="H339:I339"/>
    <mergeCell ref="J339:K339"/>
    <mergeCell ref="L339:M339"/>
    <mergeCell ref="N339:O339"/>
    <mergeCell ref="AD337:AE337"/>
    <mergeCell ref="AF337:AG337"/>
    <mergeCell ref="P337:Q337"/>
    <mergeCell ref="R337:S337"/>
    <mergeCell ref="T337:U337"/>
    <mergeCell ref="V337:W337"/>
    <mergeCell ref="X337:Y337"/>
    <mergeCell ref="Z337:AA337"/>
    <mergeCell ref="AB337:AC337"/>
    <mergeCell ref="AD338:AE338"/>
    <mergeCell ref="AF338:AG338"/>
    <mergeCell ref="AH338:AI338"/>
    <mergeCell ref="AJ338:AK338"/>
    <mergeCell ref="AL338:BB338"/>
    <mergeCell ref="P338:Q338"/>
    <mergeCell ref="R338:S338"/>
    <mergeCell ref="T338:U338"/>
    <mergeCell ref="V338:W338"/>
    <mergeCell ref="X338:Y338"/>
    <mergeCell ref="Z338:AA338"/>
    <mergeCell ref="AB338:AC338"/>
    <mergeCell ref="B338:C338"/>
    <mergeCell ref="D338:E338"/>
    <mergeCell ref="F338:G338"/>
    <mergeCell ref="H338:I338"/>
    <mergeCell ref="J338:K338"/>
    <mergeCell ref="L338:M338"/>
    <mergeCell ref="N338:O338"/>
    <mergeCell ref="AD339:AE339"/>
    <mergeCell ref="AF339:AG339"/>
    <mergeCell ref="AH339:AI339"/>
    <mergeCell ref="AJ339:AK339"/>
    <mergeCell ref="AL339:BB339"/>
    <mergeCell ref="AD345:AE345"/>
    <mergeCell ref="AF345:AG345"/>
    <mergeCell ref="AH345:AI345"/>
    <mergeCell ref="AJ345:AK345"/>
    <mergeCell ref="AL345:BB345"/>
    <mergeCell ref="AH346:AI346"/>
    <mergeCell ref="AJ346:AK346"/>
    <mergeCell ref="AL346:BB346"/>
    <mergeCell ref="B346:C346"/>
    <mergeCell ref="D346:E346"/>
    <mergeCell ref="F346:G346"/>
    <mergeCell ref="H346:I346"/>
    <mergeCell ref="J346:K346"/>
    <mergeCell ref="L346:M346"/>
    <mergeCell ref="N346:O346"/>
    <mergeCell ref="AD331:AE331"/>
    <mergeCell ref="AF331:AG331"/>
    <mergeCell ref="P331:Q331"/>
    <mergeCell ref="R331:S331"/>
    <mergeCell ref="T331:U331"/>
    <mergeCell ref="V331:W331"/>
    <mergeCell ref="X331:Y331"/>
    <mergeCell ref="Z331:AA331"/>
    <mergeCell ref="AB331:AC331"/>
    <mergeCell ref="AD332:AE332"/>
    <mergeCell ref="AF332:AG332"/>
    <mergeCell ref="AH332:AI332"/>
    <mergeCell ref="AJ332:AK332"/>
    <mergeCell ref="AL332:BB332"/>
    <mergeCell ref="P332:Q332"/>
    <mergeCell ref="R332:S332"/>
    <mergeCell ref="T332:U332"/>
    <mergeCell ref="V332:W332"/>
    <mergeCell ref="X332:Y332"/>
    <mergeCell ref="Z332:AA332"/>
    <mergeCell ref="AB332:AC332"/>
    <mergeCell ref="B332:C332"/>
    <mergeCell ref="D332:E332"/>
    <mergeCell ref="F332:G332"/>
    <mergeCell ref="H332:I332"/>
    <mergeCell ref="J332:K332"/>
    <mergeCell ref="L332:M332"/>
    <mergeCell ref="N332:O332"/>
    <mergeCell ref="AD333:AE333"/>
    <mergeCell ref="AF333:AG333"/>
    <mergeCell ref="AH333:AI333"/>
    <mergeCell ref="AJ333:AK333"/>
    <mergeCell ref="AL333:BB333"/>
    <mergeCell ref="AH334:AI334"/>
    <mergeCell ref="AJ334:AK334"/>
    <mergeCell ref="AL334:BB334"/>
    <mergeCell ref="B334:C334"/>
    <mergeCell ref="D334:E334"/>
    <mergeCell ref="F334:G334"/>
    <mergeCell ref="H334:I334"/>
    <mergeCell ref="J334:K334"/>
    <mergeCell ref="L334:M334"/>
    <mergeCell ref="N334:O334"/>
    <mergeCell ref="AD334:AE334"/>
    <mergeCell ref="AF334:AG334"/>
    <mergeCell ref="P334:Q334"/>
    <mergeCell ref="R334:S334"/>
    <mergeCell ref="T334:U334"/>
    <mergeCell ref="V334:W334"/>
    <mergeCell ref="AH343:AI343"/>
    <mergeCell ref="AJ343:AK343"/>
    <mergeCell ref="AL343:BB343"/>
    <mergeCell ref="B343:C343"/>
    <mergeCell ref="D343:E343"/>
    <mergeCell ref="F343:G343"/>
    <mergeCell ref="H343:I343"/>
    <mergeCell ref="J343:K343"/>
    <mergeCell ref="L343:M343"/>
    <mergeCell ref="N343:O343"/>
    <mergeCell ref="AD343:AE343"/>
    <mergeCell ref="AF343:AG343"/>
    <mergeCell ref="P343:Q343"/>
    <mergeCell ref="R343:S343"/>
    <mergeCell ref="T343:U343"/>
    <mergeCell ref="V343:W343"/>
    <mergeCell ref="X343:Y343"/>
    <mergeCell ref="Z343:AA343"/>
    <mergeCell ref="AB343:AC343"/>
    <mergeCell ref="AD344:AE344"/>
    <mergeCell ref="AF344:AG344"/>
    <mergeCell ref="AH344:AI344"/>
    <mergeCell ref="AJ344:AK344"/>
    <mergeCell ref="AL344:BB344"/>
    <mergeCell ref="P344:Q344"/>
    <mergeCell ref="R344:S344"/>
    <mergeCell ref="T344:U344"/>
    <mergeCell ref="V344:W344"/>
    <mergeCell ref="X344:Y344"/>
    <mergeCell ref="Z344:AA344"/>
    <mergeCell ref="AB344:AC344"/>
    <mergeCell ref="B344:C344"/>
    <mergeCell ref="D344:E344"/>
    <mergeCell ref="F344:G344"/>
    <mergeCell ref="H344:I344"/>
    <mergeCell ref="J344:K344"/>
    <mergeCell ref="L344:M344"/>
    <mergeCell ref="N344:O344"/>
    <mergeCell ref="AD340:AE340"/>
    <mergeCell ref="AF340:AG340"/>
    <mergeCell ref="P340:Q340"/>
    <mergeCell ref="R340:S340"/>
    <mergeCell ref="T340:U340"/>
    <mergeCell ref="V340:W340"/>
    <mergeCell ref="X340:Y340"/>
    <mergeCell ref="Z340:AA340"/>
    <mergeCell ref="AB340:AC340"/>
    <mergeCell ref="AD341:AE341"/>
    <mergeCell ref="AF341:AG341"/>
    <mergeCell ref="AH341:AI341"/>
    <mergeCell ref="AJ341:AK341"/>
    <mergeCell ref="AL341:BB341"/>
    <mergeCell ref="P341:Q341"/>
    <mergeCell ref="R341:S341"/>
    <mergeCell ref="T341:U341"/>
    <mergeCell ref="V341:W341"/>
    <mergeCell ref="X341:Y341"/>
    <mergeCell ref="Z341:AA341"/>
    <mergeCell ref="AB341:AC341"/>
    <mergeCell ref="B341:C341"/>
    <mergeCell ref="D341:E341"/>
    <mergeCell ref="F341:G341"/>
    <mergeCell ref="H341:I341"/>
    <mergeCell ref="J341:K341"/>
    <mergeCell ref="L341:M341"/>
    <mergeCell ref="N341:O341"/>
    <mergeCell ref="AD342:AE342"/>
    <mergeCell ref="AF342:AG342"/>
    <mergeCell ref="AH342:AI342"/>
    <mergeCell ref="AJ342:AK342"/>
    <mergeCell ref="AL342:BB342"/>
    <mergeCell ref="AH340:AI340"/>
    <mergeCell ref="AJ340:AK340"/>
    <mergeCell ref="AL340:BB340"/>
    <mergeCell ref="B340:C340"/>
    <mergeCell ref="D340:E340"/>
    <mergeCell ref="F340:G340"/>
    <mergeCell ref="H340:I340"/>
    <mergeCell ref="J340:K340"/>
    <mergeCell ref="L340:M340"/>
    <mergeCell ref="N340:O340"/>
    <mergeCell ref="P342:Q342"/>
    <mergeCell ref="R342:S342"/>
    <mergeCell ref="T342:U342"/>
    <mergeCell ref="V342:W342"/>
    <mergeCell ref="X342:Y342"/>
    <mergeCell ref="Z342:AA342"/>
    <mergeCell ref="AB342:AC342"/>
    <mergeCell ref="B342:C342"/>
    <mergeCell ref="D342:E342"/>
    <mergeCell ref="F342:G342"/>
    <mergeCell ref="H342:I342"/>
    <mergeCell ref="J342:K342"/>
    <mergeCell ref="L342:M342"/>
    <mergeCell ref="N342:O342"/>
    <mergeCell ref="AH331:AI331"/>
    <mergeCell ref="AJ331:AK331"/>
    <mergeCell ref="AL331:BB331"/>
    <mergeCell ref="B331:C331"/>
    <mergeCell ref="D331:E331"/>
    <mergeCell ref="F331:G331"/>
    <mergeCell ref="H331:I331"/>
    <mergeCell ref="J331:K331"/>
    <mergeCell ref="L331:M331"/>
    <mergeCell ref="N331:O331"/>
    <mergeCell ref="P333:Q333"/>
    <mergeCell ref="R333:S333"/>
    <mergeCell ref="T333:U333"/>
    <mergeCell ref="V333:W333"/>
    <mergeCell ref="X333:Y333"/>
    <mergeCell ref="Z333:AA333"/>
    <mergeCell ref="AB333:AC333"/>
    <mergeCell ref="B333:C333"/>
    <mergeCell ref="D333:E333"/>
    <mergeCell ref="F333:G333"/>
    <mergeCell ref="H333:I333"/>
    <mergeCell ref="J333:K333"/>
    <mergeCell ref="L333:M333"/>
    <mergeCell ref="N333:O333"/>
    <mergeCell ref="P336:Q336"/>
    <mergeCell ref="R336:S336"/>
    <mergeCell ref="T336:U336"/>
    <mergeCell ref="V336:W336"/>
    <mergeCell ref="X336:Y336"/>
    <mergeCell ref="Z336:AA336"/>
    <mergeCell ref="AB336:AC336"/>
    <mergeCell ref="B336:C336"/>
    <mergeCell ref="D336:E336"/>
    <mergeCell ref="F336:G336"/>
    <mergeCell ref="H336:I336"/>
    <mergeCell ref="J336:K336"/>
    <mergeCell ref="L336:M336"/>
    <mergeCell ref="N336:O336"/>
    <mergeCell ref="X334:Y334"/>
    <mergeCell ref="Z334:AA334"/>
    <mergeCell ref="AB334:AC334"/>
    <mergeCell ref="AD335:AE335"/>
    <mergeCell ref="AF335:AG335"/>
    <mergeCell ref="AH335:AI335"/>
    <mergeCell ref="AJ335:AK335"/>
    <mergeCell ref="AL335:BB335"/>
    <mergeCell ref="P335:Q335"/>
    <mergeCell ref="R335:S335"/>
    <mergeCell ref="T335:U335"/>
    <mergeCell ref="V335:W335"/>
    <mergeCell ref="X335:Y335"/>
    <mergeCell ref="Z335:AA335"/>
    <mergeCell ref="AB335:AC335"/>
    <mergeCell ref="B335:C335"/>
    <mergeCell ref="D335:E335"/>
    <mergeCell ref="F335:G335"/>
    <mergeCell ref="H335:I335"/>
    <mergeCell ref="J335:K335"/>
    <mergeCell ref="L335:M335"/>
    <mergeCell ref="N335:O335"/>
    <mergeCell ref="AD336:AE336"/>
    <mergeCell ref="AF336:AG336"/>
    <mergeCell ref="AH336:AI336"/>
    <mergeCell ref="AJ336:AK336"/>
    <mergeCell ref="AH328:AI328"/>
    <mergeCell ref="AJ328:AK328"/>
    <mergeCell ref="AL328:BB328"/>
    <mergeCell ref="B328:C328"/>
    <mergeCell ref="D328:E328"/>
    <mergeCell ref="F328:G328"/>
    <mergeCell ref="H328:I328"/>
    <mergeCell ref="J328:K328"/>
    <mergeCell ref="L328:M328"/>
    <mergeCell ref="N328:O328"/>
    <mergeCell ref="P330:Q330"/>
    <mergeCell ref="R330:S330"/>
    <mergeCell ref="T330:U330"/>
    <mergeCell ref="V330:W330"/>
    <mergeCell ref="X330:Y330"/>
    <mergeCell ref="Z330:AA330"/>
    <mergeCell ref="AB330:AC330"/>
    <mergeCell ref="B330:C330"/>
    <mergeCell ref="D330:E330"/>
    <mergeCell ref="F330:G330"/>
    <mergeCell ref="H330:I330"/>
    <mergeCell ref="J330:K330"/>
    <mergeCell ref="L330:M330"/>
    <mergeCell ref="N330:O330"/>
    <mergeCell ref="AD328:AE328"/>
    <mergeCell ref="AF328:AG328"/>
    <mergeCell ref="P328:Q328"/>
    <mergeCell ref="R328:S328"/>
    <mergeCell ref="T328:U328"/>
    <mergeCell ref="V328:W328"/>
    <mergeCell ref="X328:Y328"/>
    <mergeCell ref="Z328:AA328"/>
    <mergeCell ref="AB328:AC328"/>
    <mergeCell ref="AD329:AE329"/>
    <mergeCell ref="AF329:AG329"/>
    <mergeCell ref="AH329:AI329"/>
    <mergeCell ref="AJ329:AK329"/>
    <mergeCell ref="AL329:BB329"/>
    <mergeCell ref="P329:Q329"/>
    <mergeCell ref="R329:S329"/>
    <mergeCell ref="T329:U329"/>
    <mergeCell ref="V329:W329"/>
    <mergeCell ref="X329:Y329"/>
    <mergeCell ref="Z329:AA329"/>
    <mergeCell ref="AB329:AC329"/>
    <mergeCell ref="B329:C329"/>
    <mergeCell ref="D329:E329"/>
    <mergeCell ref="F329:G329"/>
    <mergeCell ref="H329:I329"/>
    <mergeCell ref="J329:K329"/>
    <mergeCell ref="L329:M329"/>
    <mergeCell ref="N329:O329"/>
    <mergeCell ref="AD330:AE330"/>
    <mergeCell ref="AF330:AG330"/>
    <mergeCell ref="AH330:AI330"/>
    <mergeCell ref="AJ330:AK330"/>
    <mergeCell ref="AL330:BB330"/>
    <mergeCell ref="B325:C325"/>
    <mergeCell ref="D325:E325"/>
    <mergeCell ref="F325:G325"/>
    <mergeCell ref="H325:I325"/>
    <mergeCell ref="J325:K325"/>
    <mergeCell ref="L325:M325"/>
    <mergeCell ref="N325:O325"/>
    <mergeCell ref="AD326:AE326"/>
    <mergeCell ref="AF326:AG326"/>
    <mergeCell ref="AH326:AI326"/>
    <mergeCell ref="AJ326:AK326"/>
    <mergeCell ref="AL326:BB326"/>
    <mergeCell ref="P326:Q326"/>
    <mergeCell ref="R326:S326"/>
    <mergeCell ref="T326:U326"/>
    <mergeCell ref="V326:W326"/>
    <mergeCell ref="X326:Y326"/>
    <mergeCell ref="Z326:AA326"/>
    <mergeCell ref="AB326:AC326"/>
    <mergeCell ref="B326:C326"/>
    <mergeCell ref="D326:E326"/>
    <mergeCell ref="F326:G326"/>
    <mergeCell ref="H326:I326"/>
    <mergeCell ref="J326:K326"/>
    <mergeCell ref="L326:M326"/>
    <mergeCell ref="N326:O326"/>
    <mergeCell ref="AD327:AE327"/>
    <mergeCell ref="AF327:AG327"/>
    <mergeCell ref="AH327:AI327"/>
    <mergeCell ref="AJ327:AK327"/>
    <mergeCell ref="AL327:BB327"/>
    <mergeCell ref="P327:Q327"/>
    <mergeCell ref="R327:S327"/>
    <mergeCell ref="T327:U327"/>
    <mergeCell ref="V327:W327"/>
    <mergeCell ref="X327:Y327"/>
    <mergeCell ref="Z327:AA327"/>
    <mergeCell ref="AB327:AC327"/>
    <mergeCell ref="B327:C327"/>
    <mergeCell ref="D327:E327"/>
    <mergeCell ref="F327:G327"/>
    <mergeCell ref="H327:I327"/>
    <mergeCell ref="J327:K327"/>
    <mergeCell ref="L327:M327"/>
    <mergeCell ref="N327:O327"/>
    <mergeCell ref="AH322:AI322"/>
    <mergeCell ref="AJ322:AK322"/>
    <mergeCell ref="AL322:BB322"/>
    <mergeCell ref="B322:C322"/>
    <mergeCell ref="D322:E322"/>
    <mergeCell ref="F322:G322"/>
    <mergeCell ref="H322:I322"/>
    <mergeCell ref="J322:K322"/>
    <mergeCell ref="L322:M322"/>
    <mergeCell ref="N322:O322"/>
    <mergeCell ref="P324:Q324"/>
    <mergeCell ref="R324:S324"/>
    <mergeCell ref="T324:U324"/>
    <mergeCell ref="V324:W324"/>
    <mergeCell ref="X324:Y324"/>
    <mergeCell ref="Z324:AA324"/>
    <mergeCell ref="AB324:AC324"/>
    <mergeCell ref="B324:C324"/>
    <mergeCell ref="D324:E324"/>
    <mergeCell ref="F324:G324"/>
    <mergeCell ref="H324:I324"/>
    <mergeCell ref="J324:K324"/>
    <mergeCell ref="L324:M324"/>
    <mergeCell ref="N324:O324"/>
    <mergeCell ref="AD322:AE322"/>
    <mergeCell ref="AF322:AG322"/>
    <mergeCell ref="P322:Q322"/>
    <mergeCell ref="R322:S322"/>
    <mergeCell ref="T322:U322"/>
    <mergeCell ref="V322:W322"/>
    <mergeCell ref="X322:Y322"/>
    <mergeCell ref="Z322:AA322"/>
    <mergeCell ref="AB322:AC322"/>
    <mergeCell ref="AD323:AE323"/>
    <mergeCell ref="AF323:AG323"/>
    <mergeCell ref="AH323:AI323"/>
    <mergeCell ref="AJ323:AK323"/>
    <mergeCell ref="AL323:BB323"/>
    <mergeCell ref="P323:Q323"/>
    <mergeCell ref="R323:S323"/>
    <mergeCell ref="T323:U323"/>
    <mergeCell ref="V323:W323"/>
    <mergeCell ref="X323:Y323"/>
    <mergeCell ref="Z323:AA323"/>
    <mergeCell ref="AB323:AC323"/>
    <mergeCell ref="B323:C323"/>
    <mergeCell ref="D323:E323"/>
    <mergeCell ref="F323:G323"/>
    <mergeCell ref="H323:I323"/>
    <mergeCell ref="J323:K323"/>
    <mergeCell ref="L323:M323"/>
    <mergeCell ref="N323:O323"/>
    <mergeCell ref="AD324:AE324"/>
    <mergeCell ref="AF324:AG324"/>
    <mergeCell ref="AH324:AI324"/>
    <mergeCell ref="AJ324:AK324"/>
    <mergeCell ref="AL324:BB324"/>
    <mergeCell ref="AH319:AI319"/>
    <mergeCell ref="AJ319:AK319"/>
    <mergeCell ref="AL319:BB319"/>
    <mergeCell ref="B319:C319"/>
    <mergeCell ref="D319:E319"/>
    <mergeCell ref="F319:G319"/>
    <mergeCell ref="H319:I319"/>
    <mergeCell ref="J319:K319"/>
    <mergeCell ref="L319:M319"/>
    <mergeCell ref="N319:O319"/>
    <mergeCell ref="P321:Q321"/>
    <mergeCell ref="R321:S321"/>
    <mergeCell ref="T321:U321"/>
    <mergeCell ref="V321:W321"/>
    <mergeCell ref="X321:Y321"/>
    <mergeCell ref="Z321:AA321"/>
    <mergeCell ref="AB321:AC321"/>
    <mergeCell ref="B321:C321"/>
    <mergeCell ref="D321:E321"/>
    <mergeCell ref="F321:G321"/>
    <mergeCell ref="H321:I321"/>
    <mergeCell ref="J321:K321"/>
    <mergeCell ref="L321:M321"/>
    <mergeCell ref="N321:O321"/>
    <mergeCell ref="AD319:AE319"/>
    <mergeCell ref="AF319:AG319"/>
    <mergeCell ref="P319:Q319"/>
    <mergeCell ref="R319:S319"/>
    <mergeCell ref="T319:U319"/>
    <mergeCell ref="V319:W319"/>
    <mergeCell ref="X319:Y319"/>
    <mergeCell ref="Z319:AA319"/>
    <mergeCell ref="AB319:AC319"/>
    <mergeCell ref="AD320:AE320"/>
    <mergeCell ref="AF320:AG320"/>
    <mergeCell ref="AH320:AI320"/>
    <mergeCell ref="AJ320:AK320"/>
    <mergeCell ref="AL320:BB320"/>
    <mergeCell ref="P320:Q320"/>
    <mergeCell ref="R320:S320"/>
    <mergeCell ref="T320:U320"/>
    <mergeCell ref="V320:W320"/>
    <mergeCell ref="X320:Y320"/>
    <mergeCell ref="Z320:AA320"/>
    <mergeCell ref="AB320:AC320"/>
    <mergeCell ref="B320:C320"/>
    <mergeCell ref="D320:E320"/>
    <mergeCell ref="F320:G320"/>
    <mergeCell ref="H320:I320"/>
    <mergeCell ref="J320:K320"/>
    <mergeCell ref="L320:M320"/>
    <mergeCell ref="N320:O320"/>
    <mergeCell ref="AD321:AE321"/>
    <mergeCell ref="AF321:AG321"/>
    <mergeCell ref="AH321:AI321"/>
    <mergeCell ref="AJ321:AK321"/>
    <mergeCell ref="AL321:BB321"/>
    <mergeCell ref="AH316:AI316"/>
    <mergeCell ref="AJ316:AK316"/>
    <mergeCell ref="AL316:BB316"/>
    <mergeCell ref="B316:C316"/>
    <mergeCell ref="D316:E316"/>
    <mergeCell ref="F316:G316"/>
    <mergeCell ref="H316:I316"/>
    <mergeCell ref="J316:K316"/>
    <mergeCell ref="L316:M316"/>
    <mergeCell ref="N316:O316"/>
    <mergeCell ref="P318:Q318"/>
    <mergeCell ref="R318:S318"/>
    <mergeCell ref="T318:U318"/>
    <mergeCell ref="V318:W318"/>
    <mergeCell ref="X318:Y318"/>
    <mergeCell ref="Z318:AA318"/>
    <mergeCell ref="AB318:AC318"/>
    <mergeCell ref="B318:C318"/>
    <mergeCell ref="D318:E318"/>
    <mergeCell ref="F318:G318"/>
    <mergeCell ref="H318:I318"/>
    <mergeCell ref="J318:K318"/>
    <mergeCell ref="L318:M318"/>
    <mergeCell ref="N318:O318"/>
    <mergeCell ref="AD316:AE316"/>
    <mergeCell ref="AF316:AG316"/>
    <mergeCell ref="P316:Q316"/>
    <mergeCell ref="R316:S316"/>
    <mergeCell ref="T316:U316"/>
    <mergeCell ref="V316:W316"/>
    <mergeCell ref="X316:Y316"/>
    <mergeCell ref="Z316:AA316"/>
    <mergeCell ref="AB316:AC316"/>
    <mergeCell ref="AD317:AE317"/>
    <mergeCell ref="AF317:AG317"/>
    <mergeCell ref="AH317:AI317"/>
    <mergeCell ref="AJ317:AK317"/>
    <mergeCell ref="AL317:BB317"/>
    <mergeCell ref="P317:Q317"/>
    <mergeCell ref="R317:S317"/>
    <mergeCell ref="T317:U317"/>
    <mergeCell ref="V317:W317"/>
    <mergeCell ref="X317:Y317"/>
    <mergeCell ref="Z317:AA317"/>
    <mergeCell ref="AB317:AC317"/>
    <mergeCell ref="B317:C317"/>
    <mergeCell ref="D317:E317"/>
    <mergeCell ref="F317:G317"/>
    <mergeCell ref="H317:I317"/>
    <mergeCell ref="J317:K317"/>
    <mergeCell ref="L317:M317"/>
    <mergeCell ref="N317:O317"/>
    <mergeCell ref="AD318:AE318"/>
    <mergeCell ref="AF318:AG318"/>
    <mergeCell ref="AH318:AI318"/>
    <mergeCell ref="AJ318:AK318"/>
    <mergeCell ref="AL318:BB318"/>
    <mergeCell ref="AH313:AI313"/>
    <mergeCell ref="AJ313:AK313"/>
    <mergeCell ref="AL313:BB313"/>
    <mergeCell ref="B313:C313"/>
    <mergeCell ref="D313:E313"/>
    <mergeCell ref="F313:G313"/>
    <mergeCell ref="H313:I313"/>
    <mergeCell ref="J313:K313"/>
    <mergeCell ref="L313:M313"/>
    <mergeCell ref="N313:O313"/>
    <mergeCell ref="P315:Q315"/>
    <mergeCell ref="R315:S315"/>
    <mergeCell ref="T315:U315"/>
    <mergeCell ref="V315:W315"/>
    <mergeCell ref="X315:Y315"/>
    <mergeCell ref="Z315:AA315"/>
    <mergeCell ref="AB315:AC315"/>
    <mergeCell ref="B315:C315"/>
    <mergeCell ref="D315:E315"/>
    <mergeCell ref="F315:G315"/>
    <mergeCell ref="H315:I315"/>
    <mergeCell ref="J315:K315"/>
    <mergeCell ref="L315:M315"/>
    <mergeCell ref="N315:O315"/>
    <mergeCell ref="AD313:AE313"/>
    <mergeCell ref="AF313:AG313"/>
    <mergeCell ref="P313:Q313"/>
    <mergeCell ref="R313:S313"/>
    <mergeCell ref="T313:U313"/>
    <mergeCell ref="V313:W313"/>
    <mergeCell ref="X313:Y313"/>
    <mergeCell ref="Z313:AA313"/>
    <mergeCell ref="AB313:AC313"/>
    <mergeCell ref="AD314:AE314"/>
    <mergeCell ref="AF314:AG314"/>
    <mergeCell ref="AH314:AI314"/>
    <mergeCell ref="AJ314:AK314"/>
    <mergeCell ref="AL314:BB314"/>
    <mergeCell ref="P314:Q314"/>
    <mergeCell ref="R314:S314"/>
    <mergeCell ref="T314:U314"/>
    <mergeCell ref="V314:W314"/>
    <mergeCell ref="X314:Y314"/>
    <mergeCell ref="Z314:AA314"/>
    <mergeCell ref="AB314:AC314"/>
    <mergeCell ref="B314:C314"/>
    <mergeCell ref="D314:E314"/>
    <mergeCell ref="F314:G314"/>
    <mergeCell ref="H314:I314"/>
    <mergeCell ref="J314:K314"/>
    <mergeCell ref="L314:M314"/>
    <mergeCell ref="N314:O314"/>
    <mergeCell ref="AD315:AE315"/>
    <mergeCell ref="AF315:AG315"/>
    <mergeCell ref="AH315:AI315"/>
    <mergeCell ref="AJ315:AK315"/>
    <mergeCell ref="AL315:BB315"/>
    <mergeCell ref="AJ309:AK309"/>
    <mergeCell ref="AL309:BB309"/>
    <mergeCell ref="AH310:AI310"/>
    <mergeCell ref="AJ310:AK310"/>
    <mergeCell ref="AL310:BB310"/>
    <mergeCell ref="B310:C310"/>
    <mergeCell ref="D310:E310"/>
    <mergeCell ref="F310:G310"/>
    <mergeCell ref="H310:I310"/>
    <mergeCell ref="J310:K310"/>
    <mergeCell ref="L310:M310"/>
    <mergeCell ref="N310:O310"/>
    <mergeCell ref="P312:Q312"/>
    <mergeCell ref="R312:S312"/>
    <mergeCell ref="T312:U312"/>
    <mergeCell ref="V312:W312"/>
    <mergeCell ref="X312:Y312"/>
    <mergeCell ref="Z312:AA312"/>
    <mergeCell ref="AB312:AC312"/>
    <mergeCell ref="B312:C312"/>
    <mergeCell ref="D312:E312"/>
    <mergeCell ref="F312:G312"/>
    <mergeCell ref="H312:I312"/>
    <mergeCell ref="J312:K312"/>
    <mergeCell ref="L312:M312"/>
    <mergeCell ref="N312:O312"/>
    <mergeCell ref="AD310:AE310"/>
    <mergeCell ref="AF310:AG310"/>
    <mergeCell ref="P310:Q310"/>
    <mergeCell ref="R310:S310"/>
    <mergeCell ref="T310:U310"/>
    <mergeCell ref="V310:W310"/>
    <mergeCell ref="X310:Y310"/>
    <mergeCell ref="Z310:AA310"/>
    <mergeCell ref="AB310:AC310"/>
    <mergeCell ref="AD311:AE311"/>
    <mergeCell ref="AF311:AG311"/>
    <mergeCell ref="AH311:AI311"/>
    <mergeCell ref="AJ311:AK311"/>
    <mergeCell ref="AL311:BB311"/>
    <mergeCell ref="P311:Q311"/>
    <mergeCell ref="R311:S311"/>
    <mergeCell ref="T311:U311"/>
    <mergeCell ref="V311:W311"/>
    <mergeCell ref="X311:Y311"/>
    <mergeCell ref="Z311:AA311"/>
    <mergeCell ref="AB311:AC311"/>
    <mergeCell ref="B311:C311"/>
    <mergeCell ref="D311:E311"/>
    <mergeCell ref="F311:G311"/>
    <mergeCell ref="H311:I311"/>
    <mergeCell ref="J311:K311"/>
    <mergeCell ref="L311:M311"/>
    <mergeCell ref="N311:O311"/>
    <mergeCell ref="AD312:AE312"/>
    <mergeCell ref="AF312:AG312"/>
    <mergeCell ref="AH312:AI312"/>
    <mergeCell ref="AJ312:AK312"/>
    <mergeCell ref="AL312:BB312"/>
    <mergeCell ref="H305:I305"/>
    <mergeCell ref="J305:K305"/>
    <mergeCell ref="L305:M305"/>
    <mergeCell ref="N305:O305"/>
    <mergeCell ref="AD306:AE306"/>
    <mergeCell ref="AF306:AG306"/>
    <mergeCell ref="AH306:AI306"/>
    <mergeCell ref="AJ306:AK306"/>
    <mergeCell ref="AL306:BB306"/>
    <mergeCell ref="AH307:AI307"/>
    <mergeCell ref="AJ307:AK307"/>
    <mergeCell ref="AL307:BB307"/>
    <mergeCell ref="B307:C307"/>
    <mergeCell ref="D307:E307"/>
    <mergeCell ref="F307:G307"/>
    <mergeCell ref="H307:I307"/>
    <mergeCell ref="J307:K307"/>
    <mergeCell ref="L307:M307"/>
    <mergeCell ref="N307:O307"/>
    <mergeCell ref="P309:Q309"/>
    <mergeCell ref="R309:S309"/>
    <mergeCell ref="T309:U309"/>
    <mergeCell ref="V309:W309"/>
    <mergeCell ref="X309:Y309"/>
    <mergeCell ref="Z309:AA309"/>
    <mergeCell ref="AB309:AC309"/>
    <mergeCell ref="B309:C309"/>
    <mergeCell ref="D309:E309"/>
    <mergeCell ref="F309:G309"/>
    <mergeCell ref="H309:I309"/>
    <mergeCell ref="J309:K309"/>
    <mergeCell ref="L309:M309"/>
    <mergeCell ref="N309:O309"/>
    <mergeCell ref="AD307:AE307"/>
    <mergeCell ref="AF307:AG307"/>
    <mergeCell ref="P307:Q307"/>
    <mergeCell ref="R307:S307"/>
    <mergeCell ref="T307:U307"/>
    <mergeCell ref="V307:W307"/>
    <mergeCell ref="X307:Y307"/>
    <mergeCell ref="Z307:AA307"/>
    <mergeCell ref="AB307:AC307"/>
    <mergeCell ref="AD308:AE308"/>
    <mergeCell ref="AF308:AG308"/>
    <mergeCell ref="AH308:AI308"/>
    <mergeCell ref="AJ308:AK308"/>
    <mergeCell ref="AL308:BB308"/>
    <mergeCell ref="P308:Q308"/>
    <mergeCell ref="R308:S308"/>
    <mergeCell ref="T308:U308"/>
    <mergeCell ref="V308:W308"/>
    <mergeCell ref="X308:Y308"/>
    <mergeCell ref="Z308:AA308"/>
    <mergeCell ref="AB308:AC308"/>
    <mergeCell ref="B308:C308"/>
    <mergeCell ref="D308:E308"/>
    <mergeCell ref="F308:G308"/>
    <mergeCell ref="H308:I308"/>
    <mergeCell ref="J308:K308"/>
    <mergeCell ref="L308:M308"/>
    <mergeCell ref="N308:O308"/>
    <mergeCell ref="AD309:AE309"/>
    <mergeCell ref="AF309:AG309"/>
    <mergeCell ref="AH309:AI309"/>
    <mergeCell ref="P303:Q303"/>
    <mergeCell ref="R303:S303"/>
    <mergeCell ref="T303:U303"/>
    <mergeCell ref="V303:W303"/>
    <mergeCell ref="X303:Y303"/>
    <mergeCell ref="Z303:AA303"/>
    <mergeCell ref="AB303:AC303"/>
    <mergeCell ref="B303:C303"/>
    <mergeCell ref="D303:E303"/>
    <mergeCell ref="F303:G303"/>
    <mergeCell ref="H303:I303"/>
    <mergeCell ref="J303:K303"/>
    <mergeCell ref="L303:M303"/>
    <mergeCell ref="N303:O303"/>
    <mergeCell ref="AD325:AE325"/>
    <mergeCell ref="AF325:AG325"/>
    <mergeCell ref="AH325:AI325"/>
    <mergeCell ref="AJ325:AK325"/>
    <mergeCell ref="AL325:BB325"/>
    <mergeCell ref="P325:Q325"/>
    <mergeCell ref="R325:S325"/>
    <mergeCell ref="T325:U325"/>
    <mergeCell ref="V325:W325"/>
    <mergeCell ref="X325:Y325"/>
    <mergeCell ref="Z325:AA325"/>
    <mergeCell ref="AB325:AC325"/>
    <mergeCell ref="P306:Q306"/>
    <mergeCell ref="R306:S306"/>
    <mergeCell ref="T306:U306"/>
    <mergeCell ref="V306:W306"/>
    <mergeCell ref="X306:Y306"/>
    <mergeCell ref="Z306:AA306"/>
    <mergeCell ref="AB306:AC306"/>
    <mergeCell ref="B306:C306"/>
    <mergeCell ref="D306:E306"/>
    <mergeCell ref="F306:G306"/>
    <mergeCell ref="H306:I306"/>
    <mergeCell ref="J306:K306"/>
    <mergeCell ref="L306:M306"/>
    <mergeCell ref="N306:O306"/>
    <mergeCell ref="AD304:AE304"/>
    <mergeCell ref="AF304:AG304"/>
    <mergeCell ref="P304:Q304"/>
    <mergeCell ref="R304:S304"/>
    <mergeCell ref="T304:U304"/>
    <mergeCell ref="V304:W304"/>
    <mergeCell ref="X304:Y304"/>
    <mergeCell ref="Z304:AA304"/>
    <mergeCell ref="AB304:AC304"/>
    <mergeCell ref="AD305:AE305"/>
    <mergeCell ref="AF305:AG305"/>
    <mergeCell ref="AH305:AI305"/>
    <mergeCell ref="AJ305:AK305"/>
    <mergeCell ref="AL305:BB305"/>
    <mergeCell ref="P305:Q305"/>
    <mergeCell ref="R305:S305"/>
    <mergeCell ref="T305:U305"/>
    <mergeCell ref="V305:W305"/>
    <mergeCell ref="X305:Y305"/>
    <mergeCell ref="Z305:AA305"/>
    <mergeCell ref="AB305:AC305"/>
    <mergeCell ref="B305:C305"/>
    <mergeCell ref="D305:E305"/>
    <mergeCell ref="F305:G305"/>
    <mergeCell ref="P297:Q297"/>
    <mergeCell ref="R297:S297"/>
    <mergeCell ref="T297:U297"/>
    <mergeCell ref="V297:W297"/>
    <mergeCell ref="X297:Y297"/>
    <mergeCell ref="Z297:AA297"/>
    <mergeCell ref="AB297:AC297"/>
    <mergeCell ref="B297:C297"/>
    <mergeCell ref="D297:E297"/>
    <mergeCell ref="F297:G297"/>
    <mergeCell ref="H297:I297"/>
    <mergeCell ref="J297:K297"/>
    <mergeCell ref="L297:M297"/>
    <mergeCell ref="N297:O297"/>
    <mergeCell ref="AD295:AE295"/>
    <mergeCell ref="AF295:AG295"/>
    <mergeCell ref="P295:Q295"/>
    <mergeCell ref="R295:S295"/>
    <mergeCell ref="T295:U295"/>
    <mergeCell ref="V295:W295"/>
    <mergeCell ref="X295:Y295"/>
    <mergeCell ref="Z295:AA295"/>
    <mergeCell ref="AB295:AC295"/>
    <mergeCell ref="AD296:AE296"/>
    <mergeCell ref="AF296:AG296"/>
    <mergeCell ref="AH296:AI296"/>
    <mergeCell ref="AJ296:AK296"/>
    <mergeCell ref="AL296:BB296"/>
    <mergeCell ref="P296:Q296"/>
    <mergeCell ref="R296:S296"/>
    <mergeCell ref="T296:U296"/>
    <mergeCell ref="V296:W296"/>
    <mergeCell ref="X296:Y296"/>
    <mergeCell ref="Z296:AA296"/>
    <mergeCell ref="AB296:AC296"/>
    <mergeCell ref="B296:C296"/>
    <mergeCell ref="D296:E296"/>
    <mergeCell ref="F296:G296"/>
    <mergeCell ref="H296:I296"/>
    <mergeCell ref="J296:K296"/>
    <mergeCell ref="L296:M296"/>
    <mergeCell ref="N296:O296"/>
    <mergeCell ref="AD297:AE297"/>
    <mergeCell ref="AF297:AG297"/>
    <mergeCell ref="AH297:AI297"/>
    <mergeCell ref="AJ297:AK297"/>
    <mergeCell ref="AL297:BB297"/>
    <mergeCell ref="AL294:BB294"/>
    <mergeCell ref="AH295:AI295"/>
    <mergeCell ref="AJ295:AK295"/>
    <mergeCell ref="AL295:BB295"/>
    <mergeCell ref="B295:C295"/>
    <mergeCell ref="D295:E295"/>
    <mergeCell ref="F295:G295"/>
    <mergeCell ref="H295:I295"/>
    <mergeCell ref="J295:K295"/>
    <mergeCell ref="L295:M295"/>
    <mergeCell ref="N295:O295"/>
    <mergeCell ref="AD303:AE303"/>
    <mergeCell ref="AF303:AG303"/>
    <mergeCell ref="AH303:AI303"/>
    <mergeCell ref="AJ303:AK303"/>
    <mergeCell ref="AL303:BB303"/>
    <mergeCell ref="AH304:AI304"/>
    <mergeCell ref="AJ304:AK304"/>
    <mergeCell ref="AL304:BB304"/>
    <mergeCell ref="B304:C304"/>
    <mergeCell ref="D304:E304"/>
    <mergeCell ref="F304:G304"/>
    <mergeCell ref="H304:I304"/>
    <mergeCell ref="J304:K304"/>
    <mergeCell ref="L304:M304"/>
    <mergeCell ref="N304:O304"/>
    <mergeCell ref="AD289:AE289"/>
    <mergeCell ref="AF289:AG289"/>
    <mergeCell ref="P289:Q289"/>
    <mergeCell ref="R289:S289"/>
    <mergeCell ref="T289:U289"/>
    <mergeCell ref="V289:W289"/>
    <mergeCell ref="X289:Y289"/>
    <mergeCell ref="Z289:AA289"/>
    <mergeCell ref="AB289:AC289"/>
    <mergeCell ref="AD290:AE290"/>
    <mergeCell ref="AF290:AG290"/>
    <mergeCell ref="AH290:AI290"/>
    <mergeCell ref="AJ290:AK290"/>
    <mergeCell ref="AL290:BB290"/>
    <mergeCell ref="P290:Q290"/>
    <mergeCell ref="R290:S290"/>
    <mergeCell ref="T290:U290"/>
    <mergeCell ref="V290:W290"/>
    <mergeCell ref="X290:Y290"/>
    <mergeCell ref="Z290:AA290"/>
    <mergeCell ref="AB290:AC290"/>
    <mergeCell ref="B290:C290"/>
    <mergeCell ref="D290:E290"/>
    <mergeCell ref="F290:G290"/>
    <mergeCell ref="H290:I290"/>
    <mergeCell ref="J290:K290"/>
    <mergeCell ref="L290:M290"/>
    <mergeCell ref="N290:O290"/>
    <mergeCell ref="AD291:AE291"/>
    <mergeCell ref="AF291:AG291"/>
    <mergeCell ref="AH291:AI291"/>
    <mergeCell ref="AJ291:AK291"/>
    <mergeCell ref="AL291:BB291"/>
    <mergeCell ref="AH292:AI292"/>
    <mergeCell ref="AJ292:AK292"/>
    <mergeCell ref="AL292:BB292"/>
    <mergeCell ref="B292:C292"/>
    <mergeCell ref="D292:E292"/>
    <mergeCell ref="F292:G292"/>
    <mergeCell ref="H292:I292"/>
    <mergeCell ref="J292:K292"/>
    <mergeCell ref="L292:M292"/>
    <mergeCell ref="N292:O292"/>
    <mergeCell ref="AD292:AE292"/>
    <mergeCell ref="AF292:AG292"/>
    <mergeCell ref="P292:Q292"/>
    <mergeCell ref="R292:S292"/>
    <mergeCell ref="T292:U292"/>
    <mergeCell ref="V292:W292"/>
    <mergeCell ref="AH301:AI301"/>
    <mergeCell ref="AJ301:AK301"/>
    <mergeCell ref="AL301:BB301"/>
    <mergeCell ref="B301:C301"/>
    <mergeCell ref="D301:E301"/>
    <mergeCell ref="F301:G301"/>
    <mergeCell ref="H301:I301"/>
    <mergeCell ref="J301:K301"/>
    <mergeCell ref="L301:M301"/>
    <mergeCell ref="N301:O301"/>
    <mergeCell ref="AD301:AE301"/>
    <mergeCell ref="AF301:AG301"/>
    <mergeCell ref="P301:Q301"/>
    <mergeCell ref="R301:S301"/>
    <mergeCell ref="T301:U301"/>
    <mergeCell ref="V301:W301"/>
    <mergeCell ref="X301:Y301"/>
    <mergeCell ref="Z301:AA301"/>
    <mergeCell ref="AB301:AC301"/>
    <mergeCell ref="AD302:AE302"/>
    <mergeCell ref="AF302:AG302"/>
    <mergeCell ref="AH302:AI302"/>
    <mergeCell ref="AJ302:AK302"/>
    <mergeCell ref="AL302:BB302"/>
    <mergeCell ref="P302:Q302"/>
    <mergeCell ref="R302:S302"/>
    <mergeCell ref="T302:U302"/>
    <mergeCell ref="V302:W302"/>
    <mergeCell ref="X302:Y302"/>
    <mergeCell ref="Z302:AA302"/>
    <mergeCell ref="AB302:AC302"/>
    <mergeCell ref="B302:C302"/>
    <mergeCell ref="D302:E302"/>
    <mergeCell ref="F302:G302"/>
    <mergeCell ref="H302:I302"/>
    <mergeCell ref="J302:K302"/>
    <mergeCell ref="L302:M302"/>
    <mergeCell ref="N302:O302"/>
    <mergeCell ref="AD298:AE298"/>
    <mergeCell ref="AF298:AG298"/>
    <mergeCell ref="P298:Q298"/>
    <mergeCell ref="R298:S298"/>
    <mergeCell ref="T298:U298"/>
    <mergeCell ref="V298:W298"/>
    <mergeCell ref="X298:Y298"/>
    <mergeCell ref="Z298:AA298"/>
    <mergeCell ref="AB298:AC298"/>
    <mergeCell ref="AD299:AE299"/>
    <mergeCell ref="AF299:AG299"/>
    <mergeCell ref="AH299:AI299"/>
    <mergeCell ref="AJ299:AK299"/>
    <mergeCell ref="AL299:BB299"/>
    <mergeCell ref="P299:Q299"/>
    <mergeCell ref="R299:S299"/>
    <mergeCell ref="T299:U299"/>
    <mergeCell ref="V299:W299"/>
    <mergeCell ref="X299:Y299"/>
    <mergeCell ref="Z299:AA299"/>
    <mergeCell ref="AB299:AC299"/>
    <mergeCell ref="B299:C299"/>
    <mergeCell ref="D299:E299"/>
    <mergeCell ref="F299:G299"/>
    <mergeCell ref="H299:I299"/>
    <mergeCell ref="J299:K299"/>
    <mergeCell ref="L299:M299"/>
    <mergeCell ref="N299:O299"/>
    <mergeCell ref="AD300:AE300"/>
    <mergeCell ref="AF300:AG300"/>
    <mergeCell ref="AH300:AI300"/>
    <mergeCell ref="AJ300:AK300"/>
    <mergeCell ref="AL300:BB300"/>
    <mergeCell ref="AH298:AI298"/>
    <mergeCell ref="AJ298:AK298"/>
    <mergeCell ref="AL298:BB298"/>
    <mergeCell ref="B298:C298"/>
    <mergeCell ref="D298:E298"/>
    <mergeCell ref="F298:G298"/>
    <mergeCell ref="H298:I298"/>
    <mergeCell ref="J298:K298"/>
    <mergeCell ref="L298:M298"/>
    <mergeCell ref="N298:O298"/>
    <mergeCell ref="P300:Q300"/>
    <mergeCell ref="R300:S300"/>
    <mergeCell ref="T300:U300"/>
    <mergeCell ref="V300:W300"/>
    <mergeCell ref="X300:Y300"/>
    <mergeCell ref="Z300:AA300"/>
    <mergeCell ref="AB300:AC300"/>
    <mergeCell ref="B300:C300"/>
    <mergeCell ref="D300:E300"/>
    <mergeCell ref="F300:G300"/>
    <mergeCell ref="H300:I300"/>
    <mergeCell ref="J300:K300"/>
    <mergeCell ref="L300:M300"/>
    <mergeCell ref="N300:O300"/>
    <mergeCell ref="AH163:AI163"/>
    <mergeCell ref="AJ163:AK163"/>
    <mergeCell ref="AL163:BB163"/>
    <mergeCell ref="B163:C163"/>
    <mergeCell ref="D163:E163"/>
    <mergeCell ref="F163:G163"/>
    <mergeCell ref="H163:I163"/>
    <mergeCell ref="J163:K163"/>
    <mergeCell ref="L163:M163"/>
    <mergeCell ref="N163:O163"/>
    <mergeCell ref="P165:Q165"/>
    <mergeCell ref="R165:S165"/>
    <mergeCell ref="T165:U165"/>
    <mergeCell ref="V165:W165"/>
    <mergeCell ref="X165:Y165"/>
    <mergeCell ref="Z165:AA165"/>
    <mergeCell ref="AB165:AC165"/>
    <mergeCell ref="B165:C165"/>
    <mergeCell ref="D165:E165"/>
    <mergeCell ref="F165:G165"/>
    <mergeCell ref="H165:I165"/>
    <mergeCell ref="J165:K165"/>
    <mergeCell ref="L165:M165"/>
    <mergeCell ref="N165:O165"/>
    <mergeCell ref="P168:Q168"/>
    <mergeCell ref="R168:S168"/>
    <mergeCell ref="T168:U168"/>
    <mergeCell ref="V168:W168"/>
    <mergeCell ref="X168:Y168"/>
    <mergeCell ref="Z168:AA168"/>
    <mergeCell ref="AB168:AC168"/>
    <mergeCell ref="B168:C168"/>
    <mergeCell ref="D168:E168"/>
    <mergeCell ref="F168:G168"/>
    <mergeCell ref="H168:I168"/>
    <mergeCell ref="J168:K168"/>
    <mergeCell ref="L168:M168"/>
    <mergeCell ref="N168:O168"/>
    <mergeCell ref="X166:Y166"/>
    <mergeCell ref="Z166:AA166"/>
    <mergeCell ref="AB166:AC166"/>
    <mergeCell ref="AD167:AE167"/>
    <mergeCell ref="AF167:AG167"/>
    <mergeCell ref="AH167:AI167"/>
    <mergeCell ref="AJ167:AK167"/>
    <mergeCell ref="AL167:BB167"/>
    <mergeCell ref="P167:Q167"/>
    <mergeCell ref="R167:S167"/>
    <mergeCell ref="T167:U167"/>
    <mergeCell ref="V167:W167"/>
    <mergeCell ref="X167:Y167"/>
    <mergeCell ref="Z167:AA167"/>
    <mergeCell ref="AB167:AC167"/>
    <mergeCell ref="B167:C167"/>
    <mergeCell ref="D167:E167"/>
    <mergeCell ref="F167:G167"/>
    <mergeCell ref="H167:I167"/>
    <mergeCell ref="J167:K167"/>
    <mergeCell ref="L167:M167"/>
    <mergeCell ref="N167:O167"/>
    <mergeCell ref="AD168:AE168"/>
    <mergeCell ref="AF168:AG168"/>
    <mergeCell ref="AH168:AI168"/>
    <mergeCell ref="AJ168:AK168"/>
    <mergeCell ref="AH160:AI160"/>
    <mergeCell ref="AJ160:AK160"/>
    <mergeCell ref="AL160:BB160"/>
    <mergeCell ref="B160:C160"/>
    <mergeCell ref="D160:E160"/>
    <mergeCell ref="F160:G160"/>
    <mergeCell ref="H160:I160"/>
    <mergeCell ref="J160:K160"/>
    <mergeCell ref="L160:M160"/>
    <mergeCell ref="N160:O160"/>
    <mergeCell ref="P162:Q162"/>
    <mergeCell ref="R162:S162"/>
    <mergeCell ref="T162:U162"/>
    <mergeCell ref="V162:W162"/>
    <mergeCell ref="X162:Y162"/>
    <mergeCell ref="Z162:AA162"/>
    <mergeCell ref="AB162:AC162"/>
    <mergeCell ref="B162:C162"/>
    <mergeCell ref="D162:E162"/>
    <mergeCell ref="F162:G162"/>
    <mergeCell ref="H162:I162"/>
    <mergeCell ref="J162:K162"/>
    <mergeCell ref="L162:M162"/>
    <mergeCell ref="N162:O162"/>
    <mergeCell ref="AD160:AE160"/>
    <mergeCell ref="AF160:AG160"/>
    <mergeCell ref="P160:Q160"/>
    <mergeCell ref="R160:S160"/>
    <mergeCell ref="T160:U160"/>
    <mergeCell ref="V160:W160"/>
    <mergeCell ref="X160:Y160"/>
    <mergeCell ref="Z160:AA160"/>
    <mergeCell ref="AB160:AC160"/>
    <mergeCell ref="AD161:AE161"/>
    <mergeCell ref="AF161:AG161"/>
    <mergeCell ref="AH161:AI161"/>
    <mergeCell ref="AJ161:AK161"/>
    <mergeCell ref="AL161:BB161"/>
    <mergeCell ref="P161:Q161"/>
    <mergeCell ref="R161:S161"/>
    <mergeCell ref="T161:U161"/>
    <mergeCell ref="V161:W161"/>
    <mergeCell ref="X161:Y161"/>
    <mergeCell ref="Z161:AA161"/>
    <mergeCell ref="AB161:AC161"/>
    <mergeCell ref="B161:C161"/>
    <mergeCell ref="D161:E161"/>
    <mergeCell ref="F161:G161"/>
    <mergeCell ref="H161:I161"/>
    <mergeCell ref="J161:K161"/>
    <mergeCell ref="L161:M161"/>
    <mergeCell ref="N161:O161"/>
    <mergeCell ref="AD162:AE162"/>
    <mergeCell ref="AF162:AG162"/>
    <mergeCell ref="AH162:AI162"/>
    <mergeCell ref="AJ162:AK162"/>
    <mergeCell ref="AL162:BB162"/>
    <mergeCell ref="B157:C157"/>
    <mergeCell ref="D157:E157"/>
    <mergeCell ref="F157:G157"/>
    <mergeCell ref="H157:I157"/>
    <mergeCell ref="J157:K157"/>
    <mergeCell ref="L157:M157"/>
    <mergeCell ref="N157:O157"/>
    <mergeCell ref="AD158:AE158"/>
    <mergeCell ref="AF158:AG158"/>
    <mergeCell ref="AH158:AI158"/>
    <mergeCell ref="AJ158:AK158"/>
    <mergeCell ref="AL158:BB158"/>
    <mergeCell ref="P158:Q158"/>
    <mergeCell ref="R158:S158"/>
    <mergeCell ref="T158:U158"/>
    <mergeCell ref="V158:W158"/>
    <mergeCell ref="X158:Y158"/>
    <mergeCell ref="Z158:AA158"/>
    <mergeCell ref="AB158:AC158"/>
    <mergeCell ref="B158:C158"/>
    <mergeCell ref="D158:E158"/>
    <mergeCell ref="F158:G158"/>
    <mergeCell ref="H158:I158"/>
    <mergeCell ref="J158:K158"/>
    <mergeCell ref="L158:M158"/>
    <mergeCell ref="N158:O158"/>
    <mergeCell ref="AD159:AE159"/>
    <mergeCell ref="AF159:AG159"/>
    <mergeCell ref="AH159:AI159"/>
    <mergeCell ref="AJ159:AK159"/>
    <mergeCell ref="AL159:BB159"/>
    <mergeCell ref="P159:Q159"/>
    <mergeCell ref="R159:S159"/>
    <mergeCell ref="T159:U159"/>
    <mergeCell ref="V159:W159"/>
    <mergeCell ref="X159:Y159"/>
    <mergeCell ref="Z159:AA159"/>
    <mergeCell ref="AB159:AC159"/>
    <mergeCell ref="B159:C159"/>
    <mergeCell ref="D159:E159"/>
    <mergeCell ref="F159:G159"/>
    <mergeCell ref="H159:I159"/>
    <mergeCell ref="J159:K159"/>
    <mergeCell ref="L159:M159"/>
    <mergeCell ref="N159:O159"/>
    <mergeCell ref="AH154:AI154"/>
    <mergeCell ref="AJ154:AK154"/>
    <mergeCell ref="AL154:BB154"/>
    <mergeCell ref="B154:C154"/>
    <mergeCell ref="D154:E154"/>
    <mergeCell ref="F154:G154"/>
    <mergeCell ref="H154:I154"/>
    <mergeCell ref="J154:K154"/>
    <mergeCell ref="L154:M154"/>
    <mergeCell ref="N154:O154"/>
    <mergeCell ref="P156:Q156"/>
    <mergeCell ref="R156:S156"/>
    <mergeCell ref="T156:U156"/>
    <mergeCell ref="V156:W156"/>
    <mergeCell ref="X156:Y156"/>
    <mergeCell ref="Z156:AA156"/>
    <mergeCell ref="AB156:AC156"/>
    <mergeCell ref="B156:C156"/>
    <mergeCell ref="D156:E156"/>
    <mergeCell ref="F156:G156"/>
    <mergeCell ref="H156:I156"/>
    <mergeCell ref="J156:K156"/>
    <mergeCell ref="L156:M156"/>
    <mergeCell ref="N156:O156"/>
    <mergeCell ref="AD154:AE154"/>
    <mergeCell ref="AF154:AG154"/>
    <mergeCell ref="P154:Q154"/>
    <mergeCell ref="R154:S154"/>
    <mergeCell ref="T154:U154"/>
    <mergeCell ref="V154:W154"/>
    <mergeCell ref="X154:Y154"/>
    <mergeCell ref="Z154:AA154"/>
    <mergeCell ref="AB154:AC154"/>
    <mergeCell ref="AD155:AE155"/>
    <mergeCell ref="AF155:AG155"/>
    <mergeCell ref="AH155:AI155"/>
    <mergeCell ref="AJ155:AK155"/>
    <mergeCell ref="AL155:BB155"/>
    <mergeCell ref="P155:Q155"/>
    <mergeCell ref="R155:S155"/>
    <mergeCell ref="T155:U155"/>
    <mergeCell ref="V155:W155"/>
    <mergeCell ref="X155:Y155"/>
    <mergeCell ref="Z155:AA155"/>
    <mergeCell ref="AB155:AC155"/>
    <mergeCell ref="B155:C155"/>
    <mergeCell ref="D155:E155"/>
    <mergeCell ref="F155:G155"/>
    <mergeCell ref="H155:I155"/>
    <mergeCell ref="J155:K155"/>
    <mergeCell ref="L155:M155"/>
    <mergeCell ref="N155:O155"/>
    <mergeCell ref="AD156:AE156"/>
    <mergeCell ref="AF156:AG156"/>
    <mergeCell ref="AH156:AI156"/>
    <mergeCell ref="AJ156:AK156"/>
    <mergeCell ref="AL156:BB156"/>
    <mergeCell ref="AH151:AI151"/>
    <mergeCell ref="AJ151:AK151"/>
    <mergeCell ref="AL151:BB151"/>
    <mergeCell ref="B151:C151"/>
    <mergeCell ref="D151:E151"/>
    <mergeCell ref="F151:G151"/>
    <mergeCell ref="H151:I151"/>
    <mergeCell ref="J151:K151"/>
    <mergeCell ref="L151:M151"/>
    <mergeCell ref="N151:O151"/>
    <mergeCell ref="P153:Q153"/>
    <mergeCell ref="R153:S153"/>
    <mergeCell ref="T153:U153"/>
    <mergeCell ref="V153:W153"/>
    <mergeCell ref="X153:Y153"/>
    <mergeCell ref="Z153:AA153"/>
    <mergeCell ref="AB153:AC153"/>
    <mergeCell ref="B153:C153"/>
    <mergeCell ref="D153:E153"/>
    <mergeCell ref="F153:G153"/>
    <mergeCell ref="H153:I153"/>
    <mergeCell ref="J153:K153"/>
    <mergeCell ref="L153:M153"/>
    <mergeCell ref="N153:O153"/>
    <mergeCell ref="AD151:AE151"/>
    <mergeCell ref="AF151:AG151"/>
    <mergeCell ref="P151:Q151"/>
    <mergeCell ref="R151:S151"/>
    <mergeCell ref="T151:U151"/>
    <mergeCell ref="V151:W151"/>
    <mergeCell ref="X151:Y151"/>
    <mergeCell ref="Z151:AA151"/>
    <mergeCell ref="AB151:AC151"/>
    <mergeCell ref="AD152:AE152"/>
    <mergeCell ref="AF152:AG152"/>
    <mergeCell ref="AH152:AI152"/>
    <mergeCell ref="AJ152:AK152"/>
    <mergeCell ref="AL152:BB152"/>
    <mergeCell ref="P152:Q152"/>
    <mergeCell ref="R152:S152"/>
    <mergeCell ref="T152:U152"/>
    <mergeCell ref="V152:W152"/>
    <mergeCell ref="X152:Y152"/>
    <mergeCell ref="Z152:AA152"/>
    <mergeCell ref="AB152:AC152"/>
    <mergeCell ref="B152:C152"/>
    <mergeCell ref="D152:E152"/>
    <mergeCell ref="F152:G152"/>
    <mergeCell ref="H152:I152"/>
    <mergeCell ref="J152:K152"/>
    <mergeCell ref="L152:M152"/>
    <mergeCell ref="N152:O152"/>
    <mergeCell ref="AD153:AE153"/>
    <mergeCell ref="AF153:AG153"/>
    <mergeCell ref="AH153:AI153"/>
    <mergeCell ref="AJ153:AK153"/>
    <mergeCell ref="AL153:BB153"/>
    <mergeCell ref="AH148:AI148"/>
    <mergeCell ref="AJ148:AK148"/>
    <mergeCell ref="AL148:BB148"/>
    <mergeCell ref="B148:C148"/>
    <mergeCell ref="D148:E148"/>
    <mergeCell ref="F148:G148"/>
    <mergeCell ref="H148:I148"/>
    <mergeCell ref="J148:K148"/>
    <mergeCell ref="L148:M148"/>
    <mergeCell ref="N148:O148"/>
    <mergeCell ref="P150:Q150"/>
    <mergeCell ref="R150:S150"/>
    <mergeCell ref="T150:U150"/>
    <mergeCell ref="V150:W150"/>
    <mergeCell ref="X150:Y150"/>
    <mergeCell ref="Z150:AA150"/>
    <mergeCell ref="AB150:AC150"/>
    <mergeCell ref="B150:C150"/>
    <mergeCell ref="D150:E150"/>
    <mergeCell ref="F150:G150"/>
    <mergeCell ref="H150:I150"/>
    <mergeCell ref="J150:K150"/>
    <mergeCell ref="L150:M150"/>
    <mergeCell ref="N150:O150"/>
    <mergeCell ref="AD148:AE148"/>
    <mergeCell ref="AF148:AG148"/>
    <mergeCell ref="P148:Q148"/>
    <mergeCell ref="R148:S148"/>
    <mergeCell ref="T148:U148"/>
    <mergeCell ref="V148:W148"/>
    <mergeCell ref="X148:Y148"/>
    <mergeCell ref="Z148:AA148"/>
    <mergeCell ref="AB148:AC148"/>
    <mergeCell ref="AD149:AE149"/>
    <mergeCell ref="AF149:AG149"/>
    <mergeCell ref="AH149:AI149"/>
    <mergeCell ref="AJ149:AK149"/>
    <mergeCell ref="AL149:BB149"/>
    <mergeCell ref="P149:Q149"/>
    <mergeCell ref="R149:S149"/>
    <mergeCell ref="T149:U149"/>
    <mergeCell ref="V149:W149"/>
    <mergeCell ref="X149:Y149"/>
    <mergeCell ref="Z149:AA149"/>
    <mergeCell ref="AB149:AC149"/>
    <mergeCell ref="B149:C149"/>
    <mergeCell ref="D149:E149"/>
    <mergeCell ref="F149:G149"/>
    <mergeCell ref="H149:I149"/>
    <mergeCell ref="J149:K149"/>
    <mergeCell ref="L149:M149"/>
    <mergeCell ref="N149:O149"/>
    <mergeCell ref="AD150:AE150"/>
    <mergeCell ref="AF150:AG150"/>
    <mergeCell ref="AH150:AI150"/>
    <mergeCell ref="AJ150:AK150"/>
    <mergeCell ref="AL150:BB150"/>
    <mergeCell ref="AH145:AI145"/>
    <mergeCell ref="AJ145:AK145"/>
    <mergeCell ref="AL145:BB145"/>
    <mergeCell ref="B145:C145"/>
    <mergeCell ref="D145:E145"/>
    <mergeCell ref="F145:G145"/>
    <mergeCell ref="H145:I145"/>
    <mergeCell ref="J145:K145"/>
    <mergeCell ref="L145:M145"/>
    <mergeCell ref="N145:O145"/>
    <mergeCell ref="P147:Q147"/>
    <mergeCell ref="R147:S147"/>
    <mergeCell ref="T147:U147"/>
    <mergeCell ref="V147:W147"/>
    <mergeCell ref="X147:Y147"/>
    <mergeCell ref="Z147:AA147"/>
    <mergeCell ref="AB147:AC147"/>
    <mergeCell ref="B147:C147"/>
    <mergeCell ref="D147:E147"/>
    <mergeCell ref="F147:G147"/>
    <mergeCell ref="H147:I147"/>
    <mergeCell ref="J147:K147"/>
    <mergeCell ref="L147:M147"/>
    <mergeCell ref="N147:O147"/>
    <mergeCell ref="AD145:AE145"/>
    <mergeCell ref="AF145:AG145"/>
    <mergeCell ref="P145:Q145"/>
    <mergeCell ref="R145:S145"/>
    <mergeCell ref="T145:U145"/>
    <mergeCell ref="V145:W145"/>
    <mergeCell ref="X145:Y145"/>
    <mergeCell ref="Z145:AA145"/>
    <mergeCell ref="AB145:AC145"/>
    <mergeCell ref="AD146:AE146"/>
    <mergeCell ref="AF146:AG146"/>
    <mergeCell ref="AH146:AI146"/>
    <mergeCell ref="AJ146:AK146"/>
    <mergeCell ref="AL146:BB146"/>
    <mergeCell ref="P146:Q146"/>
    <mergeCell ref="R146:S146"/>
    <mergeCell ref="T146:U146"/>
    <mergeCell ref="V146:W146"/>
    <mergeCell ref="X146:Y146"/>
    <mergeCell ref="Z146:AA146"/>
    <mergeCell ref="AB146:AC146"/>
    <mergeCell ref="B146:C146"/>
    <mergeCell ref="D146:E146"/>
    <mergeCell ref="F146:G146"/>
    <mergeCell ref="H146:I146"/>
    <mergeCell ref="J146:K146"/>
    <mergeCell ref="L146:M146"/>
    <mergeCell ref="N146:O146"/>
    <mergeCell ref="AD147:AE147"/>
    <mergeCell ref="AF147:AG147"/>
    <mergeCell ref="AH147:AI147"/>
    <mergeCell ref="AJ147:AK147"/>
    <mergeCell ref="AL147:BB147"/>
    <mergeCell ref="AJ141:AK141"/>
    <mergeCell ref="AL141:BB141"/>
    <mergeCell ref="AH142:AI142"/>
    <mergeCell ref="AJ142:AK142"/>
    <mergeCell ref="AL142:BB142"/>
    <mergeCell ref="B142:C142"/>
    <mergeCell ref="D142:E142"/>
    <mergeCell ref="F142:G142"/>
    <mergeCell ref="H142:I142"/>
    <mergeCell ref="J142:K142"/>
    <mergeCell ref="L142:M142"/>
    <mergeCell ref="N142:O142"/>
    <mergeCell ref="P144:Q144"/>
    <mergeCell ref="R144:S144"/>
    <mergeCell ref="T144:U144"/>
    <mergeCell ref="V144:W144"/>
    <mergeCell ref="X144:Y144"/>
    <mergeCell ref="Z144:AA144"/>
    <mergeCell ref="AB144:AC144"/>
    <mergeCell ref="B144:C144"/>
    <mergeCell ref="D144:E144"/>
    <mergeCell ref="F144:G144"/>
    <mergeCell ref="H144:I144"/>
    <mergeCell ref="J144:K144"/>
    <mergeCell ref="L144:M144"/>
    <mergeCell ref="N144:O144"/>
    <mergeCell ref="AD142:AE142"/>
    <mergeCell ref="AF142:AG142"/>
    <mergeCell ref="P142:Q142"/>
    <mergeCell ref="R142:S142"/>
    <mergeCell ref="T142:U142"/>
    <mergeCell ref="V142:W142"/>
    <mergeCell ref="X142:Y142"/>
    <mergeCell ref="Z142:AA142"/>
    <mergeCell ref="AB142:AC142"/>
    <mergeCell ref="AD143:AE143"/>
    <mergeCell ref="AF143:AG143"/>
    <mergeCell ref="AH143:AI143"/>
    <mergeCell ref="AJ143:AK143"/>
    <mergeCell ref="AL143:BB143"/>
    <mergeCell ref="P143:Q143"/>
    <mergeCell ref="R143:S143"/>
    <mergeCell ref="T143:U143"/>
    <mergeCell ref="V143:W143"/>
    <mergeCell ref="X143:Y143"/>
    <mergeCell ref="Z143:AA143"/>
    <mergeCell ref="AB143:AC143"/>
    <mergeCell ref="B143:C143"/>
    <mergeCell ref="D143:E143"/>
    <mergeCell ref="F143:G143"/>
    <mergeCell ref="H143:I143"/>
    <mergeCell ref="J143:K143"/>
    <mergeCell ref="L143:M143"/>
    <mergeCell ref="N143:O143"/>
    <mergeCell ref="AD144:AE144"/>
    <mergeCell ref="AF144:AG144"/>
    <mergeCell ref="AH144:AI144"/>
    <mergeCell ref="AJ144:AK144"/>
    <mergeCell ref="AL144:BB144"/>
    <mergeCell ref="H137:I137"/>
    <mergeCell ref="J137:K137"/>
    <mergeCell ref="L137:M137"/>
    <mergeCell ref="N137:O137"/>
    <mergeCell ref="AD138:AE138"/>
    <mergeCell ref="AF138:AG138"/>
    <mergeCell ref="AH138:AI138"/>
    <mergeCell ref="AJ138:AK138"/>
    <mergeCell ref="AL138:BB138"/>
    <mergeCell ref="AH139:AI139"/>
    <mergeCell ref="AJ139:AK139"/>
    <mergeCell ref="AL139:BB139"/>
    <mergeCell ref="B139:C139"/>
    <mergeCell ref="D139:E139"/>
    <mergeCell ref="F139:G139"/>
    <mergeCell ref="H139:I139"/>
    <mergeCell ref="J139:K139"/>
    <mergeCell ref="L139:M139"/>
    <mergeCell ref="N139:O139"/>
    <mergeCell ref="P141:Q141"/>
    <mergeCell ref="R141:S141"/>
    <mergeCell ref="T141:U141"/>
    <mergeCell ref="V141:W141"/>
    <mergeCell ref="X141:Y141"/>
    <mergeCell ref="Z141:AA141"/>
    <mergeCell ref="AB141:AC141"/>
    <mergeCell ref="B141:C141"/>
    <mergeCell ref="D141:E141"/>
    <mergeCell ref="F141:G141"/>
    <mergeCell ref="H141:I141"/>
    <mergeCell ref="J141:K141"/>
    <mergeCell ref="L141:M141"/>
    <mergeCell ref="N141:O141"/>
    <mergeCell ref="AD139:AE139"/>
    <mergeCell ref="AF139:AG139"/>
    <mergeCell ref="P139:Q139"/>
    <mergeCell ref="R139:S139"/>
    <mergeCell ref="T139:U139"/>
    <mergeCell ref="V139:W139"/>
    <mergeCell ref="X139:Y139"/>
    <mergeCell ref="Z139:AA139"/>
    <mergeCell ref="AB139:AC139"/>
    <mergeCell ref="AD140:AE140"/>
    <mergeCell ref="AF140:AG140"/>
    <mergeCell ref="AH140:AI140"/>
    <mergeCell ref="AJ140:AK140"/>
    <mergeCell ref="AL140:BB140"/>
    <mergeCell ref="P140:Q140"/>
    <mergeCell ref="R140:S140"/>
    <mergeCell ref="T140:U140"/>
    <mergeCell ref="V140:W140"/>
    <mergeCell ref="X140:Y140"/>
    <mergeCell ref="Z140:AA140"/>
    <mergeCell ref="AB140:AC140"/>
    <mergeCell ref="B140:C140"/>
    <mergeCell ref="D140:E140"/>
    <mergeCell ref="F140:G140"/>
    <mergeCell ref="H140:I140"/>
    <mergeCell ref="J140:K140"/>
    <mergeCell ref="L140:M140"/>
    <mergeCell ref="N140:O140"/>
    <mergeCell ref="AD141:AE141"/>
    <mergeCell ref="AF141:AG141"/>
    <mergeCell ref="AH141:AI141"/>
    <mergeCell ref="P135:Q135"/>
    <mergeCell ref="R135:S135"/>
    <mergeCell ref="T135:U135"/>
    <mergeCell ref="V135:W135"/>
    <mergeCell ref="X135:Y135"/>
    <mergeCell ref="Z135:AA135"/>
    <mergeCell ref="AB135:AC135"/>
    <mergeCell ref="B135:C135"/>
    <mergeCell ref="D135:E135"/>
    <mergeCell ref="F135:G135"/>
    <mergeCell ref="H135:I135"/>
    <mergeCell ref="J135:K135"/>
    <mergeCell ref="L135:M135"/>
    <mergeCell ref="N135:O135"/>
    <mergeCell ref="AD157:AE157"/>
    <mergeCell ref="AF157:AG157"/>
    <mergeCell ref="AH157:AI157"/>
    <mergeCell ref="AJ157:AK157"/>
    <mergeCell ref="AL157:BB157"/>
    <mergeCell ref="P157:Q157"/>
    <mergeCell ref="R157:S157"/>
    <mergeCell ref="T157:U157"/>
    <mergeCell ref="V157:W157"/>
    <mergeCell ref="X157:Y157"/>
    <mergeCell ref="Z157:AA157"/>
    <mergeCell ref="AB157:AC157"/>
    <mergeCell ref="P138:Q138"/>
    <mergeCell ref="R138:S138"/>
    <mergeCell ref="T138:U138"/>
    <mergeCell ref="V138:W138"/>
    <mergeCell ref="X138:Y138"/>
    <mergeCell ref="Z138:AA138"/>
    <mergeCell ref="AB138:AC138"/>
    <mergeCell ref="B138:C138"/>
    <mergeCell ref="D138:E138"/>
    <mergeCell ref="F138:G138"/>
    <mergeCell ref="H138:I138"/>
    <mergeCell ref="J138:K138"/>
    <mergeCell ref="L138:M138"/>
    <mergeCell ref="N138:O138"/>
    <mergeCell ref="AD136:AE136"/>
    <mergeCell ref="AF136:AG136"/>
    <mergeCell ref="P136:Q136"/>
    <mergeCell ref="R136:S136"/>
    <mergeCell ref="T136:U136"/>
    <mergeCell ref="V136:W136"/>
    <mergeCell ref="X136:Y136"/>
    <mergeCell ref="Z136:AA136"/>
    <mergeCell ref="AB136:AC136"/>
    <mergeCell ref="AD137:AE137"/>
    <mergeCell ref="AF137:AG137"/>
    <mergeCell ref="AH137:AI137"/>
    <mergeCell ref="AJ137:AK137"/>
    <mergeCell ref="AL137:BB137"/>
    <mergeCell ref="P137:Q137"/>
    <mergeCell ref="R137:S137"/>
    <mergeCell ref="T137:U137"/>
    <mergeCell ref="V137:W137"/>
    <mergeCell ref="X137:Y137"/>
    <mergeCell ref="Z137:AA137"/>
    <mergeCell ref="AB137:AC137"/>
    <mergeCell ref="B137:C137"/>
    <mergeCell ref="D137:E137"/>
    <mergeCell ref="F137:G137"/>
    <mergeCell ref="AL126:BB126"/>
    <mergeCell ref="AH127:AI127"/>
    <mergeCell ref="AJ127:AK127"/>
    <mergeCell ref="AL127:BB127"/>
    <mergeCell ref="B127:C127"/>
    <mergeCell ref="D127:E127"/>
    <mergeCell ref="F127:G127"/>
    <mergeCell ref="H127:I127"/>
    <mergeCell ref="J127:K127"/>
    <mergeCell ref="L127:M127"/>
    <mergeCell ref="N127:O127"/>
    <mergeCell ref="P129:Q129"/>
    <mergeCell ref="R129:S129"/>
    <mergeCell ref="T129:U129"/>
    <mergeCell ref="V129:W129"/>
    <mergeCell ref="X129:Y129"/>
    <mergeCell ref="Z129:AA129"/>
    <mergeCell ref="AB129:AC129"/>
    <mergeCell ref="B129:C129"/>
    <mergeCell ref="D129:E129"/>
    <mergeCell ref="F129:G129"/>
    <mergeCell ref="H129:I129"/>
    <mergeCell ref="J129:K129"/>
    <mergeCell ref="L129:M129"/>
    <mergeCell ref="N129:O129"/>
    <mergeCell ref="AD127:AE127"/>
    <mergeCell ref="AF127:AG127"/>
    <mergeCell ref="P127:Q127"/>
    <mergeCell ref="R127:S127"/>
    <mergeCell ref="T127:U127"/>
    <mergeCell ref="V127:W127"/>
    <mergeCell ref="X127:Y127"/>
    <mergeCell ref="Z127:AA127"/>
    <mergeCell ref="AB127:AC127"/>
    <mergeCell ref="AD128:AE128"/>
    <mergeCell ref="AF128:AG128"/>
    <mergeCell ref="AH128:AI128"/>
    <mergeCell ref="AJ128:AK128"/>
    <mergeCell ref="AL128:BB128"/>
    <mergeCell ref="P128:Q128"/>
    <mergeCell ref="R128:S128"/>
    <mergeCell ref="T128:U128"/>
    <mergeCell ref="V128:W128"/>
    <mergeCell ref="X128:Y128"/>
    <mergeCell ref="Z128:AA128"/>
    <mergeCell ref="AB128:AC128"/>
    <mergeCell ref="B128:C128"/>
    <mergeCell ref="D128:E128"/>
    <mergeCell ref="F128:G128"/>
    <mergeCell ref="H128:I128"/>
    <mergeCell ref="J128:K128"/>
    <mergeCell ref="L128:M128"/>
    <mergeCell ref="N128:O128"/>
    <mergeCell ref="AD129:AE129"/>
    <mergeCell ref="AF129:AG129"/>
    <mergeCell ref="AH129:AI129"/>
    <mergeCell ref="AJ129:AK129"/>
    <mergeCell ref="AL129:BB129"/>
    <mergeCell ref="AD135:AE135"/>
    <mergeCell ref="AF135:AG135"/>
    <mergeCell ref="AH135:AI135"/>
    <mergeCell ref="AJ135:AK135"/>
    <mergeCell ref="AL135:BB135"/>
    <mergeCell ref="AH136:AI136"/>
    <mergeCell ref="AJ136:AK136"/>
    <mergeCell ref="AL136:BB136"/>
    <mergeCell ref="B136:C136"/>
    <mergeCell ref="D136:E136"/>
    <mergeCell ref="F136:G136"/>
    <mergeCell ref="H136:I136"/>
    <mergeCell ref="J136:K136"/>
    <mergeCell ref="L136:M136"/>
    <mergeCell ref="N136:O136"/>
    <mergeCell ref="AD121:AE121"/>
    <mergeCell ref="AF121:AG121"/>
    <mergeCell ref="P121:Q121"/>
    <mergeCell ref="R121:S121"/>
    <mergeCell ref="T121:U121"/>
    <mergeCell ref="V121:W121"/>
    <mergeCell ref="X121:Y121"/>
    <mergeCell ref="Z121:AA121"/>
    <mergeCell ref="AB121:AC121"/>
    <mergeCell ref="AD122:AE122"/>
    <mergeCell ref="AF122:AG122"/>
    <mergeCell ref="AH122:AI122"/>
    <mergeCell ref="AJ122:AK122"/>
    <mergeCell ref="AL122:BB122"/>
    <mergeCell ref="P122:Q122"/>
    <mergeCell ref="R122:S122"/>
    <mergeCell ref="T122:U122"/>
    <mergeCell ref="V122:W122"/>
    <mergeCell ref="X122:Y122"/>
    <mergeCell ref="Z122:AA122"/>
    <mergeCell ref="AB122:AC122"/>
    <mergeCell ref="B122:C122"/>
    <mergeCell ref="D122:E122"/>
    <mergeCell ref="F122:G122"/>
    <mergeCell ref="H122:I122"/>
    <mergeCell ref="J122:K122"/>
    <mergeCell ref="L122:M122"/>
    <mergeCell ref="N122:O122"/>
    <mergeCell ref="AD123:AE123"/>
    <mergeCell ref="AF123:AG123"/>
    <mergeCell ref="AH123:AI123"/>
    <mergeCell ref="AJ123:AK123"/>
    <mergeCell ref="AL123:BB123"/>
    <mergeCell ref="AH124:AI124"/>
    <mergeCell ref="AJ124:AK124"/>
    <mergeCell ref="AL124:BB124"/>
    <mergeCell ref="B124:C124"/>
    <mergeCell ref="D124:E124"/>
    <mergeCell ref="F124:G124"/>
    <mergeCell ref="H124:I124"/>
    <mergeCell ref="J124:K124"/>
    <mergeCell ref="L124:M124"/>
    <mergeCell ref="N124:O124"/>
    <mergeCell ref="AD124:AE124"/>
    <mergeCell ref="AF124:AG124"/>
    <mergeCell ref="P124:Q124"/>
    <mergeCell ref="R124:S124"/>
    <mergeCell ref="T124:U124"/>
    <mergeCell ref="V124:W124"/>
    <mergeCell ref="AH133:AI133"/>
    <mergeCell ref="AJ133:AK133"/>
    <mergeCell ref="AL133:BB133"/>
    <mergeCell ref="B133:C133"/>
    <mergeCell ref="D133:E133"/>
    <mergeCell ref="F133:G133"/>
    <mergeCell ref="H133:I133"/>
    <mergeCell ref="J133:K133"/>
    <mergeCell ref="L133:M133"/>
    <mergeCell ref="N133:O133"/>
    <mergeCell ref="AD133:AE133"/>
    <mergeCell ref="AF133:AG133"/>
    <mergeCell ref="P133:Q133"/>
    <mergeCell ref="R133:S133"/>
    <mergeCell ref="T133:U133"/>
    <mergeCell ref="V133:W133"/>
    <mergeCell ref="X133:Y133"/>
    <mergeCell ref="Z133:AA133"/>
    <mergeCell ref="AB133:AC133"/>
    <mergeCell ref="AD134:AE134"/>
    <mergeCell ref="AF134:AG134"/>
    <mergeCell ref="AH134:AI134"/>
    <mergeCell ref="AJ134:AK134"/>
    <mergeCell ref="AL134:BB134"/>
    <mergeCell ref="P134:Q134"/>
    <mergeCell ref="R134:S134"/>
    <mergeCell ref="T134:U134"/>
    <mergeCell ref="V134:W134"/>
    <mergeCell ref="X134:Y134"/>
    <mergeCell ref="Z134:AA134"/>
    <mergeCell ref="AB134:AC134"/>
    <mergeCell ref="B134:C134"/>
    <mergeCell ref="D134:E134"/>
    <mergeCell ref="F134:G134"/>
    <mergeCell ref="H134:I134"/>
    <mergeCell ref="J134:K134"/>
    <mergeCell ref="L134:M134"/>
    <mergeCell ref="N134:O134"/>
    <mergeCell ref="AD130:AE130"/>
    <mergeCell ref="AF130:AG130"/>
    <mergeCell ref="P130:Q130"/>
    <mergeCell ref="R130:S130"/>
    <mergeCell ref="T130:U130"/>
    <mergeCell ref="V130:W130"/>
    <mergeCell ref="X130:Y130"/>
    <mergeCell ref="Z130:AA130"/>
    <mergeCell ref="AB130:AC130"/>
    <mergeCell ref="AD131:AE131"/>
    <mergeCell ref="AF131:AG131"/>
    <mergeCell ref="AH131:AI131"/>
    <mergeCell ref="AJ131:AK131"/>
    <mergeCell ref="AL131:BB131"/>
    <mergeCell ref="P131:Q131"/>
    <mergeCell ref="R131:S131"/>
    <mergeCell ref="T131:U131"/>
    <mergeCell ref="V131:W131"/>
    <mergeCell ref="X131:Y131"/>
    <mergeCell ref="Z131:AA131"/>
    <mergeCell ref="AB131:AC131"/>
    <mergeCell ref="B131:C131"/>
    <mergeCell ref="D131:E131"/>
    <mergeCell ref="F131:G131"/>
    <mergeCell ref="H131:I131"/>
    <mergeCell ref="J131:K131"/>
    <mergeCell ref="L131:M131"/>
    <mergeCell ref="N131:O131"/>
    <mergeCell ref="AD132:AE132"/>
    <mergeCell ref="AF132:AG132"/>
    <mergeCell ref="AH132:AI132"/>
    <mergeCell ref="AJ132:AK132"/>
    <mergeCell ref="AL132:BB132"/>
    <mergeCell ref="AH130:AI130"/>
    <mergeCell ref="AJ130:AK130"/>
    <mergeCell ref="AL130:BB130"/>
    <mergeCell ref="B130:C130"/>
    <mergeCell ref="D130:E130"/>
    <mergeCell ref="F130:G130"/>
    <mergeCell ref="H130:I130"/>
    <mergeCell ref="J130:K130"/>
    <mergeCell ref="L130:M130"/>
    <mergeCell ref="N130:O130"/>
    <mergeCell ref="P132:Q132"/>
    <mergeCell ref="R132:S132"/>
    <mergeCell ref="T132:U132"/>
    <mergeCell ref="V132:W132"/>
    <mergeCell ref="X132:Y132"/>
    <mergeCell ref="Z132:AA132"/>
    <mergeCell ref="AB132:AC132"/>
    <mergeCell ref="B132:C132"/>
    <mergeCell ref="D132:E132"/>
    <mergeCell ref="F132:G132"/>
    <mergeCell ref="H132:I132"/>
    <mergeCell ref="J132:K132"/>
    <mergeCell ref="L132:M132"/>
    <mergeCell ref="N132:O132"/>
    <mergeCell ref="AH121:AI121"/>
    <mergeCell ref="AJ121:AK121"/>
    <mergeCell ref="AL121:BB121"/>
    <mergeCell ref="B121:C121"/>
    <mergeCell ref="D121:E121"/>
    <mergeCell ref="F121:G121"/>
    <mergeCell ref="H121:I121"/>
    <mergeCell ref="J121:K121"/>
    <mergeCell ref="L121:M121"/>
    <mergeCell ref="N121:O121"/>
    <mergeCell ref="P123:Q123"/>
    <mergeCell ref="R123:S123"/>
    <mergeCell ref="T123:U123"/>
    <mergeCell ref="V123:W123"/>
    <mergeCell ref="X123:Y123"/>
    <mergeCell ref="Z123:AA123"/>
    <mergeCell ref="AB123:AC123"/>
    <mergeCell ref="B123:C123"/>
    <mergeCell ref="D123:E123"/>
    <mergeCell ref="F123:G123"/>
    <mergeCell ref="H123:I123"/>
    <mergeCell ref="J123:K123"/>
    <mergeCell ref="L123:M123"/>
    <mergeCell ref="N123:O123"/>
    <mergeCell ref="P126:Q126"/>
    <mergeCell ref="R126:S126"/>
    <mergeCell ref="T126:U126"/>
    <mergeCell ref="V126:W126"/>
    <mergeCell ref="X126:Y126"/>
    <mergeCell ref="Z126:AA126"/>
    <mergeCell ref="AB126:AC126"/>
    <mergeCell ref="B126:C126"/>
    <mergeCell ref="D126:E126"/>
    <mergeCell ref="F126:G126"/>
    <mergeCell ref="H126:I126"/>
    <mergeCell ref="J126:K126"/>
    <mergeCell ref="L126:M126"/>
    <mergeCell ref="N126:O126"/>
    <mergeCell ref="X124:Y124"/>
    <mergeCell ref="Z124:AA124"/>
    <mergeCell ref="AB124:AC124"/>
    <mergeCell ref="AD125:AE125"/>
    <mergeCell ref="AF125:AG125"/>
    <mergeCell ref="AH125:AI125"/>
    <mergeCell ref="AJ125:AK125"/>
    <mergeCell ref="AL125:BB125"/>
    <mergeCell ref="P125:Q125"/>
    <mergeCell ref="R125:S125"/>
    <mergeCell ref="T125:U125"/>
    <mergeCell ref="V125:W125"/>
    <mergeCell ref="X125:Y125"/>
    <mergeCell ref="Z125:AA125"/>
    <mergeCell ref="AB125:AC125"/>
    <mergeCell ref="B125:C125"/>
    <mergeCell ref="D125:E125"/>
    <mergeCell ref="F125:G125"/>
    <mergeCell ref="H125:I125"/>
    <mergeCell ref="J125:K125"/>
    <mergeCell ref="L125:M125"/>
    <mergeCell ref="N125:O125"/>
    <mergeCell ref="AD126:AE126"/>
    <mergeCell ref="AF126:AG126"/>
    <mergeCell ref="AH126:AI126"/>
    <mergeCell ref="AJ126:AK126"/>
    <mergeCell ref="AH118:AI118"/>
    <mergeCell ref="AJ118:AK118"/>
    <mergeCell ref="AL118:BB118"/>
    <mergeCell ref="B118:C118"/>
    <mergeCell ref="D118:E118"/>
    <mergeCell ref="F118:G118"/>
    <mergeCell ref="H118:I118"/>
    <mergeCell ref="J118:K118"/>
    <mergeCell ref="L118:M118"/>
    <mergeCell ref="N118:O118"/>
    <mergeCell ref="P120:Q120"/>
    <mergeCell ref="R120:S120"/>
    <mergeCell ref="T120:U120"/>
    <mergeCell ref="V120:W120"/>
    <mergeCell ref="X120:Y120"/>
    <mergeCell ref="Z120:AA120"/>
    <mergeCell ref="AB120:AC120"/>
    <mergeCell ref="B120:C120"/>
    <mergeCell ref="D120:E120"/>
    <mergeCell ref="F120:G120"/>
    <mergeCell ref="H120:I120"/>
    <mergeCell ref="J120:K120"/>
    <mergeCell ref="L120:M120"/>
    <mergeCell ref="N120:O120"/>
    <mergeCell ref="AD118:AE118"/>
    <mergeCell ref="AF118:AG118"/>
    <mergeCell ref="P118:Q118"/>
    <mergeCell ref="R118:S118"/>
    <mergeCell ref="T118:U118"/>
    <mergeCell ref="V118:W118"/>
    <mergeCell ref="X118:Y118"/>
    <mergeCell ref="Z118:AA118"/>
    <mergeCell ref="AB118:AC118"/>
    <mergeCell ref="AD119:AE119"/>
    <mergeCell ref="AF119:AG119"/>
    <mergeCell ref="AH119:AI119"/>
    <mergeCell ref="AJ119:AK119"/>
    <mergeCell ref="AL119:BB119"/>
    <mergeCell ref="P119:Q119"/>
    <mergeCell ref="R119:S119"/>
    <mergeCell ref="T119:U119"/>
    <mergeCell ref="V119:W119"/>
    <mergeCell ref="X119:Y119"/>
    <mergeCell ref="Z119:AA119"/>
    <mergeCell ref="AB119:AC119"/>
    <mergeCell ref="B119:C119"/>
    <mergeCell ref="D119:E119"/>
    <mergeCell ref="F119:G119"/>
    <mergeCell ref="H119:I119"/>
    <mergeCell ref="J119:K119"/>
    <mergeCell ref="L119:M119"/>
    <mergeCell ref="N119:O119"/>
    <mergeCell ref="AD120:AE120"/>
    <mergeCell ref="AF120:AG120"/>
    <mergeCell ref="AH120:AI120"/>
    <mergeCell ref="AJ120:AK120"/>
    <mergeCell ref="AL120:BB120"/>
    <mergeCell ref="B115:C115"/>
    <mergeCell ref="D115:E115"/>
    <mergeCell ref="F115:G115"/>
    <mergeCell ref="H115:I115"/>
    <mergeCell ref="J115:K115"/>
    <mergeCell ref="L115:M115"/>
    <mergeCell ref="N115:O115"/>
    <mergeCell ref="AD116:AE116"/>
    <mergeCell ref="AF116:AG116"/>
    <mergeCell ref="AH116:AI116"/>
    <mergeCell ref="AJ116:AK116"/>
    <mergeCell ref="AL116:BB116"/>
    <mergeCell ref="P116:Q116"/>
    <mergeCell ref="R116:S116"/>
    <mergeCell ref="T116:U116"/>
    <mergeCell ref="V116:W116"/>
    <mergeCell ref="X116:Y116"/>
    <mergeCell ref="Z116:AA116"/>
    <mergeCell ref="AB116:AC116"/>
    <mergeCell ref="B116:C116"/>
    <mergeCell ref="D116:E116"/>
    <mergeCell ref="F116:G116"/>
    <mergeCell ref="H116:I116"/>
    <mergeCell ref="J116:K116"/>
    <mergeCell ref="L116:M116"/>
    <mergeCell ref="N116:O116"/>
    <mergeCell ref="AD117:AE117"/>
    <mergeCell ref="AF117:AG117"/>
    <mergeCell ref="AH117:AI117"/>
    <mergeCell ref="AJ117:AK117"/>
    <mergeCell ref="AL117:BB117"/>
    <mergeCell ref="P117:Q117"/>
    <mergeCell ref="R117:S117"/>
    <mergeCell ref="T117:U117"/>
    <mergeCell ref="V117:W117"/>
    <mergeCell ref="X117:Y117"/>
    <mergeCell ref="Z117:AA117"/>
    <mergeCell ref="AB117:AC117"/>
    <mergeCell ref="B117:C117"/>
    <mergeCell ref="D117:E117"/>
    <mergeCell ref="F117:G117"/>
    <mergeCell ref="H117:I117"/>
    <mergeCell ref="J117:K117"/>
    <mergeCell ref="L117:M117"/>
    <mergeCell ref="N117:O117"/>
    <mergeCell ref="AH112:AI112"/>
    <mergeCell ref="AJ112:AK112"/>
    <mergeCell ref="AL112:BB112"/>
    <mergeCell ref="B112:C112"/>
    <mergeCell ref="D112:E112"/>
    <mergeCell ref="F112:G112"/>
    <mergeCell ref="H112:I112"/>
    <mergeCell ref="J112:K112"/>
    <mergeCell ref="L112:M112"/>
    <mergeCell ref="N112:O112"/>
    <mergeCell ref="P114:Q114"/>
    <mergeCell ref="R114:S114"/>
    <mergeCell ref="T114:U114"/>
    <mergeCell ref="V114:W114"/>
    <mergeCell ref="X114:Y114"/>
    <mergeCell ref="Z114:AA114"/>
    <mergeCell ref="AB114:AC114"/>
    <mergeCell ref="B114:C114"/>
    <mergeCell ref="D114:E114"/>
    <mergeCell ref="F114:G114"/>
    <mergeCell ref="H114:I114"/>
    <mergeCell ref="J114:K114"/>
    <mergeCell ref="L114:M114"/>
    <mergeCell ref="N114:O114"/>
    <mergeCell ref="AD112:AE112"/>
    <mergeCell ref="AF112:AG112"/>
    <mergeCell ref="P112:Q112"/>
    <mergeCell ref="R112:S112"/>
    <mergeCell ref="T112:U112"/>
    <mergeCell ref="V112:W112"/>
    <mergeCell ref="X112:Y112"/>
    <mergeCell ref="Z112:AA112"/>
    <mergeCell ref="AB112:AC112"/>
    <mergeCell ref="AD113:AE113"/>
    <mergeCell ref="AF113:AG113"/>
    <mergeCell ref="AH113:AI113"/>
    <mergeCell ref="AJ113:AK113"/>
    <mergeCell ref="AL113:BB113"/>
    <mergeCell ref="P113:Q113"/>
    <mergeCell ref="R113:S113"/>
    <mergeCell ref="T113:U113"/>
    <mergeCell ref="V113:W113"/>
    <mergeCell ref="X113:Y113"/>
    <mergeCell ref="Z113:AA113"/>
    <mergeCell ref="AB113:AC113"/>
    <mergeCell ref="B113:C113"/>
    <mergeCell ref="D113:E113"/>
    <mergeCell ref="F113:G113"/>
    <mergeCell ref="H113:I113"/>
    <mergeCell ref="J113:K113"/>
    <mergeCell ref="L113:M113"/>
    <mergeCell ref="N113:O113"/>
    <mergeCell ref="AD114:AE114"/>
    <mergeCell ref="AF114:AG114"/>
    <mergeCell ref="AH114:AI114"/>
    <mergeCell ref="AJ114:AK114"/>
    <mergeCell ref="AL114:BB114"/>
    <mergeCell ref="AH109:AI109"/>
    <mergeCell ref="AJ109:AK109"/>
    <mergeCell ref="AL109:BB109"/>
    <mergeCell ref="B109:C109"/>
    <mergeCell ref="D109:E109"/>
    <mergeCell ref="F109:G109"/>
    <mergeCell ref="H109:I109"/>
    <mergeCell ref="J109:K109"/>
    <mergeCell ref="L109:M109"/>
    <mergeCell ref="N109:O109"/>
    <mergeCell ref="P111:Q111"/>
    <mergeCell ref="R111:S111"/>
    <mergeCell ref="T111:U111"/>
    <mergeCell ref="V111:W111"/>
    <mergeCell ref="X111:Y111"/>
    <mergeCell ref="Z111:AA111"/>
    <mergeCell ref="AB111:AC111"/>
    <mergeCell ref="B111:C111"/>
    <mergeCell ref="D111:E111"/>
    <mergeCell ref="F111:G111"/>
    <mergeCell ref="H111:I111"/>
    <mergeCell ref="J111:K111"/>
    <mergeCell ref="L111:M111"/>
    <mergeCell ref="N111:O111"/>
    <mergeCell ref="AD109:AE109"/>
    <mergeCell ref="AF109:AG109"/>
    <mergeCell ref="P109:Q109"/>
    <mergeCell ref="R109:S109"/>
    <mergeCell ref="T109:U109"/>
    <mergeCell ref="V109:W109"/>
    <mergeCell ref="X109:Y109"/>
    <mergeCell ref="Z109:AA109"/>
    <mergeCell ref="AB109:AC109"/>
    <mergeCell ref="AD110:AE110"/>
    <mergeCell ref="AF110:AG110"/>
    <mergeCell ref="AH110:AI110"/>
    <mergeCell ref="AJ110:AK110"/>
    <mergeCell ref="AL110:BB110"/>
    <mergeCell ref="P110:Q110"/>
    <mergeCell ref="R110:S110"/>
    <mergeCell ref="T110:U110"/>
    <mergeCell ref="V110:W110"/>
    <mergeCell ref="X110:Y110"/>
    <mergeCell ref="Z110:AA110"/>
    <mergeCell ref="AB110:AC110"/>
    <mergeCell ref="B110:C110"/>
    <mergeCell ref="D110:E110"/>
    <mergeCell ref="F110:G110"/>
    <mergeCell ref="H110:I110"/>
    <mergeCell ref="J110:K110"/>
    <mergeCell ref="L110:M110"/>
    <mergeCell ref="N110:O110"/>
    <mergeCell ref="AD111:AE111"/>
    <mergeCell ref="AF111:AG111"/>
    <mergeCell ref="AH111:AI111"/>
    <mergeCell ref="AJ111:AK111"/>
    <mergeCell ref="AL111:BB111"/>
    <mergeCell ref="AH106:AI106"/>
    <mergeCell ref="AJ106:AK106"/>
    <mergeCell ref="AL106:BB106"/>
    <mergeCell ref="B106:C106"/>
    <mergeCell ref="D106:E106"/>
    <mergeCell ref="F106:G106"/>
    <mergeCell ref="H106:I106"/>
    <mergeCell ref="J106:K106"/>
    <mergeCell ref="L106:M106"/>
    <mergeCell ref="N106:O106"/>
    <mergeCell ref="P108:Q108"/>
    <mergeCell ref="R108:S108"/>
    <mergeCell ref="T108:U108"/>
    <mergeCell ref="V108:W108"/>
    <mergeCell ref="X108:Y108"/>
    <mergeCell ref="Z108:AA108"/>
    <mergeCell ref="AB108:AC108"/>
    <mergeCell ref="B108:C108"/>
    <mergeCell ref="D108:E108"/>
    <mergeCell ref="F108:G108"/>
    <mergeCell ref="H108:I108"/>
    <mergeCell ref="J108:K108"/>
    <mergeCell ref="L108:M108"/>
    <mergeCell ref="N108:O108"/>
    <mergeCell ref="AD106:AE106"/>
    <mergeCell ref="AF106:AG106"/>
    <mergeCell ref="P106:Q106"/>
    <mergeCell ref="R106:S106"/>
    <mergeCell ref="T106:U106"/>
    <mergeCell ref="V106:W106"/>
    <mergeCell ref="X106:Y106"/>
    <mergeCell ref="Z106:AA106"/>
    <mergeCell ref="AB106:AC106"/>
    <mergeCell ref="AD107:AE107"/>
    <mergeCell ref="AF107:AG107"/>
    <mergeCell ref="AH107:AI107"/>
    <mergeCell ref="AJ107:AK107"/>
    <mergeCell ref="AL107:BB107"/>
    <mergeCell ref="P107:Q107"/>
    <mergeCell ref="R107:S107"/>
    <mergeCell ref="T107:U107"/>
    <mergeCell ref="V107:W107"/>
    <mergeCell ref="X107:Y107"/>
    <mergeCell ref="Z107:AA107"/>
    <mergeCell ref="AB107:AC107"/>
    <mergeCell ref="B107:C107"/>
    <mergeCell ref="D107:E107"/>
    <mergeCell ref="F107:G107"/>
    <mergeCell ref="H107:I107"/>
    <mergeCell ref="J107:K107"/>
    <mergeCell ref="L107:M107"/>
    <mergeCell ref="N107:O107"/>
    <mergeCell ref="AD108:AE108"/>
    <mergeCell ref="AF108:AG108"/>
    <mergeCell ref="AH108:AI108"/>
    <mergeCell ref="AJ108:AK108"/>
    <mergeCell ref="AL108:BB108"/>
    <mergeCell ref="AH103:AI103"/>
    <mergeCell ref="AJ103:AK103"/>
    <mergeCell ref="AL103:BB103"/>
    <mergeCell ref="B103:C103"/>
    <mergeCell ref="D103:E103"/>
    <mergeCell ref="F103:G103"/>
    <mergeCell ref="H103:I103"/>
    <mergeCell ref="J103:K103"/>
    <mergeCell ref="L103:M103"/>
    <mergeCell ref="N103:O103"/>
    <mergeCell ref="P105:Q105"/>
    <mergeCell ref="R105:S105"/>
    <mergeCell ref="T105:U105"/>
    <mergeCell ref="V105:W105"/>
    <mergeCell ref="X105:Y105"/>
    <mergeCell ref="Z105:AA105"/>
    <mergeCell ref="AB105:AC105"/>
    <mergeCell ref="B105:C105"/>
    <mergeCell ref="D105:E105"/>
    <mergeCell ref="F105:G105"/>
    <mergeCell ref="H105:I105"/>
    <mergeCell ref="J105:K105"/>
    <mergeCell ref="L105:M105"/>
    <mergeCell ref="N105:O105"/>
    <mergeCell ref="AD103:AE103"/>
    <mergeCell ref="AF103:AG103"/>
    <mergeCell ref="P103:Q103"/>
    <mergeCell ref="R103:S103"/>
    <mergeCell ref="T103:U103"/>
    <mergeCell ref="V103:W103"/>
    <mergeCell ref="X103:Y103"/>
    <mergeCell ref="Z103:AA103"/>
    <mergeCell ref="AB103:AC103"/>
    <mergeCell ref="AD104:AE104"/>
    <mergeCell ref="AF104:AG104"/>
    <mergeCell ref="AH104:AI104"/>
    <mergeCell ref="AJ104:AK104"/>
    <mergeCell ref="AL104:BB104"/>
    <mergeCell ref="P104:Q104"/>
    <mergeCell ref="R104:S104"/>
    <mergeCell ref="T104:U104"/>
    <mergeCell ref="V104:W104"/>
    <mergeCell ref="X104:Y104"/>
    <mergeCell ref="Z104:AA104"/>
    <mergeCell ref="AB104:AC104"/>
    <mergeCell ref="B104:C104"/>
    <mergeCell ref="D104:E104"/>
    <mergeCell ref="F104:G104"/>
    <mergeCell ref="H104:I104"/>
    <mergeCell ref="J104:K104"/>
    <mergeCell ref="L104:M104"/>
    <mergeCell ref="N104:O104"/>
    <mergeCell ref="AD105:AE105"/>
    <mergeCell ref="AF105:AG105"/>
    <mergeCell ref="AH105:AI105"/>
    <mergeCell ref="AJ105:AK105"/>
    <mergeCell ref="AL105:BB105"/>
    <mergeCell ref="AJ99:AK99"/>
    <mergeCell ref="AL99:BB99"/>
    <mergeCell ref="AH100:AI100"/>
    <mergeCell ref="AJ100:AK100"/>
    <mergeCell ref="AL100:BB100"/>
    <mergeCell ref="B100:C100"/>
    <mergeCell ref="D100:E100"/>
    <mergeCell ref="F100:G100"/>
    <mergeCell ref="H100:I100"/>
    <mergeCell ref="J100:K100"/>
    <mergeCell ref="L100:M100"/>
    <mergeCell ref="N100:O100"/>
    <mergeCell ref="P102:Q102"/>
    <mergeCell ref="R102:S102"/>
    <mergeCell ref="T102:U102"/>
    <mergeCell ref="V102:W102"/>
    <mergeCell ref="X102:Y102"/>
    <mergeCell ref="Z102:AA102"/>
    <mergeCell ref="AB102:AC102"/>
    <mergeCell ref="B102:C102"/>
    <mergeCell ref="D102:E102"/>
    <mergeCell ref="F102:G102"/>
    <mergeCell ref="H102:I102"/>
    <mergeCell ref="J102:K102"/>
    <mergeCell ref="L102:M102"/>
    <mergeCell ref="N102:O102"/>
    <mergeCell ref="AD100:AE100"/>
    <mergeCell ref="AF100:AG100"/>
    <mergeCell ref="P100:Q100"/>
    <mergeCell ref="R100:S100"/>
    <mergeCell ref="T100:U100"/>
    <mergeCell ref="V100:W100"/>
    <mergeCell ref="X100:Y100"/>
    <mergeCell ref="Z100:AA100"/>
    <mergeCell ref="AB100:AC100"/>
    <mergeCell ref="AD101:AE101"/>
    <mergeCell ref="AF101:AG101"/>
    <mergeCell ref="AH101:AI101"/>
    <mergeCell ref="AJ101:AK101"/>
    <mergeCell ref="AL101:BB101"/>
    <mergeCell ref="P101:Q101"/>
    <mergeCell ref="R101:S101"/>
    <mergeCell ref="T101:U101"/>
    <mergeCell ref="V101:W101"/>
    <mergeCell ref="X101:Y101"/>
    <mergeCell ref="Z101:AA101"/>
    <mergeCell ref="AB101:AC101"/>
    <mergeCell ref="B101:C101"/>
    <mergeCell ref="D101:E101"/>
    <mergeCell ref="F101:G101"/>
    <mergeCell ref="H101:I101"/>
    <mergeCell ref="J101:K101"/>
    <mergeCell ref="L101:M101"/>
    <mergeCell ref="N101:O101"/>
    <mergeCell ref="AD102:AE102"/>
    <mergeCell ref="AF102:AG102"/>
    <mergeCell ref="AH102:AI102"/>
    <mergeCell ref="AJ102:AK102"/>
    <mergeCell ref="AL102:BB102"/>
    <mergeCell ref="H95:I95"/>
    <mergeCell ref="J95:K95"/>
    <mergeCell ref="L95:M95"/>
    <mergeCell ref="N95:O95"/>
    <mergeCell ref="AD96:AE96"/>
    <mergeCell ref="AF96:AG96"/>
    <mergeCell ref="AH96:AI96"/>
    <mergeCell ref="AJ96:AK96"/>
    <mergeCell ref="AL96:BB96"/>
    <mergeCell ref="AH97:AI97"/>
    <mergeCell ref="AJ97:AK97"/>
    <mergeCell ref="AL97:BB97"/>
    <mergeCell ref="B97:C97"/>
    <mergeCell ref="D97:E97"/>
    <mergeCell ref="F97:G97"/>
    <mergeCell ref="H97:I97"/>
    <mergeCell ref="J97:K97"/>
    <mergeCell ref="L97:M97"/>
    <mergeCell ref="N97:O97"/>
    <mergeCell ref="P99:Q99"/>
    <mergeCell ref="R99:S99"/>
    <mergeCell ref="T99:U99"/>
    <mergeCell ref="V99:W99"/>
    <mergeCell ref="X99:Y99"/>
    <mergeCell ref="Z99:AA99"/>
    <mergeCell ref="AB99:AC99"/>
    <mergeCell ref="B99:C99"/>
    <mergeCell ref="D99:E99"/>
    <mergeCell ref="F99:G99"/>
    <mergeCell ref="H99:I99"/>
    <mergeCell ref="J99:K99"/>
    <mergeCell ref="L99:M99"/>
    <mergeCell ref="N99:O99"/>
    <mergeCell ref="AD97:AE97"/>
    <mergeCell ref="AF97:AG97"/>
    <mergeCell ref="P97:Q97"/>
    <mergeCell ref="R97:S97"/>
    <mergeCell ref="T97:U97"/>
    <mergeCell ref="V97:W97"/>
    <mergeCell ref="X97:Y97"/>
    <mergeCell ref="Z97:AA97"/>
    <mergeCell ref="AB97:AC97"/>
    <mergeCell ref="AD98:AE98"/>
    <mergeCell ref="AF98:AG98"/>
    <mergeCell ref="AH98:AI98"/>
    <mergeCell ref="AJ98:AK98"/>
    <mergeCell ref="AL98:BB98"/>
    <mergeCell ref="P98:Q98"/>
    <mergeCell ref="R98:S98"/>
    <mergeCell ref="T98:U98"/>
    <mergeCell ref="V98:W98"/>
    <mergeCell ref="X98:Y98"/>
    <mergeCell ref="Z98:AA98"/>
    <mergeCell ref="AB98:AC98"/>
    <mergeCell ref="B98:C98"/>
    <mergeCell ref="D98:E98"/>
    <mergeCell ref="F98:G98"/>
    <mergeCell ref="H98:I98"/>
    <mergeCell ref="J98:K98"/>
    <mergeCell ref="L98:M98"/>
    <mergeCell ref="N98:O98"/>
    <mergeCell ref="AD99:AE99"/>
    <mergeCell ref="AF99:AG99"/>
    <mergeCell ref="AH99:AI99"/>
    <mergeCell ref="P93:Q93"/>
    <mergeCell ref="R93:S93"/>
    <mergeCell ref="T93:U93"/>
    <mergeCell ref="V93:W93"/>
    <mergeCell ref="X93:Y93"/>
    <mergeCell ref="Z93:AA93"/>
    <mergeCell ref="AB93:AC93"/>
    <mergeCell ref="B93:C93"/>
    <mergeCell ref="D93:E93"/>
    <mergeCell ref="F93:G93"/>
    <mergeCell ref="H93:I93"/>
    <mergeCell ref="J93:K93"/>
    <mergeCell ref="L93:M93"/>
    <mergeCell ref="N93:O93"/>
    <mergeCell ref="AD115:AE115"/>
    <mergeCell ref="AF115:AG115"/>
    <mergeCell ref="AH115:AI115"/>
    <mergeCell ref="AJ115:AK115"/>
    <mergeCell ref="AL115:BB115"/>
    <mergeCell ref="P115:Q115"/>
    <mergeCell ref="R115:S115"/>
    <mergeCell ref="T115:U115"/>
    <mergeCell ref="V115:W115"/>
    <mergeCell ref="X115:Y115"/>
    <mergeCell ref="Z115:AA115"/>
    <mergeCell ref="AB115:AC115"/>
    <mergeCell ref="P96:Q96"/>
    <mergeCell ref="R96:S96"/>
    <mergeCell ref="T96:U96"/>
    <mergeCell ref="V96:W96"/>
    <mergeCell ref="X96:Y96"/>
    <mergeCell ref="Z96:AA96"/>
    <mergeCell ref="AB96:AC96"/>
    <mergeCell ref="B96:C96"/>
    <mergeCell ref="D96:E96"/>
    <mergeCell ref="F96:G96"/>
    <mergeCell ref="H96:I96"/>
    <mergeCell ref="J96:K96"/>
    <mergeCell ref="L96:M96"/>
    <mergeCell ref="N96:O96"/>
    <mergeCell ref="AD94:AE94"/>
    <mergeCell ref="AF94:AG94"/>
    <mergeCell ref="P94:Q94"/>
    <mergeCell ref="R94:S94"/>
    <mergeCell ref="T94:U94"/>
    <mergeCell ref="V94:W94"/>
    <mergeCell ref="X94:Y94"/>
    <mergeCell ref="Z94:AA94"/>
    <mergeCell ref="AB94:AC94"/>
    <mergeCell ref="AD95:AE95"/>
    <mergeCell ref="AF95:AG95"/>
    <mergeCell ref="AH95:AI95"/>
    <mergeCell ref="AJ95:AK95"/>
    <mergeCell ref="AL95:BB95"/>
    <mergeCell ref="P95:Q95"/>
    <mergeCell ref="R95:S95"/>
    <mergeCell ref="T95:U95"/>
    <mergeCell ref="V95:W95"/>
    <mergeCell ref="X95:Y95"/>
    <mergeCell ref="Z95:AA95"/>
    <mergeCell ref="AB95:AC95"/>
    <mergeCell ref="B95:C95"/>
    <mergeCell ref="D95:E95"/>
    <mergeCell ref="F95:G95"/>
    <mergeCell ref="AL84:BB84"/>
    <mergeCell ref="AH85:AI85"/>
    <mergeCell ref="AJ85:AK85"/>
    <mergeCell ref="AL85:BB85"/>
    <mergeCell ref="B85:C85"/>
    <mergeCell ref="D85:E85"/>
    <mergeCell ref="F85:G85"/>
    <mergeCell ref="H85:I85"/>
    <mergeCell ref="J85:K85"/>
    <mergeCell ref="L85:M85"/>
    <mergeCell ref="N85:O85"/>
    <mergeCell ref="P87:Q87"/>
    <mergeCell ref="R87:S87"/>
    <mergeCell ref="T87:U87"/>
    <mergeCell ref="V87:W87"/>
    <mergeCell ref="X87:Y87"/>
    <mergeCell ref="Z87:AA87"/>
    <mergeCell ref="AB87:AC87"/>
    <mergeCell ref="B87:C87"/>
    <mergeCell ref="D87:E87"/>
    <mergeCell ref="F87:G87"/>
    <mergeCell ref="H87:I87"/>
    <mergeCell ref="J87:K87"/>
    <mergeCell ref="L87:M87"/>
    <mergeCell ref="N87:O87"/>
    <mergeCell ref="AD85:AE85"/>
    <mergeCell ref="AF85:AG85"/>
    <mergeCell ref="P85:Q85"/>
    <mergeCell ref="R85:S85"/>
    <mergeCell ref="T85:U85"/>
    <mergeCell ref="V85:W85"/>
    <mergeCell ref="X85:Y85"/>
    <mergeCell ref="Z85:AA85"/>
    <mergeCell ref="AB85:AC85"/>
    <mergeCell ref="AD86:AE86"/>
    <mergeCell ref="AF86:AG86"/>
    <mergeCell ref="AH86:AI86"/>
    <mergeCell ref="AJ86:AK86"/>
    <mergeCell ref="AL86:BB86"/>
    <mergeCell ref="P86:Q86"/>
    <mergeCell ref="R86:S86"/>
    <mergeCell ref="T86:U86"/>
    <mergeCell ref="V86:W86"/>
    <mergeCell ref="X86:Y86"/>
    <mergeCell ref="Z86:AA86"/>
    <mergeCell ref="AB86:AC86"/>
    <mergeCell ref="B86:C86"/>
    <mergeCell ref="D86:E86"/>
    <mergeCell ref="F86:G86"/>
    <mergeCell ref="H86:I86"/>
    <mergeCell ref="J86:K86"/>
    <mergeCell ref="L86:M86"/>
    <mergeCell ref="N86:O86"/>
    <mergeCell ref="AD87:AE87"/>
    <mergeCell ref="AF87:AG87"/>
    <mergeCell ref="AH87:AI87"/>
    <mergeCell ref="AJ87:AK87"/>
    <mergeCell ref="AL87:BB87"/>
    <mergeCell ref="AD93:AE93"/>
    <mergeCell ref="AF93:AG93"/>
    <mergeCell ref="AH93:AI93"/>
    <mergeCell ref="AJ93:AK93"/>
    <mergeCell ref="AL93:BB93"/>
    <mergeCell ref="AH94:AI94"/>
    <mergeCell ref="AJ94:AK94"/>
    <mergeCell ref="AL94:BB94"/>
    <mergeCell ref="B94:C94"/>
    <mergeCell ref="D94:E94"/>
    <mergeCell ref="F94:G94"/>
    <mergeCell ref="H94:I94"/>
    <mergeCell ref="J94:K94"/>
    <mergeCell ref="L94:M94"/>
    <mergeCell ref="N94:O94"/>
    <mergeCell ref="AD79:AE79"/>
    <mergeCell ref="AF79:AG79"/>
    <mergeCell ref="P79:Q79"/>
    <mergeCell ref="R79:S79"/>
    <mergeCell ref="T79:U79"/>
    <mergeCell ref="V79:W79"/>
    <mergeCell ref="X79:Y79"/>
    <mergeCell ref="Z79:AA79"/>
    <mergeCell ref="AB79:AC79"/>
    <mergeCell ref="AD80:AE80"/>
    <mergeCell ref="AF80:AG80"/>
    <mergeCell ref="AH80:AI80"/>
    <mergeCell ref="AJ80:AK80"/>
    <mergeCell ref="AL80:BB80"/>
    <mergeCell ref="P80:Q80"/>
    <mergeCell ref="R80:S80"/>
    <mergeCell ref="T80:U80"/>
    <mergeCell ref="V80:W80"/>
    <mergeCell ref="X80:Y80"/>
    <mergeCell ref="Z80:AA80"/>
    <mergeCell ref="AB80:AC80"/>
    <mergeCell ref="B80:C80"/>
    <mergeCell ref="D80:E80"/>
    <mergeCell ref="F80:G80"/>
    <mergeCell ref="H80:I80"/>
    <mergeCell ref="J80:K80"/>
    <mergeCell ref="L80:M80"/>
    <mergeCell ref="N80:O80"/>
    <mergeCell ref="AD81:AE81"/>
    <mergeCell ref="AF81:AG81"/>
    <mergeCell ref="AH81:AI81"/>
    <mergeCell ref="AJ81:AK81"/>
    <mergeCell ref="AL81:BB81"/>
    <mergeCell ref="AH82:AI82"/>
    <mergeCell ref="AJ82:AK82"/>
    <mergeCell ref="AL82:BB82"/>
    <mergeCell ref="B82:C82"/>
    <mergeCell ref="D82:E82"/>
    <mergeCell ref="F82:G82"/>
    <mergeCell ref="H82:I82"/>
    <mergeCell ref="J82:K82"/>
    <mergeCell ref="L82:M82"/>
    <mergeCell ref="N82:O82"/>
    <mergeCell ref="AD82:AE82"/>
    <mergeCell ref="AF82:AG82"/>
    <mergeCell ref="P82:Q82"/>
    <mergeCell ref="R82:S82"/>
    <mergeCell ref="T82:U82"/>
    <mergeCell ref="V82:W82"/>
    <mergeCell ref="AH91:AI91"/>
    <mergeCell ref="AJ91:AK91"/>
    <mergeCell ref="AL91:BB91"/>
    <mergeCell ref="B91:C91"/>
    <mergeCell ref="D91:E91"/>
    <mergeCell ref="F91:G91"/>
    <mergeCell ref="H91:I91"/>
    <mergeCell ref="J91:K91"/>
    <mergeCell ref="L91:M91"/>
    <mergeCell ref="N91:O91"/>
    <mergeCell ref="AD91:AE91"/>
    <mergeCell ref="AF91:AG91"/>
    <mergeCell ref="P91:Q91"/>
    <mergeCell ref="R91:S91"/>
    <mergeCell ref="T91:U91"/>
    <mergeCell ref="V91:W91"/>
    <mergeCell ref="X91:Y91"/>
    <mergeCell ref="Z91:AA91"/>
    <mergeCell ref="AB91:AC91"/>
    <mergeCell ref="AD92:AE92"/>
    <mergeCell ref="AF92:AG92"/>
    <mergeCell ref="AH92:AI92"/>
    <mergeCell ref="AJ92:AK92"/>
    <mergeCell ref="AL92:BB92"/>
    <mergeCell ref="P92:Q92"/>
    <mergeCell ref="R92:S92"/>
    <mergeCell ref="T92:U92"/>
    <mergeCell ref="V92:W92"/>
    <mergeCell ref="X92:Y92"/>
    <mergeCell ref="Z92:AA92"/>
    <mergeCell ref="AB92:AC92"/>
    <mergeCell ref="B92:C92"/>
    <mergeCell ref="D92:E92"/>
    <mergeCell ref="F92:G92"/>
    <mergeCell ref="H92:I92"/>
    <mergeCell ref="J92:K92"/>
    <mergeCell ref="L92:M92"/>
    <mergeCell ref="N92:O92"/>
    <mergeCell ref="AD88:AE88"/>
    <mergeCell ref="AF88:AG88"/>
    <mergeCell ref="P88:Q88"/>
    <mergeCell ref="R88:S88"/>
    <mergeCell ref="T88:U88"/>
    <mergeCell ref="V88:W88"/>
    <mergeCell ref="X88:Y88"/>
    <mergeCell ref="Z88:AA88"/>
    <mergeCell ref="AB88:AC88"/>
    <mergeCell ref="AD89:AE89"/>
    <mergeCell ref="AF89:AG89"/>
    <mergeCell ref="AH89:AI89"/>
    <mergeCell ref="AJ89:AK89"/>
    <mergeCell ref="AL89:BB89"/>
    <mergeCell ref="P89:Q89"/>
    <mergeCell ref="R89:S89"/>
    <mergeCell ref="T89:U89"/>
    <mergeCell ref="V89:W89"/>
    <mergeCell ref="X89:Y89"/>
    <mergeCell ref="Z89:AA89"/>
    <mergeCell ref="AB89:AC89"/>
    <mergeCell ref="B89:C89"/>
    <mergeCell ref="D89:E89"/>
    <mergeCell ref="F89:G89"/>
    <mergeCell ref="H89:I89"/>
    <mergeCell ref="J89:K89"/>
    <mergeCell ref="L89:M89"/>
    <mergeCell ref="N89:O89"/>
    <mergeCell ref="AD90:AE90"/>
    <mergeCell ref="AF90:AG90"/>
    <mergeCell ref="AH90:AI90"/>
    <mergeCell ref="AJ90:AK90"/>
    <mergeCell ref="AL90:BB90"/>
    <mergeCell ref="AH88:AI88"/>
    <mergeCell ref="AJ88:AK88"/>
    <mergeCell ref="AL88:BB88"/>
    <mergeCell ref="B88:C88"/>
    <mergeCell ref="D88:E88"/>
    <mergeCell ref="F88:G88"/>
    <mergeCell ref="H88:I88"/>
    <mergeCell ref="J88:K88"/>
    <mergeCell ref="L88:M88"/>
    <mergeCell ref="N88:O88"/>
    <mergeCell ref="P90:Q90"/>
    <mergeCell ref="R90:S90"/>
    <mergeCell ref="T90:U90"/>
    <mergeCell ref="V90:W90"/>
    <mergeCell ref="X90:Y90"/>
    <mergeCell ref="Z90:AA90"/>
    <mergeCell ref="AB90:AC90"/>
    <mergeCell ref="B90:C90"/>
    <mergeCell ref="D90:E90"/>
    <mergeCell ref="F90:G90"/>
    <mergeCell ref="H90:I90"/>
    <mergeCell ref="J90:K90"/>
    <mergeCell ref="L90:M90"/>
    <mergeCell ref="N90:O90"/>
    <mergeCell ref="AH79:AI79"/>
    <mergeCell ref="AJ79:AK79"/>
    <mergeCell ref="AL79:BB79"/>
    <mergeCell ref="B79:C79"/>
    <mergeCell ref="D79:E79"/>
    <mergeCell ref="F79:G79"/>
    <mergeCell ref="H79:I79"/>
    <mergeCell ref="J79:K79"/>
    <mergeCell ref="L79:M79"/>
    <mergeCell ref="N79:O79"/>
    <mergeCell ref="P81:Q81"/>
    <mergeCell ref="R81:S81"/>
    <mergeCell ref="T81:U81"/>
    <mergeCell ref="V81:W81"/>
    <mergeCell ref="X81:Y81"/>
    <mergeCell ref="Z81:AA81"/>
    <mergeCell ref="AB81:AC81"/>
    <mergeCell ref="B81:C81"/>
    <mergeCell ref="D81:E81"/>
    <mergeCell ref="F81:G81"/>
    <mergeCell ref="H81:I81"/>
    <mergeCell ref="J81:K81"/>
    <mergeCell ref="L81:M81"/>
    <mergeCell ref="N81:O81"/>
    <mergeCell ref="P84:Q84"/>
    <mergeCell ref="R84:S84"/>
    <mergeCell ref="T84:U84"/>
    <mergeCell ref="V84:W84"/>
    <mergeCell ref="X84:Y84"/>
    <mergeCell ref="Z84:AA84"/>
    <mergeCell ref="AB84:AC84"/>
    <mergeCell ref="B84:C84"/>
    <mergeCell ref="D84:E84"/>
    <mergeCell ref="F84:G84"/>
    <mergeCell ref="H84:I84"/>
    <mergeCell ref="J84:K84"/>
    <mergeCell ref="L84:M84"/>
    <mergeCell ref="N84:O84"/>
    <mergeCell ref="X82:Y82"/>
    <mergeCell ref="Z82:AA82"/>
    <mergeCell ref="AB82:AC82"/>
    <mergeCell ref="AD83:AE83"/>
    <mergeCell ref="AF83:AG83"/>
    <mergeCell ref="AH83:AI83"/>
    <mergeCell ref="AJ83:AK83"/>
    <mergeCell ref="AL83:BB83"/>
    <mergeCell ref="P83:Q83"/>
    <mergeCell ref="R83:S83"/>
    <mergeCell ref="T83:U83"/>
    <mergeCell ref="V83:W83"/>
    <mergeCell ref="X83:Y83"/>
    <mergeCell ref="Z83:AA83"/>
    <mergeCell ref="AB83:AC83"/>
    <mergeCell ref="B83:C83"/>
    <mergeCell ref="D83:E83"/>
    <mergeCell ref="F83:G83"/>
    <mergeCell ref="H83:I83"/>
    <mergeCell ref="J83:K83"/>
    <mergeCell ref="L83:M83"/>
    <mergeCell ref="N83:O83"/>
    <mergeCell ref="AD84:AE84"/>
    <mergeCell ref="AF84:AG84"/>
    <mergeCell ref="AH84:AI84"/>
    <mergeCell ref="AJ84:AK84"/>
    <mergeCell ref="AH76:AI76"/>
    <mergeCell ref="AJ76:AK76"/>
    <mergeCell ref="AL76:BB76"/>
    <mergeCell ref="B76:C76"/>
    <mergeCell ref="D76:E76"/>
    <mergeCell ref="F76:G76"/>
    <mergeCell ref="H76:I76"/>
    <mergeCell ref="J76:K76"/>
    <mergeCell ref="L76:M76"/>
    <mergeCell ref="N76:O76"/>
    <mergeCell ref="P78:Q78"/>
    <mergeCell ref="R78:S78"/>
    <mergeCell ref="T78:U78"/>
    <mergeCell ref="V78:W78"/>
    <mergeCell ref="X78:Y78"/>
    <mergeCell ref="Z78:AA78"/>
    <mergeCell ref="AB78:AC78"/>
    <mergeCell ref="B78:C78"/>
    <mergeCell ref="D78:E78"/>
    <mergeCell ref="F78:G78"/>
    <mergeCell ref="H78:I78"/>
    <mergeCell ref="J78:K78"/>
    <mergeCell ref="L78:M78"/>
    <mergeCell ref="N78:O78"/>
    <mergeCell ref="AD76:AE76"/>
    <mergeCell ref="AF76:AG76"/>
    <mergeCell ref="P76:Q76"/>
    <mergeCell ref="R76:S76"/>
    <mergeCell ref="T76:U76"/>
    <mergeCell ref="V76:W76"/>
    <mergeCell ref="X76:Y76"/>
    <mergeCell ref="Z76:AA76"/>
    <mergeCell ref="AB76:AC76"/>
    <mergeCell ref="AD77:AE77"/>
    <mergeCell ref="AF77:AG77"/>
    <mergeCell ref="AH77:AI77"/>
    <mergeCell ref="AJ77:AK77"/>
    <mergeCell ref="AL77:BB77"/>
    <mergeCell ref="P77:Q77"/>
    <mergeCell ref="R77:S77"/>
    <mergeCell ref="T77:U77"/>
    <mergeCell ref="V77:W77"/>
    <mergeCell ref="X77:Y77"/>
    <mergeCell ref="Z77:AA77"/>
    <mergeCell ref="AB77:AC77"/>
    <mergeCell ref="B77:C77"/>
    <mergeCell ref="D77:E77"/>
    <mergeCell ref="F77:G77"/>
    <mergeCell ref="H77:I77"/>
    <mergeCell ref="J77:K77"/>
    <mergeCell ref="L77:M77"/>
    <mergeCell ref="N77:O77"/>
    <mergeCell ref="AD78:AE78"/>
    <mergeCell ref="AF78:AG78"/>
    <mergeCell ref="AH78:AI78"/>
    <mergeCell ref="AJ78:AK78"/>
    <mergeCell ref="AL78:BB78"/>
    <mergeCell ref="B73:C73"/>
    <mergeCell ref="D73:E73"/>
    <mergeCell ref="F73:G73"/>
    <mergeCell ref="H73:I73"/>
    <mergeCell ref="J73:K73"/>
    <mergeCell ref="L73:M73"/>
    <mergeCell ref="N73:O73"/>
    <mergeCell ref="AD74:AE74"/>
    <mergeCell ref="AF74:AG74"/>
    <mergeCell ref="AH74:AI74"/>
    <mergeCell ref="AJ74:AK74"/>
    <mergeCell ref="AL74:BB74"/>
    <mergeCell ref="P74:Q74"/>
    <mergeCell ref="R74:S74"/>
    <mergeCell ref="T74:U74"/>
    <mergeCell ref="V74:W74"/>
    <mergeCell ref="X74:Y74"/>
    <mergeCell ref="Z74:AA74"/>
    <mergeCell ref="AB74:AC74"/>
    <mergeCell ref="B74:C74"/>
    <mergeCell ref="D74:E74"/>
    <mergeCell ref="F74:G74"/>
    <mergeCell ref="H74:I74"/>
    <mergeCell ref="J74:K74"/>
    <mergeCell ref="L74:M74"/>
    <mergeCell ref="N74:O74"/>
    <mergeCell ref="AD75:AE75"/>
    <mergeCell ref="AF75:AG75"/>
    <mergeCell ref="AH75:AI75"/>
    <mergeCell ref="AJ75:AK75"/>
    <mergeCell ref="AL75:BB75"/>
    <mergeCell ref="P75:Q75"/>
    <mergeCell ref="R75:S75"/>
    <mergeCell ref="T75:U75"/>
    <mergeCell ref="V75:W75"/>
    <mergeCell ref="X75:Y75"/>
    <mergeCell ref="Z75:AA75"/>
    <mergeCell ref="AB75:AC75"/>
    <mergeCell ref="B75:C75"/>
    <mergeCell ref="D75:E75"/>
    <mergeCell ref="F75:G75"/>
    <mergeCell ref="H75:I75"/>
    <mergeCell ref="J75:K75"/>
    <mergeCell ref="L75:M75"/>
    <mergeCell ref="N75:O75"/>
    <mergeCell ref="AD73:AE73"/>
    <mergeCell ref="AF73:AG73"/>
    <mergeCell ref="AH73:AI73"/>
    <mergeCell ref="AJ73:AK73"/>
    <mergeCell ref="AL73:BB73"/>
    <mergeCell ref="P73:Q73"/>
    <mergeCell ref="R73:S73"/>
    <mergeCell ref="T73:U73"/>
    <mergeCell ref="V73:W73"/>
    <mergeCell ref="X73:Y73"/>
    <mergeCell ref="Z73:AA73"/>
    <mergeCell ref="AB73:AC73"/>
    <mergeCell ref="AH70:AI70"/>
    <mergeCell ref="AJ70:AK70"/>
    <mergeCell ref="AL70:BB70"/>
    <mergeCell ref="B70:C70"/>
    <mergeCell ref="D70:E70"/>
    <mergeCell ref="F70:G70"/>
    <mergeCell ref="H70:I70"/>
    <mergeCell ref="J70:K70"/>
    <mergeCell ref="L70:M70"/>
    <mergeCell ref="N70:O70"/>
    <mergeCell ref="P72:Q72"/>
    <mergeCell ref="R72:S72"/>
    <mergeCell ref="T72:U72"/>
    <mergeCell ref="V72:W72"/>
    <mergeCell ref="X72:Y72"/>
    <mergeCell ref="Z72:AA72"/>
    <mergeCell ref="AB72:AC72"/>
    <mergeCell ref="B72:C72"/>
    <mergeCell ref="D72:E72"/>
    <mergeCell ref="F72:G72"/>
    <mergeCell ref="H72:I72"/>
    <mergeCell ref="J72:K72"/>
    <mergeCell ref="L72:M72"/>
    <mergeCell ref="N72:O72"/>
    <mergeCell ref="AD70:AE70"/>
    <mergeCell ref="AF70:AG70"/>
    <mergeCell ref="P70:Q70"/>
    <mergeCell ref="R70:S70"/>
    <mergeCell ref="T70:U70"/>
    <mergeCell ref="V70:W70"/>
    <mergeCell ref="X70:Y70"/>
    <mergeCell ref="Z70:AA70"/>
    <mergeCell ref="AB70:AC70"/>
    <mergeCell ref="AD71:AE71"/>
    <mergeCell ref="AF71:AG71"/>
    <mergeCell ref="AH71:AI71"/>
    <mergeCell ref="AJ71:AK71"/>
    <mergeCell ref="AL71:BB71"/>
    <mergeCell ref="P71:Q71"/>
    <mergeCell ref="R71:S71"/>
    <mergeCell ref="T71:U71"/>
    <mergeCell ref="V71:W71"/>
    <mergeCell ref="X71:Y71"/>
    <mergeCell ref="Z71:AA71"/>
    <mergeCell ref="AB71:AC71"/>
    <mergeCell ref="B71:C71"/>
    <mergeCell ref="D71:E71"/>
    <mergeCell ref="F71:G71"/>
    <mergeCell ref="H71:I71"/>
    <mergeCell ref="J71:K71"/>
    <mergeCell ref="L71:M71"/>
    <mergeCell ref="N71:O71"/>
    <mergeCell ref="AD72:AE72"/>
    <mergeCell ref="AF72:AG72"/>
    <mergeCell ref="AH72:AI72"/>
    <mergeCell ref="AJ72:AK72"/>
    <mergeCell ref="AL72:BB72"/>
    <mergeCell ref="AH67:AI67"/>
    <mergeCell ref="AJ67:AK67"/>
    <mergeCell ref="AL67:BB67"/>
    <mergeCell ref="B67:C67"/>
    <mergeCell ref="D67:E67"/>
    <mergeCell ref="F67:G67"/>
    <mergeCell ref="H67:I67"/>
    <mergeCell ref="J67:K67"/>
    <mergeCell ref="L67:M67"/>
    <mergeCell ref="N67:O67"/>
    <mergeCell ref="P69:Q69"/>
    <mergeCell ref="R69:S69"/>
    <mergeCell ref="T69:U69"/>
    <mergeCell ref="V69:W69"/>
    <mergeCell ref="X69:Y69"/>
    <mergeCell ref="Z69:AA69"/>
    <mergeCell ref="AB69:AC69"/>
    <mergeCell ref="B69:C69"/>
    <mergeCell ref="D69:E69"/>
    <mergeCell ref="F69:G69"/>
    <mergeCell ref="H69:I69"/>
    <mergeCell ref="J69:K69"/>
    <mergeCell ref="L69:M69"/>
    <mergeCell ref="N69:O69"/>
    <mergeCell ref="AD67:AE67"/>
    <mergeCell ref="AF67:AG67"/>
    <mergeCell ref="P67:Q67"/>
    <mergeCell ref="R67:S67"/>
    <mergeCell ref="T67:U67"/>
    <mergeCell ref="V67:W67"/>
    <mergeCell ref="X67:Y67"/>
    <mergeCell ref="Z67:AA67"/>
    <mergeCell ref="AB67:AC67"/>
    <mergeCell ref="AD68:AE68"/>
    <mergeCell ref="AF68:AG68"/>
    <mergeCell ref="AH68:AI68"/>
    <mergeCell ref="AJ68:AK68"/>
    <mergeCell ref="AL68:BB68"/>
    <mergeCell ref="P68:Q68"/>
    <mergeCell ref="R68:S68"/>
    <mergeCell ref="T68:U68"/>
    <mergeCell ref="V68:W68"/>
    <mergeCell ref="X68:Y68"/>
    <mergeCell ref="Z68:AA68"/>
    <mergeCell ref="AB68:AC68"/>
    <mergeCell ref="B68:C68"/>
    <mergeCell ref="D68:E68"/>
    <mergeCell ref="F68:G68"/>
    <mergeCell ref="H68:I68"/>
    <mergeCell ref="J68:K68"/>
    <mergeCell ref="L68:M68"/>
    <mergeCell ref="N68:O68"/>
    <mergeCell ref="AD69:AE69"/>
    <mergeCell ref="AF69:AG69"/>
    <mergeCell ref="AH69:AI69"/>
    <mergeCell ref="AJ69:AK69"/>
    <mergeCell ref="AL69:BB69"/>
    <mergeCell ref="AH64:AI64"/>
    <mergeCell ref="AJ64:AK64"/>
    <mergeCell ref="AL64:BB64"/>
    <mergeCell ref="B64:C64"/>
    <mergeCell ref="D64:E64"/>
    <mergeCell ref="F64:G64"/>
    <mergeCell ref="H64:I64"/>
    <mergeCell ref="J64:K64"/>
    <mergeCell ref="L64:M64"/>
    <mergeCell ref="N64:O64"/>
    <mergeCell ref="P66:Q66"/>
    <mergeCell ref="R66:S66"/>
    <mergeCell ref="T66:U66"/>
    <mergeCell ref="V66:W66"/>
    <mergeCell ref="X66:Y66"/>
    <mergeCell ref="Z66:AA66"/>
    <mergeCell ref="AB66:AC66"/>
    <mergeCell ref="B66:C66"/>
    <mergeCell ref="D66:E66"/>
    <mergeCell ref="F66:G66"/>
    <mergeCell ref="H66:I66"/>
    <mergeCell ref="J66:K66"/>
    <mergeCell ref="L66:M66"/>
    <mergeCell ref="N66:O66"/>
    <mergeCell ref="AD64:AE64"/>
    <mergeCell ref="AF64:AG64"/>
    <mergeCell ref="P64:Q64"/>
    <mergeCell ref="R64:S64"/>
    <mergeCell ref="T64:U64"/>
    <mergeCell ref="V64:W64"/>
    <mergeCell ref="X64:Y64"/>
    <mergeCell ref="Z64:AA64"/>
    <mergeCell ref="AB64:AC64"/>
    <mergeCell ref="AD65:AE65"/>
    <mergeCell ref="AF65:AG65"/>
    <mergeCell ref="AH65:AI65"/>
    <mergeCell ref="AJ65:AK65"/>
    <mergeCell ref="AL65:BB65"/>
    <mergeCell ref="P65:Q65"/>
    <mergeCell ref="R65:S65"/>
    <mergeCell ref="T65:U65"/>
    <mergeCell ref="V65:W65"/>
    <mergeCell ref="X65:Y65"/>
    <mergeCell ref="Z65:AA65"/>
    <mergeCell ref="AB65:AC65"/>
    <mergeCell ref="B65:C65"/>
    <mergeCell ref="D65:E65"/>
    <mergeCell ref="F65:G65"/>
    <mergeCell ref="H65:I65"/>
    <mergeCell ref="J65:K65"/>
    <mergeCell ref="L65:M65"/>
    <mergeCell ref="N65:O65"/>
    <mergeCell ref="AD66:AE66"/>
    <mergeCell ref="AF66:AG66"/>
    <mergeCell ref="AH66:AI66"/>
    <mergeCell ref="AJ66:AK66"/>
    <mergeCell ref="AL66:BB66"/>
    <mergeCell ref="AH61:AI61"/>
    <mergeCell ref="AJ61:AK61"/>
    <mergeCell ref="AL61:BB61"/>
    <mergeCell ref="B61:C61"/>
    <mergeCell ref="D61:E61"/>
    <mergeCell ref="F61:G61"/>
    <mergeCell ref="H61:I61"/>
    <mergeCell ref="J61:K61"/>
    <mergeCell ref="L61:M61"/>
    <mergeCell ref="N61:O61"/>
    <mergeCell ref="P63:Q63"/>
    <mergeCell ref="R63:S63"/>
    <mergeCell ref="T63:U63"/>
    <mergeCell ref="V63:W63"/>
    <mergeCell ref="X63:Y63"/>
    <mergeCell ref="Z63:AA63"/>
    <mergeCell ref="AB63:AC63"/>
    <mergeCell ref="B63:C63"/>
    <mergeCell ref="D63:E63"/>
    <mergeCell ref="F63:G63"/>
    <mergeCell ref="H63:I63"/>
    <mergeCell ref="J63:K63"/>
    <mergeCell ref="L63:M63"/>
    <mergeCell ref="N63:O63"/>
    <mergeCell ref="AD61:AE61"/>
    <mergeCell ref="AF61:AG61"/>
    <mergeCell ref="P61:Q61"/>
    <mergeCell ref="R61:S61"/>
    <mergeCell ref="T61:U61"/>
    <mergeCell ref="V61:W61"/>
    <mergeCell ref="X61:Y61"/>
    <mergeCell ref="Z61:AA61"/>
    <mergeCell ref="AB61:AC61"/>
    <mergeCell ref="AD62:AE62"/>
    <mergeCell ref="AF62:AG62"/>
    <mergeCell ref="AH62:AI62"/>
    <mergeCell ref="AJ62:AK62"/>
    <mergeCell ref="AL62:BB62"/>
    <mergeCell ref="P62:Q62"/>
    <mergeCell ref="R62:S62"/>
    <mergeCell ref="T62:U62"/>
    <mergeCell ref="V62:W62"/>
    <mergeCell ref="X62:Y62"/>
    <mergeCell ref="Z62:AA62"/>
    <mergeCell ref="AB62:AC62"/>
    <mergeCell ref="B62:C62"/>
    <mergeCell ref="D62:E62"/>
    <mergeCell ref="F62:G62"/>
    <mergeCell ref="H62:I62"/>
    <mergeCell ref="J62:K62"/>
    <mergeCell ref="L62:M62"/>
    <mergeCell ref="N62:O62"/>
    <mergeCell ref="AD63:AE63"/>
    <mergeCell ref="AF63:AG63"/>
    <mergeCell ref="AH63:AI63"/>
    <mergeCell ref="AJ63:AK63"/>
    <mergeCell ref="AL63:BB63"/>
    <mergeCell ref="AH58:AI58"/>
    <mergeCell ref="AJ58:AK58"/>
    <mergeCell ref="AL58:BB58"/>
    <mergeCell ref="B58:C58"/>
    <mergeCell ref="D58:E58"/>
    <mergeCell ref="F58:G58"/>
    <mergeCell ref="H58:I58"/>
    <mergeCell ref="J58:K58"/>
    <mergeCell ref="L58:M58"/>
    <mergeCell ref="N58:O58"/>
    <mergeCell ref="P60:Q60"/>
    <mergeCell ref="R60:S60"/>
    <mergeCell ref="T60:U60"/>
    <mergeCell ref="V60:W60"/>
    <mergeCell ref="X60:Y60"/>
    <mergeCell ref="Z60:AA60"/>
    <mergeCell ref="AB60:AC60"/>
    <mergeCell ref="B60:C60"/>
    <mergeCell ref="D60:E60"/>
    <mergeCell ref="F60:G60"/>
    <mergeCell ref="H60:I60"/>
    <mergeCell ref="J60:K60"/>
    <mergeCell ref="L60:M60"/>
    <mergeCell ref="N60:O60"/>
    <mergeCell ref="AD58:AE58"/>
    <mergeCell ref="AF58:AG58"/>
    <mergeCell ref="P58:Q58"/>
    <mergeCell ref="R58:S58"/>
    <mergeCell ref="T58:U58"/>
    <mergeCell ref="V58:W58"/>
    <mergeCell ref="X58:Y58"/>
    <mergeCell ref="Z58:AA58"/>
    <mergeCell ref="AB58:AC58"/>
    <mergeCell ref="AD59:AE59"/>
    <mergeCell ref="AF59:AG59"/>
    <mergeCell ref="AH59:AI59"/>
    <mergeCell ref="AJ59:AK59"/>
    <mergeCell ref="AL59:BB59"/>
    <mergeCell ref="P59:Q59"/>
    <mergeCell ref="R59:S59"/>
    <mergeCell ref="T59:U59"/>
    <mergeCell ref="V59:W59"/>
    <mergeCell ref="X59:Y59"/>
    <mergeCell ref="Z59:AA59"/>
    <mergeCell ref="AB59:AC59"/>
    <mergeCell ref="B59:C59"/>
    <mergeCell ref="D59:E59"/>
    <mergeCell ref="F59:G59"/>
    <mergeCell ref="H59:I59"/>
    <mergeCell ref="J59:K59"/>
    <mergeCell ref="L59:M59"/>
    <mergeCell ref="N59:O59"/>
    <mergeCell ref="AD60:AE60"/>
    <mergeCell ref="AF60:AG60"/>
    <mergeCell ref="AH60:AI60"/>
    <mergeCell ref="AJ60:AK60"/>
    <mergeCell ref="AL60:BB60"/>
    <mergeCell ref="AL55:BB55"/>
    <mergeCell ref="B55:C55"/>
    <mergeCell ref="D55:E55"/>
    <mergeCell ref="F55:G55"/>
    <mergeCell ref="H55:I55"/>
    <mergeCell ref="J55:K55"/>
    <mergeCell ref="L55:M55"/>
    <mergeCell ref="N55:O55"/>
    <mergeCell ref="P57:Q57"/>
    <mergeCell ref="R57:S57"/>
    <mergeCell ref="T57:U57"/>
    <mergeCell ref="V57:W57"/>
    <mergeCell ref="X57:Y57"/>
    <mergeCell ref="Z57:AA57"/>
    <mergeCell ref="AB57:AC57"/>
    <mergeCell ref="B57:C57"/>
    <mergeCell ref="D57:E57"/>
    <mergeCell ref="F57:G57"/>
    <mergeCell ref="H57:I57"/>
    <mergeCell ref="J57:K57"/>
    <mergeCell ref="L57:M57"/>
    <mergeCell ref="N57:O57"/>
    <mergeCell ref="AD55:AE55"/>
    <mergeCell ref="AF55:AG55"/>
    <mergeCell ref="P55:Q55"/>
    <mergeCell ref="R55:S55"/>
    <mergeCell ref="T55:U55"/>
    <mergeCell ref="V55:W55"/>
    <mergeCell ref="X55:Y55"/>
    <mergeCell ref="Z55:AA55"/>
    <mergeCell ref="AB55:AC55"/>
    <mergeCell ref="AD56:AE56"/>
    <mergeCell ref="AF56:AG56"/>
    <mergeCell ref="AH56:AI56"/>
    <mergeCell ref="AJ56:AK56"/>
    <mergeCell ref="AL56:BB56"/>
    <mergeCell ref="P56:Q56"/>
    <mergeCell ref="R56:S56"/>
    <mergeCell ref="T56:U56"/>
    <mergeCell ref="V56:W56"/>
    <mergeCell ref="X56:Y56"/>
    <mergeCell ref="Z56:AA56"/>
    <mergeCell ref="AB56:AC56"/>
    <mergeCell ref="B56:C56"/>
    <mergeCell ref="D56:E56"/>
    <mergeCell ref="F56:G56"/>
    <mergeCell ref="H56:I56"/>
    <mergeCell ref="J56:K56"/>
    <mergeCell ref="L56:M56"/>
    <mergeCell ref="N56:O56"/>
    <mergeCell ref="AD57:AE57"/>
    <mergeCell ref="AF57:AG57"/>
    <mergeCell ref="AH57:AI57"/>
    <mergeCell ref="AJ57:AK57"/>
    <mergeCell ref="AL57:BB57"/>
    <mergeCell ref="AH55:AI55"/>
    <mergeCell ref="AJ55:AK55"/>
    <mergeCell ref="P54:Q54"/>
    <mergeCell ref="R54:S54"/>
    <mergeCell ref="T54:U54"/>
    <mergeCell ref="V54:W54"/>
    <mergeCell ref="X54:Y54"/>
    <mergeCell ref="Z54:AA54"/>
    <mergeCell ref="AB54:AC54"/>
    <mergeCell ref="B54:C54"/>
    <mergeCell ref="D54:E54"/>
    <mergeCell ref="F54:G54"/>
    <mergeCell ref="H54:I54"/>
    <mergeCell ref="J54:K54"/>
    <mergeCell ref="L54:M54"/>
    <mergeCell ref="N54:O54"/>
    <mergeCell ref="AD52:AE52"/>
    <mergeCell ref="AF52:AG52"/>
    <mergeCell ref="AH52:AI52"/>
    <mergeCell ref="AJ52:AK52"/>
    <mergeCell ref="AL52:BB52"/>
    <mergeCell ref="P52:Q52"/>
    <mergeCell ref="R52:S52"/>
    <mergeCell ref="T52:U52"/>
    <mergeCell ref="V52:W52"/>
    <mergeCell ref="X52:Y52"/>
    <mergeCell ref="Z52:AA52"/>
    <mergeCell ref="AB52:AC52"/>
    <mergeCell ref="AD53:AE53"/>
    <mergeCell ref="AF53:AG53"/>
    <mergeCell ref="AH53:AI53"/>
    <mergeCell ref="AJ53:AK53"/>
    <mergeCell ref="AL53:BB53"/>
    <mergeCell ref="P53:Q53"/>
    <mergeCell ref="R53:S53"/>
    <mergeCell ref="T53:U53"/>
    <mergeCell ref="V53:W53"/>
    <mergeCell ref="X53:Y53"/>
    <mergeCell ref="Z53:AA53"/>
    <mergeCell ref="AB53:AC53"/>
    <mergeCell ref="B53:C53"/>
    <mergeCell ref="D53:E53"/>
    <mergeCell ref="F53:G53"/>
    <mergeCell ref="H53:I53"/>
    <mergeCell ref="J53:K53"/>
    <mergeCell ref="L53:M53"/>
    <mergeCell ref="N53:O53"/>
    <mergeCell ref="AD54:AE54"/>
    <mergeCell ref="AF54:AG54"/>
    <mergeCell ref="AH54:AI54"/>
    <mergeCell ref="AJ54:AK54"/>
    <mergeCell ref="AL54:BB54"/>
    <mergeCell ref="B52:C52"/>
    <mergeCell ref="D52:E52"/>
    <mergeCell ref="F52:G52"/>
    <mergeCell ref="H52:I52"/>
    <mergeCell ref="J52:K52"/>
    <mergeCell ref="L52:M52"/>
    <mergeCell ref="N52:O52"/>
    <mergeCell ref="AH28:AI28"/>
    <mergeCell ref="AJ28:AK28"/>
    <mergeCell ref="AL28:BB28"/>
    <mergeCell ref="B28:C28"/>
    <mergeCell ref="D28:E28"/>
    <mergeCell ref="F28:G28"/>
    <mergeCell ref="H28:I28"/>
    <mergeCell ref="J28:K28"/>
    <mergeCell ref="L28:M28"/>
    <mergeCell ref="N28:O28"/>
    <mergeCell ref="P30:Q30"/>
    <mergeCell ref="R30:S30"/>
    <mergeCell ref="T30:U30"/>
    <mergeCell ref="V30:W30"/>
    <mergeCell ref="X30:Y30"/>
    <mergeCell ref="Z30:AA30"/>
    <mergeCell ref="AB30:AC30"/>
    <mergeCell ref="B30:C30"/>
    <mergeCell ref="D30:E30"/>
    <mergeCell ref="F30:G30"/>
    <mergeCell ref="H30:I30"/>
    <mergeCell ref="J30:K30"/>
    <mergeCell ref="L30:M30"/>
    <mergeCell ref="N30:O30"/>
    <mergeCell ref="P33:Q33"/>
    <mergeCell ref="R33:S33"/>
    <mergeCell ref="T33:U33"/>
    <mergeCell ref="V33:W33"/>
    <mergeCell ref="X33:Y33"/>
    <mergeCell ref="Z33:AA33"/>
    <mergeCell ref="AB33:AC33"/>
    <mergeCell ref="B33:C33"/>
    <mergeCell ref="D33:E33"/>
    <mergeCell ref="F33:G33"/>
    <mergeCell ref="H33:I33"/>
    <mergeCell ref="J33:K33"/>
    <mergeCell ref="L33:M33"/>
    <mergeCell ref="N33:O33"/>
    <mergeCell ref="AH33:AI33"/>
    <mergeCell ref="AJ33:AK33"/>
    <mergeCell ref="AL33:BB33"/>
    <mergeCell ref="R28:S28"/>
    <mergeCell ref="T28:U28"/>
    <mergeCell ref="V28:W28"/>
    <mergeCell ref="X28:Y28"/>
    <mergeCell ref="Z28:AA28"/>
    <mergeCell ref="AB28:AC28"/>
    <mergeCell ref="AD29:AE29"/>
    <mergeCell ref="AF29:AG29"/>
    <mergeCell ref="AH29:AI29"/>
    <mergeCell ref="AJ29:AK29"/>
    <mergeCell ref="AL29:BB29"/>
    <mergeCell ref="P29:Q29"/>
    <mergeCell ref="R29:S29"/>
    <mergeCell ref="T29:U29"/>
    <mergeCell ref="V29:W29"/>
    <mergeCell ref="X29:Y29"/>
    <mergeCell ref="Z29:AA29"/>
    <mergeCell ref="AB29:AC29"/>
    <mergeCell ref="B29:C29"/>
    <mergeCell ref="D29:E29"/>
    <mergeCell ref="F29:G29"/>
    <mergeCell ref="H29:I29"/>
    <mergeCell ref="J29:K29"/>
    <mergeCell ref="AH26:AI26"/>
    <mergeCell ref="AJ26:AK26"/>
    <mergeCell ref="AL26:BB26"/>
    <mergeCell ref="P26:Q26"/>
    <mergeCell ref="R26:S26"/>
    <mergeCell ref="T26:U26"/>
    <mergeCell ref="V26:W26"/>
    <mergeCell ref="X26:Y26"/>
    <mergeCell ref="Z26:AA26"/>
    <mergeCell ref="AB26:AC26"/>
    <mergeCell ref="B26:C26"/>
    <mergeCell ref="D26:E26"/>
    <mergeCell ref="F26:G26"/>
    <mergeCell ref="H26:I26"/>
    <mergeCell ref="J26:K26"/>
    <mergeCell ref="L26:M26"/>
    <mergeCell ref="N26:O26"/>
    <mergeCell ref="AD27:AE27"/>
    <mergeCell ref="AF27:AG27"/>
    <mergeCell ref="AH27:AI27"/>
    <mergeCell ref="AJ27:AK27"/>
    <mergeCell ref="AL27:BB27"/>
    <mergeCell ref="P27:Q27"/>
    <mergeCell ref="R27:S27"/>
    <mergeCell ref="T27:U27"/>
    <mergeCell ref="V27:W27"/>
    <mergeCell ref="X27:Y27"/>
    <mergeCell ref="Z27:AA27"/>
    <mergeCell ref="AB27:AC27"/>
    <mergeCell ref="B27:C27"/>
    <mergeCell ref="D27:E27"/>
    <mergeCell ref="F27:G27"/>
    <mergeCell ref="H27:I27"/>
    <mergeCell ref="J27:K27"/>
    <mergeCell ref="L27:M27"/>
    <mergeCell ref="N27:O27"/>
    <mergeCell ref="AD26:AE26"/>
    <mergeCell ref="AF26:AG26"/>
    <mergeCell ref="AH23:AI23"/>
    <mergeCell ref="AJ23:AK23"/>
    <mergeCell ref="AL23:BB23"/>
    <mergeCell ref="B23:C23"/>
    <mergeCell ref="D23:E23"/>
    <mergeCell ref="F23:G23"/>
    <mergeCell ref="H23:I23"/>
    <mergeCell ref="J23:K23"/>
    <mergeCell ref="L23:M23"/>
    <mergeCell ref="N23:O23"/>
    <mergeCell ref="AD24:AE24"/>
    <mergeCell ref="AF24:AG24"/>
    <mergeCell ref="AH24:AI24"/>
    <mergeCell ref="AJ24:AK24"/>
    <mergeCell ref="AL24:BB24"/>
    <mergeCell ref="P24:Q24"/>
    <mergeCell ref="R24:S24"/>
    <mergeCell ref="T24:U24"/>
    <mergeCell ref="V24:W24"/>
    <mergeCell ref="X24:Y24"/>
    <mergeCell ref="Z24:AA24"/>
    <mergeCell ref="AB24:AC24"/>
    <mergeCell ref="B24:C24"/>
    <mergeCell ref="D24:E24"/>
    <mergeCell ref="F24:G24"/>
    <mergeCell ref="H24:I24"/>
    <mergeCell ref="J24:K24"/>
    <mergeCell ref="L24:M24"/>
    <mergeCell ref="N24:O24"/>
    <mergeCell ref="AD25:AE25"/>
    <mergeCell ref="AF25:AG25"/>
    <mergeCell ref="AH25:AI25"/>
    <mergeCell ref="AJ25:AK25"/>
    <mergeCell ref="AL25:BB25"/>
    <mergeCell ref="P25:Q25"/>
    <mergeCell ref="R25:S25"/>
    <mergeCell ref="T25:U25"/>
    <mergeCell ref="V25:W25"/>
    <mergeCell ref="X25:Y25"/>
    <mergeCell ref="Z25:AA25"/>
    <mergeCell ref="AB25:AC25"/>
    <mergeCell ref="B25:C25"/>
    <mergeCell ref="D25:E25"/>
    <mergeCell ref="F25:G25"/>
    <mergeCell ref="H25:I25"/>
    <mergeCell ref="J25:K25"/>
    <mergeCell ref="L25:M25"/>
    <mergeCell ref="N25:O25"/>
    <mergeCell ref="AD23:AE23"/>
    <mergeCell ref="AF23:AG23"/>
    <mergeCell ref="P23:Q23"/>
    <mergeCell ref="R23:S23"/>
    <mergeCell ref="T23:U23"/>
    <mergeCell ref="V23:W23"/>
    <mergeCell ref="X23:Y23"/>
    <mergeCell ref="Z23:AA23"/>
    <mergeCell ref="AB23:AC23"/>
    <mergeCell ref="AH34:AI34"/>
    <mergeCell ref="AJ34:AK34"/>
    <mergeCell ref="AL34:BB34"/>
    <mergeCell ref="B34:C34"/>
    <mergeCell ref="D34:E34"/>
    <mergeCell ref="F34:G34"/>
    <mergeCell ref="H34:I34"/>
    <mergeCell ref="J34:K34"/>
    <mergeCell ref="L34:M34"/>
    <mergeCell ref="N34:O34"/>
    <mergeCell ref="AD17:AE17"/>
    <mergeCell ref="AF17:AG17"/>
    <mergeCell ref="P17:Q17"/>
    <mergeCell ref="R17:S17"/>
    <mergeCell ref="T17:U17"/>
    <mergeCell ref="V17:W17"/>
    <mergeCell ref="X17:Y17"/>
    <mergeCell ref="Z17:AA17"/>
    <mergeCell ref="AB17:AC17"/>
    <mergeCell ref="AD18:AE18"/>
    <mergeCell ref="AF18:AG18"/>
    <mergeCell ref="AH18:AI18"/>
    <mergeCell ref="AJ18:AK18"/>
    <mergeCell ref="AL18:BB18"/>
    <mergeCell ref="P18:Q18"/>
    <mergeCell ref="R18:S18"/>
    <mergeCell ref="T18:U18"/>
    <mergeCell ref="V18:W18"/>
    <mergeCell ref="X18:Y18"/>
    <mergeCell ref="Z18:AA18"/>
    <mergeCell ref="AB18:AC18"/>
    <mergeCell ref="B18:C18"/>
    <mergeCell ref="D18:E18"/>
    <mergeCell ref="F18:G18"/>
    <mergeCell ref="H18:I18"/>
    <mergeCell ref="J18:K18"/>
    <mergeCell ref="L18:M18"/>
    <mergeCell ref="N18:O18"/>
    <mergeCell ref="AD19:AE19"/>
    <mergeCell ref="AF19:AG19"/>
    <mergeCell ref="AH19:AI19"/>
    <mergeCell ref="AJ19:AK19"/>
    <mergeCell ref="AL19:BB19"/>
    <mergeCell ref="AH20:AI20"/>
    <mergeCell ref="AJ20:AK20"/>
    <mergeCell ref="AL20:BB20"/>
    <mergeCell ref="B20:C20"/>
    <mergeCell ref="D20:E20"/>
    <mergeCell ref="F20:G20"/>
    <mergeCell ref="H20:I20"/>
    <mergeCell ref="J20:K20"/>
    <mergeCell ref="L20:M20"/>
    <mergeCell ref="N20:O20"/>
    <mergeCell ref="AD20:AE20"/>
    <mergeCell ref="AF20:AG20"/>
    <mergeCell ref="P20:Q20"/>
    <mergeCell ref="R20:S20"/>
    <mergeCell ref="T20:U20"/>
    <mergeCell ref="V20:W20"/>
    <mergeCell ref="X20:Y20"/>
    <mergeCell ref="Z20:AA20"/>
    <mergeCell ref="AD28:AE28"/>
    <mergeCell ref="AF28:AG28"/>
    <mergeCell ref="P28:Q28"/>
    <mergeCell ref="L29:M29"/>
    <mergeCell ref="N29:O29"/>
    <mergeCell ref="AD30:AE30"/>
    <mergeCell ref="AF30:AG30"/>
    <mergeCell ref="AH30:AI30"/>
    <mergeCell ref="AJ30:AK30"/>
    <mergeCell ref="AL30:BB30"/>
    <mergeCell ref="AH31:AI31"/>
    <mergeCell ref="AJ31:AK31"/>
    <mergeCell ref="AL31:BB31"/>
    <mergeCell ref="B31:C31"/>
    <mergeCell ref="D31:E31"/>
    <mergeCell ref="F31:G31"/>
    <mergeCell ref="H31:I31"/>
    <mergeCell ref="J31:K31"/>
    <mergeCell ref="L31:M31"/>
    <mergeCell ref="N31:O31"/>
    <mergeCell ref="AD31:AE31"/>
    <mergeCell ref="AF31:AG31"/>
    <mergeCell ref="P31:Q31"/>
    <mergeCell ref="R31:S31"/>
    <mergeCell ref="T31:U31"/>
    <mergeCell ref="V31:W31"/>
    <mergeCell ref="X31:Y31"/>
    <mergeCell ref="Z31:AA31"/>
    <mergeCell ref="AB31:AC31"/>
    <mergeCell ref="AD32:AE32"/>
    <mergeCell ref="AF32:AG32"/>
    <mergeCell ref="AH32:AI32"/>
    <mergeCell ref="AJ32:AK32"/>
    <mergeCell ref="AL32:BB32"/>
    <mergeCell ref="AH49:AI49"/>
    <mergeCell ref="AJ49:AK49"/>
    <mergeCell ref="AL49:BB49"/>
    <mergeCell ref="B49:C49"/>
    <mergeCell ref="D49:E49"/>
    <mergeCell ref="F49:G49"/>
    <mergeCell ref="H49:I49"/>
    <mergeCell ref="J49:K49"/>
    <mergeCell ref="L49:M49"/>
    <mergeCell ref="N49:O49"/>
    <mergeCell ref="AL45:BB45"/>
    <mergeCell ref="AH46:AI46"/>
    <mergeCell ref="AJ46:AK46"/>
    <mergeCell ref="AL46:BB46"/>
    <mergeCell ref="B46:C46"/>
    <mergeCell ref="D46:E46"/>
    <mergeCell ref="F46:G46"/>
    <mergeCell ref="H46:I46"/>
    <mergeCell ref="J46:K46"/>
    <mergeCell ref="L46:M46"/>
    <mergeCell ref="N46:O46"/>
    <mergeCell ref="P48:Q48"/>
    <mergeCell ref="R48:S48"/>
    <mergeCell ref="T48:U48"/>
    <mergeCell ref="V48:W48"/>
    <mergeCell ref="X48:Y48"/>
    <mergeCell ref="Z48:AA48"/>
    <mergeCell ref="AB48:AC48"/>
    <mergeCell ref="B48:C48"/>
    <mergeCell ref="D48:E48"/>
    <mergeCell ref="F48:G48"/>
    <mergeCell ref="H48:I48"/>
    <mergeCell ref="J48:K48"/>
    <mergeCell ref="P51:Q51"/>
    <mergeCell ref="R51:S51"/>
    <mergeCell ref="T51:U51"/>
    <mergeCell ref="V51:W51"/>
    <mergeCell ref="X51:Y51"/>
    <mergeCell ref="Z51:AA51"/>
    <mergeCell ref="AB51:AC51"/>
    <mergeCell ref="B51:C51"/>
    <mergeCell ref="D51:E51"/>
    <mergeCell ref="F51:G51"/>
    <mergeCell ref="H51:I51"/>
    <mergeCell ref="J51:K51"/>
    <mergeCell ref="L51:M51"/>
    <mergeCell ref="N51:O51"/>
    <mergeCell ref="AD49:AE49"/>
    <mergeCell ref="AF49:AG49"/>
    <mergeCell ref="P49:Q49"/>
    <mergeCell ref="R49:S49"/>
    <mergeCell ref="T49:U49"/>
    <mergeCell ref="V49:W49"/>
    <mergeCell ref="X49:Y49"/>
    <mergeCell ref="Z49:AA49"/>
    <mergeCell ref="AB49:AC49"/>
    <mergeCell ref="AD50:AE50"/>
    <mergeCell ref="AF50:AG50"/>
    <mergeCell ref="AH50:AI50"/>
    <mergeCell ref="AJ50:AK50"/>
    <mergeCell ref="AL50:BB50"/>
    <mergeCell ref="P50:Q50"/>
    <mergeCell ref="R50:S50"/>
    <mergeCell ref="T50:U50"/>
    <mergeCell ref="V50:W50"/>
    <mergeCell ref="X50:Y50"/>
    <mergeCell ref="Z50:AA50"/>
    <mergeCell ref="AB50:AC50"/>
    <mergeCell ref="B50:C50"/>
    <mergeCell ref="D50:E50"/>
    <mergeCell ref="F50:G50"/>
    <mergeCell ref="H50:I50"/>
    <mergeCell ref="J50:K50"/>
    <mergeCell ref="L50:M50"/>
    <mergeCell ref="N50:O50"/>
    <mergeCell ref="AD51:AE51"/>
    <mergeCell ref="AF51:AG51"/>
    <mergeCell ref="AH51:AI51"/>
    <mergeCell ref="AJ51:AK51"/>
    <mergeCell ref="AL51:BB51"/>
    <mergeCell ref="L48:M48"/>
    <mergeCell ref="N48:O48"/>
    <mergeCell ref="AD46:AE46"/>
    <mergeCell ref="AF46:AG46"/>
    <mergeCell ref="P46:Q46"/>
    <mergeCell ref="R46:S46"/>
    <mergeCell ref="T46:U46"/>
    <mergeCell ref="V46:W46"/>
    <mergeCell ref="X46:Y46"/>
    <mergeCell ref="Z46:AA46"/>
    <mergeCell ref="AB46:AC46"/>
    <mergeCell ref="AD47:AE47"/>
    <mergeCell ref="AF47:AG47"/>
    <mergeCell ref="AH47:AI47"/>
    <mergeCell ref="AJ47:AK47"/>
    <mergeCell ref="AL47:BB47"/>
    <mergeCell ref="P47:Q47"/>
    <mergeCell ref="R47:S47"/>
    <mergeCell ref="T47:U47"/>
    <mergeCell ref="V47:W47"/>
    <mergeCell ref="X47:Y47"/>
    <mergeCell ref="Z47:AA47"/>
    <mergeCell ref="AB47:AC47"/>
    <mergeCell ref="B47:C47"/>
    <mergeCell ref="D47:E47"/>
    <mergeCell ref="F47:G47"/>
    <mergeCell ref="H47:I47"/>
    <mergeCell ref="J47:K47"/>
    <mergeCell ref="L47:M47"/>
    <mergeCell ref="N47:O47"/>
    <mergeCell ref="AD48:AE48"/>
    <mergeCell ref="AF48:AG48"/>
    <mergeCell ref="AH48:AI48"/>
    <mergeCell ref="AJ48:AK48"/>
    <mergeCell ref="AL48:BB48"/>
    <mergeCell ref="J41:K41"/>
    <mergeCell ref="L41:M41"/>
    <mergeCell ref="N41:O41"/>
    <mergeCell ref="AD42:AE42"/>
    <mergeCell ref="AF42:AG42"/>
    <mergeCell ref="AH42:AI42"/>
    <mergeCell ref="AJ42:AK42"/>
    <mergeCell ref="AL42:BB42"/>
    <mergeCell ref="AH43:AI43"/>
    <mergeCell ref="AJ43:AK43"/>
    <mergeCell ref="AL43:BB43"/>
    <mergeCell ref="B43:C43"/>
    <mergeCell ref="D43:E43"/>
    <mergeCell ref="F43:G43"/>
    <mergeCell ref="H43:I43"/>
    <mergeCell ref="J43:K43"/>
    <mergeCell ref="L43:M43"/>
    <mergeCell ref="N43:O43"/>
    <mergeCell ref="P45:Q45"/>
    <mergeCell ref="R45:S45"/>
    <mergeCell ref="T45:U45"/>
    <mergeCell ref="V45:W45"/>
    <mergeCell ref="X45:Y45"/>
    <mergeCell ref="Z45:AA45"/>
    <mergeCell ref="AB45:AC45"/>
    <mergeCell ref="B45:C45"/>
    <mergeCell ref="D45:E45"/>
    <mergeCell ref="F45:G45"/>
    <mergeCell ref="H45:I45"/>
    <mergeCell ref="J45:K45"/>
    <mergeCell ref="L45:M45"/>
    <mergeCell ref="N45:O45"/>
    <mergeCell ref="AD43:AE43"/>
    <mergeCell ref="AF43:AG43"/>
    <mergeCell ref="P43:Q43"/>
    <mergeCell ref="R43:S43"/>
    <mergeCell ref="T43:U43"/>
    <mergeCell ref="V43:W43"/>
    <mergeCell ref="X43:Y43"/>
    <mergeCell ref="Z43:AA43"/>
    <mergeCell ref="AB43:AC43"/>
    <mergeCell ref="AD44:AE44"/>
    <mergeCell ref="AF44:AG44"/>
    <mergeCell ref="AH44:AI44"/>
    <mergeCell ref="AJ44:AK44"/>
    <mergeCell ref="AL44:BB44"/>
    <mergeCell ref="P44:Q44"/>
    <mergeCell ref="R44:S44"/>
    <mergeCell ref="T44:U44"/>
    <mergeCell ref="V44:W44"/>
    <mergeCell ref="X44:Y44"/>
    <mergeCell ref="Z44:AA44"/>
    <mergeCell ref="AB44:AC44"/>
    <mergeCell ref="B44:C44"/>
    <mergeCell ref="D44:E44"/>
    <mergeCell ref="F44:G44"/>
    <mergeCell ref="H44:I44"/>
    <mergeCell ref="J44:K44"/>
    <mergeCell ref="L44:M44"/>
    <mergeCell ref="N44:O44"/>
    <mergeCell ref="AD45:AE45"/>
    <mergeCell ref="AF45:AG45"/>
    <mergeCell ref="AH45:AI45"/>
    <mergeCell ref="AJ45:AK45"/>
    <mergeCell ref="X38:Y38"/>
    <mergeCell ref="Z38:AA38"/>
    <mergeCell ref="AB38:AC38"/>
    <mergeCell ref="B38:C38"/>
    <mergeCell ref="D38:E38"/>
    <mergeCell ref="F38:G38"/>
    <mergeCell ref="H38:I38"/>
    <mergeCell ref="J38:K38"/>
    <mergeCell ref="L38:M38"/>
    <mergeCell ref="N38:O38"/>
    <mergeCell ref="AD39:AE39"/>
    <mergeCell ref="AF39:AG39"/>
    <mergeCell ref="AH39:AI39"/>
    <mergeCell ref="AJ39:AK39"/>
    <mergeCell ref="AL39:BB39"/>
    <mergeCell ref="AH40:AI40"/>
    <mergeCell ref="AJ40:AK40"/>
    <mergeCell ref="AL40:BB40"/>
    <mergeCell ref="B40:C40"/>
    <mergeCell ref="D40:E40"/>
    <mergeCell ref="F40:G40"/>
    <mergeCell ref="H40:I40"/>
    <mergeCell ref="J40:K40"/>
    <mergeCell ref="L40:M40"/>
    <mergeCell ref="N40:O40"/>
    <mergeCell ref="P42:Q42"/>
    <mergeCell ref="R42:S42"/>
    <mergeCell ref="T42:U42"/>
    <mergeCell ref="V42:W42"/>
    <mergeCell ref="X42:Y42"/>
    <mergeCell ref="Z42:AA42"/>
    <mergeCell ref="AB42:AC42"/>
    <mergeCell ref="B42:C42"/>
    <mergeCell ref="D42:E42"/>
    <mergeCell ref="F42:G42"/>
    <mergeCell ref="H42:I42"/>
    <mergeCell ref="J42:K42"/>
    <mergeCell ref="L42:M42"/>
    <mergeCell ref="N42:O42"/>
    <mergeCell ref="AD40:AE40"/>
    <mergeCell ref="AF40:AG40"/>
    <mergeCell ref="P40:Q40"/>
    <mergeCell ref="R40:S40"/>
    <mergeCell ref="T40:U40"/>
    <mergeCell ref="V40:W40"/>
    <mergeCell ref="X40:Y40"/>
    <mergeCell ref="Z40:AA40"/>
    <mergeCell ref="AB40:AC40"/>
    <mergeCell ref="AD41:AE41"/>
    <mergeCell ref="AF41:AG41"/>
    <mergeCell ref="AH41:AI41"/>
    <mergeCell ref="AJ41:AK41"/>
    <mergeCell ref="AL41:BB41"/>
    <mergeCell ref="P41:Q41"/>
    <mergeCell ref="R41:S41"/>
    <mergeCell ref="T41:U41"/>
    <mergeCell ref="V41:W41"/>
    <mergeCell ref="X41:Y41"/>
    <mergeCell ref="Z41:AA41"/>
    <mergeCell ref="AB41:AC41"/>
    <mergeCell ref="B41:C41"/>
    <mergeCell ref="D41:E41"/>
    <mergeCell ref="F41:G41"/>
    <mergeCell ref="H41:I41"/>
    <mergeCell ref="AH35:AI35"/>
    <mergeCell ref="AJ35:AK35"/>
    <mergeCell ref="AL35:BB35"/>
    <mergeCell ref="P35:Q35"/>
    <mergeCell ref="R35:S35"/>
    <mergeCell ref="T35:U35"/>
    <mergeCell ref="V35:W35"/>
    <mergeCell ref="X35:Y35"/>
    <mergeCell ref="Z35:AA35"/>
    <mergeCell ref="AB35:AC35"/>
    <mergeCell ref="B35:C35"/>
    <mergeCell ref="D35:E35"/>
    <mergeCell ref="F35:G35"/>
    <mergeCell ref="H35:I35"/>
    <mergeCell ref="J35:K35"/>
    <mergeCell ref="L35:M35"/>
    <mergeCell ref="N35:O35"/>
    <mergeCell ref="AD36:AE36"/>
    <mergeCell ref="AF36:AG36"/>
    <mergeCell ref="AH36:AI36"/>
    <mergeCell ref="AJ36:AK36"/>
    <mergeCell ref="AL36:BB36"/>
    <mergeCell ref="AH37:AI37"/>
    <mergeCell ref="AJ37:AK37"/>
    <mergeCell ref="AL37:BB37"/>
    <mergeCell ref="B37:C37"/>
    <mergeCell ref="D37:E37"/>
    <mergeCell ref="F37:G37"/>
    <mergeCell ref="H37:I37"/>
    <mergeCell ref="J37:K37"/>
    <mergeCell ref="L37:M37"/>
    <mergeCell ref="N37:O37"/>
    <mergeCell ref="P39:Q39"/>
    <mergeCell ref="R39:S39"/>
    <mergeCell ref="T39:U39"/>
    <mergeCell ref="V39:W39"/>
    <mergeCell ref="X39:Y39"/>
    <mergeCell ref="Z39:AA39"/>
    <mergeCell ref="AB39:AC39"/>
    <mergeCell ref="B39:C39"/>
    <mergeCell ref="D39:E39"/>
    <mergeCell ref="F39:G39"/>
    <mergeCell ref="H39:I39"/>
    <mergeCell ref="J39:K39"/>
    <mergeCell ref="L39:M39"/>
    <mergeCell ref="N39:O39"/>
    <mergeCell ref="AD37:AE37"/>
    <mergeCell ref="AF37:AG37"/>
    <mergeCell ref="P37:Q37"/>
    <mergeCell ref="R37:S37"/>
    <mergeCell ref="T37:U37"/>
    <mergeCell ref="V37:W37"/>
    <mergeCell ref="X37:Y37"/>
    <mergeCell ref="Z37:AA37"/>
    <mergeCell ref="AB37:AC37"/>
    <mergeCell ref="AD38:AE38"/>
    <mergeCell ref="AF38:AG38"/>
    <mergeCell ref="AH38:AI38"/>
    <mergeCell ref="AJ38:AK38"/>
    <mergeCell ref="AL38:BB38"/>
    <mergeCell ref="P38:Q38"/>
    <mergeCell ref="R38:S38"/>
    <mergeCell ref="T38:U38"/>
    <mergeCell ref="V38:W38"/>
    <mergeCell ref="P36:Q36"/>
    <mergeCell ref="R36:S36"/>
    <mergeCell ref="T36:U36"/>
    <mergeCell ref="V36:W36"/>
    <mergeCell ref="X36:Y36"/>
    <mergeCell ref="Z36:AA36"/>
    <mergeCell ref="AB36:AC36"/>
    <mergeCell ref="B36:C36"/>
    <mergeCell ref="D36:E36"/>
    <mergeCell ref="F36:G36"/>
    <mergeCell ref="H36:I36"/>
    <mergeCell ref="J36:K36"/>
    <mergeCell ref="L36:M36"/>
    <mergeCell ref="N36:O36"/>
    <mergeCell ref="AD34:AE34"/>
    <mergeCell ref="AF34:AG34"/>
    <mergeCell ref="P34:Q34"/>
    <mergeCell ref="R34:S34"/>
    <mergeCell ref="T34:U34"/>
    <mergeCell ref="V34:W34"/>
    <mergeCell ref="X34:Y34"/>
    <mergeCell ref="Z34:AA34"/>
    <mergeCell ref="AB34:AC34"/>
    <mergeCell ref="AD35:AE35"/>
    <mergeCell ref="AF35:AG35"/>
    <mergeCell ref="P32:Q32"/>
    <mergeCell ref="R32:S32"/>
    <mergeCell ref="T32:U32"/>
    <mergeCell ref="V32:W32"/>
    <mergeCell ref="X32:Y32"/>
    <mergeCell ref="Z32:AA32"/>
    <mergeCell ref="AB32:AC32"/>
    <mergeCell ref="B32:C32"/>
    <mergeCell ref="D32:E32"/>
    <mergeCell ref="F32:G32"/>
    <mergeCell ref="H32:I32"/>
    <mergeCell ref="J32:K32"/>
    <mergeCell ref="L32:M32"/>
    <mergeCell ref="N32:O32"/>
    <mergeCell ref="AD33:AE33"/>
    <mergeCell ref="AF33:AG33"/>
    <mergeCell ref="AH17:AI17"/>
    <mergeCell ref="AJ17:AK17"/>
    <mergeCell ref="AL17:BB17"/>
    <mergeCell ref="B17:C17"/>
    <mergeCell ref="D17:E17"/>
    <mergeCell ref="F17:G17"/>
    <mergeCell ref="H17:I17"/>
    <mergeCell ref="J17:K17"/>
    <mergeCell ref="L17:M17"/>
    <mergeCell ref="N17:O17"/>
    <mergeCell ref="P19:Q19"/>
    <mergeCell ref="R19:S19"/>
    <mergeCell ref="T19:U19"/>
    <mergeCell ref="V19:W19"/>
    <mergeCell ref="X19:Y19"/>
    <mergeCell ref="Z19:AA19"/>
    <mergeCell ref="AB19:AC19"/>
    <mergeCell ref="B19:C19"/>
    <mergeCell ref="D19:E19"/>
    <mergeCell ref="F19:G19"/>
    <mergeCell ref="H19:I19"/>
    <mergeCell ref="J19:K19"/>
    <mergeCell ref="L19:M19"/>
    <mergeCell ref="N19:O19"/>
    <mergeCell ref="P22:Q22"/>
    <mergeCell ref="R22:S22"/>
    <mergeCell ref="T22:U22"/>
    <mergeCell ref="V22:W22"/>
    <mergeCell ref="X22:Y22"/>
    <mergeCell ref="Z22:AA22"/>
    <mergeCell ref="AB22:AC22"/>
    <mergeCell ref="B22:C22"/>
    <mergeCell ref="D22:E22"/>
    <mergeCell ref="F22:G22"/>
    <mergeCell ref="H22:I22"/>
    <mergeCell ref="J22:K22"/>
    <mergeCell ref="L22:M22"/>
    <mergeCell ref="N22:O22"/>
    <mergeCell ref="AB20:AC20"/>
    <mergeCell ref="AD21:AE21"/>
    <mergeCell ref="AF21:AG21"/>
    <mergeCell ref="AH21:AI21"/>
    <mergeCell ref="AJ21:AK21"/>
    <mergeCell ref="AL21:BB21"/>
    <mergeCell ref="P21:Q21"/>
    <mergeCell ref="R21:S21"/>
    <mergeCell ref="T21:U21"/>
    <mergeCell ref="V21:W21"/>
    <mergeCell ref="X21:Y21"/>
    <mergeCell ref="Z21:AA21"/>
    <mergeCell ref="AB21:AC21"/>
    <mergeCell ref="B21:C21"/>
    <mergeCell ref="D21:E21"/>
    <mergeCell ref="F21:G21"/>
    <mergeCell ref="H21:I21"/>
    <mergeCell ref="J21:K21"/>
    <mergeCell ref="L21:M21"/>
    <mergeCell ref="N21:O21"/>
    <mergeCell ref="AD22:AE22"/>
    <mergeCell ref="AF22:AG22"/>
    <mergeCell ref="AH22:AI22"/>
    <mergeCell ref="AJ22:AK22"/>
    <mergeCell ref="AL22:BB22"/>
    <mergeCell ref="AD15:AE15"/>
    <mergeCell ref="AF15:AG15"/>
    <mergeCell ref="AH15:AI15"/>
    <mergeCell ref="AJ15:AK15"/>
    <mergeCell ref="AL15:BB15"/>
    <mergeCell ref="P15:Q15"/>
    <mergeCell ref="R15:S15"/>
    <mergeCell ref="T15:U15"/>
    <mergeCell ref="V15:W15"/>
    <mergeCell ref="X15:Y15"/>
    <mergeCell ref="Z15:AA15"/>
    <mergeCell ref="AB15:AC15"/>
    <mergeCell ref="B15:C15"/>
    <mergeCell ref="D15:E15"/>
    <mergeCell ref="F15:G15"/>
    <mergeCell ref="H15:I15"/>
    <mergeCell ref="J15:K15"/>
    <mergeCell ref="L15:M15"/>
    <mergeCell ref="N15:O15"/>
    <mergeCell ref="AD16:AE16"/>
    <mergeCell ref="AF16:AG16"/>
    <mergeCell ref="AH16:AI16"/>
    <mergeCell ref="AJ16:AK16"/>
    <mergeCell ref="AL16:BB16"/>
    <mergeCell ref="P16:Q16"/>
    <mergeCell ref="R16:S16"/>
    <mergeCell ref="T16:U16"/>
    <mergeCell ref="V16:W16"/>
    <mergeCell ref="X16:Y16"/>
    <mergeCell ref="Z16:AA16"/>
    <mergeCell ref="AB16:AC16"/>
    <mergeCell ref="B16:C16"/>
    <mergeCell ref="D16:E16"/>
    <mergeCell ref="F16:G16"/>
    <mergeCell ref="H16:I16"/>
    <mergeCell ref="J16:K16"/>
    <mergeCell ref="L16:M16"/>
    <mergeCell ref="N16:O16"/>
    <mergeCell ref="D13:E13"/>
    <mergeCell ref="F13:G13"/>
    <mergeCell ref="AJ13:AK13"/>
    <mergeCell ref="AL13:BB13"/>
    <mergeCell ref="A10:BB10"/>
    <mergeCell ref="A11:Y11"/>
    <mergeCell ref="A12:E12"/>
    <mergeCell ref="F12:U12"/>
    <mergeCell ref="V12:AK12"/>
    <mergeCell ref="AL12:BB12"/>
    <mergeCell ref="B13:C13"/>
    <mergeCell ref="L13:M13"/>
    <mergeCell ref="N13:O13"/>
    <mergeCell ref="L14:M14"/>
    <mergeCell ref="N14:O14"/>
    <mergeCell ref="P13:Q13"/>
    <mergeCell ref="R13:S13"/>
    <mergeCell ref="P14:Q14"/>
    <mergeCell ref="R14:S14"/>
    <mergeCell ref="T13:U13"/>
    <mergeCell ref="V13:W13"/>
    <mergeCell ref="T14:U14"/>
    <mergeCell ref="V14:W14"/>
    <mergeCell ref="X13:Y13"/>
    <mergeCell ref="Z13:AA13"/>
    <mergeCell ref="X14:Y14"/>
    <mergeCell ref="Z14:AA14"/>
    <mergeCell ref="AB13:AC13"/>
    <mergeCell ref="AD13:AE13"/>
    <mergeCell ref="AB14:AC14"/>
    <mergeCell ref="AD14:AE14"/>
    <mergeCell ref="AF13:AG13"/>
    <mergeCell ref="AH13:AI13"/>
    <mergeCell ref="AF14:AG14"/>
    <mergeCell ref="AH14:AI14"/>
    <mergeCell ref="AJ14:AK14"/>
    <mergeCell ref="AL14:BB14"/>
    <mergeCell ref="H13:I13"/>
    <mergeCell ref="J13:K13"/>
    <mergeCell ref="B14:C14"/>
    <mergeCell ref="D14:E14"/>
    <mergeCell ref="F14:G14"/>
    <mergeCell ref="H14:I14"/>
    <mergeCell ref="J14:K14"/>
    <mergeCell ref="B1:C1"/>
    <mergeCell ref="D1:E1"/>
    <mergeCell ref="F1:G1"/>
    <mergeCell ref="H1:I1"/>
    <mergeCell ref="J1:K1"/>
    <mergeCell ref="L1:M1"/>
    <mergeCell ref="N1:O1"/>
    <mergeCell ref="AD1:AE1"/>
    <mergeCell ref="AF1:AG1"/>
    <mergeCell ref="AH1:AI1"/>
    <mergeCell ref="AJ1:AK1"/>
    <mergeCell ref="AL1:BB1"/>
    <mergeCell ref="P1:Q1"/>
    <mergeCell ref="R1:S1"/>
    <mergeCell ref="T1:U1"/>
    <mergeCell ref="V1:W1"/>
    <mergeCell ref="X1:Y1"/>
    <mergeCell ref="Z1:AA1"/>
    <mergeCell ref="AB1:AC1"/>
    <mergeCell ref="AF6:AN6"/>
    <mergeCell ref="AO6:BB6"/>
    <mergeCell ref="AF7:AN7"/>
    <mergeCell ref="AO7:BB7"/>
    <mergeCell ref="AF8:AN8"/>
    <mergeCell ref="AO8:BB8"/>
    <mergeCell ref="AF9:AN9"/>
    <mergeCell ref="AO9:BB9"/>
    <mergeCell ref="A2:AT2"/>
    <mergeCell ref="A3:AT3"/>
    <mergeCell ref="A4:BB4"/>
    <mergeCell ref="A5:J5"/>
    <mergeCell ref="AF5:AN5"/>
    <mergeCell ref="AO5:BB5"/>
    <mergeCell ref="A6:J6"/>
    <mergeCell ref="L5:AD5"/>
    <mergeCell ref="L6:AD6"/>
    <mergeCell ref="A7:J8"/>
    <mergeCell ref="L7:AD8"/>
    <mergeCell ref="A9:J9"/>
    <mergeCell ref="L9:T9"/>
    <mergeCell ref="U9:AD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BW534"/>
  <sheetViews>
    <sheetView workbookViewId="0">
      <pane ySplit="1" topLeftCell="A2" activePane="bottomLeft" state="frozen"/>
      <selection pane="bottomLeft" activeCell="A3" sqref="A3:BW3"/>
    </sheetView>
  </sheetViews>
  <sheetFormatPr defaultColWidth="14.42578125" defaultRowHeight="15" customHeight="1" x14ac:dyDescent="0.25"/>
  <cols>
    <col min="1" max="75" width="4.7109375" customWidth="1"/>
  </cols>
  <sheetData>
    <row r="1" spans="1:75" ht="60" customHeight="1" x14ac:dyDescent="0.25">
      <c r="A1" s="31" t="s">
        <v>294</v>
      </c>
      <c r="B1" s="611" t="s">
        <v>441</v>
      </c>
      <c r="C1" s="351"/>
      <c r="D1" s="612" t="s">
        <v>442</v>
      </c>
      <c r="E1" s="350"/>
      <c r="F1" s="350"/>
      <c r="G1" s="350"/>
      <c r="H1" s="350"/>
      <c r="I1" s="350"/>
      <c r="J1" s="350"/>
      <c r="K1" s="351"/>
      <c r="L1" s="451" t="s">
        <v>443</v>
      </c>
      <c r="M1" s="326"/>
      <c r="N1" s="326"/>
      <c r="O1" s="327"/>
      <c r="P1" s="526" t="s">
        <v>444</v>
      </c>
      <c r="Q1" s="326"/>
      <c r="R1" s="326"/>
      <c r="S1" s="327"/>
      <c r="T1" s="611" t="s">
        <v>445</v>
      </c>
      <c r="U1" s="350"/>
      <c r="V1" s="350"/>
      <c r="W1" s="351"/>
      <c r="X1" s="613" t="s">
        <v>446</v>
      </c>
      <c r="Y1" s="350"/>
      <c r="Z1" s="350"/>
      <c r="AA1" s="351"/>
      <c r="AB1" s="611" t="s">
        <v>447</v>
      </c>
      <c r="AC1" s="350"/>
      <c r="AD1" s="351"/>
      <c r="AE1" s="613" t="s">
        <v>448</v>
      </c>
      <c r="AF1" s="350"/>
      <c r="AG1" s="351"/>
      <c r="AH1" s="614" t="s">
        <v>449</v>
      </c>
      <c r="AI1" s="350"/>
      <c r="AJ1" s="351"/>
      <c r="AK1" s="615" t="s">
        <v>450</v>
      </c>
      <c r="AL1" s="350"/>
      <c r="AM1" s="351"/>
      <c r="AN1" s="32" t="s">
        <v>451</v>
      </c>
      <c r="AO1" s="33" t="s">
        <v>452</v>
      </c>
      <c r="AP1" s="32" t="s">
        <v>453</v>
      </c>
      <c r="AQ1" s="33" t="s">
        <v>454</v>
      </c>
      <c r="AR1" s="32" t="s">
        <v>455</v>
      </c>
      <c r="AS1" s="33" t="s">
        <v>456</v>
      </c>
      <c r="AT1" s="32" t="s">
        <v>457</v>
      </c>
      <c r="AU1" s="33" t="s">
        <v>458</v>
      </c>
      <c r="AV1" s="32" t="s">
        <v>459</v>
      </c>
      <c r="AW1" s="33" t="s">
        <v>460</v>
      </c>
      <c r="AX1" s="32" t="s">
        <v>461</v>
      </c>
      <c r="AY1" s="33" t="s">
        <v>462</v>
      </c>
      <c r="AZ1" s="34" t="s">
        <v>463</v>
      </c>
      <c r="BA1" s="35" t="s">
        <v>464</v>
      </c>
      <c r="BB1" s="34" t="s">
        <v>465</v>
      </c>
      <c r="BC1" s="35" t="s">
        <v>466</v>
      </c>
      <c r="BD1" s="34" t="s">
        <v>467</v>
      </c>
      <c r="BE1" s="35" t="s">
        <v>468</v>
      </c>
      <c r="BF1" s="34" t="s">
        <v>469</v>
      </c>
      <c r="BG1" s="35" t="s">
        <v>470</v>
      </c>
      <c r="BH1" s="34" t="s">
        <v>471</v>
      </c>
      <c r="BI1" s="616" t="s">
        <v>324</v>
      </c>
      <c r="BJ1" s="350"/>
      <c r="BK1" s="350"/>
      <c r="BL1" s="350"/>
      <c r="BM1" s="350"/>
      <c r="BN1" s="350"/>
      <c r="BO1" s="350"/>
      <c r="BP1" s="350"/>
      <c r="BQ1" s="350"/>
      <c r="BR1" s="350"/>
      <c r="BS1" s="350"/>
      <c r="BT1" s="350"/>
      <c r="BU1" s="350"/>
      <c r="BV1" s="358"/>
    </row>
    <row r="2" spans="1:75" ht="15.75" customHeight="1" x14ac:dyDescent="0.25">
      <c r="A2" s="432" t="str">
        <f>'GRANTEE SET UP INFO &amp; DATE '!A1</f>
        <v>WV Bureau for Behavioral Healh - Peer Recovery Support Services  V 20200110</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47"/>
      <c r="BU2" s="347"/>
      <c r="BV2" s="347"/>
      <c r="BW2" s="354"/>
    </row>
    <row r="3" spans="1:75" ht="15" customHeight="1" x14ac:dyDescent="0.25">
      <c r="A3" s="433" t="str">
        <f>'GRANTEE SET UP INFO &amp; DATE '!A2</f>
        <v>Program reports need to be submitted electronically, via e-mail to BBHReporting@wv.gov within 25 calendar days of the end of each month.</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47"/>
      <c r="AV3" s="347"/>
      <c r="AW3" s="347"/>
      <c r="AX3" s="347"/>
      <c r="AY3" s="347"/>
      <c r="AZ3" s="347"/>
      <c r="BA3" s="347"/>
      <c r="BB3" s="347"/>
      <c r="BC3" s="347"/>
      <c r="BD3" s="347"/>
      <c r="BE3" s="347"/>
      <c r="BF3" s="347"/>
      <c r="BG3" s="347"/>
      <c r="BH3" s="347"/>
      <c r="BI3" s="347"/>
      <c r="BJ3" s="347"/>
      <c r="BK3" s="347"/>
      <c r="BL3" s="347"/>
      <c r="BM3" s="347"/>
      <c r="BN3" s="347"/>
      <c r="BO3" s="347"/>
      <c r="BP3" s="347"/>
      <c r="BQ3" s="347"/>
      <c r="BR3" s="347"/>
      <c r="BS3" s="347"/>
      <c r="BT3" s="347"/>
      <c r="BU3" s="347"/>
      <c r="BV3" s="347"/>
      <c r="BW3" s="354"/>
    </row>
    <row r="4" spans="1:75" ht="19.5" customHeight="1" x14ac:dyDescent="0.25">
      <c r="A4" s="459" t="s">
        <v>472</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47"/>
      <c r="BC4" s="347"/>
      <c r="BD4" s="347"/>
      <c r="BE4" s="347"/>
      <c r="BF4" s="347"/>
      <c r="BG4" s="347"/>
      <c r="BH4" s="347"/>
      <c r="BI4" s="347"/>
      <c r="BJ4" s="347"/>
      <c r="BK4" s="347"/>
      <c r="BL4" s="347"/>
      <c r="BM4" s="347"/>
      <c r="BN4" s="347"/>
      <c r="BO4" s="347"/>
      <c r="BP4" s="347"/>
      <c r="BQ4" s="347"/>
      <c r="BR4" s="347"/>
      <c r="BS4" s="347"/>
      <c r="BT4" s="347"/>
      <c r="BU4" s="347"/>
      <c r="BV4" s="347"/>
      <c r="BW4" s="354"/>
    </row>
    <row r="5" spans="1:75" ht="15" customHeight="1" x14ac:dyDescent="0.25">
      <c r="A5" s="325" t="s">
        <v>473</v>
      </c>
      <c r="B5" s="326"/>
      <c r="C5" s="326"/>
      <c r="D5" s="326"/>
      <c r="E5" s="326"/>
      <c r="F5" s="326"/>
      <c r="G5" s="326"/>
      <c r="H5" s="326"/>
      <c r="I5" s="326"/>
      <c r="J5" s="327"/>
      <c r="K5" s="617" t="str">
        <f>'GRANTEE SET UP INFO &amp; DATE '!H4</f>
        <v xml:space="preserve">SA Peer Recovery Support Specialist </v>
      </c>
      <c r="L5" s="338"/>
      <c r="M5" s="338"/>
      <c r="N5" s="338"/>
      <c r="O5" s="338"/>
      <c r="P5" s="338"/>
      <c r="Q5" s="338"/>
      <c r="R5" s="338"/>
      <c r="S5" s="338"/>
      <c r="T5" s="338"/>
      <c r="U5" s="338"/>
      <c r="V5" s="338"/>
      <c r="W5" s="338"/>
      <c r="X5" s="338"/>
      <c r="Y5" s="338"/>
      <c r="Z5" s="338"/>
      <c r="AA5" s="338"/>
      <c r="AB5" s="338"/>
      <c r="AC5" s="338"/>
      <c r="AD5" s="338"/>
      <c r="AE5" s="339"/>
      <c r="AF5" s="5"/>
      <c r="AG5" s="409" t="s">
        <v>31</v>
      </c>
      <c r="AH5" s="326"/>
      <c r="AI5" s="326"/>
      <c r="AJ5" s="326"/>
      <c r="AK5" s="326"/>
      <c r="AL5" s="326"/>
      <c r="AM5" s="326"/>
      <c r="AN5" s="327"/>
      <c r="AO5" s="462" t="str">
        <f>'GRANTEE SET UP INFO &amp; DATE '!Z4</f>
        <v xml:space="preserve">Grantee formal Name (name on grant agreement) </v>
      </c>
      <c r="AP5" s="326"/>
      <c r="AQ5" s="326"/>
      <c r="AR5" s="326"/>
      <c r="AS5" s="326"/>
      <c r="AT5" s="326"/>
      <c r="AU5" s="326"/>
      <c r="AV5" s="326"/>
      <c r="AW5" s="326"/>
      <c r="AX5" s="326"/>
      <c r="AY5" s="326"/>
      <c r="AZ5" s="326"/>
      <c r="BA5" s="327"/>
      <c r="BB5" s="9"/>
      <c r="BC5" s="9"/>
      <c r="BD5" s="9"/>
      <c r="BE5" s="9"/>
      <c r="BF5" s="9"/>
      <c r="BG5" s="9"/>
      <c r="BH5" s="9"/>
      <c r="BI5" s="9"/>
      <c r="BJ5" s="9"/>
      <c r="BK5" s="9"/>
      <c r="BL5" s="9"/>
      <c r="BM5" s="9"/>
      <c r="BN5" s="9"/>
      <c r="BO5" s="9"/>
      <c r="BP5" s="9"/>
      <c r="BQ5" s="9"/>
      <c r="BR5" s="9"/>
      <c r="BS5" s="9"/>
      <c r="BT5" s="9"/>
      <c r="BU5" s="9"/>
      <c r="BV5" s="9"/>
    </row>
    <row r="6" spans="1:75" ht="14.25" customHeight="1" x14ac:dyDescent="0.25">
      <c r="A6" s="407" t="s">
        <v>474</v>
      </c>
      <c r="B6" s="326"/>
      <c r="C6" s="326"/>
      <c r="D6" s="326"/>
      <c r="E6" s="326"/>
      <c r="F6" s="326"/>
      <c r="G6" s="326"/>
      <c r="H6" s="326"/>
      <c r="I6" s="326"/>
      <c r="J6" s="327"/>
      <c r="K6" s="382" t="str">
        <f>'GRANTEE SET UP INFO &amp; DATE '!H5</f>
        <v xml:space="preserve"> SA Peer Recovery Support Specialist </v>
      </c>
      <c r="L6" s="326"/>
      <c r="M6" s="326"/>
      <c r="N6" s="326"/>
      <c r="O6" s="326"/>
      <c r="P6" s="326"/>
      <c r="Q6" s="326"/>
      <c r="R6" s="326"/>
      <c r="S6" s="326"/>
      <c r="T6" s="326"/>
      <c r="U6" s="326"/>
      <c r="V6" s="326"/>
      <c r="W6" s="326"/>
      <c r="X6" s="326"/>
      <c r="Y6" s="326"/>
      <c r="Z6" s="326"/>
      <c r="AA6" s="326"/>
      <c r="AB6" s="326"/>
      <c r="AC6" s="326"/>
      <c r="AD6" s="326"/>
      <c r="AE6" s="327"/>
      <c r="AF6" s="5"/>
      <c r="AG6" s="437" t="s">
        <v>35</v>
      </c>
      <c r="AH6" s="326"/>
      <c r="AI6" s="326"/>
      <c r="AJ6" s="326"/>
      <c r="AK6" s="326"/>
      <c r="AL6" s="326"/>
      <c r="AM6" s="326"/>
      <c r="AN6" s="327"/>
      <c r="AO6" s="382" t="str">
        <f>'GRANTEE SET UP INFO &amp; DATE '!Z5</f>
        <v>Names of Contact(s):</v>
      </c>
      <c r="AP6" s="326"/>
      <c r="AQ6" s="326"/>
      <c r="AR6" s="326"/>
      <c r="AS6" s="326"/>
      <c r="AT6" s="326"/>
      <c r="AU6" s="326"/>
      <c r="AV6" s="326"/>
      <c r="AW6" s="326"/>
      <c r="AX6" s="326"/>
      <c r="AY6" s="326"/>
      <c r="AZ6" s="326"/>
      <c r="BA6" s="327"/>
      <c r="BB6" s="9"/>
      <c r="BC6" s="9"/>
      <c r="BD6" s="9"/>
      <c r="BE6" s="9"/>
      <c r="BF6" s="9"/>
      <c r="BG6" s="9"/>
      <c r="BH6" s="9"/>
      <c r="BI6" s="9"/>
      <c r="BJ6" s="9"/>
      <c r="BK6" s="9"/>
      <c r="BL6" s="9"/>
      <c r="BM6" s="9"/>
      <c r="BN6" s="9"/>
      <c r="BO6" s="9"/>
      <c r="BP6" s="9"/>
      <c r="BQ6" s="9"/>
      <c r="BR6" s="9"/>
      <c r="BS6" s="9"/>
      <c r="BT6" s="9"/>
      <c r="BU6" s="9"/>
      <c r="BV6" s="9"/>
    </row>
    <row r="7" spans="1:75" ht="15" customHeight="1" x14ac:dyDescent="0.25">
      <c r="A7" s="442" t="s">
        <v>37</v>
      </c>
      <c r="B7" s="332"/>
      <c r="C7" s="332"/>
      <c r="D7" s="332"/>
      <c r="E7" s="332"/>
      <c r="F7" s="332"/>
      <c r="G7" s="332"/>
      <c r="H7" s="332"/>
      <c r="I7" s="332"/>
      <c r="J7" s="333"/>
      <c r="K7" s="618" t="str">
        <f>'GRANTEE SET UP INFO &amp; DATE '!H6</f>
        <v>123 Any Street, Any City, WV 12345</v>
      </c>
      <c r="L7" s="332"/>
      <c r="M7" s="332"/>
      <c r="N7" s="332"/>
      <c r="O7" s="332"/>
      <c r="P7" s="332"/>
      <c r="Q7" s="332"/>
      <c r="R7" s="332"/>
      <c r="S7" s="332"/>
      <c r="T7" s="332"/>
      <c r="U7" s="332"/>
      <c r="V7" s="332"/>
      <c r="W7" s="332"/>
      <c r="X7" s="332"/>
      <c r="Y7" s="332"/>
      <c r="Z7" s="332"/>
      <c r="AA7" s="332"/>
      <c r="AB7" s="332"/>
      <c r="AC7" s="332"/>
      <c r="AD7" s="332"/>
      <c r="AE7" s="333"/>
      <c r="AF7" s="5"/>
      <c r="AG7" s="407" t="s">
        <v>39</v>
      </c>
      <c r="AH7" s="326"/>
      <c r="AI7" s="326"/>
      <c r="AJ7" s="326"/>
      <c r="AK7" s="326"/>
      <c r="AL7" s="326"/>
      <c r="AM7" s="326"/>
      <c r="AN7" s="327"/>
      <c r="AO7" s="381" t="str">
        <f>'GRANTEE SET UP INFO &amp; DATE '!Z6</f>
        <v>Phone numbers for contacts</v>
      </c>
      <c r="AP7" s="326"/>
      <c r="AQ7" s="326"/>
      <c r="AR7" s="326"/>
      <c r="AS7" s="326"/>
      <c r="AT7" s="326"/>
      <c r="AU7" s="326"/>
      <c r="AV7" s="326"/>
      <c r="AW7" s="326"/>
      <c r="AX7" s="326"/>
      <c r="AY7" s="326"/>
      <c r="AZ7" s="326"/>
      <c r="BA7" s="327"/>
      <c r="BB7" s="9"/>
      <c r="BC7" s="9"/>
      <c r="BD7" s="9"/>
      <c r="BE7" s="9"/>
      <c r="BF7" s="9"/>
      <c r="BG7" s="9"/>
      <c r="BH7" s="9"/>
      <c r="BI7" s="9"/>
      <c r="BJ7" s="9"/>
      <c r="BK7" s="9"/>
      <c r="BL7" s="9"/>
      <c r="BM7" s="9"/>
      <c r="BN7" s="9"/>
      <c r="BO7" s="9"/>
      <c r="BP7" s="9"/>
      <c r="BQ7" s="9"/>
      <c r="BR7" s="9"/>
      <c r="BS7" s="9"/>
      <c r="BT7" s="9"/>
      <c r="BU7" s="9"/>
      <c r="BV7" s="9"/>
    </row>
    <row r="8" spans="1:75" ht="15" customHeight="1" x14ac:dyDescent="0.25">
      <c r="A8" s="337"/>
      <c r="B8" s="338"/>
      <c r="C8" s="338"/>
      <c r="D8" s="338"/>
      <c r="E8" s="338"/>
      <c r="F8" s="338"/>
      <c r="G8" s="338"/>
      <c r="H8" s="338"/>
      <c r="I8" s="338"/>
      <c r="J8" s="339"/>
      <c r="K8" s="337"/>
      <c r="L8" s="338"/>
      <c r="M8" s="338"/>
      <c r="N8" s="338"/>
      <c r="O8" s="338"/>
      <c r="P8" s="338"/>
      <c r="Q8" s="338"/>
      <c r="R8" s="338"/>
      <c r="S8" s="338"/>
      <c r="T8" s="338"/>
      <c r="U8" s="338"/>
      <c r="V8" s="338"/>
      <c r="W8" s="338"/>
      <c r="X8" s="338"/>
      <c r="Y8" s="338"/>
      <c r="Z8" s="338"/>
      <c r="AA8" s="338"/>
      <c r="AB8" s="338"/>
      <c r="AC8" s="338"/>
      <c r="AD8" s="338"/>
      <c r="AE8" s="339"/>
      <c r="AF8" s="5"/>
      <c r="AG8" s="407" t="s">
        <v>41</v>
      </c>
      <c r="AH8" s="326"/>
      <c r="AI8" s="326"/>
      <c r="AJ8" s="326"/>
      <c r="AK8" s="326"/>
      <c r="AL8" s="326"/>
      <c r="AM8" s="326"/>
      <c r="AN8" s="327"/>
      <c r="AO8" s="381" t="str">
        <f>'GRANTEE SET UP INFO &amp; DATE '!Z7</f>
        <v xml:space="preserve">number on grant agreement or TFB </v>
      </c>
      <c r="AP8" s="326"/>
      <c r="AQ8" s="326"/>
      <c r="AR8" s="326"/>
      <c r="AS8" s="326"/>
      <c r="AT8" s="326"/>
      <c r="AU8" s="326"/>
      <c r="AV8" s="326"/>
      <c r="AW8" s="326"/>
      <c r="AX8" s="326"/>
      <c r="AY8" s="326"/>
      <c r="AZ8" s="326"/>
      <c r="BA8" s="327"/>
      <c r="BB8" s="9"/>
      <c r="BC8" s="9"/>
      <c r="BD8" s="9"/>
      <c r="BE8" s="9"/>
      <c r="BF8" s="9"/>
      <c r="BG8" s="9"/>
      <c r="BH8" s="9"/>
      <c r="BI8" s="9"/>
      <c r="BJ8" s="9"/>
      <c r="BK8" s="9"/>
      <c r="BL8" s="9"/>
      <c r="BM8" s="9"/>
      <c r="BN8" s="9"/>
      <c r="BO8" s="9"/>
      <c r="BP8" s="9"/>
      <c r="BQ8" s="9"/>
      <c r="BR8" s="9"/>
      <c r="BS8" s="9"/>
      <c r="BT8" s="9"/>
      <c r="BU8" s="9"/>
      <c r="BV8" s="9"/>
    </row>
    <row r="9" spans="1:75" ht="24.75" customHeight="1" x14ac:dyDescent="0.25">
      <c r="A9" s="466" t="s">
        <v>475</v>
      </c>
      <c r="B9" s="326"/>
      <c r="C9" s="326"/>
      <c r="D9" s="326"/>
      <c r="E9" s="326"/>
      <c r="F9" s="326"/>
      <c r="G9" s="326"/>
      <c r="H9" s="326"/>
      <c r="I9" s="326"/>
      <c r="J9" s="327"/>
      <c r="K9" s="619" t="str">
        <f>'GRANTEE SET UP INFO &amp; DATE '!H8</f>
        <v>October 1 - 31</v>
      </c>
      <c r="L9" s="326"/>
      <c r="M9" s="326"/>
      <c r="N9" s="326"/>
      <c r="O9" s="326"/>
      <c r="P9" s="326"/>
      <c r="Q9" s="326"/>
      <c r="R9" s="326"/>
      <c r="S9" s="326"/>
      <c r="T9" s="326"/>
      <c r="U9" s="326"/>
      <c r="V9" s="326"/>
      <c r="W9" s="326"/>
      <c r="X9" s="326"/>
      <c r="Y9" s="327"/>
      <c r="Z9" s="443">
        <f>'GRANTEE SET UP INFO &amp; DATE '!P8</f>
        <v>2026</v>
      </c>
      <c r="AA9" s="326"/>
      <c r="AB9" s="326"/>
      <c r="AC9" s="326"/>
      <c r="AD9" s="326"/>
      <c r="AE9" s="327"/>
      <c r="AF9" s="5"/>
      <c r="AG9" s="436" t="s">
        <v>45</v>
      </c>
      <c r="AH9" s="326"/>
      <c r="AI9" s="326"/>
      <c r="AJ9" s="326"/>
      <c r="AK9" s="326"/>
      <c r="AL9" s="326"/>
      <c r="AM9" s="326"/>
      <c r="AN9" s="327"/>
      <c r="AO9" s="458" t="str">
        <f>'GRANTEE SET UP INFO &amp; DATE '!Z8</f>
        <v>program code can locate on SOW or  TFB</v>
      </c>
      <c r="AP9" s="326"/>
      <c r="AQ9" s="326"/>
      <c r="AR9" s="326"/>
      <c r="AS9" s="326"/>
      <c r="AT9" s="326"/>
      <c r="AU9" s="326"/>
      <c r="AV9" s="326"/>
      <c r="AW9" s="326"/>
      <c r="AX9" s="326"/>
      <c r="AY9" s="326"/>
      <c r="AZ9" s="326"/>
      <c r="BA9" s="327"/>
      <c r="BB9" s="9"/>
      <c r="BC9" s="9"/>
      <c r="BD9" s="9"/>
      <c r="BE9" s="9"/>
      <c r="BF9" s="9"/>
      <c r="BG9" s="9"/>
      <c r="BH9" s="9"/>
      <c r="BI9" s="9"/>
      <c r="BJ9" s="9"/>
      <c r="BK9" s="9"/>
      <c r="BL9" s="9"/>
      <c r="BM9" s="9"/>
      <c r="BN9" s="9"/>
      <c r="BO9" s="9"/>
      <c r="BP9" s="9"/>
      <c r="BQ9" s="9"/>
      <c r="BR9" s="9"/>
      <c r="BS9" s="9"/>
      <c r="BT9" s="9"/>
      <c r="BU9" s="9"/>
      <c r="BV9" s="9"/>
    </row>
    <row r="10" spans="1:75" ht="39.75" customHeight="1" x14ac:dyDescent="0.25">
      <c r="A10" s="620" t="s">
        <v>476</v>
      </c>
      <c r="B10" s="347"/>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47"/>
      <c r="BH10" s="354"/>
      <c r="BI10" s="9"/>
      <c r="BJ10" s="9"/>
      <c r="BK10" s="9"/>
      <c r="BL10" s="9"/>
      <c r="BM10" s="9"/>
      <c r="BN10" s="9"/>
      <c r="BO10" s="9"/>
      <c r="BP10" s="9"/>
      <c r="BQ10" s="9"/>
      <c r="BR10" s="9"/>
      <c r="BS10" s="9"/>
      <c r="BT10" s="9"/>
      <c r="BU10" s="9"/>
      <c r="BV10" s="9"/>
    </row>
    <row r="11" spans="1:75" ht="15" customHeight="1" x14ac:dyDescent="0.25">
      <c r="A11" s="621" t="s">
        <v>477</v>
      </c>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622"/>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row>
    <row r="12" spans="1:75" ht="60" customHeight="1" x14ac:dyDescent="0.25">
      <c r="A12" s="36" t="s">
        <v>294</v>
      </c>
      <c r="B12" s="631" t="s">
        <v>478</v>
      </c>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7"/>
      <c r="AN12" s="632" t="s">
        <v>479</v>
      </c>
      <c r="AO12" s="350"/>
      <c r="AP12" s="350"/>
      <c r="AQ12" s="350"/>
      <c r="AR12" s="350"/>
      <c r="AS12" s="350"/>
      <c r="AT12" s="350"/>
      <c r="AU12" s="350"/>
      <c r="AV12" s="350"/>
      <c r="AW12" s="350"/>
      <c r="AX12" s="350"/>
      <c r="AY12" s="358"/>
      <c r="AZ12" s="633" t="s">
        <v>480</v>
      </c>
      <c r="BA12" s="350"/>
      <c r="BB12" s="350"/>
      <c r="BC12" s="350"/>
      <c r="BD12" s="350"/>
      <c r="BE12" s="350"/>
      <c r="BF12" s="350"/>
      <c r="BG12" s="350"/>
      <c r="BH12" s="351"/>
      <c r="BI12" s="634"/>
      <c r="BJ12" s="344"/>
      <c r="BK12" s="344"/>
      <c r="BL12" s="344"/>
      <c r="BM12" s="344"/>
      <c r="BN12" s="344"/>
      <c r="BO12" s="344"/>
      <c r="BP12" s="344"/>
      <c r="BQ12" s="344"/>
      <c r="BR12" s="344"/>
      <c r="BS12" s="344"/>
      <c r="BT12" s="344"/>
      <c r="BU12" s="344"/>
      <c r="BV12" s="345"/>
    </row>
    <row r="13" spans="1:75" ht="54.75" customHeight="1" x14ac:dyDescent="0.25">
      <c r="A13" s="635" t="s">
        <v>294</v>
      </c>
      <c r="B13" s="637" t="s">
        <v>441</v>
      </c>
      <c r="C13" s="333"/>
      <c r="D13" s="638" t="s">
        <v>442</v>
      </c>
      <c r="E13" s="332"/>
      <c r="F13" s="332"/>
      <c r="G13" s="332"/>
      <c r="H13" s="332"/>
      <c r="I13" s="332"/>
      <c r="J13" s="332"/>
      <c r="K13" s="333"/>
      <c r="L13" s="623" t="s">
        <v>443</v>
      </c>
      <c r="M13" s="332"/>
      <c r="N13" s="332"/>
      <c r="O13" s="333"/>
      <c r="P13" s="624" t="s">
        <v>444</v>
      </c>
      <c r="Q13" s="332"/>
      <c r="R13" s="332"/>
      <c r="S13" s="333"/>
      <c r="T13" s="623" t="s">
        <v>445</v>
      </c>
      <c r="U13" s="332"/>
      <c r="V13" s="332"/>
      <c r="W13" s="333"/>
      <c r="X13" s="624" t="s">
        <v>446</v>
      </c>
      <c r="Y13" s="332"/>
      <c r="Z13" s="332"/>
      <c r="AA13" s="333"/>
      <c r="AB13" s="623" t="s">
        <v>447</v>
      </c>
      <c r="AC13" s="332"/>
      <c r="AD13" s="333"/>
      <c r="AE13" s="624" t="s">
        <v>448</v>
      </c>
      <c r="AF13" s="332"/>
      <c r="AG13" s="333"/>
      <c r="AH13" s="625" t="s">
        <v>449</v>
      </c>
      <c r="AI13" s="332"/>
      <c r="AJ13" s="333"/>
      <c r="AK13" s="626" t="s">
        <v>481</v>
      </c>
      <c r="AL13" s="332"/>
      <c r="AM13" s="333"/>
      <c r="AN13" s="32" t="s">
        <v>451</v>
      </c>
      <c r="AO13" s="33" t="s">
        <v>452</v>
      </c>
      <c r="AP13" s="32" t="s">
        <v>453</v>
      </c>
      <c r="AQ13" s="33" t="s">
        <v>454</v>
      </c>
      <c r="AR13" s="32" t="s">
        <v>455</v>
      </c>
      <c r="AS13" s="33" t="s">
        <v>456</v>
      </c>
      <c r="AT13" s="32" t="s">
        <v>457</v>
      </c>
      <c r="AU13" s="33" t="s">
        <v>458</v>
      </c>
      <c r="AV13" s="32" t="s">
        <v>459</v>
      </c>
      <c r="AW13" s="33" t="s">
        <v>460</v>
      </c>
      <c r="AX13" s="32" t="s">
        <v>461</v>
      </c>
      <c r="AY13" s="33" t="s">
        <v>462</v>
      </c>
      <c r="AZ13" s="627" t="s">
        <v>463</v>
      </c>
      <c r="BA13" s="629" t="s">
        <v>464</v>
      </c>
      <c r="BB13" s="627" t="s">
        <v>465</v>
      </c>
      <c r="BC13" s="629" t="s">
        <v>466</v>
      </c>
      <c r="BD13" s="627" t="s">
        <v>467</v>
      </c>
      <c r="BE13" s="629" t="s">
        <v>468</v>
      </c>
      <c r="BF13" s="627" t="s">
        <v>469</v>
      </c>
      <c r="BG13" s="629" t="s">
        <v>470</v>
      </c>
      <c r="BH13" s="627" t="s">
        <v>471</v>
      </c>
      <c r="BI13" s="630" t="s">
        <v>324</v>
      </c>
      <c r="BJ13" s="368"/>
      <c r="BK13" s="368"/>
      <c r="BL13" s="368"/>
      <c r="BM13" s="368"/>
      <c r="BN13" s="368"/>
      <c r="BO13" s="368"/>
      <c r="BP13" s="368"/>
      <c r="BQ13" s="368"/>
      <c r="BR13" s="368"/>
      <c r="BS13" s="368"/>
      <c r="BT13" s="368"/>
      <c r="BU13" s="368"/>
      <c r="BV13" s="421"/>
    </row>
    <row r="14" spans="1:75" ht="24.75" customHeight="1" x14ac:dyDescent="0.25">
      <c r="A14" s="636"/>
      <c r="B14" s="337"/>
      <c r="C14" s="339"/>
      <c r="D14" s="337"/>
      <c r="E14" s="338"/>
      <c r="F14" s="338"/>
      <c r="G14" s="338"/>
      <c r="H14" s="338"/>
      <c r="I14" s="338"/>
      <c r="J14" s="338"/>
      <c r="K14" s="339"/>
      <c r="L14" s="337"/>
      <c r="M14" s="338"/>
      <c r="N14" s="338"/>
      <c r="O14" s="339"/>
      <c r="P14" s="337"/>
      <c r="Q14" s="338"/>
      <c r="R14" s="338"/>
      <c r="S14" s="339"/>
      <c r="T14" s="337"/>
      <c r="U14" s="338"/>
      <c r="V14" s="338"/>
      <c r="W14" s="339"/>
      <c r="X14" s="337"/>
      <c r="Y14" s="338"/>
      <c r="Z14" s="338"/>
      <c r="AA14" s="339"/>
      <c r="AB14" s="337"/>
      <c r="AC14" s="338"/>
      <c r="AD14" s="339"/>
      <c r="AE14" s="337"/>
      <c r="AF14" s="338"/>
      <c r="AG14" s="339"/>
      <c r="AH14" s="337"/>
      <c r="AI14" s="338"/>
      <c r="AJ14" s="339"/>
      <c r="AK14" s="337"/>
      <c r="AL14" s="338"/>
      <c r="AM14" s="339"/>
      <c r="AN14" s="37">
        <f>'GRANTEE SET UP INFO &amp; DATE '!C11</f>
        <v>0</v>
      </c>
      <c r="AO14" s="38">
        <f>'GRANTEE SET UP INFO &amp; DATE '!C12</f>
        <v>0</v>
      </c>
      <c r="AP14" s="37">
        <f>'GRANTEE SET UP INFO &amp; DATE '!C13</f>
        <v>0</v>
      </c>
      <c r="AQ14" s="38">
        <f>'GRANTEE SET UP INFO &amp; DATE '!C14</f>
        <v>0</v>
      </c>
      <c r="AR14" s="37">
        <f>'GRANTEE SET UP INFO &amp; DATE '!C15</f>
        <v>0</v>
      </c>
      <c r="AS14" s="38">
        <f>'GRANTEE SET UP INFO &amp; DATE '!C16</f>
        <v>0</v>
      </c>
      <c r="AT14" s="37">
        <f>'GRANTEE SET UP INFO &amp; DATE '!C17</f>
        <v>0</v>
      </c>
      <c r="AU14" s="38">
        <f>'GRANTEE SET UP INFO &amp; DATE '!C18</f>
        <v>0</v>
      </c>
      <c r="AV14" s="39">
        <f>'GRANTEE SET UP INFO &amp; DATE '!D18</f>
        <v>0</v>
      </c>
      <c r="AW14" s="38">
        <f>'GRANTEE SET UP INFO &amp; DATE '!E18</f>
        <v>0</v>
      </c>
      <c r="AX14" s="40">
        <f>'GRANTEE SET UP INFO &amp; DATE '!F18</f>
        <v>0</v>
      </c>
      <c r="AY14" s="38">
        <f>'GRANTEE SET UP INFO &amp; DATE '!G18</f>
        <v>0</v>
      </c>
      <c r="AZ14" s="628"/>
      <c r="BA14" s="628"/>
      <c r="BB14" s="628"/>
      <c r="BC14" s="628"/>
      <c r="BD14" s="628"/>
      <c r="BE14" s="628"/>
      <c r="BF14" s="628"/>
      <c r="BG14" s="628"/>
      <c r="BH14" s="628"/>
      <c r="BI14" s="337"/>
      <c r="BJ14" s="338"/>
      <c r="BK14" s="338"/>
      <c r="BL14" s="338"/>
      <c r="BM14" s="338"/>
      <c r="BN14" s="338"/>
      <c r="BO14" s="338"/>
      <c r="BP14" s="338"/>
      <c r="BQ14" s="338"/>
      <c r="BR14" s="338"/>
      <c r="BS14" s="338"/>
      <c r="BT14" s="338"/>
      <c r="BU14" s="338"/>
      <c r="BV14" s="339"/>
    </row>
    <row r="15" spans="1:75" ht="30" customHeight="1" x14ac:dyDescent="0.25">
      <c r="A15" s="41">
        <f t="shared" ref="A15:A269" si="0">ROW(A1)</f>
        <v>1</v>
      </c>
      <c r="B15" s="42" t="s">
        <v>334</v>
      </c>
      <c r="C15" s="43"/>
      <c r="D15" s="609"/>
      <c r="E15" s="326"/>
      <c r="F15" s="326"/>
      <c r="G15" s="326"/>
      <c r="H15" s="326"/>
      <c r="I15" s="326"/>
      <c r="J15" s="326"/>
      <c r="K15" s="327"/>
      <c r="L15" s="610" t="s">
        <v>303</v>
      </c>
      <c r="M15" s="326"/>
      <c r="N15" s="326"/>
      <c r="O15" s="327"/>
      <c r="P15" s="609" t="s">
        <v>303</v>
      </c>
      <c r="Q15" s="326"/>
      <c r="R15" s="326"/>
      <c r="S15" s="327"/>
      <c r="T15" s="610" t="s">
        <v>303</v>
      </c>
      <c r="U15" s="326"/>
      <c r="V15" s="326"/>
      <c r="W15" s="327"/>
      <c r="X15" s="609" t="s">
        <v>303</v>
      </c>
      <c r="Y15" s="326"/>
      <c r="Z15" s="326"/>
      <c r="AA15" s="327"/>
      <c r="AB15" s="451" t="s">
        <v>303</v>
      </c>
      <c r="AC15" s="326"/>
      <c r="AD15" s="327"/>
      <c r="AE15" s="526"/>
      <c r="AF15" s="326"/>
      <c r="AG15" s="327"/>
      <c r="AH15" s="607"/>
      <c r="AI15" s="326"/>
      <c r="AJ15" s="327"/>
      <c r="AK15" s="497"/>
      <c r="AL15" s="326"/>
      <c r="AM15" s="327"/>
      <c r="AN15" s="44"/>
      <c r="AO15" s="45"/>
      <c r="AP15" s="44"/>
      <c r="AQ15" s="45"/>
      <c r="AR15" s="44"/>
      <c r="AS15" s="45"/>
      <c r="AT15" s="44"/>
      <c r="AU15" s="45"/>
      <c r="AV15" s="44"/>
      <c r="AW15" s="45"/>
      <c r="AX15" s="44"/>
      <c r="AY15" s="45"/>
      <c r="AZ15" s="46"/>
      <c r="BA15" s="47"/>
      <c r="BB15" s="48"/>
      <c r="BC15" s="47"/>
      <c r="BD15" s="48"/>
      <c r="BE15" s="47"/>
      <c r="BF15" s="48"/>
      <c r="BG15" s="47"/>
      <c r="BH15" s="48"/>
      <c r="BI15" s="608" t="s">
        <v>307</v>
      </c>
      <c r="BJ15" s="326"/>
      <c r="BK15" s="326"/>
      <c r="BL15" s="326"/>
      <c r="BM15" s="326"/>
      <c r="BN15" s="326"/>
      <c r="BO15" s="326"/>
      <c r="BP15" s="326"/>
      <c r="BQ15" s="326"/>
      <c r="BR15" s="326"/>
      <c r="BS15" s="326"/>
      <c r="BT15" s="326"/>
      <c r="BU15" s="326"/>
      <c r="BV15" s="327"/>
    </row>
    <row r="16" spans="1:75" ht="30" customHeight="1" x14ac:dyDescent="0.25">
      <c r="A16" s="49">
        <f t="shared" si="0"/>
        <v>2</v>
      </c>
      <c r="B16" s="42" t="s">
        <v>334</v>
      </c>
      <c r="C16" s="43"/>
      <c r="D16" s="609"/>
      <c r="E16" s="326"/>
      <c r="F16" s="326"/>
      <c r="G16" s="326"/>
      <c r="H16" s="326"/>
      <c r="I16" s="326"/>
      <c r="J16" s="326"/>
      <c r="K16" s="327"/>
      <c r="L16" s="610"/>
      <c r="M16" s="326"/>
      <c r="N16" s="326"/>
      <c r="O16" s="327"/>
      <c r="P16" s="609"/>
      <c r="Q16" s="326"/>
      <c r="R16" s="326"/>
      <c r="S16" s="327"/>
      <c r="T16" s="610"/>
      <c r="U16" s="326"/>
      <c r="V16" s="326"/>
      <c r="W16" s="327"/>
      <c r="X16" s="609"/>
      <c r="Y16" s="326"/>
      <c r="Z16" s="326"/>
      <c r="AA16" s="327"/>
      <c r="AB16" s="451"/>
      <c r="AC16" s="326"/>
      <c r="AD16" s="327"/>
      <c r="AE16" s="526"/>
      <c r="AF16" s="326"/>
      <c r="AG16" s="327"/>
      <c r="AH16" s="607"/>
      <c r="AI16" s="326"/>
      <c r="AJ16" s="327"/>
      <c r="AK16" s="497"/>
      <c r="AL16" s="326"/>
      <c r="AM16" s="327"/>
      <c r="AN16" s="44"/>
      <c r="AO16" s="45"/>
      <c r="AP16" s="44"/>
      <c r="AQ16" s="45"/>
      <c r="AR16" s="44"/>
      <c r="AS16" s="45"/>
      <c r="AT16" s="44"/>
      <c r="AU16" s="45"/>
      <c r="AV16" s="44"/>
      <c r="AW16" s="45"/>
      <c r="AX16" s="44"/>
      <c r="AY16" s="45"/>
      <c r="AZ16" s="46"/>
      <c r="BA16" s="47"/>
      <c r="BB16" s="48"/>
      <c r="BC16" s="47"/>
      <c r="BD16" s="48"/>
      <c r="BE16" s="47"/>
      <c r="BF16" s="48"/>
      <c r="BG16" s="47"/>
      <c r="BH16" s="48"/>
      <c r="BI16" s="608" t="s">
        <v>307</v>
      </c>
      <c r="BJ16" s="326"/>
      <c r="BK16" s="326"/>
      <c r="BL16" s="326"/>
      <c r="BM16" s="326"/>
      <c r="BN16" s="326"/>
      <c r="BO16" s="326"/>
      <c r="BP16" s="326"/>
      <c r="BQ16" s="326"/>
      <c r="BR16" s="326"/>
      <c r="BS16" s="326"/>
      <c r="BT16" s="326"/>
      <c r="BU16" s="326"/>
      <c r="BV16" s="327"/>
    </row>
    <row r="17" spans="1:74" ht="30" customHeight="1" x14ac:dyDescent="0.25">
      <c r="A17" s="49">
        <f t="shared" si="0"/>
        <v>3</v>
      </c>
      <c r="B17" s="42" t="s">
        <v>334</v>
      </c>
      <c r="C17" s="43"/>
      <c r="D17" s="609"/>
      <c r="E17" s="326"/>
      <c r="F17" s="326"/>
      <c r="G17" s="326"/>
      <c r="H17" s="326"/>
      <c r="I17" s="326"/>
      <c r="J17" s="326"/>
      <c r="K17" s="327"/>
      <c r="L17" s="610"/>
      <c r="M17" s="326"/>
      <c r="N17" s="326"/>
      <c r="O17" s="327"/>
      <c r="P17" s="609"/>
      <c r="Q17" s="326"/>
      <c r="R17" s="326"/>
      <c r="S17" s="327"/>
      <c r="T17" s="610"/>
      <c r="U17" s="326"/>
      <c r="V17" s="326"/>
      <c r="W17" s="327"/>
      <c r="X17" s="609"/>
      <c r="Y17" s="326"/>
      <c r="Z17" s="326"/>
      <c r="AA17" s="327"/>
      <c r="AB17" s="451"/>
      <c r="AC17" s="326"/>
      <c r="AD17" s="327"/>
      <c r="AE17" s="526"/>
      <c r="AF17" s="326"/>
      <c r="AG17" s="327"/>
      <c r="AH17" s="607"/>
      <c r="AI17" s="326"/>
      <c r="AJ17" s="327"/>
      <c r="AK17" s="497"/>
      <c r="AL17" s="326"/>
      <c r="AM17" s="327"/>
      <c r="AN17" s="44"/>
      <c r="AO17" s="45"/>
      <c r="AP17" s="44"/>
      <c r="AQ17" s="45"/>
      <c r="AR17" s="44"/>
      <c r="AS17" s="45"/>
      <c r="AT17" s="44"/>
      <c r="AU17" s="45"/>
      <c r="AV17" s="44"/>
      <c r="AW17" s="45"/>
      <c r="AX17" s="44"/>
      <c r="AY17" s="45"/>
      <c r="AZ17" s="46"/>
      <c r="BA17" s="47"/>
      <c r="BB17" s="48"/>
      <c r="BC17" s="47"/>
      <c r="BD17" s="48"/>
      <c r="BE17" s="47"/>
      <c r="BF17" s="48"/>
      <c r="BG17" s="47"/>
      <c r="BH17" s="48"/>
      <c r="BI17" s="608" t="s">
        <v>307</v>
      </c>
      <c r="BJ17" s="326"/>
      <c r="BK17" s="326"/>
      <c r="BL17" s="326"/>
      <c r="BM17" s="326"/>
      <c r="BN17" s="326"/>
      <c r="BO17" s="326"/>
      <c r="BP17" s="326"/>
      <c r="BQ17" s="326"/>
      <c r="BR17" s="326"/>
      <c r="BS17" s="326"/>
      <c r="BT17" s="326"/>
      <c r="BU17" s="326"/>
      <c r="BV17" s="327"/>
    </row>
    <row r="18" spans="1:74" ht="30" customHeight="1" x14ac:dyDescent="0.25">
      <c r="A18" s="49">
        <f t="shared" si="0"/>
        <v>4</v>
      </c>
      <c r="B18" s="42" t="s">
        <v>334</v>
      </c>
      <c r="C18" s="43"/>
      <c r="D18" s="609"/>
      <c r="E18" s="326"/>
      <c r="F18" s="326"/>
      <c r="G18" s="326"/>
      <c r="H18" s="326"/>
      <c r="I18" s="326"/>
      <c r="J18" s="326"/>
      <c r="K18" s="327"/>
      <c r="L18" s="610"/>
      <c r="M18" s="326"/>
      <c r="N18" s="326"/>
      <c r="O18" s="327"/>
      <c r="P18" s="609"/>
      <c r="Q18" s="326"/>
      <c r="R18" s="326"/>
      <c r="S18" s="327"/>
      <c r="T18" s="610"/>
      <c r="U18" s="326"/>
      <c r="V18" s="326"/>
      <c r="W18" s="327"/>
      <c r="X18" s="609"/>
      <c r="Y18" s="326"/>
      <c r="Z18" s="326"/>
      <c r="AA18" s="327"/>
      <c r="AB18" s="451"/>
      <c r="AC18" s="326"/>
      <c r="AD18" s="327"/>
      <c r="AE18" s="526"/>
      <c r="AF18" s="326"/>
      <c r="AG18" s="327"/>
      <c r="AH18" s="607"/>
      <c r="AI18" s="326"/>
      <c r="AJ18" s="327"/>
      <c r="AK18" s="497"/>
      <c r="AL18" s="326"/>
      <c r="AM18" s="327"/>
      <c r="AN18" s="44"/>
      <c r="AO18" s="45"/>
      <c r="AP18" s="44"/>
      <c r="AQ18" s="45"/>
      <c r="AR18" s="44"/>
      <c r="AS18" s="45"/>
      <c r="AT18" s="44"/>
      <c r="AU18" s="45"/>
      <c r="AV18" s="44"/>
      <c r="AW18" s="45"/>
      <c r="AX18" s="44"/>
      <c r="AY18" s="45"/>
      <c r="AZ18" s="46"/>
      <c r="BA18" s="47"/>
      <c r="BB18" s="48"/>
      <c r="BC18" s="47"/>
      <c r="BD18" s="48"/>
      <c r="BE18" s="47"/>
      <c r="BF18" s="48"/>
      <c r="BG18" s="47"/>
      <c r="BH18" s="48"/>
      <c r="BI18" s="608" t="s">
        <v>307</v>
      </c>
      <c r="BJ18" s="326"/>
      <c r="BK18" s="326"/>
      <c r="BL18" s="326"/>
      <c r="BM18" s="326"/>
      <c r="BN18" s="326"/>
      <c r="BO18" s="326"/>
      <c r="BP18" s="326"/>
      <c r="BQ18" s="326"/>
      <c r="BR18" s="326"/>
      <c r="BS18" s="326"/>
      <c r="BT18" s="326"/>
      <c r="BU18" s="326"/>
      <c r="BV18" s="327"/>
    </row>
    <row r="19" spans="1:74" ht="30" customHeight="1" x14ac:dyDescent="0.25">
      <c r="A19" s="49">
        <f t="shared" si="0"/>
        <v>5</v>
      </c>
      <c r="B19" s="42" t="s">
        <v>334</v>
      </c>
      <c r="C19" s="43"/>
      <c r="D19" s="609"/>
      <c r="E19" s="326"/>
      <c r="F19" s="326"/>
      <c r="G19" s="326"/>
      <c r="H19" s="326"/>
      <c r="I19" s="326"/>
      <c r="J19" s="326"/>
      <c r="K19" s="327"/>
      <c r="L19" s="610"/>
      <c r="M19" s="326"/>
      <c r="N19" s="326"/>
      <c r="O19" s="327"/>
      <c r="P19" s="609"/>
      <c r="Q19" s="326"/>
      <c r="R19" s="326"/>
      <c r="S19" s="327"/>
      <c r="T19" s="610"/>
      <c r="U19" s="326"/>
      <c r="V19" s="326"/>
      <c r="W19" s="327"/>
      <c r="X19" s="609"/>
      <c r="Y19" s="326"/>
      <c r="Z19" s="326"/>
      <c r="AA19" s="327"/>
      <c r="AB19" s="451"/>
      <c r="AC19" s="326"/>
      <c r="AD19" s="327"/>
      <c r="AE19" s="526"/>
      <c r="AF19" s="326"/>
      <c r="AG19" s="327"/>
      <c r="AH19" s="607"/>
      <c r="AI19" s="326"/>
      <c r="AJ19" s="327"/>
      <c r="AK19" s="497"/>
      <c r="AL19" s="326"/>
      <c r="AM19" s="327"/>
      <c r="AN19" s="44"/>
      <c r="AO19" s="45"/>
      <c r="AP19" s="44"/>
      <c r="AQ19" s="45"/>
      <c r="AR19" s="44"/>
      <c r="AS19" s="45"/>
      <c r="AT19" s="44"/>
      <c r="AU19" s="45"/>
      <c r="AV19" s="44"/>
      <c r="AW19" s="45"/>
      <c r="AX19" s="44"/>
      <c r="AY19" s="45"/>
      <c r="AZ19" s="46"/>
      <c r="BA19" s="47"/>
      <c r="BB19" s="48"/>
      <c r="BC19" s="47"/>
      <c r="BD19" s="48"/>
      <c r="BE19" s="47"/>
      <c r="BF19" s="48"/>
      <c r="BG19" s="47"/>
      <c r="BH19" s="48"/>
      <c r="BI19" s="608" t="s">
        <v>307</v>
      </c>
      <c r="BJ19" s="326"/>
      <c r="BK19" s="326"/>
      <c r="BL19" s="326"/>
      <c r="BM19" s="326"/>
      <c r="BN19" s="326"/>
      <c r="BO19" s="326"/>
      <c r="BP19" s="326"/>
      <c r="BQ19" s="326"/>
      <c r="BR19" s="326"/>
      <c r="BS19" s="326"/>
      <c r="BT19" s="326"/>
      <c r="BU19" s="326"/>
      <c r="BV19" s="327"/>
    </row>
    <row r="20" spans="1:74" ht="30" customHeight="1" x14ac:dyDescent="0.25">
      <c r="A20" s="49">
        <f t="shared" si="0"/>
        <v>6</v>
      </c>
      <c r="B20" s="42" t="s">
        <v>334</v>
      </c>
      <c r="C20" s="43"/>
      <c r="D20" s="609"/>
      <c r="E20" s="326"/>
      <c r="F20" s="326"/>
      <c r="G20" s="326"/>
      <c r="H20" s="326"/>
      <c r="I20" s="326"/>
      <c r="J20" s="326"/>
      <c r="K20" s="327"/>
      <c r="L20" s="610"/>
      <c r="M20" s="326"/>
      <c r="N20" s="326"/>
      <c r="O20" s="327"/>
      <c r="P20" s="609"/>
      <c r="Q20" s="326"/>
      <c r="R20" s="326"/>
      <c r="S20" s="327"/>
      <c r="T20" s="610"/>
      <c r="U20" s="326"/>
      <c r="V20" s="326"/>
      <c r="W20" s="327"/>
      <c r="X20" s="609"/>
      <c r="Y20" s="326"/>
      <c r="Z20" s="326"/>
      <c r="AA20" s="327"/>
      <c r="AB20" s="451"/>
      <c r="AC20" s="326"/>
      <c r="AD20" s="327"/>
      <c r="AE20" s="526"/>
      <c r="AF20" s="326"/>
      <c r="AG20" s="327"/>
      <c r="AH20" s="607"/>
      <c r="AI20" s="326"/>
      <c r="AJ20" s="327"/>
      <c r="AK20" s="497"/>
      <c r="AL20" s="326"/>
      <c r="AM20" s="327"/>
      <c r="AN20" s="44"/>
      <c r="AO20" s="45"/>
      <c r="AP20" s="44"/>
      <c r="AQ20" s="45"/>
      <c r="AR20" s="44"/>
      <c r="AS20" s="45"/>
      <c r="AT20" s="44"/>
      <c r="AU20" s="45"/>
      <c r="AV20" s="44"/>
      <c r="AW20" s="45"/>
      <c r="AX20" s="44"/>
      <c r="AY20" s="45"/>
      <c r="AZ20" s="46"/>
      <c r="BA20" s="47"/>
      <c r="BB20" s="48"/>
      <c r="BC20" s="47"/>
      <c r="BD20" s="48"/>
      <c r="BE20" s="47"/>
      <c r="BF20" s="48"/>
      <c r="BG20" s="47"/>
      <c r="BH20" s="48"/>
      <c r="BI20" s="608" t="s">
        <v>303</v>
      </c>
      <c r="BJ20" s="326"/>
      <c r="BK20" s="326"/>
      <c r="BL20" s="326"/>
      <c r="BM20" s="326"/>
      <c r="BN20" s="326"/>
      <c r="BO20" s="326"/>
      <c r="BP20" s="326"/>
      <c r="BQ20" s="326"/>
      <c r="BR20" s="326"/>
      <c r="BS20" s="326"/>
      <c r="BT20" s="326"/>
      <c r="BU20" s="326"/>
      <c r="BV20" s="327"/>
    </row>
    <row r="21" spans="1:74" ht="30" customHeight="1" x14ac:dyDescent="0.25">
      <c r="A21" s="49">
        <f t="shared" si="0"/>
        <v>7</v>
      </c>
      <c r="B21" s="42" t="s">
        <v>334</v>
      </c>
      <c r="C21" s="43"/>
      <c r="D21" s="609"/>
      <c r="E21" s="326"/>
      <c r="F21" s="326"/>
      <c r="G21" s="326"/>
      <c r="H21" s="326"/>
      <c r="I21" s="326"/>
      <c r="J21" s="326"/>
      <c r="K21" s="327"/>
      <c r="L21" s="610"/>
      <c r="M21" s="326"/>
      <c r="N21" s="326"/>
      <c r="O21" s="327"/>
      <c r="P21" s="609"/>
      <c r="Q21" s="326"/>
      <c r="R21" s="326"/>
      <c r="S21" s="327"/>
      <c r="T21" s="610"/>
      <c r="U21" s="326"/>
      <c r="V21" s="326"/>
      <c r="W21" s="327"/>
      <c r="X21" s="609"/>
      <c r="Y21" s="326"/>
      <c r="Z21" s="326"/>
      <c r="AA21" s="327"/>
      <c r="AB21" s="451"/>
      <c r="AC21" s="326"/>
      <c r="AD21" s="327"/>
      <c r="AE21" s="526"/>
      <c r="AF21" s="326"/>
      <c r="AG21" s="327"/>
      <c r="AH21" s="607"/>
      <c r="AI21" s="326"/>
      <c r="AJ21" s="327"/>
      <c r="AK21" s="497"/>
      <c r="AL21" s="326"/>
      <c r="AM21" s="327"/>
      <c r="AN21" s="44"/>
      <c r="AO21" s="45"/>
      <c r="AP21" s="44"/>
      <c r="AQ21" s="45"/>
      <c r="AR21" s="44"/>
      <c r="AS21" s="45"/>
      <c r="AT21" s="44"/>
      <c r="AU21" s="45"/>
      <c r="AV21" s="44"/>
      <c r="AW21" s="45"/>
      <c r="AX21" s="44"/>
      <c r="AY21" s="45"/>
      <c r="AZ21" s="46"/>
      <c r="BA21" s="47"/>
      <c r="BB21" s="48"/>
      <c r="BC21" s="47"/>
      <c r="BD21" s="48"/>
      <c r="BE21" s="47"/>
      <c r="BF21" s="48"/>
      <c r="BG21" s="47"/>
      <c r="BH21" s="48"/>
      <c r="BI21" s="608" t="s">
        <v>303</v>
      </c>
      <c r="BJ21" s="326"/>
      <c r="BK21" s="326"/>
      <c r="BL21" s="326"/>
      <c r="BM21" s="326"/>
      <c r="BN21" s="326"/>
      <c r="BO21" s="326"/>
      <c r="BP21" s="326"/>
      <c r="BQ21" s="326"/>
      <c r="BR21" s="326"/>
      <c r="BS21" s="326"/>
      <c r="BT21" s="326"/>
      <c r="BU21" s="326"/>
      <c r="BV21" s="327"/>
    </row>
    <row r="22" spans="1:74" ht="30" customHeight="1" x14ac:dyDescent="0.25">
      <c r="A22" s="41">
        <f t="shared" si="0"/>
        <v>8</v>
      </c>
      <c r="B22" s="42" t="s">
        <v>334</v>
      </c>
      <c r="C22" s="43"/>
      <c r="D22" s="609"/>
      <c r="E22" s="326"/>
      <c r="F22" s="326"/>
      <c r="G22" s="326"/>
      <c r="H22" s="326"/>
      <c r="I22" s="326"/>
      <c r="J22" s="326"/>
      <c r="K22" s="327"/>
      <c r="L22" s="610"/>
      <c r="M22" s="326"/>
      <c r="N22" s="326"/>
      <c r="O22" s="327"/>
      <c r="P22" s="609"/>
      <c r="Q22" s="326"/>
      <c r="R22" s="326"/>
      <c r="S22" s="327"/>
      <c r="T22" s="610"/>
      <c r="U22" s="326"/>
      <c r="V22" s="326"/>
      <c r="W22" s="327"/>
      <c r="X22" s="609"/>
      <c r="Y22" s="326"/>
      <c r="Z22" s="326"/>
      <c r="AA22" s="327"/>
      <c r="AB22" s="451"/>
      <c r="AC22" s="326"/>
      <c r="AD22" s="327"/>
      <c r="AE22" s="526"/>
      <c r="AF22" s="326"/>
      <c r="AG22" s="327"/>
      <c r="AH22" s="607"/>
      <c r="AI22" s="326"/>
      <c r="AJ22" s="327"/>
      <c r="AK22" s="497"/>
      <c r="AL22" s="326"/>
      <c r="AM22" s="327"/>
      <c r="AN22" s="44"/>
      <c r="AO22" s="45"/>
      <c r="AP22" s="44"/>
      <c r="AQ22" s="45"/>
      <c r="AR22" s="44"/>
      <c r="AS22" s="45"/>
      <c r="AT22" s="44"/>
      <c r="AU22" s="45"/>
      <c r="AV22" s="44"/>
      <c r="AW22" s="45"/>
      <c r="AX22" s="44"/>
      <c r="AY22" s="45"/>
      <c r="AZ22" s="46"/>
      <c r="BA22" s="47"/>
      <c r="BB22" s="48"/>
      <c r="BC22" s="47"/>
      <c r="BD22" s="48"/>
      <c r="BE22" s="47"/>
      <c r="BF22" s="48"/>
      <c r="BG22" s="47"/>
      <c r="BH22" s="48"/>
      <c r="BI22" s="608" t="s">
        <v>307</v>
      </c>
      <c r="BJ22" s="326"/>
      <c r="BK22" s="326"/>
      <c r="BL22" s="326"/>
      <c r="BM22" s="326"/>
      <c r="BN22" s="326"/>
      <c r="BO22" s="326"/>
      <c r="BP22" s="326"/>
      <c r="BQ22" s="326"/>
      <c r="BR22" s="326"/>
      <c r="BS22" s="326"/>
      <c r="BT22" s="326"/>
      <c r="BU22" s="326"/>
      <c r="BV22" s="327"/>
    </row>
    <row r="23" spans="1:74" ht="30" customHeight="1" x14ac:dyDescent="0.25">
      <c r="A23" s="49">
        <f t="shared" si="0"/>
        <v>9</v>
      </c>
      <c r="B23" s="42" t="s">
        <v>334</v>
      </c>
      <c r="C23" s="43"/>
      <c r="D23" s="609"/>
      <c r="E23" s="326"/>
      <c r="F23" s="326"/>
      <c r="G23" s="326"/>
      <c r="H23" s="326"/>
      <c r="I23" s="326"/>
      <c r="J23" s="326"/>
      <c r="K23" s="327"/>
      <c r="L23" s="610"/>
      <c r="M23" s="326"/>
      <c r="N23" s="326"/>
      <c r="O23" s="327"/>
      <c r="P23" s="609"/>
      <c r="Q23" s="326"/>
      <c r="R23" s="326"/>
      <c r="S23" s="327"/>
      <c r="T23" s="610"/>
      <c r="U23" s="326"/>
      <c r="V23" s="326"/>
      <c r="W23" s="327"/>
      <c r="X23" s="609"/>
      <c r="Y23" s="326"/>
      <c r="Z23" s="326"/>
      <c r="AA23" s="327"/>
      <c r="AB23" s="451"/>
      <c r="AC23" s="326"/>
      <c r="AD23" s="327"/>
      <c r="AE23" s="526"/>
      <c r="AF23" s="326"/>
      <c r="AG23" s="327"/>
      <c r="AH23" s="607"/>
      <c r="AI23" s="326"/>
      <c r="AJ23" s="327"/>
      <c r="AK23" s="497"/>
      <c r="AL23" s="326"/>
      <c r="AM23" s="327"/>
      <c r="AN23" s="44"/>
      <c r="AO23" s="45"/>
      <c r="AP23" s="44"/>
      <c r="AQ23" s="45"/>
      <c r="AR23" s="44"/>
      <c r="AS23" s="45"/>
      <c r="AT23" s="44"/>
      <c r="AU23" s="45"/>
      <c r="AV23" s="44"/>
      <c r="AW23" s="45"/>
      <c r="AX23" s="44"/>
      <c r="AY23" s="45"/>
      <c r="AZ23" s="46"/>
      <c r="BA23" s="47"/>
      <c r="BB23" s="48"/>
      <c r="BC23" s="47"/>
      <c r="BD23" s="48"/>
      <c r="BE23" s="47"/>
      <c r="BF23" s="48"/>
      <c r="BG23" s="47"/>
      <c r="BH23" s="48"/>
      <c r="BI23" s="608" t="s">
        <v>307</v>
      </c>
      <c r="BJ23" s="326"/>
      <c r="BK23" s="326"/>
      <c r="BL23" s="326"/>
      <c r="BM23" s="326"/>
      <c r="BN23" s="326"/>
      <c r="BO23" s="326"/>
      <c r="BP23" s="326"/>
      <c r="BQ23" s="326"/>
      <c r="BR23" s="326"/>
      <c r="BS23" s="326"/>
      <c r="BT23" s="326"/>
      <c r="BU23" s="326"/>
      <c r="BV23" s="327"/>
    </row>
    <row r="24" spans="1:74" ht="30" customHeight="1" x14ac:dyDescent="0.25">
      <c r="A24" s="49">
        <f t="shared" si="0"/>
        <v>10</v>
      </c>
      <c r="B24" s="42" t="s">
        <v>334</v>
      </c>
      <c r="C24" s="43"/>
      <c r="D24" s="609"/>
      <c r="E24" s="326"/>
      <c r="F24" s="326"/>
      <c r="G24" s="326"/>
      <c r="H24" s="326"/>
      <c r="I24" s="326"/>
      <c r="J24" s="326"/>
      <c r="K24" s="327"/>
      <c r="L24" s="610"/>
      <c r="M24" s="326"/>
      <c r="N24" s="326"/>
      <c r="O24" s="327"/>
      <c r="P24" s="609"/>
      <c r="Q24" s="326"/>
      <c r="R24" s="326"/>
      <c r="S24" s="327"/>
      <c r="T24" s="610"/>
      <c r="U24" s="326"/>
      <c r="V24" s="326"/>
      <c r="W24" s="327"/>
      <c r="X24" s="609"/>
      <c r="Y24" s="326"/>
      <c r="Z24" s="326"/>
      <c r="AA24" s="327"/>
      <c r="AB24" s="451"/>
      <c r="AC24" s="326"/>
      <c r="AD24" s="327"/>
      <c r="AE24" s="526"/>
      <c r="AF24" s="326"/>
      <c r="AG24" s="327"/>
      <c r="AH24" s="607"/>
      <c r="AI24" s="326"/>
      <c r="AJ24" s="327"/>
      <c r="AK24" s="497"/>
      <c r="AL24" s="326"/>
      <c r="AM24" s="327"/>
      <c r="AN24" s="44"/>
      <c r="AO24" s="45"/>
      <c r="AP24" s="44"/>
      <c r="AQ24" s="45"/>
      <c r="AR24" s="44"/>
      <c r="AS24" s="45"/>
      <c r="AT24" s="44"/>
      <c r="AU24" s="45"/>
      <c r="AV24" s="44"/>
      <c r="AW24" s="45"/>
      <c r="AX24" s="44"/>
      <c r="AY24" s="45"/>
      <c r="AZ24" s="46"/>
      <c r="BA24" s="47"/>
      <c r="BB24" s="48"/>
      <c r="BC24" s="47"/>
      <c r="BD24" s="48"/>
      <c r="BE24" s="47"/>
      <c r="BF24" s="48"/>
      <c r="BG24" s="47"/>
      <c r="BH24" s="48"/>
      <c r="BI24" s="608" t="s">
        <v>307</v>
      </c>
      <c r="BJ24" s="326"/>
      <c r="BK24" s="326"/>
      <c r="BL24" s="326"/>
      <c r="BM24" s="326"/>
      <c r="BN24" s="326"/>
      <c r="BO24" s="326"/>
      <c r="BP24" s="326"/>
      <c r="BQ24" s="326"/>
      <c r="BR24" s="326"/>
      <c r="BS24" s="326"/>
      <c r="BT24" s="326"/>
      <c r="BU24" s="326"/>
      <c r="BV24" s="327"/>
    </row>
    <row r="25" spans="1:74" ht="30" customHeight="1" x14ac:dyDescent="0.25">
      <c r="A25" s="49">
        <f t="shared" si="0"/>
        <v>11</v>
      </c>
      <c r="B25" s="42" t="s">
        <v>334</v>
      </c>
      <c r="C25" s="43"/>
      <c r="D25" s="609"/>
      <c r="E25" s="326"/>
      <c r="F25" s="326"/>
      <c r="G25" s="326"/>
      <c r="H25" s="326"/>
      <c r="I25" s="326"/>
      <c r="J25" s="326"/>
      <c r="K25" s="327"/>
      <c r="L25" s="610"/>
      <c r="M25" s="326"/>
      <c r="N25" s="326"/>
      <c r="O25" s="327"/>
      <c r="P25" s="609"/>
      <c r="Q25" s="326"/>
      <c r="R25" s="326"/>
      <c r="S25" s="327"/>
      <c r="T25" s="610"/>
      <c r="U25" s="326"/>
      <c r="V25" s="326"/>
      <c r="W25" s="327"/>
      <c r="X25" s="609"/>
      <c r="Y25" s="326"/>
      <c r="Z25" s="326"/>
      <c r="AA25" s="327"/>
      <c r="AB25" s="451"/>
      <c r="AC25" s="326"/>
      <c r="AD25" s="327"/>
      <c r="AE25" s="526"/>
      <c r="AF25" s="326"/>
      <c r="AG25" s="327"/>
      <c r="AH25" s="607"/>
      <c r="AI25" s="326"/>
      <c r="AJ25" s="327"/>
      <c r="AK25" s="497"/>
      <c r="AL25" s="326"/>
      <c r="AM25" s="327"/>
      <c r="AN25" s="44"/>
      <c r="AO25" s="45"/>
      <c r="AP25" s="44"/>
      <c r="AQ25" s="45"/>
      <c r="AR25" s="44"/>
      <c r="AS25" s="45"/>
      <c r="AT25" s="44"/>
      <c r="AU25" s="45"/>
      <c r="AV25" s="44"/>
      <c r="AW25" s="45"/>
      <c r="AX25" s="44"/>
      <c r="AY25" s="45"/>
      <c r="AZ25" s="46"/>
      <c r="BA25" s="47"/>
      <c r="BB25" s="48"/>
      <c r="BC25" s="47"/>
      <c r="BD25" s="48"/>
      <c r="BE25" s="47"/>
      <c r="BF25" s="48"/>
      <c r="BG25" s="47"/>
      <c r="BH25" s="48"/>
      <c r="BI25" s="608" t="s">
        <v>307</v>
      </c>
      <c r="BJ25" s="326"/>
      <c r="BK25" s="326"/>
      <c r="BL25" s="326"/>
      <c r="BM25" s="326"/>
      <c r="BN25" s="326"/>
      <c r="BO25" s="326"/>
      <c r="BP25" s="326"/>
      <c r="BQ25" s="326"/>
      <c r="BR25" s="326"/>
      <c r="BS25" s="326"/>
      <c r="BT25" s="326"/>
      <c r="BU25" s="326"/>
      <c r="BV25" s="327"/>
    </row>
    <row r="26" spans="1:74" ht="30" customHeight="1" x14ac:dyDescent="0.25">
      <c r="A26" s="49">
        <f t="shared" si="0"/>
        <v>12</v>
      </c>
      <c r="B26" s="42" t="s">
        <v>334</v>
      </c>
      <c r="C26" s="43"/>
      <c r="D26" s="609"/>
      <c r="E26" s="326"/>
      <c r="F26" s="326"/>
      <c r="G26" s="326"/>
      <c r="H26" s="326"/>
      <c r="I26" s="326"/>
      <c r="J26" s="326"/>
      <c r="K26" s="327"/>
      <c r="L26" s="610"/>
      <c r="M26" s="326"/>
      <c r="N26" s="326"/>
      <c r="O26" s="327"/>
      <c r="P26" s="609"/>
      <c r="Q26" s="326"/>
      <c r="R26" s="326"/>
      <c r="S26" s="327"/>
      <c r="T26" s="610"/>
      <c r="U26" s="326"/>
      <c r="V26" s="326"/>
      <c r="W26" s="327"/>
      <c r="X26" s="609"/>
      <c r="Y26" s="326"/>
      <c r="Z26" s="326"/>
      <c r="AA26" s="327"/>
      <c r="AB26" s="451"/>
      <c r="AC26" s="326"/>
      <c r="AD26" s="327"/>
      <c r="AE26" s="526"/>
      <c r="AF26" s="326"/>
      <c r="AG26" s="327"/>
      <c r="AH26" s="607"/>
      <c r="AI26" s="326"/>
      <c r="AJ26" s="327"/>
      <c r="AK26" s="497"/>
      <c r="AL26" s="326"/>
      <c r="AM26" s="327"/>
      <c r="AN26" s="44"/>
      <c r="AO26" s="45"/>
      <c r="AP26" s="44"/>
      <c r="AQ26" s="45"/>
      <c r="AR26" s="44"/>
      <c r="AS26" s="45"/>
      <c r="AT26" s="44"/>
      <c r="AU26" s="45"/>
      <c r="AV26" s="44"/>
      <c r="AW26" s="45"/>
      <c r="AX26" s="44"/>
      <c r="AY26" s="45"/>
      <c r="AZ26" s="46"/>
      <c r="BA26" s="47"/>
      <c r="BB26" s="48"/>
      <c r="BC26" s="47"/>
      <c r="BD26" s="48"/>
      <c r="BE26" s="47"/>
      <c r="BF26" s="48"/>
      <c r="BG26" s="47"/>
      <c r="BH26" s="48"/>
      <c r="BI26" s="608" t="s">
        <v>307</v>
      </c>
      <c r="BJ26" s="326"/>
      <c r="BK26" s="326"/>
      <c r="BL26" s="326"/>
      <c r="BM26" s="326"/>
      <c r="BN26" s="326"/>
      <c r="BO26" s="326"/>
      <c r="BP26" s="326"/>
      <c r="BQ26" s="326"/>
      <c r="BR26" s="326"/>
      <c r="BS26" s="326"/>
      <c r="BT26" s="326"/>
      <c r="BU26" s="326"/>
      <c r="BV26" s="327"/>
    </row>
    <row r="27" spans="1:74" ht="30" customHeight="1" x14ac:dyDescent="0.25">
      <c r="A27" s="49">
        <f t="shared" si="0"/>
        <v>13</v>
      </c>
      <c r="B27" s="42" t="s">
        <v>334</v>
      </c>
      <c r="C27" s="43"/>
      <c r="D27" s="609"/>
      <c r="E27" s="326"/>
      <c r="F27" s="326"/>
      <c r="G27" s="326"/>
      <c r="H27" s="326"/>
      <c r="I27" s="326"/>
      <c r="J27" s="326"/>
      <c r="K27" s="327"/>
      <c r="L27" s="610"/>
      <c r="M27" s="326"/>
      <c r="N27" s="326"/>
      <c r="O27" s="327"/>
      <c r="P27" s="609"/>
      <c r="Q27" s="326"/>
      <c r="R27" s="326"/>
      <c r="S27" s="327"/>
      <c r="T27" s="610"/>
      <c r="U27" s="326"/>
      <c r="V27" s="326"/>
      <c r="W27" s="327"/>
      <c r="X27" s="609"/>
      <c r="Y27" s="326"/>
      <c r="Z27" s="326"/>
      <c r="AA27" s="327"/>
      <c r="AB27" s="451"/>
      <c r="AC27" s="326"/>
      <c r="AD27" s="327"/>
      <c r="AE27" s="526"/>
      <c r="AF27" s="326"/>
      <c r="AG27" s="327"/>
      <c r="AH27" s="607"/>
      <c r="AI27" s="326"/>
      <c r="AJ27" s="327"/>
      <c r="AK27" s="497"/>
      <c r="AL27" s="326"/>
      <c r="AM27" s="327"/>
      <c r="AN27" s="44"/>
      <c r="AO27" s="45"/>
      <c r="AP27" s="44"/>
      <c r="AQ27" s="45"/>
      <c r="AR27" s="44"/>
      <c r="AS27" s="45"/>
      <c r="AT27" s="44"/>
      <c r="AU27" s="45"/>
      <c r="AV27" s="44"/>
      <c r="AW27" s="45"/>
      <c r="AX27" s="44"/>
      <c r="AY27" s="45"/>
      <c r="AZ27" s="46"/>
      <c r="BA27" s="47"/>
      <c r="BB27" s="48"/>
      <c r="BC27" s="47"/>
      <c r="BD27" s="48"/>
      <c r="BE27" s="47"/>
      <c r="BF27" s="48"/>
      <c r="BG27" s="47"/>
      <c r="BH27" s="48"/>
      <c r="BI27" s="608" t="s">
        <v>303</v>
      </c>
      <c r="BJ27" s="326"/>
      <c r="BK27" s="326"/>
      <c r="BL27" s="326"/>
      <c r="BM27" s="326"/>
      <c r="BN27" s="326"/>
      <c r="BO27" s="326"/>
      <c r="BP27" s="326"/>
      <c r="BQ27" s="326"/>
      <c r="BR27" s="326"/>
      <c r="BS27" s="326"/>
      <c r="BT27" s="326"/>
      <c r="BU27" s="326"/>
      <c r="BV27" s="327"/>
    </row>
    <row r="28" spans="1:74" ht="30" customHeight="1" x14ac:dyDescent="0.25">
      <c r="A28" s="49">
        <f t="shared" si="0"/>
        <v>14</v>
      </c>
      <c r="B28" s="42" t="s">
        <v>334</v>
      </c>
      <c r="C28" s="43"/>
      <c r="D28" s="609"/>
      <c r="E28" s="326"/>
      <c r="F28" s="326"/>
      <c r="G28" s="326"/>
      <c r="H28" s="326"/>
      <c r="I28" s="326"/>
      <c r="J28" s="326"/>
      <c r="K28" s="327"/>
      <c r="L28" s="610"/>
      <c r="M28" s="326"/>
      <c r="N28" s="326"/>
      <c r="O28" s="327"/>
      <c r="P28" s="609"/>
      <c r="Q28" s="326"/>
      <c r="R28" s="326"/>
      <c r="S28" s="327"/>
      <c r="T28" s="610"/>
      <c r="U28" s="326"/>
      <c r="V28" s="326"/>
      <c r="W28" s="327"/>
      <c r="X28" s="609"/>
      <c r="Y28" s="326"/>
      <c r="Z28" s="326"/>
      <c r="AA28" s="327"/>
      <c r="AB28" s="451"/>
      <c r="AC28" s="326"/>
      <c r="AD28" s="327"/>
      <c r="AE28" s="526"/>
      <c r="AF28" s="326"/>
      <c r="AG28" s="327"/>
      <c r="AH28" s="607"/>
      <c r="AI28" s="326"/>
      <c r="AJ28" s="327"/>
      <c r="AK28" s="497"/>
      <c r="AL28" s="326"/>
      <c r="AM28" s="327"/>
      <c r="AN28" s="44"/>
      <c r="AO28" s="45"/>
      <c r="AP28" s="44"/>
      <c r="AQ28" s="45"/>
      <c r="AR28" s="44"/>
      <c r="AS28" s="45"/>
      <c r="AT28" s="44"/>
      <c r="AU28" s="45"/>
      <c r="AV28" s="44"/>
      <c r="AW28" s="45"/>
      <c r="AX28" s="44"/>
      <c r="AY28" s="45"/>
      <c r="AZ28" s="46"/>
      <c r="BA28" s="47"/>
      <c r="BB28" s="48"/>
      <c r="BC28" s="47"/>
      <c r="BD28" s="48"/>
      <c r="BE28" s="47"/>
      <c r="BF28" s="48"/>
      <c r="BG28" s="47"/>
      <c r="BH28" s="48"/>
      <c r="BI28" s="608" t="s">
        <v>303</v>
      </c>
      <c r="BJ28" s="326"/>
      <c r="BK28" s="326"/>
      <c r="BL28" s="326"/>
      <c r="BM28" s="326"/>
      <c r="BN28" s="326"/>
      <c r="BO28" s="326"/>
      <c r="BP28" s="326"/>
      <c r="BQ28" s="326"/>
      <c r="BR28" s="326"/>
      <c r="BS28" s="326"/>
      <c r="BT28" s="326"/>
      <c r="BU28" s="326"/>
      <c r="BV28" s="327"/>
    </row>
    <row r="29" spans="1:74" ht="30" customHeight="1" x14ac:dyDescent="0.25">
      <c r="A29" s="41">
        <f t="shared" si="0"/>
        <v>15</v>
      </c>
      <c r="B29" s="42" t="s">
        <v>334</v>
      </c>
      <c r="C29" s="43"/>
      <c r="D29" s="609"/>
      <c r="E29" s="326"/>
      <c r="F29" s="326"/>
      <c r="G29" s="326"/>
      <c r="H29" s="326"/>
      <c r="I29" s="326"/>
      <c r="J29" s="326"/>
      <c r="K29" s="327"/>
      <c r="L29" s="610"/>
      <c r="M29" s="326"/>
      <c r="N29" s="326"/>
      <c r="O29" s="327"/>
      <c r="P29" s="609"/>
      <c r="Q29" s="326"/>
      <c r="R29" s="326"/>
      <c r="S29" s="327"/>
      <c r="T29" s="610"/>
      <c r="U29" s="326"/>
      <c r="V29" s="326"/>
      <c r="W29" s="327"/>
      <c r="X29" s="609"/>
      <c r="Y29" s="326"/>
      <c r="Z29" s="326"/>
      <c r="AA29" s="327"/>
      <c r="AB29" s="451"/>
      <c r="AC29" s="326"/>
      <c r="AD29" s="327"/>
      <c r="AE29" s="526"/>
      <c r="AF29" s="326"/>
      <c r="AG29" s="327"/>
      <c r="AH29" s="607"/>
      <c r="AI29" s="326"/>
      <c r="AJ29" s="327"/>
      <c r="AK29" s="497"/>
      <c r="AL29" s="326"/>
      <c r="AM29" s="327"/>
      <c r="AN29" s="44"/>
      <c r="AO29" s="45"/>
      <c r="AP29" s="44"/>
      <c r="AQ29" s="45"/>
      <c r="AR29" s="44"/>
      <c r="AS29" s="45"/>
      <c r="AT29" s="44"/>
      <c r="AU29" s="45"/>
      <c r="AV29" s="44"/>
      <c r="AW29" s="45"/>
      <c r="AX29" s="44"/>
      <c r="AY29" s="45"/>
      <c r="AZ29" s="46"/>
      <c r="BA29" s="47"/>
      <c r="BB29" s="48"/>
      <c r="BC29" s="47"/>
      <c r="BD29" s="48"/>
      <c r="BE29" s="47"/>
      <c r="BF29" s="48"/>
      <c r="BG29" s="47"/>
      <c r="BH29" s="48"/>
      <c r="BI29" s="608" t="s">
        <v>307</v>
      </c>
      <c r="BJ29" s="326"/>
      <c r="BK29" s="326"/>
      <c r="BL29" s="326"/>
      <c r="BM29" s="326"/>
      <c r="BN29" s="326"/>
      <c r="BO29" s="326"/>
      <c r="BP29" s="326"/>
      <c r="BQ29" s="326"/>
      <c r="BR29" s="326"/>
      <c r="BS29" s="326"/>
      <c r="BT29" s="326"/>
      <c r="BU29" s="326"/>
      <c r="BV29" s="327"/>
    </row>
    <row r="30" spans="1:74" ht="30" customHeight="1" x14ac:dyDescent="0.25">
      <c r="A30" s="49">
        <f t="shared" si="0"/>
        <v>16</v>
      </c>
      <c r="B30" s="42" t="s">
        <v>334</v>
      </c>
      <c r="C30" s="43"/>
      <c r="D30" s="609"/>
      <c r="E30" s="326"/>
      <c r="F30" s="326"/>
      <c r="G30" s="326"/>
      <c r="H30" s="326"/>
      <c r="I30" s="326"/>
      <c r="J30" s="326"/>
      <c r="K30" s="327"/>
      <c r="L30" s="610"/>
      <c r="M30" s="326"/>
      <c r="N30" s="326"/>
      <c r="O30" s="327"/>
      <c r="P30" s="609"/>
      <c r="Q30" s="326"/>
      <c r="R30" s="326"/>
      <c r="S30" s="327"/>
      <c r="T30" s="610"/>
      <c r="U30" s="326"/>
      <c r="V30" s="326"/>
      <c r="W30" s="327"/>
      <c r="X30" s="609"/>
      <c r="Y30" s="326"/>
      <c r="Z30" s="326"/>
      <c r="AA30" s="327"/>
      <c r="AB30" s="451"/>
      <c r="AC30" s="326"/>
      <c r="AD30" s="327"/>
      <c r="AE30" s="526"/>
      <c r="AF30" s="326"/>
      <c r="AG30" s="327"/>
      <c r="AH30" s="607"/>
      <c r="AI30" s="326"/>
      <c r="AJ30" s="327"/>
      <c r="AK30" s="497"/>
      <c r="AL30" s="326"/>
      <c r="AM30" s="327"/>
      <c r="AN30" s="44"/>
      <c r="AO30" s="45"/>
      <c r="AP30" s="44"/>
      <c r="AQ30" s="45"/>
      <c r="AR30" s="44"/>
      <c r="AS30" s="45"/>
      <c r="AT30" s="44"/>
      <c r="AU30" s="45"/>
      <c r="AV30" s="44"/>
      <c r="AW30" s="45"/>
      <c r="AX30" s="44"/>
      <c r="AY30" s="45"/>
      <c r="AZ30" s="46"/>
      <c r="BA30" s="47"/>
      <c r="BB30" s="48"/>
      <c r="BC30" s="47"/>
      <c r="BD30" s="48"/>
      <c r="BE30" s="47"/>
      <c r="BF30" s="48"/>
      <c r="BG30" s="47"/>
      <c r="BH30" s="48"/>
      <c r="BI30" s="608" t="s">
        <v>307</v>
      </c>
      <c r="BJ30" s="326"/>
      <c r="BK30" s="326"/>
      <c r="BL30" s="326"/>
      <c r="BM30" s="326"/>
      <c r="BN30" s="326"/>
      <c r="BO30" s="326"/>
      <c r="BP30" s="326"/>
      <c r="BQ30" s="326"/>
      <c r="BR30" s="326"/>
      <c r="BS30" s="326"/>
      <c r="BT30" s="326"/>
      <c r="BU30" s="326"/>
      <c r="BV30" s="327"/>
    </row>
    <row r="31" spans="1:74" ht="30" customHeight="1" x14ac:dyDescent="0.25">
      <c r="A31" s="49">
        <f t="shared" si="0"/>
        <v>17</v>
      </c>
      <c r="B31" s="42" t="s">
        <v>334</v>
      </c>
      <c r="C31" s="43"/>
      <c r="D31" s="609"/>
      <c r="E31" s="326"/>
      <c r="F31" s="326"/>
      <c r="G31" s="326"/>
      <c r="H31" s="326"/>
      <c r="I31" s="326"/>
      <c r="J31" s="326"/>
      <c r="K31" s="327"/>
      <c r="L31" s="610"/>
      <c r="M31" s="326"/>
      <c r="N31" s="326"/>
      <c r="O31" s="327"/>
      <c r="P31" s="609"/>
      <c r="Q31" s="326"/>
      <c r="R31" s="326"/>
      <c r="S31" s="327"/>
      <c r="T31" s="610"/>
      <c r="U31" s="326"/>
      <c r="V31" s="326"/>
      <c r="W31" s="327"/>
      <c r="X31" s="609"/>
      <c r="Y31" s="326"/>
      <c r="Z31" s="326"/>
      <c r="AA31" s="327"/>
      <c r="AB31" s="451"/>
      <c r="AC31" s="326"/>
      <c r="AD31" s="327"/>
      <c r="AE31" s="526"/>
      <c r="AF31" s="326"/>
      <c r="AG31" s="327"/>
      <c r="AH31" s="607"/>
      <c r="AI31" s="326"/>
      <c r="AJ31" s="327"/>
      <c r="AK31" s="497"/>
      <c r="AL31" s="326"/>
      <c r="AM31" s="327"/>
      <c r="AN31" s="44"/>
      <c r="AO31" s="45"/>
      <c r="AP31" s="44"/>
      <c r="AQ31" s="45"/>
      <c r="AR31" s="44"/>
      <c r="AS31" s="45"/>
      <c r="AT31" s="44"/>
      <c r="AU31" s="45"/>
      <c r="AV31" s="44"/>
      <c r="AW31" s="45"/>
      <c r="AX31" s="44"/>
      <c r="AY31" s="45"/>
      <c r="AZ31" s="46"/>
      <c r="BA31" s="47"/>
      <c r="BB31" s="48"/>
      <c r="BC31" s="47"/>
      <c r="BD31" s="48"/>
      <c r="BE31" s="47"/>
      <c r="BF31" s="48"/>
      <c r="BG31" s="47"/>
      <c r="BH31" s="48"/>
      <c r="BI31" s="608" t="s">
        <v>307</v>
      </c>
      <c r="BJ31" s="326"/>
      <c r="BK31" s="326"/>
      <c r="BL31" s="326"/>
      <c r="BM31" s="326"/>
      <c r="BN31" s="326"/>
      <c r="BO31" s="326"/>
      <c r="BP31" s="326"/>
      <c r="BQ31" s="326"/>
      <c r="BR31" s="326"/>
      <c r="BS31" s="326"/>
      <c r="BT31" s="326"/>
      <c r="BU31" s="326"/>
      <c r="BV31" s="327"/>
    </row>
    <row r="32" spans="1:74" ht="30" customHeight="1" x14ac:dyDescent="0.25">
      <c r="A32" s="49">
        <f t="shared" si="0"/>
        <v>18</v>
      </c>
      <c r="B32" s="42" t="s">
        <v>334</v>
      </c>
      <c r="C32" s="43"/>
      <c r="D32" s="609"/>
      <c r="E32" s="326"/>
      <c r="F32" s="326"/>
      <c r="G32" s="326"/>
      <c r="H32" s="326"/>
      <c r="I32" s="326"/>
      <c r="J32" s="326"/>
      <c r="K32" s="327"/>
      <c r="L32" s="610"/>
      <c r="M32" s="326"/>
      <c r="N32" s="326"/>
      <c r="O32" s="327"/>
      <c r="P32" s="609"/>
      <c r="Q32" s="326"/>
      <c r="R32" s="326"/>
      <c r="S32" s="327"/>
      <c r="T32" s="610"/>
      <c r="U32" s="326"/>
      <c r="V32" s="326"/>
      <c r="W32" s="327"/>
      <c r="X32" s="609"/>
      <c r="Y32" s="326"/>
      <c r="Z32" s="326"/>
      <c r="AA32" s="327"/>
      <c r="AB32" s="451"/>
      <c r="AC32" s="326"/>
      <c r="AD32" s="327"/>
      <c r="AE32" s="526"/>
      <c r="AF32" s="326"/>
      <c r="AG32" s="327"/>
      <c r="AH32" s="607"/>
      <c r="AI32" s="326"/>
      <c r="AJ32" s="327"/>
      <c r="AK32" s="497"/>
      <c r="AL32" s="326"/>
      <c r="AM32" s="327"/>
      <c r="AN32" s="44"/>
      <c r="AO32" s="45"/>
      <c r="AP32" s="44"/>
      <c r="AQ32" s="45"/>
      <c r="AR32" s="44"/>
      <c r="AS32" s="45"/>
      <c r="AT32" s="44"/>
      <c r="AU32" s="45"/>
      <c r="AV32" s="44"/>
      <c r="AW32" s="45"/>
      <c r="AX32" s="44"/>
      <c r="AY32" s="45"/>
      <c r="AZ32" s="46"/>
      <c r="BA32" s="47"/>
      <c r="BB32" s="48"/>
      <c r="BC32" s="47"/>
      <c r="BD32" s="48"/>
      <c r="BE32" s="47"/>
      <c r="BF32" s="48"/>
      <c r="BG32" s="47"/>
      <c r="BH32" s="48"/>
      <c r="BI32" s="608" t="s">
        <v>307</v>
      </c>
      <c r="BJ32" s="326"/>
      <c r="BK32" s="326"/>
      <c r="BL32" s="326"/>
      <c r="BM32" s="326"/>
      <c r="BN32" s="326"/>
      <c r="BO32" s="326"/>
      <c r="BP32" s="326"/>
      <c r="BQ32" s="326"/>
      <c r="BR32" s="326"/>
      <c r="BS32" s="326"/>
      <c r="BT32" s="326"/>
      <c r="BU32" s="326"/>
      <c r="BV32" s="327"/>
    </row>
    <row r="33" spans="1:74" ht="30" customHeight="1" x14ac:dyDescent="0.25">
      <c r="A33" s="49">
        <f t="shared" si="0"/>
        <v>19</v>
      </c>
      <c r="B33" s="42" t="s">
        <v>334</v>
      </c>
      <c r="C33" s="43"/>
      <c r="D33" s="609"/>
      <c r="E33" s="326"/>
      <c r="F33" s="326"/>
      <c r="G33" s="326"/>
      <c r="H33" s="326"/>
      <c r="I33" s="326"/>
      <c r="J33" s="326"/>
      <c r="K33" s="327"/>
      <c r="L33" s="610"/>
      <c r="M33" s="326"/>
      <c r="N33" s="326"/>
      <c r="O33" s="327"/>
      <c r="P33" s="609"/>
      <c r="Q33" s="326"/>
      <c r="R33" s="326"/>
      <c r="S33" s="327"/>
      <c r="T33" s="610"/>
      <c r="U33" s="326"/>
      <c r="V33" s="326"/>
      <c r="W33" s="327"/>
      <c r="X33" s="609"/>
      <c r="Y33" s="326"/>
      <c r="Z33" s="326"/>
      <c r="AA33" s="327"/>
      <c r="AB33" s="451"/>
      <c r="AC33" s="326"/>
      <c r="AD33" s="327"/>
      <c r="AE33" s="526"/>
      <c r="AF33" s="326"/>
      <c r="AG33" s="327"/>
      <c r="AH33" s="607"/>
      <c r="AI33" s="326"/>
      <c r="AJ33" s="327"/>
      <c r="AK33" s="497"/>
      <c r="AL33" s="326"/>
      <c r="AM33" s="327"/>
      <c r="AN33" s="44"/>
      <c r="AO33" s="45"/>
      <c r="AP33" s="44"/>
      <c r="AQ33" s="45"/>
      <c r="AR33" s="44"/>
      <c r="AS33" s="45"/>
      <c r="AT33" s="44"/>
      <c r="AU33" s="45"/>
      <c r="AV33" s="44"/>
      <c r="AW33" s="45"/>
      <c r="AX33" s="44"/>
      <c r="AY33" s="45"/>
      <c r="AZ33" s="46"/>
      <c r="BA33" s="47"/>
      <c r="BB33" s="48"/>
      <c r="BC33" s="47"/>
      <c r="BD33" s="48"/>
      <c r="BE33" s="47"/>
      <c r="BF33" s="48"/>
      <c r="BG33" s="47"/>
      <c r="BH33" s="48"/>
      <c r="BI33" s="608" t="s">
        <v>307</v>
      </c>
      <c r="BJ33" s="326"/>
      <c r="BK33" s="326"/>
      <c r="BL33" s="326"/>
      <c r="BM33" s="326"/>
      <c r="BN33" s="326"/>
      <c r="BO33" s="326"/>
      <c r="BP33" s="326"/>
      <c r="BQ33" s="326"/>
      <c r="BR33" s="326"/>
      <c r="BS33" s="326"/>
      <c r="BT33" s="326"/>
      <c r="BU33" s="326"/>
      <c r="BV33" s="327"/>
    </row>
    <row r="34" spans="1:74" ht="30" customHeight="1" x14ac:dyDescent="0.25">
      <c r="A34" s="49">
        <f t="shared" si="0"/>
        <v>20</v>
      </c>
      <c r="B34" s="42" t="s">
        <v>334</v>
      </c>
      <c r="C34" s="43"/>
      <c r="D34" s="609"/>
      <c r="E34" s="326"/>
      <c r="F34" s="326"/>
      <c r="G34" s="326"/>
      <c r="H34" s="326"/>
      <c r="I34" s="326"/>
      <c r="J34" s="326"/>
      <c r="K34" s="327"/>
      <c r="L34" s="610"/>
      <c r="M34" s="326"/>
      <c r="N34" s="326"/>
      <c r="O34" s="327"/>
      <c r="P34" s="609"/>
      <c r="Q34" s="326"/>
      <c r="R34" s="326"/>
      <c r="S34" s="327"/>
      <c r="T34" s="610"/>
      <c r="U34" s="326"/>
      <c r="V34" s="326"/>
      <c r="W34" s="327"/>
      <c r="X34" s="609"/>
      <c r="Y34" s="326"/>
      <c r="Z34" s="326"/>
      <c r="AA34" s="327"/>
      <c r="AB34" s="451"/>
      <c r="AC34" s="326"/>
      <c r="AD34" s="327"/>
      <c r="AE34" s="526"/>
      <c r="AF34" s="326"/>
      <c r="AG34" s="327"/>
      <c r="AH34" s="607"/>
      <c r="AI34" s="326"/>
      <c r="AJ34" s="327"/>
      <c r="AK34" s="497"/>
      <c r="AL34" s="326"/>
      <c r="AM34" s="327"/>
      <c r="AN34" s="44"/>
      <c r="AO34" s="45"/>
      <c r="AP34" s="44"/>
      <c r="AQ34" s="45"/>
      <c r="AR34" s="44"/>
      <c r="AS34" s="45"/>
      <c r="AT34" s="44"/>
      <c r="AU34" s="45"/>
      <c r="AV34" s="44"/>
      <c r="AW34" s="45"/>
      <c r="AX34" s="44"/>
      <c r="AY34" s="45"/>
      <c r="AZ34" s="46"/>
      <c r="BA34" s="47"/>
      <c r="BB34" s="48"/>
      <c r="BC34" s="47"/>
      <c r="BD34" s="48"/>
      <c r="BE34" s="47"/>
      <c r="BF34" s="48"/>
      <c r="BG34" s="47"/>
      <c r="BH34" s="48"/>
      <c r="BI34" s="608" t="s">
        <v>303</v>
      </c>
      <c r="BJ34" s="326"/>
      <c r="BK34" s="326"/>
      <c r="BL34" s="326"/>
      <c r="BM34" s="326"/>
      <c r="BN34" s="326"/>
      <c r="BO34" s="326"/>
      <c r="BP34" s="326"/>
      <c r="BQ34" s="326"/>
      <c r="BR34" s="326"/>
      <c r="BS34" s="326"/>
      <c r="BT34" s="326"/>
      <c r="BU34" s="326"/>
      <c r="BV34" s="327"/>
    </row>
    <row r="35" spans="1:74" ht="30" customHeight="1" x14ac:dyDescent="0.25">
      <c r="A35" s="49">
        <f t="shared" si="0"/>
        <v>21</v>
      </c>
      <c r="B35" s="42" t="s">
        <v>334</v>
      </c>
      <c r="C35" s="43"/>
      <c r="D35" s="609"/>
      <c r="E35" s="326"/>
      <c r="F35" s="326"/>
      <c r="G35" s="326"/>
      <c r="H35" s="326"/>
      <c r="I35" s="326"/>
      <c r="J35" s="326"/>
      <c r="K35" s="327"/>
      <c r="L35" s="610"/>
      <c r="M35" s="326"/>
      <c r="N35" s="326"/>
      <c r="O35" s="327"/>
      <c r="P35" s="609"/>
      <c r="Q35" s="326"/>
      <c r="R35" s="326"/>
      <c r="S35" s="327"/>
      <c r="T35" s="610"/>
      <c r="U35" s="326"/>
      <c r="V35" s="326"/>
      <c r="W35" s="327"/>
      <c r="X35" s="609"/>
      <c r="Y35" s="326"/>
      <c r="Z35" s="326"/>
      <c r="AA35" s="327"/>
      <c r="AB35" s="451"/>
      <c r="AC35" s="326"/>
      <c r="AD35" s="327"/>
      <c r="AE35" s="526"/>
      <c r="AF35" s="326"/>
      <c r="AG35" s="327"/>
      <c r="AH35" s="607"/>
      <c r="AI35" s="326"/>
      <c r="AJ35" s="327"/>
      <c r="AK35" s="497"/>
      <c r="AL35" s="326"/>
      <c r="AM35" s="327"/>
      <c r="AN35" s="44"/>
      <c r="AO35" s="45"/>
      <c r="AP35" s="44"/>
      <c r="AQ35" s="45"/>
      <c r="AR35" s="44"/>
      <c r="AS35" s="45"/>
      <c r="AT35" s="44"/>
      <c r="AU35" s="45"/>
      <c r="AV35" s="44"/>
      <c r="AW35" s="45"/>
      <c r="AX35" s="44"/>
      <c r="AY35" s="45"/>
      <c r="AZ35" s="46"/>
      <c r="BA35" s="47"/>
      <c r="BB35" s="48"/>
      <c r="BC35" s="47"/>
      <c r="BD35" s="48"/>
      <c r="BE35" s="47"/>
      <c r="BF35" s="48"/>
      <c r="BG35" s="47"/>
      <c r="BH35" s="48"/>
      <c r="BI35" s="608" t="s">
        <v>303</v>
      </c>
      <c r="BJ35" s="326"/>
      <c r="BK35" s="326"/>
      <c r="BL35" s="326"/>
      <c r="BM35" s="326"/>
      <c r="BN35" s="326"/>
      <c r="BO35" s="326"/>
      <c r="BP35" s="326"/>
      <c r="BQ35" s="326"/>
      <c r="BR35" s="326"/>
      <c r="BS35" s="326"/>
      <c r="BT35" s="326"/>
      <c r="BU35" s="326"/>
      <c r="BV35" s="327"/>
    </row>
    <row r="36" spans="1:74" ht="30" customHeight="1" x14ac:dyDescent="0.25">
      <c r="A36" s="41">
        <f t="shared" si="0"/>
        <v>22</v>
      </c>
      <c r="B36" s="42" t="s">
        <v>334</v>
      </c>
      <c r="C36" s="43"/>
      <c r="D36" s="609"/>
      <c r="E36" s="326"/>
      <c r="F36" s="326"/>
      <c r="G36" s="326"/>
      <c r="H36" s="326"/>
      <c r="I36" s="326"/>
      <c r="J36" s="326"/>
      <c r="K36" s="327"/>
      <c r="L36" s="610"/>
      <c r="M36" s="326"/>
      <c r="N36" s="326"/>
      <c r="O36" s="327"/>
      <c r="P36" s="609"/>
      <c r="Q36" s="326"/>
      <c r="R36" s="326"/>
      <c r="S36" s="327"/>
      <c r="T36" s="610"/>
      <c r="U36" s="326"/>
      <c r="V36" s="326"/>
      <c r="W36" s="327"/>
      <c r="X36" s="609"/>
      <c r="Y36" s="326"/>
      <c r="Z36" s="326"/>
      <c r="AA36" s="327"/>
      <c r="AB36" s="451"/>
      <c r="AC36" s="326"/>
      <c r="AD36" s="327"/>
      <c r="AE36" s="526"/>
      <c r="AF36" s="326"/>
      <c r="AG36" s="327"/>
      <c r="AH36" s="607"/>
      <c r="AI36" s="326"/>
      <c r="AJ36" s="327"/>
      <c r="AK36" s="497"/>
      <c r="AL36" s="326"/>
      <c r="AM36" s="327"/>
      <c r="AN36" s="44"/>
      <c r="AO36" s="45"/>
      <c r="AP36" s="44"/>
      <c r="AQ36" s="45"/>
      <c r="AR36" s="44"/>
      <c r="AS36" s="45"/>
      <c r="AT36" s="44"/>
      <c r="AU36" s="45"/>
      <c r="AV36" s="44"/>
      <c r="AW36" s="45"/>
      <c r="AX36" s="44"/>
      <c r="AY36" s="45"/>
      <c r="AZ36" s="46"/>
      <c r="BA36" s="47"/>
      <c r="BB36" s="48"/>
      <c r="BC36" s="47"/>
      <c r="BD36" s="48"/>
      <c r="BE36" s="47"/>
      <c r="BF36" s="48"/>
      <c r="BG36" s="47"/>
      <c r="BH36" s="48"/>
      <c r="BI36" s="608" t="s">
        <v>307</v>
      </c>
      <c r="BJ36" s="326"/>
      <c r="BK36" s="326"/>
      <c r="BL36" s="326"/>
      <c r="BM36" s="326"/>
      <c r="BN36" s="326"/>
      <c r="BO36" s="326"/>
      <c r="BP36" s="326"/>
      <c r="BQ36" s="326"/>
      <c r="BR36" s="326"/>
      <c r="BS36" s="326"/>
      <c r="BT36" s="326"/>
      <c r="BU36" s="326"/>
      <c r="BV36" s="327"/>
    </row>
    <row r="37" spans="1:74" ht="30" customHeight="1" x14ac:dyDescent="0.25">
      <c r="A37" s="49">
        <f t="shared" si="0"/>
        <v>23</v>
      </c>
      <c r="B37" s="42" t="s">
        <v>334</v>
      </c>
      <c r="C37" s="43"/>
      <c r="D37" s="609"/>
      <c r="E37" s="326"/>
      <c r="F37" s="326"/>
      <c r="G37" s="326"/>
      <c r="H37" s="326"/>
      <c r="I37" s="326"/>
      <c r="J37" s="326"/>
      <c r="K37" s="327"/>
      <c r="L37" s="610"/>
      <c r="M37" s="326"/>
      <c r="N37" s="326"/>
      <c r="O37" s="327"/>
      <c r="P37" s="609"/>
      <c r="Q37" s="326"/>
      <c r="R37" s="326"/>
      <c r="S37" s="327"/>
      <c r="T37" s="610"/>
      <c r="U37" s="326"/>
      <c r="V37" s="326"/>
      <c r="W37" s="327"/>
      <c r="X37" s="609"/>
      <c r="Y37" s="326"/>
      <c r="Z37" s="326"/>
      <c r="AA37" s="327"/>
      <c r="AB37" s="451"/>
      <c r="AC37" s="326"/>
      <c r="AD37" s="327"/>
      <c r="AE37" s="526"/>
      <c r="AF37" s="326"/>
      <c r="AG37" s="327"/>
      <c r="AH37" s="607"/>
      <c r="AI37" s="326"/>
      <c r="AJ37" s="327"/>
      <c r="AK37" s="497"/>
      <c r="AL37" s="326"/>
      <c r="AM37" s="327"/>
      <c r="AN37" s="44"/>
      <c r="AO37" s="45"/>
      <c r="AP37" s="44"/>
      <c r="AQ37" s="45"/>
      <c r="AR37" s="44"/>
      <c r="AS37" s="45"/>
      <c r="AT37" s="44"/>
      <c r="AU37" s="45"/>
      <c r="AV37" s="44"/>
      <c r="AW37" s="45"/>
      <c r="AX37" s="44"/>
      <c r="AY37" s="45"/>
      <c r="AZ37" s="46"/>
      <c r="BA37" s="47"/>
      <c r="BB37" s="48"/>
      <c r="BC37" s="47"/>
      <c r="BD37" s="48"/>
      <c r="BE37" s="47"/>
      <c r="BF37" s="48"/>
      <c r="BG37" s="47"/>
      <c r="BH37" s="48"/>
      <c r="BI37" s="608" t="s">
        <v>307</v>
      </c>
      <c r="BJ37" s="326"/>
      <c r="BK37" s="326"/>
      <c r="BL37" s="326"/>
      <c r="BM37" s="326"/>
      <c r="BN37" s="326"/>
      <c r="BO37" s="326"/>
      <c r="BP37" s="326"/>
      <c r="BQ37" s="326"/>
      <c r="BR37" s="326"/>
      <c r="BS37" s="326"/>
      <c r="BT37" s="326"/>
      <c r="BU37" s="326"/>
      <c r="BV37" s="327"/>
    </row>
    <row r="38" spans="1:74" ht="30" customHeight="1" x14ac:dyDescent="0.25">
      <c r="A38" s="49">
        <f t="shared" si="0"/>
        <v>24</v>
      </c>
      <c r="B38" s="42" t="s">
        <v>334</v>
      </c>
      <c r="C38" s="43"/>
      <c r="D38" s="609"/>
      <c r="E38" s="326"/>
      <c r="F38" s="326"/>
      <c r="G38" s="326"/>
      <c r="H38" s="326"/>
      <c r="I38" s="326"/>
      <c r="J38" s="326"/>
      <c r="K38" s="327"/>
      <c r="L38" s="610"/>
      <c r="M38" s="326"/>
      <c r="N38" s="326"/>
      <c r="O38" s="327"/>
      <c r="P38" s="609"/>
      <c r="Q38" s="326"/>
      <c r="R38" s="326"/>
      <c r="S38" s="327"/>
      <c r="T38" s="610"/>
      <c r="U38" s="326"/>
      <c r="V38" s="326"/>
      <c r="W38" s="327"/>
      <c r="X38" s="609"/>
      <c r="Y38" s="326"/>
      <c r="Z38" s="326"/>
      <c r="AA38" s="327"/>
      <c r="AB38" s="451"/>
      <c r="AC38" s="326"/>
      <c r="AD38" s="327"/>
      <c r="AE38" s="526"/>
      <c r="AF38" s="326"/>
      <c r="AG38" s="327"/>
      <c r="AH38" s="607"/>
      <c r="AI38" s="326"/>
      <c r="AJ38" s="327"/>
      <c r="AK38" s="497"/>
      <c r="AL38" s="326"/>
      <c r="AM38" s="327"/>
      <c r="AN38" s="44"/>
      <c r="AO38" s="45"/>
      <c r="AP38" s="44"/>
      <c r="AQ38" s="45"/>
      <c r="AR38" s="44"/>
      <c r="AS38" s="45"/>
      <c r="AT38" s="44"/>
      <c r="AU38" s="45"/>
      <c r="AV38" s="44"/>
      <c r="AW38" s="45"/>
      <c r="AX38" s="44"/>
      <c r="AY38" s="45"/>
      <c r="AZ38" s="46"/>
      <c r="BA38" s="47"/>
      <c r="BB38" s="48"/>
      <c r="BC38" s="47"/>
      <c r="BD38" s="48"/>
      <c r="BE38" s="47"/>
      <c r="BF38" s="48"/>
      <c r="BG38" s="47"/>
      <c r="BH38" s="48"/>
      <c r="BI38" s="608" t="s">
        <v>307</v>
      </c>
      <c r="BJ38" s="326"/>
      <c r="BK38" s="326"/>
      <c r="BL38" s="326"/>
      <c r="BM38" s="326"/>
      <c r="BN38" s="326"/>
      <c r="BO38" s="326"/>
      <c r="BP38" s="326"/>
      <c r="BQ38" s="326"/>
      <c r="BR38" s="326"/>
      <c r="BS38" s="326"/>
      <c r="BT38" s="326"/>
      <c r="BU38" s="326"/>
      <c r="BV38" s="327"/>
    </row>
    <row r="39" spans="1:74" ht="30" customHeight="1" x14ac:dyDescent="0.25">
      <c r="A39" s="49">
        <f t="shared" si="0"/>
        <v>25</v>
      </c>
      <c r="B39" s="42" t="s">
        <v>334</v>
      </c>
      <c r="C39" s="43"/>
      <c r="D39" s="609"/>
      <c r="E39" s="326"/>
      <c r="F39" s="326"/>
      <c r="G39" s="326"/>
      <c r="H39" s="326"/>
      <c r="I39" s="326"/>
      <c r="J39" s="326"/>
      <c r="K39" s="327"/>
      <c r="L39" s="610"/>
      <c r="M39" s="326"/>
      <c r="N39" s="326"/>
      <c r="O39" s="327"/>
      <c r="P39" s="609"/>
      <c r="Q39" s="326"/>
      <c r="R39" s="326"/>
      <c r="S39" s="327"/>
      <c r="T39" s="610"/>
      <c r="U39" s="326"/>
      <c r="V39" s="326"/>
      <c r="W39" s="327"/>
      <c r="X39" s="609"/>
      <c r="Y39" s="326"/>
      <c r="Z39" s="326"/>
      <c r="AA39" s="327"/>
      <c r="AB39" s="451"/>
      <c r="AC39" s="326"/>
      <c r="AD39" s="327"/>
      <c r="AE39" s="526"/>
      <c r="AF39" s="326"/>
      <c r="AG39" s="327"/>
      <c r="AH39" s="607"/>
      <c r="AI39" s="326"/>
      <c r="AJ39" s="327"/>
      <c r="AK39" s="497"/>
      <c r="AL39" s="326"/>
      <c r="AM39" s="327"/>
      <c r="AN39" s="44"/>
      <c r="AO39" s="45"/>
      <c r="AP39" s="44"/>
      <c r="AQ39" s="45"/>
      <c r="AR39" s="44"/>
      <c r="AS39" s="45"/>
      <c r="AT39" s="44"/>
      <c r="AU39" s="45"/>
      <c r="AV39" s="44"/>
      <c r="AW39" s="45"/>
      <c r="AX39" s="44"/>
      <c r="AY39" s="45"/>
      <c r="AZ39" s="46"/>
      <c r="BA39" s="47"/>
      <c r="BB39" s="48"/>
      <c r="BC39" s="47"/>
      <c r="BD39" s="48"/>
      <c r="BE39" s="47"/>
      <c r="BF39" s="48"/>
      <c r="BG39" s="47"/>
      <c r="BH39" s="48"/>
      <c r="BI39" s="608" t="s">
        <v>307</v>
      </c>
      <c r="BJ39" s="326"/>
      <c r="BK39" s="326"/>
      <c r="BL39" s="326"/>
      <c r="BM39" s="326"/>
      <c r="BN39" s="326"/>
      <c r="BO39" s="326"/>
      <c r="BP39" s="326"/>
      <c r="BQ39" s="326"/>
      <c r="BR39" s="326"/>
      <c r="BS39" s="326"/>
      <c r="BT39" s="326"/>
      <c r="BU39" s="326"/>
      <c r="BV39" s="327"/>
    </row>
    <row r="40" spans="1:74" ht="30" customHeight="1" x14ac:dyDescent="0.25">
      <c r="A40" s="49">
        <f t="shared" si="0"/>
        <v>26</v>
      </c>
      <c r="B40" s="42" t="s">
        <v>334</v>
      </c>
      <c r="C40" s="43"/>
      <c r="D40" s="609"/>
      <c r="E40" s="326"/>
      <c r="F40" s="326"/>
      <c r="G40" s="326"/>
      <c r="H40" s="326"/>
      <c r="I40" s="326"/>
      <c r="J40" s="326"/>
      <c r="K40" s="327"/>
      <c r="L40" s="610"/>
      <c r="M40" s="326"/>
      <c r="N40" s="326"/>
      <c r="O40" s="327"/>
      <c r="P40" s="609"/>
      <c r="Q40" s="326"/>
      <c r="R40" s="326"/>
      <c r="S40" s="327"/>
      <c r="T40" s="610"/>
      <c r="U40" s="326"/>
      <c r="V40" s="326"/>
      <c r="W40" s="327"/>
      <c r="X40" s="609"/>
      <c r="Y40" s="326"/>
      <c r="Z40" s="326"/>
      <c r="AA40" s="327"/>
      <c r="AB40" s="451"/>
      <c r="AC40" s="326"/>
      <c r="AD40" s="327"/>
      <c r="AE40" s="526"/>
      <c r="AF40" s="326"/>
      <c r="AG40" s="327"/>
      <c r="AH40" s="607"/>
      <c r="AI40" s="326"/>
      <c r="AJ40" s="327"/>
      <c r="AK40" s="497"/>
      <c r="AL40" s="326"/>
      <c r="AM40" s="327"/>
      <c r="AN40" s="44"/>
      <c r="AO40" s="45"/>
      <c r="AP40" s="44"/>
      <c r="AQ40" s="45"/>
      <c r="AR40" s="44"/>
      <c r="AS40" s="45"/>
      <c r="AT40" s="44"/>
      <c r="AU40" s="45"/>
      <c r="AV40" s="44"/>
      <c r="AW40" s="45"/>
      <c r="AX40" s="44"/>
      <c r="AY40" s="45"/>
      <c r="AZ40" s="46"/>
      <c r="BA40" s="47"/>
      <c r="BB40" s="48"/>
      <c r="BC40" s="47"/>
      <c r="BD40" s="48"/>
      <c r="BE40" s="47"/>
      <c r="BF40" s="48"/>
      <c r="BG40" s="47"/>
      <c r="BH40" s="48"/>
      <c r="BI40" s="608" t="s">
        <v>307</v>
      </c>
      <c r="BJ40" s="326"/>
      <c r="BK40" s="326"/>
      <c r="BL40" s="326"/>
      <c r="BM40" s="326"/>
      <c r="BN40" s="326"/>
      <c r="BO40" s="326"/>
      <c r="BP40" s="326"/>
      <c r="BQ40" s="326"/>
      <c r="BR40" s="326"/>
      <c r="BS40" s="326"/>
      <c r="BT40" s="326"/>
      <c r="BU40" s="326"/>
      <c r="BV40" s="327"/>
    </row>
    <row r="41" spans="1:74" ht="30" customHeight="1" x14ac:dyDescent="0.25">
      <c r="A41" s="49">
        <f t="shared" si="0"/>
        <v>27</v>
      </c>
      <c r="B41" s="42" t="s">
        <v>334</v>
      </c>
      <c r="C41" s="43"/>
      <c r="D41" s="609"/>
      <c r="E41" s="326"/>
      <c r="F41" s="326"/>
      <c r="G41" s="326"/>
      <c r="H41" s="326"/>
      <c r="I41" s="326"/>
      <c r="J41" s="326"/>
      <c r="K41" s="327"/>
      <c r="L41" s="610"/>
      <c r="M41" s="326"/>
      <c r="N41" s="326"/>
      <c r="O41" s="327"/>
      <c r="P41" s="609"/>
      <c r="Q41" s="326"/>
      <c r="R41" s="326"/>
      <c r="S41" s="327"/>
      <c r="T41" s="610"/>
      <c r="U41" s="326"/>
      <c r="V41" s="326"/>
      <c r="W41" s="327"/>
      <c r="X41" s="609"/>
      <c r="Y41" s="326"/>
      <c r="Z41" s="326"/>
      <c r="AA41" s="327"/>
      <c r="AB41" s="451"/>
      <c r="AC41" s="326"/>
      <c r="AD41" s="327"/>
      <c r="AE41" s="526"/>
      <c r="AF41" s="326"/>
      <c r="AG41" s="327"/>
      <c r="AH41" s="607"/>
      <c r="AI41" s="326"/>
      <c r="AJ41" s="327"/>
      <c r="AK41" s="497"/>
      <c r="AL41" s="326"/>
      <c r="AM41" s="327"/>
      <c r="AN41" s="44"/>
      <c r="AO41" s="45"/>
      <c r="AP41" s="44"/>
      <c r="AQ41" s="45"/>
      <c r="AR41" s="44"/>
      <c r="AS41" s="45"/>
      <c r="AT41" s="44"/>
      <c r="AU41" s="45"/>
      <c r="AV41" s="44"/>
      <c r="AW41" s="45"/>
      <c r="AX41" s="44"/>
      <c r="AY41" s="45"/>
      <c r="AZ41" s="46"/>
      <c r="BA41" s="47"/>
      <c r="BB41" s="48"/>
      <c r="BC41" s="47"/>
      <c r="BD41" s="48"/>
      <c r="BE41" s="47"/>
      <c r="BF41" s="48"/>
      <c r="BG41" s="47"/>
      <c r="BH41" s="48"/>
      <c r="BI41" s="608" t="s">
        <v>303</v>
      </c>
      <c r="BJ41" s="326"/>
      <c r="BK41" s="326"/>
      <c r="BL41" s="326"/>
      <c r="BM41" s="326"/>
      <c r="BN41" s="326"/>
      <c r="BO41" s="326"/>
      <c r="BP41" s="326"/>
      <c r="BQ41" s="326"/>
      <c r="BR41" s="326"/>
      <c r="BS41" s="326"/>
      <c r="BT41" s="326"/>
      <c r="BU41" s="326"/>
      <c r="BV41" s="327"/>
    </row>
    <row r="42" spans="1:74" ht="30" customHeight="1" x14ac:dyDescent="0.25">
      <c r="A42" s="49">
        <f t="shared" si="0"/>
        <v>28</v>
      </c>
      <c r="B42" s="42" t="s">
        <v>334</v>
      </c>
      <c r="C42" s="43"/>
      <c r="D42" s="609"/>
      <c r="E42" s="326"/>
      <c r="F42" s="326"/>
      <c r="G42" s="326"/>
      <c r="H42" s="326"/>
      <c r="I42" s="326"/>
      <c r="J42" s="326"/>
      <c r="K42" s="327"/>
      <c r="L42" s="610"/>
      <c r="M42" s="326"/>
      <c r="N42" s="326"/>
      <c r="O42" s="327"/>
      <c r="P42" s="609"/>
      <c r="Q42" s="326"/>
      <c r="R42" s="326"/>
      <c r="S42" s="327"/>
      <c r="T42" s="610"/>
      <c r="U42" s="326"/>
      <c r="V42" s="326"/>
      <c r="W42" s="327"/>
      <c r="X42" s="609"/>
      <c r="Y42" s="326"/>
      <c r="Z42" s="326"/>
      <c r="AA42" s="327"/>
      <c r="AB42" s="451"/>
      <c r="AC42" s="326"/>
      <c r="AD42" s="327"/>
      <c r="AE42" s="526"/>
      <c r="AF42" s="326"/>
      <c r="AG42" s="327"/>
      <c r="AH42" s="607"/>
      <c r="AI42" s="326"/>
      <c r="AJ42" s="327"/>
      <c r="AK42" s="497"/>
      <c r="AL42" s="326"/>
      <c r="AM42" s="327"/>
      <c r="AN42" s="44"/>
      <c r="AO42" s="45"/>
      <c r="AP42" s="44"/>
      <c r="AQ42" s="45"/>
      <c r="AR42" s="44"/>
      <c r="AS42" s="45"/>
      <c r="AT42" s="44"/>
      <c r="AU42" s="45"/>
      <c r="AV42" s="44"/>
      <c r="AW42" s="45"/>
      <c r="AX42" s="44"/>
      <c r="AY42" s="45"/>
      <c r="AZ42" s="46"/>
      <c r="BA42" s="47"/>
      <c r="BB42" s="48"/>
      <c r="BC42" s="47"/>
      <c r="BD42" s="48"/>
      <c r="BE42" s="47"/>
      <c r="BF42" s="48"/>
      <c r="BG42" s="47"/>
      <c r="BH42" s="48"/>
      <c r="BI42" s="608" t="s">
        <v>303</v>
      </c>
      <c r="BJ42" s="326"/>
      <c r="BK42" s="326"/>
      <c r="BL42" s="326"/>
      <c r="BM42" s="326"/>
      <c r="BN42" s="326"/>
      <c r="BO42" s="326"/>
      <c r="BP42" s="326"/>
      <c r="BQ42" s="326"/>
      <c r="BR42" s="326"/>
      <c r="BS42" s="326"/>
      <c r="BT42" s="326"/>
      <c r="BU42" s="326"/>
      <c r="BV42" s="327"/>
    </row>
    <row r="43" spans="1:74" ht="30" customHeight="1" x14ac:dyDescent="0.25">
      <c r="A43" s="41">
        <f t="shared" si="0"/>
        <v>29</v>
      </c>
      <c r="B43" s="42" t="s">
        <v>334</v>
      </c>
      <c r="C43" s="43"/>
      <c r="D43" s="609"/>
      <c r="E43" s="326"/>
      <c r="F43" s="326"/>
      <c r="G43" s="326"/>
      <c r="H43" s="326"/>
      <c r="I43" s="326"/>
      <c r="J43" s="326"/>
      <c r="K43" s="327"/>
      <c r="L43" s="610"/>
      <c r="M43" s="326"/>
      <c r="N43" s="326"/>
      <c r="O43" s="327"/>
      <c r="P43" s="609"/>
      <c r="Q43" s="326"/>
      <c r="R43" s="326"/>
      <c r="S43" s="327"/>
      <c r="T43" s="610"/>
      <c r="U43" s="326"/>
      <c r="V43" s="326"/>
      <c r="W43" s="327"/>
      <c r="X43" s="609"/>
      <c r="Y43" s="326"/>
      <c r="Z43" s="326"/>
      <c r="AA43" s="327"/>
      <c r="AB43" s="451"/>
      <c r="AC43" s="326"/>
      <c r="AD43" s="327"/>
      <c r="AE43" s="526"/>
      <c r="AF43" s="326"/>
      <c r="AG43" s="327"/>
      <c r="AH43" s="607"/>
      <c r="AI43" s="326"/>
      <c r="AJ43" s="327"/>
      <c r="AK43" s="497"/>
      <c r="AL43" s="326"/>
      <c r="AM43" s="327"/>
      <c r="AN43" s="44"/>
      <c r="AO43" s="45"/>
      <c r="AP43" s="44"/>
      <c r="AQ43" s="45"/>
      <c r="AR43" s="44"/>
      <c r="AS43" s="45"/>
      <c r="AT43" s="44"/>
      <c r="AU43" s="45"/>
      <c r="AV43" s="44"/>
      <c r="AW43" s="45"/>
      <c r="AX43" s="44"/>
      <c r="AY43" s="45"/>
      <c r="AZ43" s="46"/>
      <c r="BA43" s="47"/>
      <c r="BB43" s="48"/>
      <c r="BC43" s="47"/>
      <c r="BD43" s="48"/>
      <c r="BE43" s="47"/>
      <c r="BF43" s="48"/>
      <c r="BG43" s="47"/>
      <c r="BH43" s="48"/>
      <c r="BI43" s="608" t="s">
        <v>307</v>
      </c>
      <c r="BJ43" s="326"/>
      <c r="BK43" s="326"/>
      <c r="BL43" s="326"/>
      <c r="BM43" s="326"/>
      <c r="BN43" s="326"/>
      <c r="BO43" s="326"/>
      <c r="BP43" s="326"/>
      <c r="BQ43" s="326"/>
      <c r="BR43" s="326"/>
      <c r="BS43" s="326"/>
      <c r="BT43" s="326"/>
      <c r="BU43" s="326"/>
      <c r="BV43" s="327"/>
    </row>
    <row r="44" spans="1:74" ht="30" customHeight="1" x14ac:dyDescent="0.25">
      <c r="A44" s="49">
        <f t="shared" si="0"/>
        <v>30</v>
      </c>
      <c r="B44" s="42" t="s">
        <v>334</v>
      </c>
      <c r="C44" s="43"/>
      <c r="D44" s="609"/>
      <c r="E44" s="326"/>
      <c r="F44" s="326"/>
      <c r="G44" s="326"/>
      <c r="H44" s="326"/>
      <c r="I44" s="326"/>
      <c r="J44" s="326"/>
      <c r="K44" s="327"/>
      <c r="L44" s="610"/>
      <c r="M44" s="326"/>
      <c r="N44" s="326"/>
      <c r="O44" s="327"/>
      <c r="P44" s="609"/>
      <c r="Q44" s="326"/>
      <c r="R44" s="326"/>
      <c r="S44" s="327"/>
      <c r="T44" s="610"/>
      <c r="U44" s="326"/>
      <c r="V44" s="326"/>
      <c r="W44" s="327"/>
      <c r="X44" s="609"/>
      <c r="Y44" s="326"/>
      <c r="Z44" s="326"/>
      <c r="AA44" s="327"/>
      <c r="AB44" s="451"/>
      <c r="AC44" s="326"/>
      <c r="AD44" s="327"/>
      <c r="AE44" s="526"/>
      <c r="AF44" s="326"/>
      <c r="AG44" s="327"/>
      <c r="AH44" s="607"/>
      <c r="AI44" s="326"/>
      <c r="AJ44" s="327"/>
      <c r="AK44" s="497"/>
      <c r="AL44" s="326"/>
      <c r="AM44" s="327"/>
      <c r="AN44" s="44"/>
      <c r="AO44" s="45"/>
      <c r="AP44" s="44"/>
      <c r="AQ44" s="45"/>
      <c r="AR44" s="44"/>
      <c r="AS44" s="45"/>
      <c r="AT44" s="44"/>
      <c r="AU44" s="45"/>
      <c r="AV44" s="44"/>
      <c r="AW44" s="45"/>
      <c r="AX44" s="44"/>
      <c r="AY44" s="45"/>
      <c r="AZ44" s="46"/>
      <c r="BA44" s="47"/>
      <c r="BB44" s="48"/>
      <c r="BC44" s="47"/>
      <c r="BD44" s="48"/>
      <c r="BE44" s="47"/>
      <c r="BF44" s="48"/>
      <c r="BG44" s="47"/>
      <c r="BH44" s="48"/>
      <c r="BI44" s="608" t="s">
        <v>307</v>
      </c>
      <c r="BJ44" s="326"/>
      <c r="BK44" s="326"/>
      <c r="BL44" s="326"/>
      <c r="BM44" s="326"/>
      <c r="BN44" s="326"/>
      <c r="BO44" s="326"/>
      <c r="BP44" s="326"/>
      <c r="BQ44" s="326"/>
      <c r="BR44" s="326"/>
      <c r="BS44" s="326"/>
      <c r="BT44" s="326"/>
      <c r="BU44" s="326"/>
      <c r="BV44" s="327"/>
    </row>
    <row r="45" spans="1:74" ht="30" customHeight="1" x14ac:dyDescent="0.25">
      <c r="A45" s="49">
        <f t="shared" si="0"/>
        <v>31</v>
      </c>
      <c r="B45" s="42" t="s">
        <v>334</v>
      </c>
      <c r="C45" s="43"/>
      <c r="D45" s="609"/>
      <c r="E45" s="326"/>
      <c r="F45" s="326"/>
      <c r="G45" s="326"/>
      <c r="H45" s="326"/>
      <c r="I45" s="326"/>
      <c r="J45" s="326"/>
      <c r="K45" s="327"/>
      <c r="L45" s="610"/>
      <c r="M45" s="326"/>
      <c r="N45" s="326"/>
      <c r="O45" s="327"/>
      <c r="P45" s="609"/>
      <c r="Q45" s="326"/>
      <c r="R45" s="326"/>
      <c r="S45" s="327"/>
      <c r="T45" s="610"/>
      <c r="U45" s="326"/>
      <c r="V45" s="326"/>
      <c r="W45" s="327"/>
      <c r="X45" s="609"/>
      <c r="Y45" s="326"/>
      <c r="Z45" s="326"/>
      <c r="AA45" s="327"/>
      <c r="AB45" s="451"/>
      <c r="AC45" s="326"/>
      <c r="AD45" s="327"/>
      <c r="AE45" s="526"/>
      <c r="AF45" s="326"/>
      <c r="AG45" s="327"/>
      <c r="AH45" s="607"/>
      <c r="AI45" s="326"/>
      <c r="AJ45" s="327"/>
      <c r="AK45" s="497"/>
      <c r="AL45" s="326"/>
      <c r="AM45" s="327"/>
      <c r="AN45" s="44"/>
      <c r="AO45" s="45"/>
      <c r="AP45" s="44"/>
      <c r="AQ45" s="45"/>
      <c r="AR45" s="44"/>
      <c r="AS45" s="45"/>
      <c r="AT45" s="44"/>
      <c r="AU45" s="45"/>
      <c r="AV45" s="44"/>
      <c r="AW45" s="45"/>
      <c r="AX45" s="44"/>
      <c r="AY45" s="45"/>
      <c r="AZ45" s="46"/>
      <c r="BA45" s="47"/>
      <c r="BB45" s="48"/>
      <c r="BC45" s="47"/>
      <c r="BD45" s="48"/>
      <c r="BE45" s="47"/>
      <c r="BF45" s="48"/>
      <c r="BG45" s="47"/>
      <c r="BH45" s="48"/>
      <c r="BI45" s="608" t="s">
        <v>307</v>
      </c>
      <c r="BJ45" s="326"/>
      <c r="BK45" s="326"/>
      <c r="BL45" s="326"/>
      <c r="BM45" s="326"/>
      <c r="BN45" s="326"/>
      <c r="BO45" s="326"/>
      <c r="BP45" s="326"/>
      <c r="BQ45" s="326"/>
      <c r="BR45" s="326"/>
      <c r="BS45" s="326"/>
      <c r="BT45" s="326"/>
      <c r="BU45" s="326"/>
      <c r="BV45" s="327"/>
    </row>
    <row r="46" spans="1:74" ht="30" customHeight="1" x14ac:dyDescent="0.25">
      <c r="A46" s="49">
        <f t="shared" si="0"/>
        <v>32</v>
      </c>
      <c r="B46" s="42" t="s">
        <v>334</v>
      </c>
      <c r="C46" s="43"/>
      <c r="D46" s="609"/>
      <c r="E46" s="326"/>
      <c r="F46" s="326"/>
      <c r="G46" s="326"/>
      <c r="H46" s="326"/>
      <c r="I46" s="326"/>
      <c r="J46" s="326"/>
      <c r="K46" s="327"/>
      <c r="L46" s="610"/>
      <c r="M46" s="326"/>
      <c r="N46" s="326"/>
      <c r="O46" s="327"/>
      <c r="P46" s="609"/>
      <c r="Q46" s="326"/>
      <c r="R46" s="326"/>
      <c r="S46" s="327"/>
      <c r="T46" s="610"/>
      <c r="U46" s="326"/>
      <c r="V46" s="326"/>
      <c r="W46" s="327"/>
      <c r="X46" s="609"/>
      <c r="Y46" s="326"/>
      <c r="Z46" s="326"/>
      <c r="AA46" s="327"/>
      <c r="AB46" s="451"/>
      <c r="AC46" s="326"/>
      <c r="AD46" s="327"/>
      <c r="AE46" s="526"/>
      <c r="AF46" s="326"/>
      <c r="AG46" s="327"/>
      <c r="AH46" s="607"/>
      <c r="AI46" s="326"/>
      <c r="AJ46" s="327"/>
      <c r="AK46" s="497"/>
      <c r="AL46" s="326"/>
      <c r="AM46" s="327"/>
      <c r="AN46" s="44"/>
      <c r="AO46" s="45"/>
      <c r="AP46" s="44"/>
      <c r="AQ46" s="45"/>
      <c r="AR46" s="44"/>
      <c r="AS46" s="45"/>
      <c r="AT46" s="44"/>
      <c r="AU46" s="45"/>
      <c r="AV46" s="44"/>
      <c r="AW46" s="45"/>
      <c r="AX46" s="44"/>
      <c r="AY46" s="45"/>
      <c r="AZ46" s="46"/>
      <c r="BA46" s="47"/>
      <c r="BB46" s="48"/>
      <c r="BC46" s="47"/>
      <c r="BD46" s="48"/>
      <c r="BE46" s="47"/>
      <c r="BF46" s="48"/>
      <c r="BG46" s="47"/>
      <c r="BH46" s="48"/>
      <c r="BI46" s="608" t="s">
        <v>307</v>
      </c>
      <c r="BJ46" s="326"/>
      <c r="BK46" s="326"/>
      <c r="BL46" s="326"/>
      <c r="BM46" s="326"/>
      <c r="BN46" s="326"/>
      <c r="BO46" s="326"/>
      <c r="BP46" s="326"/>
      <c r="BQ46" s="326"/>
      <c r="BR46" s="326"/>
      <c r="BS46" s="326"/>
      <c r="BT46" s="326"/>
      <c r="BU46" s="326"/>
      <c r="BV46" s="327"/>
    </row>
    <row r="47" spans="1:74" ht="30" customHeight="1" x14ac:dyDescent="0.25">
      <c r="A47" s="49">
        <f t="shared" si="0"/>
        <v>33</v>
      </c>
      <c r="B47" s="42" t="s">
        <v>334</v>
      </c>
      <c r="C47" s="43"/>
      <c r="D47" s="609"/>
      <c r="E47" s="326"/>
      <c r="F47" s="326"/>
      <c r="G47" s="326"/>
      <c r="H47" s="326"/>
      <c r="I47" s="326"/>
      <c r="J47" s="326"/>
      <c r="K47" s="327"/>
      <c r="L47" s="610"/>
      <c r="M47" s="326"/>
      <c r="N47" s="326"/>
      <c r="O47" s="327"/>
      <c r="P47" s="609"/>
      <c r="Q47" s="326"/>
      <c r="R47" s="326"/>
      <c r="S47" s="327"/>
      <c r="T47" s="610"/>
      <c r="U47" s="326"/>
      <c r="V47" s="326"/>
      <c r="W47" s="327"/>
      <c r="X47" s="609"/>
      <c r="Y47" s="326"/>
      <c r="Z47" s="326"/>
      <c r="AA47" s="327"/>
      <c r="AB47" s="451"/>
      <c r="AC47" s="326"/>
      <c r="AD47" s="327"/>
      <c r="AE47" s="526"/>
      <c r="AF47" s="326"/>
      <c r="AG47" s="327"/>
      <c r="AH47" s="607"/>
      <c r="AI47" s="326"/>
      <c r="AJ47" s="327"/>
      <c r="AK47" s="497"/>
      <c r="AL47" s="326"/>
      <c r="AM47" s="327"/>
      <c r="AN47" s="44"/>
      <c r="AO47" s="45"/>
      <c r="AP47" s="44"/>
      <c r="AQ47" s="45"/>
      <c r="AR47" s="44"/>
      <c r="AS47" s="45"/>
      <c r="AT47" s="44"/>
      <c r="AU47" s="45"/>
      <c r="AV47" s="44"/>
      <c r="AW47" s="45"/>
      <c r="AX47" s="44"/>
      <c r="AY47" s="45"/>
      <c r="AZ47" s="46"/>
      <c r="BA47" s="47"/>
      <c r="BB47" s="48"/>
      <c r="BC47" s="47"/>
      <c r="BD47" s="48"/>
      <c r="BE47" s="47"/>
      <c r="BF47" s="48"/>
      <c r="BG47" s="47"/>
      <c r="BH47" s="48"/>
      <c r="BI47" s="608" t="s">
        <v>307</v>
      </c>
      <c r="BJ47" s="326"/>
      <c r="BK47" s="326"/>
      <c r="BL47" s="326"/>
      <c r="BM47" s="326"/>
      <c r="BN47" s="326"/>
      <c r="BO47" s="326"/>
      <c r="BP47" s="326"/>
      <c r="BQ47" s="326"/>
      <c r="BR47" s="326"/>
      <c r="BS47" s="326"/>
      <c r="BT47" s="326"/>
      <c r="BU47" s="326"/>
      <c r="BV47" s="327"/>
    </row>
    <row r="48" spans="1:74" ht="30" customHeight="1" x14ac:dyDescent="0.25">
      <c r="A48" s="49">
        <f t="shared" si="0"/>
        <v>34</v>
      </c>
      <c r="B48" s="42" t="s">
        <v>334</v>
      </c>
      <c r="C48" s="43"/>
      <c r="D48" s="609"/>
      <c r="E48" s="326"/>
      <c r="F48" s="326"/>
      <c r="G48" s="326"/>
      <c r="H48" s="326"/>
      <c r="I48" s="326"/>
      <c r="J48" s="326"/>
      <c r="K48" s="327"/>
      <c r="L48" s="610"/>
      <c r="M48" s="326"/>
      <c r="N48" s="326"/>
      <c r="O48" s="327"/>
      <c r="P48" s="609"/>
      <c r="Q48" s="326"/>
      <c r="R48" s="326"/>
      <c r="S48" s="327"/>
      <c r="T48" s="610"/>
      <c r="U48" s="326"/>
      <c r="V48" s="326"/>
      <c r="W48" s="327"/>
      <c r="X48" s="609"/>
      <c r="Y48" s="326"/>
      <c r="Z48" s="326"/>
      <c r="AA48" s="327"/>
      <c r="AB48" s="451"/>
      <c r="AC48" s="326"/>
      <c r="AD48" s="327"/>
      <c r="AE48" s="526"/>
      <c r="AF48" s="326"/>
      <c r="AG48" s="327"/>
      <c r="AH48" s="607"/>
      <c r="AI48" s="326"/>
      <c r="AJ48" s="327"/>
      <c r="AK48" s="497"/>
      <c r="AL48" s="326"/>
      <c r="AM48" s="327"/>
      <c r="AN48" s="44"/>
      <c r="AO48" s="45"/>
      <c r="AP48" s="44"/>
      <c r="AQ48" s="45"/>
      <c r="AR48" s="44"/>
      <c r="AS48" s="45"/>
      <c r="AT48" s="44"/>
      <c r="AU48" s="45"/>
      <c r="AV48" s="44"/>
      <c r="AW48" s="45"/>
      <c r="AX48" s="44"/>
      <c r="AY48" s="45"/>
      <c r="AZ48" s="46"/>
      <c r="BA48" s="47"/>
      <c r="BB48" s="48"/>
      <c r="BC48" s="47"/>
      <c r="BD48" s="48"/>
      <c r="BE48" s="47"/>
      <c r="BF48" s="48"/>
      <c r="BG48" s="47"/>
      <c r="BH48" s="48"/>
      <c r="BI48" s="608" t="s">
        <v>303</v>
      </c>
      <c r="BJ48" s="326"/>
      <c r="BK48" s="326"/>
      <c r="BL48" s="326"/>
      <c r="BM48" s="326"/>
      <c r="BN48" s="326"/>
      <c r="BO48" s="326"/>
      <c r="BP48" s="326"/>
      <c r="BQ48" s="326"/>
      <c r="BR48" s="326"/>
      <c r="BS48" s="326"/>
      <c r="BT48" s="326"/>
      <c r="BU48" s="326"/>
      <c r="BV48" s="327"/>
    </row>
    <row r="49" spans="1:74" ht="30" customHeight="1" x14ac:dyDescent="0.25">
      <c r="A49" s="49">
        <f t="shared" si="0"/>
        <v>35</v>
      </c>
      <c r="B49" s="42" t="s">
        <v>334</v>
      </c>
      <c r="C49" s="43"/>
      <c r="D49" s="609"/>
      <c r="E49" s="326"/>
      <c r="F49" s="326"/>
      <c r="G49" s="326"/>
      <c r="H49" s="326"/>
      <c r="I49" s="326"/>
      <c r="J49" s="326"/>
      <c r="K49" s="327"/>
      <c r="L49" s="610"/>
      <c r="M49" s="326"/>
      <c r="N49" s="326"/>
      <c r="O49" s="327"/>
      <c r="P49" s="609"/>
      <c r="Q49" s="326"/>
      <c r="R49" s="326"/>
      <c r="S49" s="327"/>
      <c r="T49" s="610"/>
      <c r="U49" s="326"/>
      <c r="V49" s="326"/>
      <c r="W49" s="327"/>
      <c r="X49" s="609"/>
      <c r="Y49" s="326"/>
      <c r="Z49" s="326"/>
      <c r="AA49" s="327"/>
      <c r="AB49" s="451"/>
      <c r="AC49" s="326"/>
      <c r="AD49" s="327"/>
      <c r="AE49" s="526"/>
      <c r="AF49" s="326"/>
      <c r="AG49" s="327"/>
      <c r="AH49" s="607"/>
      <c r="AI49" s="326"/>
      <c r="AJ49" s="327"/>
      <c r="AK49" s="497"/>
      <c r="AL49" s="326"/>
      <c r="AM49" s="327"/>
      <c r="AN49" s="44"/>
      <c r="AO49" s="45"/>
      <c r="AP49" s="44"/>
      <c r="AQ49" s="45"/>
      <c r="AR49" s="44"/>
      <c r="AS49" s="45"/>
      <c r="AT49" s="44"/>
      <c r="AU49" s="45"/>
      <c r="AV49" s="44"/>
      <c r="AW49" s="45"/>
      <c r="AX49" s="44"/>
      <c r="AY49" s="45"/>
      <c r="AZ49" s="46"/>
      <c r="BA49" s="47"/>
      <c r="BB49" s="48"/>
      <c r="BC49" s="47"/>
      <c r="BD49" s="48"/>
      <c r="BE49" s="47"/>
      <c r="BF49" s="48"/>
      <c r="BG49" s="47"/>
      <c r="BH49" s="48"/>
      <c r="BI49" s="608" t="s">
        <v>303</v>
      </c>
      <c r="BJ49" s="326"/>
      <c r="BK49" s="326"/>
      <c r="BL49" s="326"/>
      <c r="BM49" s="326"/>
      <c r="BN49" s="326"/>
      <c r="BO49" s="326"/>
      <c r="BP49" s="326"/>
      <c r="BQ49" s="326"/>
      <c r="BR49" s="326"/>
      <c r="BS49" s="326"/>
      <c r="BT49" s="326"/>
      <c r="BU49" s="326"/>
      <c r="BV49" s="327"/>
    </row>
    <row r="50" spans="1:74" ht="30" customHeight="1" x14ac:dyDescent="0.25">
      <c r="A50" s="41">
        <f t="shared" si="0"/>
        <v>36</v>
      </c>
      <c r="B50" s="42" t="s">
        <v>334</v>
      </c>
      <c r="C50" s="43"/>
      <c r="D50" s="609"/>
      <c r="E50" s="326"/>
      <c r="F50" s="326"/>
      <c r="G50" s="326"/>
      <c r="H50" s="326"/>
      <c r="I50" s="326"/>
      <c r="J50" s="326"/>
      <c r="K50" s="327"/>
      <c r="L50" s="610"/>
      <c r="M50" s="326"/>
      <c r="N50" s="326"/>
      <c r="O50" s="327"/>
      <c r="P50" s="609"/>
      <c r="Q50" s="326"/>
      <c r="R50" s="326"/>
      <c r="S50" s="327"/>
      <c r="T50" s="610"/>
      <c r="U50" s="326"/>
      <c r="V50" s="326"/>
      <c r="W50" s="327"/>
      <c r="X50" s="609"/>
      <c r="Y50" s="326"/>
      <c r="Z50" s="326"/>
      <c r="AA50" s="327"/>
      <c r="AB50" s="451"/>
      <c r="AC50" s="326"/>
      <c r="AD50" s="327"/>
      <c r="AE50" s="526"/>
      <c r="AF50" s="326"/>
      <c r="AG50" s="327"/>
      <c r="AH50" s="607"/>
      <c r="AI50" s="326"/>
      <c r="AJ50" s="327"/>
      <c r="AK50" s="497"/>
      <c r="AL50" s="326"/>
      <c r="AM50" s="327"/>
      <c r="AN50" s="44"/>
      <c r="AO50" s="45"/>
      <c r="AP50" s="44"/>
      <c r="AQ50" s="45"/>
      <c r="AR50" s="44"/>
      <c r="AS50" s="45"/>
      <c r="AT50" s="44"/>
      <c r="AU50" s="45"/>
      <c r="AV50" s="44"/>
      <c r="AW50" s="45"/>
      <c r="AX50" s="44"/>
      <c r="AY50" s="45"/>
      <c r="AZ50" s="46"/>
      <c r="BA50" s="47"/>
      <c r="BB50" s="48"/>
      <c r="BC50" s="47"/>
      <c r="BD50" s="48"/>
      <c r="BE50" s="47"/>
      <c r="BF50" s="48"/>
      <c r="BG50" s="47"/>
      <c r="BH50" s="48"/>
      <c r="BI50" s="608" t="s">
        <v>307</v>
      </c>
      <c r="BJ50" s="326"/>
      <c r="BK50" s="326"/>
      <c r="BL50" s="326"/>
      <c r="BM50" s="326"/>
      <c r="BN50" s="326"/>
      <c r="BO50" s="326"/>
      <c r="BP50" s="326"/>
      <c r="BQ50" s="326"/>
      <c r="BR50" s="326"/>
      <c r="BS50" s="326"/>
      <c r="BT50" s="326"/>
      <c r="BU50" s="326"/>
      <c r="BV50" s="327"/>
    </row>
    <row r="51" spans="1:74" ht="30" customHeight="1" x14ac:dyDescent="0.25">
      <c r="A51" s="49">
        <f t="shared" si="0"/>
        <v>37</v>
      </c>
      <c r="B51" s="42" t="s">
        <v>334</v>
      </c>
      <c r="C51" s="43"/>
      <c r="D51" s="609"/>
      <c r="E51" s="326"/>
      <c r="F51" s="326"/>
      <c r="G51" s="326"/>
      <c r="H51" s="326"/>
      <c r="I51" s="326"/>
      <c r="J51" s="326"/>
      <c r="K51" s="327"/>
      <c r="L51" s="610"/>
      <c r="M51" s="326"/>
      <c r="N51" s="326"/>
      <c r="O51" s="327"/>
      <c r="P51" s="609"/>
      <c r="Q51" s="326"/>
      <c r="R51" s="326"/>
      <c r="S51" s="327"/>
      <c r="T51" s="610"/>
      <c r="U51" s="326"/>
      <c r="V51" s="326"/>
      <c r="W51" s="327"/>
      <c r="X51" s="609"/>
      <c r="Y51" s="326"/>
      <c r="Z51" s="326"/>
      <c r="AA51" s="327"/>
      <c r="AB51" s="451"/>
      <c r="AC51" s="326"/>
      <c r="AD51" s="327"/>
      <c r="AE51" s="526"/>
      <c r="AF51" s="326"/>
      <c r="AG51" s="327"/>
      <c r="AH51" s="607"/>
      <c r="AI51" s="326"/>
      <c r="AJ51" s="327"/>
      <c r="AK51" s="497"/>
      <c r="AL51" s="326"/>
      <c r="AM51" s="327"/>
      <c r="AN51" s="44"/>
      <c r="AO51" s="45"/>
      <c r="AP51" s="44"/>
      <c r="AQ51" s="45"/>
      <c r="AR51" s="44"/>
      <c r="AS51" s="45"/>
      <c r="AT51" s="44"/>
      <c r="AU51" s="45"/>
      <c r="AV51" s="44"/>
      <c r="AW51" s="45"/>
      <c r="AX51" s="44"/>
      <c r="AY51" s="45"/>
      <c r="AZ51" s="46"/>
      <c r="BA51" s="47"/>
      <c r="BB51" s="48"/>
      <c r="BC51" s="47"/>
      <c r="BD51" s="48"/>
      <c r="BE51" s="47"/>
      <c r="BF51" s="48"/>
      <c r="BG51" s="47"/>
      <c r="BH51" s="48"/>
      <c r="BI51" s="608" t="s">
        <v>307</v>
      </c>
      <c r="BJ51" s="326"/>
      <c r="BK51" s="326"/>
      <c r="BL51" s="326"/>
      <c r="BM51" s="326"/>
      <c r="BN51" s="326"/>
      <c r="BO51" s="326"/>
      <c r="BP51" s="326"/>
      <c r="BQ51" s="326"/>
      <c r="BR51" s="326"/>
      <c r="BS51" s="326"/>
      <c r="BT51" s="326"/>
      <c r="BU51" s="326"/>
      <c r="BV51" s="327"/>
    </row>
    <row r="52" spans="1:74" ht="30" customHeight="1" x14ac:dyDescent="0.25">
      <c r="A52" s="49">
        <f t="shared" si="0"/>
        <v>38</v>
      </c>
      <c r="B52" s="42" t="s">
        <v>334</v>
      </c>
      <c r="C52" s="43"/>
      <c r="D52" s="609"/>
      <c r="E52" s="326"/>
      <c r="F52" s="326"/>
      <c r="G52" s="326"/>
      <c r="H52" s="326"/>
      <c r="I52" s="326"/>
      <c r="J52" s="326"/>
      <c r="K52" s="327"/>
      <c r="L52" s="610"/>
      <c r="M52" s="326"/>
      <c r="N52" s="326"/>
      <c r="O52" s="327"/>
      <c r="P52" s="609"/>
      <c r="Q52" s="326"/>
      <c r="R52" s="326"/>
      <c r="S52" s="327"/>
      <c r="T52" s="610"/>
      <c r="U52" s="326"/>
      <c r="V52" s="326"/>
      <c r="W52" s="327"/>
      <c r="X52" s="609"/>
      <c r="Y52" s="326"/>
      <c r="Z52" s="326"/>
      <c r="AA52" s="327"/>
      <c r="AB52" s="451"/>
      <c r="AC52" s="326"/>
      <c r="AD52" s="327"/>
      <c r="AE52" s="526"/>
      <c r="AF52" s="326"/>
      <c r="AG52" s="327"/>
      <c r="AH52" s="607"/>
      <c r="AI52" s="326"/>
      <c r="AJ52" s="327"/>
      <c r="AK52" s="497"/>
      <c r="AL52" s="326"/>
      <c r="AM52" s="327"/>
      <c r="AN52" s="44"/>
      <c r="AO52" s="45"/>
      <c r="AP52" s="44"/>
      <c r="AQ52" s="45"/>
      <c r="AR52" s="44"/>
      <c r="AS52" s="45"/>
      <c r="AT52" s="44"/>
      <c r="AU52" s="45"/>
      <c r="AV52" s="44"/>
      <c r="AW52" s="45"/>
      <c r="AX52" s="44"/>
      <c r="AY52" s="45"/>
      <c r="AZ52" s="46"/>
      <c r="BA52" s="47"/>
      <c r="BB52" s="48"/>
      <c r="BC52" s="47"/>
      <c r="BD52" s="48"/>
      <c r="BE52" s="47"/>
      <c r="BF52" s="48"/>
      <c r="BG52" s="47"/>
      <c r="BH52" s="48"/>
      <c r="BI52" s="608" t="s">
        <v>307</v>
      </c>
      <c r="BJ52" s="326"/>
      <c r="BK52" s="326"/>
      <c r="BL52" s="326"/>
      <c r="BM52" s="326"/>
      <c r="BN52" s="326"/>
      <c r="BO52" s="326"/>
      <c r="BP52" s="326"/>
      <c r="BQ52" s="326"/>
      <c r="BR52" s="326"/>
      <c r="BS52" s="326"/>
      <c r="BT52" s="326"/>
      <c r="BU52" s="326"/>
      <c r="BV52" s="327"/>
    </row>
    <row r="53" spans="1:74" ht="30" customHeight="1" x14ac:dyDescent="0.25">
      <c r="A53" s="49">
        <f t="shared" si="0"/>
        <v>39</v>
      </c>
      <c r="B53" s="42" t="s">
        <v>334</v>
      </c>
      <c r="C53" s="43"/>
      <c r="D53" s="609"/>
      <c r="E53" s="326"/>
      <c r="F53" s="326"/>
      <c r="G53" s="326"/>
      <c r="H53" s="326"/>
      <c r="I53" s="326"/>
      <c r="J53" s="326"/>
      <c r="K53" s="327"/>
      <c r="L53" s="610"/>
      <c r="M53" s="326"/>
      <c r="N53" s="326"/>
      <c r="O53" s="327"/>
      <c r="P53" s="609"/>
      <c r="Q53" s="326"/>
      <c r="R53" s="326"/>
      <c r="S53" s="327"/>
      <c r="T53" s="610"/>
      <c r="U53" s="326"/>
      <c r="V53" s="326"/>
      <c r="W53" s="327"/>
      <c r="X53" s="609"/>
      <c r="Y53" s="326"/>
      <c r="Z53" s="326"/>
      <c r="AA53" s="327"/>
      <c r="AB53" s="451"/>
      <c r="AC53" s="326"/>
      <c r="AD53" s="327"/>
      <c r="AE53" s="526"/>
      <c r="AF53" s="326"/>
      <c r="AG53" s="327"/>
      <c r="AH53" s="607"/>
      <c r="AI53" s="326"/>
      <c r="AJ53" s="327"/>
      <c r="AK53" s="497"/>
      <c r="AL53" s="326"/>
      <c r="AM53" s="327"/>
      <c r="AN53" s="44"/>
      <c r="AO53" s="45"/>
      <c r="AP53" s="44"/>
      <c r="AQ53" s="45"/>
      <c r="AR53" s="44"/>
      <c r="AS53" s="45"/>
      <c r="AT53" s="44"/>
      <c r="AU53" s="45"/>
      <c r="AV53" s="44"/>
      <c r="AW53" s="45"/>
      <c r="AX53" s="44"/>
      <c r="AY53" s="45"/>
      <c r="AZ53" s="46"/>
      <c r="BA53" s="47"/>
      <c r="BB53" s="48"/>
      <c r="BC53" s="47"/>
      <c r="BD53" s="48"/>
      <c r="BE53" s="47"/>
      <c r="BF53" s="48"/>
      <c r="BG53" s="47"/>
      <c r="BH53" s="48"/>
      <c r="BI53" s="608" t="s">
        <v>307</v>
      </c>
      <c r="BJ53" s="326"/>
      <c r="BK53" s="326"/>
      <c r="BL53" s="326"/>
      <c r="BM53" s="326"/>
      <c r="BN53" s="326"/>
      <c r="BO53" s="326"/>
      <c r="BP53" s="326"/>
      <c r="BQ53" s="326"/>
      <c r="BR53" s="326"/>
      <c r="BS53" s="326"/>
      <c r="BT53" s="326"/>
      <c r="BU53" s="326"/>
      <c r="BV53" s="327"/>
    </row>
    <row r="54" spans="1:74" ht="30" customHeight="1" x14ac:dyDescent="0.25">
      <c r="A54" s="49">
        <f t="shared" si="0"/>
        <v>40</v>
      </c>
      <c r="B54" s="42" t="s">
        <v>334</v>
      </c>
      <c r="C54" s="43"/>
      <c r="D54" s="609"/>
      <c r="E54" s="326"/>
      <c r="F54" s="326"/>
      <c r="G54" s="326"/>
      <c r="H54" s="326"/>
      <c r="I54" s="326"/>
      <c r="J54" s="326"/>
      <c r="K54" s="327"/>
      <c r="L54" s="610"/>
      <c r="M54" s="326"/>
      <c r="N54" s="326"/>
      <c r="O54" s="327"/>
      <c r="P54" s="609"/>
      <c r="Q54" s="326"/>
      <c r="R54" s="326"/>
      <c r="S54" s="327"/>
      <c r="T54" s="610"/>
      <c r="U54" s="326"/>
      <c r="V54" s="326"/>
      <c r="W54" s="327"/>
      <c r="X54" s="609"/>
      <c r="Y54" s="326"/>
      <c r="Z54" s="326"/>
      <c r="AA54" s="327"/>
      <c r="AB54" s="451"/>
      <c r="AC54" s="326"/>
      <c r="AD54" s="327"/>
      <c r="AE54" s="526"/>
      <c r="AF54" s="326"/>
      <c r="AG54" s="327"/>
      <c r="AH54" s="607"/>
      <c r="AI54" s="326"/>
      <c r="AJ54" s="327"/>
      <c r="AK54" s="497"/>
      <c r="AL54" s="326"/>
      <c r="AM54" s="327"/>
      <c r="AN54" s="44"/>
      <c r="AO54" s="45"/>
      <c r="AP54" s="44"/>
      <c r="AQ54" s="45"/>
      <c r="AR54" s="44"/>
      <c r="AS54" s="45"/>
      <c r="AT54" s="44"/>
      <c r="AU54" s="45"/>
      <c r="AV54" s="44"/>
      <c r="AW54" s="45"/>
      <c r="AX54" s="44"/>
      <c r="AY54" s="45"/>
      <c r="AZ54" s="46"/>
      <c r="BA54" s="47"/>
      <c r="BB54" s="48"/>
      <c r="BC54" s="47"/>
      <c r="BD54" s="48"/>
      <c r="BE54" s="47"/>
      <c r="BF54" s="48"/>
      <c r="BG54" s="47"/>
      <c r="BH54" s="48"/>
      <c r="BI54" s="608" t="s">
        <v>307</v>
      </c>
      <c r="BJ54" s="326"/>
      <c r="BK54" s="326"/>
      <c r="BL54" s="326"/>
      <c r="BM54" s="326"/>
      <c r="BN54" s="326"/>
      <c r="BO54" s="326"/>
      <c r="BP54" s="326"/>
      <c r="BQ54" s="326"/>
      <c r="BR54" s="326"/>
      <c r="BS54" s="326"/>
      <c r="BT54" s="326"/>
      <c r="BU54" s="326"/>
      <c r="BV54" s="327"/>
    </row>
    <row r="55" spans="1:74" ht="30" customHeight="1" x14ac:dyDescent="0.25">
      <c r="A55" s="49">
        <f t="shared" si="0"/>
        <v>41</v>
      </c>
      <c r="B55" s="42" t="s">
        <v>334</v>
      </c>
      <c r="C55" s="43"/>
      <c r="D55" s="609"/>
      <c r="E55" s="326"/>
      <c r="F55" s="326"/>
      <c r="G55" s="326"/>
      <c r="H55" s="326"/>
      <c r="I55" s="326"/>
      <c r="J55" s="326"/>
      <c r="K55" s="327"/>
      <c r="L55" s="610"/>
      <c r="M55" s="326"/>
      <c r="N55" s="326"/>
      <c r="O55" s="327"/>
      <c r="P55" s="609"/>
      <c r="Q55" s="326"/>
      <c r="R55" s="326"/>
      <c r="S55" s="327"/>
      <c r="T55" s="610"/>
      <c r="U55" s="326"/>
      <c r="V55" s="326"/>
      <c r="W55" s="327"/>
      <c r="X55" s="609"/>
      <c r="Y55" s="326"/>
      <c r="Z55" s="326"/>
      <c r="AA55" s="327"/>
      <c r="AB55" s="451"/>
      <c r="AC55" s="326"/>
      <c r="AD55" s="327"/>
      <c r="AE55" s="526"/>
      <c r="AF55" s="326"/>
      <c r="AG55" s="327"/>
      <c r="AH55" s="607"/>
      <c r="AI55" s="326"/>
      <c r="AJ55" s="327"/>
      <c r="AK55" s="497"/>
      <c r="AL55" s="326"/>
      <c r="AM55" s="327"/>
      <c r="AN55" s="44"/>
      <c r="AO55" s="45"/>
      <c r="AP55" s="44"/>
      <c r="AQ55" s="45"/>
      <c r="AR55" s="44"/>
      <c r="AS55" s="45"/>
      <c r="AT55" s="44"/>
      <c r="AU55" s="45"/>
      <c r="AV55" s="44"/>
      <c r="AW55" s="45"/>
      <c r="AX55" s="44"/>
      <c r="AY55" s="45"/>
      <c r="AZ55" s="46"/>
      <c r="BA55" s="47"/>
      <c r="BB55" s="48"/>
      <c r="BC55" s="47"/>
      <c r="BD55" s="48"/>
      <c r="BE55" s="47"/>
      <c r="BF55" s="48"/>
      <c r="BG55" s="47"/>
      <c r="BH55" s="48"/>
      <c r="BI55" s="608" t="s">
        <v>303</v>
      </c>
      <c r="BJ55" s="326"/>
      <c r="BK55" s="326"/>
      <c r="BL55" s="326"/>
      <c r="BM55" s="326"/>
      <c r="BN55" s="326"/>
      <c r="BO55" s="326"/>
      <c r="BP55" s="326"/>
      <c r="BQ55" s="326"/>
      <c r="BR55" s="326"/>
      <c r="BS55" s="326"/>
      <c r="BT55" s="326"/>
      <c r="BU55" s="326"/>
      <c r="BV55" s="327"/>
    </row>
    <row r="56" spans="1:74" ht="30" customHeight="1" x14ac:dyDescent="0.25">
      <c r="A56" s="49">
        <f t="shared" si="0"/>
        <v>42</v>
      </c>
      <c r="B56" s="42" t="s">
        <v>334</v>
      </c>
      <c r="C56" s="43"/>
      <c r="D56" s="609"/>
      <c r="E56" s="326"/>
      <c r="F56" s="326"/>
      <c r="G56" s="326"/>
      <c r="H56" s="326"/>
      <c r="I56" s="326"/>
      <c r="J56" s="326"/>
      <c r="K56" s="327"/>
      <c r="L56" s="610"/>
      <c r="M56" s="326"/>
      <c r="N56" s="326"/>
      <c r="O56" s="327"/>
      <c r="P56" s="609"/>
      <c r="Q56" s="326"/>
      <c r="R56" s="326"/>
      <c r="S56" s="327"/>
      <c r="T56" s="610"/>
      <c r="U56" s="326"/>
      <c r="V56" s="326"/>
      <c r="W56" s="327"/>
      <c r="X56" s="609"/>
      <c r="Y56" s="326"/>
      <c r="Z56" s="326"/>
      <c r="AA56" s="327"/>
      <c r="AB56" s="451"/>
      <c r="AC56" s="326"/>
      <c r="AD56" s="327"/>
      <c r="AE56" s="526"/>
      <c r="AF56" s="326"/>
      <c r="AG56" s="327"/>
      <c r="AH56" s="607"/>
      <c r="AI56" s="326"/>
      <c r="AJ56" s="327"/>
      <c r="AK56" s="497"/>
      <c r="AL56" s="326"/>
      <c r="AM56" s="327"/>
      <c r="AN56" s="44"/>
      <c r="AO56" s="45"/>
      <c r="AP56" s="44"/>
      <c r="AQ56" s="45"/>
      <c r="AR56" s="44"/>
      <c r="AS56" s="45"/>
      <c r="AT56" s="44"/>
      <c r="AU56" s="45"/>
      <c r="AV56" s="44"/>
      <c r="AW56" s="45"/>
      <c r="AX56" s="44"/>
      <c r="AY56" s="45"/>
      <c r="AZ56" s="46"/>
      <c r="BA56" s="47"/>
      <c r="BB56" s="48"/>
      <c r="BC56" s="47"/>
      <c r="BD56" s="48"/>
      <c r="BE56" s="47"/>
      <c r="BF56" s="48"/>
      <c r="BG56" s="47"/>
      <c r="BH56" s="48"/>
      <c r="BI56" s="608" t="s">
        <v>303</v>
      </c>
      <c r="BJ56" s="326"/>
      <c r="BK56" s="326"/>
      <c r="BL56" s="326"/>
      <c r="BM56" s="326"/>
      <c r="BN56" s="326"/>
      <c r="BO56" s="326"/>
      <c r="BP56" s="326"/>
      <c r="BQ56" s="326"/>
      <c r="BR56" s="326"/>
      <c r="BS56" s="326"/>
      <c r="BT56" s="326"/>
      <c r="BU56" s="326"/>
      <c r="BV56" s="327"/>
    </row>
    <row r="57" spans="1:74" ht="30" customHeight="1" x14ac:dyDescent="0.25">
      <c r="A57" s="41">
        <f t="shared" si="0"/>
        <v>43</v>
      </c>
      <c r="B57" s="42" t="s">
        <v>334</v>
      </c>
      <c r="C57" s="43"/>
      <c r="D57" s="609"/>
      <c r="E57" s="326"/>
      <c r="F57" s="326"/>
      <c r="G57" s="326"/>
      <c r="H57" s="326"/>
      <c r="I57" s="326"/>
      <c r="J57" s="326"/>
      <c r="K57" s="327"/>
      <c r="L57" s="610"/>
      <c r="M57" s="326"/>
      <c r="N57" s="326"/>
      <c r="O57" s="327"/>
      <c r="P57" s="609"/>
      <c r="Q57" s="326"/>
      <c r="R57" s="326"/>
      <c r="S57" s="327"/>
      <c r="T57" s="610"/>
      <c r="U57" s="326"/>
      <c r="V57" s="326"/>
      <c r="W57" s="327"/>
      <c r="X57" s="609"/>
      <c r="Y57" s="326"/>
      <c r="Z57" s="326"/>
      <c r="AA57" s="327"/>
      <c r="AB57" s="451"/>
      <c r="AC57" s="326"/>
      <c r="AD57" s="327"/>
      <c r="AE57" s="526"/>
      <c r="AF57" s="326"/>
      <c r="AG57" s="327"/>
      <c r="AH57" s="607"/>
      <c r="AI57" s="326"/>
      <c r="AJ57" s="327"/>
      <c r="AK57" s="497"/>
      <c r="AL57" s="326"/>
      <c r="AM57" s="327"/>
      <c r="AN57" s="44"/>
      <c r="AO57" s="45"/>
      <c r="AP57" s="44"/>
      <c r="AQ57" s="45"/>
      <c r="AR57" s="44"/>
      <c r="AS57" s="45"/>
      <c r="AT57" s="44"/>
      <c r="AU57" s="45"/>
      <c r="AV57" s="44"/>
      <c r="AW57" s="45"/>
      <c r="AX57" s="44"/>
      <c r="AY57" s="45"/>
      <c r="AZ57" s="46"/>
      <c r="BA57" s="47"/>
      <c r="BB57" s="48"/>
      <c r="BC57" s="47"/>
      <c r="BD57" s="48"/>
      <c r="BE57" s="47"/>
      <c r="BF57" s="48"/>
      <c r="BG57" s="47"/>
      <c r="BH57" s="48"/>
      <c r="BI57" s="608" t="s">
        <v>307</v>
      </c>
      <c r="BJ57" s="326"/>
      <c r="BK57" s="326"/>
      <c r="BL57" s="326"/>
      <c r="BM57" s="326"/>
      <c r="BN57" s="326"/>
      <c r="BO57" s="326"/>
      <c r="BP57" s="326"/>
      <c r="BQ57" s="326"/>
      <c r="BR57" s="326"/>
      <c r="BS57" s="326"/>
      <c r="BT57" s="326"/>
      <c r="BU57" s="326"/>
      <c r="BV57" s="327"/>
    </row>
    <row r="58" spans="1:74" ht="30" customHeight="1" x14ac:dyDescent="0.25">
      <c r="A58" s="49">
        <f t="shared" si="0"/>
        <v>44</v>
      </c>
      <c r="B58" s="42" t="s">
        <v>334</v>
      </c>
      <c r="C58" s="43"/>
      <c r="D58" s="609"/>
      <c r="E58" s="326"/>
      <c r="F58" s="326"/>
      <c r="G58" s="326"/>
      <c r="H58" s="326"/>
      <c r="I58" s="326"/>
      <c r="J58" s="326"/>
      <c r="K58" s="327"/>
      <c r="L58" s="610"/>
      <c r="M58" s="326"/>
      <c r="N58" s="326"/>
      <c r="O58" s="327"/>
      <c r="P58" s="609"/>
      <c r="Q58" s="326"/>
      <c r="R58" s="326"/>
      <c r="S58" s="327"/>
      <c r="T58" s="610"/>
      <c r="U58" s="326"/>
      <c r="V58" s="326"/>
      <c r="W58" s="327"/>
      <c r="X58" s="609"/>
      <c r="Y58" s="326"/>
      <c r="Z58" s="326"/>
      <c r="AA58" s="327"/>
      <c r="AB58" s="451"/>
      <c r="AC58" s="326"/>
      <c r="AD58" s="327"/>
      <c r="AE58" s="526"/>
      <c r="AF58" s="326"/>
      <c r="AG58" s="327"/>
      <c r="AH58" s="607"/>
      <c r="AI58" s="326"/>
      <c r="AJ58" s="327"/>
      <c r="AK58" s="497"/>
      <c r="AL58" s="326"/>
      <c r="AM58" s="327"/>
      <c r="AN58" s="44"/>
      <c r="AO58" s="45"/>
      <c r="AP58" s="44"/>
      <c r="AQ58" s="45"/>
      <c r="AR58" s="44"/>
      <c r="AS58" s="45"/>
      <c r="AT58" s="44"/>
      <c r="AU58" s="45"/>
      <c r="AV58" s="44"/>
      <c r="AW58" s="45"/>
      <c r="AX58" s="44"/>
      <c r="AY58" s="45"/>
      <c r="AZ58" s="46"/>
      <c r="BA58" s="47"/>
      <c r="BB58" s="48"/>
      <c r="BC58" s="47"/>
      <c r="BD58" s="48"/>
      <c r="BE58" s="47"/>
      <c r="BF58" s="48"/>
      <c r="BG58" s="47"/>
      <c r="BH58" s="48"/>
      <c r="BI58" s="608" t="s">
        <v>307</v>
      </c>
      <c r="BJ58" s="326"/>
      <c r="BK58" s="326"/>
      <c r="BL58" s="326"/>
      <c r="BM58" s="326"/>
      <c r="BN58" s="326"/>
      <c r="BO58" s="326"/>
      <c r="BP58" s="326"/>
      <c r="BQ58" s="326"/>
      <c r="BR58" s="326"/>
      <c r="BS58" s="326"/>
      <c r="BT58" s="326"/>
      <c r="BU58" s="326"/>
      <c r="BV58" s="327"/>
    </row>
    <row r="59" spans="1:74" ht="30" customHeight="1" x14ac:dyDescent="0.25">
      <c r="A59" s="49">
        <f t="shared" si="0"/>
        <v>45</v>
      </c>
      <c r="B59" s="42" t="s">
        <v>334</v>
      </c>
      <c r="C59" s="43"/>
      <c r="D59" s="609"/>
      <c r="E59" s="326"/>
      <c r="F59" s="326"/>
      <c r="G59" s="326"/>
      <c r="H59" s="326"/>
      <c r="I59" s="326"/>
      <c r="J59" s="326"/>
      <c r="K59" s="327"/>
      <c r="L59" s="610"/>
      <c r="M59" s="326"/>
      <c r="N59" s="326"/>
      <c r="O59" s="327"/>
      <c r="P59" s="609"/>
      <c r="Q59" s="326"/>
      <c r="R59" s="326"/>
      <c r="S59" s="327"/>
      <c r="T59" s="610"/>
      <c r="U59" s="326"/>
      <c r="V59" s="326"/>
      <c r="W59" s="327"/>
      <c r="X59" s="609"/>
      <c r="Y59" s="326"/>
      <c r="Z59" s="326"/>
      <c r="AA59" s="327"/>
      <c r="AB59" s="451"/>
      <c r="AC59" s="326"/>
      <c r="AD59" s="327"/>
      <c r="AE59" s="526"/>
      <c r="AF59" s="326"/>
      <c r="AG59" s="327"/>
      <c r="AH59" s="607"/>
      <c r="AI59" s="326"/>
      <c r="AJ59" s="327"/>
      <c r="AK59" s="497"/>
      <c r="AL59" s="326"/>
      <c r="AM59" s="327"/>
      <c r="AN59" s="44"/>
      <c r="AO59" s="45"/>
      <c r="AP59" s="44"/>
      <c r="AQ59" s="45"/>
      <c r="AR59" s="44"/>
      <c r="AS59" s="45"/>
      <c r="AT59" s="44"/>
      <c r="AU59" s="45"/>
      <c r="AV59" s="44"/>
      <c r="AW59" s="45"/>
      <c r="AX59" s="44"/>
      <c r="AY59" s="45"/>
      <c r="AZ59" s="46"/>
      <c r="BA59" s="47"/>
      <c r="BB59" s="48"/>
      <c r="BC59" s="47"/>
      <c r="BD59" s="48"/>
      <c r="BE59" s="47"/>
      <c r="BF59" s="48"/>
      <c r="BG59" s="47"/>
      <c r="BH59" s="48"/>
      <c r="BI59" s="608" t="s">
        <v>307</v>
      </c>
      <c r="BJ59" s="326"/>
      <c r="BK59" s="326"/>
      <c r="BL59" s="326"/>
      <c r="BM59" s="326"/>
      <c r="BN59" s="326"/>
      <c r="BO59" s="326"/>
      <c r="BP59" s="326"/>
      <c r="BQ59" s="326"/>
      <c r="BR59" s="326"/>
      <c r="BS59" s="326"/>
      <c r="BT59" s="326"/>
      <c r="BU59" s="326"/>
      <c r="BV59" s="327"/>
    </row>
    <row r="60" spans="1:74" ht="30" customHeight="1" x14ac:dyDescent="0.25">
      <c r="A60" s="49">
        <f t="shared" si="0"/>
        <v>46</v>
      </c>
      <c r="B60" s="42" t="s">
        <v>334</v>
      </c>
      <c r="C60" s="43"/>
      <c r="D60" s="609"/>
      <c r="E60" s="326"/>
      <c r="F60" s="326"/>
      <c r="G60" s="326"/>
      <c r="H60" s="326"/>
      <c r="I60" s="326"/>
      <c r="J60" s="326"/>
      <c r="K60" s="327"/>
      <c r="L60" s="610"/>
      <c r="M60" s="326"/>
      <c r="N60" s="326"/>
      <c r="O60" s="327"/>
      <c r="P60" s="609"/>
      <c r="Q60" s="326"/>
      <c r="R60" s="326"/>
      <c r="S60" s="327"/>
      <c r="T60" s="610"/>
      <c r="U60" s="326"/>
      <c r="V60" s="326"/>
      <c r="W60" s="327"/>
      <c r="X60" s="609"/>
      <c r="Y60" s="326"/>
      <c r="Z60" s="326"/>
      <c r="AA60" s="327"/>
      <c r="AB60" s="451"/>
      <c r="AC60" s="326"/>
      <c r="AD60" s="327"/>
      <c r="AE60" s="526"/>
      <c r="AF60" s="326"/>
      <c r="AG60" s="327"/>
      <c r="AH60" s="607"/>
      <c r="AI60" s="326"/>
      <c r="AJ60" s="327"/>
      <c r="AK60" s="497"/>
      <c r="AL60" s="326"/>
      <c r="AM60" s="327"/>
      <c r="AN60" s="44"/>
      <c r="AO60" s="45"/>
      <c r="AP60" s="44"/>
      <c r="AQ60" s="45"/>
      <c r="AR60" s="44"/>
      <c r="AS60" s="45"/>
      <c r="AT60" s="44"/>
      <c r="AU60" s="45"/>
      <c r="AV60" s="44"/>
      <c r="AW60" s="45"/>
      <c r="AX60" s="44"/>
      <c r="AY60" s="45"/>
      <c r="AZ60" s="46"/>
      <c r="BA60" s="47"/>
      <c r="BB60" s="48"/>
      <c r="BC60" s="47"/>
      <c r="BD60" s="48"/>
      <c r="BE60" s="47"/>
      <c r="BF60" s="48"/>
      <c r="BG60" s="47"/>
      <c r="BH60" s="48"/>
      <c r="BI60" s="608" t="s">
        <v>307</v>
      </c>
      <c r="BJ60" s="326"/>
      <c r="BK60" s="326"/>
      <c r="BL60" s="326"/>
      <c r="BM60" s="326"/>
      <c r="BN60" s="326"/>
      <c r="BO60" s="326"/>
      <c r="BP60" s="326"/>
      <c r="BQ60" s="326"/>
      <c r="BR60" s="326"/>
      <c r="BS60" s="326"/>
      <c r="BT60" s="326"/>
      <c r="BU60" s="326"/>
      <c r="BV60" s="327"/>
    </row>
    <row r="61" spans="1:74" ht="30" customHeight="1" x14ac:dyDescent="0.25">
      <c r="A61" s="49">
        <f t="shared" si="0"/>
        <v>47</v>
      </c>
      <c r="B61" s="42" t="s">
        <v>334</v>
      </c>
      <c r="C61" s="43"/>
      <c r="D61" s="609"/>
      <c r="E61" s="326"/>
      <c r="F61" s="326"/>
      <c r="G61" s="326"/>
      <c r="H61" s="326"/>
      <c r="I61" s="326"/>
      <c r="J61" s="326"/>
      <c r="K61" s="327"/>
      <c r="L61" s="610"/>
      <c r="M61" s="326"/>
      <c r="N61" s="326"/>
      <c r="O61" s="327"/>
      <c r="P61" s="609"/>
      <c r="Q61" s="326"/>
      <c r="R61" s="326"/>
      <c r="S61" s="327"/>
      <c r="T61" s="610"/>
      <c r="U61" s="326"/>
      <c r="V61" s="326"/>
      <c r="W61" s="327"/>
      <c r="X61" s="609"/>
      <c r="Y61" s="326"/>
      <c r="Z61" s="326"/>
      <c r="AA61" s="327"/>
      <c r="AB61" s="451"/>
      <c r="AC61" s="326"/>
      <c r="AD61" s="327"/>
      <c r="AE61" s="526"/>
      <c r="AF61" s="326"/>
      <c r="AG61" s="327"/>
      <c r="AH61" s="607"/>
      <c r="AI61" s="326"/>
      <c r="AJ61" s="327"/>
      <c r="AK61" s="497"/>
      <c r="AL61" s="326"/>
      <c r="AM61" s="327"/>
      <c r="AN61" s="44"/>
      <c r="AO61" s="45"/>
      <c r="AP61" s="44"/>
      <c r="AQ61" s="45"/>
      <c r="AR61" s="44"/>
      <c r="AS61" s="45"/>
      <c r="AT61" s="44"/>
      <c r="AU61" s="45"/>
      <c r="AV61" s="44"/>
      <c r="AW61" s="45"/>
      <c r="AX61" s="44"/>
      <c r="AY61" s="45"/>
      <c r="AZ61" s="46"/>
      <c r="BA61" s="47"/>
      <c r="BB61" s="48"/>
      <c r="BC61" s="47"/>
      <c r="BD61" s="48"/>
      <c r="BE61" s="47"/>
      <c r="BF61" s="48"/>
      <c r="BG61" s="47"/>
      <c r="BH61" s="48"/>
      <c r="BI61" s="608" t="s">
        <v>307</v>
      </c>
      <c r="BJ61" s="326"/>
      <c r="BK61" s="326"/>
      <c r="BL61" s="326"/>
      <c r="BM61" s="326"/>
      <c r="BN61" s="326"/>
      <c r="BO61" s="326"/>
      <c r="BP61" s="326"/>
      <c r="BQ61" s="326"/>
      <c r="BR61" s="326"/>
      <c r="BS61" s="326"/>
      <c r="BT61" s="326"/>
      <c r="BU61" s="326"/>
      <c r="BV61" s="327"/>
    </row>
    <row r="62" spans="1:74" ht="30" customHeight="1" x14ac:dyDescent="0.25">
      <c r="A62" s="49">
        <f t="shared" si="0"/>
        <v>48</v>
      </c>
      <c r="B62" s="42" t="s">
        <v>334</v>
      </c>
      <c r="C62" s="43"/>
      <c r="D62" s="609"/>
      <c r="E62" s="326"/>
      <c r="F62" s="326"/>
      <c r="G62" s="326"/>
      <c r="H62" s="326"/>
      <c r="I62" s="326"/>
      <c r="J62" s="326"/>
      <c r="K62" s="327"/>
      <c r="L62" s="610"/>
      <c r="M62" s="326"/>
      <c r="N62" s="326"/>
      <c r="O62" s="327"/>
      <c r="P62" s="609"/>
      <c r="Q62" s="326"/>
      <c r="R62" s="326"/>
      <c r="S62" s="327"/>
      <c r="T62" s="610"/>
      <c r="U62" s="326"/>
      <c r="V62" s="326"/>
      <c r="W62" s="327"/>
      <c r="X62" s="609"/>
      <c r="Y62" s="326"/>
      <c r="Z62" s="326"/>
      <c r="AA62" s="327"/>
      <c r="AB62" s="451"/>
      <c r="AC62" s="326"/>
      <c r="AD62" s="327"/>
      <c r="AE62" s="526"/>
      <c r="AF62" s="326"/>
      <c r="AG62" s="327"/>
      <c r="AH62" s="607"/>
      <c r="AI62" s="326"/>
      <c r="AJ62" s="327"/>
      <c r="AK62" s="497"/>
      <c r="AL62" s="326"/>
      <c r="AM62" s="327"/>
      <c r="AN62" s="44"/>
      <c r="AO62" s="45"/>
      <c r="AP62" s="44"/>
      <c r="AQ62" s="45"/>
      <c r="AR62" s="44"/>
      <c r="AS62" s="45"/>
      <c r="AT62" s="44"/>
      <c r="AU62" s="45"/>
      <c r="AV62" s="44"/>
      <c r="AW62" s="45"/>
      <c r="AX62" s="44"/>
      <c r="AY62" s="45"/>
      <c r="AZ62" s="46"/>
      <c r="BA62" s="47"/>
      <c r="BB62" s="48"/>
      <c r="BC62" s="47"/>
      <c r="BD62" s="48"/>
      <c r="BE62" s="47"/>
      <c r="BF62" s="48"/>
      <c r="BG62" s="47"/>
      <c r="BH62" s="48"/>
      <c r="BI62" s="608" t="s">
        <v>303</v>
      </c>
      <c r="BJ62" s="326"/>
      <c r="BK62" s="326"/>
      <c r="BL62" s="326"/>
      <c r="BM62" s="326"/>
      <c r="BN62" s="326"/>
      <c r="BO62" s="326"/>
      <c r="BP62" s="326"/>
      <c r="BQ62" s="326"/>
      <c r="BR62" s="326"/>
      <c r="BS62" s="326"/>
      <c r="BT62" s="326"/>
      <c r="BU62" s="326"/>
      <c r="BV62" s="327"/>
    </row>
    <row r="63" spans="1:74" ht="30" customHeight="1" x14ac:dyDescent="0.25">
      <c r="A63" s="49">
        <f t="shared" si="0"/>
        <v>49</v>
      </c>
      <c r="B63" s="42" t="s">
        <v>334</v>
      </c>
      <c r="C63" s="43"/>
      <c r="D63" s="609"/>
      <c r="E63" s="326"/>
      <c r="F63" s="326"/>
      <c r="G63" s="326"/>
      <c r="H63" s="326"/>
      <c r="I63" s="326"/>
      <c r="J63" s="326"/>
      <c r="K63" s="327"/>
      <c r="L63" s="610"/>
      <c r="M63" s="326"/>
      <c r="N63" s="326"/>
      <c r="O63" s="327"/>
      <c r="P63" s="609"/>
      <c r="Q63" s="326"/>
      <c r="R63" s="326"/>
      <c r="S63" s="327"/>
      <c r="T63" s="610"/>
      <c r="U63" s="326"/>
      <c r="V63" s="326"/>
      <c r="W63" s="327"/>
      <c r="X63" s="609"/>
      <c r="Y63" s="326"/>
      <c r="Z63" s="326"/>
      <c r="AA63" s="327"/>
      <c r="AB63" s="451"/>
      <c r="AC63" s="326"/>
      <c r="AD63" s="327"/>
      <c r="AE63" s="526"/>
      <c r="AF63" s="326"/>
      <c r="AG63" s="327"/>
      <c r="AH63" s="607"/>
      <c r="AI63" s="326"/>
      <c r="AJ63" s="327"/>
      <c r="AK63" s="497"/>
      <c r="AL63" s="326"/>
      <c r="AM63" s="327"/>
      <c r="AN63" s="44"/>
      <c r="AO63" s="45"/>
      <c r="AP63" s="44"/>
      <c r="AQ63" s="45"/>
      <c r="AR63" s="44"/>
      <c r="AS63" s="45"/>
      <c r="AT63" s="44"/>
      <c r="AU63" s="45"/>
      <c r="AV63" s="44"/>
      <c r="AW63" s="45"/>
      <c r="AX63" s="44"/>
      <c r="AY63" s="45"/>
      <c r="AZ63" s="46"/>
      <c r="BA63" s="47"/>
      <c r="BB63" s="48"/>
      <c r="BC63" s="47"/>
      <c r="BD63" s="48"/>
      <c r="BE63" s="47"/>
      <c r="BF63" s="48"/>
      <c r="BG63" s="47"/>
      <c r="BH63" s="48"/>
      <c r="BI63" s="608" t="s">
        <v>303</v>
      </c>
      <c r="BJ63" s="326"/>
      <c r="BK63" s="326"/>
      <c r="BL63" s="326"/>
      <c r="BM63" s="326"/>
      <c r="BN63" s="326"/>
      <c r="BO63" s="326"/>
      <c r="BP63" s="326"/>
      <c r="BQ63" s="326"/>
      <c r="BR63" s="326"/>
      <c r="BS63" s="326"/>
      <c r="BT63" s="326"/>
      <c r="BU63" s="326"/>
      <c r="BV63" s="327"/>
    </row>
    <row r="64" spans="1:74" ht="30" customHeight="1" x14ac:dyDescent="0.25">
      <c r="A64" s="41">
        <f t="shared" si="0"/>
        <v>50</v>
      </c>
      <c r="B64" s="42" t="s">
        <v>334</v>
      </c>
      <c r="C64" s="43"/>
      <c r="D64" s="609"/>
      <c r="E64" s="326"/>
      <c r="F64" s="326"/>
      <c r="G64" s="326"/>
      <c r="H64" s="326"/>
      <c r="I64" s="326"/>
      <c r="J64" s="326"/>
      <c r="K64" s="327"/>
      <c r="L64" s="610"/>
      <c r="M64" s="326"/>
      <c r="N64" s="326"/>
      <c r="O64" s="327"/>
      <c r="P64" s="609"/>
      <c r="Q64" s="326"/>
      <c r="R64" s="326"/>
      <c r="S64" s="327"/>
      <c r="T64" s="610"/>
      <c r="U64" s="326"/>
      <c r="V64" s="326"/>
      <c r="W64" s="327"/>
      <c r="X64" s="609"/>
      <c r="Y64" s="326"/>
      <c r="Z64" s="326"/>
      <c r="AA64" s="327"/>
      <c r="AB64" s="451"/>
      <c r="AC64" s="326"/>
      <c r="AD64" s="327"/>
      <c r="AE64" s="526"/>
      <c r="AF64" s="326"/>
      <c r="AG64" s="327"/>
      <c r="AH64" s="607"/>
      <c r="AI64" s="326"/>
      <c r="AJ64" s="327"/>
      <c r="AK64" s="497"/>
      <c r="AL64" s="326"/>
      <c r="AM64" s="327"/>
      <c r="AN64" s="44"/>
      <c r="AO64" s="45"/>
      <c r="AP64" s="44"/>
      <c r="AQ64" s="45"/>
      <c r="AR64" s="44"/>
      <c r="AS64" s="45"/>
      <c r="AT64" s="44"/>
      <c r="AU64" s="45"/>
      <c r="AV64" s="44"/>
      <c r="AW64" s="45"/>
      <c r="AX64" s="44"/>
      <c r="AY64" s="45"/>
      <c r="AZ64" s="46"/>
      <c r="BA64" s="47"/>
      <c r="BB64" s="48"/>
      <c r="BC64" s="47"/>
      <c r="BD64" s="46"/>
      <c r="BE64" s="47"/>
      <c r="BF64" s="46"/>
      <c r="BG64" s="47"/>
      <c r="BH64" s="46"/>
      <c r="BI64" s="608" t="s">
        <v>307</v>
      </c>
      <c r="BJ64" s="326"/>
      <c r="BK64" s="326"/>
      <c r="BL64" s="326"/>
      <c r="BM64" s="326"/>
      <c r="BN64" s="326"/>
      <c r="BO64" s="326"/>
      <c r="BP64" s="326"/>
      <c r="BQ64" s="326"/>
      <c r="BR64" s="326"/>
      <c r="BS64" s="326"/>
      <c r="BT64" s="326"/>
      <c r="BU64" s="326"/>
      <c r="BV64" s="327"/>
    </row>
    <row r="65" spans="1:74" ht="30" customHeight="1" x14ac:dyDescent="0.25">
      <c r="A65" s="49">
        <f t="shared" si="0"/>
        <v>51</v>
      </c>
      <c r="B65" s="42" t="s">
        <v>334</v>
      </c>
      <c r="C65" s="43"/>
      <c r="D65" s="609"/>
      <c r="E65" s="326"/>
      <c r="F65" s="326"/>
      <c r="G65" s="326"/>
      <c r="H65" s="326"/>
      <c r="I65" s="326"/>
      <c r="J65" s="326"/>
      <c r="K65" s="327"/>
      <c r="L65" s="610"/>
      <c r="M65" s="326"/>
      <c r="N65" s="326"/>
      <c r="O65" s="327"/>
      <c r="P65" s="609"/>
      <c r="Q65" s="326"/>
      <c r="R65" s="326"/>
      <c r="S65" s="327"/>
      <c r="T65" s="610"/>
      <c r="U65" s="326"/>
      <c r="V65" s="326"/>
      <c r="W65" s="327"/>
      <c r="X65" s="609"/>
      <c r="Y65" s="326"/>
      <c r="Z65" s="326"/>
      <c r="AA65" s="327"/>
      <c r="AB65" s="451"/>
      <c r="AC65" s="326"/>
      <c r="AD65" s="327"/>
      <c r="AE65" s="526"/>
      <c r="AF65" s="326"/>
      <c r="AG65" s="327"/>
      <c r="AH65" s="607"/>
      <c r="AI65" s="326"/>
      <c r="AJ65" s="327"/>
      <c r="AK65" s="497"/>
      <c r="AL65" s="326"/>
      <c r="AM65" s="327"/>
      <c r="AN65" s="44"/>
      <c r="AO65" s="45"/>
      <c r="AP65" s="44"/>
      <c r="AQ65" s="45"/>
      <c r="AR65" s="44"/>
      <c r="AS65" s="45"/>
      <c r="AT65" s="44"/>
      <c r="AU65" s="45"/>
      <c r="AV65" s="44"/>
      <c r="AW65" s="45"/>
      <c r="AX65" s="44"/>
      <c r="AY65" s="45"/>
      <c r="AZ65" s="50"/>
      <c r="BA65" s="47"/>
      <c r="BB65" s="50"/>
      <c r="BC65" s="47"/>
      <c r="BD65" s="50"/>
      <c r="BE65" s="47"/>
      <c r="BF65" s="50"/>
      <c r="BG65" s="47"/>
      <c r="BH65" s="50"/>
      <c r="BI65" s="608" t="s">
        <v>307</v>
      </c>
      <c r="BJ65" s="326"/>
      <c r="BK65" s="326"/>
      <c r="BL65" s="326"/>
      <c r="BM65" s="326"/>
      <c r="BN65" s="326"/>
      <c r="BO65" s="326"/>
      <c r="BP65" s="326"/>
      <c r="BQ65" s="326"/>
      <c r="BR65" s="326"/>
      <c r="BS65" s="326"/>
      <c r="BT65" s="326"/>
      <c r="BU65" s="326"/>
      <c r="BV65" s="327"/>
    </row>
    <row r="66" spans="1:74" ht="30" customHeight="1" x14ac:dyDescent="0.25">
      <c r="A66" s="49">
        <f t="shared" si="0"/>
        <v>52</v>
      </c>
      <c r="B66" s="42" t="s">
        <v>334</v>
      </c>
      <c r="C66" s="43"/>
      <c r="D66" s="609"/>
      <c r="E66" s="326"/>
      <c r="F66" s="326"/>
      <c r="G66" s="326"/>
      <c r="H66" s="326"/>
      <c r="I66" s="326"/>
      <c r="J66" s="326"/>
      <c r="K66" s="327"/>
      <c r="L66" s="610"/>
      <c r="M66" s="326"/>
      <c r="N66" s="326"/>
      <c r="O66" s="327"/>
      <c r="P66" s="609"/>
      <c r="Q66" s="326"/>
      <c r="R66" s="326"/>
      <c r="S66" s="327"/>
      <c r="T66" s="610"/>
      <c r="U66" s="326"/>
      <c r="V66" s="326"/>
      <c r="W66" s="327"/>
      <c r="X66" s="609"/>
      <c r="Y66" s="326"/>
      <c r="Z66" s="326"/>
      <c r="AA66" s="327"/>
      <c r="AB66" s="451"/>
      <c r="AC66" s="326"/>
      <c r="AD66" s="327"/>
      <c r="AE66" s="526"/>
      <c r="AF66" s="326"/>
      <c r="AG66" s="327"/>
      <c r="AH66" s="607"/>
      <c r="AI66" s="326"/>
      <c r="AJ66" s="327"/>
      <c r="AK66" s="497"/>
      <c r="AL66" s="326"/>
      <c r="AM66" s="327"/>
      <c r="AN66" s="44"/>
      <c r="AO66" s="45"/>
      <c r="AP66" s="44"/>
      <c r="AQ66" s="45"/>
      <c r="AR66" s="44"/>
      <c r="AS66" s="45"/>
      <c r="AT66" s="44"/>
      <c r="AU66" s="45"/>
      <c r="AV66" s="44"/>
      <c r="AW66" s="45"/>
      <c r="AX66" s="44"/>
      <c r="AY66" s="45"/>
      <c r="AZ66" s="50"/>
      <c r="BA66" s="47"/>
      <c r="BB66" s="50"/>
      <c r="BC66" s="47"/>
      <c r="BD66" s="50"/>
      <c r="BE66" s="47"/>
      <c r="BF66" s="50"/>
      <c r="BG66" s="47"/>
      <c r="BH66" s="50"/>
      <c r="BI66" s="608" t="s">
        <v>307</v>
      </c>
      <c r="BJ66" s="326"/>
      <c r="BK66" s="326"/>
      <c r="BL66" s="326"/>
      <c r="BM66" s="326"/>
      <c r="BN66" s="326"/>
      <c r="BO66" s="326"/>
      <c r="BP66" s="326"/>
      <c r="BQ66" s="326"/>
      <c r="BR66" s="326"/>
      <c r="BS66" s="326"/>
      <c r="BT66" s="326"/>
      <c r="BU66" s="326"/>
      <c r="BV66" s="327"/>
    </row>
    <row r="67" spans="1:74" ht="30" customHeight="1" x14ac:dyDescent="0.25">
      <c r="A67" s="49">
        <f t="shared" si="0"/>
        <v>53</v>
      </c>
      <c r="B67" s="42" t="s">
        <v>334</v>
      </c>
      <c r="C67" s="43"/>
      <c r="D67" s="609"/>
      <c r="E67" s="326"/>
      <c r="F67" s="326"/>
      <c r="G67" s="326"/>
      <c r="H67" s="326"/>
      <c r="I67" s="326"/>
      <c r="J67" s="326"/>
      <c r="K67" s="327"/>
      <c r="L67" s="610"/>
      <c r="M67" s="326"/>
      <c r="N67" s="326"/>
      <c r="O67" s="327"/>
      <c r="P67" s="609"/>
      <c r="Q67" s="326"/>
      <c r="R67" s="326"/>
      <c r="S67" s="327"/>
      <c r="T67" s="610"/>
      <c r="U67" s="326"/>
      <c r="V67" s="326"/>
      <c r="W67" s="327"/>
      <c r="X67" s="609"/>
      <c r="Y67" s="326"/>
      <c r="Z67" s="326"/>
      <c r="AA67" s="327"/>
      <c r="AB67" s="451"/>
      <c r="AC67" s="326"/>
      <c r="AD67" s="327"/>
      <c r="AE67" s="526"/>
      <c r="AF67" s="326"/>
      <c r="AG67" s="327"/>
      <c r="AH67" s="607"/>
      <c r="AI67" s="326"/>
      <c r="AJ67" s="327"/>
      <c r="AK67" s="497"/>
      <c r="AL67" s="326"/>
      <c r="AM67" s="327"/>
      <c r="AN67" s="44"/>
      <c r="AO67" s="45"/>
      <c r="AP67" s="44"/>
      <c r="AQ67" s="45"/>
      <c r="AR67" s="44"/>
      <c r="AS67" s="45"/>
      <c r="AT67" s="44"/>
      <c r="AU67" s="45"/>
      <c r="AV67" s="44"/>
      <c r="AW67" s="45"/>
      <c r="AX67" s="44"/>
      <c r="AY67" s="45"/>
      <c r="AZ67" s="50"/>
      <c r="BA67" s="47"/>
      <c r="BB67" s="50"/>
      <c r="BC67" s="47"/>
      <c r="BD67" s="50"/>
      <c r="BE67" s="47"/>
      <c r="BF67" s="50"/>
      <c r="BG67" s="47"/>
      <c r="BH67" s="50"/>
      <c r="BI67" s="608" t="s">
        <v>307</v>
      </c>
      <c r="BJ67" s="326"/>
      <c r="BK67" s="326"/>
      <c r="BL67" s="326"/>
      <c r="BM67" s="326"/>
      <c r="BN67" s="326"/>
      <c r="BO67" s="326"/>
      <c r="BP67" s="326"/>
      <c r="BQ67" s="326"/>
      <c r="BR67" s="326"/>
      <c r="BS67" s="326"/>
      <c r="BT67" s="326"/>
      <c r="BU67" s="326"/>
      <c r="BV67" s="327"/>
    </row>
    <row r="68" spans="1:74" ht="30" customHeight="1" x14ac:dyDescent="0.25">
      <c r="A68" s="49">
        <f t="shared" si="0"/>
        <v>54</v>
      </c>
      <c r="B68" s="42" t="s">
        <v>334</v>
      </c>
      <c r="C68" s="43"/>
      <c r="D68" s="609"/>
      <c r="E68" s="326"/>
      <c r="F68" s="326"/>
      <c r="G68" s="326"/>
      <c r="H68" s="326"/>
      <c r="I68" s="326"/>
      <c r="J68" s="326"/>
      <c r="K68" s="327"/>
      <c r="L68" s="610"/>
      <c r="M68" s="326"/>
      <c r="N68" s="326"/>
      <c r="O68" s="327"/>
      <c r="P68" s="609"/>
      <c r="Q68" s="326"/>
      <c r="R68" s="326"/>
      <c r="S68" s="327"/>
      <c r="T68" s="610"/>
      <c r="U68" s="326"/>
      <c r="V68" s="326"/>
      <c r="W68" s="327"/>
      <c r="X68" s="609"/>
      <c r="Y68" s="326"/>
      <c r="Z68" s="326"/>
      <c r="AA68" s="327"/>
      <c r="AB68" s="451"/>
      <c r="AC68" s="326"/>
      <c r="AD68" s="327"/>
      <c r="AE68" s="526"/>
      <c r="AF68" s="326"/>
      <c r="AG68" s="327"/>
      <c r="AH68" s="607"/>
      <c r="AI68" s="326"/>
      <c r="AJ68" s="327"/>
      <c r="AK68" s="497"/>
      <c r="AL68" s="326"/>
      <c r="AM68" s="327"/>
      <c r="AN68" s="44"/>
      <c r="AO68" s="45"/>
      <c r="AP68" s="44"/>
      <c r="AQ68" s="45"/>
      <c r="AR68" s="44"/>
      <c r="AS68" s="45"/>
      <c r="AT68" s="44"/>
      <c r="AU68" s="45"/>
      <c r="AV68" s="44"/>
      <c r="AW68" s="45"/>
      <c r="AX68" s="44"/>
      <c r="AY68" s="45"/>
      <c r="AZ68" s="50"/>
      <c r="BA68" s="47"/>
      <c r="BB68" s="50"/>
      <c r="BC68" s="47"/>
      <c r="BD68" s="50"/>
      <c r="BE68" s="47"/>
      <c r="BF68" s="50"/>
      <c r="BG68" s="47"/>
      <c r="BH68" s="50"/>
      <c r="BI68" s="608" t="s">
        <v>307</v>
      </c>
      <c r="BJ68" s="326"/>
      <c r="BK68" s="326"/>
      <c r="BL68" s="326"/>
      <c r="BM68" s="326"/>
      <c r="BN68" s="326"/>
      <c r="BO68" s="326"/>
      <c r="BP68" s="326"/>
      <c r="BQ68" s="326"/>
      <c r="BR68" s="326"/>
      <c r="BS68" s="326"/>
      <c r="BT68" s="326"/>
      <c r="BU68" s="326"/>
      <c r="BV68" s="327"/>
    </row>
    <row r="69" spans="1:74" ht="30" customHeight="1" x14ac:dyDescent="0.25">
      <c r="A69" s="49">
        <f t="shared" si="0"/>
        <v>55</v>
      </c>
      <c r="B69" s="42" t="s">
        <v>334</v>
      </c>
      <c r="C69" s="43"/>
      <c r="D69" s="609"/>
      <c r="E69" s="326"/>
      <c r="F69" s="326"/>
      <c r="G69" s="326"/>
      <c r="H69" s="326"/>
      <c r="I69" s="326"/>
      <c r="J69" s="326"/>
      <c r="K69" s="327"/>
      <c r="L69" s="610"/>
      <c r="M69" s="326"/>
      <c r="N69" s="326"/>
      <c r="O69" s="327"/>
      <c r="P69" s="609"/>
      <c r="Q69" s="326"/>
      <c r="R69" s="326"/>
      <c r="S69" s="327"/>
      <c r="T69" s="610"/>
      <c r="U69" s="326"/>
      <c r="V69" s="326"/>
      <c r="W69" s="327"/>
      <c r="X69" s="609"/>
      <c r="Y69" s="326"/>
      <c r="Z69" s="326"/>
      <c r="AA69" s="327"/>
      <c r="AB69" s="451"/>
      <c r="AC69" s="326"/>
      <c r="AD69" s="327"/>
      <c r="AE69" s="526"/>
      <c r="AF69" s="326"/>
      <c r="AG69" s="327"/>
      <c r="AH69" s="607"/>
      <c r="AI69" s="326"/>
      <c r="AJ69" s="327"/>
      <c r="AK69" s="497"/>
      <c r="AL69" s="326"/>
      <c r="AM69" s="327"/>
      <c r="AN69" s="44"/>
      <c r="AO69" s="45"/>
      <c r="AP69" s="44"/>
      <c r="AQ69" s="45"/>
      <c r="AR69" s="44"/>
      <c r="AS69" s="45"/>
      <c r="AT69" s="44"/>
      <c r="AU69" s="45"/>
      <c r="AV69" s="44"/>
      <c r="AW69" s="45"/>
      <c r="AX69" s="44"/>
      <c r="AY69" s="45"/>
      <c r="AZ69" s="50"/>
      <c r="BA69" s="47"/>
      <c r="BB69" s="50"/>
      <c r="BC69" s="47"/>
      <c r="BD69" s="50"/>
      <c r="BE69" s="47"/>
      <c r="BF69" s="50"/>
      <c r="BG69" s="47"/>
      <c r="BH69" s="50"/>
      <c r="BI69" s="608" t="s">
        <v>303</v>
      </c>
      <c r="BJ69" s="326"/>
      <c r="BK69" s="326"/>
      <c r="BL69" s="326"/>
      <c r="BM69" s="326"/>
      <c r="BN69" s="326"/>
      <c r="BO69" s="326"/>
      <c r="BP69" s="326"/>
      <c r="BQ69" s="326"/>
      <c r="BR69" s="326"/>
      <c r="BS69" s="326"/>
      <c r="BT69" s="326"/>
      <c r="BU69" s="326"/>
      <c r="BV69" s="327"/>
    </row>
    <row r="70" spans="1:74" ht="30" customHeight="1" x14ac:dyDescent="0.25">
      <c r="A70" s="49">
        <f t="shared" si="0"/>
        <v>56</v>
      </c>
      <c r="B70" s="42" t="s">
        <v>334</v>
      </c>
      <c r="C70" s="43"/>
      <c r="D70" s="609"/>
      <c r="E70" s="326"/>
      <c r="F70" s="326"/>
      <c r="G70" s="326"/>
      <c r="H70" s="326"/>
      <c r="I70" s="326"/>
      <c r="J70" s="326"/>
      <c r="K70" s="327"/>
      <c r="L70" s="610"/>
      <c r="M70" s="326"/>
      <c r="N70" s="326"/>
      <c r="O70" s="327"/>
      <c r="P70" s="609"/>
      <c r="Q70" s="326"/>
      <c r="R70" s="326"/>
      <c r="S70" s="327"/>
      <c r="T70" s="610"/>
      <c r="U70" s="326"/>
      <c r="V70" s="326"/>
      <c r="W70" s="327"/>
      <c r="X70" s="609"/>
      <c r="Y70" s="326"/>
      <c r="Z70" s="326"/>
      <c r="AA70" s="327"/>
      <c r="AB70" s="451"/>
      <c r="AC70" s="326"/>
      <c r="AD70" s="327"/>
      <c r="AE70" s="526"/>
      <c r="AF70" s="326"/>
      <c r="AG70" s="327"/>
      <c r="AH70" s="607"/>
      <c r="AI70" s="326"/>
      <c r="AJ70" s="327"/>
      <c r="AK70" s="497"/>
      <c r="AL70" s="326"/>
      <c r="AM70" s="327"/>
      <c r="AN70" s="44"/>
      <c r="AO70" s="45"/>
      <c r="AP70" s="44"/>
      <c r="AQ70" s="45"/>
      <c r="AR70" s="44"/>
      <c r="AS70" s="45"/>
      <c r="AT70" s="44"/>
      <c r="AU70" s="45"/>
      <c r="AV70" s="44"/>
      <c r="AW70" s="45"/>
      <c r="AX70" s="44"/>
      <c r="AY70" s="45"/>
      <c r="AZ70" s="50"/>
      <c r="BA70" s="47"/>
      <c r="BB70" s="50"/>
      <c r="BC70" s="47"/>
      <c r="BD70" s="50"/>
      <c r="BE70" s="47"/>
      <c r="BF70" s="50"/>
      <c r="BG70" s="47"/>
      <c r="BH70" s="50"/>
      <c r="BI70" s="608" t="s">
        <v>303</v>
      </c>
      <c r="BJ70" s="326"/>
      <c r="BK70" s="326"/>
      <c r="BL70" s="326"/>
      <c r="BM70" s="326"/>
      <c r="BN70" s="326"/>
      <c r="BO70" s="326"/>
      <c r="BP70" s="326"/>
      <c r="BQ70" s="326"/>
      <c r="BR70" s="326"/>
      <c r="BS70" s="326"/>
      <c r="BT70" s="326"/>
      <c r="BU70" s="326"/>
      <c r="BV70" s="327"/>
    </row>
    <row r="71" spans="1:74" ht="30" customHeight="1" x14ac:dyDescent="0.25">
      <c r="A71" s="41">
        <f t="shared" si="0"/>
        <v>57</v>
      </c>
      <c r="B71" s="42" t="s">
        <v>334</v>
      </c>
      <c r="C71" s="43"/>
      <c r="D71" s="609"/>
      <c r="E71" s="326"/>
      <c r="F71" s="326"/>
      <c r="G71" s="326"/>
      <c r="H71" s="326"/>
      <c r="I71" s="326"/>
      <c r="J71" s="326"/>
      <c r="K71" s="327"/>
      <c r="L71" s="610"/>
      <c r="M71" s="326"/>
      <c r="N71" s="326"/>
      <c r="O71" s="327"/>
      <c r="P71" s="609"/>
      <c r="Q71" s="326"/>
      <c r="R71" s="326"/>
      <c r="S71" s="327"/>
      <c r="T71" s="610"/>
      <c r="U71" s="326"/>
      <c r="V71" s="326"/>
      <c r="W71" s="327"/>
      <c r="X71" s="609"/>
      <c r="Y71" s="326"/>
      <c r="Z71" s="326"/>
      <c r="AA71" s="327"/>
      <c r="AB71" s="451"/>
      <c r="AC71" s="326"/>
      <c r="AD71" s="327"/>
      <c r="AE71" s="526"/>
      <c r="AF71" s="326"/>
      <c r="AG71" s="327"/>
      <c r="AH71" s="607"/>
      <c r="AI71" s="326"/>
      <c r="AJ71" s="327"/>
      <c r="AK71" s="497"/>
      <c r="AL71" s="326"/>
      <c r="AM71" s="327"/>
      <c r="AN71" s="44"/>
      <c r="AO71" s="45"/>
      <c r="AP71" s="44"/>
      <c r="AQ71" s="45"/>
      <c r="AR71" s="44"/>
      <c r="AS71" s="45"/>
      <c r="AT71" s="44"/>
      <c r="AU71" s="45"/>
      <c r="AV71" s="44"/>
      <c r="AW71" s="45"/>
      <c r="AX71" s="44"/>
      <c r="AY71" s="45"/>
      <c r="AZ71" s="50"/>
      <c r="BA71" s="47"/>
      <c r="BB71" s="50"/>
      <c r="BC71" s="47"/>
      <c r="BD71" s="50"/>
      <c r="BE71" s="47"/>
      <c r="BF71" s="50"/>
      <c r="BG71" s="47"/>
      <c r="BH71" s="50"/>
      <c r="BI71" s="608" t="s">
        <v>307</v>
      </c>
      <c r="BJ71" s="326"/>
      <c r="BK71" s="326"/>
      <c r="BL71" s="326"/>
      <c r="BM71" s="326"/>
      <c r="BN71" s="326"/>
      <c r="BO71" s="326"/>
      <c r="BP71" s="326"/>
      <c r="BQ71" s="326"/>
      <c r="BR71" s="326"/>
      <c r="BS71" s="326"/>
      <c r="BT71" s="326"/>
      <c r="BU71" s="326"/>
      <c r="BV71" s="327"/>
    </row>
    <row r="72" spans="1:74" ht="30" customHeight="1" x14ac:dyDescent="0.25">
      <c r="A72" s="49">
        <f t="shared" si="0"/>
        <v>58</v>
      </c>
      <c r="B72" s="42" t="s">
        <v>334</v>
      </c>
      <c r="C72" s="43"/>
      <c r="D72" s="609"/>
      <c r="E72" s="326"/>
      <c r="F72" s="326"/>
      <c r="G72" s="326"/>
      <c r="H72" s="326"/>
      <c r="I72" s="326"/>
      <c r="J72" s="326"/>
      <c r="K72" s="327"/>
      <c r="L72" s="610"/>
      <c r="M72" s="326"/>
      <c r="N72" s="326"/>
      <c r="O72" s="327"/>
      <c r="P72" s="609"/>
      <c r="Q72" s="326"/>
      <c r="R72" s="326"/>
      <c r="S72" s="327"/>
      <c r="T72" s="610"/>
      <c r="U72" s="326"/>
      <c r="V72" s="326"/>
      <c r="W72" s="327"/>
      <c r="X72" s="609"/>
      <c r="Y72" s="326"/>
      <c r="Z72" s="326"/>
      <c r="AA72" s="327"/>
      <c r="AB72" s="451"/>
      <c r="AC72" s="326"/>
      <c r="AD72" s="327"/>
      <c r="AE72" s="526"/>
      <c r="AF72" s="326"/>
      <c r="AG72" s="327"/>
      <c r="AH72" s="607"/>
      <c r="AI72" s="326"/>
      <c r="AJ72" s="327"/>
      <c r="AK72" s="497"/>
      <c r="AL72" s="326"/>
      <c r="AM72" s="327"/>
      <c r="AN72" s="44"/>
      <c r="AO72" s="45"/>
      <c r="AP72" s="44"/>
      <c r="AQ72" s="45"/>
      <c r="AR72" s="44"/>
      <c r="AS72" s="45"/>
      <c r="AT72" s="44"/>
      <c r="AU72" s="45"/>
      <c r="AV72" s="44"/>
      <c r="AW72" s="45"/>
      <c r="AX72" s="44"/>
      <c r="AY72" s="45"/>
      <c r="AZ72" s="50"/>
      <c r="BA72" s="47"/>
      <c r="BB72" s="50"/>
      <c r="BC72" s="47"/>
      <c r="BD72" s="50"/>
      <c r="BE72" s="47"/>
      <c r="BF72" s="50"/>
      <c r="BG72" s="47"/>
      <c r="BH72" s="50"/>
      <c r="BI72" s="608" t="s">
        <v>307</v>
      </c>
      <c r="BJ72" s="326"/>
      <c r="BK72" s="326"/>
      <c r="BL72" s="326"/>
      <c r="BM72" s="326"/>
      <c r="BN72" s="326"/>
      <c r="BO72" s="326"/>
      <c r="BP72" s="326"/>
      <c r="BQ72" s="326"/>
      <c r="BR72" s="326"/>
      <c r="BS72" s="326"/>
      <c r="BT72" s="326"/>
      <c r="BU72" s="326"/>
      <c r="BV72" s="327"/>
    </row>
    <row r="73" spans="1:74" ht="30" customHeight="1" x14ac:dyDescent="0.25">
      <c r="A73" s="49">
        <f t="shared" si="0"/>
        <v>59</v>
      </c>
      <c r="B73" s="42" t="s">
        <v>334</v>
      </c>
      <c r="C73" s="43"/>
      <c r="D73" s="609"/>
      <c r="E73" s="326"/>
      <c r="F73" s="326"/>
      <c r="G73" s="326"/>
      <c r="H73" s="326"/>
      <c r="I73" s="326"/>
      <c r="J73" s="326"/>
      <c r="K73" s="327"/>
      <c r="L73" s="610"/>
      <c r="M73" s="326"/>
      <c r="N73" s="326"/>
      <c r="O73" s="327"/>
      <c r="P73" s="609"/>
      <c r="Q73" s="326"/>
      <c r="R73" s="326"/>
      <c r="S73" s="327"/>
      <c r="T73" s="610"/>
      <c r="U73" s="326"/>
      <c r="V73" s="326"/>
      <c r="W73" s="327"/>
      <c r="X73" s="609"/>
      <c r="Y73" s="326"/>
      <c r="Z73" s="326"/>
      <c r="AA73" s="327"/>
      <c r="AB73" s="451"/>
      <c r="AC73" s="326"/>
      <c r="AD73" s="327"/>
      <c r="AE73" s="526"/>
      <c r="AF73" s="326"/>
      <c r="AG73" s="327"/>
      <c r="AH73" s="607"/>
      <c r="AI73" s="326"/>
      <c r="AJ73" s="327"/>
      <c r="AK73" s="497"/>
      <c r="AL73" s="326"/>
      <c r="AM73" s="327"/>
      <c r="AN73" s="44"/>
      <c r="AO73" s="45"/>
      <c r="AP73" s="44"/>
      <c r="AQ73" s="45"/>
      <c r="AR73" s="44"/>
      <c r="AS73" s="45"/>
      <c r="AT73" s="44"/>
      <c r="AU73" s="45"/>
      <c r="AV73" s="44"/>
      <c r="AW73" s="45"/>
      <c r="AX73" s="44"/>
      <c r="AY73" s="45"/>
      <c r="AZ73" s="50"/>
      <c r="BA73" s="47"/>
      <c r="BB73" s="50"/>
      <c r="BC73" s="47"/>
      <c r="BD73" s="50"/>
      <c r="BE73" s="47"/>
      <c r="BF73" s="50"/>
      <c r="BG73" s="47"/>
      <c r="BH73" s="50"/>
      <c r="BI73" s="608" t="s">
        <v>307</v>
      </c>
      <c r="BJ73" s="326"/>
      <c r="BK73" s="326"/>
      <c r="BL73" s="326"/>
      <c r="BM73" s="326"/>
      <c r="BN73" s="326"/>
      <c r="BO73" s="326"/>
      <c r="BP73" s="326"/>
      <c r="BQ73" s="326"/>
      <c r="BR73" s="326"/>
      <c r="BS73" s="326"/>
      <c r="BT73" s="326"/>
      <c r="BU73" s="326"/>
      <c r="BV73" s="327"/>
    </row>
    <row r="74" spans="1:74" ht="30" customHeight="1" x14ac:dyDescent="0.25">
      <c r="A74" s="49">
        <f t="shared" si="0"/>
        <v>60</v>
      </c>
      <c r="B74" s="42" t="s">
        <v>334</v>
      </c>
      <c r="C74" s="43"/>
      <c r="D74" s="609"/>
      <c r="E74" s="326"/>
      <c r="F74" s="326"/>
      <c r="G74" s="326"/>
      <c r="H74" s="326"/>
      <c r="I74" s="326"/>
      <c r="J74" s="326"/>
      <c r="K74" s="327"/>
      <c r="L74" s="610"/>
      <c r="M74" s="326"/>
      <c r="N74" s="326"/>
      <c r="O74" s="327"/>
      <c r="P74" s="609"/>
      <c r="Q74" s="326"/>
      <c r="R74" s="326"/>
      <c r="S74" s="327"/>
      <c r="T74" s="610"/>
      <c r="U74" s="326"/>
      <c r="V74" s="326"/>
      <c r="W74" s="327"/>
      <c r="X74" s="609"/>
      <c r="Y74" s="326"/>
      <c r="Z74" s="326"/>
      <c r="AA74" s="327"/>
      <c r="AB74" s="451"/>
      <c r="AC74" s="326"/>
      <c r="AD74" s="327"/>
      <c r="AE74" s="526"/>
      <c r="AF74" s="326"/>
      <c r="AG74" s="327"/>
      <c r="AH74" s="607"/>
      <c r="AI74" s="326"/>
      <c r="AJ74" s="327"/>
      <c r="AK74" s="497"/>
      <c r="AL74" s="326"/>
      <c r="AM74" s="327"/>
      <c r="AN74" s="44"/>
      <c r="AO74" s="45"/>
      <c r="AP74" s="44"/>
      <c r="AQ74" s="45"/>
      <c r="AR74" s="44"/>
      <c r="AS74" s="45"/>
      <c r="AT74" s="44"/>
      <c r="AU74" s="45"/>
      <c r="AV74" s="44"/>
      <c r="AW74" s="45"/>
      <c r="AX74" s="44"/>
      <c r="AY74" s="45"/>
      <c r="AZ74" s="50"/>
      <c r="BA74" s="47"/>
      <c r="BB74" s="50"/>
      <c r="BC74" s="47"/>
      <c r="BD74" s="50"/>
      <c r="BE74" s="47"/>
      <c r="BF74" s="50"/>
      <c r="BG74" s="47"/>
      <c r="BH74" s="50"/>
      <c r="BI74" s="608" t="s">
        <v>307</v>
      </c>
      <c r="BJ74" s="326"/>
      <c r="BK74" s="326"/>
      <c r="BL74" s="326"/>
      <c r="BM74" s="326"/>
      <c r="BN74" s="326"/>
      <c r="BO74" s="326"/>
      <c r="BP74" s="326"/>
      <c r="BQ74" s="326"/>
      <c r="BR74" s="326"/>
      <c r="BS74" s="326"/>
      <c r="BT74" s="326"/>
      <c r="BU74" s="326"/>
      <c r="BV74" s="327"/>
    </row>
    <row r="75" spans="1:74" ht="30" customHeight="1" x14ac:dyDescent="0.25">
      <c r="A75" s="49">
        <f t="shared" si="0"/>
        <v>61</v>
      </c>
      <c r="B75" s="42" t="s">
        <v>334</v>
      </c>
      <c r="C75" s="43"/>
      <c r="D75" s="609"/>
      <c r="E75" s="326"/>
      <c r="F75" s="326"/>
      <c r="G75" s="326"/>
      <c r="H75" s="326"/>
      <c r="I75" s="326"/>
      <c r="J75" s="326"/>
      <c r="K75" s="327"/>
      <c r="L75" s="610"/>
      <c r="M75" s="326"/>
      <c r="N75" s="326"/>
      <c r="O75" s="327"/>
      <c r="P75" s="609"/>
      <c r="Q75" s="326"/>
      <c r="R75" s="326"/>
      <c r="S75" s="327"/>
      <c r="T75" s="610"/>
      <c r="U75" s="326"/>
      <c r="V75" s="326"/>
      <c r="W75" s="327"/>
      <c r="X75" s="609"/>
      <c r="Y75" s="326"/>
      <c r="Z75" s="326"/>
      <c r="AA75" s="327"/>
      <c r="AB75" s="451"/>
      <c r="AC75" s="326"/>
      <c r="AD75" s="327"/>
      <c r="AE75" s="526"/>
      <c r="AF75" s="326"/>
      <c r="AG75" s="327"/>
      <c r="AH75" s="607"/>
      <c r="AI75" s="326"/>
      <c r="AJ75" s="327"/>
      <c r="AK75" s="497"/>
      <c r="AL75" s="326"/>
      <c r="AM75" s="327"/>
      <c r="AN75" s="44"/>
      <c r="AO75" s="45"/>
      <c r="AP75" s="44"/>
      <c r="AQ75" s="45"/>
      <c r="AR75" s="44"/>
      <c r="AS75" s="45"/>
      <c r="AT75" s="44"/>
      <c r="AU75" s="45"/>
      <c r="AV75" s="44"/>
      <c r="AW75" s="45"/>
      <c r="AX75" s="44"/>
      <c r="AY75" s="45"/>
      <c r="AZ75" s="50"/>
      <c r="BA75" s="47"/>
      <c r="BB75" s="50"/>
      <c r="BC75" s="47"/>
      <c r="BD75" s="50"/>
      <c r="BE75" s="47"/>
      <c r="BF75" s="50"/>
      <c r="BG75" s="47"/>
      <c r="BH75" s="50"/>
      <c r="BI75" s="608" t="s">
        <v>307</v>
      </c>
      <c r="BJ75" s="326"/>
      <c r="BK75" s="326"/>
      <c r="BL75" s="326"/>
      <c r="BM75" s="326"/>
      <c r="BN75" s="326"/>
      <c r="BO75" s="326"/>
      <c r="BP75" s="326"/>
      <c r="BQ75" s="326"/>
      <c r="BR75" s="326"/>
      <c r="BS75" s="326"/>
      <c r="BT75" s="326"/>
      <c r="BU75" s="326"/>
      <c r="BV75" s="327"/>
    </row>
    <row r="76" spans="1:74" ht="30" customHeight="1" x14ac:dyDescent="0.25">
      <c r="A76" s="49">
        <f t="shared" si="0"/>
        <v>62</v>
      </c>
      <c r="B76" s="42" t="s">
        <v>334</v>
      </c>
      <c r="C76" s="43"/>
      <c r="D76" s="609"/>
      <c r="E76" s="326"/>
      <c r="F76" s="326"/>
      <c r="G76" s="326"/>
      <c r="H76" s="326"/>
      <c r="I76" s="326"/>
      <c r="J76" s="326"/>
      <c r="K76" s="327"/>
      <c r="L76" s="610"/>
      <c r="M76" s="326"/>
      <c r="N76" s="326"/>
      <c r="O76" s="327"/>
      <c r="P76" s="609"/>
      <c r="Q76" s="326"/>
      <c r="R76" s="326"/>
      <c r="S76" s="327"/>
      <c r="T76" s="610"/>
      <c r="U76" s="326"/>
      <c r="V76" s="326"/>
      <c r="W76" s="327"/>
      <c r="X76" s="609"/>
      <c r="Y76" s="326"/>
      <c r="Z76" s="326"/>
      <c r="AA76" s="327"/>
      <c r="AB76" s="451"/>
      <c r="AC76" s="326"/>
      <c r="AD76" s="327"/>
      <c r="AE76" s="526"/>
      <c r="AF76" s="326"/>
      <c r="AG76" s="327"/>
      <c r="AH76" s="607"/>
      <c r="AI76" s="326"/>
      <c r="AJ76" s="327"/>
      <c r="AK76" s="497"/>
      <c r="AL76" s="326"/>
      <c r="AM76" s="327"/>
      <c r="AN76" s="44"/>
      <c r="AO76" s="45"/>
      <c r="AP76" s="44"/>
      <c r="AQ76" s="45"/>
      <c r="AR76" s="44"/>
      <c r="AS76" s="45"/>
      <c r="AT76" s="44"/>
      <c r="AU76" s="45"/>
      <c r="AV76" s="44"/>
      <c r="AW76" s="45"/>
      <c r="AX76" s="44"/>
      <c r="AY76" s="45"/>
      <c r="AZ76" s="50"/>
      <c r="BA76" s="47"/>
      <c r="BB76" s="50"/>
      <c r="BC76" s="47"/>
      <c r="BD76" s="50"/>
      <c r="BE76" s="47"/>
      <c r="BF76" s="50"/>
      <c r="BG76" s="47"/>
      <c r="BH76" s="50"/>
      <c r="BI76" s="608" t="s">
        <v>303</v>
      </c>
      <c r="BJ76" s="326"/>
      <c r="BK76" s="326"/>
      <c r="BL76" s="326"/>
      <c r="BM76" s="326"/>
      <c r="BN76" s="326"/>
      <c r="BO76" s="326"/>
      <c r="BP76" s="326"/>
      <c r="BQ76" s="326"/>
      <c r="BR76" s="326"/>
      <c r="BS76" s="326"/>
      <c r="BT76" s="326"/>
      <c r="BU76" s="326"/>
      <c r="BV76" s="327"/>
    </row>
    <row r="77" spans="1:74" ht="30" customHeight="1" x14ac:dyDescent="0.25">
      <c r="A77" s="49">
        <f t="shared" si="0"/>
        <v>63</v>
      </c>
      <c r="B77" s="42" t="s">
        <v>334</v>
      </c>
      <c r="C77" s="43"/>
      <c r="D77" s="609"/>
      <c r="E77" s="326"/>
      <c r="F77" s="326"/>
      <c r="G77" s="326"/>
      <c r="H77" s="326"/>
      <c r="I77" s="326"/>
      <c r="J77" s="326"/>
      <c r="K77" s="327"/>
      <c r="L77" s="610"/>
      <c r="M77" s="326"/>
      <c r="N77" s="326"/>
      <c r="O77" s="327"/>
      <c r="P77" s="609"/>
      <c r="Q77" s="326"/>
      <c r="R77" s="326"/>
      <c r="S77" s="327"/>
      <c r="T77" s="610"/>
      <c r="U77" s="326"/>
      <c r="V77" s="326"/>
      <c r="W77" s="327"/>
      <c r="X77" s="609"/>
      <c r="Y77" s="326"/>
      <c r="Z77" s="326"/>
      <c r="AA77" s="327"/>
      <c r="AB77" s="451"/>
      <c r="AC77" s="326"/>
      <c r="AD77" s="327"/>
      <c r="AE77" s="526"/>
      <c r="AF77" s="326"/>
      <c r="AG77" s="327"/>
      <c r="AH77" s="607"/>
      <c r="AI77" s="326"/>
      <c r="AJ77" s="327"/>
      <c r="AK77" s="497"/>
      <c r="AL77" s="326"/>
      <c r="AM77" s="327"/>
      <c r="AN77" s="44"/>
      <c r="AO77" s="45"/>
      <c r="AP77" s="44"/>
      <c r="AQ77" s="45"/>
      <c r="AR77" s="44"/>
      <c r="AS77" s="45"/>
      <c r="AT77" s="44"/>
      <c r="AU77" s="45"/>
      <c r="AV77" s="44"/>
      <c r="AW77" s="45"/>
      <c r="AX77" s="44"/>
      <c r="AY77" s="45"/>
      <c r="AZ77" s="50"/>
      <c r="BA77" s="47"/>
      <c r="BB77" s="50"/>
      <c r="BC77" s="47"/>
      <c r="BD77" s="50"/>
      <c r="BE77" s="47"/>
      <c r="BF77" s="50"/>
      <c r="BG77" s="47"/>
      <c r="BH77" s="50"/>
      <c r="BI77" s="608" t="s">
        <v>303</v>
      </c>
      <c r="BJ77" s="326"/>
      <c r="BK77" s="326"/>
      <c r="BL77" s="326"/>
      <c r="BM77" s="326"/>
      <c r="BN77" s="326"/>
      <c r="BO77" s="326"/>
      <c r="BP77" s="326"/>
      <c r="BQ77" s="326"/>
      <c r="BR77" s="326"/>
      <c r="BS77" s="326"/>
      <c r="BT77" s="326"/>
      <c r="BU77" s="326"/>
      <c r="BV77" s="327"/>
    </row>
    <row r="78" spans="1:74" ht="30" customHeight="1" x14ac:dyDescent="0.25">
      <c r="A78" s="41">
        <f t="shared" si="0"/>
        <v>64</v>
      </c>
      <c r="B78" s="42" t="s">
        <v>334</v>
      </c>
      <c r="C78" s="43"/>
      <c r="D78" s="609"/>
      <c r="E78" s="326"/>
      <c r="F78" s="326"/>
      <c r="G78" s="326"/>
      <c r="H78" s="326"/>
      <c r="I78" s="326"/>
      <c r="J78" s="326"/>
      <c r="K78" s="327"/>
      <c r="L78" s="610"/>
      <c r="M78" s="326"/>
      <c r="N78" s="326"/>
      <c r="O78" s="327"/>
      <c r="P78" s="609"/>
      <c r="Q78" s="326"/>
      <c r="R78" s="326"/>
      <c r="S78" s="327"/>
      <c r="T78" s="610"/>
      <c r="U78" s="326"/>
      <c r="V78" s="326"/>
      <c r="W78" s="327"/>
      <c r="X78" s="609"/>
      <c r="Y78" s="326"/>
      <c r="Z78" s="326"/>
      <c r="AA78" s="327"/>
      <c r="AB78" s="451"/>
      <c r="AC78" s="326"/>
      <c r="AD78" s="327"/>
      <c r="AE78" s="526"/>
      <c r="AF78" s="326"/>
      <c r="AG78" s="327"/>
      <c r="AH78" s="607"/>
      <c r="AI78" s="326"/>
      <c r="AJ78" s="327"/>
      <c r="AK78" s="497"/>
      <c r="AL78" s="326"/>
      <c r="AM78" s="327"/>
      <c r="AN78" s="44"/>
      <c r="AO78" s="45"/>
      <c r="AP78" s="44"/>
      <c r="AQ78" s="45"/>
      <c r="AR78" s="44"/>
      <c r="AS78" s="45"/>
      <c r="AT78" s="44"/>
      <c r="AU78" s="45"/>
      <c r="AV78" s="44"/>
      <c r="AW78" s="45"/>
      <c r="AX78" s="44"/>
      <c r="AY78" s="45"/>
      <c r="AZ78" s="50"/>
      <c r="BA78" s="47"/>
      <c r="BB78" s="50"/>
      <c r="BC78" s="47"/>
      <c r="BD78" s="50"/>
      <c r="BE78" s="47"/>
      <c r="BF78" s="50"/>
      <c r="BG78" s="47"/>
      <c r="BH78" s="50"/>
      <c r="BI78" s="608" t="s">
        <v>307</v>
      </c>
      <c r="BJ78" s="326"/>
      <c r="BK78" s="326"/>
      <c r="BL78" s="326"/>
      <c r="BM78" s="326"/>
      <c r="BN78" s="326"/>
      <c r="BO78" s="326"/>
      <c r="BP78" s="326"/>
      <c r="BQ78" s="326"/>
      <c r="BR78" s="326"/>
      <c r="BS78" s="326"/>
      <c r="BT78" s="326"/>
      <c r="BU78" s="326"/>
      <c r="BV78" s="327"/>
    </row>
    <row r="79" spans="1:74" ht="30" customHeight="1" x14ac:dyDescent="0.25">
      <c r="A79" s="49">
        <f t="shared" si="0"/>
        <v>65</v>
      </c>
      <c r="B79" s="42" t="s">
        <v>334</v>
      </c>
      <c r="C79" s="43"/>
      <c r="D79" s="609"/>
      <c r="E79" s="326"/>
      <c r="F79" s="326"/>
      <c r="G79" s="326"/>
      <c r="H79" s="326"/>
      <c r="I79" s="326"/>
      <c r="J79" s="326"/>
      <c r="K79" s="327"/>
      <c r="L79" s="610"/>
      <c r="M79" s="326"/>
      <c r="N79" s="326"/>
      <c r="O79" s="327"/>
      <c r="P79" s="609"/>
      <c r="Q79" s="326"/>
      <c r="R79" s="326"/>
      <c r="S79" s="327"/>
      <c r="T79" s="610"/>
      <c r="U79" s="326"/>
      <c r="V79" s="326"/>
      <c r="W79" s="327"/>
      <c r="X79" s="609"/>
      <c r="Y79" s="326"/>
      <c r="Z79" s="326"/>
      <c r="AA79" s="327"/>
      <c r="AB79" s="451"/>
      <c r="AC79" s="326"/>
      <c r="AD79" s="327"/>
      <c r="AE79" s="526"/>
      <c r="AF79" s="326"/>
      <c r="AG79" s="327"/>
      <c r="AH79" s="607"/>
      <c r="AI79" s="326"/>
      <c r="AJ79" s="327"/>
      <c r="AK79" s="497"/>
      <c r="AL79" s="326"/>
      <c r="AM79" s="327"/>
      <c r="AN79" s="44"/>
      <c r="AO79" s="45"/>
      <c r="AP79" s="44"/>
      <c r="AQ79" s="45"/>
      <c r="AR79" s="44"/>
      <c r="AS79" s="45"/>
      <c r="AT79" s="44"/>
      <c r="AU79" s="45"/>
      <c r="AV79" s="44"/>
      <c r="AW79" s="45"/>
      <c r="AX79" s="44"/>
      <c r="AY79" s="45"/>
      <c r="AZ79" s="50"/>
      <c r="BA79" s="47"/>
      <c r="BB79" s="50"/>
      <c r="BC79" s="47"/>
      <c r="BD79" s="50"/>
      <c r="BE79" s="47"/>
      <c r="BF79" s="50"/>
      <c r="BG79" s="47"/>
      <c r="BH79" s="50"/>
      <c r="BI79" s="608" t="s">
        <v>307</v>
      </c>
      <c r="BJ79" s="326"/>
      <c r="BK79" s="326"/>
      <c r="BL79" s="326"/>
      <c r="BM79" s="326"/>
      <c r="BN79" s="326"/>
      <c r="BO79" s="326"/>
      <c r="BP79" s="326"/>
      <c r="BQ79" s="326"/>
      <c r="BR79" s="326"/>
      <c r="BS79" s="326"/>
      <c r="BT79" s="326"/>
      <c r="BU79" s="326"/>
      <c r="BV79" s="327"/>
    </row>
    <row r="80" spans="1:74" ht="30" customHeight="1" x14ac:dyDescent="0.25">
      <c r="A80" s="49">
        <f t="shared" si="0"/>
        <v>66</v>
      </c>
      <c r="B80" s="42" t="s">
        <v>334</v>
      </c>
      <c r="C80" s="43"/>
      <c r="D80" s="609"/>
      <c r="E80" s="326"/>
      <c r="F80" s="326"/>
      <c r="G80" s="326"/>
      <c r="H80" s="326"/>
      <c r="I80" s="326"/>
      <c r="J80" s="326"/>
      <c r="K80" s="327"/>
      <c r="L80" s="610"/>
      <c r="M80" s="326"/>
      <c r="N80" s="326"/>
      <c r="O80" s="327"/>
      <c r="P80" s="609"/>
      <c r="Q80" s="326"/>
      <c r="R80" s="326"/>
      <c r="S80" s="327"/>
      <c r="T80" s="610"/>
      <c r="U80" s="326"/>
      <c r="V80" s="326"/>
      <c r="W80" s="327"/>
      <c r="X80" s="609"/>
      <c r="Y80" s="326"/>
      <c r="Z80" s="326"/>
      <c r="AA80" s="327"/>
      <c r="AB80" s="451"/>
      <c r="AC80" s="326"/>
      <c r="AD80" s="327"/>
      <c r="AE80" s="526"/>
      <c r="AF80" s="326"/>
      <c r="AG80" s="327"/>
      <c r="AH80" s="607"/>
      <c r="AI80" s="326"/>
      <c r="AJ80" s="327"/>
      <c r="AK80" s="497"/>
      <c r="AL80" s="326"/>
      <c r="AM80" s="327"/>
      <c r="AN80" s="44"/>
      <c r="AO80" s="45"/>
      <c r="AP80" s="44"/>
      <c r="AQ80" s="45"/>
      <c r="AR80" s="44"/>
      <c r="AS80" s="45"/>
      <c r="AT80" s="44"/>
      <c r="AU80" s="45"/>
      <c r="AV80" s="44"/>
      <c r="AW80" s="45"/>
      <c r="AX80" s="44"/>
      <c r="AY80" s="45"/>
      <c r="AZ80" s="50"/>
      <c r="BA80" s="47"/>
      <c r="BB80" s="50"/>
      <c r="BC80" s="47"/>
      <c r="BD80" s="50"/>
      <c r="BE80" s="47"/>
      <c r="BF80" s="50"/>
      <c r="BG80" s="47"/>
      <c r="BH80" s="50"/>
      <c r="BI80" s="608" t="s">
        <v>307</v>
      </c>
      <c r="BJ80" s="326"/>
      <c r="BK80" s="326"/>
      <c r="BL80" s="326"/>
      <c r="BM80" s="326"/>
      <c r="BN80" s="326"/>
      <c r="BO80" s="326"/>
      <c r="BP80" s="326"/>
      <c r="BQ80" s="326"/>
      <c r="BR80" s="326"/>
      <c r="BS80" s="326"/>
      <c r="BT80" s="326"/>
      <c r="BU80" s="326"/>
      <c r="BV80" s="327"/>
    </row>
    <row r="81" spans="1:74" ht="30" customHeight="1" x14ac:dyDescent="0.25">
      <c r="A81" s="49">
        <f t="shared" si="0"/>
        <v>67</v>
      </c>
      <c r="B81" s="42" t="s">
        <v>334</v>
      </c>
      <c r="C81" s="43"/>
      <c r="D81" s="609"/>
      <c r="E81" s="326"/>
      <c r="F81" s="326"/>
      <c r="G81" s="326"/>
      <c r="H81" s="326"/>
      <c r="I81" s="326"/>
      <c r="J81" s="326"/>
      <c r="K81" s="327"/>
      <c r="L81" s="610"/>
      <c r="M81" s="326"/>
      <c r="N81" s="326"/>
      <c r="O81" s="327"/>
      <c r="P81" s="609"/>
      <c r="Q81" s="326"/>
      <c r="R81" s="326"/>
      <c r="S81" s="327"/>
      <c r="T81" s="610"/>
      <c r="U81" s="326"/>
      <c r="V81" s="326"/>
      <c r="W81" s="327"/>
      <c r="X81" s="609"/>
      <c r="Y81" s="326"/>
      <c r="Z81" s="326"/>
      <c r="AA81" s="327"/>
      <c r="AB81" s="451"/>
      <c r="AC81" s="326"/>
      <c r="AD81" s="327"/>
      <c r="AE81" s="526"/>
      <c r="AF81" s="326"/>
      <c r="AG81" s="327"/>
      <c r="AH81" s="607"/>
      <c r="AI81" s="326"/>
      <c r="AJ81" s="327"/>
      <c r="AK81" s="497"/>
      <c r="AL81" s="326"/>
      <c r="AM81" s="327"/>
      <c r="AN81" s="44"/>
      <c r="AO81" s="45"/>
      <c r="AP81" s="44"/>
      <c r="AQ81" s="45"/>
      <c r="AR81" s="44"/>
      <c r="AS81" s="45"/>
      <c r="AT81" s="44"/>
      <c r="AU81" s="45"/>
      <c r="AV81" s="44"/>
      <c r="AW81" s="45"/>
      <c r="AX81" s="44"/>
      <c r="AY81" s="45"/>
      <c r="AZ81" s="50"/>
      <c r="BA81" s="47"/>
      <c r="BB81" s="50"/>
      <c r="BC81" s="47"/>
      <c r="BD81" s="50"/>
      <c r="BE81" s="47"/>
      <c r="BF81" s="50"/>
      <c r="BG81" s="47"/>
      <c r="BH81" s="50"/>
      <c r="BI81" s="608" t="s">
        <v>307</v>
      </c>
      <c r="BJ81" s="326"/>
      <c r="BK81" s="326"/>
      <c r="BL81" s="326"/>
      <c r="BM81" s="326"/>
      <c r="BN81" s="326"/>
      <c r="BO81" s="326"/>
      <c r="BP81" s="326"/>
      <c r="BQ81" s="326"/>
      <c r="BR81" s="326"/>
      <c r="BS81" s="326"/>
      <c r="BT81" s="326"/>
      <c r="BU81" s="326"/>
      <c r="BV81" s="327"/>
    </row>
    <row r="82" spans="1:74" ht="30" customHeight="1" x14ac:dyDescent="0.25">
      <c r="A82" s="49">
        <f t="shared" si="0"/>
        <v>68</v>
      </c>
      <c r="B82" s="42" t="s">
        <v>334</v>
      </c>
      <c r="C82" s="43"/>
      <c r="D82" s="609"/>
      <c r="E82" s="326"/>
      <c r="F82" s="326"/>
      <c r="G82" s="326"/>
      <c r="H82" s="326"/>
      <c r="I82" s="326"/>
      <c r="J82" s="326"/>
      <c r="K82" s="327"/>
      <c r="L82" s="610"/>
      <c r="M82" s="326"/>
      <c r="N82" s="326"/>
      <c r="O82" s="327"/>
      <c r="P82" s="609"/>
      <c r="Q82" s="326"/>
      <c r="R82" s="326"/>
      <c r="S82" s="327"/>
      <c r="T82" s="610"/>
      <c r="U82" s="326"/>
      <c r="V82" s="326"/>
      <c r="W82" s="327"/>
      <c r="X82" s="609"/>
      <c r="Y82" s="326"/>
      <c r="Z82" s="326"/>
      <c r="AA82" s="327"/>
      <c r="AB82" s="451"/>
      <c r="AC82" s="326"/>
      <c r="AD82" s="327"/>
      <c r="AE82" s="526"/>
      <c r="AF82" s="326"/>
      <c r="AG82" s="327"/>
      <c r="AH82" s="607"/>
      <c r="AI82" s="326"/>
      <c r="AJ82" s="327"/>
      <c r="AK82" s="497"/>
      <c r="AL82" s="326"/>
      <c r="AM82" s="327"/>
      <c r="AN82" s="44"/>
      <c r="AO82" s="45"/>
      <c r="AP82" s="44"/>
      <c r="AQ82" s="45"/>
      <c r="AR82" s="44"/>
      <c r="AS82" s="45"/>
      <c r="AT82" s="44"/>
      <c r="AU82" s="45"/>
      <c r="AV82" s="44"/>
      <c r="AW82" s="45"/>
      <c r="AX82" s="44"/>
      <c r="AY82" s="45"/>
      <c r="AZ82" s="50"/>
      <c r="BA82" s="47"/>
      <c r="BB82" s="50"/>
      <c r="BC82" s="47"/>
      <c r="BD82" s="50"/>
      <c r="BE82" s="47"/>
      <c r="BF82" s="50"/>
      <c r="BG82" s="47"/>
      <c r="BH82" s="50"/>
      <c r="BI82" s="608" t="s">
        <v>307</v>
      </c>
      <c r="BJ82" s="326"/>
      <c r="BK82" s="326"/>
      <c r="BL82" s="326"/>
      <c r="BM82" s="326"/>
      <c r="BN82" s="326"/>
      <c r="BO82" s="326"/>
      <c r="BP82" s="326"/>
      <c r="BQ82" s="326"/>
      <c r="BR82" s="326"/>
      <c r="BS82" s="326"/>
      <c r="BT82" s="326"/>
      <c r="BU82" s="326"/>
      <c r="BV82" s="327"/>
    </row>
    <row r="83" spans="1:74" ht="30" customHeight="1" x14ac:dyDescent="0.25">
      <c r="A83" s="49">
        <f t="shared" si="0"/>
        <v>69</v>
      </c>
      <c r="B83" s="42" t="s">
        <v>334</v>
      </c>
      <c r="C83" s="43"/>
      <c r="D83" s="609"/>
      <c r="E83" s="326"/>
      <c r="F83" s="326"/>
      <c r="G83" s="326"/>
      <c r="H83" s="326"/>
      <c r="I83" s="326"/>
      <c r="J83" s="326"/>
      <c r="K83" s="327"/>
      <c r="L83" s="610"/>
      <c r="M83" s="326"/>
      <c r="N83" s="326"/>
      <c r="O83" s="327"/>
      <c r="P83" s="609"/>
      <c r="Q83" s="326"/>
      <c r="R83" s="326"/>
      <c r="S83" s="327"/>
      <c r="T83" s="610"/>
      <c r="U83" s="326"/>
      <c r="V83" s="326"/>
      <c r="W83" s="327"/>
      <c r="X83" s="609"/>
      <c r="Y83" s="326"/>
      <c r="Z83" s="326"/>
      <c r="AA83" s="327"/>
      <c r="AB83" s="451"/>
      <c r="AC83" s="326"/>
      <c r="AD83" s="327"/>
      <c r="AE83" s="526"/>
      <c r="AF83" s="326"/>
      <c r="AG83" s="327"/>
      <c r="AH83" s="607"/>
      <c r="AI83" s="326"/>
      <c r="AJ83" s="327"/>
      <c r="AK83" s="497"/>
      <c r="AL83" s="326"/>
      <c r="AM83" s="327"/>
      <c r="AN83" s="44"/>
      <c r="AO83" s="45"/>
      <c r="AP83" s="44"/>
      <c r="AQ83" s="45"/>
      <c r="AR83" s="44"/>
      <c r="AS83" s="45"/>
      <c r="AT83" s="44"/>
      <c r="AU83" s="45"/>
      <c r="AV83" s="44"/>
      <c r="AW83" s="45"/>
      <c r="AX83" s="44"/>
      <c r="AY83" s="45"/>
      <c r="AZ83" s="50"/>
      <c r="BA83" s="47"/>
      <c r="BB83" s="50"/>
      <c r="BC83" s="47"/>
      <c r="BD83" s="50"/>
      <c r="BE83" s="47"/>
      <c r="BF83" s="50"/>
      <c r="BG83" s="47"/>
      <c r="BH83" s="50"/>
      <c r="BI83" s="608" t="s">
        <v>303</v>
      </c>
      <c r="BJ83" s="326"/>
      <c r="BK83" s="326"/>
      <c r="BL83" s="326"/>
      <c r="BM83" s="326"/>
      <c r="BN83" s="326"/>
      <c r="BO83" s="326"/>
      <c r="BP83" s="326"/>
      <c r="BQ83" s="326"/>
      <c r="BR83" s="326"/>
      <c r="BS83" s="326"/>
      <c r="BT83" s="326"/>
      <c r="BU83" s="326"/>
      <c r="BV83" s="327"/>
    </row>
    <row r="84" spans="1:74" ht="30" customHeight="1" x14ac:dyDescent="0.25">
      <c r="A84" s="49">
        <f t="shared" si="0"/>
        <v>70</v>
      </c>
      <c r="B84" s="42" t="s">
        <v>334</v>
      </c>
      <c r="C84" s="43"/>
      <c r="D84" s="609"/>
      <c r="E84" s="326"/>
      <c r="F84" s="326"/>
      <c r="G84" s="326"/>
      <c r="H84" s="326"/>
      <c r="I84" s="326"/>
      <c r="J84" s="326"/>
      <c r="K84" s="327"/>
      <c r="L84" s="610"/>
      <c r="M84" s="326"/>
      <c r="N84" s="326"/>
      <c r="O84" s="327"/>
      <c r="P84" s="609"/>
      <c r="Q84" s="326"/>
      <c r="R84" s="326"/>
      <c r="S84" s="327"/>
      <c r="T84" s="610"/>
      <c r="U84" s="326"/>
      <c r="V84" s="326"/>
      <c r="W84" s="327"/>
      <c r="X84" s="609"/>
      <c r="Y84" s="326"/>
      <c r="Z84" s="326"/>
      <c r="AA84" s="327"/>
      <c r="AB84" s="451"/>
      <c r="AC84" s="326"/>
      <c r="AD84" s="327"/>
      <c r="AE84" s="526"/>
      <c r="AF84" s="326"/>
      <c r="AG84" s="327"/>
      <c r="AH84" s="607"/>
      <c r="AI84" s="326"/>
      <c r="AJ84" s="327"/>
      <c r="AK84" s="497"/>
      <c r="AL84" s="326"/>
      <c r="AM84" s="327"/>
      <c r="AN84" s="44"/>
      <c r="AO84" s="45"/>
      <c r="AP84" s="44"/>
      <c r="AQ84" s="45"/>
      <c r="AR84" s="44"/>
      <c r="AS84" s="45"/>
      <c r="AT84" s="44"/>
      <c r="AU84" s="45"/>
      <c r="AV84" s="44"/>
      <c r="AW84" s="45"/>
      <c r="AX84" s="44"/>
      <c r="AY84" s="45"/>
      <c r="AZ84" s="50"/>
      <c r="BA84" s="47"/>
      <c r="BB84" s="50"/>
      <c r="BC84" s="47"/>
      <c r="BD84" s="50"/>
      <c r="BE84" s="47"/>
      <c r="BF84" s="50"/>
      <c r="BG84" s="47"/>
      <c r="BH84" s="50"/>
      <c r="BI84" s="608" t="s">
        <v>303</v>
      </c>
      <c r="BJ84" s="326"/>
      <c r="BK84" s="326"/>
      <c r="BL84" s="326"/>
      <c r="BM84" s="326"/>
      <c r="BN84" s="326"/>
      <c r="BO84" s="326"/>
      <c r="BP84" s="326"/>
      <c r="BQ84" s="326"/>
      <c r="BR84" s="326"/>
      <c r="BS84" s="326"/>
      <c r="BT84" s="326"/>
      <c r="BU84" s="326"/>
      <c r="BV84" s="327"/>
    </row>
    <row r="85" spans="1:74" ht="30" customHeight="1" x14ac:dyDescent="0.25">
      <c r="A85" s="41">
        <f t="shared" si="0"/>
        <v>71</v>
      </c>
      <c r="B85" s="42" t="s">
        <v>334</v>
      </c>
      <c r="C85" s="43"/>
      <c r="D85" s="609"/>
      <c r="E85" s="326"/>
      <c r="F85" s="326"/>
      <c r="G85" s="326"/>
      <c r="H85" s="326"/>
      <c r="I85" s="326"/>
      <c r="J85" s="326"/>
      <c r="K85" s="327"/>
      <c r="L85" s="610"/>
      <c r="M85" s="326"/>
      <c r="N85" s="326"/>
      <c r="O85" s="327"/>
      <c r="P85" s="609"/>
      <c r="Q85" s="326"/>
      <c r="R85" s="326"/>
      <c r="S85" s="327"/>
      <c r="T85" s="610"/>
      <c r="U85" s="326"/>
      <c r="V85" s="326"/>
      <c r="W85" s="327"/>
      <c r="X85" s="609"/>
      <c r="Y85" s="326"/>
      <c r="Z85" s="326"/>
      <c r="AA85" s="327"/>
      <c r="AB85" s="451"/>
      <c r="AC85" s="326"/>
      <c r="AD85" s="327"/>
      <c r="AE85" s="526"/>
      <c r="AF85" s="326"/>
      <c r="AG85" s="327"/>
      <c r="AH85" s="607"/>
      <c r="AI85" s="326"/>
      <c r="AJ85" s="327"/>
      <c r="AK85" s="497"/>
      <c r="AL85" s="326"/>
      <c r="AM85" s="327"/>
      <c r="AN85" s="44"/>
      <c r="AO85" s="45"/>
      <c r="AP85" s="44"/>
      <c r="AQ85" s="45"/>
      <c r="AR85" s="44"/>
      <c r="AS85" s="45"/>
      <c r="AT85" s="44"/>
      <c r="AU85" s="45"/>
      <c r="AV85" s="44"/>
      <c r="AW85" s="45"/>
      <c r="AX85" s="44"/>
      <c r="AY85" s="45"/>
      <c r="AZ85" s="50"/>
      <c r="BA85" s="47"/>
      <c r="BB85" s="50"/>
      <c r="BC85" s="47"/>
      <c r="BD85" s="50"/>
      <c r="BE85" s="47"/>
      <c r="BF85" s="50"/>
      <c r="BG85" s="47"/>
      <c r="BH85" s="50"/>
      <c r="BI85" s="608" t="s">
        <v>307</v>
      </c>
      <c r="BJ85" s="326"/>
      <c r="BK85" s="326"/>
      <c r="BL85" s="326"/>
      <c r="BM85" s="326"/>
      <c r="BN85" s="326"/>
      <c r="BO85" s="326"/>
      <c r="BP85" s="326"/>
      <c r="BQ85" s="326"/>
      <c r="BR85" s="326"/>
      <c r="BS85" s="326"/>
      <c r="BT85" s="326"/>
      <c r="BU85" s="326"/>
      <c r="BV85" s="327"/>
    </row>
    <row r="86" spans="1:74" ht="30" customHeight="1" x14ac:dyDescent="0.25">
      <c r="A86" s="49">
        <f t="shared" si="0"/>
        <v>72</v>
      </c>
      <c r="B86" s="42" t="s">
        <v>334</v>
      </c>
      <c r="C86" s="43"/>
      <c r="D86" s="609"/>
      <c r="E86" s="326"/>
      <c r="F86" s="326"/>
      <c r="G86" s="326"/>
      <c r="H86" s="326"/>
      <c r="I86" s="326"/>
      <c r="J86" s="326"/>
      <c r="K86" s="327"/>
      <c r="L86" s="610"/>
      <c r="M86" s="326"/>
      <c r="N86" s="326"/>
      <c r="O86" s="327"/>
      <c r="P86" s="609"/>
      <c r="Q86" s="326"/>
      <c r="R86" s="326"/>
      <c r="S86" s="327"/>
      <c r="T86" s="610"/>
      <c r="U86" s="326"/>
      <c r="V86" s="326"/>
      <c r="W86" s="327"/>
      <c r="X86" s="609"/>
      <c r="Y86" s="326"/>
      <c r="Z86" s="326"/>
      <c r="AA86" s="327"/>
      <c r="AB86" s="451"/>
      <c r="AC86" s="326"/>
      <c r="AD86" s="327"/>
      <c r="AE86" s="526"/>
      <c r="AF86" s="326"/>
      <c r="AG86" s="327"/>
      <c r="AH86" s="607"/>
      <c r="AI86" s="326"/>
      <c r="AJ86" s="327"/>
      <c r="AK86" s="497"/>
      <c r="AL86" s="326"/>
      <c r="AM86" s="327"/>
      <c r="AN86" s="44"/>
      <c r="AO86" s="45"/>
      <c r="AP86" s="44"/>
      <c r="AQ86" s="45"/>
      <c r="AR86" s="44"/>
      <c r="AS86" s="45"/>
      <c r="AT86" s="44"/>
      <c r="AU86" s="45"/>
      <c r="AV86" s="44"/>
      <c r="AW86" s="45"/>
      <c r="AX86" s="44"/>
      <c r="AY86" s="45"/>
      <c r="AZ86" s="50"/>
      <c r="BA86" s="47"/>
      <c r="BB86" s="50"/>
      <c r="BC86" s="47"/>
      <c r="BD86" s="50"/>
      <c r="BE86" s="47"/>
      <c r="BF86" s="50"/>
      <c r="BG86" s="47"/>
      <c r="BH86" s="50"/>
      <c r="BI86" s="608" t="s">
        <v>307</v>
      </c>
      <c r="BJ86" s="326"/>
      <c r="BK86" s="326"/>
      <c r="BL86" s="326"/>
      <c r="BM86" s="326"/>
      <c r="BN86" s="326"/>
      <c r="BO86" s="326"/>
      <c r="BP86" s="326"/>
      <c r="BQ86" s="326"/>
      <c r="BR86" s="326"/>
      <c r="BS86" s="326"/>
      <c r="BT86" s="326"/>
      <c r="BU86" s="326"/>
      <c r="BV86" s="327"/>
    </row>
    <row r="87" spans="1:74" ht="30" customHeight="1" x14ac:dyDescent="0.25">
      <c r="A87" s="49">
        <f t="shared" si="0"/>
        <v>73</v>
      </c>
      <c r="B87" s="42" t="s">
        <v>334</v>
      </c>
      <c r="C87" s="43"/>
      <c r="D87" s="609"/>
      <c r="E87" s="326"/>
      <c r="F87" s="326"/>
      <c r="G87" s="326"/>
      <c r="H87" s="326"/>
      <c r="I87" s="326"/>
      <c r="J87" s="326"/>
      <c r="K87" s="327"/>
      <c r="L87" s="610"/>
      <c r="M87" s="326"/>
      <c r="N87" s="326"/>
      <c r="O87" s="327"/>
      <c r="P87" s="609"/>
      <c r="Q87" s="326"/>
      <c r="R87" s="326"/>
      <c r="S87" s="327"/>
      <c r="T87" s="610"/>
      <c r="U87" s="326"/>
      <c r="V87" s="326"/>
      <c r="W87" s="327"/>
      <c r="X87" s="609"/>
      <c r="Y87" s="326"/>
      <c r="Z87" s="326"/>
      <c r="AA87" s="327"/>
      <c r="AB87" s="451"/>
      <c r="AC87" s="326"/>
      <c r="AD87" s="327"/>
      <c r="AE87" s="526"/>
      <c r="AF87" s="326"/>
      <c r="AG87" s="327"/>
      <c r="AH87" s="607"/>
      <c r="AI87" s="326"/>
      <c r="AJ87" s="327"/>
      <c r="AK87" s="497"/>
      <c r="AL87" s="326"/>
      <c r="AM87" s="327"/>
      <c r="AN87" s="44"/>
      <c r="AO87" s="45"/>
      <c r="AP87" s="44"/>
      <c r="AQ87" s="45"/>
      <c r="AR87" s="44"/>
      <c r="AS87" s="45"/>
      <c r="AT87" s="44"/>
      <c r="AU87" s="45"/>
      <c r="AV87" s="44"/>
      <c r="AW87" s="45"/>
      <c r="AX87" s="44"/>
      <c r="AY87" s="45"/>
      <c r="AZ87" s="50"/>
      <c r="BA87" s="47"/>
      <c r="BB87" s="50"/>
      <c r="BC87" s="47"/>
      <c r="BD87" s="50"/>
      <c r="BE87" s="47"/>
      <c r="BF87" s="50"/>
      <c r="BG87" s="47"/>
      <c r="BH87" s="50"/>
      <c r="BI87" s="608" t="s">
        <v>307</v>
      </c>
      <c r="BJ87" s="326"/>
      <c r="BK87" s="326"/>
      <c r="BL87" s="326"/>
      <c r="BM87" s="326"/>
      <c r="BN87" s="326"/>
      <c r="BO87" s="326"/>
      <c r="BP87" s="326"/>
      <c r="BQ87" s="326"/>
      <c r="BR87" s="326"/>
      <c r="BS87" s="326"/>
      <c r="BT87" s="326"/>
      <c r="BU87" s="326"/>
      <c r="BV87" s="327"/>
    </row>
    <row r="88" spans="1:74" ht="30" customHeight="1" x14ac:dyDescent="0.25">
      <c r="A88" s="49">
        <f t="shared" si="0"/>
        <v>74</v>
      </c>
      <c r="B88" s="42" t="s">
        <v>334</v>
      </c>
      <c r="C88" s="43"/>
      <c r="D88" s="609"/>
      <c r="E88" s="326"/>
      <c r="F88" s="326"/>
      <c r="G88" s="326"/>
      <c r="H88" s="326"/>
      <c r="I88" s="326"/>
      <c r="J88" s="326"/>
      <c r="K88" s="327"/>
      <c r="L88" s="610"/>
      <c r="M88" s="326"/>
      <c r="N88" s="326"/>
      <c r="O88" s="327"/>
      <c r="P88" s="609"/>
      <c r="Q88" s="326"/>
      <c r="R88" s="326"/>
      <c r="S88" s="327"/>
      <c r="T88" s="610"/>
      <c r="U88" s="326"/>
      <c r="V88" s="326"/>
      <c r="W88" s="327"/>
      <c r="X88" s="609"/>
      <c r="Y88" s="326"/>
      <c r="Z88" s="326"/>
      <c r="AA88" s="327"/>
      <c r="AB88" s="451"/>
      <c r="AC88" s="326"/>
      <c r="AD88" s="327"/>
      <c r="AE88" s="526"/>
      <c r="AF88" s="326"/>
      <c r="AG88" s="327"/>
      <c r="AH88" s="607"/>
      <c r="AI88" s="326"/>
      <c r="AJ88" s="327"/>
      <c r="AK88" s="497"/>
      <c r="AL88" s="326"/>
      <c r="AM88" s="327"/>
      <c r="AN88" s="44"/>
      <c r="AO88" s="45"/>
      <c r="AP88" s="44"/>
      <c r="AQ88" s="45"/>
      <c r="AR88" s="44"/>
      <c r="AS88" s="45"/>
      <c r="AT88" s="44"/>
      <c r="AU88" s="45"/>
      <c r="AV88" s="44"/>
      <c r="AW88" s="45"/>
      <c r="AX88" s="44"/>
      <c r="AY88" s="45"/>
      <c r="AZ88" s="50"/>
      <c r="BA88" s="47"/>
      <c r="BB88" s="50"/>
      <c r="BC88" s="47"/>
      <c r="BD88" s="50"/>
      <c r="BE88" s="47"/>
      <c r="BF88" s="50"/>
      <c r="BG88" s="47"/>
      <c r="BH88" s="50"/>
      <c r="BI88" s="608" t="s">
        <v>307</v>
      </c>
      <c r="BJ88" s="326"/>
      <c r="BK88" s="326"/>
      <c r="BL88" s="326"/>
      <c r="BM88" s="326"/>
      <c r="BN88" s="326"/>
      <c r="BO88" s="326"/>
      <c r="BP88" s="326"/>
      <c r="BQ88" s="326"/>
      <c r="BR88" s="326"/>
      <c r="BS88" s="326"/>
      <c r="BT88" s="326"/>
      <c r="BU88" s="326"/>
      <c r="BV88" s="327"/>
    </row>
    <row r="89" spans="1:74" ht="30" customHeight="1" x14ac:dyDescent="0.25">
      <c r="A89" s="49">
        <f t="shared" si="0"/>
        <v>75</v>
      </c>
      <c r="B89" s="42" t="s">
        <v>334</v>
      </c>
      <c r="C89" s="43"/>
      <c r="D89" s="609"/>
      <c r="E89" s="326"/>
      <c r="F89" s="326"/>
      <c r="G89" s="326"/>
      <c r="H89" s="326"/>
      <c r="I89" s="326"/>
      <c r="J89" s="326"/>
      <c r="K89" s="327"/>
      <c r="L89" s="610"/>
      <c r="M89" s="326"/>
      <c r="N89" s="326"/>
      <c r="O89" s="327"/>
      <c r="P89" s="609"/>
      <c r="Q89" s="326"/>
      <c r="R89" s="326"/>
      <c r="S89" s="327"/>
      <c r="T89" s="610"/>
      <c r="U89" s="326"/>
      <c r="V89" s="326"/>
      <c r="W89" s="327"/>
      <c r="X89" s="609"/>
      <c r="Y89" s="326"/>
      <c r="Z89" s="326"/>
      <c r="AA89" s="327"/>
      <c r="AB89" s="451"/>
      <c r="AC89" s="326"/>
      <c r="AD89" s="327"/>
      <c r="AE89" s="526"/>
      <c r="AF89" s="326"/>
      <c r="AG89" s="327"/>
      <c r="AH89" s="607"/>
      <c r="AI89" s="326"/>
      <c r="AJ89" s="327"/>
      <c r="AK89" s="497"/>
      <c r="AL89" s="326"/>
      <c r="AM89" s="327"/>
      <c r="AN89" s="44"/>
      <c r="AO89" s="45"/>
      <c r="AP89" s="44"/>
      <c r="AQ89" s="45"/>
      <c r="AR89" s="44"/>
      <c r="AS89" s="45"/>
      <c r="AT89" s="44"/>
      <c r="AU89" s="45"/>
      <c r="AV89" s="44"/>
      <c r="AW89" s="45"/>
      <c r="AX89" s="44"/>
      <c r="AY89" s="45"/>
      <c r="AZ89" s="50"/>
      <c r="BA89" s="47"/>
      <c r="BB89" s="50"/>
      <c r="BC89" s="47"/>
      <c r="BD89" s="50"/>
      <c r="BE89" s="47"/>
      <c r="BF89" s="50"/>
      <c r="BG89" s="47"/>
      <c r="BH89" s="50"/>
      <c r="BI89" s="608" t="s">
        <v>307</v>
      </c>
      <c r="BJ89" s="326"/>
      <c r="BK89" s="326"/>
      <c r="BL89" s="326"/>
      <c r="BM89" s="326"/>
      <c r="BN89" s="326"/>
      <c r="BO89" s="326"/>
      <c r="BP89" s="326"/>
      <c r="BQ89" s="326"/>
      <c r="BR89" s="326"/>
      <c r="BS89" s="326"/>
      <c r="BT89" s="326"/>
      <c r="BU89" s="326"/>
      <c r="BV89" s="327"/>
    </row>
    <row r="90" spans="1:74" ht="30" customHeight="1" x14ac:dyDescent="0.25">
      <c r="A90" s="49">
        <f t="shared" si="0"/>
        <v>76</v>
      </c>
      <c r="B90" s="42" t="s">
        <v>334</v>
      </c>
      <c r="C90" s="43"/>
      <c r="D90" s="609"/>
      <c r="E90" s="326"/>
      <c r="F90" s="326"/>
      <c r="G90" s="326"/>
      <c r="H90" s="326"/>
      <c r="I90" s="326"/>
      <c r="J90" s="326"/>
      <c r="K90" s="327"/>
      <c r="L90" s="610"/>
      <c r="M90" s="326"/>
      <c r="N90" s="326"/>
      <c r="O90" s="327"/>
      <c r="P90" s="609"/>
      <c r="Q90" s="326"/>
      <c r="R90" s="326"/>
      <c r="S90" s="327"/>
      <c r="T90" s="610"/>
      <c r="U90" s="326"/>
      <c r="V90" s="326"/>
      <c r="W90" s="327"/>
      <c r="X90" s="609"/>
      <c r="Y90" s="326"/>
      <c r="Z90" s="326"/>
      <c r="AA90" s="327"/>
      <c r="AB90" s="451"/>
      <c r="AC90" s="326"/>
      <c r="AD90" s="327"/>
      <c r="AE90" s="526"/>
      <c r="AF90" s="326"/>
      <c r="AG90" s="327"/>
      <c r="AH90" s="607"/>
      <c r="AI90" s="326"/>
      <c r="AJ90" s="327"/>
      <c r="AK90" s="497"/>
      <c r="AL90" s="326"/>
      <c r="AM90" s="327"/>
      <c r="AN90" s="44"/>
      <c r="AO90" s="45"/>
      <c r="AP90" s="44"/>
      <c r="AQ90" s="45"/>
      <c r="AR90" s="44"/>
      <c r="AS90" s="45"/>
      <c r="AT90" s="44"/>
      <c r="AU90" s="45"/>
      <c r="AV90" s="44"/>
      <c r="AW90" s="45"/>
      <c r="AX90" s="44"/>
      <c r="AY90" s="45"/>
      <c r="AZ90" s="50"/>
      <c r="BA90" s="47"/>
      <c r="BB90" s="50"/>
      <c r="BC90" s="47"/>
      <c r="BD90" s="50"/>
      <c r="BE90" s="47"/>
      <c r="BF90" s="50"/>
      <c r="BG90" s="47"/>
      <c r="BH90" s="50"/>
      <c r="BI90" s="608" t="s">
        <v>303</v>
      </c>
      <c r="BJ90" s="326"/>
      <c r="BK90" s="326"/>
      <c r="BL90" s="326"/>
      <c r="BM90" s="326"/>
      <c r="BN90" s="326"/>
      <c r="BO90" s="326"/>
      <c r="BP90" s="326"/>
      <c r="BQ90" s="326"/>
      <c r="BR90" s="326"/>
      <c r="BS90" s="326"/>
      <c r="BT90" s="326"/>
      <c r="BU90" s="326"/>
      <c r="BV90" s="327"/>
    </row>
    <row r="91" spans="1:74" ht="30" customHeight="1" x14ac:dyDescent="0.25">
      <c r="A91" s="49">
        <f t="shared" si="0"/>
        <v>77</v>
      </c>
      <c r="B91" s="42" t="s">
        <v>334</v>
      </c>
      <c r="C91" s="43"/>
      <c r="D91" s="609"/>
      <c r="E91" s="326"/>
      <c r="F91" s="326"/>
      <c r="G91" s="326"/>
      <c r="H91" s="326"/>
      <c r="I91" s="326"/>
      <c r="J91" s="326"/>
      <c r="K91" s="327"/>
      <c r="L91" s="610"/>
      <c r="M91" s="326"/>
      <c r="N91" s="326"/>
      <c r="O91" s="327"/>
      <c r="P91" s="609"/>
      <c r="Q91" s="326"/>
      <c r="R91" s="326"/>
      <c r="S91" s="327"/>
      <c r="T91" s="610"/>
      <c r="U91" s="326"/>
      <c r="V91" s="326"/>
      <c r="W91" s="327"/>
      <c r="X91" s="609"/>
      <c r="Y91" s="326"/>
      <c r="Z91" s="326"/>
      <c r="AA91" s="327"/>
      <c r="AB91" s="451"/>
      <c r="AC91" s="326"/>
      <c r="AD91" s="327"/>
      <c r="AE91" s="526"/>
      <c r="AF91" s="326"/>
      <c r="AG91" s="327"/>
      <c r="AH91" s="607"/>
      <c r="AI91" s="326"/>
      <c r="AJ91" s="327"/>
      <c r="AK91" s="497"/>
      <c r="AL91" s="326"/>
      <c r="AM91" s="327"/>
      <c r="AN91" s="44"/>
      <c r="AO91" s="45"/>
      <c r="AP91" s="44"/>
      <c r="AQ91" s="45"/>
      <c r="AR91" s="44"/>
      <c r="AS91" s="45"/>
      <c r="AT91" s="44"/>
      <c r="AU91" s="45"/>
      <c r="AV91" s="44"/>
      <c r="AW91" s="45"/>
      <c r="AX91" s="44"/>
      <c r="AY91" s="45"/>
      <c r="AZ91" s="50"/>
      <c r="BA91" s="47"/>
      <c r="BB91" s="50"/>
      <c r="BC91" s="47"/>
      <c r="BD91" s="50"/>
      <c r="BE91" s="47"/>
      <c r="BF91" s="50"/>
      <c r="BG91" s="47"/>
      <c r="BH91" s="50"/>
      <c r="BI91" s="608" t="s">
        <v>303</v>
      </c>
      <c r="BJ91" s="326"/>
      <c r="BK91" s="326"/>
      <c r="BL91" s="326"/>
      <c r="BM91" s="326"/>
      <c r="BN91" s="326"/>
      <c r="BO91" s="326"/>
      <c r="BP91" s="326"/>
      <c r="BQ91" s="326"/>
      <c r="BR91" s="326"/>
      <c r="BS91" s="326"/>
      <c r="BT91" s="326"/>
      <c r="BU91" s="326"/>
      <c r="BV91" s="327"/>
    </row>
    <row r="92" spans="1:74" ht="30" customHeight="1" x14ac:dyDescent="0.25">
      <c r="A92" s="41">
        <f t="shared" si="0"/>
        <v>78</v>
      </c>
      <c r="B92" s="42" t="s">
        <v>334</v>
      </c>
      <c r="C92" s="43"/>
      <c r="D92" s="609"/>
      <c r="E92" s="326"/>
      <c r="F92" s="326"/>
      <c r="G92" s="326"/>
      <c r="H92" s="326"/>
      <c r="I92" s="326"/>
      <c r="J92" s="326"/>
      <c r="K92" s="327"/>
      <c r="L92" s="610"/>
      <c r="M92" s="326"/>
      <c r="N92" s="326"/>
      <c r="O92" s="327"/>
      <c r="P92" s="609"/>
      <c r="Q92" s="326"/>
      <c r="R92" s="326"/>
      <c r="S92" s="327"/>
      <c r="T92" s="610"/>
      <c r="U92" s="326"/>
      <c r="V92" s="326"/>
      <c r="W92" s="327"/>
      <c r="X92" s="609"/>
      <c r="Y92" s="326"/>
      <c r="Z92" s="326"/>
      <c r="AA92" s="327"/>
      <c r="AB92" s="451"/>
      <c r="AC92" s="326"/>
      <c r="AD92" s="327"/>
      <c r="AE92" s="526"/>
      <c r="AF92" s="326"/>
      <c r="AG92" s="327"/>
      <c r="AH92" s="607"/>
      <c r="AI92" s="326"/>
      <c r="AJ92" s="327"/>
      <c r="AK92" s="497"/>
      <c r="AL92" s="326"/>
      <c r="AM92" s="327"/>
      <c r="AN92" s="44"/>
      <c r="AO92" s="45"/>
      <c r="AP92" s="44"/>
      <c r="AQ92" s="45"/>
      <c r="AR92" s="44"/>
      <c r="AS92" s="45"/>
      <c r="AT92" s="44"/>
      <c r="AU92" s="45"/>
      <c r="AV92" s="44"/>
      <c r="AW92" s="45"/>
      <c r="AX92" s="44"/>
      <c r="AY92" s="45"/>
      <c r="AZ92" s="50"/>
      <c r="BA92" s="47"/>
      <c r="BB92" s="50"/>
      <c r="BC92" s="47"/>
      <c r="BD92" s="50"/>
      <c r="BE92" s="47"/>
      <c r="BF92" s="50"/>
      <c r="BG92" s="47"/>
      <c r="BH92" s="50"/>
      <c r="BI92" s="608" t="s">
        <v>307</v>
      </c>
      <c r="BJ92" s="326"/>
      <c r="BK92" s="326"/>
      <c r="BL92" s="326"/>
      <c r="BM92" s="326"/>
      <c r="BN92" s="326"/>
      <c r="BO92" s="326"/>
      <c r="BP92" s="326"/>
      <c r="BQ92" s="326"/>
      <c r="BR92" s="326"/>
      <c r="BS92" s="326"/>
      <c r="BT92" s="326"/>
      <c r="BU92" s="326"/>
      <c r="BV92" s="327"/>
    </row>
    <row r="93" spans="1:74" ht="30" customHeight="1" x14ac:dyDescent="0.25">
      <c r="A93" s="49">
        <f t="shared" si="0"/>
        <v>79</v>
      </c>
      <c r="B93" s="42" t="s">
        <v>334</v>
      </c>
      <c r="C93" s="43"/>
      <c r="D93" s="609"/>
      <c r="E93" s="326"/>
      <c r="F93" s="326"/>
      <c r="G93" s="326"/>
      <c r="H93" s="326"/>
      <c r="I93" s="326"/>
      <c r="J93" s="326"/>
      <c r="K93" s="327"/>
      <c r="L93" s="610"/>
      <c r="M93" s="326"/>
      <c r="N93" s="326"/>
      <c r="O93" s="327"/>
      <c r="P93" s="609"/>
      <c r="Q93" s="326"/>
      <c r="R93" s="326"/>
      <c r="S93" s="327"/>
      <c r="T93" s="610"/>
      <c r="U93" s="326"/>
      <c r="V93" s="326"/>
      <c r="W93" s="327"/>
      <c r="X93" s="609"/>
      <c r="Y93" s="326"/>
      <c r="Z93" s="326"/>
      <c r="AA93" s="327"/>
      <c r="AB93" s="451"/>
      <c r="AC93" s="326"/>
      <c r="AD93" s="327"/>
      <c r="AE93" s="526"/>
      <c r="AF93" s="326"/>
      <c r="AG93" s="327"/>
      <c r="AH93" s="607"/>
      <c r="AI93" s="326"/>
      <c r="AJ93" s="327"/>
      <c r="AK93" s="497"/>
      <c r="AL93" s="326"/>
      <c r="AM93" s="327"/>
      <c r="AN93" s="44"/>
      <c r="AO93" s="45"/>
      <c r="AP93" s="44"/>
      <c r="AQ93" s="45"/>
      <c r="AR93" s="44"/>
      <c r="AS93" s="45"/>
      <c r="AT93" s="44"/>
      <c r="AU93" s="45"/>
      <c r="AV93" s="44"/>
      <c r="AW93" s="45"/>
      <c r="AX93" s="44"/>
      <c r="AY93" s="45"/>
      <c r="AZ93" s="50"/>
      <c r="BA93" s="47"/>
      <c r="BB93" s="50"/>
      <c r="BC93" s="47"/>
      <c r="BD93" s="50"/>
      <c r="BE93" s="47"/>
      <c r="BF93" s="50"/>
      <c r="BG93" s="47"/>
      <c r="BH93" s="50"/>
      <c r="BI93" s="608" t="s">
        <v>307</v>
      </c>
      <c r="BJ93" s="326"/>
      <c r="BK93" s="326"/>
      <c r="BL93" s="326"/>
      <c r="BM93" s="326"/>
      <c r="BN93" s="326"/>
      <c r="BO93" s="326"/>
      <c r="BP93" s="326"/>
      <c r="BQ93" s="326"/>
      <c r="BR93" s="326"/>
      <c r="BS93" s="326"/>
      <c r="BT93" s="326"/>
      <c r="BU93" s="326"/>
      <c r="BV93" s="327"/>
    </row>
    <row r="94" spans="1:74" ht="30" customHeight="1" x14ac:dyDescent="0.25">
      <c r="A94" s="49">
        <f t="shared" si="0"/>
        <v>80</v>
      </c>
      <c r="B94" s="42" t="s">
        <v>334</v>
      </c>
      <c r="C94" s="43"/>
      <c r="D94" s="609"/>
      <c r="E94" s="326"/>
      <c r="F94" s="326"/>
      <c r="G94" s="326"/>
      <c r="H94" s="326"/>
      <c r="I94" s="326"/>
      <c r="J94" s="326"/>
      <c r="K94" s="327"/>
      <c r="L94" s="610"/>
      <c r="M94" s="326"/>
      <c r="N94" s="326"/>
      <c r="O94" s="327"/>
      <c r="P94" s="609"/>
      <c r="Q94" s="326"/>
      <c r="R94" s="326"/>
      <c r="S94" s="327"/>
      <c r="T94" s="610"/>
      <c r="U94" s="326"/>
      <c r="V94" s="326"/>
      <c r="W94" s="327"/>
      <c r="X94" s="609"/>
      <c r="Y94" s="326"/>
      <c r="Z94" s="326"/>
      <c r="AA94" s="327"/>
      <c r="AB94" s="451"/>
      <c r="AC94" s="326"/>
      <c r="AD94" s="327"/>
      <c r="AE94" s="526"/>
      <c r="AF94" s="326"/>
      <c r="AG94" s="327"/>
      <c r="AH94" s="607"/>
      <c r="AI94" s="326"/>
      <c r="AJ94" s="327"/>
      <c r="AK94" s="497"/>
      <c r="AL94" s="326"/>
      <c r="AM94" s="327"/>
      <c r="AN94" s="44"/>
      <c r="AO94" s="45"/>
      <c r="AP94" s="44"/>
      <c r="AQ94" s="45"/>
      <c r="AR94" s="44"/>
      <c r="AS94" s="45"/>
      <c r="AT94" s="44"/>
      <c r="AU94" s="45"/>
      <c r="AV94" s="44"/>
      <c r="AW94" s="45"/>
      <c r="AX94" s="44"/>
      <c r="AY94" s="45"/>
      <c r="AZ94" s="50"/>
      <c r="BA94" s="47"/>
      <c r="BB94" s="50"/>
      <c r="BC94" s="47"/>
      <c r="BD94" s="50"/>
      <c r="BE94" s="47"/>
      <c r="BF94" s="50"/>
      <c r="BG94" s="47"/>
      <c r="BH94" s="50"/>
      <c r="BI94" s="608" t="s">
        <v>307</v>
      </c>
      <c r="BJ94" s="326"/>
      <c r="BK94" s="326"/>
      <c r="BL94" s="326"/>
      <c r="BM94" s="326"/>
      <c r="BN94" s="326"/>
      <c r="BO94" s="326"/>
      <c r="BP94" s="326"/>
      <c r="BQ94" s="326"/>
      <c r="BR94" s="326"/>
      <c r="BS94" s="326"/>
      <c r="BT94" s="326"/>
      <c r="BU94" s="326"/>
      <c r="BV94" s="327"/>
    </row>
    <row r="95" spans="1:74" ht="30" customHeight="1" x14ac:dyDescent="0.25">
      <c r="A95" s="49">
        <f t="shared" si="0"/>
        <v>81</v>
      </c>
      <c r="B95" s="42" t="s">
        <v>334</v>
      </c>
      <c r="C95" s="43"/>
      <c r="D95" s="609"/>
      <c r="E95" s="326"/>
      <c r="F95" s="326"/>
      <c r="G95" s="326"/>
      <c r="H95" s="326"/>
      <c r="I95" s="326"/>
      <c r="J95" s="326"/>
      <c r="K95" s="327"/>
      <c r="L95" s="610"/>
      <c r="M95" s="326"/>
      <c r="N95" s="326"/>
      <c r="O95" s="327"/>
      <c r="P95" s="609"/>
      <c r="Q95" s="326"/>
      <c r="R95" s="326"/>
      <c r="S95" s="327"/>
      <c r="T95" s="610"/>
      <c r="U95" s="326"/>
      <c r="V95" s="326"/>
      <c r="W95" s="327"/>
      <c r="X95" s="609"/>
      <c r="Y95" s="326"/>
      <c r="Z95" s="326"/>
      <c r="AA95" s="327"/>
      <c r="AB95" s="451"/>
      <c r="AC95" s="326"/>
      <c r="AD95" s="327"/>
      <c r="AE95" s="526"/>
      <c r="AF95" s="326"/>
      <c r="AG95" s="327"/>
      <c r="AH95" s="607"/>
      <c r="AI95" s="326"/>
      <c r="AJ95" s="327"/>
      <c r="AK95" s="497"/>
      <c r="AL95" s="326"/>
      <c r="AM95" s="327"/>
      <c r="AN95" s="44"/>
      <c r="AO95" s="45"/>
      <c r="AP95" s="44"/>
      <c r="AQ95" s="45"/>
      <c r="AR95" s="44"/>
      <c r="AS95" s="45"/>
      <c r="AT95" s="44"/>
      <c r="AU95" s="45"/>
      <c r="AV95" s="44"/>
      <c r="AW95" s="45"/>
      <c r="AX95" s="44"/>
      <c r="AY95" s="45"/>
      <c r="AZ95" s="50"/>
      <c r="BA95" s="47"/>
      <c r="BB95" s="50"/>
      <c r="BC95" s="47"/>
      <c r="BD95" s="50"/>
      <c r="BE95" s="47"/>
      <c r="BF95" s="50"/>
      <c r="BG95" s="47"/>
      <c r="BH95" s="50"/>
      <c r="BI95" s="608" t="s">
        <v>307</v>
      </c>
      <c r="BJ95" s="326"/>
      <c r="BK95" s="326"/>
      <c r="BL95" s="326"/>
      <c r="BM95" s="326"/>
      <c r="BN95" s="326"/>
      <c r="BO95" s="326"/>
      <c r="BP95" s="326"/>
      <c r="BQ95" s="326"/>
      <c r="BR95" s="326"/>
      <c r="BS95" s="326"/>
      <c r="BT95" s="326"/>
      <c r="BU95" s="326"/>
      <c r="BV95" s="327"/>
    </row>
    <row r="96" spans="1:74" ht="30" customHeight="1" x14ac:dyDescent="0.25">
      <c r="A96" s="49">
        <f t="shared" si="0"/>
        <v>82</v>
      </c>
      <c r="B96" s="42" t="s">
        <v>334</v>
      </c>
      <c r="C96" s="43"/>
      <c r="D96" s="609"/>
      <c r="E96" s="326"/>
      <c r="F96" s="326"/>
      <c r="G96" s="326"/>
      <c r="H96" s="326"/>
      <c r="I96" s="326"/>
      <c r="J96" s="326"/>
      <c r="K96" s="327"/>
      <c r="L96" s="610"/>
      <c r="M96" s="326"/>
      <c r="N96" s="326"/>
      <c r="O96" s="327"/>
      <c r="P96" s="609"/>
      <c r="Q96" s="326"/>
      <c r="R96" s="326"/>
      <c r="S96" s="327"/>
      <c r="T96" s="610"/>
      <c r="U96" s="326"/>
      <c r="V96" s="326"/>
      <c r="W96" s="327"/>
      <c r="X96" s="609"/>
      <c r="Y96" s="326"/>
      <c r="Z96" s="326"/>
      <c r="AA96" s="327"/>
      <c r="AB96" s="451"/>
      <c r="AC96" s="326"/>
      <c r="AD96" s="327"/>
      <c r="AE96" s="526"/>
      <c r="AF96" s="326"/>
      <c r="AG96" s="327"/>
      <c r="AH96" s="607"/>
      <c r="AI96" s="326"/>
      <c r="AJ96" s="327"/>
      <c r="AK96" s="497"/>
      <c r="AL96" s="326"/>
      <c r="AM96" s="327"/>
      <c r="AN96" s="44"/>
      <c r="AO96" s="45"/>
      <c r="AP96" s="44"/>
      <c r="AQ96" s="45"/>
      <c r="AR96" s="44"/>
      <c r="AS96" s="45"/>
      <c r="AT96" s="44"/>
      <c r="AU96" s="45"/>
      <c r="AV96" s="44"/>
      <c r="AW96" s="45"/>
      <c r="AX96" s="44"/>
      <c r="AY96" s="45"/>
      <c r="AZ96" s="50"/>
      <c r="BA96" s="47"/>
      <c r="BB96" s="50"/>
      <c r="BC96" s="47"/>
      <c r="BD96" s="50"/>
      <c r="BE96" s="47"/>
      <c r="BF96" s="50"/>
      <c r="BG96" s="47"/>
      <c r="BH96" s="50"/>
      <c r="BI96" s="608" t="s">
        <v>307</v>
      </c>
      <c r="BJ96" s="326"/>
      <c r="BK96" s="326"/>
      <c r="BL96" s="326"/>
      <c r="BM96" s="326"/>
      <c r="BN96" s="326"/>
      <c r="BO96" s="326"/>
      <c r="BP96" s="326"/>
      <c r="BQ96" s="326"/>
      <c r="BR96" s="326"/>
      <c r="BS96" s="326"/>
      <c r="BT96" s="326"/>
      <c r="BU96" s="326"/>
      <c r="BV96" s="327"/>
    </row>
    <row r="97" spans="1:74" ht="30" customHeight="1" x14ac:dyDescent="0.25">
      <c r="A97" s="49">
        <f t="shared" si="0"/>
        <v>83</v>
      </c>
      <c r="B97" s="42" t="s">
        <v>334</v>
      </c>
      <c r="C97" s="43"/>
      <c r="D97" s="609"/>
      <c r="E97" s="326"/>
      <c r="F97" s="326"/>
      <c r="G97" s="326"/>
      <c r="H97" s="326"/>
      <c r="I97" s="326"/>
      <c r="J97" s="326"/>
      <c r="K97" s="327"/>
      <c r="L97" s="610"/>
      <c r="M97" s="326"/>
      <c r="N97" s="326"/>
      <c r="O97" s="327"/>
      <c r="P97" s="609"/>
      <c r="Q97" s="326"/>
      <c r="R97" s="326"/>
      <c r="S97" s="327"/>
      <c r="T97" s="610"/>
      <c r="U97" s="326"/>
      <c r="V97" s="326"/>
      <c r="W97" s="327"/>
      <c r="X97" s="609"/>
      <c r="Y97" s="326"/>
      <c r="Z97" s="326"/>
      <c r="AA97" s="327"/>
      <c r="AB97" s="451"/>
      <c r="AC97" s="326"/>
      <c r="AD97" s="327"/>
      <c r="AE97" s="526"/>
      <c r="AF97" s="326"/>
      <c r="AG97" s="327"/>
      <c r="AH97" s="607"/>
      <c r="AI97" s="326"/>
      <c r="AJ97" s="327"/>
      <c r="AK97" s="497"/>
      <c r="AL97" s="326"/>
      <c r="AM97" s="327"/>
      <c r="AN97" s="44"/>
      <c r="AO97" s="45"/>
      <c r="AP97" s="44"/>
      <c r="AQ97" s="45"/>
      <c r="AR97" s="44"/>
      <c r="AS97" s="45"/>
      <c r="AT97" s="44"/>
      <c r="AU97" s="45"/>
      <c r="AV97" s="44"/>
      <c r="AW97" s="45"/>
      <c r="AX97" s="44"/>
      <c r="AY97" s="45"/>
      <c r="AZ97" s="50"/>
      <c r="BA97" s="47"/>
      <c r="BB97" s="50"/>
      <c r="BC97" s="47"/>
      <c r="BD97" s="50"/>
      <c r="BE97" s="47"/>
      <c r="BF97" s="50"/>
      <c r="BG97" s="47"/>
      <c r="BH97" s="50"/>
      <c r="BI97" s="608" t="s">
        <v>303</v>
      </c>
      <c r="BJ97" s="326"/>
      <c r="BK97" s="326"/>
      <c r="BL97" s="326"/>
      <c r="BM97" s="326"/>
      <c r="BN97" s="326"/>
      <c r="BO97" s="326"/>
      <c r="BP97" s="326"/>
      <c r="BQ97" s="326"/>
      <c r="BR97" s="326"/>
      <c r="BS97" s="326"/>
      <c r="BT97" s="326"/>
      <c r="BU97" s="326"/>
      <c r="BV97" s="327"/>
    </row>
    <row r="98" spans="1:74" ht="30" customHeight="1" x14ac:dyDescent="0.25">
      <c r="A98" s="49">
        <f t="shared" si="0"/>
        <v>84</v>
      </c>
      <c r="B98" s="42" t="s">
        <v>334</v>
      </c>
      <c r="C98" s="43"/>
      <c r="D98" s="609"/>
      <c r="E98" s="326"/>
      <c r="F98" s="326"/>
      <c r="G98" s="326"/>
      <c r="H98" s="326"/>
      <c r="I98" s="326"/>
      <c r="J98" s="326"/>
      <c r="K98" s="327"/>
      <c r="L98" s="610"/>
      <c r="M98" s="326"/>
      <c r="N98" s="326"/>
      <c r="O98" s="327"/>
      <c r="P98" s="609"/>
      <c r="Q98" s="326"/>
      <c r="R98" s="326"/>
      <c r="S98" s="327"/>
      <c r="T98" s="610"/>
      <c r="U98" s="326"/>
      <c r="V98" s="326"/>
      <c r="W98" s="327"/>
      <c r="X98" s="609"/>
      <c r="Y98" s="326"/>
      <c r="Z98" s="326"/>
      <c r="AA98" s="327"/>
      <c r="AB98" s="451"/>
      <c r="AC98" s="326"/>
      <c r="AD98" s="327"/>
      <c r="AE98" s="526"/>
      <c r="AF98" s="326"/>
      <c r="AG98" s="327"/>
      <c r="AH98" s="607"/>
      <c r="AI98" s="326"/>
      <c r="AJ98" s="327"/>
      <c r="AK98" s="497"/>
      <c r="AL98" s="326"/>
      <c r="AM98" s="327"/>
      <c r="AN98" s="44"/>
      <c r="AO98" s="45"/>
      <c r="AP98" s="44"/>
      <c r="AQ98" s="45"/>
      <c r="AR98" s="44"/>
      <c r="AS98" s="45"/>
      <c r="AT98" s="44"/>
      <c r="AU98" s="45"/>
      <c r="AV98" s="44"/>
      <c r="AW98" s="45"/>
      <c r="AX98" s="44"/>
      <c r="AY98" s="45"/>
      <c r="AZ98" s="50"/>
      <c r="BA98" s="47"/>
      <c r="BB98" s="50"/>
      <c r="BC98" s="47"/>
      <c r="BD98" s="50"/>
      <c r="BE98" s="47"/>
      <c r="BF98" s="50"/>
      <c r="BG98" s="47"/>
      <c r="BH98" s="50"/>
      <c r="BI98" s="608" t="s">
        <v>303</v>
      </c>
      <c r="BJ98" s="326"/>
      <c r="BK98" s="326"/>
      <c r="BL98" s="326"/>
      <c r="BM98" s="326"/>
      <c r="BN98" s="326"/>
      <c r="BO98" s="326"/>
      <c r="BP98" s="326"/>
      <c r="BQ98" s="326"/>
      <c r="BR98" s="326"/>
      <c r="BS98" s="326"/>
      <c r="BT98" s="326"/>
      <c r="BU98" s="326"/>
      <c r="BV98" s="327"/>
    </row>
    <row r="99" spans="1:74" ht="30" customHeight="1" x14ac:dyDescent="0.25">
      <c r="A99" s="41">
        <f t="shared" si="0"/>
        <v>85</v>
      </c>
      <c r="B99" s="42" t="s">
        <v>334</v>
      </c>
      <c r="C99" s="43"/>
      <c r="D99" s="609"/>
      <c r="E99" s="326"/>
      <c r="F99" s="326"/>
      <c r="G99" s="326"/>
      <c r="H99" s="326"/>
      <c r="I99" s="326"/>
      <c r="J99" s="326"/>
      <c r="K99" s="327"/>
      <c r="L99" s="610"/>
      <c r="M99" s="326"/>
      <c r="N99" s="326"/>
      <c r="O99" s="327"/>
      <c r="P99" s="609"/>
      <c r="Q99" s="326"/>
      <c r="R99" s="326"/>
      <c r="S99" s="327"/>
      <c r="T99" s="610"/>
      <c r="U99" s="326"/>
      <c r="V99" s="326"/>
      <c r="W99" s="327"/>
      <c r="X99" s="609"/>
      <c r="Y99" s="326"/>
      <c r="Z99" s="326"/>
      <c r="AA99" s="327"/>
      <c r="AB99" s="451"/>
      <c r="AC99" s="326"/>
      <c r="AD99" s="327"/>
      <c r="AE99" s="526"/>
      <c r="AF99" s="326"/>
      <c r="AG99" s="327"/>
      <c r="AH99" s="607"/>
      <c r="AI99" s="326"/>
      <c r="AJ99" s="327"/>
      <c r="AK99" s="497"/>
      <c r="AL99" s="326"/>
      <c r="AM99" s="327"/>
      <c r="AN99" s="44"/>
      <c r="AO99" s="45"/>
      <c r="AP99" s="44"/>
      <c r="AQ99" s="45"/>
      <c r="AR99" s="44"/>
      <c r="AS99" s="45"/>
      <c r="AT99" s="44"/>
      <c r="AU99" s="45"/>
      <c r="AV99" s="44"/>
      <c r="AW99" s="45"/>
      <c r="AX99" s="44"/>
      <c r="AY99" s="45"/>
      <c r="AZ99" s="50"/>
      <c r="BA99" s="47"/>
      <c r="BB99" s="50"/>
      <c r="BC99" s="47"/>
      <c r="BD99" s="50"/>
      <c r="BE99" s="47"/>
      <c r="BF99" s="50"/>
      <c r="BG99" s="47"/>
      <c r="BH99" s="50"/>
      <c r="BI99" s="608" t="s">
        <v>307</v>
      </c>
      <c r="BJ99" s="326"/>
      <c r="BK99" s="326"/>
      <c r="BL99" s="326"/>
      <c r="BM99" s="326"/>
      <c r="BN99" s="326"/>
      <c r="BO99" s="326"/>
      <c r="BP99" s="326"/>
      <c r="BQ99" s="326"/>
      <c r="BR99" s="326"/>
      <c r="BS99" s="326"/>
      <c r="BT99" s="326"/>
      <c r="BU99" s="326"/>
      <c r="BV99" s="327"/>
    </row>
    <row r="100" spans="1:74" ht="30" customHeight="1" x14ac:dyDescent="0.25">
      <c r="A100" s="49">
        <f t="shared" si="0"/>
        <v>86</v>
      </c>
      <c r="B100" s="42" t="s">
        <v>334</v>
      </c>
      <c r="C100" s="43"/>
      <c r="D100" s="609"/>
      <c r="E100" s="326"/>
      <c r="F100" s="326"/>
      <c r="G100" s="326"/>
      <c r="H100" s="326"/>
      <c r="I100" s="326"/>
      <c r="J100" s="326"/>
      <c r="K100" s="327"/>
      <c r="L100" s="610"/>
      <c r="M100" s="326"/>
      <c r="N100" s="326"/>
      <c r="O100" s="327"/>
      <c r="P100" s="609"/>
      <c r="Q100" s="326"/>
      <c r="R100" s="326"/>
      <c r="S100" s="327"/>
      <c r="T100" s="610"/>
      <c r="U100" s="326"/>
      <c r="V100" s="326"/>
      <c r="W100" s="327"/>
      <c r="X100" s="609"/>
      <c r="Y100" s="326"/>
      <c r="Z100" s="326"/>
      <c r="AA100" s="327"/>
      <c r="AB100" s="451"/>
      <c r="AC100" s="326"/>
      <c r="AD100" s="327"/>
      <c r="AE100" s="526"/>
      <c r="AF100" s="326"/>
      <c r="AG100" s="327"/>
      <c r="AH100" s="607"/>
      <c r="AI100" s="326"/>
      <c r="AJ100" s="327"/>
      <c r="AK100" s="497"/>
      <c r="AL100" s="326"/>
      <c r="AM100" s="327"/>
      <c r="AN100" s="44"/>
      <c r="AO100" s="45"/>
      <c r="AP100" s="44"/>
      <c r="AQ100" s="45"/>
      <c r="AR100" s="44"/>
      <c r="AS100" s="45"/>
      <c r="AT100" s="44"/>
      <c r="AU100" s="45"/>
      <c r="AV100" s="44"/>
      <c r="AW100" s="45"/>
      <c r="AX100" s="44"/>
      <c r="AY100" s="45"/>
      <c r="AZ100" s="50"/>
      <c r="BA100" s="47"/>
      <c r="BB100" s="50"/>
      <c r="BC100" s="47"/>
      <c r="BD100" s="50"/>
      <c r="BE100" s="47"/>
      <c r="BF100" s="50"/>
      <c r="BG100" s="47"/>
      <c r="BH100" s="50"/>
      <c r="BI100" s="608" t="s">
        <v>307</v>
      </c>
      <c r="BJ100" s="326"/>
      <c r="BK100" s="326"/>
      <c r="BL100" s="326"/>
      <c r="BM100" s="326"/>
      <c r="BN100" s="326"/>
      <c r="BO100" s="326"/>
      <c r="BP100" s="326"/>
      <c r="BQ100" s="326"/>
      <c r="BR100" s="326"/>
      <c r="BS100" s="326"/>
      <c r="BT100" s="326"/>
      <c r="BU100" s="326"/>
      <c r="BV100" s="327"/>
    </row>
    <row r="101" spans="1:74" ht="30" customHeight="1" x14ac:dyDescent="0.25">
      <c r="A101" s="49">
        <f t="shared" si="0"/>
        <v>87</v>
      </c>
      <c r="B101" s="42" t="s">
        <v>334</v>
      </c>
      <c r="C101" s="43"/>
      <c r="D101" s="609"/>
      <c r="E101" s="326"/>
      <c r="F101" s="326"/>
      <c r="G101" s="326"/>
      <c r="H101" s="326"/>
      <c r="I101" s="326"/>
      <c r="J101" s="326"/>
      <c r="K101" s="327"/>
      <c r="L101" s="610"/>
      <c r="M101" s="326"/>
      <c r="N101" s="326"/>
      <c r="O101" s="327"/>
      <c r="P101" s="609"/>
      <c r="Q101" s="326"/>
      <c r="R101" s="326"/>
      <c r="S101" s="327"/>
      <c r="T101" s="610"/>
      <c r="U101" s="326"/>
      <c r="V101" s="326"/>
      <c r="W101" s="327"/>
      <c r="X101" s="609"/>
      <c r="Y101" s="326"/>
      <c r="Z101" s="326"/>
      <c r="AA101" s="327"/>
      <c r="AB101" s="451"/>
      <c r="AC101" s="326"/>
      <c r="AD101" s="327"/>
      <c r="AE101" s="526"/>
      <c r="AF101" s="326"/>
      <c r="AG101" s="327"/>
      <c r="AH101" s="607"/>
      <c r="AI101" s="326"/>
      <c r="AJ101" s="327"/>
      <c r="AK101" s="497"/>
      <c r="AL101" s="326"/>
      <c r="AM101" s="327"/>
      <c r="AN101" s="44"/>
      <c r="AO101" s="45"/>
      <c r="AP101" s="44"/>
      <c r="AQ101" s="45"/>
      <c r="AR101" s="44"/>
      <c r="AS101" s="45"/>
      <c r="AT101" s="44"/>
      <c r="AU101" s="45"/>
      <c r="AV101" s="44"/>
      <c r="AW101" s="45"/>
      <c r="AX101" s="44"/>
      <c r="AY101" s="45"/>
      <c r="AZ101" s="50"/>
      <c r="BA101" s="47"/>
      <c r="BB101" s="50"/>
      <c r="BC101" s="47"/>
      <c r="BD101" s="50"/>
      <c r="BE101" s="47"/>
      <c r="BF101" s="50"/>
      <c r="BG101" s="47"/>
      <c r="BH101" s="50"/>
      <c r="BI101" s="608" t="s">
        <v>307</v>
      </c>
      <c r="BJ101" s="326"/>
      <c r="BK101" s="326"/>
      <c r="BL101" s="326"/>
      <c r="BM101" s="326"/>
      <c r="BN101" s="326"/>
      <c r="BO101" s="326"/>
      <c r="BP101" s="326"/>
      <c r="BQ101" s="326"/>
      <c r="BR101" s="326"/>
      <c r="BS101" s="326"/>
      <c r="BT101" s="326"/>
      <c r="BU101" s="326"/>
      <c r="BV101" s="327"/>
    </row>
    <row r="102" spans="1:74" ht="30" customHeight="1" x14ac:dyDescent="0.25">
      <c r="A102" s="49">
        <f t="shared" si="0"/>
        <v>88</v>
      </c>
      <c r="B102" s="42" t="s">
        <v>334</v>
      </c>
      <c r="C102" s="43"/>
      <c r="D102" s="609"/>
      <c r="E102" s="326"/>
      <c r="F102" s="326"/>
      <c r="G102" s="326"/>
      <c r="H102" s="326"/>
      <c r="I102" s="326"/>
      <c r="J102" s="326"/>
      <c r="K102" s="327"/>
      <c r="L102" s="610"/>
      <c r="M102" s="326"/>
      <c r="N102" s="326"/>
      <c r="O102" s="327"/>
      <c r="P102" s="609"/>
      <c r="Q102" s="326"/>
      <c r="R102" s="326"/>
      <c r="S102" s="327"/>
      <c r="T102" s="610"/>
      <c r="U102" s="326"/>
      <c r="V102" s="326"/>
      <c r="W102" s="327"/>
      <c r="X102" s="609"/>
      <c r="Y102" s="326"/>
      <c r="Z102" s="326"/>
      <c r="AA102" s="327"/>
      <c r="AB102" s="451"/>
      <c r="AC102" s="326"/>
      <c r="AD102" s="327"/>
      <c r="AE102" s="526"/>
      <c r="AF102" s="326"/>
      <c r="AG102" s="327"/>
      <c r="AH102" s="607"/>
      <c r="AI102" s="326"/>
      <c r="AJ102" s="327"/>
      <c r="AK102" s="497"/>
      <c r="AL102" s="326"/>
      <c r="AM102" s="327"/>
      <c r="AN102" s="44"/>
      <c r="AO102" s="45"/>
      <c r="AP102" s="44"/>
      <c r="AQ102" s="45"/>
      <c r="AR102" s="44"/>
      <c r="AS102" s="45"/>
      <c r="AT102" s="44"/>
      <c r="AU102" s="45"/>
      <c r="AV102" s="44"/>
      <c r="AW102" s="45"/>
      <c r="AX102" s="44"/>
      <c r="AY102" s="45"/>
      <c r="AZ102" s="50"/>
      <c r="BA102" s="47"/>
      <c r="BB102" s="50"/>
      <c r="BC102" s="47"/>
      <c r="BD102" s="50"/>
      <c r="BE102" s="47"/>
      <c r="BF102" s="50"/>
      <c r="BG102" s="47"/>
      <c r="BH102" s="50"/>
      <c r="BI102" s="608" t="s">
        <v>307</v>
      </c>
      <c r="BJ102" s="326"/>
      <c r="BK102" s="326"/>
      <c r="BL102" s="326"/>
      <c r="BM102" s="326"/>
      <c r="BN102" s="326"/>
      <c r="BO102" s="326"/>
      <c r="BP102" s="326"/>
      <c r="BQ102" s="326"/>
      <c r="BR102" s="326"/>
      <c r="BS102" s="326"/>
      <c r="BT102" s="326"/>
      <c r="BU102" s="326"/>
      <c r="BV102" s="327"/>
    </row>
    <row r="103" spans="1:74" ht="30" customHeight="1" x14ac:dyDescent="0.25">
      <c r="A103" s="49">
        <f t="shared" si="0"/>
        <v>89</v>
      </c>
      <c r="B103" s="42" t="s">
        <v>334</v>
      </c>
      <c r="C103" s="43"/>
      <c r="D103" s="609"/>
      <c r="E103" s="326"/>
      <c r="F103" s="326"/>
      <c r="G103" s="326"/>
      <c r="H103" s="326"/>
      <c r="I103" s="326"/>
      <c r="J103" s="326"/>
      <c r="K103" s="327"/>
      <c r="L103" s="610"/>
      <c r="M103" s="326"/>
      <c r="N103" s="326"/>
      <c r="O103" s="327"/>
      <c r="P103" s="609"/>
      <c r="Q103" s="326"/>
      <c r="R103" s="326"/>
      <c r="S103" s="327"/>
      <c r="T103" s="610"/>
      <c r="U103" s="326"/>
      <c r="V103" s="326"/>
      <c r="W103" s="327"/>
      <c r="X103" s="609"/>
      <c r="Y103" s="326"/>
      <c r="Z103" s="326"/>
      <c r="AA103" s="327"/>
      <c r="AB103" s="451"/>
      <c r="AC103" s="326"/>
      <c r="AD103" s="327"/>
      <c r="AE103" s="526"/>
      <c r="AF103" s="326"/>
      <c r="AG103" s="327"/>
      <c r="AH103" s="607"/>
      <c r="AI103" s="326"/>
      <c r="AJ103" s="327"/>
      <c r="AK103" s="497"/>
      <c r="AL103" s="326"/>
      <c r="AM103" s="327"/>
      <c r="AN103" s="44"/>
      <c r="AO103" s="45"/>
      <c r="AP103" s="44"/>
      <c r="AQ103" s="45"/>
      <c r="AR103" s="44"/>
      <c r="AS103" s="45"/>
      <c r="AT103" s="44"/>
      <c r="AU103" s="45"/>
      <c r="AV103" s="44"/>
      <c r="AW103" s="45"/>
      <c r="AX103" s="44"/>
      <c r="AY103" s="45"/>
      <c r="AZ103" s="50"/>
      <c r="BA103" s="47"/>
      <c r="BB103" s="50"/>
      <c r="BC103" s="47"/>
      <c r="BD103" s="50"/>
      <c r="BE103" s="47"/>
      <c r="BF103" s="50"/>
      <c r="BG103" s="47"/>
      <c r="BH103" s="50"/>
      <c r="BI103" s="608" t="s">
        <v>307</v>
      </c>
      <c r="BJ103" s="326"/>
      <c r="BK103" s="326"/>
      <c r="BL103" s="326"/>
      <c r="BM103" s="326"/>
      <c r="BN103" s="326"/>
      <c r="BO103" s="326"/>
      <c r="BP103" s="326"/>
      <c r="BQ103" s="326"/>
      <c r="BR103" s="326"/>
      <c r="BS103" s="326"/>
      <c r="BT103" s="326"/>
      <c r="BU103" s="326"/>
      <c r="BV103" s="327"/>
    </row>
    <row r="104" spans="1:74" ht="30" customHeight="1" x14ac:dyDescent="0.25">
      <c r="A104" s="49">
        <f t="shared" si="0"/>
        <v>90</v>
      </c>
      <c r="B104" s="42" t="s">
        <v>334</v>
      </c>
      <c r="C104" s="43"/>
      <c r="D104" s="609"/>
      <c r="E104" s="326"/>
      <c r="F104" s="326"/>
      <c r="G104" s="326"/>
      <c r="H104" s="326"/>
      <c r="I104" s="326"/>
      <c r="J104" s="326"/>
      <c r="K104" s="327"/>
      <c r="L104" s="610"/>
      <c r="M104" s="326"/>
      <c r="N104" s="326"/>
      <c r="O104" s="327"/>
      <c r="P104" s="609"/>
      <c r="Q104" s="326"/>
      <c r="R104" s="326"/>
      <c r="S104" s="327"/>
      <c r="T104" s="610"/>
      <c r="U104" s="326"/>
      <c r="V104" s="326"/>
      <c r="W104" s="327"/>
      <c r="X104" s="609"/>
      <c r="Y104" s="326"/>
      <c r="Z104" s="326"/>
      <c r="AA104" s="327"/>
      <c r="AB104" s="451"/>
      <c r="AC104" s="326"/>
      <c r="AD104" s="327"/>
      <c r="AE104" s="526"/>
      <c r="AF104" s="326"/>
      <c r="AG104" s="327"/>
      <c r="AH104" s="607"/>
      <c r="AI104" s="326"/>
      <c r="AJ104" s="327"/>
      <c r="AK104" s="497"/>
      <c r="AL104" s="326"/>
      <c r="AM104" s="327"/>
      <c r="AN104" s="44"/>
      <c r="AO104" s="45"/>
      <c r="AP104" s="44"/>
      <c r="AQ104" s="45"/>
      <c r="AR104" s="44"/>
      <c r="AS104" s="45"/>
      <c r="AT104" s="44"/>
      <c r="AU104" s="45"/>
      <c r="AV104" s="44"/>
      <c r="AW104" s="45"/>
      <c r="AX104" s="44"/>
      <c r="AY104" s="45"/>
      <c r="AZ104" s="50"/>
      <c r="BA104" s="47"/>
      <c r="BB104" s="50"/>
      <c r="BC104" s="47"/>
      <c r="BD104" s="50"/>
      <c r="BE104" s="47"/>
      <c r="BF104" s="50"/>
      <c r="BG104" s="47"/>
      <c r="BH104" s="50"/>
      <c r="BI104" s="608" t="s">
        <v>303</v>
      </c>
      <c r="BJ104" s="326"/>
      <c r="BK104" s="326"/>
      <c r="BL104" s="326"/>
      <c r="BM104" s="326"/>
      <c r="BN104" s="326"/>
      <c r="BO104" s="326"/>
      <c r="BP104" s="326"/>
      <c r="BQ104" s="326"/>
      <c r="BR104" s="326"/>
      <c r="BS104" s="326"/>
      <c r="BT104" s="326"/>
      <c r="BU104" s="326"/>
      <c r="BV104" s="327"/>
    </row>
    <row r="105" spans="1:74" ht="30" customHeight="1" x14ac:dyDescent="0.25">
      <c r="A105" s="49">
        <f t="shared" si="0"/>
        <v>91</v>
      </c>
      <c r="B105" s="42" t="s">
        <v>334</v>
      </c>
      <c r="C105" s="43"/>
      <c r="D105" s="609"/>
      <c r="E105" s="326"/>
      <c r="F105" s="326"/>
      <c r="G105" s="326"/>
      <c r="H105" s="326"/>
      <c r="I105" s="326"/>
      <c r="J105" s="326"/>
      <c r="K105" s="327"/>
      <c r="L105" s="610"/>
      <c r="M105" s="326"/>
      <c r="N105" s="326"/>
      <c r="O105" s="327"/>
      <c r="P105" s="609"/>
      <c r="Q105" s="326"/>
      <c r="R105" s="326"/>
      <c r="S105" s="327"/>
      <c r="T105" s="610"/>
      <c r="U105" s="326"/>
      <c r="V105" s="326"/>
      <c r="W105" s="327"/>
      <c r="X105" s="609"/>
      <c r="Y105" s="326"/>
      <c r="Z105" s="326"/>
      <c r="AA105" s="327"/>
      <c r="AB105" s="451"/>
      <c r="AC105" s="326"/>
      <c r="AD105" s="327"/>
      <c r="AE105" s="526"/>
      <c r="AF105" s="326"/>
      <c r="AG105" s="327"/>
      <c r="AH105" s="607"/>
      <c r="AI105" s="326"/>
      <c r="AJ105" s="327"/>
      <c r="AK105" s="497"/>
      <c r="AL105" s="326"/>
      <c r="AM105" s="327"/>
      <c r="AN105" s="44"/>
      <c r="AO105" s="45"/>
      <c r="AP105" s="44"/>
      <c r="AQ105" s="45"/>
      <c r="AR105" s="44"/>
      <c r="AS105" s="45"/>
      <c r="AT105" s="44"/>
      <c r="AU105" s="45"/>
      <c r="AV105" s="44"/>
      <c r="AW105" s="45"/>
      <c r="AX105" s="44"/>
      <c r="AY105" s="45"/>
      <c r="AZ105" s="50"/>
      <c r="BA105" s="47"/>
      <c r="BB105" s="50"/>
      <c r="BC105" s="47"/>
      <c r="BD105" s="50"/>
      <c r="BE105" s="47"/>
      <c r="BF105" s="50"/>
      <c r="BG105" s="47"/>
      <c r="BH105" s="50"/>
      <c r="BI105" s="608" t="s">
        <v>303</v>
      </c>
      <c r="BJ105" s="326"/>
      <c r="BK105" s="326"/>
      <c r="BL105" s="326"/>
      <c r="BM105" s="326"/>
      <c r="BN105" s="326"/>
      <c r="BO105" s="326"/>
      <c r="BP105" s="326"/>
      <c r="BQ105" s="326"/>
      <c r="BR105" s="326"/>
      <c r="BS105" s="326"/>
      <c r="BT105" s="326"/>
      <c r="BU105" s="326"/>
      <c r="BV105" s="327"/>
    </row>
    <row r="106" spans="1:74" ht="30" customHeight="1" x14ac:dyDescent="0.25">
      <c r="A106" s="41">
        <f t="shared" si="0"/>
        <v>92</v>
      </c>
      <c r="B106" s="42" t="s">
        <v>334</v>
      </c>
      <c r="C106" s="43"/>
      <c r="D106" s="609"/>
      <c r="E106" s="326"/>
      <c r="F106" s="326"/>
      <c r="G106" s="326"/>
      <c r="H106" s="326"/>
      <c r="I106" s="326"/>
      <c r="J106" s="326"/>
      <c r="K106" s="327"/>
      <c r="L106" s="610"/>
      <c r="M106" s="326"/>
      <c r="N106" s="326"/>
      <c r="O106" s="327"/>
      <c r="P106" s="609"/>
      <c r="Q106" s="326"/>
      <c r="R106" s="326"/>
      <c r="S106" s="327"/>
      <c r="T106" s="610"/>
      <c r="U106" s="326"/>
      <c r="V106" s="326"/>
      <c r="W106" s="327"/>
      <c r="X106" s="609"/>
      <c r="Y106" s="326"/>
      <c r="Z106" s="326"/>
      <c r="AA106" s="327"/>
      <c r="AB106" s="451"/>
      <c r="AC106" s="326"/>
      <c r="AD106" s="327"/>
      <c r="AE106" s="526"/>
      <c r="AF106" s="326"/>
      <c r="AG106" s="327"/>
      <c r="AH106" s="607"/>
      <c r="AI106" s="326"/>
      <c r="AJ106" s="327"/>
      <c r="AK106" s="497"/>
      <c r="AL106" s="326"/>
      <c r="AM106" s="327"/>
      <c r="AN106" s="44"/>
      <c r="AO106" s="45"/>
      <c r="AP106" s="44"/>
      <c r="AQ106" s="45"/>
      <c r="AR106" s="44"/>
      <c r="AS106" s="45"/>
      <c r="AT106" s="44"/>
      <c r="AU106" s="45"/>
      <c r="AV106" s="44"/>
      <c r="AW106" s="45"/>
      <c r="AX106" s="44"/>
      <c r="AY106" s="45"/>
      <c r="AZ106" s="50"/>
      <c r="BA106" s="47"/>
      <c r="BB106" s="50"/>
      <c r="BC106" s="47"/>
      <c r="BD106" s="50"/>
      <c r="BE106" s="47"/>
      <c r="BF106" s="50"/>
      <c r="BG106" s="47"/>
      <c r="BH106" s="50"/>
      <c r="BI106" s="608" t="s">
        <v>307</v>
      </c>
      <c r="BJ106" s="326"/>
      <c r="BK106" s="326"/>
      <c r="BL106" s="326"/>
      <c r="BM106" s="326"/>
      <c r="BN106" s="326"/>
      <c r="BO106" s="326"/>
      <c r="BP106" s="326"/>
      <c r="BQ106" s="326"/>
      <c r="BR106" s="326"/>
      <c r="BS106" s="326"/>
      <c r="BT106" s="326"/>
      <c r="BU106" s="326"/>
      <c r="BV106" s="327"/>
    </row>
    <row r="107" spans="1:74" ht="30" customHeight="1" x14ac:dyDescent="0.25">
      <c r="A107" s="49">
        <f t="shared" si="0"/>
        <v>93</v>
      </c>
      <c r="B107" s="42" t="s">
        <v>334</v>
      </c>
      <c r="C107" s="43"/>
      <c r="D107" s="609"/>
      <c r="E107" s="326"/>
      <c r="F107" s="326"/>
      <c r="G107" s="326"/>
      <c r="H107" s="326"/>
      <c r="I107" s="326"/>
      <c r="J107" s="326"/>
      <c r="K107" s="327"/>
      <c r="L107" s="610"/>
      <c r="M107" s="326"/>
      <c r="N107" s="326"/>
      <c r="O107" s="327"/>
      <c r="P107" s="609"/>
      <c r="Q107" s="326"/>
      <c r="R107" s="326"/>
      <c r="S107" s="327"/>
      <c r="T107" s="610"/>
      <c r="U107" s="326"/>
      <c r="V107" s="326"/>
      <c r="W107" s="327"/>
      <c r="X107" s="609"/>
      <c r="Y107" s="326"/>
      <c r="Z107" s="326"/>
      <c r="AA107" s="327"/>
      <c r="AB107" s="451"/>
      <c r="AC107" s="326"/>
      <c r="AD107" s="327"/>
      <c r="AE107" s="526"/>
      <c r="AF107" s="326"/>
      <c r="AG107" s="327"/>
      <c r="AH107" s="607"/>
      <c r="AI107" s="326"/>
      <c r="AJ107" s="327"/>
      <c r="AK107" s="497"/>
      <c r="AL107" s="326"/>
      <c r="AM107" s="327"/>
      <c r="AN107" s="44"/>
      <c r="AO107" s="45"/>
      <c r="AP107" s="44"/>
      <c r="AQ107" s="45"/>
      <c r="AR107" s="44"/>
      <c r="AS107" s="45"/>
      <c r="AT107" s="44"/>
      <c r="AU107" s="45"/>
      <c r="AV107" s="44"/>
      <c r="AW107" s="45"/>
      <c r="AX107" s="44"/>
      <c r="AY107" s="45"/>
      <c r="AZ107" s="50"/>
      <c r="BA107" s="47"/>
      <c r="BB107" s="50"/>
      <c r="BC107" s="47"/>
      <c r="BD107" s="50"/>
      <c r="BE107" s="47"/>
      <c r="BF107" s="50"/>
      <c r="BG107" s="47"/>
      <c r="BH107" s="50"/>
      <c r="BI107" s="608" t="s">
        <v>307</v>
      </c>
      <c r="BJ107" s="326"/>
      <c r="BK107" s="326"/>
      <c r="BL107" s="326"/>
      <c r="BM107" s="326"/>
      <c r="BN107" s="326"/>
      <c r="BO107" s="326"/>
      <c r="BP107" s="326"/>
      <c r="BQ107" s="326"/>
      <c r="BR107" s="326"/>
      <c r="BS107" s="326"/>
      <c r="BT107" s="326"/>
      <c r="BU107" s="326"/>
      <c r="BV107" s="327"/>
    </row>
    <row r="108" spans="1:74" ht="30" customHeight="1" x14ac:dyDescent="0.25">
      <c r="A108" s="49">
        <f t="shared" si="0"/>
        <v>94</v>
      </c>
      <c r="B108" s="42" t="s">
        <v>334</v>
      </c>
      <c r="C108" s="43"/>
      <c r="D108" s="609"/>
      <c r="E108" s="326"/>
      <c r="F108" s="326"/>
      <c r="G108" s="326"/>
      <c r="H108" s="326"/>
      <c r="I108" s="326"/>
      <c r="J108" s="326"/>
      <c r="K108" s="327"/>
      <c r="L108" s="610"/>
      <c r="M108" s="326"/>
      <c r="N108" s="326"/>
      <c r="O108" s="327"/>
      <c r="P108" s="609"/>
      <c r="Q108" s="326"/>
      <c r="R108" s="326"/>
      <c r="S108" s="327"/>
      <c r="T108" s="610"/>
      <c r="U108" s="326"/>
      <c r="V108" s="326"/>
      <c r="W108" s="327"/>
      <c r="X108" s="609"/>
      <c r="Y108" s="326"/>
      <c r="Z108" s="326"/>
      <c r="AA108" s="327"/>
      <c r="AB108" s="451"/>
      <c r="AC108" s="326"/>
      <c r="AD108" s="327"/>
      <c r="AE108" s="526"/>
      <c r="AF108" s="326"/>
      <c r="AG108" s="327"/>
      <c r="AH108" s="607"/>
      <c r="AI108" s="326"/>
      <c r="AJ108" s="327"/>
      <c r="AK108" s="497"/>
      <c r="AL108" s="326"/>
      <c r="AM108" s="327"/>
      <c r="AN108" s="44"/>
      <c r="AO108" s="45"/>
      <c r="AP108" s="44"/>
      <c r="AQ108" s="45"/>
      <c r="AR108" s="44"/>
      <c r="AS108" s="45"/>
      <c r="AT108" s="44"/>
      <c r="AU108" s="45"/>
      <c r="AV108" s="44"/>
      <c r="AW108" s="45"/>
      <c r="AX108" s="44"/>
      <c r="AY108" s="45"/>
      <c r="AZ108" s="50"/>
      <c r="BA108" s="47"/>
      <c r="BB108" s="50"/>
      <c r="BC108" s="47"/>
      <c r="BD108" s="50"/>
      <c r="BE108" s="47"/>
      <c r="BF108" s="50"/>
      <c r="BG108" s="47"/>
      <c r="BH108" s="50"/>
      <c r="BI108" s="608" t="s">
        <v>307</v>
      </c>
      <c r="BJ108" s="326"/>
      <c r="BK108" s="326"/>
      <c r="BL108" s="326"/>
      <c r="BM108" s="326"/>
      <c r="BN108" s="326"/>
      <c r="BO108" s="326"/>
      <c r="BP108" s="326"/>
      <c r="BQ108" s="326"/>
      <c r="BR108" s="326"/>
      <c r="BS108" s="326"/>
      <c r="BT108" s="326"/>
      <c r="BU108" s="326"/>
      <c r="BV108" s="327"/>
    </row>
    <row r="109" spans="1:74" ht="30" customHeight="1" x14ac:dyDescent="0.25">
      <c r="A109" s="49">
        <f t="shared" si="0"/>
        <v>95</v>
      </c>
      <c r="B109" s="42" t="s">
        <v>334</v>
      </c>
      <c r="C109" s="43"/>
      <c r="D109" s="609"/>
      <c r="E109" s="326"/>
      <c r="F109" s="326"/>
      <c r="G109" s="326"/>
      <c r="H109" s="326"/>
      <c r="I109" s="326"/>
      <c r="J109" s="326"/>
      <c r="K109" s="327"/>
      <c r="L109" s="610"/>
      <c r="M109" s="326"/>
      <c r="N109" s="326"/>
      <c r="O109" s="327"/>
      <c r="P109" s="609"/>
      <c r="Q109" s="326"/>
      <c r="R109" s="326"/>
      <c r="S109" s="327"/>
      <c r="T109" s="610"/>
      <c r="U109" s="326"/>
      <c r="V109" s="326"/>
      <c r="W109" s="327"/>
      <c r="X109" s="609"/>
      <c r="Y109" s="326"/>
      <c r="Z109" s="326"/>
      <c r="AA109" s="327"/>
      <c r="AB109" s="451"/>
      <c r="AC109" s="326"/>
      <c r="AD109" s="327"/>
      <c r="AE109" s="526"/>
      <c r="AF109" s="326"/>
      <c r="AG109" s="327"/>
      <c r="AH109" s="607"/>
      <c r="AI109" s="326"/>
      <c r="AJ109" s="327"/>
      <c r="AK109" s="497"/>
      <c r="AL109" s="326"/>
      <c r="AM109" s="327"/>
      <c r="AN109" s="44"/>
      <c r="AO109" s="45"/>
      <c r="AP109" s="44"/>
      <c r="AQ109" s="45"/>
      <c r="AR109" s="44"/>
      <c r="AS109" s="45"/>
      <c r="AT109" s="44"/>
      <c r="AU109" s="45"/>
      <c r="AV109" s="44"/>
      <c r="AW109" s="45"/>
      <c r="AX109" s="44"/>
      <c r="AY109" s="45"/>
      <c r="AZ109" s="50"/>
      <c r="BA109" s="47"/>
      <c r="BB109" s="50"/>
      <c r="BC109" s="47"/>
      <c r="BD109" s="50"/>
      <c r="BE109" s="47"/>
      <c r="BF109" s="50"/>
      <c r="BG109" s="47"/>
      <c r="BH109" s="50"/>
      <c r="BI109" s="608" t="s">
        <v>307</v>
      </c>
      <c r="BJ109" s="326"/>
      <c r="BK109" s="326"/>
      <c r="BL109" s="326"/>
      <c r="BM109" s="326"/>
      <c r="BN109" s="326"/>
      <c r="BO109" s="326"/>
      <c r="BP109" s="326"/>
      <c r="BQ109" s="326"/>
      <c r="BR109" s="326"/>
      <c r="BS109" s="326"/>
      <c r="BT109" s="326"/>
      <c r="BU109" s="326"/>
      <c r="BV109" s="327"/>
    </row>
    <row r="110" spans="1:74" ht="30" customHeight="1" x14ac:dyDescent="0.25">
      <c r="A110" s="49">
        <f t="shared" si="0"/>
        <v>96</v>
      </c>
      <c r="B110" s="42" t="s">
        <v>334</v>
      </c>
      <c r="C110" s="43"/>
      <c r="D110" s="609"/>
      <c r="E110" s="326"/>
      <c r="F110" s="326"/>
      <c r="G110" s="326"/>
      <c r="H110" s="326"/>
      <c r="I110" s="326"/>
      <c r="J110" s="326"/>
      <c r="K110" s="327"/>
      <c r="L110" s="610"/>
      <c r="M110" s="326"/>
      <c r="N110" s="326"/>
      <c r="O110" s="327"/>
      <c r="P110" s="609"/>
      <c r="Q110" s="326"/>
      <c r="R110" s="326"/>
      <c r="S110" s="327"/>
      <c r="T110" s="610"/>
      <c r="U110" s="326"/>
      <c r="V110" s="326"/>
      <c r="W110" s="327"/>
      <c r="X110" s="609"/>
      <c r="Y110" s="326"/>
      <c r="Z110" s="326"/>
      <c r="AA110" s="327"/>
      <c r="AB110" s="451"/>
      <c r="AC110" s="326"/>
      <c r="AD110" s="327"/>
      <c r="AE110" s="526"/>
      <c r="AF110" s="326"/>
      <c r="AG110" s="327"/>
      <c r="AH110" s="607"/>
      <c r="AI110" s="326"/>
      <c r="AJ110" s="327"/>
      <c r="AK110" s="497"/>
      <c r="AL110" s="326"/>
      <c r="AM110" s="327"/>
      <c r="AN110" s="44"/>
      <c r="AO110" s="45"/>
      <c r="AP110" s="44"/>
      <c r="AQ110" s="45"/>
      <c r="AR110" s="44"/>
      <c r="AS110" s="45"/>
      <c r="AT110" s="44"/>
      <c r="AU110" s="45"/>
      <c r="AV110" s="44"/>
      <c r="AW110" s="45"/>
      <c r="AX110" s="44"/>
      <c r="AY110" s="45"/>
      <c r="AZ110" s="50"/>
      <c r="BA110" s="47"/>
      <c r="BB110" s="50"/>
      <c r="BC110" s="47"/>
      <c r="BD110" s="50"/>
      <c r="BE110" s="47"/>
      <c r="BF110" s="50"/>
      <c r="BG110" s="47"/>
      <c r="BH110" s="50"/>
      <c r="BI110" s="608" t="s">
        <v>307</v>
      </c>
      <c r="BJ110" s="326"/>
      <c r="BK110" s="326"/>
      <c r="BL110" s="326"/>
      <c r="BM110" s="326"/>
      <c r="BN110" s="326"/>
      <c r="BO110" s="326"/>
      <c r="BP110" s="326"/>
      <c r="BQ110" s="326"/>
      <c r="BR110" s="326"/>
      <c r="BS110" s="326"/>
      <c r="BT110" s="326"/>
      <c r="BU110" s="326"/>
      <c r="BV110" s="327"/>
    </row>
    <row r="111" spans="1:74" ht="30" customHeight="1" x14ac:dyDescent="0.25">
      <c r="A111" s="49">
        <f t="shared" si="0"/>
        <v>97</v>
      </c>
      <c r="B111" s="42" t="s">
        <v>334</v>
      </c>
      <c r="C111" s="43"/>
      <c r="D111" s="609"/>
      <c r="E111" s="326"/>
      <c r="F111" s="326"/>
      <c r="G111" s="326"/>
      <c r="H111" s="326"/>
      <c r="I111" s="326"/>
      <c r="J111" s="326"/>
      <c r="K111" s="327"/>
      <c r="L111" s="610"/>
      <c r="M111" s="326"/>
      <c r="N111" s="326"/>
      <c r="O111" s="327"/>
      <c r="P111" s="609"/>
      <c r="Q111" s="326"/>
      <c r="R111" s="326"/>
      <c r="S111" s="327"/>
      <c r="T111" s="610"/>
      <c r="U111" s="326"/>
      <c r="V111" s="326"/>
      <c r="W111" s="327"/>
      <c r="X111" s="609"/>
      <c r="Y111" s="326"/>
      <c r="Z111" s="326"/>
      <c r="AA111" s="327"/>
      <c r="AB111" s="451"/>
      <c r="AC111" s="326"/>
      <c r="AD111" s="327"/>
      <c r="AE111" s="526"/>
      <c r="AF111" s="326"/>
      <c r="AG111" s="327"/>
      <c r="AH111" s="607"/>
      <c r="AI111" s="326"/>
      <c r="AJ111" s="327"/>
      <c r="AK111" s="497"/>
      <c r="AL111" s="326"/>
      <c r="AM111" s="327"/>
      <c r="AN111" s="44"/>
      <c r="AO111" s="45"/>
      <c r="AP111" s="44"/>
      <c r="AQ111" s="45"/>
      <c r="AR111" s="44"/>
      <c r="AS111" s="45"/>
      <c r="AT111" s="44"/>
      <c r="AU111" s="45"/>
      <c r="AV111" s="44"/>
      <c r="AW111" s="45"/>
      <c r="AX111" s="44"/>
      <c r="AY111" s="45"/>
      <c r="AZ111" s="50"/>
      <c r="BA111" s="47"/>
      <c r="BB111" s="50"/>
      <c r="BC111" s="47"/>
      <c r="BD111" s="50"/>
      <c r="BE111" s="47"/>
      <c r="BF111" s="50"/>
      <c r="BG111" s="47"/>
      <c r="BH111" s="50"/>
      <c r="BI111" s="608" t="s">
        <v>303</v>
      </c>
      <c r="BJ111" s="326"/>
      <c r="BK111" s="326"/>
      <c r="BL111" s="326"/>
      <c r="BM111" s="326"/>
      <c r="BN111" s="326"/>
      <c r="BO111" s="326"/>
      <c r="BP111" s="326"/>
      <c r="BQ111" s="326"/>
      <c r="BR111" s="326"/>
      <c r="BS111" s="326"/>
      <c r="BT111" s="326"/>
      <c r="BU111" s="326"/>
      <c r="BV111" s="327"/>
    </row>
    <row r="112" spans="1:74" ht="30" customHeight="1" x14ac:dyDescent="0.25">
      <c r="A112" s="49">
        <f t="shared" si="0"/>
        <v>98</v>
      </c>
      <c r="B112" s="42" t="s">
        <v>334</v>
      </c>
      <c r="C112" s="43"/>
      <c r="D112" s="609"/>
      <c r="E112" s="326"/>
      <c r="F112" s="326"/>
      <c r="G112" s="326"/>
      <c r="H112" s="326"/>
      <c r="I112" s="326"/>
      <c r="J112" s="326"/>
      <c r="K112" s="327"/>
      <c r="L112" s="610"/>
      <c r="M112" s="326"/>
      <c r="N112" s="326"/>
      <c r="O112" s="327"/>
      <c r="P112" s="609"/>
      <c r="Q112" s="326"/>
      <c r="R112" s="326"/>
      <c r="S112" s="327"/>
      <c r="T112" s="610"/>
      <c r="U112" s="326"/>
      <c r="V112" s="326"/>
      <c r="W112" s="327"/>
      <c r="X112" s="609"/>
      <c r="Y112" s="326"/>
      <c r="Z112" s="326"/>
      <c r="AA112" s="327"/>
      <c r="AB112" s="451"/>
      <c r="AC112" s="326"/>
      <c r="AD112" s="327"/>
      <c r="AE112" s="526"/>
      <c r="AF112" s="326"/>
      <c r="AG112" s="327"/>
      <c r="AH112" s="607"/>
      <c r="AI112" s="326"/>
      <c r="AJ112" s="327"/>
      <c r="AK112" s="497"/>
      <c r="AL112" s="326"/>
      <c r="AM112" s="327"/>
      <c r="AN112" s="44"/>
      <c r="AO112" s="45"/>
      <c r="AP112" s="44"/>
      <c r="AQ112" s="45"/>
      <c r="AR112" s="44"/>
      <c r="AS112" s="45"/>
      <c r="AT112" s="44"/>
      <c r="AU112" s="45"/>
      <c r="AV112" s="44"/>
      <c r="AW112" s="45"/>
      <c r="AX112" s="44"/>
      <c r="AY112" s="45"/>
      <c r="AZ112" s="50"/>
      <c r="BA112" s="47"/>
      <c r="BB112" s="50"/>
      <c r="BC112" s="47"/>
      <c r="BD112" s="50"/>
      <c r="BE112" s="47"/>
      <c r="BF112" s="50"/>
      <c r="BG112" s="47"/>
      <c r="BH112" s="50"/>
      <c r="BI112" s="608" t="s">
        <v>303</v>
      </c>
      <c r="BJ112" s="326"/>
      <c r="BK112" s="326"/>
      <c r="BL112" s="326"/>
      <c r="BM112" s="326"/>
      <c r="BN112" s="326"/>
      <c r="BO112" s="326"/>
      <c r="BP112" s="326"/>
      <c r="BQ112" s="326"/>
      <c r="BR112" s="326"/>
      <c r="BS112" s="326"/>
      <c r="BT112" s="326"/>
      <c r="BU112" s="326"/>
      <c r="BV112" s="327"/>
    </row>
    <row r="113" spans="1:74" ht="30" customHeight="1" x14ac:dyDescent="0.25">
      <c r="A113" s="41">
        <f t="shared" si="0"/>
        <v>99</v>
      </c>
      <c r="B113" s="42" t="s">
        <v>334</v>
      </c>
      <c r="C113" s="43"/>
      <c r="D113" s="609"/>
      <c r="E113" s="326"/>
      <c r="F113" s="326"/>
      <c r="G113" s="326"/>
      <c r="H113" s="326"/>
      <c r="I113" s="326"/>
      <c r="J113" s="326"/>
      <c r="K113" s="327"/>
      <c r="L113" s="610"/>
      <c r="M113" s="326"/>
      <c r="N113" s="326"/>
      <c r="O113" s="327"/>
      <c r="P113" s="609"/>
      <c r="Q113" s="326"/>
      <c r="R113" s="326"/>
      <c r="S113" s="327"/>
      <c r="T113" s="610"/>
      <c r="U113" s="326"/>
      <c r="V113" s="326"/>
      <c r="W113" s="327"/>
      <c r="X113" s="609"/>
      <c r="Y113" s="326"/>
      <c r="Z113" s="326"/>
      <c r="AA113" s="327"/>
      <c r="AB113" s="451"/>
      <c r="AC113" s="326"/>
      <c r="AD113" s="327"/>
      <c r="AE113" s="526"/>
      <c r="AF113" s="326"/>
      <c r="AG113" s="327"/>
      <c r="AH113" s="607"/>
      <c r="AI113" s="326"/>
      <c r="AJ113" s="327"/>
      <c r="AK113" s="497"/>
      <c r="AL113" s="326"/>
      <c r="AM113" s="327"/>
      <c r="AN113" s="44"/>
      <c r="AO113" s="45"/>
      <c r="AP113" s="44"/>
      <c r="AQ113" s="45"/>
      <c r="AR113" s="44"/>
      <c r="AS113" s="45"/>
      <c r="AT113" s="44"/>
      <c r="AU113" s="45"/>
      <c r="AV113" s="44"/>
      <c r="AW113" s="45"/>
      <c r="AX113" s="44"/>
      <c r="AY113" s="45"/>
      <c r="AZ113" s="50"/>
      <c r="BA113" s="47"/>
      <c r="BB113" s="50"/>
      <c r="BC113" s="47"/>
      <c r="BD113" s="50"/>
      <c r="BE113" s="47"/>
      <c r="BF113" s="50"/>
      <c r="BG113" s="47"/>
      <c r="BH113" s="50"/>
      <c r="BI113" s="608" t="s">
        <v>307</v>
      </c>
      <c r="BJ113" s="326"/>
      <c r="BK113" s="326"/>
      <c r="BL113" s="326"/>
      <c r="BM113" s="326"/>
      <c r="BN113" s="326"/>
      <c r="BO113" s="326"/>
      <c r="BP113" s="326"/>
      <c r="BQ113" s="326"/>
      <c r="BR113" s="326"/>
      <c r="BS113" s="326"/>
      <c r="BT113" s="326"/>
      <c r="BU113" s="326"/>
      <c r="BV113" s="327"/>
    </row>
    <row r="114" spans="1:74" ht="30" customHeight="1" x14ac:dyDescent="0.25">
      <c r="A114" s="49">
        <f t="shared" si="0"/>
        <v>100</v>
      </c>
      <c r="B114" s="42" t="s">
        <v>334</v>
      </c>
      <c r="C114" s="43"/>
      <c r="D114" s="609"/>
      <c r="E114" s="326"/>
      <c r="F114" s="326"/>
      <c r="G114" s="326"/>
      <c r="H114" s="326"/>
      <c r="I114" s="326"/>
      <c r="J114" s="326"/>
      <c r="K114" s="327"/>
      <c r="L114" s="610"/>
      <c r="M114" s="326"/>
      <c r="N114" s="326"/>
      <c r="O114" s="327"/>
      <c r="P114" s="609"/>
      <c r="Q114" s="326"/>
      <c r="R114" s="326"/>
      <c r="S114" s="327"/>
      <c r="T114" s="610"/>
      <c r="U114" s="326"/>
      <c r="V114" s="326"/>
      <c r="W114" s="327"/>
      <c r="X114" s="609"/>
      <c r="Y114" s="326"/>
      <c r="Z114" s="326"/>
      <c r="AA114" s="327"/>
      <c r="AB114" s="451"/>
      <c r="AC114" s="326"/>
      <c r="AD114" s="327"/>
      <c r="AE114" s="526"/>
      <c r="AF114" s="326"/>
      <c r="AG114" s="327"/>
      <c r="AH114" s="607"/>
      <c r="AI114" s="326"/>
      <c r="AJ114" s="327"/>
      <c r="AK114" s="497"/>
      <c r="AL114" s="326"/>
      <c r="AM114" s="327"/>
      <c r="AN114" s="44"/>
      <c r="AO114" s="45"/>
      <c r="AP114" s="44"/>
      <c r="AQ114" s="45"/>
      <c r="AR114" s="44"/>
      <c r="AS114" s="45"/>
      <c r="AT114" s="44"/>
      <c r="AU114" s="45"/>
      <c r="AV114" s="44"/>
      <c r="AW114" s="45"/>
      <c r="AX114" s="44"/>
      <c r="AY114" s="45"/>
      <c r="AZ114" s="50"/>
      <c r="BA114" s="47"/>
      <c r="BB114" s="50"/>
      <c r="BC114" s="47"/>
      <c r="BD114" s="50"/>
      <c r="BE114" s="47"/>
      <c r="BF114" s="50"/>
      <c r="BG114" s="47"/>
      <c r="BH114" s="50"/>
      <c r="BI114" s="608" t="s">
        <v>307</v>
      </c>
      <c r="BJ114" s="326"/>
      <c r="BK114" s="326"/>
      <c r="BL114" s="326"/>
      <c r="BM114" s="326"/>
      <c r="BN114" s="326"/>
      <c r="BO114" s="326"/>
      <c r="BP114" s="326"/>
      <c r="BQ114" s="326"/>
      <c r="BR114" s="326"/>
      <c r="BS114" s="326"/>
      <c r="BT114" s="326"/>
      <c r="BU114" s="326"/>
      <c r="BV114" s="327"/>
    </row>
    <row r="115" spans="1:74" ht="30" customHeight="1" x14ac:dyDescent="0.25">
      <c r="A115" s="49">
        <f t="shared" si="0"/>
        <v>101</v>
      </c>
      <c r="B115" s="42" t="s">
        <v>334</v>
      </c>
      <c r="C115" s="43"/>
      <c r="D115" s="609"/>
      <c r="E115" s="326"/>
      <c r="F115" s="326"/>
      <c r="G115" s="326"/>
      <c r="H115" s="326"/>
      <c r="I115" s="326"/>
      <c r="J115" s="326"/>
      <c r="K115" s="327"/>
      <c r="L115" s="610"/>
      <c r="M115" s="326"/>
      <c r="N115" s="326"/>
      <c r="O115" s="327"/>
      <c r="P115" s="609"/>
      <c r="Q115" s="326"/>
      <c r="R115" s="326"/>
      <c r="S115" s="327"/>
      <c r="T115" s="610"/>
      <c r="U115" s="326"/>
      <c r="V115" s="326"/>
      <c r="W115" s="327"/>
      <c r="X115" s="609"/>
      <c r="Y115" s="326"/>
      <c r="Z115" s="326"/>
      <c r="AA115" s="327"/>
      <c r="AB115" s="451"/>
      <c r="AC115" s="326"/>
      <c r="AD115" s="327"/>
      <c r="AE115" s="526"/>
      <c r="AF115" s="326"/>
      <c r="AG115" s="327"/>
      <c r="AH115" s="607"/>
      <c r="AI115" s="326"/>
      <c r="AJ115" s="327"/>
      <c r="AK115" s="497"/>
      <c r="AL115" s="326"/>
      <c r="AM115" s="327"/>
      <c r="AN115" s="44"/>
      <c r="AO115" s="45"/>
      <c r="AP115" s="44"/>
      <c r="AQ115" s="45"/>
      <c r="AR115" s="44"/>
      <c r="AS115" s="45"/>
      <c r="AT115" s="44"/>
      <c r="AU115" s="45"/>
      <c r="AV115" s="44"/>
      <c r="AW115" s="45"/>
      <c r="AX115" s="44"/>
      <c r="AY115" s="45"/>
      <c r="AZ115" s="50"/>
      <c r="BA115" s="47"/>
      <c r="BB115" s="50"/>
      <c r="BC115" s="47"/>
      <c r="BD115" s="50"/>
      <c r="BE115" s="47"/>
      <c r="BF115" s="50"/>
      <c r="BG115" s="47"/>
      <c r="BH115" s="50"/>
      <c r="BI115" s="608" t="s">
        <v>307</v>
      </c>
      <c r="BJ115" s="326"/>
      <c r="BK115" s="326"/>
      <c r="BL115" s="326"/>
      <c r="BM115" s="326"/>
      <c r="BN115" s="326"/>
      <c r="BO115" s="326"/>
      <c r="BP115" s="326"/>
      <c r="BQ115" s="326"/>
      <c r="BR115" s="326"/>
      <c r="BS115" s="326"/>
      <c r="BT115" s="326"/>
      <c r="BU115" s="326"/>
      <c r="BV115" s="327"/>
    </row>
    <row r="116" spans="1:74" ht="30" customHeight="1" x14ac:dyDescent="0.25">
      <c r="A116" s="49">
        <f t="shared" si="0"/>
        <v>102</v>
      </c>
      <c r="B116" s="42" t="s">
        <v>334</v>
      </c>
      <c r="C116" s="43"/>
      <c r="D116" s="609"/>
      <c r="E116" s="326"/>
      <c r="F116" s="326"/>
      <c r="G116" s="326"/>
      <c r="H116" s="326"/>
      <c r="I116" s="326"/>
      <c r="J116" s="326"/>
      <c r="K116" s="327"/>
      <c r="L116" s="610"/>
      <c r="M116" s="326"/>
      <c r="N116" s="326"/>
      <c r="O116" s="327"/>
      <c r="P116" s="609"/>
      <c r="Q116" s="326"/>
      <c r="R116" s="326"/>
      <c r="S116" s="327"/>
      <c r="T116" s="610"/>
      <c r="U116" s="326"/>
      <c r="V116" s="326"/>
      <c r="W116" s="327"/>
      <c r="X116" s="609"/>
      <c r="Y116" s="326"/>
      <c r="Z116" s="326"/>
      <c r="AA116" s="327"/>
      <c r="AB116" s="451"/>
      <c r="AC116" s="326"/>
      <c r="AD116" s="327"/>
      <c r="AE116" s="526"/>
      <c r="AF116" s="326"/>
      <c r="AG116" s="327"/>
      <c r="AH116" s="607"/>
      <c r="AI116" s="326"/>
      <c r="AJ116" s="327"/>
      <c r="AK116" s="497"/>
      <c r="AL116" s="326"/>
      <c r="AM116" s="327"/>
      <c r="AN116" s="44"/>
      <c r="AO116" s="45"/>
      <c r="AP116" s="44"/>
      <c r="AQ116" s="45"/>
      <c r="AR116" s="44"/>
      <c r="AS116" s="45"/>
      <c r="AT116" s="44"/>
      <c r="AU116" s="45"/>
      <c r="AV116" s="44"/>
      <c r="AW116" s="45"/>
      <c r="AX116" s="44"/>
      <c r="AY116" s="45"/>
      <c r="AZ116" s="50"/>
      <c r="BA116" s="47"/>
      <c r="BB116" s="50"/>
      <c r="BC116" s="47"/>
      <c r="BD116" s="50"/>
      <c r="BE116" s="47"/>
      <c r="BF116" s="50"/>
      <c r="BG116" s="47"/>
      <c r="BH116" s="50"/>
      <c r="BI116" s="608" t="s">
        <v>307</v>
      </c>
      <c r="BJ116" s="326"/>
      <c r="BK116" s="326"/>
      <c r="BL116" s="326"/>
      <c r="BM116" s="326"/>
      <c r="BN116" s="326"/>
      <c r="BO116" s="326"/>
      <c r="BP116" s="326"/>
      <c r="BQ116" s="326"/>
      <c r="BR116" s="326"/>
      <c r="BS116" s="326"/>
      <c r="BT116" s="326"/>
      <c r="BU116" s="326"/>
      <c r="BV116" s="327"/>
    </row>
    <row r="117" spans="1:74" ht="30" customHeight="1" x14ac:dyDescent="0.25">
      <c r="A117" s="49">
        <f t="shared" si="0"/>
        <v>103</v>
      </c>
      <c r="B117" s="42" t="s">
        <v>334</v>
      </c>
      <c r="C117" s="43"/>
      <c r="D117" s="609"/>
      <c r="E117" s="326"/>
      <c r="F117" s="326"/>
      <c r="G117" s="326"/>
      <c r="H117" s="326"/>
      <c r="I117" s="326"/>
      <c r="J117" s="326"/>
      <c r="K117" s="327"/>
      <c r="L117" s="610"/>
      <c r="M117" s="326"/>
      <c r="N117" s="326"/>
      <c r="O117" s="327"/>
      <c r="P117" s="609"/>
      <c r="Q117" s="326"/>
      <c r="R117" s="326"/>
      <c r="S117" s="327"/>
      <c r="T117" s="610"/>
      <c r="U117" s="326"/>
      <c r="V117" s="326"/>
      <c r="W117" s="327"/>
      <c r="X117" s="609"/>
      <c r="Y117" s="326"/>
      <c r="Z117" s="326"/>
      <c r="AA117" s="327"/>
      <c r="AB117" s="451"/>
      <c r="AC117" s="326"/>
      <c r="AD117" s="327"/>
      <c r="AE117" s="526"/>
      <c r="AF117" s="326"/>
      <c r="AG117" s="327"/>
      <c r="AH117" s="607"/>
      <c r="AI117" s="326"/>
      <c r="AJ117" s="327"/>
      <c r="AK117" s="497"/>
      <c r="AL117" s="326"/>
      <c r="AM117" s="327"/>
      <c r="AN117" s="44"/>
      <c r="AO117" s="45"/>
      <c r="AP117" s="44"/>
      <c r="AQ117" s="45"/>
      <c r="AR117" s="44"/>
      <c r="AS117" s="45"/>
      <c r="AT117" s="44"/>
      <c r="AU117" s="45"/>
      <c r="AV117" s="44"/>
      <c r="AW117" s="45"/>
      <c r="AX117" s="44"/>
      <c r="AY117" s="45"/>
      <c r="AZ117" s="50"/>
      <c r="BA117" s="47"/>
      <c r="BB117" s="50"/>
      <c r="BC117" s="47"/>
      <c r="BD117" s="50"/>
      <c r="BE117" s="47"/>
      <c r="BF117" s="50"/>
      <c r="BG117" s="47"/>
      <c r="BH117" s="50"/>
      <c r="BI117" s="608" t="s">
        <v>307</v>
      </c>
      <c r="BJ117" s="326"/>
      <c r="BK117" s="326"/>
      <c r="BL117" s="326"/>
      <c r="BM117" s="326"/>
      <c r="BN117" s="326"/>
      <c r="BO117" s="326"/>
      <c r="BP117" s="326"/>
      <c r="BQ117" s="326"/>
      <c r="BR117" s="326"/>
      <c r="BS117" s="326"/>
      <c r="BT117" s="326"/>
      <c r="BU117" s="326"/>
      <c r="BV117" s="327"/>
    </row>
    <row r="118" spans="1:74" ht="30" customHeight="1" x14ac:dyDescent="0.25">
      <c r="A118" s="49">
        <f t="shared" si="0"/>
        <v>104</v>
      </c>
      <c r="B118" s="42" t="s">
        <v>334</v>
      </c>
      <c r="C118" s="43"/>
      <c r="D118" s="609"/>
      <c r="E118" s="326"/>
      <c r="F118" s="326"/>
      <c r="G118" s="326"/>
      <c r="H118" s="326"/>
      <c r="I118" s="326"/>
      <c r="J118" s="326"/>
      <c r="K118" s="327"/>
      <c r="L118" s="610"/>
      <c r="M118" s="326"/>
      <c r="N118" s="326"/>
      <c r="O118" s="327"/>
      <c r="P118" s="609"/>
      <c r="Q118" s="326"/>
      <c r="R118" s="326"/>
      <c r="S118" s="327"/>
      <c r="T118" s="610"/>
      <c r="U118" s="326"/>
      <c r="V118" s="326"/>
      <c r="W118" s="327"/>
      <c r="X118" s="609"/>
      <c r="Y118" s="326"/>
      <c r="Z118" s="326"/>
      <c r="AA118" s="327"/>
      <c r="AB118" s="451"/>
      <c r="AC118" s="326"/>
      <c r="AD118" s="327"/>
      <c r="AE118" s="526"/>
      <c r="AF118" s="326"/>
      <c r="AG118" s="327"/>
      <c r="AH118" s="607"/>
      <c r="AI118" s="326"/>
      <c r="AJ118" s="327"/>
      <c r="AK118" s="497"/>
      <c r="AL118" s="326"/>
      <c r="AM118" s="327"/>
      <c r="AN118" s="44"/>
      <c r="AO118" s="45"/>
      <c r="AP118" s="44"/>
      <c r="AQ118" s="45"/>
      <c r="AR118" s="44"/>
      <c r="AS118" s="45"/>
      <c r="AT118" s="44"/>
      <c r="AU118" s="45"/>
      <c r="AV118" s="44"/>
      <c r="AW118" s="45"/>
      <c r="AX118" s="44"/>
      <c r="AY118" s="45"/>
      <c r="AZ118" s="50"/>
      <c r="BA118" s="47"/>
      <c r="BB118" s="50"/>
      <c r="BC118" s="47"/>
      <c r="BD118" s="50"/>
      <c r="BE118" s="47"/>
      <c r="BF118" s="50"/>
      <c r="BG118" s="47"/>
      <c r="BH118" s="50"/>
      <c r="BI118" s="608" t="s">
        <v>303</v>
      </c>
      <c r="BJ118" s="326"/>
      <c r="BK118" s="326"/>
      <c r="BL118" s="326"/>
      <c r="BM118" s="326"/>
      <c r="BN118" s="326"/>
      <c r="BO118" s="326"/>
      <c r="BP118" s="326"/>
      <c r="BQ118" s="326"/>
      <c r="BR118" s="326"/>
      <c r="BS118" s="326"/>
      <c r="BT118" s="326"/>
      <c r="BU118" s="326"/>
      <c r="BV118" s="327"/>
    </row>
    <row r="119" spans="1:74" ht="30" customHeight="1" x14ac:dyDescent="0.25">
      <c r="A119" s="41">
        <f t="shared" si="0"/>
        <v>105</v>
      </c>
      <c r="B119" s="42" t="s">
        <v>334</v>
      </c>
      <c r="C119" s="43"/>
      <c r="D119" s="609"/>
      <c r="E119" s="326"/>
      <c r="F119" s="326"/>
      <c r="G119" s="326"/>
      <c r="H119" s="326"/>
      <c r="I119" s="326"/>
      <c r="J119" s="326"/>
      <c r="K119" s="327"/>
      <c r="L119" s="610"/>
      <c r="M119" s="326"/>
      <c r="N119" s="326"/>
      <c r="O119" s="327"/>
      <c r="P119" s="609"/>
      <c r="Q119" s="326"/>
      <c r="R119" s="326"/>
      <c r="S119" s="327"/>
      <c r="T119" s="610"/>
      <c r="U119" s="326"/>
      <c r="V119" s="326"/>
      <c r="W119" s="327"/>
      <c r="X119" s="609"/>
      <c r="Y119" s="326"/>
      <c r="Z119" s="326"/>
      <c r="AA119" s="327"/>
      <c r="AB119" s="451"/>
      <c r="AC119" s="326"/>
      <c r="AD119" s="327"/>
      <c r="AE119" s="526"/>
      <c r="AF119" s="326"/>
      <c r="AG119" s="327"/>
      <c r="AH119" s="607"/>
      <c r="AI119" s="326"/>
      <c r="AJ119" s="327"/>
      <c r="AK119" s="497"/>
      <c r="AL119" s="326"/>
      <c r="AM119" s="327"/>
      <c r="AN119" s="44"/>
      <c r="AO119" s="45"/>
      <c r="AP119" s="44"/>
      <c r="AQ119" s="45"/>
      <c r="AR119" s="44"/>
      <c r="AS119" s="45"/>
      <c r="AT119" s="44"/>
      <c r="AU119" s="45"/>
      <c r="AV119" s="44"/>
      <c r="AW119" s="45"/>
      <c r="AX119" s="44"/>
      <c r="AY119" s="45"/>
      <c r="AZ119" s="50"/>
      <c r="BA119" s="47"/>
      <c r="BB119" s="50"/>
      <c r="BC119" s="47"/>
      <c r="BD119" s="50"/>
      <c r="BE119" s="47"/>
      <c r="BF119" s="50"/>
      <c r="BG119" s="47"/>
      <c r="BH119" s="50"/>
      <c r="BI119" s="608" t="s">
        <v>307</v>
      </c>
      <c r="BJ119" s="326"/>
      <c r="BK119" s="326"/>
      <c r="BL119" s="326"/>
      <c r="BM119" s="326"/>
      <c r="BN119" s="326"/>
      <c r="BO119" s="326"/>
      <c r="BP119" s="326"/>
      <c r="BQ119" s="326"/>
      <c r="BR119" s="326"/>
      <c r="BS119" s="326"/>
      <c r="BT119" s="326"/>
      <c r="BU119" s="326"/>
      <c r="BV119" s="327"/>
    </row>
    <row r="120" spans="1:74" ht="30" customHeight="1" x14ac:dyDescent="0.25">
      <c r="A120" s="49">
        <f t="shared" si="0"/>
        <v>106</v>
      </c>
      <c r="B120" s="42" t="s">
        <v>334</v>
      </c>
      <c r="C120" s="43"/>
      <c r="D120" s="609"/>
      <c r="E120" s="326"/>
      <c r="F120" s="326"/>
      <c r="G120" s="326"/>
      <c r="H120" s="326"/>
      <c r="I120" s="326"/>
      <c r="J120" s="326"/>
      <c r="K120" s="327"/>
      <c r="L120" s="610"/>
      <c r="M120" s="326"/>
      <c r="N120" s="326"/>
      <c r="O120" s="327"/>
      <c r="P120" s="609"/>
      <c r="Q120" s="326"/>
      <c r="R120" s="326"/>
      <c r="S120" s="327"/>
      <c r="T120" s="610"/>
      <c r="U120" s="326"/>
      <c r="V120" s="326"/>
      <c r="W120" s="327"/>
      <c r="X120" s="609"/>
      <c r="Y120" s="326"/>
      <c r="Z120" s="326"/>
      <c r="AA120" s="327"/>
      <c r="AB120" s="451"/>
      <c r="AC120" s="326"/>
      <c r="AD120" s="327"/>
      <c r="AE120" s="526"/>
      <c r="AF120" s="326"/>
      <c r="AG120" s="327"/>
      <c r="AH120" s="607"/>
      <c r="AI120" s="326"/>
      <c r="AJ120" s="327"/>
      <c r="AK120" s="497"/>
      <c r="AL120" s="326"/>
      <c r="AM120" s="327"/>
      <c r="AN120" s="44"/>
      <c r="AO120" s="45"/>
      <c r="AP120" s="44"/>
      <c r="AQ120" s="45"/>
      <c r="AR120" s="44"/>
      <c r="AS120" s="45"/>
      <c r="AT120" s="44"/>
      <c r="AU120" s="45"/>
      <c r="AV120" s="44"/>
      <c r="AW120" s="45"/>
      <c r="AX120" s="44"/>
      <c r="AY120" s="45"/>
      <c r="AZ120" s="50"/>
      <c r="BA120" s="47"/>
      <c r="BB120" s="50"/>
      <c r="BC120" s="47"/>
      <c r="BD120" s="50"/>
      <c r="BE120" s="47"/>
      <c r="BF120" s="50"/>
      <c r="BG120" s="47"/>
      <c r="BH120" s="50"/>
      <c r="BI120" s="608" t="s">
        <v>307</v>
      </c>
      <c r="BJ120" s="326"/>
      <c r="BK120" s="326"/>
      <c r="BL120" s="326"/>
      <c r="BM120" s="326"/>
      <c r="BN120" s="326"/>
      <c r="BO120" s="326"/>
      <c r="BP120" s="326"/>
      <c r="BQ120" s="326"/>
      <c r="BR120" s="326"/>
      <c r="BS120" s="326"/>
      <c r="BT120" s="326"/>
      <c r="BU120" s="326"/>
      <c r="BV120" s="327"/>
    </row>
    <row r="121" spans="1:74" ht="30" customHeight="1" x14ac:dyDescent="0.25">
      <c r="A121" s="49">
        <f t="shared" si="0"/>
        <v>107</v>
      </c>
      <c r="B121" s="42" t="s">
        <v>334</v>
      </c>
      <c r="C121" s="43"/>
      <c r="D121" s="609"/>
      <c r="E121" s="326"/>
      <c r="F121" s="326"/>
      <c r="G121" s="326"/>
      <c r="H121" s="326"/>
      <c r="I121" s="326"/>
      <c r="J121" s="326"/>
      <c r="K121" s="327"/>
      <c r="L121" s="610"/>
      <c r="M121" s="326"/>
      <c r="N121" s="326"/>
      <c r="O121" s="327"/>
      <c r="P121" s="609"/>
      <c r="Q121" s="326"/>
      <c r="R121" s="326"/>
      <c r="S121" s="327"/>
      <c r="T121" s="610"/>
      <c r="U121" s="326"/>
      <c r="V121" s="326"/>
      <c r="W121" s="327"/>
      <c r="X121" s="609"/>
      <c r="Y121" s="326"/>
      <c r="Z121" s="326"/>
      <c r="AA121" s="327"/>
      <c r="AB121" s="451"/>
      <c r="AC121" s="326"/>
      <c r="AD121" s="327"/>
      <c r="AE121" s="526"/>
      <c r="AF121" s="326"/>
      <c r="AG121" s="327"/>
      <c r="AH121" s="607"/>
      <c r="AI121" s="326"/>
      <c r="AJ121" s="327"/>
      <c r="AK121" s="497"/>
      <c r="AL121" s="326"/>
      <c r="AM121" s="327"/>
      <c r="AN121" s="44"/>
      <c r="AO121" s="45"/>
      <c r="AP121" s="44"/>
      <c r="AQ121" s="45"/>
      <c r="AR121" s="44"/>
      <c r="AS121" s="45"/>
      <c r="AT121" s="44"/>
      <c r="AU121" s="45"/>
      <c r="AV121" s="44"/>
      <c r="AW121" s="45"/>
      <c r="AX121" s="44"/>
      <c r="AY121" s="45"/>
      <c r="AZ121" s="50"/>
      <c r="BA121" s="47"/>
      <c r="BB121" s="50"/>
      <c r="BC121" s="47"/>
      <c r="BD121" s="50"/>
      <c r="BE121" s="47"/>
      <c r="BF121" s="50"/>
      <c r="BG121" s="47"/>
      <c r="BH121" s="50"/>
      <c r="BI121" s="608" t="s">
        <v>307</v>
      </c>
      <c r="BJ121" s="326"/>
      <c r="BK121" s="326"/>
      <c r="BL121" s="326"/>
      <c r="BM121" s="326"/>
      <c r="BN121" s="326"/>
      <c r="BO121" s="326"/>
      <c r="BP121" s="326"/>
      <c r="BQ121" s="326"/>
      <c r="BR121" s="326"/>
      <c r="BS121" s="326"/>
      <c r="BT121" s="326"/>
      <c r="BU121" s="326"/>
      <c r="BV121" s="327"/>
    </row>
    <row r="122" spans="1:74" ht="30" customHeight="1" x14ac:dyDescent="0.25">
      <c r="A122" s="49">
        <f t="shared" si="0"/>
        <v>108</v>
      </c>
      <c r="B122" s="42" t="s">
        <v>334</v>
      </c>
      <c r="C122" s="43"/>
      <c r="D122" s="609"/>
      <c r="E122" s="326"/>
      <c r="F122" s="326"/>
      <c r="G122" s="326"/>
      <c r="H122" s="326"/>
      <c r="I122" s="326"/>
      <c r="J122" s="326"/>
      <c r="K122" s="327"/>
      <c r="L122" s="610"/>
      <c r="M122" s="326"/>
      <c r="N122" s="326"/>
      <c r="O122" s="327"/>
      <c r="P122" s="609"/>
      <c r="Q122" s="326"/>
      <c r="R122" s="326"/>
      <c r="S122" s="327"/>
      <c r="T122" s="610"/>
      <c r="U122" s="326"/>
      <c r="V122" s="326"/>
      <c r="W122" s="327"/>
      <c r="X122" s="609"/>
      <c r="Y122" s="326"/>
      <c r="Z122" s="326"/>
      <c r="AA122" s="327"/>
      <c r="AB122" s="451"/>
      <c r="AC122" s="326"/>
      <c r="AD122" s="327"/>
      <c r="AE122" s="526"/>
      <c r="AF122" s="326"/>
      <c r="AG122" s="327"/>
      <c r="AH122" s="607"/>
      <c r="AI122" s="326"/>
      <c r="AJ122" s="327"/>
      <c r="AK122" s="497"/>
      <c r="AL122" s="326"/>
      <c r="AM122" s="327"/>
      <c r="AN122" s="44"/>
      <c r="AO122" s="45"/>
      <c r="AP122" s="44"/>
      <c r="AQ122" s="45"/>
      <c r="AR122" s="44"/>
      <c r="AS122" s="45"/>
      <c r="AT122" s="44"/>
      <c r="AU122" s="45"/>
      <c r="AV122" s="44"/>
      <c r="AW122" s="45"/>
      <c r="AX122" s="44"/>
      <c r="AY122" s="45"/>
      <c r="AZ122" s="50"/>
      <c r="BA122" s="47"/>
      <c r="BB122" s="50"/>
      <c r="BC122" s="47"/>
      <c r="BD122" s="50"/>
      <c r="BE122" s="47"/>
      <c r="BF122" s="50"/>
      <c r="BG122" s="47"/>
      <c r="BH122" s="50"/>
      <c r="BI122" s="608" t="s">
        <v>307</v>
      </c>
      <c r="BJ122" s="326"/>
      <c r="BK122" s="326"/>
      <c r="BL122" s="326"/>
      <c r="BM122" s="326"/>
      <c r="BN122" s="326"/>
      <c r="BO122" s="326"/>
      <c r="BP122" s="326"/>
      <c r="BQ122" s="326"/>
      <c r="BR122" s="326"/>
      <c r="BS122" s="326"/>
      <c r="BT122" s="326"/>
      <c r="BU122" s="326"/>
      <c r="BV122" s="327"/>
    </row>
    <row r="123" spans="1:74" ht="30" customHeight="1" x14ac:dyDescent="0.25">
      <c r="A123" s="49">
        <f t="shared" si="0"/>
        <v>109</v>
      </c>
      <c r="B123" s="42" t="s">
        <v>334</v>
      </c>
      <c r="C123" s="43"/>
      <c r="D123" s="609"/>
      <c r="E123" s="326"/>
      <c r="F123" s="326"/>
      <c r="G123" s="326"/>
      <c r="H123" s="326"/>
      <c r="I123" s="326"/>
      <c r="J123" s="326"/>
      <c r="K123" s="327"/>
      <c r="L123" s="610"/>
      <c r="M123" s="326"/>
      <c r="N123" s="326"/>
      <c r="O123" s="327"/>
      <c r="P123" s="609"/>
      <c r="Q123" s="326"/>
      <c r="R123" s="326"/>
      <c r="S123" s="327"/>
      <c r="T123" s="610"/>
      <c r="U123" s="326"/>
      <c r="V123" s="326"/>
      <c r="W123" s="327"/>
      <c r="X123" s="609"/>
      <c r="Y123" s="326"/>
      <c r="Z123" s="326"/>
      <c r="AA123" s="327"/>
      <c r="AB123" s="451"/>
      <c r="AC123" s="326"/>
      <c r="AD123" s="327"/>
      <c r="AE123" s="526"/>
      <c r="AF123" s="326"/>
      <c r="AG123" s="327"/>
      <c r="AH123" s="607"/>
      <c r="AI123" s="326"/>
      <c r="AJ123" s="327"/>
      <c r="AK123" s="497"/>
      <c r="AL123" s="326"/>
      <c r="AM123" s="327"/>
      <c r="AN123" s="44"/>
      <c r="AO123" s="45"/>
      <c r="AP123" s="44"/>
      <c r="AQ123" s="45"/>
      <c r="AR123" s="44"/>
      <c r="AS123" s="45"/>
      <c r="AT123" s="44"/>
      <c r="AU123" s="45"/>
      <c r="AV123" s="44"/>
      <c r="AW123" s="45"/>
      <c r="AX123" s="44"/>
      <c r="AY123" s="45"/>
      <c r="AZ123" s="50"/>
      <c r="BA123" s="47"/>
      <c r="BB123" s="50"/>
      <c r="BC123" s="47"/>
      <c r="BD123" s="50"/>
      <c r="BE123" s="47"/>
      <c r="BF123" s="50"/>
      <c r="BG123" s="47"/>
      <c r="BH123" s="50"/>
      <c r="BI123" s="608" t="s">
        <v>307</v>
      </c>
      <c r="BJ123" s="326"/>
      <c r="BK123" s="326"/>
      <c r="BL123" s="326"/>
      <c r="BM123" s="326"/>
      <c r="BN123" s="326"/>
      <c r="BO123" s="326"/>
      <c r="BP123" s="326"/>
      <c r="BQ123" s="326"/>
      <c r="BR123" s="326"/>
      <c r="BS123" s="326"/>
      <c r="BT123" s="326"/>
      <c r="BU123" s="326"/>
      <c r="BV123" s="327"/>
    </row>
    <row r="124" spans="1:74" ht="30" customHeight="1" x14ac:dyDescent="0.25">
      <c r="A124" s="49">
        <f t="shared" si="0"/>
        <v>110</v>
      </c>
      <c r="B124" s="42" t="s">
        <v>334</v>
      </c>
      <c r="C124" s="43"/>
      <c r="D124" s="609"/>
      <c r="E124" s="326"/>
      <c r="F124" s="326"/>
      <c r="G124" s="326"/>
      <c r="H124" s="326"/>
      <c r="I124" s="326"/>
      <c r="J124" s="326"/>
      <c r="K124" s="327"/>
      <c r="L124" s="610"/>
      <c r="M124" s="326"/>
      <c r="N124" s="326"/>
      <c r="O124" s="327"/>
      <c r="P124" s="609"/>
      <c r="Q124" s="326"/>
      <c r="R124" s="326"/>
      <c r="S124" s="327"/>
      <c r="T124" s="610"/>
      <c r="U124" s="326"/>
      <c r="V124" s="326"/>
      <c r="W124" s="327"/>
      <c r="X124" s="609"/>
      <c r="Y124" s="326"/>
      <c r="Z124" s="326"/>
      <c r="AA124" s="327"/>
      <c r="AB124" s="451"/>
      <c r="AC124" s="326"/>
      <c r="AD124" s="327"/>
      <c r="AE124" s="526"/>
      <c r="AF124" s="326"/>
      <c r="AG124" s="327"/>
      <c r="AH124" s="607"/>
      <c r="AI124" s="326"/>
      <c r="AJ124" s="327"/>
      <c r="AK124" s="497"/>
      <c r="AL124" s="326"/>
      <c r="AM124" s="327"/>
      <c r="AN124" s="44"/>
      <c r="AO124" s="45"/>
      <c r="AP124" s="44"/>
      <c r="AQ124" s="45"/>
      <c r="AR124" s="44"/>
      <c r="AS124" s="45"/>
      <c r="AT124" s="44"/>
      <c r="AU124" s="45"/>
      <c r="AV124" s="44"/>
      <c r="AW124" s="45"/>
      <c r="AX124" s="44"/>
      <c r="AY124" s="45"/>
      <c r="AZ124" s="50"/>
      <c r="BA124" s="47"/>
      <c r="BB124" s="50"/>
      <c r="BC124" s="47"/>
      <c r="BD124" s="50"/>
      <c r="BE124" s="47"/>
      <c r="BF124" s="50"/>
      <c r="BG124" s="47"/>
      <c r="BH124" s="50"/>
      <c r="BI124" s="608" t="s">
        <v>303</v>
      </c>
      <c r="BJ124" s="326"/>
      <c r="BK124" s="326"/>
      <c r="BL124" s="326"/>
      <c r="BM124" s="326"/>
      <c r="BN124" s="326"/>
      <c r="BO124" s="326"/>
      <c r="BP124" s="326"/>
      <c r="BQ124" s="326"/>
      <c r="BR124" s="326"/>
      <c r="BS124" s="326"/>
      <c r="BT124" s="326"/>
      <c r="BU124" s="326"/>
      <c r="BV124" s="327"/>
    </row>
    <row r="125" spans="1:74" ht="30" customHeight="1" x14ac:dyDescent="0.25">
      <c r="A125" s="49">
        <f t="shared" si="0"/>
        <v>111</v>
      </c>
      <c r="B125" s="42" t="s">
        <v>334</v>
      </c>
      <c r="C125" s="43"/>
      <c r="D125" s="609"/>
      <c r="E125" s="326"/>
      <c r="F125" s="326"/>
      <c r="G125" s="326"/>
      <c r="H125" s="326"/>
      <c r="I125" s="326"/>
      <c r="J125" s="326"/>
      <c r="K125" s="327"/>
      <c r="L125" s="610"/>
      <c r="M125" s="326"/>
      <c r="N125" s="326"/>
      <c r="O125" s="327"/>
      <c r="P125" s="609"/>
      <c r="Q125" s="326"/>
      <c r="R125" s="326"/>
      <c r="S125" s="327"/>
      <c r="T125" s="610"/>
      <c r="U125" s="326"/>
      <c r="V125" s="326"/>
      <c r="W125" s="327"/>
      <c r="X125" s="609"/>
      <c r="Y125" s="326"/>
      <c r="Z125" s="326"/>
      <c r="AA125" s="327"/>
      <c r="AB125" s="451"/>
      <c r="AC125" s="326"/>
      <c r="AD125" s="327"/>
      <c r="AE125" s="526"/>
      <c r="AF125" s="326"/>
      <c r="AG125" s="327"/>
      <c r="AH125" s="607"/>
      <c r="AI125" s="326"/>
      <c r="AJ125" s="327"/>
      <c r="AK125" s="497"/>
      <c r="AL125" s="326"/>
      <c r="AM125" s="327"/>
      <c r="AN125" s="44"/>
      <c r="AO125" s="45"/>
      <c r="AP125" s="44"/>
      <c r="AQ125" s="45"/>
      <c r="AR125" s="44"/>
      <c r="AS125" s="45"/>
      <c r="AT125" s="44"/>
      <c r="AU125" s="45"/>
      <c r="AV125" s="44"/>
      <c r="AW125" s="45"/>
      <c r="AX125" s="44"/>
      <c r="AY125" s="45"/>
      <c r="AZ125" s="50"/>
      <c r="BA125" s="47"/>
      <c r="BB125" s="50"/>
      <c r="BC125" s="47"/>
      <c r="BD125" s="50"/>
      <c r="BE125" s="47"/>
      <c r="BF125" s="50"/>
      <c r="BG125" s="47"/>
      <c r="BH125" s="50"/>
      <c r="BI125" s="608" t="s">
        <v>303</v>
      </c>
      <c r="BJ125" s="326"/>
      <c r="BK125" s="326"/>
      <c r="BL125" s="326"/>
      <c r="BM125" s="326"/>
      <c r="BN125" s="326"/>
      <c r="BO125" s="326"/>
      <c r="BP125" s="326"/>
      <c r="BQ125" s="326"/>
      <c r="BR125" s="326"/>
      <c r="BS125" s="326"/>
      <c r="BT125" s="326"/>
      <c r="BU125" s="326"/>
      <c r="BV125" s="327"/>
    </row>
    <row r="126" spans="1:74" ht="30" customHeight="1" x14ac:dyDescent="0.25">
      <c r="A126" s="41">
        <f t="shared" si="0"/>
        <v>112</v>
      </c>
      <c r="B126" s="42" t="s">
        <v>334</v>
      </c>
      <c r="C126" s="43"/>
      <c r="D126" s="609"/>
      <c r="E126" s="326"/>
      <c r="F126" s="326"/>
      <c r="G126" s="326"/>
      <c r="H126" s="326"/>
      <c r="I126" s="326"/>
      <c r="J126" s="326"/>
      <c r="K126" s="327"/>
      <c r="L126" s="610"/>
      <c r="M126" s="326"/>
      <c r="N126" s="326"/>
      <c r="O126" s="327"/>
      <c r="P126" s="609"/>
      <c r="Q126" s="326"/>
      <c r="R126" s="326"/>
      <c r="S126" s="327"/>
      <c r="T126" s="610"/>
      <c r="U126" s="326"/>
      <c r="V126" s="326"/>
      <c r="W126" s="327"/>
      <c r="X126" s="609"/>
      <c r="Y126" s="326"/>
      <c r="Z126" s="326"/>
      <c r="AA126" s="327"/>
      <c r="AB126" s="451"/>
      <c r="AC126" s="326"/>
      <c r="AD126" s="327"/>
      <c r="AE126" s="526"/>
      <c r="AF126" s="326"/>
      <c r="AG126" s="327"/>
      <c r="AH126" s="607"/>
      <c r="AI126" s="326"/>
      <c r="AJ126" s="327"/>
      <c r="AK126" s="497"/>
      <c r="AL126" s="326"/>
      <c r="AM126" s="327"/>
      <c r="AN126" s="44"/>
      <c r="AO126" s="45"/>
      <c r="AP126" s="44"/>
      <c r="AQ126" s="45"/>
      <c r="AR126" s="44"/>
      <c r="AS126" s="45"/>
      <c r="AT126" s="44"/>
      <c r="AU126" s="45"/>
      <c r="AV126" s="44"/>
      <c r="AW126" s="45"/>
      <c r="AX126" s="44"/>
      <c r="AY126" s="45"/>
      <c r="AZ126" s="50"/>
      <c r="BA126" s="47"/>
      <c r="BB126" s="50"/>
      <c r="BC126" s="47"/>
      <c r="BD126" s="50"/>
      <c r="BE126" s="47"/>
      <c r="BF126" s="50"/>
      <c r="BG126" s="47"/>
      <c r="BH126" s="50"/>
      <c r="BI126" s="608" t="s">
        <v>307</v>
      </c>
      <c r="BJ126" s="326"/>
      <c r="BK126" s="326"/>
      <c r="BL126" s="326"/>
      <c r="BM126" s="326"/>
      <c r="BN126" s="326"/>
      <c r="BO126" s="326"/>
      <c r="BP126" s="326"/>
      <c r="BQ126" s="326"/>
      <c r="BR126" s="326"/>
      <c r="BS126" s="326"/>
      <c r="BT126" s="326"/>
      <c r="BU126" s="326"/>
      <c r="BV126" s="327"/>
    </row>
    <row r="127" spans="1:74" ht="30" customHeight="1" x14ac:dyDescent="0.25">
      <c r="A127" s="49">
        <f t="shared" si="0"/>
        <v>113</v>
      </c>
      <c r="B127" s="42" t="s">
        <v>334</v>
      </c>
      <c r="C127" s="43"/>
      <c r="D127" s="609"/>
      <c r="E127" s="326"/>
      <c r="F127" s="326"/>
      <c r="G127" s="326"/>
      <c r="H127" s="326"/>
      <c r="I127" s="326"/>
      <c r="J127" s="326"/>
      <c r="K127" s="327"/>
      <c r="L127" s="610"/>
      <c r="M127" s="326"/>
      <c r="N127" s="326"/>
      <c r="O127" s="327"/>
      <c r="P127" s="609"/>
      <c r="Q127" s="326"/>
      <c r="R127" s="326"/>
      <c r="S127" s="327"/>
      <c r="T127" s="610"/>
      <c r="U127" s="326"/>
      <c r="V127" s="326"/>
      <c r="W127" s="327"/>
      <c r="X127" s="609"/>
      <c r="Y127" s="326"/>
      <c r="Z127" s="326"/>
      <c r="AA127" s="327"/>
      <c r="AB127" s="451"/>
      <c r="AC127" s="326"/>
      <c r="AD127" s="327"/>
      <c r="AE127" s="526"/>
      <c r="AF127" s="326"/>
      <c r="AG127" s="327"/>
      <c r="AH127" s="607"/>
      <c r="AI127" s="326"/>
      <c r="AJ127" s="327"/>
      <c r="AK127" s="497"/>
      <c r="AL127" s="326"/>
      <c r="AM127" s="327"/>
      <c r="AN127" s="44"/>
      <c r="AO127" s="45"/>
      <c r="AP127" s="44"/>
      <c r="AQ127" s="45"/>
      <c r="AR127" s="44"/>
      <c r="AS127" s="45"/>
      <c r="AT127" s="44"/>
      <c r="AU127" s="45"/>
      <c r="AV127" s="44"/>
      <c r="AW127" s="45"/>
      <c r="AX127" s="44"/>
      <c r="AY127" s="45"/>
      <c r="AZ127" s="50"/>
      <c r="BA127" s="47"/>
      <c r="BB127" s="50"/>
      <c r="BC127" s="47"/>
      <c r="BD127" s="50"/>
      <c r="BE127" s="47"/>
      <c r="BF127" s="50"/>
      <c r="BG127" s="47"/>
      <c r="BH127" s="50"/>
      <c r="BI127" s="608" t="s">
        <v>307</v>
      </c>
      <c r="BJ127" s="326"/>
      <c r="BK127" s="326"/>
      <c r="BL127" s="326"/>
      <c r="BM127" s="326"/>
      <c r="BN127" s="326"/>
      <c r="BO127" s="326"/>
      <c r="BP127" s="326"/>
      <c r="BQ127" s="326"/>
      <c r="BR127" s="326"/>
      <c r="BS127" s="326"/>
      <c r="BT127" s="326"/>
      <c r="BU127" s="326"/>
      <c r="BV127" s="327"/>
    </row>
    <row r="128" spans="1:74" ht="30" customHeight="1" x14ac:dyDescent="0.25">
      <c r="A128" s="49">
        <f t="shared" si="0"/>
        <v>114</v>
      </c>
      <c r="B128" s="42" t="s">
        <v>334</v>
      </c>
      <c r="C128" s="43"/>
      <c r="D128" s="609"/>
      <c r="E128" s="326"/>
      <c r="F128" s="326"/>
      <c r="G128" s="326"/>
      <c r="H128" s="326"/>
      <c r="I128" s="326"/>
      <c r="J128" s="326"/>
      <c r="K128" s="327"/>
      <c r="L128" s="610"/>
      <c r="M128" s="326"/>
      <c r="N128" s="326"/>
      <c r="O128" s="327"/>
      <c r="P128" s="609"/>
      <c r="Q128" s="326"/>
      <c r="R128" s="326"/>
      <c r="S128" s="327"/>
      <c r="T128" s="610"/>
      <c r="U128" s="326"/>
      <c r="V128" s="326"/>
      <c r="W128" s="327"/>
      <c r="X128" s="609"/>
      <c r="Y128" s="326"/>
      <c r="Z128" s="326"/>
      <c r="AA128" s="327"/>
      <c r="AB128" s="451"/>
      <c r="AC128" s="326"/>
      <c r="AD128" s="327"/>
      <c r="AE128" s="526"/>
      <c r="AF128" s="326"/>
      <c r="AG128" s="327"/>
      <c r="AH128" s="607"/>
      <c r="AI128" s="326"/>
      <c r="AJ128" s="327"/>
      <c r="AK128" s="497"/>
      <c r="AL128" s="326"/>
      <c r="AM128" s="327"/>
      <c r="AN128" s="44"/>
      <c r="AO128" s="45"/>
      <c r="AP128" s="44"/>
      <c r="AQ128" s="45"/>
      <c r="AR128" s="44"/>
      <c r="AS128" s="45"/>
      <c r="AT128" s="44"/>
      <c r="AU128" s="45"/>
      <c r="AV128" s="44"/>
      <c r="AW128" s="45"/>
      <c r="AX128" s="44"/>
      <c r="AY128" s="45"/>
      <c r="AZ128" s="50"/>
      <c r="BA128" s="47"/>
      <c r="BB128" s="50"/>
      <c r="BC128" s="47"/>
      <c r="BD128" s="50"/>
      <c r="BE128" s="47"/>
      <c r="BF128" s="50"/>
      <c r="BG128" s="47"/>
      <c r="BH128" s="50"/>
      <c r="BI128" s="608" t="s">
        <v>307</v>
      </c>
      <c r="BJ128" s="326"/>
      <c r="BK128" s="326"/>
      <c r="BL128" s="326"/>
      <c r="BM128" s="326"/>
      <c r="BN128" s="326"/>
      <c r="BO128" s="326"/>
      <c r="BP128" s="326"/>
      <c r="BQ128" s="326"/>
      <c r="BR128" s="326"/>
      <c r="BS128" s="326"/>
      <c r="BT128" s="326"/>
      <c r="BU128" s="326"/>
      <c r="BV128" s="327"/>
    </row>
    <row r="129" spans="1:74" ht="30" customHeight="1" x14ac:dyDescent="0.25">
      <c r="A129" s="49">
        <f t="shared" si="0"/>
        <v>115</v>
      </c>
      <c r="B129" s="42" t="s">
        <v>334</v>
      </c>
      <c r="C129" s="43"/>
      <c r="D129" s="609"/>
      <c r="E129" s="326"/>
      <c r="F129" s="326"/>
      <c r="G129" s="326"/>
      <c r="H129" s="326"/>
      <c r="I129" s="326"/>
      <c r="J129" s="326"/>
      <c r="K129" s="327"/>
      <c r="L129" s="610"/>
      <c r="M129" s="326"/>
      <c r="N129" s="326"/>
      <c r="O129" s="327"/>
      <c r="P129" s="609"/>
      <c r="Q129" s="326"/>
      <c r="R129" s="326"/>
      <c r="S129" s="327"/>
      <c r="T129" s="610"/>
      <c r="U129" s="326"/>
      <c r="V129" s="326"/>
      <c r="W129" s="327"/>
      <c r="X129" s="609"/>
      <c r="Y129" s="326"/>
      <c r="Z129" s="326"/>
      <c r="AA129" s="327"/>
      <c r="AB129" s="451"/>
      <c r="AC129" s="326"/>
      <c r="AD129" s="327"/>
      <c r="AE129" s="526"/>
      <c r="AF129" s="326"/>
      <c r="AG129" s="327"/>
      <c r="AH129" s="607"/>
      <c r="AI129" s="326"/>
      <c r="AJ129" s="327"/>
      <c r="AK129" s="497"/>
      <c r="AL129" s="326"/>
      <c r="AM129" s="327"/>
      <c r="AN129" s="44"/>
      <c r="AO129" s="45"/>
      <c r="AP129" s="44"/>
      <c r="AQ129" s="45"/>
      <c r="AR129" s="44"/>
      <c r="AS129" s="45"/>
      <c r="AT129" s="44"/>
      <c r="AU129" s="45"/>
      <c r="AV129" s="44"/>
      <c r="AW129" s="45"/>
      <c r="AX129" s="44"/>
      <c r="AY129" s="45"/>
      <c r="AZ129" s="50"/>
      <c r="BA129" s="47"/>
      <c r="BB129" s="50"/>
      <c r="BC129" s="47"/>
      <c r="BD129" s="50"/>
      <c r="BE129" s="47"/>
      <c r="BF129" s="50"/>
      <c r="BG129" s="47"/>
      <c r="BH129" s="50"/>
      <c r="BI129" s="608" t="s">
        <v>307</v>
      </c>
      <c r="BJ129" s="326"/>
      <c r="BK129" s="326"/>
      <c r="BL129" s="326"/>
      <c r="BM129" s="326"/>
      <c r="BN129" s="326"/>
      <c r="BO129" s="326"/>
      <c r="BP129" s="326"/>
      <c r="BQ129" s="326"/>
      <c r="BR129" s="326"/>
      <c r="BS129" s="326"/>
      <c r="BT129" s="326"/>
      <c r="BU129" s="326"/>
      <c r="BV129" s="327"/>
    </row>
    <row r="130" spans="1:74" ht="30" customHeight="1" x14ac:dyDescent="0.25">
      <c r="A130" s="49">
        <f t="shared" si="0"/>
        <v>116</v>
      </c>
      <c r="B130" s="42" t="s">
        <v>334</v>
      </c>
      <c r="C130" s="43"/>
      <c r="D130" s="609"/>
      <c r="E130" s="326"/>
      <c r="F130" s="326"/>
      <c r="G130" s="326"/>
      <c r="H130" s="326"/>
      <c r="I130" s="326"/>
      <c r="J130" s="326"/>
      <c r="K130" s="327"/>
      <c r="L130" s="610"/>
      <c r="M130" s="326"/>
      <c r="N130" s="326"/>
      <c r="O130" s="327"/>
      <c r="P130" s="609"/>
      <c r="Q130" s="326"/>
      <c r="R130" s="326"/>
      <c r="S130" s="327"/>
      <c r="T130" s="610"/>
      <c r="U130" s="326"/>
      <c r="V130" s="326"/>
      <c r="W130" s="327"/>
      <c r="X130" s="609"/>
      <c r="Y130" s="326"/>
      <c r="Z130" s="326"/>
      <c r="AA130" s="327"/>
      <c r="AB130" s="451"/>
      <c r="AC130" s="326"/>
      <c r="AD130" s="327"/>
      <c r="AE130" s="526"/>
      <c r="AF130" s="326"/>
      <c r="AG130" s="327"/>
      <c r="AH130" s="607"/>
      <c r="AI130" s="326"/>
      <c r="AJ130" s="327"/>
      <c r="AK130" s="497"/>
      <c r="AL130" s="326"/>
      <c r="AM130" s="327"/>
      <c r="AN130" s="44"/>
      <c r="AO130" s="45"/>
      <c r="AP130" s="44"/>
      <c r="AQ130" s="45"/>
      <c r="AR130" s="44"/>
      <c r="AS130" s="45"/>
      <c r="AT130" s="44"/>
      <c r="AU130" s="45"/>
      <c r="AV130" s="44"/>
      <c r="AW130" s="45"/>
      <c r="AX130" s="44"/>
      <c r="AY130" s="45"/>
      <c r="AZ130" s="50"/>
      <c r="BA130" s="47"/>
      <c r="BB130" s="50"/>
      <c r="BC130" s="47"/>
      <c r="BD130" s="50"/>
      <c r="BE130" s="47"/>
      <c r="BF130" s="50"/>
      <c r="BG130" s="47"/>
      <c r="BH130" s="50"/>
      <c r="BI130" s="608" t="s">
        <v>307</v>
      </c>
      <c r="BJ130" s="326"/>
      <c r="BK130" s="326"/>
      <c r="BL130" s="326"/>
      <c r="BM130" s="326"/>
      <c r="BN130" s="326"/>
      <c r="BO130" s="326"/>
      <c r="BP130" s="326"/>
      <c r="BQ130" s="326"/>
      <c r="BR130" s="326"/>
      <c r="BS130" s="326"/>
      <c r="BT130" s="326"/>
      <c r="BU130" s="326"/>
      <c r="BV130" s="327"/>
    </row>
    <row r="131" spans="1:74" ht="30" customHeight="1" x14ac:dyDescent="0.25">
      <c r="A131" s="49">
        <f t="shared" si="0"/>
        <v>117</v>
      </c>
      <c r="B131" s="42" t="s">
        <v>334</v>
      </c>
      <c r="C131" s="43"/>
      <c r="D131" s="609"/>
      <c r="E131" s="326"/>
      <c r="F131" s="326"/>
      <c r="G131" s="326"/>
      <c r="H131" s="326"/>
      <c r="I131" s="326"/>
      <c r="J131" s="326"/>
      <c r="K131" s="327"/>
      <c r="L131" s="610"/>
      <c r="M131" s="326"/>
      <c r="N131" s="326"/>
      <c r="O131" s="327"/>
      <c r="P131" s="609"/>
      <c r="Q131" s="326"/>
      <c r="R131" s="326"/>
      <c r="S131" s="327"/>
      <c r="T131" s="610"/>
      <c r="U131" s="326"/>
      <c r="V131" s="326"/>
      <c r="W131" s="327"/>
      <c r="X131" s="609"/>
      <c r="Y131" s="326"/>
      <c r="Z131" s="326"/>
      <c r="AA131" s="327"/>
      <c r="AB131" s="451"/>
      <c r="AC131" s="326"/>
      <c r="AD131" s="327"/>
      <c r="AE131" s="526"/>
      <c r="AF131" s="326"/>
      <c r="AG131" s="327"/>
      <c r="AH131" s="607"/>
      <c r="AI131" s="326"/>
      <c r="AJ131" s="327"/>
      <c r="AK131" s="497"/>
      <c r="AL131" s="326"/>
      <c r="AM131" s="327"/>
      <c r="AN131" s="44"/>
      <c r="AO131" s="45"/>
      <c r="AP131" s="44"/>
      <c r="AQ131" s="45"/>
      <c r="AR131" s="44"/>
      <c r="AS131" s="45"/>
      <c r="AT131" s="44"/>
      <c r="AU131" s="45"/>
      <c r="AV131" s="44"/>
      <c r="AW131" s="45"/>
      <c r="AX131" s="44"/>
      <c r="AY131" s="45"/>
      <c r="AZ131" s="50"/>
      <c r="BA131" s="47"/>
      <c r="BB131" s="50"/>
      <c r="BC131" s="47"/>
      <c r="BD131" s="50"/>
      <c r="BE131" s="47"/>
      <c r="BF131" s="50"/>
      <c r="BG131" s="47"/>
      <c r="BH131" s="50"/>
      <c r="BI131" s="608" t="s">
        <v>303</v>
      </c>
      <c r="BJ131" s="326"/>
      <c r="BK131" s="326"/>
      <c r="BL131" s="326"/>
      <c r="BM131" s="326"/>
      <c r="BN131" s="326"/>
      <c r="BO131" s="326"/>
      <c r="BP131" s="326"/>
      <c r="BQ131" s="326"/>
      <c r="BR131" s="326"/>
      <c r="BS131" s="326"/>
      <c r="BT131" s="326"/>
      <c r="BU131" s="326"/>
      <c r="BV131" s="327"/>
    </row>
    <row r="132" spans="1:74" ht="30" customHeight="1" x14ac:dyDescent="0.25">
      <c r="A132" s="49">
        <f t="shared" si="0"/>
        <v>118</v>
      </c>
      <c r="B132" s="42" t="s">
        <v>334</v>
      </c>
      <c r="C132" s="43"/>
      <c r="D132" s="609"/>
      <c r="E132" s="326"/>
      <c r="F132" s="326"/>
      <c r="G132" s="326"/>
      <c r="H132" s="326"/>
      <c r="I132" s="326"/>
      <c r="J132" s="326"/>
      <c r="K132" s="327"/>
      <c r="L132" s="610"/>
      <c r="M132" s="326"/>
      <c r="N132" s="326"/>
      <c r="O132" s="327"/>
      <c r="P132" s="609"/>
      <c r="Q132" s="326"/>
      <c r="R132" s="326"/>
      <c r="S132" s="327"/>
      <c r="T132" s="610"/>
      <c r="U132" s="326"/>
      <c r="V132" s="326"/>
      <c r="W132" s="327"/>
      <c r="X132" s="609"/>
      <c r="Y132" s="326"/>
      <c r="Z132" s="326"/>
      <c r="AA132" s="327"/>
      <c r="AB132" s="451"/>
      <c r="AC132" s="326"/>
      <c r="AD132" s="327"/>
      <c r="AE132" s="526"/>
      <c r="AF132" s="326"/>
      <c r="AG132" s="327"/>
      <c r="AH132" s="607"/>
      <c r="AI132" s="326"/>
      <c r="AJ132" s="327"/>
      <c r="AK132" s="497"/>
      <c r="AL132" s="326"/>
      <c r="AM132" s="327"/>
      <c r="AN132" s="44"/>
      <c r="AO132" s="45"/>
      <c r="AP132" s="44"/>
      <c r="AQ132" s="45"/>
      <c r="AR132" s="44"/>
      <c r="AS132" s="45"/>
      <c r="AT132" s="44"/>
      <c r="AU132" s="45"/>
      <c r="AV132" s="44"/>
      <c r="AW132" s="45"/>
      <c r="AX132" s="44"/>
      <c r="AY132" s="45"/>
      <c r="AZ132" s="50"/>
      <c r="BA132" s="47"/>
      <c r="BB132" s="50"/>
      <c r="BC132" s="47"/>
      <c r="BD132" s="50"/>
      <c r="BE132" s="47"/>
      <c r="BF132" s="50"/>
      <c r="BG132" s="47"/>
      <c r="BH132" s="50"/>
      <c r="BI132" s="608" t="s">
        <v>303</v>
      </c>
      <c r="BJ132" s="326"/>
      <c r="BK132" s="326"/>
      <c r="BL132" s="326"/>
      <c r="BM132" s="326"/>
      <c r="BN132" s="326"/>
      <c r="BO132" s="326"/>
      <c r="BP132" s="326"/>
      <c r="BQ132" s="326"/>
      <c r="BR132" s="326"/>
      <c r="BS132" s="326"/>
      <c r="BT132" s="326"/>
      <c r="BU132" s="326"/>
      <c r="BV132" s="327"/>
    </row>
    <row r="133" spans="1:74" ht="30" customHeight="1" x14ac:dyDescent="0.25">
      <c r="A133" s="41">
        <f t="shared" si="0"/>
        <v>119</v>
      </c>
      <c r="B133" s="42" t="s">
        <v>334</v>
      </c>
      <c r="C133" s="43"/>
      <c r="D133" s="609"/>
      <c r="E133" s="326"/>
      <c r="F133" s="326"/>
      <c r="G133" s="326"/>
      <c r="H133" s="326"/>
      <c r="I133" s="326"/>
      <c r="J133" s="326"/>
      <c r="K133" s="327"/>
      <c r="L133" s="610"/>
      <c r="M133" s="326"/>
      <c r="N133" s="326"/>
      <c r="O133" s="327"/>
      <c r="P133" s="609"/>
      <c r="Q133" s="326"/>
      <c r="R133" s="326"/>
      <c r="S133" s="327"/>
      <c r="T133" s="610"/>
      <c r="U133" s="326"/>
      <c r="V133" s="326"/>
      <c r="W133" s="327"/>
      <c r="X133" s="609"/>
      <c r="Y133" s="326"/>
      <c r="Z133" s="326"/>
      <c r="AA133" s="327"/>
      <c r="AB133" s="451"/>
      <c r="AC133" s="326"/>
      <c r="AD133" s="327"/>
      <c r="AE133" s="526"/>
      <c r="AF133" s="326"/>
      <c r="AG133" s="327"/>
      <c r="AH133" s="607"/>
      <c r="AI133" s="326"/>
      <c r="AJ133" s="327"/>
      <c r="AK133" s="497"/>
      <c r="AL133" s="326"/>
      <c r="AM133" s="327"/>
      <c r="AN133" s="44"/>
      <c r="AO133" s="45"/>
      <c r="AP133" s="44"/>
      <c r="AQ133" s="45"/>
      <c r="AR133" s="44"/>
      <c r="AS133" s="45"/>
      <c r="AT133" s="44"/>
      <c r="AU133" s="45"/>
      <c r="AV133" s="44"/>
      <c r="AW133" s="45"/>
      <c r="AX133" s="44"/>
      <c r="AY133" s="45"/>
      <c r="AZ133" s="50"/>
      <c r="BA133" s="47"/>
      <c r="BB133" s="50"/>
      <c r="BC133" s="47"/>
      <c r="BD133" s="50"/>
      <c r="BE133" s="47"/>
      <c r="BF133" s="50"/>
      <c r="BG133" s="47"/>
      <c r="BH133" s="50"/>
      <c r="BI133" s="608" t="s">
        <v>307</v>
      </c>
      <c r="BJ133" s="326"/>
      <c r="BK133" s="326"/>
      <c r="BL133" s="326"/>
      <c r="BM133" s="326"/>
      <c r="BN133" s="326"/>
      <c r="BO133" s="326"/>
      <c r="BP133" s="326"/>
      <c r="BQ133" s="326"/>
      <c r="BR133" s="326"/>
      <c r="BS133" s="326"/>
      <c r="BT133" s="326"/>
      <c r="BU133" s="326"/>
      <c r="BV133" s="327"/>
    </row>
    <row r="134" spans="1:74" ht="30" customHeight="1" x14ac:dyDescent="0.25">
      <c r="A134" s="49">
        <f t="shared" si="0"/>
        <v>120</v>
      </c>
      <c r="B134" s="42" t="s">
        <v>334</v>
      </c>
      <c r="C134" s="43"/>
      <c r="D134" s="609"/>
      <c r="E134" s="326"/>
      <c r="F134" s="326"/>
      <c r="G134" s="326"/>
      <c r="H134" s="326"/>
      <c r="I134" s="326"/>
      <c r="J134" s="326"/>
      <c r="K134" s="327"/>
      <c r="L134" s="610"/>
      <c r="M134" s="326"/>
      <c r="N134" s="326"/>
      <c r="O134" s="327"/>
      <c r="P134" s="609"/>
      <c r="Q134" s="326"/>
      <c r="R134" s="326"/>
      <c r="S134" s="327"/>
      <c r="T134" s="610"/>
      <c r="U134" s="326"/>
      <c r="V134" s="326"/>
      <c r="W134" s="327"/>
      <c r="X134" s="609"/>
      <c r="Y134" s="326"/>
      <c r="Z134" s="326"/>
      <c r="AA134" s="327"/>
      <c r="AB134" s="451"/>
      <c r="AC134" s="326"/>
      <c r="AD134" s="327"/>
      <c r="AE134" s="526"/>
      <c r="AF134" s="326"/>
      <c r="AG134" s="327"/>
      <c r="AH134" s="607"/>
      <c r="AI134" s="326"/>
      <c r="AJ134" s="327"/>
      <c r="AK134" s="497"/>
      <c r="AL134" s="326"/>
      <c r="AM134" s="327"/>
      <c r="AN134" s="44"/>
      <c r="AO134" s="45"/>
      <c r="AP134" s="44"/>
      <c r="AQ134" s="45"/>
      <c r="AR134" s="44"/>
      <c r="AS134" s="45"/>
      <c r="AT134" s="44"/>
      <c r="AU134" s="45"/>
      <c r="AV134" s="44"/>
      <c r="AW134" s="45"/>
      <c r="AX134" s="44"/>
      <c r="AY134" s="45"/>
      <c r="AZ134" s="50"/>
      <c r="BA134" s="47"/>
      <c r="BB134" s="50"/>
      <c r="BC134" s="47"/>
      <c r="BD134" s="50"/>
      <c r="BE134" s="47"/>
      <c r="BF134" s="50"/>
      <c r="BG134" s="47"/>
      <c r="BH134" s="50"/>
      <c r="BI134" s="608" t="s">
        <v>307</v>
      </c>
      <c r="BJ134" s="326"/>
      <c r="BK134" s="326"/>
      <c r="BL134" s="326"/>
      <c r="BM134" s="326"/>
      <c r="BN134" s="326"/>
      <c r="BO134" s="326"/>
      <c r="BP134" s="326"/>
      <c r="BQ134" s="326"/>
      <c r="BR134" s="326"/>
      <c r="BS134" s="326"/>
      <c r="BT134" s="326"/>
      <c r="BU134" s="326"/>
      <c r="BV134" s="327"/>
    </row>
    <row r="135" spans="1:74" ht="30" customHeight="1" x14ac:dyDescent="0.25">
      <c r="A135" s="49">
        <f t="shared" si="0"/>
        <v>121</v>
      </c>
      <c r="B135" s="42" t="s">
        <v>334</v>
      </c>
      <c r="C135" s="43"/>
      <c r="D135" s="609"/>
      <c r="E135" s="326"/>
      <c r="F135" s="326"/>
      <c r="G135" s="326"/>
      <c r="H135" s="326"/>
      <c r="I135" s="326"/>
      <c r="J135" s="326"/>
      <c r="K135" s="327"/>
      <c r="L135" s="610"/>
      <c r="M135" s="326"/>
      <c r="N135" s="326"/>
      <c r="O135" s="327"/>
      <c r="P135" s="609"/>
      <c r="Q135" s="326"/>
      <c r="R135" s="326"/>
      <c r="S135" s="327"/>
      <c r="T135" s="610"/>
      <c r="U135" s="326"/>
      <c r="V135" s="326"/>
      <c r="W135" s="327"/>
      <c r="X135" s="609"/>
      <c r="Y135" s="326"/>
      <c r="Z135" s="326"/>
      <c r="AA135" s="327"/>
      <c r="AB135" s="451"/>
      <c r="AC135" s="326"/>
      <c r="AD135" s="327"/>
      <c r="AE135" s="526"/>
      <c r="AF135" s="326"/>
      <c r="AG135" s="327"/>
      <c r="AH135" s="607"/>
      <c r="AI135" s="326"/>
      <c r="AJ135" s="327"/>
      <c r="AK135" s="497"/>
      <c r="AL135" s="326"/>
      <c r="AM135" s="327"/>
      <c r="AN135" s="44"/>
      <c r="AO135" s="45"/>
      <c r="AP135" s="44"/>
      <c r="AQ135" s="45"/>
      <c r="AR135" s="44"/>
      <c r="AS135" s="45"/>
      <c r="AT135" s="44"/>
      <c r="AU135" s="45"/>
      <c r="AV135" s="44"/>
      <c r="AW135" s="45"/>
      <c r="AX135" s="44"/>
      <c r="AY135" s="45"/>
      <c r="AZ135" s="50"/>
      <c r="BA135" s="47"/>
      <c r="BB135" s="50"/>
      <c r="BC135" s="47"/>
      <c r="BD135" s="50"/>
      <c r="BE135" s="47"/>
      <c r="BF135" s="50"/>
      <c r="BG135" s="47"/>
      <c r="BH135" s="50"/>
      <c r="BI135" s="608" t="s">
        <v>307</v>
      </c>
      <c r="BJ135" s="326"/>
      <c r="BK135" s="326"/>
      <c r="BL135" s="326"/>
      <c r="BM135" s="326"/>
      <c r="BN135" s="326"/>
      <c r="BO135" s="326"/>
      <c r="BP135" s="326"/>
      <c r="BQ135" s="326"/>
      <c r="BR135" s="326"/>
      <c r="BS135" s="326"/>
      <c r="BT135" s="326"/>
      <c r="BU135" s="326"/>
      <c r="BV135" s="327"/>
    </row>
    <row r="136" spans="1:74" ht="30" customHeight="1" x14ac:dyDescent="0.25">
      <c r="A136" s="49">
        <f t="shared" si="0"/>
        <v>122</v>
      </c>
      <c r="B136" s="42" t="s">
        <v>334</v>
      </c>
      <c r="C136" s="43"/>
      <c r="D136" s="609"/>
      <c r="E136" s="326"/>
      <c r="F136" s="326"/>
      <c r="G136" s="326"/>
      <c r="H136" s="326"/>
      <c r="I136" s="326"/>
      <c r="J136" s="326"/>
      <c r="K136" s="327"/>
      <c r="L136" s="610"/>
      <c r="M136" s="326"/>
      <c r="N136" s="326"/>
      <c r="O136" s="327"/>
      <c r="P136" s="609"/>
      <c r="Q136" s="326"/>
      <c r="R136" s="326"/>
      <c r="S136" s="327"/>
      <c r="T136" s="610"/>
      <c r="U136" s="326"/>
      <c r="V136" s="326"/>
      <c r="W136" s="327"/>
      <c r="X136" s="609"/>
      <c r="Y136" s="326"/>
      <c r="Z136" s="326"/>
      <c r="AA136" s="327"/>
      <c r="AB136" s="451"/>
      <c r="AC136" s="326"/>
      <c r="AD136" s="327"/>
      <c r="AE136" s="526"/>
      <c r="AF136" s="326"/>
      <c r="AG136" s="327"/>
      <c r="AH136" s="607"/>
      <c r="AI136" s="326"/>
      <c r="AJ136" s="327"/>
      <c r="AK136" s="497"/>
      <c r="AL136" s="326"/>
      <c r="AM136" s="327"/>
      <c r="AN136" s="44"/>
      <c r="AO136" s="45"/>
      <c r="AP136" s="44"/>
      <c r="AQ136" s="45"/>
      <c r="AR136" s="44"/>
      <c r="AS136" s="45"/>
      <c r="AT136" s="44"/>
      <c r="AU136" s="45"/>
      <c r="AV136" s="44"/>
      <c r="AW136" s="45"/>
      <c r="AX136" s="44"/>
      <c r="AY136" s="45"/>
      <c r="AZ136" s="50"/>
      <c r="BA136" s="47"/>
      <c r="BB136" s="50"/>
      <c r="BC136" s="47"/>
      <c r="BD136" s="50"/>
      <c r="BE136" s="47"/>
      <c r="BF136" s="50"/>
      <c r="BG136" s="47"/>
      <c r="BH136" s="50"/>
      <c r="BI136" s="608" t="s">
        <v>307</v>
      </c>
      <c r="BJ136" s="326"/>
      <c r="BK136" s="326"/>
      <c r="BL136" s="326"/>
      <c r="BM136" s="326"/>
      <c r="BN136" s="326"/>
      <c r="BO136" s="326"/>
      <c r="BP136" s="326"/>
      <c r="BQ136" s="326"/>
      <c r="BR136" s="326"/>
      <c r="BS136" s="326"/>
      <c r="BT136" s="326"/>
      <c r="BU136" s="326"/>
      <c r="BV136" s="327"/>
    </row>
    <row r="137" spans="1:74" ht="30" customHeight="1" x14ac:dyDescent="0.25">
      <c r="A137" s="49">
        <f t="shared" si="0"/>
        <v>123</v>
      </c>
      <c r="B137" s="42" t="s">
        <v>334</v>
      </c>
      <c r="C137" s="43"/>
      <c r="D137" s="609"/>
      <c r="E137" s="326"/>
      <c r="F137" s="326"/>
      <c r="G137" s="326"/>
      <c r="H137" s="326"/>
      <c r="I137" s="326"/>
      <c r="J137" s="326"/>
      <c r="K137" s="327"/>
      <c r="L137" s="610"/>
      <c r="M137" s="326"/>
      <c r="N137" s="326"/>
      <c r="O137" s="327"/>
      <c r="P137" s="609"/>
      <c r="Q137" s="326"/>
      <c r="R137" s="326"/>
      <c r="S137" s="327"/>
      <c r="T137" s="610"/>
      <c r="U137" s="326"/>
      <c r="V137" s="326"/>
      <c r="W137" s="327"/>
      <c r="X137" s="609"/>
      <c r="Y137" s="326"/>
      <c r="Z137" s="326"/>
      <c r="AA137" s="327"/>
      <c r="AB137" s="451"/>
      <c r="AC137" s="326"/>
      <c r="AD137" s="327"/>
      <c r="AE137" s="526"/>
      <c r="AF137" s="326"/>
      <c r="AG137" s="327"/>
      <c r="AH137" s="607"/>
      <c r="AI137" s="326"/>
      <c r="AJ137" s="327"/>
      <c r="AK137" s="497"/>
      <c r="AL137" s="326"/>
      <c r="AM137" s="327"/>
      <c r="AN137" s="44"/>
      <c r="AO137" s="45"/>
      <c r="AP137" s="44"/>
      <c r="AQ137" s="45"/>
      <c r="AR137" s="44"/>
      <c r="AS137" s="45"/>
      <c r="AT137" s="44"/>
      <c r="AU137" s="45"/>
      <c r="AV137" s="44"/>
      <c r="AW137" s="45"/>
      <c r="AX137" s="44"/>
      <c r="AY137" s="45"/>
      <c r="AZ137" s="50"/>
      <c r="BA137" s="47"/>
      <c r="BB137" s="50"/>
      <c r="BC137" s="47"/>
      <c r="BD137" s="50"/>
      <c r="BE137" s="47"/>
      <c r="BF137" s="50"/>
      <c r="BG137" s="47"/>
      <c r="BH137" s="50"/>
      <c r="BI137" s="608" t="s">
        <v>307</v>
      </c>
      <c r="BJ137" s="326"/>
      <c r="BK137" s="326"/>
      <c r="BL137" s="326"/>
      <c r="BM137" s="326"/>
      <c r="BN137" s="326"/>
      <c r="BO137" s="326"/>
      <c r="BP137" s="326"/>
      <c r="BQ137" s="326"/>
      <c r="BR137" s="326"/>
      <c r="BS137" s="326"/>
      <c r="BT137" s="326"/>
      <c r="BU137" s="326"/>
      <c r="BV137" s="327"/>
    </row>
    <row r="138" spans="1:74" ht="30" customHeight="1" x14ac:dyDescent="0.25">
      <c r="A138" s="49">
        <f t="shared" si="0"/>
        <v>124</v>
      </c>
      <c r="B138" s="42" t="s">
        <v>334</v>
      </c>
      <c r="C138" s="43"/>
      <c r="D138" s="609"/>
      <c r="E138" s="326"/>
      <c r="F138" s="326"/>
      <c r="G138" s="326"/>
      <c r="H138" s="326"/>
      <c r="I138" s="326"/>
      <c r="J138" s="326"/>
      <c r="K138" s="327"/>
      <c r="L138" s="610"/>
      <c r="M138" s="326"/>
      <c r="N138" s="326"/>
      <c r="O138" s="327"/>
      <c r="P138" s="609"/>
      <c r="Q138" s="326"/>
      <c r="R138" s="326"/>
      <c r="S138" s="327"/>
      <c r="T138" s="610"/>
      <c r="U138" s="326"/>
      <c r="V138" s="326"/>
      <c r="W138" s="327"/>
      <c r="X138" s="609"/>
      <c r="Y138" s="326"/>
      <c r="Z138" s="326"/>
      <c r="AA138" s="327"/>
      <c r="AB138" s="451"/>
      <c r="AC138" s="326"/>
      <c r="AD138" s="327"/>
      <c r="AE138" s="526"/>
      <c r="AF138" s="326"/>
      <c r="AG138" s="327"/>
      <c r="AH138" s="607"/>
      <c r="AI138" s="326"/>
      <c r="AJ138" s="327"/>
      <c r="AK138" s="497"/>
      <c r="AL138" s="326"/>
      <c r="AM138" s="327"/>
      <c r="AN138" s="44"/>
      <c r="AO138" s="45"/>
      <c r="AP138" s="44"/>
      <c r="AQ138" s="45"/>
      <c r="AR138" s="44"/>
      <c r="AS138" s="45"/>
      <c r="AT138" s="44"/>
      <c r="AU138" s="45"/>
      <c r="AV138" s="44"/>
      <c r="AW138" s="45"/>
      <c r="AX138" s="44"/>
      <c r="AY138" s="45"/>
      <c r="AZ138" s="50"/>
      <c r="BA138" s="47"/>
      <c r="BB138" s="50"/>
      <c r="BC138" s="47"/>
      <c r="BD138" s="50"/>
      <c r="BE138" s="47"/>
      <c r="BF138" s="50"/>
      <c r="BG138" s="47"/>
      <c r="BH138" s="50"/>
      <c r="BI138" s="608" t="s">
        <v>303</v>
      </c>
      <c r="BJ138" s="326"/>
      <c r="BK138" s="326"/>
      <c r="BL138" s="326"/>
      <c r="BM138" s="326"/>
      <c r="BN138" s="326"/>
      <c r="BO138" s="326"/>
      <c r="BP138" s="326"/>
      <c r="BQ138" s="326"/>
      <c r="BR138" s="326"/>
      <c r="BS138" s="326"/>
      <c r="BT138" s="326"/>
      <c r="BU138" s="326"/>
      <c r="BV138" s="327"/>
    </row>
    <row r="139" spans="1:74" ht="30" customHeight="1" x14ac:dyDescent="0.25">
      <c r="A139" s="49">
        <f t="shared" si="0"/>
        <v>125</v>
      </c>
      <c r="B139" s="42" t="s">
        <v>334</v>
      </c>
      <c r="C139" s="43"/>
      <c r="D139" s="609"/>
      <c r="E139" s="326"/>
      <c r="F139" s="326"/>
      <c r="G139" s="326"/>
      <c r="H139" s="326"/>
      <c r="I139" s="326"/>
      <c r="J139" s="326"/>
      <c r="K139" s="327"/>
      <c r="L139" s="610"/>
      <c r="M139" s="326"/>
      <c r="N139" s="326"/>
      <c r="O139" s="327"/>
      <c r="P139" s="609"/>
      <c r="Q139" s="326"/>
      <c r="R139" s="326"/>
      <c r="S139" s="327"/>
      <c r="T139" s="610"/>
      <c r="U139" s="326"/>
      <c r="V139" s="326"/>
      <c r="W139" s="327"/>
      <c r="X139" s="609"/>
      <c r="Y139" s="326"/>
      <c r="Z139" s="326"/>
      <c r="AA139" s="327"/>
      <c r="AB139" s="451"/>
      <c r="AC139" s="326"/>
      <c r="AD139" s="327"/>
      <c r="AE139" s="526"/>
      <c r="AF139" s="326"/>
      <c r="AG139" s="327"/>
      <c r="AH139" s="607"/>
      <c r="AI139" s="326"/>
      <c r="AJ139" s="327"/>
      <c r="AK139" s="497"/>
      <c r="AL139" s="326"/>
      <c r="AM139" s="327"/>
      <c r="AN139" s="44"/>
      <c r="AO139" s="45"/>
      <c r="AP139" s="44"/>
      <c r="AQ139" s="45"/>
      <c r="AR139" s="44"/>
      <c r="AS139" s="45"/>
      <c r="AT139" s="44"/>
      <c r="AU139" s="45"/>
      <c r="AV139" s="44"/>
      <c r="AW139" s="45"/>
      <c r="AX139" s="44"/>
      <c r="AY139" s="45"/>
      <c r="AZ139" s="50"/>
      <c r="BA139" s="47"/>
      <c r="BB139" s="50"/>
      <c r="BC139" s="47"/>
      <c r="BD139" s="50"/>
      <c r="BE139" s="47"/>
      <c r="BF139" s="50"/>
      <c r="BG139" s="47"/>
      <c r="BH139" s="50"/>
      <c r="BI139" s="608" t="s">
        <v>303</v>
      </c>
      <c r="BJ139" s="326"/>
      <c r="BK139" s="326"/>
      <c r="BL139" s="326"/>
      <c r="BM139" s="326"/>
      <c r="BN139" s="326"/>
      <c r="BO139" s="326"/>
      <c r="BP139" s="326"/>
      <c r="BQ139" s="326"/>
      <c r="BR139" s="326"/>
      <c r="BS139" s="326"/>
      <c r="BT139" s="326"/>
      <c r="BU139" s="326"/>
      <c r="BV139" s="327"/>
    </row>
    <row r="140" spans="1:74" ht="30" customHeight="1" x14ac:dyDescent="0.25">
      <c r="A140" s="41">
        <f t="shared" si="0"/>
        <v>126</v>
      </c>
      <c r="B140" s="42" t="s">
        <v>334</v>
      </c>
      <c r="C140" s="43"/>
      <c r="D140" s="609"/>
      <c r="E140" s="326"/>
      <c r="F140" s="326"/>
      <c r="G140" s="326"/>
      <c r="H140" s="326"/>
      <c r="I140" s="326"/>
      <c r="J140" s="326"/>
      <c r="K140" s="327"/>
      <c r="L140" s="610"/>
      <c r="M140" s="326"/>
      <c r="N140" s="326"/>
      <c r="O140" s="327"/>
      <c r="P140" s="609"/>
      <c r="Q140" s="326"/>
      <c r="R140" s="326"/>
      <c r="S140" s="327"/>
      <c r="T140" s="610"/>
      <c r="U140" s="326"/>
      <c r="V140" s="326"/>
      <c r="W140" s="327"/>
      <c r="X140" s="609"/>
      <c r="Y140" s="326"/>
      <c r="Z140" s="326"/>
      <c r="AA140" s="327"/>
      <c r="AB140" s="451"/>
      <c r="AC140" s="326"/>
      <c r="AD140" s="327"/>
      <c r="AE140" s="526"/>
      <c r="AF140" s="326"/>
      <c r="AG140" s="327"/>
      <c r="AH140" s="607"/>
      <c r="AI140" s="326"/>
      <c r="AJ140" s="327"/>
      <c r="AK140" s="497"/>
      <c r="AL140" s="326"/>
      <c r="AM140" s="327"/>
      <c r="AN140" s="44"/>
      <c r="AO140" s="45"/>
      <c r="AP140" s="44"/>
      <c r="AQ140" s="45"/>
      <c r="AR140" s="44"/>
      <c r="AS140" s="45"/>
      <c r="AT140" s="44"/>
      <c r="AU140" s="45"/>
      <c r="AV140" s="44"/>
      <c r="AW140" s="45"/>
      <c r="AX140" s="44"/>
      <c r="AY140" s="45"/>
      <c r="AZ140" s="50"/>
      <c r="BA140" s="47"/>
      <c r="BB140" s="50"/>
      <c r="BC140" s="47"/>
      <c r="BD140" s="50"/>
      <c r="BE140" s="47"/>
      <c r="BF140" s="50"/>
      <c r="BG140" s="47"/>
      <c r="BH140" s="50"/>
      <c r="BI140" s="608" t="s">
        <v>307</v>
      </c>
      <c r="BJ140" s="326"/>
      <c r="BK140" s="326"/>
      <c r="BL140" s="326"/>
      <c r="BM140" s="326"/>
      <c r="BN140" s="326"/>
      <c r="BO140" s="326"/>
      <c r="BP140" s="326"/>
      <c r="BQ140" s="326"/>
      <c r="BR140" s="326"/>
      <c r="BS140" s="326"/>
      <c r="BT140" s="326"/>
      <c r="BU140" s="326"/>
      <c r="BV140" s="327"/>
    </row>
    <row r="141" spans="1:74" ht="30" customHeight="1" x14ac:dyDescent="0.25">
      <c r="A141" s="49">
        <f t="shared" si="0"/>
        <v>127</v>
      </c>
      <c r="B141" s="42" t="s">
        <v>334</v>
      </c>
      <c r="C141" s="43"/>
      <c r="D141" s="609"/>
      <c r="E141" s="326"/>
      <c r="F141" s="326"/>
      <c r="G141" s="326"/>
      <c r="H141" s="326"/>
      <c r="I141" s="326"/>
      <c r="J141" s="326"/>
      <c r="K141" s="327"/>
      <c r="L141" s="610"/>
      <c r="M141" s="326"/>
      <c r="N141" s="326"/>
      <c r="O141" s="327"/>
      <c r="P141" s="609"/>
      <c r="Q141" s="326"/>
      <c r="R141" s="326"/>
      <c r="S141" s="327"/>
      <c r="T141" s="610"/>
      <c r="U141" s="326"/>
      <c r="V141" s="326"/>
      <c r="W141" s="327"/>
      <c r="X141" s="609"/>
      <c r="Y141" s="326"/>
      <c r="Z141" s="326"/>
      <c r="AA141" s="327"/>
      <c r="AB141" s="451"/>
      <c r="AC141" s="326"/>
      <c r="AD141" s="327"/>
      <c r="AE141" s="526"/>
      <c r="AF141" s="326"/>
      <c r="AG141" s="327"/>
      <c r="AH141" s="607"/>
      <c r="AI141" s="326"/>
      <c r="AJ141" s="327"/>
      <c r="AK141" s="497"/>
      <c r="AL141" s="326"/>
      <c r="AM141" s="327"/>
      <c r="AN141" s="44"/>
      <c r="AO141" s="45"/>
      <c r="AP141" s="44"/>
      <c r="AQ141" s="45"/>
      <c r="AR141" s="44"/>
      <c r="AS141" s="45"/>
      <c r="AT141" s="44"/>
      <c r="AU141" s="45"/>
      <c r="AV141" s="44"/>
      <c r="AW141" s="45"/>
      <c r="AX141" s="44"/>
      <c r="AY141" s="45"/>
      <c r="AZ141" s="50"/>
      <c r="BA141" s="47"/>
      <c r="BB141" s="50"/>
      <c r="BC141" s="47"/>
      <c r="BD141" s="50"/>
      <c r="BE141" s="47"/>
      <c r="BF141" s="50"/>
      <c r="BG141" s="47"/>
      <c r="BH141" s="50"/>
      <c r="BI141" s="608" t="s">
        <v>307</v>
      </c>
      <c r="BJ141" s="326"/>
      <c r="BK141" s="326"/>
      <c r="BL141" s="326"/>
      <c r="BM141" s="326"/>
      <c r="BN141" s="326"/>
      <c r="BO141" s="326"/>
      <c r="BP141" s="326"/>
      <c r="BQ141" s="326"/>
      <c r="BR141" s="326"/>
      <c r="BS141" s="326"/>
      <c r="BT141" s="326"/>
      <c r="BU141" s="326"/>
      <c r="BV141" s="327"/>
    </row>
    <row r="142" spans="1:74" ht="30" customHeight="1" x14ac:dyDescent="0.25">
      <c r="A142" s="49">
        <f t="shared" si="0"/>
        <v>128</v>
      </c>
      <c r="B142" s="42" t="s">
        <v>334</v>
      </c>
      <c r="C142" s="43"/>
      <c r="D142" s="609"/>
      <c r="E142" s="326"/>
      <c r="F142" s="326"/>
      <c r="G142" s="326"/>
      <c r="H142" s="326"/>
      <c r="I142" s="326"/>
      <c r="J142" s="326"/>
      <c r="K142" s="327"/>
      <c r="L142" s="610"/>
      <c r="M142" s="326"/>
      <c r="N142" s="326"/>
      <c r="O142" s="327"/>
      <c r="P142" s="609"/>
      <c r="Q142" s="326"/>
      <c r="R142" s="326"/>
      <c r="S142" s="327"/>
      <c r="T142" s="610"/>
      <c r="U142" s="326"/>
      <c r="V142" s="326"/>
      <c r="W142" s="327"/>
      <c r="X142" s="609"/>
      <c r="Y142" s="326"/>
      <c r="Z142" s="326"/>
      <c r="AA142" s="327"/>
      <c r="AB142" s="451"/>
      <c r="AC142" s="326"/>
      <c r="AD142" s="327"/>
      <c r="AE142" s="526"/>
      <c r="AF142" s="326"/>
      <c r="AG142" s="327"/>
      <c r="AH142" s="607"/>
      <c r="AI142" s="326"/>
      <c r="AJ142" s="327"/>
      <c r="AK142" s="497"/>
      <c r="AL142" s="326"/>
      <c r="AM142" s="327"/>
      <c r="AN142" s="44"/>
      <c r="AO142" s="45"/>
      <c r="AP142" s="44"/>
      <c r="AQ142" s="45"/>
      <c r="AR142" s="44"/>
      <c r="AS142" s="45"/>
      <c r="AT142" s="44"/>
      <c r="AU142" s="45"/>
      <c r="AV142" s="44"/>
      <c r="AW142" s="45"/>
      <c r="AX142" s="44"/>
      <c r="AY142" s="45"/>
      <c r="AZ142" s="50"/>
      <c r="BA142" s="47"/>
      <c r="BB142" s="50"/>
      <c r="BC142" s="47"/>
      <c r="BD142" s="50"/>
      <c r="BE142" s="47"/>
      <c r="BF142" s="50"/>
      <c r="BG142" s="47"/>
      <c r="BH142" s="50"/>
      <c r="BI142" s="608" t="s">
        <v>307</v>
      </c>
      <c r="BJ142" s="326"/>
      <c r="BK142" s="326"/>
      <c r="BL142" s="326"/>
      <c r="BM142" s="326"/>
      <c r="BN142" s="326"/>
      <c r="BO142" s="326"/>
      <c r="BP142" s="326"/>
      <c r="BQ142" s="326"/>
      <c r="BR142" s="326"/>
      <c r="BS142" s="326"/>
      <c r="BT142" s="326"/>
      <c r="BU142" s="326"/>
      <c r="BV142" s="327"/>
    </row>
    <row r="143" spans="1:74" ht="30" customHeight="1" x14ac:dyDescent="0.25">
      <c r="A143" s="49">
        <f t="shared" si="0"/>
        <v>129</v>
      </c>
      <c r="B143" s="42" t="s">
        <v>334</v>
      </c>
      <c r="C143" s="43"/>
      <c r="D143" s="609"/>
      <c r="E143" s="326"/>
      <c r="F143" s="326"/>
      <c r="G143" s="326"/>
      <c r="H143" s="326"/>
      <c r="I143" s="326"/>
      <c r="J143" s="326"/>
      <c r="K143" s="327"/>
      <c r="L143" s="610"/>
      <c r="M143" s="326"/>
      <c r="N143" s="326"/>
      <c r="O143" s="327"/>
      <c r="P143" s="609"/>
      <c r="Q143" s="326"/>
      <c r="R143" s="326"/>
      <c r="S143" s="327"/>
      <c r="T143" s="610"/>
      <c r="U143" s="326"/>
      <c r="V143" s="326"/>
      <c r="W143" s="327"/>
      <c r="X143" s="609"/>
      <c r="Y143" s="326"/>
      <c r="Z143" s="326"/>
      <c r="AA143" s="327"/>
      <c r="AB143" s="451"/>
      <c r="AC143" s="326"/>
      <c r="AD143" s="327"/>
      <c r="AE143" s="526"/>
      <c r="AF143" s="326"/>
      <c r="AG143" s="327"/>
      <c r="AH143" s="607"/>
      <c r="AI143" s="326"/>
      <c r="AJ143" s="327"/>
      <c r="AK143" s="497"/>
      <c r="AL143" s="326"/>
      <c r="AM143" s="327"/>
      <c r="AN143" s="44"/>
      <c r="AO143" s="45"/>
      <c r="AP143" s="44"/>
      <c r="AQ143" s="45"/>
      <c r="AR143" s="44"/>
      <c r="AS143" s="45"/>
      <c r="AT143" s="44"/>
      <c r="AU143" s="45"/>
      <c r="AV143" s="44"/>
      <c r="AW143" s="45"/>
      <c r="AX143" s="44"/>
      <c r="AY143" s="45"/>
      <c r="AZ143" s="50"/>
      <c r="BA143" s="47"/>
      <c r="BB143" s="50"/>
      <c r="BC143" s="47"/>
      <c r="BD143" s="50"/>
      <c r="BE143" s="47"/>
      <c r="BF143" s="50"/>
      <c r="BG143" s="47"/>
      <c r="BH143" s="50"/>
      <c r="BI143" s="608" t="s">
        <v>307</v>
      </c>
      <c r="BJ143" s="326"/>
      <c r="BK143" s="326"/>
      <c r="BL143" s="326"/>
      <c r="BM143" s="326"/>
      <c r="BN143" s="326"/>
      <c r="BO143" s="326"/>
      <c r="BP143" s="326"/>
      <c r="BQ143" s="326"/>
      <c r="BR143" s="326"/>
      <c r="BS143" s="326"/>
      <c r="BT143" s="326"/>
      <c r="BU143" s="326"/>
      <c r="BV143" s="327"/>
    </row>
    <row r="144" spans="1:74" ht="30" customHeight="1" x14ac:dyDescent="0.25">
      <c r="A144" s="49">
        <f t="shared" si="0"/>
        <v>130</v>
      </c>
      <c r="B144" s="42" t="s">
        <v>334</v>
      </c>
      <c r="C144" s="43"/>
      <c r="D144" s="609"/>
      <c r="E144" s="326"/>
      <c r="F144" s="326"/>
      <c r="G144" s="326"/>
      <c r="H144" s="326"/>
      <c r="I144" s="326"/>
      <c r="J144" s="326"/>
      <c r="K144" s="327"/>
      <c r="L144" s="610"/>
      <c r="M144" s="326"/>
      <c r="N144" s="326"/>
      <c r="O144" s="327"/>
      <c r="P144" s="609"/>
      <c r="Q144" s="326"/>
      <c r="R144" s="326"/>
      <c r="S144" s="327"/>
      <c r="T144" s="610"/>
      <c r="U144" s="326"/>
      <c r="V144" s="326"/>
      <c r="W144" s="327"/>
      <c r="X144" s="609"/>
      <c r="Y144" s="326"/>
      <c r="Z144" s="326"/>
      <c r="AA144" s="327"/>
      <c r="AB144" s="451"/>
      <c r="AC144" s="326"/>
      <c r="AD144" s="327"/>
      <c r="AE144" s="526"/>
      <c r="AF144" s="326"/>
      <c r="AG144" s="327"/>
      <c r="AH144" s="607"/>
      <c r="AI144" s="326"/>
      <c r="AJ144" s="327"/>
      <c r="AK144" s="497"/>
      <c r="AL144" s="326"/>
      <c r="AM144" s="327"/>
      <c r="AN144" s="44"/>
      <c r="AO144" s="45"/>
      <c r="AP144" s="44"/>
      <c r="AQ144" s="45"/>
      <c r="AR144" s="44"/>
      <c r="AS144" s="45"/>
      <c r="AT144" s="44"/>
      <c r="AU144" s="45"/>
      <c r="AV144" s="44"/>
      <c r="AW144" s="45"/>
      <c r="AX144" s="44"/>
      <c r="AY144" s="45"/>
      <c r="AZ144" s="50"/>
      <c r="BA144" s="47"/>
      <c r="BB144" s="50"/>
      <c r="BC144" s="47"/>
      <c r="BD144" s="50"/>
      <c r="BE144" s="47"/>
      <c r="BF144" s="50"/>
      <c r="BG144" s="47"/>
      <c r="BH144" s="50"/>
      <c r="BI144" s="608" t="s">
        <v>307</v>
      </c>
      <c r="BJ144" s="326"/>
      <c r="BK144" s="326"/>
      <c r="BL144" s="326"/>
      <c r="BM144" s="326"/>
      <c r="BN144" s="326"/>
      <c r="BO144" s="326"/>
      <c r="BP144" s="326"/>
      <c r="BQ144" s="326"/>
      <c r="BR144" s="326"/>
      <c r="BS144" s="326"/>
      <c r="BT144" s="326"/>
      <c r="BU144" s="326"/>
      <c r="BV144" s="327"/>
    </row>
    <row r="145" spans="1:74" ht="30" customHeight="1" x14ac:dyDescent="0.25">
      <c r="A145" s="49">
        <f t="shared" si="0"/>
        <v>131</v>
      </c>
      <c r="B145" s="42" t="s">
        <v>334</v>
      </c>
      <c r="C145" s="43"/>
      <c r="D145" s="609"/>
      <c r="E145" s="326"/>
      <c r="F145" s="326"/>
      <c r="G145" s="326"/>
      <c r="H145" s="326"/>
      <c r="I145" s="326"/>
      <c r="J145" s="326"/>
      <c r="K145" s="327"/>
      <c r="L145" s="610"/>
      <c r="M145" s="326"/>
      <c r="N145" s="326"/>
      <c r="O145" s="327"/>
      <c r="P145" s="609"/>
      <c r="Q145" s="326"/>
      <c r="R145" s="326"/>
      <c r="S145" s="327"/>
      <c r="T145" s="610"/>
      <c r="U145" s="326"/>
      <c r="V145" s="326"/>
      <c r="W145" s="327"/>
      <c r="X145" s="609"/>
      <c r="Y145" s="326"/>
      <c r="Z145" s="326"/>
      <c r="AA145" s="327"/>
      <c r="AB145" s="451"/>
      <c r="AC145" s="326"/>
      <c r="AD145" s="327"/>
      <c r="AE145" s="526"/>
      <c r="AF145" s="326"/>
      <c r="AG145" s="327"/>
      <c r="AH145" s="607"/>
      <c r="AI145" s="326"/>
      <c r="AJ145" s="327"/>
      <c r="AK145" s="497"/>
      <c r="AL145" s="326"/>
      <c r="AM145" s="327"/>
      <c r="AN145" s="44"/>
      <c r="AO145" s="45"/>
      <c r="AP145" s="44"/>
      <c r="AQ145" s="45"/>
      <c r="AR145" s="44"/>
      <c r="AS145" s="45"/>
      <c r="AT145" s="44"/>
      <c r="AU145" s="45"/>
      <c r="AV145" s="44"/>
      <c r="AW145" s="45"/>
      <c r="AX145" s="44"/>
      <c r="AY145" s="45"/>
      <c r="AZ145" s="50"/>
      <c r="BA145" s="47"/>
      <c r="BB145" s="50"/>
      <c r="BC145" s="47"/>
      <c r="BD145" s="50"/>
      <c r="BE145" s="47"/>
      <c r="BF145" s="50"/>
      <c r="BG145" s="47"/>
      <c r="BH145" s="50"/>
      <c r="BI145" s="608" t="s">
        <v>303</v>
      </c>
      <c r="BJ145" s="326"/>
      <c r="BK145" s="326"/>
      <c r="BL145" s="326"/>
      <c r="BM145" s="326"/>
      <c r="BN145" s="326"/>
      <c r="BO145" s="326"/>
      <c r="BP145" s="326"/>
      <c r="BQ145" s="326"/>
      <c r="BR145" s="326"/>
      <c r="BS145" s="326"/>
      <c r="BT145" s="326"/>
      <c r="BU145" s="326"/>
      <c r="BV145" s="327"/>
    </row>
    <row r="146" spans="1:74" ht="30" customHeight="1" x14ac:dyDescent="0.25">
      <c r="A146" s="49">
        <f t="shared" si="0"/>
        <v>132</v>
      </c>
      <c r="B146" s="42" t="s">
        <v>334</v>
      </c>
      <c r="C146" s="43"/>
      <c r="D146" s="609"/>
      <c r="E146" s="326"/>
      <c r="F146" s="326"/>
      <c r="G146" s="326"/>
      <c r="H146" s="326"/>
      <c r="I146" s="326"/>
      <c r="J146" s="326"/>
      <c r="K146" s="327"/>
      <c r="L146" s="610"/>
      <c r="M146" s="326"/>
      <c r="N146" s="326"/>
      <c r="O146" s="327"/>
      <c r="P146" s="609"/>
      <c r="Q146" s="326"/>
      <c r="R146" s="326"/>
      <c r="S146" s="327"/>
      <c r="T146" s="610"/>
      <c r="U146" s="326"/>
      <c r="V146" s="326"/>
      <c r="W146" s="327"/>
      <c r="X146" s="609"/>
      <c r="Y146" s="326"/>
      <c r="Z146" s="326"/>
      <c r="AA146" s="327"/>
      <c r="AB146" s="451"/>
      <c r="AC146" s="326"/>
      <c r="AD146" s="327"/>
      <c r="AE146" s="526"/>
      <c r="AF146" s="326"/>
      <c r="AG146" s="327"/>
      <c r="AH146" s="607"/>
      <c r="AI146" s="326"/>
      <c r="AJ146" s="327"/>
      <c r="AK146" s="497"/>
      <c r="AL146" s="326"/>
      <c r="AM146" s="327"/>
      <c r="AN146" s="44"/>
      <c r="AO146" s="45"/>
      <c r="AP146" s="44"/>
      <c r="AQ146" s="45"/>
      <c r="AR146" s="44"/>
      <c r="AS146" s="45"/>
      <c r="AT146" s="44"/>
      <c r="AU146" s="45"/>
      <c r="AV146" s="44"/>
      <c r="AW146" s="45"/>
      <c r="AX146" s="44"/>
      <c r="AY146" s="45"/>
      <c r="AZ146" s="50"/>
      <c r="BA146" s="47"/>
      <c r="BB146" s="50"/>
      <c r="BC146" s="47"/>
      <c r="BD146" s="50"/>
      <c r="BE146" s="47"/>
      <c r="BF146" s="50"/>
      <c r="BG146" s="47"/>
      <c r="BH146" s="50"/>
      <c r="BI146" s="608" t="s">
        <v>303</v>
      </c>
      <c r="BJ146" s="326"/>
      <c r="BK146" s="326"/>
      <c r="BL146" s="326"/>
      <c r="BM146" s="326"/>
      <c r="BN146" s="326"/>
      <c r="BO146" s="326"/>
      <c r="BP146" s="326"/>
      <c r="BQ146" s="326"/>
      <c r="BR146" s="326"/>
      <c r="BS146" s="326"/>
      <c r="BT146" s="326"/>
      <c r="BU146" s="326"/>
      <c r="BV146" s="327"/>
    </row>
    <row r="147" spans="1:74" ht="30" customHeight="1" x14ac:dyDescent="0.25">
      <c r="A147" s="41">
        <f t="shared" si="0"/>
        <v>133</v>
      </c>
      <c r="B147" s="42" t="s">
        <v>334</v>
      </c>
      <c r="C147" s="43"/>
      <c r="D147" s="609"/>
      <c r="E147" s="326"/>
      <c r="F147" s="326"/>
      <c r="G147" s="326"/>
      <c r="H147" s="326"/>
      <c r="I147" s="326"/>
      <c r="J147" s="326"/>
      <c r="K147" s="327"/>
      <c r="L147" s="610"/>
      <c r="M147" s="326"/>
      <c r="N147" s="326"/>
      <c r="O147" s="327"/>
      <c r="P147" s="609"/>
      <c r="Q147" s="326"/>
      <c r="R147" s="326"/>
      <c r="S147" s="327"/>
      <c r="T147" s="610"/>
      <c r="U147" s="326"/>
      <c r="V147" s="326"/>
      <c r="W147" s="327"/>
      <c r="X147" s="609"/>
      <c r="Y147" s="326"/>
      <c r="Z147" s="326"/>
      <c r="AA147" s="327"/>
      <c r="AB147" s="451"/>
      <c r="AC147" s="326"/>
      <c r="AD147" s="327"/>
      <c r="AE147" s="526"/>
      <c r="AF147" s="326"/>
      <c r="AG147" s="327"/>
      <c r="AH147" s="607"/>
      <c r="AI147" s="326"/>
      <c r="AJ147" s="327"/>
      <c r="AK147" s="497"/>
      <c r="AL147" s="326"/>
      <c r="AM147" s="327"/>
      <c r="AN147" s="44"/>
      <c r="AO147" s="45"/>
      <c r="AP147" s="44"/>
      <c r="AQ147" s="45"/>
      <c r="AR147" s="44"/>
      <c r="AS147" s="45"/>
      <c r="AT147" s="44"/>
      <c r="AU147" s="45"/>
      <c r="AV147" s="44"/>
      <c r="AW147" s="45"/>
      <c r="AX147" s="44"/>
      <c r="AY147" s="45"/>
      <c r="AZ147" s="50"/>
      <c r="BA147" s="47"/>
      <c r="BB147" s="50"/>
      <c r="BC147" s="47"/>
      <c r="BD147" s="50"/>
      <c r="BE147" s="47"/>
      <c r="BF147" s="50"/>
      <c r="BG147" s="47"/>
      <c r="BH147" s="50"/>
      <c r="BI147" s="608" t="s">
        <v>307</v>
      </c>
      <c r="BJ147" s="326"/>
      <c r="BK147" s="326"/>
      <c r="BL147" s="326"/>
      <c r="BM147" s="326"/>
      <c r="BN147" s="326"/>
      <c r="BO147" s="326"/>
      <c r="BP147" s="326"/>
      <c r="BQ147" s="326"/>
      <c r="BR147" s="326"/>
      <c r="BS147" s="326"/>
      <c r="BT147" s="326"/>
      <c r="BU147" s="326"/>
      <c r="BV147" s="327"/>
    </row>
    <row r="148" spans="1:74" ht="30" customHeight="1" x14ac:dyDescent="0.25">
      <c r="A148" s="49">
        <f t="shared" si="0"/>
        <v>134</v>
      </c>
      <c r="B148" s="42" t="s">
        <v>334</v>
      </c>
      <c r="C148" s="43"/>
      <c r="D148" s="609"/>
      <c r="E148" s="326"/>
      <c r="F148" s="326"/>
      <c r="G148" s="326"/>
      <c r="H148" s="326"/>
      <c r="I148" s="326"/>
      <c r="J148" s="326"/>
      <c r="K148" s="327"/>
      <c r="L148" s="610"/>
      <c r="M148" s="326"/>
      <c r="N148" s="326"/>
      <c r="O148" s="327"/>
      <c r="P148" s="609"/>
      <c r="Q148" s="326"/>
      <c r="R148" s="326"/>
      <c r="S148" s="327"/>
      <c r="T148" s="610"/>
      <c r="U148" s="326"/>
      <c r="V148" s="326"/>
      <c r="W148" s="327"/>
      <c r="X148" s="609"/>
      <c r="Y148" s="326"/>
      <c r="Z148" s="326"/>
      <c r="AA148" s="327"/>
      <c r="AB148" s="451"/>
      <c r="AC148" s="326"/>
      <c r="AD148" s="327"/>
      <c r="AE148" s="526"/>
      <c r="AF148" s="326"/>
      <c r="AG148" s="327"/>
      <c r="AH148" s="607"/>
      <c r="AI148" s="326"/>
      <c r="AJ148" s="327"/>
      <c r="AK148" s="497"/>
      <c r="AL148" s="326"/>
      <c r="AM148" s="327"/>
      <c r="AN148" s="44"/>
      <c r="AO148" s="45"/>
      <c r="AP148" s="44"/>
      <c r="AQ148" s="45"/>
      <c r="AR148" s="44"/>
      <c r="AS148" s="45"/>
      <c r="AT148" s="44"/>
      <c r="AU148" s="45"/>
      <c r="AV148" s="44"/>
      <c r="AW148" s="45"/>
      <c r="AX148" s="44"/>
      <c r="AY148" s="45"/>
      <c r="AZ148" s="50"/>
      <c r="BA148" s="47"/>
      <c r="BB148" s="50"/>
      <c r="BC148" s="47"/>
      <c r="BD148" s="50"/>
      <c r="BE148" s="47"/>
      <c r="BF148" s="50"/>
      <c r="BG148" s="47"/>
      <c r="BH148" s="50"/>
      <c r="BI148" s="608" t="s">
        <v>307</v>
      </c>
      <c r="BJ148" s="326"/>
      <c r="BK148" s="326"/>
      <c r="BL148" s="326"/>
      <c r="BM148" s="326"/>
      <c r="BN148" s="326"/>
      <c r="BO148" s="326"/>
      <c r="BP148" s="326"/>
      <c r="BQ148" s="326"/>
      <c r="BR148" s="326"/>
      <c r="BS148" s="326"/>
      <c r="BT148" s="326"/>
      <c r="BU148" s="326"/>
      <c r="BV148" s="327"/>
    </row>
    <row r="149" spans="1:74" ht="30" customHeight="1" x14ac:dyDescent="0.25">
      <c r="A149" s="49">
        <f t="shared" si="0"/>
        <v>135</v>
      </c>
      <c r="B149" s="42" t="s">
        <v>334</v>
      </c>
      <c r="C149" s="43"/>
      <c r="D149" s="609"/>
      <c r="E149" s="326"/>
      <c r="F149" s="326"/>
      <c r="G149" s="326"/>
      <c r="H149" s="326"/>
      <c r="I149" s="326"/>
      <c r="J149" s="326"/>
      <c r="K149" s="327"/>
      <c r="L149" s="610"/>
      <c r="M149" s="326"/>
      <c r="N149" s="326"/>
      <c r="O149" s="327"/>
      <c r="P149" s="609"/>
      <c r="Q149" s="326"/>
      <c r="R149" s="326"/>
      <c r="S149" s="327"/>
      <c r="T149" s="610"/>
      <c r="U149" s="326"/>
      <c r="V149" s="326"/>
      <c r="W149" s="327"/>
      <c r="X149" s="609"/>
      <c r="Y149" s="326"/>
      <c r="Z149" s="326"/>
      <c r="AA149" s="327"/>
      <c r="AB149" s="451"/>
      <c r="AC149" s="326"/>
      <c r="AD149" s="327"/>
      <c r="AE149" s="526"/>
      <c r="AF149" s="326"/>
      <c r="AG149" s="327"/>
      <c r="AH149" s="607"/>
      <c r="AI149" s="326"/>
      <c r="AJ149" s="327"/>
      <c r="AK149" s="497"/>
      <c r="AL149" s="326"/>
      <c r="AM149" s="327"/>
      <c r="AN149" s="44"/>
      <c r="AO149" s="45"/>
      <c r="AP149" s="44"/>
      <c r="AQ149" s="45"/>
      <c r="AR149" s="44"/>
      <c r="AS149" s="45"/>
      <c r="AT149" s="44"/>
      <c r="AU149" s="45"/>
      <c r="AV149" s="44"/>
      <c r="AW149" s="45"/>
      <c r="AX149" s="44"/>
      <c r="AY149" s="45"/>
      <c r="AZ149" s="50"/>
      <c r="BA149" s="47"/>
      <c r="BB149" s="50"/>
      <c r="BC149" s="47"/>
      <c r="BD149" s="50"/>
      <c r="BE149" s="47"/>
      <c r="BF149" s="50"/>
      <c r="BG149" s="47"/>
      <c r="BH149" s="50"/>
      <c r="BI149" s="608" t="s">
        <v>307</v>
      </c>
      <c r="BJ149" s="326"/>
      <c r="BK149" s="326"/>
      <c r="BL149" s="326"/>
      <c r="BM149" s="326"/>
      <c r="BN149" s="326"/>
      <c r="BO149" s="326"/>
      <c r="BP149" s="326"/>
      <c r="BQ149" s="326"/>
      <c r="BR149" s="326"/>
      <c r="BS149" s="326"/>
      <c r="BT149" s="326"/>
      <c r="BU149" s="326"/>
      <c r="BV149" s="327"/>
    </row>
    <row r="150" spans="1:74" ht="30" customHeight="1" x14ac:dyDescent="0.25">
      <c r="A150" s="49">
        <f t="shared" si="0"/>
        <v>136</v>
      </c>
      <c r="B150" s="42" t="s">
        <v>334</v>
      </c>
      <c r="C150" s="43"/>
      <c r="D150" s="609"/>
      <c r="E150" s="326"/>
      <c r="F150" s="326"/>
      <c r="G150" s="326"/>
      <c r="H150" s="326"/>
      <c r="I150" s="326"/>
      <c r="J150" s="326"/>
      <c r="K150" s="327"/>
      <c r="L150" s="610"/>
      <c r="M150" s="326"/>
      <c r="N150" s="326"/>
      <c r="O150" s="327"/>
      <c r="P150" s="609"/>
      <c r="Q150" s="326"/>
      <c r="R150" s="326"/>
      <c r="S150" s="327"/>
      <c r="T150" s="610"/>
      <c r="U150" s="326"/>
      <c r="V150" s="326"/>
      <c r="W150" s="327"/>
      <c r="X150" s="609"/>
      <c r="Y150" s="326"/>
      <c r="Z150" s="326"/>
      <c r="AA150" s="327"/>
      <c r="AB150" s="451"/>
      <c r="AC150" s="326"/>
      <c r="AD150" s="327"/>
      <c r="AE150" s="526"/>
      <c r="AF150" s="326"/>
      <c r="AG150" s="327"/>
      <c r="AH150" s="607"/>
      <c r="AI150" s="326"/>
      <c r="AJ150" s="327"/>
      <c r="AK150" s="497"/>
      <c r="AL150" s="326"/>
      <c r="AM150" s="327"/>
      <c r="AN150" s="44"/>
      <c r="AO150" s="45"/>
      <c r="AP150" s="44"/>
      <c r="AQ150" s="45"/>
      <c r="AR150" s="44"/>
      <c r="AS150" s="45"/>
      <c r="AT150" s="44"/>
      <c r="AU150" s="45"/>
      <c r="AV150" s="44"/>
      <c r="AW150" s="45"/>
      <c r="AX150" s="44"/>
      <c r="AY150" s="45"/>
      <c r="AZ150" s="50"/>
      <c r="BA150" s="47"/>
      <c r="BB150" s="50"/>
      <c r="BC150" s="47"/>
      <c r="BD150" s="50"/>
      <c r="BE150" s="47"/>
      <c r="BF150" s="50"/>
      <c r="BG150" s="47"/>
      <c r="BH150" s="50"/>
      <c r="BI150" s="608" t="s">
        <v>307</v>
      </c>
      <c r="BJ150" s="326"/>
      <c r="BK150" s="326"/>
      <c r="BL150" s="326"/>
      <c r="BM150" s="326"/>
      <c r="BN150" s="326"/>
      <c r="BO150" s="326"/>
      <c r="BP150" s="326"/>
      <c r="BQ150" s="326"/>
      <c r="BR150" s="326"/>
      <c r="BS150" s="326"/>
      <c r="BT150" s="326"/>
      <c r="BU150" s="326"/>
      <c r="BV150" s="327"/>
    </row>
    <row r="151" spans="1:74" ht="30" customHeight="1" x14ac:dyDescent="0.25">
      <c r="A151" s="49">
        <f t="shared" si="0"/>
        <v>137</v>
      </c>
      <c r="B151" s="42" t="s">
        <v>334</v>
      </c>
      <c r="C151" s="43"/>
      <c r="D151" s="609"/>
      <c r="E151" s="326"/>
      <c r="F151" s="326"/>
      <c r="G151" s="326"/>
      <c r="H151" s="326"/>
      <c r="I151" s="326"/>
      <c r="J151" s="326"/>
      <c r="K151" s="327"/>
      <c r="L151" s="610"/>
      <c r="M151" s="326"/>
      <c r="N151" s="326"/>
      <c r="O151" s="327"/>
      <c r="P151" s="609"/>
      <c r="Q151" s="326"/>
      <c r="R151" s="326"/>
      <c r="S151" s="327"/>
      <c r="T151" s="610"/>
      <c r="U151" s="326"/>
      <c r="V151" s="326"/>
      <c r="W151" s="327"/>
      <c r="X151" s="609"/>
      <c r="Y151" s="326"/>
      <c r="Z151" s="326"/>
      <c r="AA151" s="327"/>
      <c r="AB151" s="451"/>
      <c r="AC151" s="326"/>
      <c r="AD151" s="327"/>
      <c r="AE151" s="526"/>
      <c r="AF151" s="326"/>
      <c r="AG151" s="327"/>
      <c r="AH151" s="607"/>
      <c r="AI151" s="326"/>
      <c r="AJ151" s="327"/>
      <c r="AK151" s="497"/>
      <c r="AL151" s="326"/>
      <c r="AM151" s="327"/>
      <c r="AN151" s="44"/>
      <c r="AO151" s="45"/>
      <c r="AP151" s="44"/>
      <c r="AQ151" s="45"/>
      <c r="AR151" s="44"/>
      <c r="AS151" s="45"/>
      <c r="AT151" s="44"/>
      <c r="AU151" s="45"/>
      <c r="AV151" s="44"/>
      <c r="AW151" s="45"/>
      <c r="AX151" s="44"/>
      <c r="AY151" s="45"/>
      <c r="AZ151" s="50"/>
      <c r="BA151" s="47"/>
      <c r="BB151" s="50"/>
      <c r="BC151" s="47"/>
      <c r="BD151" s="50"/>
      <c r="BE151" s="47"/>
      <c r="BF151" s="50"/>
      <c r="BG151" s="47"/>
      <c r="BH151" s="50"/>
      <c r="BI151" s="608" t="s">
        <v>307</v>
      </c>
      <c r="BJ151" s="326"/>
      <c r="BK151" s="326"/>
      <c r="BL151" s="326"/>
      <c r="BM151" s="326"/>
      <c r="BN151" s="326"/>
      <c r="BO151" s="326"/>
      <c r="BP151" s="326"/>
      <c r="BQ151" s="326"/>
      <c r="BR151" s="326"/>
      <c r="BS151" s="326"/>
      <c r="BT151" s="326"/>
      <c r="BU151" s="326"/>
      <c r="BV151" s="327"/>
    </row>
    <row r="152" spans="1:74" ht="30" customHeight="1" x14ac:dyDescent="0.25">
      <c r="A152" s="49">
        <f t="shared" si="0"/>
        <v>138</v>
      </c>
      <c r="B152" s="42" t="s">
        <v>334</v>
      </c>
      <c r="C152" s="43"/>
      <c r="D152" s="609"/>
      <c r="E152" s="326"/>
      <c r="F152" s="326"/>
      <c r="G152" s="326"/>
      <c r="H152" s="326"/>
      <c r="I152" s="326"/>
      <c r="J152" s="326"/>
      <c r="K152" s="327"/>
      <c r="L152" s="610"/>
      <c r="M152" s="326"/>
      <c r="N152" s="326"/>
      <c r="O152" s="327"/>
      <c r="P152" s="609"/>
      <c r="Q152" s="326"/>
      <c r="R152" s="326"/>
      <c r="S152" s="327"/>
      <c r="T152" s="610"/>
      <c r="U152" s="326"/>
      <c r="V152" s="326"/>
      <c r="W152" s="327"/>
      <c r="X152" s="609"/>
      <c r="Y152" s="326"/>
      <c r="Z152" s="326"/>
      <c r="AA152" s="327"/>
      <c r="AB152" s="451"/>
      <c r="AC152" s="326"/>
      <c r="AD152" s="327"/>
      <c r="AE152" s="526"/>
      <c r="AF152" s="326"/>
      <c r="AG152" s="327"/>
      <c r="AH152" s="607"/>
      <c r="AI152" s="326"/>
      <c r="AJ152" s="327"/>
      <c r="AK152" s="497"/>
      <c r="AL152" s="326"/>
      <c r="AM152" s="327"/>
      <c r="AN152" s="44"/>
      <c r="AO152" s="45"/>
      <c r="AP152" s="44"/>
      <c r="AQ152" s="45"/>
      <c r="AR152" s="44"/>
      <c r="AS152" s="45"/>
      <c r="AT152" s="44"/>
      <c r="AU152" s="45"/>
      <c r="AV152" s="44"/>
      <c r="AW152" s="45"/>
      <c r="AX152" s="44"/>
      <c r="AY152" s="45"/>
      <c r="AZ152" s="50"/>
      <c r="BA152" s="47"/>
      <c r="BB152" s="50"/>
      <c r="BC152" s="47"/>
      <c r="BD152" s="50"/>
      <c r="BE152" s="47"/>
      <c r="BF152" s="50"/>
      <c r="BG152" s="47"/>
      <c r="BH152" s="50"/>
      <c r="BI152" s="608" t="s">
        <v>303</v>
      </c>
      <c r="BJ152" s="326"/>
      <c r="BK152" s="326"/>
      <c r="BL152" s="326"/>
      <c r="BM152" s="326"/>
      <c r="BN152" s="326"/>
      <c r="BO152" s="326"/>
      <c r="BP152" s="326"/>
      <c r="BQ152" s="326"/>
      <c r="BR152" s="326"/>
      <c r="BS152" s="326"/>
      <c r="BT152" s="326"/>
      <c r="BU152" s="326"/>
      <c r="BV152" s="327"/>
    </row>
    <row r="153" spans="1:74" ht="30" customHeight="1" x14ac:dyDescent="0.25">
      <c r="A153" s="49">
        <f t="shared" si="0"/>
        <v>139</v>
      </c>
      <c r="B153" s="42" t="s">
        <v>334</v>
      </c>
      <c r="C153" s="43"/>
      <c r="D153" s="609"/>
      <c r="E153" s="326"/>
      <c r="F153" s="326"/>
      <c r="G153" s="326"/>
      <c r="H153" s="326"/>
      <c r="I153" s="326"/>
      <c r="J153" s="326"/>
      <c r="K153" s="327"/>
      <c r="L153" s="610"/>
      <c r="M153" s="326"/>
      <c r="N153" s="326"/>
      <c r="O153" s="327"/>
      <c r="P153" s="609"/>
      <c r="Q153" s="326"/>
      <c r="R153" s="326"/>
      <c r="S153" s="327"/>
      <c r="T153" s="610"/>
      <c r="U153" s="326"/>
      <c r="V153" s="326"/>
      <c r="W153" s="327"/>
      <c r="X153" s="609"/>
      <c r="Y153" s="326"/>
      <c r="Z153" s="326"/>
      <c r="AA153" s="327"/>
      <c r="AB153" s="451"/>
      <c r="AC153" s="326"/>
      <c r="AD153" s="327"/>
      <c r="AE153" s="526"/>
      <c r="AF153" s="326"/>
      <c r="AG153" s="327"/>
      <c r="AH153" s="607"/>
      <c r="AI153" s="326"/>
      <c r="AJ153" s="327"/>
      <c r="AK153" s="497"/>
      <c r="AL153" s="326"/>
      <c r="AM153" s="327"/>
      <c r="AN153" s="44"/>
      <c r="AO153" s="45"/>
      <c r="AP153" s="44"/>
      <c r="AQ153" s="45"/>
      <c r="AR153" s="44"/>
      <c r="AS153" s="45"/>
      <c r="AT153" s="44"/>
      <c r="AU153" s="45"/>
      <c r="AV153" s="44"/>
      <c r="AW153" s="45"/>
      <c r="AX153" s="44"/>
      <c r="AY153" s="45"/>
      <c r="AZ153" s="50"/>
      <c r="BA153" s="47"/>
      <c r="BB153" s="50"/>
      <c r="BC153" s="47"/>
      <c r="BD153" s="50"/>
      <c r="BE153" s="47"/>
      <c r="BF153" s="50"/>
      <c r="BG153" s="47"/>
      <c r="BH153" s="50"/>
      <c r="BI153" s="608" t="s">
        <v>303</v>
      </c>
      <c r="BJ153" s="326"/>
      <c r="BK153" s="326"/>
      <c r="BL153" s="326"/>
      <c r="BM153" s="326"/>
      <c r="BN153" s="326"/>
      <c r="BO153" s="326"/>
      <c r="BP153" s="326"/>
      <c r="BQ153" s="326"/>
      <c r="BR153" s="326"/>
      <c r="BS153" s="326"/>
      <c r="BT153" s="326"/>
      <c r="BU153" s="326"/>
      <c r="BV153" s="327"/>
    </row>
    <row r="154" spans="1:74" ht="30" customHeight="1" x14ac:dyDescent="0.25">
      <c r="A154" s="41">
        <f t="shared" si="0"/>
        <v>140</v>
      </c>
      <c r="B154" s="42" t="s">
        <v>334</v>
      </c>
      <c r="C154" s="43"/>
      <c r="D154" s="609"/>
      <c r="E154" s="326"/>
      <c r="F154" s="326"/>
      <c r="G154" s="326"/>
      <c r="H154" s="326"/>
      <c r="I154" s="326"/>
      <c r="J154" s="326"/>
      <c r="K154" s="327"/>
      <c r="L154" s="610"/>
      <c r="M154" s="326"/>
      <c r="N154" s="326"/>
      <c r="O154" s="327"/>
      <c r="P154" s="609"/>
      <c r="Q154" s="326"/>
      <c r="R154" s="326"/>
      <c r="S154" s="327"/>
      <c r="T154" s="610"/>
      <c r="U154" s="326"/>
      <c r="V154" s="326"/>
      <c r="W154" s="327"/>
      <c r="X154" s="609"/>
      <c r="Y154" s="326"/>
      <c r="Z154" s="326"/>
      <c r="AA154" s="327"/>
      <c r="AB154" s="451"/>
      <c r="AC154" s="326"/>
      <c r="AD154" s="327"/>
      <c r="AE154" s="526"/>
      <c r="AF154" s="326"/>
      <c r="AG154" s="327"/>
      <c r="AH154" s="607"/>
      <c r="AI154" s="326"/>
      <c r="AJ154" s="327"/>
      <c r="AK154" s="497"/>
      <c r="AL154" s="326"/>
      <c r="AM154" s="327"/>
      <c r="AN154" s="44"/>
      <c r="AO154" s="45"/>
      <c r="AP154" s="44"/>
      <c r="AQ154" s="45"/>
      <c r="AR154" s="44"/>
      <c r="AS154" s="45"/>
      <c r="AT154" s="44"/>
      <c r="AU154" s="45"/>
      <c r="AV154" s="44"/>
      <c r="AW154" s="45"/>
      <c r="AX154" s="44"/>
      <c r="AY154" s="45"/>
      <c r="AZ154" s="50"/>
      <c r="BA154" s="47"/>
      <c r="BB154" s="50"/>
      <c r="BC154" s="47"/>
      <c r="BD154" s="50"/>
      <c r="BE154" s="47"/>
      <c r="BF154" s="50"/>
      <c r="BG154" s="47"/>
      <c r="BH154" s="50"/>
      <c r="BI154" s="608" t="s">
        <v>307</v>
      </c>
      <c r="BJ154" s="326"/>
      <c r="BK154" s="326"/>
      <c r="BL154" s="326"/>
      <c r="BM154" s="326"/>
      <c r="BN154" s="326"/>
      <c r="BO154" s="326"/>
      <c r="BP154" s="326"/>
      <c r="BQ154" s="326"/>
      <c r="BR154" s="326"/>
      <c r="BS154" s="326"/>
      <c r="BT154" s="326"/>
      <c r="BU154" s="326"/>
      <c r="BV154" s="327"/>
    </row>
    <row r="155" spans="1:74" ht="30" customHeight="1" x14ac:dyDescent="0.25">
      <c r="A155" s="49">
        <f t="shared" si="0"/>
        <v>141</v>
      </c>
      <c r="B155" s="42" t="s">
        <v>334</v>
      </c>
      <c r="C155" s="43"/>
      <c r="D155" s="609"/>
      <c r="E155" s="326"/>
      <c r="F155" s="326"/>
      <c r="G155" s="326"/>
      <c r="H155" s="326"/>
      <c r="I155" s="326"/>
      <c r="J155" s="326"/>
      <c r="K155" s="327"/>
      <c r="L155" s="610"/>
      <c r="M155" s="326"/>
      <c r="N155" s="326"/>
      <c r="O155" s="327"/>
      <c r="P155" s="609"/>
      <c r="Q155" s="326"/>
      <c r="R155" s="326"/>
      <c r="S155" s="327"/>
      <c r="T155" s="610"/>
      <c r="U155" s="326"/>
      <c r="V155" s="326"/>
      <c r="W155" s="327"/>
      <c r="X155" s="609"/>
      <c r="Y155" s="326"/>
      <c r="Z155" s="326"/>
      <c r="AA155" s="327"/>
      <c r="AB155" s="451"/>
      <c r="AC155" s="326"/>
      <c r="AD155" s="327"/>
      <c r="AE155" s="526"/>
      <c r="AF155" s="326"/>
      <c r="AG155" s="327"/>
      <c r="AH155" s="607"/>
      <c r="AI155" s="326"/>
      <c r="AJ155" s="327"/>
      <c r="AK155" s="497"/>
      <c r="AL155" s="326"/>
      <c r="AM155" s="327"/>
      <c r="AN155" s="44"/>
      <c r="AO155" s="45"/>
      <c r="AP155" s="44"/>
      <c r="AQ155" s="45"/>
      <c r="AR155" s="44"/>
      <c r="AS155" s="45"/>
      <c r="AT155" s="44"/>
      <c r="AU155" s="45"/>
      <c r="AV155" s="44"/>
      <c r="AW155" s="45"/>
      <c r="AX155" s="44"/>
      <c r="AY155" s="45"/>
      <c r="AZ155" s="50"/>
      <c r="BA155" s="47"/>
      <c r="BB155" s="50"/>
      <c r="BC155" s="47"/>
      <c r="BD155" s="50"/>
      <c r="BE155" s="47"/>
      <c r="BF155" s="50"/>
      <c r="BG155" s="47"/>
      <c r="BH155" s="50"/>
      <c r="BI155" s="608" t="s">
        <v>307</v>
      </c>
      <c r="BJ155" s="326"/>
      <c r="BK155" s="326"/>
      <c r="BL155" s="326"/>
      <c r="BM155" s="326"/>
      <c r="BN155" s="326"/>
      <c r="BO155" s="326"/>
      <c r="BP155" s="326"/>
      <c r="BQ155" s="326"/>
      <c r="BR155" s="326"/>
      <c r="BS155" s="326"/>
      <c r="BT155" s="326"/>
      <c r="BU155" s="326"/>
      <c r="BV155" s="327"/>
    </row>
    <row r="156" spans="1:74" ht="30" customHeight="1" x14ac:dyDescent="0.25">
      <c r="A156" s="49">
        <f t="shared" si="0"/>
        <v>142</v>
      </c>
      <c r="B156" s="42" t="s">
        <v>334</v>
      </c>
      <c r="C156" s="43"/>
      <c r="D156" s="609"/>
      <c r="E156" s="326"/>
      <c r="F156" s="326"/>
      <c r="G156" s="326"/>
      <c r="H156" s="326"/>
      <c r="I156" s="326"/>
      <c r="J156" s="326"/>
      <c r="K156" s="327"/>
      <c r="L156" s="610"/>
      <c r="M156" s="326"/>
      <c r="N156" s="326"/>
      <c r="O156" s="327"/>
      <c r="P156" s="609"/>
      <c r="Q156" s="326"/>
      <c r="R156" s="326"/>
      <c r="S156" s="327"/>
      <c r="T156" s="610"/>
      <c r="U156" s="326"/>
      <c r="V156" s="326"/>
      <c r="W156" s="327"/>
      <c r="X156" s="609"/>
      <c r="Y156" s="326"/>
      <c r="Z156" s="326"/>
      <c r="AA156" s="327"/>
      <c r="AB156" s="451"/>
      <c r="AC156" s="326"/>
      <c r="AD156" s="327"/>
      <c r="AE156" s="526"/>
      <c r="AF156" s="326"/>
      <c r="AG156" s="327"/>
      <c r="AH156" s="607"/>
      <c r="AI156" s="326"/>
      <c r="AJ156" s="327"/>
      <c r="AK156" s="497"/>
      <c r="AL156" s="326"/>
      <c r="AM156" s="327"/>
      <c r="AN156" s="44"/>
      <c r="AO156" s="45"/>
      <c r="AP156" s="44"/>
      <c r="AQ156" s="45"/>
      <c r="AR156" s="44"/>
      <c r="AS156" s="45"/>
      <c r="AT156" s="44"/>
      <c r="AU156" s="45"/>
      <c r="AV156" s="44"/>
      <c r="AW156" s="45"/>
      <c r="AX156" s="44"/>
      <c r="AY156" s="45"/>
      <c r="AZ156" s="50"/>
      <c r="BA156" s="47"/>
      <c r="BB156" s="50"/>
      <c r="BC156" s="47"/>
      <c r="BD156" s="50"/>
      <c r="BE156" s="47"/>
      <c r="BF156" s="50"/>
      <c r="BG156" s="47"/>
      <c r="BH156" s="50"/>
      <c r="BI156" s="608" t="s">
        <v>307</v>
      </c>
      <c r="BJ156" s="326"/>
      <c r="BK156" s="326"/>
      <c r="BL156" s="326"/>
      <c r="BM156" s="326"/>
      <c r="BN156" s="326"/>
      <c r="BO156" s="326"/>
      <c r="BP156" s="326"/>
      <c r="BQ156" s="326"/>
      <c r="BR156" s="326"/>
      <c r="BS156" s="326"/>
      <c r="BT156" s="326"/>
      <c r="BU156" s="326"/>
      <c r="BV156" s="327"/>
    </row>
    <row r="157" spans="1:74" ht="30" customHeight="1" x14ac:dyDescent="0.25">
      <c r="A157" s="49">
        <f t="shared" si="0"/>
        <v>143</v>
      </c>
      <c r="B157" s="42" t="s">
        <v>334</v>
      </c>
      <c r="C157" s="43"/>
      <c r="D157" s="609"/>
      <c r="E157" s="326"/>
      <c r="F157" s="326"/>
      <c r="G157" s="326"/>
      <c r="H157" s="326"/>
      <c r="I157" s="326"/>
      <c r="J157" s="326"/>
      <c r="K157" s="327"/>
      <c r="L157" s="610"/>
      <c r="M157" s="326"/>
      <c r="N157" s="326"/>
      <c r="O157" s="327"/>
      <c r="P157" s="609"/>
      <c r="Q157" s="326"/>
      <c r="R157" s="326"/>
      <c r="S157" s="327"/>
      <c r="T157" s="610"/>
      <c r="U157" s="326"/>
      <c r="V157" s="326"/>
      <c r="W157" s="327"/>
      <c r="X157" s="609"/>
      <c r="Y157" s="326"/>
      <c r="Z157" s="326"/>
      <c r="AA157" s="327"/>
      <c r="AB157" s="451"/>
      <c r="AC157" s="326"/>
      <c r="AD157" s="327"/>
      <c r="AE157" s="526"/>
      <c r="AF157" s="326"/>
      <c r="AG157" s="327"/>
      <c r="AH157" s="607"/>
      <c r="AI157" s="326"/>
      <c r="AJ157" s="327"/>
      <c r="AK157" s="497"/>
      <c r="AL157" s="326"/>
      <c r="AM157" s="327"/>
      <c r="AN157" s="44"/>
      <c r="AO157" s="45"/>
      <c r="AP157" s="44"/>
      <c r="AQ157" s="45"/>
      <c r="AR157" s="44"/>
      <c r="AS157" s="45"/>
      <c r="AT157" s="44"/>
      <c r="AU157" s="45"/>
      <c r="AV157" s="44"/>
      <c r="AW157" s="45"/>
      <c r="AX157" s="44"/>
      <c r="AY157" s="45"/>
      <c r="AZ157" s="50"/>
      <c r="BA157" s="47"/>
      <c r="BB157" s="50"/>
      <c r="BC157" s="47"/>
      <c r="BD157" s="50"/>
      <c r="BE157" s="47"/>
      <c r="BF157" s="50"/>
      <c r="BG157" s="47"/>
      <c r="BH157" s="50"/>
      <c r="BI157" s="608" t="s">
        <v>307</v>
      </c>
      <c r="BJ157" s="326"/>
      <c r="BK157" s="326"/>
      <c r="BL157" s="326"/>
      <c r="BM157" s="326"/>
      <c r="BN157" s="326"/>
      <c r="BO157" s="326"/>
      <c r="BP157" s="326"/>
      <c r="BQ157" s="326"/>
      <c r="BR157" s="326"/>
      <c r="BS157" s="326"/>
      <c r="BT157" s="326"/>
      <c r="BU157" s="326"/>
      <c r="BV157" s="327"/>
    </row>
    <row r="158" spans="1:74" ht="30" customHeight="1" x14ac:dyDescent="0.25">
      <c r="A158" s="49">
        <f t="shared" si="0"/>
        <v>144</v>
      </c>
      <c r="B158" s="42" t="s">
        <v>334</v>
      </c>
      <c r="C158" s="43"/>
      <c r="D158" s="609"/>
      <c r="E158" s="326"/>
      <c r="F158" s="326"/>
      <c r="G158" s="326"/>
      <c r="H158" s="326"/>
      <c r="I158" s="326"/>
      <c r="J158" s="326"/>
      <c r="K158" s="327"/>
      <c r="L158" s="610"/>
      <c r="M158" s="326"/>
      <c r="N158" s="326"/>
      <c r="O158" s="327"/>
      <c r="P158" s="609"/>
      <c r="Q158" s="326"/>
      <c r="R158" s="326"/>
      <c r="S158" s="327"/>
      <c r="T158" s="610"/>
      <c r="U158" s="326"/>
      <c r="V158" s="326"/>
      <c r="W158" s="327"/>
      <c r="X158" s="609"/>
      <c r="Y158" s="326"/>
      <c r="Z158" s="326"/>
      <c r="AA158" s="327"/>
      <c r="AB158" s="451"/>
      <c r="AC158" s="326"/>
      <c r="AD158" s="327"/>
      <c r="AE158" s="526"/>
      <c r="AF158" s="326"/>
      <c r="AG158" s="327"/>
      <c r="AH158" s="607"/>
      <c r="AI158" s="326"/>
      <c r="AJ158" s="327"/>
      <c r="AK158" s="497"/>
      <c r="AL158" s="326"/>
      <c r="AM158" s="327"/>
      <c r="AN158" s="44"/>
      <c r="AO158" s="45"/>
      <c r="AP158" s="44"/>
      <c r="AQ158" s="45"/>
      <c r="AR158" s="44"/>
      <c r="AS158" s="45"/>
      <c r="AT158" s="44"/>
      <c r="AU158" s="45"/>
      <c r="AV158" s="44"/>
      <c r="AW158" s="45"/>
      <c r="AX158" s="44"/>
      <c r="AY158" s="45"/>
      <c r="AZ158" s="50"/>
      <c r="BA158" s="47"/>
      <c r="BB158" s="50"/>
      <c r="BC158" s="47"/>
      <c r="BD158" s="50"/>
      <c r="BE158" s="47"/>
      <c r="BF158" s="50"/>
      <c r="BG158" s="47"/>
      <c r="BH158" s="50"/>
      <c r="BI158" s="608" t="s">
        <v>307</v>
      </c>
      <c r="BJ158" s="326"/>
      <c r="BK158" s="326"/>
      <c r="BL158" s="326"/>
      <c r="BM158" s="326"/>
      <c r="BN158" s="326"/>
      <c r="BO158" s="326"/>
      <c r="BP158" s="326"/>
      <c r="BQ158" s="326"/>
      <c r="BR158" s="326"/>
      <c r="BS158" s="326"/>
      <c r="BT158" s="326"/>
      <c r="BU158" s="326"/>
      <c r="BV158" s="327"/>
    </row>
    <row r="159" spans="1:74" ht="30" customHeight="1" x14ac:dyDescent="0.25">
      <c r="A159" s="49">
        <f t="shared" si="0"/>
        <v>145</v>
      </c>
      <c r="B159" s="42" t="s">
        <v>334</v>
      </c>
      <c r="C159" s="43"/>
      <c r="D159" s="609"/>
      <c r="E159" s="326"/>
      <c r="F159" s="326"/>
      <c r="G159" s="326"/>
      <c r="H159" s="326"/>
      <c r="I159" s="326"/>
      <c r="J159" s="326"/>
      <c r="K159" s="327"/>
      <c r="L159" s="610"/>
      <c r="M159" s="326"/>
      <c r="N159" s="326"/>
      <c r="O159" s="327"/>
      <c r="P159" s="609"/>
      <c r="Q159" s="326"/>
      <c r="R159" s="326"/>
      <c r="S159" s="327"/>
      <c r="T159" s="610"/>
      <c r="U159" s="326"/>
      <c r="V159" s="326"/>
      <c r="W159" s="327"/>
      <c r="X159" s="609"/>
      <c r="Y159" s="326"/>
      <c r="Z159" s="326"/>
      <c r="AA159" s="327"/>
      <c r="AB159" s="451"/>
      <c r="AC159" s="326"/>
      <c r="AD159" s="327"/>
      <c r="AE159" s="526"/>
      <c r="AF159" s="326"/>
      <c r="AG159" s="327"/>
      <c r="AH159" s="607"/>
      <c r="AI159" s="326"/>
      <c r="AJ159" s="327"/>
      <c r="AK159" s="497"/>
      <c r="AL159" s="326"/>
      <c r="AM159" s="327"/>
      <c r="AN159" s="44"/>
      <c r="AO159" s="45"/>
      <c r="AP159" s="44"/>
      <c r="AQ159" s="45"/>
      <c r="AR159" s="44"/>
      <c r="AS159" s="45"/>
      <c r="AT159" s="44"/>
      <c r="AU159" s="45"/>
      <c r="AV159" s="44"/>
      <c r="AW159" s="45"/>
      <c r="AX159" s="44"/>
      <c r="AY159" s="45"/>
      <c r="AZ159" s="50"/>
      <c r="BA159" s="47"/>
      <c r="BB159" s="50"/>
      <c r="BC159" s="47"/>
      <c r="BD159" s="50"/>
      <c r="BE159" s="47"/>
      <c r="BF159" s="50"/>
      <c r="BG159" s="47"/>
      <c r="BH159" s="50"/>
      <c r="BI159" s="608" t="s">
        <v>303</v>
      </c>
      <c r="BJ159" s="326"/>
      <c r="BK159" s="326"/>
      <c r="BL159" s="326"/>
      <c r="BM159" s="326"/>
      <c r="BN159" s="326"/>
      <c r="BO159" s="326"/>
      <c r="BP159" s="326"/>
      <c r="BQ159" s="326"/>
      <c r="BR159" s="326"/>
      <c r="BS159" s="326"/>
      <c r="BT159" s="326"/>
      <c r="BU159" s="326"/>
      <c r="BV159" s="327"/>
    </row>
    <row r="160" spans="1:74" ht="30" customHeight="1" x14ac:dyDescent="0.25">
      <c r="A160" s="49">
        <f t="shared" si="0"/>
        <v>146</v>
      </c>
      <c r="B160" s="42" t="s">
        <v>334</v>
      </c>
      <c r="C160" s="43"/>
      <c r="D160" s="609"/>
      <c r="E160" s="326"/>
      <c r="F160" s="326"/>
      <c r="G160" s="326"/>
      <c r="H160" s="326"/>
      <c r="I160" s="326"/>
      <c r="J160" s="326"/>
      <c r="K160" s="327"/>
      <c r="L160" s="610"/>
      <c r="M160" s="326"/>
      <c r="N160" s="326"/>
      <c r="O160" s="327"/>
      <c r="P160" s="609"/>
      <c r="Q160" s="326"/>
      <c r="R160" s="326"/>
      <c r="S160" s="327"/>
      <c r="T160" s="610"/>
      <c r="U160" s="326"/>
      <c r="V160" s="326"/>
      <c r="W160" s="327"/>
      <c r="X160" s="609"/>
      <c r="Y160" s="326"/>
      <c r="Z160" s="326"/>
      <c r="AA160" s="327"/>
      <c r="AB160" s="451"/>
      <c r="AC160" s="326"/>
      <c r="AD160" s="327"/>
      <c r="AE160" s="526"/>
      <c r="AF160" s="326"/>
      <c r="AG160" s="327"/>
      <c r="AH160" s="607"/>
      <c r="AI160" s="326"/>
      <c r="AJ160" s="327"/>
      <c r="AK160" s="497"/>
      <c r="AL160" s="326"/>
      <c r="AM160" s="327"/>
      <c r="AN160" s="44"/>
      <c r="AO160" s="45"/>
      <c r="AP160" s="44"/>
      <c r="AQ160" s="45"/>
      <c r="AR160" s="44"/>
      <c r="AS160" s="45"/>
      <c r="AT160" s="44"/>
      <c r="AU160" s="45"/>
      <c r="AV160" s="44"/>
      <c r="AW160" s="45"/>
      <c r="AX160" s="44"/>
      <c r="AY160" s="45"/>
      <c r="AZ160" s="50"/>
      <c r="BA160" s="47"/>
      <c r="BB160" s="50"/>
      <c r="BC160" s="47"/>
      <c r="BD160" s="50"/>
      <c r="BE160" s="47"/>
      <c r="BF160" s="50"/>
      <c r="BG160" s="47"/>
      <c r="BH160" s="50"/>
      <c r="BI160" s="608" t="s">
        <v>303</v>
      </c>
      <c r="BJ160" s="326"/>
      <c r="BK160" s="326"/>
      <c r="BL160" s="326"/>
      <c r="BM160" s="326"/>
      <c r="BN160" s="326"/>
      <c r="BO160" s="326"/>
      <c r="BP160" s="326"/>
      <c r="BQ160" s="326"/>
      <c r="BR160" s="326"/>
      <c r="BS160" s="326"/>
      <c r="BT160" s="326"/>
      <c r="BU160" s="326"/>
      <c r="BV160" s="327"/>
    </row>
    <row r="161" spans="1:74" ht="30" customHeight="1" x14ac:dyDescent="0.25">
      <c r="A161" s="41">
        <f t="shared" si="0"/>
        <v>147</v>
      </c>
      <c r="B161" s="42" t="s">
        <v>334</v>
      </c>
      <c r="C161" s="43"/>
      <c r="D161" s="609"/>
      <c r="E161" s="326"/>
      <c r="F161" s="326"/>
      <c r="G161" s="326"/>
      <c r="H161" s="326"/>
      <c r="I161" s="326"/>
      <c r="J161" s="326"/>
      <c r="K161" s="327"/>
      <c r="L161" s="610"/>
      <c r="M161" s="326"/>
      <c r="N161" s="326"/>
      <c r="O161" s="327"/>
      <c r="P161" s="609"/>
      <c r="Q161" s="326"/>
      <c r="R161" s="326"/>
      <c r="S161" s="327"/>
      <c r="T161" s="610"/>
      <c r="U161" s="326"/>
      <c r="V161" s="326"/>
      <c r="W161" s="327"/>
      <c r="X161" s="609"/>
      <c r="Y161" s="326"/>
      <c r="Z161" s="326"/>
      <c r="AA161" s="327"/>
      <c r="AB161" s="451"/>
      <c r="AC161" s="326"/>
      <c r="AD161" s="327"/>
      <c r="AE161" s="526"/>
      <c r="AF161" s="326"/>
      <c r="AG161" s="327"/>
      <c r="AH161" s="607"/>
      <c r="AI161" s="326"/>
      <c r="AJ161" s="327"/>
      <c r="AK161" s="497"/>
      <c r="AL161" s="326"/>
      <c r="AM161" s="327"/>
      <c r="AN161" s="44"/>
      <c r="AO161" s="45"/>
      <c r="AP161" s="44"/>
      <c r="AQ161" s="45"/>
      <c r="AR161" s="44"/>
      <c r="AS161" s="45"/>
      <c r="AT161" s="44"/>
      <c r="AU161" s="45"/>
      <c r="AV161" s="44"/>
      <c r="AW161" s="45"/>
      <c r="AX161" s="44"/>
      <c r="AY161" s="45"/>
      <c r="AZ161" s="50"/>
      <c r="BA161" s="47"/>
      <c r="BB161" s="50"/>
      <c r="BC161" s="47"/>
      <c r="BD161" s="50"/>
      <c r="BE161" s="47"/>
      <c r="BF161" s="50"/>
      <c r="BG161" s="47"/>
      <c r="BH161" s="50"/>
      <c r="BI161" s="608" t="s">
        <v>307</v>
      </c>
      <c r="BJ161" s="326"/>
      <c r="BK161" s="326"/>
      <c r="BL161" s="326"/>
      <c r="BM161" s="326"/>
      <c r="BN161" s="326"/>
      <c r="BO161" s="326"/>
      <c r="BP161" s="326"/>
      <c r="BQ161" s="326"/>
      <c r="BR161" s="326"/>
      <c r="BS161" s="326"/>
      <c r="BT161" s="326"/>
      <c r="BU161" s="326"/>
      <c r="BV161" s="327"/>
    </row>
    <row r="162" spans="1:74" ht="30" customHeight="1" x14ac:dyDescent="0.25">
      <c r="A162" s="49">
        <f t="shared" si="0"/>
        <v>148</v>
      </c>
      <c r="B162" s="42" t="s">
        <v>334</v>
      </c>
      <c r="C162" s="43"/>
      <c r="D162" s="609"/>
      <c r="E162" s="326"/>
      <c r="F162" s="326"/>
      <c r="G162" s="326"/>
      <c r="H162" s="326"/>
      <c r="I162" s="326"/>
      <c r="J162" s="326"/>
      <c r="K162" s="327"/>
      <c r="L162" s="610"/>
      <c r="M162" s="326"/>
      <c r="N162" s="326"/>
      <c r="O162" s="327"/>
      <c r="P162" s="609"/>
      <c r="Q162" s="326"/>
      <c r="R162" s="326"/>
      <c r="S162" s="327"/>
      <c r="T162" s="610"/>
      <c r="U162" s="326"/>
      <c r="V162" s="326"/>
      <c r="W162" s="327"/>
      <c r="X162" s="609"/>
      <c r="Y162" s="326"/>
      <c r="Z162" s="326"/>
      <c r="AA162" s="327"/>
      <c r="AB162" s="451"/>
      <c r="AC162" s="326"/>
      <c r="AD162" s="327"/>
      <c r="AE162" s="526"/>
      <c r="AF162" s="326"/>
      <c r="AG162" s="327"/>
      <c r="AH162" s="607"/>
      <c r="AI162" s="326"/>
      <c r="AJ162" s="327"/>
      <c r="AK162" s="497"/>
      <c r="AL162" s="326"/>
      <c r="AM162" s="327"/>
      <c r="AN162" s="44"/>
      <c r="AO162" s="45"/>
      <c r="AP162" s="44"/>
      <c r="AQ162" s="45"/>
      <c r="AR162" s="44"/>
      <c r="AS162" s="45"/>
      <c r="AT162" s="44"/>
      <c r="AU162" s="45"/>
      <c r="AV162" s="44"/>
      <c r="AW162" s="45"/>
      <c r="AX162" s="44"/>
      <c r="AY162" s="45"/>
      <c r="AZ162" s="50"/>
      <c r="BA162" s="47"/>
      <c r="BB162" s="50"/>
      <c r="BC162" s="47"/>
      <c r="BD162" s="50"/>
      <c r="BE162" s="47"/>
      <c r="BF162" s="50"/>
      <c r="BG162" s="47"/>
      <c r="BH162" s="50"/>
      <c r="BI162" s="608" t="s">
        <v>307</v>
      </c>
      <c r="BJ162" s="326"/>
      <c r="BK162" s="326"/>
      <c r="BL162" s="326"/>
      <c r="BM162" s="326"/>
      <c r="BN162" s="326"/>
      <c r="BO162" s="326"/>
      <c r="BP162" s="326"/>
      <c r="BQ162" s="326"/>
      <c r="BR162" s="326"/>
      <c r="BS162" s="326"/>
      <c r="BT162" s="326"/>
      <c r="BU162" s="326"/>
      <c r="BV162" s="327"/>
    </row>
    <row r="163" spans="1:74" ht="30" customHeight="1" x14ac:dyDescent="0.25">
      <c r="A163" s="49">
        <f t="shared" si="0"/>
        <v>149</v>
      </c>
      <c r="B163" s="42" t="s">
        <v>334</v>
      </c>
      <c r="C163" s="43"/>
      <c r="D163" s="609"/>
      <c r="E163" s="326"/>
      <c r="F163" s="326"/>
      <c r="G163" s="326"/>
      <c r="H163" s="326"/>
      <c r="I163" s="326"/>
      <c r="J163" s="326"/>
      <c r="K163" s="327"/>
      <c r="L163" s="610"/>
      <c r="M163" s="326"/>
      <c r="N163" s="326"/>
      <c r="O163" s="327"/>
      <c r="P163" s="609"/>
      <c r="Q163" s="326"/>
      <c r="R163" s="326"/>
      <c r="S163" s="327"/>
      <c r="T163" s="610"/>
      <c r="U163" s="326"/>
      <c r="V163" s="326"/>
      <c r="W163" s="327"/>
      <c r="X163" s="609"/>
      <c r="Y163" s="326"/>
      <c r="Z163" s="326"/>
      <c r="AA163" s="327"/>
      <c r="AB163" s="451"/>
      <c r="AC163" s="326"/>
      <c r="AD163" s="327"/>
      <c r="AE163" s="526"/>
      <c r="AF163" s="326"/>
      <c r="AG163" s="327"/>
      <c r="AH163" s="607"/>
      <c r="AI163" s="326"/>
      <c r="AJ163" s="327"/>
      <c r="AK163" s="497"/>
      <c r="AL163" s="326"/>
      <c r="AM163" s="327"/>
      <c r="AN163" s="44"/>
      <c r="AO163" s="45"/>
      <c r="AP163" s="44"/>
      <c r="AQ163" s="45"/>
      <c r="AR163" s="44"/>
      <c r="AS163" s="45"/>
      <c r="AT163" s="44"/>
      <c r="AU163" s="45"/>
      <c r="AV163" s="44"/>
      <c r="AW163" s="45"/>
      <c r="AX163" s="44"/>
      <c r="AY163" s="45"/>
      <c r="AZ163" s="50"/>
      <c r="BA163" s="47"/>
      <c r="BB163" s="50"/>
      <c r="BC163" s="47"/>
      <c r="BD163" s="50"/>
      <c r="BE163" s="47"/>
      <c r="BF163" s="50"/>
      <c r="BG163" s="47"/>
      <c r="BH163" s="50"/>
      <c r="BI163" s="608" t="s">
        <v>307</v>
      </c>
      <c r="BJ163" s="326"/>
      <c r="BK163" s="326"/>
      <c r="BL163" s="326"/>
      <c r="BM163" s="326"/>
      <c r="BN163" s="326"/>
      <c r="BO163" s="326"/>
      <c r="BP163" s="326"/>
      <c r="BQ163" s="326"/>
      <c r="BR163" s="326"/>
      <c r="BS163" s="326"/>
      <c r="BT163" s="326"/>
      <c r="BU163" s="326"/>
      <c r="BV163" s="327"/>
    </row>
    <row r="164" spans="1:74" ht="30" customHeight="1" x14ac:dyDescent="0.25">
      <c r="A164" s="49">
        <f t="shared" si="0"/>
        <v>150</v>
      </c>
      <c r="B164" s="42" t="s">
        <v>334</v>
      </c>
      <c r="C164" s="43"/>
      <c r="D164" s="609"/>
      <c r="E164" s="326"/>
      <c r="F164" s="326"/>
      <c r="G164" s="326"/>
      <c r="H164" s="326"/>
      <c r="I164" s="326"/>
      <c r="J164" s="326"/>
      <c r="K164" s="327"/>
      <c r="L164" s="610"/>
      <c r="M164" s="326"/>
      <c r="N164" s="326"/>
      <c r="O164" s="327"/>
      <c r="P164" s="609"/>
      <c r="Q164" s="326"/>
      <c r="R164" s="326"/>
      <c r="S164" s="327"/>
      <c r="T164" s="610"/>
      <c r="U164" s="326"/>
      <c r="V164" s="326"/>
      <c r="W164" s="327"/>
      <c r="X164" s="609"/>
      <c r="Y164" s="326"/>
      <c r="Z164" s="326"/>
      <c r="AA164" s="327"/>
      <c r="AB164" s="451"/>
      <c r="AC164" s="326"/>
      <c r="AD164" s="327"/>
      <c r="AE164" s="526"/>
      <c r="AF164" s="326"/>
      <c r="AG164" s="327"/>
      <c r="AH164" s="607"/>
      <c r="AI164" s="326"/>
      <c r="AJ164" s="327"/>
      <c r="AK164" s="497"/>
      <c r="AL164" s="326"/>
      <c r="AM164" s="327"/>
      <c r="AN164" s="44"/>
      <c r="AO164" s="45"/>
      <c r="AP164" s="44"/>
      <c r="AQ164" s="45"/>
      <c r="AR164" s="44"/>
      <c r="AS164" s="45"/>
      <c r="AT164" s="44"/>
      <c r="AU164" s="45"/>
      <c r="AV164" s="44"/>
      <c r="AW164" s="45"/>
      <c r="AX164" s="44"/>
      <c r="AY164" s="45"/>
      <c r="AZ164" s="50"/>
      <c r="BA164" s="47"/>
      <c r="BB164" s="50"/>
      <c r="BC164" s="47"/>
      <c r="BD164" s="50"/>
      <c r="BE164" s="47"/>
      <c r="BF164" s="50"/>
      <c r="BG164" s="47"/>
      <c r="BH164" s="50"/>
      <c r="BI164" s="608" t="s">
        <v>307</v>
      </c>
      <c r="BJ164" s="326"/>
      <c r="BK164" s="326"/>
      <c r="BL164" s="326"/>
      <c r="BM164" s="326"/>
      <c r="BN164" s="326"/>
      <c r="BO164" s="326"/>
      <c r="BP164" s="326"/>
      <c r="BQ164" s="326"/>
      <c r="BR164" s="326"/>
      <c r="BS164" s="326"/>
      <c r="BT164" s="326"/>
      <c r="BU164" s="326"/>
      <c r="BV164" s="327"/>
    </row>
    <row r="165" spans="1:74" ht="30" customHeight="1" x14ac:dyDescent="0.25">
      <c r="A165" s="49">
        <f t="shared" si="0"/>
        <v>151</v>
      </c>
      <c r="B165" s="42" t="s">
        <v>334</v>
      </c>
      <c r="C165" s="43"/>
      <c r="D165" s="609"/>
      <c r="E165" s="326"/>
      <c r="F165" s="326"/>
      <c r="G165" s="326"/>
      <c r="H165" s="326"/>
      <c r="I165" s="326"/>
      <c r="J165" s="326"/>
      <c r="K165" s="327"/>
      <c r="L165" s="610"/>
      <c r="M165" s="326"/>
      <c r="N165" s="326"/>
      <c r="O165" s="327"/>
      <c r="P165" s="609"/>
      <c r="Q165" s="326"/>
      <c r="R165" s="326"/>
      <c r="S165" s="327"/>
      <c r="T165" s="610"/>
      <c r="U165" s="326"/>
      <c r="V165" s="326"/>
      <c r="W165" s="327"/>
      <c r="X165" s="609"/>
      <c r="Y165" s="326"/>
      <c r="Z165" s="326"/>
      <c r="AA165" s="327"/>
      <c r="AB165" s="451"/>
      <c r="AC165" s="326"/>
      <c r="AD165" s="327"/>
      <c r="AE165" s="526"/>
      <c r="AF165" s="326"/>
      <c r="AG165" s="327"/>
      <c r="AH165" s="607"/>
      <c r="AI165" s="326"/>
      <c r="AJ165" s="327"/>
      <c r="AK165" s="497"/>
      <c r="AL165" s="326"/>
      <c r="AM165" s="327"/>
      <c r="AN165" s="44"/>
      <c r="AO165" s="45"/>
      <c r="AP165" s="44"/>
      <c r="AQ165" s="45"/>
      <c r="AR165" s="44"/>
      <c r="AS165" s="45"/>
      <c r="AT165" s="44"/>
      <c r="AU165" s="45"/>
      <c r="AV165" s="44"/>
      <c r="AW165" s="45"/>
      <c r="AX165" s="44"/>
      <c r="AY165" s="45"/>
      <c r="AZ165" s="50"/>
      <c r="BA165" s="47"/>
      <c r="BB165" s="50"/>
      <c r="BC165" s="47"/>
      <c r="BD165" s="50"/>
      <c r="BE165" s="47"/>
      <c r="BF165" s="50"/>
      <c r="BG165" s="47"/>
      <c r="BH165" s="50"/>
      <c r="BI165" s="608" t="s">
        <v>307</v>
      </c>
      <c r="BJ165" s="326"/>
      <c r="BK165" s="326"/>
      <c r="BL165" s="326"/>
      <c r="BM165" s="326"/>
      <c r="BN165" s="326"/>
      <c r="BO165" s="326"/>
      <c r="BP165" s="326"/>
      <c r="BQ165" s="326"/>
      <c r="BR165" s="326"/>
      <c r="BS165" s="326"/>
      <c r="BT165" s="326"/>
      <c r="BU165" s="326"/>
      <c r="BV165" s="327"/>
    </row>
    <row r="166" spans="1:74" ht="30" customHeight="1" x14ac:dyDescent="0.25">
      <c r="A166" s="49">
        <f t="shared" si="0"/>
        <v>152</v>
      </c>
      <c r="B166" s="42" t="s">
        <v>334</v>
      </c>
      <c r="C166" s="43"/>
      <c r="D166" s="609"/>
      <c r="E166" s="326"/>
      <c r="F166" s="326"/>
      <c r="G166" s="326"/>
      <c r="H166" s="326"/>
      <c r="I166" s="326"/>
      <c r="J166" s="326"/>
      <c r="K166" s="327"/>
      <c r="L166" s="610"/>
      <c r="M166" s="326"/>
      <c r="N166" s="326"/>
      <c r="O166" s="327"/>
      <c r="P166" s="609"/>
      <c r="Q166" s="326"/>
      <c r="R166" s="326"/>
      <c r="S166" s="327"/>
      <c r="T166" s="610"/>
      <c r="U166" s="326"/>
      <c r="V166" s="326"/>
      <c r="W166" s="327"/>
      <c r="X166" s="609"/>
      <c r="Y166" s="326"/>
      <c r="Z166" s="326"/>
      <c r="AA166" s="327"/>
      <c r="AB166" s="451"/>
      <c r="AC166" s="326"/>
      <c r="AD166" s="327"/>
      <c r="AE166" s="526"/>
      <c r="AF166" s="326"/>
      <c r="AG166" s="327"/>
      <c r="AH166" s="607"/>
      <c r="AI166" s="326"/>
      <c r="AJ166" s="327"/>
      <c r="AK166" s="497"/>
      <c r="AL166" s="326"/>
      <c r="AM166" s="327"/>
      <c r="AN166" s="44"/>
      <c r="AO166" s="45"/>
      <c r="AP166" s="44"/>
      <c r="AQ166" s="45"/>
      <c r="AR166" s="44"/>
      <c r="AS166" s="45"/>
      <c r="AT166" s="44"/>
      <c r="AU166" s="45"/>
      <c r="AV166" s="44"/>
      <c r="AW166" s="45"/>
      <c r="AX166" s="44"/>
      <c r="AY166" s="45"/>
      <c r="AZ166" s="50"/>
      <c r="BA166" s="47"/>
      <c r="BB166" s="50"/>
      <c r="BC166" s="47"/>
      <c r="BD166" s="50"/>
      <c r="BE166" s="47"/>
      <c r="BF166" s="50"/>
      <c r="BG166" s="47"/>
      <c r="BH166" s="50"/>
      <c r="BI166" s="608" t="s">
        <v>303</v>
      </c>
      <c r="BJ166" s="326"/>
      <c r="BK166" s="326"/>
      <c r="BL166" s="326"/>
      <c r="BM166" s="326"/>
      <c r="BN166" s="326"/>
      <c r="BO166" s="326"/>
      <c r="BP166" s="326"/>
      <c r="BQ166" s="326"/>
      <c r="BR166" s="326"/>
      <c r="BS166" s="326"/>
      <c r="BT166" s="326"/>
      <c r="BU166" s="326"/>
      <c r="BV166" s="327"/>
    </row>
    <row r="167" spans="1:74" ht="30" customHeight="1" x14ac:dyDescent="0.25">
      <c r="A167" s="49">
        <f t="shared" si="0"/>
        <v>153</v>
      </c>
      <c r="B167" s="42" t="s">
        <v>334</v>
      </c>
      <c r="C167" s="43"/>
      <c r="D167" s="609"/>
      <c r="E167" s="326"/>
      <c r="F167" s="326"/>
      <c r="G167" s="326"/>
      <c r="H167" s="326"/>
      <c r="I167" s="326"/>
      <c r="J167" s="326"/>
      <c r="K167" s="327"/>
      <c r="L167" s="610"/>
      <c r="M167" s="326"/>
      <c r="N167" s="326"/>
      <c r="O167" s="327"/>
      <c r="P167" s="609"/>
      <c r="Q167" s="326"/>
      <c r="R167" s="326"/>
      <c r="S167" s="327"/>
      <c r="T167" s="610"/>
      <c r="U167" s="326"/>
      <c r="V167" s="326"/>
      <c r="W167" s="327"/>
      <c r="X167" s="609"/>
      <c r="Y167" s="326"/>
      <c r="Z167" s="326"/>
      <c r="AA167" s="327"/>
      <c r="AB167" s="451"/>
      <c r="AC167" s="326"/>
      <c r="AD167" s="327"/>
      <c r="AE167" s="526"/>
      <c r="AF167" s="326"/>
      <c r="AG167" s="327"/>
      <c r="AH167" s="607"/>
      <c r="AI167" s="326"/>
      <c r="AJ167" s="327"/>
      <c r="AK167" s="497"/>
      <c r="AL167" s="326"/>
      <c r="AM167" s="327"/>
      <c r="AN167" s="44"/>
      <c r="AO167" s="45"/>
      <c r="AP167" s="44"/>
      <c r="AQ167" s="45"/>
      <c r="AR167" s="44"/>
      <c r="AS167" s="45"/>
      <c r="AT167" s="44"/>
      <c r="AU167" s="45"/>
      <c r="AV167" s="44"/>
      <c r="AW167" s="45"/>
      <c r="AX167" s="44"/>
      <c r="AY167" s="45"/>
      <c r="AZ167" s="50"/>
      <c r="BA167" s="47"/>
      <c r="BB167" s="50"/>
      <c r="BC167" s="47"/>
      <c r="BD167" s="50"/>
      <c r="BE167" s="47"/>
      <c r="BF167" s="50"/>
      <c r="BG167" s="47"/>
      <c r="BH167" s="50"/>
      <c r="BI167" s="608" t="s">
        <v>303</v>
      </c>
      <c r="BJ167" s="326"/>
      <c r="BK167" s="326"/>
      <c r="BL167" s="326"/>
      <c r="BM167" s="326"/>
      <c r="BN167" s="326"/>
      <c r="BO167" s="326"/>
      <c r="BP167" s="326"/>
      <c r="BQ167" s="326"/>
      <c r="BR167" s="326"/>
      <c r="BS167" s="326"/>
      <c r="BT167" s="326"/>
      <c r="BU167" s="326"/>
      <c r="BV167" s="327"/>
    </row>
    <row r="168" spans="1:74" ht="30" customHeight="1" x14ac:dyDescent="0.25">
      <c r="A168" s="41">
        <f t="shared" si="0"/>
        <v>154</v>
      </c>
      <c r="B168" s="42" t="s">
        <v>334</v>
      </c>
      <c r="C168" s="43"/>
      <c r="D168" s="609"/>
      <c r="E168" s="326"/>
      <c r="F168" s="326"/>
      <c r="G168" s="326"/>
      <c r="H168" s="326"/>
      <c r="I168" s="326"/>
      <c r="J168" s="326"/>
      <c r="K168" s="327"/>
      <c r="L168" s="610"/>
      <c r="M168" s="326"/>
      <c r="N168" s="326"/>
      <c r="O168" s="327"/>
      <c r="P168" s="609"/>
      <c r="Q168" s="326"/>
      <c r="R168" s="326"/>
      <c r="S168" s="327"/>
      <c r="T168" s="610"/>
      <c r="U168" s="326"/>
      <c r="V168" s="326"/>
      <c r="W168" s="327"/>
      <c r="X168" s="609"/>
      <c r="Y168" s="326"/>
      <c r="Z168" s="326"/>
      <c r="AA168" s="327"/>
      <c r="AB168" s="451"/>
      <c r="AC168" s="326"/>
      <c r="AD168" s="327"/>
      <c r="AE168" s="526"/>
      <c r="AF168" s="326"/>
      <c r="AG168" s="327"/>
      <c r="AH168" s="607"/>
      <c r="AI168" s="326"/>
      <c r="AJ168" s="327"/>
      <c r="AK168" s="497"/>
      <c r="AL168" s="326"/>
      <c r="AM168" s="327"/>
      <c r="AN168" s="44"/>
      <c r="AO168" s="45"/>
      <c r="AP168" s="44"/>
      <c r="AQ168" s="45"/>
      <c r="AR168" s="44"/>
      <c r="AS168" s="45"/>
      <c r="AT168" s="44"/>
      <c r="AU168" s="45"/>
      <c r="AV168" s="44"/>
      <c r="AW168" s="45"/>
      <c r="AX168" s="44"/>
      <c r="AY168" s="45"/>
      <c r="AZ168" s="50"/>
      <c r="BA168" s="47"/>
      <c r="BB168" s="50"/>
      <c r="BC168" s="47"/>
      <c r="BD168" s="50"/>
      <c r="BE168" s="47"/>
      <c r="BF168" s="50"/>
      <c r="BG168" s="47"/>
      <c r="BH168" s="50"/>
      <c r="BI168" s="608" t="s">
        <v>307</v>
      </c>
      <c r="BJ168" s="326"/>
      <c r="BK168" s="326"/>
      <c r="BL168" s="326"/>
      <c r="BM168" s="326"/>
      <c r="BN168" s="326"/>
      <c r="BO168" s="326"/>
      <c r="BP168" s="326"/>
      <c r="BQ168" s="326"/>
      <c r="BR168" s="326"/>
      <c r="BS168" s="326"/>
      <c r="BT168" s="326"/>
      <c r="BU168" s="326"/>
      <c r="BV168" s="327"/>
    </row>
    <row r="169" spans="1:74" ht="30" customHeight="1" x14ac:dyDescent="0.25">
      <c r="A169" s="49">
        <f t="shared" si="0"/>
        <v>155</v>
      </c>
      <c r="B169" s="42" t="s">
        <v>334</v>
      </c>
      <c r="C169" s="43"/>
      <c r="D169" s="609"/>
      <c r="E169" s="326"/>
      <c r="F169" s="326"/>
      <c r="G169" s="326"/>
      <c r="H169" s="326"/>
      <c r="I169" s="326"/>
      <c r="J169" s="326"/>
      <c r="K169" s="327"/>
      <c r="L169" s="610"/>
      <c r="M169" s="326"/>
      <c r="N169" s="326"/>
      <c r="O169" s="327"/>
      <c r="P169" s="609"/>
      <c r="Q169" s="326"/>
      <c r="R169" s="326"/>
      <c r="S169" s="327"/>
      <c r="T169" s="610"/>
      <c r="U169" s="326"/>
      <c r="V169" s="326"/>
      <c r="W169" s="327"/>
      <c r="X169" s="609"/>
      <c r="Y169" s="326"/>
      <c r="Z169" s="326"/>
      <c r="AA169" s="327"/>
      <c r="AB169" s="451"/>
      <c r="AC169" s="326"/>
      <c r="AD169" s="327"/>
      <c r="AE169" s="526"/>
      <c r="AF169" s="326"/>
      <c r="AG169" s="327"/>
      <c r="AH169" s="607"/>
      <c r="AI169" s="326"/>
      <c r="AJ169" s="327"/>
      <c r="AK169" s="497"/>
      <c r="AL169" s="326"/>
      <c r="AM169" s="327"/>
      <c r="AN169" s="44"/>
      <c r="AO169" s="45"/>
      <c r="AP169" s="44"/>
      <c r="AQ169" s="45"/>
      <c r="AR169" s="44"/>
      <c r="AS169" s="45"/>
      <c r="AT169" s="44"/>
      <c r="AU169" s="45"/>
      <c r="AV169" s="44"/>
      <c r="AW169" s="45"/>
      <c r="AX169" s="44"/>
      <c r="AY169" s="45"/>
      <c r="AZ169" s="50"/>
      <c r="BA169" s="47"/>
      <c r="BB169" s="50"/>
      <c r="BC169" s="47"/>
      <c r="BD169" s="50"/>
      <c r="BE169" s="47"/>
      <c r="BF169" s="50"/>
      <c r="BG169" s="47"/>
      <c r="BH169" s="50"/>
      <c r="BI169" s="608" t="s">
        <v>307</v>
      </c>
      <c r="BJ169" s="326"/>
      <c r="BK169" s="326"/>
      <c r="BL169" s="326"/>
      <c r="BM169" s="326"/>
      <c r="BN169" s="326"/>
      <c r="BO169" s="326"/>
      <c r="BP169" s="326"/>
      <c r="BQ169" s="326"/>
      <c r="BR169" s="326"/>
      <c r="BS169" s="326"/>
      <c r="BT169" s="326"/>
      <c r="BU169" s="326"/>
      <c r="BV169" s="327"/>
    </row>
    <row r="170" spans="1:74" ht="30" customHeight="1" x14ac:dyDescent="0.25">
      <c r="A170" s="49">
        <f t="shared" si="0"/>
        <v>156</v>
      </c>
      <c r="B170" s="42" t="s">
        <v>334</v>
      </c>
      <c r="C170" s="43"/>
      <c r="D170" s="609"/>
      <c r="E170" s="326"/>
      <c r="F170" s="326"/>
      <c r="G170" s="326"/>
      <c r="H170" s="326"/>
      <c r="I170" s="326"/>
      <c r="J170" s="326"/>
      <c r="K170" s="327"/>
      <c r="L170" s="610"/>
      <c r="M170" s="326"/>
      <c r="N170" s="326"/>
      <c r="O170" s="327"/>
      <c r="P170" s="609"/>
      <c r="Q170" s="326"/>
      <c r="R170" s="326"/>
      <c r="S170" s="327"/>
      <c r="T170" s="610"/>
      <c r="U170" s="326"/>
      <c r="V170" s="326"/>
      <c r="W170" s="327"/>
      <c r="X170" s="609"/>
      <c r="Y170" s="326"/>
      <c r="Z170" s="326"/>
      <c r="AA170" s="327"/>
      <c r="AB170" s="451"/>
      <c r="AC170" s="326"/>
      <c r="AD170" s="327"/>
      <c r="AE170" s="526"/>
      <c r="AF170" s="326"/>
      <c r="AG170" s="327"/>
      <c r="AH170" s="607"/>
      <c r="AI170" s="326"/>
      <c r="AJ170" s="327"/>
      <c r="AK170" s="497"/>
      <c r="AL170" s="326"/>
      <c r="AM170" s="327"/>
      <c r="AN170" s="44"/>
      <c r="AO170" s="45"/>
      <c r="AP170" s="44"/>
      <c r="AQ170" s="45"/>
      <c r="AR170" s="44"/>
      <c r="AS170" s="45"/>
      <c r="AT170" s="44"/>
      <c r="AU170" s="45"/>
      <c r="AV170" s="44"/>
      <c r="AW170" s="45"/>
      <c r="AX170" s="44"/>
      <c r="AY170" s="45"/>
      <c r="AZ170" s="50"/>
      <c r="BA170" s="47"/>
      <c r="BB170" s="50"/>
      <c r="BC170" s="47"/>
      <c r="BD170" s="50"/>
      <c r="BE170" s="47"/>
      <c r="BF170" s="50"/>
      <c r="BG170" s="47"/>
      <c r="BH170" s="50"/>
      <c r="BI170" s="608" t="s">
        <v>307</v>
      </c>
      <c r="BJ170" s="326"/>
      <c r="BK170" s="326"/>
      <c r="BL170" s="326"/>
      <c r="BM170" s="326"/>
      <c r="BN170" s="326"/>
      <c r="BO170" s="326"/>
      <c r="BP170" s="326"/>
      <c r="BQ170" s="326"/>
      <c r="BR170" s="326"/>
      <c r="BS170" s="326"/>
      <c r="BT170" s="326"/>
      <c r="BU170" s="326"/>
      <c r="BV170" s="327"/>
    </row>
    <row r="171" spans="1:74" ht="30" customHeight="1" x14ac:dyDescent="0.25">
      <c r="A171" s="49">
        <f t="shared" si="0"/>
        <v>157</v>
      </c>
      <c r="B171" s="42" t="s">
        <v>334</v>
      </c>
      <c r="C171" s="43"/>
      <c r="D171" s="609"/>
      <c r="E171" s="326"/>
      <c r="F171" s="326"/>
      <c r="G171" s="326"/>
      <c r="H171" s="326"/>
      <c r="I171" s="326"/>
      <c r="J171" s="326"/>
      <c r="K171" s="327"/>
      <c r="L171" s="610"/>
      <c r="M171" s="326"/>
      <c r="N171" s="326"/>
      <c r="O171" s="327"/>
      <c r="P171" s="609"/>
      <c r="Q171" s="326"/>
      <c r="R171" s="326"/>
      <c r="S171" s="327"/>
      <c r="T171" s="610"/>
      <c r="U171" s="326"/>
      <c r="V171" s="326"/>
      <c r="W171" s="327"/>
      <c r="X171" s="609"/>
      <c r="Y171" s="326"/>
      <c r="Z171" s="326"/>
      <c r="AA171" s="327"/>
      <c r="AB171" s="451"/>
      <c r="AC171" s="326"/>
      <c r="AD171" s="327"/>
      <c r="AE171" s="526"/>
      <c r="AF171" s="326"/>
      <c r="AG171" s="327"/>
      <c r="AH171" s="607"/>
      <c r="AI171" s="326"/>
      <c r="AJ171" s="327"/>
      <c r="AK171" s="497"/>
      <c r="AL171" s="326"/>
      <c r="AM171" s="327"/>
      <c r="AN171" s="44"/>
      <c r="AO171" s="45"/>
      <c r="AP171" s="44"/>
      <c r="AQ171" s="45"/>
      <c r="AR171" s="44"/>
      <c r="AS171" s="45"/>
      <c r="AT171" s="44"/>
      <c r="AU171" s="45"/>
      <c r="AV171" s="44"/>
      <c r="AW171" s="45"/>
      <c r="AX171" s="44"/>
      <c r="AY171" s="45"/>
      <c r="AZ171" s="50"/>
      <c r="BA171" s="47"/>
      <c r="BB171" s="50"/>
      <c r="BC171" s="47"/>
      <c r="BD171" s="50"/>
      <c r="BE171" s="47"/>
      <c r="BF171" s="50"/>
      <c r="BG171" s="47"/>
      <c r="BH171" s="50"/>
      <c r="BI171" s="608" t="s">
        <v>307</v>
      </c>
      <c r="BJ171" s="326"/>
      <c r="BK171" s="326"/>
      <c r="BL171" s="326"/>
      <c r="BM171" s="326"/>
      <c r="BN171" s="326"/>
      <c r="BO171" s="326"/>
      <c r="BP171" s="326"/>
      <c r="BQ171" s="326"/>
      <c r="BR171" s="326"/>
      <c r="BS171" s="326"/>
      <c r="BT171" s="326"/>
      <c r="BU171" s="326"/>
      <c r="BV171" s="327"/>
    </row>
    <row r="172" spans="1:74" ht="30" customHeight="1" x14ac:dyDescent="0.25">
      <c r="A172" s="49">
        <f t="shared" si="0"/>
        <v>158</v>
      </c>
      <c r="B172" s="42" t="s">
        <v>334</v>
      </c>
      <c r="C172" s="43"/>
      <c r="D172" s="609"/>
      <c r="E172" s="326"/>
      <c r="F172" s="326"/>
      <c r="G172" s="326"/>
      <c r="H172" s="326"/>
      <c r="I172" s="326"/>
      <c r="J172" s="326"/>
      <c r="K172" s="327"/>
      <c r="L172" s="610"/>
      <c r="M172" s="326"/>
      <c r="N172" s="326"/>
      <c r="O172" s="327"/>
      <c r="P172" s="609"/>
      <c r="Q172" s="326"/>
      <c r="R172" s="326"/>
      <c r="S172" s="327"/>
      <c r="T172" s="610"/>
      <c r="U172" s="326"/>
      <c r="V172" s="326"/>
      <c r="W172" s="327"/>
      <c r="X172" s="609"/>
      <c r="Y172" s="326"/>
      <c r="Z172" s="326"/>
      <c r="AA172" s="327"/>
      <c r="AB172" s="451"/>
      <c r="AC172" s="326"/>
      <c r="AD172" s="327"/>
      <c r="AE172" s="526"/>
      <c r="AF172" s="326"/>
      <c r="AG172" s="327"/>
      <c r="AH172" s="607"/>
      <c r="AI172" s="326"/>
      <c r="AJ172" s="327"/>
      <c r="AK172" s="497"/>
      <c r="AL172" s="326"/>
      <c r="AM172" s="327"/>
      <c r="AN172" s="44"/>
      <c r="AO172" s="45"/>
      <c r="AP172" s="44"/>
      <c r="AQ172" s="45"/>
      <c r="AR172" s="44"/>
      <c r="AS172" s="45"/>
      <c r="AT172" s="44"/>
      <c r="AU172" s="45"/>
      <c r="AV172" s="44"/>
      <c r="AW172" s="45"/>
      <c r="AX172" s="44"/>
      <c r="AY172" s="45"/>
      <c r="AZ172" s="50"/>
      <c r="BA172" s="47"/>
      <c r="BB172" s="50"/>
      <c r="BC172" s="47"/>
      <c r="BD172" s="50"/>
      <c r="BE172" s="47"/>
      <c r="BF172" s="50"/>
      <c r="BG172" s="47"/>
      <c r="BH172" s="50"/>
      <c r="BI172" s="608" t="s">
        <v>307</v>
      </c>
      <c r="BJ172" s="326"/>
      <c r="BK172" s="326"/>
      <c r="BL172" s="326"/>
      <c r="BM172" s="326"/>
      <c r="BN172" s="326"/>
      <c r="BO172" s="326"/>
      <c r="BP172" s="326"/>
      <c r="BQ172" s="326"/>
      <c r="BR172" s="326"/>
      <c r="BS172" s="326"/>
      <c r="BT172" s="326"/>
      <c r="BU172" s="326"/>
      <c r="BV172" s="327"/>
    </row>
    <row r="173" spans="1:74" ht="30" customHeight="1" x14ac:dyDescent="0.25">
      <c r="A173" s="49">
        <f t="shared" si="0"/>
        <v>159</v>
      </c>
      <c r="B173" s="42" t="s">
        <v>334</v>
      </c>
      <c r="C173" s="43"/>
      <c r="D173" s="609"/>
      <c r="E173" s="326"/>
      <c r="F173" s="326"/>
      <c r="G173" s="326"/>
      <c r="H173" s="326"/>
      <c r="I173" s="326"/>
      <c r="J173" s="326"/>
      <c r="K173" s="327"/>
      <c r="L173" s="610"/>
      <c r="M173" s="326"/>
      <c r="N173" s="326"/>
      <c r="O173" s="327"/>
      <c r="P173" s="609"/>
      <c r="Q173" s="326"/>
      <c r="R173" s="326"/>
      <c r="S173" s="327"/>
      <c r="T173" s="610"/>
      <c r="U173" s="326"/>
      <c r="V173" s="326"/>
      <c r="W173" s="327"/>
      <c r="X173" s="609"/>
      <c r="Y173" s="326"/>
      <c r="Z173" s="326"/>
      <c r="AA173" s="327"/>
      <c r="AB173" s="451"/>
      <c r="AC173" s="326"/>
      <c r="AD173" s="327"/>
      <c r="AE173" s="526"/>
      <c r="AF173" s="326"/>
      <c r="AG173" s="327"/>
      <c r="AH173" s="607"/>
      <c r="AI173" s="326"/>
      <c r="AJ173" s="327"/>
      <c r="AK173" s="497"/>
      <c r="AL173" s="326"/>
      <c r="AM173" s="327"/>
      <c r="AN173" s="44"/>
      <c r="AO173" s="45"/>
      <c r="AP173" s="44"/>
      <c r="AQ173" s="45"/>
      <c r="AR173" s="44"/>
      <c r="AS173" s="45"/>
      <c r="AT173" s="44"/>
      <c r="AU173" s="45"/>
      <c r="AV173" s="44"/>
      <c r="AW173" s="45"/>
      <c r="AX173" s="44"/>
      <c r="AY173" s="45"/>
      <c r="AZ173" s="50"/>
      <c r="BA173" s="47"/>
      <c r="BB173" s="50"/>
      <c r="BC173" s="47"/>
      <c r="BD173" s="50"/>
      <c r="BE173" s="47"/>
      <c r="BF173" s="50"/>
      <c r="BG173" s="47"/>
      <c r="BH173" s="50"/>
      <c r="BI173" s="608" t="s">
        <v>303</v>
      </c>
      <c r="BJ173" s="326"/>
      <c r="BK173" s="326"/>
      <c r="BL173" s="326"/>
      <c r="BM173" s="326"/>
      <c r="BN173" s="326"/>
      <c r="BO173" s="326"/>
      <c r="BP173" s="326"/>
      <c r="BQ173" s="326"/>
      <c r="BR173" s="326"/>
      <c r="BS173" s="326"/>
      <c r="BT173" s="326"/>
      <c r="BU173" s="326"/>
      <c r="BV173" s="327"/>
    </row>
    <row r="174" spans="1:74" ht="30" customHeight="1" x14ac:dyDescent="0.25">
      <c r="A174" s="49">
        <f t="shared" si="0"/>
        <v>160</v>
      </c>
      <c r="B174" s="42" t="s">
        <v>334</v>
      </c>
      <c r="C174" s="43"/>
      <c r="D174" s="609"/>
      <c r="E174" s="326"/>
      <c r="F174" s="326"/>
      <c r="G174" s="326"/>
      <c r="H174" s="326"/>
      <c r="I174" s="326"/>
      <c r="J174" s="326"/>
      <c r="K174" s="327"/>
      <c r="L174" s="610"/>
      <c r="M174" s="326"/>
      <c r="N174" s="326"/>
      <c r="O174" s="327"/>
      <c r="P174" s="609"/>
      <c r="Q174" s="326"/>
      <c r="R174" s="326"/>
      <c r="S174" s="327"/>
      <c r="T174" s="610"/>
      <c r="U174" s="326"/>
      <c r="V174" s="326"/>
      <c r="W174" s="327"/>
      <c r="X174" s="609"/>
      <c r="Y174" s="326"/>
      <c r="Z174" s="326"/>
      <c r="AA174" s="327"/>
      <c r="AB174" s="451"/>
      <c r="AC174" s="326"/>
      <c r="AD174" s="327"/>
      <c r="AE174" s="526"/>
      <c r="AF174" s="326"/>
      <c r="AG174" s="327"/>
      <c r="AH174" s="607"/>
      <c r="AI174" s="326"/>
      <c r="AJ174" s="327"/>
      <c r="AK174" s="497"/>
      <c r="AL174" s="326"/>
      <c r="AM174" s="327"/>
      <c r="AN174" s="44"/>
      <c r="AO174" s="45"/>
      <c r="AP174" s="44"/>
      <c r="AQ174" s="45"/>
      <c r="AR174" s="44"/>
      <c r="AS174" s="45"/>
      <c r="AT174" s="44"/>
      <c r="AU174" s="45"/>
      <c r="AV174" s="44"/>
      <c r="AW174" s="45"/>
      <c r="AX174" s="44"/>
      <c r="AY174" s="45"/>
      <c r="AZ174" s="50"/>
      <c r="BA174" s="47"/>
      <c r="BB174" s="50"/>
      <c r="BC174" s="47"/>
      <c r="BD174" s="50"/>
      <c r="BE174" s="47"/>
      <c r="BF174" s="50"/>
      <c r="BG174" s="47"/>
      <c r="BH174" s="50"/>
      <c r="BI174" s="608" t="s">
        <v>303</v>
      </c>
      <c r="BJ174" s="326"/>
      <c r="BK174" s="326"/>
      <c r="BL174" s="326"/>
      <c r="BM174" s="326"/>
      <c r="BN174" s="326"/>
      <c r="BO174" s="326"/>
      <c r="BP174" s="326"/>
      <c r="BQ174" s="326"/>
      <c r="BR174" s="326"/>
      <c r="BS174" s="326"/>
      <c r="BT174" s="326"/>
      <c r="BU174" s="326"/>
      <c r="BV174" s="327"/>
    </row>
    <row r="175" spans="1:74" ht="30" customHeight="1" x14ac:dyDescent="0.25">
      <c r="A175" s="41">
        <f t="shared" si="0"/>
        <v>161</v>
      </c>
      <c r="B175" s="42" t="s">
        <v>334</v>
      </c>
      <c r="C175" s="43"/>
      <c r="D175" s="609"/>
      <c r="E175" s="326"/>
      <c r="F175" s="326"/>
      <c r="G175" s="326"/>
      <c r="H175" s="326"/>
      <c r="I175" s="326"/>
      <c r="J175" s="326"/>
      <c r="K175" s="327"/>
      <c r="L175" s="610"/>
      <c r="M175" s="326"/>
      <c r="N175" s="326"/>
      <c r="O175" s="327"/>
      <c r="P175" s="609"/>
      <c r="Q175" s="326"/>
      <c r="R175" s="326"/>
      <c r="S175" s="327"/>
      <c r="T175" s="610"/>
      <c r="U175" s="326"/>
      <c r="V175" s="326"/>
      <c r="W175" s="327"/>
      <c r="X175" s="609"/>
      <c r="Y175" s="326"/>
      <c r="Z175" s="326"/>
      <c r="AA175" s="327"/>
      <c r="AB175" s="451"/>
      <c r="AC175" s="326"/>
      <c r="AD175" s="327"/>
      <c r="AE175" s="526"/>
      <c r="AF175" s="326"/>
      <c r="AG175" s="327"/>
      <c r="AH175" s="607"/>
      <c r="AI175" s="326"/>
      <c r="AJ175" s="327"/>
      <c r="AK175" s="497"/>
      <c r="AL175" s="326"/>
      <c r="AM175" s="327"/>
      <c r="AN175" s="44"/>
      <c r="AO175" s="45"/>
      <c r="AP175" s="44"/>
      <c r="AQ175" s="45"/>
      <c r="AR175" s="44"/>
      <c r="AS175" s="45"/>
      <c r="AT175" s="44"/>
      <c r="AU175" s="45"/>
      <c r="AV175" s="44"/>
      <c r="AW175" s="45"/>
      <c r="AX175" s="44"/>
      <c r="AY175" s="45"/>
      <c r="AZ175" s="50"/>
      <c r="BA175" s="47"/>
      <c r="BB175" s="50"/>
      <c r="BC175" s="47"/>
      <c r="BD175" s="50"/>
      <c r="BE175" s="47"/>
      <c r="BF175" s="50"/>
      <c r="BG175" s="47"/>
      <c r="BH175" s="50"/>
      <c r="BI175" s="608" t="s">
        <v>307</v>
      </c>
      <c r="BJ175" s="326"/>
      <c r="BK175" s="326"/>
      <c r="BL175" s="326"/>
      <c r="BM175" s="326"/>
      <c r="BN175" s="326"/>
      <c r="BO175" s="326"/>
      <c r="BP175" s="326"/>
      <c r="BQ175" s="326"/>
      <c r="BR175" s="326"/>
      <c r="BS175" s="326"/>
      <c r="BT175" s="326"/>
      <c r="BU175" s="326"/>
      <c r="BV175" s="327"/>
    </row>
    <row r="176" spans="1:74" ht="30" customHeight="1" x14ac:dyDescent="0.25">
      <c r="A176" s="49">
        <f t="shared" si="0"/>
        <v>162</v>
      </c>
      <c r="B176" s="42" t="s">
        <v>334</v>
      </c>
      <c r="C176" s="43"/>
      <c r="D176" s="609"/>
      <c r="E176" s="326"/>
      <c r="F176" s="326"/>
      <c r="G176" s="326"/>
      <c r="H176" s="326"/>
      <c r="I176" s="326"/>
      <c r="J176" s="326"/>
      <c r="K176" s="327"/>
      <c r="L176" s="610"/>
      <c r="M176" s="326"/>
      <c r="N176" s="326"/>
      <c r="O176" s="327"/>
      <c r="P176" s="609"/>
      <c r="Q176" s="326"/>
      <c r="R176" s="326"/>
      <c r="S176" s="327"/>
      <c r="T176" s="610"/>
      <c r="U176" s="326"/>
      <c r="V176" s="326"/>
      <c r="W176" s="327"/>
      <c r="X176" s="609"/>
      <c r="Y176" s="326"/>
      <c r="Z176" s="326"/>
      <c r="AA176" s="327"/>
      <c r="AB176" s="451"/>
      <c r="AC176" s="326"/>
      <c r="AD176" s="327"/>
      <c r="AE176" s="526"/>
      <c r="AF176" s="326"/>
      <c r="AG176" s="327"/>
      <c r="AH176" s="607"/>
      <c r="AI176" s="326"/>
      <c r="AJ176" s="327"/>
      <c r="AK176" s="497"/>
      <c r="AL176" s="326"/>
      <c r="AM176" s="327"/>
      <c r="AN176" s="44"/>
      <c r="AO176" s="45"/>
      <c r="AP176" s="44"/>
      <c r="AQ176" s="45"/>
      <c r="AR176" s="44"/>
      <c r="AS176" s="45"/>
      <c r="AT176" s="44"/>
      <c r="AU176" s="45"/>
      <c r="AV176" s="44"/>
      <c r="AW176" s="45"/>
      <c r="AX176" s="44"/>
      <c r="AY176" s="45"/>
      <c r="AZ176" s="50"/>
      <c r="BA176" s="47"/>
      <c r="BB176" s="50"/>
      <c r="BC176" s="47"/>
      <c r="BD176" s="50"/>
      <c r="BE176" s="47"/>
      <c r="BF176" s="50"/>
      <c r="BG176" s="47"/>
      <c r="BH176" s="50"/>
      <c r="BI176" s="608" t="s">
        <v>307</v>
      </c>
      <c r="BJ176" s="326"/>
      <c r="BK176" s="326"/>
      <c r="BL176" s="326"/>
      <c r="BM176" s="326"/>
      <c r="BN176" s="326"/>
      <c r="BO176" s="326"/>
      <c r="BP176" s="326"/>
      <c r="BQ176" s="326"/>
      <c r="BR176" s="326"/>
      <c r="BS176" s="326"/>
      <c r="BT176" s="326"/>
      <c r="BU176" s="326"/>
      <c r="BV176" s="327"/>
    </row>
    <row r="177" spans="1:74" ht="30" customHeight="1" x14ac:dyDescent="0.25">
      <c r="A177" s="49">
        <f t="shared" si="0"/>
        <v>163</v>
      </c>
      <c r="B177" s="42" t="s">
        <v>334</v>
      </c>
      <c r="C177" s="43"/>
      <c r="D177" s="609"/>
      <c r="E177" s="326"/>
      <c r="F177" s="326"/>
      <c r="G177" s="326"/>
      <c r="H177" s="326"/>
      <c r="I177" s="326"/>
      <c r="J177" s="326"/>
      <c r="K177" s="327"/>
      <c r="L177" s="610"/>
      <c r="M177" s="326"/>
      <c r="N177" s="326"/>
      <c r="O177" s="327"/>
      <c r="P177" s="609"/>
      <c r="Q177" s="326"/>
      <c r="R177" s="326"/>
      <c r="S177" s="327"/>
      <c r="T177" s="610"/>
      <c r="U177" s="326"/>
      <c r="V177" s="326"/>
      <c r="W177" s="327"/>
      <c r="X177" s="609"/>
      <c r="Y177" s="326"/>
      <c r="Z177" s="326"/>
      <c r="AA177" s="327"/>
      <c r="AB177" s="451"/>
      <c r="AC177" s="326"/>
      <c r="AD177" s="327"/>
      <c r="AE177" s="526"/>
      <c r="AF177" s="326"/>
      <c r="AG177" s="327"/>
      <c r="AH177" s="607"/>
      <c r="AI177" s="326"/>
      <c r="AJ177" s="327"/>
      <c r="AK177" s="497"/>
      <c r="AL177" s="326"/>
      <c r="AM177" s="327"/>
      <c r="AN177" s="44"/>
      <c r="AO177" s="45"/>
      <c r="AP177" s="44"/>
      <c r="AQ177" s="45"/>
      <c r="AR177" s="44"/>
      <c r="AS177" s="45"/>
      <c r="AT177" s="44"/>
      <c r="AU177" s="45"/>
      <c r="AV177" s="44"/>
      <c r="AW177" s="45"/>
      <c r="AX177" s="44"/>
      <c r="AY177" s="45"/>
      <c r="AZ177" s="50"/>
      <c r="BA177" s="47"/>
      <c r="BB177" s="50"/>
      <c r="BC177" s="47"/>
      <c r="BD177" s="50"/>
      <c r="BE177" s="47"/>
      <c r="BF177" s="50"/>
      <c r="BG177" s="47"/>
      <c r="BH177" s="50"/>
      <c r="BI177" s="608" t="s">
        <v>307</v>
      </c>
      <c r="BJ177" s="326"/>
      <c r="BK177" s="326"/>
      <c r="BL177" s="326"/>
      <c r="BM177" s="326"/>
      <c r="BN177" s="326"/>
      <c r="BO177" s="326"/>
      <c r="BP177" s="326"/>
      <c r="BQ177" s="326"/>
      <c r="BR177" s="326"/>
      <c r="BS177" s="326"/>
      <c r="BT177" s="326"/>
      <c r="BU177" s="326"/>
      <c r="BV177" s="327"/>
    </row>
    <row r="178" spans="1:74" ht="30" customHeight="1" x14ac:dyDescent="0.25">
      <c r="A178" s="49">
        <f t="shared" si="0"/>
        <v>164</v>
      </c>
      <c r="B178" s="42" t="s">
        <v>334</v>
      </c>
      <c r="C178" s="43"/>
      <c r="D178" s="609"/>
      <c r="E178" s="326"/>
      <c r="F178" s="326"/>
      <c r="G178" s="326"/>
      <c r="H178" s="326"/>
      <c r="I178" s="326"/>
      <c r="J178" s="326"/>
      <c r="K178" s="327"/>
      <c r="L178" s="610"/>
      <c r="M178" s="326"/>
      <c r="N178" s="326"/>
      <c r="O178" s="327"/>
      <c r="P178" s="609"/>
      <c r="Q178" s="326"/>
      <c r="R178" s="326"/>
      <c r="S178" s="327"/>
      <c r="T178" s="610"/>
      <c r="U178" s="326"/>
      <c r="V178" s="326"/>
      <c r="W178" s="327"/>
      <c r="X178" s="609"/>
      <c r="Y178" s="326"/>
      <c r="Z178" s="326"/>
      <c r="AA178" s="327"/>
      <c r="AB178" s="451"/>
      <c r="AC178" s="326"/>
      <c r="AD178" s="327"/>
      <c r="AE178" s="526"/>
      <c r="AF178" s="326"/>
      <c r="AG178" s="327"/>
      <c r="AH178" s="607"/>
      <c r="AI178" s="326"/>
      <c r="AJ178" s="327"/>
      <c r="AK178" s="497"/>
      <c r="AL178" s="326"/>
      <c r="AM178" s="327"/>
      <c r="AN178" s="44"/>
      <c r="AO178" s="45"/>
      <c r="AP178" s="44"/>
      <c r="AQ178" s="45"/>
      <c r="AR178" s="44"/>
      <c r="AS178" s="45"/>
      <c r="AT178" s="44"/>
      <c r="AU178" s="45"/>
      <c r="AV178" s="44"/>
      <c r="AW178" s="45"/>
      <c r="AX178" s="44"/>
      <c r="AY178" s="45"/>
      <c r="AZ178" s="50"/>
      <c r="BA178" s="47"/>
      <c r="BB178" s="50"/>
      <c r="BC178" s="47"/>
      <c r="BD178" s="50"/>
      <c r="BE178" s="47"/>
      <c r="BF178" s="50"/>
      <c r="BG178" s="47"/>
      <c r="BH178" s="50"/>
      <c r="BI178" s="608" t="s">
        <v>307</v>
      </c>
      <c r="BJ178" s="326"/>
      <c r="BK178" s="326"/>
      <c r="BL178" s="326"/>
      <c r="BM178" s="326"/>
      <c r="BN178" s="326"/>
      <c r="BO178" s="326"/>
      <c r="BP178" s="326"/>
      <c r="BQ178" s="326"/>
      <c r="BR178" s="326"/>
      <c r="BS178" s="326"/>
      <c r="BT178" s="326"/>
      <c r="BU178" s="326"/>
      <c r="BV178" s="327"/>
    </row>
    <row r="179" spans="1:74" ht="30" customHeight="1" x14ac:dyDescent="0.25">
      <c r="A179" s="49">
        <f t="shared" si="0"/>
        <v>165</v>
      </c>
      <c r="B179" s="42" t="s">
        <v>334</v>
      </c>
      <c r="C179" s="43"/>
      <c r="D179" s="609"/>
      <c r="E179" s="326"/>
      <c r="F179" s="326"/>
      <c r="G179" s="326"/>
      <c r="H179" s="326"/>
      <c r="I179" s="326"/>
      <c r="J179" s="326"/>
      <c r="K179" s="327"/>
      <c r="L179" s="610"/>
      <c r="M179" s="326"/>
      <c r="N179" s="326"/>
      <c r="O179" s="327"/>
      <c r="P179" s="609"/>
      <c r="Q179" s="326"/>
      <c r="R179" s="326"/>
      <c r="S179" s="327"/>
      <c r="T179" s="610"/>
      <c r="U179" s="326"/>
      <c r="V179" s="326"/>
      <c r="W179" s="327"/>
      <c r="X179" s="609"/>
      <c r="Y179" s="326"/>
      <c r="Z179" s="326"/>
      <c r="AA179" s="327"/>
      <c r="AB179" s="451"/>
      <c r="AC179" s="326"/>
      <c r="AD179" s="327"/>
      <c r="AE179" s="526"/>
      <c r="AF179" s="326"/>
      <c r="AG179" s="327"/>
      <c r="AH179" s="607"/>
      <c r="AI179" s="326"/>
      <c r="AJ179" s="327"/>
      <c r="AK179" s="497"/>
      <c r="AL179" s="326"/>
      <c r="AM179" s="327"/>
      <c r="AN179" s="44"/>
      <c r="AO179" s="45"/>
      <c r="AP179" s="44"/>
      <c r="AQ179" s="45"/>
      <c r="AR179" s="44"/>
      <c r="AS179" s="45"/>
      <c r="AT179" s="44"/>
      <c r="AU179" s="45"/>
      <c r="AV179" s="44"/>
      <c r="AW179" s="45"/>
      <c r="AX179" s="44"/>
      <c r="AY179" s="45"/>
      <c r="AZ179" s="50"/>
      <c r="BA179" s="47"/>
      <c r="BB179" s="50"/>
      <c r="BC179" s="47"/>
      <c r="BD179" s="50"/>
      <c r="BE179" s="47"/>
      <c r="BF179" s="50"/>
      <c r="BG179" s="47"/>
      <c r="BH179" s="50"/>
      <c r="BI179" s="608" t="s">
        <v>307</v>
      </c>
      <c r="BJ179" s="326"/>
      <c r="BK179" s="326"/>
      <c r="BL179" s="326"/>
      <c r="BM179" s="326"/>
      <c r="BN179" s="326"/>
      <c r="BO179" s="326"/>
      <c r="BP179" s="326"/>
      <c r="BQ179" s="326"/>
      <c r="BR179" s="326"/>
      <c r="BS179" s="326"/>
      <c r="BT179" s="326"/>
      <c r="BU179" s="326"/>
      <c r="BV179" s="327"/>
    </row>
    <row r="180" spans="1:74" ht="30" customHeight="1" x14ac:dyDescent="0.25">
      <c r="A180" s="49">
        <f t="shared" si="0"/>
        <v>166</v>
      </c>
      <c r="B180" s="42" t="s">
        <v>334</v>
      </c>
      <c r="C180" s="43"/>
      <c r="D180" s="609"/>
      <c r="E180" s="326"/>
      <c r="F180" s="326"/>
      <c r="G180" s="326"/>
      <c r="H180" s="326"/>
      <c r="I180" s="326"/>
      <c r="J180" s="326"/>
      <c r="K180" s="327"/>
      <c r="L180" s="610"/>
      <c r="M180" s="326"/>
      <c r="N180" s="326"/>
      <c r="O180" s="327"/>
      <c r="P180" s="609"/>
      <c r="Q180" s="326"/>
      <c r="R180" s="326"/>
      <c r="S180" s="327"/>
      <c r="T180" s="610"/>
      <c r="U180" s="326"/>
      <c r="V180" s="326"/>
      <c r="W180" s="327"/>
      <c r="X180" s="609"/>
      <c r="Y180" s="326"/>
      <c r="Z180" s="326"/>
      <c r="AA180" s="327"/>
      <c r="AB180" s="451"/>
      <c r="AC180" s="326"/>
      <c r="AD180" s="327"/>
      <c r="AE180" s="526"/>
      <c r="AF180" s="326"/>
      <c r="AG180" s="327"/>
      <c r="AH180" s="607"/>
      <c r="AI180" s="326"/>
      <c r="AJ180" s="327"/>
      <c r="AK180" s="497"/>
      <c r="AL180" s="326"/>
      <c r="AM180" s="327"/>
      <c r="AN180" s="44"/>
      <c r="AO180" s="45"/>
      <c r="AP180" s="44"/>
      <c r="AQ180" s="45"/>
      <c r="AR180" s="44"/>
      <c r="AS180" s="45"/>
      <c r="AT180" s="44"/>
      <c r="AU180" s="45"/>
      <c r="AV180" s="44"/>
      <c r="AW180" s="45"/>
      <c r="AX180" s="44"/>
      <c r="AY180" s="45"/>
      <c r="AZ180" s="50"/>
      <c r="BA180" s="47"/>
      <c r="BB180" s="50"/>
      <c r="BC180" s="47"/>
      <c r="BD180" s="50"/>
      <c r="BE180" s="47"/>
      <c r="BF180" s="50"/>
      <c r="BG180" s="47"/>
      <c r="BH180" s="50"/>
      <c r="BI180" s="608" t="s">
        <v>303</v>
      </c>
      <c r="BJ180" s="326"/>
      <c r="BK180" s="326"/>
      <c r="BL180" s="326"/>
      <c r="BM180" s="326"/>
      <c r="BN180" s="326"/>
      <c r="BO180" s="326"/>
      <c r="BP180" s="326"/>
      <c r="BQ180" s="326"/>
      <c r="BR180" s="326"/>
      <c r="BS180" s="326"/>
      <c r="BT180" s="326"/>
      <c r="BU180" s="326"/>
      <c r="BV180" s="327"/>
    </row>
    <row r="181" spans="1:74" ht="30" customHeight="1" x14ac:dyDescent="0.25">
      <c r="A181" s="49">
        <f t="shared" si="0"/>
        <v>167</v>
      </c>
      <c r="B181" s="42" t="s">
        <v>334</v>
      </c>
      <c r="C181" s="43"/>
      <c r="D181" s="609"/>
      <c r="E181" s="326"/>
      <c r="F181" s="326"/>
      <c r="G181" s="326"/>
      <c r="H181" s="326"/>
      <c r="I181" s="326"/>
      <c r="J181" s="326"/>
      <c r="K181" s="327"/>
      <c r="L181" s="610"/>
      <c r="M181" s="326"/>
      <c r="N181" s="326"/>
      <c r="O181" s="327"/>
      <c r="P181" s="609"/>
      <c r="Q181" s="326"/>
      <c r="R181" s="326"/>
      <c r="S181" s="327"/>
      <c r="T181" s="610"/>
      <c r="U181" s="326"/>
      <c r="V181" s="326"/>
      <c r="W181" s="327"/>
      <c r="X181" s="609"/>
      <c r="Y181" s="326"/>
      <c r="Z181" s="326"/>
      <c r="AA181" s="327"/>
      <c r="AB181" s="451"/>
      <c r="AC181" s="326"/>
      <c r="AD181" s="327"/>
      <c r="AE181" s="526"/>
      <c r="AF181" s="326"/>
      <c r="AG181" s="327"/>
      <c r="AH181" s="607"/>
      <c r="AI181" s="326"/>
      <c r="AJ181" s="327"/>
      <c r="AK181" s="497"/>
      <c r="AL181" s="326"/>
      <c r="AM181" s="327"/>
      <c r="AN181" s="44"/>
      <c r="AO181" s="45"/>
      <c r="AP181" s="44"/>
      <c r="AQ181" s="45"/>
      <c r="AR181" s="44"/>
      <c r="AS181" s="45"/>
      <c r="AT181" s="44"/>
      <c r="AU181" s="45"/>
      <c r="AV181" s="44"/>
      <c r="AW181" s="45"/>
      <c r="AX181" s="44"/>
      <c r="AY181" s="45"/>
      <c r="AZ181" s="50"/>
      <c r="BA181" s="47"/>
      <c r="BB181" s="50"/>
      <c r="BC181" s="47"/>
      <c r="BD181" s="50"/>
      <c r="BE181" s="47"/>
      <c r="BF181" s="50"/>
      <c r="BG181" s="47"/>
      <c r="BH181" s="50"/>
      <c r="BI181" s="608" t="s">
        <v>303</v>
      </c>
      <c r="BJ181" s="326"/>
      <c r="BK181" s="326"/>
      <c r="BL181" s="326"/>
      <c r="BM181" s="326"/>
      <c r="BN181" s="326"/>
      <c r="BO181" s="326"/>
      <c r="BP181" s="326"/>
      <c r="BQ181" s="326"/>
      <c r="BR181" s="326"/>
      <c r="BS181" s="326"/>
      <c r="BT181" s="326"/>
      <c r="BU181" s="326"/>
      <c r="BV181" s="327"/>
    </row>
    <row r="182" spans="1:74" ht="30" customHeight="1" x14ac:dyDescent="0.25">
      <c r="A182" s="41">
        <f t="shared" si="0"/>
        <v>168</v>
      </c>
      <c r="B182" s="42" t="s">
        <v>334</v>
      </c>
      <c r="C182" s="43"/>
      <c r="D182" s="609"/>
      <c r="E182" s="326"/>
      <c r="F182" s="326"/>
      <c r="G182" s="326"/>
      <c r="H182" s="326"/>
      <c r="I182" s="326"/>
      <c r="J182" s="326"/>
      <c r="K182" s="327"/>
      <c r="L182" s="610"/>
      <c r="M182" s="326"/>
      <c r="N182" s="326"/>
      <c r="O182" s="327"/>
      <c r="P182" s="609"/>
      <c r="Q182" s="326"/>
      <c r="R182" s="326"/>
      <c r="S182" s="327"/>
      <c r="T182" s="610"/>
      <c r="U182" s="326"/>
      <c r="V182" s="326"/>
      <c r="W182" s="327"/>
      <c r="X182" s="609"/>
      <c r="Y182" s="326"/>
      <c r="Z182" s="326"/>
      <c r="AA182" s="327"/>
      <c r="AB182" s="451"/>
      <c r="AC182" s="326"/>
      <c r="AD182" s="327"/>
      <c r="AE182" s="526"/>
      <c r="AF182" s="326"/>
      <c r="AG182" s="327"/>
      <c r="AH182" s="607"/>
      <c r="AI182" s="326"/>
      <c r="AJ182" s="327"/>
      <c r="AK182" s="497"/>
      <c r="AL182" s="326"/>
      <c r="AM182" s="327"/>
      <c r="AN182" s="44"/>
      <c r="AO182" s="45"/>
      <c r="AP182" s="44"/>
      <c r="AQ182" s="45"/>
      <c r="AR182" s="44"/>
      <c r="AS182" s="45"/>
      <c r="AT182" s="44"/>
      <c r="AU182" s="45"/>
      <c r="AV182" s="44"/>
      <c r="AW182" s="45"/>
      <c r="AX182" s="44"/>
      <c r="AY182" s="45"/>
      <c r="AZ182" s="50"/>
      <c r="BA182" s="47"/>
      <c r="BB182" s="50"/>
      <c r="BC182" s="47"/>
      <c r="BD182" s="50"/>
      <c r="BE182" s="47"/>
      <c r="BF182" s="50"/>
      <c r="BG182" s="47"/>
      <c r="BH182" s="50"/>
      <c r="BI182" s="608" t="s">
        <v>307</v>
      </c>
      <c r="BJ182" s="326"/>
      <c r="BK182" s="326"/>
      <c r="BL182" s="326"/>
      <c r="BM182" s="326"/>
      <c r="BN182" s="326"/>
      <c r="BO182" s="326"/>
      <c r="BP182" s="326"/>
      <c r="BQ182" s="326"/>
      <c r="BR182" s="326"/>
      <c r="BS182" s="326"/>
      <c r="BT182" s="326"/>
      <c r="BU182" s="326"/>
      <c r="BV182" s="327"/>
    </row>
    <row r="183" spans="1:74" ht="30" customHeight="1" x14ac:dyDescent="0.25">
      <c r="A183" s="49">
        <f t="shared" si="0"/>
        <v>169</v>
      </c>
      <c r="B183" s="42" t="s">
        <v>334</v>
      </c>
      <c r="C183" s="43"/>
      <c r="D183" s="609"/>
      <c r="E183" s="326"/>
      <c r="F183" s="326"/>
      <c r="G183" s="326"/>
      <c r="H183" s="326"/>
      <c r="I183" s="326"/>
      <c r="J183" s="326"/>
      <c r="K183" s="327"/>
      <c r="L183" s="610"/>
      <c r="M183" s="326"/>
      <c r="N183" s="326"/>
      <c r="O183" s="327"/>
      <c r="P183" s="609"/>
      <c r="Q183" s="326"/>
      <c r="R183" s="326"/>
      <c r="S183" s="327"/>
      <c r="T183" s="610"/>
      <c r="U183" s="326"/>
      <c r="V183" s="326"/>
      <c r="W183" s="327"/>
      <c r="X183" s="609"/>
      <c r="Y183" s="326"/>
      <c r="Z183" s="326"/>
      <c r="AA183" s="327"/>
      <c r="AB183" s="451"/>
      <c r="AC183" s="326"/>
      <c r="AD183" s="327"/>
      <c r="AE183" s="526"/>
      <c r="AF183" s="326"/>
      <c r="AG183" s="327"/>
      <c r="AH183" s="607"/>
      <c r="AI183" s="326"/>
      <c r="AJ183" s="327"/>
      <c r="AK183" s="497"/>
      <c r="AL183" s="326"/>
      <c r="AM183" s="327"/>
      <c r="AN183" s="44"/>
      <c r="AO183" s="45"/>
      <c r="AP183" s="44"/>
      <c r="AQ183" s="45"/>
      <c r="AR183" s="44"/>
      <c r="AS183" s="45"/>
      <c r="AT183" s="44"/>
      <c r="AU183" s="45"/>
      <c r="AV183" s="44"/>
      <c r="AW183" s="45"/>
      <c r="AX183" s="44"/>
      <c r="AY183" s="45"/>
      <c r="AZ183" s="50"/>
      <c r="BA183" s="47"/>
      <c r="BB183" s="50"/>
      <c r="BC183" s="47"/>
      <c r="BD183" s="50"/>
      <c r="BE183" s="47"/>
      <c r="BF183" s="50"/>
      <c r="BG183" s="47"/>
      <c r="BH183" s="50"/>
      <c r="BI183" s="608" t="s">
        <v>307</v>
      </c>
      <c r="BJ183" s="326"/>
      <c r="BK183" s="326"/>
      <c r="BL183" s="326"/>
      <c r="BM183" s="326"/>
      <c r="BN183" s="326"/>
      <c r="BO183" s="326"/>
      <c r="BP183" s="326"/>
      <c r="BQ183" s="326"/>
      <c r="BR183" s="326"/>
      <c r="BS183" s="326"/>
      <c r="BT183" s="326"/>
      <c r="BU183" s="326"/>
      <c r="BV183" s="327"/>
    </row>
    <row r="184" spans="1:74" ht="30" customHeight="1" x14ac:dyDescent="0.25">
      <c r="A184" s="49">
        <f t="shared" si="0"/>
        <v>170</v>
      </c>
      <c r="B184" s="42" t="s">
        <v>334</v>
      </c>
      <c r="C184" s="43"/>
      <c r="D184" s="609"/>
      <c r="E184" s="326"/>
      <c r="F184" s="326"/>
      <c r="G184" s="326"/>
      <c r="H184" s="326"/>
      <c r="I184" s="326"/>
      <c r="J184" s="326"/>
      <c r="K184" s="327"/>
      <c r="L184" s="610"/>
      <c r="M184" s="326"/>
      <c r="N184" s="326"/>
      <c r="O184" s="327"/>
      <c r="P184" s="609"/>
      <c r="Q184" s="326"/>
      <c r="R184" s="326"/>
      <c r="S184" s="327"/>
      <c r="T184" s="610"/>
      <c r="U184" s="326"/>
      <c r="V184" s="326"/>
      <c r="W184" s="327"/>
      <c r="X184" s="609"/>
      <c r="Y184" s="326"/>
      <c r="Z184" s="326"/>
      <c r="AA184" s="327"/>
      <c r="AB184" s="451"/>
      <c r="AC184" s="326"/>
      <c r="AD184" s="327"/>
      <c r="AE184" s="526"/>
      <c r="AF184" s="326"/>
      <c r="AG184" s="327"/>
      <c r="AH184" s="607"/>
      <c r="AI184" s="326"/>
      <c r="AJ184" s="327"/>
      <c r="AK184" s="497"/>
      <c r="AL184" s="326"/>
      <c r="AM184" s="327"/>
      <c r="AN184" s="44"/>
      <c r="AO184" s="45"/>
      <c r="AP184" s="44"/>
      <c r="AQ184" s="45"/>
      <c r="AR184" s="44"/>
      <c r="AS184" s="45"/>
      <c r="AT184" s="44"/>
      <c r="AU184" s="45"/>
      <c r="AV184" s="44"/>
      <c r="AW184" s="45"/>
      <c r="AX184" s="44"/>
      <c r="AY184" s="45"/>
      <c r="AZ184" s="50"/>
      <c r="BA184" s="47"/>
      <c r="BB184" s="50"/>
      <c r="BC184" s="47"/>
      <c r="BD184" s="50"/>
      <c r="BE184" s="47"/>
      <c r="BF184" s="50"/>
      <c r="BG184" s="47"/>
      <c r="BH184" s="50"/>
      <c r="BI184" s="608" t="s">
        <v>307</v>
      </c>
      <c r="BJ184" s="326"/>
      <c r="BK184" s="326"/>
      <c r="BL184" s="326"/>
      <c r="BM184" s="326"/>
      <c r="BN184" s="326"/>
      <c r="BO184" s="326"/>
      <c r="BP184" s="326"/>
      <c r="BQ184" s="326"/>
      <c r="BR184" s="326"/>
      <c r="BS184" s="326"/>
      <c r="BT184" s="326"/>
      <c r="BU184" s="326"/>
      <c r="BV184" s="327"/>
    </row>
    <row r="185" spans="1:74" ht="30" customHeight="1" x14ac:dyDescent="0.25">
      <c r="A185" s="49">
        <f t="shared" si="0"/>
        <v>171</v>
      </c>
      <c r="B185" s="42" t="s">
        <v>334</v>
      </c>
      <c r="C185" s="43"/>
      <c r="D185" s="609"/>
      <c r="E185" s="326"/>
      <c r="F185" s="326"/>
      <c r="G185" s="326"/>
      <c r="H185" s="326"/>
      <c r="I185" s="326"/>
      <c r="J185" s="326"/>
      <c r="K185" s="327"/>
      <c r="L185" s="610"/>
      <c r="M185" s="326"/>
      <c r="N185" s="326"/>
      <c r="O185" s="327"/>
      <c r="P185" s="609"/>
      <c r="Q185" s="326"/>
      <c r="R185" s="326"/>
      <c r="S185" s="327"/>
      <c r="T185" s="610"/>
      <c r="U185" s="326"/>
      <c r="V185" s="326"/>
      <c r="W185" s="327"/>
      <c r="X185" s="609"/>
      <c r="Y185" s="326"/>
      <c r="Z185" s="326"/>
      <c r="AA185" s="327"/>
      <c r="AB185" s="451"/>
      <c r="AC185" s="326"/>
      <c r="AD185" s="327"/>
      <c r="AE185" s="526"/>
      <c r="AF185" s="326"/>
      <c r="AG185" s="327"/>
      <c r="AH185" s="607"/>
      <c r="AI185" s="326"/>
      <c r="AJ185" s="327"/>
      <c r="AK185" s="497"/>
      <c r="AL185" s="326"/>
      <c r="AM185" s="327"/>
      <c r="AN185" s="44"/>
      <c r="AO185" s="45"/>
      <c r="AP185" s="44"/>
      <c r="AQ185" s="45"/>
      <c r="AR185" s="44"/>
      <c r="AS185" s="45"/>
      <c r="AT185" s="44"/>
      <c r="AU185" s="45"/>
      <c r="AV185" s="44"/>
      <c r="AW185" s="45"/>
      <c r="AX185" s="44"/>
      <c r="AY185" s="45"/>
      <c r="AZ185" s="50"/>
      <c r="BA185" s="47"/>
      <c r="BB185" s="50"/>
      <c r="BC185" s="47"/>
      <c r="BD185" s="50"/>
      <c r="BE185" s="47"/>
      <c r="BF185" s="50"/>
      <c r="BG185" s="47"/>
      <c r="BH185" s="50"/>
      <c r="BI185" s="608" t="s">
        <v>307</v>
      </c>
      <c r="BJ185" s="326"/>
      <c r="BK185" s="326"/>
      <c r="BL185" s="326"/>
      <c r="BM185" s="326"/>
      <c r="BN185" s="326"/>
      <c r="BO185" s="326"/>
      <c r="BP185" s="326"/>
      <c r="BQ185" s="326"/>
      <c r="BR185" s="326"/>
      <c r="BS185" s="326"/>
      <c r="BT185" s="326"/>
      <c r="BU185" s="326"/>
      <c r="BV185" s="327"/>
    </row>
    <row r="186" spans="1:74" ht="30" customHeight="1" x14ac:dyDescent="0.25">
      <c r="A186" s="49">
        <f t="shared" si="0"/>
        <v>172</v>
      </c>
      <c r="B186" s="42" t="s">
        <v>334</v>
      </c>
      <c r="C186" s="43"/>
      <c r="D186" s="609"/>
      <c r="E186" s="326"/>
      <c r="F186" s="326"/>
      <c r="G186" s="326"/>
      <c r="H186" s="326"/>
      <c r="I186" s="326"/>
      <c r="J186" s="326"/>
      <c r="K186" s="327"/>
      <c r="L186" s="610"/>
      <c r="M186" s="326"/>
      <c r="N186" s="326"/>
      <c r="O186" s="327"/>
      <c r="P186" s="609"/>
      <c r="Q186" s="326"/>
      <c r="R186" s="326"/>
      <c r="S186" s="327"/>
      <c r="T186" s="610"/>
      <c r="U186" s="326"/>
      <c r="V186" s="326"/>
      <c r="W186" s="327"/>
      <c r="X186" s="609"/>
      <c r="Y186" s="326"/>
      <c r="Z186" s="326"/>
      <c r="AA186" s="327"/>
      <c r="AB186" s="451"/>
      <c r="AC186" s="326"/>
      <c r="AD186" s="327"/>
      <c r="AE186" s="526"/>
      <c r="AF186" s="326"/>
      <c r="AG186" s="327"/>
      <c r="AH186" s="607"/>
      <c r="AI186" s="326"/>
      <c r="AJ186" s="327"/>
      <c r="AK186" s="497"/>
      <c r="AL186" s="326"/>
      <c r="AM186" s="327"/>
      <c r="AN186" s="44"/>
      <c r="AO186" s="45"/>
      <c r="AP186" s="44"/>
      <c r="AQ186" s="45"/>
      <c r="AR186" s="44"/>
      <c r="AS186" s="45"/>
      <c r="AT186" s="44"/>
      <c r="AU186" s="45"/>
      <c r="AV186" s="44"/>
      <c r="AW186" s="45"/>
      <c r="AX186" s="44"/>
      <c r="AY186" s="45"/>
      <c r="AZ186" s="50"/>
      <c r="BA186" s="47"/>
      <c r="BB186" s="50"/>
      <c r="BC186" s="47"/>
      <c r="BD186" s="50"/>
      <c r="BE186" s="47"/>
      <c r="BF186" s="50"/>
      <c r="BG186" s="47"/>
      <c r="BH186" s="50"/>
      <c r="BI186" s="608" t="s">
        <v>307</v>
      </c>
      <c r="BJ186" s="326"/>
      <c r="BK186" s="326"/>
      <c r="BL186" s="326"/>
      <c r="BM186" s="326"/>
      <c r="BN186" s="326"/>
      <c r="BO186" s="326"/>
      <c r="BP186" s="326"/>
      <c r="BQ186" s="326"/>
      <c r="BR186" s="326"/>
      <c r="BS186" s="326"/>
      <c r="BT186" s="326"/>
      <c r="BU186" s="326"/>
      <c r="BV186" s="327"/>
    </row>
    <row r="187" spans="1:74" ht="30" customHeight="1" x14ac:dyDescent="0.25">
      <c r="A187" s="49">
        <f t="shared" si="0"/>
        <v>173</v>
      </c>
      <c r="B187" s="42" t="s">
        <v>334</v>
      </c>
      <c r="C187" s="43"/>
      <c r="D187" s="609"/>
      <c r="E187" s="326"/>
      <c r="F187" s="326"/>
      <c r="G187" s="326"/>
      <c r="H187" s="326"/>
      <c r="I187" s="326"/>
      <c r="J187" s="326"/>
      <c r="K187" s="327"/>
      <c r="L187" s="610"/>
      <c r="M187" s="326"/>
      <c r="N187" s="326"/>
      <c r="O187" s="327"/>
      <c r="P187" s="609"/>
      <c r="Q187" s="326"/>
      <c r="R187" s="326"/>
      <c r="S187" s="327"/>
      <c r="T187" s="610"/>
      <c r="U187" s="326"/>
      <c r="V187" s="326"/>
      <c r="W187" s="327"/>
      <c r="X187" s="609"/>
      <c r="Y187" s="326"/>
      <c r="Z187" s="326"/>
      <c r="AA187" s="327"/>
      <c r="AB187" s="451"/>
      <c r="AC187" s="326"/>
      <c r="AD187" s="327"/>
      <c r="AE187" s="526"/>
      <c r="AF187" s="326"/>
      <c r="AG187" s="327"/>
      <c r="AH187" s="607"/>
      <c r="AI187" s="326"/>
      <c r="AJ187" s="327"/>
      <c r="AK187" s="497"/>
      <c r="AL187" s="326"/>
      <c r="AM187" s="327"/>
      <c r="AN187" s="44"/>
      <c r="AO187" s="45"/>
      <c r="AP187" s="44"/>
      <c r="AQ187" s="45"/>
      <c r="AR187" s="44"/>
      <c r="AS187" s="45"/>
      <c r="AT187" s="44"/>
      <c r="AU187" s="45"/>
      <c r="AV187" s="44"/>
      <c r="AW187" s="45"/>
      <c r="AX187" s="44"/>
      <c r="AY187" s="45"/>
      <c r="AZ187" s="50"/>
      <c r="BA187" s="47"/>
      <c r="BB187" s="50"/>
      <c r="BC187" s="47"/>
      <c r="BD187" s="50"/>
      <c r="BE187" s="47"/>
      <c r="BF187" s="50"/>
      <c r="BG187" s="47"/>
      <c r="BH187" s="50"/>
      <c r="BI187" s="608" t="s">
        <v>303</v>
      </c>
      <c r="BJ187" s="326"/>
      <c r="BK187" s="326"/>
      <c r="BL187" s="326"/>
      <c r="BM187" s="326"/>
      <c r="BN187" s="326"/>
      <c r="BO187" s="326"/>
      <c r="BP187" s="326"/>
      <c r="BQ187" s="326"/>
      <c r="BR187" s="326"/>
      <c r="BS187" s="326"/>
      <c r="BT187" s="326"/>
      <c r="BU187" s="326"/>
      <c r="BV187" s="327"/>
    </row>
    <row r="188" spans="1:74" ht="30" customHeight="1" x14ac:dyDescent="0.25">
      <c r="A188" s="49">
        <f t="shared" si="0"/>
        <v>174</v>
      </c>
      <c r="B188" s="42" t="s">
        <v>334</v>
      </c>
      <c r="C188" s="43"/>
      <c r="D188" s="609"/>
      <c r="E188" s="326"/>
      <c r="F188" s="326"/>
      <c r="G188" s="326"/>
      <c r="H188" s="326"/>
      <c r="I188" s="326"/>
      <c r="J188" s="326"/>
      <c r="K188" s="327"/>
      <c r="L188" s="610"/>
      <c r="M188" s="326"/>
      <c r="N188" s="326"/>
      <c r="O188" s="327"/>
      <c r="P188" s="609"/>
      <c r="Q188" s="326"/>
      <c r="R188" s="326"/>
      <c r="S188" s="327"/>
      <c r="T188" s="610"/>
      <c r="U188" s="326"/>
      <c r="V188" s="326"/>
      <c r="W188" s="327"/>
      <c r="X188" s="609"/>
      <c r="Y188" s="326"/>
      <c r="Z188" s="326"/>
      <c r="AA188" s="327"/>
      <c r="AB188" s="451"/>
      <c r="AC188" s="326"/>
      <c r="AD188" s="327"/>
      <c r="AE188" s="526"/>
      <c r="AF188" s="326"/>
      <c r="AG188" s="327"/>
      <c r="AH188" s="607"/>
      <c r="AI188" s="326"/>
      <c r="AJ188" s="327"/>
      <c r="AK188" s="497"/>
      <c r="AL188" s="326"/>
      <c r="AM188" s="327"/>
      <c r="AN188" s="44"/>
      <c r="AO188" s="45"/>
      <c r="AP188" s="44"/>
      <c r="AQ188" s="45"/>
      <c r="AR188" s="44"/>
      <c r="AS188" s="45"/>
      <c r="AT188" s="44"/>
      <c r="AU188" s="45"/>
      <c r="AV188" s="44"/>
      <c r="AW188" s="45"/>
      <c r="AX188" s="44"/>
      <c r="AY188" s="45"/>
      <c r="AZ188" s="50"/>
      <c r="BA188" s="47"/>
      <c r="BB188" s="50"/>
      <c r="BC188" s="47"/>
      <c r="BD188" s="50"/>
      <c r="BE188" s="47"/>
      <c r="BF188" s="50"/>
      <c r="BG188" s="47"/>
      <c r="BH188" s="50"/>
      <c r="BI188" s="608" t="s">
        <v>303</v>
      </c>
      <c r="BJ188" s="326"/>
      <c r="BK188" s="326"/>
      <c r="BL188" s="326"/>
      <c r="BM188" s="326"/>
      <c r="BN188" s="326"/>
      <c r="BO188" s="326"/>
      <c r="BP188" s="326"/>
      <c r="BQ188" s="326"/>
      <c r="BR188" s="326"/>
      <c r="BS188" s="326"/>
      <c r="BT188" s="326"/>
      <c r="BU188" s="326"/>
      <c r="BV188" s="327"/>
    </row>
    <row r="189" spans="1:74" ht="30" customHeight="1" x14ac:dyDescent="0.25">
      <c r="A189" s="41">
        <f t="shared" si="0"/>
        <v>175</v>
      </c>
      <c r="B189" s="42" t="s">
        <v>334</v>
      </c>
      <c r="C189" s="43"/>
      <c r="D189" s="609"/>
      <c r="E189" s="326"/>
      <c r="F189" s="326"/>
      <c r="G189" s="326"/>
      <c r="H189" s="326"/>
      <c r="I189" s="326"/>
      <c r="J189" s="326"/>
      <c r="K189" s="327"/>
      <c r="L189" s="610"/>
      <c r="M189" s="326"/>
      <c r="N189" s="326"/>
      <c r="O189" s="327"/>
      <c r="P189" s="609"/>
      <c r="Q189" s="326"/>
      <c r="R189" s="326"/>
      <c r="S189" s="327"/>
      <c r="T189" s="610"/>
      <c r="U189" s="326"/>
      <c r="V189" s="326"/>
      <c r="W189" s="327"/>
      <c r="X189" s="609"/>
      <c r="Y189" s="326"/>
      <c r="Z189" s="326"/>
      <c r="AA189" s="327"/>
      <c r="AB189" s="451"/>
      <c r="AC189" s="326"/>
      <c r="AD189" s="327"/>
      <c r="AE189" s="526"/>
      <c r="AF189" s="326"/>
      <c r="AG189" s="327"/>
      <c r="AH189" s="607"/>
      <c r="AI189" s="326"/>
      <c r="AJ189" s="327"/>
      <c r="AK189" s="497"/>
      <c r="AL189" s="326"/>
      <c r="AM189" s="327"/>
      <c r="AN189" s="44"/>
      <c r="AO189" s="45"/>
      <c r="AP189" s="44"/>
      <c r="AQ189" s="45"/>
      <c r="AR189" s="44"/>
      <c r="AS189" s="45"/>
      <c r="AT189" s="44"/>
      <c r="AU189" s="45"/>
      <c r="AV189" s="44"/>
      <c r="AW189" s="45"/>
      <c r="AX189" s="44"/>
      <c r="AY189" s="45"/>
      <c r="AZ189" s="50"/>
      <c r="BA189" s="47"/>
      <c r="BB189" s="50"/>
      <c r="BC189" s="47"/>
      <c r="BD189" s="50"/>
      <c r="BE189" s="47"/>
      <c r="BF189" s="50"/>
      <c r="BG189" s="47"/>
      <c r="BH189" s="50"/>
      <c r="BI189" s="608" t="s">
        <v>307</v>
      </c>
      <c r="BJ189" s="326"/>
      <c r="BK189" s="326"/>
      <c r="BL189" s="326"/>
      <c r="BM189" s="326"/>
      <c r="BN189" s="326"/>
      <c r="BO189" s="326"/>
      <c r="BP189" s="326"/>
      <c r="BQ189" s="326"/>
      <c r="BR189" s="326"/>
      <c r="BS189" s="326"/>
      <c r="BT189" s="326"/>
      <c r="BU189" s="326"/>
      <c r="BV189" s="327"/>
    </row>
    <row r="190" spans="1:74" ht="30" customHeight="1" x14ac:dyDescent="0.25">
      <c r="A190" s="49">
        <f t="shared" si="0"/>
        <v>176</v>
      </c>
      <c r="B190" s="42" t="s">
        <v>334</v>
      </c>
      <c r="C190" s="43"/>
      <c r="D190" s="609"/>
      <c r="E190" s="326"/>
      <c r="F190" s="326"/>
      <c r="G190" s="326"/>
      <c r="H190" s="326"/>
      <c r="I190" s="326"/>
      <c r="J190" s="326"/>
      <c r="K190" s="327"/>
      <c r="L190" s="610"/>
      <c r="M190" s="326"/>
      <c r="N190" s="326"/>
      <c r="O190" s="327"/>
      <c r="P190" s="609"/>
      <c r="Q190" s="326"/>
      <c r="R190" s="326"/>
      <c r="S190" s="327"/>
      <c r="T190" s="610"/>
      <c r="U190" s="326"/>
      <c r="V190" s="326"/>
      <c r="W190" s="327"/>
      <c r="X190" s="609"/>
      <c r="Y190" s="326"/>
      <c r="Z190" s="326"/>
      <c r="AA190" s="327"/>
      <c r="AB190" s="451"/>
      <c r="AC190" s="326"/>
      <c r="AD190" s="327"/>
      <c r="AE190" s="526"/>
      <c r="AF190" s="326"/>
      <c r="AG190" s="327"/>
      <c r="AH190" s="607"/>
      <c r="AI190" s="326"/>
      <c r="AJ190" s="327"/>
      <c r="AK190" s="497"/>
      <c r="AL190" s="326"/>
      <c r="AM190" s="327"/>
      <c r="AN190" s="44"/>
      <c r="AO190" s="45"/>
      <c r="AP190" s="44"/>
      <c r="AQ190" s="45"/>
      <c r="AR190" s="44"/>
      <c r="AS190" s="45"/>
      <c r="AT190" s="44"/>
      <c r="AU190" s="45"/>
      <c r="AV190" s="44"/>
      <c r="AW190" s="45"/>
      <c r="AX190" s="44"/>
      <c r="AY190" s="45"/>
      <c r="AZ190" s="50"/>
      <c r="BA190" s="47"/>
      <c r="BB190" s="50"/>
      <c r="BC190" s="47"/>
      <c r="BD190" s="50"/>
      <c r="BE190" s="47"/>
      <c r="BF190" s="50"/>
      <c r="BG190" s="47"/>
      <c r="BH190" s="50"/>
      <c r="BI190" s="608" t="s">
        <v>307</v>
      </c>
      <c r="BJ190" s="326"/>
      <c r="BK190" s="326"/>
      <c r="BL190" s="326"/>
      <c r="BM190" s="326"/>
      <c r="BN190" s="326"/>
      <c r="BO190" s="326"/>
      <c r="BP190" s="326"/>
      <c r="BQ190" s="326"/>
      <c r="BR190" s="326"/>
      <c r="BS190" s="326"/>
      <c r="BT190" s="326"/>
      <c r="BU190" s="326"/>
      <c r="BV190" s="327"/>
    </row>
    <row r="191" spans="1:74" ht="30" customHeight="1" x14ac:dyDescent="0.25">
      <c r="A191" s="49">
        <f t="shared" si="0"/>
        <v>177</v>
      </c>
      <c r="B191" s="42" t="s">
        <v>334</v>
      </c>
      <c r="C191" s="43"/>
      <c r="D191" s="609"/>
      <c r="E191" s="326"/>
      <c r="F191" s="326"/>
      <c r="G191" s="326"/>
      <c r="H191" s="326"/>
      <c r="I191" s="326"/>
      <c r="J191" s="326"/>
      <c r="K191" s="327"/>
      <c r="L191" s="610"/>
      <c r="M191" s="326"/>
      <c r="N191" s="326"/>
      <c r="O191" s="327"/>
      <c r="P191" s="609"/>
      <c r="Q191" s="326"/>
      <c r="R191" s="326"/>
      <c r="S191" s="327"/>
      <c r="T191" s="610"/>
      <c r="U191" s="326"/>
      <c r="V191" s="326"/>
      <c r="W191" s="327"/>
      <c r="X191" s="609"/>
      <c r="Y191" s="326"/>
      <c r="Z191" s="326"/>
      <c r="AA191" s="327"/>
      <c r="AB191" s="451"/>
      <c r="AC191" s="326"/>
      <c r="AD191" s="327"/>
      <c r="AE191" s="526"/>
      <c r="AF191" s="326"/>
      <c r="AG191" s="327"/>
      <c r="AH191" s="607"/>
      <c r="AI191" s="326"/>
      <c r="AJ191" s="327"/>
      <c r="AK191" s="497"/>
      <c r="AL191" s="326"/>
      <c r="AM191" s="327"/>
      <c r="AN191" s="44"/>
      <c r="AO191" s="45"/>
      <c r="AP191" s="44"/>
      <c r="AQ191" s="45"/>
      <c r="AR191" s="44"/>
      <c r="AS191" s="45"/>
      <c r="AT191" s="44"/>
      <c r="AU191" s="45"/>
      <c r="AV191" s="44"/>
      <c r="AW191" s="45"/>
      <c r="AX191" s="44"/>
      <c r="AY191" s="45"/>
      <c r="AZ191" s="50"/>
      <c r="BA191" s="47"/>
      <c r="BB191" s="50"/>
      <c r="BC191" s="47"/>
      <c r="BD191" s="50"/>
      <c r="BE191" s="47"/>
      <c r="BF191" s="50"/>
      <c r="BG191" s="47"/>
      <c r="BH191" s="50"/>
      <c r="BI191" s="608" t="s">
        <v>307</v>
      </c>
      <c r="BJ191" s="326"/>
      <c r="BK191" s="326"/>
      <c r="BL191" s="326"/>
      <c r="BM191" s="326"/>
      <c r="BN191" s="326"/>
      <c r="BO191" s="326"/>
      <c r="BP191" s="326"/>
      <c r="BQ191" s="326"/>
      <c r="BR191" s="326"/>
      <c r="BS191" s="326"/>
      <c r="BT191" s="326"/>
      <c r="BU191" s="326"/>
      <c r="BV191" s="327"/>
    </row>
    <row r="192" spans="1:74" ht="30" customHeight="1" x14ac:dyDescent="0.25">
      <c r="A192" s="49">
        <f t="shared" si="0"/>
        <v>178</v>
      </c>
      <c r="B192" s="42" t="s">
        <v>334</v>
      </c>
      <c r="C192" s="43"/>
      <c r="D192" s="609"/>
      <c r="E192" s="326"/>
      <c r="F192" s="326"/>
      <c r="G192" s="326"/>
      <c r="H192" s="326"/>
      <c r="I192" s="326"/>
      <c r="J192" s="326"/>
      <c r="K192" s="327"/>
      <c r="L192" s="610"/>
      <c r="M192" s="326"/>
      <c r="N192" s="326"/>
      <c r="O192" s="327"/>
      <c r="P192" s="609"/>
      <c r="Q192" s="326"/>
      <c r="R192" s="326"/>
      <c r="S192" s="327"/>
      <c r="T192" s="610"/>
      <c r="U192" s="326"/>
      <c r="V192" s="326"/>
      <c r="W192" s="327"/>
      <c r="X192" s="609"/>
      <c r="Y192" s="326"/>
      <c r="Z192" s="326"/>
      <c r="AA192" s="327"/>
      <c r="AB192" s="451"/>
      <c r="AC192" s="326"/>
      <c r="AD192" s="327"/>
      <c r="AE192" s="526"/>
      <c r="AF192" s="326"/>
      <c r="AG192" s="327"/>
      <c r="AH192" s="607"/>
      <c r="AI192" s="326"/>
      <c r="AJ192" s="327"/>
      <c r="AK192" s="497"/>
      <c r="AL192" s="326"/>
      <c r="AM192" s="327"/>
      <c r="AN192" s="44"/>
      <c r="AO192" s="45"/>
      <c r="AP192" s="44"/>
      <c r="AQ192" s="45"/>
      <c r="AR192" s="44"/>
      <c r="AS192" s="45"/>
      <c r="AT192" s="44"/>
      <c r="AU192" s="45"/>
      <c r="AV192" s="44"/>
      <c r="AW192" s="45"/>
      <c r="AX192" s="44"/>
      <c r="AY192" s="45"/>
      <c r="AZ192" s="50"/>
      <c r="BA192" s="47"/>
      <c r="BB192" s="50"/>
      <c r="BC192" s="47"/>
      <c r="BD192" s="50"/>
      <c r="BE192" s="47"/>
      <c r="BF192" s="50"/>
      <c r="BG192" s="47"/>
      <c r="BH192" s="50"/>
      <c r="BI192" s="608" t="s">
        <v>307</v>
      </c>
      <c r="BJ192" s="326"/>
      <c r="BK192" s="326"/>
      <c r="BL192" s="326"/>
      <c r="BM192" s="326"/>
      <c r="BN192" s="326"/>
      <c r="BO192" s="326"/>
      <c r="BP192" s="326"/>
      <c r="BQ192" s="326"/>
      <c r="BR192" s="326"/>
      <c r="BS192" s="326"/>
      <c r="BT192" s="326"/>
      <c r="BU192" s="326"/>
      <c r="BV192" s="327"/>
    </row>
    <row r="193" spans="1:74" ht="30" customHeight="1" x14ac:dyDescent="0.25">
      <c r="A193" s="49">
        <f t="shared" si="0"/>
        <v>179</v>
      </c>
      <c r="B193" s="42" t="s">
        <v>334</v>
      </c>
      <c r="C193" s="43"/>
      <c r="D193" s="609"/>
      <c r="E193" s="326"/>
      <c r="F193" s="326"/>
      <c r="G193" s="326"/>
      <c r="H193" s="326"/>
      <c r="I193" s="326"/>
      <c r="J193" s="326"/>
      <c r="K193" s="327"/>
      <c r="L193" s="610"/>
      <c r="M193" s="326"/>
      <c r="N193" s="326"/>
      <c r="O193" s="327"/>
      <c r="P193" s="609"/>
      <c r="Q193" s="326"/>
      <c r="R193" s="326"/>
      <c r="S193" s="327"/>
      <c r="T193" s="610"/>
      <c r="U193" s="326"/>
      <c r="V193" s="326"/>
      <c r="W193" s="327"/>
      <c r="X193" s="609"/>
      <c r="Y193" s="326"/>
      <c r="Z193" s="326"/>
      <c r="AA193" s="327"/>
      <c r="AB193" s="451"/>
      <c r="AC193" s="326"/>
      <c r="AD193" s="327"/>
      <c r="AE193" s="526"/>
      <c r="AF193" s="326"/>
      <c r="AG193" s="327"/>
      <c r="AH193" s="607"/>
      <c r="AI193" s="326"/>
      <c r="AJ193" s="327"/>
      <c r="AK193" s="497"/>
      <c r="AL193" s="326"/>
      <c r="AM193" s="327"/>
      <c r="AN193" s="44"/>
      <c r="AO193" s="45"/>
      <c r="AP193" s="44"/>
      <c r="AQ193" s="45"/>
      <c r="AR193" s="44"/>
      <c r="AS193" s="45"/>
      <c r="AT193" s="44"/>
      <c r="AU193" s="45"/>
      <c r="AV193" s="44"/>
      <c r="AW193" s="45"/>
      <c r="AX193" s="44"/>
      <c r="AY193" s="45"/>
      <c r="AZ193" s="50"/>
      <c r="BA193" s="47"/>
      <c r="BB193" s="50"/>
      <c r="BC193" s="47"/>
      <c r="BD193" s="50"/>
      <c r="BE193" s="47"/>
      <c r="BF193" s="50"/>
      <c r="BG193" s="47"/>
      <c r="BH193" s="50"/>
      <c r="BI193" s="608" t="s">
        <v>307</v>
      </c>
      <c r="BJ193" s="326"/>
      <c r="BK193" s="326"/>
      <c r="BL193" s="326"/>
      <c r="BM193" s="326"/>
      <c r="BN193" s="326"/>
      <c r="BO193" s="326"/>
      <c r="BP193" s="326"/>
      <c r="BQ193" s="326"/>
      <c r="BR193" s="326"/>
      <c r="BS193" s="326"/>
      <c r="BT193" s="326"/>
      <c r="BU193" s="326"/>
      <c r="BV193" s="327"/>
    </row>
    <row r="194" spans="1:74" ht="30" customHeight="1" x14ac:dyDescent="0.25">
      <c r="A194" s="49">
        <f t="shared" si="0"/>
        <v>180</v>
      </c>
      <c r="B194" s="42" t="s">
        <v>334</v>
      </c>
      <c r="C194" s="43"/>
      <c r="D194" s="609"/>
      <c r="E194" s="326"/>
      <c r="F194" s="326"/>
      <c r="G194" s="326"/>
      <c r="H194" s="326"/>
      <c r="I194" s="326"/>
      <c r="J194" s="326"/>
      <c r="K194" s="327"/>
      <c r="L194" s="610"/>
      <c r="M194" s="326"/>
      <c r="N194" s="326"/>
      <c r="O194" s="327"/>
      <c r="P194" s="609"/>
      <c r="Q194" s="326"/>
      <c r="R194" s="326"/>
      <c r="S194" s="327"/>
      <c r="T194" s="610"/>
      <c r="U194" s="326"/>
      <c r="V194" s="326"/>
      <c r="W194" s="327"/>
      <c r="X194" s="609"/>
      <c r="Y194" s="326"/>
      <c r="Z194" s="326"/>
      <c r="AA194" s="327"/>
      <c r="AB194" s="451"/>
      <c r="AC194" s="326"/>
      <c r="AD194" s="327"/>
      <c r="AE194" s="526"/>
      <c r="AF194" s="326"/>
      <c r="AG194" s="327"/>
      <c r="AH194" s="607"/>
      <c r="AI194" s="326"/>
      <c r="AJ194" s="327"/>
      <c r="AK194" s="497"/>
      <c r="AL194" s="326"/>
      <c r="AM194" s="327"/>
      <c r="AN194" s="44"/>
      <c r="AO194" s="45"/>
      <c r="AP194" s="44"/>
      <c r="AQ194" s="45"/>
      <c r="AR194" s="44"/>
      <c r="AS194" s="45"/>
      <c r="AT194" s="44"/>
      <c r="AU194" s="45"/>
      <c r="AV194" s="44"/>
      <c r="AW194" s="45"/>
      <c r="AX194" s="44"/>
      <c r="AY194" s="45"/>
      <c r="AZ194" s="50"/>
      <c r="BA194" s="47"/>
      <c r="BB194" s="50"/>
      <c r="BC194" s="47"/>
      <c r="BD194" s="50"/>
      <c r="BE194" s="47"/>
      <c r="BF194" s="50"/>
      <c r="BG194" s="47"/>
      <c r="BH194" s="50"/>
      <c r="BI194" s="608" t="s">
        <v>303</v>
      </c>
      <c r="BJ194" s="326"/>
      <c r="BK194" s="326"/>
      <c r="BL194" s="326"/>
      <c r="BM194" s="326"/>
      <c r="BN194" s="326"/>
      <c r="BO194" s="326"/>
      <c r="BP194" s="326"/>
      <c r="BQ194" s="326"/>
      <c r="BR194" s="326"/>
      <c r="BS194" s="326"/>
      <c r="BT194" s="326"/>
      <c r="BU194" s="326"/>
      <c r="BV194" s="327"/>
    </row>
    <row r="195" spans="1:74" ht="30" customHeight="1" x14ac:dyDescent="0.25">
      <c r="A195" s="49">
        <f t="shared" si="0"/>
        <v>181</v>
      </c>
      <c r="B195" s="42" t="s">
        <v>334</v>
      </c>
      <c r="C195" s="43"/>
      <c r="D195" s="609"/>
      <c r="E195" s="326"/>
      <c r="F195" s="326"/>
      <c r="G195" s="326"/>
      <c r="H195" s="326"/>
      <c r="I195" s="326"/>
      <c r="J195" s="326"/>
      <c r="K195" s="327"/>
      <c r="L195" s="610"/>
      <c r="M195" s="326"/>
      <c r="N195" s="326"/>
      <c r="O195" s="327"/>
      <c r="P195" s="609"/>
      <c r="Q195" s="326"/>
      <c r="R195" s="326"/>
      <c r="S195" s="327"/>
      <c r="T195" s="610"/>
      <c r="U195" s="326"/>
      <c r="V195" s="326"/>
      <c r="W195" s="327"/>
      <c r="X195" s="609"/>
      <c r="Y195" s="326"/>
      <c r="Z195" s="326"/>
      <c r="AA195" s="327"/>
      <c r="AB195" s="451"/>
      <c r="AC195" s="326"/>
      <c r="AD195" s="327"/>
      <c r="AE195" s="526"/>
      <c r="AF195" s="326"/>
      <c r="AG195" s="327"/>
      <c r="AH195" s="607"/>
      <c r="AI195" s="326"/>
      <c r="AJ195" s="327"/>
      <c r="AK195" s="497"/>
      <c r="AL195" s="326"/>
      <c r="AM195" s="327"/>
      <c r="AN195" s="44"/>
      <c r="AO195" s="45"/>
      <c r="AP195" s="44"/>
      <c r="AQ195" s="45"/>
      <c r="AR195" s="44"/>
      <c r="AS195" s="45"/>
      <c r="AT195" s="44"/>
      <c r="AU195" s="45"/>
      <c r="AV195" s="44"/>
      <c r="AW195" s="45"/>
      <c r="AX195" s="44"/>
      <c r="AY195" s="45"/>
      <c r="AZ195" s="50"/>
      <c r="BA195" s="47"/>
      <c r="BB195" s="50"/>
      <c r="BC195" s="47"/>
      <c r="BD195" s="50"/>
      <c r="BE195" s="47"/>
      <c r="BF195" s="50"/>
      <c r="BG195" s="47"/>
      <c r="BH195" s="50"/>
      <c r="BI195" s="608" t="s">
        <v>303</v>
      </c>
      <c r="BJ195" s="326"/>
      <c r="BK195" s="326"/>
      <c r="BL195" s="326"/>
      <c r="BM195" s="326"/>
      <c r="BN195" s="326"/>
      <c r="BO195" s="326"/>
      <c r="BP195" s="326"/>
      <c r="BQ195" s="326"/>
      <c r="BR195" s="326"/>
      <c r="BS195" s="326"/>
      <c r="BT195" s="326"/>
      <c r="BU195" s="326"/>
      <c r="BV195" s="327"/>
    </row>
    <row r="196" spans="1:74" ht="30" customHeight="1" x14ac:dyDescent="0.25">
      <c r="A196" s="41">
        <f t="shared" si="0"/>
        <v>182</v>
      </c>
      <c r="B196" s="42" t="s">
        <v>334</v>
      </c>
      <c r="C196" s="43"/>
      <c r="D196" s="609"/>
      <c r="E196" s="326"/>
      <c r="F196" s="326"/>
      <c r="G196" s="326"/>
      <c r="H196" s="326"/>
      <c r="I196" s="326"/>
      <c r="J196" s="326"/>
      <c r="K196" s="327"/>
      <c r="L196" s="610"/>
      <c r="M196" s="326"/>
      <c r="N196" s="326"/>
      <c r="O196" s="327"/>
      <c r="P196" s="609"/>
      <c r="Q196" s="326"/>
      <c r="R196" s="326"/>
      <c r="S196" s="327"/>
      <c r="T196" s="610"/>
      <c r="U196" s="326"/>
      <c r="V196" s="326"/>
      <c r="W196" s="327"/>
      <c r="X196" s="609"/>
      <c r="Y196" s="326"/>
      <c r="Z196" s="326"/>
      <c r="AA196" s="327"/>
      <c r="AB196" s="451"/>
      <c r="AC196" s="326"/>
      <c r="AD196" s="327"/>
      <c r="AE196" s="526"/>
      <c r="AF196" s="326"/>
      <c r="AG196" s="327"/>
      <c r="AH196" s="607"/>
      <c r="AI196" s="326"/>
      <c r="AJ196" s="327"/>
      <c r="AK196" s="497"/>
      <c r="AL196" s="326"/>
      <c r="AM196" s="327"/>
      <c r="AN196" s="44"/>
      <c r="AO196" s="45"/>
      <c r="AP196" s="44"/>
      <c r="AQ196" s="45"/>
      <c r="AR196" s="44"/>
      <c r="AS196" s="45"/>
      <c r="AT196" s="44"/>
      <c r="AU196" s="45"/>
      <c r="AV196" s="44"/>
      <c r="AW196" s="45"/>
      <c r="AX196" s="44"/>
      <c r="AY196" s="45"/>
      <c r="AZ196" s="50"/>
      <c r="BA196" s="47"/>
      <c r="BB196" s="50"/>
      <c r="BC196" s="47"/>
      <c r="BD196" s="50"/>
      <c r="BE196" s="47"/>
      <c r="BF196" s="50"/>
      <c r="BG196" s="47"/>
      <c r="BH196" s="50"/>
      <c r="BI196" s="608" t="s">
        <v>307</v>
      </c>
      <c r="BJ196" s="326"/>
      <c r="BK196" s="326"/>
      <c r="BL196" s="326"/>
      <c r="BM196" s="326"/>
      <c r="BN196" s="326"/>
      <c r="BO196" s="326"/>
      <c r="BP196" s="326"/>
      <c r="BQ196" s="326"/>
      <c r="BR196" s="326"/>
      <c r="BS196" s="326"/>
      <c r="BT196" s="326"/>
      <c r="BU196" s="326"/>
      <c r="BV196" s="327"/>
    </row>
    <row r="197" spans="1:74" ht="30" customHeight="1" x14ac:dyDescent="0.25">
      <c r="A197" s="49">
        <f t="shared" si="0"/>
        <v>183</v>
      </c>
      <c r="B197" s="42" t="s">
        <v>334</v>
      </c>
      <c r="C197" s="43"/>
      <c r="D197" s="609"/>
      <c r="E197" s="326"/>
      <c r="F197" s="326"/>
      <c r="G197" s="326"/>
      <c r="H197" s="326"/>
      <c r="I197" s="326"/>
      <c r="J197" s="326"/>
      <c r="K197" s="327"/>
      <c r="L197" s="610"/>
      <c r="M197" s="326"/>
      <c r="N197" s="326"/>
      <c r="O197" s="327"/>
      <c r="P197" s="609"/>
      <c r="Q197" s="326"/>
      <c r="R197" s="326"/>
      <c r="S197" s="327"/>
      <c r="T197" s="610"/>
      <c r="U197" s="326"/>
      <c r="V197" s="326"/>
      <c r="W197" s="327"/>
      <c r="X197" s="609"/>
      <c r="Y197" s="326"/>
      <c r="Z197" s="326"/>
      <c r="AA197" s="327"/>
      <c r="AB197" s="451"/>
      <c r="AC197" s="326"/>
      <c r="AD197" s="327"/>
      <c r="AE197" s="526"/>
      <c r="AF197" s="326"/>
      <c r="AG197" s="327"/>
      <c r="AH197" s="607"/>
      <c r="AI197" s="326"/>
      <c r="AJ197" s="327"/>
      <c r="AK197" s="497"/>
      <c r="AL197" s="326"/>
      <c r="AM197" s="327"/>
      <c r="AN197" s="44"/>
      <c r="AO197" s="45"/>
      <c r="AP197" s="44"/>
      <c r="AQ197" s="45"/>
      <c r="AR197" s="44"/>
      <c r="AS197" s="45"/>
      <c r="AT197" s="44"/>
      <c r="AU197" s="45"/>
      <c r="AV197" s="44"/>
      <c r="AW197" s="45"/>
      <c r="AX197" s="44"/>
      <c r="AY197" s="45"/>
      <c r="AZ197" s="50"/>
      <c r="BA197" s="47"/>
      <c r="BB197" s="50"/>
      <c r="BC197" s="47"/>
      <c r="BD197" s="50"/>
      <c r="BE197" s="47"/>
      <c r="BF197" s="50"/>
      <c r="BG197" s="47"/>
      <c r="BH197" s="50"/>
      <c r="BI197" s="608" t="s">
        <v>307</v>
      </c>
      <c r="BJ197" s="326"/>
      <c r="BK197" s="326"/>
      <c r="BL197" s="326"/>
      <c r="BM197" s="326"/>
      <c r="BN197" s="326"/>
      <c r="BO197" s="326"/>
      <c r="BP197" s="326"/>
      <c r="BQ197" s="326"/>
      <c r="BR197" s="326"/>
      <c r="BS197" s="326"/>
      <c r="BT197" s="326"/>
      <c r="BU197" s="326"/>
      <c r="BV197" s="327"/>
    </row>
    <row r="198" spans="1:74" ht="30" customHeight="1" x14ac:dyDescent="0.25">
      <c r="A198" s="49">
        <f t="shared" si="0"/>
        <v>184</v>
      </c>
      <c r="B198" s="42" t="s">
        <v>334</v>
      </c>
      <c r="C198" s="43"/>
      <c r="D198" s="609"/>
      <c r="E198" s="326"/>
      <c r="F198" s="326"/>
      <c r="G198" s="326"/>
      <c r="H198" s="326"/>
      <c r="I198" s="326"/>
      <c r="J198" s="326"/>
      <c r="K198" s="327"/>
      <c r="L198" s="610"/>
      <c r="M198" s="326"/>
      <c r="N198" s="326"/>
      <c r="O198" s="327"/>
      <c r="P198" s="609"/>
      <c r="Q198" s="326"/>
      <c r="R198" s="326"/>
      <c r="S198" s="327"/>
      <c r="T198" s="610"/>
      <c r="U198" s="326"/>
      <c r="V198" s="326"/>
      <c r="W198" s="327"/>
      <c r="X198" s="609"/>
      <c r="Y198" s="326"/>
      <c r="Z198" s="326"/>
      <c r="AA198" s="327"/>
      <c r="AB198" s="451"/>
      <c r="AC198" s="326"/>
      <c r="AD198" s="327"/>
      <c r="AE198" s="526"/>
      <c r="AF198" s="326"/>
      <c r="AG198" s="327"/>
      <c r="AH198" s="607"/>
      <c r="AI198" s="326"/>
      <c r="AJ198" s="327"/>
      <c r="AK198" s="497"/>
      <c r="AL198" s="326"/>
      <c r="AM198" s="327"/>
      <c r="AN198" s="44"/>
      <c r="AO198" s="45"/>
      <c r="AP198" s="44"/>
      <c r="AQ198" s="45"/>
      <c r="AR198" s="44"/>
      <c r="AS198" s="45"/>
      <c r="AT198" s="44"/>
      <c r="AU198" s="45"/>
      <c r="AV198" s="44"/>
      <c r="AW198" s="45"/>
      <c r="AX198" s="44"/>
      <c r="AY198" s="45"/>
      <c r="AZ198" s="50"/>
      <c r="BA198" s="47"/>
      <c r="BB198" s="50"/>
      <c r="BC198" s="47"/>
      <c r="BD198" s="50"/>
      <c r="BE198" s="47"/>
      <c r="BF198" s="50"/>
      <c r="BG198" s="47"/>
      <c r="BH198" s="50"/>
      <c r="BI198" s="608" t="s">
        <v>307</v>
      </c>
      <c r="BJ198" s="326"/>
      <c r="BK198" s="326"/>
      <c r="BL198" s="326"/>
      <c r="BM198" s="326"/>
      <c r="BN198" s="326"/>
      <c r="BO198" s="326"/>
      <c r="BP198" s="326"/>
      <c r="BQ198" s="326"/>
      <c r="BR198" s="326"/>
      <c r="BS198" s="326"/>
      <c r="BT198" s="326"/>
      <c r="BU198" s="326"/>
      <c r="BV198" s="327"/>
    </row>
    <row r="199" spans="1:74" ht="30" customHeight="1" x14ac:dyDescent="0.25">
      <c r="A199" s="49">
        <f t="shared" si="0"/>
        <v>185</v>
      </c>
      <c r="B199" s="42" t="s">
        <v>334</v>
      </c>
      <c r="C199" s="43"/>
      <c r="D199" s="609"/>
      <c r="E199" s="326"/>
      <c r="F199" s="326"/>
      <c r="G199" s="326"/>
      <c r="H199" s="326"/>
      <c r="I199" s="326"/>
      <c r="J199" s="326"/>
      <c r="K199" s="327"/>
      <c r="L199" s="610"/>
      <c r="M199" s="326"/>
      <c r="N199" s="326"/>
      <c r="O199" s="327"/>
      <c r="P199" s="609"/>
      <c r="Q199" s="326"/>
      <c r="R199" s="326"/>
      <c r="S199" s="327"/>
      <c r="T199" s="610"/>
      <c r="U199" s="326"/>
      <c r="V199" s="326"/>
      <c r="W199" s="327"/>
      <c r="X199" s="609"/>
      <c r="Y199" s="326"/>
      <c r="Z199" s="326"/>
      <c r="AA199" s="327"/>
      <c r="AB199" s="451"/>
      <c r="AC199" s="326"/>
      <c r="AD199" s="327"/>
      <c r="AE199" s="526"/>
      <c r="AF199" s="326"/>
      <c r="AG199" s="327"/>
      <c r="AH199" s="607"/>
      <c r="AI199" s="326"/>
      <c r="AJ199" s="327"/>
      <c r="AK199" s="497"/>
      <c r="AL199" s="326"/>
      <c r="AM199" s="327"/>
      <c r="AN199" s="44"/>
      <c r="AO199" s="45"/>
      <c r="AP199" s="44"/>
      <c r="AQ199" s="45"/>
      <c r="AR199" s="44"/>
      <c r="AS199" s="45"/>
      <c r="AT199" s="44"/>
      <c r="AU199" s="45"/>
      <c r="AV199" s="44"/>
      <c r="AW199" s="45"/>
      <c r="AX199" s="44"/>
      <c r="AY199" s="45"/>
      <c r="AZ199" s="50"/>
      <c r="BA199" s="47"/>
      <c r="BB199" s="50"/>
      <c r="BC199" s="47"/>
      <c r="BD199" s="50"/>
      <c r="BE199" s="47"/>
      <c r="BF199" s="50"/>
      <c r="BG199" s="47"/>
      <c r="BH199" s="50"/>
      <c r="BI199" s="608" t="s">
        <v>307</v>
      </c>
      <c r="BJ199" s="326"/>
      <c r="BK199" s="326"/>
      <c r="BL199" s="326"/>
      <c r="BM199" s="326"/>
      <c r="BN199" s="326"/>
      <c r="BO199" s="326"/>
      <c r="BP199" s="326"/>
      <c r="BQ199" s="326"/>
      <c r="BR199" s="326"/>
      <c r="BS199" s="326"/>
      <c r="BT199" s="326"/>
      <c r="BU199" s="326"/>
      <c r="BV199" s="327"/>
    </row>
    <row r="200" spans="1:74" ht="30" customHeight="1" x14ac:dyDescent="0.25">
      <c r="A200" s="49">
        <f t="shared" si="0"/>
        <v>186</v>
      </c>
      <c r="B200" s="42" t="s">
        <v>334</v>
      </c>
      <c r="C200" s="43"/>
      <c r="D200" s="609"/>
      <c r="E200" s="326"/>
      <c r="F200" s="326"/>
      <c r="G200" s="326"/>
      <c r="H200" s="326"/>
      <c r="I200" s="326"/>
      <c r="J200" s="326"/>
      <c r="K200" s="327"/>
      <c r="L200" s="610"/>
      <c r="M200" s="326"/>
      <c r="N200" s="326"/>
      <c r="O200" s="327"/>
      <c r="P200" s="609"/>
      <c r="Q200" s="326"/>
      <c r="R200" s="326"/>
      <c r="S200" s="327"/>
      <c r="T200" s="610"/>
      <c r="U200" s="326"/>
      <c r="V200" s="326"/>
      <c r="W200" s="327"/>
      <c r="X200" s="609"/>
      <c r="Y200" s="326"/>
      <c r="Z200" s="326"/>
      <c r="AA200" s="327"/>
      <c r="AB200" s="451"/>
      <c r="AC200" s="326"/>
      <c r="AD200" s="327"/>
      <c r="AE200" s="526"/>
      <c r="AF200" s="326"/>
      <c r="AG200" s="327"/>
      <c r="AH200" s="607"/>
      <c r="AI200" s="326"/>
      <c r="AJ200" s="327"/>
      <c r="AK200" s="497"/>
      <c r="AL200" s="326"/>
      <c r="AM200" s="327"/>
      <c r="AN200" s="44"/>
      <c r="AO200" s="45"/>
      <c r="AP200" s="44"/>
      <c r="AQ200" s="45"/>
      <c r="AR200" s="44"/>
      <c r="AS200" s="45"/>
      <c r="AT200" s="44"/>
      <c r="AU200" s="45"/>
      <c r="AV200" s="44"/>
      <c r="AW200" s="45"/>
      <c r="AX200" s="44"/>
      <c r="AY200" s="45"/>
      <c r="AZ200" s="50"/>
      <c r="BA200" s="47"/>
      <c r="BB200" s="50"/>
      <c r="BC200" s="47"/>
      <c r="BD200" s="50"/>
      <c r="BE200" s="47"/>
      <c r="BF200" s="50"/>
      <c r="BG200" s="47"/>
      <c r="BH200" s="50"/>
      <c r="BI200" s="608" t="s">
        <v>307</v>
      </c>
      <c r="BJ200" s="326"/>
      <c r="BK200" s="326"/>
      <c r="BL200" s="326"/>
      <c r="BM200" s="326"/>
      <c r="BN200" s="326"/>
      <c r="BO200" s="326"/>
      <c r="BP200" s="326"/>
      <c r="BQ200" s="326"/>
      <c r="BR200" s="326"/>
      <c r="BS200" s="326"/>
      <c r="BT200" s="326"/>
      <c r="BU200" s="326"/>
      <c r="BV200" s="327"/>
    </row>
    <row r="201" spans="1:74" ht="30" customHeight="1" x14ac:dyDescent="0.25">
      <c r="A201" s="49">
        <f t="shared" si="0"/>
        <v>187</v>
      </c>
      <c r="B201" s="42" t="s">
        <v>334</v>
      </c>
      <c r="C201" s="43"/>
      <c r="D201" s="609"/>
      <c r="E201" s="326"/>
      <c r="F201" s="326"/>
      <c r="G201" s="326"/>
      <c r="H201" s="326"/>
      <c r="I201" s="326"/>
      <c r="J201" s="326"/>
      <c r="K201" s="327"/>
      <c r="L201" s="610"/>
      <c r="M201" s="326"/>
      <c r="N201" s="326"/>
      <c r="O201" s="327"/>
      <c r="P201" s="609"/>
      <c r="Q201" s="326"/>
      <c r="R201" s="326"/>
      <c r="S201" s="327"/>
      <c r="T201" s="610"/>
      <c r="U201" s="326"/>
      <c r="V201" s="326"/>
      <c r="W201" s="327"/>
      <c r="X201" s="609"/>
      <c r="Y201" s="326"/>
      <c r="Z201" s="326"/>
      <c r="AA201" s="327"/>
      <c r="AB201" s="451"/>
      <c r="AC201" s="326"/>
      <c r="AD201" s="327"/>
      <c r="AE201" s="526"/>
      <c r="AF201" s="326"/>
      <c r="AG201" s="327"/>
      <c r="AH201" s="607"/>
      <c r="AI201" s="326"/>
      <c r="AJ201" s="327"/>
      <c r="AK201" s="497"/>
      <c r="AL201" s="326"/>
      <c r="AM201" s="327"/>
      <c r="AN201" s="44"/>
      <c r="AO201" s="45"/>
      <c r="AP201" s="44"/>
      <c r="AQ201" s="45"/>
      <c r="AR201" s="44"/>
      <c r="AS201" s="45"/>
      <c r="AT201" s="44"/>
      <c r="AU201" s="45"/>
      <c r="AV201" s="44"/>
      <c r="AW201" s="45"/>
      <c r="AX201" s="44"/>
      <c r="AY201" s="45"/>
      <c r="AZ201" s="50"/>
      <c r="BA201" s="47"/>
      <c r="BB201" s="50"/>
      <c r="BC201" s="47"/>
      <c r="BD201" s="50"/>
      <c r="BE201" s="47"/>
      <c r="BF201" s="50"/>
      <c r="BG201" s="47"/>
      <c r="BH201" s="50"/>
      <c r="BI201" s="608" t="s">
        <v>303</v>
      </c>
      <c r="BJ201" s="326"/>
      <c r="BK201" s="326"/>
      <c r="BL201" s="326"/>
      <c r="BM201" s="326"/>
      <c r="BN201" s="326"/>
      <c r="BO201" s="326"/>
      <c r="BP201" s="326"/>
      <c r="BQ201" s="326"/>
      <c r="BR201" s="326"/>
      <c r="BS201" s="326"/>
      <c r="BT201" s="326"/>
      <c r="BU201" s="326"/>
      <c r="BV201" s="327"/>
    </row>
    <row r="202" spans="1:74" ht="30" customHeight="1" x14ac:dyDescent="0.25">
      <c r="A202" s="49">
        <f t="shared" si="0"/>
        <v>188</v>
      </c>
      <c r="B202" s="42" t="s">
        <v>334</v>
      </c>
      <c r="C202" s="43"/>
      <c r="D202" s="609"/>
      <c r="E202" s="326"/>
      <c r="F202" s="326"/>
      <c r="G202" s="326"/>
      <c r="H202" s="326"/>
      <c r="I202" s="326"/>
      <c r="J202" s="326"/>
      <c r="K202" s="327"/>
      <c r="L202" s="610"/>
      <c r="M202" s="326"/>
      <c r="N202" s="326"/>
      <c r="O202" s="327"/>
      <c r="P202" s="609"/>
      <c r="Q202" s="326"/>
      <c r="R202" s="326"/>
      <c r="S202" s="327"/>
      <c r="T202" s="610"/>
      <c r="U202" s="326"/>
      <c r="V202" s="326"/>
      <c r="W202" s="327"/>
      <c r="X202" s="609"/>
      <c r="Y202" s="326"/>
      <c r="Z202" s="326"/>
      <c r="AA202" s="327"/>
      <c r="AB202" s="451"/>
      <c r="AC202" s="326"/>
      <c r="AD202" s="327"/>
      <c r="AE202" s="526"/>
      <c r="AF202" s="326"/>
      <c r="AG202" s="327"/>
      <c r="AH202" s="607"/>
      <c r="AI202" s="326"/>
      <c r="AJ202" s="327"/>
      <c r="AK202" s="497"/>
      <c r="AL202" s="326"/>
      <c r="AM202" s="327"/>
      <c r="AN202" s="44"/>
      <c r="AO202" s="45"/>
      <c r="AP202" s="44"/>
      <c r="AQ202" s="45"/>
      <c r="AR202" s="44"/>
      <c r="AS202" s="45"/>
      <c r="AT202" s="44"/>
      <c r="AU202" s="45"/>
      <c r="AV202" s="44"/>
      <c r="AW202" s="45"/>
      <c r="AX202" s="44"/>
      <c r="AY202" s="45"/>
      <c r="AZ202" s="50"/>
      <c r="BA202" s="47"/>
      <c r="BB202" s="50"/>
      <c r="BC202" s="47"/>
      <c r="BD202" s="50"/>
      <c r="BE202" s="47"/>
      <c r="BF202" s="50"/>
      <c r="BG202" s="47"/>
      <c r="BH202" s="50"/>
      <c r="BI202" s="608" t="s">
        <v>303</v>
      </c>
      <c r="BJ202" s="326"/>
      <c r="BK202" s="326"/>
      <c r="BL202" s="326"/>
      <c r="BM202" s="326"/>
      <c r="BN202" s="326"/>
      <c r="BO202" s="326"/>
      <c r="BP202" s="326"/>
      <c r="BQ202" s="326"/>
      <c r="BR202" s="326"/>
      <c r="BS202" s="326"/>
      <c r="BT202" s="326"/>
      <c r="BU202" s="326"/>
      <c r="BV202" s="327"/>
    </row>
    <row r="203" spans="1:74" ht="30" customHeight="1" x14ac:dyDescent="0.25">
      <c r="A203" s="41">
        <f t="shared" si="0"/>
        <v>189</v>
      </c>
      <c r="B203" s="42" t="s">
        <v>334</v>
      </c>
      <c r="C203" s="43"/>
      <c r="D203" s="609"/>
      <c r="E203" s="326"/>
      <c r="F203" s="326"/>
      <c r="G203" s="326"/>
      <c r="H203" s="326"/>
      <c r="I203" s="326"/>
      <c r="J203" s="326"/>
      <c r="K203" s="327"/>
      <c r="L203" s="610"/>
      <c r="M203" s="326"/>
      <c r="N203" s="326"/>
      <c r="O203" s="327"/>
      <c r="P203" s="609"/>
      <c r="Q203" s="326"/>
      <c r="R203" s="326"/>
      <c r="S203" s="327"/>
      <c r="T203" s="610"/>
      <c r="U203" s="326"/>
      <c r="V203" s="326"/>
      <c r="W203" s="327"/>
      <c r="X203" s="609"/>
      <c r="Y203" s="326"/>
      <c r="Z203" s="326"/>
      <c r="AA203" s="327"/>
      <c r="AB203" s="451"/>
      <c r="AC203" s="326"/>
      <c r="AD203" s="327"/>
      <c r="AE203" s="526"/>
      <c r="AF203" s="326"/>
      <c r="AG203" s="327"/>
      <c r="AH203" s="607"/>
      <c r="AI203" s="326"/>
      <c r="AJ203" s="327"/>
      <c r="AK203" s="497"/>
      <c r="AL203" s="326"/>
      <c r="AM203" s="327"/>
      <c r="AN203" s="44"/>
      <c r="AO203" s="45"/>
      <c r="AP203" s="44"/>
      <c r="AQ203" s="45"/>
      <c r="AR203" s="44"/>
      <c r="AS203" s="45"/>
      <c r="AT203" s="44"/>
      <c r="AU203" s="45"/>
      <c r="AV203" s="44"/>
      <c r="AW203" s="45"/>
      <c r="AX203" s="44"/>
      <c r="AY203" s="45"/>
      <c r="AZ203" s="50"/>
      <c r="BA203" s="47"/>
      <c r="BB203" s="50"/>
      <c r="BC203" s="47"/>
      <c r="BD203" s="50"/>
      <c r="BE203" s="47"/>
      <c r="BF203" s="50"/>
      <c r="BG203" s="47"/>
      <c r="BH203" s="50"/>
      <c r="BI203" s="608" t="s">
        <v>307</v>
      </c>
      <c r="BJ203" s="326"/>
      <c r="BK203" s="326"/>
      <c r="BL203" s="326"/>
      <c r="BM203" s="326"/>
      <c r="BN203" s="326"/>
      <c r="BO203" s="326"/>
      <c r="BP203" s="326"/>
      <c r="BQ203" s="326"/>
      <c r="BR203" s="326"/>
      <c r="BS203" s="326"/>
      <c r="BT203" s="326"/>
      <c r="BU203" s="326"/>
      <c r="BV203" s="327"/>
    </row>
    <row r="204" spans="1:74" ht="30" customHeight="1" x14ac:dyDescent="0.25">
      <c r="A204" s="49">
        <f t="shared" si="0"/>
        <v>190</v>
      </c>
      <c r="B204" s="42" t="s">
        <v>334</v>
      </c>
      <c r="C204" s="43"/>
      <c r="D204" s="609"/>
      <c r="E204" s="326"/>
      <c r="F204" s="326"/>
      <c r="G204" s="326"/>
      <c r="H204" s="326"/>
      <c r="I204" s="326"/>
      <c r="J204" s="326"/>
      <c r="K204" s="327"/>
      <c r="L204" s="610"/>
      <c r="M204" s="326"/>
      <c r="N204" s="326"/>
      <c r="O204" s="327"/>
      <c r="P204" s="609"/>
      <c r="Q204" s="326"/>
      <c r="R204" s="326"/>
      <c r="S204" s="327"/>
      <c r="T204" s="610"/>
      <c r="U204" s="326"/>
      <c r="V204" s="326"/>
      <c r="W204" s="327"/>
      <c r="X204" s="609"/>
      <c r="Y204" s="326"/>
      <c r="Z204" s="326"/>
      <c r="AA204" s="327"/>
      <c r="AB204" s="451"/>
      <c r="AC204" s="326"/>
      <c r="AD204" s="327"/>
      <c r="AE204" s="526"/>
      <c r="AF204" s="326"/>
      <c r="AG204" s="327"/>
      <c r="AH204" s="607"/>
      <c r="AI204" s="326"/>
      <c r="AJ204" s="327"/>
      <c r="AK204" s="497"/>
      <c r="AL204" s="326"/>
      <c r="AM204" s="327"/>
      <c r="AN204" s="44"/>
      <c r="AO204" s="45"/>
      <c r="AP204" s="44"/>
      <c r="AQ204" s="45"/>
      <c r="AR204" s="44"/>
      <c r="AS204" s="45"/>
      <c r="AT204" s="44"/>
      <c r="AU204" s="45"/>
      <c r="AV204" s="44"/>
      <c r="AW204" s="45"/>
      <c r="AX204" s="44"/>
      <c r="AY204" s="45"/>
      <c r="AZ204" s="50"/>
      <c r="BA204" s="47"/>
      <c r="BB204" s="50"/>
      <c r="BC204" s="47"/>
      <c r="BD204" s="50"/>
      <c r="BE204" s="47"/>
      <c r="BF204" s="50"/>
      <c r="BG204" s="47"/>
      <c r="BH204" s="50"/>
      <c r="BI204" s="608" t="s">
        <v>307</v>
      </c>
      <c r="BJ204" s="326"/>
      <c r="BK204" s="326"/>
      <c r="BL204" s="326"/>
      <c r="BM204" s="326"/>
      <c r="BN204" s="326"/>
      <c r="BO204" s="326"/>
      <c r="BP204" s="326"/>
      <c r="BQ204" s="326"/>
      <c r="BR204" s="326"/>
      <c r="BS204" s="326"/>
      <c r="BT204" s="326"/>
      <c r="BU204" s="326"/>
      <c r="BV204" s="327"/>
    </row>
    <row r="205" spans="1:74" ht="30" customHeight="1" x14ac:dyDescent="0.25">
      <c r="A205" s="49">
        <f t="shared" si="0"/>
        <v>191</v>
      </c>
      <c r="B205" s="42" t="s">
        <v>334</v>
      </c>
      <c r="C205" s="43"/>
      <c r="D205" s="609"/>
      <c r="E205" s="326"/>
      <c r="F205" s="326"/>
      <c r="G205" s="326"/>
      <c r="H205" s="326"/>
      <c r="I205" s="326"/>
      <c r="J205" s="326"/>
      <c r="K205" s="327"/>
      <c r="L205" s="610"/>
      <c r="M205" s="326"/>
      <c r="N205" s="326"/>
      <c r="O205" s="327"/>
      <c r="P205" s="609"/>
      <c r="Q205" s="326"/>
      <c r="R205" s="326"/>
      <c r="S205" s="327"/>
      <c r="T205" s="610"/>
      <c r="U205" s="326"/>
      <c r="V205" s="326"/>
      <c r="W205" s="327"/>
      <c r="X205" s="609"/>
      <c r="Y205" s="326"/>
      <c r="Z205" s="326"/>
      <c r="AA205" s="327"/>
      <c r="AB205" s="451"/>
      <c r="AC205" s="326"/>
      <c r="AD205" s="327"/>
      <c r="AE205" s="526"/>
      <c r="AF205" s="326"/>
      <c r="AG205" s="327"/>
      <c r="AH205" s="607"/>
      <c r="AI205" s="326"/>
      <c r="AJ205" s="327"/>
      <c r="AK205" s="497"/>
      <c r="AL205" s="326"/>
      <c r="AM205" s="327"/>
      <c r="AN205" s="44"/>
      <c r="AO205" s="45"/>
      <c r="AP205" s="44"/>
      <c r="AQ205" s="45"/>
      <c r="AR205" s="44"/>
      <c r="AS205" s="45"/>
      <c r="AT205" s="44"/>
      <c r="AU205" s="45"/>
      <c r="AV205" s="44"/>
      <c r="AW205" s="45"/>
      <c r="AX205" s="44"/>
      <c r="AY205" s="45"/>
      <c r="AZ205" s="50"/>
      <c r="BA205" s="47"/>
      <c r="BB205" s="50"/>
      <c r="BC205" s="47"/>
      <c r="BD205" s="50"/>
      <c r="BE205" s="47"/>
      <c r="BF205" s="50"/>
      <c r="BG205" s="47"/>
      <c r="BH205" s="50"/>
      <c r="BI205" s="608" t="s">
        <v>307</v>
      </c>
      <c r="BJ205" s="326"/>
      <c r="BK205" s="326"/>
      <c r="BL205" s="326"/>
      <c r="BM205" s="326"/>
      <c r="BN205" s="326"/>
      <c r="BO205" s="326"/>
      <c r="BP205" s="326"/>
      <c r="BQ205" s="326"/>
      <c r="BR205" s="326"/>
      <c r="BS205" s="326"/>
      <c r="BT205" s="326"/>
      <c r="BU205" s="326"/>
      <c r="BV205" s="327"/>
    </row>
    <row r="206" spans="1:74" ht="30" customHeight="1" x14ac:dyDescent="0.25">
      <c r="A206" s="49">
        <f t="shared" si="0"/>
        <v>192</v>
      </c>
      <c r="B206" s="42" t="s">
        <v>334</v>
      </c>
      <c r="C206" s="43"/>
      <c r="D206" s="609"/>
      <c r="E206" s="326"/>
      <c r="F206" s="326"/>
      <c r="G206" s="326"/>
      <c r="H206" s="326"/>
      <c r="I206" s="326"/>
      <c r="J206" s="326"/>
      <c r="K206" s="327"/>
      <c r="L206" s="610"/>
      <c r="M206" s="326"/>
      <c r="N206" s="326"/>
      <c r="O206" s="327"/>
      <c r="P206" s="609"/>
      <c r="Q206" s="326"/>
      <c r="R206" s="326"/>
      <c r="S206" s="327"/>
      <c r="T206" s="610"/>
      <c r="U206" s="326"/>
      <c r="V206" s="326"/>
      <c r="W206" s="327"/>
      <c r="X206" s="609"/>
      <c r="Y206" s="326"/>
      <c r="Z206" s="326"/>
      <c r="AA206" s="327"/>
      <c r="AB206" s="451"/>
      <c r="AC206" s="326"/>
      <c r="AD206" s="327"/>
      <c r="AE206" s="526"/>
      <c r="AF206" s="326"/>
      <c r="AG206" s="327"/>
      <c r="AH206" s="607"/>
      <c r="AI206" s="326"/>
      <c r="AJ206" s="327"/>
      <c r="AK206" s="497"/>
      <c r="AL206" s="326"/>
      <c r="AM206" s="327"/>
      <c r="AN206" s="44"/>
      <c r="AO206" s="45"/>
      <c r="AP206" s="44"/>
      <c r="AQ206" s="45"/>
      <c r="AR206" s="44"/>
      <c r="AS206" s="45"/>
      <c r="AT206" s="44"/>
      <c r="AU206" s="45"/>
      <c r="AV206" s="44"/>
      <c r="AW206" s="45"/>
      <c r="AX206" s="44"/>
      <c r="AY206" s="45"/>
      <c r="AZ206" s="50"/>
      <c r="BA206" s="47"/>
      <c r="BB206" s="50"/>
      <c r="BC206" s="47"/>
      <c r="BD206" s="50"/>
      <c r="BE206" s="47"/>
      <c r="BF206" s="50"/>
      <c r="BG206" s="47"/>
      <c r="BH206" s="50"/>
      <c r="BI206" s="608" t="s">
        <v>307</v>
      </c>
      <c r="BJ206" s="326"/>
      <c r="BK206" s="326"/>
      <c r="BL206" s="326"/>
      <c r="BM206" s="326"/>
      <c r="BN206" s="326"/>
      <c r="BO206" s="326"/>
      <c r="BP206" s="326"/>
      <c r="BQ206" s="326"/>
      <c r="BR206" s="326"/>
      <c r="BS206" s="326"/>
      <c r="BT206" s="326"/>
      <c r="BU206" s="326"/>
      <c r="BV206" s="327"/>
    </row>
    <row r="207" spans="1:74" ht="30" customHeight="1" x14ac:dyDescent="0.25">
      <c r="A207" s="49">
        <f t="shared" si="0"/>
        <v>193</v>
      </c>
      <c r="B207" s="42" t="s">
        <v>334</v>
      </c>
      <c r="C207" s="43"/>
      <c r="D207" s="609"/>
      <c r="E207" s="326"/>
      <c r="F207" s="326"/>
      <c r="G207" s="326"/>
      <c r="H207" s="326"/>
      <c r="I207" s="326"/>
      <c r="J207" s="326"/>
      <c r="K207" s="327"/>
      <c r="L207" s="610"/>
      <c r="M207" s="326"/>
      <c r="N207" s="326"/>
      <c r="O207" s="327"/>
      <c r="P207" s="609"/>
      <c r="Q207" s="326"/>
      <c r="R207" s="326"/>
      <c r="S207" s="327"/>
      <c r="T207" s="610"/>
      <c r="U207" s="326"/>
      <c r="V207" s="326"/>
      <c r="W207" s="327"/>
      <c r="X207" s="609"/>
      <c r="Y207" s="326"/>
      <c r="Z207" s="326"/>
      <c r="AA207" s="327"/>
      <c r="AB207" s="451"/>
      <c r="AC207" s="326"/>
      <c r="AD207" s="327"/>
      <c r="AE207" s="526"/>
      <c r="AF207" s="326"/>
      <c r="AG207" s="327"/>
      <c r="AH207" s="607"/>
      <c r="AI207" s="326"/>
      <c r="AJ207" s="327"/>
      <c r="AK207" s="497"/>
      <c r="AL207" s="326"/>
      <c r="AM207" s="327"/>
      <c r="AN207" s="44"/>
      <c r="AO207" s="45"/>
      <c r="AP207" s="44"/>
      <c r="AQ207" s="45"/>
      <c r="AR207" s="44"/>
      <c r="AS207" s="45"/>
      <c r="AT207" s="44"/>
      <c r="AU207" s="45"/>
      <c r="AV207" s="44"/>
      <c r="AW207" s="45"/>
      <c r="AX207" s="44"/>
      <c r="AY207" s="45"/>
      <c r="AZ207" s="50"/>
      <c r="BA207" s="47"/>
      <c r="BB207" s="50"/>
      <c r="BC207" s="47"/>
      <c r="BD207" s="50"/>
      <c r="BE207" s="47"/>
      <c r="BF207" s="50"/>
      <c r="BG207" s="47"/>
      <c r="BH207" s="50"/>
      <c r="BI207" s="608" t="s">
        <v>307</v>
      </c>
      <c r="BJ207" s="326"/>
      <c r="BK207" s="326"/>
      <c r="BL207" s="326"/>
      <c r="BM207" s="326"/>
      <c r="BN207" s="326"/>
      <c r="BO207" s="326"/>
      <c r="BP207" s="326"/>
      <c r="BQ207" s="326"/>
      <c r="BR207" s="326"/>
      <c r="BS207" s="326"/>
      <c r="BT207" s="326"/>
      <c r="BU207" s="326"/>
      <c r="BV207" s="327"/>
    </row>
    <row r="208" spans="1:74" ht="30" customHeight="1" x14ac:dyDescent="0.25">
      <c r="A208" s="49">
        <f t="shared" si="0"/>
        <v>194</v>
      </c>
      <c r="B208" s="42" t="s">
        <v>334</v>
      </c>
      <c r="C208" s="43"/>
      <c r="D208" s="609"/>
      <c r="E208" s="326"/>
      <c r="F208" s="326"/>
      <c r="G208" s="326"/>
      <c r="H208" s="326"/>
      <c r="I208" s="326"/>
      <c r="J208" s="326"/>
      <c r="K208" s="327"/>
      <c r="L208" s="610"/>
      <c r="M208" s="326"/>
      <c r="N208" s="326"/>
      <c r="O208" s="327"/>
      <c r="P208" s="609"/>
      <c r="Q208" s="326"/>
      <c r="R208" s="326"/>
      <c r="S208" s="327"/>
      <c r="T208" s="610"/>
      <c r="U208" s="326"/>
      <c r="V208" s="326"/>
      <c r="W208" s="327"/>
      <c r="X208" s="609"/>
      <c r="Y208" s="326"/>
      <c r="Z208" s="326"/>
      <c r="AA208" s="327"/>
      <c r="AB208" s="451"/>
      <c r="AC208" s="326"/>
      <c r="AD208" s="327"/>
      <c r="AE208" s="526"/>
      <c r="AF208" s="326"/>
      <c r="AG208" s="327"/>
      <c r="AH208" s="607"/>
      <c r="AI208" s="326"/>
      <c r="AJ208" s="327"/>
      <c r="AK208" s="497"/>
      <c r="AL208" s="326"/>
      <c r="AM208" s="327"/>
      <c r="AN208" s="44"/>
      <c r="AO208" s="45"/>
      <c r="AP208" s="44"/>
      <c r="AQ208" s="45"/>
      <c r="AR208" s="44"/>
      <c r="AS208" s="45"/>
      <c r="AT208" s="44"/>
      <c r="AU208" s="45"/>
      <c r="AV208" s="44"/>
      <c r="AW208" s="45"/>
      <c r="AX208" s="44"/>
      <c r="AY208" s="45"/>
      <c r="AZ208" s="50"/>
      <c r="BA208" s="47"/>
      <c r="BB208" s="50"/>
      <c r="BC208" s="47"/>
      <c r="BD208" s="50"/>
      <c r="BE208" s="47"/>
      <c r="BF208" s="50"/>
      <c r="BG208" s="47"/>
      <c r="BH208" s="50"/>
      <c r="BI208" s="608" t="s">
        <v>303</v>
      </c>
      <c r="BJ208" s="326"/>
      <c r="BK208" s="326"/>
      <c r="BL208" s="326"/>
      <c r="BM208" s="326"/>
      <c r="BN208" s="326"/>
      <c r="BO208" s="326"/>
      <c r="BP208" s="326"/>
      <c r="BQ208" s="326"/>
      <c r="BR208" s="326"/>
      <c r="BS208" s="326"/>
      <c r="BT208" s="326"/>
      <c r="BU208" s="326"/>
      <c r="BV208" s="327"/>
    </row>
    <row r="209" spans="1:74" ht="30" customHeight="1" x14ac:dyDescent="0.25">
      <c r="A209" s="49">
        <f t="shared" si="0"/>
        <v>195</v>
      </c>
      <c r="B209" s="42" t="s">
        <v>334</v>
      </c>
      <c r="C209" s="43"/>
      <c r="D209" s="609"/>
      <c r="E209" s="326"/>
      <c r="F209" s="326"/>
      <c r="G209" s="326"/>
      <c r="H209" s="326"/>
      <c r="I209" s="326"/>
      <c r="J209" s="326"/>
      <c r="K209" s="327"/>
      <c r="L209" s="610"/>
      <c r="M209" s="326"/>
      <c r="N209" s="326"/>
      <c r="O209" s="327"/>
      <c r="P209" s="609"/>
      <c r="Q209" s="326"/>
      <c r="R209" s="326"/>
      <c r="S209" s="327"/>
      <c r="T209" s="610"/>
      <c r="U209" s="326"/>
      <c r="V209" s="326"/>
      <c r="W209" s="327"/>
      <c r="X209" s="609"/>
      <c r="Y209" s="326"/>
      <c r="Z209" s="326"/>
      <c r="AA209" s="327"/>
      <c r="AB209" s="451"/>
      <c r="AC209" s="326"/>
      <c r="AD209" s="327"/>
      <c r="AE209" s="526"/>
      <c r="AF209" s="326"/>
      <c r="AG209" s="327"/>
      <c r="AH209" s="607"/>
      <c r="AI209" s="326"/>
      <c r="AJ209" s="327"/>
      <c r="AK209" s="497"/>
      <c r="AL209" s="326"/>
      <c r="AM209" s="327"/>
      <c r="AN209" s="44"/>
      <c r="AO209" s="45"/>
      <c r="AP209" s="44"/>
      <c r="AQ209" s="45"/>
      <c r="AR209" s="44"/>
      <c r="AS209" s="45"/>
      <c r="AT209" s="44"/>
      <c r="AU209" s="45"/>
      <c r="AV209" s="44"/>
      <c r="AW209" s="45"/>
      <c r="AX209" s="44"/>
      <c r="AY209" s="45"/>
      <c r="AZ209" s="50"/>
      <c r="BA209" s="47"/>
      <c r="BB209" s="50"/>
      <c r="BC209" s="47"/>
      <c r="BD209" s="50"/>
      <c r="BE209" s="47"/>
      <c r="BF209" s="50"/>
      <c r="BG209" s="47"/>
      <c r="BH209" s="50"/>
      <c r="BI209" s="608" t="s">
        <v>303</v>
      </c>
      <c r="BJ209" s="326"/>
      <c r="BK209" s="326"/>
      <c r="BL209" s="326"/>
      <c r="BM209" s="326"/>
      <c r="BN209" s="326"/>
      <c r="BO209" s="326"/>
      <c r="BP209" s="326"/>
      <c r="BQ209" s="326"/>
      <c r="BR209" s="326"/>
      <c r="BS209" s="326"/>
      <c r="BT209" s="326"/>
      <c r="BU209" s="326"/>
      <c r="BV209" s="327"/>
    </row>
    <row r="210" spans="1:74" ht="30" customHeight="1" x14ac:dyDescent="0.25">
      <c r="A210" s="41">
        <f t="shared" si="0"/>
        <v>196</v>
      </c>
      <c r="B210" s="42" t="s">
        <v>334</v>
      </c>
      <c r="C210" s="43"/>
      <c r="D210" s="609"/>
      <c r="E210" s="326"/>
      <c r="F210" s="326"/>
      <c r="G210" s="326"/>
      <c r="H210" s="326"/>
      <c r="I210" s="326"/>
      <c r="J210" s="326"/>
      <c r="K210" s="327"/>
      <c r="L210" s="610"/>
      <c r="M210" s="326"/>
      <c r="N210" s="326"/>
      <c r="O210" s="327"/>
      <c r="P210" s="609"/>
      <c r="Q210" s="326"/>
      <c r="R210" s="326"/>
      <c r="S210" s="327"/>
      <c r="T210" s="610"/>
      <c r="U210" s="326"/>
      <c r="V210" s="326"/>
      <c r="W210" s="327"/>
      <c r="X210" s="609"/>
      <c r="Y210" s="326"/>
      <c r="Z210" s="326"/>
      <c r="AA210" s="327"/>
      <c r="AB210" s="451"/>
      <c r="AC210" s="326"/>
      <c r="AD210" s="327"/>
      <c r="AE210" s="526"/>
      <c r="AF210" s="326"/>
      <c r="AG210" s="327"/>
      <c r="AH210" s="607"/>
      <c r="AI210" s="326"/>
      <c r="AJ210" s="327"/>
      <c r="AK210" s="497"/>
      <c r="AL210" s="326"/>
      <c r="AM210" s="327"/>
      <c r="AN210" s="44"/>
      <c r="AO210" s="45"/>
      <c r="AP210" s="44"/>
      <c r="AQ210" s="45"/>
      <c r="AR210" s="44"/>
      <c r="AS210" s="45"/>
      <c r="AT210" s="44"/>
      <c r="AU210" s="45"/>
      <c r="AV210" s="44"/>
      <c r="AW210" s="45"/>
      <c r="AX210" s="44"/>
      <c r="AY210" s="45"/>
      <c r="AZ210" s="50"/>
      <c r="BA210" s="47"/>
      <c r="BB210" s="50"/>
      <c r="BC210" s="47"/>
      <c r="BD210" s="50"/>
      <c r="BE210" s="47"/>
      <c r="BF210" s="50"/>
      <c r="BG210" s="47"/>
      <c r="BH210" s="50"/>
      <c r="BI210" s="608" t="s">
        <v>307</v>
      </c>
      <c r="BJ210" s="326"/>
      <c r="BK210" s="326"/>
      <c r="BL210" s="326"/>
      <c r="BM210" s="326"/>
      <c r="BN210" s="326"/>
      <c r="BO210" s="326"/>
      <c r="BP210" s="326"/>
      <c r="BQ210" s="326"/>
      <c r="BR210" s="326"/>
      <c r="BS210" s="326"/>
      <c r="BT210" s="326"/>
      <c r="BU210" s="326"/>
      <c r="BV210" s="327"/>
    </row>
    <row r="211" spans="1:74" ht="30" customHeight="1" x14ac:dyDescent="0.25">
      <c r="A211" s="49">
        <f t="shared" si="0"/>
        <v>197</v>
      </c>
      <c r="B211" s="42" t="s">
        <v>334</v>
      </c>
      <c r="C211" s="43"/>
      <c r="D211" s="609"/>
      <c r="E211" s="326"/>
      <c r="F211" s="326"/>
      <c r="G211" s="326"/>
      <c r="H211" s="326"/>
      <c r="I211" s="326"/>
      <c r="J211" s="326"/>
      <c r="K211" s="327"/>
      <c r="L211" s="610"/>
      <c r="M211" s="326"/>
      <c r="N211" s="326"/>
      <c r="O211" s="327"/>
      <c r="P211" s="609"/>
      <c r="Q211" s="326"/>
      <c r="R211" s="326"/>
      <c r="S211" s="327"/>
      <c r="T211" s="610"/>
      <c r="U211" s="326"/>
      <c r="V211" s="326"/>
      <c r="W211" s="327"/>
      <c r="X211" s="609"/>
      <c r="Y211" s="326"/>
      <c r="Z211" s="326"/>
      <c r="AA211" s="327"/>
      <c r="AB211" s="451"/>
      <c r="AC211" s="326"/>
      <c r="AD211" s="327"/>
      <c r="AE211" s="526"/>
      <c r="AF211" s="326"/>
      <c r="AG211" s="327"/>
      <c r="AH211" s="607"/>
      <c r="AI211" s="326"/>
      <c r="AJ211" s="327"/>
      <c r="AK211" s="497"/>
      <c r="AL211" s="326"/>
      <c r="AM211" s="327"/>
      <c r="AN211" s="44"/>
      <c r="AO211" s="45"/>
      <c r="AP211" s="44"/>
      <c r="AQ211" s="45"/>
      <c r="AR211" s="44"/>
      <c r="AS211" s="45"/>
      <c r="AT211" s="44"/>
      <c r="AU211" s="45"/>
      <c r="AV211" s="44"/>
      <c r="AW211" s="45"/>
      <c r="AX211" s="44"/>
      <c r="AY211" s="45"/>
      <c r="AZ211" s="50"/>
      <c r="BA211" s="47"/>
      <c r="BB211" s="50"/>
      <c r="BC211" s="47"/>
      <c r="BD211" s="50"/>
      <c r="BE211" s="47"/>
      <c r="BF211" s="50"/>
      <c r="BG211" s="47"/>
      <c r="BH211" s="50"/>
      <c r="BI211" s="608" t="s">
        <v>307</v>
      </c>
      <c r="BJ211" s="326"/>
      <c r="BK211" s="326"/>
      <c r="BL211" s="326"/>
      <c r="BM211" s="326"/>
      <c r="BN211" s="326"/>
      <c r="BO211" s="326"/>
      <c r="BP211" s="326"/>
      <c r="BQ211" s="326"/>
      <c r="BR211" s="326"/>
      <c r="BS211" s="326"/>
      <c r="BT211" s="326"/>
      <c r="BU211" s="326"/>
      <c r="BV211" s="327"/>
    </row>
    <row r="212" spans="1:74" ht="30" customHeight="1" x14ac:dyDescent="0.25">
      <c r="A212" s="49">
        <f t="shared" si="0"/>
        <v>198</v>
      </c>
      <c r="B212" s="42" t="s">
        <v>334</v>
      </c>
      <c r="C212" s="43"/>
      <c r="D212" s="609"/>
      <c r="E212" s="326"/>
      <c r="F212" s="326"/>
      <c r="G212" s="326"/>
      <c r="H212" s="326"/>
      <c r="I212" s="326"/>
      <c r="J212" s="326"/>
      <c r="K212" s="327"/>
      <c r="L212" s="610"/>
      <c r="M212" s="326"/>
      <c r="N212" s="326"/>
      <c r="O212" s="327"/>
      <c r="P212" s="609"/>
      <c r="Q212" s="326"/>
      <c r="R212" s="326"/>
      <c r="S212" s="327"/>
      <c r="T212" s="610"/>
      <c r="U212" s="326"/>
      <c r="V212" s="326"/>
      <c r="W212" s="327"/>
      <c r="X212" s="609"/>
      <c r="Y212" s="326"/>
      <c r="Z212" s="326"/>
      <c r="AA212" s="327"/>
      <c r="AB212" s="451"/>
      <c r="AC212" s="326"/>
      <c r="AD212" s="327"/>
      <c r="AE212" s="526"/>
      <c r="AF212" s="326"/>
      <c r="AG212" s="327"/>
      <c r="AH212" s="607"/>
      <c r="AI212" s="326"/>
      <c r="AJ212" s="327"/>
      <c r="AK212" s="497"/>
      <c r="AL212" s="326"/>
      <c r="AM212" s="327"/>
      <c r="AN212" s="44"/>
      <c r="AO212" s="45"/>
      <c r="AP212" s="44"/>
      <c r="AQ212" s="45"/>
      <c r="AR212" s="44"/>
      <c r="AS212" s="45"/>
      <c r="AT212" s="44"/>
      <c r="AU212" s="45"/>
      <c r="AV212" s="44"/>
      <c r="AW212" s="45"/>
      <c r="AX212" s="44"/>
      <c r="AY212" s="45"/>
      <c r="AZ212" s="50"/>
      <c r="BA212" s="47"/>
      <c r="BB212" s="50"/>
      <c r="BC212" s="47"/>
      <c r="BD212" s="50"/>
      <c r="BE212" s="47"/>
      <c r="BF212" s="50"/>
      <c r="BG212" s="47"/>
      <c r="BH212" s="50"/>
      <c r="BI212" s="608" t="s">
        <v>307</v>
      </c>
      <c r="BJ212" s="326"/>
      <c r="BK212" s="326"/>
      <c r="BL212" s="326"/>
      <c r="BM212" s="326"/>
      <c r="BN212" s="326"/>
      <c r="BO212" s="326"/>
      <c r="BP212" s="326"/>
      <c r="BQ212" s="326"/>
      <c r="BR212" s="326"/>
      <c r="BS212" s="326"/>
      <c r="BT212" s="326"/>
      <c r="BU212" s="326"/>
      <c r="BV212" s="327"/>
    </row>
    <row r="213" spans="1:74" ht="30" customHeight="1" x14ac:dyDescent="0.25">
      <c r="A213" s="49">
        <f t="shared" si="0"/>
        <v>199</v>
      </c>
      <c r="B213" s="42" t="s">
        <v>334</v>
      </c>
      <c r="C213" s="43"/>
      <c r="D213" s="609"/>
      <c r="E213" s="326"/>
      <c r="F213" s="326"/>
      <c r="G213" s="326"/>
      <c r="H213" s="326"/>
      <c r="I213" s="326"/>
      <c r="J213" s="326"/>
      <c r="K213" s="327"/>
      <c r="L213" s="610"/>
      <c r="M213" s="326"/>
      <c r="N213" s="326"/>
      <c r="O213" s="327"/>
      <c r="P213" s="609"/>
      <c r="Q213" s="326"/>
      <c r="R213" s="326"/>
      <c r="S213" s="327"/>
      <c r="T213" s="610"/>
      <c r="U213" s="326"/>
      <c r="V213" s="326"/>
      <c r="W213" s="327"/>
      <c r="X213" s="609"/>
      <c r="Y213" s="326"/>
      <c r="Z213" s="326"/>
      <c r="AA213" s="327"/>
      <c r="AB213" s="451"/>
      <c r="AC213" s="326"/>
      <c r="AD213" s="327"/>
      <c r="AE213" s="526"/>
      <c r="AF213" s="326"/>
      <c r="AG213" s="327"/>
      <c r="AH213" s="607"/>
      <c r="AI213" s="326"/>
      <c r="AJ213" s="327"/>
      <c r="AK213" s="497"/>
      <c r="AL213" s="326"/>
      <c r="AM213" s="327"/>
      <c r="AN213" s="44"/>
      <c r="AO213" s="45"/>
      <c r="AP213" s="44"/>
      <c r="AQ213" s="45"/>
      <c r="AR213" s="44"/>
      <c r="AS213" s="45"/>
      <c r="AT213" s="44"/>
      <c r="AU213" s="45"/>
      <c r="AV213" s="44"/>
      <c r="AW213" s="45"/>
      <c r="AX213" s="44"/>
      <c r="AY213" s="45"/>
      <c r="AZ213" s="50"/>
      <c r="BA213" s="47"/>
      <c r="BB213" s="50"/>
      <c r="BC213" s="47"/>
      <c r="BD213" s="50"/>
      <c r="BE213" s="47"/>
      <c r="BF213" s="50"/>
      <c r="BG213" s="47"/>
      <c r="BH213" s="50"/>
      <c r="BI213" s="608" t="s">
        <v>307</v>
      </c>
      <c r="BJ213" s="326"/>
      <c r="BK213" s="326"/>
      <c r="BL213" s="326"/>
      <c r="BM213" s="326"/>
      <c r="BN213" s="326"/>
      <c r="BO213" s="326"/>
      <c r="BP213" s="326"/>
      <c r="BQ213" s="326"/>
      <c r="BR213" s="326"/>
      <c r="BS213" s="326"/>
      <c r="BT213" s="326"/>
      <c r="BU213" s="326"/>
      <c r="BV213" s="327"/>
    </row>
    <row r="214" spans="1:74" ht="30" customHeight="1" x14ac:dyDescent="0.25">
      <c r="A214" s="49">
        <f t="shared" si="0"/>
        <v>200</v>
      </c>
      <c r="B214" s="42" t="s">
        <v>334</v>
      </c>
      <c r="C214" s="43"/>
      <c r="D214" s="609"/>
      <c r="E214" s="326"/>
      <c r="F214" s="326"/>
      <c r="G214" s="326"/>
      <c r="H214" s="326"/>
      <c r="I214" s="326"/>
      <c r="J214" s="326"/>
      <c r="K214" s="327"/>
      <c r="L214" s="610"/>
      <c r="M214" s="326"/>
      <c r="N214" s="326"/>
      <c r="O214" s="327"/>
      <c r="P214" s="609"/>
      <c r="Q214" s="326"/>
      <c r="R214" s="326"/>
      <c r="S214" s="327"/>
      <c r="T214" s="610"/>
      <c r="U214" s="326"/>
      <c r="V214" s="326"/>
      <c r="W214" s="327"/>
      <c r="X214" s="609"/>
      <c r="Y214" s="326"/>
      <c r="Z214" s="326"/>
      <c r="AA214" s="327"/>
      <c r="AB214" s="451"/>
      <c r="AC214" s="326"/>
      <c r="AD214" s="327"/>
      <c r="AE214" s="526"/>
      <c r="AF214" s="326"/>
      <c r="AG214" s="327"/>
      <c r="AH214" s="607"/>
      <c r="AI214" s="326"/>
      <c r="AJ214" s="327"/>
      <c r="AK214" s="497"/>
      <c r="AL214" s="326"/>
      <c r="AM214" s="327"/>
      <c r="AN214" s="44"/>
      <c r="AO214" s="45"/>
      <c r="AP214" s="44"/>
      <c r="AQ214" s="45"/>
      <c r="AR214" s="44"/>
      <c r="AS214" s="45"/>
      <c r="AT214" s="44"/>
      <c r="AU214" s="45"/>
      <c r="AV214" s="44"/>
      <c r="AW214" s="45"/>
      <c r="AX214" s="44"/>
      <c r="AY214" s="45"/>
      <c r="AZ214" s="50"/>
      <c r="BA214" s="47"/>
      <c r="BB214" s="50"/>
      <c r="BC214" s="47"/>
      <c r="BD214" s="50"/>
      <c r="BE214" s="47"/>
      <c r="BF214" s="50"/>
      <c r="BG214" s="47"/>
      <c r="BH214" s="50"/>
      <c r="BI214" s="608" t="s">
        <v>307</v>
      </c>
      <c r="BJ214" s="326"/>
      <c r="BK214" s="326"/>
      <c r="BL214" s="326"/>
      <c r="BM214" s="326"/>
      <c r="BN214" s="326"/>
      <c r="BO214" s="326"/>
      <c r="BP214" s="326"/>
      <c r="BQ214" s="326"/>
      <c r="BR214" s="326"/>
      <c r="BS214" s="326"/>
      <c r="BT214" s="326"/>
      <c r="BU214" s="326"/>
      <c r="BV214" s="327"/>
    </row>
    <row r="215" spans="1:74" ht="30" customHeight="1" x14ac:dyDescent="0.25">
      <c r="A215" s="49">
        <f t="shared" si="0"/>
        <v>201</v>
      </c>
      <c r="B215" s="42" t="s">
        <v>334</v>
      </c>
      <c r="C215" s="43"/>
      <c r="D215" s="609"/>
      <c r="E215" s="326"/>
      <c r="F215" s="326"/>
      <c r="G215" s="326"/>
      <c r="H215" s="326"/>
      <c r="I215" s="326"/>
      <c r="J215" s="326"/>
      <c r="K215" s="327"/>
      <c r="L215" s="610"/>
      <c r="M215" s="326"/>
      <c r="N215" s="326"/>
      <c r="O215" s="327"/>
      <c r="P215" s="609"/>
      <c r="Q215" s="326"/>
      <c r="R215" s="326"/>
      <c r="S215" s="327"/>
      <c r="T215" s="610"/>
      <c r="U215" s="326"/>
      <c r="V215" s="326"/>
      <c r="W215" s="327"/>
      <c r="X215" s="609"/>
      <c r="Y215" s="326"/>
      <c r="Z215" s="326"/>
      <c r="AA215" s="327"/>
      <c r="AB215" s="451"/>
      <c r="AC215" s="326"/>
      <c r="AD215" s="327"/>
      <c r="AE215" s="526"/>
      <c r="AF215" s="326"/>
      <c r="AG215" s="327"/>
      <c r="AH215" s="607"/>
      <c r="AI215" s="326"/>
      <c r="AJ215" s="327"/>
      <c r="AK215" s="497"/>
      <c r="AL215" s="326"/>
      <c r="AM215" s="327"/>
      <c r="AN215" s="44"/>
      <c r="AO215" s="45"/>
      <c r="AP215" s="44"/>
      <c r="AQ215" s="45"/>
      <c r="AR215" s="44"/>
      <c r="AS215" s="45"/>
      <c r="AT215" s="44"/>
      <c r="AU215" s="45"/>
      <c r="AV215" s="44"/>
      <c r="AW215" s="45"/>
      <c r="AX215" s="44"/>
      <c r="AY215" s="45"/>
      <c r="AZ215" s="50"/>
      <c r="BA215" s="47"/>
      <c r="BB215" s="50"/>
      <c r="BC215" s="47"/>
      <c r="BD215" s="50"/>
      <c r="BE215" s="47"/>
      <c r="BF215" s="50"/>
      <c r="BG215" s="47"/>
      <c r="BH215" s="50"/>
      <c r="BI215" s="608" t="s">
        <v>303</v>
      </c>
      <c r="BJ215" s="326"/>
      <c r="BK215" s="326"/>
      <c r="BL215" s="326"/>
      <c r="BM215" s="326"/>
      <c r="BN215" s="326"/>
      <c r="BO215" s="326"/>
      <c r="BP215" s="326"/>
      <c r="BQ215" s="326"/>
      <c r="BR215" s="326"/>
      <c r="BS215" s="326"/>
      <c r="BT215" s="326"/>
      <c r="BU215" s="326"/>
      <c r="BV215" s="327"/>
    </row>
    <row r="216" spans="1:74" ht="30" customHeight="1" x14ac:dyDescent="0.25">
      <c r="A216" s="49">
        <f t="shared" si="0"/>
        <v>202</v>
      </c>
      <c r="B216" s="42" t="s">
        <v>334</v>
      </c>
      <c r="C216" s="43"/>
      <c r="D216" s="609"/>
      <c r="E216" s="326"/>
      <c r="F216" s="326"/>
      <c r="G216" s="326"/>
      <c r="H216" s="326"/>
      <c r="I216" s="326"/>
      <c r="J216" s="326"/>
      <c r="K216" s="327"/>
      <c r="L216" s="610"/>
      <c r="M216" s="326"/>
      <c r="N216" s="326"/>
      <c r="O216" s="327"/>
      <c r="P216" s="609"/>
      <c r="Q216" s="326"/>
      <c r="R216" s="326"/>
      <c r="S216" s="327"/>
      <c r="T216" s="610"/>
      <c r="U216" s="326"/>
      <c r="V216" s="326"/>
      <c r="W216" s="327"/>
      <c r="X216" s="609"/>
      <c r="Y216" s="326"/>
      <c r="Z216" s="326"/>
      <c r="AA216" s="327"/>
      <c r="AB216" s="451"/>
      <c r="AC216" s="326"/>
      <c r="AD216" s="327"/>
      <c r="AE216" s="526"/>
      <c r="AF216" s="326"/>
      <c r="AG216" s="327"/>
      <c r="AH216" s="607"/>
      <c r="AI216" s="326"/>
      <c r="AJ216" s="327"/>
      <c r="AK216" s="497"/>
      <c r="AL216" s="326"/>
      <c r="AM216" s="327"/>
      <c r="AN216" s="44"/>
      <c r="AO216" s="45"/>
      <c r="AP216" s="44"/>
      <c r="AQ216" s="45"/>
      <c r="AR216" s="44"/>
      <c r="AS216" s="45"/>
      <c r="AT216" s="44"/>
      <c r="AU216" s="45"/>
      <c r="AV216" s="44"/>
      <c r="AW216" s="45"/>
      <c r="AX216" s="44"/>
      <c r="AY216" s="45"/>
      <c r="AZ216" s="50"/>
      <c r="BA216" s="47"/>
      <c r="BB216" s="50"/>
      <c r="BC216" s="47"/>
      <c r="BD216" s="50"/>
      <c r="BE216" s="47"/>
      <c r="BF216" s="50"/>
      <c r="BG216" s="47"/>
      <c r="BH216" s="50"/>
      <c r="BI216" s="608" t="s">
        <v>303</v>
      </c>
      <c r="BJ216" s="326"/>
      <c r="BK216" s="326"/>
      <c r="BL216" s="326"/>
      <c r="BM216" s="326"/>
      <c r="BN216" s="326"/>
      <c r="BO216" s="326"/>
      <c r="BP216" s="326"/>
      <c r="BQ216" s="326"/>
      <c r="BR216" s="326"/>
      <c r="BS216" s="326"/>
      <c r="BT216" s="326"/>
      <c r="BU216" s="326"/>
      <c r="BV216" s="327"/>
    </row>
    <row r="217" spans="1:74" ht="30" customHeight="1" x14ac:dyDescent="0.25">
      <c r="A217" s="41">
        <f t="shared" si="0"/>
        <v>203</v>
      </c>
      <c r="B217" s="42" t="s">
        <v>334</v>
      </c>
      <c r="C217" s="43"/>
      <c r="D217" s="609"/>
      <c r="E217" s="326"/>
      <c r="F217" s="326"/>
      <c r="G217" s="326"/>
      <c r="H217" s="326"/>
      <c r="I217" s="326"/>
      <c r="J217" s="326"/>
      <c r="K217" s="327"/>
      <c r="L217" s="610"/>
      <c r="M217" s="326"/>
      <c r="N217" s="326"/>
      <c r="O217" s="327"/>
      <c r="P217" s="609"/>
      <c r="Q217" s="326"/>
      <c r="R217" s="326"/>
      <c r="S217" s="327"/>
      <c r="T217" s="610"/>
      <c r="U217" s="326"/>
      <c r="V217" s="326"/>
      <c r="W217" s="327"/>
      <c r="X217" s="609"/>
      <c r="Y217" s="326"/>
      <c r="Z217" s="326"/>
      <c r="AA217" s="327"/>
      <c r="AB217" s="451"/>
      <c r="AC217" s="326"/>
      <c r="AD217" s="327"/>
      <c r="AE217" s="526"/>
      <c r="AF217" s="326"/>
      <c r="AG217" s="327"/>
      <c r="AH217" s="607"/>
      <c r="AI217" s="326"/>
      <c r="AJ217" s="327"/>
      <c r="AK217" s="497"/>
      <c r="AL217" s="326"/>
      <c r="AM217" s="327"/>
      <c r="AN217" s="44"/>
      <c r="AO217" s="45"/>
      <c r="AP217" s="44"/>
      <c r="AQ217" s="45"/>
      <c r="AR217" s="44"/>
      <c r="AS217" s="45"/>
      <c r="AT217" s="44"/>
      <c r="AU217" s="45"/>
      <c r="AV217" s="44"/>
      <c r="AW217" s="45"/>
      <c r="AX217" s="44"/>
      <c r="AY217" s="45"/>
      <c r="AZ217" s="50"/>
      <c r="BA217" s="47"/>
      <c r="BB217" s="50"/>
      <c r="BC217" s="47"/>
      <c r="BD217" s="50"/>
      <c r="BE217" s="47"/>
      <c r="BF217" s="50"/>
      <c r="BG217" s="47"/>
      <c r="BH217" s="50"/>
      <c r="BI217" s="608" t="s">
        <v>307</v>
      </c>
      <c r="BJ217" s="326"/>
      <c r="BK217" s="326"/>
      <c r="BL217" s="326"/>
      <c r="BM217" s="326"/>
      <c r="BN217" s="326"/>
      <c r="BO217" s="326"/>
      <c r="BP217" s="326"/>
      <c r="BQ217" s="326"/>
      <c r="BR217" s="326"/>
      <c r="BS217" s="326"/>
      <c r="BT217" s="326"/>
      <c r="BU217" s="326"/>
      <c r="BV217" s="327"/>
    </row>
    <row r="218" spans="1:74" ht="30" customHeight="1" x14ac:dyDescent="0.25">
      <c r="A218" s="49">
        <f t="shared" si="0"/>
        <v>204</v>
      </c>
      <c r="B218" s="42" t="s">
        <v>334</v>
      </c>
      <c r="C218" s="43"/>
      <c r="D218" s="609"/>
      <c r="E218" s="326"/>
      <c r="F218" s="326"/>
      <c r="G218" s="326"/>
      <c r="H218" s="326"/>
      <c r="I218" s="326"/>
      <c r="J218" s="326"/>
      <c r="K218" s="327"/>
      <c r="L218" s="610"/>
      <c r="M218" s="326"/>
      <c r="N218" s="326"/>
      <c r="O218" s="327"/>
      <c r="P218" s="609"/>
      <c r="Q218" s="326"/>
      <c r="R218" s="326"/>
      <c r="S218" s="327"/>
      <c r="T218" s="610"/>
      <c r="U218" s="326"/>
      <c r="V218" s="326"/>
      <c r="W218" s="327"/>
      <c r="X218" s="609"/>
      <c r="Y218" s="326"/>
      <c r="Z218" s="326"/>
      <c r="AA218" s="327"/>
      <c r="AB218" s="451"/>
      <c r="AC218" s="326"/>
      <c r="AD218" s="327"/>
      <c r="AE218" s="526"/>
      <c r="AF218" s="326"/>
      <c r="AG218" s="327"/>
      <c r="AH218" s="607"/>
      <c r="AI218" s="326"/>
      <c r="AJ218" s="327"/>
      <c r="AK218" s="497"/>
      <c r="AL218" s="326"/>
      <c r="AM218" s="327"/>
      <c r="AN218" s="44"/>
      <c r="AO218" s="45"/>
      <c r="AP218" s="44"/>
      <c r="AQ218" s="45"/>
      <c r="AR218" s="44"/>
      <c r="AS218" s="45"/>
      <c r="AT218" s="44"/>
      <c r="AU218" s="45"/>
      <c r="AV218" s="44"/>
      <c r="AW218" s="45"/>
      <c r="AX218" s="44"/>
      <c r="AY218" s="45"/>
      <c r="AZ218" s="50"/>
      <c r="BA218" s="47"/>
      <c r="BB218" s="50"/>
      <c r="BC218" s="47"/>
      <c r="BD218" s="50"/>
      <c r="BE218" s="47"/>
      <c r="BF218" s="50"/>
      <c r="BG218" s="47"/>
      <c r="BH218" s="50"/>
      <c r="BI218" s="608" t="s">
        <v>307</v>
      </c>
      <c r="BJ218" s="326"/>
      <c r="BK218" s="326"/>
      <c r="BL218" s="326"/>
      <c r="BM218" s="326"/>
      <c r="BN218" s="326"/>
      <c r="BO218" s="326"/>
      <c r="BP218" s="326"/>
      <c r="BQ218" s="326"/>
      <c r="BR218" s="326"/>
      <c r="BS218" s="326"/>
      <c r="BT218" s="326"/>
      <c r="BU218" s="326"/>
      <c r="BV218" s="327"/>
    </row>
    <row r="219" spans="1:74" ht="30" customHeight="1" x14ac:dyDescent="0.25">
      <c r="A219" s="49">
        <f t="shared" si="0"/>
        <v>205</v>
      </c>
      <c r="B219" s="42" t="s">
        <v>334</v>
      </c>
      <c r="C219" s="43"/>
      <c r="D219" s="609"/>
      <c r="E219" s="326"/>
      <c r="F219" s="326"/>
      <c r="G219" s="326"/>
      <c r="H219" s="326"/>
      <c r="I219" s="326"/>
      <c r="J219" s="326"/>
      <c r="K219" s="327"/>
      <c r="L219" s="610"/>
      <c r="M219" s="326"/>
      <c r="N219" s="326"/>
      <c r="O219" s="327"/>
      <c r="P219" s="609"/>
      <c r="Q219" s="326"/>
      <c r="R219" s="326"/>
      <c r="S219" s="327"/>
      <c r="T219" s="610"/>
      <c r="U219" s="326"/>
      <c r="V219" s="326"/>
      <c r="W219" s="327"/>
      <c r="X219" s="609"/>
      <c r="Y219" s="326"/>
      <c r="Z219" s="326"/>
      <c r="AA219" s="327"/>
      <c r="AB219" s="451"/>
      <c r="AC219" s="326"/>
      <c r="AD219" s="327"/>
      <c r="AE219" s="526"/>
      <c r="AF219" s="326"/>
      <c r="AG219" s="327"/>
      <c r="AH219" s="607"/>
      <c r="AI219" s="326"/>
      <c r="AJ219" s="327"/>
      <c r="AK219" s="497"/>
      <c r="AL219" s="326"/>
      <c r="AM219" s="327"/>
      <c r="AN219" s="44"/>
      <c r="AO219" s="45"/>
      <c r="AP219" s="44"/>
      <c r="AQ219" s="45"/>
      <c r="AR219" s="44"/>
      <c r="AS219" s="45"/>
      <c r="AT219" s="44"/>
      <c r="AU219" s="45"/>
      <c r="AV219" s="44"/>
      <c r="AW219" s="45"/>
      <c r="AX219" s="44"/>
      <c r="AY219" s="45"/>
      <c r="AZ219" s="50"/>
      <c r="BA219" s="47"/>
      <c r="BB219" s="50"/>
      <c r="BC219" s="47"/>
      <c r="BD219" s="50"/>
      <c r="BE219" s="47"/>
      <c r="BF219" s="50"/>
      <c r="BG219" s="47"/>
      <c r="BH219" s="50"/>
      <c r="BI219" s="608" t="s">
        <v>307</v>
      </c>
      <c r="BJ219" s="326"/>
      <c r="BK219" s="326"/>
      <c r="BL219" s="326"/>
      <c r="BM219" s="326"/>
      <c r="BN219" s="326"/>
      <c r="BO219" s="326"/>
      <c r="BP219" s="326"/>
      <c r="BQ219" s="326"/>
      <c r="BR219" s="326"/>
      <c r="BS219" s="326"/>
      <c r="BT219" s="326"/>
      <c r="BU219" s="326"/>
      <c r="BV219" s="327"/>
    </row>
    <row r="220" spans="1:74" ht="30" customHeight="1" x14ac:dyDescent="0.25">
      <c r="A220" s="49">
        <f t="shared" si="0"/>
        <v>206</v>
      </c>
      <c r="B220" s="42" t="s">
        <v>334</v>
      </c>
      <c r="C220" s="43"/>
      <c r="D220" s="609"/>
      <c r="E220" s="326"/>
      <c r="F220" s="326"/>
      <c r="G220" s="326"/>
      <c r="H220" s="326"/>
      <c r="I220" s="326"/>
      <c r="J220" s="326"/>
      <c r="K220" s="327"/>
      <c r="L220" s="610"/>
      <c r="M220" s="326"/>
      <c r="N220" s="326"/>
      <c r="O220" s="327"/>
      <c r="P220" s="609"/>
      <c r="Q220" s="326"/>
      <c r="R220" s="326"/>
      <c r="S220" s="327"/>
      <c r="T220" s="610"/>
      <c r="U220" s="326"/>
      <c r="V220" s="326"/>
      <c r="W220" s="327"/>
      <c r="X220" s="609"/>
      <c r="Y220" s="326"/>
      <c r="Z220" s="326"/>
      <c r="AA220" s="327"/>
      <c r="AB220" s="451"/>
      <c r="AC220" s="326"/>
      <c r="AD220" s="327"/>
      <c r="AE220" s="526"/>
      <c r="AF220" s="326"/>
      <c r="AG220" s="327"/>
      <c r="AH220" s="607"/>
      <c r="AI220" s="326"/>
      <c r="AJ220" s="327"/>
      <c r="AK220" s="497"/>
      <c r="AL220" s="326"/>
      <c r="AM220" s="327"/>
      <c r="AN220" s="44"/>
      <c r="AO220" s="45"/>
      <c r="AP220" s="44"/>
      <c r="AQ220" s="45"/>
      <c r="AR220" s="44"/>
      <c r="AS220" s="45"/>
      <c r="AT220" s="44"/>
      <c r="AU220" s="45"/>
      <c r="AV220" s="44"/>
      <c r="AW220" s="45"/>
      <c r="AX220" s="44"/>
      <c r="AY220" s="45"/>
      <c r="AZ220" s="50"/>
      <c r="BA220" s="47"/>
      <c r="BB220" s="50"/>
      <c r="BC220" s="47"/>
      <c r="BD220" s="50"/>
      <c r="BE220" s="47"/>
      <c r="BF220" s="50"/>
      <c r="BG220" s="47"/>
      <c r="BH220" s="50"/>
      <c r="BI220" s="608" t="s">
        <v>307</v>
      </c>
      <c r="BJ220" s="326"/>
      <c r="BK220" s="326"/>
      <c r="BL220" s="326"/>
      <c r="BM220" s="326"/>
      <c r="BN220" s="326"/>
      <c r="BO220" s="326"/>
      <c r="BP220" s="326"/>
      <c r="BQ220" s="326"/>
      <c r="BR220" s="326"/>
      <c r="BS220" s="326"/>
      <c r="BT220" s="326"/>
      <c r="BU220" s="326"/>
      <c r="BV220" s="327"/>
    </row>
    <row r="221" spans="1:74" ht="30" customHeight="1" x14ac:dyDescent="0.25">
      <c r="A221" s="49">
        <f t="shared" si="0"/>
        <v>207</v>
      </c>
      <c r="B221" s="42" t="s">
        <v>334</v>
      </c>
      <c r="C221" s="43"/>
      <c r="D221" s="609"/>
      <c r="E221" s="326"/>
      <c r="F221" s="326"/>
      <c r="G221" s="326"/>
      <c r="H221" s="326"/>
      <c r="I221" s="326"/>
      <c r="J221" s="326"/>
      <c r="K221" s="327"/>
      <c r="L221" s="610"/>
      <c r="M221" s="326"/>
      <c r="N221" s="326"/>
      <c r="O221" s="327"/>
      <c r="P221" s="609"/>
      <c r="Q221" s="326"/>
      <c r="R221" s="326"/>
      <c r="S221" s="327"/>
      <c r="T221" s="610"/>
      <c r="U221" s="326"/>
      <c r="V221" s="326"/>
      <c r="W221" s="327"/>
      <c r="X221" s="609"/>
      <c r="Y221" s="326"/>
      <c r="Z221" s="326"/>
      <c r="AA221" s="327"/>
      <c r="AB221" s="451"/>
      <c r="AC221" s="326"/>
      <c r="AD221" s="327"/>
      <c r="AE221" s="526"/>
      <c r="AF221" s="326"/>
      <c r="AG221" s="327"/>
      <c r="AH221" s="607"/>
      <c r="AI221" s="326"/>
      <c r="AJ221" s="327"/>
      <c r="AK221" s="497"/>
      <c r="AL221" s="326"/>
      <c r="AM221" s="327"/>
      <c r="AN221" s="44"/>
      <c r="AO221" s="45"/>
      <c r="AP221" s="44"/>
      <c r="AQ221" s="45"/>
      <c r="AR221" s="44"/>
      <c r="AS221" s="45"/>
      <c r="AT221" s="44"/>
      <c r="AU221" s="45"/>
      <c r="AV221" s="44"/>
      <c r="AW221" s="45"/>
      <c r="AX221" s="44"/>
      <c r="AY221" s="45"/>
      <c r="AZ221" s="50"/>
      <c r="BA221" s="47"/>
      <c r="BB221" s="50"/>
      <c r="BC221" s="47"/>
      <c r="BD221" s="50"/>
      <c r="BE221" s="47"/>
      <c r="BF221" s="50"/>
      <c r="BG221" s="47"/>
      <c r="BH221" s="50"/>
      <c r="BI221" s="608" t="s">
        <v>307</v>
      </c>
      <c r="BJ221" s="326"/>
      <c r="BK221" s="326"/>
      <c r="BL221" s="326"/>
      <c r="BM221" s="326"/>
      <c r="BN221" s="326"/>
      <c r="BO221" s="326"/>
      <c r="BP221" s="326"/>
      <c r="BQ221" s="326"/>
      <c r="BR221" s="326"/>
      <c r="BS221" s="326"/>
      <c r="BT221" s="326"/>
      <c r="BU221" s="326"/>
      <c r="BV221" s="327"/>
    </row>
    <row r="222" spans="1:74" ht="30" customHeight="1" x14ac:dyDescent="0.25">
      <c r="A222" s="49">
        <f t="shared" si="0"/>
        <v>208</v>
      </c>
      <c r="B222" s="42" t="s">
        <v>334</v>
      </c>
      <c r="C222" s="43"/>
      <c r="D222" s="609"/>
      <c r="E222" s="326"/>
      <c r="F222" s="326"/>
      <c r="G222" s="326"/>
      <c r="H222" s="326"/>
      <c r="I222" s="326"/>
      <c r="J222" s="326"/>
      <c r="K222" s="327"/>
      <c r="L222" s="610"/>
      <c r="M222" s="326"/>
      <c r="N222" s="326"/>
      <c r="O222" s="327"/>
      <c r="P222" s="609"/>
      <c r="Q222" s="326"/>
      <c r="R222" s="326"/>
      <c r="S222" s="327"/>
      <c r="T222" s="610"/>
      <c r="U222" s="326"/>
      <c r="V222" s="326"/>
      <c r="W222" s="327"/>
      <c r="X222" s="609"/>
      <c r="Y222" s="326"/>
      <c r="Z222" s="326"/>
      <c r="AA222" s="327"/>
      <c r="AB222" s="451"/>
      <c r="AC222" s="326"/>
      <c r="AD222" s="327"/>
      <c r="AE222" s="526"/>
      <c r="AF222" s="326"/>
      <c r="AG222" s="327"/>
      <c r="AH222" s="607"/>
      <c r="AI222" s="326"/>
      <c r="AJ222" s="327"/>
      <c r="AK222" s="497"/>
      <c r="AL222" s="326"/>
      <c r="AM222" s="327"/>
      <c r="AN222" s="44"/>
      <c r="AO222" s="45"/>
      <c r="AP222" s="44"/>
      <c r="AQ222" s="45"/>
      <c r="AR222" s="44"/>
      <c r="AS222" s="45"/>
      <c r="AT222" s="44"/>
      <c r="AU222" s="45"/>
      <c r="AV222" s="44"/>
      <c r="AW222" s="45"/>
      <c r="AX222" s="44"/>
      <c r="AY222" s="45"/>
      <c r="AZ222" s="50"/>
      <c r="BA222" s="47"/>
      <c r="BB222" s="50"/>
      <c r="BC222" s="47"/>
      <c r="BD222" s="50"/>
      <c r="BE222" s="47"/>
      <c r="BF222" s="50"/>
      <c r="BG222" s="47"/>
      <c r="BH222" s="50"/>
      <c r="BI222" s="608" t="s">
        <v>303</v>
      </c>
      <c r="BJ222" s="326"/>
      <c r="BK222" s="326"/>
      <c r="BL222" s="326"/>
      <c r="BM222" s="326"/>
      <c r="BN222" s="326"/>
      <c r="BO222" s="326"/>
      <c r="BP222" s="326"/>
      <c r="BQ222" s="326"/>
      <c r="BR222" s="326"/>
      <c r="BS222" s="326"/>
      <c r="BT222" s="326"/>
      <c r="BU222" s="326"/>
      <c r="BV222" s="327"/>
    </row>
    <row r="223" spans="1:74" ht="30" customHeight="1" x14ac:dyDescent="0.25">
      <c r="A223" s="41">
        <f t="shared" si="0"/>
        <v>209</v>
      </c>
      <c r="B223" s="42" t="s">
        <v>334</v>
      </c>
      <c r="C223" s="43"/>
      <c r="D223" s="609"/>
      <c r="E223" s="326"/>
      <c r="F223" s="326"/>
      <c r="G223" s="326"/>
      <c r="H223" s="326"/>
      <c r="I223" s="326"/>
      <c r="J223" s="326"/>
      <c r="K223" s="327"/>
      <c r="L223" s="610"/>
      <c r="M223" s="326"/>
      <c r="N223" s="326"/>
      <c r="O223" s="327"/>
      <c r="P223" s="609"/>
      <c r="Q223" s="326"/>
      <c r="R223" s="326"/>
      <c r="S223" s="327"/>
      <c r="T223" s="610"/>
      <c r="U223" s="326"/>
      <c r="V223" s="326"/>
      <c r="W223" s="327"/>
      <c r="X223" s="609"/>
      <c r="Y223" s="326"/>
      <c r="Z223" s="326"/>
      <c r="AA223" s="327"/>
      <c r="AB223" s="451"/>
      <c r="AC223" s="326"/>
      <c r="AD223" s="327"/>
      <c r="AE223" s="526"/>
      <c r="AF223" s="326"/>
      <c r="AG223" s="327"/>
      <c r="AH223" s="607"/>
      <c r="AI223" s="326"/>
      <c r="AJ223" s="327"/>
      <c r="AK223" s="497"/>
      <c r="AL223" s="326"/>
      <c r="AM223" s="327"/>
      <c r="AN223" s="44"/>
      <c r="AO223" s="45"/>
      <c r="AP223" s="44"/>
      <c r="AQ223" s="45"/>
      <c r="AR223" s="44"/>
      <c r="AS223" s="45"/>
      <c r="AT223" s="44"/>
      <c r="AU223" s="45"/>
      <c r="AV223" s="44"/>
      <c r="AW223" s="45"/>
      <c r="AX223" s="44"/>
      <c r="AY223" s="45"/>
      <c r="AZ223" s="50"/>
      <c r="BA223" s="47"/>
      <c r="BB223" s="50"/>
      <c r="BC223" s="47"/>
      <c r="BD223" s="50"/>
      <c r="BE223" s="47"/>
      <c r="BF223" s="50"/>
      <c r="BG223" s="47"/>
      <c r="BH223" s="50"/>
      <c r="BI223" s="608" t="s">
        <v>307</v>
      </c>
      <c r="BJ223" s="326"/>
      <c r="BK223" s="326"/>
      <c r="BL223" s="326"/>
      <c r="BM223" s="326"/>
      <c r="BN223" s="326"/>
      <c r="BO223" s="326"/>
      <c r="BP223" s="326"/>
      <c r="BQ223" s="326"/>
      <c r="BR223" s="326"/>
      <c r="BS223" s="326"/>
      <c r="BT223" s="326"/>
      <c r="BU223" s="326"/>
      <c r="BV223" s="327"/>
    </row>
    <row r="224" spans="1:74" ht="30" customHeight="1" x14ac:dyDescent="0.25">
      <c r="A224" s="49">
        <f t="shared" si="0"/>
        <v>210</v>
      </c>
      <c r="B224" s="42" t="s">
        <v>334</v>
      </c>
      <c r="C224" s="43"/>
      <c r="D224" s="609"/>
      <c r="E224" s="326"/>
      <c r="F224" s="326"/>
      <c r="G224" s="326"/>
      <c r="H224" s="326"/>
      <c r="I224" s="326"/>
      <c r="J224" s="326"/>
      <c r="K224" s="327"/>
      <c r="L224" s="610"/>
      <c r="M224" s="326"/>
      <c r="N224" s="326"/>
      <c r="O224" s="327"/>
      <c r="P224" s="609"/>
      <c r="Q224" s="326"/>
      <c r="R224" s="326"/>
      <c r="S224" s="327"/>
      <c r="T224" s="610"/>
      <c r="U224" s="326"/>
      <c r="V224" s="326"/>
      <c r="W224" s="327"/>
      <c r="X224" s="609"/>
      <c r="Y224" s="326"/>
      <c r="Z224" s="326"/>
      <c r="AA224" s="327"/>
      <c r="AB224" s="451"/>
      <c r="AC224" s="326"/>
      <c r="AD224" s="327"/>
      <c r="AE224" s="526"/>
      <c r="AF224" s="326"/>
      <c r="AG224" s="327"/>
      <c r="AH224" s="607"/>
      <c r="AI224" s="326"/>
      <c r="AJ224" s="327"/>
      <c r="AK224" s="497"/>
      <c r="AL224" s="326"/>
      <c r="AM224" s="327"/>
      <c r="AN224" s="44"/>
      <c r="AO224" s="45"/>
      <c r="AP224" s="44"/>
      <c r="AQ224" s="45"/>
      <c r="AR224" s="44"/>
      <c r="AS224" s="45"/>
      <c r="AT224" s="44"/>
      <c r="AU224" s="45"/>
      <c r="AV224" s="44"/>
      <c r="AW224" s="45"/>
      <c r="AX224" s="44"/>
      <c r="AY224" s="45"/>
      <c r="AZ224" s="50"/>
      <c r="BA224" s="47"/>
      <c r="BB224" s="50"/>
      <c r="BC224" s="47"/>
      <c r="BD224" s="50"/>
      <c r="BE224" s="47"/>
      <c r="BF224" s="50"/>
      <c r="BG224" s="47"/>
      <c r="BH224" s="50"/>
      <c r="BI224" s="608" t="s">
        <v>307</v>
      </c>
      <c r="BJ224" s="326"/>
      <c r="BK224" s="326"/>
      <c r="BL224" s="326"/>
      <c r="BM224" s="326"/>
      <c r="BN224" s="326"/>
      <c r="BO224" s="326"/>
      <c r="BP224" s="326"/>
      <c r="BQ224" s="326"/>
      <c r="BR224" s="326"/>
      <c r="BS224" s="326"/>
      <c r="BT224" s="326"/>
      <c r="BU224" s="326"/>
      <c r="BV224" s="327"/>
    </row>
    <row r="225" spans="1:74" ht="30" customHeight="1" x14ac:dyDescent="0.25">
      <c r="A225" s="49">
        <f t="shared" si="0"/>
        <v>211</v>
      </c>
      <c r="B225" s="42" t="s">
        <v>334</v>
      </c>
      <c r="C225" s="43"/>
      <c r="D225" s="609"/>
      <c r="E225" s="326"/>
      <c r="F225" s="326"/>
      <c r="G225" s="326"/>
      <c r="H225" s="326"/>
      <c r="I225" s="326"/>
      <c r="J225" s="326"/>
      <c r="K225" s="327"/>
      <c r="L225" s="610"/>
      <c r="M225" s="326"/>
      <c r="N225" s="326"/>
      <c r="O225" s="327"/>
      <c r="P225" s="609"/>
      <c r="Q225" s="326"/>
      <c r="R225" s="326"/>
      <c r="S225" s="327"/>
      <c r="T225" s="610"/>
      <c r="U225" s="326"/>
      <c r="V225" s="326"/>
      <c r="W225" s="327"/>
      <c r="X225" s="609"/>
      <c r="Y225" s="326"/>
      <c r="Z225" s="326"/>
      <c r="AA225" s="327"/>
      <c r="AB225" s="451"/>
      <c r="AC225" s="326"/>
      <c r="AD225" s="327"/>
      <c r="AE225" s="526"/>
      <c r="AF225" s="326"/>
      <c r="AG225" s="327"/>
      <c r="AH225" s="607"/>
      <c r="AI225" s="326"/>
      <c r="AJ225" s="327"/>
      <c r="AK225" s="497"/>
      <c r="AL225" s="326"/>
      <c r="AM225" s="327"/>
      <c r="AN225" s="44"/>
      <c r="AO225" s="45"/>
      <c r="AP225" s="44"/>
      <c r="AQ225" s="45"/>
      <c r="AR225" s="44"/>
      <c r="AS225" s="45"/>
      <c r="AT225" s="44"/>
      <c r="AU225" s="45"/>
      <c r="AV225" s="44"/>
      <c r="AW225" s="45"/>
      <c r="AX225" s="44"/>
      <c r="AY225" s="45"/>
      <c r="AZ225" s="50"/>
      <c r="BA225" s="47"/>
      <c r="BB225" s="50"/>
      <c r="BC225" s="47"/>
      <c r="BD225" s="50"/>
      <c r="BE225" s="47"/>
      <c r="BF225" s="50"/>
      <c r="BG225" s="47"/>
      <c r="BH225" s="50"/>
      <c r="BI225" s="608" t="s">
        <v>307</v>
      </c>
      <c r="BJ225" s="326"/>
      <c r="BK225" s="326"/>
      <c r="BL225" s="326"/>
      <c r="BM225" s="326"/>
      <c r="BN225" s="326"/>
      <c r="BO225" s="326"/>
      <c r="BP225" s="326"/>
      <c r="BQ225" s="326"/>
      <c r="BR225" s="326"/>
      <c r="BS225" s="326"/>
      <c r="BT225" s="326"/>
      <c r="BU225" s="326"/>
      <c r="BV225" s="327"/>
    </row>
    <row r="226" spans="1:74" ht="30" customHeight="1" x14ac:dyDescent="0.25">
      <c r="A226" s="49">
        <f t="shared" si="0"/>
        <v>212</v>
      </c>
      <c r="B226" s="42" t="s">
        <v>334</v>
      </c>
      <c r="C226" s="43"/>
      <c r="D226" s="609"/>
      <c r="E226" s="326"/>
      <c r="F226" s="326"/>
      <c r="G226" s="326"/>
      <c r="H226" s="326"/>
      <c r="I226" s="326"/>
      <c r="J226" s="326"/>
      <c r="K226" s="327"/>
      <c r="L226" s="610"/>
      <c r="M226" s="326"/>
      <c r="N226" s="326"/>
      <c r="O226" s="327"/>
      <c r="P226" s="609"/>
      <c r="Q226" s="326"/>
      <c r="R226" s="326"/>
      <c r="S226" s="327"/>
      <c r="T226" s="610"/>
      <c r="U226" s="326"/>
      <c r="V226" s="326"/>
      <c r="W226" s="327"/>
      <c r="X226" s="609"/>
      <c r="Y226" s="326"/>
      <c r="Z226" s="326"/>
      <c r="AA226" s="327"/>
      <c r="AB226" s="451"/>
      <c r="AC226" s="326"/>
      <c r="AD226" s="327"/>
      <c r="AE226" s="526"/>
      <c r="AF226" s="326"/>
      <c r="AG226" s="327"/>
      <c r="AH226" s="607"/>
      <c r="AI226" s="326"/>
      <c r="AJ226" s="327"/>
      <c r="AK226" s="497"/>
      <c r="AL226" s="326"/>
      <c r="AM226" s="327"/>
      <c r="AN226" s="44"/>
      <c r="AO226" s="45"/>
      <c r="AP226" s="44"/>
      <c r="AQ226" s="45"/>
      <c r="AR226" s="44"/>
      <c r="AS226" s="45"/>
      <c r="AT226" s="44"/>
      <c r="AU226" s="45"/>
      <c r="AV226" s="44"/>
      <c r="AW226" s="45"/>
      <c r="AX226" s="44"/>
      <c r="AY226" s="45"/>
      <c r="AZ226" s="50"/>
      <c r="BA226" s="47"/>
      <c r="BB226" s="50"/>
      <c r="BC226" s="47"/>
      <c r="BD226" s="50"/>
      <c r="BE226" s="47"/>
      <c r="BF226" s="50"/>
      <c r="BG226" s="47"/>
      <c r="BH226" s="50"/>
      <c r="BI226" s="608" t="s">
        <v>307</v>
      </c>
      <c r="BJ226" s="326"/>
      <c r="BK226" s="326"/>
      <c r="BL226" s="326"/>
      <c r="BM226" s="326"/>
      <c r="BN226" s="326"/>
      <c r="BO226" s="326"/>
      <c r="BP226" s="326"/>
      <c r="BQ226" s="326"/>
      <c r="BR226" s="326"/>
      <c r="BS226" s="326"/>
      <c r="BT226" s="326"/>
      <c r="BU226" s="326"/>
      <c r="BV226" s="327"/>
    </row>
    <row r="227" spans="1:74" ht="30" customHeight="1" x14ac:dyDescent="0.25">
      <c r="A227" s="49">
        <f t="shared" si="0"/>
        <v>213</v>
      </c>
      <c r="B227" s="42" t="s">
        <v>334</v>
      </c>
      <c r="C227" s="43"/>
      <c r="D227" s="609"/>
      <c r="E227" s="326"/>
      <c r="F227" s="326"/>
      <c r="G227" s="326"/>
      <c r="H227" s="326"/>
      <c r="I227" s="326"/>
      <c r="J227" s="326"/>
      <c r="K227" s="327"/>
      <c r="L227" s="610"/>
      <c r="M227" s="326"/>
      <c r="N227" s="326"/>
      <c r="O227" s="327"/>
      <c r="P227" s="609"/>
      <c r="Q227" s="326"/>
      <c r="R227" s="326"/>
      <c r="S227" s="327"/>
      <c r="T227" s="610"/>
      <c r="U227" s="326"/>
      <c r="V227" s="326"/>
      <c r="W227" s="327"/>
      <c r="X227" s="609"/>
      <c r="Y227" s="326"/>
      <c r="Z227" s="326"/>
      <c r="AA227" s="327"/>
      <c r="AB227" s="451"/>
      <c r="AC227" s="326"/>
      <c r="AD227" s="327"/>
      <c r="AE227" s="526"/>
      <c r="AF227" s="326"/>
      <c r="AG227" s="327"/>
      <c r="AH227" s="607"/>
      <c r="AI227" s="326"/>
      <c r="AJ227" s="327"/>
      <c r="AK227" s="497"/>
      <c r="AL227" s="326"/>
      <c r="AM227" s="327"/>
      <c r="AN227" s="44"/>
      <c r="AO227" s="45"/>
      <c r="AP227" s="44"/>
      <c r="AQ227" s="45"/>
      <c r="AR227" s="44"/>
      <c r="AS227" s="45"/>
      <c r="AT227" s="44"/>
      <c r="AU227" s="45"/>
      <c r="AV227" s="44"/>
      <c r="AW227" s="45"/>
      <c r="AX227" s="44"/>
      <c r="AY227" s="45"/>
      <c r="AZ227" s="50"/>
      <c r="BA227" s="47"/>
      <c r="BB227" s="50"/>
      <c r="BC227" s="47"/>
      <c r="BD227" s="50"/>
      <c r="BE227" s="47"/>
      <c r="BF227" s="50"/>
      <c r="BG227" s="47"/>
      <c r="BH227" s="50"/>
      <c r="BI227" s="608" t="s">
        <v>307</v>
      </c>
      <c r="BJ227" s="326"/>
      <c r="BK227" s="326"/>
      <c r="BL227" s="326"/>
      <c r="BM227" s="326"/>
      <c r="BN227" s="326"/>
      <c r="BO227" s="326"/>
      <c r="BP227" s="326"/>
      <c r="BQ227" s="326"/>
      <c r="BR227" s="326"/>
      <c r="BS227" s="326"/>
      <c r="BT227" s="326"/>
      <c r="BU227" s="326"/>
      <c r="BV227" s="327"/>
    </row>
    <row r="228" spans="1:74" ht="30" customHeight="1" x14ac:dyDescent="0.25">
      <c r="A228" s="49">
        <f t="shared" si="0"/>
        <v>214</v>
      </c>
      <c r="B228" s="42" t="s">
        <v>334</v>
      </c>
      <c r="C228" s="43"/>
      <c r="D228" s="609"/>
      <c r="E228" s="326"/>
      <c r="F228" s="326"/>
      <c r="G228" s="326"/>
      <c r="H228" s="326"/>
      <c r="I228" s="326"/>
      <c r="J228" s="326"/>
      <c r="K228" s="327"/>
      <c r="L228" s="610"/>
      <c r="M228" s="326"/>
      <c r="N228" s="326"/>
      <c r="O228" s="327"/>
      <c r="P228" s="609"/>
      <c r="Q228" s="326"/>
      <c r="R228" s="326"/>
      <c r="S228" s="327"/>
      <c r="T228" s="610"/>
      <c r="U228" s="326"/>
      <c r="V228" s="326"/>
      <c r="W228" s="327"/>
      <c r="X228" s="609"/>
      <c r="Y228" s="326"/>
      <c r="Z228" s="326"/>
      <c r="AA228" s="327"/>
      <c r="AB228" s="451"/>
      <c r="AC228" s="326"/>
      <c r="AD228" s="327"/>
      <c r="AE228" s="526"/>
      <c r="AF228" s="326"/>
      <c r="AG228" s="327"/>
      <c r="AH228" s="607"/>
      <c r="AI228" s="326"/>
      <c r="AJ228" s="327"/>
      <c r="AK228" s="497"/>
      <c r="AL228" s="326"/>
      <c r="AM228" s="327"/>
      <c r="AN228" s="44"/>
      <c r="AO228" s="45"/>
      <c r="AP228" s="44"/>
      <c r="AQ228" s="45"/>
      <c r="AR228" s="44"/>
      <c r="AS228" s="45"/>
      <c r="AT228" s="44"/>
      <c r="AU228" s="45"/>
      <c r="AV228" s="44"/>
      <c r="AW228" s="45"/>
      <c r="AX228" s="44"/>
      <c r="AY228" s="45"/>
      <c r="AZ228" s="50"/>
      <c r="BA228" s="47"/>
      <c r="BB228" s="50"/>
      <c r="BC228" s="47"/>
      <c r="BD228" s="50"/>
      <c r="BE228" s="47"/>
      <c r="BF228" s="50"/>
      <c r="BG228" s="47"/>
      <c r="BH228" s="50"/>
      <c r="BI228" s="608" t="s">
        <v>303</v>
      </c>
      <c r="BJ228" s="326"/>
      <c r="BK228" s="326"/>
      <c r="BL228" s="326"/>
      <c r="BM228" s="326"/>
      <c r="BN228" s="326"/>
      <c r="BO228" s="326"/>
      <c r="BP228" s="326"/>
      <c r="BQ228" s="326"/>
      <c r="BR228" s="326"/>
      <c r="BS228" s="326"/>
      <c r="BT228" s="326"/>
      <c r="BU228" s="326"/>
      <c r="BV228" s="327"/>
    </row>
    <row r="229" spans="1:74" ht="30" customHeight="1" x14ac:dyDescent="0.25">
      <c r="A229" s="49">
        <f t="shared" si="0"/>
        <v>215</v>
      </c>
      <c r="B229" s="42" t="s">
        <v>334</v>
      </c>
      <c r="C229" s="43"/>
      <c r="D229" s="609"/>
      <c r="E229" s="326"/>
      <c r="F229" s="326"/>
      <c r="G229" s="326"/>
      <c r="H229" s="326"/>
      <c r="I229" s="326"/>
      <c r="J229" s="326"/>
      <c r="K229" s="327"/>
      <c r="L229" s="610"/>
      <c r="M229" s="326"/>
      <c r="N229" s="326"/>
      <c r="O229" s="327"/>
      <c r="P229" s="609"/>
      <c r="Q229" s="326"/>
      <c r="R229" s="326"/>
      <c r="S229" s="327"/>
      <c r="T229" s="610"/>
      <c r="U229" s="326"/>
      <c r="V229" s="326"/>
      <c r="W229" s="327"/>
      <c r="X229" s="609"/>
      <c r="Y229" s="326"/>
      <c r="Z229" s="326"/>
      <c r="AA229" s="327"/>
      <c r="AB229" s="451"/>
      <c r="AC229" s="326"/>
      <c r="AD229" s="327"/>
      <c r="AE229" s="526"/>
      <c r="AF229" s="326"/>
      <c r="AG229" s="327"/>
      <c r="AH229" s="607"/>
      <c r="AI229" s="326"/>
      <c r="AJ229" s="327"/>
      <c r="AK229" s="497"/>
      <c r="AL229" s="326"/>
      <c r="AM229" s="327"/>
      <c r="AN229" s="44"/>
      <c r="AO229" s="45"/>
      <c r="AP229" s="44"/>
      <c r="AQ229" s="45"/>
      <c r="AR229" s="44"/>
      <c r="AS229" s="45"/>
      <c r="AT229" s="44"/>
      <c r="AU229" s="45"/>
      <c r="AV229" s="44"/>
      <c r="AW229" s="45"/>
      <c r="AX229" s="44"/>
      <c r="AY229" s="45"/>
      <c r="AZ229" s="50"/>
      <c r="BA229" s="47"/>
      <c r="BB229" s="50"/>
      <c r="BC229" s="47"/>
      <c r="BD229" s="50"/>
      <c r="BE229" s="47"/>
      <c r="BF229" s="50"/>
      <c r="BG229" s="47"/>
      <c r="BH229" s="50"/>
      <c r="BI229" s="608" t="s">
        <v>303</v>
      </c>
      <c r="BJ229" s="326"/>
      <c r="BK229" s="326"/>
      <c r="BL229" s="326"/>
      <c r="BM229" s="326"/>
      <c r="BN229" s="326"/>
      <c r="BO229" s="326"/>
      <c r="BP229" s="326"/>
      <c r="BQ229" s="326"/>
      <c r="BR229" s="326"/>
      <c r="BS229" s="326"/>
      <c r="BT229" s="326"/>
      <c r="BU229" s="326"/>
      <c r="BV229" s="327"/>
    </row>
    <row r="230" spans="1:74" ht="30" customHeight="1" x14ac:dyDescent="0.25">
      <c r="A230" s="41">
        <f t="shared" si="0"/>
        <v>216</v>
      </c>
      <c r="B230" s="42" t="s">
        <v>334</v>
      </c>
      <c r="C230" s="43"/>
      <c r="D230" s="609"/>
      <c r="E230" s="326"/>
      <c r="F230" s="326"/>
      <c r="G230" s="326"/>
      <c r="H230" s="326"/>
      <c r="I230" s="326"/>
      <c r="J230" s="326"/>
      <c r="K230" s="327"/>
      <c r="L230" s="610"/>
      <c r="M230" s="326"/>
      <c r="N230" s="326"/>
      <c r="O230" s="327"/>
      <c r="P230" s="609"/>
      <c r="Q230" s="326"/>
      <c r="R230" s="326"/>
      <c r="S230" s="327"/>
      <c r="T230" s="610"/>
      <c r="U230" s="326"/>
      <c r="V230" s="326"/>
      <c r="W230" s="327"/>
      <c r="X230" s="609"/>
      <c r="Y230" s="326"/>
      <c r="Z230" s="326"/>
      <c r="AA230" s="327"/>
      <c r="AB230" s="451"/>
      <c r="AC230" s="326"/>
      <c r="AD230" s="327"/>
      <c r="AE230" s="526"/>
      <c r="AF230" s="326"/>
      <c r="AG230" s="327"/>
      <c r="AH230" s="607"/>
      <c r="AI230" s="326"/>
      <c r="AJ230" s="327"/>
      <c r="AK230" s="497"/>
      <c r="AL230" s="326"/>
      <c r="AM230" s="327"/>
      <c r="AN230" s="44"/>
      <c r="AO230" s="45"/>
      <c r="AP230" s="44"/>
      <c r="AQ230" s="45"/>
      <c r="AR230" s="44"/>
      <c r="AS230" s="45"/>
      <c r="AT230" s="44"/>
      <c r="AU230" s="45"/>
      <c r="AV230" s="44"/>
      <c r="AW230" s="45"/>
      <c r="AX230" s="44"/>
      <c r="AY230" s="45"/>
      <c r="AZ230" s="50"/>
      <c r="BA230" s="47"/>
      <c r="BB230" s="50"/>
      <c r="BC230" s="47"/>
      <c r="BD230" s="50"/>
      <c r="BE230" s="47"/>
      <c r="BF230" s="50"/>
      <c r="BG230" s="47"/>
      <c r="BH230" s="50"/>
      <c r="BI230" s="608" t="s">
        <v>307</v>
      </c>
      <c r="BJ230" s="326"/>
      <c r="BK230" s="326"/>
      <c r="BL230" s="326"/>
      <c r="BM230" s="326"/>
      <c r="BN230" s="326"/>
      <c r="BO230" s="326"/>
      <c r="BP230" s="326"/>
      <c r="BQ230" s="326"/>
      <c r="BR230" s="326"/>
      <c r="BS230" s="326"/>
      <c r="BT230" s="326"/>
      <c r="BU230" s="326"/>
      <c r="BV230" s="327"/>
    </row>
    <row r="231" spans="1:74" ht="30" customHeight="1" x14ac:dyDescent="0.25">
      <c r="A231" s="49">
        <f t="shared" si="0"/>
        <v>217</v>
      </c>
      <c r="B231" s="42" t="s">
        <v>334</v>
      </c>
      <c r="C231" s="43"/>
      <c r="D231" s="609"/>
      <c r="E231" s="326"/>
      <c r="F231" s="326"/>
      <c r="G231" s="326"/>
      <c r="H231" s="326"/>
      <c r="I231" s="326"/>
      <c r="J231" s="326"/>
      <c r="K231" s="327"/>
      <c r="L231" s="610"/>
      <c r="M231" s="326"/>
      <c r="N231" s="326"/>
      <c r="O231" s="327"/>
      <c r="P231" s="609"/>
      <c r="Q231" s="326"/>
      <c r="R231" s="326"/>
      <c r="S231" s="327"/>
      <c r="T231" s="610"/>
      <c r="U231" s="326"/>
      <c r="V231" s="326"/>
      <c r="W231" s="327"/>
      <c r="X231" s="609"/>
      <c r="Y231" s="326"/>
      <c r="Z231" s="326"/>
      <c r="AA231" s="327"/>
      <c r="AB231" s="451"/>
      <c r="AC231" s="326"/>
      <c r="AD231" s="327"/>
      <c r="AE231" s="526"/>
      <c r="AF231" s="326"/>
      <c r="AG231" s="327"/>
      <c r="AH231" s="607"/>
      <c r="AI231" s="326"/>
      <c r="AJ231" s="327"/>
      <c r="AK231" s="497"/>
      <c r="AL231" s="326"/>
      <c r="AM231" s="327"/>
      <c r="AN231" s="44"/>
      <c r="AO231" s="45"/>
      <c r="AP231" s="44"/>
      <c r="AQ231" s="45"/>
      <c r="AR231" s="44"/>
      <c r="AS231" s="45"/>
      <c r="AT231" s="44"/>
      <c r="AU231" s="45"/>
      <c r="AV231" s="44"/>
      <c r="AW231" s="45"/>
      <c r="AX231" s="44"/>
      <c r="AY231" s="45"/>
      <c r="AZ231" s="50"/>
      <c r="BA231" s="47"/>
      <c r="BB231" s="50"/>
      <c r="BC231" s="47"/>
      <c r="BD231" s="50"/>
      <c r="BE231" s="47"/>
      <c r="BF231" s="50"/>
      <c r="BG231" s="47"/>
      <c r="BH231" s="50"/>
      <c r="BI231" s="608" t="s">
        <v>307</v>
      </c>
      <c r="BJ231" s="326"/>
      <c r="BK231" s="326"/>
      <c r="BL231" s="326"/>
      <c r="BM231" s="326"/>
      <c r="BN231" s="326"/>
      <c r="BO231" s="326"/>
      <c r="BP231" s="326"/>
      <c r="BQ231" s="326"/>
      <c r="BR231" s="326"/>
      <c r="BS231" s="326"/>
      <c r="BT231" s="326"/>
      <c r="BU231" s="326"/>
      <c r="BV231" s="327"/>
    </row>
    <row r="232" spans="1:74" ht="30" customHeight="1" x14ac:dyDescent="0.25">
      <c r="A232" s="49">
        <f t="shared" si="0"/>
        <v>218</v>
      </c>
      <c r="B232" s="42" t="s">
        <v>334</v>
      </c>
      <c r="C232" s="43"/>
      <c r="D232" s="609"/>
      <c r="E232" s="326"/>
      <c r="F232" s="326"/>
      <c r="G232" s="326"/>
      <c r="H232" s="326"/>
      <c r="I232" s="326"/>
      <c r="J232" s="326"/>
      <c r="K232" s="327"/>
      <c r="L232" s="610"/>
      <c r="M232" s="326"/>
      <c r="N232" s="326"/>
      <c r="O232" s="327"/>
      <c r="P232" s="609"/>
      <c r="Q232" s="326"/>
      <c r="R232" s="326"/>
      <c r="S232" s="327"/>
      <c r="T232" s="610"/>
      <c r="U232" s="326"/>
      <c r="V232" s="326"/>
      <c r="W232" s="327"/>
      <c r="X232" s="609"/>
      <c r="Y232" s="326"/>
      <c r="Z232" s="326"/>
      <c r="AA232" s="327"/>
      <c r="AB232" s="451"/>
      <c r="AC232" s="326"/>
      <c r="AD232" s="327"/>
      <c r="AE232" s="526"/>
      <c r="AF232" s="326"/>
      <c r="AG232" s="327"/>
      <c r="AH232" s="607"/>
      <c r="AI232" s="326"/>
      <c r="AJ232" s="327"/>
      <c r="AK232" s="497"/>
      <c r="AL232" s="326"/>
      <c r="AM232" s="327"/>
      <c r="AN232" s="44"/>
      <c r="AO232" s="45"/>
      <c r="AP232" s="44"/>
      <c r="AQ232" s="45"/>
      <c r="AR232" s="44"/>
      <c r="AS232" s="45"/>
      <c r="AT232" s="44"/>
      <c r="AU232" s="45"/>
      <c r="AV232" s="44"/>
      <c r="AW232" s="45"/>
      <c r="AX232" s="44"/>
      <c r="AY232" s="45"/>
      <c r="AZ232" s="50"/>
      <c r="BA232" s="47"/>
      <c r="BB232" s="50"/>
      <c r="BC232" s="47"/>
      <c r="BD232" s="50"/>
      <c r="BE232" s="47"/>
      <c r="BF232" s="50"/>
      <c r="BG232" s="47"/>
      <c r="BH232" s="50"/>
      <c r="BI232" s="608" t="s">
        <v>307</v>
      </c>
      <c r="BJ232" s="326"/>
      <c r="BK232" s="326"/>
      <c r="BL232" s="326"/>
      <c r="BM232" s="326"/>
      <c r="BN232" s="326"/>
      <c r="BO232" s="326"/>
      <c r="BP232" s="326"/>
      <c r="BQ232" s="326"/>
      <c r="BR232" s="326"/>
      <c r="BS232" s="326"/>
      <c r="BT232" s="326"/>
      <c r="BU232" s="326"/>
      <c r="BV232" s="327"/>
    </row>
    <row r="233" spans="1:74" ht="30" customHeight="1" x14ac:dyDescent="0.25">
      <c r="A233" s="49">
        <f t="shared" si="0"/>
        <v>219</v>
      </c>
      <c r="B233" s="42" t="s">
        <v>334</v>
      </c>
      <c r="C233" s="43"/>
      <c r="D233" s="609"/>
      <c r="E233" s="326"/>
      <c r="F233" s="326"/>
      <c r="G233" s="326"/>
      <c r="H233" s="326"/>
      <c r="I233" s="326"/>
      <c r="J233" s="326"/>
      <c r="K233" s="327"/>
      <c r="L233" s="610"/>
      <c r="M233" s="326"/>
      <c r="N233" s="326"/>
      <c r="O233" s="327"/>
      <c r="P233" s="609"/>
      <c r="Q233" s="326"/>
      <c r="R233" s="326"/>
      <c r="S233" s="327"/>
      <c r="T233" s="610"/>
      <c r="U233" s="326"/>
      <c r="V233" s="326"/>
      <c r="W233" s="327"/>
      <c r="X233" s="609"/>
      <c r="Y233" s="326"/>
      <c r="Z233" s="326"/>
      <c r="AA233" s="327"/>
      <c r="AB233" s="451"/>
      <c r="AC233" s="326"/>
      <c r="AD233" s="327"/>
      <c r="AE233" s="526"/>
      <c r="AF233" s="326"/>
      <c r="AG233" s="327"/>
      <c r="AH233" s="607"/>
      <c r="AI233" s="326"/>
      <c r="AJ233" s="327"/>
      <c r="AK233" s="497"/>
      <c r="AL233" s="326"/>
      <c r="AM233" s="327"/>
      <c r="AN233" s="44"/>
      <c r="AO233" s="45"/>
      <c r="AP233" s="44"/>
      <c r="AQ233" s="45"/>
      <c r="AR233" s="44"/>
      <c r="AS233" s="45"/>
      <c r="AT233" s="44"/>
      <c r="AU233" s="45"/>
      <c r="AV233" s="44"/>
      <c r="AW233" s="45"/>
      <c r="AX233" s="44"/>
      <c r="AY233" s="45"/>
      <c r="AZ233" s="50"/>
      <c r="BA233" s="47"/>
      <c r="BB233" s="50"/>
      <c r="BC233" s="47"/>
      <c r="BD233" s="50"/>
      <c r="BE233" s="47"/>
      <c r="BF233" s="50"/>
      <c r="BG233" s="47"/>
      <c r="BH233" s="50"/>
      <c r="BI233" s="608" t="s">
        <v>307</v>
      </c>
      <c r="BJ233" s="326"/>
      <c r="BK233" s="326"/>
      <c r="BL233" s="326"/>
      <c r="BM233" s="326"/>
      <c r="BN233" s="326"/>
      <c r="BO233" s="326"/>
      <c r="BP233" s="326"/>
      <c r="BQ233" s="326"/>
      <c r="BR233" s="326"/>
      <c r="BS233" s="326"/>
      <c r="BT233" s="326"/>
      <c r="BU233" s="326"/>
      <c r="BV233" s="327"/>
    </row>
    <row r="234" spans="1:74" ht="30" customHeight="1" x14ac:dyDescent="0.25">
      <c r="A234" s="49">
        <f t="shared" si="0"/>
        <v>220</v>
      </c>
      <c r="B234" s="42" t="s">
        <v>334</v>
      </c>
      <c r="C234" s="43"/>
      <c r="D234" s="609"/>
      <c r="E234" s="326"/>
      <c r="F234" s="326"/>
      <c r="G234" s="326"/>
      <c r="H234" s="326"/>
      <c r="I234" s="326"/>
      <c r="J234" s="326"/>
      <c r="K234" s="327"/>
      <c r="L234" s="610"/>
      <c r="M234" s="326"/>
      <c r="N234" s="326"/>
      <c r="O234" s="327"/>
      <c r="P234" s="609"/>
      <c r="Q234" s="326"/>
      <c r="R234" s="326"/>
      <c r="S234" s="327"/>
      <c r="T234" s="610"/>
      <c r="U234" s="326"/>
      <c r="V234" s="326"/>
      <c r="W234" s="327"/>
      <c r="X234" s="609"/>
      <c r="Y234" s="326"/>
      <c r="Z234" s="326"/>
      <c r="AA234" s="327"/>
      <c r="AB234" s="451"/>
      <c r="AC234" s="326"/>
      <c r="AD234" s="327"/>
      <c r="AE234" s="526"/>
      <c r="AF234" s="326"/>
      <c r="AG234" s="327"/>
      <c r="AH234" s="607"/>
      <c r="AI234" s="326"/>
      <c r="AJ234" s="327"/>
      <c r="AK234" s="497"/>
      <c r="AL234" s="326"/>
      <c r="AM234" s="327"/>
      <c r="AN234" s="44"/>
      <c r="AO234" s="45"/>
      <c r="AP234" s="44"/>
      <c r="AQ234" s="45"/>
      <c r="AR234" s="44"/>
      <c r="AS234" s="45"/>
      <c r="AT234" s="44"/>
      <c r="AU234" s="45"/>
      <c r="AV234" s="44"/>
      <c r="AW234" s="45"/>
      <c r="AX234" s="44"/>
      <c r="AY234" s="45"/>
      <c r="AZ234" s="50"/>
      <c r="BA234" s="47"/>
      <c r="BB234" s="50"/>
      <c r="BC234" s="47"/>
      <c r="BD234" s="50"/>
      <c r="BE234" s="47"/>
      <c r="BF234" s="50"/>
      <c r="BG234" s="47"/>
      <c r="BH234" s="50"/>
      <c r="BI234" s="608" t="s">
        <v>307</v>
      </c>
      <c r="BJ234" s="326"/>
      <c r="BK234" s="326"/>
      <c r="BL234" s="326"/>
      <c r="BM234" s="326"/>
      <c r="BN234" s="326"/>
      <c r="BO234" s="326"/>
      <c r="BP234" s="326"/>
      <c r="BQ234" s="326"/>
      <c r="BR234" s="326"/>
      <c r="BS234" s="326"/>
      <c r="BT234" s="326"/>
      <c r="BU234" s="326"/>
      <c r="BV234" s="327"/>
    </row>
    <row r="235" spans="1:74" ht="30" customHeight="1" x14ac:dyDescent="0.25">
      <c r="A235" s="49">
        <f t="shared" si="0"/>
        <v>221</v>
      </c>
      <c r="B235" s="42" t="s">
        <v>334</v>
      </c>
      <c r="C235" s="43"/>
      <c r="D235" s="609"/>
      <c r="E235" s="326"/>
      <c r="F235" s="326"/>
      <c r="G235" s="326"/>
      <c r="H235" s="326"/>
      <c r="I235" s="326"/>
      <c r="J235" s="326"/>
      <c r="K235" s="327"/>
      <c r="L235" s="610"/>
      <c r="M235" s="326"/>
      <c r="N235" s="326"/>
      <c r="O235" s="327"/>
      <c r="P235" s="609"/>
      <c r="Q235" s="326"/>
      <c r="R235" s="326"/>
      <c r="S235" s="327"/>
      <c r="T235" s="610"/>
      <c r="U235" s="326"/>
      <c r="V235" s="326"/>
      <c r="W235" s="327"/>
      <c r="X235" s="609"/>
      <c r="Y235" s="326"/>
      <c r="Z235" s="326"/>
      <c r="AA235" s="327"/>
      <c r="AB235" s="451"/>
      <c r="AC235" s="326"/>
      <c r="AD235" s="327"/>
      <c r="AE235" s="526"/>
      <c r="AF235" s="326"/>
      <c r="AG235" s="327"/>
      <c r="AH235" s="607"/>
      <c r="AI235" s="326"/>
      <c r="AJ235" s="327"/>
      <c r="AK235" s="497"/>
      <c r="AL235" s="326"/>
      <c r="AM235" s="327"/>
      <c r="AN235" s="44"/>
      <c r="AO235" s="45"/>
      <c r="AP235" s="44"/>
      <c r="AQ235" s="45"/>
      <c r="AR235" s="44"/>
      <c r="AS235" s="45"/>
      <c r="AT235" s="44"/>
      <c r="AU235" s="45"/>
      <c r="AV235" s="44"/>
      <c r="AW235" s="45"/>
      <c r="AX235" s="44"/>
      <c r="AY235" s="45"/>
      <c r="AZ235" s="50"/>
      <c r="BA235" s="47"/>
      <c r="BB235" s="50"/>
      <c r="BC235" s="47"/>
      <c r="BD235" s="50"/>
      <c r="BE235" s="47"/>
      <c r="BF235" s="50"/>
      <c r="BG235" s="47"/>
      <c r="BH235" s="50"/>
      <c r="BI235" s="608" t="s">
        <v>303</v>
      </c>
      <c r="BJ235" s="326"/>
      <c r="BK235" s="326"/>
      <c r="BL235" s="326"/>
      <c r="BM235" s="326"/>
      <c r="BN235" s="326"/>
      <c r="BO235" s="326"/>
      <c r="BP235" s="326"/>
      <c r="BQ235" s="326"/>
      <c r="BR235" s="326"/>
      <c r="BS235" s="326"/>
      <c r="BT235" s="326"/>
      <c r="BU235" s="326"/>
      <c r="BV235" s="327"/>
    </row>
    <row r="236" spans="1:74" ht="30" customHeight="1" x14ac:dyDescent="0.25">
      <c r="A236" s="49">
        <f t="shared" si="0"/>
        <v>222</v>
      </c>
      <c r="B236" s="42" t="s">
        <v>334</v>
      </c>
      <c r="C236" s="43"/>
      <c r="D236" s="609"/>
      <c r="E236" s="326"/>
      <c r="F236" s="326"/>
      <c r="G236" s="326"/>
      <c r="H236" s="326"/>
      <c r="I236" s="326"/>
      <c r="J236" s="326"/>
      <c r="K236" s="327"/>
      <c r="L236" s="610"/>
      <c r="M236" s="326"/>
      <c r="N236" s="326"/>
      <c r="O236" s="327"/>
      <c r="P236" s="609"/>
      <c r="Q236" s="326"/>
      <c r="R236" s="326"/>
      <c r="S236" s="327"/>
      <c r="T236" s="610"/>
      <c r="U236" s="326"/>
      <c r="V236" s="326"/>
      <c r="W236" s="327"/>
      <c r="X236" s="609"/>
      <c r="Y236" s="326"/>
      <c r="Z236" s="326"/>
      <c r="AA236" s="327"/>
      <c r="AB236" s="451"/>
      <c r="AC236" s="326"/>
      <c r="AD236" s="327"/>
      <c r="AE236" s="526"/>
      <c r="AF236" s="326"/>
      <c r="AG236" s="327"/>
      <c r="AH236" s="607"/>
      <c r="AI236" s="326"/>
      <c r="AJ236" s="327"/>
      <c r="AK236" s="497"/>
      <c r="AL236" s="326"/>
      <c r="AM236" s="327"/>
      <c r="AN236" s="44"/>
      <c r="AO236" s="45"/>
      <c r="AP236" s="44"/>
      <c r="AQ236" s="45"/>
      <c r="AR236" s="44"/>
      <c r="AS236" s="45"/>
      <c r="AT236" s="44"/>
      <c r="AU236" s="45"/>
      <c r="AV236" s="44"/>
      <c r="AW236" s="45"/>
      <c r="AX236" s="44"/>
      <c r="AY236" s="45"/>
      <c r="AZ236" s="50"/>
      <c r="BA236" s="47"/>
      <c r="BB236" s="50"/>
      <c r="BC236" s="47"/>
      <c r="BD236" s="50"/>
      <c r="BE236" s="47"/>
      <c r="BF236" s="50"/>
      <c r="BG236" s="47"/>
      <c r="BH236" s="50"/>
      <c r="BI236" s="608" t="s">
        <v>303</v>
      </c>
      <c r="BJ236" s="326"/>
      <c r="BK236" s="326"/>
      <c r="BL236" s="326"/>
      <c r="BM236" s="326"/>
      <c r="BN236" s="326"/>
      <c r="BO236" s="326"/>
      <c r="BP236" s="326"/>
      <c r="BQ236" s="326"/>
      <c r="BR236" s="326"/>
      <c r="BS236" s="326"/>
      <c r="BT236" s="326"/>
      <c r="BU236" s="326"/>
      <c r="BV236" s="327"/>
    </row>
    <row r="237" spans="1:74" ht="30" customHeight="1" x14ac:dyDescent="0.25">
      <c r="A237" s="41">
        <f t="shared" si="0"/>
        <v>223</v>
      </c>
      <c r="B237" s="42" t="s">
        <v>334</v>
      </c>
      <c r="C237" s="43"/>
      <c r="D237" s="609"/>
      <c r="E237" s="326"/>
      <c r="F237" s="326"/>
      <c r="G237" s="326"/>
      <c r="H237" s="326"/>
      <c r="I237" s="326"/>
      <c r="J237" s="326"/>
      <c r="K237" s="327"/>
      <c r="L237" s="610"/>
      <c r="M237" s="326"/>
      <c r="N237" s="326"/>
      <c r="O237" s="327"/>
      <c r="P237" s="609"/>
      <c r="Q237" s="326"/>
      <c r="R237" s="326"/>
      <c r="S237" s="327"/>
      <c r="T237" s="610"/>
      <c r="U237" s="326"/>
      <c r="V237" s="326"/>
      <c r="W237" s="327"/>
      <c r="X237" s="609"/>
      <c r="Y237" s="326"/>
      <c r="Z237" s="326"/>
      <c r="AA237" s="327"/>
      <c r="AB237" s="451"/>
      <c r="AC237" s="326"/>
      <c r="AD237" s="327"/>
      <c r="AE237" s="526"/>
      <c r="AF237" s="326"/>
      <c r="AG237" s="327"/>
      <c r="AH237" s="607"/>
      <c r="AI237" s="326"/>
      <c r="AJ237" s="327"/>
      <c r="AK237" s="497"/>
      <c r="AL237" s="326"/>
      <c r="AM237" s="327"/>
      <c r="AN237" s="44"/>
      <c r="AO237" s="45"/>
      <c r="AP237" s="44"/>
      <c r="AQ237" s="45"/>
      <c r="AR237" s="44"/>
      <c r="AS237" s="45"/>
      <c r="AT237" s="44"/>
      <c r="AU237" s="45"/>
      <c r="AV237" s="44"/>
      <c r="AW237" s="45"/>
      <c r="AX237" s="44"/>
      <c r="AY237" s="45"/>
      <c r="AZ237" s="50"/>
      <c r="BA237" s="47"/>
      <c r="BB237" s="50"/>
      <c r="BC237" s="47"/>
      <c r="BD237" s="50"/>
      <c r="BE237" s="47"/>
      <c r="BF237" s="50"/>
      <c r="BG237" s="47"/>
      <c r="BH237" s="50"/>
      <c r="BI237" s="608" t="s">
        <v>307</v>
      </c>
      <c r="BJ237" s="326"/>
      <c r="BK237" s="326"/>
      <c r="BL237" s="326"/>
      <c r="BM237" s="326"/>
      <c r="BN237" s="326"/>
      <c r="BO237" s="326"/>
      <c r="BP237" s="326"/>
      <c r="BQ237" s="326"/>
      <c r="BR237" s="326"/>
      <c r="BS237" s="326"/>
      <c r="BT237" s="326"/>
      <c r="BU237" s="326"/>
      <c r="BV237" s="327"/>
    </row>
    <row r="238" spans="1:74" ht="30" customHeight="1" x14ac:dyDescent="0.25">
      <c r="A238" s="49">
        <f t="shared" si="0"/>
        <v>224</v>
      </c>
      <c r="B238" s="42" t="s">
        <v>334</v>
      </c>
      <c r="C238" s="43"/>
      <c r="D238" s="609"/>
      <c r="E238" s="326"/>
      <c r="F238" s="326"/>
      <c r="G238" s="326"/>
      <c r="H238" s="326"/>
      <c r="I238" s="326"/>
      <c r="J238" s="326"/>
      <c r="K238" s="327"/>
      <c r="L238" s="610"/>
      <c r="M238" s="326"/>
      <c r="N238" s="326"/>
      <c r="O238" s="327"/>
      <c r="P238" s="609"/>
      <c r="Q238" s="326"/>
      <c r="R238" s="326"/>
      <c r="S238" s="327"/>
      <c r="T238" s="610"/>
      <c r="U238" s="326"/>
      <c r="V238" s="326"/>
      <c r="W238" s="327"/>
      <c r="X238" s="609"/>
      <c r="Y238" s="326"/>
      <c r="Z238" s="326"/>
      <c r="AA238" s="327"/>
      <c r="AB238" s="451"/>
      <c r="AC238" s="326"/>
      <c r="AD238" s="327"/>
      <c r="AE238" s="526"/>
      <c r="AF238" s="326"/>
      <c r="AG238" s="327"/>
      <c r="AH238" s="607"/>
      <c r="AI238" s="326"/>
      <c r="AJ238" s="327"/>
      <c r="AK238" s="497"/>
      <c r="AL238" s="326"/>
      <c r="AM238" s="327"/>
      <c r="AN238" s="44"/>
      <c r="AO238" s="45"/>
      <c r="AP238" s="44"/>
      <c r="AQ238" s="45"/>
      <c r="AR238" s="44"/>
      <c r="AS238" s="45"/>
      <c r="AT238" s="44"/>
      <c r="AU238" s="45"/>
      <c r="AV238" s="44"/>
      <c r="AW238" s="45"/>
      <c r="AX238" s="44"/>
      <c r="AY238" s="45"/>
      <c r="AZ238" s="50"/>
      <c r="BA238" s="47"/>
      <c r="BB238" s="50"/>
      <c r="BC238" s="47"/>
      <c r="BD238" s="50"/>
      <c r="BE238" s="47"/>
      <c r="BF238" s="50"/>
      <c r="BG238" s="47"/>
      <c r="BH238" s="50"/>
      <c r="BI238" s="608" t="s">
        <v>307</v>
      </c>
      <c r="BJ238" s="326"/>
      <c r="BK238" s="326"/>
      <c r="BL238" s="326"/>
      <c r="BM238" s="326"/>
      <c r="BN238" s="326"/>
      <c r="BO238" s="326"/>
      <c r="BP238" s="326"/>
      <c r="BQ238" s="326"/>
      <c r="BR238" s="326"/>
      <c r="BS238" s="326"/>
      <c r="BT238" s="326"/>
      <c r="BU238" s="326"/>
      <c r="BV238" s="327"/>
    </row>
    <row r="239" spans="1:74" ht="30" customHeight="1" x14ac:dyDescent="0.25">
      <c r="A239" s="49">
        <f t="shared" si="0"/>
        <v>225</v>
      </c>
      <c r="B239" s="42" t="s">
        <v>334</v>
      </c>
      <c r="C239" s="43"/>
      <c r="D239" s="609"/>
      <c r="E239" s="326"/>
      <c r="F239" s="326"/>
      <c r="G239" s="326"/>
      <c r="H239" s="326"/>
      <c r="I239" s="326"/>
      <c r="J239" s="326"/>
      <c r="K239" s="327"/>
      <c r="L239" s="610"/>
      <c r="M239" s="326"/>
      <c r="N239" s="326"/>
      <c r="O239" s="327"/>
      <c r="P239" s="609"/>
      <c r="Q239" s="326"/>
      <c r="R239" s="326"/>
      <c r="S239" s="327"/>
      <c r="T239" s="610"/>
      <c r="U239" s="326"/>
      <c r="V239" s="326"/>
      <c r="W239" s="327"/>
      <c r="X239" s="609"/>
      <c r="Y239" s="326"/>
      <c r="Z239" s="326"/>
      <c r="AA239" s="327"/>
      <c r="AB239" s="451"/>
      <c r="AC239" s="326"/>
      <c r="AD239" s="327"/>
      <c r="AE239" s="526"/>
      <c r="AF239" s="326"/>
      <c r="AG239" s="327"/>
      <c r="AH239" s="607"/>
      <c r="AI239" s="326"/>
      <c r="AJ239" s="327"/>
      <c r="AK239" s="497"/>
      <c r="AL239" s="326"/>
      <c r="AM239" s="327"/>
      <c r="AN239" s="44"/>
      <c r="AO239" s="45"/>
      <c r="AP239" s="44"/>
      <c r="AQ239" s="45"/>
      <c r="AR239" s="44"/>
      <c r="AS239" s="45"/>
      <c r="AT239" s="44"/>
      <c r="AU239" s="45"/>
      <c r="AV239" s="44"/>
      <c r="AW239" s="45"/>
      <c r="AX239" s="44"/>
      <c r="AY239" s="45"/>
      <c r="AZ239" s="50"/>
      <c r="BA239" s="47"/>
      <c r="BB239" s="50"/>
      <c r="BC239" s="47"/>
      <c r="BD239" s="50"/>
      <c r="BE239" s="47"/>
      <c r="BF239" s="50"/>
      <c r="BG239" s="47"/>
      <c r="BH239" s="50"/>
      <c r="BI239" s="608" t="s">
        <v>307</v>
      </c>
      <c r="BJ239" s="326"/>
      <c r="BK239" s="326"/>
      <c r="BL239" s="326"/>
      <c r="BM239" s="326"/>
      <c r="BN239" s="326"/>
      <c r="BO239" s="326"/>
      <c r="BP239" s="326"/>
      <c r="BQ239" s="326"/>
      <c r="BR239" s="326"/>
      <c r="BS239" s="326"/>
      <c r="BT239" s="326"/>
      <c r="BU239" s="326"/>
      <c r="BV239" s="327"/>
    </row>
    <row r="240" spans="1:74" ht="30" customHeight="1" x14ac:dyDescent="0.25">
      <c r="A240" s="49">
        <f t="shared" si="0"/>
        <v>226</v>
      </c>
      <c r="B240" s="42" t="s">
        <v>334</v>
      </c>
      <c r="C240" s="43"/>
      <c r="D240" s="609"/>
      <c r="E240" s="326"/>
      <c r="F240" s="326"/>
      <c r="G240" s="326"/>
      <c r="H240" s="326"/>
      <c r="I240" s="326"/>
      <c r="J240" s="326"/>
      <c r="K240" s="327"/>
      <c r="L240" s="610"/>
      <c r="M240" s="326"/>
      <c r="N240" s="326"/>
      <c r="O240" s="327"/>
      <c r="P240" s="609"/>
      <c r="Q240" s="326"/>
      <c r="R240" s="326"/>
      <c r="S240" s="327"/>
      <c r="T240" s="610"/>
      <c r="U240" s="326"/>
      <c r="V240" s="326"/>
      <c r="W240" s="327"/>
      <c r="X240" s="609"/>
      <c r="Y240" s="326"/>
      <c r="Z240" s="326"/>
      <c r="AA240" s="327"/>
      <c r="AB240" s="451"/>
      <c r="AC240" s="326"/>
      <c r="AD240" s="327"/>
      <c r="AE240" s="526"/>
      <c r="AF240" s="326"/>
      <c r="AG240" s="327"/>
      <c r="AH240" s="607"/>
      <c r="AI240" s="326"/>
      <c r="AJ240" s="327"/>
      <c r="AK240" s="497"/>
      <c r="AL240" s="326"/>
      <c r="AM240" s="327"/>
      <c r="AN240" s="44"/>
      <c r="AO240" s="45"/>
      <c r="AP240" s="44"/>
      <c r="AQ240" s="45"/>
      <c r="AR240" s="44"/>
      <c r="AS240" s="45"/>
      <c r="AT240" s="44"/>
      <c r="AU240" s="45"/>
      <c r="AV240" s="44"/>
      <c r="AW240" s="45"/>
      <c r="AX240" s="44"/>
      <c r="AY240" s="45"/>
      <c r="AZ240" s="50"/>
      <c r="BA240" s="47"/>
      <c r="BB240" s="50"/>
      <c r="BC240" s="47"/>
      <c r="BD240" s="50"/>
      <c r="BE240" s="47"/>
      <c r="BF240" s="50"/>
      <c r="BG240" s="47"/>
      <c r="BH240" s="50"/>
      <c r="BI240" s="608" t="s">
        <v>307</v>
      </c>
      <c r="BJ240" s="326"/>
      <c r="BK240" s="326"/>
      <c r="BL240" s="326"/>
      <c r="BM240" s="326"/>
      <c r="BN240" s="326"/>
      <c r="BO240" s="326"/>
      <c r="BP240" s="326"/>
      <c r="BQ240" s="326"/>
      <c r="BR240" s="326"/>
      <c r="BS240" s="326"/>
      <c r="BT240" s="326"/>
      <c r="BU240" s="326"/>
      <c r="BV240" s="327"/>
    </row>
    <row r="241" spans="1:74" ht="30" customHeight="1" x14ac:dyDescent="0.25">
      <c r="A241" s="49">
        <f t="shared" si="0"/>
        <v>227</v>
      </c>
      <c r="B241" s="42" t="s">
        <v>334</v>
      </c>
      <c r="C241" s="43"/>
      <c r="D241" s="609"/>
      <c r="E241" s="326"/>
      <c r="F241" s="326"/>
      <c r="G241" s="326"/>
      <c r="H241" s="326"/>
      <c r="I241" s="326"/>
      <c r="J241" s="326"/>
      <c r="K241" s="327"/>
      <c r="L241" s="610"/>
      <c r="M241" s="326"/>
      <c r="N241" s="326"/>
      <c r="O241" s="327"/>
      <c r="P241" s="609"/>
      <c r="Q241" s="326"/>
      <c r="R241" s="326"/>
      <c r="S241" s="327"/>
      <c r="T241" s="610"/>
      <c r="U241" s="326"/>
      <c r="V241" s="326"/>
      <c r="W241" s="327"/>
      <c r="X241" s="609"/>
      <c r="Y241" s="326"/>
      <c r="Z241" s="326"/>
      <c r="AA241" s="327"/>
      <c r="AB241" s="451"/>
      <c r="AC241" s="326"/>
      <c r="AD241" s="327"/>
      <c r="AE241" s="526"/>
      <c r="AF241" s="326"/>
      <c r="AG241" s="327"/>
      <c r="AH241" s="607"/>
      <c r="AI241" s="326"/>
      <c r="AJ241" s="327"/>
      <c r="AK241" s="497"/>
      <c r="AL241" s="326"/>
      <c r="AM241" s="327"/>
      <c r="AN241" s="44"/>
      <c r="AO241" s="45"/>
      <c r="AP241" s="44"/>
      <c r="AQ241" s="45"/>
      <c r="AR241" s="44"/>
      <c r="AS241" s="45"/>
      <c r="AT241" s="44"/>
      <c r="AU241" s="45"/>
      <c r="AV241" s="44"/>
      <c r="AW241" s="45"/>
      <c r="AX241" s="44"/>
      <c r="AY241" s="45"/>
      <c r="AZ241" s="50"/>
      <c r="BA241" s="47"/>
      <c r="BB241" s="50"/>
      <c r="BC241" s="47"/>
      <c r="BD241" s="50"/>
      <c r="BE241" s="47"/>
      <c r="BF241" s="50"/>
      <c r="BG241" s="47"/>
      <c r="BH241" s="50"/>
      <c r="BI241" s="608" t="s">
        <v>307</v>
      </c>
      <c r="BJ241" s="326"/>
      <c r="BK241" s="326"/>
      <c r="BL241" s="326"/>
      <c r="BM241" s="326"/>
      <c r="BN241" s="326"/>
      <c r="BO241" s="326"/>
      <c r="BP241" s="326"/>
      <c r="BQ241" s="326"/>
      <c r="BR241" s="326"/>
      <c r="BS241" s="326"/>
      <c r="BT241" s="326"/>
      <c r="BU241" s="326"/>
      <c r="BV241" s="327"/>
    </row>
    <row r="242" spans="1:74" ht="30" customHeight="1" x14ac:dyDescent="0.25">
      <c r="A242" s="49">
        <f t="shared" si="0"/>
        <v>228</v>
      </c>
      <c r="B242" s="42" t="s">
        <v>334</v>
      </c>
      <c r="C242" s="43"/>
      <c r="D242" s="609"/>
      <c r="E242" s="326"/>
      <c r="F242" s="326"/>
      <c r="G242" s="326"/>
      <c r="H242" s="326"/>
      <c r="I242" s="326"/>
      <c r="J242" s="326"/>
      <c r="K242" s="327"/>
      <c r="L242" s="610"/>
      <c r="M242" s="326"/>
      <c r="N242" s="326"/>
      <c r="O242" s="327"/>
      <c r="P242" s="609"/>
      <c r="Q242" s="326"/>
      <c r="R242" s="326"/>
      <c r="S242" s="327"/>
      <c r="T242" s="610"/>
      <c r="U242" s="326"/>
      <c r="V242" s="326"/>
      <c r="W242" s="327"/>
      <c r="X242" s="609"/>
      <c r="Y242" s="326"/>
      <c r="Z242" s="326"/>
      <c r="AA242" s="327"/>
      <c r="AB242" s="451"/>
      <c r="AC242" s="326"/>
      <c r="AD242" s="327"/>
      <c r="AE242" s="526"/>
      <c r="AF242" s="326"/>
      <c r="AG242" s="327"/>
      <c r="AH242" s="607"/>
      <c r="AI242" s="326"/>
      <c r="AJ242" s="327"/>
      <c r="AK242" s="497"/>
      <c r="AL242" s="326"/>
      <c r="AM242" s="327"/>
      <c r="AN242" s="44"/>
      <c r="AO242" s="45"/>
      <c r="AP242" s="44"/>
      <c r="AQ242" s="45"/>
      <c r="AR242" s="44"/>
      <c r="AS242" s="45"/>
      <c r="AT242" s="44"/>
      <c r="AU242" s="45"/>
      <c r="AV242" s="44"/>
      <c r="AW242" s="45"/>
      <c r="AX242" s="44"/>
      <c r="AY242" s="45"/>
      <c r="AZ242" s="50"/>
      <c r="BA242" s="47"/>
      <c r="BB242" s="50"/>
      <c r="BC242" s="47"/>
      <c r="BD242" s="50"/>
      <c r="BE242" s="47"/>
      <c r="BF242" s="50"/>
      <c r="BG242" s="47"/>
      <c r="BH242" s="50"/>
      <c r="BI242" s="608" t="s">
        <v>303</v>
      </c>
      <c r="BJ242" s="326"/>
      <c r="BK242" s="326"/>
      <c r="BL242" s="326"/>
      <c r="BM242" s="326"/>
      <c r="BN242" s="326"/>
      <c r="BO242" s="326"/>
      <c r="BP242" s="326"/>
      <c r="BQ242" s="326"/>
      <c r="BR242" s="326"/>
      <c r="BS242" s="326"/>
      <c r="BT242" s="326"/>
      <c r="BU242" s="326"/>
      <c r="BV242" s="327"/>
    </row>
    <row r="243" spans="1:74" ht="30" customHeight="1" x14ac:dyDescent="0.25">
      <c r="A243" s="49">
        <f t="shared" si="0"/>
        <v>229</v>
      </c>
      <c r="B243" s="42" t="s">
        <v>334</v>
      </c>
      <c r="C243" s="43"/>
      <c r="D243" s="609"/>
      <c r="E243" s="326"/>
      <c r="F243" s="326"/>
      <c r="G243" s="326"/>
      <c r="H243" s="326"/>
      <c r="I243" s="326"/>
      <c r="J243" s="326"/>
      <c r="K243" s="327"/>
      <c r="L243" s="610"/>
      <c r="M243" s="326"/>
      <c r="N243" s="326"/>
      <c r="O243" s="327"/>
      <c r="P243" s="609"/>
      <c r="Q243" s="326"/>
      <c r="R243" s="326"/>
      <c r="S243" s="327"/>
      <c r="T243" s="610"/>
      <c r="U243" s="326"/>
      <c r="V243" s="326"/>
      <c r="W243" s="327"/>
      <c r="X243" s="609"/>
      <c r="Y243" s="326"/>
      <c r="Z243" s="326"/>
      <c r="AA243" s="327"/>
      <c r="AB243" s="451"/>
      <c r="AC243" s="326"/>
      <c r="AD243" s="327"/>
      <c r="AE243" s="526"/>
      <c r="AF243" s="326"/>
      <c r="AG243" s="327"/>
      <c r="AH243" s="607"/>
      <c r="AI243" s="326"/>
      <c r="AJ243" s="327"/>
      <c r="AK243" s="497"/>
      <c r="AL243" s="326"/>
      <c r="AM243" s="327"/>
      <c r="AN243" s="44"/>
      <c r="AO243" s="45"/>
      <c r="AP243" s="44"/>
      <c r="AQ243" s="45"/>
      <c r="AR243" s="44"/>
      <c r="AS243" s="45"/>
      <c r="AT243" s="44"/>
      <c r="AU243" s="45"/>
      <c r="AV243" s="44"/>
      <c r="AW243" s="45"/>
      <c r="AX243" s="44"/>
      <c r="AY243" s="45"/>
      <c r="AZ243" s="50"/>
      <c r="BA243" s="47"/>
      <c r="BB243" s="50"/>
      <c r="BC243" s="47"/>
      <c r="BD243" s="50"/>
      <c r="BE243" s="47"/>
      <c r="BF243" s="50"/>
      <c r="BG243" s="47"/>
      <c r="BH243" s="50"/>
      <c r="BI243" s="608" t="s">
        <v>303</v>
      </c>
      <c r="BJ243" s="326"/>
      <c r="BK243" s="326"/>
      <c r="BL243" s="326"/>
      <c r="BM243" s="326"/>
      <c r="BN243" s="326"/>
      <c r="BO243" s="326"/>
      <c r="BP243" s="326"/>
      <c r="BQ243" s="326"/>
      <c r="BR243" s="326"/>
      <c r="BS243" s="326"/>
      <c r="BT243" s="326"/>
      <c r="BU243" s="326"/>
      <c r="BV243" s="327"/>
    </row>
    <row r="244" spans="1:74" ht="30" customHeight="1" x14ac:dyDescent="0.25">
      <c r="A244" s="41">
        <f t="shared" si="0"/>
        <v>230</v>
      </c>
      <c r="B244" s="42" t="s">
        <v>334</v>
      </c>
      <c r="C244" s="43"/>
      <c r="D244" s="609"/>
      <c r="E244" s="326"/>
      <c r="F244" s="326"/>
      <c r="G244" s="326"/>
      <c r="H244" s="326"/>
      <c r="I244" s="326"/>
      <c r="J244" s="326"/>
      <c r="K244" s="327"/>
      <c r="L244" s="610"/>
      <c r="M244" s="326"/>
      <c r="N244" s="326"/>
      <c r="O244" s="327"/>
      <c r="P244" s="609"/>
      <c r="Q244" s="326"/>
      <c r="R244" s="326"/>
      <c r="S244" s="327"/>
      <c r="T244" s="610"/>
      <c r="U244" s="326"/>
      <c r="V244" s="326"/>
      <c r="W244" s="327"/>
      <c r="X244" s="609"/>
      <c r="Y244" s="326"/>
      <c r="Z244" s="326"/>
      <c r="AA244" s="327"/>
      <c r="AB244" s="451"/>
      <c r="AC244" s="326"/>
      <c r="AD244" s="327"/>
      <c r="AE244" s="526"/>
      <c r="AF244" s="326"/>
      <c r="AG244" s="327"/>
      <c r="AH244" s="607"/>
      <c r="AI244" s="326"/>
      <c r="AJ244" s="327"/>
      <c r="AK244" s="497"/>
      <c r="AL244" s="326"/>
      <c r="AM244" s="327"/>
      <c r="AN244" s="44"/>
      <c r="AO244" s="45"/>
      <c r="AP244" s="44"/>
      <c r="AQ244" s="45"/>
      <c r="AR244" s="44"/>
      <c r="AS244" s="45"/>
      <c r="AT244" s="44"/>
      <c r="AU244" s="45"/>
      <c r="AV244" s="44"/>
      <c r="AW244" s="45"/>
      <c r="AX244" s="44"/>
      <c r="AY244" s="45"/>
      <c r="AZ244" s="50"/>
      <c r="BA244" s="47"/>
      <c r="BB244" s="50"/>
      <c r="BC244" s="47"/>
      <c r="BD244" s="50"/>
      <c r="BE244" s="47"/>
      <c r="BF244" s="50"/>
      <c r="BG244" s="47"/>
      <c r="BH244" s="50"/>
      <c r="BI244" s="608" t="s">
        <v>307</v>
      </c>
      <c r="BJ244" s="326"/>
      <c r="BK244" s="326"/>
      <c r="BL244" s="326"/>
      <c r="BM244" s="326"/>
      <c r="BN244" s="326"/>
      <c r="BO244" s="326"/>
      <c r="BP244" s="326"/>
      <c r="BQ244" s="326"/>
      <c r="BR244" s="326"/>
      <c r="BS244" s="326"/>
      <c r="BT244" s="326"/>
      <c r="BU244" s="326"/>
      <c r="BV244" s="327"/>
    </row>
    <row r="245" spans="1:74" ht="30" customHeight="1" x14ac:dyDescent="0.25">
      <c r="A245" s="49">
        <f t="shared" si="0"/>
        <v>231</v>
      </c>
      <c r="B245" s="42" t="s">
        <v>334</v>
      </c>
      <c r="C245" s="43"/>
      <c r="D245" s="609"/>
      <c r="E245" s="326"/>
      <c r="F245" s="326"/>
      <c r="G245" s="326"/>
      <c r="H245" s="326"/>
      <c r="I245" s="326"/>
      <c r="J245" s="326"/>
      <c r="K245" s="327"/>
      <c r="L245" s="610"/>
      <c r="M245" s="326"/>
      <c r="N245" s="326"/>
      <c r="O245" s="327"/>
      <c r="P245" s="609"/>
      <c r="Q245" s="326"/>
      <c r="R245" s="326"/>
      <c r="S245" s="327"/>
      <c r="T245" s="610"/>
      <c r="U245" s="326"/>
      <c r="V245" s="326"/>
      <c r="W245" s="327"/>
      <c r="X245" s="609"/>
      <c r="Y245" s="326"/>
      <c r="Z245" s="326"/>
      <c r="AA245" s="327"/>
      <c r="AB245" s="451"/>
      <c r="AC245" s="326"/>
      <c r="AD245" s="327"/>
      <c r="AE245" s="526"/>
      <c r="AF245" s="326"/>
      <c r="AG245" s="327"/>
      <c r="AH245" s="607"/>
      <c r="AI245" s="326"/>
      <c r="AJ245" s="327"/>
      <c r="AK245" s="497"/>
      <c r="AL245" s="326"/>
      <c r="AM245" s="327"/>
      <c r="AN245" s="44"/>
      <c r="AO245" s="45"/>
      <c r="AP245" s="44"/>
      <c r="AQ245" s="45"/>
      <c r="AR245" s="44"/>
      <c r="AS245" s="45"/>
      <c r="AT245" s="44"/>
      <c r="AU245" s="45"/>
      <c r="AV245" s="44"/>
      <c r="AW245" s="45"/>
      <c r="AX245" s="44"/>
      <c r="AY245" s="45"/>
      <c r="AZ245" s="50"/>
      <c r="BA245" s="47"/>
      <c r="BB245" s="50"/>
      <c r="BC245" s="47"/>
      <c r="BD245" s="50"/>
      <c r="BE245" s="47"/>
      <c r="BF245" s="50"/>
      <c r="BG245" s="47"/>
      <c r="BH245" s="50"/>
      <c r="BI245" s="608" t="s">
        <v>307</v>
      </c>
      <c r="BJ245" s="326"/>
      <c r="BK245" s="326"/>
      <c r="BL245" s="326"/>
      <c r="BM245" s="326"/>
      <c r="BN245" s="326"/>
      <c r="BO245" s="326"/>
      <c r="BP245" s="326"/>
      <c r="BQ245" s="326"/>
      <c r="BR245" s="326"/>
      <c r="BS245" s="326"/>
      <c r="BT245" s="326"/>
      <c r="BU245" s="326"/>
      <c r="BV245" s="327"/>
    </row>
    <row r="246" spans="1:74" ht="30" customHeight="1" x14ac:dyDescent="0.25">
      <c r="A246" s="49">
        <f t="shared" si="0"/>
        <v>232</v>
      </c>
      <c r="B246" s="42" t="s">
        <v>334</v>
      </c>
      <c r="C246" s="43"/>
      <c r="D246" s="609"/>
      <c r="E246" s="326"/>
      <c r="F246" s="326"/>
      <c r="G246" s="326"/>
      <c r="H246" s="326"/>
      <c r="I246" s="326"/>
      <c r="J246" s="326"/>
      <c r="K246" s="327"/>
      <c r="L246" s="610"/>
      <c r="M246" s="326"/>
      <c r="N246" s="326"/>
      <c r="O246" s="327"/>
      <c r="P246" s="609"/>
      <c r="Q246" s="326"/>
      <c r="R246" s="326"/>
      <c r="S246" s="327"/>
      <c r="T246" s="610"/>
      <c r="U246" s="326"/>
      <c r="V246" s="326"/>
      <c r="W246" s="327"/>
      <c r="X246" s="609"/>
      <c r="Y246" s="326"/>
      <c r="Z246" s="326"/>
      <c r="AA246" s="327"/>
      <c r="AB246" s="451"/>
      <c r="AC246" s="326"/>
      <c r="AD246" s="327"/>
      <c r="AE246" s="526"/>
      <c r="AF246" s="326"/>
      <c r="AG246" s="327"/>
      <c r="AH246" s="607"/>
      <c r="AI246" s="326"/>
      <c r="AJ246" s="327"/>
      <c r="AK246" s="497"/>
      <c r="AL246" s="326"/>
      <c r="AM246" s="327"/>
      <c r="AN246" s="44"/>
      <c r="AO246" s="45"/>
      <c r="AP246" s="44"/>
      <c r="AQ246" s="45"/>
      <c r="AR246" s="44"/>
      <c r="AS246" s="45"/>
      <c r="AT246" s="44"/>
      <c r="AU246" s="45"/>
      <c r="AV246" s="44"/>
      <c r="AW246" s="45"/>
      <c r="AX246" s="44"/>
      <c r="AY246" s="45"/>
      <c r="AZ246" s="50"/>
      <c r="BA246" s="47"/>
      <c r="BB246" s="50"/>
      <c r="BC246" s="47"/>
      <c r="BD246" s="50"/>
      <c r="BE246" s="47"/>
      <c r="BF246" s="50"/>
      <c r="BG246" s="47"/>
      <c r="BH246" s="50"/>
      <c r="BI246" s="608" t="s">
        <v>307</v>
      </c>
      <c r="BJ246" s="326"/>
      <c r="BK246" s="326"/>
      <c r="BL246" s="326"/>
      <c r="BM246" s="326"/>
      <c r="BN246" s="326"/>
      <c r="BO246" s="326"/>
      <c r="BP246" s="326"/>
      <c r="BQ246" s="326"/>
      <c r="BR246" s="326"/>
      <c r="BS246" s="326"/>
      <c r="BT246" s="326"/>
      <c r="BU246" s="326"/>
      <c r="BV246" s="327"/>
    </row>
    <row r="247" spans="1:74" ht="30" customHeight="1" x14ac:dyDescent="0.25">
      <c r="A247" s="49">
        <f t="shared" si="0"/>
        <v>233</v>
      </c>
      <c r="B247" s="42" t="s">
        <v>334</v>
      </c>
      <c r="C247" s="43"/>
      <c r="D247" s="609"/>
      <c r="E247" s="326"/>
      <c r="F247" s="326"/>
      <c r="G247" s="326"/>
      <c r="H247" s="326"/>
      <c r="I247" s="326"/>
      <c r="J247" s="326"/>
      <c r="K247" s="327"/>
      <c r="L247" s="610"/>
      <c r="M247" s="326"/>
      <c r="N247" s="326"/>
      <c r="O247" s="327"/>
      <c r="P247" s="609"/>
      <c r="Q247" s="326"/>
      <c r="R247" s="326"/>
      <c r="S247" s="327"/>
      <c r="T247" s="610"/>
      <c r="U247" s="326"/>
      <c r="V247" s="326"/>
      <c r="W247" s="327"/>
      <c r="X247" s="609"/>
      <c r="Y247" s="326"/>
      <c r="Z247" s="326"/>
      <c r="AA247" s="327"/>
      <c r="AB247" s="451"/>
      <c r="AC247" s="326"/>
      <c r="AD247" s="327"/>
      <c r="AE247" s="526"/>
      <c r="AF247" s="326"/>
      <c r="AG247" s="327"/>
      <c r="AH247" s="607"/>
      <c r="AI247" s="326"/>
      <c r="AJ247" s="327"/>
      <c r="AK247" s="497"/>
      <c r="AL247" s="326"/>
      <c r="AM247" s="327"/>
      <c r="AN247" s="44"/>
      <c r="AO247" s="45"/>
      <c r="AP247" s="44"/>
      <c r="AQ247" s="45"/>
      <c r="AR247" s="44"/>
      <c r="AS247" s="45"/>
      <c r="AT247" s="44"/>
      <c r="AU247" s="45"/>
      <c r="AV247" s="44"/>
      <c r="AW247" s="45"/>
      <c r="AX247" s="44"/>
      <c r="AY247" s="45"/>
      <c r="AZ247" s="50"/>
      <c r="BA247" s="47"/>
      <c r="BB247" s="50"/>
      <c r="BC247" s="47"/>
      <c r="BD247" s="50"/>
      <c r="BE247" s="47"/>
      <c r="BF247" s="50"/>
      <c r="BG247" s="47"/>
      <c r="BH247" s="50"/>
      <c r="BI247" s="608" t="s">
        <v>307</v>
      </c>
      <c r="BJ247" s="326"/>
      <c r="BK247" s="326"/>
      <c r="BL247" s="326"/>
      <c r="BM247" s="326"/>
      <c r="BN247" s="326"/>
      <c r="BO247" s="326"/>
      <c r="BP247" s="326"/>
      <c r="BQ247" s="326"/>
      <c r="BR247" s="326"/>
      <c r="BS247" s="326"/>
      <c r="BT247" s="326"/>
      <c r="BU247" s="326"/>
      <c r="BV247" s="327"/>
    </row>
    <row r="248" spans="1:74" ht="30" customHeight="1" x14ac:dyDescent="0.25">
      <c r="A248" s="49">
        <f t="shared" si="0"/>
        <v>234</v>
      </c>
      <c r="B248" s="42" t="s">
        <v>334</v>
      </c>
      <c r="C248" s="43"/>
      <c r="D248" s="609"/>
      <c r="E248" s="326"/>
      <c r="F248" s="326"/>
      <c r="G248" s="326"/>
      <c r="H248" s="326"/>
      <c r="I248" s="326"/>
      <c r="J248" s="326"/>
      <c r="K248" s="327"/>
      <c r="L248" s="610"/>
      <c r="M248" s="326"/>
      <c r="N248" s="326"/>
      <c r="O248" s="327"/>
      <c r="P248" s="609"/>
      <c r="Q248" s="326"/>
      <c r="R248" s="326"/>
      <c r="S248" s="327"/>
      <c r="T248" s="610"/>
      <c r="U248" s="326"/>
      <c r="V248" s="326"/>
      <c r="W248" s="327"/>
      <c r="X248" s="609"/>
      <c r="Y248" s="326"/>
      <c r="Z248" s="326"/>
      <c r="AA248" s="327"/>
      <c r="AB248" s="451"/>
      <c r="AC248" s="326"/>
      <c r="AD248" s="327"/>
      <c r="AE248" s="526"/>
      <c r="AF248" s="326"/>
      <c r="AG248" s="327"/>
      <c r="AH248" s="607"/>
      <c r="AI248" s="326"/>
      <c r="AJ248" s="327"/>
      <c r="AK248" s="497"/>
      <c r="AL248" s="326"/>
      <c r="AM248" s="327"/>
      <c r="AN248" s="44"/>
      <c r="AO248" s="45"/>
      <c r="AP248" s="44"/>
      <c r="AQ248" s="45"/>
      <c r="AR248" s="44"/>
      <c r="AS248" s="45"/>
      <c r="AT248" s="44"/>
      <c r="AU248" s="45"/>
      <c r="AV248" s="44"/>
      <c r="AW248" s="45"/>
      <c r="AX248" s="44"/>
      <c r="AY248" s="45"/>
      <c r="AZ248" s="50"/>
      <c r="BA248" s="47"/>
      <c r="BB248" s="50"/>
      <c r="BC248" s="47"/>
      <c r="BD248" s="50"/>
      <c r="BE248" s="47"/>
      <c r="BF248" s="50"/>
      <c r="BG248" s="47"/>
      <c r="BH248" s="50"/>
      <c r="BI248" s="608" t="s">
        <v>307</v>
      </c>
      <c r="BJ248" s="326"/>
      <c r="BK248" s="326"/>
      <c r="BL248" s="326"/>
      <c r="BM248" s="326"/>
      <c r="BN248" s="326"/>
      <c r="BO248" s="326"/>
      <c r="BP248" s="326"/>
      <c r="BQ248" s="326"/>
      <c r="BR248" s="326"/>
      <c r="BS248" s="326"/>
      <c r="BT248" s="326"/>
      <c r="BU248" s="326"/>
      <c r="BV248" s="327"/>
    </row>
    <row r="249" spans="1:74" ht="30" customHeight="1" x14ac:dyDescent="0.25">
      <c r="A249" s="49">
        <f t="shared" si="0"/>
        <v>235</v>
      </c>
      <c r="B249" s="42" t="s">
        <v>334</v>
      </c>
      <c r="C249" s="43"/>
      <c r="D249" s="609"/>
      <c r="E249" s="326"/>
      <c r="F249" s="326"/>
      <c r="G249" s="326"/>
      <c r="H249" s="326"/>
      <c r="I249" s="326"/>
      <c r="J249" s="326"/>
      <c r="K249" s="327"/>
      <c r="L249" s="610"/>
      <c r="M249" s="326"/>
      <c r="N249" s="326"/>
      <c r="O249" s="327"/>
      <c r="P249" s="609"/>
      <c r="Q249" s="326"/>
      <c r="R249" s="326"/>
      <c r="S249" s="327"/>
      <c r="T249" s="610"/>
      <c r="U249" s="326"/>
      <c r="V249" s="326"/>
      <c r="W249" s="327"/>
      <c r="X249" s="609"/>
      <c r="Y249" s="326"/>
      <c r="Z249" s="326"/>
      <c r="AA249" s="327"/>
      <c r="AB249" s="451"/>
      <c r="AC249" s="326"/>
      <c r="AD249" s="327"/>
      <c r="AE249" s="526"/>
      <c r="AF249" s="326"/>
      <c r="AG249" s="327"/>
      <c r="AH249" s="607"/>
      <c r="AI249" s="326"/>
      <c r="AJ249" s="327"/>
      <c r="AK249" s="497"/>
      <c r="AL249" s="326"/>
      <c r="AM249" s="327"/>
      <c r="AN249" s="44"/>
      <c r="AO249" s="45"/>
      <c r="AP249" s="44"/>
      <c r="AQ249" s="45"/>
      <c r="AR249" s="44"/>
      <c r="AS249" s="45"/>
      <c r="AT249" s="44"/>
      <c r="AU249" s="45"/>
      <c r="AV249" s="44"/>
      <c r="AW249" s="45"/>
      <c r="AX249" s="44"/>
      <c r="AY249" s="45"/>
      <c r="AZ249" s="50"/>
      <c r="BA249" s="47"/>
      <c r="BB249" s="50"/>
      <c r="BC249" s="47"/>
      <c r="BD249" s="50"/>
      <c r="BE249" s="47"/>
      <c r="BF249" s="50"/>
      <c r="BG249" s="47"/>
      <c r="BH249" s="50"/>
      <c r="BI249" s="608" t="s">
        <v>303</v>
      </c>
      <c r="BJ249" s="326"/>
      <c r="BK249" s="326"/>
      <c r="BL249" s="326"/>
      <c r="BM249" s="326"/>
      <c r="BN249" s="326"/>
      <c r="BO249" s="326"/>
      <c r="BP249" s="326"/>
      <c r="BQ249" s="326"/>
      <c r="BR249" s="326"/>
      <c r="BS249" s="326"/>
      <c r="BT249" s="326"/>
      <c r="BU249" s="326"/>
      <c r="BV249" s="327"/>
    </row>
    <row r="250" spans="1:74" ht="30" customHeight="1" x14ac:dyDescent="0.25">
      <c r="A250" s="49">
        <f t="shared" si="0"/>
        <v>236</v>
      </c>
      <c r="B250" s="42" t="s">
        <v>334</v>
      </c>
      <c r="C250" s="43"/>
      <c r="D250" s="609"/>
      <c r="E250" s="326"/>
      <c r="F250" s="326"/>
      <c r="G250" s="326"/>
      <c r="H250" s="326"/>
      <c r="I250" s="326"/>
      <c r="J250" s="326"/>
      <c r="K250" s="327"/>
      <c r="L250" s="610"/>
      <c r="M250" s="326"/>
      <c r="N250" s="326"/>
      <c r="O250" s="327"/>
      <c r="P250" s="609"/>
      <c r="Q250" s="326"/>
      <c r="R250" s="326"/>
      <c r="S250" s="327"/>
      <c r="T250" s="610"/>
      <c r="U250" s="326"/>
      <c r="V250" s="326"/>
      <c r="W250" s="327"/>
      <c r="X250" s="609"/>
      <c r="Y250" s="326"/>
      <c r="Z250" s="326"/>
      <c r="AA250" s="327"/>
      <c r="AB250" s="451"/>
      <c r="AC250" s="326"/>
      <c r="AD250" s="327"/>
      <c r="AE250" s="526"/>
      <c r="AF250" s="326"/>
      <c r="AG250" s="327"/>
      <c r="AH250" s="607"/>
      <c r="AI250" s="326"/>
      <c r="AJ250" s="327"/>
      <c r="AK250" s="497"/>
      <c r="AL250" s="326"/>
      <c r="AM250" s="327"/>
      <c r="AN250" s="44"/>
      <c r="AO250" s="45"/>
      <c r="AP250" s="44"/>
      <c r="AQ250" s="45"/>
      <c r="AR250" s="44"/>
      <c r="AS250" s="45"/>
      <c r="AT250" s="44"/>
      <c r="AU250" s="45"/>
      <c r="AV250" s="44"/>
      <c r="AW250" s="45"/>
      <c r="AX250" s="44"/>
      <c r="AY250" s="45"/>
      <c r="AZ250" s="50"/>
      <c r="BA250" s="47"/>
      <c r="BB250" s="50"/>
      <c r="BC250" s="47"/>
      <c r="BD250" s="50"/>
      <c r="BE250" s="47"/>
      <c r="BF250" s="50"/>
      <c r="BG250" s="47"/>
      <c r="BH250" s="50"/>
      <c r="BI250" s="608" t="s">
        <v>303</v>
      </c>
      <c r="BJ250" s="326"/>
      <c r="BK250" s="326"/>
      <c r="BL250" s="326"/>
      <c r="BM250" s="326"/>
      <c r="BN250" s="326"/>
      <c r="BO250" s="326"/>
      <c r="BP250" s="326"/>
      <c r="BQ250" s="326"/>
      <c r="BR250" s="326"/>
      <c r="BS250" s="326"/>
      <c r="BT250" s="326"/>
      <c r="BU250" s="326"/>
      <c r="BV250" s="327"/>
    </row>
    <row r="251" spans="1:74" ht="30" customHeight="1" x14ac:dyDescent="0.25">
      <c r="A251" s="41">
        <f t="shared" si="0"/>
        <v>237</v>
      </c>
      <c r="B251" s="42" t="s">
        <v>334</v>
      </c>
      <c r="C251" s="43"/>
      <c r="D251" s="609"/>
      <c r="E251" s="326"/>
      <c r="F251" s="326"/>
      <c r="G251" s="326"/>
      <c r="H251" s="326"/>
      <c r="I251" s="326"/>
      <c r="J251" s="326"/>
      <c r="K251" s="327"/>
      <c r="L251" s="610"/>
      <c r="M251" s="326"/>
      <c r="N251" s="326"/>
      <c r="O251" s="327"/>
      <c r="P251" s="609"/>
      <c r="Q251" s="326"/>
      <c r="R251" s="326"/>
      <c r="S251" s="327"/>
      <c r="T251" s="610"/>
      <c r="U251" s="326"/>
      <c r="V251" s="326"/>
      <c r="W251" s="327"/>
      <c r="X251" s="609"/>
      <c r="Y251" s="326"/>
      <c r="Z251" s="326"/>
      <c r="AA251" s="327"/>
      <c r="AB251" s="451"/>
      <c r="AC251" s="326"/>
      <c r="AD251" s="327"/>
      <c r="AE251" s="526"/>
      <c r="AF251" s="326"/>
      <c r="AG251" s="327"/>
      <c r="AH251" s="607"/>
      <c r="AI251" s="326"/>
      <c r="AJ251" s="327"/>
      <c r="AK251" s="497"/>
      <c r="AL251" s="326"/>
      <c r="AM251" s="327"/>
      <c r="AN251" s="44"/>
      <c r="AO251" s="45"/>
      <c r="AP251" s="44"/>
      <c r="AQ251" s="45"/>
      <c r="AR251" s="44"/>
      <c r="AS251" s="45"/>
      <c r="AT251" s="44"/>
      <c r="AU251" s="45"/>
      <c r="AV251" s="44"/>
      <c r="AW251" s="45"/>
      <c r="AX251" s="44"/>
      <c r="AY251" s="45"/>
      <c r="AZ251" s="50"/>
      <c r="BA251" s="47"/>
      <c r="BB251" s="50"/>
      <c r="BC251" s="47"/>
      <c r="BD251" s="50"/>
      <c r="BE251" s="47"/>
      <c r="BF251" s="50"/>
      <c r="BG251" s="47"/>
      <c r="BH251" s="50"/>
      <c r="BI251" s="608" t="s">
        <v>307</v>
      </c>
      <c r="BJ251" s="326"/>
      <c r="BK251" s="326"/>
      <c r="BL251" s="326"/>
      <c r="BM251" s="326"/>
      <c r="BN251" s="326"/>
      <c r="BO251" s="326"/>
      <c r="BP251" s="326"/>
      <c r="BQ251" s="326"/>
      <c r="BR251" s="326"/>
      <c r="BS251" s="326"/>
      <c r="BT251" s="326"/>
      <c r="BU251" s="326"/>
      <c r="BV251" s="327"/>
    </row>
    <row r="252" spans="1:74" ht="30" customHeight="1" x14ac:dyDescent="0.25">
      <c r="A252" s="49">
        <f t="shared" si="0"/>
        <v>238</v>
      </c>
      <c r="B252" s="42" t="s">
        <v>334</v>
      </c>
      <c r="C252" s="43"/>
      <c r="D252" s="609"/>
      <c r="E252" s="326"/>
      <c r="F252" s="326"/>
      <c r="G252" s="326"/>
      <c r="H252" s="326"/>
      <c r="I252" s="326"/>
      <c r="J252" s="326"/>
      <c r="K252" s="327"/>
      <c r="L252" s="610"/>
      <c r="M252" s="326"/>
      <c r="N252" s="326"/>
      <c r="O252" s="327"/>
      <c r="P252" s="609"/>
      <c r="Q252" s="326"/>
      <c r="R252" s="326"/>
      <c r="S252" s="327"/>
      <c r="T252" s="610"/>
      <c r="U252" s="326"/>
      <c r="V252" s="326"/>
      <c r="W252" s="327"/>
      <c r="X252" s="609"/>
      <c r="Y252" s="326"/>
      <c r="Z252" s="326"/>
      <c r="AA252" s="327"/>
      <c r="AB252" s="451"/>
      <c r="AC252" s="326"/>
      <c r="AD252" s="327"/>
      <c r="AE252" s="526"/>
      <c r="AF252" s="326"/>
      <c r="AG252" s="327"/>
      <c r="AH252" s="607"/>
      <c r="AI252" s="326"/>
      <c r="AJ252" s="327"/>
      <c r="AK252" s="497"/>
      <c r="AL252" s="326"/>
      <c r="AM252" s="327"/>
      <c r="AN252" s="44"/>
      <c r="AO252" s="45"/>
      <c r="AP252" s="44"/>
      <c r="AQ252" s="45"/>
      <c r="AR252" s="44"/>
      <c r="AS252" s="45"/>
      <c r="AT252" s="44"/>
      <c r="AU252" s="45"/>
      <c r="AV252" s="44"/>
      <c r="AW252" s="45"/>
      <c r="AX252" s="44"/>
      <c r="AY252" s="45"/>
      <c r="AZ252" s="50"/>
      <c r="BA252" s="47"/>
      <c r="BB252" s="50"/>
      <c r="BC252" s="47"/>
      <c r="BD252" s="50"/>
      <c r="BE252" s="47"/>
      <c r="BF252" s="50"/>
      <c r="BG252" s="47"/>
      <c r="BH252" s="50"/>
      <c r="BI252" s="608" t="s">
        <v>307</v>
      </c>
      <c r="BJ252" s="326"/>
      <c r="BK252" s="326"/>
      <c r="BL252" s="326"/>
      <c r="BM252" s="326"/>
      <c r="BN252" s="326"/>
      <c r="BO252" s="326"/>
      <c r="BP252" s="326"/>
      <c r="BQ252" s="326"/>
      <c r="BR252" s="326"/>
      <c r="BS252" s="326"/>
      <c r="BT252" s="326"/>
      <c r="BU252" s="326"/>
      <c r="BV252" s="327"/>
    </row>
    <row r="253" spans="1:74" ht="30" customHeight="1" x14ac:dyDescent="0.25">
      <c r="A253" s="49">
        <f t="shared" si="0"/>
        <v>239</v>
      </c>
      <c r="B253" s="42" t="s">
        <v>334</v>
      </c>
      <c r="C253" s="43"/>
      <c r="D253" s="609"/>
      <c r="E253" s="326"/>
      <c r="F253" s="326"/>
      <c r="G253" s="326"/>
      <c r="H253" s="326"/>
      <c r="I253" s="326"/>
      <c r="J253" s="326"/>
      <c r="K253" s="327"/>
      <c r="L253" s="610"/>
      <c r="M253" s="326"/>
      <c r="N253" s="326"/>
      <c r="O253" s="327"/>
      <c r="P253" s="609"/>
      <c r="Q253" s="326"/>
      <c r="R253" s="326"/>
      <c r="S253" s="327"/>
      <c r="T253" s="610"/>
      <c r="U253" s="326"/>
      <c r="V253" s="326"/>
      <c r="W253" s="327"/>
      <c r="X253" s="609"/>
      <c r="Y253" s="326"/>
      <c r="Z253" s="326"/>
      <c r="AA253" s="327"/>
      <c r="AB253" s="451"/>
      <c r="AC253" s="326"/>
      <c r="AD253" s="327"/>
      <c r="AE253" s="526"/>
      <c r="AF253" s="326"/>
      <c r="AG253" s="327"/>
      <c r="AH253" s="607"/>
      <c r="AI253" s="326"/>
      <c r="AJ253" s="327"/>
      <c r="AK253" s="497"/>
      <c r="AL253" s="326"/>
      <c r="AM253" s="327"/>
      <c r="AN253" s="44"/>
      <c r="AO253" s="45"/>
      <c r="AP253" s="44"/>
      <c r="AQ253" s="45"/>
      <c r="AR253" s="44"/>
      <c r="AS253" s="45"/>
      <c r="AT253" s="44"/>
      <c r="AU253" s="45"/>
      <c r="AV253" s="44"/>
      <c r="AW253" s="45"/>
      <c r="AX253" s="44"/>
      <c r="AY253" s="45"/>
      <c r="AZ253" s="50"/>
      <c r="BA253" s="47"/>
      <c r="BB253" s="50"/>
      <c r="BC253" s="47"/>
      <c r="BD253" s="50"/>
      <c r="BE253" s="47"/>
      <c r="BF253" s="50"/>
      <c r="BG253" s="47"/>
      <c r="BH253" s="50"/>
      <c r="BI253" s="608" t="s">
        <v>307</v>
      </c>
      <c r="BJ253" s="326"/>
      <c r="BK253" s="326"/>
      <c r="BL253" s="326"/>
      <c r="BM253" s="326"/>
      <c r="BN253" s="326"/>
      <c r="BO253" s="326"/>
      <c r="BP253" s="326"/>
      <c r="BQ253" s="326"/>
      <c r="BR253" s="326"/>
      <c r="BS253" s="326"/>
      <c r="BT253" s="326"/>
      <c r="BU253" s="326"/>
      <c r="BV253" s="327"/>
    </row>
    <row r="254" spans="1:74" ht="30" customHeight="1" x14ac:dyDescent="0.25">
      <c r="A254" s="49">
        <f t="shared" si="0"/>
        <v>240</v>
      </c>
      <c r="B254" s="42" t="s">
        <v>334</v>
      </c>
      <c r="C254" s="43"/>
      <c r="D254" s="609"/>
      <c r="E254" s="326"/>
      <c r="F254" s="326"/>
      <c r="G254" s="326"/>
      <c r="H254" s="326"/>
      <c r="I254" s="326"/>
      <c r="J254" s="326"/>
      <c r="K254" s="327"/>
      <c r="L254" s="610"/>
      <c r="M254" s="326"/>
      <c r="N254" s="326"/>
      <c r="O254" s="327"/>
      <c r="P254" s="609"/>
      <c r="Q254" s="326"/>
      <c r="R254" s="326"/>
      <c r="S254" s="327"/>
      <c r="T254" s="610"/>
      <c r="U254" s="326"/>
      <c r="V254" s="326"/>
      <c r="W254" s="327"/>
      <c r="X254" s="609"/>
      <c r="Y254" s="326"/>
      <c r="Z254" s="326"/>
      <c r="AA254" s="327"/>
      <c r="AB254" s="451"/>
      <c r="AC254" s="326"/>
      <c r="AD254" s="327"/>
      <c r="AE254" s="526"/>
      <c r="AF254" s="326"/>
      <c r="AG254" s="327"/>
      <c r="AH254" s="607"/>
      <c r="AI254" s="326"/>
      <c r="AJ254" s="327"/>
      <c r="AK254" s="497"/>
      <c r="AL254" s="326"/>
      <c r="AM254" s="327"/>
      <c r="AN254" s="44"/>
      <c r="AO254" s="45"/>
      <c r="AP254" s="44"/>
      <c r="AQ254" s="45"/>
      <c r="AR254" s="44"/>
      <c r="AS254" s="45"/>
      <c r="AT254" s="44"/>
      <c r="AU254" s="45"/>
      <c r="AV254" s="44"/>
      <c r="AW254" s="45"/>
      <c r="AX254" s="44"/>
      <c r="AY254" s="45"/>
      <c r="AZ254" s="50"/>
      <c r="BA254" s="47"/>
      <c r="BB254" s="50"/>
      <c r="BC254" s="47"/>
      <c r="BD254" s="50"/>
      <c r="BE254" s="47"/>
      <c r="BF254" s="50"/>
      <c r="BG254" s="47"/>
      <c r="BH254" s="50"/>
      <c r="BI254" s="608" t="s">
        <v>307</v>
      </c>
      <c r="BJ254" s="326"/>
      <c r="BK254" s="326"/>
      <c r="BL254" s="326"/>
      <c r="BM254" s="326"/>
      <c r="BN254" s="326"/>
      <c r="BO254" s="326"/>
      <c r="BP254" s="326"/>
      <c r="BQ254" s="326"/>
      <c r="BR254" s="326"/>
      <c r="BS254" s="326"/>
      <c r="BT254" s="326"/>
      <c r="BU254" s="326"/>
      <c r="BV254" s="327"/>
    </row>
    <row r="255" spans="1:74" ht="30" customHeight="1" x14ac:dyDescent="0.25">
      <c r="A255" s="49">
        <f t="shared" si="0"/>
        <v>241</v>
      </c>
      <c r="B255" s="42" t="s">
        <v>334</v>
      </c>
      <c r="C255" s="43"/>
      <c r="D255" s="609"/>
      <c r="E255" s="326"/>
      <c r="F255" s="326"/>
      <c r="G255" s="326"/>
      <c r="H255" s="326"/>
      <c r="I255" s="326"/>
      <c r="J255" s="326"/>
      <c r="K255" s="327"/>
      <c r="L255" s="610"/>
      <c r="M255" s="326"/>
      <c r="N255" s="326"/>
      <c r="O255" s="327"/>
      <c r="P255" s="609"/>
      <c r="Q255" s="326"/>
      <c r="R255" s="326"/>
      <c r="S255" s="327"/>
      <c r="T255" s="610"/>
      <c r="U255" s="326"/>
      <c r="V255" s="326"/>
      <c r="W255" s="327"/>
      <c r="X255" s="609"/>
      <c r="Y255" s="326"/>
      <c r="Z255" s="326"/>
      <c r="AA255" s="327"/>
      <c r="AB255" s="451"/>
      <c r="AC255" s="326"/>
      <c r="AD255" s="327"/>
      <c r="AE255" s="526"/>
      <c r="AF255" s="326"/>
      <c r="AG255" s="327"/>
      <c r="AH255" s="607"/>
      <c r="AI255" s="326"/>
      <c r="AJ255" s="327"/>
      <c r="AK255" s="497"/>
      <c r="AL255" s="326"/>
      <c r="AM255" s="327"/>
      <c r="AN255" s="44"/>
      <c r="AO255" s="45"/>
      <c r="AP255" s="44"/>
      <c r="AQ255" s="45"/>
      <c r="AR255" s="44"/>
      <c r="AS255" s="45"/>
      <c r="AT255" s="44"/>
      <c r="AU255" s="45"/>
      <c r="AV255" s="44"/>
      <c r="AW255" s="45"/>
      <c r="AX255" s="44"/>
      <c r="AY255" s="45"/>
      <c r="AZ255" s="50"/>
      <c r="BA255" s="47"/>
      <c r="BB255" s="50"/>
      <c r="BC255" s="47"/>
      <c r="BD255" s="50"/>
      <c r="BE255" s="47"/>
      <c r="BF255" s="50"/>
      <c r="BG255" s="47"/>
      <c r="BH255" s="50"/>
      <c r="BI255" s="608" t="s">
        <v>307</v>
      </c>
      <c r="BJ255" s="326"/>
      <c r="BK255" s="326"/>
      <c r="BL255" s="326"/>
      <c r="BM255" s="326"/>
      <c r="BN255" s="326"/>
      <c r="BO255" s="326"/>
      <c r="BP255" s="326"/>
      <c r="BQ255" s="326"/>
      <c r="BR255" s="326"/>
      <c r="BS255" s="326"/>
      <c r="BT255" s="326"/>
      <c r="BU255" s="326"/>
      <c r="BV255" s="327"/>
    </row>
    <row r="256" spans="1:74" ht="30" customHeight="1" x14ac:dyDescent="0.25">
      <c r="A256" s="49">
        <f t="shared" si="0"/>
        <v>242</v>
      </c>
      <c r="B256" s="42" t="s">
        <v>334</v>
      </c>
      <c r="C256" s="43"/>
      <c r="D256" s="609"/>
      <c r="E256" s="326"/>
      <c r="F256" s="326"/>
      <c r="G256" s="326"/>
      <c r="H256" s="326"/>
      <c r="I256" s="326"/>
      <c r="J256" s="326"/>
      <c r="K256" s="327"/>
      <c r="L256" s="610"/>
      <c r="M256" s="326"/>
      <c r="N256" s="326"/>
      <c r="O256" s="327"/>
      <c r="P256" s="609"/>
      <c r="Q256" s="326"/>
      <c r="R256" s="326"/>
      <c r="S256" s="327"/>
      <c r="T256" s="610"/>
      <c r="U256" s="326"/>
      <c r="V256" s="326"/>
      <c r="W256" s="327"/>
      <c r="X256" s="609"/>
      <c r="Y256" s="326"/>
      <c r="Z256" s="326"/>
      <c r="AA256" s="327"/>
      <c r="AB256" s="451"/>
      <c r="AC256" s="326"/>
      <c r="AD256" s="327"/>
      <c r="AE256" s="526"/>
      <c r="AF256" s="326"/>
      <c r="AG256" s="327"/>
      <c r="AH256" s="607"/>
      <c r="AI256" s="326"/>
      <c r="AJ256" s="327"/>
      <c r="AK256" s="497"/>
      <c r="AL256" s="326"/>
      <c r="AM256" s="327"/>
      <c r="AN256" s="44"/>
      <c r="AO256" s="45"/>
      <c r="AP256" s="44"/>
      <c r="AQ256" s="45"/>
      <c r="AR256" s="44"/>
      <c r="AS256" s="45"/>
      <c r="AT256" s="44"/>
      <c r="AU256" s="45"/>
      <c r="AV256" s="44"/>
      <c r="AW256" s="45"/>
      <c r="AX256" s="44"/>
      <c r="AY256" s="45"/>
      <c r="AZ256" s="50"/>
      <c r="BA256" s="47"/>
      <c r="BB256" s="50"/>
      <c r="BC256" s="47"/>
      <c r="BD256" s="50"/>
      <c r="BE256" s="47"/>
      <c r="BF256" s="50"/>
      <c r="BG256" s="47"/>
      <c r="BH256" s="50"/>
      <c r="BI256" s="608" t="s">
        <v>303</v>
      </c>
      <c r="BJ256" s="326"/>
      <c r="BK256" s="326"/>
      <c r="BL256" s="326"/>
      <c r="BM256" s="326"/>
      <c r="BN256" s="326"/>
      <c r="BO256" s="326"/>
      <c r="BP256" s="326"/>
      <c r="BQ256" s="326"/>
      <c r="BR256" s="326"/>
      <c r="BS256" s="326"/>
      <c r="BT256" s="326"/>
      <c r="BU256" s="326"/>
      <c r="BV256" s="327"/>
    </row>
    <row r="257" spans="1:74" ht="30" customHeight="1" x14ac:dyDescent="0.25">
      <c r="A257" s="49">
        <f t="shared" si="0"/>
        <v>243</v>
      </c>
      <c r="B257" s="42" t="s">
        <v>334</v>
      </c>
      <c r="C257" s="43"/>
      <c r="D257" s="609"/>
      <c r="E257" s="326"/>
      <c r="F257" s="326"/>
      <c r="G257" s="326"/>
      <c r="H257" s="326"/>
      <c r="I257" s="326"/>
      <c r="J257" s="326"/>
      <c r="K257" s="327"/>
      <c r="L257" s="610"/>
      <c r="M257" s="326"/>
      <c r="N257" s="326"/>
      <c r="O257" s="327"/>
      <c r="P257" s="609"/>
      <c r="Q257" s="326"/>
      <c r="R257" s="326"/>
      <c r="S257" s="327"/>
      <c r="T257" s="610"/>
      <c r="U257" s="326"/>
      <c r="V257" s="326"/>
      <c r="W257" s="327"/>
      <c r="X257" s="609"/>
      <c r="Y257" s="326"/>
      <c r="Z257" s="326"/>
      <c r="AA257" s="327"/>
      <c r="AB257" s="451"/>
      <c r="AC257" s="326"/>
      <c r="AD257" s="327"/>
      <c r="AE257" s="526"/>
      <c r="AF257" s="326"/>
      <c r="AG257" s="327"/>
      <c r="AH257" s="607"/>
      <c r="AI257" s="326"/>
      <c r="AJ257" s="327"/>
      <c r="AK257" s="497"/>
      <c r="AL257" s="326"/>
      <c r="AM257" s="327"/>
      <c r="AN257" s="44"/>
      <c r="AO257" s="45"/>
      <c r="AP257" s="44"/>
      <c r="AQ257" s="45"/>
      <c r="AR257" s="44"/>
      <c r="AS257" s="45"/>
      <c r="AT257" s="44"/>
      <c r="AU257" s="45"/>
      <c r="AV257" s="44"/>
      <c r="AW257" s="45"/>
      <c r="AX257" s="44"/>
      <c r="AY257" s="45"/>
      <c r="AZ257" s="50"/>
      <c r="BA257" s="47"/>
      <c r="BB257" s="50"/>
      <c r="BC257" s="47"/>
      <c r="BD257" s="50"/>
      <c r="BE257" s="47"/>
      <c r="BF257" s="50"/>
      <c r="BG257" s="47"/>
      <c r="BH257" s="50"/>
      <c r="BI257" s="608" t="s">
        <v>303</v>
      </c>
      <c r="BJ257" s="326"/>
      <c r="BK257" s="326"/>
      <c r="BL257" s="326"/>
      <c r="BM257" s="326"/>
      <c r="BN257" s="326"/>
      <c r="BO257" s="326"/>
      <c r="BP257" s="326"/>
      <c r="BQ257" s="326"/>
      <c r="BR257" s="326"/>
      <c r="BS257" s="326"/>
      <c r="BT257" s="326"/>
      <c r="BU257" s="326"/>
      <c r="BV257" s="327"/>
    </row>
    <row r="258" spans="1:74" ht="30" customHeight="1" x14ac:dyDescent="0.25">
      <c r="A258" s="41">
        <f t="shared" si="0"/>
        <v>244</v>
      </c>
      <c r="B258" s="42" t="s">
        <v>334</v>
      </c>
      <c r="C258" s="43"/>
      <c r="D258" s="609"/>
      <c r="E258" s="326"/>
      <c r="F258" s="326"/>
      <c r="G258" s="326"/>
      <c r="H258" s="326"/>
      <c r="I258" s="326"/>
      <c r="J258" s="326"/>
      <c r="K258" s="327"/>
      <c r="L258" s="610"/>
      <c r="M258" s="326"/>
      <c r="N258" s="326"/>
      <c r="O258" s="327"/>
      <c r="P258" s="609"/>
      <c r="Q258" s="326"/>
      <c r="R258" s="326"/>
      <c r="S258" s="327"/>
      <c r="T258" s="610"/>
      <c r="U258" s="326"/>
      <c r="V258" s="326"/>
      <c r="W258" s="327"/>
      <c r="X258" s="609"/>
      <c r="Y258" s="326"/>
      <c r="Z258" s="326"/>
      <c r="AA258" s="327"/>
      <c r="AB258" s="451"/>
      <c r="AC258" s="326"/>
      <c r="AD258" s="327"/>
      <c r="AE258" s="526"/>
      <c r="AF258" s="326"/>
      <c r="AG258" s="327"/>
      <c r="AH258" s="607"/>
      <c r="AI258" s="326"/>
      <c r="AJ258" s="327"/>
      <c r="AK258" s="497"/>
      <c r="AL258" s="326"/>
      <c r="AM258" s="327"/>
      <c r="AN258" s="44"/>
      <c r="AO258" s="45"/>
      <c r="AP258" s="44"/>
      <c r="AQ258" s="45"/>
      <c r="AR258" s="44"/>
      <c r="AS258" s="45"/>
      <c r="AT258" s="44"/>
      <c r="AU258" s="45"/>
      <c r="AV258" s="44"/>
      <c r="AW258" s="45"/>
      <c r="AX258" s="44"/>
      <c r="AY258" s="45"/>
      <c r="AZ258" s="50"/>
      <c r="BA258" s="47"/>
      <c r="BB258" s="50"/>
      <c r="BC258" s="47"/>
      <c r="BD258" s="50"/>
      <c r="BE258" s="47"/>
      <c r="BF258" s="50"/>
      <c r="BG258" s="47"/>
      <c r="BH258" s="50"/>
      <c r="BI258" s="608" t="s">
        <v>307</v>
      </c>
      <c r="BJ258" s="326"/>
      <c r="BK258" s="326"/>
      <c r="BL258" s="326"/>
      <c r="BM258" s="326"/>
      <c r="BN258" s="326"/>
      <c r="BO258" s="326"/>
      <c r="BP258" s="326"/>
      <c r="BQ258" s="326"/>
      <c r="BR258" s="326"/>
      <c r="BS258" s="326"/>
      <c r="BT258" s="326"/>
      <c r="BU258" s="326"/>
      <c r="BV258" s="327"/>
    </row>
    <row r="259" spans="1:74" ht="30" customHeight="1" x14ac:dyDescent="0.25">
      <c r="A259" s="49">
        <f t="shared" si="0"/>
        <v>245</v>
      </c>
      <c r="B259" s="42" t="s">
        <v>334</v>
      </c>
      <c r="C259" s="43"/>
      <c r="D259" s="609"/>
      <c r="E259" s="326"/>
      <c r="F259" s="326"/>
      <c r="G259" s="326"/>
      <c r="H259" s="326"/>
      <c r="I259" s="326"/>
      <c r="J259" s="326"/>
      <c r="K259" s="327"/>
      <c r="L259" s="610"/>
      <c r="M259" s="326"/>
      <c r="N259" s="326"/>
      <c r="O259" s="327"/>
      <c r="P259" s="609"/>
      <c r="Q259" s="326"/>
      <c r="R259" s="326"/>
      <c r="S259" s="327"/>
      <c r="T259" s="610"/>
      <c r="U259" s="326"/>
      <c r="V259" s="326"/>
      <c r="W259" s="327"/>
      <c r="X259" s="609"/>
      <c r="Y259" s="326"/>
      <c r="Z259" s="326"/>
      <c r="AA259" s="327"/>
      <c r="AB259" s="451"/>
      <c r="AC259" s="326"/>
      <c r="AD259" s="327"/>
      <c r="AE259" s="526"/>
      <c r="AF259" s="326"/>
      <c r="AG259" s="327"/>
      <c r="AH259" s="607"/>
      <c r="AI259" s="326"/>
      <c r="AJ259" s="327"/>
      <c r="AK259" s="497"/>
      <c r="AL259" s="326"/>
      <c r="AM259" s="327"/>
      <c r="AN259" s="44"/>
      <c r="AO259" s="45"/>
      <c r="AP259" s="44"/>
      <c r="AQ259" s="45"/>
      <c r="AR259" s="44"/>
      <c r="AS259" s="45"/>
      <c r="AT259" s="44"/>
      <c r="AU259" s="45"/>
      <c r="AV259" s="44"/>
      <c r="AW259" s="45"/>
      <c r="AX259" s="44"/>
      <c r="AY259" s="45"/>
      <c r="AZ259" s="50"/>
      <c r="BA259" s="47"/>
      <c r="BB259" s="50"/>
      <c r="BC259" s="47"/>
      <c r="BD259" s="50"/>
      <c r="BE259" s="47"/>
      <c r="BF259" s="50"/>
      <c r="BG259" s="47"/>
      <c r="BH259" s="50"/>
      <c r="BI259" s="608" t="s">
        <v>307</v>
      </c>
      <c r="BJ259" s="326"/>
      <c r="BK259" s="326"/>
      <c r="BL259" s="326"/>
      <c r="BM259" s="326"/>
      <c r="BN259" s="326"/>
      <c r="BO259" s="326"/>
      <c r="BP259" s="326"/>
      <c r="BQ259" s="326"/>
      <c r="BR259" s="326"/>
      <c r="BS259" s="326"/>
      <c r="BT259" s="326"/>
      <c r="BU259" s="326"/>
      <c r="BV259" s="327"/>
    </row>
    <row r="260" spans="1:74" ht="30" customHeight="1" x14ac:dyDescent="0.25">
      <c r="A260" s="49">
        <f t="shared" si="0"/>
        <v>246</v>
      </c>
      <c r="B260" s="42" t="s">
        <v>334</v>
      </c>
      <c r="C260" s="43"/>
      <c r="D260" s="609"/>
      <c r="E260" s="326"/>
      <c r="F260" s="326"/>
      <c r="G260" s="326"/>
      <c r="H260" s="326"/>
      <c r="I260" s="326"/>
      <c r="J260" s="326"/>
      <c r="K260" s="327"/>
      <c r="L260" s="610"/>
      <c r="M260" s="326"/>
      <c r="N260" s="326"/>
      <c r="O260" s="327"/>
      <c r="P260" s="609"/>
      <c r="Q260" s="326"/>
      <c r="R260" s="326"/>
      <c r="S260" s="327"/>
      <c r="T260" s="610"/>
      <c r="U260" s="326"/>
      <c r="V260" s="326"/>
      <c r="W260" s="327"/>
      <c r="X260" s="609"/>
      <c r="Y260" s="326"/>
      <c r="Z260" s="326"/>
      <c r="AA260" s="327"/>
      <c r="AB260" s="451"/>
      <c r="AC260" s="326"/>
      <c r="AD260" s="327"/>
      <c r="AE260" s="526"/>
      <c r="AF260" s="326"/>
      <c r="AG260" s="327"/>
      <c r="AH260" s="607"/>
      <c r="AI260" s="326"/>
      <c r="AJ260" s="327"/>
      <c r="AK260" s="497"/>
      <c r="AL260" s="326"/>
      <c r="AM260" s="327"/>
      <c r="AN260" s="44"/>
      <c r="AO260" s="45"/>
      <c r="AP260" s="44"/>
      <c r="AQ260" s="45"/>
      <c r="AR260" s="44"/>
      <c r="AS260" s="45"/>
      <c r="AT260" s="44"/>
      <c r="AU260" s="45"/>
      <c r="AV260" s="44"/>
      <c r="AW260" s="45"/>
      <c r="AX260" s="44"/>
      <c r="AY260" s="45"/>
      <c r="AZ260" s="50"/>
      <c r="BA260" s="47"/>
      <c r="BB260" s="50"/>
      <c r="BC260" s="47"/>
      <c r="BD260" s="50"/>
      <c r="BE260" s="47"/>
      <c r="BF260" s="50"/>
      <c r="BG260" s="47"/>
      <c r="BH260" s="50"/>
      <c r="BI260" s="608" t="s">
        <v>307</v>
      </c>
      <c r="BJ260" s="326"/>
      <c r="BK260" s="326"/>
      <c r="BL260" s="326"/>
      <c r="BM260" s="326"/>
      <c r="BN260" s="326"/>
      <c r="BO260" s="326"/>
      <c r="BP260" s="326"/>
      <c r="BQ260" s="326"/>
      <c r="BR260" s="326"/>
      <c r="BS260" s="326"/>
      <c r="BT260" s="326"/>
      <c r="BU260" s="326"/>
      <c r="BV260" s="327"/>
    </row>
    <row r="261" spans="1:74" ht="30" customHeight="1" x14ac:dyDescent="0.25">
      <c r="A261" s="49">
        <f t="shared" si="0"/>
        <v>247</v>
      </c>
      <c r="B261" s="42" t="s">
        <v>334</v>
      </c>
      <c r="C261" s="43"/>
      <c r="D261" s="609"/>
      <c r="E261" s="326"/>
      <c r="F261" s="326"/>
      <c r="G261" s="326"/>
      <c r="H261" s="326"/>
      <c r="I261" s="326"/>
      <c r="J261" s="326"/>
      <c r="K261" s="327"/>
      <c r="L261" s="610"/>
      <c r="M261" s="326"/>
      <c r="N261" s="326"/>
      <c r="O261" s="327"/>
      <c r="P261" s="609"/>
      <c r="Q261" s="326"/>
      <c r="R261" s="326"/>
      <c r="S261" s="327"/>
      <c r="T261" s="610"/>
      <c r="U261" s="326"/>
      <c r="V261" s="326"/>
      <c r="W261" s="327"/>
      <c r="X261" s="609"/>
      <c r="Y261" s="326"/>
      <c r="Z261" s="326"/>
      <c r="AA261" s="327"/>
      <c r="AB261" s="451"/>
      <c r="AC261" s="326"/>
      <c r="AD261" s="327"/>
      <c r="AE261" s="526"/>
      <c r="AF261" s="326"/>
      <c r="AG261" s="327"/>
      <c r="AH261" s="607"/>
      <c r="AI261" s="326"/>
      <c r="AJ261" s="327"/>
      <c r="AK261" s="497"/>
      <c r="AL261" s="326"/>
      <c r="AM261" s="327"/>
      <c r="AN261" s="44"/>
      <c r="AO261" s="45"/>
      <c r="AP261" s="44"/>
      <c r="AQ261" s="45"/>
      <c r="AR261" s="44"/>
      <c r="AS261" s="45"/>
      <c r="AT261" s="44"/>
      <c r="AU261" s="45"/>
      <c r="AV261" s="44"/>
      <c r="AW261" s="45"/>
      <c r="AX261" s="44"/>
      <c r="AY261" s="45"/>
      <c r="AZ261" s="50"/>
      <c r="BA261" s="47"/>
      <c r="BB261" s="50"/>
      <c r="BC261" s="47"/>
      <c r="BD261" s="50"/>
      <c r="BE261" s="47"/>
      <c r="BF261" s="50"/>
      <c r="BG261" s="47"/>
      <c r="BH261" s="50"/>
      <c r="BI261" s="608" t="s">
        <v>307</v>
      </c>
      <c r="BJ261" s="326"/>
      <c r="BK261" s="326"/>
      <c r="BL261" s="326"/>
      <c r="BM261" s="326"/>
      <c r="BN261" s="326"/>
      <c r="BO261" s="326"/>
      <c r="BP261" s="326"/>
      <c r="BQ261" s="326"/>
      <c r="BR261" s="326"/>
      <c r="BS261" s="326"/>
      <c r="BT261" s="326"/>
      <c r="BU261" s="326"/>
      <c r="BV261" s="327"/>
    </row>
    <row r="262" spans="1:74" ht="30" customHeight="1" x14ac:dyDescent="0.25">
      <c r="A262" s="49">
        <f t="shared" si="0"/>
        <v>248</v>
      </c>
      <c r="B262" s="42" t="s">
        <v>334</v>
      </c>
      <c r="C262" s="43"/>
      <c r="D262" s="609"/>
      <c r="E262" s="326"/>
      <c r="F262" s="326"/>
      <c r="G262" s="326"/>
      <c r="H262" s="326"/>
      <c r="I262" s="326"/>
      <c r="J262" s="326"/>
      <c r="K262" s="327"/>
      <c r="L262" s="610"/>
      <c r="M262" s="326"/>
      <c r="N262" s="326"/>
      <c r="O262" s="327"/>
      <c r="P262" s="609"/>
      <c r="Q262" s="326"/>
      <c r="R262" s="326"/>
      <c r="S262" s="327"/>
      <c r="T262" s="610"/>
      <c r="U262" s="326"/>
      <c r="V262" s="326"/>
      <c r="W262" s="327"/>
      <c r="X262" s="609"/>
      <c r="Y262" s="326"/>
      <c r="Z262" s="326"/>
      <c r="AA262" s="327"/>
      <c r="AB262" s="451"/>
      <c r="AC262" s="326"/>
      <c r="AD262" s="327"/>
      <c r="AE262" s="526"/>
      <c r="AF262" s="326"/>
      <c r="AG262" s="327"/>
      <c r="AH262" s="607"/>
      <c r="AI262" s="326"/>
      <c r="AJ262" s="327"/>
      <c r="AK262" s="497"/>
      <c r="AL262" s="326"/>
      <c r="AM262" s="327"/>
      <c r="AN262" s="44"/>
      <c r="AO262" s="45"/>
      <c r="AP262" s="44"/>
      <c r="AQ262" s="45"/>
      <c r="AR262" s="44"/>
      <c r="AS262" s="45"/>
      <c r="AT262" s="44"/>
      <c r="AU262" s="45"/>
      <c r="AV262" s="44"/>
      <c r="AW262" s="45"/>
      <c r="AX262" s="44"/>
      <c r="AY262" s="45"/>
      <c r="AZ262" s="50"/>
      <c r="BA262" s="47"/>
      <c r="BB262" s="50"/>
      <c r="BC262" s="47"/>
      <c r="BD262" s="50"/>
      <c r="BE262" s="47"/>
      <c r="BF262" s="50"/>
      <c r="BG262" s="47"/>
      <c r="BH262" s="50"/>
      <c r="BI262" s="608" t="s">
        <v>307</v>
      </c>
      <c r="BJ262" s="326"/>
      <c r="BK262" s="326"/>
      <c r="BL262" s="326"/>
      <c r="BM262" s="326"/>
      <c r="BN262" s="326"/>
      <c r="BO262" s="326"/>
      <c r="BP262" s="326"/>
      <c r="BQ262" s="326"/>
      <c r="BR262" s="326"/>
      <c r="BS262" s="326"/>
      <c r="BT262" s="326"/>
      <c r="BU262" s="326"/>
      <c r="BV262" s="327"/>
    </row>
    <row r="263" spans="1:74" ht="30" customHeight="1" x14ac:dyDescent="0.25">
      <c r="A263" s="49">
        <f t="shared" si="0"/>
        <v>249</v>
      </c>
      <c r="B263" s="42" t="s">
        <v>334</v>
      </c>
      <c r="C263" s="43"/>
      <c r="D263" s="609"/>
      <c r="E263" s="326"/>
      <c r="F263" s="326"/>
      <c r="G263" s="326"/>
      <c r="H263" s="326"/>
      <c r="I263" s="326"/>
      <c r="J263" s="326"/>
      <c r="K263" s="327"/>
      <c r="L263" s="610"/>
      <c r="M263" s="326"/>
      <c r="N263" s="326"/>
      <c r="O263" s="327"/>
      <c r="P263" s="609"/>
      <c r="Q263" s="326"/>
      <c r="R263" s="326"/>
      <c r="S263" s="327"/>
      <c r="T263" s="610"/>
      <c r="U263" s="326"/>
      <c r="V263" s="326"/>
      <c r="W263" s="327"/>
      <c r="X263" s="609"/>
      <c r="Y263" s="326"/>
      <c r="Z263" s="326"/>
      <c r="AA263" s="327"/>
      <c r="AB263" s="451"/>
      <c r="AC263" s="326"/>
      <c r="AD263" s="327"/>
      <c r="AE263" s="526"/>
      <c r="AF263" s="326"/>
      <c r="AG263" s="327"/>
      <c r="AH263" s="607"/>
      <c r="AI263" s="326"/>
      <c r="AJ263" s="327"/>
      <c r="AK263" s="497"/>
      <c r="AL263" s="326"/>
      <c r="AM263" s="327"/>
      <c r="AN263" s="44"/>
      <c r="AO263" s="45"/>
      <c r="AP263" s="44"/>
      <c r="AQ263" s="45"/>
      <c r="AR263" s="44"/>
      <c r="AS263" s="45"/>
      <c r="AT263" s="44"/>
      <c r="AU263" s="45"/>
      <c r="AV263" s="44"/>
      <c r="AW263" s="45"/>
      <c r="AX263" s="44"/>
      <c r="AY263" s="45"/>
      <c r="AZ263" s="50"/>
      <c r="BA263" s="47"/>
      <c r="BB263" s="50"/>
      <c r="BC263" s="47"/>
      <c r="BD263" s="50"/>
      <c r="BE263" s="47"/>
      <c r="BF263" s="50"/>
      <c r="BG263" s="47"/>
      <c r="BH263" s="50"/>
      <c r="BI263" s="608" t="s">
        <v>303</v>
      </c>
      <c r="BJ263" s="326"/>
      <c r="BK263" s="326"/>
      <c r="BL263" s="326"/>
      <c r="BM263" s="326"/>
      <c r="BN263" s="326"/>
      <c r="BO263" s="326"/>
      <c r="BP263" s="326"/>
      <c r="BQ263" s="326"/>
      <c r="BR263" s="326"/>
      <c r="BS263" s="326"/>
      <c r="BT263" s="326"/>
      <c r="BU263" s="326"/>
      <c r="BV263" s="327"/>
    </row>
    <row r="264" spans="1:74" ht="30" customHeight="1" x14ac:dyDescent="0.25">
      <c r="A264" s="49">
        <f t="shared" si="0"/>
        <v>250</v>
      </c>
      <c r="B264" s="42" t="s">
        <v>334</v>
      </c>
      <c r="C264" s="43"/>
      <c r="D264" s="609"/>
      <c r="E264" s="326"/>
      <c r="F264" s="326"/>
      <c r="G264" s="326"/>
      <c r="H264" s="326"/>
      <c r="I264" s="326"/>
      <c r="J264" s="326"/>
      <c r="K264" s="327"/>
      <c r="L264" s="610"/>
      <c r="M264" s="326"/>
      <c r="N264" s="326"/>
      <c r="O264" s="327"/>
      <c r="P264" s="609"/>
      <c r="Q264" s="326"/>
      <c r="R264" s="326"/>
      <c r="S264" s="327"/>
      <c r="T264" s="610"/>
      <c r="U264" s="326"/>
      <c r="V264" s="326"/>
      <c r="W264" s="327"/>
      <c r="X264" s="609"/>
      <c r="Y264" s="326"/>
      <c r="Z264" s="326"/>
      <c r="AA264" s="327"/>
      <c r="AB264" s="451"/>
      <c r="AC264" s="326"/>
      <c r="AD264" s="327"/>
      <c r="AE264" s="526"/>
      <c r="AF264" s="326"/>
      <c r="AG264" s="327"/>
      <c r="AH264" s="607"/>
      <c r="AI264" s="326"/>
      <c r="AJ264" s="327"/>
      <c r="AK264" s="497"/>
      <c r="AL264" s="326"/>
      <c r="AM264" s="327"/>
      <c r="AN264" s="44"/>
      <c r="AO264" s="45"/>
      <c r="AP264" s="44"/>
      <c r="AQ264" s="45"/>
      <c r="AR264" s="44"/>
      <c r="AS264" s="45"/>
      <c r="AT264" s="44"/>
      <c r="AU264" s="45"/>
      <c r="AV264" s="44"/>
      <c r="AW264" s="45"/>
      <c r="AX264" s="44"/>
      <c r="AY264" s="45"/>
      <c r="AZ264" s="50"/>
      <c r="BA264" s="47"/>
      <c r="BB264" s="50"/>
      <c r="BC264" s="47"/>
      <c r="BD264" s="50"/>
      <c r="BE264" s="47"/>
      <c r="BF264" s="50"/>
      <c r="BG264" s="47"/>
      <c r="BH264" s="50"/>
      <c r="BI264" s="608" t="s">
        <v>303</v>
      </c>
      <c r="BJ264" s="326"/>
      <c r="BK264" s="326"/>
      <c r="BL264" s="326"/>
      <c r="BM264" s="326"/>
      <c r="BN264" s="326"/>
      <c r="BO264" s="326"/>
      <c r="BP264" s="326"/>
      <c r="BQ264" s="326"/>
      <c r="BR264" s="326"/>
      <c r="BS264" s="326"/>
      <c r="BT264" s="326"/>
      <c r="BU264" s="326"/>
      <c r="BV264" s="327"/>
    </row>
    <row r="265" spans="1:74" ht="30" customHeight="1" x14ac:dyDescent="0.25">
      <c r="A265" s="41">
        <f t="shared" si="0"/>
        <v>251</v>
      </c>
      <c r="B265" s="42" t="s">
        <v>334</v>
      </c>
      <c r="C265" s="43"/>
      <c r="D265" s="609"/>
      <c r="E265" s="326"/>
      <c r="F265" s="326"/>
      <c r="G265" s="326"/>
      <c r="H265" s="326"/>
      <c r="I265" s="326"/>
      <c r="J265" s="326"/>
      <c r="K265" s="327"/>
      <c r="L265" s="610"/>
      <c r="M265" s="326"/>
      <c r="N265" s="326"/>
      <c r="O265" s="327"/>
      <c r="P265" s="609"/>
      <c r="Q265" s="326"/>
      <c r="R265" s="326"/>
      <c r="S265" s="327"/>
      <c r="T265" s="610"/>
      <c r="U265" s="326"/>
      <c r="V265" s="326"/>
      <c r="W265" s="327"/>
      <c r="X265" s="609"/>
      <c r="Y265" s="326"/>
      <c r="Z265" s="326"/>
      <c r="AA265" s="327"/>
      <c r="AB265" s="451"/>
      <c r="AC265" s="326"/>
      <c r="AD265" s="327"/>
      <c r="AE265" s="526"/>
      <c r="AF265" s="326"/>
      <c r="AG265" s="327"/>
      <c r="AH265" s="607"/>
      <c r="AI265" s="326"/>
      <c r="AJ265" s="327"/>
      <c r="AK265" s="497"/>
      <c r="AL265" s="326"/>
      <c r="AM265" s="327"/>
      <c r="AN265" s="44"/>
      <c r="AO265" s="45"/>
      <c r="AP265" s="44"/>
      <c r="AQ265" s="45"/>
      <c r="AR265" s="44"/>
      <c r="AS265" s="45"/>
      <c r="AT265" s="44"/>
      <c r="AU265" s="45"/>
      <c r="AV265" s="44"/>
      <c r="AW265" s="45"/>
      <c r="AX265" s="44"/>
      <c r="AY265" s="45"/>
      <c r="AZ265" s="50"/>
      <c r="BA265" s="47"/>
      <c r="BB265" s="50"/>
      <c r="BC265" s="47"/>
      <c r="BD265" s="50"/>
      <c r="BE265" s="47"/>
      <c r="BF265" s="50"/>
      <c r="BG265" s="47"/>
      <c r="BH265" s="50"/>
      <c r="BI265" s="608" t="s">
        <v>307</v>
      </c>
      <c r="BJ265" s="326"/>
      <c r="BK265" s="326"/>
      <c r="BL265" s="326"/>
      <c r="BM265" s="326"/>
      <c r="BN265" s="326"/>
      <c r="BO265" s="326"/>
      <c r="BP265" s="326"/>
      <c r="BQ265" s="326"/>
      <c r="BR265" s="326"/>
      <c r="BS265" s="326"/>
      <c r="BT265" s="326"/>
      <c r="BU265" s="326"/>
      <c r="BV265" s="327"/>
    </row>
    <row r="266" spans="1:74" ht="30" customHeight="1" x14ac:dyDescent="0.25">
      <c r="A266" s="49">
        <f t="shared" si="0"/>
        <v>252</v>
      </c>
      <c r="B266" s="42" t="s">
        <v>334</v>
      </c>
      <c r="C266" s="43"/>
      <c r="D266" s="609"/>
      <c r="E266" s="326"/>
      <c r="F266" s="326"/>
      <c r="G266" s="326"/>
      <c r="H266" s="326"/>
      <c r="I266" s="326"/>
      <c r="J266" s="326"/>
      <c r="K266" s="327"/>
      <c r="L266" s="610"/>
      <c r="M266" s="326"/>
      <c r="N266" s="326"/>
      <c r="O266" s="327"/>
      <c r="P266" s="609"/>
      <c r="Q266" s="326"/>
      <c r="R266" s="326"/>
      <c r="S266" s="327"/>
      <c r="T266" s="610"/>
      <c r="U266" s="326"/>
      <c r="V266" s="326"/>
      <c r="W266" s="327"/>
      <c r="X266" s="609"/>
      <c r="Y266" s="326"/>
      <c r="Z266" s="326"/>
      <c r="AA266" s="327"/>
      <c r="AB266" s="451"/>
      <c r="AC266" s="326"/>
      <c r="AD266" s="327"/>
      <c r="AE266" s="526"/>
      <c r="AF266" s="326"/>
      <c r="AG266" s="327"/>
      <c r="AH266" s="607"/>
      <c r="AI266" s="326"/>
      <c r="AJ266" s="327"/>
      <c r="AK266" s="497"/>
      <c r="AL266" s="326"/>
      <c r="AM266" s="327"/>
      <c r="AN266" s="44"/>
      <c r="AO266" s="45"/>
      <c r="AP266" s="44"/>
      <c r="AQ266" s="45"/>
      <c r="AR266" s="44"/>
      <c r="AS266" s="45"/>
      <c r="AT266" s="44"/>
      <c r="AU266" s="45"/>
      <c r="AV266" s="44"/>
      <c r="AW266" s="45"/>
      <c r="AX266" s="44"/>
      <c r="AY266" s="45"/>
      <c r="AZ266" s="50"/>
      <c r="BA266" s="47"/>
      <c r="BB266" s="50"/>
      <c r="BC266" s="47"/>
      <c r="BD266" s="50"/>
      <c r="BE266" s="47"/>
      <c r="BF266" s="50"/>
      <c r="BG266" s="47"/>
      <c r="BH266" s="50"/>
      <c r="BI266" s="608" t="s">
        <v>307</v>
      </c>
      <c r="BJ266" s="326"/>
      <c r="BK266" s="326"/>
      <c r="BL266" s="326"/>
      <c r="BM266" s="326"/>
      <c r="BN266" s="326"/>
      <c r="BO266" s="326"/>
      <c r="BP266" s="326"/>
      <c r="BQ266" s="326"/>
      <c r="BR266" s="326"/>
      <c r="BS266" s="326"/>
      <c r="BT266" s="326"/>
      <c r="BU266" s="326"/>
      <c r="BV266" s="327"/>
    </row>
    <row r="267" spans="1:74" ht="30" customHeight="1" x14ac:dyDescent="0.25">
      <c r="A267" s="49">
        <f t="shared" si="0"/>
        <v>253</v>
      </c>
      <c r="B267" s="42" t="s">
        <v>334</v>
      </c>
      <c r="C267" s="43"/>
      <c r="D267" s="609"/>
      <c r="E267" s="326"/>
      <c r="F267" s="326"/>
      <c r="G267" s="326"/>
      <c r="H267" s="326"/>
      <c r="I267" s="326"/>
      <c r="J267" s="326"/>
      <c r="K267" s="327"/>
      <c r="L267" s="610"/>
      <c r="M267" s="326"/>
      <c r="N267" s="326"/>
      <c r="O267" s="327"/>
      <c r="P267" s="609"/>
      <c r="Q267" s="326"/>
      <c r="R267" s="326"/>
      <c r="S267" s="327"/>
      <c r="T267" s="610"/>
      <c r="U267" s="326"/>
      <c r="V267" s="326"/>
      <c r="W267" s="327"/>
      <c r="X267" s="609"/>
      <c r="Y267" s="326"/>
      <c r="Z267" s="326"/>
      <c r="AA267" s="327"/>
      <c r="AB267" s="451"/>
      <c r="AC267" s="326"/>
      <c r="AD267" s="327"/>
      <c r="AE267" s="526"/>
      <c r="AF267" s="326"/>
      <c r="AG267" s="327"/>
      <c r="AH267" s="607"/>
      <c r="AI267" s="326"/>
      <c r="AJ267" s="327"/>
      <c r="AK267" s="497"/>
      <c r="AL267" s="326"/>
      <c r="AM267" s="327"/>
      <c r="AN267" s="44"/>
      <c r="AO267" s="45"/>
      <c r="AP267" s="44"/>
      <c r="AQ267" s="45"/>
      <c r="AR267" s="44"/>
      <c r="AS267" s="45"/>
      <c r="AT267" s="44"/>
      <c r="AU267" s="45"/>
      <c r="AV267" s="44"/>
      <c r="AW267" s="45"/>
      <c r="AX267" s="44"/>
      <c r="AY267" s="45"/>
      <c r="AZ267" s="50"/>
      <c r="BA267" s="47"/>
      <c r="BB267" s="50"/>
      <c r="BC267" s="47"/>
      <c r="BD267" s="50"/>
      <c r="BE267" s="47"/>
      <c r="BF267" s="50"/>
      <c r="BG267" s="47"/>
      <c r="BH267" s="50"/>
      <c r="BI267" s="608" t="s">
        <v>307</v>
      </c>
      <c r="BJ267" s="326"/>
      <c r="BK267" s="326"/>
      <c r="BL267" s="326"/>
      <c r="BM267" s="326"/>
      <c r="BN267" s="326"/>
      <c r="BO267" s="326"/>
      <c r="BP267" s="326"/>
      <c r="BQ267" s="326"/>
      <c r="BR267" s="326"/>
      <c r="BS267" s="326"/>
      <c r="BT267" s="326"/>
      <c r="BU267" s="326"/>
      <c r="BV267" s="327"/>
    </row>
    <row r="268" spans="1:74" ht="30" customHeight="1" x14ac:dyDescent="0.25">
      <c r="A268" s="49">
        <f t="shared" si="0"/>
        <v>254</v>
      </c>
      <c r="B268" s="42" t="s">
        <v>334</v>
      </c>
      <c r="C268" s="43"/>
      <c r="D268" s="609"/>
      <c r="E268" s="326"/>
      <c r="F268" s="326"/>
      <c r="G268" s="326"/>
      <c r="H268" s="326"/>
      <c r="I268" s="326"/>
      <c r="J268" s="326"/>
      <c r="K268" s="327"/>
      <c r="L268" s="610"/>
      <c r="M268" s="326"/>
      <c r="N268" s="326"/>
      <c r="O268" s="327"/>
      <c r="P268" s="609"/>
      <c r="Q268" s="326"/>
      <c r="R268" s="326"/>
      <c r="S268" s="327"/>
      <c r="T268" s="610"/>
      <c r="U268" s="326"/>
      <c r="V268" s="326"/>
      <c r="W268" s="327"/>
      <c r="X268" s="609"/>
      <c r="Y268" s="326"/>
      <c r="Z268" s="326"/>
      <c r="AA268" s="327"/>
      <c r="AB268" s="451"/>
      <c r="AC268" s="326"/>
      <c r="AD268" s="327"/>
      <c r="AE268" s="526"/>
      <c r="AF268" s="326"/>
      <c r="AG268" s="327"/>
      <c r="AH268" s="607"/>
      <c r="AI268" s="326"/>
      <c r="AJ268" s="327"/>
      <c r="AK268" s="497"/>
      <c r="AL268" s="326"/>
      <c r="AM268" s="327"/>
      <c r="AN268" s="44"/>
      <c r="AO268" s="45"/>
      <c r="AP268" s="44"/>
      <c r="AQ268" s="45"/>
      <c r="AR268" s="44"/>
      <c r="AS268" s="45"/>
      <c r="AT268" s="44"/>
      <c r="AU268" s="45"/>
      <c r="AV268" s="44"/>
      <c r="AW268" s="45"/>
      <c r="AX268" s="44"/>
      <c r="AY268" s="45"/>
      <c r="AZ268" s="50"/>
      <c r="BA268" s="47"/>
      <c r="BB268" s="50"/>
      <c r="BC268" s="47"/>
      <c r="BD268" s="50"/>
      <c r="BE268" s="47"/>
      <c r="BF268" s="50"/>
      <c r="BG268" s="47"/>
      <c r="BH268" s="50"/>
      <c r="BI268" s="608" t="s">
        <v>307</v>
      </c>
      <c r="BJ268" s="326"/>
      <c r="BK268" s="326"/>
      <c r="BL268" s="326"/>
      <c r="BM268" s="326"/>
      <c r="BN268" s="326"/>
      <c r="BO268" s="326"/>
      <c r="BP268" s="326"/>
      <c r="BQ268" s="326"/>
      <c r="BR268" s="326"/>
      <c r="BS268" s="326"/>
      <c r="BT268" s="326"/>
      <c r="BU268" s="326"/>
      <c r="BV268" s="327"/>
    </row>
    <row r="269" spans="1:74" ht="30" customHeight="1" x14ac:dyDescent="0.25">
      <c r="A269" s="49">
        <f t="shared" si="0"/>
        <v>255</v>
      </c>
      <c r="B269" s="42" t="s">
        <v>334</v>
      </c>
      <c r="C269" s="43"/>
      <c r="D269" s="609"/>
      <c r="E269" s="326"/>
      <c r="F269" s="326"/>
      <c r="G269" s="326"/>
      <c r="H269" s="326"/>
      <c r="I269" s="326"/>
      <c r="J269" s="326"/>
      <c r="K269" s="327"/>
      <c r="L269" s="610"/>
      <c r="M269" s="326"/>
      <c r="N269" s="326"/>
      <c r="O269" s="327"/>
      <c r="P269" s="609"/>
      <c r="Q269" s="326"/>
      <c r="R269" s="326"/>
      <c r="S269" s="327"/>
      <c r="T269" s="610"/>
      <c r="U269" s="326"/>
      <c r="V269" s="326"/>
      <c r="W269" s="327"/>
      <c r="X269" s="609"/>
      <c r="Y269" s="326"/>
      <c r="Z269" s="326"/>
      <c r="AA269" s="327"/>
      <c r="AB269" s="451"/>
      <c r="AC269" s="326"/>
      <c r="AD269" s="327"/>
      <c r="AE269" s="526"/>
      <c r="AF269" s="326"/>
      <c r="AG269" s="327"/>
      <c r="AH269" s="607"/>
      <c r="AI269" s="326"/>
      <c r="AJ269" s="327"/>
      <c r="AK269" s="497"/>
      <c r="AL269" s="326"/>
      <c r="AM269" s="327"/>
      <c r="AN269" s="44"/>
      <c r="AO269" s="45"/>
      <c r="AP269" s="44"/>
      <c r="AQ269" s="45"/>
      <c r="AR269" s="44"/>
      <c r="AS269" s="45"/>
      <c r="AT269" s="44"/>
      <c r="AU269" s="45"/>
      <c r="AV269" s="44"/>
      <c r="AW269" s="45"/>
      <c r="AX269" s="44"/>
      <c r="AY269" s="45"/>
      <c r="AZ269" s="50"/>
      <c r="BA269" s="47"/>
      <c r="BB269" s="50"/>
      <c r="BC269" s="47"/>
      <c r="BD269" s="50"/>
      <c r="BE269" s="47"/>
      <c r="BF269" s="50"/>
      <c r="BG269" s="47"/>
      <c r="BH269" s="50"/>
      <c r="BI269" s="608" t="s">
        <v>307</v>
      </c>
      <c r="BJ269" s="326"/>
      <c r="BK269" s="326"/>
      <c r="BL269" s="326"/>
      <c r="BM269" s="326"/>
      <c r="BN269" s="326"/>
      <c r="BO269" s="326"/>
      <c r="BP269" s="326"/>
      <c r="BQ269" s="326"/>
      <c r="BR269" s="326"/>
      <c r="BS269" s="326"/>
      <c r="BT269" s="326"/>
      <c r="BU269" s="326"/>
      <c r="BV269" s="327"/>
    </row>
    <row r="270" spans="1:74" ht="30" customHeight="1" x14ac:dyDescent="0.25">
      <c r="A270" s="49">
        <f t="shared" ref="A270:A524" si="1">ROW(A256)</f>
        <v>256</v>
      </c>
      <c r="B270" s="42" t="s">
        <v>334</v>
      </c>
      <c r="C270" s="43"/>
      <c r="D270" s="609"/>
      <c r="E270" s="326"/>
      <c r="F270" s="326"/>
      <c r="G270" s="326"/>
      <c r="H270" s="326"/>
      <c r="I270" s="326"/>
      <c r="J270" s="326"/>
      <c r="K270" s="327"/>
      <c r="L270" s="610"/>
      <c r="M270" s="326"/>
      <c r="N270" s="326"/>
      <c r="O270" s="327"/>
      <c r="P270" s="609"/>
      <c r="Q270" s="326"/>
      <c r="R270" s="326"/>
      <c r="S270" s="327"/>
      <c r="T270" s="610"/>
      <c r="U270" s="326"/>
      <c r="V270" s="326"/>
      <c r="W270" s="327"/>
      <c r="X270" s="609"/>
      <c r="Y270" s="326"/>
      <c r="Z270" s="326"/>
      <c r="AA270" s="327"/>
      <c r="AB270" s="451"/>
      <c r="AC270" s="326"/>
      <c r="AD270" s="327"/>
      <c r="AE270" s="526"/>
      <c r="AF270" s="326"/>
      <c r="AG270" s="327"/>
      <c r="AH270" s="607"/>
      <c r="AI270" s="326"/>
      <c r="AJ270" s="327"/>
      <c r="AK270" s="497"/>
      <c r="AL270" s="326"/>
      <c r="AM270" s="327"/>
      <c r="AN270" s="44"/>
      <c r="AO270" s="45"/>
      <c r="AP270" s="44"/>
      <c r="AQ270" s="45"/>
      <c r="AR270" s="44"/>
      <c r="AS270" s="45"/>
      <c r="AT270" s="44"/>
      <c r="AU270" s="45"/>
      <c r="AV270" s="44"/>
      <c r="AW270" s="45"/>
      <c r="AX270" s="44"/>
      <c r="AY270" s="45"/>
      <c r="AZ270" s="50"/>
      <c r="BA270" s="47"/>
      <c r="BB270" s="50"/>
      <c r="BC270" s="47"/>
      <c r="BD270" s="50"/>
      <c r="BE270" s="47"/>
      <c r="BF270" s="50"/>
      <c r="BG270" s="47"/>
      <c r="BH270" s="50"/>
      <c r="BI270" s="608" t="s">
        <v>303</v>
      </c>
      <c r="BJ270" s="326"/>
      <c r="BK270" s="326"/>
      <c r="BL270" s="326"/>
      <c r="BM270" s="326"/>
      <c r="BN270" s="326"/>
      <c r="BO270" s="326"/>
      <c r="BP270" s="326"/>
      <c r="BQ270" s="326"/>
      <c r="BR270" s="326"/>
      <c r="BS270" s="326"/>
      <c r="BT270" s="326"/>
      <c r="BU270" s="326"/>
      <c r="BV270" s="327"/>
    </row>
    <row r="271" spans="1:74" ht="30" customHeight="1" x14ac:dyDescent="0.25">
      <c r="A271" s="49">
        <f t="shared" si="1"/>
        <v>257</v>
      </c>
      <c r="B271" s="42" t="s">
        <v>334</v>
      </c>
      <c r="C271" s="43"/>
      <c r="D271" s="609"/>
      <c r="E271" s="326"/>
      <c r="F271" s="326"/>
      <c r="G271" s="326"/>
      <c r="H271" s="326"/>
      <c r="I271" s="326"/>
      <c r="J271" s="326"/>
      <c r="K271" s="327"/>
      <c r="L271" s="610"/>
      <c r="M271" s="326"/>
      <c r="N271" s="326"/>
      <c r="O271" s="327"/>
      <c r="P271" s="609"/>
      <c r="Q271" s="326"/>
      <c r="R271" s="326"/>
      <c r="S271" s="327"/>
      <c r="T271" s="610"/>
      <c r="U271" s="326"/>
      <c r="V271" s="326"/>
      <c r="W271" s="327"/>
      <c r="X271" s="609"/>
      <c r="Y271" s="326"/>
      <c r="Z271" s="326"/>
      <c r="AA271" s="327"/>
      <c r="AB271" s="451"/>
      <c r="AC271" s="326"/>
      <c r="AD271" s="327"/>
      <c r="AE271" s="526"/>
      <c r="AF271" s="326"/>
      <c r="AG271" s="327"/>
      <c r="AH271" s="607"/>
      <c r="AI271" s="326"/>
      <c r="AJ271" s="327"/>
      <c r="AK271" s="497"/>
      <c r="AL271" s="326"/>
      <c r="AM271" s="327"/>
      <c r="AN271" s="44"/>
      <c r="AO271" s="45"/>
      <c r="AP271" s="44"/>
      <c r="AQ271" s="45"/>
      <c r="AR271" s="44"/>
      <c r="AS271" s="45"/>
      <c r="AT271" s="44"/>
      <c r="AU271" s="45"/>
      <c r="AV271" s="44"/>
      <c r="AW271" s="45"/>
      <c r="AX271" s="44"/>
      <c r="AY271" s="45"/>
      <c r="AZ271" s="50"/>
      <c r="BA271" s="47"/>
      <c r="BB271" s="50"/>
      <c r="BC271" s="47"/>
      <c r="BD271" s="50"/>
      <c r="BE271" s="47"/>
      <c r="BF271" s="50"/>
      <c r="BG271" s="47"/>
      <c r="BH271" s="50"/>
      <c r="BI271" s="608" t="s">
        <v>303</v>
      </c>
      <c r="BJ271" s="326"/>
      <c r="BK271" s="326"/>
      <c r="BL271" s="326"/>
      <c r="BM271" s="326"/>
      <c r="BN271" s="326"/>
      <c r="BO271" s="326"/>
      <c r="BP271" s="326"/>
      <c r="BQ271" s="326"/>
      <c r="BR271" s="326"/>
      <c r="BS271" s="326"/>
      <c r="BT271" s="326"/>
      <c r="BU271" s="326"/>
      <c r="BV271" s="327"/>
    </row>
    <row r="272" spans="1:74" ht="30" customHeight="1" x14ac:dyDescent="0.25">
      <c r="A272" s="41">
        <f t="shared" si="1"/>
        <v>258</v>
      </c>
      <c r="B272" s="42" t="s">
        <v>334</v>
      </c>
      <c r="C272" s="43"/>
      <c r="D272" s="609"/>
      <c r="E272" s="326"/>
      <c r="F272" s="326"/>
      <c r="G272" s="326"/>
      <c r="H272" s="326"/>
      <c r="I272" s="326"/>
      <c r="J272" s="326"/>
      <c r="K272" s="327"/>
      <c r="L272" s="610"/>
      <c r="M272" s="326"/>
      <c r="N272" s="326"/>
      <c r="O272" s="327"/>
      <c r="P272" s="609"/>
      <c r="Q272" s="326"/>
      <c r="R272" s="326"/>
      <c r="S272" s="327"/>
      <c r="T272" s="610"/>
      <c r="U272" s="326"/>
      <c r="V272" s="326"/>
      <c r="W272" s="327"/>
      <c r="X272" s="609"/>
      <c r="Y272" s="326"/>
      <c r="Z272" s="326"/>
      <c r="AA272" s="327"/>
      <c r="AB272" s="451"/>
      <c r="AC272" s="326"/>
      <c r="AD272" s="327"/>
      <c r="AE272" s="526"/>
      <c r="AF272" s="326"/>
      <c r="AG272" s="327"/>
      <c r="AH272" s="607"/>
      <c r="AI272" s="326"/>
      <c r="AJ272" s="327"/>
      <c r="AK272" s="497"/>
      <c r="AL272" s="326"/>
      <c r="AM272" s="327"/>
      <c r="AN272" s="44"/>
      <c r="AO272" s="45"/>
      <c r="AP272" s="44"/>
      <c r="AQ272" s="45"/>
      <c r="AR272" s="44"/>
      <c r="AS272" s="45"/>
      <c r="AT272" s="44"/>
      <c r="AU272" s="45"/>
      <c r="AV272" s="44"/>
      <c r="AW272" s="45"/>
      <c r="AX272" s="44"/>
      <c r="AY272" s="45"/>
      <c r="AZ272" s="50"/>
      <c r="BA272" s="47"/>
      <c r="BB272" s="50"/>
      <c r="BC272" s="47"/>
      <c r="BD272" s="50"/>
      <c r="BE272" s="47"/>
      <c r="BF272" s="50"/>
      <c r="BG272" s="47"/>
      <c r="BH272" s="50"/>
      <c r="BI272" s="608" t="s">
        <v>307</v>
      </c>
      <c r="BJ272" s="326"/>
      <c r="BK272" s="326"/>
      <c r="BL272" s="326"/>
      <c r="BM272" s="326"/>
      <c r="BN272" s="326"/>
      <c r="BO272" s="326"/>
      <c r="BP272" s="326"/>
      <c r="BQ272" s="326"/>
      <c r="BR272" s="326"/>
      <c r="BS272" s="326"/>
      <c r="BT272" s="326"/>
      <c r="BU272" s="326"/>
      <c r="BV272" s="327"/>
    </row>
    <row r="273" spans="1:74" ht="30" customHeight="1" x14ac:dyDescent="0.25">
      <c r="A273" s="49">
        <f t="shared" si="1"/>
        <v>259</v>
      </c>
      <c r="B273" s="42" t="s">
        <v>334</v>
      </c>
      <c r="C273" s="43"/>
      <c r="D273" s="609"/>
      <c r="E273" s="326"/>
      <c r="F273" s="326"/>
      <c r="G273" s="326"/>
      <c r="H273" s="326"/>
      <c r="I273" s="326"/>
      <c r="J273" s="326"/>
      <c r="K273" s="327"/>
      <c r="L273" s="610"/>
      <c r="M273" s="326"/>
      <c r="N273" s="326"/>
      <c r="O273" s="327"/>
      <c r="P273" s="609"/>
      <c r="Q273" s="326"/>
      <c r="R273" s="326"/>
      <c r="S273" s="327"/>
      <c r="T273" s="610"/>
      <c r="U273" s="326"/>
      <c r="V273" s="326"/>
      <c r="W273" s="327"/>
      <c r="X273" s="609"/>
      <c r="Y273" s="326"/>
      <c r="Z273" s="326"/>
      <c r="AA273" s="327"/>
      <c r="AB273" s="451"/>
      <c r="AC273" s="326"/>
      <c r="AD273" s="327"/>
      <c r="AE273" s="526"/>
      <c r="AF273" s="326"/>
      <c r="AG273" s="327"/>
      <c r="AH273" s="607"/>
      <c r="AI273" s="326"/>
      <c r="AJ273" s="327"/>
      <c r="AK273" s="497"/>
      <c r="AL273" s="326"/>
      <c r="AM273" s="327"/>
      <c r="AN273" s="44"/>
      <c r="AO273" s="45"/>
      <c r="AP273" s="44"/>
      <c r="AQ273" s="45"/>
      <c r="AR273" s="44"/>
      <c r="AS273" s="45"/>
      <c r="AT273" s="44"/>
      <c r="AU273" s="45"/>
      <c r="AV273" s="44"/>
      <c r="AW273" s="45"/>
      <c r="AX273" s="44"/>
      <c r="AY273" s="45"/>
      <c r="AZ273" s="50"/>
      <c r="BA273" s="47"/>
      <c r="BB273" s="50"/>
      <c r="BC273" s="47"/>
      <c r="BD273" s="50"/>
      <c r="BE273" s="47"/>
      <c r="BF273" s="50"/>
      <c r="BG273" s="47"/>
      <c r="BH273" s="50"/>
      <c r="BI273" s="608" t="s">
        <v>307</v>
      </c>
      <c r="BJ273" s="326"/>
      <c r="BK273" s="326"/>
      <c r="BL273" s="326"/>
      <c r="BM273" s="326"/>
      <c r="BN273" s="326"/>
      <c r="BO273" s="326"/>
      <c r="BP273" s="326"/>
      <c r="BQ273" s="326"/>
      <c r="BR273" s="326"/>
      <c r="BS273" s="326"/>
      <c r="BT273" s="326"/>
      <c r="BU273" s="326"/>
      <c r="BV273" s="327"/>
    </row>
    <row r="274" spans="1:74" ht="30" customHeight="1" x14ac:dyDescent="0.25">
      <c r="A274" s="49">
        <f t="shared" si="1"/>
        <v>260</v>
      </c>
      <c r="B274" s="42" t="s">
        <v>334</v>
      </c>
      <c r="C274" s="43"/>
      <c r="D274" s="609"/>
      <c r="E274" s="326"/>
      <c r="F274" s="326"/>
      <c r="G274" s="326"/>
      <c r="H274" s="326"/>
      <c r="I274" s="326"/>
      <c r="J274" s="326"/>
      <c r="K274" s="327"/>
      <c r="L274" s="610"/>
      <c r="M274" s="326"/>
      <c r="N274" s="326"/>
      <c r="O274" s="327"/>
      <c r="P274" s="609"/>
      <c r="Q274" s="326"/>
      <c r="R274" s="326"/>
      <c r="S274" s="327"/>
      <c r="T274" s="610"/>
      <c r="U274" s="326"/>
      <c r="V274" s="326"/>
      <c r="W274" s="327"/>
      <c r="X274" s="609"/>
      <c r="Y274" s="326"/>
      <c r="Z274" s="326"/>
      <c r="AA274" s="327"/>
      <c r="AB274" s="451"/>
      <c r="AC274" s="326"/>
      <c r="AD274" s="327"/>
      <c r="AE274" s="526"/>
      <c r="AF274" s="326"/>
      <c r="AG274" s="327"/>
      <c r="AH274" s="607"/>
      <c r="AI274" s="326"/>
      <c r="AJ274" s="327"/>
      <c r="AK274" s="497"/>
      <c r="AL274" s="326"/>
      <c r="AM274" s="327"/>
      <c r="AN274" s="44"/>
      <c r="AO274" s="45"/>
      <c r="AP274" s="44"/>
      <c r="AQ274" s="45"/>
      <c r="AR274" s="44"/>
      <c r="AS274" s="45"/>
      <c r="AT274" s="44"/>
      <c r="AU274" s="45"/>
      <c r="AV274" s="44"/>
      <c r="AW274" s="45"/>
      <c r="AX274" s="44"/>
      <c r="AY274" s="45"/>
      <c r="AZ274" s="50"/>
      <c r="BA274" s="47"/>
      <c r="BB274" s="50"/>
      <c r="BC274" s="47"/>
      <c r="BD274" s="50"/>
      <c r="BE274" s="47"/>
      <c r="BF274" s="50"/>
      <c r="BG274" s="47"/>
      <c r="BH274" s="50"/>
      <c r="BI274" s="608" t="s">
        <v>307</v>
      </c>
      <c r="BJ274" s="326"/>
      <c r="BK274" s="326"/>
      <c r="BL274" s="326"/>
      <c r="BM274" s="326"/>
      <c r="BN274" s="326"/>
      <c r="BO274" s="326"/>
      <c r="BP274" s="326"/>
      <c r="BQ274" s="326"/>
      <c r="BR274" s="326"/>
      <c r="BS274" s="326"/>
      <c r="BT274" s="326"/>
      <c r="BU274" s="326"/>
      <c r="BV274" s="327"/>
    </row>
    <row r="275" spans="1:74" ht="30" customHeight="1" x14ac:dyDescent="0.25">
      <c r="A275" s="49">
        <f t="shared" si="1"/>
        <v>261</v>
      </c>
      <c r="B275" s="42" t="s">
        <v>334</v>
      </c>
      <c r="C275" s="43"/>
      <c r="D275" s="609"/>
      <c r="E275" s="326"/>
      <c r="F275" s="326"/>
      <c r="G275" s="326"/>
      <c r="H275" s="326"/>
      <c r="I275" s="326"/>
      <c r="J275" s="326"/>
      <c r="K275" s="327"/>
      <c r="L275" s="610"/>
      <c r="M275" s="326"/>
      <c r="N275" s="326"/>
      <c r="O275" s="327"/>
      <c r="P275" s="609"/>
      <c r="Q275" s="326"/>
      <c r="R275" s="326"/>
      <c r="S275" s="327"/>
      <c r="T275" s="610"/>
      <c r="U275" s="326"/>
      <c r="V275" s="326"/>
      <c r="W275" s="327"/>
      <c r="X275" s="609"/>
      <c r="Y275" s="326"/>
      <c r="Z275" s="326"/>
      <c r="AA275" s="327"/>
      <c r="AB275" s="451"/>
      <c r="AC275" s="326"/>
      <c r="AD275" s="327"/>
      <c r="AE275" s="526"/>
      <c r="AF275" s="326"/>
      <c r="AG275" s="327"/>
      <c r="AH275" s="607"/>
      <c r="AI275" s="326"/>
      <c r="AJ275" s="327"/>
      <c r="AK275" s="497"/>
      <c r="AL275" s="326"/>
      <c r="AM275" s="327"/>
      <c r="AN275" s="44"/>
      <c r="AO275" s="45"/>
      <c r="AP275" s="44"/>
      <c r="AQ275" s="45"/>
      <c r="AR275" s="44"/>
      <c r="AS275" s="45"/>
      <c r="AT275" s="44"/>
      <c r="AU275" s="45"/>
      <c r="AV275" s="44"/>
      <c r="AW275" s="45"/>
      <c r="AX275" s="44"/>
      <c r="AY275" s="45"/>
      <c r="AZ275" s="50"/>
      <c r="BA275" s="47"/>
      <c r="BB275" s="50"/>
      <c r="BC275" s="47"/>
      <c r="BD275" s="50"/>
      <c r="BE275" s="47"/>
      <c r="BF275" s="50"/>
      <c r="BG275" s="47"/>
      <c r="BH275" s="50"/>
      <c r="BI275" s="608" t="s">
        <v>307</v>
      </c>
      <c r="BJ275" s="326"/>
      <c r="BK275" s="326"/>
      <c r="BL275" s="326"/>
      <c r="BM275" s="326"/>
      <c r="BN275" s="326"/>
      <c r="BO275" s="326"/>
      <c r="BP275" s="326"/>
      <c r="BQ275" s="326"/>
      <c r="BR275" s="326"/>
      <c r="BS275" s="326"/>
      <c r="BT275" s="326"/>
      <c r="BU275" s="326"/>
      <c r="BV275" s="327"/>
    </row>
    <row r="276" spans="1:74" ht="30" customHeight="1" x14ac:dyDescent="0.25">
      <c r="A276" s="49">
        <f t="shared" si="1"/>
        <v>262</v>
      </c>
      <c r="B276" s="42" t="s">
        <v>334</v>
      </c>
      <c r="C276" s="43"/>
      <c r="D276" s="609"/>
      <c r="E276" s="326"/>
      <c r="F276" s="326"/>
      <c r="G276" s="326"/>
      <c r="H276" s="326"/>
      <c r="I276" s="326"/>
      <c r="J276" s="326"/>
      <c r="K276" s="327"/>
      <c r="L276" s="610"/>
      <c r="M276" s="326"/>
      <c r="N276" s="326"/>
      <c r="O276" s="327"/>
      <c r="P276" s="609"/>
      <c r="Q276" s="326"/>
      <c r="R276" s="326"/>
      <c r="S276" s="327"/>
      <c r="T276" s="610"/>
      <c r="U276" s="326"/>
      <c r="V276" s="326"/>
      <c r="W276" s="327"/>
      <c r="X276" s="609"/>
      <c r="Y276" s="326"/>
      <c r="Z276" s="326"/>
      <c r="AA276" s="327"/>
      <c r="AB276" s="451"/>
      <c r="AC276" s="326"/>
      <c r="AD276" s="327"/>
      <c r="AE276" s="526"/>
      <c r="AF276" s="326"/>
      <c r="AG276" s="327"/>
      <c r="AH276" s="607"/>
      <c r="AI276" s="326"/>
      <c r="AJ276" s="327"/>
      <c r="AK276" s="497"/>
      <c r="AL276" s="326"/>
      <c r="AM276" s="327"/>
      <c r="AN276" s="44"/>
      <c r="AO276" s="45"/>
      <c r="AP276" s="44"/>
      <c r="AQ276" s="45"/>
      <c r="AR276" s="44"/>
      <c r="AS276" s="45"/>
      <c r="AT276" s="44"/>
      <c r="AU276" s="45"/>
      <c r="AV276" s="44"/>
      <c r="AW276" s="45"/>
      <c r="AX276" s="44"/>
      <c r="AY276" s="45"/>
      <c r="AZ276" s="50"/>
      <c r="BA276" s="47"/>
      <c r="BB276" s="50"/>
      <c r="BC276" s="47"/>
      <c r="BD276" s="50"/>
      <c r="BE276" s="47"/>
      <c r="BF276" s="50"/>
      <c r="BG276" s="47"/>
      <c r="BH276" s="50"/>
      <c r="BI276" s="608" t="s">
        <v>307</v>
      </c>
      <c r="BJ276" s="326"/>
      <c r="BK276" s="326"/>
      <c r="BL276" s="326"/>
      <c r="BM276" s="326"/>
      <c r="BN276" s="326"/>
      <c r="BO276" s="326"/>
      <c r="BP276" s="326"/>
      <c r="BQ276" s="326"/>
      <c r="BR276" s="326"/>
      <c r="BS276" s="326"/>
      <c r="BT276" s="326"/>
      <c r="BU276" s="326"/>
      <c r="BV276" s="327"/>
    </row>
    <row r="277" spans="1:74" ht="30" customHeight="1" x14ac:dyDescent="0.25">
      <c r="A277" s="49">
        <f t="shared" si="1"/>
        <v>263</v>
      </c>
      <c r="B277" s="42" t="s">
        <v>334</v>
      </c>
      <c r="C277" s="43"/>
      <c r="D277" s="609"/>
      <c r="E277" s="326"/>
      <c r="F277" s="326"/>
      <c r="G277" s="326"/>
      <c r="H277" s="326"/>
      <c r="I277" s="326"/>
      <c r="J277" s="326"/>
      <c r="K277" s="327"/>
      <c r="L277" s="610"/>
      <c r="M277" s="326"/>
      <c r="N277" s="326"/>
      <c r="O277" s="327"/>
      <c r="P277" s="609"/>
      <c r="Q277" s="326"/>
      <c r="R277" s="326"/>
      <c r="S277" s="327"/>
      <c r="T277" s="610"/>
      <c r="U277" s="326"/>
      <c r="V277" s="326"/>
      <c r="W277" s="327"/>
      <c r="X277" s="609"/>
      <c r="Y277" s="326"/>
      <c r="Z277" s="326"/>
      <c r="AA277" s="327"/>
      <c r="AB277" s="451"/>
      <c r="AC277" s="326"/>
      <c r="AD277" s="327"/>
      <c r="AE277" s="526"/>
      <c r="AF277" s="326"/>
      <c r="AG277" s="327"/>
      <c r="AH277" s="607"/>
      <c r="AI277" s="326"/>
      <c r="AJ277" s="327"/>
      <c r="AK277" s="497"/>
      <c r="AL277" s="326"/>
      <c r="AM277" s="327"/>
      <c r="AN277" s="44"/>
      <c r="AO277" s="45"/>
      <c r="AP277" s="44"/>
      <c r="AQ277" s="45"/>
      <c r="AR277" s="44"/>
      <c r="AS277" s="45"/>
      <c r="AT277" s="44"/>
      <c r="AU277" s="45"/>
      <c r="AV277" s="44"/>
      <c r="AW277" s="45"/>
      <c r="AX277" s="44"/>
      <c r="AY277" s="45"/>
      <c r="AZ277" s="50"/>
      <c r="BA277" s="47"/>
      <c r="BB277" s="50"/>
      <c r="BC277" s="47"/>
      <c r="BD277" s="50"/>
      <c r="BE277" s="47"/>
      <c r="BF277" s="50"/>
      <c r="BG277" s="47"/>
      <c r="BH277" s="50"/>
      <c r="BI277" s="608" t="s">
        <v>303</v>
      </c>
      <c r="BJ277" s="326"/>
      <c r="BK277" s="326"/>
      <c r="BL277" s="326"/>
      <c r="BM277" s="326"/>
      <c r="BN277" s="326"/>
      <c r="BO277" s="326"/>
      <c r="BP277" s="326"/>
      <c r="BQ277" s="326"/>
      <c r="BR277" s="326"/>
      <c r="BS277" s="326"/>
      <c r="BT277" s="326"/>
      <c r="BU277" s="326"/>
      <c r="BV277" s="327"/>
    </row>
    <row r="278" spans="1:74" ht="30" customHeight="1" x14ac:dyDescent="0.25">
      <c r="A278" s="49">
        <f t="shared" si="1"/>
        <v>264</v>
      </c>
      <c r="B278" s="42" t="s">
        <v>334</v>
      </c>
      <c r="C278" s="43"/>
      <c r="D278" s="609"/>
      <c r="E278" s="326"/>
      <c r="F278" s="326"/>
      <c r="G278" s="326"/>
      <c r="H278" s="326"/>
      <c r="I278" s="326"/>
      <c r="J278" s="326"/>
      <c r="K278" s="327"/>
      <c r="L278" s="610"/>
      <c r="M278" s="326"/>
      <c r="N278" s="326"/>
      <c r="O278" s="327"/>
      <c r="P278" s="609"/>
      <c r="Q278" s="326"/>
      <c r="R278" s="326"/>
      <c r="S278" s="327"/>
      <c r="T278" s="610"/>
      <c r="U278" s="326"/>
      <c r="V278" s="326"/>
      <c r="W278" s="327"/>
      <c r="X278" s="609"/>
      <c r="Y278" s="326"/>
      <c r="Z278" s="326"/>
      <c r="AA278" s="327"/>
      <c r="AB278" s="451"/>
      <c r="AC278" s="326"/>
      <c r="AD278" s="327"/>
      <c r="AE278" s="526"/>
      <c r="AF278" s="326"/>
      <c r="AG278" s="327"/>
      <c r="AH278" s="607"/>
      <c r="AI278" s="326"/>
      <c r="AJ278" s="327"/>
      <c r="AK278" s="497"/>
      <c r="AL278" s="326"/>
      <c r="AM278" s="327"/>
      <c r="AN278" s="44"/>
      <c r="AO278" s="45"/>
      <c r="AP278" s="44"/>
      <c r="AQ278" s="45"/>
      <c r="AR278" s="44"/>
      <c r="AS278" s="45"/>
      <c r="AT278" s="44"/>
      <c r="AU278" s="45"/>
      <c r="AV278" s="44"/>
      <c r="AW278" s="45"/>
      <c r="AX278" s="44"/>
      <c r="AY278" s="45"/>
      <c r="AZ278" s="50"/>
      <c r="BA278" s="47"/>
      <c r="BB278" s="50"/>
      <c r="BC278" s="47"/>
      <c r="BD278" s="50"/>
      <c r="BE278" s="47"/>
      <c r="BF278" s="50"/>
      <c r="BG278" s="47"/>
      <c r="BH278" s="50"/>
      <c r="BI278" s="608" t="s">
        <v>303</v>
      </c>
      <c r="BJ278" s="326"/>
      <c r="BK278" s="326"/>
      <c r="BL278" s="326"/>
      <c r="BM278" s="326"/>
      <c r="BN278" s="326"/>
      <c r="BO278" s="326"/>
      <c r="BP278" s="326"/>
      <c r="BQ278" s="326"/>
      <c r="BR278" s="326"/>
      <c r="BS278" s="326"/>
      <c r="BT278" s="326"/>
      <c r="BU278" s="326"/>
      <c r="BV278" s="327"/>
    </row>
    <row r="279" spans="1:74" ht="30" customHeight="1" x14ac:dyDescent="0.25">
      <c r="A279" s="41">
        <f t="shared" si="1"/>
        <v>265</v>
      </c>
      <c r="B279" s="42" t="s">
        <v>334</v>
      </c>
      <c r="C279" s="43"/>
      <c r="D279" s="609"/>
      <c r="E279" s="326"/>
      <c r="F279" s="326"/>
      <c r="G279" s="326"/>
      <c r="H279" s="326"/>
      <c r="I279" s="326"/>
      <c r="J279" s="326"/>
      <c r="K279" s="327"/>
      <c r="L279" s="610"/>
      <c r="M279" s="326"/>
      <c r="N279" s="326"/>
      <c r="O279" s="327"/>
      <c r="P279" s="609"/>
      <c r="Q279" s="326"/>
      <c r="R279" s="326"/>
      <c r="S279" s="327"/>
      <c r="T279" s="610"/>
      <c r="U279" s="326"/>
      <c r="V279" s="326"/>
      <c r="W279" s="327"/>
      <c r="X279" s="609"/>
      <c r="Y279" s="326"/>
      <c r="Z279" s="326"/>
      <c r="AA279" s="327"/>
      <c r="AB279" s="451"/>
      <c r="AC279" s="326"/>
      <c r="AD279" s="327"/>
      <c r="AE279" s="526"/>
      <c r="AF279" s="326"/>
      <c r="AG279" s="327"/>
      <c r="AH279" s="607"/>
      <c r="AI279" s="326"/>
      <c r="AJ279" s="327"/>
      <c r="AK279" s="497"/>
      <c r="AL279" s="326"/>
      <c r="AM279" s="327"/>
      <c r="AN279" s="44"/>
      <c r="AO279" s="45"/>
      <c r="AP279" s="44"/>
      <c r="AQ279" s="45"/>
      <c r="AR279" s="44"/>
      <c r="AS279" s="45"/>
      <c r="AT279" s="44"/>
      <c r="AU279" s="45"/>
      <c r="AV279" s="44"/>
      <c r="AW279" s="45"/>
      <c r="AX279" s="44"/>
      <c r="AY279" s="45"/>
      <c r="AZ279" s="50"/>
      <c r="BA279" s="47"/>
      <c r="BB279" s="50"/>
      <c r="BC279" s="47"/>
      <c r="BD279" s="50"/>
      <c r="BE279" s="47"/>
      <c r="BF279" s="50"/>
      <c r="BG279" s="47"/>
      <c r="BH279" s="50"/>
      <c r="BI279" s="608" t="s">
        <v>307</v>
      </c>
      <c r="BJ279" s="326"/>
      <c r="BK279" s="326"/>
      <c r="BL279" s="326"/>
      <c r="BM279" s="326"/>
      <c r="BN279" s="326"/>
      <c r="BO279" s="326"/>
      <c r="BP279" s="326"/>
      <c r="BQ279" s="326"/>
      <c r="BR279" s="326"/>
      <c r="BS279" s="326"/>
      <c r="BT279" s="326"/>
      <c r="BU279" s="326"/>
      <c r="BV279" s="327"/>
    </row>
    <row r="280" spans="1:74" ht="30" customHeight="1" x14ac:dyDescent="0.25">
      <c r="A280" s="49">
        <f t="shared" si="1"/>
        <v>266</v>
      </c>
      <c r="B280" s="42" t="s">
        <v>334</v>
      </c>
      <c r="C280" s="43"/>
      <c r="D280" s="609"/>
      <c r="E280" s="326"/>
      <c r="F280" s="326"/>
      <c r="G280" s="326"/>
      <c r="H280" s="326"/>
      <c r="I280" s="326"/>
      <c r="J280" s="326"/>
      <c r="K280" s="327"/>
      <c r="L280" s="610"/>
      <c r="M280" s="326"/>
      <c r="N280" s="326"/>
      <c r="O280" s="327"/>
      <c r="P280" s="609"/>
      <c r="Q280" s="326"/>
      <c r="R280" s="326"/>
      <c r="S280" s="327"/>
      <c r="T280" s="610"/>
      <c r="U280" s="326"/>
      <c r="V280" s="326"/>
      <c r="W280" s="327"/>
      <c r="X280" s="609"/>
      <c r="Y280" s="326"/>
      <c r="Z280" s="326"/>
      <c r="AA280" s="327"/>
      <c r="AB280" s="451"/>
      <c r="AC280" s="326"/>
      <c r="AD280" s="327"/>
      <c r="AE280" s="526"/>
      <c r="AF280" s="326"/>
      <c r="AG280" s="327"/>
      <c r="AH280" s="607"/>
      <c r="AI280" s="326"/>
      <c r="AJ280" s="327"/>
      <c r="AK280" s="497"/>
      <c r="AL280" s="326"/>
      <c r="AM280" s="327"/>
      <c r="AN280" s="44"/>
      <c r="AO280" s="45"/>
      <c r="AP280" s="44"/>
      <c r="AQ280" s="45"/>
      <c r="AR280" s="44"/>
      <c r="AS280" s="45"/>
      <c r="AT280" s="44"/>
      <c r="AU280" s="45"/>
      <c r="AV280" s="44"/>
      <c r="AW280" s="45"/>
      <c r="AX280" s="44"/>
      <c r="AY280" s="45"/>
      <c r="AZ280" s="50"/>
      <c r="BA280" s="47"/>
      <c r="BB280" s="50"/>
      <c r="BC280" s="47"/>
      <c r="BD280" s="50"/>
      <c r="BE280" s="47"/>
      <c r="BF280" s="50"/>
      <c r="BG280" s="47"/>
      <c r="BH280" s="50"/>
      <c r="BI280" s="608" t="s">
        <v>307</v>
      </c>
      <c r="BJ280" s="326"/>
      <c r="BK280" s="326"/>
      <c r="BL280" s="326"/>
      <c r="BM280" s="326"/>
      <c r="BN280" s="326"/>
      <c r="BO280" s="326"/>
      <c r="BP280" s="326"/>
      <c r="BQ280" s="326"/>
      <c r="BR280" s="326"/>
      <c r="BS280" s="326"/>
      <c r="BT280" s="326"/>
      <c r="BU280" s="326"/>
      <c r="BV280" s="327"/>
    </row>
    <row r="281" spans="1:74" ht="30" customHeight="1" x14ac:dyDescent="0.25">
      <c r="A281" s="49">
        <f t="shared" si="1"/>
        <v>267</v>
      </c>
      <c r="B281" s="42" t="s">
        <v>334</v>
      </c>
      <c r="C281" s="43"/>
      <c r="D281" s="609"/>
      <c r="E281" s="326"/>
      <c r="F281" s="326"/>
      <c r="G281" s="326"/>
      <c r="H281" s="326"/>
      <c r="I281" s="326"/>
      <c r="J281" s="326"/>
      <c r="K281" s="327"/>
      <c r="L281" s="610"/>
      <c r="M281" s="326"/>
      <c r="N281" s="326"/>
      <c r="O281" s="327"/>
      <c r="P281" s="609"/>
      <c r="Q281" s="326"/>
      <c r="R281" s="326"/>
      <c r="S281" s="327"/>
      <c r="T281" s="610"/>
      <c r="U281" s="326"/>
      <c r="V281" s="326"/>
      <c r="W281" s="327"/>
      <c r="X281" s="609"/>
      <c r="Y281" s="326"/>
      <c r="Z281" s="326"/>
      <c r="AA281" s="327"/>
      <c r="AB281" s="451"/>
      <c r="AC281" s="326"/>
      <c r="AD281" s="327"/>
      <c r="AE281" s="526"/>
      <c r="AF281" s="326"/>
      <c r="AG281" s="327"/>
      <c r="AH281" s="607"/>
      <c r="AI281" s="326"/>
      <c r="AJ281" s="327"/>
      <c r="AK281" s="497"/>
      <c r="AL281" s="326"/>
      <c r="AM281" s="327"/>
      <c r="AN281" s="44"/>
      <c r="AO281" s="45"/>
      <c r="AP281" s="44"/>
      <c r="AQ281" s="45"/>
      <c r="AR281" s="44"/>
      <c r="AS281" s="45"/>
      <c r="AT281" s="44"/>
      <c r="AU281" s="45"/>
      <c r="AV281" s="44"/>
      <c r="AW281" s="45"/>
      <c r="AX281" s="44"/>
      <c r="AY281" s="45"/>
      <c r="AZ281" s="50"/>
      <c r="BA281" s="47"/>
      <c r="BB281" s="50"/>
      <c r="BC281" s="47"/>
      <c r="BD281" s="50"/>
      <c r="BE281" s="47"/>
      <c r="BF281" s="50"/>
      <c r="BG281" s="47"/>
      <c r="BH281" s="50"/>
      <c r="BI281" s="608" t="s">
        <v>307</v>
      </c>
      <c r="BJ281" s="326"/>
      <c r="BK281" s="326"/>
      <c r="BL281" s="326"/>
      <c r="BM281" s="326"/>
      <c r="BN281" s="326"/>
      <c r="BO281" s="326"/>
      <c r="BP281" s="326"/>
      <c r="BQ281" s="326"/>
      <c r="BR281" s="326"/>
      <c r="BS281" s="326"/>
      <c r="BT281" s="326"/>
      <c r="BU281" s="326"/>
      <c r="BV281" s="327"/>
    </row>
    <row r="282" spans="1:74" ht="30" customHeight="1" x14ac:dyDescent="0.25">
      <c r="A282" s="49">
        <f t="shared" si="1"/>
        <v>268</v>
      </c>
      <c r="B282" s="42" t="s">
        <v>334</v>
      </c>
      <c r="C282" s="43"/>
      <c r="D282" s="609"/>
      <c r="E282" s="326"/>
      <c r="F282" s="326"/>
      <c r="G282" s="326"/>
      <c r="H282" s="326"/>
      <c r="I282" s="326"/>
      <c r="J282" s="326"/>
      <c r="K282" s="327"/>
      <c r="L282" s="610"/>
      <c r="M282" s="326"/>
      <c r="N282" s="326"/>
      <c r="O282" s="327"/>
      <c r="P282" s="609"/>
      <c r="Q282" s="326"/>
      <c r="R282" s="326"/>
      <c r="S282" s="327"/>
      <c r="T282" s="610"/>
      <c r="U282" s="326"/>
      <c r="V282" s="326"/>
      <c r="W282" s="327"/>
      <c r="X282" s="609"/>
      <c r="Y282" s="326"/>
      <c r="Z282" s="326"/>
      <c r="AA282" s="327"/>
      <c r="AB282" s="451"/>
      <c r="AC282" s="326"/>
      <c r="AD282" s="327"/>
      <c r="AE282" s="526"/>
      <c r="AF282" s="326"/>
      <c r="AG282" s="327"/>
      <c r="AH282" s="607"/>
      <c r="AI282" s="326"/>
      <c r="AJ282" s="327"/>
      <c r="AK282" s="497"/>
      <c r="AL282" s="326"/>
      <c r="AM282" s="327"/>
      <c r="AN282" s="44"/>
      <c r="AO282" s="45"/>
      <c r="AP282" s="44"/>
      <c r="AQ282" s="45"/>
      <c r="AR282" s="44"/>
      <c r="AS282" s="45"/>
      <c r="AT282" s="44"/>
      <c r="AU282" s="45"/>
      <c r="AV282" s="44"/>
      <c r="AW282" s="45"/>
      <c r="AX282" s="44"/>
      <c r="AY282" s="45"/>
      <c r="AZ282" s="50"/>
      <c r="BA282" s="47"/>
      <c r="BB282" s="50"/>
      <c r="BC282" s="47"/>
      <c r="BD282" s="50"/>
      <c r="BE282" s="47"/>
      <c r="BF282" s="50"/>
      <c r="BG282" s="47"/>
      <c r="BH282" s="50"/>
      <c r="BI282" s="608" t="s">
        <v>307</v>
      </c>
      <c r="BJ282" s="326"/>
      <c r="BK282" s="326"/>
      <c r="BL282" s="326"/>
      <c r="BM282" s="326"/>
      <c r="BN282" s="326"/>
      <c r="BO282" s="326"/>
      <c r="BP282" s="326"/>
      <c r="BQ282" s="326"/>
      <c r="BR282" s="326"/>
      <c r="BS282" s="326"/>
      <c r="BT282" s="326"/>
      <c r="BU282" s="326"/>
      <c r="BV282" s="327"/>
    </row>
    <row r="283" spans="1:74" ht="30" customHeight="1" x14ac:dyDescent="0.25">
      <c r="A283" s="49">
        <f t="shared" si="1"/>
        <v>269</v>
      </c>
      <c r="B283" s="42" t="s">
        <v>334</v>
      </c>
      <c r="C283" s="43"/>
      <c r="D283" s="609"/>
      <c r="E283" s="326"/>
      <c r="F283" s="326"/>
      <c r="G283" s="326"/>
      <c r="H283" s="326"/>
      <c r="I283" s="326"/>
      <c r="J283" s="326"/>
      <c r="K283" s="327"/>
      <c r="L283" s="610"/>
      <c r="M283" s="326"/>
      <c r="N283" s="326"/>
      <c r="O283" s="327"/>
      <c r="P283" s="609"/>
      <c r="Q283" s="326"/>
      <c r="R283" s="326"/>
      <c r="S283" s="327"/>
      <c r="T283" s="610"/>
      <c r="U283" s="326"/>
      <c r="V283" s="326"/>
      <c r="W283" s="327"/>
      <c r="X283" s="609"/>
      <c r="Y283" s="326"/>
      <c r="Z283" s="326"/>
      <c r="AA283" s="327"/>
      <c r="AB283" s="451"/>
      <c r="AC283" s="326"/>
      <c r="AD283" s="327"/>
      <c r="AE283" s="526"/>
      <c r="AF283" s="326"/>
      <c r="AG283" s="327"/>
      <c r="AH283" s="607"/>
      <c r="AI283" s="326"/>
      <c r="AJ283" s="327"/>
      <c r="AK283" s="497"/>
      <c r="AL283" s="326"/>
      <c r="AM283" s="327"/>
      <c r="AN283" s="44"/>
      <c r="AO283" s="45"/>
      <c r="AP283" s="44"/>
      <c r="AQ283" s="45"/>
      <c r="AR283" s="44"/>
      <c r="AS283" s="45"/>
      <c r="AT283" s="44"/>
      <c r="AU283" s="45"/>
      <c r="AV283" s="44"/>
      <c r="AW283" s="45"/>
      <c r="AX283" s="44"/>
      <c r="AY283" s="45"/>
      <c r="AZ283" s="50"/>
      <c r="BA283" s="47"/>
      <c r="BB283" s="50"/>
      <c r="BC283" s="47"/>
      <c r="BD283" s="50"/>
      <c r="BE283" s="47"/>
      <c r="BF283" s="50"/>
      <c r="BG283" s="47"/>
      <c r="BH283" s="50"/>
      <c r="BI283" s="608" t="s">
        <v>307</v>
      </c>
      <c r="BJ283" s="326"/>
      <c r="BK283" s="326"/>
      <c r="BL283" s="326"/>
      <c r="BM283" s="326"/>
      <c r="BN283" s="326"/>
      <c r="BO283" s="326"/>
      <c r="BP283" s="326"/>
      <c r="BQ283" s="326"/>
      <c r="BR283" s="326"/>
      <c r="BS283" s="326"/>
      <c r="BT283" s="326"/>
      <c r="BU283" s="326"/>
      <c r="BV283" s="327"/>
    </row>
    <row r="284" spans="1:74" ht="30" customHeight="1" x14ac:dyDescent="0.25">
      <c r="A284" s="49">
        <f t="shared" si="1"/>
        <v>270</v>
      </c>
      <c r="B284" s="42" t="s">
        <v>334</v>
      </c>
      <c r="C284" s="43"/>
      <c r="D284" s="609"/>
      <c r="E284" s="326"/>
      <c r="F284" s="326"/>
      <c r="G284" s="326"/>
      <c r="H284" s="326"/>
      <c r="I284" s="326"/>
      <c r="J284" s="326"/>
      <c r="K284" s="327"/>
      <c r="L284" s="610"/>
      <c r="M284" s="326"/>
      <c r="N284" s="326"/>
      <c r="O284" s="327"/>
      <c r="P284" s="609"/>
      <c r="Q284" s="326"/>
      <c r="R284" s="326"/>
      <c r="S284" s="327"/>
      <c r="T284" s="610"/>
      <c r="U284" s="326"/>
      <c r="V284" s="326"/>
      <c r="W284" s="327"/>
      <c r="X284" s="609"/>
      <c r="Y284" s="326"/>
      <c r="Z284" s="326"/>
      <c r="AA284" s="327"/>
      <c r="AB284" s="451"/>
      <c r="AC284" s="326"/>
      <c r="AD284" s="327"/>
      <c r="AE284" s="526"/>
      <c r="AF284" s="326"/>
      <c r="AG284" s="327"/>
      <c r="AH284" s="607"/>
      <c r="AI284" s="326"/>
      <c r="AJ284" s="327"/>
      <c r="AK284" s="497"/>
      <c r="AL284" s="326"/>
      <c r="AM284" s="327"/>
      <c r="AN284" s="44"/>
      <c r="AO284" s="45"/>
      <c r="AP284" s="44"/>
      <c r="AQ284" s="45"/>
      <c r="AR284" s="44"/>
      <c r="AS284" s="45"/>
      <c r="AT284" s="44"/>
      <c r="AU284" s="45"/>
      <c r="AV284" s="44"/>
      <c r="AW284" s="45"/>
      <c r="AX284" s="44"/>
      <c r="AY284" s="45"/>
      <c r="AZ284" s="50"/>
      <c r="BA284" s="47"/>
      <c r="BB284" s="50"/>
      <c r="BC284" s="47"/>
      <c r="BD284" s="50"/>
      <c r="BE284" s="47"/>
      <c r="BF284" s="50"/>
      <c r="BG284" s="47"/>
      <c r="BH284" s="50"/>
      <c r="BI284" s="608" t="s">
        <v>303</v>
      </c>
      <c r="BJ284" s="326"/>
      <c r="BK284" s="326"/>
      <c r="BL284" s="326"/>
      <c r="BM284" s="326"/>
      <c r="BN284" s="326"/>
      <c r="BO284" s="326"/>
      <c r="BP284" s="326"/>
      <c r="BQ284" s="326"/>
      <c r="BR284" s="326"/>
      <c r="BS284" s="326"/>
      <c r="BT284" s="326"/>
      <c r="BU284" s="326"/>
      <c r="BV284" s="327"/>
    </row>
    <row r="285" spans="1:74" ht="30" customHeight="1" x14ac:dyDescent="0.25">
      <c r="A285" s="49">
        <f t="shared" si="1"/>
        <v>271</v>
      </c>
      <c r="B285" s="42" t="s">
        <v>334</v>
      </c>
      <c r="C285" s="43"/>
      <c r="D285" s="609"/>
      <c r="E285" s="326"/>
      <c r="F285" s="326"/>
      <c r="G285" s="326"/>
      <c r="H285" s="326"/>
      <c r="I285" s="326"/>
      <c r="J285" s="326"/>
      <c r="K285" s="327"/>
      <c r="L285" s="610"/>
      <c r="M285" s="326"/>
      <c r="N285" s="326"/>
      <c r="O285" s="327"/>
      <c r="P285" s="609"/>
      <c r="Q285" s="326"/>
      <c r="R285" s="326"/>
      <c r="S285" s="327"/>
      <c r="T285" s="610"/>
      <c r="U285" s="326"/>
      <c r="V285" s="326"/>
      <c r="W285" s="327"/>
      <c r="X285" s="609"/>
      <c r="Y285" s="326"/>
      <c r="Z285" s="326"/>
      <c r="AA285" s="327"/>
      <c r="AB285" s="451"/>
      <c r="AC285" s="326"/>
      <c r="AD285" s="327"/>
      <c r="AE285" s="526"/>
      <c r="AF285" s="326"/>
      <c r="AG285" s="327"/>
      <c r="AH285" s="607"/>
      <c r="AI285" s="326"/>
      <c r="AJ285" s="327"/>
      <c r="AK285" s="497"/>
      <c r="AL285" s="326"/>
      <c r="AM285" s="327"/>
      <c r="AN285" s="44"/>
      <c r="AO285" s="45"/>
      <c r="AP285" s="44"/>
      <c r="AQ285" s="45"/>
      <c r="AR285" s="44"/>
      <c r="AS285" s="45"/>
      <c r="AT285" s="44"/>
      <c r="AU285" s="45"/>
      <c r="AV285" s="44"/>
      <c r="AW285" s="45"/>
      <c r="AX285" s="44"/>
      <c r="AY285" s="45"/>
      <c r="AZ285" s="50"/>
      <c r="BA285" s="47"/>
      <c r="BB285" s="50"/>
      <c r="BC285" s="47"/>
      <c r="BD285" s="50"/>
      <c r="BE285" s="47"/>
      <c r="BF285" s="50"/>
      <c r="BG285" s="47"/>
      <c r="BH285" s="50"/>
      <c r="BI285" s="608" t="s">
        <v>303</v>
      </c>
      <c r="BJ285" s="326"/>
      <c r="BK285" s="326"/>
      <c r="BL285" s="326"/>
      <c r="BM285" s="326"/>
      <c r="BN285" s="326"/>
      <c r="BO285" s="326"/>
      <c r="BP285" s="326"/>
      <c r="BQ285" s="326"/>
      <c r="BR285" s="326"/>
      <c r="BS285" s="326"/>
      <c r="BT285" s="326"/>
      <c r="BU285" s="326"/>
      <c r="BV285" s="327"/>
    </row>
    <row r="286" spans="1:74" ht="30" customHeight="1" x14ac:dyDescent="0.25">
      <c r="A286" s="41">
        <f t="shared" si="1"/>
        <v>272</v>
      </c>
      <c r="B286" s="42" t="s">
        <v>334</v>
      </c>
      <c r="C286" s="43"/>
      <c r="D286" s="609"/>
      <c r="E286" s="326"/>
      <c r="F286" s="326"/>
      <c r="G286" s="326"/>
      <c r="H286" s="326"/>
      <c r="I286" s="326"/>
      <c r="J286" s="326"/>
      <c r="K286" s="327"/>
      <c r="L286" s="610"/>
      <c r="M286" s="326"/>
      <c r="N286" s="326"/>
      <c r="O286" s="327"/>
      <c r="P286" s="609"/>
      <c r="Q286" s="326"/>
      <c r="R286" s="326"/>
      <c r="S286" s="327"/>
      <c r="T286" s="610"/>
      <c r="U286" s="326"/>
      <c r="V286" s="326"/>
      <c r="W286" s="327"/>
      <c r="X286" s="609"/>
      <c r="Y286" s="326"/>
      <c r="Z286" s="326"/>
      <c r="AA286" s="327"/>
      <c r="AB286" s="451"/>
      <c r="AC286" s="326"/>
      <c r="AD286" s="327"/>
      <c r="AE286" s="526"/>
      <c r="AF286" s="326"/>
      <c r="AG286" s="327"/>
      <c r="AH286" s="607"/>
      <c r="AI286" s="326"/>
      <c r="AJ286" s="327"/>
      <c r="AK286" s="497"/>
      <c r="AL286" s="326"/>
      <c r="AM286" s="327"/>
      <c r="AN286" s="44"/>
      <c r="AO286" s="45"/>
      <c r="AP286" s="44"/>
      <c r="AQ286" s="45"/>
      <c r="AR286" s="44"/>
      <c r="AS286" s="45"/>
      <c r="AT286" s="44"/>
      <c r="AU286" s="45"/>
      <c r="AV286" s="44"/>
      <c r="AW286" s="45"/>
      <c r="AX286" s="44"/>
      <c r="AY286" s="45"/>
      <c r="AZ286" s="50"/>
      <c r="BA286" s="47"/>
      <c r="BB286" s="50"/>
      <c r="BC286" s="47"/>
      <c r="BD286" s="50"/>
      <c r="BE286" s="47"/>
      <c r="BF286" s="50"/>
      <c r="BG286" s="47"/>
      <c r="BH286" s="50"/>
      <c r="BI286" s="608" t="s">
        <v>307</v>
      </c>
      <c r="BJ286" s="326"/>
      <c r="BK286" s="326"/>
      <c r="BL286" s="326"/>
      <c r="BM286" s="326"/>
      <c r="BN286" s="326"/>
      <c r="BO286" s="326"/>
      <c r="BP286" s="326"/>
      <c r="BQ286" s="326"/>
      <c r="BR286" s="326"/>
      <c r="BS286" s="326"/>
      <c r="BT286" s="326"/>
      <c r="BU286" s="326"/>
      <c r="BV286" s="327"/>
    </row>
    <row r="287" spans="1:74" ht="30" customHeight="1" x14ac:dyDescent="0.25">
      <c r="A287" s="49">
        <f t="shared" si="1"/>
        <v>273</v>
      </c>
      <c r="B287" s="42" t="s">
        <v>334</v>
      </c>
      <c r="C287" s="43"/>
      <c r="D287" s="609"/>
      <c r="E287" s="326"/>
      <c r="F287" s="326"/>
      <c r="G287" s="326"/>
      <c r="H287" s="326"/>
      <c r="I287" s="326"/>
      <c r="J287" s="326"/>
      <c r="K287" s="327"/>
      <c r="L287" s="610"/>
      <c r="M287" s="326"/>
      <c r="N287" s="326"/>
      <c r="O287" s="327"/>
      <c r="P287" s="609"/>
      <c r="Q287" s="326"/>
      <c r="R287" s="326"/>
      <c r="S287" s="327"/>
      <c r="T287" s="610"/>
      <c r="U287" s="326"/>
      <c r="V287" s="326"/>
      <c r="W287" s="327"/>
      <c r="X287" s="609"/>
      <c r="Y287" s="326"/>
      <c r="Z287" s="326"/>
      <c r="AA287" s="327"/>
      <c r="AB287" s="451"/>
      <c r="AC287" s="326"/>
      <c r="AD287" s="327"/>
      <c r="AE287" s="526"/>
      <c r="AF287" s="326"/>
      <c r="AG287" s="327"/>
      <c r="AH287" s="607"/>
      <c r="AI287" s="326"/>
      <c r="AJ287" s="327"/>
      <c r="AK287" s="497"/>
      <c r="AL287" s="326"/>
      <c r="AM287" s="327"/>
      <c r="AN287" s="44"/>
      <c r="AO287" s="45"/>
      <c r="AP287" s="44"/>
      <c r="AQ287" s="45"/>
      <c r="AR287" s="44"/>
      <c r="AS287" s="45"/>
      <c r="AT287" s="44"/>
      <c r="AU287" s="45"/>
      <c r="AV287" s="44"/>
      <c r="AW287" s="45"/>
      <c r="AX287" s="44"/>
      <c r="AY287" s="45"/>
      <c r="AZ287" s="50"/>
      <c r="BA287" s="47"/>
      <c r="BB287" s="50"/>
      <c r="BC287" s="47"/>
      <c r="BD287" s="50"/>
      <c r="BE287" s="47"/>
      <c r="BF287" s="50"/>
      <c r="BG287" s="47"/>
      <c r="BH287" s="50"/>
      <c r="BI287" s="608" t="s">
        <v>307</v>
      </c>
      <c r="BJ287" s="326"/>
      <c r="BK287" s="326"/>
      <c r="BL287" s="326"/>
      <c r="BM287" s="326"/>
      <c r="BN287" s="326"/>
      <c r="BO287" s="326"/>
      <c r="BP287" s="326"/>
      <c r="BQ287" s="326"/>
      <c r="BR287" s="326"/>
      <c r="BS287" s="326"/>
      <c r="BT287" s="326"/>
      <c r="BU287" s="326"/>
      <c r="BV287" s="327"/>
    </row>
    <row r="288" spans="1:74" ht="30" customHeight="1" x14ac:dyDescent="0.25">
      <c r="A288" s="49">
        <f t="shared" si="1"/>
        <v>274</v>
      </c>
      <c r="B288" s="42" t="s">
        <v>334</v>
      </c>
      <c r="C288" s="43"/>
      <c r="D288" s="609"/>
      <c r="E288" s="326"/>
      <c r="F288" s="326"/>
      <c r="G288" s="326"/>
      <c r="H288" s="326"/>
      <c r="I288" s="326"/>
      <c r="J288" s="326"/>
      <c r="K288" s="327"/>
      <c r="L288" s="610"/>
      <c r="M288" s="326"/>
      <c r="N288" s="326"/>
      <c r="O288" s="327"/>
      <c r="P288" s="609"/>
      <c r="Q288" s="326"/>
      <c r="R288" s="326"/>
      <c r="S288" s="327"/>
      <c r="T288" s="610"/>
      <c r="U288" s="326"/>
      <c r="V288" s="326"/>
      <c r="W288" s="327"/>
      <c r="X288" s="609"/>
      <c r="Y288" s="326"/>
      <c r="Z288" s="326"/>
      <c r="AA288" s="327"/>
      <c r="AB288" s="451"/>
      <c r="AC288" s="326"/>
      <c r="AD288" s="327"/>
      <c r="AE288" s="526"/>
      <c r="AF288" s="326"/>
      <c r="AG288" s="327"/>
      <c r="AH288" s="607"/>
      <c r="AI288" s="326"/>
      <c r="AJ288" s="327"/>
      <c r="AK288" s="497"/>
      <c r="AL288" s="326"/>
      <c r="AM288" s="327"/>
      <c r="AN288" s="44"/>
      <c r="AO288" s="45"/>
      <c r="AP288" s="44"/>
      <c r="AQ288" s="45"/>
      <c r="AR288" s="44"/>
      <c r="AS288" s="45"/>
      <c r="AT288" s="44"/>
      <c r="AU288" s="45"/>
      <c r="AV288" s="44"/>
      <c r="AW288" s="45"/>
      <c r="AX288" s="44"/>
      <c r="AY288" s="45"/>
      <c r="AZ288" s="50"/>
      <c r="BA288" s="47"/>
      <c r="BB288" s="50"/>
      <c r="BC288" s="47"/>
      <c r="BD288" s="50"/>
      <c r="BE288" s="47"/>
      <c r="BF288" s="50"/>
      <c r="BG288" s="47"/>
      <c r="BH288" s="50"/>
      <c r="BI288" s="608" t="s">
        <v>307</v>
      </c>
      <c r="BJ288" s="326"/>
      <c r="BK288" s="326"/>
      <c r="BL288" s="326"/>
      <c r="BM288" s="326"/>
      <c r="BN288" s="326"/>
      <c r="BO288" s="326"/>
      <c r="BP288" s="326"/>
      <c r="BQ288" s="326"/>
      <c r="BR288" s="326"/>
      <c r="BS288" s="326"/>
      <c r="BT288" s="326"/>
      <c r="BU288" s="326"/>
      <c r="BV288" s="327"/>
    </row>
    <row r="289" spans="1:74" ht="30" customHeight="1" x14ac:dyDescent="0.25">
      <c r="A289" s="49">
        <f t="shared" si="1"/>
        <v>275</v>
      </c>
      <c r="B289" s="42" t="s">
        <v>334</v>
      </c>
      <c r="C289" s="43"/>
      <c r="D289" s="609"/>
      <c r="E289" s="326"/>
      <c r="F289" s="326"/>
      <c r="G289" s="326"/>
      <c r="H289" s="326"/>
      <c r="I289" s="326"/>
      <c r="J289" s="326"/>
      <c r="K289" s="327"/>
      <c r="L289" s="610"/>
      <c r="M289" s="326"/>
      <c r="N289" s="326"/>
      <c r="O289" s="327"/>
      <c r="P289" s="609"/>
      <c r="Q289" s="326"/>
      <c r="R289" s="326"/>
      <c r="S289" s="327"/>
      <c r="T289" s="610"/>
      <c r="U289" s="326"/>
      <c r="V289" s="326"/>
      <c r="W289" s="327"/>
      <c r="X289" s="609"/>
      <c r="Y289" s="326"/>
      <c r="Z289" s="326"/>
      <c r="AA289" s="327"/>
      <c r="AB289" s="451"/>
      <c r="AC289" s="326"/>
      <c r="AD289" s="327"/>
      <c r="AE289" s="526"/>
      <c r="AF289" s="326"/>
      <c r="AG289" s="327"/>
      <c r="AH289" s="607"/>
      <c r="AI289" s="326"/>
      <c r="AJ289" s="327"/>
      <c r="AK289" s="497"/>
      <c r="AL289" s="326"/>
      <c r="AM289" s="327"/>
      <c r="AN289" s="44"/>
      <c r="AO289" s="45"/>
      <c r="AP289" s="44"/>
      <c r="AQ289" s="45"/>
      <c r="AR289" s="44"/>
      <c r="AS289" s="45"/>
      <c r="AT289" s="44"/>
      <c r="AU289" s="45"/>
      <c r="AV289" s="44"/>
      <c r="AW289" s="45"/>
      <c r="AX289" s="44"/>
      <c r="AY289" s="45"/>
      <c r="AZ289" s="50"/>
      <c r="BA289" s="47"/>
      <c r="BB289" s="50"/>
      <c r="BC289" s="47"/>
      <c r="BD289" s="50"/>
      <c r="BE289" s="47"/>
      <c r="BF289" s="50"/>
      <c r="BG289" s="47"/>
      <c r="BH289" s="50"/>
      <c r="BI289" s="608" t="s">
        <v>307</v>
      </c>
      <c r="BJ289" s="326"/>
      <c r="BK289" s="326"/>
      <c r="BL289" s="326"/>
      <c r="BM289" s="326"/>
      <c r="BN289" s="326"/>
      <c r="BO289" s="326"/>
      <c r="BP289" s="326"/>
      <c r="BQ289" s="326"/>
      <c r="BR289" s="326"/>
      <c r="BS289" s="326"/>
      <c r="BT289" s="326"/>
      <c r="BU289" s="326"/>
      <c r="BV289" s="327"/>
    </row>
    <row r="290" spans="1:74" ht="30" customHeight="1" x14ac:dyDescent="0.25">
      <c r="A290" s="49">
        <f t="shared" si="1"/>
        <v>276</v>
      </c>
      <c r="B290" s="42" t="s">
        <v>334</v>
      </c>
      <c r="C290" s="43"/>
      <c r="D290" s="609"/>
      <c r="E290" s="326"/>
      <c r="F290" s="326"/>
      <c r="G290" s="326"/>
      <c r="H290" s="326"/>
      <c r="I290" s="326"/>
      <c r="J290" s="326"/>
      <c r="K290" s="327"/>
      <c r="L290" s="610"/>
      <c r="M290" s="326"/>
      <c r="N290" s="326"/>
      <c r="O290" s="327"/>
      <c r="P290" s="609"/>
      <c r="Q290" s="326"/>
      <c r="R290" s="326"/>
      <c r="S290" s="327"/>
      <c r="T290" s="610"/>
      <c r="U290" s="326"/>
      <c r="V290" s="326"/>
      <c r="W290" s="327"/>
      <c r="X290" s="609"/>
      <c r="Y290" s="326"/>
      <c r="Z290" s="326"/>
      <c r="AA290" s="327"/>
      <c r="AB290" s="451"/>
      <c r="AC290" s="326"/>
      <c r="AD290" s="327"/>
      <c r="AE290" s="526"/>
      <c r="AF290" s="326"/>
      <c r="AG290" s="327"/>
      <c r="AH290" s="607"/>
      <c r="AI290" s="326"/>
      <c r="AJ290" s="327"/>
      <c r="AK290" s="497"/>
      <c r="AL290" s="326"/>
      <c r="AM290" s="327"/>
      <c r="AN290" s="44"/>
      <c r="AO290" s="45"/>
      <c r="AP290" s="44"/>
      <c r="AQ290" s="45"/>
      <c r="AR290" s="44"/>
      <c r="AS290" s="45"/>
      <c r="AT290" s="44"/>
      <c r="AU290" s="45"/>
      <c r="AV290" s="44"/>
      <c r="AW290" s="45"/>
      <c r="AX290" s="44"/>
      <c r="AY290" s="45"/>
      <c r="AZ290" s="50"/>
      <c r="BA290" s="47"/>
      <c r="BB290" s="50"/>
      <c r="BC290" s="47"/>
      <c r="BD290" s="50"/>
      <c r="BE290" s="47"/>
      <c r="BF290" s="50"/>
      <c r="BG290" s="47"/>
      <c r="BH290" s="50"/>
      <c r="BI290" s="608" t="s">
        <v>307</v>
      </c>
      <c r="BJ290" s="326"/>
      <c r="BK290" s="326"/>
      <c r="BL290" s="326"/>
      <c r="BM290" s="326"/>
      <c r="BN290" s="326"/>
      <c r="BO290" s="326"/>
      <c r="BP290" s="326"/>
      <c r="BQ290" s="326"/>
      <c r="BR290" s="326"/>
      <c r="BS290" s="326"/>
      <c r="BT290" s="326"/>
      <c r="BU290" s="326"/>
      <c r="BV290" s="327"/>
    </row>
    <row r="291" spans="1:74" ht="30" customHeight="1" x14ac:dyDescent="0.25">
      <c r="A291" s="49">
        <f t="shared" si="1"/>
        <v>277</v>
      </c>
      <c r="B291" s="42" t="s">
        <v>334</v>
      </c>
      <c r="C291" s="43"/>
      <c r="D291" s="609"/>
      <c r="E291" s="326"/>
      <c r="F291" s="326"/>
      <c r="G291" s="326"/>
      <c r="H291" s="326"/>
      <c r="I291" s="326"/>
      <c r="J291" s="326"/>
      <c r="K291" s="327"/>
      <c r="L291" s="610"/>
      <c r="M291" s="326"/>
      <c r="N291" s="326"/>
      <c r="O291" s="327"/>
      <c r="P291" s="609"/>
      <c r="Q291" s="326"/>
      <c r="R291" s="326"/>
      <c r="S291" s="327"/>
      <c r="T291" s="610"/>
      <c r="U291" s="326"/>
      <c r="V291" s="326"/>
      <c r="W291" s="327"/>
      <c r="X291" s="609"/>
      <c r="Y291" s="326"/>
      <c r="Z291" s="326"/>
      <c r="AA291" s="327"/>
      <c r="AB291" s="451"/>
      <c r="AC291" s="326"/>
      <c r="AD291" s="327"/>
      <c r="AE291" s="526"/>
      <c r="AF291" s="326"/>
      <c r="AG291" s="327"/>
      <c r="AH291" s="607"/>
      <c r="AI291" s="326"/>
      <c r="AJ291" s="327"/>
      <c r="AK291" s="497"/>
      <c r="AL291" s="326"/>
      <c r="AM291" s="327"/>
      <c r="AN291" s="44"/>
      <c r="AO291" s="45"/>
      <c r="AP291" s="44"/>
      <c r="AQ291" s="45"/>
      <c r="AR291" s="44"/>
      <c r="AS291" s="45"/>
      <c r="AT291" s="44"/>
      <c r="AU291" s="45"/>
      <c r="AV291" s="44"/>
      <c r="AW291" s="45"/>
      <c r="AX291" s="44"/>
      <c r="AY291" s="45"/>
      <c r="AZ291" s="50"/>
      <c r="BA291" s="47"/>
      <c r="BB291" s="50"/>
      <c r="BC291" s="47"/>
      <c r="BD291" s="50"/>
      <c r="BE291" s="47"/>
      <c r="BF291" s="50"/>
      <c r="BG291" s="47"/>
      <c r="BH291" s="50"/>
      <c r="BI291" s="608" t="s">
        <v>303</v>
      </c>
      <c r="BJ291" s="326"/>
      <c r="BK291" s="326"/>
      <c r="BL291" s="326"/>
      <c r="BM291" s="326"/>
      <c r="BN291" s="326"/>
      <c r="BO291" s="326"/>
      <c r="BP291" s="326"/>
      <c r="BQ291" s="326"/>
      <c r="BR291" s="326"/>
      <c r="BS291" s="326"/>
      <c r="BT291" s="326"/>
      <c r="BU291" s="326"/>
      <c r="BV291" s="327"/>
    </row>
    <row r="292" spans="1:74" ht="30" customHeight="1" x14ac:dyDescent="0.25">
      <c r="A292" s="49">
        <f t="shared" si="1"/>
        <v>278</v>
      </c>
      <c r="B292" s="42" t="s">
        <v>334</v>
      </c>
      <c r="C292" s="43"/>
      <c r="D292" s="609"/>
      <c r="E292" s="326"/>
      <c r="F292" s="326"/>
      <c r="G292" s="326"/>
      <c r="H292" s="326"/>
      <c r="I292" s="326"/>
      <c r="J292" s="326"/>
      <c r="K292" s="327"/>
      <c r="L292" s="610"/>
      <c r="M292" s="326"/>
      <c r="N292" s="326"/>
      <c r="O292" s="327"/>
      <c r="P292" s="609"/>
      <c r="Q292" s="326"/>
      <c r="R292" s="326"/>
      <c r="S292" s="327"/>
      <c r="T292" s="610"/>
      <c r="U292" s="326"/>
      <c r="V292" s="326"/>
      <c r="W292" s="327"/>
      <c r="X292" s="609"/>
      <c r="Y292" s="326"/>
      <c r="Z292" s="326"/>
      <c r="AA292" s="327"/>
      <c r="AB292" s="451"/>
      <c r="AC292" s="326"/>
      <c r="AD292" s="327"/>
      <c r="AE292" s="526"/>
      <c r="AF292" s="326"/>
      <c r="AG292" s="327"/>
      <c r="AH292" s="607"/>
      <c r="AI292" s="326"/>
      <c r="AJ292" s="327"/>
      <c r="AK292" s="497"/>
      <c r="AL292" s="326"/>
      <c r="AM292" s="327"/>
      <c r="AN292" s="44"/>
      <c r="AO292" s="45"/>
      <c r="AP292" s="44"/>
      <c r="AQ292" s="45"/>
      <c r="AR292" s="44"/>
      <c r="AS292" s="45"/>
      <c r="AT292" s="44"/>
      <c r="AU292" s="45"/>
      <c r="AV292" s="44"/>
      <c r="AW292" s="45"/>
      <c r="AX292" s="44"/>
      <c r="AY292" s="45"/>
      <c r="AZ292" s="50"/>
      <c r="BA292" s="47"/>
      <c r="BB292" s="50"/>
      <c r="BC292" s="47"/>
      <c r="BD292" s="50"/>
      <c r="BE292" s="47"/>
      <c r="BF292" s="50"/>
      <c r="BG292" s="47"/>
      <c r="BH292" s="50"/>
      <c r="BI292" s="608" t="s">
        <v>303</v>
      </c>
      <c r="BJ292" s="326"/>
      <c r="BK292" s="326"/>
      <c r="BL292" s="326"/>
      <c r="BM292" s="326"/>
      <c r="BN292" s="326"/>
      <c r="BO292" s="326"/>
      <c r="BP292" s="326"/>
      <c r="BQ292" s="326"/>
      <c r="BR292" s="326"/>
      <c r="BS292" s="326"/>
      <c r="BT292" s="326"/>
      <c r="BU292" s="326"/>
      <c r="BV292" s="327"/>
    </row>
    <row r="293" spans="1:74" ht="30" customHeight="1" x14ac:dyDescent="0.25">
      <c r="A293" s="41">
        <f t="shared" si="1"/>
        <v>279</v>
      </c>
      <c r="B293" s="42" t="s">
        <v>334</v>
      </c>
      <c r="C293" s="43"/>
      <c r="D293" s="609"/>
      <c r="E293" s="326"/>
      <c r="F293" s="326"/>
      <c r="G293" s="326"/>
      <c r="H293" s="326"/>
      <c r="I293" s="326"/>
      <c r="J293" s="326"/>
      <c r="K293" s="327"/>
      <c r="L293" s="610"/>
      <c r="M293" s="326"/>
      <c r="N293" s="326"/>
      <c r="O293" s="327"/>
      <c r="P293" s="609"/>
      <c r="Q293" s="326"/>
      <c r="R293" s="326"/>
      <c r="S293" s="327"/>
      <c r="T293" s="610"/>
      <c r="U293" s="326"/>
      <c r="V293" s="326"/>
      <c r="W293" s="327"/>
      <c r="X293" s="609"/>
      <c r="Y293" s="326"/>
      <c r="Z293" s="326"/>
      <c r="AA293" s="327"/>
      <c r="AB293" s="451"/>
      <c r="AC293" s="326"/>
      <c r="AD293" s="327"/>
      <c r="AE293" s="526"/>
      <c r="AF293" s="326"/>
      <c r="AG293" s="327"/>
      <c r="AH293" s="607"/>
      <c r="AI293" s="326"/>
      <c r="AJ293" s="327"/>
      <c r="AK293" s="497"/>
      <c r="AL293" s="326"/>
      <c r="AM293" s="327"/>
      <c r="AN293" s="44"/>
      <c r="AO293" s="45"/>
      <c r="AP293" s="44"/>
      <c r="AQ293" s="45"/>
      <c r="AR293" s="44"/>
      <c r="AS293" s="45"/>
      <c r="AT293" s="44"/>
      <c r="AU293" s="45"/>
      <c r="AV293" s="44"/>
      <c r="AW293" s="45"/>
      <c r="AX293" s="44"/>
      <c r="AY293" s="45"/>
      <c r="AZ293" s="50"/>
      <c r="BA293" s="47"/>
      <c r="BB293" s="50"/>
      <c r="BC293" s="47"/>
      <c r="BD293" s="50"/>
      <c r="BE293" s="47"/>
      <c r="BF293" s="50"/>
      <c r="BG293" s="47"/>
      <c r="BH293" s="50"/>
      <c r="BI293" s="608" t="s">
        <v>307</v>
      </c>
      <c r="BJ293" s="326"/>
      <c r="BK293" s="326"/>
      <c r="BL293" s="326"/>
      <c r="BM293" s="326"/>
      <c r="BN293" s="326"/>
      <c r="BO293" s="326"/>
      <c r="BP293" s="326"/>
      <c r="BQ293" s="326"/>
      <c r="BR293" s="326"/>
      <c r="BS293" s="326"/>
      <c r="BT293" s="326"/>
      <c r="BU293" s="326"/>
      <c r="BV293" s="327"/>
    </row>
    <row r="294" spans="1:74" ht="30" customHeight="1" x14ac:dyDescent="0.25">
      <c r="A294" s="49">
        <f t="shared" si="1"/>
        <v>280</v>
      </c>
      <c r="B294" s="42" t="s">
        <v>334</v>
      </c>
      <c r="C294" s="43"/>
      <c r="D294" s="609"/>
      <c r="E294" s="326"/>
      <c r="F294" s="326"/>
      <c r="G294" s="326"/>
      <c r="H294" s="326"/>
      <c r="I294" s="326"/>
      <c r="J294" s="326"/>
      <c r="K294" s="327"/>
      <c r="L294" s="610"/>
      <c r="M294" s="326"/>
      <c r="N294" s="326"/>
      <c r="O294" s="327"/>
      <c r="P294" s="609"/>
      <c r="Q294" s="326"/>
      <c r="R294" s="326"/>
      <c r="S294" s="327"/>
      <c r="T294" s="610"/>
      <c r="U294" s="326"/>
      <c r="V294" s="326"/>
      <c r="W294" s="327"/>
      <c r="X294" s="609"/>
      <c r="Y294" s="326"/>
      <c r="Z294" s="326"/>
      <c r="AA294" s="327"/>
      <c r="AB294" s="451"/>
      <c r="AC294" s="326"/>
      <c r="AD294" s="327"/>
      <c r="AE294" s="526"/>
      <c r="AF294" s="326"/>
      <c r="AG294" s="327"/>
      <c r="AH294" s="607"/>
      <c r="AI294" s="326"/>
      <c r="AJ294" s="327"/>
      <c r="AK294" s="497"/>
      <c r="AL294" s="326"/>
      <c r="AM294" s="327"/>
      <c r="AN294" s="44"/>
      <c r="AO294" s="45"/>
      <c r="AP294" s="44"/>
      <c r="AQ294" s="45"/>
      <c r="AR294" s="44"/>
      <c r="AS294" s="45"/>
      <c r="AT294" s="44"/>
      <c r="AU294" s="45"/>
      <c r="AV294" s="44"/>
      <c r="AW294" s="45"/>
      <c r="AX294" s="44"/>
      <c r="AY294" s="45"/>
      <c r="AZ294" s="50"/>
      <c r="BA294" s="47"/>
      <c r="BB294" s="50"/>
      <c r="BC294" s="47"/>
      <c r="BD294" s="50"/>
      <c r="BE294" s="47"/>
      <c r="BF294" s="50"/>
      <c r="BG294" s="47"/>
      <c r="BH294" s="50"/>
      <c r="BI294" s="608" t="s">
        <v>307</v>
      </c>
      <c r="BJ294" s="326"/>
      <c r="BK294" s="326"/>
      <c r="BL294" s="326"/>
      <c r="BM294" s="326"/>
      <c r="BN294" s="326"/>
      <c r="BO294" s="326"/>
      <c r="BP294" s="326"/>
      <c r="BQ294" s="326"/>
      <c r="BR294" s="326"/>
      <c r="BS294" s="326"/>
      <c r="BT294" s="326"/>
      <c r="BU294" s="326"/>
      <c r="BV294" s="327"/>
    </row>
    <row r="295" spans="1:74" ht="30" customHeight="1" x14ac:dyDescent="0.25">
      <c r="A295" s="49">
        <f t="shared" si="1"/>
        <v>281</v>
      </c>
      <c r="B295" s="42" t="s">
        <v>334</v>
      </c>
      <c r="C295" s="43"/>
      <c r="D295" s="609"/>
      <c r="E295" s="326"/>
      <c r="F295" s="326"/>
      <c r="G295" s="326"/>
      <c r="H295" s="326"/>
      <c r="I295" s="326"/>
      <c r="J295" s="326"/>
      <c r="K295" s="327"/>
      <c r="L295" s="610"/>
      <c r="M295" s="326"/>
      <c r="N295" s="326"/>
      <c r="O295" s="327"/>
      <c r="P295" s="609"/>
      <c r="Q295" s="326"/>
      <c r="R295" s="326"/>
      <c r="S295" s="327"/>
      <c r="T295" s="610"/>
      <c r="U295" s="326"/>
      <c r="V295" s="326"/>
      <c r="W295" s="327"/>
      <c r="X295" s="609"/>
      <c r="Y295" s="326"/>
      <c r="Z295" s="326"/>
      <c r="AA295" s="327"/>
      <c r="AB295" s="451"/>
      <c r="AC295" s="326"/>
      <c r="AD295" s="327"/>
      <c r="AE295" s="526"/>
      <c r="AF295" s="326"/>
      <c r="AG295" s="327"/>
      <c r="AH295" s="607"/>
      <c r="AI295" s="326"/>
      <c r="AJ295" s="327"/>
      <c r="AK295" s="497"/>
      <c r="AL295" s="326"/>
      <c r="AM295" s="327"/>
      <c r="AN295" s="44"/>
      <c r="AO295" s="45"/>
      <c r="AP295" s="44"/>
      <c r="AQ295" s="45"/>
      <c r="AR295" s="44"/>
      <c r="AS295" s="45"/>
      <c r="AT295" s="44"/>
      <c r="AU295" s="45"/>
      <c r="AV295" s="44"/>
      <c r="AW295" s="45"/>
      <c r="AX295" s="44"/>
      <c r="AY295" s="45"/>
      <c r="AZ295" s="50"/>
      <c r="BA295" s="47"/>
      <c r="BB295" s="50"/>
      <c r="BC295" s="47"/>
      <c r="BD295" s="50"/>
      <c r="BE295" s="47"/>
      <c r="BF295" s="50"/>
      <c r="BG295" s="47"/>
      <c r="BH295" s="50"/>
      <c r="BI295" s="608" t="s">
        <v>307</v>
      </c>
      <c r="BJ295" s="326"/>
      <c r="BK295" s="326"/>
      <c r="BL295" s="326"/>
      <c r="BM295" s="326"/>
      <c r="BN295" s="326"/>
      <c r="BO295" s="326"/>
      <c r="BP295" s="326"/>
      <c r="BQ295" s="326"/>
      <c r="BR295" s="326"/>
      <c r="BS295" s="326"/>
      <c r="BT295" s="326"/>
      <c r="BU295" s="326"/>
      <c r="BV295" s="327"/>
    </row>
    <row r="296" spans="1:74" ht="30" customHeight="1" x14ac:dyDescent="0.25">
      <c r="A296" s="49">
        <f t="shared" si="1"/>
        <v>282</v>
      </c>
      <c r="B296" s="42" t="s">
        <v>334</v>
      </c>
      <c r="C296" s="43"/>
      <c r="D296" s="609"/>
      <c r="E296" s="326"/>
      <c r="F296" s="326"/>
      <c r="G296" s="326"/>
      <c r="H296" s="326"/>
      <c r="I296" s="326"/>
      <c r="J296" s="326"/>
      <c r="K296" s="327"/>
      <c r="L296" s="610"/>
      <c r="M296" s="326"/>
      <c r="N296" s="326"/>
      <c r="O296" s="327"/>
      <c r="P296" s="609"/>
      <c r="Q296" s="326"/>
      <c r="R296" s="326"/>
      <c r="S296" s="327"/>
      <c r="T296" s="610"/>
      <c r="U296" s="326"/>
      <c r="V296" s="326"/>
      <c r="W296" s="327"/>
      <c r="X296" s="609"/>
      <c r="Y296" s="326"/>
      <c r="Z296" s="326"/>
      <c r="AA296" s="327"/>
      <c r="AB296" s="451"/>
      <c r="AC296" s="326"/>
      <c r="AD296" s="327"/>
      <c r="AE296" s="526"/>
      <c r="AF296" s="326"/>
      <c r="AG296" s="327"/>
      <c r="AH296" s="607"/>
      <c r="AI296" s="326"/>
      <c r="AJ296" s="327"/>
      <c r="AK296" s="497"/>
      <c r="AL296" s="326"/>
      <c r="AM296" s="327"/>
      <c r="AN296" s="44"/>
      <c r="AO296" s="45"/>
      <c r="AP296" s="44"/>
      <c r="AQ296" s="45"/>
      <c r="AR296" s="44"/>
      <c r="AS296" s="45"/>
      <c r="AT296" s="44"/>
      <c r="AU296" s="45"/>
      <c r="AV296" s="44"/>
      <c r="AW296" s="45"/>
      <c r="AX296" s="44"/>
      <c r="AY296" s="45"/>
      <c r="AZ296" s="50"/>
      <c r="BA296" s="47"/>
      <c r="BB296" s="50"/>
      <c r="BC296" s="47"/>
      <c r="BD296" s="50"/>
      <c r="BE296" s="47"/>
      <c r="BF296" s="50"/>
      <c r="BG296" s="47"/>
      <c r="BH296" s="50"/>
      <c r="BI296" s="608" t="s">
        <v>307</v>
      </c>
      <c r="BJ296" s="326"/>
      <c r="BK296" s="326"/>
      <c r="BL296" s="326"/>
      <c r="BM296" s="326"/>
      <c r="BN296" s="326"/>
      <c r="BO296" s="326"/>
      <c r="BP296" s="326"/>
      <c r="BQ296" s="326"/>
      <c r="BR296" s="326"/>
      <c r="BS296" s="326"/>
      <c r="BT296" s="326"/>
      <c r="BU296" s="326"/>
      <c r="BV296" s="327"/>
    </row>
    <row r="297" spans="1:74" ht="30" customHeight="1" x14ac:dyDescent="0.25">
      <c r="A297" s="49">
        <f t="shared" si="1"/>
        <v>283</v>
      </c>
      <c r="B297" s="42" t="s">
        <v>334</v>
      </c>
      <c r="C297" s="43"/>
      <c r="D297" s="609"/>
      <c r="E297" s="326"/>
      <c r="F297" s="326"/>
      <c r="G297" s="326"/>
      <c r="H297" s="326"/>
      <c r="I297" s="326"/>
      <c r="J297" s="326"/>
      <c r="K297" s="327"/>
      <c r="L297" s="610"/>
      <c r="M297" s="326"/>
      <c r="N297" s="326"/>
      <c r="O297" s="327"/>
      <c r="P297" s="609"/>
      <c r="Q297" s="326"/>
      <c r="R297" s="326"/>
      <c r="S297" s="327"/>
      <c r="T297" s="610"/>
      <c r="U297" s="326"/>
      <c r="V297" s="326"/>
      <c r="W297" s="327"/>
      <c r="X297" s="609"/>
      <c r="Y297" s="326"/>
      <c r="Z297" s="326"/>
      <c r="AA297" s="327"/>
      <c r="AB297" s="451"/>
      <c r="AC297" s="326"/>
      <c r="AD297" s="327"/>
      <c r="AE297" s="526"/>
      <c r="AF297" s="326"/>
      <c r="AG297" s="327"/>
      <c r="AH297" s="607"/>
      <c r="AI297" s="326"/>
      <c r="AJ297" s="327"/>
      <c r="AK297" s="497"/>
      <c r="AL297" s="326"/>
      <c r="AM297" s="327"/>
      <c r="AN297" s="44"/>
      <c r="AO297" s="45"/>
      <c r="AP297" s="44"/>
      <c r="AQ297" s="45"/>
      <c r="AR297" s="44"/>
      <c r="AS297" s="45"/>
      <c r="AT297" s="44"/>
      <c r="AU297" s="45"/>
      <c r="AV297" s="44"/>
      <c r="AW297" s="45"/>
      <c r="AX297" s="44"/>
      <c r="AY297" s="45"/>
      <c r="AZ297" s="50"/>
      <c r="BA297" s="47"/>
      <c r="BB297" s="50"/>
      <c r="BC297" s="47"/>
      <c r="BD297" s="50"/>
      <c r="BE297" s="47"/>
      <c r="BF297" s="50"/>
      <c r="BG297" s="47"/>
      <c r="BH297" s="50"/>
      <c r="BI297" s="608" t="s">
        <v>307</v>
      </c>
      <c r="BJ297" s="326"/>
      <c r="BK297" s="326"/>
      <c r="BL297" s="326"/>
      <c r="BM297" s="326"/>
      <c r="BN297" s="326"/>
      <c r="BO297" s="326"/>
      <c r="BP297" s="326"/>
      <c r="BQ297" s="326"/>
      <c r="BR297" s="326"/>
      <c r="BS297" s="326"/>
      <c r="BT297" s="326"/>
      <c r="BU297" s="326"/>
      <c r="BV297" s="327"/>
    </row>
    <row r="298" spans="1:74" ht="30" customHeight="1" x14ac:dyDescent="0.25">
      <c r="A298" s="49">
        <f t="shared" si="1"/>
        <v>284</v>
      </c>
      <c r="B298" s="42" t="s">
        <v>334</v>
      </c>
      <c r="C298" s="43"/>
      <c r="D298" s="609"/>
      <c r="E298" s="326"/>
      <c r="F298" s="326"/>
      <c r="G298" s="326"/>
      <c r="H298" s="326"/>
      <c r="I298" s="326"/>
      <c r="J298" s="326"/>
      <c r="K298" s="327"/>
      <c r="L298" s="610"/>
      <c r="M298" s="326"/>
      <c r="N298" s="326"/>
      <c r="O298" s="327"/>
      <c r="P298" s="609"/>
      <c r="Q298" s="326"/>
      <c r="R298" s="326"/>
      <c r="S298" s="327"/>
      <c r="T298" s="610"/>
      <c r="U298" s="326"/>
      <c r="V298" s="326"/>
      <c r="W298" s="327"/>
      <c r="X298" s="609"/>
      <c r="Y298" s="326"/>
      <c r="Z298" s="326"/>
      <c r="AA298" s="327"/>
      <c r="AB298" s="451"/>
      <c r="AC298" s="326"/>
      <c r="AD298" s="327"/>
      <c r="AE298" s="526"/>
      <c r="AF298" s="326"/>
      <c r="AG298" s="327"/>
      <c r="AH298" s="607"/>
      <c r="AI298" s="326"/>
      <c r="AJ298" s="327"/>
      <c r="AK298" s="497"/>
      <c r="AL298" s="326"/>
      <c r="AM298" s="327"/>
      <c r="AN298" s="44"/>
      <c r="AO298" s="45"/>
      <c r="AP298" s="44"/>
      <c r="AQ298" s="45"/>
      <c r="AR298" s="44"/>
      <c r="AS298" s="45"/>
      <c r="AT298" s="44"/>
      <c r="AU298" s="45"/>
      <c r="AV298" s="44"/>
      <c r="AW298" s="45"/>
      <c r="AX298" s="44"/>
      <c r="AY298" s="45"/>
      <c r="AZ298" s="50"/>
      <c r="BA298" s="47"/>
      <c r="BB298" s="50"/>
      <c r="BC298" s="47"/>
      <c r="BD298" s="50"/>
      <c r="BE298" s="47"/>
      <c r="BF298" s="50"/>
      <c r="BG298" s="47"/>
      <c r="BH298" s="50"/>
      <c r="BI298" s="608" t="s">
        <v>303</v>
      </c>
      <c r="BJ298" s="326"/>
      <c r="BK298" s="326"/>
      <c r="BL298" s="326"/>
      <c r="BM298" s="326"/>
      <c r="BN298" s="326"/>
      <c r="BO298" s="326"/>
      <c r="BP298" s="326"/>
      <c r="BQ298" s="326"/>
      <c r="BR298" s="326"/>
      <c r="BS298" s="326"/>
      <c r="BT298" s="326"/>
      <c r="BU298" s="326"/>
      <c r="BV298" s="327"/>
    </row>
    <row r="299" spans="1:74" ht="30" customHeight="1" x14ac:dyDescent="0.25">
      <c r="A299" s="49">
        <f t="shared" si="1"/>
        <v>285</v>
      </c>
      <c r="B299" s="42" t="s">
        <v>334</v>
      </c>
      <c r="C299" s="43"/>
      <c r="D299" s="609"/>
      <c r="E299" s="326"/>
      <c r="F299" s="326"/>
      <c r="G299" s="326"/>
      <c r="H299" s="326"/>
      <c r="I299" s="326"/>
      <c r="J299" s="326"/>
      <c r="K299" s="327"/>
      <c r="L299" s="610"/>
      <c r="M299" s="326"/>
      <c r="N299" s="326"/>
      <c r="O299" s="327"/>
      <c r="P299" s="609"/>
      <c r="Q299" s="326"/>
      <c r="R299" s="326"/>
      <c r="S299" s="327"/>
      <c r="T299" s="610"/>
      <c r="U299" s="326"/>
      <c r="V299" s="326"/>
      <c r="W299" s="327"/>
      <c r="X299" s="609"/>
      <c r="Y299" s="326"/>
      <c r="Z299" s="326"/>
      <c r="AA299" s="327"/>
      <c r="AB299" s="451"/>
      <c r="AC299" s="326"/>
      <c r="AD299" s="327"/>
      <c r="AE299" s="526"/>
      <c r="AF299" s="326"/>
      <c r="AG299" s="327"/>
      <c r="AH299" s="607"/>
      <c r="AI299" s="326"/>
      <c r="AJ299" s="327"/>
      <c r="AK299" s="497"/>
      <c r="AL299" s="326"/>
      <c r="AM299" s="327"/>
      <c r="AN299" s="44"/>
      <c r="AO299" s="45"/>
      <c r="AP299" s="44"/>
      <c r="AQ299" s="45"/>
      <c r="AR299" s="44"/>
      <c r="AS299" s="45"/>
      <c r="AT299" s="44"/>
      <c r="AU299" s="45"/>
      <c r="AV299" s="44"/>
      <c r="AW299" s="45"/>
      <c r="AX299" s="44"/>
      <c r="AY299" s="45"/>
      <c r="AZ299" s="50"/>
      <c r="BA299" s="47"/>
      <c r="BB299" s="50"/>
      <c r="BC299" s="47"/>
      <c r="BD299" s="50"/>
      <c r="BE299" s="47"/>
      <c r="BF299" s="50"/>
      <c r="BG299" s="47"/>
      <c r="BH299" s="50"/>
      <c r="BI299" s="608" t="s">
        <v>303</v>
      </c>
      <c r="BJ299" s="326"/>
      <c r="BK299" s="326"/>
      <c r="BL299" s="326"/>
      <c r="BM299" s="326"/>
      <c r="BN299" s="326"/>
      <c r="BO299" s="326"/>
      <c r="BP299" s="326"/>
      <c r="BQ299" s="326"/>
      <c r="BR299" s="326"/>
      <c r="BS299" s="326"/>
      <c r="BT299" s="326"/>
      <c r="BU299" s="326"/>
      <c r="BV299" s="327"/>
    </row>
    <row r="300" spans="1:74" ht="30" customHeight="1" x14ac:dyDescent="0.25">
      <c r="A300" s="41">
        <f t="shared" si="1"/>
        <v>286</v>
      </c>
      <c r="B300" s="42" t="s">
        <v>334</v>
      </c>
      <c r="C300" s="43"/>
      <c r="D300" s="609"/>
      <c r="E300" s="326"/>
      <c r="F300" s="326"/>
      <c r="G300" s="326"/>
      <c r="H300" s="326"/>
      <c r="I300" s="326"/>
      <c r="J300" s="326"/>
      <c r="K300" s="327"/>
      <c r="L300" s="610"/>
      <c r="M300" s="326"/>
      <c r="N300" s="326"/>
      <c r="O300" s="327"/>
      <c r="P300" s="609"/>
      <c r="Q300" s="326"/>
      <c r="R300" s="326"/>
      <c r="S300" s="327"/>
      <c r="T300" s="610"/>
      <c r="U300" s="326"/>
      <c r="V300" s="326"/>
      <c r="W300" s="327"/>
      <c r="X300" s="609"/>
      <c r="Y300" s="326"/>
      <c r="Z300" s="326"/>
      <c r="AA300" s="327"/>
      <c r="AB300" s="451"/>
      <c r="AC300" s="326"/>
      <c r="AD300" s="327"/>
      <c r="AE300" s="526"/>
      <c r="AF300" s="326"/>
      <c r="AG300" s="327"/>
      <c r="AH300" s="607"/>
      <c r="AI300" s="326"/>
      <c r="AJ300" s="327"/>
      <c r="AK300" s="497"/>
      <c r="AL300" s="326"/>
      <c r="AM300" s="327"/>
      <c r="AN300" s="44"/>
      <c r="AO300" s="45"/>
      <c r="AP300" s="44"/>
      <c r="AQ300" s="45"/>
      <c r="AR300" s="44"/>
      <c r="AS300" s="45"/>
      <c r="AT300" s="44"/>
      <c r="AU300" s="45"/>
      <c r="AV300" s="44"/>
      <c r="AW300" s="45"/>
      <c r="AX300" s="44"/>
      <c r="AY300" s="45"/>
      <c r="AZ300" s="50"/>
      <c r="BA300" s="47"/>
      <c r="BB300" s="50"/>
      <c r="BC300" s="47"/>
      <c r="BD300" s="50"/>
      <c r="BE300" s="47"/>
      <c r="BF300" s="50"/>
      <c r="BG300" s="47"/>
      <c r="BH300" s="50"/>
      <c r="BI300" s="608" t="s">
        <v>307</v>
      </c>
      <c r="BJ300" s="326"/>
      <c r="BK300" s="326"/>
      <c r="BL300" s="326"/>
      <c r="BM300" s="326"/>
      <c r="BN300" s="326"/>
      <c r="BO300" s="326"/>
      <c r="BP300" s="326"/>
      <c r="BQ300" s="326"/>
      <c r="BR300" s="326"/>
      <c r="BS300" s="326"/>
      <c r="BT300" s="326"/>
      <c r="BU300" s="326"/>
      <c r="BV300" s="327"/>
    </row>
    <row r="301" spans="1:74" ht="30" customHeight="1" x14ac:dyDescent="0.25">
      <c r="A301" s="49">
        <f t="shared" si="1"/>
        <v>287</v>
      </c>
      <c r="B301" s="42" t="s">
        <v>334</v>
      </c>
      <c r="C301" s="43"/>
      <c r="D301" s="609"/>
      <c r="E301" s="326"/>
      <c r="F301" s="326"/>
      <c r="G301" s="326"/>
      <c r="H301" s="326"/>
      <c r="I301" s="326"/>
      <c r="J301" s="326"/>
      <c r="K301" s="327"/>
      <c r="L301" s="610"/>
      <c r="M301" s="326"/>
      <c r="N301" s="326"/>
      <c r="O301" s="327"/>
      <c r="P301" s="609"/>
      <c r="Q301" s="326"/>
      <c r="R301" s="326"/>
      <c r="S301" s="327"/>
      <c r="T301" s="610"/>
      <c r="U301" s="326"/>
      <c r="V301" s="326"/>
      <c r="W301" s="327"/>
      <c r="X301" s="609"/>
      <c r="Y301" s="326"/>
      <c r="Z301" s="326"/>
      <c r="AA301" s="327"/>
      <c r="AB301" s="451"/>
      <c r="AC301" s="326"/>
      <c r="AD301" s="327"/>
      <c r="AE301" s="526"/>
      <c r="AF301" s="326"/>
      <c r="AG301" s="327"/>
      <c r="AH301" s="607"/>
      <c r="AI301" s="326"/>
      <c r="AJ301" s="327"/>
      <c r="AK301" s="497"/>
      <c r="AL301" s="326"/>
      <c r="AM301" s="327"/>
      <c r="AN301" s="44"/>
      <c r="AO301" s="45"/>
      <c r="AP301" s="44"/>
      <c r="AQ301" s="45"/>
      <c r="AR301" s="44"/>
      <c r="AS301" s="45"/>
      <c r="AT301" s="44"/>
      <c r="AU301" s="45"/>
      <c r="AV301" s="44"/>
      <c r="AW301" s="45"/>
      <c r="AX301" s="44"/>
      <c r="AY301" s="45"/>
      <c r="AZ301" s="50"/>
      <c r="BA301" s="47"/>
      <c r="BB301" s="50"/>
      <c r="BC301" s="47"/>
      <c r="BD301" s="50"/>
      <c r="BE301" s="47"/>
      <c r="BF301" s="50"/>
      <c r="BG301" s="47"/>
      <c r="BH301" s="50"/>
      <c r="BI301" s="608" t="s">
        <v>307</v>
      </c>
      <c r="BJ301" s="326"/>
      <c r="BK301" s="326"/>
      <c r="BL301" s="326"/>
      <c r="BM301" s="326"/>
      <c r="BN301" s="326"/>
      <c r="BO301" s="326"/>
      <c r="BP301" s="326"/>
      <c r="BQ301" s="326"/>
      <c r="BR301" s="326"/>
      <c r="BS301" s="326"/>
      <c r="BT301" s="326"/>
      <c r="BU301" s="326"/>
      <c r="BV301" s="327"/>
    </row>
    <row r="302" spans="1:74" ht="30" customHeight="1" x14ac:dyDescent="0.25">
      <c r="A302" s="49">
        <f t="shared" si="1"/>
        <v>288</v>
      </c>
      <c r="B302" s="42" t="s">
        <v>334</v>
      </c>
      <c r="C302" s="43"/>
      <c r="D302" s="609"/>
      <c r="E302" s="326"/>
      <c r="F302" s="326"/>
      <c r="G302" s="326"/>
      <c r="H302" s="326"/>
      <c r="I302" s="326"/>
      <c r="J302" s="326"/>
      <c r="K302" s="327"/>
      <c r="L302" s="610"/>
      <c r="M302" s="326"/>
      <c r="N302" s="326"/>
      <c r="O302" s="327"/>
      <c r="P302" s="609"/>
      <c r="Q302" s="326"/>
      <c r="R302" s="326"/>
      <c r="S302" s="327"/>
      <c r="T302" s="610"/>
      <c r="U302" s="326"/>
      <c r="V302" s="326"/>
      <c r="W302" s="327"/>
      <c r="X302" s="609"/>
      <c r="Y302" s="326"/>
      <c r="Z302" s="326"/>
      <c r="AA302" s="327"/>
      <c r="AB302" s="451"/>
      <c r="AC302" s="326"/>
      <c r="AD302" s="327"/>
      <c r="AE302" s="526"/>
      <c r="AF302" s="326"/>
      <c r="AG302" s="327"/>
      <c r="AH302" s="607"/>
      <c r="AI302" s="326"/>
      <c r="AJ302" s="327"/>
      <c r="AK302" s="497"/>
      <c r="AL302" s="326"/>
      <c r="AM302" s="327"/>
      <c r="AN302" s="44"/>
      <c r="AO302" s="45"/>
      <c r="AP302" s="44"/>
      <c r="AQ302" s="45"/>
      <c r="AR302" s="44"/>
      <c r="AS302" s="45"/>
      <c r="AT302" s="44"/>
      <c r="AU302" s="45"/>
      <c r="AV302" s="44"/>
      <c r="AW302" s="45"/>
      <c r="AX302" s="44"/>
      <c r="AY302" s="45"/>
      <c r="AZ302" s="50"/>
      <c r="BA302" s="47"/>
      <c r="BB302" s="50"/>
      <c r="BC302" s="47"/>
      <c r="BD302" s="50"/>
      <c r="BE302" s="47"/>
      <c r="BF302" s="50"/>
      <c r="BG302" s="47"/>
      <c r="BH302" s="50"/>
      <c r="BI302" s="608" t="s">
        <v>307</v>
      </c>
      <c r="BJ302" s="326"/>
      <c r="BK302" s="326"/>
      <c r="BL302" s="326"/>
      <c r="BM302" s="326"/>
      <c r="BN302" s="326"/>
      <c r="BO302" s="326"/>
      <c r="BP302" s="326"/>
      <c r="BQ302" s="326"/>
      <c r="BR302" s="326"/>
      <c r="BS302" s="326"/>
      <c r="BT302" s="326"/>
      <c r="BU302" s="326"/>
      <c r="BV302" s="327"/>
    </row>
    <row r="303" spans="1:74" ht="30" customHeight="1" x14ac:dyDescent="0.25">
      <c r="A303" s="49">
        <f t="shared" si="1"/>
        <v>289</v>
      </c>
      <c r="B303" s="42" t="s">
        <v>334</v>
      </c>
      <c r="C303" s="43"/>
      <c r="D303" s="609"/>
      <c r="E303" s="326"/>
      <c r="F303" s="326"/>
      <c r="G303" s="326"/>
      <c r="H303" s="326"/>
      <c r="I303" s="326"/>
      <c r="J303" s="326"/>
      <c r="K303" s="327"/>
      <c r="L303" s="610"/>
      <c r="M303" s="326"/>
      <c r="N303" s="326"/>
      <c r="O303" s="327"/>
      <c r="P303" s="609"/>
      <c r="Q303" s="326"/>
      <c r="R303" s="326"/>
      <c r="S303" s="327"/>
      <c r="T303" s="610"/>
      <c r="U303" s="326"/>
      <c r="V303" s="326"/>
      <c r="W303" s="327"/>
      <c r="X303" s="609"/>
      <c r="Y303" s="326"/>
      <c r="Z303" s="326"/>
      <c r="AA303" s="327"/>
      <c r="AB303" s="451"/>
      <c r="AC303" s="326"/>
      <c r="AD303" s="327"/>
      <c r="AE303" s="526"/>
      <c r="AF303" s="326"/>
      <c r="AG303" s="327"/>
      <c r="AH303" s="607"/>
      <c r="AI303" s="326"/>
      <c r="AJ303" s="327"/>
      <c r="AK303" s="497"/>
      <c r="AL303" s="326"/>
      <c r="AM303" s="327"/>
      <c r="AN303" s="44"/>
      <c r="AO303" s="45"/>
      <c r="AP303" s="44"/>
      <c r="AQ303" s="45"/>
      <c r="AR303" s="44"/>
      <c r="AS303" s="45"/>
      <c r="AT303" s="44"/>
      <c r="AU303" s="45"/>
      <c r="AV303" s="44"/>
      <c r="AW303" s="45"/>
      <c r="AX303" s="44"/>
      <c r="AY303" s="45"/>
      <c r="AZ303" s="50"/>
      <c r="BA303" s="47"/>
      <c r="BB303" s="50"/>
      <c r="BC303" s="47"/>
      <c r="BD303" s="50"/>
      <c r="BE303" s="47"/>
      <c r="BF303" s="50"/>
      <c r="BG303" s="47"/>
      <c r="BH303" s="50"/>
      <c r="BI303" s="608" t="s">
        <v>307</v>
      </c>
      <c r="BJ303" s="326"/>
      <c r="BK303" s="326"/>
      <c r="BL303" s="326"/>
      <c r="BM303" s="326"/>
      <c r="BN303" s="326"/>
      <c r="BO303" s="326"/>
      <c r="BP303" s="326"/>
      <c r="BQ303" s="326"/>
      <c r="BR303" s="326"/>
      <c r="BS303" s="326"/>
      <c r="BT303" s="326"/>
      <c r="BU303" s="326"/>
      <c r="BV303" s="327"/>
    </row>
    <row r="304" spans="1:74" ht="30" customHeight="1" x14ac:dyDescent="0.25">
      <c r="A304" s="49">
        <f t="shared" si="1"/>
        <v>290</v>
      </c>
      <c r="B304" s="42" t="s">
        <v>334</v>
      </c>
      <c r="C304" s="43"/>
      <c r="D304" s="609"/>
      <c r="E304" s="326"/>
      <c r="F304" s="326"/>
      <c r="G304" s="326"/>
      <c r="H304" s="326"/>
      <c r="I304" s="326"/>
      <c r="J304" s="326"/>
      <c r="K304" s="327"/>
      <c r="L304" s="610"/>
      <c r="M304" s="326"/>
      <c r="N304" s="326"/>
      <c r="O304" s="327"/>
      <c r="P304" s="609"/>
      <c r="Q304" s="326"/>
      <c r="R304" s="326"/>
      <c r="S304" s="327"/>
      <c r="T304" s="610"/>
      <c r="U304" s="326"/>
      <c r="V304" s="326"/>
      <c r="W304" s="327"/>
      <c r="X304" s="609"/>
      <c r="Y304" s="326"/>
      <c r="Z304" s="326"/>
      <c r="AA304" s="327"/>
      <c r="AB304" s="451"/>
      <c r="AC304" s="326"/>
      <c r="AD304" s="327"/>
      <c r="AE304" s="526"/>
      <c r="AF304" s="326"/>
      <c r="AG304" s="327"/>
      <c r="AH304" s="607"/>
      <c r="AI304" s="326"/>
      <c r="AJ304" s="327"/>
      <c r="AK304" s="497"/>
      <c r="AL304" s="326"/>
      <c r="AM304" s="327"/>
      <c r="AN304" s="44"/>
      <c r="AO304" s="45"/>
      <c r="AP304" s="44"/>
      <c r="AQ304" s="45"/>
      <c r="AR304" s="44"/>
      <c r="AS304" s="45"/>
      <c r="AT304" s="44"/>
      <c r="AU304" s="45"/>
      <c r="AV304" s="44"/>
      <c r="AW304" s="45"/>
      <c r="AX304" s="44"/>
      <c r="AY304" s="45"/>
      <c r="AZ304" s="50"/>
      <c r="BA304" s="47"/>
      <c r="BB304" s="50"/>
      <c r="BC304" s="47"/>
      <c r="BD304" s="50"/>
      <c r="BE304" s="47"/>
      <c r="BF304" s="50"/>
      <c r="BG304" s="47"/>
      <c r="BH304" s="50"/>
      <c r="BI304" s="608" t="s">
        <v>307</v>
      </c>
      <c r="BJ304" s="326"/>
      <c r="BK304" s="326"/>
      <c r="BL304" s="326"/>
      <c r="BM304" s="326"/>
      <c r="BN304" s="326"/>
      <c r="BO304" s="326"/>
      <c r="BP304" s="326"/>
      <c r="BQ304" s="326"/>
      <c r="BR304" s="326"/>
      <c r="BS304" s="326"/>
      <c r="BT304" s="326"/>
      <c r="BU304" s="326"/>
      <c r="BV304" s="327"/>
    </row>
    <row r="305" spans="1:74" ht="30" customHeight="1" x14ac:dyDescent="0.25">
      <c r="A305" s="49">
        <f t="shared" si="1"/>
        <v>291</v>
      </c>
      <c r="B305" s="42" t="s">
        <v>334</v>
      </c>
      <c r="C305" s="43"/>
      <c r="D305" s="609"/>
      <c r="E305" s="326"/>
      <c r="F305" s="326"/>
      <c r="G305" s="326"/>
      <c r="H305" s="326"/>
      <c r="I305" s="326"/>
      <c r="J305" s="326"/>
      <c r="K305" s="327"/>
      <c r="L305" s="610"/>
      <c r="M305" s="326"/>
      <c r="N305" s="326"/>
      <c r="O305" s="327"/>
      <c r="P305" s="609"/>
      <c r="Q305" s="326"/>
      <c r="R305" s="326"/>
      <c r="S305" s="327"/>
      <c r="T305" s="610"/>
      <c r="U305" s="326"/>
      <c r="V305" s="326"/>
      <c r="W305" s="327"/>
      <c r="X305" s="609"/>
      <c r="Y305" s="326"/>
      <c r="Z305" s="326"/>
      <c r="AA305" s="327"/>
      <c r="AB305" s="451"/>
      <c r="AC305" s="326"/>
      <c r="AD305" s="327"/>
      <c r="AE305" s="526"/>
      <c r="AF305" s="326"/>
      <c r="AG305" s="327"/>
      <c r="AH305" s="607"/>
      <c r="AI305" s="326"/>
      <c r="AJ305" s="327"/>
      <c r="AK305" s="497"/>
      <c r="AL305" s="326"/>
      <c r="AM305" s="327"/>
      <c r="AN305" s="44"/>
      <c r="AO305" s="45"/>
      <c r="AP305" s="44"/>
      <c r="AQ305" s="45"/>
      <c r="AR305" s="44"/>
      <c r="AS305" s="45"/>
      <c r="AT305" s="44"/>
      <c r="AU305" s="45"/>
      <c r="AV305" s="44"/>
      <c r="AW305" s="45"/>
      <c r="AX305" s="44"/>
      <c r="AY305" s="45"/>
      <c r="AZ305" s="50"/>
      <c r="BA305" s="47"/>
      <c r="BB305" s="50"/>
      <c r="BC305" s="47"/>
      <c r="BD305" s="50"/>
      <c r="BE305" s="47"/>
      <c r="BF305" s="50"/>
      <c r="BG305" s="47"/>
      <c r="BH305" s="50"/>
      <c r="BI305" s="608" t="s">
        <v>303</v>
      </c>
      <c r="BJ305" s="326"/>
      <c r="BK305" s="326"/>
      <c r="BL305" s="326"/>
      <c r="BM305" s="326"/>
      <c r="BN305" s="326"/>
      <c r="BO305" s="326"/>
      <c r="BP305" s="326"/>
      <c r="BQ305" s="326"/>
      <c r="BR305" s="326"/>
      <c r="BS305" s="326"/>
      <c r="BT305" s="326"/>
      <c r="BU305" s="326"/>
      <c r="BV305" s="327"/>
    </row>
    <row r="306" spans="1:74" ht="30" customHeight="1" x14ac:dyDescent="0.25">
      <c r="A306" s="49">
        <f t="shared" si="1"/>
        <v>292</v>
      </c>
      <c r="B306" s="42" t="s">
        <v>334</v>
      </c>
      <c r="C306" s="43"/>
      <c r="D306" s="609"/>
      <c r="E306" s="326"/>
      <c r="F306" s="326"/>
      <c r="G306" s="326"/>
      <c r="H306" s="326"/>
      <c r="I306" s="326"/>
      <c r="J306" s="326"/>
      <c r="K306" s="327"/>
      <c r="L306" s="610"/>
      <c r="M306" s="326"/>
      <c r="N306" s="326"/>
      <c r="O306" s="327"/>
      <c r="P306" s="609"/>
      <c r="Q306" s="326"/>
      <c r="R306" s="326"/>
      <c r="S306" s="327"/>
      <c r="T306" s="610"/>
      <c r="U306" s="326"/>
      <c r="V306" s="326"/>
      <c r="W306" s="327"/>
      <c r="X306" s="609"/>
      <c r="Y306" s="326"/>
      <c r="Z306" s="326"/>
      <c r="AA306" s="327"/>
      <c r="AB306" s="451"/>
      <c r="AC306" s="326"/>
      <c r="AD306" s="327"/>
      <c r="AE306" s="526"/>
      <c r="AF306" s="326"/>
      <c r="AG306" s="327"/>
      <c r="AH306" s="607"/>
      <c r="AI306" s="326"/>
      <c r="AJ306" s="327"/>
      <c r="AK306" s="497"/>
      <c r="AL306" s="326"/>
      <c r="AM306" s="327"/>
      <c r="AN306" s="44"/>
      <c r="AO306" s="45"/>
      <c r="AP306" s="44"/>
      <c r="AQ306" s="45"/>
      <c r="AR306" s="44"/>
      <c r="AS306" s="45"/>
      <c r="AT306" s="44"/>
      <c r="AU306" s="45"/>
      <c r="AV306" s="44"/>
      <c r="AW306" s="45"/>
      <c r="AX306" s="44"/>
      <c r="AY306" s="45"/>
      <c r="AZ306" s="50"/>
      <c r="BA306" s="47"/>
      <c r="BB306" s="50"/>
      <c r="BC306" s="47"/>
      <c r="BD306" s="50"/>
      <c r="BE306" s="47"/>
      <c r="BF306" s="50"/>
      <c r="BG306" s="47"/>
      <c r="BH306" s="50"/>
      <c r="BI306" s="608" t="s">
        <v>303</v>
      </c>
      <c r="BJ306" s="326"/>
      <c r="BK306" s="326"/>
      <c r="BL306" s="326"/>
      <c r="BM306" s="326"/>
      <c r="BN306" s="326"/>
      <c r="BO306" s="326"/>
      <c r="BP306" s="326"/>
      <c r="BQ306" s="326"/>
      <c r="BR306" s="326"/>
      <c r="BS306" s="326"/>
      <c r="BT306" s="326"/>
      <c r="BU306" s="326"/>
      <c r="BV306" s="327"/>
    </row>
    <row r="307" spans="1:74" ht="30" customHeight="1" x14ac:dyDescent="0.25">
      <c r="A307" s="41">
        <f t="shared" si="1"/>
        <v>293</v>
      </c>
      <c r="B307" s="42" t="s">
        <v>334</v>
      </c>
      <c r="C307" s="43"/>
      <c r="D307" s="609"/>
      <c r="E307" s="326"/>
      <c r="F307" s="326"/>
      <c r="G307" s="326"/>
      <c r="H307" s="326"/>
      <c r="I307" s="326"/>
      <c r="J307" s="326"/>
      <c r="K307" s="327"/>
      <c r="L307" s="610"/>
      <c r="M307" s="326"/>
      <c r="N307" s="326"/>
      <c r="O307" s="327"/>
      <c r="P307" s="609"/>
      <c r="Q307" s="326"/>
      <c r="R307" s="326"/>
      <c r="S307" s="327"/>
      <c r="T307" s="610"/>
      <c r="U307" s="326"/>
      <c r="V307" s="326"/>
      <c r="W307" s="327"/>
      <c r="X307" s="609"/>
      <c r="Y307" s="326"/>
      <c r="Z307" s="326"/>
      <c r="AA307" s="327"/>
      <c r="AB307" s="451"/>
      <c r="AC307" s="326"/>
      <c r="AD307" s="327"/>
      <c r="AE307" s="526"/>
      <c r="AF307" s="326"/>
      <c r="AG307" s="327"/>
      <c r="AH307" s="607"/>
      <c r="AI307" s="326"/>
      <c r="AJ307" s="327"/>
      <c r="AK307" s="497"/>
      <c r="AL307" s="326"/>
      <c r="AM307" s="327"/>
      <c r="AN307" s="44"/>
      <c r="AO307" s="45"/>
      <c r="AP307" s="44"/>
      <c r="AQ307" s="45"/>
      <c r="AR307" s="44"/>
      <c r="AS307" s="45"/>
      <c r="AT307" s="44"/>
      <c r="AU307" s="45"/>
      <c r="AV307" s="44"/>
      <c r="AW307" s="45"/>
      <c r="AX307" s="44"/>
      <c r="AY307" s="45"/>
      <c r="AZ307" s="50"/>
      <c r="BA307" s="47"/>
      <c r="BB307" s="50"/>
      <c r="BC307" s="47"/>
      <c r="BD307" s="50"/>
      <c r="BE307" s="47"/>
      <c r="BF307" s="50"/>
      <c r="BG307" s="47"/>
      <c r="BH307" s="50"/>
      <c r="BI307" s="608" t="s">
        <v>307</v>
      </c>
      <c r="BJ307" s="326"/>
      <c r="BK307" s="326"/>
      <c r="BL307" s="326"/>
      <c r="BM307" s="326"/>
      <c r="BN307" s="326"/>
      <c r="BO307" s="326"/>
      <c r="BP307" s="326"/>
      <c r="BQ307" s="326"/>
      <c r="BR307" s="326"/>
      <c r="BS307" s="326"/>
      <c r="BT307" s="326"/>
      <c r="BU307" s="326"/>
      <c r="BV307" s="327"/>
    </row>
    <row r="308" spans="1:74" ht="30" customHeight="1" x14ac:dyDescent="0.25">
      <c r="A308" s="49">
        <f t="shared" si="1"/>
        <v>294</v>
      </c>
      <c r="B308" s="42" t="s">
        <v>334</v>
      </c>
      <c r="C308" s="43"/>
      <c r="D308" s="609"/>
      <c r="E308" s="326"/>
      <c r="F308" s="326"/>
      <c r="G308" s="326"/>
      <c r="H308" s="326"/>
      <c r="I308" s="326"/>
      <c r="J308" s="326"/>
      <c r="K308" s="327"/>
      <c r="L308" s="610"/>
      <c r="M308" s="326"/>
      <c r="N308" s="326"/>
      <c r="O308" s="327"/>
      <c r="P308" s="609"/>
      <c r="Q308" s="326"/>
      <c r="R308" s="326"/>
      <c r="S308" s="327"/>
      <c r="T308" s="610"/>
      <c r="U308" s="326"/>
      <c r="V308" s="326"/>
      <c r="W308" s="327"/>
      <c r="X308" s="609"/>
      <c r="Y308" s="326"/>
      <c r="Z308" s="326"/>
      <c r="AA308" s="327"/>
      <c r="AB308" s="451"/>
      <c r="AC308" s="326"/>
      <c r="AD308" s="327"/>
      <c r="AE308" s="526"/>
      <c r="AF308" s="326"/>
      <c r="AG308" s="327"/>
      <c r="AH308" s="607"/>
      <c r="AI308" s="326"/>
      <c r="AJ308" s="327"/>
      <c r="AK308" s="497"/>
      <c r="AL308" s="326"/>
      <c r="AM308" s="327"/>
      <c r="AN308" s="44"/>
      <c r="AO308" s="45"/>
      <c r="AP308" s="44"/>
      <c r="AQ308" s="45"/>
      <c r="AR308" s="44"/>
      <c r="AS308" s="45"/>
      <c r="AT308" s="44"/>
      <c r="AU308" s="45"/>
      <c r="AV308" s="44"/>
      <c r="AW308" s="45"/>
      <c r="AX308" s="44"/>
      <c r="AY308" s="45"/>
      <c r="AZ308" s="50"/>
      <c r="BA308" s="47"/>
      <c r="BB308" s="50"/>
      <c r="BC308" s="47"/>
      <c r="BD308" s="50"/>
      <c r="BE308" s="47"/>
      <c r="BF308" s="50"/>
      <c r="BG308" s="47"/>
      <c r="BH308" s="50"/>
      <c r="BI308" s="608" t="s">
        <v>307</v>
      </c>
      <c r="BJ308" s="326"/>
      <c r="BK308" s="326"/>
      <c r="BL308" s="326"/>
      <c r="BM308" s="326"/>
      <c r="BN308" s="326"/>
      <c r="BO308" s="326"/>
      <c r="BP308" s="326"/>
      <c r="BQ308" s="326"/>
      <c r="BR308" s="326"/>
      <c r="BS308" s="326"/>
      <c r="BT308" s="326"/>
      <c r="BU308" s="326"/>
      <c r="BV308" s="327"/>
    </row>
    <row r="309" spans="1:74" ht="30" customHeight="1" x14ac:dyDescent="0.25">
      <c r="A309" s="49">
        <f t="shared" si="1"/>
        <v>295</v>
      </c>
      <c r="B309" s="42" t="s">
        <v>334</v>
      </c>
      <c r="C309" s="43"/>
      <c r="D309" s="609"/>
      <c r="E309" s="326"/>
      <c r="F309" s="326"/>
      <c r="G309" s="326"/>
      <c r="H309" s="326"/>
      <c r="I309" s="326"/>
      <c r="J309" s="326"/>
      <c r="K309" s="327"/>
      <c r="L309" s="610"/>
      <c r="M309" s="326"/>
      <c r="N309" s="326"/>
      <c r="O309" s="327"/>
      <c r="P309" s="609"/>
      <c r="Q309" s="326"/>
      <c r="R309" s="326"/>
      <c r="S309" s="327"/>
      <c r="T309" s="610"/>
      <c r="U309" s="326"/>
      <c r="V309" s="326"/>
      <c r="W309" s="327"/>
      <c r="X309" s="609"/>
      <c r="Y309" s="326"/>
      <c r="Z309" s="326"/>
      <c r="AA309" s="327"/>
      <c r="AB309" s="451"/>
      <c r="AC309" s="326"/>
      <c r="AD309" s="327"/>
      <c r="AE309" s="526"/>
      <c r="AF309" s="326"/>
      <c r="AG309" s="327"/>
      <c r="AH309" s="607"/>
      <c r="AI309" s="326"/>
      <c r="AJ309" s="327"/>
      <c r="AK309" s="497"/>
      <c r="AL309" s="326"/>
      <c r="AM309" s="327"/>
      <c r="AN309" s="44"/>
      <c r="AO309" s="45"/>
      <c r="AP309" s="44"/>
      <c r="AQ309" s="45"/>
      <c r="AR309" s="44"/>
      <c r="AS309" s="45"/>
      <c r="AT309" s="44"/>
      <c r="AU309" s="45"/>
      <c r="AV309" s="44"/>
      <c r="AW309" s="45"/>
      <c r="AX309" s="44"/>
      <c r="AY309" s="45"/>
      <c r="AZ309" s="50"/>
      <c r="BA309" s="47"/>
      <c r="BB309" s="50"/>
      <c r="BC309" s="47"/>
      <c r="BD309" s="50"/>
      <c r="BE309" s="47"/>
      <c r="BF309" s="50"/>
      <c r="BG309" s="47"/>
      <c r="BH309" s="50"/>
      <c r="BI309" s="608" t="s">
        <v>307</v>
      </c>
      <c r="BJ309" s="326"/>
      <c r="BK309" s="326"/>
      <c r="BL309" s="326"/>
      <c r="BM309" s="326"/>
      <c r="BN309" s="326"/>
      <c r="BO309" s="326"/>
      <c r="BP309" s="326"/>
      <c r="BQ309" s="326"/>
      <c r="BR309" s="326"/>
      <c r="BS309" s="326"/>
      <c r="BT309" s="326"/>
      <c r="BU309" s="326"/>
      <c r="BV309" s="327"/>
    </row>
    <row r="310" spans="1:74" ht="30" customHeight="1" x14ac:dyDescent="0.25">
      <c r="A310" s="49">
        <f t="shared" si="1"/>
        <v>296</v>
      </c>
      <c r="B310" s="42" t="s">
        <v>334</v>
      </c>
      <c r="C310" s="43"/>
      <c r="D310" s="609"/>
      <c r="E310" s="326"/>
      <c r="F310" s="326"/>
      <c r="G310" s="326"/>
      <c r="H310" s="326"/>
      <c r="I310" s="326"/>
      <c r="J310" s="326"/>
      <c r="K310" s="327"/>
      <c r="L310" s="610"/>
      <c r="M310" s="326"/>
      <c r="N310" s="326"/>
      <c r="O310" s="327"/>
      <c r="P310" s="609"/>
      <c r="Q310" s="326"/>
      <c r="R310" s="326"/>
      <c r="S310" s="327"/>
      <c r="T310" s="610"/>
      <c r="U310" s="326"/>
      <c r="V310" s="326"/>
      <c r="W310" s="327"/>
      <c r="X310" s="609"/>
      <c r="Y310" s="326"/>
      <c r="Z310" s="326"/>
      <c r="AA310" s="327"/>
      <c r="AB310" s="451"/>
      <c r="AC310" s="326"/>
      <c r="AD310" s="327"/>
      <c r="AE310" s="526"/>
      <c r="AF310" s="326"/>
      <c r="AG310" s="327"/>
      <c r="AH310" s="607"/>
      <c r="AI310" s="326"/>
      <c r="AJ310" s="327"/>
      <c r="AK310" s="497"/>
      <c r="AL310" s="326"/>
      <c r="AM310" s="327"/>
      <c r="AN310" s="44"/>
      <c r="AO310" s="45"/>
      <c r="AP310" s="44"/>
      <c r="AQ310" s="45"/>
      <c r="AR310" s="44"/>
      <c r="AS310" s="45"/>
      <c r="AT310" s="44"/>
      <c r="AU310" s="45"/>
      <c r="AV310" s="44"/>
      <c r="AW310" s="45"/>
      <c r="AX310" s="44"/>
      <c r="AY310" s="45"/>
      <c r="AZ310" s="50"/>
      <c r="BA310" s="47"/>
      <c r="BB310" s="50"/>
      <c r="BC310" s="47"/>
      <c r="BD310" s="50"/>
      <c r="BE310" s="47"/>
      <c r="BF310" s="50"/>
      <c r="BG310" s="47"/>
      <c r="BH310" s="50"/>
      <c r="BI310" s="608" t="s">
        <v>307</v>
      </c>
      <c r="BJ310" s="326"/>
      <c r="BK310" s="326"/>
      <c r="BL310" s="326"/>
      <c r="BM310" s="326"/>
      <c r="BN310" s="326"/>
      <c r="BO310" s="326"/>
      <c r="BP310" s="326"/>
      <c r="BQ310" s="326"/>
      <c r="BR310" s="326"/>
      <c r="BS310" s="326"/>
      <c r="BT310" s="326"/>
      <c r="BU310" s="326"/>
      <c r="BV310" s="327"/>
    </row>
    <row r="311" spans="1:74" ht="30" customHeight="1" x14ac:dyDescent="0.25">
      <c r="A311" s="49">
        <f t="shared" si="1"/>
        <v>297</v>
      </c>
      <c r="B311" s="42" t="s">
        <v>334</v>
      </c>
      <c r="C311" s="43"/>
      <c r="D311" s="609"/>
      <c r="E311" s="326"/>
      <c r="F311" s="326"/>
      <c r="G311" s="326"/>
      <c r="H311" s="326"/>
      <c r="I311" s="326"/>
      <c r="J311" s="326"/>
      <c r="K311" s="327"/>
      <c r="L311" s="610"/>
      <c r="M311" s="326"/>
      <c r="N311" s="326"/>
      <c r="O311" s="327"/>
      <c r="P311" s="609"/>
      <c r="Q311" s="326"/>
      <c r="R311" s="326"/>
      <c r="S311" s="327"/>
      <c r="T311" s="610"/>
      <c r="U311" s="326"/>
      <c r="V311" s="326"/>
      <c r="W311" s="327"/>
      <c r="X311" s="609"/>
      <c r="Y311" s="326"/>
      <c r="Z311" s="326"/>
      <c r="AA311" s="327"/>
      <c r="AB311" s="451"/>
      <c r="AC311" s="326"/>
      <c r="AD311" s="327"/>
      <c r="AE311" s="526"/>
      <c r="AF311" s="326"/>
      <c r="AG311" s="327"/>
      <c r="AH311" s="607"/>
      <c r="AI311" s="326"/>
      <c r="AJ311" s="327"/>
      <c r="AK311" s="497"/>
      <c r="AL311" s="326"/>
      <c r="AM311" s="327"/>
      <c r="AN311" s="44"/>
      <c r="AO311" s="45"/>
      <c r="AP311" s="44"/>
      <c r="AQ311" s="45"/>
      <c r="AR311" s="44"/>
      <c r="AS311" s="45"/>
      <c r="AT311" s="44"/>
      <c r="AU311" s="45"/>
      <c r="AV311" s="44"/>
      <c r="AW311" s="45"/>
      <c r="AX311" s="44"/>
      <c r="AY311" s="45"/>
      <c r="AZ311" s="50"/>
      <c r="BA311" s="47"/>
      <c r="BB311" s="50"/>
      <c r="BC311" s="47"/>
      <c r="BD311" s="50"/>
      <c r="BE311" s="47"/>
      <c r="BF311" s="50"/>
      <c r="BG311" s="47"/>
      <c r="BH311" s="50"/>
      <c r="BI311" s="608" t="s">
        <v>307</v>
      </c>
      <c r="BJ311" s="326"/>
      <c r="BK311" s="326"/>
      <c r="BL311" s="326"/>
      <c r="BM311" s="326"/>
      <c r="BN311" s="326"/>
      <c r="BO311" s="326"/>
      <c r="BP311" s="326"/>
      <c r="BQ311" s="326"/>
      <c r="BR311" s="326"/>
      <c r="BS311" s="326"/>
      <c r="BT311" s="326"/>
      <c r="BU311" s="326"/>
      <c r="BV311" s="327"/>
    </row>
    <row r="312" spans="1:74" ht="30" customHeight="1" x14ac:dyDescent="0.25">
      <c r="A312" s="49">
        <f t="shared" si="1"/>
        <v>298</v>
      </c>
      <c r="B312" s="42" t="s">
        <v>334</v>
      </c>
      <c r="C312" s="43"/>
      <c r="D312" s="609"/>
      <c r="E312" s="326"/>
      <c r="F312" s="326"/>
      <c r="G312" s="326"/>
      <c r="H312" s="326"/>
      <c r="I312" s="326"/>
      <c r="J312" s="326"/>
      <c r="K312" s="327"/>
      <c r="L312" s="610"/>
      <c r="M312" s="326"/>
      <c r="N312" s="326"/>
      <c r="O312" s="327"/>
      <c r="P312" s="609"/>
      <c r="Q312" s="326"/>
      <c r="R312" s="326"/>
      <c r="S312" s="327"/>
      <c r="T312" s="610"/>
      <c r="U312" s="326"/>
      <c r="V312" s="326"/>
      <c r="W312" s="327"/>
      <c r="X312" s="609"/>
      <c r="Y312" s="326"/>
      <c r="Z312" s="326"/>
      <c r="AA312" s="327"/>
      <c r="AB312" s="451"/>
      <c r="AC312" s="326"/>
      <c r="AD312" s="327"/>
      <c r="AE312" s="526"/>
      <c r="AF312" s="326"/>
      <c r="AG312" s="327"/>
      <c r="AH312" s="607"/>
      <c r="AI312" s="326"/>
      <c r="AJ312" s="327"/>
      <c r="AK312" s="497"/>
      <c r="AL312" s="326"/>
      <c r="AM312" s="327"/>
      <c r="AN312" s="44"/>
      <c r="AO312" s="45"/>
      <c r="AP312" s="44"/>
      <c r="AQ312" s="45"/>
      <c r="AR312" s="44"/>
      <c r="AS312" s="45"/>
      <c r="AT312" s="44"/>
      <c r="AU312" s="45"/>
      <c r="AV312" s="44"/>
      <c r="AW312" s="45"/>
      <c r="AX312" s="44"/>
      <c r="AY312" s="45"/>
      <c r="AZ312" s="50"/>
      <c r="BA312" s="47"/>
      <c r="BB312" s="50"/>
      <c r="BC312" s="47"/>
      <c r="BD312" s="50"/>
      <c r="BE312" s="47"/>
      <c r="BF312" s="50"/>
      <c r="BG312" s="47"/>
      <c r="BH312" s="50"/>
      <c r="BI312" s="608" t="s">
        <v>303</v>
      </c>
      <c r="BJ312" s="326"/>
      <c r="BK312" s="326"/>
      <c r="BL312" s="326"/>
      <c r="BM312" s="326"/>
      <c r="BN312" s="326"/>
      <c r="BO312" s="326"/>
      <c r="BP312" s="326"/>
      <c r="BQ312" s="326"/>
      <c r="BR312" s="326"/>
      <c r="BS312" s="326"/>
      <c r="BT312" s="326"/>
      <c r="BU312" s="326"/>
      <c r="BV312" s="327"/>
    </row>
    <row r="313" spans="1:74" ht="30" customHeight="1" x14ac:dyDescent="0.25">
      <c r="A313" s="49">
        <f t="shared" si="1"/>
        <v>299</v>
      </c>
      <c r="B313" s="42" t="s">
        <v>334</v>
      </c>
      <c r="C313" s="43"/>
      <c r="D313" s="609"/>
      <c r="E313" s="326"/>
      <c r="F313" s="326"/>
      <c r="G313" s="326"/>
      <c r="H313" s="326"/>
      <c r="I313" s="326"/>
      <c r="J313" s="326"/>
      <c r="K313" s="327"/>
      <c r="L313" s="610"/>
      <c r="M313" s="326"/>
      <c r="N313" s="326"/>
      <c r="O313" s="327"/>
      <c r="P313" s="609"/>
      <c r="Q313" s="326"/>
      <c r="R313" s="326"/>
      <c r="S313" s="327"/>
      <c r="T313" s="610"/>
      <c r="U313" s="326"/>
      <c r="V313" s="326"/>
      <c r="W313" s="327"/>
      <c r="X313" s="609"/>
      <c r="Y313" s="326"/>
      <c r="Z313" s="326"/>
      <c r="AA313" s="327"/>
      <c r="AB313" s="451"/>
      <c r="AC313" s="326"/>
      <c r="AD313" s="327"/>
      <c r="AE313" s="526"/>
      <c r="AF313" s="326"/>
      <c r="AG313" s="327"/>
      <c r="AH313" s="607"/>
      <c r="AI313" s="326"/>
      <c r="AJ313" s="327"/>
      <c r="AK313" s="497"/>
      <c r="AL313" s="326"/>
      <c r="AM313" s="327"/>
      <c r="AN313" s="44"/>
      <c r="AO313" s="45"/>
      <c r="AP313" s="44"/>
      <c r="AQ313" s="45"/>
      <c r="AR313" s="44"/>
      <c r="AS313" s="45"/>
      <c r="AT313" s="44"/>
      <c r="AU313" s="45"/>
      <c r="AV313" s="44"/>
      <c r="AW313" s="45"/>
      <c r="AX313" s="44"/>
      <c r="AY313" s="45"/>
      <c r="AZ313" s="50"/>
      <c r="BA313" s="47"/>
      <c r="BB313" s="50"/>
      <c r="BC313" s="47"/>
      <c r="BD313" s="50"/>
      <c r="BE313" s="47"/>
      <c r="BF313" s="50"/>
      <c r="BG313" s="47"/>
      <c r="BH313" s="50"/>
      <c r="BI313" s="608" t="s">
        <v>303</v>
      </c>
      <c r="BJ313" s="326"/>
      <c r="BK313" s="326"/>
      <c r="BL313" s="326"/>
      <c r="BM313" s="326"/>
      <c r="BN313" s="326"/>
      <c r="BO313" s="326"/>
      <c r="BP313" s="326"/>
      <c r="BQ313" s="326"/>
      <c r="BR313" s="326"/>
      <c r="BS313" s="326"/>
      <c r="BT313" s="326"/>
      <c r="BU313" s="326"/>
      <c r="BV313" s="327"/>
    </row>
    <row r="314" spans="1:74" ht="30" customHeight="1" x14ac:dyDescent="0.25">
      <c r="A314" s="41">
        <f t="shared" si="1"/>
        <v>300</v>
      </c>
      <c r="B314" s="42" t="s">
        <v>334</v>
      </c>
      <c r="C314" s="43"/>
      <c r="D314" s="609"/>
      <c r="E314" s="326"/>
      <c r="F314" s="326"/>
      <c r="G314" s="326"/>
      <c r="H314" s="326"/>
      <c r="I314" s="326"/>
      <c r="J314" s="326"/>
      <c r="K314" s="327"/>
      <c r="L314" s="610"/>
      <c r="M314" s="326"/>
      <c r="N314" s="326"/>
      <c r="O314" s="327"/>
      <c r="P314" s="609"/>
      <c r="Q314" s="326"/>
      <c r="R314" s="326"/>
      <c r="S314" s="327"/>
      <c r="T314" s="610"/>
      <c r="U314" s="326"/>
      <c r="V314" s="326"/>
      <c r="W314" s="327"/>
      <c r="X314" s="609"/>
      <c r="Y314" s="326"/>
      <c r="Z314" s="326"/>
      <c r="AA314" s="327"/>
      <c r="AB314" s="451"/>
      <c r="AC314" s="326"/>
      <c r="AD314" s="327"/>
      <c r="AE314" s="526"/>
      <c r="AF314" s="326"/>
      <c r="AG314" s="327"/>
      <c r="AH314" s="607"/>
      <c r="AI314" s="326"/>
      <c r="AJ314" s="327"/>
      <c r="AK314" s="497"/>
      <c r="AL314" s="326"/>
      <c r="AM314" s="327"/>
      <c r="AN314" s="44"/>
      <c r="AO314" s="45"/>
      <c r="AP314" s="44"/>
      <c r="AQ314" s="45"/>
      <c r="AR314" s="44"/>
      <c r="AS314" s="45"/>
      <c r="AT314" s="44"/>
      <c r="AU314" s="45"/>
      <c r="AV314" s="44"/>
      <c r="AW314" s="45"/>
      <c r="AX314" s="44"/>
      <c r="AY314" s="45"/>
      <c r="AZ314" s="50"/>
      <c r="BA314" s="47"/>
      <c r="BB314" s="50"/>
      <c r="BC314" s="47"/>
      <c r="BD314" s="50"/>
      <c r="BE314" s="47"/>
      <c r="BF314" s="50"/>
      <c r="BG314" s="47"/>
      <c r="BH314" s="50"/>
      <c r="BI314" s="608" t="s">
        <v>307</v>
      </c>
      <c r="BJ314" s="326"/>
      <c r="BK314" s="326"/>
      <c r="BL314" s="326"/>
      <c r="BM314" s="326"/>
      <c r="BN314" s="326"/>
      <c r="BO314" s="326"/>
      <c r="BP314" s="326"/>
      <c r="BQ314" s="326"/>
      <c r="BR314" s="326"/>
      <c r="BS314" s="326"/>
      <c r="BT314" s="326"/>
      <c r="BU314" s="326"/>
      <c r="BV314" s="327"/>
    </row>
    <row r="315" spans="1:74" ht="30" customHeight="1" x14ac:dyDescent="0.25">
      <c r="A315" s="49">
        <f t="shared" si="1"/>
        <v>301</v>
      </c>
      <c r="B315" s="42" t="s">
        <v>334</v>
      </c>
      <c r="C315" s="43"/>
      <c r="D315" s="609"/>
      <c r="E315" s="326"/>
      <c r="F315" s="326"/>
      <c r="G315" s="326"/>
      <c r="H315" s="326"/>
      <c r="I315" s="326"/>
      <c r="J315" s="326"/>
      <c r="K315" s="327"/>
      <c r="L315" s="610"/>
      <c r="M315" s="326"/>
      <c r="N315" s="326"/>
      <c r="O315" s="327"/>
      <c r="P315" s="609"/>
      <c r="Q315" s="326"/>
      <c r="R315" s="326"/>
      <c r="S315" s="327"/>
      <c r="T315" s="610"/>
      <c r="U315" s="326"/>
      <c r="V315" s="326"/>
      <c r="W315" s="327"/>
      <c r="X315" s="609"/>
      <c r="Y315" s="326"/>
      <c r="Z315" s="326"/>
      <c r="AA315" s="327"/>
      <c r="AB315" s="451"/>
      <c r="AC315" s="326"/>
      <c r="AD315" s="327"/>
      <c r="AE315" s="526"/>
      <c r="AF315" s="326"/>
      <c r="AG315" s="327"/>
      <c r="AH315" s="607"/>
      <c r="AI315" s="326"/>
      <c r="AJ315" s="327"/>
      <c r="AK315" s="497"/>
      <c r="AL315" s="326"/>
      <c r="AM315" s="327"/>
      <c r="AN315" s="44"/>
      <c r="AO315" s="45"/>
      <c r="AP315" s="44"/>
      <c r="AQ315" s="45"/>
      <c r="AR315" s="44"/>
      <c r="AS315" s="45"/>
      <c r="AT315" s="44"/>
      <c r="AU315" s="45"/>
      <c r="AV315" s="44"/>
      <c r="AW315" s="45"/>
      <c r="AX315" s="44"/>
      <c r="AY315" s="45"/>
      <c r="AZ315" s="50"/>
      <c r="BA315" s="47"/>
      <c r="BB315" s="50"/>
      <c r="BC315" s="47"/>
      <c r="BD315" s="50"/>
      <c r="BE315" s="47"/>
      <c r="BF315" s="50"/>
      <c r="BG315" s="47"/>
      <c r="BH315" s="50"/>
      <c r="BI315" s="608" t="s">
        <v>307</v>
      </c>
      <c r="BJ315" s="326"/>
      <c r="BK315" s="326"/>
      <c r="BL315" s="326"/>
      <c r="BM315" s="326"/>
      <c r="BN315" s="326"/>
      <c r="BO315" s="326"/>
      <c r="BP315" s="326"/>
      <c r="BQ315" s="326"/>
      <c r="BR315" s="326"/>
      <c r="BS315" s="326"/>
      <c r="BT315" s="326"/>
      <c r="BU315" s="326"/>
      <c r="BV315" s="327"/>
    </row>
    <row r="316" spans="1:74" ht="30" customHeight="1" x14ac:dyDescent="0.25">
      <c r="A316" s="49">
        <f t="shared" si="1"/>
        <v>302</v>
      </c>
      <c r="B316" s="42" t="s">
        <v>334</v>
      </c>
      <c r="C316" s="43"/>
      <c r="D316" s="609"/>
      <c r="E316" s="326"/>
      <c r="F316" s="326"/>
      <c r="G316" s="326"/>
      <c r="H316" s="326"/>
      <c r="I316" s="326"/>
      <c r="J316" s="326"/>
      <c r="K316" s="327"/>
      <c r="L316" s="610"/>
      <c r="M316" s="326"/>
      <c r="N316" s="326"/>
      <c r="O316" s="327"/>
      <c r="P316" s="609"/>
      <c r="Q316" s="326"/>
      <c r="R316" s="326"/>
      <c r="S316" s="327"/>
      <c r="T316" s="610"/>
      <c r="U316" s="326"/>
      <c r="V316" s="326"/>
      <c r="W316" s="327"/>
      <c r="X316" s="609"/>
      <c r="Y316" s="326"/>
      <c r="Z316" s="326"/>
      <c r="AA316" s="327"/>
      <c r="AB316" s="451"/>
      <c r="AC316" s="326"/>
      <c r="AD316" s="327"/>
      <c r="AE316" s="526"/>
      <c r="AF316" s="326"/>
      <c r="AG316" s="327"/>
      <c r="AH316" s="607"/>
      <c r="AI316" s="326"/>
      <c r="AJ316" s="327"/>
      <c r="AK316" s="497"/>
      <c r="AL316" s="326"/>
      <c r="AM316" s="327"/>
      <c r="AN316" s="44"/>
      <c r="AO316" s="45"/>
      <c r="AP316" s="44"/>
      <c r="AQ316" s="45"/>
      <c r="AR316" s="44"/>
      <c r="AS316" s="45"/>
      <c r="AT316" s="44"/>
      <c r="AU316" s="45"/>
      <c r="AV316" s="44"/>
      <c r="AW316" s="45"/>
      <c r="AX316" s="44"/>
      <c r="AY316" s="45"/>
      <c r="AZ316" s="50"/>
      <c r="BA316" s="47"/>
      <c r="BB316" s="50"/>
      <c r="BC316" s="47"/>
      <c r="BD316" s="50"/>
      <c r="BE316" s="47"/>
      <c r="BF316" s="50"/>
      <c r="BG316" s="47"/>
      <c r="BH316" s="50"/>
      <c r="BI316" s="608" t="s">
        <v>307</v>
      </c>
      <c r="BJ316" s="326"/>
      <c r="BK316" s="326"/>
      <c r="BL316" s="326"/>
      <c r="BM316" s="326"/>
      <c r="BN316" s="326"/>
      <c r="BO316" s="326"/>
      <c r="BP316" s="326"/>
      <c r="BQ316" s="326"/>
      <c r="BR316" s="326"/>
      <c r="BS316" s="326"/>
      <c r="BT316" s="326"/>
      <c r="BU316" s="326"/>
      <c r="BV316" s="327"/>
    </row>
    <row r="317" spans="1:74" ht="30" customHeight="1" x14ac:dyDescent="0.25">
      <c r="A317" s="49">
        <f t="shared" si="1"/>
        <v>303</v>
      </c>
      <c r="B317" s="42" t="s">
        <v>334</v>
      </c>
      <c r="C317" s="43"/>
      <c r="D317" s="609"/>
      <c r="E317" s="326"/>
      <c r="F317" s="326"/>
      <c r="G317" s="326"/>
      <c r="H317" s="326"/>
      <c r="I317" s="326"/>
      <c r="J317" s="326"/>
      <c r="K317" s="327"/>
      <c r="L317" s="610"/>
      <c r="M317" s="326"/>
      <c r="N317" s="326"/>
      <c r="O317" s="327"/>
      <c r="P317" s="609"/>
      <c r="Q317" s="326"/>
      <c r="R317" s="326"/>
      <c r="S317" s="327"/>
      <c r="T317" s="610"/>
      <c r="U317" s="326"/>
      <c r="V317" s="326"/>
      <c r="W317" s="327"/>
      <c r="X317" s="609"/>
      <c r="Y317" s="326"/>
      <c r="Z317" s="326"/>
      <c r="AA317" s="327"/>
      <c r="AB317" s="451"/>
      <c r="AC317" s="326"/>
      <c r="AD317" s="327"/>
      <c r="AE317" s="526"/>
      <c r="AF317" s="326"/>
      <c r="AG317" s="327"/>
      <c r="AH317" s="607"/>
      <c r="AI317" s="326"/>
      <c r="AJ317" s="327"/>
      <c r="AK317" s="497"/>
      <c r="AL317" s="326"/>
      <c r="AM317" s="327"/>
      <c r="AN317" s="44"/>
      <c r="AO317" s="45"/>
      <c r="AP317" s="44"/>
      <c r="AQ317" s="45"/>
      <c r="AR317" s="44"/>
      <c r="AS317" s="45"/>
      <c r="AT317" s="44"/>
      <c r="AU317" s="45"/>
      <c r="AV317" s="44"/>
      <c r="AW317" s="45"/>
      <c r="AX317" s="44"/>
      <c r="AY317" s="45"/>
      <c r="AZ317" s="50"/>
      <c r="BA317" s="47"/>
      <c r="BB317" s="50"/>
      <c r="BC317" s="47"/>
      <c r="BD317" s="50"/>
      <c r="BE317" s="47"/>
      <c r="BF317" s="50"/>
      <c r="BG317" s="47"/>
      <c r="BH317" s="50"/>
      <c r="BI317" s="608" t="s">
        <v>307</v>
      </c>
      <c r="BJ317" s="326"/>
      <c r="BK317" s="326"/>
      <c r="BL317" s="326"/>
      <c r="BM317" s="326"/>
      <c r="BN317" s="326"/>
      <c r="BO317" s="326"/>
      <c r="BP317" s="326"/>
      <c r="BQ317" s="326"/>
      <c r="BR317" s="326"/>
      <c r="BS317" s="326"/>
      <c r="BT317" s="326"/>
      <c r="BU317" s="326"/>
      <c r="BV317" s="327"/>
    </row>
    <row r="318" spans="1:74" ht="30" customHeight="1" x14ac:dyDescent="0.25">
      <c r="A318" s="49">
        <f t="shared" si="1"/>
        <v>304</v>
      </c>
      <c r="B318" s="42" t="s">
        <v>334</v>
      </c>
      <c r="C318" s="43"/>
      <c r="D318" s="609"/>
      <c r="E318" s="326"/>
      <c r="F318" s="326"/>
      <c r="G318" s="326"/>
      <c r="H318" s="326"/>
      <c r="I318" s="326"/>
      <c r="J318" s="326"/>
      <c r="K318" s="327"/>
      <c r="L318" s="610"/>
      <c r="M318" s="326"/>
      <c r="N318" s="326"/>
      <c r="O318" s="327"/>
      <c r="P318" s="609"/>
      <c r="Q318" s="326"/>
      <c r="R318" s="326"/>
      <c r="S318" s="327"/>
      <c r="T318" s="610"/>
      <c r="U318" s="326"/>
      <c r="V318" s="326"/>
      <c r="W318" s="327"/>
      <c r="X318" s="609"/>
      <c r="Y318" s="326"/>
      <c r="Z318" s="326"/>
      <c r="AA318" s="327"/>
      <c r="AB318" s="451"/>
      <c r="AC318" s="326"/>
      <c r="AD318" s="327"/>
      <c r="AE318" s="526"/>
      <c r="AF318" s="326"/>
      <c r="AG318" s="327"/>
      <c r="AH318" s="607"/>
      <c r="AI318" s="326"/>
      <c r="AJ318" s="327"/>
      <c r="AK318" s="497"/>
      <c r="AL318" s="326"/>
      <c r="AM318" s="327"/>
      <c r="AN318" s="44"/>
      <c r="AO318" s="45"/>
      <c r="AP318" s="44"/>
      <c r="AQ318" s="45"/>
      <c r="AR318" s="44"/>
      <c r="AS318" s="45"/>
      <c r="AT318" s="44"/>
      <c r="AU318" s="45"/>
      <c r="AV318" s="44"/>
      <c r="AW318" s="45"/>
      <c r="AX318" s="44"/>
      <c r="AY318" s="45"/>
      <c r="AZ318" s="50"/>
      <c r="BA318" s="47"/>
      <c r="BB318" s="50"/>
      <c r="BC318" s="47"/>
      <c r="BD318" s="50"/>
      <c r="BE318" s="47"/>
      <c r="BF318" s="50"/>
      <c r="BG318" s="47"/>
      <c r="BH318" s="50"/>
      <c r="BI318" s="608" t="s">
        <v>307</v>
      </c>
      <c r="BJ318" s="326"/>
      <c r="BK318" s="326"/>
      <c r="BL318" s="326"/>
      <c r="BM318" s="326"/>
      <c r="BN318" s="326"/>
      <c r="BO318" s="326"/>
      <c r="BP318" s="326"/>
      <c r="BQ318" s="326"/>
      <c r="BR318" s="326"/>
      <c r="BS318" s="326"/>
      <c r="BT318" s="326"/>
      <c r="BU318" s="326"/>
      <c r="BV318" s="327"/>
    </row>
    <row r="319" spans="1:74" ht="30" customHeight="1" x14ac:dyDescent="0.25">
      <c r="A319" s="49">
        <f t="shared" si="1"/>
        <v>305</v>
      </c>
      <c r="B319" s="42" t="s">
        <v>334</v>
      </c>
      <c r="C319" s="43"/>
      <c r="D319" s="609"/>
      <c r="E319" s="326"/>
      <c r="F319" s="326"/>
      <c r="G319" s="326"/>
      <c r="H319" s="326"/>
      <c r="I319" s="326"/>
      <c r="J319" s="326"/>
      <c r="K319" s="327"/>
      <c r="L319" s="610"/>
      <c r="M319" s="326"/>
      <c r="N319" s="326"/>
      <c r="O319" s="327"/>
      <c r="P319" s="609"/>
      <c r="Q319" s="326"/>
      <c r="R319" s="326"/>
      <c r="S319" s="327"/>
      <c r="T319" s="610"/>
      <c r="U319" s="326"/>
      <c r="V319" s="326"/>
      <c r="W319" s="327"/>
      <c r="X319" s="609"/>
      <c r="Y319" s="326"/>
      <c r="Z319" s="326"/>
      <c r="AA319" s="327"/>
      <c r="AB319" s="451"/>
      <c r="AC319" s="326"/>
      <c r="AD319" s="327"/>
      <c r="AE319" s="526"/>
      <c r="AF319" s="326"/>
      <c r="AG319" s="327"/>
      <c r="AH319" s="607"/>
      <c r="AI319" s="326"/>
      <c r="AJ319" s="327"/>
      <c r="AK319" s="497"/>
      <c r="AL319" s="326"/>
      <c r="AM319" s="327"/>
      <c r="AN319" s="44"/>
      <c r="AO319" s="45"/>
      <c r="AP319" s="44"/>
      <c r="AQ319" s="45"/>
      <c r="AR319" s="44"/>
      <c r="AS319" s="45"/>
      <c r="AT319" s="44"/>
      <c r="AU319" s="45"/>
      <c r="AV319" s="44"/>
      <c r="AW319" s="45"/>
      <c r="AX319" s="44"/>
      <c r="AY319" s="45"/>
      <c r="AZ319" s="50"/>
      <c r="BA319" s="47"/>
      <c r="BB319" s="50"/>
      <c r="BC319" s="47"/>
      <c r="BD319" s="50"/>
      <c r="BE319" s="47"/>
      <c r="BF319" s="50"/>
      <c r="BG319" s="47"/>
      <c r="BH319" s="50"/>
      <c r="BI319" s="608" t="s">
        <v>303</v>
      </c>
      <c r="BJ319" s="326"/>
      <c r="BK319" s="326"/>
      <c r="BL319" s="326"/>
      <c r="BM319" s="326"/>
      <c r="BN319" s="326"/>
      <c r="BO319" s="326"/>
      <c r="BP319" s="326"/>
      <c r="BQ319" s="326"/>
      <c r="BR319" s="326"/>
      <c r="BS319" s="326"/>
      <c r="BT319" s="326"/>
      <c r="BU319" s="326"/>
      <c r="BV319" s="327"/>
    </row>
    <row r="320" spans="1:74" ht="30" customHeight="1" x14ac:dyDescent="0.25">
      <c r="A320" s="49">
        <f t="shared" si="1"/>
        <v>306</v>
      </c>
      <c r="B320" s="42" t="s">
        <v>334</v>
      </c>
      <c r="C320" s="43"/>
      <c r="D320" s="609"/>
      <c r="E320" s="326"/>
      <c r="F320" s="326"/>
      <c r="G320" s="326"/>
      <c r="H320" s="326"/>
      <c r="I320" s="326"/>
      <c r="J320" s="326"/>
      <c r="K320" s="327"/>
      <c r="L320" s="610"/>
      <c r="M320" s="326"/>
      <c r="N320" s="326"/>
      <c r="O320" s="327"/>
      <c r="P320" s="609"/>
      <c r="Q320" s="326"/>
      <c r="R320" s="326"/>
      <c r="S320" s="327"/>
      <c r="T320" s="610"/>
      <c r="U320" s="326"/>
      <c r="V320" s="326"/>
      <c r="W320" s="327"/>
      <c r="X320" s="609"/>
      <c r="Y320" s="326"/>
      <c r="Z320" s="326"/>
      <c r="AA320" s="327"/>
      <c r="AB320" s="451"/>
      <c r="AC320" s="326"/>
      <c r="AD320" s="327"/>
      <c r="AE320" s="526"/>
      <c r="AF320" s="326"/>
      <c r="AG320" s="327"/>
      <c r="AH320" s="607"/>
      <c r="AI320" s="326"/>
      <c r="AJ320" s="327"/>
      <c r="AK320" s="497"/>
      <c r="AL320" s="326"/>
      <c r="AM320" s="327"/>
      <c r="AN320" s="44"/>
      <c r="AO320" s="45"/>
      <c r="AP320" s="44"/>
      <c r="AQ320" s="45"/>
      <c r="AR320" s="44"/>
      <c r="AS320" s="45"/>
      <c r="AT320" s="44"/>
      <c r="AU320" s="45"/>
      <c r="AV320" s="44"/>
      <c r="AW320" s="45"/>
      <c r="AX320" s="44"/>
      <c r="AY320" s="45"/>
      <c r="AZ320" s="50"/>
      <c r="BA320" s="47"/>
      <c r="BB320" s="50"/>
      <c r="BC320" s="47"/>
      <c r="BD320" s="50"/>
      <c r="BE320" s="47"/>
      <c r="BF320" s="50"/>
      <c r="BG320" s="47"/>
      <c r="BH320" s="50"/>
      <c r="BI320" s="608" t="s">
        <v>303</v>
      </c>
      <c r="BJ320" s="326"/>
      <c r="BK320" s="326"/>
      <c r="BL320" s="326"/>
      <c r="BM320" s="326"/>
      <c r="BN320" s="326"/>
      <c r="BO320" s="326"/>
      <c r="BP320" s="326"/>
      <c r="BQ320" s="326"/>
      <c r="BR320" s="326"/>
      <c r="BS320" s="326"/>
      <c r="BT320" s="326"/>
      <c r="BU320" s="326"/>
      <c r="BV320" s="327"/>
    </row>
    <row r="321" spans="1:74" ht="30" customHeight="1" x14ac:dyDescent="0.25">
      <c r="A321" s="41">
        <f t="shared" si="1"/>
        <v>307</v>
      </c>
      <c r="B321" s="42" t="s">
        <v>334</v>
      </c>
      <c r="C321" s="43"/>
      <c r="D321" s="609"/>
      <c r="E321" s="326"/>
      <c r="F321" s="326"/>
      <c r="G321" s="326"/>
      <c r="H321" s="326"/>
      <c r="I321" s="326"/>
      <c r="J321" s="326"/>
      <c r="K321" s="327"/>
      <c r="L321" s="610"/>
      <c r="M321" s="326"/>
      <c r="N321" s="326"/>
      <c r="O321" s="327"/>
      <c r="P321" s="609"/>
      <c r="Q321" s="326"/>
      <c r="R321" s="326"/>
      <c r="S321" s="327"/>
      <c r="T321" s="610"/>
      <c r="U321" s="326"/>
      <c r="V321" s="326"/>
      <c r="W321" s="327"/>
      <c r="X321" s="609"/>
      <c r="Y321" s="326"/>
      <c r="Z321" s="326"/>
      <c r="AA321" s="327"/>
      <c r="AB321" s="451"/>
      <c r="AC321" s="326"/>
      <c r="AD321" s="327"/>
      <c r="AE321" s="526"/>
      <c r="AF321" s="326"/>
      <c r="AG321" s="327"/>
      <c r="AH321" s="607"/>
      <c r="AI321" s="326"/>
      <c r="AJ321" s="327"/>
      <c r="AK321" s="497"/>
      <c r="AL321" s="326"/>
      <c r="AM321" s="327"/>
      <c r="AN321" s="44"/>
      <c r="AO321" s="45"/>
      <c r="AP321" s="44"/>
      <c r="AQ321" s="45"/>
      <c r="AR321" s="44"/>
      <c r="AS321" s="45"/>
      <c r="AT321" s="44"/>
      <c r="AU321" s="45"/>
      <c r="AV321" s="44"/>
      <c r="AW321" s="45"/>
      <c r="AX321" s="44"/>
      <c r="AY321" s="45"/>
      <c r="AZ321" s="50"/>
      <c r="BA321" s="47"/>
      <c r="BB321" s="50"/>
      <c r="BC321" s="47"/>
      <c r="BD321" s="50"/>
      <c r="BE321" s="47"/>
      <c r="BF321" s="50"/>
      <c r="BG321" s="47"/>
      <c r="BH321" s="50"/>
      <c r="BI321" s="608" t="s">
        <v>307</v>
      </c>
      <c r="BJ321" s="326"/>
      <c r="BK321" s="326"/>
      <c r="BL321" s="326"/>
      <c r="BM321" s="326"/>
      <c r="BN321" s="326"/>
      <c r="BO321" s="326"/>
      <c r="BP321" s="326"/>
      <c r="BQ321" s="326"/>
      <c r="BR321" s="326"/>
      <c r="BS321" s="326"/>
      <c r="BT321" s="326"/>
      <c r="BU321" s="326"/>
      <c r="BV321" s="327"/>
    </row>
    <row r="322" spans="1:74" ht="30" customHeight="1" x14ac:dyDescent="0.25">
      <c r="A322" s="49">
        <f t="shared" si="1"/>
        <v>308</v>
      </c>
      <c r="B322" s="42" t="s">
        <v>334</v>
      </c>
      <c r="C322" s="43"/>
      <c r="D322" s="609"/>
      <c r="E322" s="326"/>
      <c r="F322" s="326"/>
      <c r="G322" s="326"/>
      <c r="H322" s="326"/>
      <c r="I322" s="326"/>
      <c r="J322" s="326"/>
      <c r="K322" s="327"/>
      <c r="L322" s="610"/>
      <c r="M322" s="326"/>
      <c r="N322" s="326"/>
      <c r="O322" s="327"/>
      <c r="P322" s="609"/>
      <c r="Q322" s="326"/>
      <c r="R322" s="326"/>
      <c r="S322" s="327"/>
      <c r="T322" s="610"/>
      <c r="U322" s="326"/>
      <c r="V322" s="326"/>
      <c r="W322" s="327"/>
      <c r="X322" s="609"/>
      <c r="Y322" s="326"/>
      <c r="Z322" s="326"/>
      <c r="AA322" s="327"/>
      <c r="AB322" s="451"/>
      <c r="AC322" s="326"/>
      <c r="AD322" s="327"/>
      <c r="AE322" s="526"/>
      <c r="AF322" s="326"/>
      <c r="AG322" s="327"/>
      <c r="AH322" s="607"/>
      <c r="AI322" s="326"/>
      <c r="AJ322" s="327"/>
      <c r="AK322" s="497"/>
      <c r="AL322" s="326"/>
      <c r="AM322" s="327"/>
      <c r="AN322" s="44"/>
      <c r="AO322" s="45"/>
      <c r="AP322" s="44"/>
      <c r="AQ322" s="45"/>
      <c r="AR322" s="44"/>
      <c r="AS322" s="45"/>
      <c r="AT322" s="44"/>
      <c r="AU322" s="45"/>
      <c r="AV322" s="44"/>
      <c r="AW322" s="45"/>
      <c r="AX322" s="44"/>
      <c r="AY322" s="45"/>
      <c r="AZ322" s="50"/>
      <c r="BA322" s="47"/>
      <c r="BB322" s="50"/>
      <c r="BC322" s="47"/>
      <c r="BD322" s="50"/>
      <c r="BE322" s="47"/>
      <c r="BF322" s="50"/>
      <c r="BG322" s="47"/>
      <c r="BH322" s="50"/>
      <c r="BI322" s="608" t="s">
        <v>307</v>
      </c>
      <c r="BJ322" s="326"/>
      <c r="BK322" s="326"/>
      <c r="BL322" s="326"/>
      <c r="BM322" s="326"/>
      <c r="BN322" s="326"/>
      <c r="BO322" s="326"/>
      <c r="BP322" s="326"/>
      <c r="BQ322" s="326"/>
      <c r="BR322" s="326"/>
      <c r="BS322" s="326"/>
      <c r="BT322" s="326"/>
      <c r="BU322" s="326"/>
      <c r="BV322" s="327"/>
    </row>
    <row r="323" spans="1:74" ht="30" customHeight="1" x14ac:dyDescent="0.25">
      <c r="A323" s="49">
        <f t="shared" si="1"/>
        <v>309</v>
      </c>
      <c r="B323" s="42" t="s">
        <v>334</v>
      </c>
      <c r="C323" s="43"/>
      <c r="D323" s="609"/>
      <c r="E323" s="326"/>
      <c r="F323" s="326"/>
      <c r="G323" s="326"/>
      <c r="H323" s="326"/>
      <c r="I323" s="326"/>
      <c r="J323" s="326"/>
      <c r="K323" s="327"/>
      <c r="L323" s="610"/>
      <c r="M323" s="326"/>
      <c r="N323" s="326"/>
      <c r="O323" s="327"/>
      <c r="P323" s="609"/>
      <c r="Q323" s="326"/>
      <c r="R323" s="326"/>
      <c r="S323" s="327"/>
      <c r="T323" s="610"/>
      <c r="U323" s="326"/>
      <c r="V323" s="326"/>
      <c r="W323" s="327"/>
      <c r="X323" s="609"/>
      <c r="Y323" s="326"/>
      <c r="Z323" s="326"/>
      <c r="AA323" s="327"/>
      <c r="AB323" s="451"/>
      <c r="AC323" s="326"/>
      <c r="AD323" s="327"/>
      <c r="AE323" s="526"/>
      <c r="AF323" s="326"/>
      <c r="AG323" s="327"/>
      <c r="AH323" s="607"/>
      <c r="AI323" s="326"/>
      <c r="AJ323" s="327"/>
      <c r="AK323" s="497"/>
      <c r="AL323" s="326"/>
      <c r="AM323" s="327"/>
      <c r="AN323" s="44"/>
      <c r="AO323" s="45"/>
      <c r="AP323" s="44"/>
      <c r="AQ323" s="45"/>
      <c r="AR323" s="44"/>
      <c r="AS323" s="45"/>
      <c r="AT323" s="44"/>
      <c r="AU323" s="45"/>
      <c r="AV323" s="44"/>
      <c r="AW323" s="45"/>
      <c r="AX323" s="44"/>
      <c r="AY323" s="45"/>
      <c r="AZ323" s="50"/>
      <c r="BA323" s="47"/>
      <c r="BB323" s="50"/>
      <c r="BC323" s="47"/>
      <c r="BD323" s="50"/>
      <c r="BE323" s="47"/>
      <c r="BF323" s="50"/>
      <c r="BG323" s="47"/>
      <c r="BH323" s="50"/>
      <c r="BI323" s="608" t="s">
        <v>307</v>
      </c>
      <c r="BJ323" s="326"/>
      <c r="BK323" s="326"/>
      <c r="BL323" s="326"/>
      <c r="BM323" s="326"/>
      <c r="BN323" s="326"/>
      <c r="BO323" s="326"/>
      <c r="BP323" s="326"/>
      <c r="BQ323" s="326"/>
      <c r="BR323" s="326"/>
      <c r="BS323" s="326"/>
      <c r="BT323" s="326"/>
      <c r="BU323" s="326"/>
      <c r="BV323" s="327"/>
    </row>
    <row r="324" spans="1:74" ht="30" customHeight="1" x14ac:dyDescent="0.25">
      <c r="A324" s="49">
        <f t="shared" si="1"/>
        <v>310</v>
      </c>
      <c r="B324" s="42" t="s">
        <v>334</v>
      </c>
      <c r="C324" s="43"/>
      <c r="D324" s="609"/>
      <c r="E324" s="326"/>
      <c r="F324" s="326"/>
      <c r="G324" s="326"/>
      <c r="H324" s="326"/>
      <c r="I324" s="326"/>
      <c r="J324" s="326"/>
      <c r="K324" s="327"/>
      <c r="L324" s="610"/>
      <c r="M324" s="326"/>
      <c r="N324" s="326"/>
      <c r="O324" s="327"/>
      <c r="P324" s="609"/>
      <c r="Q324" s="326"/>
      <c r="R324" s="326"/>
      <c r="S324" s="327"/>
      <c r="T324" s="610"/>
      <c r="U324" s="326"/>
      <c r="V324" s="326"/>
      <c r="W324" s="327"/>
      <c r="X324" s="609"/>
      <c r="Y324" s="326"/>
      <c r="Z324" s="326"/>
      <c r="AA324" s="327"/>
      <c r="AB324" s="451"/>
      <c r="AC324" s="326"/>
      <c r="AD324" s="327"/>
      <c r="AE324" s="526"/>
      <c r="AF324" s="326"/>
      <c r="AG324" s="327"/>
      <c r="AH324" s="607"/>
      <c r="AI324" s="326"/>
      <c r="AJ324" s="327"/>
      <c r="AK324" s="497"/>
      <c r="AL324" s="326"/>
      <c r="AM324" s="327"/>
      <c r="AN324" s="44"/>
      <c r="AO324" s="45"/>
      <c r="AP324" s="44"/>
      <c r="AQ324" s="45"/>
      <c r="AR324" s="44"/>
      <c r="AS324" s="45"/>
      <c r="AT324" s="44"/>
      <c r="AU324" s="45"/>
      <c r="AV324" s="44"/>
      <c r="AW324" s="45"/>
      <c r="AX324" s="44"/>
      <c r="AY324" s="45"/>
      <c r="AZ324" s="50"/>
      <c r="BA324" s="47"/>
      <c r="BB324" s="50"/>
      <c r="BC324" s="47"/>
      <c r="BD324" s="50"/>
      <c r="BE324" s="47"/>
      <c r="BF324" s="50"/>
      <c r="BG324" s="47"/>
      <c r="BH324" s="50"/>
      <c r="BI324" s="608" t="s">
        <v>307</v>
      </c>
      <c r="BJ324" s="326"/>
      <c r="BK324" s="326"/>
      <c r="BL324" s="326"/>
      <c r="BM324" s="326"/>
      <c r="BN324" s="326"/>
      <c r="BO324" s="326"/>
      <c r="BP324" s="326"/>
      <c r="BQ324" s="326"/>
      <c r="BR324" s="326"/>
      <c r="BS324" s="326"/>
      <c r="BT324" s="326"/>
      <c r="BU324" s="326"/>
      <c r="BV324" s="327"/>
    </row>
    <row r="325" spans="1:74" ht="30" customHeight="1" x14ac:dyDescent="0.25">
      <c r="A325" s="49">
        <f t="shared" si="1"/>
        <v>311</v>
      </c>
      <c r="B325" s="42" t="s">
        <v>334</v>
      </c>
      <c r="C325" s="43"/>
      <c r="D325" s="609"/>
      <c r="E325" s="326"/>
      <c r="F325" s="326"/>
      <c r="G325" s="326"/>
      <c r="H325" s="326"/>
      <c r="I325" s="326"/>
      <c r="J325" s="326"/>
      <c r="K325" s="327"/>
      <c r="L325" s="610"/>
      <c r="M325" s="326"/>
      <c r="N325" s="326"/>
      <c r="O325" s="327"/>
      <c r="P325" s="609"/>
      <c r="Q325" s="326"/>
      <c r="R325" s="326"/>
      <c r="S325" s="327"/>
      <c r="T325" s="610"/>
      <c r="U325" s="326"/>
      <c r="V325" s="326"/>
      <c r="W325" s="327"/>
      <c r="X325" s="609"/>
      <c r="Y325" s="326"/>
      <c r="Z325" s="326"/>
      <c r="AA325" s="327"/>
      <c r="AB325" s="451"/>
      <c r="AC325" s="326"/>
      <c r="AD325" s="327"/>
      <c r="AE325" s="526"/>
      <c r="AF325" s="326"/>
      <c r="AG325" s="327"/>
      <c r="AH325" s="607"/>
      <c r="AI325" s="326"/>
      <c r="AJ325" s="327"/>
      <c r="AK325" s="497"/>
      <c r="AL325" s="326"/>
      <c r="AM325" s="327"/>
      <c r="AN325" s="44"/>
      <c r="AO325" s="45"/>
      <c r="AP325" s="44"/>
      <c r="AQ325" s="45"/>
      <c r="AR325" s="44"/>
      <c r="AS325" s="45"/>
      <c r="AT325" s="44"/>
      <c r="AU325" s="45"/>
      <c r="AV325" s="44"/>
      <c r="AW325" s="45"/>
      <c r="AX325" s="44"/>
      <c r="AY325" s="45"/>
      <c r="AZ325" s="50"/>
      <c r="BA325" s="47"/>
      <c r="BB325" s="50"/>
      <c r="BC325" s="47"/>
      <c r="BD325" s="50"/>
      <c r="BE325" s="47"/>
      <c r="BF325" s="50"/>
      <c r="BG325" s="47"/>
      <c r="BH325" s="50"/>
      <c r="BI325" s="608" t="s">
        <v>307</v>
      </c>
      <c r="BJ325" s="326"/>
      <c r="BK325" s="326"/>
      <c r="BL325" s="326"/>
      <c r="BM325" s="326"/>
      <c r="BN325" s="326"/>
      <c r="BO325" s="326"/>
      <c r="BP325" s="326"/>
      <c r="BQ325" s="326"/>
      <c r="BR325" s="326"/>
      <c r="BS325" s="326"/>
      <c r="BT325" s="326"/>
      <c r="BU325" s="326"/>
      <c r="BV325" s="327"/>
    </row>
    <row r="326" spans="1:74" ht="30" customHeight="1" x14ac:dyDescent="0.25">
      <c r="A326" s="49">
        <f t="shared" si="1"/>
        <v>312</v>
      </c>
      <c r="B326" s="42" t="s">
        <v>334</v>
      </c>
      <c r="C326" s="43"/>
      <c r="D326" s="609"/>
      <c r="E326" s="326"/>
      <c r="F326" s="326"/>
      <c r="G326" s="326"/>
      <c r="H326" s="326"/>
      <c r="I326" s="326"/>
      <c r="J326" s="326"/>
      <c r="K326" s="327"/>
      <c r="L326" s="610"/>
      <c r="M326" s="326"/>
      <c r="N326" s="326"/>
      <c r="O326" s="327"/>
      <c r="P326" s="609"/>
      <c r="Q326" s="326"/>
      <c r="R326" s="326"/>
      <c r="S326" s="327"/>
      <c r="T326" s="610"/>
      <c r="U326" s="326"/>
      <c r="V326" s="326"/>
      <c r="W326" s="327"/>
      <c r="X326" s="609"/>
      <c r="Y326" s="326"/>
      <c r="Z326" s="326"/>
      <c r="AA326" s="327"/>
      <c r="AB326" s="451"/>
      <c r="AC326" s="326"/>
      <c r="AD326" s="327"/>
      <c r="AE326" s="526"/>
      <c r="AF326" s="326"/>
      <c r="AG326" s="327"/>
      <c r="AH326" s="607"/>
      <c r="AI326" s="326"/>
      <c r="AJ326" s="327"/>
      <c r="AK326" s="497"/>
      <c r="AL326" s="326"/>
      <c r="AM326" s="327"/>
      <c r="AN326" s="44"/>
      <c r="AO326" s="45"/>
      <c r="AP326" s="44"/>
      <c r="AQ326" s="45"/>
      <c r="AR326" s="44"/>
      <c r="AS326" s="45"/>
      <c r="AT326" s="44"/>
      <c r="AU326" s="45"/>
      <c r="AV326" s="44"/>
      <c r="AW326" s="45"/>
      <c r="AX326" s="44"/>
      <c r="AY326" s="45"/>
      <c r="AZ326" s="50"/>
      <c r="BA326" s="47"/>
      <c r="BB326" s="50"/>
      <c r="BC326" s="47"/>
      <c r="BD326" s="50"/>
      <c r="BE326" s="47"/>
      <c r="BF326" s="50"/>
      <c r="BG326" s="47"/>
      <c r="BH326" s="50"/>
      <c r="BI326" s="608" t="s">
        <v>303</v>
      </c>
      <c r="BJ326" s="326"/>
      <c r="BK326" s="326"/>
      <c r="BL326" s="326"/>
      <c r="BM326" s="326"/>
      <c r="BN326" s="326"/>
      <c r="BO326" s="326"/>
      <c r="BP326" s="326"/>
      <c r="BQ326" s="326"/>
      <c r="BR326" s="326"/>
      <c r="BS326" s="326"/>
      <c r="BT326" s="326"/>
      <c r="BU326" s="326"/>
      <c r="BV326" s="327"/>
    </row>
    <row r="327" spans="1:74" ht="30" customHeight="1" x14ac:dyDescent="0.25">
      <c r="A327" s="41">
        <f t="shared" si="1"/>
        <v>313</v>
      </c>
      <c r="B327" s="42" t="s">
        <v>334</v>
      </c>
      <c r="C327" s="43"/>
      <c r="D327" s="609"/>
      <c r="E327" s="326"/>
      <c r="F327" s="326"/>
      <c r="G327" s="326"/>
      <c r="H327" s="326"/>
      <c r="I327" s="326"/>
      <c r="J327" s="326"/>
      <c r="K327" s="327"/>
      <c r="L327" s="610"/>
      <c r="M327" s="326"/>
      <c r="N327" s="326"/>
      <c r="O327" s="327"/>
      <c r="P327" s="609"/>
      <c r="Q327" s="326"/>
      <c r="R327" s="326"/>
      <c r="S327" s="327"/>
      <c r="T327" s="610"/>
      <c r="U327" s="326"/>
      <c r="V327" s="326"/>
      <c r="W327" s="327"/>
      <c r="X327" s="609"/>
      <c r="Y327" s="326"/>
      <c r="Z327" s="326"/>
      <c r="AA327" s="327"/>
      <c r="AB327" s="451"/>
      <c r="AC327" s="326"/>
      <c r="AD327" s="327"/>
      <c r="AE327" s="526"/>
      <c r="AF327" s="326"/>
      <c r="AG327" s="327"/>
      <c r="AH327" s="607"/>
      <c r="AI327" s="326"/>
      <c r="AJ327" s="327"/>
      <c r="AK327" s="497"/>
      <c r="AL327" s="326"/>
      <c r="AM327" s="327"/>
      <c r="AN327" s="44"/>
      <c r="AO327" s="45"/>
      <c r="AP327" s="44"/>
      <c r="AQ327" s="45"/>
      <c r="AR327" s="44"/>
      <c r="AS327" s="45"/>
      <c r="AT327" s="44"/>
      <c r="AU327" s="45"/>
      <c r="AV327" s="44"/>
      <c r="AW327" s="45"/>
      <c r="AX327" s="44"/>
      <c r="AY327" s="45"/>
      <c r="AZ327" s="50"/>
      <c r="BA327" s="47"/>
      <c r="BB327" s="50"/>
      <c r="BC327" s="47"/>
      <c r="BD327" s="50"/>
      <c r="BE327" s="47"/>
      <c r="BF327" s="50"/>
      <c r="BG327" s="47"/>
      <c r="BH327" s="50"/>
      <c r="BI327" s="608" t="s">
        <v>307</v>
      </c>
      <c r="BJ327" s="326"/>
      <c r="BK327" s="326"/>
      <c r="BL327" s="326"/>
      <c r="BM327" s="326"/>
      <c r="BN327" s="326"/>
      <c r="BO327" s="326"/>
      <c r="BP327" s="326"/>
      <c r="BQ327" s="326"/>
      <c r="BR327" s="326"/>
      <c r="BS327" s="326"/>
      <c r="BT327" s="326"/>
      <c r="BU327" s="326"/>
      <c r="BV327" s="327"/>
    </row>
    <row r="328" spans="1:74" ht="30" customHeight="1" x14ac:dyDescent="0.25">
      <c r="A328" s="49">
        <f t="shared" si="1"/>
        <v>314</v>
      </c>
      <c r="B328" s="42" t="s">
        <v>334</v>
      </c>
      <c r="C328" s="43"/>
      <c r="D328" s="609"/>
      <c r="E328" s="326"/>
      <c r="F328" s="326"/>
      <c r="G328" s="326"/>
      <c r="H328" s="326"/>
      <c r="I328" s="326"/>
      <c r="J328" s="326"/>
      <c r="K328" s="327"/>
      <c r="L328" s="610"/>
      <c r="M328" s="326"/>
      <c r="N328" s="326"/>
      <c r="O328" s="327"/>
      <c r="P328" s="609"/>
      <c r="Q328" s="326"/>
      <c r="R328" s="326"/>
      <c r="S328" s="327"/>
      <c r="T328" s="610"/>
      <c r="U328" s="326"/>
      <c r="V328" s="326"/>
      <c r="W328" s="327"/>
      <c r="X328" s="609"/>
      <c r="Y328" s="326"/>
      <c r="Z328" s="326"/>
      <c r="AA328" s="327"/>
      <c r="AB328" s="451"/>
      <c r="AC328" s="326"/>
      <c r="AD328" s="327"/>
      <c r="AE328" s="526"/>
      <c r="AF328" s="326"/>
      <c r="AG328" s="327"/>
      <c r="AH328" s="607"/>
      <c r="AI328" s="326"/>
      <c r="AJ328" s="327"/>
      <c r="AK328" s="497"/>
      <c r="AL328" s="326"/>
      <c r="AM328" s="327"/>
      <c r="AN328" s="44"/>
      <c r="AO328" s="45"/>
      <c r="AP328" s="44"/>
      <c r="AQ328" s="45"/>
      <c r="AR328" s="44"/>
      <c r="AS328" s="45"/>
      <c r="AT328" s="44"/>
      <c r="AU328" s="45"/>
      <c r="AV328" s="44"/>
      <c r="AW328" s="45"/>
      <c r="AX328" s="44"/>
      <c r="AY328" s="45"/>
      <c r="AZ328" s="50"/>
      <c r="BA328" s="47"/>
      <c r="BB328" s="50"/>
      <c r="BC328" s="47"/>
      <c r="BD328" s="50"/>
      <c r="BE328" s="47"/>
      <c r="BF328" s="50"/>
      <c r="BG328" s="47"/>
      <c r="BH328" s="50"/>
      <c r="BI328" s="608" t="s">
        <v>307</v>
      </c>
      <c r="BJ328" s="326"/>
      <c r="BK328" s="326"/>
      <c r="BL328" s="326"/>
      <c r="BM328" s="326"/>
      <c r="BN328" s="326"/>
      <c r="BO328" s="326"/>
      <c r="BP328" s="326"/>
      <c r="BQ328" s="326"/>
      <c r="BR328" s="326"/>
      <c r="BS328" s="326"/>
      <c r="BT328" s="326"/>
      <c r="BU328" s="326"/>
      <c r="BV328" s="327"/>
    </row>
    <row r="329" spans="1:74" ht="30" customHeight="1" x14ac:dyDescent="0.25">
      <c r="A329" s="49">
        <f t="shared" si="1"/>
        <v>315</v>
      </c>
      <c r="B329" s="42" t="s">
        <v>334</v>
      </c>
      <c r="C329" s="43"/>
      <c r="D329" s="609"/>
      <c r="E329" s="326"/>
      <c r="F329" s="326"/>
      <c r="G329" s="326"/>
      <c r="H329" s="326"/>
      <c r="I329" s="326"/>
      <c r="J329" s="326"/>
      <c r="K329" s="327"/>
      <c r="L329" s="610"/>
      <c r="M329" s="326"/>
      <c r="N329" s="326"/>
      <c r="O329" s="327"/>
      <c r="P329" s="609"/>
      <c r="Q329" s="326"/>
      <c r="R329" s="326"/>
      <c r="S329" s="327"/>
      <c r="T329" s="610"/>
      <c r="U329" s="326"/>
      <c r="V329" s="326"/>
      <c r="W329" s="327"/>
      <c r="X329" s="609"/>
      <c r="Y329" s="326"/>
      <c r="Z329" s="326"/>
      <c r="AA329" s="327"/>
      <c r="AB329" s="451"/>
      <c r="AC329" s="326"/>
      <c r="AD329" s="327"/>
      <c r="AE329" s="526"/>
      <c r="AF329" s="326"/>
      <c r="AG329" s="327"/>
      <c r="AH329" s="607"/>
      <c r="AI329" s="326"/>
      <c r="AJ329" s="327"/>
      <c r="AK329" s="497"/>
      <c r="AL329" s="326"/>
      <c r="AM329" s="327"/>
      <c r="AN329" s="44"/>
      <c r="AO329" s="45"/>
      <c r="AP329" s="44"/>
      <c r="AQ329" s="45"/>
      <c r="AR329" s="44"/>
      <c r="AS329" s="45"/>
      <c r="AT329" s="44"/>
      <c r="AU329" s="45"/>
      <c r="AV329" s="44"/>
      <c r="AW329" s="45"/>
      <c r="AX329" s="44"/>
      <c r="AY329" s="45"/>
      <c r="AZ329" s="50"/>
      <c r="BA329" s="47"/>
      <c r="BB329" s="50"/>
      <c r="BC329" s="47"/>
      <c r="BD329" s="50"/>
      <c r="BE329" s="47"/>
      <c r="BF329" s="50"/>
      <c r="BG329" s="47"/>
      <c r="BH329" s="50"/>
      <c r="BI329" s="608" t="s">
        <v>307</v>
      </c>
      <c r="BJ329" s="326"/>
      <c r="BK329" s="326"/>
      <c r="BL329" s="326"/>
      <c r="BM329" s="326"/>
      <c r="BN329" s="326"/>
      <c r="BO329" s="326"/>
      <c r="BP329" s="326"/>
      <c r="BQ329" s="326"/>
      <c r="BR329" s="326"/>
      <c r="BS329" s="326"/>
      <c r="BT329" s="326"/>
      <c r="BU329" s="326"/>
      <c r="BV329" s="327"/>
    </row>
    <row r="330" spans="1:74" ht="30" customHeight="1" x14ac:dyDescent="0.25">
      <c r="A330" s="49">
        <f t="shared" si="1"/>
        <v>316</v>
      </c>
      <c r="B330" s="42" t="s">
        <v>334</v>
      </c>
      <c r="C330" s="43"/>
      <c r="D330" s="609"/>
      <c r="E330" s="326"/>
      <c r="F330" s="326"/>
      <c r="G330" s="326"/>
      <c r="H330" s="326"/>
      <c r="I330" s="326"/>
      <c r="J330" s="326"/>
      <c r="K330" s="327"/>
      <c r="L330" s="610"/>
      <c r="M330" s="326"/>
      <c r="N330" s="326"/>
      <c r="O330" s="327"/>
      <c r="P330" s="609"/>
      <c r="Q330" s="326"/>
      <c r="R330" s="326"/>
      <c r="S330" s="327"/>
      <c r="T330" s="610"/>
      <c r="U330" s="326"/>
      <c r="V330" s="326"/>
      <c r="W330" s="327"/>
      <c r="X330" s="609"/>
      <c r="Y330" s="326"/>
      <c r="Z330" s="326"/>
      <c r="AA330" s="327"/>
      <c r="AB330" s="451"/>
      <c r="AC330" s="326"/>
      <c r="AD330" s="327"/>
      <c r="AE330" s="526"/>
      <c r="AF330" s="326"/>
      <c r="AG330" s="327"/>
      <c r="AH330" s="607"/>
      <c r="AI330" s="326"/>
      <c r="AJ330" s="327"/>
      <c r="AK330" s="497"/>
      <c r="AL330" s="326"/>
      <c r="AM330" s="327"/>
      <c r="AN330" s="44"/>
      <c r="AO330" s="45"/>
      <c r="AP330" s="44"/>
      <c r="AQ330" s="45"/>
      <c r="AR330" s="44"/>
      <c r="AS330" s="45"/>
      <c r="AT330" s="44"/>
      <c r="AU330" s="45"/>
      <c r="AV330" s="44"/>
      <c r="AW330" s="45"/>
      <c r="AX330" s="44"/>
      <c r="AY330" s="45"/>
      <c r="AZ330" s="50"/>
      <c r="BA330" s="47"/>
      <c r="BB330" s="50"/>
      <c r="BC330" s="47"/>
      <c r="BD330" s="50"/>
      <c r="BE330" s="47"/>
      <c r="BF330" s="50"/>
      <c r="BG330" s="47"/>
      <c r="BH330" s="50"/>
      <c r="BI330" s="608" t="s">
        <v>307</v>
      </c>
      <c r="BJ330" s="326"/>
      <c r="BK330" s="326"/>
      <c r="BL330" s="326"/>
      <c r="BM330" s="326"/>
      <c r="BN330" s="326"/>
      <c r="BO330" s="326"/>
      <c r="BP330" s="326"/>
      <c r="BQ330" s="326"/>
      <c r="BR330" s="326"/>
      <c r="BS330" s="326"/>
      <c r="BT330" s="326"/>
      <c r="BU330" s="326"/>
      <c r="BV330" s="327"/>
    </row>
    <row r="331" spans="1:74" ht="30" customHeight="1" x14ac:dyDescent="0.25">
      <c r="A331" s="49">
        <f t="shared" si="1"/>
        <v>317</v>
      </c>
      <c r="B331" s="42" t="s">
        <v>334</v>
      </c>
      <c r="C331" s="43"/>
      <c r="D331" s="609"/>
      <c r="E331" s="326"/>
      <c r="F331" s="326"/>
      <c r="G331" s="326"/>
      <c r="H331" s="326"/>
      <c r="I331" s="326"/>
      <c r="J331" s="326"/>
      <c r="K331" s="327"/>
      <c r="L331" s="610"/>
      <c r="M331" s="326"/>
      <c r="N331" s="326"/>
      <c r="O331" s="327"/>
      <c r="P331" s="609"/>
      <c r="Q331" s="326"/>
      <c r="R331" s="326"/>
      <c r="S331" s="327"/>
      <c r="T331" s="610"/>
      <c r="U331" s="326"/>
      <c r="V331" s="326"/>
      <c r="W331" s="327"/>
      <c r="X331" s="609"/>
      <c r="Y331" s="326"/>
      <c r="Z331" s="326"/>
      <c r="AA331" s="327"/>
      <c r="AB331" s="451"/>
      <c r="AC331" s="326"/>
      <c r="AD331" s="327"/>
      <c r="AE331" s="526"/>
      <c r="AF331" s="326"/>
      <c r="AG331" s="327"/>
      <c r="AH331" s="607"/>
      <c r="AI331" s="326"/>
      <c r="AJ331" s="327"/>
      <c r="AK331" s="497"/>
      <c r="AL331" s="326"/>
      <c r="AM331" s="327"/>
      <c r="AN331" s="44"/>
      <c r="AO331" s="45"/>
      <c r="AP331" s="44"/>
      <c r="AQ331" s="45"/>
      <c r="AR331" s="44"/>
      <c r="AS331" s="45"/>
      <c r="AT331" s="44"/>
      <c r="AU331" s="45"/>
      <c r="AV331" s="44"/>
      <c r="AW331" s="45"/>
      <c r="AX331" s="44"/>
      <c r="AY331" s="45"/>
      <c r="AZ331" s="50"/>
      <c r="BA331" s="47"/>
      <c r="BB331" s="50"/>
      <c r="BC331" s="47"/>
      <c r="BD331" s="50"/>
      <c r="BE331" s="47"/>
      <c r="BF331" s="50"/>
      <c r="BG331" s="47"/>
      <c r="BH331" s="50"/>
      <c r="BI331" s="608" t="s">
        <v>307</v>
      </c>
      <c r="BJ331" s="326"/>
      <c r="BK331" s="326"/>
      <c r="BL331" s="326"/>
      <c r="BM331" s="326"/>
      <c r="BN331" s="326"/>
      <c r="BO331" s="326"/>
      <c r="BP331" s="326"/>
      <c r="BQ331" s="326"/>
      <c r="BR331" s="326"/>
      <c r="BS331" s="326"/>
      <c r="BT331" s="326"/>
      <c r="BU331" s="326"/>
      <c r="BV331" s="327"/>
    </row>
    <row r="332" spans="1:74" ht="30" customHeight="1" x14ac:dyDescent="0.25">
      <c r="A332" s="49">
        <f t="shared" si="1"/>
        <v>318</v>
      </c>
      <c r="B332" s="42" t="s">
        <v>334</v>
      </c>
      <c r="C332" s="43"/>
      <c r="D332" s="609"/>
      <c r="E332" s="326"/>
      <c r="F332" s="326"/>
      <c r="G332" s="326"/>
      <c r="H332" s="326"/>
      <c r="I332" s="326"/>
      <c r="J332" s="326"/>
      <c r="K332" s="327"/>
      <c r="L332" s="610"/>
      <c r="M332" s="326"/>
      <c r="N332" s="326"/>
      <c r="O332" s="327"/>
      <c r="P332" s="609"/>
      <c r="Q332" s="326"/>
      <c r="R332" s="326"/>
      <c r="S332" s="327"/>
      <c r="T332" s="610"/>
      <c r="U332" s="326"/>
      <c r="V332" s="326"/>
      <c r="W332" s="327"/>
      <c r="X332" s="609"/>
      <c r="Y332" s="326"/>
      <c r="Z332" s="326"/>
      <c r="AA332" s="327"/>
      <c r="AB332" s="451"/>
      <c r="AC332" s="326"/>
      <c r="AD332" s="327"/>
      <c r="AE332" s="526"/>
      <c r="AF332" s="326"/>
      <c r="AG332" s="327"/>
      <c r="AH332" s="607"/>
      <c r="AI332" s="326"/>
      <c r="AJ332" s="327"/>
      <c r="AK332" s="497"/>
      <c r="AL332" s="326"/>
      <c r="AM332" s="327"/>
      <c r="AN332" s="44"/>
      <c r="AO332" s="45"/>
      <c r="AP332" s="44"/>
      <c r="AQ332" s="45"/>
      <c r="AR332" s="44"/>
      <c r="AS332" s="45"/>
      <c r="AT332" s="44"/>
      <c r="AU332" s="45"/>
      <c r="AV332" s="44"/>
      <c r="AW332" s="45"/>
      <c r="AX332" s="44"/>
      <c r="AY332" s="45"/>
      <c r="AZ332" s="50"/>
      <c r="BA332" s="47"/>
      <c r="BB332" s="50"/>
      <c r="BC332" s="47"/>
      <c r="BD332" s="50"/>
      <c r="BE332" s="47"/>
      <c r="BF332" s="50"/>
      <c r="BG332" s="47"/>
      <c r="BH332" s="50"/>
      <c r="BI332" s="608" t="s">
        <v>303</v>
      </c>
      <c r="BJ332" s="326"/>
      <c r="BK332" s="326"/>
      <c r="BL332" s="326"/>
      <c r="BM332" s="326"/>
      <c r="BN332" s="326"/>
      <c r="BO332" s="326"/>
      <c r="BP332" s="326"/>
      <c r="BQ332" s="326"/>
      <c r="BR332" s="326"/>
      <c r="BS332" s="326"/>
      <c r="BT332" s="326"/>
      <c r="BU332" s="326"/>
      <c r="BV332" s="327"/>
    </row>
    <row r="333" spans="1:74" ht="30" customHeight="1" x14ac:dyDescent="0.25">
      <c r="A333" s="49">
        <f t="shared" si="1"/>
        <v>319</v>
      </c>
      <c r="B333" s="42" t="s">
        <v>334</v>
      </c>
      <c r="C333" s="43"/>
      <c r="D333" s="609"/>
      <c r="E333" s="326"/>
      <c r="F333" s="326"/>
      <c r="G333" s="326"/>
      <c r="H333" s="326"/>
      <c r="I333" s="326"/>
      <c r="J333" s="326"/>
      <c r="K333" s="327"/>
      <c r="L333" s="610"/>
      <c r="M333" s="326"/>
      <c r="N333" s="326"/>
      <c r="O333" s="327"/>
      <c r="P333" s="609"/>
      <c r="Q333" s="326"/>
      <c r="R333" s="326"/>
      <c r="S333" s="327"/>
      <c r="T333" s="610"/>
      <c r="U333" s="326"/>
      <c r="V333" s="326"/>
      <c r="W333" s="327"/>
      <c r="X333" s="609"/>
      <c r="Y333" s="326"/>
      <c r="Z333" s="326"/>
      <c r="AA333" s="327"/>
      <c r="AB333" s="451"/>
      <c r="AC333" s="326"/>
      <c r="AD333" s="327"/>
      <c r="AE333" s="526"/>
      <c r="AF333" s="326"/>
      <c r="AG333" s="327"/>
      <c r="AH333" s="607"/>
      <c r="AI333" s="326"/>
      <c r="AJ333" s="327"/>
      <c r="AK333" s="497"/>
      <c r="AL333" s="326"/>
      <c r="AM333" s="327"/>
      <c r="AN333" s="44"/>
      <c r="AO333" s="45"/>
      <c r="AP333" s="44"/>
      <c r="AQ333" s="45"/>
      <c r="AR333" s="44"/>
      <c r="AS333" s="45"/>
      <c r="AT333" s="44"/>
      <c r="AU333" s="45"/>
      <c r="AV333" s="44"/>
      <c r="AW333" s="45"/>
      <c r="AX333" s="44"/>
      <c r="AY333" s="45"/>
      <c r="AZ333" s="50"/>
      <c r="BA333" s="47"/>
      <c r="BB333" s="50"/>
      <c r="BC333" s="47"/>
      <c r="BD333" s="50"/>
      <c r="BE333" s="47"/>
      <c r="BF333" s="50"/>
      <c r="BG333" s="47"/>
      <c r="BH333" s="50"/>
      <c r="BI333" s="608" t="s">
        <v>303</v>
      </c>
      <c r="BJ333" s="326"/>
      <c r="BK333" s="326"/>
      <c r="BL333" s="326"/>
      <c r="BM333" s="326"/>
      <c r="BN333" s="326"/>
      <c r="BO333" s="326"/>
      <c r="BP333" s="326"/>
      <c r="BQ333" s="326"/>
      <c r="BR333" s="326"/>
      <c r="BS333" s="326"/>
      <c r="BT333" s="326"/>
      <c r="BU333" s="326"/>
      <c r="BV333" s="327"/>
    </row>
    <row r="334" spans="1:74" ht="30" customHeight="1" x14ac:dyDescent="0.25">
      <c r="A334" s="41">
        <f t="shared" si="1"/>
        <v>320</v>
      </c>
      <c r="B334" s="42" t="s">
        <v>334</v>
      </c>
      <c r="C334" s="43"/>
      <c r="D334" s="609"/>
      <c r="E334" s="326"/>
      <c r="F334" s="326"/>
      <c r="G334" s="326"/>
      <c r="H334" s="326"/>
      <c r="I334" s="326"/>
      <c r="J334" s="326"/>
      <c r="K334" s="327"/>
      <c r="L334" s="610"/>
      <c r="M334" s="326"/>
      <c r="N334" s="326"/>
      <c r="O334" s="327"/>
      <c r="P334" s="609"/>
      <c r="Q334" s="326"/>
      <c r="R334" s="326"/>
      <c r="S334" s="327"/>
      <c r="T334" s="610"/>
      <c r="U334" s="326"/>
      <c r="V334" s="326"/>
      <c r="W334" s="327"/>
      <c r="X334" s="609"/>
      <c r="Y334" s="326"/>
      <c r="Z334" s="326"/>
      <c r="AA334" s="327"/>
      <c r="AB334" s="451"/>
      <c r="AC334" s="326"/>
      <c r="AD334" s="327"/>
      <c r="AE334" s="526"/>
      <c r="AF334" s="326"/>
      <c r="AG334" s="327"/>
      <c r="AH334" s="607"/>
      <c r="AI334" s="326"/>
      <c r="AJ334" s="327"/>
      <c r="AK334" s="497"/>
      <c r="AL334" s="326"/>
      <c r="AM334" s="327"/>
      <c r="AN334" s="44"/>
      <c r="AO334" s="45"/>
      <c r="AP334" s="44"/>
      <c r="AQ334" s="45"/>
      <c r="AR334" s="44"/>
      <c r="AS334" s="45"/>
      <c r="AT334" s="44"/>
      <c r="AU334" s="45"/>
      <c r="AV334" s="44"/>
      <c r="AW334" s="45"/>
      <c r="AX334" s="44"/>
      <c r="AY334" s="45"/>
      <c r="AZ334" s="50"/>
      <c r="BA334" s="47"/>
      <c r="BB334" s="50"/>
      <c r="BC334" s="47"/>
      <c r="BD334" s="50"/>
      <c r="BE334" s="47"/>
      <c r="BF334" s="50"/>
      <c r="BG334" s="47"/>
      <c r="BH334" s="50"/>
      <c r="BI334" s="608" t="s">
        <v>307</v>
      </c>
      <c r="BJ334" s="326"/>
      <c r="BK334" s="326"/>
      <c r="BL334" s="326"/>
      <c r="BM334" s="326"/>
      <c r="BN334" s="326"/>
      <c r="BO334" s="326"/>
      <c r="BP334" s="326"/>
      <c r="BQ334" s="326"/>
      <c r="BR334" s="326"/>
      <c r="BS334" s="326"/>
      <c r="BT334" s="326"/>
      <c r="BU334" s="326"/>
      <c r="BV334" s="327"/>
    </row>
    <row r="335" spans="1:74" ht="30" customHeight="1" x14ac:dyDescent="0.25">
      <c r="A335" s="49">
        <f t="shared" si="1"/>
        <v>321</v>
      </c>
      <c r="B335" s="42" t="s">
        <v>334</v>
      </c>
      <c r="C335" s="43"/>
      <c r="D335" s="609"/>
      <c r="E335" s="326"/>
      <c r="F335" s="326"/>
      <c r="G335" s="326"/>
      <c r="H335" s="326"/>
      <c r="I335" s="326"/>
      <c r="J335" s="326"/>
      <c r="K335" s="327"/>
      <c r="L335" s="610"/>
      <c r="M335" s="326"/>
      <c r="N335" s="326"/>
      <c r="O335" s="327"/>
      <c r="P335" s="609"/>
      <c r="Q335" s="326"/>
      <c r="R335" s="326"/>
      <c r="S335" s="327"/>
      <c r="T335" s="610"/>
      <c r="U335" s="326"/>
      <c r="V335" s="326"/>
      <c r="W335" s="327"/>
      <c r="X335" s="609"/>
      <c r="Y335" s="326"/>
      <c r="Z335" s="326"/>
      <c r="AA335" s="327"/>
      <c r="AB335" s="451"/>
      <c r="AC335" s="326"/>
      <c r="AD335" s="327"/>
      <c r="AE335" s="526"/>
      <c r="AF335" s="326"/>
      <c r="AG335" s="327"/>
      <c r="AH335" s="607"/>
      <c r="AI335" s="326"/>
      <c r="AJ335" s="327"/>
      <c r="AK335" s="497"/>
      <c r="AL335" s="326"/>
      <c r="AM335" s="327"/>
      <c r="AN335" s="44"/>
      <c r="AO335" s="45"/>
      <c r="AP335" s="44"/>
      <c r="AQ335" s="45"/>
      <c r="AR335" s="44"/>
      <c r="AS335" s="45"/>
      <c r="AT335" s="44"/>
      <c r="AU335" s="45"/>
      <c r="AV335" s="44"/>
      <c r="AW335" s="45"/>
      <c r="AX335" s="44"/>
      <c r="AY335" s="45"/>
      <c r="AZ335" s="50"/>
      <c r="BA335" s="47"/>
      <c r="BB335" s="50"/>
      <c r="BC335" s="47"/>
      <c r="BD335" s="50"/>
      <c r="BE335" s="47"/>
      <c r="BF335" s="50"/>
      <c r="BG335" s="47"/>
      <c r="BH335" s="50"/>
      <c r="BI335" s="608" t="s">
        <v>307</v>
      </c>
      <c r="BJ335" s="326"/>
      <c r="BK335" s="326"/>
      <c r="BL335" s="326"/>
      <c r="BM335" s="326"/>
      <c r="BN335" s="326"/>
      <c r="BO335" s="326"/>
      <c r="BP335" s="326"/>
      <c r="BQ335" s="326"/>
      <c r="BR335" s="326"/>
      <c r="BS335" s="326"/>
      <c r="BT335" s="326"/>
      <c r="BU335" s="326"/>
      <c r="BV335" s="327"/>
    </row>
    <row r="336" spans="1:74" ht="30" customHeight="1" x14ac:dyDescent="0.25">
      <c r="A336" s="49">
        <f t="shared" si="1"/>
        <v>322</v>
      </c>
      <c r="B336" s="42" t="s">
        <v>334</v>
      </c>
      <c r="C336" s="43"/>
      <c r="D336" s="609"/>
      <c r="E336" s="326"/>
      <c r="F336" s="326"/>
      <c r="G336" s="326"/>
      <c r="H336" s="326"/>
      <c r="I336" s="326"/>
      <c r="J336" s="326"/>
      <c r="K336" s="327"/>
      <c r="L336" s="610"/>
      <c r="M336" s="326"/>
      <c r="N336" s="326"/>
      <c r="O336" s="327"/>
      <c r="P336" s="609"/>
      <c r="Q336" s="326"/>
      <c r="R336" s="326"/>
      <c r="S336" s="327"/>
      <c r="T336" s="610"/>
      <c r="U336" s="326"/>
      <c r="V336" s="326"/>
      <c r="W336" s="327"/>
      <c r="X336" s="609"/>
      <c r="Y336" s="326"/>
      <c r="Z336" s="326"/>
      <c r="AA336" s="327"/>
      <c r="AB336" s="451"/>
      <c r="AC336" s="326"/>
      <c r="AD336" s="327"/>
      <c r="AE336" s="526"/>
      <c r="AF336" s="326"/>
      <c r="AG336" s="327"/>
      <c r="AH336" s="607"/>
      <c r="AI336" s="326"/>
      <c r="AJ336" s="327"/>
      <c r="AK336" s="497"/>
      <c r="AL336" s="326"/>
      <c r="AM336" s="327"/>
      <c r="AN336" s="44"/>
      <c r="AO336" s="45"/>
      <c r="AP336" s="44"/>
      <c r="AQ336" s="45"/>
      <c r="AR336" s="44"/>
      <c r="AS336" s="45"/>
      <c r="AT336" s="44"/>
      <c r="AU336" s="45"/>
      <c r="AV336" s="44"/>
      <c r="AW336" s="45"/>
      <c r="AX336" s="44"/>
      <c r="AY336" s="45"/>
      <c r="AZ336" s="50"/>
      <c r="BA336" s="47"/>
      <c r="BB336" s="50"/>
      <c r="BC336" s="47"/>
      <c r="BD336" s="50"/>
      <c r="BE336" s="47"/>
      <c r="BF336" s="50"/>
      <c r="BG336" s="47"/>
      <c r="BH336" s="50"/>
      <c r="BI336" s="608" t="s">
        <v>307</v>
      </c>
      <c r="BJ336" s="326"/>
      <c r="BK336" s="326"/>
      <c r="BL336" s="326"/>
      <c r="BM336" s="326"/>
      <c r="BN336" s="326"/>
      <c r="BO336" s="326"/>
      <c r="BP336" s="326"/>
      <c r="BQ336" s="326"/>
      <c r="BR336" s="326"/>
      <c r="BS336" s="326"/>
      <c r="BT336" s="326"/>
      <c r="BU336" s="326"/>
      <c r="BV336" s="327"/>
    </row>
    <row r="337" spans="1:74" ht="30" customHeight="1" x14ac:dyDescent="0.25">
      <c r="A337" s="49">
        <f t="shared" si="1"/>
        <v>323</v>
      </c>
      <c r="B337" s="42" t="s">
        <v>334</v>
      </c>
      <c r="C337" s="43"/>
      <c r="D337" s="609"/>
      <c r="E337" s="326"/>
      <c r="F337" s="326"/>
      <c r="G337" s="326"/>
      <c r="H337" s="326"/>
      <c r="I337" s="326"/>
      <c r="J337" s="326"/>
      <c r="K337" s="327"/>
      <c r="L337" s="610"/>
      <c r="M337" s="326"/>
      <c r="N337" s="326"/>
      <c r="O337" s="327"/>
      <c r="P337" s="609"/>
      <c r="Q337" s="326"/>
      <c r="R337" s="326"/>
      <c r="S337" s="327"/>
      <c r="T337" s="610"/>
      <c r="U337" s="326"/>
      <c r="V337" s="326"/>
      <c r="W337" s="327"/>
      <c r="X337" s="609"/>
      <c r="Y337" s="326"/>
      <c r="Z337" s="326"/>
      <c r="AA337" s="327"/>
      <c r="AB337" s="451"/>
      <c r="AC337" s="326"/>
      <c r="AD337" s="327"/>
      <c r="AE337" s="526"/>
      <c r="AF337" s="326"/>
      <c r="AG337" s="327"/>
      <c r="AH337" s="607"/>
      <c r="AI337" s="326"/>
      <c r="AJ337" s="327"/>
      <c r="AK337" s="497"/>
      <c r="AL337" s="326"/>
      <c r="AM337" s="327"/>
      <c r="AN337" s="44"/>
      <c r="AO337" s="45"/>
      <c r="AP337" s="44"/>
      <c r="AQ337" s="45"/>
      <c r="AR337" s="44"/>
      <c r="AS337" s="45"/>
      <c r="AT337" s="44"/>
      <c r="AU337" s="45"/>
      <c r="AV337" s="44"/>
      <c r="AW337" s="45"/>
      <c r="AX337" s="44"/>
      <c r="AY337" s="45"/>
      <c r="AZ337" s="50"/>
      <c r="BA337" s="47"/>
      <c r="BB337" s="50"/>
      <c r="BC337" s="47"/>
      <c r="BD337" s="50"/>
      <c r="BE337" s="47"/>
      <c r="BF337" s="50"/>
      <c r="BG337" s="47"/>
      <c r="BH337" s="50"/>
      <c r="BI337" s="608" t="s">
        <v>307</v>
      </c>
      <c r="BJ337" s="326"/>
      <c r="BK337" s="326"/>
      <c r="BL337" s="326"/>
      <c r="BM337" s="326"/>
      <c r="BN337" s="326"/>
      <c r="BO337" s="326"/>
      <c r="BP337" s="326"/>
      <c r="BQ337" s="326"/>
      <c r="BR337" s="326"/>
      <c r="BS337" s="326"/>
      <c r="BT337" s="326"/>
      <c r="BU337" s="326"/>
      <c r="BV337" s="327"/>
    </row>
    <row r="338" spans="1:74" ht="30" customHeight="1" x14ac:dyDescent="0.25">
      <c r="A338" s="49">
        <f t="shared" si="1"/>
        <v>324</v>
      </c>
      <c r="B338" s="42" t="s">
        <v>334</v>
      </c>
      <c r="C338" s="43"/>
      <c r="D338" s="609"/>
      <c r="E338" s="326"/>
      <c r="F338" s="326"/>
      <c r="G338" s="326"/>
      <c r="H338" s="326"/>
      <c r="I338" s="326"/>
      <c r="J338" s="326"/>
      <c r="K338" s="327"/>
      <c r="L338" s="610"/>
      <c r="M338" s="326"/>
      <c r="N338" s="326"/>
      <c r="O338" s="327"/>
      <c r="P338" s="609"/>
      <c r="Q338" s="326"/>
      <c r="R338" s="326"/>
      <c r="S338" s="327"/>
      <c r="T338" s="610"/>
      <c r="U338" s="326"/>
      <c r="V338" s="326"/>
      <c r="W338" s="327"/>
      <c r="X338" s="609"/>
      <c r="Y338" s="326"/>
      <c r="Z338" s="326"/>
      <c r="AA338" s="327"/>
      <c r="AB338" s="451"/>
      <c r="AC338" s="326"/>
      <c r="AD338" s="327"/>
      <c r="AE338" s="526"/>
      <c r="AF338" s="326"/>
      <c r="AG338" s="327"/>
      <c r="AH338" s="607"/>
      <c r="AI338" s="326"/>
      <c r="AJ338" s="327"/>
      <c r="AK338" s="497"/>
      <c r="AL338" s="326"/>
      <c r="AM338" s="327"/>
      <c r="AN338" s="44"/>
      <c r="AO338" s="45"/>
      <c r="AP338" s="44"/>
      <c r="AQ338" s="45"/>
      <c r="AR338" s="44"/>
      <c r="AS338" s="45"/>
      <c r="AT338" s="44"/>
      <c r="AU338" s="45"/>
      <c r="AV338" s="44"/>
      <c r="AW338" s="45"/>
      <c r="AX338" s="44"/>
      <c r="AY338" s="45"/>
      <c r="AZ338" s="50"/>
      <c r="BA338" s="47"/>
      <c r="BB338" s="50"/>
      <c r="BC338" s="47"/>
      <c r="BD338" s="50"/>
      <c r="BE338" s="47"/>
      <c r="BF338" s="50"/>
      <c r="BG338" s="47"/>
      <c r="BH338" s="50"/>
      <c r="BI338" s="608" t="s">
        <v>307</v>
      </c>
      <c r="BJ338" s="326"/>
      <c r="BK338" s="326"/>
      <c r="BL338" s="326"/>
      <c r="BM338" s="326"/>
      <c r="BN338" s="326"/>
      <c r="BO338" s="326"/>
      <c r="BP338" s="326"/>
      <c r="BQ338" s="326"/>
      <c r="BR338" s="326"/>
      <c r="BS338" s="326"/>
      <c r="BT338" s="326"/>
      <c r="BU338" s="326"/>
      <c r="BV338" s="327"/>
    </row>
    <row r="339" spans="1:74" ht="30" customHeight="1" x14ac:dyDescent="0.25">
      <c r="A339" s="49">
        <f t="shared" si="1"/>
        <v>325</v>
      </c>
      <c r="B339" s="42" t="s">
        <v>334</v>
      </c>
      <c r="C339" s="43"/>
      <c r="D339" s="609"/>
      <c r="E339" s="326"/>
      <c r="F339" s="326"/>
      <c r="G339" s="326"/>
      <c r="H339" s="326"/>
      <c r="I339" s="326"/>
      <c r="J339" s="326"/>
      <c r="K339" s="327"/>
      <c r="L339" s="610"/>
      <c r="M339" s="326"/>
      <c r="N339" s="326"/>
      <c r="O339" s="327"/>
      <c r="P339" s="609"/>
      <c r="Q339" s="326"/>
      <c r="R339" s="326"/>
      <c r="S339" s="327"/>
      <c r="T339" s="610"/>
      <c r="U339" s="326"/>
      <c r="V339" s="326"/>
      <c r="W339" s="327"/>
      <c r="X339" s="609"/>
      <c r="Y339" s="326"/>
      <c r="Z339" s="326"/>
      <c r="AA339" s="327"/>
      <c r="AB339" s="451"/>
      <c r="AC339" s="326"/>
      <c r="AD339" s="327"/>
      <c r="AE339" s="526"/>
      <c r="AF339" s="326"/>
      <c r="AG339" s="327"/>
      <c r="AH339" s="607"/>
      <c r="AI339" s="326"/>
      <c r="AJ339" s="327"/>
      <c r="AK339" s="497"/>
      <c r="AL339" s="326"/>
      <c r="AM339" s="327"/>
      <c r="AN339" s="44"/>
      <c r="AO339" s="45"/>
      <c r="AP339" s="44"/>
      <c r="AQ339" s="45"/>
      <c r="AR339" s="44"/>
      <c r="AS339" s="45"/>
      <c r="AT339" s="44"/>
      <c r="AU339" s="45"/>
      <c r="AV339" s="44"/>
      <c r="AW339" s="45"/>
      <c r="AX339" s="44"/>
      <c r="AY339" s="45"/>
      <c r="AZ339" s="50"/>
      <c r="BA339" s="47"/>
      <c r="BB339" s="50"/>
      <c r="BC339" s="47"/>
      <c r="BD339" s="50"/>
      <c r="BE339" s="47"/>
      <c r="BF339" s="50"/>
      <c r="BG339" s="47"/>
      <c r="BH339" s="50"/>
      <c r="BI339" s="608" t="s">
        <v>303</v>
      </c>
      <c r="BJ339" s="326"/>
      <c r="BK339" s="326"/>
      <c r="BL339" s="326"/>
      <c r="BM339" s="326"/>
      <c r="BN339" s="326"/>
      <c r="BO339" s="326"/>
      <c r="BP339" s="326"/>
      <c r="BQ339" s="326"/>
      <c r="BR339" s="326"/>
      <c r="BS339" s="326"/>
      <c r="BT339" s="326"/>
      <c r="BU339" s="326"/>
      <c r="BV339" s="327"/>
    </row>
    <row r="340" spans="1:74" ht="30" customHeight="1" x14ac:dyDescent="0.25">
      <c r="A340" s="49">
        <f t="shared" si="1"/>
        <v>326</v>
      </c>
      <c r="B340" s="42" t="s">
        <v>334</v>
      </c>
      <c r="C340" s="43"/>
      <c r="D340" s="609"/>
      <c r="E340" s="326"/>
      <c r="F340" s="326"/>
      <c r="G340" s="326"/>
      <c r="H340" s="326"/>
      <c r="I340" s="326"/>
      <c r="J340" s="326"/>
      <c r="K340" s="327"/>
      <c r="L340" s="610"/>
      <c r="M340" s="326"/>
      <c r="N340" s="326"/>
      <c r="O340" s="327"/>
      <c r="P340" s="609"/>
      <c r="Q340" s="326"/>
      <c r="R340" s="326"/>
      <c r="S340" s="327"/>
      <c r="T340" s="610"/>
      <c r="U340" s="326"/>
      <c r="V340" s="326"/>
      <c r="W340" s="327"/>
      <c r="X340" s="609"/>
      <c r="Y340" s="326"/>
      <c r="Z340" s="326"/>
      <c r="AA340" s="327"/>
      <c r="AB340" s="451"/>
      <c r="AC340" s="326"/>
      <c r="AD340" s="327"/>
      <c r="AE340" s="526"/>
      <c r="AF340" s="326"/>
      <c r="AG340" s="327"/>
      <c r="AH340" s="607"/>
      <c r="AI340" s="326"/>
      <c r="AJ340" s="327"/>
      <c r="AK340" s="497"/>
      <c r="AL340" s="326"/>
      <c r="AM340" s="327"/>
      <c r="AN340" s="44"/>
      <c r="AO340" s="45"/>
      <c r="AP340" s="44"/>
      <c r="AQ340" s="45"/>
      <c r="AR340" s="44"/>
      <c r="AS340" s="45"/>
      <c r="AT340" s="44"/>
      <c r="AU340" s="45"/>
      <c r="AV340" s="44"/>
      <c r="AW340" s="45"/>
      <c r="AX340" s="44"/>
      <c r="AY340" s="45"/>
      <c r="AZ340" s="50"/>
      <c r="BA340" s="47"/>
      <c r="BB340" s="50"/>
      <c r="BC340" s="47"/>
      <c r="BD340" s="50"/>
      <c r="BE340" s="47"/>
      <c r="BF340" s="50"/>
      <c r="BG340" s="47"/>
      <c r="BH340" s="50"/>
      <c r="BI340" s="608" t="s">
        <v>303</v>
      </c>
      <c r="BJ340" s="326"/>
      <c r="BK340" s="326"/>
      <c r="BL340" s="326"/>
      <c r="BM340" s="326"/>
      <c r="BN340" s="326"/>
      <c r="BO340" s="326"/>
      <c r="BP340" s="326"/>
      <c r="BQ340" s="326"/>
      <c r="BR340" s="326"/>
      <c r="BS340" s="326"/>
      <c r="BT340" s="326"/>
      <c r="BU340" s="326"/>
      <c r="BV340" s="327"/>
    </row>
    <row r="341" spans="1:74" ht="30" customHeight="1" x14ac:dyDescent="0.25">
      <c r="A341" s="41">
        <f t="shared" si="1"/>
        <v>327</v>
      </c>
      <c r="B341" s="42" t="s">
        <v>334</v>
      </c>
      <c r="C341" s="43"/>
      <c r="D341" s="609"/>
      <c r="E341" s="326"/>
      <c r="F341" s="326"/>
      <c r="G341" s="326"/>
      <c r="H341" s="326"/>
      <c r="I341" s="326"/>
      <c r="J341" s="326"/>
      <c r="K341" s="327"/>
      <c r="L341" s="610"/>
      <c r="M341" s="326"/>
      <c r="N341" s="326"/>
      <c r="O341" s="327"/>
      <c r="P341" s="609"/>
      <c r="Q341" s="326"/>
      <c r="R341" s="326"/>
      <c r="S341" s="327"/>
      <c r="T341" s="610"/>
      <c r="U341" s="326"/>
      <c r="V341" s="326"/>
      <c r="W341" s="327"/>
      <c r="X341" s="609"/>
      <c r="Y341" s="326"/>
      <c r="Z341" s="326"/>
      <c r="AA341" s="327"/>
      <c r="AB341" s="451"/>
      <c r="AC341" s="326"/>
      <c r="AD341" s="327"/>
      <c r="AE341" s="526"/>
      <c r="AF341" s="326"/>
      <c r="AG341" s="327"/>
      <c r="AH341" s="607"/>
      <c r="AI341" s="326"/>
      <c r="AJ341" s="327"/>
      <c r="AK341" s="497"/>
      <c r="AL341" s="326"/>
      <c r="AM341" s="327"/>
      <c r="AN341" s="44"/>
      <c r="AO341" s="45"/>
      <c r="AP341" s="44"/>
      <c r="AQ341" s="45"/>
      <c r="AR341" s="44"/>
      <c r="AS341" s="45"/>
      <c r="AT341" s="44"/>
      <c r="AU341" s="45"/>
      <c r="AV341" s="44"/>
      <c r="AW341" s="45"/>
      <c r="AX341" s="44"/>
      <c r="AY341" s="45"/>
      <c r="AZ341" s="50"/>
      <c r="BA341" s="47"/>
      <c r="BB341" s="50"/>
      <c r="BC341" s="47"/>
      <c r="BD341" s="50"/>
      <c r="BE341" s="47"/>
      <c r="BF341" s="50"/>
      <c r="BG341" s="47"/>
      <c r="BH341" s="50"/>
      <c r="BI341" s="608" t="s">
        <v>307</v>
      </c>
      <c r="BJ341" s="326"/>
      <c r="BK341" s="326"/>
      <c r="BL341" s="326"/>
      <c r="BM341" s="326"/>
      <c r="BN341" s="326"/>
      <c r="BO341" s="326"/>
      <c r="BP341" s="326"/>
      <c r="BQ341" s="326"/>
      <c r="BR341" s="326"/>
      <c r="BS341" s="326"/>
      <c r="BT341" s="326"/>
      <c r="BU341" s="326"/>
      <c r="BV341" s="327"/>
    </row>
    <row r="342" spans="1:74" ht="30" customHeight="1" x14ac:dyDescent="0.25">
      <c r="A342" s="49">
        <f t="shared" si="1"/>
        <v>328</v>
      </c>
      <c r="B342" s="42" t="s">
        <v>334</v>
      </c>
      <c r="C342" s="43"/>
      <c r="D342" s="609"/>
      <c r="E342" s="326"/>
      <c r="F342" s="326"/>
      <c r="G342" s="326"/>
      <c r="H342" s="326"/>
      <c r="I342" s="326"/>
      <c r="J342" s="326"/>
      <c r="K342" s="327"/>
      <c r="L342" s="610"/>
      <c r="M342" s="326"/>
      <c r="N342" s="326"/>
      <c r="O342" s="327"/>
      <c r="P342" s="609"/>
      <c r="Q342" s="326"/>
      <c r="R342" s="326"/>
      <c r="S342" s="327"/>
      <c r="T342" s="610"/>
      <c r="U342" s="326"/>
      <c r="V342" s="326"/>
      <c r="W342" s="327"/>
      <c r="X342" s="609"/>
      <c r="Y342" s="326"/>
      <c r="Z342" s="326"/>
      <c r="AA342" s="327"/>
      <c r="AB342" s="451"/>
      <c r="AC342" s="326"/>
      <c r="AD342" s="327"/>
      <c r="AE342" s="526"/>
      <c r="AF342" s="326"/>
      <c r="AG342" s="327"/>
      <c r="AH342" s="607"/>
      <c r="AI342" s="326"/>
      <c r="AJ342" s="327"/>
      <c r="AK342" s="497"/>
      <c r="AL342" s="326"/>
      <c r="AM342" s="327"/>
      <c r="AN342" s="44"/>
      <c r="AO342" s="45"/>
      <c r="AP342" s="44"/>
      <c r="AQ342" s="45"/>
      <c r="AR342" s="44"/>
      <c r="AS342" s="45"/>
      <c r="AT342" s="44"/>
      <c r="AU342" s="45"/>
      <c r="AV342" s="44"/>
      <c r="AW342" s="45"/>
      <c r="AX342" s="44"/>
      <c r="AY342" s="45"/>
      <c r="AZ342" s="50"/>
      <c r="BA342" s="47"/>
      <c r="BB342" s="50"/>
      <c r="BC342" s="47"/>
      <c r="BD342" s="50"/>
      <c r="BE342" s="47"/>
      <c r="BF342" s="50"/>
      <c r="BG342" s="47"/>
      <c r="BH342" s="50"/>
      <c r="BI342" s="608" t="s">
        <v>307</v>
      </c>
      <c r="BJ342" s="326"/>
      <c r="BK342" s="326"/>
      <c r="BL342" s="326"/>
      <c r="BM342" s="326"/>
      <c r="BN342" s="326"/>
      <c r="BO342" s="326"/>
      <c r="BP342" s="326"/>
      <c r="BQ342" s="326"/>
      <c r="BR342" s="326"/>
      <c r="BS342" s="326"/>
      <c r="BT342" s="326"/>
      <c r="BU342" s="326"/>
      <c r="BV342" s="327"/>
    </row>
    <row r="343" spans="1:74" ht="30" customHeight="1" x14ac:dyDescent="0.25">
      <c r="A343" s="49">
        <f t="shared" si="1"/>
        <v>329</v>
      </c>
      <c r="B343" s="42" t="s">
        <v>334</v>
      </c>
      <c r="C343" s="43"/>
      <c r="D343" s="609"/>
      <c r="E343" s="326"/>
      <c r="F343" s="326"/>
      <c r="G343" s="326"/>
      <c r="H343" s="326"/>
      <c r="I343" s="326"/>
      <c r="J343" s="326"/>
      <c r="K343" s="327"/>
      <c r="L343" s="610"/>
      <c r="M343" s="326"/>
      <c r="N343" s="326"/>
      <c r="O343" s="327"/>
      <c r="P343" s="609"/>
      <c r="Q343" s="326"/>
      <c r="R343" s="326"/>
      <c r="S343" s="327"/>
      <c r="T343" s="610"/>
      <c r="U343" s="326"/>
      <c r="V343" s="326"/>
      <c r="W343" s="327"/>
      <c r="X343" s="609"/>
      <c r="Y343" s="326"/>
      <c r="Z343" s="326"/>
      <c r="AA343" s="327"/>
      <c r="AB343" s="451"/>
      <c r="AC343" s="326"/>
      <c r="AD343" s="327"/>
      <c r="AE343" s="526"/>
      <c r="AF343" s="326"/>
      <c r="AG343" s="327"/>
      <c r="AH343" s="607"/>
      <c r="AI343" s="326"/>
      <c r="AJ343" s="327"/>
      <c r="AK343" s="497"/>
      <c r="AL343" s="326"/>
      <c r="AM343" s="327"/>
      <c r="AN343" s="44"/>
      <c r="AO343" s="45"/>
      <c r="AP343" s="44"/>
      <c r="AQ343" s="45"/>
      <c r="AR343" s="44"/>
      <c r="AS343" s="45"/>
      <c r="AT343" s="44"/>
      <c r="AU343" s="45"/>
      <c r="AV343" s="44"/>
      <c r="AW343" s="45"/>
      <c r="AX343" s="44"/>
      <c r="AY343" s="45"/>
      <c r="AZ343" s="50"/>
      <c r="BA343" s="47"/>
      <c r="BB343" s="50"/>
      <c r="BC343" s="47"/>
      <c r="BD343" s="50"/>
      <c r="BE343" s="47"/>
      <c r="BF343" s="50"/>
      <c r="BG343" s="47"/>
      <c r="BH343" s="50"/>
      <c r="BI343" s="608" t="s">
        <v>307</v>
      </c>
      <c r="BJ343" s="326"/>
      <c r="BK343" s="326"/>
      <c r="BL343" s="326"/>
      <c r="BM343" s="326"/>
      <c r="BN343" s="326"/>
      <c r="BO343" s="326"/>
      <c r="BP343" s="326"/>
      <c r="BQ343" s="326"/>
      <c r="BR343" s="326"/>
      <c r="BS343" s="326"/>
      <c r="BT343" s="326"/>
      <c r="BU343" s="326"/>
      <c r="BV343" s="327"/>
    </row>
    <row r="344" spans="1:74" ht="30" customHeight="1" x14ac:dyDescent="0.25">
      <c r="A344" s="49">
        <f t="shared" si="1"/>
        <v>330</v>
      </c>
      <c r="B344" s="42" t="s">
        <v>334</v>
      </c>
      <c r="C344" s="43"/>
      <c r="D344" s="609"/>
      <c r="E344" s="326"/>
      <c r="F344" s="326"/>
      <c r="G344" s="326"/>
      <c r="H344" s="326"/>
      <c r="I344" s="326"/>
      <c r="J344" s="326"/>
      <c r="K344" s="327"/>
      <c r="L344" s="610"/>
      <c r="M344" s="326"/>
      <c r="N344" s="326"/>
      <c r="O344" s="327"/>
      <c r="P344" s="609"/>
      <c r="Q344" s="326"/>
      <c r="R344" s="326"/>
      <c r="S344" s="327"/>
      <c r="T344" s="610"/>
      <c r="U344" s="326"/>
      <c r="V344" s="326"/>
      <c r="W344" s="327"/>
      <c r="X344" s="609"/>
      <c r="Y344" s="326"/>
      <c r="Z344" s="326"/>
      <c r="AA344" s="327"/>
      <c r="AB344" s="451"/>
      <c r="AC344" s="326"/>
      <c r="AD344" s="327"/>
      <c r="AE344" s="526"/>
      <c r="AF344" s="326"/>
      <c r="AG344" s="327"/>
      <c r="AH344" s="607"/>
      <c r="AI344" s="326"/>
      <c r="AJ344" s="327"/>
      <c r="AK344" s="497"/>
      <c r="AL344" s="326"/>
      <c r="AM344" s="327"/>
      <c r="AN344" s="44"/>
      <c r="AO344" s="45"/>
      <c r="AP344" s="44"/>
      <c r="AQ344" s="45"/>
      <c r="AR344" s="44"/>
      <c r="AS344" s="45"/>
      <c r="AT344" s="44"/>
      <c r="AU344" s="45"/>
      <c r="AV344" s="44"/>
      <c r="AW344" s="45"/>
      <c r="AX344" s="44"/>
      <c r="AY344" s="45"/>
      <c r="AZ344" s="50"/>
      <c r="BA344" s="47"/>
      <c r="BB344" s="50"/>
      <c r="BC344" s="47"/>
      <c r="BD344" s="50"/>
      <c r="BE344" s="47"/>
      <c r="BF344" s="50"/>
      <c r="BG344" s="47"/>
      <c r="BH344" s="50"/>
      <c r="BI344" s="608" t="s">
        <v>307</v>
      </c>
      <c r="BJ344" s="326"/>
      <c r="BK344" s="326"/>
      <c r="BL344" s="326"/>
      <c r="BM344" s="326"/>
      <c r="BN344" s="326"/>
      <c r="BO344" s="326"/>
      <c r="BP344" s="326"/>
      <c r="BQ344" s="326"/>
      <c r="BR344" s="326"/>
      <c r="BS344" s="326"/>
      <c r="BT344" s="326"/>
      <c r="BU344" s="326"/>
      <c r="BV344" s="327"/>
    </row>
    <row r="345" spans="1:74" ht="30" customHeight="1" x14ac:dyDescent="0.25">
      <c r="A345" s="49">
        <f t="shared" si="1"/>
        <v>331</v>
      </c>
      <c r="B345" s="42" t="s">
        <v>334</v>
      </c>
      <c r="C345" s="43"/>
      <c r="D345" s="609"/>
      <c r="E345" s="326"/>
      <c r="F345" s="326"/>
      <c r="G345" s="326"/>
      <c r="H345" s="326"/>
      <c r="I345" s="326"/>
      <c r="J345" s="326"/>
      <c r="K345" s="327"/>
      <c r="L345" s="610"/>
      <c r="M345" s="326"/>
      <c r="N345" s="326"/>
      <c r="O345" s="327"/>
      <c r="P345" s="609"/>
      <c r="Q345" s="326"/>
      <c r="R345" s="326"/>
      <c r="S345" s="327"/>
      <c r="T345" s="610"/>
      <c r="U345" s="326"/>
      <c r="V345" s="326"/>
      <c r="W345" s="327"/>
      <c r="X345" s="609"/>
      <c r="Y345" s="326"/>
      <c r="Z345" s="326"/>
      <c r="AA345" s="327"/>
      <c r="AB345" s="451"/>
      <c r="AC345" s="326"/>
      <c r="AD345" s="327"/>
      <c r="AE345" s="526"/>
      <c r="AF345" s="326"/>
      <c r="AG345" s="327"/>
      <c r="AH345" s="607"/>
      <c r="AI345" s="326"/>
      <c r="AJ345" s="327"/>
      <c r="AK345" s="497"/>
      <c r="AL345" s="326"/>
      <c r="AM345" s="327"/>
      <c r="AN345" s="44"/>
      <c r="AO345" s="45"/>
      <c r="AP345" s="44"/>
      <c r="AQ345" s="45"/>
      <c r="AR345" s="44"/>
      <c r="AS345" s="45"/>
      <c r="AT345" s="44"/>
      <c r="AU345" s="45"/>
      <c r="AV345" s="44"/>
      <c r="AW345" s="45"/>
      <c r="AX345" s="44"/>
      <c r="AY345" s="45"/>
      <c r="AZ345" s="50"/>
      <c r="BA345" s="47"/>
      <c r="BB345" s="50"/>
      <c r="BC345" s="47"/>
      <c r="BD345" s="50"/>
      <c r="BE345" s="47"/>
      <c r="BF345" s="50"/>
      <c r="BG345" s="47"/>
      <c r="BH345" s="50"/>
      <c r="BI345" s="608" t="s">
        <v>307</v>
      </c>
      <c r="BJ345" s="326"/>
      <c r="BK345" s="326"/>
      <c r="BL345" s="326"/>
      <c r="BM345" s="326"/>
      <c r="BN345" s="326"/>
      <c r="BO345" s="326"/>
      <c r="BP345" s="326"/>
      <c r="BQ345" s="326"/>
      <c r="BR345" s="326"/>
      <c r="BS345" s="326"/>
      <c r="BT345" s="326"/>
      <c r="BU345" s="326"/>
      <c r="BV345" s="327"/>
    </row>
    <row r="346" spans="1:74" ht="30" customHeight="1" x14ac:dyDescent="0.25">
      <c r="A346" s="49">
        <f t="shared" si="1"/>
        <v>332</v>
      </c>
      <c r="B346" s="42" t="s">
        <v>334</v>
      </c>
      <c r="C346" s="43"/>
      <c r="D346" s="609"/>
      <c r="E346" s="326"/>
      <c r="F346" s="326"/>
      <c r="G346" s="326"/>
      <c r="H346" s="326"/>
      <c r="I346" s="326"/>
      <c r="J346" s="326"/>
      <c r="K346" s="327"/>
      <c r="L346" s="610"/>
      <c r="M346" s="326"/>
      <c r="N346" s="326"/>
      <c r="O346" s="327"/>
      <c r="P346" s="609"/>
      <c r="Q346" s="326"/>
      <c r="R346" s="326"/>
      <c r="S346" s="327"/>
      <c r="T346" s="610"/>
      <c r="U346" s="326"/>
      <c r="V346" s="326"/>
      <c r="W346" s="327"/>
      <c r="X346" s="609"/>
      <c r="Y346" s="326"/>
      <c r="Z346" s="326"/>
      <c r="AA346" s="327"/>
      <c r="AB346" s="451"/>
      <c r="AC346" s="326"/>
      <c r="AD346" s="327"/>
      <c r="AE346" s="526"/>
      <c r="AF346" s="326"/>
      <c r="AG346" s="327"/>
      <c r="AH346" s="607"/>
      <c r="AI346" s="326"/>
      <c r="AJ346" s="327"/>
      <c r="AK346" s="497"/>
      <c r="AL346" s="326"/>
      <c r="AM346" s="327"/>
      <c r="AN346" s="44"/>
      <c r="AO346" s="45"/>
      <c r="AP346" s="44"/>
      <c r="AQ346" s="45"/>
      <c r="AR346" s="44"/>
      <c r="AS346" s="45"/>
      <c r="AT346" s="44"/>
      <c r="AU346" s="45"/>
      <c r="AV346" s="44"/>
      <c r="AW346" s="45"/>
      <c r="AX346" s="44"/>
      <c r="AY346" s="45"/>
      <c r="AZ346" s="50"/>
      <c r="BA346" s="47"/>
      <c r="BB346" s="50"/>
      <c r="BC346" s="47"/>
      <c r="BD346" s="50"/>
      <c r="BE346" s="47"/>
      <c r="BF346" s="50"/>
      <c r="BG346" s="47"/>
      <c r="BH346" s="50"/>
      <c r="BI346" s="608" t="s">
        <v>303</v>
      </c>
      <c r="BJ346" s="326"/>
      <c r="BK346" s="326"/>
      <c r="BL346" s="326"/>
      <c r="BM346" s="326"/>
      <c r="BN346" s="326"/>
      <c r="BO346" s="326"/>
      <c r="BP346" s="326"/>
      <c r="BQ346" s="326"/>
      <c r="BR346" s="326"/>
      <c r="BS346" s="326"/>
      <c r="BT346" s="326"/>
      <c r="BU346" s="326"/>
      <c r="BV346" s="327"/>
    </row>
    <row r="347" spans="1:74" ht="30" customHeight="1" x14ac:dyDescent="0.25">
      <c r="A347" s="49">
        <f t="shared" si="1"/>
        <v>333</v>
      </c>
      <c r="B347" s="42" t="s">
        <v>334</v>
      </c>
      <c r="C347" s="43"/>
      <c r="D347" s="609"/>
      <c r="E347" s="326"/>
      <c r="F347" s="326"/>
      <c r="G347" s="326"/>
      <c r="H347" s="326"/>
      <c r="I347" s="326"/>
      <c r="J347" s="326"/>
      <c r="K347" s="327"/>
      <c r="L347" s="610"/>
      <c r="M347" s="326"/>
      <c r="N347" s="326"/>
      <c r="O347" s="327"/>
      <c r="P347" s="609"/>
      <c r="Q347" s="326"/>
      <c r="R347" s="326"/>
      <c r="S347" s="327"/>
      <c r="T347" s="610"/>
      <c r="U347" s="326"/>
      <c r="V347" s="326"/>
      <c r="W347" s="327"/>
      <c r="X347" s="609"/>
      <c r="Y347" s="326"/>
      <c r="Z347" s="326"/>
      <c r="AA347" s="327"/>
      <c r="AB347" s="451"/>
      <c r="AC347" s="326"/>
      <c r="AD347" s="327"/>
      <c r="AE347" s="526"/>
      <c r="AF347" s="326"/>
      <c r="AG347" s="327"/>
      <c r="AH347" s="607"/>
      <c r="AI347" s="326"/>
      <c r="AJ347" s="327"/>
      <c r="AK347" s="497"/>
      <c r="AL347" s="326"/>
      <c r="AM347" s="327"/>
      <c r="AN347" s="44"/>
      <c r="AO347" s="45"/>
      <c r="AP347" s="44"/>
      <c r="AQ347" s="45"/>
      <c r="AR347" s="44"/>
      <c r="AS347" s="45"/>
      <c r="AT347" s="44"/>
      <c r="AU347" s="45"/>
      <c r="AV347" s="44"/>
      <c r="AW347" s="45"/>
      <c r="AX347" s="44"/>
      <c r="AY347" s="45"/>
      <c r="AZ347" s="50"/>
      <c r="BA347" s="47"/>
      <c r="BB347" s="50"/>
      <c r="BC347" s="47"/>
      <c r="BD347" s="50"/>
      <c r="BE347" s="47"/>
      <c r="BF347" s="50"/>
      <c r="BG347" s="47"/>
      <c r="BH347" s="50"/>
      <c r="BI347" s="608" t="s">
        <v>303</v>
      </c>
      <c r="BJ347" s="326"/>
      <c r="BK347" s="326"/>
      <c r="BL347" s="326"/>
      <c r="BM347" s="326"/>
      <c r="BN347" s="326"/>
      <c r="BO347" s="326"/>
      <c r="BP347" s="326"/>
      <c r="BQ347" s="326"/>
      <c r="BR347" s="326"/>
      <c r="BS347" s="326"/>
      <c r="BT347" s="326"/>
      <c r="BU347" s="326"/>
      <c r="BV347" s="327"/>
    </row>
    <row r="348" spans="1:74" ht="30" customHeight="1" x14ac:dyDescent="0.25">
      <c r="A348" s="41">
        <f t="shared" si="1"/>
        <v>334</v>
      </c>
      <c r="B348" s="42" t="s">
        <v>334</v>
      </c>
      <c r="C348" s="43"/>
      <c r="D348" s="609"/>
      <c r="E348" s="326"/>
      <c r="F348" s="326"/>
      <c r="G348" s="326"/>
      <c r="H348" s="326"/>
      <c r="I348" s="326"/>
      <c r="J348" s="326"/>
      <c r="K348" s="327"/>
      <c r="L348" s="610"/>
      <c r="M348" s="326"/>
      <c r="N348" s="326"/>
      <c r="O348" s="327"/>
      <c r="P348" s="609"/>
      <c r="Q348" s="326"/>
      <c r="R348" s="326"/>
      <c r="S348" s="327"/>
      <c r="T348" s="610"/>
      <c r="U348" s="326"/>
      <c r="V348" s="326"/>
      <c r="W348" s="327"/>
      <c r="X348" s="609"/>
      <c r="Y348" s="326"/>
      <c r="Z348" s="326"/>
      <c r="AA348" s="327"/>
      <c r="AB348" s="451"/>
      <c r="AC348" s="326"/>
      <c r="AD348" s="327"/>
      <c r="AE348" s="526"/>
      <c r="AF348" s="326"/>
      <c r="AG348" s="327"/>
      <c r="AH348" s="607"/>
      <c r="AI348" s="326"/>
      <c r="AJ348" s="327"/>
      <c r="AK348" s="497"/>
      <c r="AL348" s="326"/>
      <c r="AM348" s="327"/>
      <c r="AN348" s="44"/>
      <c r="AO348" s="45"/>
      <c r="AP348" s="44"/>
      <c r="AQ348" s="45"/>
      <c r="AR348" s="44"/>
      <c r="AS348" s="45"/>
      <c r="AT348" s="44"/>
      <c r="AU348" s="45"/>
      <c r="AV348" s="44"/>
      <c r="AW348" s="45"/>
      <c r="AX348" s="44"/>
      <c r="AY348" s="45"/>
      <c r="AZ348" s="50"/>
      <c r="BA348" s="47"/>
      <c r="BB348" s="50"/>
      <c r="BC348" s="47"/>
      <c r="BD348" s="50"/>
      <c r="BE348" s="47"/>
      <c r="BF348" s="50"/>
      <c r="BG348" s="47"/>
      <c r="BH348" s="50"/>
      <c r="BI348" s="608" t="s">
        <v>307</v>
      </c>
      <c r="BJ348" s="326"/>
      <c r="BK348" s="326"/>
      <c r="BL348" s="326"/>
      <c r="BM348" s="326"/>
      <c r="BN348" s="326"/>
      <c r="BO348" s="326"/>
      <c r="BP348" s="326"/>
      <c r="BQ348" s="326"/>
      <c r="BR348" s="326"/>
      <c r="BS348" s="326"/>
      <c r="BT348" s="326"/>
      <c r="BU348" s="326"/>
      <c r="BV348" s="327"/>
    </row>
    <row r="349" spans="1:74" ht="30" customHeight="1" x14ac:dyDescent="0.25">
      <c r="A349" s="49">
        <f t="shared" si="1"/>
        <v>335</v>
      </c>
      <c r="B349" s="42" t="s">
        <v>334</v>
      </c>
      <c r="C349" s="43"/>
      <c r="D349" s="609"/>
      <c r="E349" s="326"/>
      <c r="F349" s="326"/>
      <c r="G349" s="326"/>
      <c r="H349" s="326"/>
      <c r="I349" s="326"/>
      <c r="J349" s="326"/>
      <c r="K349" s="327"/>
      <c r="L349" s="610"/>
      <c r="M349" s="326"/>
      <c r="N349" s="326"/>
      <c r="O349" s="327"/>
      <c r="P349" s="609"/>
      <c r="Q349" s="326"/>
      <c r="R349" s="326"/>
      <c r="S349" s="327"/>
      <c r="T349" s="610"/>
      <c r="U349" s="326"/>
      <c r="V349" s="326"/>
      <c r="W349" s="327"/>
      <c r="X349" s="609"/>
      <c r="Y349" s="326"/>
      <c r="Z349" s="326"/>
      <c r="AA349" s="327"/>
      <c r="AB349" s="451"/>
      <c r="AC349" s="326"/>
      <c r="AD349" s="327"/>
      <c r="AE349" s="526"/>
      <c r="AF349" s="326"/>
      <c r="AG349" s="327"/>
      <c r="AH349" s="607"/>
      <c r="AI349" s="326"/>
      <c r="AJ349" s="327"/>
      <c r="AK349" s="497"/>
      <c r="AL349" s="326"/>
      <c r="AM349" s="327"/>
      <c r="AN349" s="44"/>
      <c r="AO349" s="45"/>
      <c r="AP349" s="44"/>
      <c r="AQ349" s="45"/>
      <c r="AR349" s="44"/>
      <c r="AS349" s="45"/>
      <c r="AT349" s="44"/>
      <c r="AU349" s="45"/>
      <c r="AV349" s="44"/>
      <c r="AW349" s="45"/>
      <c r="AX349" s="44"/>
      <c r="AY349" s="45"/>
      <c r="AZ349" s="50"/>
      <c r="BA349" s="47"/>
      <c r="BB349" s="50"/>
      <c r="BC349" s="47"/>
      <c r="BD349" s="50"/>
      <c r="BE349" s="47"/>
      <c r="BF349" s="50"/>
      <c r="BG349" s="47"/>
      <c r="BH349" s="50"/>
      <c r="BI349" s="608" t="s">
        <v>307</v>
      </c>
      <c r="BJ349" s="326"/>
      <c r="BK349" s="326"/>
      <c r="BL349" s="326"/>
      <c r="BM349" s="326"/>
      <c r="BN349" s="326"/>
      <c r="BO349" s="326"/>
      <c r="BP349" s="326"/>
      <c r="BQ349" s="326"/>
      <c r="BR349" s="326"/>
      <c r="BS349" s="326"/>
      <c r="BT349" s="326"/>
      <c r="BU349" s="326"/>
      <c r="BV349" s="327"/>
    </row>
    <row r="350" spans="1:74" ht="30" customHeight="1" x14ac:dyDescent="0.25">
      <c r="A350" s="49">
        <f t="shared" si="1"/>
        <v>336</v>
      </c>
      <c r="B350" s="42" t="s">
        <v>334</v>
      </c>
      <c r="C350" s="43"/>
      <c r="D350" s="609"/>
      <c r="E350" s="326"/>
      <c r="F350" s="326"/>
      <c r="G350" s="326"/>
      <c r="H350" s="326"/>
      <c r="I350" s="326"/>
      <c r="J350" s="326"/>
      <c r="K350" s="327"/>
      <c r="L350" s="610"/>
      <c r="M350" s="326"/>
      <c r="N350" s="326"/>
      <c r="O350" s="327"/>
      <c r="P350" s="609"/>
      <c r="Q350" s="326"/>
      <c r="R350" s="326"/>
      <c r="S350" s="327"/>
      <c r="T350" s="610"/>
      <c r="U350" s="326"/>
      <c r="V350" s="326"/>
      <c r="W350" s="327"/>
      <c r="X350" s="609"/>
      <c r="Y350" s="326"/>
      <c r="Z350" s="326"/>
      <c r="AA350" s="327"/>
      <c r="AB350" s="451"/>
      <c r="AC350" s="326"/>
      <c r="AD350" s="327"/>
      <c r="AE350" s="526"/>
      <c r="AF350" s="326"/>
      <c r="AG350" s="327"/>
      <c r="AH350" s="607"/>
      <c r="AI350" s="326"/>
      <c r="AJ350" s="327"/>
      <c r="AK350" s="497"/>
      <c r="AL350" s="326"/>
      <c r="AM350" s="327"/>
      <c r="AN350" s="44"/>
      <c r="AO350" s="45"/>
      <c r="AP350" s="44"/>
      <c r="AQ350" s="45"/>
      <c r="AR350" s="44"/>
      <c r="AS350" s="45"/>
      <c r="AT350" s="44"/>
      <c r="AU350" s="45"/>
      <c r="AV350" s="44"/>
      <c r="AW350" s="45"/>
      <c r="AX350" s="44"/>
      <c r="AY350" s="45"/>
      <c r="AZ350" s="50"/>
      <c r="BA350" s="47"/>
      <c r="BB350" s="50"/>
      <c r="BC350" s="47"/>
      <c r="BD350" s="50"/>
      <c r="BE350" s="47"/>
      <c r="BF350" s="50"/>
      <c r="BG350" s="47"/>
      <c r="BH350" s="50"/>
      <c r="BI350" s="608" t="s">
        <v>307</v>
      </c>
      <c r="BJ350" s="326"/>
      <c r="BK350" s="326"/>
      <c r="BL350" s="326"/>
      <c r="BM350" s="326"/>
      <c r="BN350" s="326"/>
      <c r="BO350" s="326"/>
      <c r="BP350" s="326"/>
      <c r="BQ350" s="326"/>
      <c r="BR350" s="326"/>
      <c r="BS350" s="326"/>
      <c r="BT350" s="326"/>
      <c r="BU350" s="326"/>
      <c r="BV350" s="327"/>
    </row>
    <row r="351" spans="1:74" ht="30" customHeight="1" x14ac:dyDescent="0.25">
      <c r="A351" s="49">
        <f t="shared" si="1"/>
        <v>337</v>
      </c>
      <c r="B351" s="42" t="s">
        <v>334</v>
      </c>
      <c r="C351" s="43"/>
      <c r="D351" s="609"/>
      <c r="E351" s="326"/>
      <c r="F351" s="326"/>
      <c r="G351" s="326"/>
      <c r="H351" s="326"/>
      <c r="I351" s="326"/>
      <c r="J351" s="326"/>
      <c r="K351" s="327"/>
      <c r="L351" s="610"/>
      <c r="M351" s="326"/>
      <c r="N351" s="326"/>
      <c r="O351" s="327"/>
      <c r="P351" s="609"/>
      <c r="Q351" s="326"/>
      <c r="R351" s="326"/>
      <c r="S351" s="327"/>
      <c r="T351" s="610"/>
      <c r="U351" s="326"/>
      <c r="V351" s="326"/>
      <c r="W351" s="327"/>
      <c r="X351" s="609"/>
      <c r="Y351" s="326"/>
      <c r="Z351" s="326"/>
      <c r="AA351" s="327"/>
      <c r="AB351" s="451"/>
      <c r="AC351" s="326"/>
      <c r="AD351" s="327"/>
      <c r="AE351" s="526"/>
      <c r="AF351" s="326"/>
      <c r="AG351" s="327"/>
      <c r="AH351" s="607"/>
      <c r="AI351" s="326"/>
      <c r="AJ351" s="327"/>
      <c r="AK351" s="497"/>
      <c r="AL351" s="326"/>
      <c r="AM351" s="327"/>
      <c r="AN351" s="44"/>
      <c r="AO351" s="45"/>
      <c r="AP351" s="44"/>
      <c r="AQ351" s="45"/>
      <c r="AR351" s="44"/>
      <c r="AS351" s="45"/>
      <c r="AT351" s="44"/>
      <c r="AU351" s="45"/>
      <c r="AV351" s="44"/>
      <c r="AW351" s="45"/>
      <c r="AX351" s="44"/>
      <c r="AY351" s="45"/>
      <c r="AZ351" s="50"/>
      <c r="BA351" s="47"/>
      <c r="BB351" s="50"/>
      <c r="BC351" s="47"/>
      <c r="BD351" s="50"/>
      <c r="BE351" s="47"/>
      <c r="BF351" s="50"/>
      <c r="BG351" s="47"/>
      <c r="BH351" s="50"/>
      <c r="BI351" s="608" t="s">
        <v>307</v>
      </c>
      <c r="BJ351" s="326"/>
      <c r="BK351" s="326"/>
      <c r="BL351" s="326"/>
      <c r="BM351" s="326"/>
      <c r="BN351" s="326"/>
      <c r="BO351" s="326"/>
      <c r="BP351" s="326"/>
      <c r="BQ351" s="326"/>
      <c r="BR351" s="326"/>
      <c r="BS351" s="326"/>
      <c r="BT351" s="326"/>
      <c r="BU351" s="326"/>
      <c r="BV351" s="327"/>
    </row>
    <row r="352" spans="1:74" ht="30" customHeight="1" x14ac:dyDescent="0.25">
      <c r="A352" s="49">
        <f t="shared" si="1"/>
        <v>338</v>
      </c>
      <c r="B352" s="42" t="s">
        <v>334</v>
      </c>
      <c r="C352" s="43"/>
      <c r="D352" s="609"/>
      <c r="E352" s="326"/>
      <c r="F352" s="326"/>
      <c r="G352" s="326"/>
      <c r="H352" s="326"/>
      <c r="I352" s="326"/>
      <c r="J352" s="326"/>
      <c r="K352" s="327"/>
      <c r="L352" s="610"/>
      <c r="M352" s="326"/>
      <c r="N352" s="326"/>
      <c r="O352" s="327"/>
      <c r="P352" s="609"/>
      <c r="Q352" s="326"/>
      <c r="R352" s="326"/>
      <c r="S352" s="327"/>
      <c r="T352" s="610"/>
      <c r="U352" s="326"/>
      <c r="V352" s="326"/>
      <c r="W352" s="327"/>
      <c r="X352" s="609"/>
      <c r="Y352" s="326"/>
      <c r="Z352" s="326"/>
      <c r="AA352" s="327"/>
      <c r="AB352" s="451"/>
      <c r="AC352" s="326"/>
      <c r="AD352" s="327"/>
      <c r="AE352" s="526"/>
      <c r="AF352" s="326"/>
      <c r="AG352" s="327"/>
      <c r="AH352" s="607"/>
      <c r="AI352" s="326"/>
      <c r="AJ352" s="327"/>
      <c r="AK352" s="497"/>
      <c r="AL352" s="326"/>
      <c r="AM352" s="327"/>
      <c r="AN352" s="44"/>
      <c r="AO352" s="45"/>
      <c r="AP352" s="44"/>
      <c r="AQ352" s="45"/>
      <c r="AR352" s="44"/>
      <c r="AS352" s="45"/>
      <c r="AT352" s="44"/>
      <c r="AU352" s="45"/>
      <c r="AV352" s="44"/>
      <c r="AW352" s="45"/>
      <c r="AX352" s="44"/>
      <c r="AY352" s="45"/>
      <c r="AZ352" s="50"/>
      <c r="BA352" s="47"/>
      <c r="BB352" s="50"/>
      <c r="BC352" s="47"/>
      <c r="BD352" s="50"/>
      <c r="BE352" s="47"/>
      <c r="BF352" s="50"/>
      <c r="BG352" s="47"/>
      <c r="BH352" s="50"/>
      <c r="BI352" s="608" t="s">
        <v>307</v>
      </c>
      <c r="BJ352" s="326"/>
      <c r="BK352" s="326"/>
      <c r="BL352" s="326"/>
      <c r="BM352" s="326"/>
      <c r="BN352" s="326"/>
      <c r="BO352" s="326"/>
      <c r="BP352" s="326"/>
      <c r="BQ352" s="326"/>
      <c r="BR352" s="326"/>
      <c r="BS352" s="326"/>
      <c r="BT352" s="326"/>
      <c r="BU352" s="326"/>
      <c r="BV352" s="327"/>
    </row>
    <row r="353" spans="1:74" ht="30" customHeight="1" x14ac:dyDescent="0.25">
      <c r="A353" s="49">
        <f t="shared" si="1"/>
        <v>339</v>
      </c>
      <c r="B353" s="42" t="s">
        <v>334</v>
      </c>
      <c r="C353" s="43"/>
      <c r="D353" s="609"/>
      <c r="E353" s="326"/>
      <c r="F353" s="326"/>
      <c r="G353" s="326"/>
      <c r="H353" s="326"/>
      <c r="I353" s="326"/>
      <c r="J353" s="326"/>
      <c r="K353" s="327"/>
      <c r="L353" s="610"/>
      <c r="M353" s="326"/>
      <c r="N353" s="326"/>
      <c r="O353" s="327"/>
      <c r="P353" s="609"/>
      <c r="Q353" s="326"/>
      <c r="R353" s="326"/>
      <c r="S353" s="327"/>
      <c r="T353" s="610"/>
      <c r="U353" s="326"/>
      <c r="V353" s="326"/>
      <c r="W353" s="327"/>
      <c r="X353" s="609"/>
      <c r="Y353" s="326"/>
      <c r="Z353" s="326"/>
      <c r="AA353" s="327"/>
      <c r="AB353" s="451"/>
      <c r="AC353" s="326"/>
      <c r="AD353" s="327"/>
      <c r="AE353" s="526"/>
      <c r="AF353" s="326"/>
      <c r="AG353" s="327"/>
      <c r="AH353" s="607"/>
      <c r="AI353" s="326"/>
      <c r="AJ353" s="327"/>
      <c r="AK353" s="497"/>
      <c r="AL353" s="326"/>
      <c r="AM353" s="327"/>
      <c r="AN353" s="44"/>
      <c r="AO353" s="45"/>
      <c r="AP353" s="44"/>
      <c r="AQ353" s="45"/>
      <c r="AR353" s="44"/>
      <c r="AS353" s="45"/>
      <c r="AT353" s="44"/>
      <c r="AU353" s="45"/>
      <c r="AV353" s="44"/>
      <c r="AW353" s="45"/>
      <c r="AX353" s="44"/>
      <c r="AY353" s="45"/>
      <c r="AZ353" s="50"/>
      <c r="BA353" s="47"/>
      <c r="BB353" s="50"/>
      <c r="BC353" s="47"/>
      <c r="BD353" s="50"/>
      <c r="BE353" s="47"/>
      <c r="BF353" s="50"/>
      <c r="BG353" s="47"/>
      <c r="BH353" s="50"/>
      <c r="BI353" s="608" t="s">
        <v>303</v>
      </c>
      <c r="BJ353" s="326"/>
      <c r="BK353" s="326"/>
      <c r="BL353" s="326"/>
      <c r="BM353" s="326"/>
      <c r="BN353" s="326"/>
      <c r="BO353" s="326"/>
      <c r="BP353" s="326"/>
      <c r="BQ353" s="326"/>
      <c r="BR353" s="326"/>
      <c r="BS353" s="326"/>
      <c r="BT353" s="326"/>
      <c r="BU353" s="326"/>
      <c r="BV353" s="327"/>
    </row>
    <row r="354" spans="1:74" ht="30" customHeight="1" x14ac:dyDescent="0.25">
      <c r="A354" s="49">
        <f t="shared" si="1"/>
        <v>340</v>
      </c>
      <c r="B354" s="42" t="s">
        <v>334</v>
      </c>
      <c r="C354" s="43"/>
      <c r="D354" s="609"/>
      <c r="E354" s="326"/>
      <c r="F354" s="326"/>
      <c r="G354" s="326"/>
      <c r="H354" s="326"/>
      <c r="I354" s="326"/>
      <c r="J354" s="326"/>
      <c r="K354" s="327"/>
      <c r="L354" s="610"/>
      <c r="M354" s="326"/>
      <c r="N354" s="326"/>
      <c r="O354" s="327"/>
      <c r="P354" s="609"/>
      <c r="Q354" s="326"/>
      <c r="R354" s="326"/>
      <c r="S354" s="327"/>
      <c r="T354" s="610"/>
      <c r="U354" s="326"/>
      <c r="V354" s="326"/>
      <c r="W354" s="327"/>
      <c r="X354" s="609"/>
      <c r="Y354" s="326"/>
      <c r="Z354" s="326"/>
      <c r="AA354" s="327"/>
      <c r="AB354" s="451"/>
      <c r="AC354" s="326"/>
      <c r="AD354" s="327"/>
      <c r="AE354" s="526"/>
      <c r="AF354" s="326"/>
      <c r="AG354" s="327"/>
      <c r="AH354" s="607"/>
      <c r="AI354" s="326"/>
      <c r="AJ354" s="327"/>
      <c r="AK354" s="497"/>
      <c r="AL354" s="326"/>
      <c r="AM354" s="327"/>
      <c r="AN354" s="44"/>
      <c r="AO354" s="45"/>
      <c r="AP354" s="44"/>
      <c r="AQ354" s="45"/>
      <c r="AR354" s="44"/>
      <c r="AS354" s="45"/>
      <c r="AT354" s="44"/>
      <c r="AU354" s="45"/>
      <c r="AV354" s="44"/>
      <c r="AW354" s="45"/>
      <c r="AX354" s="44"/>
      <c r="AY354" s="45"/>
      <c r="AZ354" s="50"/>
      <c r="BA354" s="47"/>
      <c r="BB354" s="50"/>
      <c r="BC354" s="47"/>
      <c r="BD354" s="50"/>
      <c r="BE354" s="47"/>
      <c r="BF354" s="50"/>
      <c r="BG354" s="47"/>
      <c r="BH354" s="50"/>
      <c r="BI354" s="608" t="s">
        <v>303</v>
      </c>
      <c r="BJ354" s="326"/>
      <c r="BK354" s="326"/>
      <c r="BL354" s="326"/>
      <c r="BM354" s="326"/>
      <c r="BN354" s="326"/>
      <c r="BO354" s="326"/>
      <c r="BP354" s="326"/>
      <c r="BQ354" s="326"/>
      <c r="BR354" s="326"/>
      <c r="BS354" s="326"/>
      <c r="BT354" s="326"/>
      <c r="BU354" s="326"/>
      <c r="BV354" s="327"/>
    </row>
    <row r="355" spans="1:74" ht="30" customHeight="1" x14ac:dyDescent="0.25">
      <c r="A355" s="41">
        <f t="shared" si="1"/>
        <v>341</v>
      </c>
      <c r="B355" s="42" t="s">
        <v>334</v>
      </c>
      <c r="C355" s="43"/>
      <c r="D355" s="609"/>
      <c r="E355" s="326"/>
      <c r="F355" s="326"/>
      <c r="G355" s="326"/>
      <c r="H355" s="326"/>
      <c r="I355" s="326"/>
      <c r="J355" s="326"/>
      <c r="K355" s="327"/>
      <c r="L355" s="610"/>
      <c r="M355" s="326"/>
      <c r="N355" s="326"/>
      <c r="O355" s="327"/>
      <c r="P355" s="609"/>
      <c r="Q355" s="326"/>
      <c r="R355" s="326"/>
      <c r="S355" s="327"/>
      <c r="T355" s="610"/>
      <c r="U355" s="326"/>
      <c r="V355" s="326"/>
      <c r="W355" s="327"/>
      <c r="X355" s="609"/>
      <c r="Y355" s="326"/>
      <c r="Z355" s="326"/>
      <c r="AA355" s="327"/>
      <c r="AB355" s="451"/>
      <c r="AC355" s="326"/>
      <c r="AD355" s="327"/>
      <c r="AE355" s="526"/>
      <c r="AF355" s="326"/>
      <c r="AG355" s="327"/>
      <c r="AH355" s="607"/>
      <c r="AI355" s="326"/>
      <c r="AJ355" s="327"/>
      <c r="AK355" s="497"/>
      <c r="AL355" s="326"/>
      <c r="AM355" s="327"/>
      <c r="AN355" s="44"/>
      <c r="AO355" s="45"/>
      <c r="AP355" s="44"/>
      <c r="AQ355" s="45"/>
      <c r="AR355" s="44"/>
      <c r="AS355" s="45"/>
      <c r="AT355" s="44"/>
      <c r="AU355" s="45"/>
      <c r="AV355" s="44"/>
      <c r="AW355" s="45"/>
      <c r="AX355" s="44"/>
      <c r="AY355" s="45"/>
      <c r="AZ355" s="50"/>
      <c r="BA355" s="47"/>
      <c r="BB355" s="50"/>
      <c r="BC355" s="47"/>
      <c r="BD355" s="50"/>
      <c r="BE355" s="47"/>
      <c r="BF355" s="50"/>
      <c r="BG355" s="47"/>
      <c r="BH355" s="50"/>
      <c r="BI355" s="608" t="s">
        <v>307</v>
      </c>
      <c r="BJ355" s="326"/>
      <c r="BK355" s="326"/>
      <c r="BL355" s="326"/>
      <c r="BM355" s="326"/>
      <c r="BN355" s="326"/>
      <c r="BO355" s="326"/>
      <c r="BP355" s="326"/>
      <c r="BQ355" s="326"/>
      <c r="BR355" s="326"/>
      <c r="BS355" s="326"/>
      <c r="BT355" s="326"/>
      <c r="BU355" s="326"/>
      <c r="BV355" s="327"/>
    </row>
    <row r="356" spans="1:74" ht="30" customHeight="1" x14ac:dyDescent="0.25">
      <c r="A356" s="49">
        <f t="shared" si="1"/>
        <v>342</v>
      </c>
      <c r="B356" s="42" t="s">
        <v>334</v>
      </c>
      <c r="C356" s="43"/>
      <c r="D356" s="609"/>
      <c r="E356" s="326"/>
      <c r="F356" s="326"/>
      <c r="G356" s="326"/>
      <c r="H356" s="326"/>
      <c r="I356" s="326"/>
      <c r="J356" s="326"/>
      <c r="K356" s="327"/>
      <c r="L356" s="610"/>
      <c r="M356" s="326"/>
      <c r="N356" s="326"/>
      <c r="O356" s="327"/>
      <c r="P356" s="609"/>
      <c r="Q356" s="326"/>
      <c r="R356" s="326"/>
      <c r="S356" s="327"/>
      <c r="T356" s="610"/>
      <c r="U356" s="326"/>
      <c r="V356" s="326"/>
      <c r="W356" s="327"/>
      <c r="X356" s="609"/>
      <c r="Y356" s="326"/>
      <c r="Z356" s="326"/>
      <c r="AA356" s="327"/>
      <c r="AB356" s="451"/>
      <c r="AC356" s="326"/>
      <c r="AD356" s="327"/>
      <c r="AE356" s="526"/>
      <c r="AF356" s="326"/>
      <c r="AG356" s="327"/>
      <c r="AH356" s="607"/>
      <c r="AI356" s="326"/>
      <c r="AJ356" s="327"/>
      <c r="AK356" s="497"/>
      <c r="AL356" s="326"/>
      <c r="AM356" s="327"/>
      <c r="AN356" s="44"/>
      <c r="AO356" s="45"/>
      <c r="AP356" s="44"/>
      <c r="AQ356" s="45"/>
      <c r="AR356" s="44"/>
      <c r="AS356" s="45"/>
      <c r="AT356" s="44"/>
      <c r="AU356" s="45"/>
      <c r="AV356" s="44"/>
      <c r="AW356" s="45"/>
      <c r="AX356" s="44"/>
      <c r="AY356" s="45"/>
      <c r="AZ356" s="50"/>
      <c r="BA356" s="47"/>
      <c r="BB356" s="50"/>
      <c r="BC356" s="47"/>
      <c r="BD356" s="50"/>
      <c r="BE356" s="47"/>
      <c r="BF356" s="50"/>
      <c r="BG356" s="47"/>
      <c r="BH356" s="50"/>
      <c r="BI356" s="608" t="s">
        <v>307</v>
      </c>
      <c r="BJ356" s="326"/>
      <c r="BK356" s="326"/>
      <c r="BL356" s="326"/>
      <c r="BM356" s="326"/>
      <c r="BN356" s="326"/>
      <c r="BO356" s="326"/>
      <c r="BP356" s="326"/>
      <c r="BQ356" s="326"/>
      <c r="BR356" s="326"/>
      <c r="BS356" s="326"/>
      <c r="BT356" s="326"/>
      <c r="BU356" s="326"/>
      <c r="BV356" s="327"/>
    </row>
    <row r="357" spans="1:74" ht="30" customHeight="1" x14ac:dyDescent="0.25">
      <c r="A357" s="49">
        <f t="shared" si="1"/>
        <v>343</v>
      </c>
      <c r="B357" s="42" t="s">
        <v>334</v>
      </c>
      <c r="C357" s="43"/>
      <c r="D357" s="609"/>
      <c r="E357" s="326"/>
      <c r="F357" s="326"/>
      <c r="G357" s="326"/>
      <c r="H357" s="326"/>
      <c r="I357" s="326"/>
      <c r="J357" s="326"/>
      <c r="K357" s="327"/>
      <c r="L357" s="610"/>
      <c r="M357" s="326"/>
      <c r="N357" s="326"/>
      <c r="O357" s="327"/>
      <c r="P357" s="609"/>
      <c r="Q357" s="326"/>
      <c r="R357" s="326"/>
      <c r="S357" s="327"/>
      <c r="T357" s="610"/>
      <c r="U357" s="326"/>
      <c r="V357" s="326"/>
      <c r="W357" s="327"/>
      <c r="X357" s="609"/>
      <c r="Y357" s="326"/>
      <c r="Z357" s="326"/>
      <c r="AA357" s="327"/>
      <c r="AB357" s="451"/>
      <c r="AC357" s="326"/>
      <c r="AD357" s="327"/>
      <c r="AE357" s="526"/>
      <c r="AF357" s="326"/>
      <c r="AG357" s="327"/>
      <c r="AH357" s="607"/>
      <c r="AI357" s="326"/>
      <c r="AJ357" s="327"/>
      <c r="AK357" s="497"/>
      <c r="AL357" s="326"/>
      <c r="AM357" s="327"/>
      <c r="AN357" s="44"/>
      <c r="AO357" s="45"/>
      <c r="AP357" s="44"/>
      <c r="AQ357" s="45"/>
      <c r="AR357" s="44"/>
      <c r="AS357" s="45"/>
      <c r="AT357" s="44"/>
      <c r="AU357" s="45"/>
      <c r="AV357" s="44"/>
      <c r="AW357" s="45"/>
      <c r="AX357" s="44"/>
      <c r="AY357" s="45"/>
      <c r="AZ357" s="50"/>
      <c r="BA357" s="47"/>
      <c r="BB357" s="50"/>
      <c r="BC357" s="47"/>
      <c r="BD357" s="50"/>
      <c r="BE357" s="47"/>
      <c r="BF357" s="50"/>
      <c r="BG357" s="47"/>
      <c r="BH357" s="50"/>
      <c r="BI357" s="608" t="s">
        <v>307</v>
      </c>
      <c r="BJ357" s="326"/>
      <c r="BK357" s="326"/>
      <c r="BL357" s="326"/>
      <c r="BM357" s="326"/>
      <c r="BN357" s="326"/>
      <c r="BO357" s="326"/>
      <c r="BP357" s="326"/>
      <c r="BQ357" s="326"/>
      <c r="BR357" s="326"/>
      <c r="BS357" s="326"/>
      <c r="BT357" s="326"/>
      <c r="BU357" s="326"/>
      <c r="BV357" s="327"/>
    </row>
    <row r="358" spans="1:74" ht="30" customHeight="1" x14ac:dyDescent="0.25">
      <c r="A358" s="49">
        <f t="shared" si="1"/>
        <v>344</v>
      </c>
      <c r="B358" s="42" t="s">
        <v>334</v>
      </c>
      <c r="C358" s="43"/>
      <c r="D358" s="609"/>
      <c r="E358" s="326"/>
      <c r="F358" s="326"/>
      <c r="G358" s="326"/>
      <c r="H358" s="326"/>
      <c r="I358" s="326"/>
      <c r="J358" s="326"/>
      <c r="K358" s="327"/>
      <c r="L358" s="610"/>
      <c r="M358" s="326"/>
      <c r="N358" s="326"/>
      <c r="O358" s="327"/>
      <c r="P358" s="609"/>
      <c r="Q358" s="326"/>
      <c r="R358" s="326"/>
      <c r="S358" s="327"/>
      <c r="T358" s="610"/>
      <c r="U358" s="326"/>
      <c r="V358" s="326"/>
      <c r="W358" s="327"/>
      <c r="X358" s="609"/>
      <c r="Y358" s="326"/>
      <c r="Z358" s="326"/>
      <c r="AA358" s="327"/>
      <c r="AB358" s="451"/>
      <c r="AC358" s="326"/>
      <c r="AD358" s="327"/>
      <c r="AE358" s="526"/>
      <c r="AF358" s="326"/>
      <c r="AG358" s="327"/>
      <c r="AH358" s="607"/>
      <c r="AI358" s="326"/>
      <c r="AJ358" s="327"/>
      <c r="AK358" s="497"/>
      <c r="AL358" s="326"/>
      <c r="AM358" s="327"/>
      <c r="AN358" s="44"/>
      <c r="AO358" s="45"/>
      <c r="AP358" s="44"/>
      <c r="AQ358" s="45"/>
      <c r="AR358" s="44"/>
      <c r="AS358" s="45"/>
      <c r="AT358" s="44"/>
      <c r="AU358" s="45"/>
      <c r="AV358" s="44"/>
      <c r="AW358" s="45"/>
      <c r="AX358" s="44"/>
      <c r="AY358" s="45"/>
      <c r="AZ358" s="50"/>
      <c r="BA358" s="47"/>
      <c r="BB358" s="50"/>
      <c r="BC358" s="47"/>
      <c r="BD358" s="50"/>
      <c r="BE358" s="47"/>
      <c r="BF358" s="50"/>
      <c r="BG358" s="47"/>
      <c r="BH358" s="50"/>
      <c r="BI358" s="608" t="s">
        <v>307</v>
      </c>
      <c r="BJ358" s="326"/>
      <c r="BK358" s="326"/>
      <c r="BL358" s="326"/>
      <c r="BM358" s="326"/>
      <c r="BN358" s="326"/>
      <c r="BO358" s="326"/>
      <c r="BP358" s="326"/>
      <c r="BQ358" s="326"/>
      <c r="BR358" s="326"/>
      <c r="BS358" s="326"/>
      <c r="BT358" s="326"/>
      <c r="BU358" s="326"/>
      <c r="BV358" s="327"/>
    </row>
    <row r="359" spans="1:74" ht="30" customHeight="1" x14ac:dyDescent="0.25">
      <c r="A359" s="49">
        <f t="shared" si="1"/>
        <v>345</v>
      </c>
      <c r="B359" s="42" t="s">
        <v>334</v>
      </c>
      <c r="C359" s="43"/>
      <c r="D359" s="609"/>
      <c r="E359" s="326"/>
      <c r="F359" s="326"/>
      <c r="G359" s="326"/>
      <c r="H359" s="326"/>
      <c r="I359" s="326"/>
      <c r="J359" s="326"/>
      <c r="K359" s="327"/>
      <c r="L359" s="610"/>
      <c r="M359" s="326"/>
      <c r="N359" s="326"/>
      <c r="O359" s="327"/>
      <c r="P359" s="609"/>
      <c r="Q359" s="326"/>
      <c r="R359" s="326"/>
      <c r="S359" s="327"/>
      <c r="T359" s="610"/>
      <c r="U359" s="326"/>
      <c r="V359" s="326"/>
      <c r="W359" s="327"/>
      <c r="X359" s="609"/>
      <c r="Y359" s="326"/>
      <c r="Z359" s="326"/>
      <c r="AA359" s="327"/>
      <c r="AB359" s="451"/>
      <c r="AC359" s="326"/>
      <c r="AD359" s="327"/>
      <c r="AE359" s="526"/>
      <c r="AF359" s="326"/>
      <c r="AG359" s="327"/>
      <c r="AH359" s="607"/>
      <c r="AI359" s="326"/>
      <c r="AJ359" s="327"/>
      <c r="AK359" s="497"/>
      <c r="AL359" s="326"/>
      <c r="AM359" s="327"/>
      <c r="AN359" s="44"/>
      <c r="AO359" s="45"/>
      <c r="AP359" s="44"/>
      <c r="AQ359" s="45"/>
      <c r="AR359" s="44"/>
      <c r="AS359" s="45"/>
      <c r="AT359" s="44"/>
      <c r="AU359" s="45"/>
      <c r="AV359" s="44"/>
      <c r="AW359" s="45"/>
      <c r="AX359" s="44"/>
      <c r="AY359" s="45"/>
      <c r="AZ359" s="50"/>
      <c r="BA359" s="47"/>
      <c r="BB359" s="50"/>
      <c r="BC359" s="47"/>
      <c r="BD359" s="50"/>
      <c r="BE359" s="47"/>
      <c r="BF359" s="50"/>
      <c r="BG359" s="47"/>
      <c r="BH359" s="50"/>
      <c r="BI359" s="608" t="s">
        <v>307</v>
      </c>
      <c r="BJ359" s="326"/>
      <c r="BK359" s="326"/>
      <c r="BL359" s="326"/>
      <c r="BM359" s="326"/>
      <c r="BN359" s="326"/>
      <c r="BO359" s="326"/>
      <c r="BP359" s="326"/>
      <c r="BQ359" s="326"/>
      <c r="BR359" s="326"/>
      <c r="BS359" s="326"/>
      <c r="BT359" s="326"/>
      <c r="BU359" s="326"/>
      <c r="BV359" s="327"/>
    </row>
    <row r="360" spans="1:74" ht="30" customHeight="1" x14ac:dyDescent="0.25">
      <c r="A360" s="49">
        <f t="shared" si="1"/>
        <v>346</v>
      </c>
      <c r="B360" s="42" t="s">
        <v>334</v>
      </c>
      <c r="C360" s="43"/>
      <c r="D360" s="609"/>
      <c r="E360" s="326"/>
      <c r="F360" s="326"/>
      <c r="G360" s="326"/>
      <c r="H360" s="326"/>
      <c r="I360" s="326"/>
      <c r="J360" s="326"/>
      <c r="K360" s="327"/>
      <c r="L360" s="610"/>
      <c r="M360" s="326"/>
      <c r="N360" s="326"/>
      <c r="O360" s="327"/>
      <c r="P360" s="609"/>
      <c r="Q360" s="326"/>
      <c r="R360" s="326"/>
      <c r="S360" s="327"/>
      <c r="T360" s="610"/>
      <c r="U360" s="326"/>
      <c r="V360" s="326"/>
      <c r="W360" s="327"/>
      <c r="X360" s="609"/>
      <c r="Y360" s="326"/>
      <c r="Z360" s="326"/>
      <c r="AA360" s="327"/>
      <c r="AB360" s="451"/>
      <c r="AC360" s="326"/>
      <c r="AD360" s="327"/>
      <c r="AE360" s="526"/>
      <c r="AF360" s="326"/>
      <c r="AG360" s="327"/>
      <c r="AH360" s="607"/>
      <c r="AI360" s="326"/>
      <c r="AJ360" s="327"/>
      <c r="AK360" s="497"/>
      <c r="AL360" s="326"/>
      <c r="AM360" s="327"/>
      <c r="AN360" s="44"/>
      <c r="AO360" s="45"/>
      <c r="AP360" s="44"/>
      <c r="AQ360" s="45"/>
      <c r="AR360" s="44"/>
      <c r="AS360" s="45"/>
      <c r="AT360" s="44"/>
      <c r="AU360" s="45"/>
      <c r="AV360" s="44"/>
      <c r="AW360" s="45"/>
      <c r="AX360" s="44"/>
      <c r="AY360" s="45"/>
      <c r="AZ360" s="50"/>
      <c r="BA360" s="47"/>
      <c r="BB360" s="50"/>
      <c r="BC360" s="47"/>
      <c r="BD360" s="50"/>
      <c r="BE360" s="47"/>
      <c r="BF360" s="50"/>
      <c r="BG360" s="47"/>
      <c r="BH360" s="50"/>
      <c r="BI360" s="608" t="s">
        <v>303</v>
      </c>
      <c r="BJ360" s="326"/>
      <c r="BK360" s="326"/>
      <c r="BL360" s="326"/>
      <c r="BM360" s="326"/>
      <c r="BN360" s="326"/>
      <c r="BO360" s="326"/>
      <c r="BP360" s="326"/>
      <c r="BQ360" s="326"/>
      <c r="BR360" s="326"/>
      <c r="BS360" s="326"/>
      <c r="BT360" s="326"/>
      <c r="BU360" s="326"/>
      <c r="BV360" s="327"/>
    </row>
    <row r="361" spans="1:74" ht="30" customHeight="1" x14ac:dyDescent="0.25">
      <c r="A361" s="49">
        <f t="shared" si="1"/>
        <v>347</v>
      </c>
      <c r="B361" s="42" t="s">
        <v>334</v>
      </c>
      <c r="C361" s="43"/>
      <c r="D361" s="609"/>
      <c r="E361" s="326"/>
      <c r="F361" s="326"/>
      <c r="G361" s="326"/>
      <c r="H361" s="326"/>
      <c r="I361" s="326"/>
      <c r="J361" s="326"/>
      <c r="K361" s="327"/>
      <c r="L361" s="610"/>
      <c r="M361" s="326"/>
      <c r="N361" s="326"/>
      <c r="O361" s="327"/>
      <c r="P361" s="609"/>
      <c r="Q361" s="326"/>
      <c r="R361" s="326"/>
      <c r="S361" s="327"/>
      <c r="T361" s="610"/>
      <c r="U361" s="326"/>
      <c r="V361" s="326"/>
      <c r="W361" s="327"/>
      <c r="X361" s="609"/>
      <c r="Y361" s="326"/>
      <c r="Z361" s="326"/>
      <c r="AA361" s="327"/>
      <c r="AB361" s="451"/>
      <c r="AC361" s="326"/>
      <c r="AD361" s="327"/>
      <c r="AE361" s="526"/>
      <c r="AF361" s="326"/>
      <c r="AG361" s="327"/>
      <c r="AH361" s="607"/>
      <c r="AI361" s="326"/>
      <c r="AJ361" s="327"/>
      <c r="AK361" s="497"/>
      <c r="AL361" s="326"/>
      <c r="AM361" s="327"/>
      <c r="AN361" s="44"/>
      <c r="AO361" s="45"/>
      <c r="AP361" s="44"/>
      <c r="AQ361" s="45"/>
      <c r="AR361" s="44"/>
      <c r="AS361" s="45"/>
      <c r="AT361" s="44"/>
      <c r="AU361" s="45"/>
      <c r="AV361" s="44"/>
      <c r="AW361" s="45"/>
      <c r="AX361" s="44"/>
      <c r="AY361" s="45"/>
      <c r="AZ361" s="50"/>
      <c r="BA361" s="47"/>
      <c r="BB361" s="50"/>
      <c r="BC361" s="47"/>
      <c r="BD361" s="50"/>
      <c r="BE361" s="47"/>
      <c r="BF361" s="50"/>
      <c r="BG361" s="47"/>
      <c r="BH361" s="50"/>
      <c r="BI361" s="608" t="s">
        <v>303</v>
      </c>
      <c r="BJ361" s="326"/>
      <c r="BK361" s="326"/>
      <c r="BL361" s="326"/>
      <c r="BM361" s="326"/>
      <c r="BN361" s="326"/>
      <c r="BO361" s="326"/>
      <c r="BP361" s="326"/>
      <c r="BQ361" s="326"/>
      <c r="BR361" s="326"/>
      <c r="BS361" s="326"/>
      <c r="BT361" s="326"/>
      <c r="BU361" s="326"/>
      <c r="BV361" s="327"/>
    </row>
    <row r="362" spans="1:74" ht="30" customHeight="1" x14ac:dyDescent="0.25">
      <c r="A362" s="41">
        <f t="shared" si="1"/>
        <v>348</v>
      </c>
      <c r="B362" s="42" t="s">
        <v>334</v>
      </c>
      <c r="C362" s="43"/>
      <c r="D362" s="609"/>
      <c r="E362" s="326"/>
      <c r="F362" s="326"/>
      <c r="G362" s="326"/>
      <c r="H362" s="326"/>
      <c r="I362" s="326"/>
      <c r="J362" s="326"/>
      <c r="K362" s="327"/>
      <c r="L362" s="610"/>
      <c r="M362" s="326"/>
      <c r="N362" s="326"/>
      <c r="O362" s="327"/>
      <c r="P362" s="609"/>
      <c r="Q362" s="326"/>
      <c r="R362" s="326"/>
      <c r="S362" s="327"/>
      <c r="T362" s="610"/>
      <c r="U362" s="326"/>
      <c r="V362" s="326"/>
      <c r="W362" s="327"/>
      <c r="X362" s="609"/>
      <c r="Y362" s="326"/>
      <c r="Z362" s="326"/>
      <c r="AA362" s="327"/>
      <c r="AB362" s="451"/>
      <c r="AC362" s="326"/>
      <c r="AD362" s="327"/>
      <c r="AE362" s="526"/>
      <c r="AF362" s="326"/>
      <c r="AG362" s="327"/>
      <c r="AH362" s="607"/>
      <c r="AI362" s="326"/>
      <c r="AJ362" s="327"/>
      <c r="AK362" s="497"/>
      <c r="AL362" s="326"/>
      <c r="AM362" s="327"/>
      <c r="AN362" s="44"/>
      <c r="AO362" s="45"/>
      <c r="AP362" s="44"/>
      <c r="AQ362" s="45"/>
      <c r="AR362" s="44"/>
      <c r="AS362" s="45"/>
      <c r="AT362" s="44"/>
      <c r="AU362" s="45"/>
      <c r="AV362" s="44"/>
      <c r="AW362" s="45"/>
      <c r="AX362" s="44"/>
      <c r="AY362" s="45"/>
      <c r="AZ362" s="50"/>
      <c r="BA362" s="47"/>
      <c r="BB362" s="50"/>
      <c r="BC362" s="47"/>
      <c r="BD362" s="50"/>
      <c r="BE362" s="47"/>
      <c r="BF362" s="50"/>
      <c r="BG362" s="47"/>
      <c r="BH362" s="50"/>
      <c r="BI362" s="608" t="s">
        <v>307</v>
      </c>
      <c r="BJ362" s="326"/>
      <c r="BK362" s="326"/>
      <c r="BL362" s="326"/>
      <c r="BM362" s="326"/>
      <c r="BN362" s="326"/>
      <c r="BO362" s="326"/>
      <c r="BP362" s="326"/>
      <c r="BQ362" s="326"/>
      <c r="BR362" s="326"/>
      <c r="BS362" s="326"/>
      <c r="BT362" s="326"/>
      <c r="BU362" s="326"/>
      <c r="BV362" s="327"/>
    </row>
    <row r="363" spans="1:74" ht="30" customHeight="1" x14ac:dyDescent="0.25">
      <c r="A363" s="49">
        <f t="shared" si="1"/>
        <v>349</v>
      </c>
      <c r="B363" s="42" t="s">
        <v>334</v>
      </c>
      <c r="C363" s="43"/>
      <c r="D363" s="609"/>
      <c r="E363" s="326"/>
      <c r="F363" s="326"/>
      <c r="G363" s="326"/>
      <c r="H363" s="326"/>
      <c r="I363" s="326"/>
      <c r="J363" s="326"/>
      <c r="K363" s="327"/>
      <c r="L363" s="610"/>
      <c r="M363" s="326"/>
      <c r="N363" s="326"/>
      <c r="O363" s="327"/>
      <c r="P363" s="609"/>
      <c r="Q363" s="326"/>
      <c r="R363" s="326"/>
      <c r="S363" s="327"/>
      <c r="T363" s="610"/>
      <c r="U363" s="326"/>
      <c r="V363" s="326"/>
      <c r="W363" s="327"/>
      <c r="X363" s="609"/>
      <c r="Y363" s="326"/>
      <c r="Z363" s="326"/>
      <c r="AA363" s="327"/>
      <c r="AB363" s="451"/>
      <c r="AC363" s="326"/>
      <c r="AD363" s="327"/>
      <c r="AE363" s="526"/>
      <c r="AF363" s="326"/>
      <c r="AG363" s="327"/>
      <c r="AH363" s="607"/>
      <c r="AI363" s="326"/>
      <c r="AJ363" s="327"/>
      <c r="AK363" s="497"/>
      <c r="AL363" s="326"/>
      <c r="AM363" s="327"/>
      <c r="AN363" s="44"/>
      <c r="AO363" s="45"/>
      <c r="AP363" s="44"/>
      <c r="AQ363" s="45"/>
      <c r="AR363" s="44"/>
      <c r="AS363" s="45"/>
      <c r="AT363" s="44"/>
      <c r="AU363" s="45"/>
      <c r="AV363" s="44"/>
      <c r="AW363" s="45"/>
      <c r="AX363" s="44"/>
      <c r="AY363" s="45"/>
      <c r="AZ363" s="50"/>
      <c r="BA363" s="47"/>
      <c r="BB363" s="50"/>
      <c r="BC363" s="47"/>
      <c r="BD363" s="50"/>
      <c r="BE363" s="47"/>
      <c r="BF363" s="50"/>
      <c r="BG363" s="47"/>
      <c r="BH363" s="50"/>
      <c r="BI363" s="608" t="s">
        <v>307</v>
      </c>
      <c r="BJ363" s="326"/>
      <c r="BK363" s="326"/>
      <c r="BL363" s="326"/>
      <c r="BM363" s="326"/>
      <c r="BN363" s="326"/>
      <c r="BO363" s="326"/>
      <c r="BP363" s="326"/>
      <c r="BQ363" s="326"/>
      <c r="BR363" s="326"/>
      <c r="BS363" s="326"/>
      <c r="BT363" s="326"/>
      <c r="BU363" s="326"/>
      <c r="BV363" s="327"/>
    </row>
    <row r="364" spans="1:74" ht="30" customHeight="1" x14ac:dyDescent="0.25">
      <c r="A364" s="49">
        <f t="shared" si="1"/>
        <v>350</v>
      </c>
      <c r="B364" s="42" t="s">
        <v>334</v>
      </c>
      <c r="C364" s="43"/>
      <c r="D364" s="609"/>
      <c r="E364" s="326"/>
      <c r="F364" s="326"/>
      <c r="G364" s="326"/>
      <c r="H364" s="326"/>
      <c r="I364" s="326"/>
      <c r="J364" s="326"/>
      <c r="K364" s="327"/>
      <c r="L364" s="610"/>
      <c r="M364" s="326"/>
      <c r="N364" s="326"/>
      <c r="O364" s="327"/>
      <c r="P364" s="609"/>
      <c r="Q364" s="326"/>
      <c r="R364" s="326"/>
      <c r="S364" s="327"/>
      <c r="T364" s="610"/>
      <c r="U364" s="326"/>
      <c r="V364" s="326"/>
      <c r="W364" s="327"/>
      <c r="X364" s="609"/>
      <c r="Y364" s="326"/>
      <c r="Z364" s="326"/>
      <c r="AA364" s="327"/>
      <c r="AB364" s="451"/>
      <c r="AC364" s="326"/>
      <c r="AD364" s="327"/>
      <c r="AE364" s="526"/>
      <c r="AF364" s="326"/>
      <c r="AG364" s="327"/>
      <c r="AH364" s="607"/>
      <c r="AI364" s="326"/>
      <c r="AJ364" s="327"/>
      <c r="AK364" s="497"/>
      <c r="AL364" s="326"/>
      <c r="AM364" s="327"/>
      <c r="AN364" s="44"/>
      <c r="AO364" s="45"/>
      <c r="AP364" s="44"/>
      <c r="AQ364" s="45"/>
      <c r="AR364" s="44"/>
      <c r="AS364" s="45"/>
      <c r="AT364" s="44"/>
      <c r="AU364" s="45"/>
      <c r="AV364" s="44"/>
      <c r="AW364" s="45"/>
      <c r="AX364" s="44"/>
      <c r="AY364" s="45"/>
      <c r="AZ364" s="50"/>
      <c r="BA364" s="47"/>
      <c r="BB364" s="50"/>
      <c r="BC364" s="47"/>
      <c r="BD364" s="50"/>
      <c r="BE364" s="47"/>
      <c r="BF364" s="50"/>
      <c r="BG364" s="47"/>
      <c r="BH364" s="50"/>
      <c r="BI364" s="608" t="s">
        <v>307</v>
      </c>
      <c r="BJ364" s="326"/>
      <c r="BK364" s="326"/>
      <c r="BL364" s="326"/>
      <c r="BM364" s="326"/>
      <c r="BN364" s="326"/>
      <c r="BO364" s="326"/>
      <c r="BP364" s="326"/>
      <c r="BQ364" s="326"/>
      <c r="BR364" s="326"/>
      <c r="BS364" s="326"/>
      <c r="BT364" s="326"/>
      <c r="BU364" s="326"/>
      <c r="BV364" s="327"/>
    </row>
    <row r="365" spans="1:74" ht="30" customHeight="1" x14ac:dyDescent="0.25">
      <c r="A365" s="49">
        <f t="shared" si="1"/>
        <v>351</v>
      </c>
      <c r="B365" s="42" t="s">
        <v>334</v>
      </c>
      <c r="C365" s="43"/>
      <c r="D365" s="609"/>
      <c r="E365" s="326"/>
      <c r="F365" s="326"/>
      <c r="G365" s="326"/>
      <c r="H365" s="326"/>
      <c r="I365" s="326"/>
      <c r="J365" s="326"/>
      <c r="K365" s="327"/>
      <c r="L365" s="610"/>
      <c r="M365" s="326"/>
      <c r="N365" s="326"/>
      <c r="O365" s="327"/>
      <c r="P365" s="609"/>
      <c r="Q365" s="326"/>
      <c r="R365" s="326"/>
      <c r="S365" s="327"/>
      <c r="T365" s="610"/>
      <c r="U365" s="326"/>
      <c r="V365" s="326"/>
      <c r="W365" s="327"/>
      <c r="X365" s="609"/>
      <c r="Y365" s="326"/>
      <c r="Z365" s="326"/>
      <c r="AA365" s="327"/>
      <c r="AB365" s="451"/>
      <c r="AC365" s="326"/>
      <c r="AD365" s="327"/>
      <c r="AE365" s="526"/>
      <c r="AF365" s="326"/>
      <c r="AG365" s="327"/>
      <c r="AH365" s="607"/>
      <c r="AI365" s="326"/>
      <c r="AJ365" s="327"/>
      <c r="AK365" s="497"/>
      <c r="AL365" s="326"/>
      <c r="AM365" s="327"/>
      <c r="AN365" s="44"/>
      <c r="AO365" s="45"/>
      <c r="AP365" s="44"/>
      <c r="AQ365" s="45"/>
      <c r="AR365" s="44"/>
      <c r="AS365" s="45"/>
      <c r="AT365" s="44"/>
      <c r="AU365" s="45"/>
      <c r="AV365" s="44"/>
      <c r="AW365" s="45"/>
      <c r="AX365" s="44"/>
      <c r="AY365" s="45"/>
      <c r="AZ365" s="50"/>
      <c r="BA365" s="47"/>
      <c r="BB365" s="50"/>
      <c r="BC365" s="47"/>
      <c r="BD365" s="50"/>
      <c r="BE365" s="47"/>
      <c r="BF365" s="50"/>
      <c r="BG365" s="47"/>
      <c r="BH365" s="50"/>
      <c r="BI365" s="608" t="s">
        <v>307</v>
      </c>
      <c r="BJ365" s="326"/>
      <c r="BK365" s="326"/>
      <c r="BL365" s="326"/>
      <c r="BM365" s="326"/>
      <c r="BN365" s="326"/>
      <c r="BO365" s="326"/>
      <c r="BP365" s="326"/>
      <c r="BQ365" s="326"/>
      <c r="BR365" s="326"/>
      <c r="BS365" s="326"/>
      <c r="BT365" s="326"/>
      <c r="BU365" s="326"/>
      <c r="BV365" s="327"/>
    </row>
    <row r="366" spans="1:74" ht="30" customHeight="1" x14ac:dyDescent="0.25">
      <c r="A366" s="49">
        <f t="shared" si="1"/>
        <v>352</v>
      </c>
      <c r="B366" s="42" t="s">
        <v>334</v>
      </c>
      <c r="C366" s="43"/>
      <c r="D366" s="609"/>
      <c r="E366" s="326"/>
      <c r="F366" s="326"/>
      <c r="G366" s="326"/>
      <c r="H366" s="326"/>
      <c r="I366" s="326"/>
      <c r="J366" s="326"/>
      <c r="K366" s="327"/>
      <c r="L366" s="610"/>
      <c r="M366" s="326"/>
      <c r="N366" s="326"/>
      <c r="O366" s="327"/>
      <c r="P366" s="609"/>
      <c r="Q366" s="326"/>
      <c r="R366" s="326"/>
      <c r="S366" s="327"/>
      <c r="T366" s="610"/>
      <c r="U366" s="326"/>
      <c r="V366" s="326"/>
      <c r="W366" s="327"/>
      <c r="X366" s="609"/>
      <c r="Y366" s="326"/>
      <c r="Z366" s="326"/>
      <c r="AA366" s="327"/>
      <c r="AB366" s="451"/>
      <c r="AC366" s="326"/>
      <c r="AD366" s="327"/>
      <c r="AE366" s="526"/>
      <c r="AF366" s="326"/>
      <c r="AG366" s="327"/>
      <c r="AH366" s="607"/>
      <c r="AI366" s="326"/>
      <c r="AJ366" s="327"/>
      <c r="AK366" s="497"/>
      <c r="AL366" s="326"/>
      <c r="AM366" s="327"/>
      <c r="AN366" s="44"/>
      <c r="AO366" s="45"/>
      <c r="AP366" s="44"/>
      <c r="AQ366" s="45"/>
      <c r="AR366" s="44"/>
      <c r="AS366" s="45"/>
      <c r="AT366" s="44"/>
      <c r="AU366" s="45"/>
      <c r="AV366" s="44"/>
      <c r="AW366" s="45"/>
      <c r="AX366" s="44"/>
      <c r="AY366" s="45"/>
      <c r="AZ366" s="50"/>
      <c r="BA366" s="47"/>
      <c r="BB366" s="50"/>
      <c r="BC366" s="47"/>
      <c r="BD366" s="50"/>
      <c r="BE366" s="47"/>
      <c r="BF366" s="50"/>
      <c r="BG366" s="47"/>
      <c r="BH366" s="50"/>
      <c r="BI366" s="608" t="s">
        <v>307</v>
      </c>
      <c r="BJ366" s="326"/>
      <c r="BK366" s="326"/>
      <c r="BL366" s="326"/>
      <c r="BM366" s="326"/>
      <c r="BN366" s="326"/>
      <c r="BO366" s="326"/>
      <c r="BP366" s="326"/>
      <c r="BQ366" s="326"/>
      <c r="BR366" s="326"/>
      <c r="BS366" s="326"/>
      <c r="BT366" s="326"/>
      <c r="BU366" s="326"/>
      <c r="BV366" s="327"/>
    </row>
    <row r="367" spans="1:74" ht="30" customHeight="1" x14ac:dyDescent="0.25">
      <c r="A367" s="49">
        <f t="shared" si="1"/>
        <v>353</v>
      </c>
      <c r="B367" s="42" t="s">
        <v>334</v>
      </c>
      <c r="C367" s="43"/>
      <c r="D367" s="609"/>
      <c r="E367" s="326"/>
      <c r="F367" s="326"/>
      <c r="G367" s="326"/>
      <c r="H367" s="326"/>
      <c r="I367" s="326"/>
      <c r="J367" s="326"/>
      <c r="K367" s="327"/>
      <c r="L367" s="610"/>
      <c r="M367" s="326"/>
      <c r="N367" s="326"/>
      <c r="O367" s="327"/>
      <c r="P367" s="609"/>
      <c r="Q367" s="326"/>
      <c r="R367" s="326"/>
      <c r="S367" s="327"/>
      <c r="T367" s="610"/>
      <c r="U367" s="326"/>
      <c r="V367" s="326"/>
      <c r="W367" s="327"/>
      <c r="X367" s="609"/>
      <c r="Y367" s="326"/>
      <c r="Z367" s="326"/>
      <c r="AA367" s="327"/>
      <c r="AB367" s="451"/>
      <c r="AC367" s="326"/>
      <c r="AD367" s="327"/>
      <c r="AE367" s="526"/>
      <c r="AF367" s="326"/>
      <c r="AG367" s="327"/>
      <c r="AH367" s="607"/>
      <c r="AI367" s="326"/>
      <c r="AJ367" s="327"/>
      <c r="AK367" s="497"/>
      <c r="AL367" s="326"/>
      <c r="AM367" s="327"/>
      <c r="AN367" s="44"/>
      <c r="AO367" s="45"/>
      <c r="AP367" s="44"/>
      <c r="AQ367" s="45"/>
      <c r="AR367" s="44"/>
      <c r="AS367" s="45"/>
      <c r="AT367" s="44"/>
      <c r="AU367" s="45"/>
      <c r="AV367" s="44"/>
      <c r="AW367" s="45"/>
      <c r="AX367" s="44"/>
      <c r="AY367" s="45"/>
      <c r="AZ367" s="50"/>
      <c r="BA367" s="47"/>
      <c r="BB367" s="50"/>
      <c r="BC367" s="47"/>
      <c r="BD367" s="50"/>
      <c r="BE367" s="47"/>
      <c r="BF367" s="50"/>
      <c r="BG367" s="47"/>
      <c r="BH367" s="50"/>
      <c r="BI367" s="608" t="s">
        <v>303</v>
      </c>
      <c r="BJ367" s="326"/>
      <c r="BK367" s="326"/>
      <c r="BL367" s="326"/>
      <c r="BM367" s="326"/>
      <c r="BN367" s="326"/>
      <c r="BO367" s="326"/>
      <c r="BP367" s="326"/>
      <c r="BQ367" s="326"/>
      <c r="BR367" s="326"/>
      <c r="BS367" s="326"/>
      <c r="BT367" s="326"/>
      <c r="BU367" s="326"/>
      <c r="BV367" s="327"/>
    </row>
    <row r="368" spans="1:74" ht="30" customHeight="1" x14ac:dyDescent="0.25">
      <c r="A368" s="49">
        <f t="shared" si="1"/>
        <v>354</v>
      </c>
      <c r="B368" s="42" t="s">
        <v>334</v>
      </c>
      <c r="C368" s="43"/>
      <c r="D368" s="609"/>
      <c r="E368" s="326"/>
      <c r="F368" s="326"/>
      <c r="G368" s="326"/>
      <c r="H368" s="326"/>
      <c r="I368" s="326"/>
      <c r="J368" s="326"/>
      <c r="K368" s="327"/>
      <c r="L368" s="610"/>
      <c r="M368" s="326"/>
      <c r="N368" s="326"/>
      <c r="O368" s="327"/>
      <c r="P368" s="609"/>
      <c r="Q368" s="326"/>
      <c r="R368" s="326"/>
      <c r="S368" s="327"/>
      <c r="T368" s="610"/>
      <c r="U368" s="326"/>
      <c r="V368" s="326"/>
      <c r="W368" s="327"/>
      <c r="X368" s="609"/>
      <c r="Y368" s="326"/>
      <c r="Z368" s="326"/>
      <c r="AA368" s="327"/>
      <c r="AB368" s="451"/>
      <c r="AC368" s="326"/>
      <c r="AD368" s="327"/>
      <c r="AE368" s="526"/>
      <c r="AF368" s="326"/>
      <c r="AG368" s="327"/>
      <c r="AH368" s="607"/>
      <c r="AI368" s="326"/>
      <c r="AJ368" s="327"/>
      <c r="AK368" s="497"/>
      <c r="AL368" s="326"/>
      <c r="AM368" s="327"/>
      <c r="AN368" s="44"/>
      <c r="AO368" s="45"/>
      <c r="AP368" s="44"/>
      <c r="AQ368" s="45"/>
      <c r="AR368" s="44"/>
      <c r="AS368" s="45"/>
      <c r="AT368" s="44"/>
      <c r="AU368" s="45"/>
      <c r="AV368" s="44"/>
      <c r="AW368" s="45"/>
      <c r="AX368" s="44"/>
      <c r="AY368" s="45"/>
      <c r="AZ368" s="50"/>
      <c r="BA368" s="47"/>
      <c r="BB368" s="50"/>
      <c r="BC368" s="47"/>
      <c r="BD368" s="50"/>
      <c r="BE368" s="47"/>
      <c r="BF368" s="50"/>
      <c r="BG368" s="47"/>
      <c r="BH368" s="50"/>
      <c r="BI368" s="608" t="s">
        <v>303</v>
      </c>
      <c r="BJ368" s="326"/>
      <c r="BK368" s="326"/>
      <c r="BL368" s="326"/>
      <c r="BM368" s="326"/>
      <c r="BN368" s="326"/>
      <c r="BO368" s="326"/>
      <c r="BP368" s="326"/>
      <c r="BQ368" s="326"/>
      <c r="BR368" s="326"/>
      <c r="BS368" s="326"/>
      <c r="BT368" s="326"/>
      <c r="BU368" s="326"/>
      <c r="BV368" s="327"/>
    </row>
    <row r="369" spans="1:74" ht="30" customHeight="1" x14ac:dyDescent="0.25">
      <c r="A369" s="41">
        <f t="shared" si="1"/>
        <v>355</v>
      </c>
      <c r="B369" s="42" t="s">
        <v>334</v>
      </c>
      <c r="C369" s="43"/>
      <c r="D369" s="609"/>
      <c r="E369" s="326"/>
      <c r="F369" s="326"/>
      <c r="G369" s="326"/>
      <c r="H369" s="326"/>
      <c r="I369" s="326"/>
      <c r="J369" s="326"/>
      <c r="K369" s="327"/>
      <c r="L369" s="610"/>
      <c r="M369" s="326"/>
      <c r="N369" s="326"/>
      <c r="O369" s="327"/>
      <c r="P369" s="609"/>
      <c r="Q369" s="326"/>
      <c r="R369" s="326"/>
      <c r="S369" s="327"/>
      <c r="T369" s="610"/>
      <c r="U369" s="326"/>
      <c r="V369" s="326"/>
      <c r="W369" s="327"/>
      <c r="X369" s="609"/>
      <c r="Y369" s="326"/>
      <c r="Z369" s="326"/>
      <c r="AA369" s="327"/>
      <c r="AB369" s="451"/>
      <c r="AC369" s="326"/>
      <c r="AD369" s="327"/>
      <c r="AE369" s="526"/>
      <c r="AF369" s="326"/>
      <c r="AG369" s="327"/>
      <c r="AH369" s="607"/>
      <c r="AI369" s="326"/>
      <c r="AJ369" s="327"/>
      <c r="AK369" s="497"/>
      <c r="AL369" s="326"/>
      <c r="AM369" s="327"/>
      <c r="AN369" s="44"/>
      <c r="AO369" s="45"/>
      <c r="AP369" s="44"/>
      <c r="AQ369" s="45"/>
      <c r="AR369" s="44"/>
      <c r="AS369" s="45"/>
      <c r="AT369" s="44"/>
      <c r="AU369" s="45"/>
      <c r="AV369" s="44"/>
      <c r="AW369" s="45"/>
      <c r="AX369" s="44"/>
      <c r="AY369" s="45"/>
      <c r="AZ369" s="50"/>
      <c r="BA369" s="47"/>
      <c r="BB369" s="50"/>
      <c r="BC369" s="47"/>
      <c r="BD369" s="50"/>
      <c r="BE369" s="47"/>
      <c r="BF369" s="50"/>
      <c r="BG369" s="47"/>
      <c r="BH369" s="50"/>
      <c r="BI369" s="608" t="s">
        <v>307</v>
      </c>
      <c r="BJ369" s="326"/>
      <c r="BK369" s="326"/>
      <c r="BL369" s="326"/>
      <c r="BM369" s="326"/>
      <c r="BN369" s="326"/>
      <c r="BO369" s="326"/>
      <c r="BP369" s="326"/>
      <c r="BQ369" s="326"/>
      <c r="BR369" s="326"/>
      <c r="BS369" s="326"/>
      <c r="BT369" s="326"/>
      <c r="BU369" s="326"/>
      <c r="BV369" s="327"/>
    </row>
    <row r="370" spans="1:74" ht="30" customHeight="1" x14ac:dyDescent="0.25">
      <c r="A370" s="49">
        <f t="shared" si="1"/>
        <v>356</v>
      </c>
      <c r="B370" s="42" t="s">
        <v>334</v>
      </c>
      <c r="C370" s="43"/>
      <c r="D370" s="609"/>
      <c r="E370" s="326"/>
      <c r="F370" s="326"/>
      <c r="G370" s="326"/>
      <c r="H370" s="326"/>
      <c r="I370" s="326"/>
      <c r="J370" s="326"/>
      <c r="K370" s="327"/>
      <c r="L370" s="610"/>
      <c r="M370" s="326"/>
      <c r="N370" s="326"/>
      <c r="O370" s="327"/>
      <c r="P370" s="609"/>
      <c r="Q370" s="326"/>
      <c r="R370" s="326"/>
      <c r="S370" s="327"/>
      <c r="T370" s="610"/>
      <c r="U370" s="326"/>
      <c r="V370" s="326"/>
      <c r="W370" s="327"/>
      <c r="X370" s="609"/>
      <c r="Y370" s="326"/>
      <c r="Z370" s="326"/>
      <c r="AA370" s="327"/>
      <c r="AB370" s="451"/>
      <c r="AC370" s="326"/>
      <c r="AD370" s="327"/>
      <c r="AE370" s="526"/>
      <c r="AF370" s="326"/>
      <c r="AG370" s="327"/>
      <c r="AH370" s="607"/>
      <c r="AI370" s="326"/>
      <c r="AJ370" s="327"/>
      <c r="AK370" s="497"/>
      <c r="AL370" s="326"/>
      <c r="AM370" s="327"/>
      <c r="AN370" s="44"/>
      <c r="AO370" s="45"/>
      <c r="AP370" s="44"/>
      <c r="AQ370" s="45"/>
      <c r="AR370" s="44"/>
      <c r="AS370" s="45"/>
      <c r="AT370" s="44"/>
      <c r="AU370" s="45"/>
      <c r="AV370" s="44"/>
      <c r="AW370" s="45"/>
      <c r="AX370" s="44"/>
      <c r="AY370" s="45"/>
      <c r="AZ370" s="50"/>
      <c r="BA370" s="47"/>
      <c r="BB370" s="50"/>
      <c r="BC370" s="47"/>
      <c r="BD370" s="50"/>
      <c r="BE370" s="47"/>
      <c r="BF370" s="50"/>
      <c r="BG370" s="47"/>
      <c r="BH370" s="50"/>
      <c r="BI370" s="608" t="s">
        <v>307</v>
      </c>
      <c r="BJ370" s="326"/>
      <c r="BK370" s="326"/>
      <c r="BL370" s="326"/>
      <c r="BM370" s="326"/>
      <c r="BN370" s="326"/>
      <c r="BO370" s="326"/>
      <c r="BP370" s="326"/>
      <c r="BQ370" s="326"/>
      <c r="BR370" s="326"/>
      <c r="BS370" s="326"/>
      <c r="BT370" s="326"/>
      <c r="BU370" s="326"/>
      <c r="BV370" s="327"/>
    </row>
    <row r="371" spans="1:74" ht="30" customHeight="1" x14ac:dyDescent="0.25">
      <c r="A371" s="49">
        <f t="shared" si="1"/>
        <v>357</v>
      </c>
      <c r="B371" s="42" t="s">
        <v>334</v>
      </c>
      <c r="C371" s="43"/>
      <c r="D371" s="609"/>
      <c r="E371" s="326"/>
      <c r="F371" s="326"/>
      <c r="G371" s="326"/>
      <c r="H371" s="326"/>
      <c r="I371" s="326"/>
      <c r="J371" s="326"/>
      <c r="K371" s="327"/>
      <c r="L371" s="610"/>
      <c r="M371" s="326"/>
      <c r="N371" s="326"/>
      <c r="O371" s="327"/>
      <c r="P371" s="609"/>
      <c r="Q371" s="326"/>
      <c r="R371" s="326"/>
      <c r="S371" s="327"/>
      <c r="T371" s="610"/>
      <c r="U371" s="326"/>
      <c r="V371" s="326"/>
      <c r="W371" s="327"/>
      <c r="X371" s="609"/>
      <c r="Y371" s="326"/>
      <c r="Z371" s="326"/>
      <c r="AA371" s="327"/>
      <c r="AB371" s="451"/>
      <c r="AC371" s="326"/>
      <c r="AD371" s="327"/>
      <c r="AE371" s="526"/>
      <c r="AF371" s="326"/>
      <c r="AG371" s="327"/>
      <c r="AH371" s="607"/>
      <c r="AI371" s="326"/>
      <c r="AJ371" s="327"/>
      <c r="AK371" s="497"/>
      <c r="AL371" s="326"/>
      <c r="AM371" s="327"/>
      <c r="AN371" s="44"/>
      <c r="AO371" s="45"/>
      <c r="AP371" s="44"/>
      <c r="AQ371" s="45"/>
      <c r="AR371" s="44"/>
      <c r="AS371" s="45"/>
      <c r="AT371" s="44"/>
      <c r="AU371" s="45"/>
      <c r="AV371" s="44"/>
      <c r="AW371" s="45"/>
      <c r="AX371" s="44"/>
      <c r="AY371" s="45"/>
      <c r="AZ371" s="50"/>
      <c r="BA371" s="47"/>
      <c r="BB371" s="50"/>
      <c r="BC371" s="47"/>
      <c r="BD371" s="50"/>
      <c r="BE371" s="47"/>
      <c r="BF371" s="50"/>
      <c r="BG371" s="47"/>
      <c r="BH371" s="50"/>
      <c r="BI371" s="608" t="s">
        <v>307</v>
      </c>
      <c r="BJ371" s="326"/>
      <c r="BK371" s="326"/>
      <c r="BL371" s="326"/>
      <c r="BM371" s="326"/>
      <c r="BN371" s="326"/>
      <c r="BO371" s="326"/>
      <c r="BP371" s="326"/>
      <c r="BQ371" s="326"/>
      <c r="BR371" s="326"/>
      <c r="BS371" s="326"/>
      <c r="BT371" s="326"/>
      <c r="BU371" s="326"/>
      <c r="BV371" s="327"/>
    </row>
    <row r="372" spans="1:74" ht="30" customHeight="1" x14ac:dyDescent="0.25">
      <c r="A372" s="49">
        <f t="shared" si="1"/>
        <v>358</v>
      </c>
      <c r="B372" s="42" t="s">
        <v>334</v>
      </c>
      <c r="C372" s="43"/>
      <c r="D372" s="609"/>
      <c r="E372" s="326"/>
      <c r="F372" s="326"/>
      <c r="G372" s="326"/>
      <c r="H372" s="326"/>
      <c r="I372" s="326"/>
      <c r="J372" s="326"/>
      <c r="K372" s="327"/>
      <c r="L372" s="610"/>
      <c r="M372" s="326"/>
      <c r="N372" s="326"/>
      <c r="O372" s="327"/>
      <c r="P372" s="609"/>
      <c r="Q372" s="326"/>
      <c r="R372" s="326"/>
      <c r="S372" s="327"/>
      <c r="T372" s="610"/>
      <c r="U372" s="326"/>
      <c r="V372" s="326"/>
      <c r="W372" s="327"/>
      <c r="X372" s="609"/>
      <c r="Y372" s="326"/>
      <c r="Z372" s="326"/>
      <c r="AA372" s="327"/>
      <c r="AB372" s="451"/>
      <c r="AC372" s="326"/>
      <c r="AD372" s="327"/>
      <c r="AE372" s="526"/>
      <c r="AF372" s="326"/>
      <c r="AG372" s="327"/>
      <c r="AH372" s="607"/>
      <c r="AI372" s="326"/>
      <c r="AJ372" s="327"/>
      <c r="AK372" s="497"/>
      <c r="AL372" s="326"/>
      <c r="AM372" s="327"/>
      <c r="AN372" s="44"/>
      <c r="AO372" s="45"/>
      <c r="AP372" s="44"/>
      <c r="AQ372" s="45"/>
      <c r="AR372" s="44"/>
      <c r="AS372" s="45"/>
      <c r="AT372" s="44"/>
      <c r="AU372" s="45"/>
      <c r="AV372" s="44"/>
      <c r="AW372" s="45"/>
      <c r="AX372" s="44"/>
      <c r="AY372" s="45"/>
      <c r="AZ372" s="50"/>
      <c r="BA372" s="47"/>
      <c r="BB372" s="50"/>
      <c r="BC372" s="47"/>
      <c r="BD372" s="50"/>
      <c r="BE372" s="47"/>
      <c r="BF372" s="50"/>
      <c r="BG372" s="47"/>
      <c r="BH372" s="50"/>
      <c r="BI372" s="608" t="s">
        <v>307</v>
      </c>
      <c r="BJ372" s="326"/>
      <c r="BK372" s="326"/>
      <c r="BL372" s="326"/>
      <c r="BM372" s="326"/>
      <c r="BN372" s="326"/>
      <c r="BO372" s="326"/>
      <c r="BP372" s="326"/>
      <c r="BQ372" s="326"/>
      <c r="BR372" s="326"/>
      <c r="BS372" s="326"/>
      <c r="BT372" s="326"/>
      <c r="BU372" s="326"/>
      <c r="BV372" s="327"/>
    </row>
    <row r="373" spans="1:74" ht="30" customHeight="1" x14ac:dyDescent="0.25">
      <c r="A373" s="49">
        <f t="shared" si="1"/>
        <v>359</v>
      </c>
      <c r="B373" s="42" t="s">
        <v>334</v>
      </c>
      <c r="C373" s="43"/>
      <c r="D373" s="609"/>
      <c r="E373" s="326"/>
      <c r="F373" s="326"/>
      <c r="G373" s="326"/>
      <c r="H373" s="326"/>
      <c r="I373" s="326"/>
      <c r="J373" s="326"/>
      <c r="K373" s="327"/>
      <c r="L373" s="610"/>
      <c r="M373" s="326"/>
      <c r="N373" s="326"/>
      <c r="O373" s="327"/>
      <c r="P373" s="609"/>
      <c r="Q373" s="326"/>
      <c r="R373" s="326"/>
      <c r="S373" s="327"/>
      <c r="T373" s="610"/>
      <c r="U373" s="326"/>
      <c r="V373" s="326"/>
      <c r="W373" s="327"/>
      <c r="X373" s="609"/>
      <c r="Y373" s="326"/>
      <c r="Z373" s="326"/>
      <c r="AA373" s="327"/>
      <c r="AB373" s="451"/>
      <c r="AC373" s="326"/>
      <c r="AD373" s="327"/>
      <c r="AE373" s="526"/>
      <c r="AF373" s="326"/>
      <c r="AG373" s="327"/>
      <c r="AH373" s="607"/>
      <c r="AI373" s="326"/>
      <c r="AJ373" s="327"/>
      <c r="AK373" s="497"/>
      <c r="AL373" s="326"/>
      <c r="AM373" s="327"/>
      <c r="AN373" s="44"/>
      <c r="AO373" s="45"/>
      <c r="AP373" s="44"/>
      <c r="AQ373" s="45"/>
      <c r="AR373" s="44"/>
      <c r="AS373" s="45"/>
      <c r="AT373" s="44"/>
      <c r="AU373" s="45"/>
      <c r="AV373" s="44"/>
      <c r="AW373" s="45"/>
      <c r="AX373" s="44"/>
      <c r="AY373" s="45"/>
      <c r="AZ373" s="50"/>
      <c r="BA373" s="47"/>
      <c r="BB373" s="50"/>
      <c r="BC373" s="47"/>
      <c r="BD373" s="50"/>
      <c r="BE373" s="47"/>
      <c r="BF373" s="50"/>
      <c r="BG373" s="47"/>
      <c r="BH373" s="50"/>
      <c r="BI373" s="608" t="s">
        <v>307</v>
      </c>
      <c r="BJ373" s="326"/>
      <c r="BK373" s="326"/>
      <c r="BL373" s="326"/>
      <c r="BM373" s="326"/>
      <c r="BN373" s="326"/>
      <c r="BO373" s="326"/>
      <c r="BP373" s="326"/>
      <c r="BQ373" s="326"/>
      <c r="BR373" s="326"/>
      <c r="BS373" s="326"/>
      <c r="BT373" s="326"/>
      <c r="BU373" s="326"/>
      <c r="BV373" s="327"/>
    </row>
    <row r="374" spans="1:74" ht="30" customHeight="1" x14ac:dyDescent="0.25">
      <c r="A374" s="49">
        <f t="shared" si="1"/>
        <v>360</v>
      </c>
      <c r="B374" s="42" t="s">
        <v>334</v>
      </c>
      <c r="C374" s="43"/>
      <c r="D374" s="609"/>
      <c r="E374" s="326"/>
      <c r="F374" s="326"/>
      <c r="G374" s="326"/>
      <c r="H374" s="326"/>
      <c r="I374" s="326"/>
      <c r="J374" s="326"/>
      <c r="K374" s="327"/>
      <c r="L374" s="610"/>
      <c r="M374" s="326"/>
      <c r="N374" s="326"/>
      <c r="O374" s="327"/>
      <c r="P374" s="609"/>
      <c r="Q374" s="326"/>
      <c r="R374" s="326"/>
      <c r="S374" s="327"/>
      <c r="T374" s="610"/>
      <c r="U374" s="326"/>
      <c r="V374" s="326"/>
      <c r="W374" s="327"/>
      <c r="X374" s="609"/>
      <c r="Y374" s="326"/>
      <c r="Z374" s="326"/>
      <c r="AA374" s="327"/>
      <c r="AB374" s="451"/>
      <c r="AC374" s="326"/>
      <c r="AD374" s="327"/>
      <c r="AE374" s="526"/>
      <c r="AF374" s="326"/>
      <c r="AG374" s="327"/>
      <c r="AH374" s="607"/>
      <c r="AI374" s="326"/>
      <c r="AJ374" s="327"/>
      <c r="AK374" s="497"/>
      <c r="AL374" s="326"/>
      <c r="AM374" s="327"/>
      <c r="AN374" s="44"/>
      <c r="AO374" s="45"/>
      <c r="AP374" s="44"/>
      <c r="AQ374" s="45"/>
      <c r="AR374" s="44"/>
      <c r="AS374" s="45"/>
      <c r="AT374" s="44"/>
      <c r="AU374" s="45"/>
      <c r="AV374" s="44"/>
      <c r="AW374" s="45"/>
      <c r="AX374" s="44"/>
      <c r="AY374" s="45"/>
      <c r="AZ374" s="50"/>
      <c r="BA374" s="47"/>
      <c r="BB374" s="50"/>
      <c r="BC374" s="47"/>
      <c r="BD374" s="50"/>
      <c r="BE374" s="47"/>
      <c r="BF374" s="50"/>
      <c r="BG374" s="47"/>
      <c r="BH374" s="50"/>
      <c r="BI374" s="608" t="s">
        <v>303</v>
      </c>
      <c r="BJ374" s="326"/>
      <c r="BK374" s="326"/>
      <c r="BL374" s="326"/>
      <c r="BM374" s="326"/>
      <c r="BN374" s="326"/>
      <c r="BO374" s="326"/>
      <c r="BP374" s="326"/>
      <c r="BQ374" s="326"/>
      <c r="BR374" s="326"/>
      <c r="BS374" s="326"/>
      <c r="BT374" s="326"/>
      <c r="BU374" s="326"/>
      <c r="BV374" s="327"/>
    </row>
    <row r="375" spans="1:74" ht="30" customHeight="1" x14ac:dyDescent="0.25">
      <c r="A375" s="49">
        <f t="shared" si="1"/>
        <v>361</v>
      </c>
      <c r="B375" s="42" t="s">
        <v>334</v>
      </c>
      <c r="C375" s="43"/>
      <c r="D375" s="609"/>
      <c r="E375" s="326"/>
      <c r="F375" s="326"/>
      <c r="G375" s="326"/>
      <c r="H375" s="326"/>
      <c r="I375" s="326"/>
      <c r="J375" s="326"/>
      <c r="K375" s="327"/>
      <c r="L375" s="610"/>
      <c r="M375" s="326"/>
      <c r="N375" s="326"/>
      <c r="O375" s="327"/>
      <c r="P375" s="609"/>
      <c r="Q375" s="326"/>
      <c r="R375" s="326"/>
      <c r="S375" s="327"/>
      <c r="T375" s="610"/>
      <c r="U375" s="326"/>
      <c r="V375" s="326"/>
      <c r="W375" s="327"/>
      <c r="X375" s="609"/>
      <c r="Y375" s="326"/>
      <c r="Z375" s="326"/>
      <c r="AA375" s="327"/>
      <c r="AB375" s="451"/>
      <c r="AC375" s="326"/>
      <c r="AD375" s="327"/>
      <c r="AE375" s="526"/>
      <c r="AF375" s="326"/>
      <c r="AG375" s="327"/>
      <c r="AH375" s="607"/>
      <c r="AI375" s="326"/>
      <c r="AJ375" s="327"/>
      <c r="AK375" s="497"/>
      <c r="AL375" s="326"/>
      <c r="AM375" s="327"/>
      <c r="AN375" s="44"/>
      <c r="AO375" s="45"/>
      <c r="AP375" s="44"/>
      <c r="AQ375" s="45"/>
      <c r="AR375" s="44"/>
      <c r="AS375" s="45"/>
      <c r="AT375" s="44"/>
      <c r="AU375" s="45"/>
      <c r="AV375" s="44"/>
      <c r="AW375" s="45"/>
      <c r="AX375" s="44"/>
      <c r="AY375" s="45"/>
      <c r="AZ375" s="50"/>
      <c r="BA375" s="47"/>
      <c r="BB375" s="50"/>
      <c r="BC375" s="47"/>
      <c r="BD375" s="50"/>
      <c r="BE375" s="47"/>
      <c r="BF375" s="50"/>
      <c r="BG375" s="47"/>
      <c r="BH375" s="50"/>
      <c r="BI375" s="608" t="s">
        <v>303</v>
      </c>
      <c r="BJ375" s="326"/>
      <c r="BK375" s="326"/>
      <c r="BL375" s="326"/>
      <c r="BM375" s="326"/>
      <c r="BN375" s="326"/>
      <c r="BO375" s="326"/>
      <c r="BP375" s="326"/>
      <c r="BQ375" s="326"/>
      <c r="BR375" s="326"/>
      <c r="BS375" s="326"/>
      <c r="BT375" s="326"/>
      <c r="BU375" s="326"/>
      <c r="BV375" s="327"/>
    </row>
    <row r="376" spans="1:74" ht="30" customHeight="1" x14ac:dyDescent="0.25">
      <c r="A376" s="41">
        <f t="shared" si="1"/>
        <v>362</v>
      </c>
      <c r="B376" s="42" t="s">
        <v>334</v>
      </c>
      <c r="C376" s="43"/>
      <c r="D376" s="609"/>
      <c r="E376" s="326"/>
      <c r="F376" s="326"/>
      <c r="G376" s="326"/>
      <c r="H376" s="326"/>
      <c r="I376" s="326"/>
      <c r="J376" s="326"/>
      <c r="K376" s="327"/>
      <c r="L376" s="610"/>
      <c r="M376" s="326"/>
      <c r="N376" s="326"/>
      <c r="O376" s="327"/>
      <c r="P376" s="609"/>
      <c r="Q376" s="326"/>
      <c r="R376" s="326"/>
      <c r="S376" s="327"/>
      <c r="T376" s="610"/>
      <c r="U376" s="326"/>
      <c r="V376" s="326"/>
      <c r="W376" s="327"/>
      <c r="X376" s="609"/>
      <c r="Y376" s="326"/>
      <c r="Z376" s="326"/>
      <c r="AA376" s="327"/>
      <c r="AB376" s="451"/>
      <c r="AC376" s="326"/>
      <c r="AD376" s="327"/>
      <c r="AE376" s="526"/>
      <c r="AF376" s="326"/>
      <c r="AG376" s="327"/>
      <c r="AH376" s="607"/>
      <c r="AI376" s="326"/>
      <c r="AJ376" s="327"/>
      <c r="AK376" s="497"/>
      <c r="AL376" s="326"/>
      <c r="AM376" s="327"/>
      <c r="AN376" s="44"/>
      <c r="AO376" s="45"/>
      <c r="AP376" s="44"/>
      <c r="AQ376" s="45"/>
      <c r="AR376" s="44"/>
      <c r="AS376" s="45"/>
      <c r="AT376" s="44"/>
      <c r="AU376" s="45"/>
      <c r="AV376" s="44"/>
      <c r="AW376" s="45"/>
      <c r="AX376" s="44"/>
      <c r="AY376" s="45"/>
      <c r="AZ376" s="50"/>
      <c r="BA376" s="47"/>
      <c r="BB376" s="50"/>
      <c r="BC376" s="47"/>
      <c r="BD376" s="50"/>
      <c r="BE376" s="47"/>
      <c r="BF376" s="50"/>
      <c r="BG376" s="47"/>
      <c r="BH376" s="50"/>
      <c r="BI376" s="608" t="s">
        <v>307</v>
      </c>
      <c r="BJ376" s="326"/>
      <c r="BK376" s="326"/>
      <c r="BL376" s="326"/>
      <c r="BM376" s="326"/>
      <c r="BN376" s="326"/>
      <c r="BO376" s="326"/>
      <c r="BP376" s="326"/>
      <c r="BQ376" s="326"/>
      <c r="BR376" s="326"/>
      <c r="BS376" s="326"/>
      <c r="BT376" s="326"/>
      <c r="BU376" s="326"/>
      <c r="BV376" s="327"/>
    </row>
    <row r="377" spans="1:74" ht="30" customHeight="1" x14ac:dyDescent="0.25">
      <c r="A377" s="49">
        <f t="shared" si="1"/>
        <v>363</v>
      </c>
      <c r="B377" s="42" t="s">
        <v>334</v>
      </c>
      <c r="C377" s="43"/>
      <c r="D377" s="609"/>
      <c r="E377" s="326"/>
      <c r="F377" s="326"/>
      <c r="G377" s="326"/>
      <c r="H377" s="326"/>
      <c r="I377" s="326"/>
      <c r="J377" s="326"/>
      <c r="K377" s="327"/>
      <c r="L377" s="610"/>
      <c r="M377" s="326"/>
      <c r="N377" s="326"/>
      <c r="O377" s="327"/>
      <c r="P377" s="609"/>
      <c r="Q377" s="326"/>
      <c r="R377" s="326"/>
      <c r="S377" s="327"/>
      <c r="T377" s="610"/>
      <c r="U377" s="326"/>
      <c r="V377" s="326"/>
      <c r="W377" s="327"/>
      <c r="X377" s="609"/>
      <c r="Y377" s="326"/>
      <c r="Z377" s="326"/>
      <c r="AA377" s="327"/>
      <c r="AB377" s="451"/>
      <c r="AC377" s="326"/>
      <c r="AD377" s="327"/>
      <c r="AE377" s="526"/>
      <c r="AF377" s="326"/>
      <c r="AG377" s="327"/>
      <c r="AH377" s="607"/>
      <c r="AI377" s="326"/>
      <c r="AJ377" s="327"/>
      <c r="AK377" s="497"/>
      <c r="AL377" s="326"/>
      <c r="AM377" s="327"/>
      <c r="AN377" s="44"/>
      <c r="AO377" s="45"/>
      <c r="AP377" s="44"/>
      <c r="AQ377" s="45"/>
      <c r="AR377" s="44"/>
      <c r="AS377" s="45"/>
      <c r="AT377" s="44"/>
      <c r="AU377" s="45"/>
      <c r="AV377" s="44"/>
      <c r="AW377" s="45"/>
      <c r="AX377" s="44"/>
      <c r="AY377" s="45"/>
      <c r="AZ377" s="50"/>
      <c r="BA377" s="47"/>
      <c r="BB377" s="50"/>
      <c r="BC377" s="47"/>
      <c r="BD377" s="50"/>
      <c r="BE377" s="47"/>
      <c r="BF377" s="50"/>
      <c r="BG377" s="47"/>
      <c r="BH377" s="50"/>
      <c r="BI377" s="608" t="s">
        <v>307</v>
      </c>
      <c r="BJ377" s="326"/>
      <c r="BK377" s="326"/>
      <c r="BL377" s="326"/>
      <c r="BM377" s="326"/>
      <c r="BN377" s="326"/>
      <c r="BO377" s="326"/>
      <c r="BP377" s="326"/>
      <c r="BQ377" s="326"/>
      <c r="BR377" s="326"/>
      <c r="BS377" s="326"/>
      <c r="BT377" s="326"/>
      <c r="BU377" s="326"/>
      <c r="BV377" s="327"/>
    </row>
    <row r="378" spans="1:74" ht="30" customHeight="1" x14ac:dyDescent="0.25">
      <c r="A378" s="49">
        <f t="shared" si="1"/>
        <v>364</v>
      </c>
      <c r="B378" s="42" t="s">
        <v>334</v>
      </c>
      <c r="C378" s="43"/>
      <c r="D378" s="609"/>
      <c r="E378" s="326"/>
      <c r="F378" s="326"/>
      <c r="G378" s="326"/>
      <c r="H378" s="326"/>
      <c r="I378" s="326"/>
      <c r="J378" s="326"/>
      <c r="K378" s="327"/>
      <c r="L378" s="610"/>
      <c r="M378" s="326"/>
      <c r="N378" s="326"/>
      <c r="O378" s="327"/>
      <c r="P378" s="609"/>
      <c r="Q378" s="326"/>
      <c r="R378" s="326"/>
      <c r="S378" s="327"/>
      <c r="T378" s="610"/>
      <c r="U378" s="326"/>
      <c r="V378" s="326"/>
      <c r="W378" s="327"/>
      <c r="X378" s="609"/>
      <c r="Y378" s="326"/>
      <c r="Z378" s="326"/>
      <c r="AA378" s="327"/>
      <c r="AB378" s="451"/>
      <c r="AC378" s="326"/>
      <c r="AD378" s="327"/>
      <c r="AE378" s="526"/>
      <c r="AF378" s="326"/>
      <c r="AG378" s="327"/>
      <c r="AH378" s="607"/>
      <c r="AI378" s="326"/>
      <c r="AJ378" s="327"/>
      <c r="AK378" s="497"/>
      <c r="AL378" s="326"/>
      <c r="AM378" s="327"/>
      <c r="AN378" s="44"/>
      <c r="AO378" s="45"/>
      <c r="AP378" s="44"/>
      <c r="AQ378" s="45"/>
      <c r="AR378" s="44"/>
      <c r="AS378" s="45"/>
      <c r="AT378" s="44"/>
      <c r="AU378" s="45"/>
      <c r="AV378" s="44"/>
      <c r="AW378" s="45"/>
      <c r="AX378" s="44"/>
      <c r="AY378" s="45"/>
      <c r="AZ378" s="50"/>
      <c r="BA378" s="47"/>
      <c r="BB378" s="50"/>
      <c r="BC378" s="47"/>
      <c r="BD378" s="50"/>
      <c r="BE378" s="47"/>
      <c r="BF378" s="50"/>
      <c r="BG378" s="47"/>
      <c r="BH378" s="50"/>
      <c r="BI378" s="608" t="s">
        <v>307</v>
      </c>
      <c r="BJ378" s="326"/>
      <c r="BK378" s="326"/>
      <c r="BL378" s="326"/>
      <c r="BM378" s="326"/>
      <c r="BN378" s="326"/>
      <c r="BO378" s="326"/>
      <c r="BP378" s="326"/>
      <c r="BQ378" s="326"/>
      <c r="BR378" s="326"/>
      <c r="BS378" s="326"/>
      <c r="BT378" s="326"/>
      <c r="BU378" s="326"/>
      <c r="BV378" s="327"/>
    </row>
    <row r="379" spans="1:74" ht="30" customHeight="1" x14ac:dyDescent="0.25">
      <c r="A379" s="49">
        <f t="shared" si="1"/>
        <v>365</v>
      </c>
      <c r="B379" s="42" t="s">
        <v>334</v>
      </c>
      <c r="C379" s="43"/>
      <c r="D379" s="609"/>
      <c r="E379" s="326"/>
      <c r="F379" s="326"/>
      <c r="G379" s="326"/>
      <c r="H379" s="326"/>
      <c r="I379" s="326"/>
      <c r="J379" s="326"/>
      <c r="K379" s="327"/>
      <c r="L379" s="610"/>
      <c r="M379" s="326"/>
      <c r="N379" s="326"/>
      <c r="O379" s="327"/>
      <c r="P379" s="609"/>
      <c r="Q379" s="326"/>
      <c r="R379" s="326"/>
      <c r="S379" s="327"/>
      <c r="T379" s="610"/>
      <c r="U379" s="326"/>
      <c r="V379" s="326"/>
      <c r="W379" s="327"/>
      <c r="X379" s="609"/>
      <c r="Y379" s="326"/>
      <c r="Z379" s="326"/>
      <c r="AA379" s="327"/>
      <c r="AB379" s="451"/>
      <c r="AC379" s="326"/>
      <c r="AD379" s="327"/>
      <c r="AE379" s="526"/>
      <c r="AF379" s="326"/>
      <c r="AG379" s="327"/>
      <c r="AH379" s="607"/>
      <c r="AI379" s="326"/>
      <c r="AJ379" s="327"/>
      <c r="AK379" s="497"/>
      <c r="AL379" s="326"/>
      <c r="AM379" s="327"/>
      <c r="AN379" s="44"/>
      <c r="AO379" s="45"/>
      <c r="AP379" s="44"/>
      <c r="AQ379" s="45"/>
      <c r="AR379" s="44"/>
      <c r="AS379" s="45"/>
      <c r="AT379" s="44"/>
      <c r="AU379" s="45"/>
      <c r="AV379" s="44"/>
      <c r="AW379" s="45"/>
      <c r="AX379" s="44"/>
      <c r="AY379" s="45"/>
      <c r="AZ379" s="50"/>
      <c r="BA379" s="47"/>
      <c r="BB379" s="50"/>
      <c r="BC379" s="47"/>
      <c r="BD379" s="50"/>
      <c r="BE379" s="47"/>
      <c r="BF379" s="50"/>
      <c r="BG379" s="47"/>
      <c r="BH379" s="50"/>
      <c r="BI379" s="608" t="s">
        <v>307</v>
      </c>
      <c r="BJ379" s="326"/>
      <c r="BK379" s="326"/>
      <c r="BL379" s="326"/>
      <c r="BM379" s="326"/>
      <c r="BN379" s="326"/>
      <c r="BO379" s="326"/>
      <c r="BP379" s="326"/>
      <c r="BQ379" s="326"/>
      <c r="BR379" s="326"/>
      <c r="BS379" s="326"/>
      <c r="BT379" s="326"/>
      <c r="BU379" s="326"/>
      <c r="BV379" s="327"/>
    </row>
    <row r="380" spans="1:74" ht="30" customHeight="1" x14ac:dyDescent="0.25">
      <c r="A380" s="49">
        <f t="shared" si="1"/>
        <v>366</v>
      </c>
      <c r="B380" s="42" t="s">
        <v>334</v>
      </c>
      <c r="C380" s="43"/>
      <c r="D380" s="609"/>
      <c r="E380" s="326"/>
      <c r="F380" s="326"/>
      <c r="G380" s="326"/>
      <c r="H380" s="326"/>
      <c r="I380" s="326"/>
      <c r="J380" s="326"/>
      <c r="K380" s="327"/>
      <c r="L380" s="610"/>
      <c r="M380" s="326"/>
      <c r="N380" s="326"/>
      <c r="O380" s="327"/>
      <c r="P380" s="609"/>
      <c r="Q380" s="326"/>
      <c r="R380" s="326"/>
      <c r="S380" s="327"/>
      <c r="T380" s="610"/>
      <c r="U380" s="326"/>
      <c r="V380" s="326"/>
      <c r="W380" s="327"/>
      <c r="X380" s="609"/>
      <c r="Y380" s="326"/>
      <c r="Z380" s="326"/>
      <c r="AA380" s="327"/>
      <c r="AB380" s="451"/>
      <c r="AC380" s="326"/>
      <c r="AD380" s="327"/>
      <c r="AE380" s="526"/>
      <c r="AF380" s="326"/>
      <c r="AG380" s="327"/>
      <c r="AH380" s="607"/>
      <c r="AI380" s="326"/>
      <c r="AJ380" s="327"/>
      <c r="AK380" s="497"/>
      <c r="AL380" s="326"/>
      <c r="AM380" s="327"/>
      <c r="AN380" s="44"/>
      <c r="AO380" s="45"/>
      <c r="AP380" s="44"/>
      <c r="AQ380" s="45"/>
      <c r="AR380" s="44"/>
      <c r="AS380" s="45"/>
      <c r="AT380" s="44"/>
      <c r="AU380" s="45"/>
      <c r="AV380" s="44"/>
      <c r="AW380" s="45"/>
      <c r="AX380" s="44"/>
      <c r="AY380" s="45"/>
      <c r="AZ380" s="50"/>
      <c r="BA380" s="47"/>
      <c r="BB380" s="50"/>
      <c r="BC380" s="47"/>
      <c r="BD380" s="50"/>
      <c r="BE380" s="47"/>
      <c r="BF380" s="50"/>
      <c r="BG380" s="47"/>
      <c r="BH380" s="50"/>
      <c r="BI380" s="608" t="s">
        <v>307</v>
      </c>
      <c r="BJ380" s="326"/>
      <c r="BK380" s="326"/>
      <c r="BL380" s="326"/>
      <c r="BM380" s="326"/>
      <c r="BN380" s="326"/>
      <c r="BO380" s="326"/>
      <c r="BP380" s="326"/>
      <c r="BQ380" s="326"/>
      <c r="BR380" s="326"/>
      <c r="BS380" s="326"/>
      <c r="BT380" s="326"/>
      <c r="BU380" s="326"/>
      <c r="BV380" s="327"/>
    </row>
    <row r="381" spans="1:74" ht="30" customHeight="1" x14ac:dyDescent="0.25">
      <c r="A381" s="49">
        <f t="shared" si="1"/>
        <v>367</v>
      </c>
      <c r="B381" s="42" t="s">
        <v>334</v>
      </c>
      <c r="C381" s="43"/>
      <c r="D381" s="609"/>
      <c r="E381" s="326"/>
      <c r="F381" s="326"/>
      <c r="G381" s="326"/>
      <c r="H381" s="326"/>
      <c r="I381" s="326"/>
      <c r="J381" s="326"/>
      <c r="K381" s="327"/>
      <c r="L381" s="610"/>
      <c r="M381" s="326"/>
      <c r="N381" s="326"/>
      <c r="O381" s="327"/>
      <c r="P381" s="609"/>
      <c r="Q381" s="326"/>
      <c r="R381" s="326"/>
      <c r="S381" s="327"/>
      <c r="T381" s="610"/>
      <c r="U381" s="326"/>
      <c r="V381" s="326"/>
      <c r="W381" s="327"/>
      <c r="X381" s="609"/>
      <c r="Y381" s="326"/>
      <c r="Z381" s="326"/>
      <c r="AA381" s="327"/>
      <c r="AB381" s="451"/>
      <c r="AC381" s="326"/>
      <c r="AD381" s="327"/>
      <c r="AE381" s="526"/>
      <c r="AF381" s="326"/>
      <c r="AG381" s="327"/>
      <c r="AH381" s="607"/>
      <c r="AI381" s="326"/>
      <c r="AJ381" s="327"/>
      <c r="AK381" s="497"/>
      <c r="AL381" s="326"/>
      <c r="AM381" s="327"/>
      <c r="AN381" s="44"/>
      <c r="AO381" s="45"/>
      <c r="AP381" s="44"/>
      <c r="AQ381" s="45"/>
      <c r="AR381" s="44"/>
      <c r="AS381" s="45"/>
      <c r="AT381" s="44"/>
      <c r="AU381" s="45"/>
      <c r="AV381" s="44"/>
      <c r="AW381" s="45"/>
      <c r="AX381" s="44"/>
      <c r="AY381" s="45"/>
      <c r="AZ381" s="50"/>
      <c r="BA381" s="47"/>
      <c r="BB381" s="50"/>
      <c r="BC381" s="47"/>
      <c r="BD381" s="50"/>
      <c r="BE381" s="47"/>
      <c r="BF381" s="50"/>
      <c r="BG381" s="47"/>
      <c r="BH381" s="50"/>
      <c r="BI381" s="608" t="s">
        <v>303</v>
      </c>
      <c r="BJ381" s="326"/>
      <c r="BK381" s="326"/>
      <c r="BL381" s="326"/>
      <c r="BM381" s="326"/>
      <c r="BN381" s="326"/>
      <c r="BO381" s="326"/>
      <c r="BP381" s="326"/>
      <c r="BQ381" s="326"/>
      <c r="BR381" s="326"/>
      <c r="BS381" s="326"/>
      <c r="BT381" s="326"/>
      <c r="BU381" s="326"/>
      <c r="BV381" s="327"/>
    </row>
    <row r="382" spans="1:74" ht="30" customHeight="1" x14ac:dyDescent="0.25">
      <c r="A382" s="49">
        <f t="shared" si="1"/>
        <v>368</v>
      </c>
      <c r="B382" s="42" t="s">
        <v>334</v>
      </c>
      <c r="C382" s="43"/>
      <c r="D382" s="609"/>
      <c r="E382" s="326"/>
      <c r="F382" s="326"/>
      <c r="G382" s="326"/>
      <c r="H382" s="326"/>
      <c r="I382" s="326"/>
      <c r="J382" s="326"/>
      <c r="K382" s="327"/>
      <c r="L382" s="610"/>
      <c r="M382" s="326"/>
      <c r="N382" s="326"/>
      <c r="O382" s="327"/>
      <c r="P382" s="609"/>
      <c r="Q382" s="326"/>
      <c r="R382" s="326"/>
      <c r="S382" s="327"/>
      <c r="T382" s="610"/>
      <c r="U382" s="326"/>
      <c r="V382" s="326"/>
      <c r="W382" s="327"/>
      <c r="X382" s="609"/>
      <c r="Y382" s="326"/>
      <c r="Z382" s="326"/>
      <c r="AA382" s="327"/>
      <c r="AB382" s="451"/>
      <c r="AC382" s="326"/>
      <c r="AD382" s="327"/>
      <c r="AE382" s="526"/>
      <c r="AF382" s="326"/>
      <c r="AG382" s="327"/>
      <c r="AH382" s="607"/>
      <c r="AI382" s="326"/>
      <c r="AJ382" s="327"/>
      <c r="AK382" s="497"/>
      <c r="AL382" s="326"/>
      <c r="AM382" s="327"/>
      <c r="AN382" s="44"/>
      <c r="AO382" s="45"/>
      <c r="AP382" s="44"/>
      <c r="AQ382" s="45"/>
      <c r="AR382" s="44"/>
      <c r="AS382" s="45"/>
      <c r="AT382" s="44"/>
      <c r="AU382" s="45"/>
      <c r="AV382" s="44"/>
      <c r="AW382" s="45"/>
      <c r="AX382" s="44"/>
      <c r="AY382" s="45"/>
      <c r="AZ382" s="50"/>
      <c r="BA382" s="47"/>
      <c r="BB382" s="50"/>
      <c r="BC382" s="47"/>
      <c r="BD382" s="50"/>
      <c r="BE382" s="47"/>
      <c r="BF382" s="50"/>
      <c r="BG382" s="47"/>
      <c r="BH382" s="50"/>
      <c r="BI382" s="608" t="s">
        <v>303</v>
      </c>
      <c r="BJ382" s="326"/>
      <c r="BK382" s="326"/>
      <c r="BL382" s="326"/>
      <c r="BM382" s="326"/>
      <c r="BN382" s="326"/>
      <c r="BO382" s="326"/>
      <c r="BP382" s="326"/>
      <c r="BQ382" s="326"/>
      <c r="BR382" s="326"/>
      <c r="BS382" s="326"/>
      <c r="BT382" s="326"/>
      <c r="BU382" s="326"/>
      <c r="BV382" s="327"/>
    </row>
    <row r="383" spans="1:74" ht="30" customHeight="1" x14ac:dyDescent="0.25">
      <c r="A383" s="41">
        <f t="shared" si="1"/>
        <v>369</v>
      </c>
      <c r="B383" s="42" t="s">
        <v>334</v>
      </c>
      <c r="C383" s="43"/>
      <c r="D383" s="609"/>
      <c r="E383" s="326"/>
      <c r="F383" s="326"/>
      <c r="G383" s="326"/>
      <c r="H383" s="326"/>
      <c r="I383" s="326"/>
      <c r="J383" s="326"/>
      <c r="K383" s="327"/>
      <c r="L383" s="610"/>
      <c r="M383" s="326"/>
      <c r="N383" s="326"/>
      <c r="O383" s="327"/>
      <c r="P383" s="609"/>
      <c r="Q383" s="326"/>
      <c r="R383" s="326"/>
      <c r="S383" s="327"/>
      <c r="T383" s="610"/>
      <c r="U383" s="326"/>
      <c r="V383" s="326"/>
      <c r="W383" s="327"/>
      <c r="X383" s="609"/>
      <c r="Y383" s="326"/>
      <c r="Z383" s="326"/>
      <c r="AA383" s="327"/>
      <c r="AB383" s="451"/>
      <c r="AC383" s="326"/>
      <c r="AD383" s="327"/>
      <c r="AE383" s="526"/>
      <c r="AF383" s="326"/>
      <c r="AG383" s="327"/>
      <c r="AH383" s="607"/>
      <c r="AI383" s="326"/>
      <c r="AJ383" s="327"/>
      <c r="AK383" s="497"/>
      <c r="AL383" s="326"/>
      <c r="AM383" s="327"/>
      <c r="AN383" s="44"/>
      <c r="AO383" s="45"/>
      <c r="AP383" s="44"/>
      <c r="AQ383" s="45"/>
      <c r="AR383" s="44"/>
      <c r="AS383" s="45"/>
      <c r="AT383" s="44"/>
      <c r="AU383" s="45"/>
      <c r="AV383" s="44"/>
      <c r="AW383" s="45"/>
      <c r="AX383" s="44"/>
      <c r="AY383" s="45"/>
      <c r="AZ383" s="50"/>
      <c r="BA383" s="47"/>
      <c r="BB383" s="50"/>
      <c r="BC383" s="47"/>
      <c r="BD383" s="50"/>
      <c r="BE383" s="47"/>
      <c r="BF383" s="50"/>
      <c r="BG383" s="47"/>
      <c r="BH383" s="50"/>
      <c r="BI383" s="608" t="s">
        <v>307</v>
      </c>
      <c r="BJ383" s="326"/>
      <c r="BK383" s="326"/>
      <c r="BL383" s="326"/>
      <c r="BM383" s="326"/>
      <c r="BN383" s="326"/>
      <c r="BO383" s="326"/>
      <c r="BP383" s="326"/>
      <c r="BQ383" s="326"/>
      <c r="BR383" s="326"/>
      <c r="BS383" s="326"/>
      <c r="BT383" s="326"/>
      <c r="BU383" s="326"/>
      <c r="BV383" s="327"/>
    </row>
    <row r="384" spans="1:74" ht="30" customHeight="1" x14ac:dyDescent="0.25">
      <c r="A384" s="49">
        <f t="shared" si="1"/>
        <v>370</v>
      </c>
      <c r="B384" s="42" t="s">
        <v>334</v>
      </c>
      <c r="C384" s="43"/>
      <c r="D384" s="609"/>
      <c r="E384" s="326"/>
      <c r="F384" s="326"/>
      <c r="G384" s="326"/>
      <c r="H384" s="326"/>
      <c r="I384" s="326"/>
      <c r="J384" s="326"/>
      <c r="K384" s="327"/>
      <c r="L384" s="610"/>
      <c r="M384" s="326"/>
      <c r="N384" s="326"/>
      <c r="O384" s="327"/>
      <c r="P384" s="609"/>
      <c r="Q384" s="326"/>
      <c r="R384" s="326"/>
      <c r="S384" s="327"/>
      <c r="T384" s="610"/>
      <c r="U384" s="326"/>
      <c r="V384" s="326"/>
      <c r="W384" s="327"/>
      <c r="X384" s="609"/>
      <c r="Y384" s="326"/>
      <c r="Z384" s="326"/>
      <c r="AA384" s="327"/>
      <c r="AB384" s="451"/>
      <c r="AC384" s="326"/>
      <c r="AD384" s="327"/>
      <c r="AE384" s="526"/>
      <c r="AF384" s="326"/>
      <c r="AG384" s="327"/>
      <c r="AH384" s="607"/>
      <c r="AI384" s="326"/>
      <c r="AJ384" s="327"/>
      <c r="AK384" s="497"/>
      <c r="AL384" s="326"/>
      <c r="AM384" s="327"/>
      <c r="AN384" s="44"/>
      <c r="AO384" s="45"/>
      <c r="AP384" s="44"/>
      <c r="AQ384" s="45"/>
      <c r="AR384" s="44"/>
      <c r="AS384" s="45"/>
      <c r="AT384" s="44"/>
      <c r="AU384" s="45"/>
      <c r="AV384" s="44"/>
      <c r="AW384" s="45"/>
      <c r="AX384" s="44"/>
      <c r="AY384" s="45"/>
      <c r="AZ384" s="50"/>
      <c r="BA384" s="47"/>
      <c r="BB384" s="50"/>
      <c r="BC384" s="47"/>
      <c r="BD384" s="50"/>
      <c r="BE384" s="47"/>
      <c r="BF384" s="50"/>
      <c r="BG384" s="47"/>
      <c r="BH384" s="50"/>
      <c r="BI384" s="608" t="s">
        <v>307</v>
      </c>
      <c r="BJ384" s="326"/>
      <c r="BK384" s="326"/>
      <c r="BL384" s="326"/>
      <c r="BM384" s="326"/>
      <c r="BN384" s="326"/>
      <c r="BO384" s="326"/>
      <c r="BP384" s="326"/>
      <c r="BQ384" s="326"/>
      <c r="BR384" s="326"/>
      <c r="BS384" s="326"/>
      <c r="BT384" s="326"/>
      <c r="BU384" s="326"/>
      <c r="BV384" s="327"/>
    </row>
    <row r="385" spans="1:74" ht="30" customHeight="1" x14ac:dyDescent="0.25">
      <c r="A385" s="49">
        <f t="shared" si="1"/>
        <v>371</v>
      </c>
      <c r="B385" s="42" t="s">
        <v>334</v>
      </c>
      <c r="C385" s="43"/>
      <c r="D385" s="609"/>
      <c r="E385" s="326"/>
      <c r="F385" s="326"/>
      <c r="G385" s="326"/>
      <c r="H385" s="326"/>
      <c r="I385" s="326"/>
      <c r="J385" s="326"/>
      <c r="K385" s="327"/>
      <c r="L385" s="610"/>
      <c r="M385" s="326"/>
      <c r="N385" s="326"/>
      <c r="O385" s="327"/>
      <c r="P385" s="609"/>
      <c r="Q385" s="326"/>
      <c r="R385" s="326"/>
      <c r="S385" s="327"/>
      <c r="T385" s="610"/>
      <c r="U385" s="326"/>
      <c r="V385" s="326"/>
      <c r="W385" s="327"/>
      <c r="X385" s="609"/>
      <c r="Y385" s="326"/>
      <c r="Z385" s="326"/>
      <c r="AA385" s="327"/>
      <c r="AB385" s="451"/>
      <c r="AC385" s="326"/>
      <c r="AD385" s="327"/>
      <c r="AE385" s="526"/>
      <c r="AF385" s="326"/>
      <c r="AG385" s="327"/>
      <c r="AH385" s="607"/>
      <c r="AI385" s="326"/>
      <c r="AJ385" s="327"/>
      <c r="AK385" s="497"/>
      <c r="AL385" s="326"/>
      <c r="AM385" s="327"/>
      <c r="AN385" s="44"/>
      <c r="AO385" s="45"/>
      <c r="AP385" s="44"/>
      <c r="AQ385" s="45"/>
      <c r="AR385" s="44"/>
      <c r="AS385" s="45"/>
      <c r="AT385" s="44"/>
      <c r="AU385" s="45"/>
      <c r="AV385" s="44"/>
      <c r="AW385" s="45"/>
      <c r="AX385" s="44"/>
      <c r="AY385" s="45"/>
      <c r="AZ385" s="50"/>
      <c r="BA385" s="47"/>
      <c r="BB385" s="50"/>
      <c r="BC385" s="47"/>
      <c r="BD385" s="50"/>
      <c r="BE385" s="47"/>
      <c r="BF385" s="50"/>
      <c r="BG385" s="47"/>
      <c r="BH385" s="50"/>
      <c r="BI385" s="608" t="s">
        <v>307</v>
      </c>
      <c r="BJ385" s="326"/>
      <c r="BK385" s="326"/>
      <c r="BL385" s="326"/>
      <c r="BM385" s="326"/>
      <c r="BN385" s="326"/>
      <c r="BO385" s="326"/>
      <c r="BP385" s="326"/>
      <c r="BQ385" s="326"/>
      <c r="BR385" s="326"/>
      <c r="BS385" s="326"/>
      <c r="BT385" s="326"/>
      <c r="BU385" s="326"/>
      <c r="BV385" s="327"/>
    </row>
    <row r="386" spans="1:74" ht="30" customHeight="1" x14ac:dyDescent="0.25">
      <c r="A386" s="49">
        <f t="shared" si="1"/>
        <v>372</v>
      </c>
      <c r="B386" s="42" t="s">
        <v>334</v>
      </c>
      <c r="C386" s="43"/>
      <c r="D386" s="609"/>
      <c r="E386" s="326"/>
      <c r="F386" s="326"/>
      <c r="G386" s="326"/>
      <c r="H386" s="326"/>
      <c r="I386" s="326"/>
      <c r="J386" s="326"/>
      <c r="K386" s="327"/>
      <c r="L386" s="610"/>
      <c r="M386" s="326"/>
      <c r="N386" s="326"/>
      <c r="O386" s="327"/>
      <c r="P386" s="609"/>
      <c r="Q386" s="326"/>
      <c r="R386" s="326"/>
      <c r="S386" s="327"/>
      <c r="T386" s="610"/>
      <c r="U386" s="326"/>
      <c r="V386" s="326"/>
      <c r="W386" s="327"/>
      <c r="X386" s="609"/>
      <c r="Y386" s="326"/>
      <c r="Z386" s="326"/>
      <c r="AA386" s="327"/>
      <c r="AB386" s="451"/>
      <c r="AC386" s="326"/>
      <c r="AD386" s="327"/>
      <c r="AE386" s="526"/>
      <c r="AF386" s="326"/>
      <c r="AG386" s="327"/>
      <c r="AH386" s="607"/>
      <c r="AI386" s="326"/>
      <c r="AJ386" s="327"/>
      <c r="AK386" s="497"/>
      <c r="AL386" s="326"/>
      <c r="AM386" s="327"/>
      <c r="AN386" s="44"/>
      <c r="AO386" s="45"/>
      <c r="AP386" s="44"/>
      <c r="AQ386" s="45"/>
      <c r="AR386" s="44"/>
      <c r="AS386" s="45"/>
      <c r="AT386" s="44"/>
      <c r="AU386" s="45"/>
      <c r="AV386" s="44"/>
      <c r="AW386" s="45"/>
      <c r="AX386" s="44"/>
      <c r="AY386" s="45"/>
      <c r="AZ386" s="50"/>
      <c r="BA386" s="47"/>
      <c r="BB386" s="50"/>
      <c r="BC386" s="47"/>
      <c r="BD386" s="50"/>
      <c r="BE386" s="47"/>
      <c r="BF386" s="50"/>
      <c r="BG386" s="47"/>
      <c r="BH386" s="50"/>
      <c r="BI386" s="608" t="s">
        <v>307</v>
      </c>
      <c r="BJ386" s="326"/>
      <c r="BK386" s="326"/>
      <c r="BL386" s="326"/>
      <c r="BM386" s="326"/>
      <c r="BN386" s="326"/>
      <c r="BO386" s="326"/>
      <c r="BP386" s="326"/>
      <c r="BQ386" s="326"/>
      <c r="BR386" s="326"/>
      <c r="BS386" s="326"/>
      <c r="BT386" s="326"/>
      <c r="BU386" s="326"/>
      <c r="BV386" s="327"/>
    </row>
    <row r="387" spans="1:74" ht="30" customHeight="1" x14ac:dyDescent="0.25">
      <c r="A387" s="49">
        <f t="shared" si="1"/>
        <v>373</v>
      </c>
      <c r="B387" s="42" t="s">
        <v>334</v>
      </c>
      <c r="C387" s="43"/>
      <c r="D387" s="609"/>
      <c r="E387" s="326"/>
      <c r="F387" s="326"/>
      <c r="G387" s="326"/>
      <c r="H387" s="326"/>
      <c r="I387" s="326"/>
      <c r="J387" s="326"/>
      <c r="K387" s="327"/>
      <c r="L387" s="610"/>
      <c r="M387" s="326"/>
      <c r="N387" s="326"/>
      <c r="O387" s="327"/>
      <c r="P387" s="609"/>
      <c r="Q387" s="326"/>
      <c r="R387" s="326"/>
      <c r="S387" s="327"/>
      <c r="T387" s="610"/>
      <c r="U387" s="326"/>
      <c r="V387" s="326"/>
      <c r="W387" s="327"/>
      <c r="X387" s="609"/>
      <c r="Y387" s="326"/>
      <c r="Z387" s="326"/>
      <c r="AA387" s="327"/>
      <c r="AB387" s="451"/>
      <c r="AC387" s="326"/>
      <c r="AD387" s="327"/>
      <c r="AE387" s="526"/>
      <c r="AF387" s="326"/>
      <c r="AG387" s="327"/>
      <c r="AH387" s="607"/>
      <c r="AI387" s="326"/>
      <c r="AJ387" s="327"/>
      <c r="AK387" s="497"/>
      <c r="AL387" s="326"/>
      <c r="AM387" s="327"/>
      <c r="AN387" s="44"/>
      <c r="AO387" s="45"/>
      <c r="AP387" s="44"/>
      <c r="AQ387" s="45"/>
      <c r="AR387" s="44"/>
      <c r="AS387" s="45"/>
      <c r="AT387" s="44"/>
      <c r="AU387" s="45"/>
      <c r="AV387" s="44"/>
      <c r="AW387" s="45"/>
      <c r="AX387" s="44"/>
      <c r="AY387" s="45"/>
      <c r="AZ387" s="50"/>
      <c r="BA387" s="47"/>
      <c r="BB387" s="50"/>
      <c r="BC387" s="47"/>
      <c r="BD387" s="50"/>
      <c r="BE387" s="47"/>
      <c r="BF387" s="50"/>
      <c r="BG387" s="47"/>
      <c r="BH387" s="50"/>
      <c r="BI387" s="608" t="s">
        <v>307</v>
      </c>
      <c r="BJ387" s="326"/>
      <c r="BK387" s="326"/>
      <c r="BL387" s="326"/>
      <c r="BM387" s="326"/>
      <c r="BN387" s="326"/>
      <c r="BO387" s="326"/>
      <c r="BP387" s="326"/>
      <c r="BQ387" s="326"/>
      <c r="BR387" s="326"/>
      <c r="BS387" s="326"/>
      <c r="BT387" s="326"/>
      <c r="BU387" s="326"/>
      <c r="BV387" s="327"/>
    </row>
    <row r="388" spans="1:74" ht="30" customHeight="1" x14ac:dyDescent="0.25">
      <c r="A388" s="49">
        <f t="shared" si="1"/>
        <v>374</v>
      </c>
      <c r="B388" s="42" t="s">
        <v>334</v>
      </c>
      <c r="C388" s="43"/>
      <c r="D388" s="609"/>
      <c r="E388" s="326"/>
      <c r="F388" s="326"/>
      <c r="G388" s="326"/>
      <c r="H388" s="326"/>
      <c r="I388" s="326"/>
      <c r="J388" s="326"/>
      <c r="K388" s="327"/>
      <c r="L388" s="610"/>
      <c r="M388" s="326"/>
      <c r="N388" s="326"/>
      <c r="O388" s="327"/>
      <c r="P388" s="609"/>
      <c r="Q388" s="326"/>
      <c r="R388" s="326"/>
      <c r="S388" s="327"/>
      <c r="T388" s="610"/>
      <c r="U388" s="326"/>
      <c r="V388" s="326"/>
      <c r="W388" s="327"/>
      <c r="X388" s="609"/>
      <c r="Y388" s="326"/>
      <c r="Z388" s="326"/>
      <c r="AA388" s="327"/>
      <c r="AB388" s="451"/>
      <c r="AC388" s="326"/>
      <c r="AD388" s="327"/>
      <c r="AE388" s="526"/>
      <c r="AF388" s="326"/>
      <c r="AG388" s="327"/>
      <c r="AH388" s="607"/>
      <c r="AI388" s="326"/>
      <c r="AJ388" s="327"/>
      <c r="AK388" s="497"/>
      <c r="AL388" s="326"/>
      <c r="AM388" s="327"/>
      <c r="AN388" s="44"/>
      <c r="AO388" s="45"/>
      <c r="AP388" s="44"/>
      <c r="AQ388" s="45"/>
      <c r="AR388" s="44"/>
      <c r="AS388" s="45"/>
      <c r="AT388" s="44"/>
      <c r="AU388" s="45"/>
      <c r="AV388" s="44"/>
      <c r="AW388" s="45"/>
      <c r="AX388" s="44"/>
      <c r="AY388" s="45"/>
      <c r="AZ388" s="50"/>
      <c r="BA388" s="47"/>
      <c r="BB388" s="50"/>
      <c r="BC388" s="47"/>
      <c r="BD388" s="50"/>
      <c r="BE388" s="47"/>
      <c r="BF388" s="50"/>
      <c r="BG388" s="47"/>
      <c r="BH388" s="50"/>
      <c r="BI388" s="608" t="s">
        <v>303</v>
      </c>
      <c r="BJ388" s="326"/>
      <c r="BK388" s="326"/>
      <c r="BL388" s="326"/>
      <c r="BM388" s="326"/>
      <c r="BN388" s="326"/>
      <c r="BO388" s="326"/>
      <c r="BP388" s="326"/>
      <c r="BQ388" s="326"/>
      <c r="BR388" s="326"/>
      <c r="BS388" s="326"/>
      <c r="BT388" s="326"/>
      <c r="BU388" s="326"/>
      <c r="BV388" s="327"/>
    </row>
    <row r="389" spans="1:74" ht="30" customHeight="1" x14ac:dyDescent="0.25">
      <c r="A389" s="49">
        <f t="shared" si="1"/>
        <v>375</v>
      </c>
      <c r="B389" s="42" t="s">
        <v>334</v>
      </c>
      <c r="C389" s="43"/>
      <c r="D389" s="609"/>
      <c r="E389" s="326"/>
      <c r="F389" s="326"/>
      <c r="G389" s="326"/>
      <c r="H389" s="326"/>
      <c r="I389" s="326"/>
      <c r="J389" s="326"/>
      <c r="K389" s="327"/>
      <c r="L389" s="610"/>
      <c r="M389" s="326"/>
      <c r="N389" s="326"/>
      <c r="O389" s="327"/>
      <c r="P389" s="609"/>
      <c r="Q389" s="326"/>
      <c r="R389" s="326"/>
      <c r="S389" s="327"/>
      <c r="T389" s="610"/>
      <c r="U389" s="326"/>
      <c r="V389" s="326"/>
      <c r="W389" s="327"/>
      <c r="X389" s="609"/>
      <c r="Y389" s="326"/>
      <c r="Z389" s="326"/>
      <c r="AA389" s="327"/>
      <c r="AB389" s="451"/>
      <c r="AC389" s="326"/>
      <c r="AD389" s="327"/>
      <c r="AE389" s="526"/>
      <c r="AF389" s="326"/>
      <c r="AG389" s="327"/>
      <c r="AH389" s="607"/>
      <c r="AI389" s="326"/>
      <c r="AJ389" s="327"/>
      <c r="AK389" s="497"/>
      <c r="AL389" s="326"/>
      <c r="AM389" s="327"/>
      <c r="AN389" s="44"/>
      <c r="AO389" s="45"/>
      <c r="AP389" s="44"/>
      <c r="AQ389" s="45"/>
      <c r="AR389" s="44"/>
      <c r="AS389" s="45"/>
      <c r="AT389" s="44"/>
      <c r="AU389" s="45"/>
      <c r="AV389" s="44"/>
      <c r="AW389" s="45"/>
      <c r="AX389" s="44"/>
      <c r="AY389" s="45"/>
      <c r="AZ389" s="50"/>
      <c r="BA389" s="47"/>
      <c r="BB389" s="50"/>
      <c r="BC389" s="47"/>
      <c r="BD389" s="50"/>
      <c r="BE389" s="47"/>
      <c r="BF389" s="50"/>
      <c r="BG389" s="47"/>
      <c r="BH389" s="50"/>
      <c r="BI389" s="608" t="s">
        <v>303</v>
      </c>
      <c r="BJ389" s="326"/>
      <c r="BK389" s="326"/>
      <c r="BL389" s="326"/>
      <c r="BM389" s="326"/>
      <c r="BN389" s="326"/>
      <c r="BO389" s="326"/>
      <c r="BP389" s="326"/>
      <c r="BQ389" s="326"/>
      <c r="BR389" s="326"/>
      <c r="BS389" s="326"/>
      <c r="BT389" s="326"/>
      <c r="BU389" s="326"/>
      <c r="BV389" s="327"/>
    </row>
    <row r="390" spans="1:74" ht="30" customHeight="1" x14ac:dyDescent="0.25">
      <c r="A390" s="41">
        <f t="shared" si="1"/>
        <v>376</v>
      </c>
      <c r="B390" s="42" t="s">
        <v>334</v>
      </c>
      <c r="C390" s="43"/>
      <c r="D390" s="609"/>
      <c r="E390" s="326"/>
      <c r="F390" s="326"/>
      <c r="G390" s="326"/>
      <c r="H390" s="326"/>
      <c r="I390" s="326"/>
      <c r="J390" s="326"/>
      <c r="K390" s="327"/>
      <c r="L390" s="610"/>
      <c r="M390" s="326"/>
      <c r="N390" s="326"/>
      <c r="O390" s="327"/>
      <c r="P390" s="609"/>
      <c r="Q390" s="326"/>
      <c r="R390" s="326"/>
      <c r="S390" s="327"/>
      <c r="T390" s="610"/>
      <c r="U390" s="326"/>
      <c r="V390" s="326"/>
      <c r="W390" s="327"/>
      <c r="X390" s="609"/>
      <c r="Y390" s="326"/>
      <c r="Z390" s="326"/>
      <c r="AA390" s="327"/>
      <c r="AB390" s="451"/>
      <c r="AC390" s="326"/>
      <c r="AD390" s="327"/>
      <c r="AE390" s="526"/>
      <c r="AF390" s="326"/>
      <c r="AG390" s="327"/>
      <c r="AH390" s="607"/>
      <c r="AI390" s="326"/>
      <c r="AJ390" s="327"/>
      <c r="AK390" s="497"/>
      <c r="AL390" s="326"/>
      <c r="AM390" s="327"/>
      <c r="AN390" s="44"/>
      <c r="AO390" s="45"/>
      <c r="AP390" s="44"/>
      <c r="AQ390" s="45"/>
      <c r="AR390" s="44"/>
      <c r="AS390" s="45"/>
      <c r="AT390" s="44"/>
      <c r="AU390" s="45"/>
      <c r="AV390" s="44"/>
      <c r="AW390" s="45"/>
      <c r="AX390" s="44"/>
      <c r="AY390" s="45"/>
      <c r="AZ390" s="50"/>
      <c r="BA390" s="47"/>
      <c r="BB390" s="50"/>
      <c r="BC390" s="47"/>
      <c r="BD390" s="50"/>
      <c r="BE390" s="47"/>
      <c r="BF390" s="50"/>
      <c r="BG390" s="47"/>
      <c r="BH390" s="50"/>
      <c r="BI390" s="608" t="s">
        <v>307</v>
      </c>
      <c r="BJ390" s="326"/>
      <c r="BK390" s="326"/>
      <c r="BL390" s="326"/>
      <c r="BM390" s="326"/>
      <c r="BN390" s="326"/>
      <c r="BO390" s="326"/>
      <c r="BP390" s="326"/>
      <c r="BQ390" s="326"/>
      <c r="BR390" s="326"/>
      <c r="BS390" s="326"/>
      <c r="BT390" s="326"/>
      <c r="BU390" s="326"/>
      <c r="BV390" s="327"/>
    </row>
    <row r="391" spans="1:74" ht="30" customHeight="1" x14ac:dyDescent="0.25">
      <c r="A391" s="49">
        <f t="shared" si="1"/>
        <v>377</v>
      </c>
      <c r="B391" s="42" t="s">
        <v>334</v>
      </c>
      <c r="C391" s="43"/>
      <c r="D391" s="609"/>
      <c r="E391" s="326"/>
      <c r="F391" s="326"/>
      <c r="G391" s="326"/>
      <c r="H391" s="326"/>
      <c r="I391" s="326"/>
      <c r="J391" s="326"/>
      <c r="K391" s="327"/>
      <c r="L391" s="610"/>
      <c r="M391" s="326"/>
      <c r="N391" s="326"/>
      <c r="O391" s="327"/>
      <c r="P391" s="609"/>
      <c r="Q391" s="326"/>
      <c r="R391" s="326"/>
      <c r="S391" s="327"/>
      <c r="T391" s="610"/>
      <c r="U391" s="326"/>
      <c r="V391" s="326"/>
      <c r="W391" s="327"/>
      <c r="X391" s="609"/>
      <c r="Y391" s="326"/>
      <c r="Z391" s="326"/>
      <c r="AA391" s="327"/>
      <c r="AB391" s="451"/>
      <c r="AC391" s="326"/>
      <c r="AD391" s="327"/>
      <c r="AE391" s="526"/>
      <c r="AF391" s="326"/>
      <c r="AG391" s="327"/>
      <c r="AH391" s="607"/>
      <c r="AI391" s="326"/>
      <c r="AJ391" s="327"/>
      <c r="AK391" s="497"/>
      <c r="AL391" s="326"/>
      <c r="AM391" s="327"/>
      <c r="AN391" s="44"/>
      <c r="AO391" s="45"/>
      <c r="AP391" s="44"/>
      <c r="AQ391" s="45"/>
      <c r="AR391" s="44"/>
      <c r="AS391" s="45"/>
      <c r="AT391" s="44"/>
      <c r="AU391" s="45"/>
      <c r="AV391" s="44"/>
      <c r="AW391" s="45"/>
      <c r="AX391" s="44"/>
      <c r="AY391" s="45"/>
      <c r="AZ391" s="50"/>
      <c r="BA391" s="47"/>
      <c r="BB391" s="50"/>
      <c r="BC391" s="47"/>
      <c r="BD391" s="50"/>
      <c r="BE391" s="47"/>
      <c r="BF391" s="50"/>
      <c r="BG391" s="47"/>
      <c r="BH391" s="50"/>
      <c r="BI391" s="608" t="s">
        <v>307</v>
      </c>
      <c r="BJ391" s="326"/>
      <c r="BK391" s="326"/>
      <c r="BL391" s="326"/>
      <c r="BM391" s="326"/>
      <c r="BN391" s="326"/>
      <c r="BO391" s="326"/>
      <c r="BP391" s="326"/>
      <c r="BQ391" s="326"/>
      <c r="BR391" s="326"/>
      <c r="BS391" s="326"/>
      <c r="BT391" s="326"/>
      <c r="BU391" s="326"/>
      <c r="BV391" s="327"/>
    </row>
    <row r="392" spans="1:74" ht="30" customHeight="1" x14ac:dyDescent="0.25">
      <c r="A392" s="49">
        <f t="shared" si="1"/>
        <v>378</v>
      </c>
      <c r="B392" s="42" t="s">
        <v>334</v>
      </c>
      <c r="C392" s="43"/>
      <c r="D392" s="609"/>
      <c r="E392" s="326"/>
      <c r="F392" s="326"/>
      <c r="G392" s="326"/>
      <c r="H392" s="326"/>
      <c r="I392" s="326"/>
      <c r="J392" s="326"/>
      <c r="K392" s="327"/>
      <c r="L392" s="610"/>
      <c r="M392" s="326"/>
      <c r="N392" s="326"/>
      <c r="O392" s="327"/>
      <c r="P392" s="609"/>
      <c r="Q392" s="326"/>
      <c r="R392" s="326"/>
      <c r="S392" s="327"/>
      <c r="T392" s="610"/>
      <c r="U392" s="326"/>
      <c r="V392" s="326"/>
      <c r="W392" s="327"/>
      <c r="X392" s="609"/>
      <c r="Y392" s="326"/>
      <c r="Z392" s="326"/>
      <c r="AA392" s="327"/>
      <c r="AB392" s="451"/>
      <c r="AC392" s="326"/>
      <c r="AD392" s="327"/>
      <c r="AE392" s="526"/>
      <c r="AF392" s="326"/>
      <c r="AG392" s="327"/>
      <c r="AH392" s="607"/>
      <c r="AI392" s="326"/>
      <c r="AJ392" s="327"/>
      <c r="AK392" s="497"/>
      <c r="AL392" s="326"/>
      <c r="AM392" s="327"/>
      <c r="AN392" s="44"/>
      <c r="AO392" s="45"/>
      <c r="AP392" s="44"/>
      <c r="AQ392" s="45"/>
      <c r="AR392" s="44"/>
      <c r="AS392" s="45"/>
      <c r="AT392" s="44"/>
      <c r="AU392" s="45"/>
      <c r="AV392" s="44"/>
      <c r="AW392" s="45"/>
      <c r="AX392" s="44"/>
      <c r="AY392" s="45"/>
      <c r="AZ392" s="50"/>
      <c r="BA392" s="47"/>
      <c r="BB392" s="50"/>
      <c r="BC392" s="47"/>
      <c r="BD392" s="50"/>
      <c r="BE392" s="47"/>
      <c r="BF392" s="50"/>
      <c r="BG392" s="47"/>
      <c r="BH392" s="50"/>
      <c r="BI392" s="608" t="s">
        <v>307</v>
      </c>
      <c r="BJ392" s="326"/>
      <c r="BK392" s="326"/>
      <c r="BL392" s="326"/>
      <c r="BM392" s="326"/>
      <c r="BN392" s="326"/>
      <c r="BO392" s="326"/>
      <c r="BP392" s="326"/>
      <c r="BQ392" s="326"/>
      <c r="BR392" s="326"/>
      <c r="BS392" s="326"/>
      <c r="BT392" s="326"/>
      <c r="BU392" s="326"/>
      <c r="BV392" s="327"/>
    </row>
    <row r="393" spans="1:74" ht="30" customHeight="1" x14ac:dyDescent="0.25">
      <c r="A393" s="49">
        <f t="shared" si="1"/>
        <v>379</v>
      </c>
      <c r="B393" s="42" t="s">
        <v>334</v>
      </c>
      <c r="C393" s="43"/>
      <c r="D393" s="609"/>
      <c r="E393" s="326"/>
      <c r="F393" s="326"/>
      <c r="G393" s="326"/>
      <c r="H393" s="326"/>
      <c r="I393" s="326"/>
      <c r="J393" s="326"/>
      <c r="K393" s="327"/>
      <c r="L393" s="610"/>
      <c r="M393" s="326"/>
      <c r="N393" s="326"/>
      <c r="O393" s="327"/>
      <c r="P393" s="609"/>
      <c r="Q393" s="326"/>
      <c r="R393" s="326"/>
      <c r="S393" s="327"/>
      <c r="T393" s="610"/>
      <c r="U393" s="326"/>
      <c r="V393" s="326"/>
      <c r="W393" s="327"/>
      <c r="X393" s="609"/>
      <c r="Y393" s="326"/>
      <c r="Z393" s="326"/>
      <c r="AA393" s="327"/>
      <c r="AB393" s="451"/>
      <c r="AC393" s="326"/>
      <c r="AD393" s="327"/>
      <c r="AE393" s="526"/>
      <c r="AF393" s="326"/>
      <c r="AG393" s="327"/>
      <c r="AH393" s="607"/>
      <c r="AI393" s="326"/>
      <c r="AJ393" s="327"/>
      <c r="AK393" s="497"/>
      <c r="AL393" s="326"/>
      <c r="AM393" s="327"/>
      <c r="AN393" s="44"/>
      <c r="AO393" s="45"/>
      <c r="AP393" s="44"/>
      <c r="AQ393" s="45"/>
      <c r="AR393" s="44"/>
      <c r="AS393" s="45"/>
      <c r="AT393" s="44"/>
      <c r="AU393" s="45"/>
      <c r="AV393" s="44"/>
      <c r="AW393" s="45"/>
      <c r="AX393" s="44"/>
      <c r="AY393" s="45"/>
      <c r="AZ393" s="50"/>
      <c r="BA393" s="47"/>
      <c r="BB393" s="50"/>
      <c r="BC393" s="47"/>
      <c r="BD393" s="50"/>
      <c r="BE393" s="47"/>
      <c r="BF393" s="50"/>
      <c r="BG393" s="47"/>
      <c r="BH393" s="50"/>
      <c r="BI393" s="608" t="s">
        <v>307</v>
      </c>
      <c r="BJ393" s="326"/>
      <c r="BK393" s="326"/>
      <c r="BL393" s="326"/>
      <c r="BM393" s="326"/>
      <c r="BN393" s="326"/>
      <c r="BO393" s="326"/>
      <c r="BP393" s="326"/>
      <c r="BQ393" s="326"/>
      <c r="BR393" s="326"/>
      <c r="BS393" s="326"/>
      <c r="BT393" s="326"/>
      <c r="BU393" s="326"/>
      <c r="BV393" s="327"/>
    </row>
    <row r="394" spans="1:74" ht="30" customHeight="1" x14ac:dyDescent="0.25">
      <c r="A394" s="49">
        <f t="shared" si="1"/>
        <v>380</v>
      </c>
      <c r="B394" s="42" t="s">
        <v>334</v>
      </c>
      <c r="C394" s="43"/>
      <c r="D394" s="609"/>
      <c r="E394" s="326"/>
      <c r="F394" s="326"/>
      <c r="G394" s="326"/>
      <c r="H394" s="326"/>
      <c r="I394" s="326"/>
      <c r="J394" s="326"/>
      <c r="K394" s="327"/>
      <c r="L394" s="610"/>
      <c r="M394" s="326"/>
      <c r="N394" s="326"/>
      <c r="O394" s="327"/>
      <c r="P394" s="609"/>
      <c r="Q394" s="326"/>
      <c r="R394" s="326"/>
      <c r="S394" s="327"/>
      <c r="T394" s="610"/>
      <c r="U394" s="326"/>
      <c r="V394" s="326"/>
      <c r="W394" s="327"/>
      <c r="X394" s="609"/>
      <c r="Y394" s="326"/>
      <c r="Z394" s="326"/>
      <c r="AA394" s="327"/>
      <c r="AB394" s="451"/>
      <c r="AC394" s="326"/>
      <c r="AD394" s="327"/>
      <c r="AE394" s="526"/>
      <c r="AF394" s="326"/>
      <c r="AG394" s="327"/>
      <c r="AH394" s="607"/>
      <c r="AI394" s="326"/>
      <c r="AJ394" s="327"/>
      <c r="AK394" s="497"/>
      <c r="AL394" s="326"/>
      <c r="AM394" s="327"/>
      <c r="AN394" s="44"/>
      <c r="AO394" s="45"/>
      <c r="AP394" s="44"/>
      <c r="AQ394" s="45"/>
      <c r="AR394" s="44"/>
      <c r="AS394" s="45"/>
      <c r="AT394" s="44"/>
      <c r="AU394" s="45"/>
      <c r="AV394" s="44"/>
      <c r="AW394" s="45"/>
      <c r="AX394" s="44"/>
      <c r="AY394" s="45"/>
      <c r="AZ394" s="50"/>
      <c r="BA394" s="47"/>
      <c r="BB394" s="50"/>
      <c r="BC394" s="47"/>
      <c r="BD394" s="50"/>
      <c r="BE394" s="47"/>
      <c r="BF394" s="50"/>
      <c r="BG394" s="47"/>
      <c r="BH394" s="50"/>
      <c r="BI394" s="608" t="s">
        <v>307</v>
      </c>
      <c r="BJ394" s="326"/>
      <c r="BK394" s="326"/>
      <c r="BL394" s="326"/>
      <c r="BM394" s="326"/>
      <c r="BN394" s="326"/>
      <c r="BO394" s="326"/>
      <c r="BP394" s="326"/>
      <c r="BQ394" s="326"/>
      <c r="BR394" s="326"/>
      <c r="BS394" s="326"/>
      <c r="BT394" s="326"/>
      <c r="BU394" s="326"/>
      <c r="BV394" s="327"/>
    </row>
    <row r="395" spans="1:74" ht="30" customHeight="1" x14ac:dyDescent="0.25">
      <c r="A395" s="49">
        <f t="shared" si="1"/>
        <v>381</v>
      </c>
      <c r="B395" s="42" t="s">
        <v>334</v>
      </c>
      <c r="C395" s="43"/>
      <c r="D395" s="609"/>
      <c r="E395" s="326"/>
      <c r="F395" s="326"/>
      <c r="G395" s="326"/>
      <c r="H395" s="326"/>
      <c r="I395" s="326"/>
      <c r="J395" s="326"/>
      <c r="K395" s="327"/>
      <c r="L395" s="610"/>
      <c r="M395" s="326"/>
      <c r="N395" s="326"/>
      <c r="O395" s="327"/>
      <c r="P395" s="609"/>
      <c r="Q395" s="326"/>
      <c r="R395" s="326"/>
      <c r="S395" s="327"/>
      <c r="T395" s="610"/>
      <c r="U395" s="326"/>
      <c r="V395" s="326"/>
      <c r="W395" s="327"/>
      <c r="X395" s="609"/>
      <c r="Y395" s="326"/>
      <c r="Z395" s="326"/>
      <c r="AA395" s="327"/>
      <c r="AB395" s="451"/>
      <c r="AC395" s="326"/>
      <c r="AD395" s="327"/>
      <c r="AE395" s="526"/>
      <c r="AF395" s="326"/>
      <c r="AG395" s="327"/>
      <c r="AH395" s="607"/>
      <c r="AI395" s="326"/>
      <c r="AJ395" s="327"/>
      <c r="AK395" s="497"/>
      <c r="AL395" s="326"/>
      <c r="AM395" s="327"/>
      <c r="AN395" s="44"/>
      <c r="AO395" s="45"/>
      <c r="AP395" s="44"/>
      <c r="AQ395" s="45"/>
      <c r="AR395" s="44"/>
      <c r="AS395" s="45"/>
      <c r="AT395" s="44"/>
      <c r="AU395" s="45"/>
      <c r="AV395" s="44"/>
      <c r="AW395" s="45"/>
      <c r="AX395" s="44"/>
      <c r="AY395" s="45"/>
      <c r="AZ395" s="50"/>
      <c r="BA395" s="47"/>
      <c r="BB395" s="50"/>
      <c r="BC395" s="47"/>
      <c r="BD395" s="50"/>
      <c r="BE395" s="47"/>
      <c r="BF395" s="50"/>
      <c r="BG395" s="47"/>
      <c r="BH395" s="50"/>
      <c r="BI395" s="608" t="s">
        <v>303</v>
      </c>
      <c r="BJ395" s="326"/>
      <c r="BK395" s="326"/>
      <c r="BL395" s="326"/>
      <c r="BM395" s="326"/>
      <c r="BN395" s="326"/>
      <c r="BO395" s="326"/>
      <c r="BP395" s="326"/>
      <c r="BQ395" s="326"/>
      <c r="BR395" s="326"/>
      <c r="BS395" s="326"/>
      <c r="BT395" s="326"/>
      <c r="BU395" s="326"/>
      <c r="BV395" s="327"/>
    </row>
    <row r="396" spans="1:74" ht="30" customHeight="1" x14ac:dyDescent="0.25">
      <c r="A396" s="49">
        <f t="shared" si="1"/>
        <v>382</v>
      </c>
      <c r="B396" s="42" t="s">
        <v>334</v>
      </c>
      <c r="C396" s="43"/>
      <c r="D396" s="609"/>
      <c r="E396" s="326"/>
      <c r="F396" s="326"/>
      <c r="G396" s="326"/>
      <c r="H396" s="326"/>
      <c r="I396" s="326"/>
      <c r="J396" s="326"/>
      <c r="K396" s="327"/>
      <c r="L396" s="610"/>
      <c r="M396" s="326"/>
      <c r="N396" s="326"/>
      <c r="O396" s="327"/>
      <c r="P396" s="609"/>
      <c r="Q396" s="326"/>
      <c r="R396" s="326"/>
      <c r="S396" s="327"/>
      <c r="T396" s="610"/>
      <c r="U396" s="326"/>
      <c r="V396" s="326"/>
      <c r="W396" s="327"/>
      <c r="X396" s="609"/>
      <c r="Y396" s="326"/>
      <c r="Z396" s="326"/>
      <c r="AA396" s="327"/>
      <c r="AB396" s="451"/>
      <c r="AC396" s="326"/>
      <c r="AD396" s="327"/>
      <c r="AE396" s="526"/>
      <c r="AF396" s="326"/>
      <c r="AG396" s="327"/>
      <c r="AH396" s="607"/>
      <c r="AI396" s="326"/>
      <c r="AJ396" s="327"/>
      <c r="AK396" s="497"/>
      <c r="AL396" s="326"/>
      <c r="AM396" s="327"/>
      <c r="AN396" s="44"/>
      <c r="AO396" s="45"/>
      <c r="AP396" s="44"/>
      <c r="AQ396" s="45"/>
      <c r="AR396" s="44"/>
      <c r="AS396" s="45"/>
      <c r="AT396" s="44"/>
      <c r="AU396" s="45"/>
      <c r="AV396" s="44"/>
      <c r="AW396" s="45"/>
      <c r="AX396" s="44"/>
      <c r="AY396" s="45"/>
      <c r="AZ396" s="50"/>
      <c r="BA396" s="47"/>
      <c r="BB396" s="50"/>
      <c r="BC396" s="47"/>
      <c r="BD396" s="50"/>
      <c r="BE396" s="47"/>
      <c r="BF396" s="50"/>
      <c r="BG396" s="47"/>
      <c r="BH396" s="50"/>
      <c r="BI396" s="608" t="s">
        <v>303</v>
      </c>
      <c r="BJ396" s="326"/>
      <c r="BK396" s="326"/>
      <c r="BL396" s="326"/>
      <c r="BM396" s="326"/>
      <c r="BN396" s="326"/>
      <c r="BO396" s="326"/>
      <c r="BP396" s="326"/>
      <c r="BQ396" s="326"/>
      <c r="BR396" s="326"/>
      <c r="BS396" s="326"/>
      <c r="BT396" s="326"/>
      <c r="BU396" s="326"/>
      <c r="BV396" s="327"/>
    </row>
    <row r="397" spans="1:74" ht="30" customHeight="1" x14ac:dyDescent="0.25">
      <c r="A397" s="41">
        <f t="shared" si="1"/>
        <v>383</v>
      </c>
      <c r="B397" s="42" t="s">
        <v>334</v>
      </c>
      <c r="C397" s="43"/>
      <c r="D397" s="609"/>
      <c r="E397" s="326"/>
      <c r="F397" s="326"/>
      <c r="G397" s="326"/>
      <c r="H397" s="326"/>
      <c r="I397" s="326"/>
      <c r="J397" s="326"/>
      <c r="K397" s="327"/>
      <c r="L397" s="610"/>
      <c r="M397" s="326"/>
      <c r="N397" s="326"/>
      <c r="O397" s="327"/>
      <c r="P397" s="609"/>
      <c r="Q397" s="326"/>
      <c r="R397" s="326"/>
      <c r="S397" s="327"/>
      <c r="T397" s="610"/>
      <c r="U397" s="326"/>
      <c r="V397" s="326"/>
      <c r="W397" s="327"/>
      <c r="X397" s="609"/>
      <c r="Y397" s="326"/>
      <c r="Z397" s="326"/>
      <c r="AA397" s="327"/>
      <c r="AB397" s="451"/>
      <c r="AC397" s="326"/>
      <c r="AD397" s="327"/>
      <c r="AE397" s="526"/>
      <c r="AF397" s="326"/>
      <c r="AG397" s="327"/>
      <c r="AH397" s="607"/>
      <c r="AI397" s="326"/>
      <c r="AJ397" s="327"/>
      <c r="AK397" s="497"/>
      <c r="AL397" s="326"/>
      <c r="AM397" s="327"/>
      <c r="AN397" s="44"/>
      <c r="AO397" s="45"/>
      <c r="AP397" s="44"/>
      <c r="AQ397" s="45"/>
      <c r="AR397" s="44"/>
      <c r="AS397" s="45"/>
      <c r="AT397" s="44"/>
      <c r="AU397" s="45"/>
      <c r="AV397" s="44"/>
      <c r="AW397" s="45"/>
      <c r="AX397" s="44"/>
      <c r="AY397" s="45"/>
      <c r="AZ397" s="50"/>
      <c r="BA397" s="47"/>
      <c r="BB397" s="50"/>
      <c r="BC397" s="47"/>
      <c r="BD397" s="50"/>
      <c r="BE397" s="47"/>
      <c r="BF397" s="50"/>
      <c r="BG397" s="47"/>
      <c r="BH397" s="50"/>
      <c r="BI397" s="608" t="s">
        <v>307</v>
      </c>
      <c r="BJ397" s="326"/>
      <c r="BK397" s="326"/>
      <c r="BL397" s="326"/>
      <c r="BM397" s="326"/>
      <c r="BN397" s="326"/>
      <c r="BO397" s="326"/>
      <c r="BP397" s="326"/>
      <c r="BQ397" s="326"/>
      <c r="BR397" s="326"/>
      <c r="BS397" s="326"/>
      <c r="BT397" s="326"/>
      <c r="BU397" s="326"/>
      <c r="BV397" s="327"/>
    </row>
    <row r="398" spans="1:74" ht="30" customHeight="1" x14ac:dyDescent="0.25">
      <c r="A398" s="49">
        <f t="shared" si="1"/>
        <v>384</v>
      </c>
      <c r="B398" s="42" t="s">
        <v>334</v>
      </c>
      <c r="C398" s="43"/>
      <c r="D398" s="609"/>
      <c r="E398" s="326"/>
      <c r="F398" s="326"/>
      <c r="G398" s="326"/>
      <c r="H398" s="326"/>
      <c r="I398" s="326"/>
      <c r="J398" s="326"/>
      <c r="K398" s="327"/>
      <c r="L398" s="610"/>
      <c r="M398" s="326"/>
      <c r="N398" s="326"/>
      <c r="O398" s="327"/>
      <c r="P398" s="609"/>
      <c r="Q398" s="326"/>
      <c r="R398" s="326"/>
      <c r="S398" s="327"/>
      <c r="T398" s="610"/>
      <c r="U398" s="326"/>
      <c r="V398" s="326"/>
      <c r="W398" s="327"/>
      <c r="X398" s="609"/>
      <c r="Y398" s="326"/>
      <c r="Z398" s="326"/>
      <c r="AA398" s="327"/>
      <c r="AB398" s="451"/>
      <c r="AC398" s="326"/>
      <c r="AD398" s="327"/>
      <c r="AE398" s="526"/>
      <c r="AF398" s="326"/>
      <c r="AG398" s="327"/>
      <c r="AH398" s="607"/>
      <c r="AI398" s="326"/>
      <c r="AJ398" s="327"/>
      <c r="AK398" s="497"/>
      <c r="AL398" s="326"/>
      <c r="AM398" s="327"/>
      <c r="AN398" s="44"/>
      <c r="AO398" s="45"/>
      <c r="AP398" s="44"/>
      <c r="AQ398" s="45"/>
      <c r="AR398" s="44"/>
      <c r="AS398" s="45"/>
      <c r="AT398" s="44"/>
      <c r="AU398" s="45"/>
      <c r="AV398" s="44"/>
      <c r="AW398" s="45"/>
      <c r="AX398" s="44"/>
      <c r="AY398" s="45"/>
      <c r="AZ398" s="50"/>
      <c r="BA398" s="47"/>
      <c r="BB398" s="50"/>
      <c r="BC398" s="47"/>
      <c r="BD398" s="50"/>
      <c r="BE398" s="47"/>
      <c r="BF398" s="50"/>
      <c r="BG398" s="47"/>
      <c r="BH398" s="50"/>
      <c r="BI398" s="608" t="s">
        <v>307</v>
      </c>
      <c r="BJ398" s="326"/>
      <c r="BK398" s="326"/>
      <c r="BL398" s="326"/>
      <c r="BM398" s="326"/>
      <c r="BN398" s="326"/>
      <c r="BO398" s="326"/>
      <c r="BP398" s="326"/>
      <c r="BQ398" s="326"/>
      <c r="BR398" s="326"/>
      <c r="BS398" s="326"/>
      <c r="BT398" s="326"/>
      <c r="BU398" s="326"/>
      <c r="BV398" s="327"/>
    </row>
    <row r="399" spans="1:74" ht="30" customHeight="1" x14ac:dyDescent="0.25">
      <c r="A399" s="49">
        <f t="shared" si="1"/>
        <v>385</v>
      </c>
      <c r="B399" s="42" t="s">
        <v>334</v>
      </c>
      <c r="C399" s="43"/>
      <c r="D399" s="609"/>
      <c r="E399" s="326"/>
      <c r="F399" s="326"/>
      <c r="G399" s="326"/>
      <c r="H399" s="326"/>
      <c r="I399" s="326"/>
      <c r="J399" s="326"/>
      <c r="K399" s="327"/>
      <c r="L399" s="610"/>
      <c r="M399" s="326"/>
      <c r="N399" s="326"/>
      <c r="O399" s="327"/>
      <c r="P399" s="609"/>
      <c r="Q399" s="326"/>
      <c r="R399" s="326"/>
      <c r="S399" s="327"/>
      <c r="T399" s="610"/>
      <c r="U399" s="326"/>
      <c r="V399" s="326"/>
      <c r="W399" s="327"/>
      <c r="X399" s="609"/>
      <c r="Y399" s="326"/>
      <c r="Z399" s="326"/>
      <c r="AA399" s="327"/>
      <c r="AB399" s="451"/>
      <c r="AC399" s="326"/>
      <c r="AD399" s="327"/>
      <c r="AE399" s="526"/>
      <c r="AF399" s="326"/>
      <c r="AG399" s="327"/>
      <c r="AH399" s="607"/>
      <c r="AI399" s="326"/>
      <c r="AJ399" s="327"/>
      <c r="AK399" s="497"/>
      <c r="AL399" s="326"/>
      <c r="AM399" s="327"/>
      <c r="AN399" s="44"/>
      <c r="AO399" s="45"/>
      <c r="AP399" s="44"/>
      <c r="AQ399" s="45"/>
      <c r="AR399" s="44"/>
      <c r="AS399" s="45"/>
      <c r="AT399" s="44"/>
      <c r="AU399" s="45"/>
      <c r="AV399" s="44"/>
      <c r="AW399" s="45"/>
      <c r="AX399" s="44"/>
      <c r="AY399" s="45"/>
      <c r="AZ399" s="50"/>
      <c r="BA399" s="47"/>
      <c r="BB399" s="50"/>
      <c r="BC399" s="47"/>
      <c r="BD399" s="50"/>
      <c r="BE399" s="47"/>
      <c r="BF399" s="50"/>
      <c r="BG399" s="47"/>
      <c r="BH399" s="50"/>
      <c r="BI399" s="608" t="s">
        <v>307</v>
      </c>
      <c r="BJ399" s="326"/>
      <c r="BK399" s="326"/>
      <c r="BL399" s="326"/>
      <c r="BM399" s="326"/>
      <c r="BN399" s="326"/>
      <c r="BO399" s="326"/>
      <c r="BP399" s="326"/>
      <c r="BQ399" s="326"/>
      <c r="BR399" s="326"/>
      <c r="BS399" s="326"/>
      <c r="BT399" s="326"/>
      <c r="BU399" s="326"/>
      <c r="BV399" s="327"/>
    </row>
    <row r="400" spans="1:74" ht="30" customHeight="1" x14ac:dyDescent="0.25">
      <c r="A400" s="49">
        <f t="shared" si="1"/>
        <v>386</v>
      </c>
      <c r="B400" s="42" t="s">
        <v>334</v>
      </c>
      <c r="C400" s="43"/>
      <c r="D400" s="609"/>
      <c r="E400" s="326"/>
      <c r="F400" s="326"/>
      <c r="G400" s="326"/>
      <c r="H400" s="326"/>
      <c r="I400" s="326"/>
      <c r="J400" s="326"/>
      <c r="K400" s="327"/>
      <c r="L400" s="610"/>
      <c r="M400" s="326"/>
      <c r="N400" s="326"/>
      <c r="O400" s="327"/>
      <c r="P400" s="609"/>
      <c r="Q400" s="326"/>
      <c r="R400" s="326"/>
      <c r="S400" s="327"/>
      <c r="T400" s="610"/>
      <c r="U400" s="326"/>
      <c r="V400" s="326"/>
      <c r="W400" s="327"/>
      <c r="X400" s="609"/>
      <c r="Y400" s="326"/>
      <c r="Z400" s="326"/>
      <c r="AA400" s="327"/>
      <c r="AB400" s="451"/>
      <c r="AC400" s="326"/>
      <c r="AD400" s="327"/>
      <c r="AE400" s="526"/>
      <c r="AF400" s="326"/>
      <c r="AG400" s="327"/>
      <c r="AH400" s="607"/>
      <c r="AI400" s="326"/>
      <c r="AJ400" s="327"/>
      <c r="AK400" s="497"/>
      <c r="AL400" s="326"/>
      <c r="AM400" s="327"/>
      <c r="AN400" s="44"/>
      <c r="AO400" s="45"/>
      <c r="AP400" s="44"/>
      <c r="AQ400" s="45"/>
      <c r="AR400" s="44"/>
      <c r="AS400" s="45"/>
      <c r="AT400" s="44"/>
      <c r="AU400" s="45"/>
      <c r="AV400" s="44"/>
      <c r="AW400" s="45"/>
      <c r="AX400" s="44"/>
      <c r="AY400" s="45"/>
      <c r="AZ400" s="50"/>
      <c r="BA400" s="47"/>
      <c r="BB400" s="50"/>
      <c r="BC400" s="47"/>
      <c r="BD400" s="50"/>
      <c r="BE400" s="47"/>
      <c r="BF400" s="50"/>
      <c r="BG400" s="47"/>
      <c r="BH400" s="50"/>
      <c r="BI400" s="608" t="s">
        <v>307</v>
      </c>
      <c r="BJ400" s="326"/>
      <c r="BK400" s="326"/>
      <c r="BL400" s="326"/>
      <c r="BM400" s="326"/>
      <c r="BN400" s="326"/>
      <c r="BO400" s="326"/>
      <c r="BP400" s="326"/>
      <c r="BQ400" s="326"/>
      <c r="BR400" s="326"/>
      <c r="BS400" s="326"/>
      <c r="BT400" s="326"/>
      <c r="BU400" s="326"/>
      <c r="BV400" s="327"/>
    </row>
    <row r="401" spans="1:74" ht="30" customHeight="1" x14ac:dyDescent="0.25">
      <c r="A401" s="49">
        <f t="shared" si="1"/>
        <v>387</v>
      </c>
      <c r="B401" s="42" t="s">
        <v>334</v>
      </c>
      <c r="C401" s="43"/>
      <c r="D401" s="609"/>
      <c r="E401" s="326"/>
      <c r="F401" s="326"/>
      <c r="G401" s="326"/>
      <c r="H401" s="326"/>
      <c r="I401" s="326"/>
      <c r="J401" s="326"/>
      <c r="K401" s="327"/>
      <c r="L401" s="610"/>
      <c r="M401" s="326"/>
      <c r="N401" s="326"/>
      <c r="O401" s="327"/>
      <c r="P401" s="609"/>
      <c r="Q401" s="326"/>
      <c r="R401" s="326"/>
      <c r="S401" s="327"/>
      <c r="T401" s="610"/>
      <c r="U401" s="326"/>
      <c r="V401" s="326"/>
      <c r="W401" s="327"/>
      <c r="X401" s="609"/>
      <c r="Y401" s="326"/>
      <c r="Z401" s="326"/>
      <c r="AA401" s="327"/>
      <c r="AB401" s="451"/>
      <c r="AC401" s="326"/>
      <c r="AD401" s="327"/>
      <c r="AE401" s="526"/>
      <c r="AF401" s="326"/>
      <c r="AG401" s="327"/>
      <c r="AH401" s="607"/>
      <c r="AI401" s="326"/>
      <c r="AJ401" s="327"/>
      <c r="AK401" s="497"/>
      <c r="AL401" s="326"/>
      <c r="AM401" s="327"/>
      <c r="AN401" s="44"/>
      <c r="AO401" s="45"/>
      <c r="AP401" s="44"/>
      <c r="AQ401" s="45"/>
      <c r="AR401" s="44"/>
      <c r="AS401" s="45"/>
      <c r="AT401" s="44"/>
      <c r="AU401" s="45"/>
      <c r="AV401" s="44"/>
      <c r="AW401" s="45"/>
      <c r="AX401" s="44"/>
      <c r="AY401" s="45"/>
      <c r="AZ401" s="50"/>
      <c r="BA401" s="47"/>
      <c r="BB401" s="50"/>
      <c r="BC401" s="47"/>
      <c r="BD401" s="50"/>
      <c r="BE401" s="47"/>
      <c r="BF401" s="50"/>
      <c r="BG401" s="47"/>
      <c r="BH401" s="50"/>
      <c r="BI401" s="608" t="s">
        <v>307</v>
      </c>
      <c r="BJ401" s="326"/>
      <c r="BK401" s="326"/>
      <c r="BL401" s="326"/>
      <c r="BM401" s="326"/>
      <c r="BN401" s="326"/>
      <c r="BO401" s="326"/>
      <c r="BP401" s="326"/>
      <c r="BQ401" s="326"/>
      <c r="BR401" s="326"/>
      <c r="BS401" s="326"/>
      <c r="BT401" s="326"/>
      <c r="BU401" s="326"/>
      <c r="BV401" s="327"/>
    </row>
    <row r="402" spans="1:74" ht="30" customHeight="1" x14ac:dyDescent="0.25">
      <c r="A402" s="49">
        <f t="shared" si="1"/>
        <v>388</v>
      </c>
      <c r="B402" s="42" t="s">
        <v>334</v>
      </c>
      <c r="C402" s="43"/>
      <c r="D402" s="609"/>
      <c r="E402" s="326"/>
      <c r="F402" s="326"/>
      <c r="G402" s="326"/>
      <c r="H402" s="326"/>
      <c r="I402" s="326"/>
      <c r="J402" s="326"/>
      <c r="K402" s="327"/>
      <c r="L402" s="610"/>
      <c r="M402" s="326"/>
      <c r="N402" s="326"/>
      <c r="O402" s="327"/>
      <c r="P402" s="609"/>
      <c r="Q402" s="326"/>
      <c r="R402" s="326"/>
      <c r="S402" s="327"/>
      <c r="T402" s="610"/>
      <c r="U402" s="326"/>
      <c r="V402" s="326"/>
      <c r="W402" s="327"/>
      <c r="X402" s="609"/>
      <c r="Y402" s="326"/>
      <c r="Z402" s="326"/>
      <c r="AA402" s="327"/>
      <c r="AB402" s="451"/>
      <c r="AC402" s="326"/>
      <c r="AD402" s="327"/>
      <c r="AE402" s="526"/>
      <c r="AF402" s="326"/>
      <c r="AG402" s="327"/>
      <c r="AH402" s="607"/>
      <c r="AI402" s="326"/>
      <c r="AJ402" s="327"/>
      <c r="AK402" s="497"/>
      <c r="AL402" s="326"/>
      <c r="AM402" s="327"/>
      <c r="AN402" s="44"/>
      <c r="AO402" s="45"/>
      <c r="AP402" s="44"/>
      <c r="AQ402" s="45"/>
      <c r="AR402" s="44"/>
      <c r="AS402" s="45"/>
      <c r="AT402" s="44"/>
      <c r="AU402" s="45"/>
      <c r="AV402" s="44"/>
      <c r="AW402" s="45"/>
      <c r="AX402" s="44"/>
      <c r="AY402" s="45"/>
      <c r="AZ402" s="50"/>
      <c r="BA402" s="47"/>
      <c r="BB402" s="50"/>
      <c r="BC402" s="47"/>
      <c r="BD402" s="50"/>
      <c r="BE402" s="47"/>
      <c r="BF402" s="50"/>
      <c r="BG402" s="47"/>
      <c r="BH402" s="50"/>
      <c r="BI402" s="608" t="s">
        <v>303</v>
      </c>
      <c r="BJ402" s="326"/>
      <c r="BK402" s="326"/>
      <c r="BL402" s="326"/>
      <c r="BM402" s="326"/>
      <c r="BN402" s="326"/>
      <c r="BO402" s="326"/>
      <c r="BP402" s="326"/>
      <c r="BQ402" s="326"/>
      <c r="BR402" s="326"/>
      <c r="BS402" s="326"/>
      <c r="BT402" s="326"/>
      <c r="BU402" s="326"/>
      <c r="BV402" s="327"/>
    </row>
    <row r="403" spans="1:74" ht="30" customHeight="1" x14ac:dyDescent="0.25">
      <c r="A403" s="49">
        <f t="shared" si="1"/>
        <v>389</v>
      </c>
      <c r="B403" s="42" t="s">
        <v>334</v>
      </c>
      <c r="C403" s="43"/>
      <c r="D403" s="609"/>
      <c r="E403" s="326"/>
      <c r="F403" s="326"/>
      <c r="G403" s="326"/>
      <c r="H403" s="326"/>
      <c r="I403" s="326"/>
      <c r="J403" s="326"/>
      <c r="K403" s="327"/>
      <c r="L403" s="610"/>
      <c r="M403" s="326"/>
      <c r="N403" s="326"/>
      <c r="O403" s="327"/>
      <c r="P403" s="609"/>
      <c r="Q403" s="326"/>
      <c r="R403" s="326"/>
      <c r="S403" s="327"/>
      <c r="T403" s="610"/>
      <c r="U403" s="326"/>
      <c r="V403" s="326"/>
      <c r="W403" s="327"/>
      <c r="X403" s="609"/>
      <c r="Y403" s="326"/>
      <c r="Z403" s="326"/>
      <c r="AA403" s="327"/>
      <c r="AB403" s="451"/>
      <c r="AC403" s="326"/>
      <c r="AD403" s="327"/>
      <c r="AE403" s="526"/>
      <c r="AF403" s="326"/>
      <c r="AG403" s="327"/>
      <c r="AH403" s="607"/>
      <c r="AI403" s="326"/>
      <c r="AJ403" s="327"/>
      <c r="AK403" s="497"/>
      <c r="AL403" s="326"/>
      <c r="AM403" s="327"/>
      <c r="AN403" s="44"/>
      <c r="AO403" s="45"/>
      <c r="AP403" s="44"/>
      <c r="AQ403" s="45"/>
      <c r="AR403" s="44"/>
      <c r="AS403" s="45"/>
      <c r="AT403" s="44"/>
      <c r="AU403" s="45"/>
      <c r="AV403" s="44"/>
      <c r="AW403" s="45"/>
      <c r="AX403" s="44"/>
      <c r="AY403" s="45"/>
      <c r="AZ403" s="50"/>
      <c r="BA403" s="47"/>
      <c r="BB403" s="50"/>
      <c r="BC403" s="47"/>
      <c r="BD403" s="50"/>
      <c r="BE403" s="47"/>
      <c r="BF403" s="50"/>
      <c r="BG403" s="47"/>
      <c r="BH403" s="50"/>
      <c r="BI403" s="608" t="s">
        <v>303</v>
      </c>
      <c r="BJ403" s="326"/>
      <c r="BK403" s="326"/>
      <c r="BL403" s="326"/>
      <c r="BM403" s="326"/>
      <c r="BN403" s="326"/>
      <c r="BO403" s="326"/>
      <c r="BP403" s="326"/>
      <c r="BQ403" s="326"/>
      <c r="BR403" s="326"/>
      <c r="BS403" s="326"/>
      <c r="BT403" s="326"/>
      <c r="BU403" s="326"/>
      <c r="BV403" s="327"/>
    </row>
    <row r="404" spans="1:74" ht="30" customHeight="1" x14ac:dyDescent="0.25">
      <c r="A404" s="41">
        <f t="shared" si="1"/>
        <v>390</v>
      </c>
      <c r="B404" s="42" t="s">
        <v>334</v>
      </c>
      <c r="C404" s="43"/>
      <c r="D404" s="609"/>
      <c r="E404" s="326"/>
      <c r="F404" s="326"/>
      <c r="G404" s="326"/>
      <c r="H404" s="326"/>
      <c r="I404" s="326"/>
      <c r="J404" s="326"/>
      <c r="K404" s="327"/>
      <c r="L404" s="610"/>
      <c r="M404" s="326"/>
      <c r="N404" s="326"/>
      <c r="O404" s="327"/>
      <c r="P404" s="609"/>
      <c r="Q404" s="326"/>
      <c r="R404" s="326"/>
      <c r="S404" s="327"/>
      <c r="T404" s="610"/>
      <c r="U404" s="326"/>
      <c r="V404" s="326"/>
      <c r="W404" s="327"/>
      <c r="X404" s="609"/>
      <c r="Y404" s="326"/>
      <c r="Z404" s="326"/>
      <c r="AA404" s="327"/>
      <c r="AB404" s="451"/>
      <c r="AC404" s="326"/>
      <c r="AD404" s="327"/>
      <c r="AE404" s="526"/>
      <c r="AF404" s="326"/>
      <c r="AG404" s="327"/>
      <c r="AH404" s="607"/>
      <c r="AI404" s="326"/>
      <c r="AJ404" s="327"/>
      <c r="AK404" s="497"/>
      <c r="AL404" s="326"/>
      <c r="AM404" s="327"/>
      <c r="AN404" s="44"/>
      <c r="AO404" s="45"/>
      <c r="AP404" s="44"/>
      <c r="AQ404" s="45"/>
      <c r="AR404" s="44"/>
      <c r="AS404" s="45"/>
      <c r="AT404" s="44"/>
      <c r="AU404" s="45"/>
      <c r="AV404" s="44"/>
      <c r="AW404" s="45"/>
      <c r="AX404" s="44"/>
      <c r="AY404" s="45"/>
      <c r="AZ404" s="50"/>
      <c r="BA404" s="47"/>
      <c r="BB404" s="50"/>
      <c r="BC404" s="47"/>
      <c r="BD404" s="50"/>
      <c r="BE404" s="47"/>
      <c r="BF404" s="50"/>
      <c r="BG404" s="47"/>
      <c r="BH404" s="50"/>
      <c r="BI404" s="608" t="s">
        <v>307</v>
      </c>
      <c r="BJ404" s="326"/>
      <c r="BK404" s="326"/>
      <c r="BL404" s="326"/>
      <c r="BM404" s="326"/>
      <c r="BN404" s="326"/>
      <c r="BO404" s="326"/>
      <c r="BP404" s="326"/>
      <c r="BQ404" s="326"/>
      <c r="BR404" s="326"/>
      <c r="BS404" s="326"/>
      <c r="BT404" s="326"/>
      <c r="BU404" s="326"/>
      <c r="BV404" s="327"/>
    </row>
    <row r="405" spans="1:74" ht="30" customHeight="1" x14ac:dyDescent="0.25">
      <c r="A405" s="49">
        <f t="shared" si="1"/>
        <v>391</v>
      </c>
      <c r="B405" s="42" t="s">
        <v>334</v>
      </c>
      <c r="C405" s="43"/>
      <c r="D405" s="609"/>
      <c r="E405" s="326"/>
      <c r="F405" s="326"/>
      <c r="G405" s="326"/>
      <c r="H405" s="326"/>
      <c r="I405" s="326"/>
      <c r="J405" s="326"/>
      <c r="K405" s="327"/>
      <c r="L405" s="610"/>
      <c r="M405" s="326"/>
      <c r="N405" s="326"/>
      <c r="O405" s="327"/>
      <c r="P405" s="609"/>
      <c r="Q405" s="326"/>
      <c r="R405" s="326"/>
      <c r="S405" s="327"/>
      <c r="T405" s="610"/>
      <c r="U405" s="326"/>
      <c r="V405" s="326"/>
      <c r="W405" s="327"/>
      <c r="X405" s="609"/>
      <c r="Y405" s="326"/>
      <c r="Z405" s="326"/>
      <c r="AA405" s="327"/>
      <c r="AB405" s="451"/>
      <c r="AC405" s="326"/>
      <c r="AD405" s="327"/>
      <c r="AE405" s="526"/>
      <c r="AF405" s="326"/>
      <c r="AG405" s="327"/>
      <c r="AH405" s="607"/>
      <c r="AI405" s="326"/>
      <c r="AJ405" s="327"/>
      <c r="AK405" s="497"/>
      <c r="AL405" s="326"/>
      <c r="AM405" s="327"/>
      <c r="AN405" s="44"/>
      <c r="AO405" s="45"/>
      <c r="AP405" s="44"/>
      <c r="AQ405" s="45"/>
      <c r="AR405" s="44"/>
      <c r="AS405" s="45"/>
      <c r="AT405" s="44"/>
      <c r="AU405" s="45"/>
      <c r="AV405" s="44"/>
      <c r="AW405" s="45"/>
      <c r="AX405" s="44"/>
      <c r="AY405" s="45"/>
      <c r="AZ405" s="50"/>
      <c r="BA405" s="47"/>
      <c r="BB405" s="50"/>
      <c r="BC405" s="47"/>
      <c r="BD405" s="50"/>
      <c r="BE405" s="47"/>
      <c r="BF405" s="50"/>
      <c r="BG405" s="47"/>
      <c r="BH405" s="50"/>
      <c r="BI405" s="608" t="s">
        <v>307</v>
      </c>
      <c r="BJ405" s="326"/>
      <c r="BK405" s="326"/>
      <c r="BL405" s="326"/>
      <c r="BM405" s="326"/>
      <c r="BN405" s="326"/>
      <c r="BO405" s="326"/>
      <c r="BP405" s="326"/>
      <c r="BQ405" s="326"/>
      <c r="BR405" s="326"/>
      <c r="BS405" s="326"/>
      <c r="BT405" s="326"/>
      <c r="BU405" s="326"/>
      <c r="BV405" s="327"/>
    </row>
    <row r="406" spans="1:74" ht="30" customHeight="1" x14ac:dyDescent="0.25">
      <c r="A406" s="49">
        <f t="shared" si="1"/>
        <v>392</v>
      </c>
      <c r="B406" s="42" t="s">
        <v>334</v>
      </c>
      <c r="C406" s="43"/>
      <c r="D406" s="609"/>
      <c r="E406" s="326"/>
      <c r="F406" s="326"/>
      <c r="G406" s="326"/>
      <c r="H406" s="326"/>
      <c r="I406" s="326"/>
      <c r="J406" s="326"/>
      <c r="K406" s="327"/>
      <c r="L406" s="610"/>
      <c r="M406" s="326"/>
      <c r="N406" s="326"/>
      <c r="O406" s="327"/>
      <c r="P406" s="609"/>
      <c r="Q406" s="326"/>
      <c r="R406" s="326"/>
      <c r="S406" s="327"/>
      <c r="T406" s="610"/>
      <c r="U406" s="326"/>
      <c r="V406" s="326"/>
      <c r="W406" s="327"/>
      <c r="X406" s="609"/>
      <c r="Y406" s="326"/>
      <c r="Z406" s="326"/>
      <c r="AA406" s="327"/>
      <c r="AB406" s="451"/>
      <c r="AC406" s="326"/>
      <c r="AD406" s="327"/>
      <c r="AE406" s="526"/>
      <c r="AF406" s="326"/>
      <c r="AG406" s="327"/>
      <c r="AH406" s="607"/>
      <c r="AI406" s="326"/>
      <c r="AJ406" s="327"/>
      <c r="AK406" s="497"/>
      <c r="AL406" s="326"/>
      <c r="AM406" s="327"/>
      <c r="AN406" s="44"/>
      <c r="AO406" s="45"/>
      <c r="AP406" s="44"/>
      <c r="AQ406" s="45"/>
      <c r="AR406" s="44"/>
      <c r="AS406" s="45"/>
      <c r="AT406" s="44"/>
      <c r="AU406" s="45"/>
      <c r="AV406" s="44"/>
      <c r="AW406" s="45"/>
      <c r="AX406" s="44"/>
      <c r="AY406" s="45"/>
      <c r="AZ406" s="50"/>
      <c r="BA406" s="47"/>
      <c r="BB406" s="50"/>
      <c r="BC406" s="47"/>
      <c r="BD406" s="50"/>
      <c r="BE406" s="47"/>
      <c r="BF406" s="50"/>
      <c r="BG406" s="47"/>
      <c r="BH406" s="50"/>
      <c r="BI406" s="608" t="s">
        <v>307</v>
      </c>
      <c r="BJ406" s="326"/>
      <c r="BK406" s="326"/>
      <c r="BL406" s="326"/>
      <c r="BM406" s="326"/>
      <c r="BN406" s="326"/>
      <c r="BO406" s="326"/>
      <c r="BP406" s="326"/>
      <c r="BQ406" s="326"/>
      <c r="BR406" s="326"/>
      <c r="BS406" s="326"/>
      <c r="BT406" s="326"/>
      <c r="BU406" s="326"/>
      <c r="BV406" s="327"/>
    </row>
    <row r="407" spans="1:74" ht="30" customHeight="1" x14ac:dyDescent="0.25">
      <c r="A407" s="49">
        <f t="shared" si="1"/>
        <v>393</v>
      </c>
      <c r="B407" s="42" t="s">
        <v>334</v>
      </c>
      <c r="C407" s="43"/>
      <c r="D407" s="609"/>
      <c r="E407" s="326"/>
      <c r="F407" s="326"/>
      <c r="G407" s="326"/>
      <c r="H407" s="326"/>
      <c r="I407" s="326"/>
      <c r="J407" s="326"/>
      <c r="K407" s="327"/>
      <c r="L407" s="610"/>
      <c r="M407" s="326"/>
      <c r="N407" s="326"/>
      <c r="O407" s="327"/>
      <c r="P407" s="609"/>
      <c r="Q407" s="326"/>
      <c r="R407" s="326"/>
      <c r="S407" s="327"/>
      <c r="T407" s="610"/>
      <c r="U407" s="326"/>
      <c r="V407" s="326"/>
      <c r="W407" s="327"/>
      <c r="X407" s="609"/>
      <c r="Y407" s="326"/>
      <c r="Z407" s="326"/>
      <c r="AA407" s="327"/>
      <c r="AB407" s="451"/>
      <c r="AC407" s="326"/>
      <c r="AD407" s="327"/>
      <c r="AE407" s="526"/>
      <c r="AF407" s="326"/>
      <c r="AG407" s="327"/>
      <c r="AH407" s="607"/>
      <c r="AI407" s="326"/>
      <c r="AJ407" s="327"/>
      <c r="AK407" s="497"/>
      <c r="AL407" s="326"/>
      <c r="AM407" s="327"/>
      <c r="AN407" s="44"/>
      <c r="AO407" s="45"/>
      <c r="AP407" s="44"/>
      <c r="AQ407" s="45"/>
      <c r="AR407" s="44"/>
      <c r="AS407" s="45"/>
      <c r="AT407" s="44"/>
      <c r="AU407" s="45"/>
      <c r="AV407" s="44"/>
      <c r="AW407" s="45"/>
      <c r="AX407" s="44"/>
      <c r="AY407" s="45"/>
      <c r="AZ407" s="50"/>
      <c r="BA407" s="47"/>
      <c r="BB407" s="50"/>
      <c r="BC407" s="47"/>
      <c r="BD407" s="50"/>
      <c r="BE407" s="47"/>
      <c r="BF407" s="50"/>
      <c r="BG407" s="47"/>
      <c r="BH407" s="50"/>
      <c r="BI407" s="608" t="s">
        <v>307</v>
      </c>
      <c r="BJ407" s="326"/>
      <c r="BK407" s="326"/>
      <c r="BL407" s="326"/>
      <c r="BM407" s="326"/>
      <c r="BN407" s="326"/>
      <c r="BO407" s="326"/>
      <c r="BP407" s="326"/>
      <c r="BQ407" s="326"/>
      <c r="BR407" s="326"/>
      <c r="BS407" s="326"/>
      <c r="BT407" s="326"/>
      <c r="BU407" s="326"/>
      <c r="BV407" s="327"/>
    </row>
    <row r="408" spans="1:74" ht="30" customHeight="1" x14ac:dyDescent="0.25">
      <c r="A408" s="49">
        <f t="shared" si="1"/>
        <v>394</v>
      </c>
      <c r="B408" s="42" t="s">
        <v>334</v>
      </c>
      <c r="C408" s="43"/>
      <c r="D408" s="609"/>
      <c r="E408" s="326"/>
      <c r="F408" s="326"/>
      <c r="G408" s="326"/>
      <c r="H408" s="326"/>
      <c r="I408" s="326"/>
      <c r="J408" s="326"/>
      <c r="K408" s="327"/>
      <c r="L408" s="610"/>
      <c r="M408" s="326"/>
      <c r="N408" s="326"/>
      <c r="O408" s="327"/>
      <c r="P408" s="609"/>
      <c r="Q408" s="326"/>
      <c r="R408" s="326"/>
      <c r="S408" s="327"/>
      <c r="T408" s="610"/>
      <c r="U408" s="326"/>
      <c r="V408" s="326"/>
      <c r="W408" s="327"/>
      <c r="X408" s="609"/>
      <c r="Y408" s="326"/>
      <c r="Z408" s="326"/>
      <c r="AA408" s="327"/>
      <c r="AB408" s="451"/>
      <c r="AC408" s="326"/>
      <c r="AD408" s="327"/>
      <c r="AE408" s="526"/>
      <c r="AF408" s="326"/>
      <c r="AG408" s="327"/>
      <c r="AH408" s="607"/>
      <c r="AI408" s="326"/>
      <c r="AJ408" s="327"/>
      <c r="AK408" s="497"/>
      <c r="AL408" s="326"/>
      <c r="AM408" s="327"/>
      <c r="AN408" s="44"/>
      <c r="AO408" s="45"/>
      <c r="AP408" s="44"/>
      <c r="AQ408" s="45"/>
      <c r="AR408" s="44"/>
      <c r="AS408" s="45"/>
      <c r="AT408" s="44"/>
      <c r="AU408" s="45"/>
      <c r="AV408" s="44"/>
      <c r="AW408" s="45"/>
      <c r="AX408" s="44"/>
      <c r="AY408" s="45"/>
      <c r="AZ408" s="50"/>
      <c r="BA408" s="47"/>
      <c r="BB408" s="50"/>
      <c r="BC408" s="47"/>
      <c r="BD408" s="50"/>
      <c r="BE408" s="47"/>
      <c r="BF408" s="50"/>
      <c r="BG408" s="47"/>
      <c r="BH408" s="50"/>
      <c r="BI408" s="608" t="s">
        <v>307</v>
      </c>
      <c r="BJ408" s="326"/>
      <c r="BK408" s="326"/>
      <c r="BL408" s="326"/>
      <c r="BM408" s="326"/>
      <c r="BN408" s="326"/>
      <c r="BO408" s="326"/>
      <c r="BP408" s="326"/>
      <c r="BQ408" s="326"/>
      <c r="BR408" s="326"/>
      <c r="BS408" s="326"/>
      <c r="BT408" s="326"/>
      <c r="BU408" s="326"/>
      <c r="BV408" s="327"/>
    </row>
    <row r="409" spans="1:74" ht="30" customHeight="1" x14ac:dyDescent="0.25">
      <c r="A409" s="49">
        <f t="shared" si="1"/>
        <v>395</v>
      </c>
      <c r="B409" s="42" t="s">
        <v>334</v>
      </c>
      <c r="C409" s="43"/>
      <c r="D409" s="609"/>
      <c r="E409" s="326"/>
      <c r="F409" s="326"/>
      <c r="G409" s="326"/>
      <c r="H409" s="326"/>
      <c r="I409" s="326"/>
      <c r="J409" s="326"/>
      <c r="K409" s="327"/>
      <c r="L409" s="610"/>
      <c r="M409" s="326"/>
      <c r="N409" s="326"/>
      <c r="O409" s="327"/>
      <c r="P409" s="609"/>
      <c r="Q409" s="326"/>
      <c r="R409" s="326"/>
      <c r="S409" s="327"/>
      <c r="T409" s="610"/>
      <c r="U409" s="326"/>
      <c r="V409" s="326"/>
      <c r="W409" s="327"/>
      <c r="X409" s="609"/>
      <c r="Y409" s="326"/>
      <c r="Z409" s="326"/>
      <c r="AA409" s="327"/>
      <c r="AB409" s="451"/>
      <c r="AC409" s="326"/>
      <c r="AD409" s="327"/>
      <c r="AE409" s="526"/>
      <c r="AF409" s="326"/>
      <c r="AG409" s="327"/>
      <c r="AH409" s="607"/>
      <c r="AI409" s="326"/>
      <c r="AJ409" s="327"/>
      <c r="AK409" s="497"/>
      <c r="AL409" s="326"/>
      <c r="AM409" s="327"/>
      <c r="AN409" s="44"/>
      <c r="AO409" s="45"/>
      <c r="AP409" s="44"/>
      <c r="AQ409" s="45"/>
      <c r="AR409" s="44"/>
      <c r="AS409" s="45"/>
      <c r="AT409" s="44"/>
      <c r="AU409" s="45"/>
      <c r="AV409" s="44"/>
      <c r="AW409" s="45"/>
      <c r="AX409" s="44"/>
      <c r="AY409" s="45"/>
      <c r="AZ409" s="50"/>
      <c r="BA409" s="47"/>
      <c r="BB409" s="50"/>
      <c r="BC409" s="47"/>
      <c r="BD409" s="50"/>
      <c r="BE409" s="47"/>
      <c r="BF409" s="50"/>
      <c r="BG409" s="47"/>
      <c r="BH409" s="50"/>
      <c r="BI409" s="608" t="s">
        <v>303</v>
      </c>
      <c r="BJ409" s="326"/>
      <c r="BK409" s="326"/>
      <c r="BL409" s="326"/>
      <c r="BM409" s="326"/>
      <c r="BN409" s="326"/>
      <c r="BO409" s="326"/>
      <c r="BP409" s="326"/>
      <c r="BQ409" s="326"/>
      <c r="BR409" s="326"/>
      <c r="BS409" s="326"/>
      <c r="BT409" s="326"/>
      <c r="BU409" s="326"/>
      <c r="BV409" s="327"/>
    </row>
    <row r="410" spans="1:74" ht="30" customHeight="1" x14ac:dyDescent="0.25">
      <c r="A410" s="49">
        <f t="shared" si="1"/>
        <v>396</v>
      </c>
      <c r="B410" s="42" t="s">
        <v>334</v>
      </c>
      <c r="C410" s="43"/>
      <c r="D410" s="609"/>
      <c r="E410" s="326"/>
      <c r="F410" s="326"/>
      <c r="G410" s="326"/>
      <c r="H410" s="326"/>
      <c r="I410" s="326"/>
      <c r="J410" s="326"/>
      <c r="K410" s="327"/>
      <c r="L410" s="610"/>
      <c r="M410" s="326"/>
      <c r="N410" s="326"/>
      <c r="O410" s="327"/>
      <c r="P410" s="609"/>
      <c r="Q410" s="326"/>
      <c r="R410" s="326"/>
      <c r="S410" s="327"/>
      <c r="T410" s="610"/>
      <c r="U410" s="326"/>
      <c r="V410" s="326"/>
      <c r="W410" s="327"/>
      <c r="X410" s="609"/>
      <c r="Y410" s="326"/>
      <c r="Z410" s="326"/>
      <c r="AA410" s="327"/>
      <c r="AB410" s="451"/>
      <c r="AC410" s="326"/>
      <c r="AD410" s="327"/>
      <c r="AE410" s="526"/>
      <c r="AF410" s="326"/>
      <c r="AG410" s="327"/>
      <c r="AH410" s="607"/>
      <c r="AI410" s="326"/>
      <c r="AJ410" s="327"/>
      <c r="AK410" s="497"/>
      <c r="AL410" s="326"/>
      <c r="AM410" s="327"/>
      <c r="AN410" s="44"/>
      <c r="AO410" s="45"/>
      <c r="AP410" s="44"/>
      <c r="AQ410" s="45"/>
      <c r="AR410" s="44"/>
      <c r="AS410" s="45"/>
      <c r="AT410" s="44"/>
      <c r="AU410" s="45"/>
      <c r="AV410" s="44"/>
      <c r="AW410" s="45"/>
      <c r="AX410" s="44"/>
      <c r="AY410" s="45"/>
      <c r="AZ410" s="50"/>
      <c r="BA410" s="47"/>
      <c r="BB410" s="50"/>
      <c r="BC410" s="47"/>
      <c r="BD410" s="50"/>
      <c r="BE410" s="47"/>
      <c r="BF410" s="50"/>
      <c r="BG410" s="47"/>
      <c r="BH410" s="50"/>
      <c r="BI410" s="608" t="s">
        <v>303</v>
      </c>
      <c r="BJ410" s="326"/>
      <c r="BK410" s="326"/>
      <c r="BL410" s="326"/>
      <c r="BM410" s="326"/>
      <c r="BN410" s="326"/>
      <c r="BO410" s="326"/>
      <c r="BP410" s="326"/>
      <c r="BQ410" s="326"/>
      <c r="BR410" s="326"/>
      <c r="BS410" s="326"/>
      <c r="BT410" s="326"/>
      <c r="BU410" s="326"/>
      <c r="BV410" s="327"/>
    </row>
    <row r="411" spans="1:74" ht="30" customHeight="1" x14ac:dyDescent="0.25">
      <c r="A411" s="41">
        <f t="shared" si="1"/>
        <v>397</v>
      </c>
      <c r="B411" s="42" t="s">
        <v>334</v>
      </c>
      <c r="C411" s="43"/>
      <c r="D411" s="609"/>
      <c r="E411" s="326"/>
      <c r="F411" s="326"/>
      <c r="G411" s="326"/>
      <c r="H411" s="326"/>
      <c r="I411" s="326"/>
      <c r="J411" s="326"/>
      <c r="K411" s="327"/>
      <c r="L411" s="610"/>
      <c r="M411" s="326"/>
      <c r="N411" s="326"/>
      <c r="O411" s="327"/>
      <c r="P411" s="609"/>
      <c r="Q411" s="326"/>
      <c r="R411" s="326"/>
      <c r="S411" s="327"/>
      <c r="T411" s="610"/>
      <c r="U411" s="326"/>
      <c r="V411" s="326"/>
      <c r="W411" s="327"/>
      <c r="X411" s="609"/>
      <c r="Y411" s="326"/>
      <c r="Z411" s="326"/>
      <c r="AA411" s="327"/>
      <c r="AB411" s="451"/>
      <c r="AC411" s="326"/>
      <c r="AD411" s="327"/>
      <c r="AE411" s="526"/>
      <c r="AF411" s="326"/>
      <c r="AG411" s="327"/>
      <c r="AH411" s="607"/>
      <c r="AI411" s="326"/>
      <c r="AJ411" s="327"/>
      <c r="AK411" s="497"/>
      <c r="AL411" s="326"/>
      <c r="AM411" s="327"/>
      <c r="AN411" s="44"/>
      <c r="AO411" s="45"/>
      <c r="AP411" s="44"/>
      <c r="AQ411" s="45"/>
      <c r="AR411" s="44"/>
      <c r="AS411" s="45"/>
      <c r="AT411" s="44"/>
      <c r="AU411" s="45"/>
      <c r="AV411" s="44"/>
      <c r="AW411" s="45"/>
      <c r="AX411" s="44"/>
      <c r="AY411" s="45"/>
      <c r="AZ411" s="50"/>
      <c r="BA411" s="47"/>
      <c r="BB411" s="50"/>
      <c r="BC411" s="47"/>
      <c r="BD411" s="50"/>
      <c r="BE411" s="47"/>
      <c r="BF411" s="50"/>
      <c r="BG411" s="47"/>
      <c r="BH411" s="50"/>
      <c r="BI411" s="608" t="s">
        <v>307</v>
      </c>
      <c r="BJ411" s="326"/>
      <c r="BK411" s="326"/>
      <c r="BL411" s="326"/>
      <c r="BM411" s="326"/>
      <c r="BN411" s="326"/>
      <c r="BO411" s="326"/>
      <c r="BP411" s="326"/>
      <c r="BQ411" s="326"/>
      <c r="BR411" s="326"/>
      <c r="BS411" s="326"/>
      <c r="BT411" s="326"/>
      <c r="BU411" s="326"/>
      <c r="BV411" s="327"/>
    </row>
    <row r="412" spans="1:74" ht="30" customHeight="1" x14ac:dyDescent="0.25">
      <c r="A412" s="49">
        <f t="shared" si="1"/>
        <v>398</v>
      </c>
      <c r="B412" s="42" t="s">
        <v>334</v>
      </c>
      <c r="C412" s="43"/>
      <c r="D412" s="609"/>
      <c r="E412" s="326"/>
      <c r="F412" s="326"/>
      <c r="G412" s="326"/>
      <c r="H412" s="326"/>
      <c r="I412" s="326"/>
      <c r="J412" s="326"/>
      <c r="K412" s="327"/>
      <c r="L412" s="610"/>
      <c r="M412" s="326"/>
      <c r="N412" s="326"/>
      <c r="O412" s="327"/>
      <c r="P412" s="609"/>
      <c r="Q412" s="326"/>
      <c r="R412" s="326"/>
      <c r="S412" s="327"/>
      <c r="T412" s="610"/>
      <c r="U412" s="326"/>
      <c r="V412" s="326"/>
      <c r="W412" s="327"/>
      <c r="X412" s="609"/>
      <c r="Y412" s="326"/>
      <c r="Z412" s="326"/>
      <c r="AA412" s="327"/>
      <c r="AB412" s="451"/>
      <c r="AC412" s="326"/>
      <c r="AD412" s="327"/>
      <c r="AE412" s="526"/>
      <c r="AF412" s="326"/>
      <c r="AG412" s="327"/>
      <c r="AH412" s="607"/>
      <c r="AI412" s="326"/>
      <c r="AJ412" s="327"/>
      <c r="AK412" s="497"/>
      <c r="AL412" s="326"/>
      <c r="AM412" s="327"/>
      <c r="AN412" s="44"/>
      <c r="AO412" s="45"/>
      <c r="AP412" s="44"/>
      <c r="AQ412" s="45"/>
      <c r="AR412" s="44"/>
      <c r="AS412" s="45"/>
      <c r="AT412" s="44"/>
      <c r="AU412" s="45"/>
      <c r="AV412" s="44"/>
      <c r="AW412" s="45"/>
      <c r="AX412" s="44"/>
      <c r="AY412" s="45"/>
      <c r="AZ412" s="50"/>
      <c r="BA412" s="47"/>
      <c r="BB412" s="50"/>
      <c r="BC412" s="47"/>
      <c r="BD412" s="50"/>
      <c r="BE412" s="47"/>
      <c r="BF412" s="50"/>
      <c r="BG412" s="47"/>
      <c r="BH412" s="50"/>
      <c r="BI412" s="608" t="s">
        <v>307</v>
      </c>
      <c r="BJ412" s="326"/>
      <c r="BK412" s="326"/>
      <c r="BL412" s="326"/>
      <c r="BM412" s="326"/>
      <c r="BN412" s="326"/>
      <c r="BO412" s="326"/>
      <c r="BP412" s="326"/>
      <c r="BQ412" s="326"/>
      <c r="BR412" s="326"/>
      <c r="BS412" s="326"/>
      <c r="BT412" s="326"/>
      <c r="BU412" s="326"/>
      <c r="BV412" s="327"/>
    </row>
    <row r="413" spans="1:74" ht="30" customHeight="1" x14ac:dyDescent="0.25">
      <c r="A413" s="49">
        <f t="shared" si="1"/>
        <v>399</v>
      </c>
      <c r="B413" s="42" t="s">
        <v>334</v>
      </c>
      <c r="C413" s="43"/>
      <c r="D413" s="609"/>
      <c r="E413" s="326"/>
      <c r="F413" s="326"/>
      <c r="G413" s="326"/>
      <c r="H413" s="326"/>
      <c r="I413" s="326"/>
      <c r="J413" s="326"/>
      <c r="K413" s="327"/>
      <c r="L413" s="610"/>
      <c r="M413" s="326"/>
      <c r="N413" s="326"/>
      <c r="O413" s="327"/>
      <c r="P413" s="609"/>
      <c r="Q413" s="326"/>
      <c r="R413" s="326"/>
      <c r="S413" s="327"/>
      <c r="T413" s="610"/>
      <c r="U413" s="326"/>
      <c r="V413" s="326"/>
      <c r="W413" s="327"/>
      <c r="X413" s="609"/>
      <c r="Y413" s="326"/>
      <c r="Z413" s="326"/>
      <c r="AA413" s="327"/>
      <c r="AB413" s="451"/>
      <c r="AC413" s="326"/>
      <c r="AD413" s="327"/>
      <c r="AE413" s="526"/>
      <c r="AF413" s="326"/>
      <c r="AG413" s="327"/>
      <c r="AH413" s="607"/>
      <c r="AI413" s="326"/>
      <c r="AJ413" s="327"/>
      <c r="AK413" s="497"/>
      <c r="AL413" s="326"/>
      <c r="AM413" s="327"/>
      <c r="AN413" s="44"/>
      <c r="AO413" s="45"/>
      <c r="AP413" s="44"/>
      <c r="AQ413" s="45"/>
      <c r="AR413" s="44"/>
      <c r="AS413" s="45"/>
      <c r="AT413" s="44"/>
      <c r="AU413" s="45"/>
      <c r="AV413" s="44"/>
      <c r="AW413" s="45"/>
      <c r="AX413" s="44"/>
      <c r="AY413" s="45"/>
      <c r="AZ413" s="50"/>
      <c r="BA413" s="47"/>
      <c r="BB413" s="50"/>
      <c r="BC413" s="47"/>
      <c r="BD413" s="50"/>
      <c r="BE413" s="47"/>
      <c r="BF413" s="50"/>
      <c r="BG413" s="47"/>
      <c r="BH413" s="50"/>
      <c r="BI413" s="608" t="s">
        <v>307</v>
      </c>
      <c r="BJ413" s="326"/>
      <c r="BK413" s="326"/>
      <c r="BL413" s="326"/>
      <c r="BM413" s="326"/>
      <c r="BN413" s="326"/>
      <c r="BO413" s="326"/>
      <c r="BP413" s="326"/>
      <c r="BQ413" s="326"/>
      <c r="BR413" s="326"/>
      <c r="BS413" s="326"/>
      <c r="BT413" s="326"/>
      <c r="BU413" s="326"/>
      <c r="BV413" s="327"/>
    </row>
    <row r="414" spans="1:74" ht="30" customHeight="1" x14ac:dyDescent="0.25">
      <c r="A414" s="49">
        <f t="shared" si="1"/>
        <v>400</v>
      </c>
      <c r="B414" s="42" t="s">
        <v>334</v>
      </c>
      <c r="C414" s="43"/>
      <c r="D414" s="609"/>
      <c r="E414" s="326"/>
      <c r="F414" s="326"/>
      <c r="G414" s="326"/>
      <c r="H414" s="326"/>
      <c r="I414" s="326"/>
      <c r="J414" s="326"/>
      <c r="K414" s="327"/>
      <c r="L414" s="610"/>
      <c r="M414" s="326"/>
      <c r="N414" s="326"/>
      <c r="O414" s="327"/>
      <c r="P414" s="609"/>
      <c r="Q414" s="326"/>
      <c r="R414" s="326"/>
      <c r="S414" s="327"/>
      <c r="T414" s="610"/>
      <c r="U414" s="326"/>
      <c r="V414" s="326"/>
      <c r="W414" s="327"/>
      <c r="X414" s="609"/>
      <c r="Y414" s="326"/>
      <c r="Z414" s="326"/>
      <c r="AA414" s="327"/>
      <c r="AB414" s="451"/>
      <c r="AC414" s="326"/>
      <c r="AD414" s="327"/>
      <c r="AE414" s="526"/>
      <c r="AF414" s="326"/>
      <c r="AG414" s="327"/>
      <c r="AH414" s="607"/>
      <c r="AI414" s="326"/>
      <c r="AJ414" s="327"/>
      <c r="AK414" s="497"/>
      <c r="AL414" s="326"/>
      <c r="AM414" s="327"/>
      <c r="AN414" s="44"/>
      <c r="AO414" s="45"/>
      <c r="AP414" s="44"/>
      <c r="AQ414" s="45"/>
      <c r="AR414" s="44"/>
      <c r="AS414" s="45"/>
      <c r="AT414" s="44"/>
      <c r="AU414" s="45"/>
      <c r="AV414" s="44"/>
      <c r="AW414" s="45"/>
      <c r="AX414" s="44"/>
      <c r="AY414" s="45"/>
      <c r="AZ414" s="50"/>
      <c r="BA414" s="47"/>
      <c r="BB414" s="50"/>
      <c r="BC414" s="47"/>
      <c r="BD414" s="50"/>
      <c r="BE414" s="47"/>
      <c r="BF414" s="50"/>
      <c r="BG414" s="47"/>
      <c r="BH414" s="50"/>
      <c r="BI414" s="608" t="s">
        <v>307</v>
      </c>
      <c r="BJ414" s="326"/>
      <c r="BK414" s="326"/>
      <c r="BL414" s="326"/>
      <c r="BM414" s="326"/>
      <c r="BN414" s="326"/>
      <c r="BO414" s="326"/>
      <c r="BP414" s="326"/>
      <c r="BQ414" s="326"/>
      <c r="BR414" s="326"/>
      <c r="BS414" s="326"/>
      <c r="BT414" s="326"/>
      <c r="BU414" s="326"/>
      <c r="BV414" s="327"/>
    </row>
    <row r="415" spans="1:74" ht="30" customHeight="1" x14ac:dyDescent="0.25">
      <c r="A415" s="49">
        <f t="shared" si="1"/>
        <v>401</v>
      </c>
      <c r="B415" s="42" t="s">
        <v>334</v>
      </c>
      <c r="C415" s="43"/>
      <c r="D415" s="609"/>
      <c r="E415" s="326"/>
      <c r="F415" s="326"/>
      <c r="G415" s="326"/>
      <c r="H415" s="326"/>
      <c r="I415" s="326"/>
      <c r="J415" s="326"/>
      <c r="K415" s="327"/>
      <c r="L415" s="610"/>
      <c r="M415" s="326"/>
      <c r="N415" s="326"/>
      <c r="O415" s="327"/>
      <c r="P415" s="609"/>
      <c r="Q415" s="326"/>
      <c r="R415" s="326"/>
      <c r="S415" s="327"/>
      <c r="T415" s="610"/>
      <c r="U415" s="326"/>
      <c r="V415" s="326"/>
      <c r="W415" s="327"/>
      <c r="X415" s="609"/>
      <c r="Y415" s="326"/>
      <c r="Z415" s="326"/>
      <c r="AA415" s="327"/>
      <c r="AB415" s="451"/>
      <c r="AC415" s="326"/>
      <c r="AD415" s="327"/>
      <c r="AE415" s="526"/>
      <c r="AF415" s="326"/>
      <c r="AG415" s="327"/>
      <c r="AH415" s="607"/>
      <c r="AI415" s="326"/>
      <c r="AJ415" s="327"/>
      <c r="AK415" s="497"/>
      <c r="AL415" s="326"/>
      <c r="AM415" s="327"/>
      <c r="AN415" s="44"/>
      <c r="AO415" s="45"/>
      <c r="AP415" s="44"/>
      <c r="AQ415" s="45"/>
      <c r="AR415" s="44"/>
      <c r="AS415" s="45"/>
      <c r="AT415" s="44"/>
      <c r="AU415" s="45"/>
      <c r="AV415" s="44"/>
      <c r="AW415" s="45"/>
      <c r="AX415" s="44"/>
      <c r="AY415" s="45"/>
      <c r="AZ415" s="50"/>
      <c r="BA415" s="47"/>
      <c r="BB415" s="50"/>
      <c r="BC415" s="47"/>
      <c r="BD415" s="50"/>
      <c r="BE415" s="47"/>
      <c r="BF415" s="50"/>
      <c r="BG415" s="47"/>
      <c r="BH415" s="50"/>
      <c r="BI415" s="608" t="s">
        <v>307</v>
      </c>
      <c r="BJ415" s="326"/>
      <c r="BK415" s="326"/>
      <c r="BL415" s="326"/>
      <c r="BM415" s="326"/>
      <c r="BN415" s="326"/>
      <c r="BO415" s="326"/>
      <c r="BP415" s="326"/>
      <c r="BQ415" s="326"/>
      <c r="BR415" s="326"/>
      <c r="BS415" s="326"/>
      <c r="BT415" s="326"/>
      <c r="BU415" s="326"/>
      <c r="BV415" s="327"/>
    </row>
    <row r="416" spans="1:74" ht="30" customHeight="1" x14ac:dyDescent="0.25">
      <c r="A416" s="49">
        <f t="shared" si="1"/>
        <v>402</v>
      </c>
      <c r="B416" s="42" t="s">
        <v>334</v>
      </c>
      <c r="C416" s="43"/>
      <c r="D416" s="609"/>
      <c r="E416" s="326"/>
      <c r="F416" s="326"/>
      <c r="G416" s="326"/>
      <c r="H416" s="326"/>
      <c r="I416" s="326"/>
      <c r="J416" s="326"/>
      <c r="K416" s="327"/>
      <c r="L416" s="610"/>
      <c r="M416" s="326"/>
      <c r="N416" s="326"/>
      <c r="O416" s="327"/>
      <c r="P416" s="609"/>
      <c r="Q416" s="326"/>
      <c r="R416" s="326"/>
      <c r="S416" s="327"/>
      <c r="T416" s="610"/>
      <c r="U416" s="326"/>
      <c r="V416" s="326"/>
      <c r="W416" s="327"/>
      <c r="X416" s="609"/>
      <c r="Y416" s="326"/>
      <c r="Z416" s="326"/>
      <c r="AA416" s="327"/>
      <c r="AB416" s="451"/>
      <c r="AC416" s="326"/>
      <c r="AD416" s="327"/>
      <c r="AE416" s="526"/>
      <c r="AF416" s="326"/>
      <c r="AG416" s="327"/>
      <c r="AH416" s="607"/>
      <c r="AI416" s="326"/>
      <c r="AJ416" s="327"/>
      <c r="AK416" s="497"/>
      <c r="AL416" s="326"/>
      <c r="AM416" s="327"/>
      <c r="AN416" s="44"/>
      <c r="AO416" s="45"/>
      <c r="AP416" s="44"/>
      <c r="AQ416" s="45"/>
      <c r="AR416" s="44"/>
      <c r="AS416" s="45"/>
      <c r="AT416" s="44"/>
      <c r="AU416" s="45"/>
      <c r="AV416" s="44"/>
      <c r="AW416" s="45"/>
      <c r="AX416" s="44"/>
      <c r="AY416" s="45"/>
      <c r="AZ416" s="50"/>
      <c r="BA416" s="47"/>
      <c r="BB416" s="50"/>
      <c r="BC416" s="47"/>
      <c r="BD416" s="50"/>
      <c r="BE416" s="47"/>
      <c r="BF416" s="50"/>
      <c r="BG416" s="47"/>
      <c r="BH416" s="50"/>
      <c r="BI416" s="608" t="s">
        <v>303</v>
      </c>
      <c r="BJ416" s="326"/>
      <c r="BK416" s="326"/>
      <c r="BL416" s="326"/>
      <c r="BM416" s="326"/>
      <c r="BN416" s="326"/>
      <c r="BO416" s="326"/>
      <c r="BP416" s="326"/>
      <c r="BQ416" s="326"/>
      <c r="BR416" s="326"/>
      <c r="BS416" s="326"/>
      <c r="BT416" s="326"/>
      <c r="BU416" s="326"/>
      <c r="BV416" s="327"/>
    </row>
    <row r="417" spans="1:74" ht="30" customHeight="1" x14ac:dyDescent="0.25">
      <c r="A417" s="49">
        <f t="shared" si="1"/>
        <v>403</v>
      </c>
      <c r="B417" s="42" t="s">
        <v>334</v>
      </c>
      <c r="C417" s="43"/>
      <c r="D417" s="609"/>
      <c r="E417" s="326"/>
      <c r="F417" s="326"/>
      <c r="G417" s="326"/>
      <c r="H417" s="326"/>
      <c r="I417" s="326"/>
      <c r="J417" s="326"/>
      <c r="K417" s="327"/>
      <c r="L417" s="610"/>
      <c r="M417" s="326"/>
      <c r="N417" s="326"/>
      <c r="O417" s="327"/>
      <c r="P417" s="609"/>
      <c r="Q417" s="326"/>
      <c r="R417" s="326"/>
      <c r="S417" s="327"/>
      <c r="T417" s="610"/>
      <c r="U417" s="326"/>
      <c r="V417" s="326"/>
      <c r="W417" s="327"/>
      <c r="X417" s="609"/>
      <c r="Y417" s="326"/>
      <c r="Z417" s="326"/>
      <c r="AA417" s="327"/>
      <c r="AB417" s="451"/>
      <c r="AC417" s="326"/>
      <c r="AD417" s="327"/>
      <c r="AE417" s="526"/>
      <c r="AF417" s="326"/>
      <c r="AG417" s="327"/>
      <c r="AH417" s="607"/>
      <c r="AI417" s="326"/>
      <c r="AJ417" s="327"/>
      <c r="AK417" s="497"/>
      <c r="AL417" s="326"/>
      <c r="AM417" s="327"/>
      <c r="AN417" s="44"/>
      <c r="AO417" s="45"/>
      <c r="AP417" s="44"/>
      <c r="AQ417" s="45"/>
      <c r="AR417" s="44"/>
      <c r="AS417" s="45"/>
      <c r="AT417" s="44"/>
      <c r="AU417" s="45"/>
      <c r="AV417" s="44"/>
      <c r="AW417" s="45"/>
      <c r="AX417" s="44"/>
      <c r="AY417" s="45"/>
      <c r="AZ417" s="50"/>
      <c r="BA417" s="47"/>
      <c r="BB417" s="50"/>
      <c r="BC417" s="47"/>
      <c r="BD417" s="50"/>
      <c r="BE417" s="47"/>
      <c r="BF417" s="50"/>
      <c r="BG417" s="47"/>
      <c r="BH417" s="50"/>
      <c r="BI417" s="608" t="s">
        <v>303</v>
      </c>
      <c r="BJ417" s="326"/>
      <c r="BK417" s="326"/>
      <c r="BL417" s="326"/>
      <c r="BM417" s="326"/>
      <c r="BN417" s="326"/>
      <c r="BO417" s="326"/>
      <c r="BP417" s="326"/>
      <c r="BQ417" s="326"/>
      <c r="BR417" s="326"/>
      <c r="BS417" s="326"/>
      <c r="BT417" s="326"/>
      <c r="BU417" s="326"/>
      <c r="BV417" s="327"/>
    </row>
    <row r="418" spans="1:74" ht="30" customHeight="1" x14ac:dyDescent="0.25">
      <c r="A418" s="41">
        <f t="shared" si="1"/>
        <v>404</v>
      </c>
      <c r="B418" s="42" t="s">
        <v>334</v>
      </c>
      <c r="C418" s="43"/>
      <c r="D418" s="609"/>
      <c r="E418" s="326"/>
      <c r="F418" s="326"/>
      <c r="G418" s="326"/>
      <c r="H418" s="326"/>
      <c r="I418" s="326"/>
      <c r="J418" s="326"/>
      <c r="K418" s="327"/>
      <c r="L418" s="610"/>
      <c r="M418" s="326"/>
      <c r="N418" s="326"/>
      <c r="O418" s="327"/>
      <c r="P418" s="609"/>
      <c r="Q418" s="326"/>
      <c r="R418" s="326"/>
      <c r="S418" s="327"/>
      <c r="T418" s="610"/>
      <c r="U418" s="326"/>
      <c r="V418" s="326"/>
      <c r="W418" s="327"/>
      <c r="X418" s="609"/>
      <c r="Y418" s="326"/>
      <c r="Z418" s="326"/>
      <c r="AA418" s="327"/>
      <c r="AB418" s="451"/>
      <c r="AC418" s="326"/>
      <c r="AD418" s="327"/>
      <c r="AE418" s="526"/>
      <c r="AF418" s="326"/>
      <c r="AG418" s="327"/>
      <c r="AH418" s="607"/>
      <c r="AI418" s="326"/>
      <c r="AJ418" s="327"/>
      <c r="AK418" s="497"/>
      <c r="AL418" s="326"/>
      <c r="AM418" s="327"/>
      <c r="AN418" s="44"/>
      <c r="AO418" s="45"/>
      <c r="AP418" s="44"/>
      <c r="AQ418" s="45"/>
      <c r="AR418" s="44"/>
      <c r="AS418" s="45"/>
      <c r="AT418" s="44"/>
      <c r="AU418" s="45"/>
      <c r="AV418" s="44"/>
      <c r="AW418" s="45"/>
      <c r="AX418" s="44"/>
      <c r="AY418" s="45"/>
      <c r="AZ418" s="50"/>
      <c r="BA418" s="47"/>
      <c r="BB418" s="50"/>
      <c r="BC418" s="47"/>
      <c r="BD418" s="50"/>
      <c r="BE418" s="47"/>
      <c r="BF418" s="50"/>
      <c r="BG418" s="47"/>
      <c r="BH418" s="50"/>
      <c r="BI418" s="608" t="s">
        <v>307</v>
      </c>
      <c r="BJ418" s="326"/>
      <c r="BK418" s="326"/>
      <c r="BL418" s="326"/>
      <c r="BM418" s="326"/>
      <c r="BN418" s="326"/>
      <c r="BO418" s="326"/>
      <c r="BP418" s="326"/>
      <c r="BQ418" s="326"/>
      <c r="BR418" s="326"/>
      <c r="BS418" s="326"/>
      <c r="BT418" s="326"/>
      <c r="BU418" s="326"/>
      <c r="BV418" s="327"/>
    </row>
    <row r="419" spans="1:74" ht="30" customHeight="1" x14ac:dyDescent="0.25">
      <c r="A419" s="49">
        <f t="shared" si="1"/>
        <v>405</v>
      </c>
      <c r="B419" s="42" t="s">
        <v>334</v>
      </c>
      <c r="C419" s="43"/>
      <c r="D419" s="609"/>
      <c r="E419" s="326"/>
      <c r="F419" s="326"/>
      <c r="G419" s="326"/>
      <c r="H419" s="326"/>
      <c r="I419" s="326"/>
      <c r="J419" s="326"/>
      <c r="K419" s="327"/>
      <c r="L419" s="610"/>
      <c r="M419" s="326"/>
      <c r="N419" s="326"/>
      <c r="O419" s="327"/>
      <c r="P419" s="609"/>
      <c r="Q419" s="326"/>
      <c r="R419" s="326"/>
      <c r="S419" s="327"/>
      <c r="T419" s="610"/>
      <c r="U419" s="326"/>
      <c r="V419" s="326"/>
      <c r="W419" s="327"/>
      <c r="X419" s="609"/>
      <c r="Y419" s="326"/>
      <c r="Z419" s="326"/>
      <c r="AA419" s="327"/>
      <c r="AB419" s="451"/>
      <c r="AC419" s="326"/>
      <c r="AD419" s="327"/>
      <c r="AE419" s="526"/>
      <c r="AF419" s="326"/>
      <c r="AG419" s="327"/>
      <c r="AH419" s="607"/>
      <c r="AI419" s="326"/>
      <c r="AJ419" s="327"/>
      <c r="AK419" s="497"/>
      <c r="AL419" s="326"/>
      <c r="AM419" s="327"/>
      <c r="AN419" s="44"/>
      <c r="AO419" s="45"/>
      <c r="AP419" s="44"/>
      <c r="AQ419" s="45"/>
      <c r="AR419" s="44"/>
      <c r="AS419" s="45"/>
      <c r="AT419" s="44"/>
      <c r="AU419" s="45"/>
      <c r="AV419" s="44"/>
      <c r="AW419" s="45"/>
      <c r="AX419" s="44"/>
      <c r="AY419" s="45"/>
      <c r="AZ419" s="50"/>
      <c r="BA419" s="47"/>
      <c r="BB419" s="50"/>
      <c r="BC419" s="47"/>
      <c r="BD419" s="50"/>
      <c r="BE419" s="47"/>
      <c r="BF419" s="50"/>
      <c r="BG419" s="47"/>
      <c r="BH419" s="50"/>
      <c r="BI419" s="608" t="s">
        <v>307</v>
      </c>
      <c r="BJ419" s="326"/>
      <c r="BK419" s="326"/>
      <c r="BL419" s="326"/>
      <c r="BM419" s="326"/>
      <c r="BN419" s="326"/>
      <c r="BO419" s="326"/>
      <c r="BP419" s="326"/>
      <c r="BQ419" s="326"/>
      <c r="BR419" s="326"/>
      <c r="BS419" s="326"/>
      <c r="BT419" s="326"/>
      <c r="BU419" s="326"/>
      <c r="BV419" s="327"/>
    </row>
    <row r="420" spans="1:74" ht="30" customHeight="1" x14ac:dyDescent="0.25">
      <c r="A420" s="49">
        <f t="shared" si="1"/>
        <v>406</v>
      </c>
      <c r="B420" s="42" t="s">
        <v>334</v>
      </c>
      <c r="C420" s="43"/>
      <c r="D420" s="609"/>
      <c r="E420" s="326"/>
      <c r="F420" s="326"/>
      <c r="G420" s="326"/>
      <c r="H420" s="326"/>
      <c r="I420" s="326"/>
      <c r="J420" s="326"/>
      <c r="K420" s="327"/>
      <c r="L420" s="610"/>
      <c r="M420" s="326"/>
      <c r="N420" s="326"/>
      <c r="O420" s="327"/>
      <c r="P420" s="609"/>
      <c r="Q420" s="326"/>
      <c r="R420" s="326"/>
      <c r="S420" s="327"/>
      <c r="T420" s="610"/>
      <c r="U420" s="326"/>
      <c r="V420" s="326"/>
      <c r="W420" s="327"/>
      <c r="X420" s="609"/>
      <c r="Y420" s="326"/>
      <c r="Z420" s="326"/>
      <c r="AA420" s="327"/>
      <c r="AB420" s="451"/>
      <c r="AC420" s="326"/>
      <c r="AD420" s="327"/>
      <c r="AE420" s="526"/>
      <c r="AF420" s="326"/>
      <c r="AG420" s="327"/>
      <c r="AH420" s="607"/>
      <c r="AI420" s="326"/>
      <c r="AJ420" s="327"/>
      <c r="AK420" s="497"/>
      <c r="AL420" s="326"/>
      <c r="AM420" s="327"/>
      <c r="AN420" s="44"/>
      <c r="AO420" s="45"/>
      <c r="AP420" s="44"/>
      <c r="AQ420" s="45"/>
      <c r="AR420" s="44"/>
      <c r="AS420" s="45"/>
      <c r="AT420" s="44"/>
      <c r="AU420" s="45"/>
      <c r="AV420" s="44"/>
      <c r="AW420" s="45"/>
      <c r="AX420" s="44"/>
      <c r="AY420" s="45"/>
      <c r="AZ420" s="50"/>
      <c r="BA420" s="47"/>
      <c r="BB420" s="50"/>
      <c r="BC420" s="47"/>
      <c r="BD420" s="50"/>
      <c r="BE420" s="47"/>
      <c r="BF420" s="50"/>
      <c r="BG420" s="47"/>
      <c r="BH420" s="50"/>
      <c r="BI420" s="608" t="s">
        <v>307</v>
      </c>
      <c r="BJ420" s="326"/>
      <c r="BK420" s="326"/>
      <c r="BL420" s="326"/>
      <c r="BM420" s="326"/>
      <c r="BN420" s="326"/>
      <c r="BO420" s="326"/>
      <c r="BP420" s="326"/>
      <c r="BQ420" s="326"/>
      <c r="BR420" s="326"/>
      <c r="BS420" s="326"/>
      <c r="BT420" s="326"/>
      <c r="BU420" s="326"/>
      <c r="BV420" s="327"/>
    </row>
    <row r="421" spans="1:74" ht="30" customHeight="1" x14ac:dyDescent="0.25">
      <c r="A421" s="49">
        <f t="shared" si="1"/>
        <v>407</v>
      </c>
      <c r="B421" s="42" t="s">
        <v>334</v>
      </c>
      <c r="C421" s="43"/>
      <c r="D421" s="609"/>
      <c r="E421" s="326"/>
      <c r="F421" s="326"/>
      <c r="G421" s="326"/>
      <c r="H421" s="326"/>
      <c r="I421" s="326"/>
      <c r="J421" s="326"/>
      <c r="K421" s="327"/>
      <c r="L421" s="610"/>
      <c r="M421" s="326"/>
      <c r="N421" s="326"/>
      <c r="O421" s="327"/>
      <c r="P421" s="609"/>
      <c r="Q421" s="326"/>
      <c r="R421" s="326"/>
      <c r="S421" s="327"/>
      <c r="T421" s="610"/>
      <c r="U421" s="326"/>
      <c r="V421" s="326"/>
      <c r="W421" s="327"/>
      <c r="X421" s="609"/>
      <c r="Y421" s="326"/>
      <c r="Z421" s="326"/>
      <c r="AA421" s="327"/>
      <c r="AB421" s="451"/>
      <c r="AC421" s="326"/>
      <c r="AD421" s="327"/>
      <c r="AE421" s="526"/>
      <c r="AF421" s="326"/>
      <c r="AG421" s="327"/>
      <c r="AH421" s="607"/>
      <c r="AI421" s="326"/>
      <c r="AJ421" s="327"/>
      <c r="AK421" s="497"/>
      <c r="AL421" s="326"/>
      <c r="AM421" s="327"/>
      <c r="AN421" s="44"/>
      <c r="AO421" s="45"/>
      <c r="AP421" s="44"/>
      <c r="AQ421" s="45"/>
      <c r="AR421" s="44"/>
      <c r="AS421" s="45"/>
      <c r="AT421" s="44"/>
      <c r="AU421" s="45"/>
      <c r="AV421" s="44"/>
      <c r="AW421" s="45"/>
      <c r="AX421" s="44"/>
      <c r="AY421" s="45"/>
      <c r="AZ421" s="50"/>
      <c r="BA421" s="47"/>
      <c r="BB421" s="50"/>
      <c r="BC421" s="47"/>
      <c r="BD421" s="50"/>
      <c r="BE421" s="47"/>
      <c r="BF421" s="50"/>
      <c r="BG421" s="47"/>
      <c r="BH421" s="50"/>
      <c r="BI421" s="608" t="s">
        <v>307</v>
      </c>
      <c r="BJ421" s="326"/>
      <c r="BK421" s="326"/>
      <c r="BL421" s="326"/>
      <c r="BM421" s="326"/>
      <c r="BN421" s="326"/>
      <c r="BO421" s="326"/>
      <c r="BP421" s="326"/>
      <c r="BQ421" s="326"/>
      <c r="BR421" s="326"/>
      <c r="BS421" s="326"/>
      <c r="BT421" s="326"/>
      <c r="BU421" s="326"/>
      <c r="BV421" s="327"/>
    </row>
    <row r="422" spans="1:74" ht="30" customHeight="1" x14ac:dyDescent="0.25">
      <c r="A422" s="49">
        <f t="shared" si="1"/>
        <v>408</v>
      </c>
      <c r="B422" s="42" t="s">
        <v>334</v>
      </c>
      <c r="C422" s="43"/>
      <c r="D422" s="609"/>
      <c r="E422" s="326"/>
      <c r="F422" s="326"/>
      <c r="G422" s="326"/>
      <c r="H422" s="326"/>
      <c r="I422" s="326"/>
      <c r="J422" s="326"/>
      <c r="K422" s="327"/>
      <c r="L422" s="610"/>
      <c r="M422" s="326"/>
      <c r="N422" s="326"/>
      <c r="O422" s="327"/>
      <c r="P422" s="609"/>
      <c r="Q422" s="326"/>
      <c r="R422" s="326"/>
      <c r="S422" s="327"/>
      <c r="T422" s="610"/>
      <c r="U422" s="326"/>
      <c r="V422" s="326"/>
      <c r="W422" s="327"/>
      <c r="X422" s="609"/>
      <c r="Y422" s="326"/>
      <c r="Z422" s="326"/>
      <c r="AA422" s="327"/>
      <c r="AB422" s="451"/>
      <c r="AC422" s="326"/>
      <c r="AD422" s="327"/>
      <c r="AE422" s="526"/>
      <c r="AF422" s="326"/>
      <c r="AG422" s="327"/>
      <c r="AH422" s="607"/>
      <c r="AI422" s="326"/>
      <c r="AJ422" s="327"/>
      <c r="AK422" s="497"/>
      <c r="AL422" s="326"/>
      <c r="AM422" s="327"/>
      <c r="AN422" s="44"/>
      <c r="AO422" s="45"/>
      <c r="AP422" s="44"/>
      <c r="AQ422" s="45"/>
      <c r="AR422" s="44"/>
      <c r="AS422" s="45"/>
      <c r="AT422" s="44"/>
      <c r="AU422" s="45"/>
      <c r="AV422" s="44"/>
      <c r="AW422" s="45"/>
      <c r="AX422" s="44"/>
      <c r="AY422" s="45"/>
      <c r="AZ422" s="50"/>
      <c r="BA422" s="47"/>
      <c r="BB422" s="50"/>
      <c r="BC422" s="47"/>
      <c r="BD422" s="50"/>
      <c r="BE422" s="47"/>
      <c r="BF422" s="50"/>
      <c r="BG422" s="47"/>
      <c r="BH422" s="50"/>
      <c r="BI422" s="608" t="s">
        <v>307</v>
      </c>
      <c r="BJ422" s="326"/>
      <c r="BK422" s="326"/>
      <c r="BL422" s="326"/>
      <c r="BM422" s="326"/>
      <c r="BN422" s="326"/>
      <c r="BO422" s="326"/>
      <c r="BP422" s="326"/>
      <c r="BQ422" s="326"/>
      <c r="BR422" s="326"/>
      <c r="BS422" s="326"/>
      <c r="BT422" s="326"/>
      <c r="BU422" s="326"/>
      <c r="BV422" s="327"/>
    </row>
    <row r="423" spans="1:74" ht="30" customHeight="1" x14ac:dyDescent="0.25">
      <c r="A423" s="49">
        <f t="shared" si="1"/>
        <v>409</v>
      </c>
      <c r="B423" s="42" t="s">
        <v>334</v>
      </c>
      <c r="C423" s="43"/>
      <c r="D423" s="609"/>
      <c r="E423" s="326"/>
      <c r="F423" s="326"/>
      <c r="G423" s="326"/>
      <c r="H423" s="326"/>
      <c r="I423" s="326"/>
      <c r="J423" s="326"/>
      <c r="K423" s="327"/>
      <c r="L423" s="610"/>
      <c r="M423" s="326"/>
      <c r="N423" s="326"/>
      <c r="O423" s="327"/>
      <c r="P423" s="609"/>
      <c r="Q423" s="326"/>
      <c r="R423" s="326"/>
      <c r="S423" s="327"/>
      <c r="T423" s="610"/>
      <c r="U423" s="326"/>
      <c r="V423" s="326"/>
      <c r="W423" s="327"/>
      <c r="X423" s="609"/>
      <c r="Y423" s="326"/>
      <c r="Z423" s="326"/>
      <c r="AA423" s="327"/>
      <c r="AB423" s="451"/>
      <c r="AC423" s="326"/>
      <c r="AD423" s="327"/>
      <c r="AE423" s="526"/>
      <c r="AF423" s="326"/>
      <c r="AG423" s="327"/>
      <c r="AH423" s="607"/>
      <c r="AI423" s="326"/>
      <c r="AJ423" s="327"/>
      <c r="AK423" s="497"/>
      <c r="AL423" s="326"/>
      <c r="AM423" s="327"/>
      <c r="AN423" s="44"/>
      <c r="AO423" s="45"/>
      <c r="AP423" s="44"/>
      <c r="AQ423" s="45"/>
      <c r="AR423" s="44"/>
      <c r="AS423" s="45"/>
      <c r="AT423" s="44"/>
      <c r="AU423" s="45"/>
      <c r="AV423" s="44"/>
      <c r="AW423" s="45"/>
      <c r="AX423" s="44"/>
      <c r="AY423" s="45"/>
      <c r="AZ423" s="50"/>
      <c r="BA423" s="47"/>
      <c r="BB423" s="50"/>
      <c r="BC423" s="47"/>
      <c r="BD423" s="50"/>
      <c r="BE423" s="47"/>
      <c r="BF423" s="50"/>
      <c r="BG423" s="47"/>
      <c r="BH423" s="50"/>
      <c r="BI423" s="608" t="s">
        <v>303</v>
      </c>
      <c r="BJ423" s="326"/>
      <c r="BK423" s="326"/>
      <c r="BL423" s="326"/>
      <c r="BM423" s="326"/>
      <c r="BN423" s="326"/>
      <c r="BO423" s="326"/>
      <c r="BP423" s="326"/>
      <c r="BQ423" s="326"/>
      <c r="BR423" s="326"/>
      <c r="BS423" s="326"/>
      <c r="BT423" s="326"/>
      <c r="BU423" s="326"/>
      <c r="BV423" s="327"/>
    </row>
    <row r="424" spans="1:74" ht="30" customHeight="1" x14ac:dyDescent="0.25">
      <c r="A424" s="49">
        <f t="shared" si="1"/>
        <v>410</v>
      </c>
      <c r="B424" s="42" t="s">
        <v>334</v>
      </c>
      <c r="C424" s="43"/>
      <c r="D424" s="609"/>
      <c r="E424" s="326"/>
      <c r="F424" s="326"/>
      <c r="G424" s="326"/>
      <c r="H424" s="326"/>
      <c r="I424" s="326"/>
      <c r="J424" s="326"/>
      <c r="K424" s="327"/>
      <c r="L424" s="610"/>
      <c r="M424" s="326"/>
      <c r="N424" s="326"/>
      <c r="O424" s="327"/>
      <c r="P424" s="609"/>
      <c r="Q424" s="326"/>
      <c r="R424" s="326"/>
      <c r="S424" s="327"/>
      <c r="T424" s="610"/>
      <c r="U424" s="326"/>
      <c r="V424" s="326"/>
      <c r="W424" s="327"/>
      <c r="X424" s="609"/>
      <c r="Y424" s="326"/>
      <c r="Z424" s="326"/>
      <c r="AA424" s="327"/>
      <c r="AB424" s="451"/>
      <c r="AC424" s="326"/>
      <c r="AD424" s="327"/>
      <c r="AE424" s="526"/>
      <c r="AF424" s="326"/>
      <c r="AG424" s="327"/>
      <c r="AH424" s="607"/>
      <c r="AI424" s="326"/>
      <c r="AJ424" s="327"/>
      <c r="AK424" s="497"/>
      <c r="AL424" s="326"/>
      <c r="AM424" s="327"/>
      <c r="AN424" s="44"/>
      <c r="AO424" s="45"/>
      <c r="AP424" s="44"/>
      <c r="AQ424" s="45"/>
      <c r="AR424" s="44"/>
      <c r="AS424" s="45"/>
      <c r="AT424" s="44"/>
      <c r="AU424" s="45"/>
      <c r="AV424" s="44"/>
      <c r="AW424" s="45"/>
      <c r="AX424" s="44"/>
      <c r="AY424" s="45"/>
      <c r="AZ424" s="50"/>
      <c r="BA424" s="47"/>
      <c r="BB424" s="50"/>
      <c r="BC424" s="47"/>
      <c r="BD424" s="50"/>
      <c r="BE424" s="47"/>
      <c r="BF424" s="50"/>
      <c r="BG424" s="47"/>
      <c r="BH424" s="50"/>
      <c r="BI424" s="608" t="s">
        <v>303</v>
      </c>
      <c r="BJ424" s="326"/>
      <c r="BK424" s="326"/>
      <c r="BL424" s="326"/>
      <c r="BM424" s="326"/>
      <c r="BN424" s="326"/>
      <c r="BO424" s="326"/>
      <c r="BP424" s="326"/>
      <c r="BQ424" s="326"/>
      <c r="BR424" s="326"/>
      <c r="BS424" s="326"/>
      <c r="BT424" s="326"/>
      <c r="BU424" s="326"/>
      <c r="BV424" s="327"/>
    </row>
    <row r="425" spans="1:74" ht="30" customHeight="1" x14ac:dyDescent="0.25">
      <c r="A425" s="41">
        <f t="shared" si="1"/>
        <v>411</v>
      </c>
      <c r="B425" s="42" t="s">
        <v>334</v>
      </c>
      <c r="C425" s="43"/>
      <c r="D425" s="609"/>
      <c r="E425" s="326"/>
      <c r="F425" s="326"/>
      <c r="G425" s="326"/>
      <c r="H425" s="326"/>
      <c r="I425" s="326"/>
      <c r="J425" s="326"/>
      <c r="K425" s="327"/>
      <c r="L425" s="610"/>
      <c r="M425" s="326"/>
      <c r="N425" s="326"/>
      <c r="O425" s="327"/>
      <c r="P425" s="609"/>
      <c r="Q425" s="326"/>
      <c r="R425" s="326"/>
      <c r="S425" s="327"/>
      <c r="T425" s="610"/>
      <c r="U425" s="326"/>
      <c r="V425" s="326"/>
      <c r="W425" s="327"/>
      <c r="X425" s="609"/>
      <c r="Y425" s="326"/>
      <c r="Z425" s="326"/>
      <c r="AA425" s="327"/>
      <c r="AB425" s="451"/>
      <c r="AC425" s="326"/>
      <c r="AD425" s="327"/>
      <c r="AE425" s="526"/>
      <c r="AF425" s="326"/>
      <c r="AG425" s="327"/>
      <c r="AH425" s="607"/>
      <c r="AI425" s="326"/>
      <c r="AJ425" s="327"/>
      <c r="AK425" s="497"/>
      <c r="AL425" s="326"/>
      <c r="AM425" s="327"/>
      <c r="AN425" s="44"/>
      <c r="AO425" s="45"/>
      <c r="AP425" s="44"/>
      <c r="AQ425" s="45"/>
      <c r="AR425" s="44"/>
      <c r="AS425" s="45"/>
      <c r="AT425" s="44"/>
      <c r="AU425" s="45"/>
      <c r="AV425" s="44"/>
      <c r="AW425" s="45"/>
      <c r="AX425" s="44"/>
      <c r="AY425" s="45"/>
      <c r="AZ425" s="50"/>
      <c r="BA425" s="47"/>
      <c r="BB425" s="50"/>
      <c r="BC425" s="47"/>
      <c r="BD425" s="50"/>
      <c r="BE425" s="47"/>
      <c r="BF425" s="50"/>
      <c r="BG425" s="47"/>
      <c r="BH425" s="50"/>
      <c r="BI425" s="608" t="s">
        <v>307</v>
      </c>
      <c r="BJ425" s="326"/>
      <c r="BK425" s="326"/>
      <c r="BL425" s="326"/>
      <c r="BM425" s="326"/>
      <c r="BN425" s="326"/>
      <c r="BO425" s="326"/>
      <c r="BP425" s="326"/>
      <c r="BQ425" s="326"/>
      <c r="BR425" s="326"/>
      <c r="BS425" s="326"/>
      <c r="BT425" s="326"/>
      <c r="BU425" s="326"/>
      <c r="BV425" s="327"/>
    </row>
    <row r="426" spans="1:74" ht="30" customHeight="1" x14ac:dyDescent="0.25">
      <c r="A426" s="49">
        <f t="shared" si="1"/>
        <v>412</v>
      </c>
      <c r="B426" s="42" t="s">
        <v>334</v>
      </c>
      <c r="C426" s="43"/>
      <c r="D426" s="609"/>
      <c r="E426" s="326"/>
      <c r="F426" s="326"/>
      <c r="G426" s="326"/>
      <c r="H426" s="326"/>
      <c r="I426" s="326"/>
      <c r="J426" s="326"/>
      <c r="K426" s="327"/>
      <c r="L426" s="610"/>
      <c r="M426" s="326"/>
      <c r="N426" s="326"/>
      <c r="O426" s="327"/>
      <c r="P426" s="609"/>
      <c r="Q426" s="326"/>
      <c r="R426" s="326"/>
      <c r="S426" s="327"/>
      <c r="T426" s="610"/>
      <c r="U426" s="326"/>
      <c r="V426" s="326"/>
      <c r="W426" s="327"/>
      <c r="X426" s="609"/>
      <c r="Y426" s="326"/>
      <c r="Z426" s="326"/>
      <c r="AA426" s="327"/>
      <c r="AB426" s="451"/>
      <c r="AC426" s="326"/>
      <c r="AD426" s="327"/>
      <c r="AE426" s="526"/>
      <c r="AF426" s="326"/>
      <c r="AG426" s="327"/>
      <c r="AH426" s="607"/>
      <c r="AI426" s="326"/>
      <c r="AJ426" s="327"/>
      <c r="AK426" s="497"/>
      <c r="AL426" s="326"/>
      <c r="AM426" s="327"/>
      <c r="AN426" s="44"/>
      <c r="AO426" s="45"/>
      <c r="AP426" s="44"/>
      <c r="AQ426" s="45"/>
      <c r="AR426" s="44"/>
      <c r="AS426" s="45"/>
      <c r="AT426" s="44"/>
      <c r="AU426" s="45"/>
      <c r="AV426" s="44"/>
      <c r="AW426" s="45"/>
      <c r="AX426" s="44"/>
      <c r="AY426" s="45"/>
      <c r="AZ426" s="50"/>
      <c r="BA426" s="47"/>
      <c r="BB426" s="50"/>
      <c r="BC426" s="47"/>
      <c r="BD426" s="50"/>
      <c r="BE426" s="47"/>
      <c r="BF426" s="50"/>
      <c r="BG426" s="47"/>
      <c r="BH426" s="50"/>
      <c r="BI426" s="608" t="s">
        <v>307</v>
      </c>
      <c r="BJ426" s="326"/>
      <c r="BK426" s="326"/>
      <c r="BL426" s="326"/>
      <c r="BM426" s="326"/>
      <c r="BN426" s="326"/>
      <c r="BO426" s="326"/>
      <c r="BP426" s="326"/>
      <c r="BQ426" s="326"/>
      <c r="BR426" s="326"/>
      <c r="BS426" s="326"/>
      <c r="BT426" s="326"/>
      <c r="BU426" s="326"/>
      <c r="BV426" s="327"/>
    </row>
    <row r="427" spans="1:74" ht="30" customHeight="1" x14ac:dyDescent="0.25">
      <c r="A427" s="49">
        <f t="shared" si="1"/>
        <v>413</v>
      </c>
      <c r="B427" s="42" t="s">
        <v>334</v>
      </c>
      <c r="C427" s="43"/>
      <c r="D427" s="609"/>
      <c r="E427" s="326"/>
      <c r="F427" s="326"/>
      <c r="G427" s="326"/>
      <c r="H427" s="326"/>
      <c r="I427" s="326"/>
      <c r="J427" s="326"/>
      <c r="K427" s="327"/>
      <c r="L427" s="610"/>
      <c r="M427" s="326"/>
      <c r="N427" s="326"/>
      <c r="O427" s="327"/>
      <c r="P427" s="609"/>
      <c r="Q427" s="326"/>
      <c r="R427" s="326"/>
      <c r="S427" s="327"/>
      <c r="T427" s="610"/>
      <c r="U427" s="326"/>
      <c r="V427" s="326"/>
      <c r="W427" s="327"/>
      <c r="X427" s="609"/>
      <c r="Y427" s="326"/>
      <c r="Z427" s="326"/>
      <c r="AA427" s="327"/>
      <c r="AB427" s="451"/>
      <c r="AC427" s="326"/>
      <c r="AD427" s="327"/>
      <c r="AE427" s="526"/>
      <c r="AF427" s="326"/>
      <c r="AG427" s="327"/>
      <c r="AH427" s="607"/>
      <c r="AI427" s="326"/>
      <c r="AJ427" s="327"/>
      <c r="AK427" s="497"/>
      <c r="AL427" s="326"/>
      <c r="AM427" s="327"/>
      <c r="AN427" s="44"/>
      <c r="AO427" s="45"/>
      <c r="AP427" s="44"/>
      <c r="AQ427" s="45"/>
      <c r="AR427" s="44"/>
      <c r="AS427" s="45"/>
      <c r="AT427" s="44"/>
      <c r="AU427" s="45"/>
      <c r="AV427" s="44"/>
      <c r="AW427" s="45"/>
      <c r="AX427" s="44"/>
      <c r="AY427" s="45"/>
      <c r="AZ427" s="50"/>
      <c r="BA427" s="47"/>
      <c r="BB427" s="50"/>
      <c r="BC427" s="47"/>
      <c r="BD427" s="50"/>
      <c r="BE427" s="47"/>
      <c r="BF427" s="50"/>
      <c r="BG427" s="47"/>
      <c r="BH427" s="50"/>
      <c r="BI427" s="608" t="s">
        <v>307</v>
      </c>
      <c r="BJ427" s="326"/>
      <c r="BK427" s="326"/>
      <c r="BL427" s="326"/>
      <c r="BM427" s="326"/>
      <c r="BN427" s="326"/>
      <c r="BO427" s="326"/>
      <c r="BP427" s="326"/>
      <c r="BQ427" s="326"/>
      <c r="BR427" s="326"/>
      <c r="BS427" s="326"/>
      <c r="BT427" s="326"/>
      <c r="BU427" s="326"/>
      <c r="BV427" s="327"/>
    </row>
    <row r="428" spans="1:74" ht="30" customHeight="1" x14ac:dyDescent="0.25">
      <c r="A428" s="49">
        <f t="shared" si="1"/>
        <v>414</v>
      </c>
      <c r="B428" s="42" t="s">
        <v>334</v>
      </c>
      <c r="C428" s="43"/>
      <c r="D428" s="609"/>
      <c r="E428" s="326"/>
      <c r="F428" s="326"/>
      <c r="G428" s="326"/>
      <c r="H428" s="326"/>
      <c r="I428" s="326"/>
      <c r="J428" s="326"/>
      <c r="K428" s="327"/>
      <c r="L428" s="610"/>
      <c r="M428" s="326"/>
      <c r="N428" s="326"/>
      <c r="O428" s="327"/>
      <c r="P428" s="609"/>
      <c r="Q428" s="326"/>
      <c r="R428" s="326"/>
      <c r="S428" s="327"/>
      <c r="T428" s="610"/>
      <c r="U428" s="326"/>
      <c r="V428" s="326"/>
      <c r="W428" s="327"/>
      <c r="X428" s="609"/>
      <c r="Y428" s="326"/>
      <c r="Z428" s="326"/>
      <c r="AA428" s="327"/>
      <c r="AB428" s="451"/>
      <c r="AC428" s="326"/>
      <c r="AD428" s="327"/>
      <c r="AE428" s="526"/>
      <c r="AF428" s="326"/>
      <c r="AG428" s="327"/>
      <c r="AH428" s="607"/>
      <c r="AI428" s="326"/>
      <c r="AJ428" s="327"/>
      <c r="AK428" s="497"/>
      <c r="AL428" s="326"/>
      <c r="AM428" s="327"/>
      <c r="AN428" s="44"/>
      <c r="AO428" s="45"/>
      <c r="AP428" s="44"/>
      <c r="AQ428" s="45"/>
      <c r="AR428" s="44"/>
      <c r="AS428" s="45"/>
      <c r="AT428" s="44"/>
      <c r="AU428" s="45"/>
      <c r="AV428" s="44"/>
      <c r="AW428" s="45"/>
      <c r="AX428" s="44"/>
      <c r="AY428" s="45"/>
      <c r="AZ428" s="50"/>
      <c r="BA428" s="47"/>
      <c r="BB428" s="50"/>
      <c r="BC428" s="47"/>
      <c r="BD428" s="50"/>
      <c r="BE428" s="47"/>
      <c r="BF428" s="50"/>
      <c r="BG428" s="47"/>
      <c r="BH428" s="50"/>
      <c r="BI428" s="608" t="s">
        <v>307</v>
      </c>
      <c r="BJ428" s="326"/>
      <c r="BK428" s="326"/>
      <c r="BL428" s="326"/>
      <c r="BM428" s="326"/>
      <c r="BN428" s="326"/>
      <c r="BO428" s="326"/>
      <c r="BP428" s="326"/>
      <c r="BQ428" s="326"/>
      <c r="BR428" s="326"/>
      <c r="BS428" s="326"/>
      <c r="BT428" s="326"/>
      <c r="BU428" s="326"/>
      <c r="BV428" s="327"/>
    </row>
    <row r="429" spans="1:74" ht="30" customHeight="1" x14ac:dyDescent="0.25">
      <c r="A429" s="49">
        <f t="shared" si="1"/>
        <v>415</v>
      </c>
      <c r="B429" s="42" t="s">
        <v>334</v>
      </c>
      <c r="C429" s="43"/>
      <c r="D429" s="609"/>
      <c r="E429" s="326"/>
      <c r="F429" s="326"/>
      <c r="G429" s="326"/>
      <c r="H429" s="326"/>
      <c r="I429" s="326"/>
      <c r="J429" s="326"/>
      <c r="K429" s="327"/>
      <c r="L429" s="610"/>
      <c r="M429" s="326"/>
      <c r="N429" s="326"/>
      <c r="O429" s="327"/>
      <c r="P429" s="609"/>
      <c r="Q429" s="326"/>
      <c r="R429" s="326"/>
      <c r="S429" s="327"/>
      <c r="T429" s="610"/>
      <c r="U429" s="326"/>
      <c r="V429" s="326"/>
      <c r="W429" s="327"/>
      <c r="X429" s="609"/>
      <c r="Y429" s="326"/>
      <c r="Z429" s="326"/>
      <c r="AA429" s="327"/>
      <c r="AB429" s="451"/>
      <c r="AC429" s="326"/>
      <c r="AD429" s="327"/>
      <c r="AE429" s="526"/>
      <c r="AF429" s="326"/>
      <c r="AG429" s="327"/>
      <c r="AH429" s="607"/>
      <c r="AI429" s="326"/>
      <c r="AJ429" s="327"/>
      <c r="AK429" s="497"/>
      <c r="AL429" s="326"/>
      <c r="AM429" s="327"/>
      <c r="AN429" s="44"/>
      <c r="AO429" s="45"/>
      <c r="AP429" s="44"/>
      <c r="AQ429" s="45"/>
      <c r="AR429" s="44"/>
      <c r="AS429" s="45"/>
      <c r="AT429" s="44"/>
      <c r="AU429" s="45"/>
      <c r="AV429" s="44"/>
      <c r="AW429" s="45"/>
      <c r="AX429" s="44"/>
      <c r="AY429" s="45"/>
      <c r="AZ429" s="50"/>
      <c r="BA429" s="47"/>
      <c r="BB429" s="50"/>
      <c r="BC429" s="47"/>
      <c r="BD429" s="50"/>
      <c r="BE429" s="47"/>
      <c r="BF429" s="50"/>
      <c r="BG429" s="47"/>
      <c r="BH429" s="50"/>
      <c r="BI429" s="608" t="s">
        <v>307</v>
      </c>
      <c r="BJ429" s="326"/>
      <c r="BK429" s="326"/>
      <c r="BL429" s="326"/>
      <c r="BM429" s="326"/>
      <c r="BN429" s="326"/>
      <c r="BO429" s="326"/>
      <c r="BP429" s="326"/>
      <c r="BQ429" s="326"/>
      <c r="BR429" s="326"/>
      <c r="BS429" s="326"/>
      <c r="BT429" s="326"/>
      <c r="BU429" s="326"/>
      <c r="BV429" s="327"/>
    </row>
    <row r="430" spans="1:74" ht="30" customHeight="1" x14ac:dyDescent="0.25">
      <c r="A430" s="49">
        <f t="shared" si="1"/>
        <v>416</v>
      </c>
      <c r="B430" s="42" t="s">
        <v>334</v>
      </c>
      <c r="C430" s="43"/>
      <c r="D430" s="609"/>
      <c r="E430" s="326"/>
      <c r="F430" s="326"/>
      <c r="G430" s="326"/>
      <c r="H430" s="326"/>
      <c r="I430" s="326"/>
      <c r="J430" s="326"/>
      <c r="K430" s="327"/>
      <c r="L430" s="610"/>
      <c r="M430" s="326"/>
      <c r="N430" s="326"/>
      <c r="O430" s="327"/>
      <c r="P430" s="609"/>
      <c r="Q430" s="326"/>
      <c r="R430" s="326"/>
      <c r="S430" s="327"/>
      <c r="T430" s="610"/>
      <c r="U430" s="326"/>
      <c r="V430" s="326"/>
      <c r="W430" s="327"/>
      <c r="X430" s="609"/>
      <c r="Y430" s="326"/>
      <c r="Z430" s="326"/>
      <c r="AA430" s="327"/>
      <c r="AB430" s="451"/>
      <c r="AC430" s="326"/>
      <c r="AD430" s="327"/>
      <c r="AE430" s="526"/>
      <c r="AF430" s="326"/>
      <c r="AG430" s="327"/>
      <c r="AH430" s="607"/>
      <c r="AI430" s="326"/>
      <c r="AJ430" s="327"/>
      <c r="AK430" s="497"/>
      <c r="AL430" s="326"/>
      <c r="AM430" s="327"/>
      <c r="AN430" s="44"/>
      <c r="AO430" s="45"/>
      <c r="AP430" s="44"/>
      <c r="AQ430" s="45"/>
      <c r="AR430" s="44"/>
      <c r="AS430" s="45"/>
      <c r="AT430" s="44"/>
      <c r="AU430" s="45"/>
      <c r="AV430" s="44"/>
      <c r="AW430" s="45"/>
      <c r="AX430" s="44"/>
      <c r="AY430" s="45"/>
      <c r="AZ430" s="50"/>
      <c r="BA430" s="47"/>
      <c r="BB430" s="50"/>
      <c r="BC430" s="47"/>
      <c r="BD430" s="50"/>
      <c r="BE430" s="47"/>
      <c r="BF430" s="50"/>
      <c r="BG430" s="47"/>
      <c r="BH430" s="50"/>
      <c r="BI430" s="608" t="s">
        <v>303</v>
      </c>
      <c r="BJ430" s="326"/>
      <c r="BK430" s="326"/>
      <c r="BL430" s="326"/>
      <c r="BM430" s="326"/>
      <c r="BN430" s="326"/>
      <c r="BO430" s="326"/>
      <c r="BP430" s="326"/>
      <c r="BQ430" s="326"/>
      <c r="BR430" s="326"/>
      <c r="BS430" s="326"/>
      <c r="BT430" s="326"/>
      <c r="BU430" s="326"/>
      <c r="BV430" s="327"/>
    </row>
    <row r="431" spans="1:74" ht="30" customHeight="1" x14ac:dyDescent="0.25">
      <c r="A431" s="41">
        <f t="shared" si="1"/>
        <v>417</v>
      </c>
      <c r="B431" s="42" t="s">
        <v>334</v>
      </c>
      <c r="C431" s="43"/>
      <c r="D431" s="609"/>
      <c r="E431" s="326"/>
      <c r="F431" s="326"/>
      <c r="G431" s="326"/>
      <c r="H431" s="326"/>
      <c r="I431" s="326"/>
      <c r="J431" s="326"/>
      <c r="K431" s="327"/>
      <c r="L431" s="610"/>
      <c r="M431" s="326"/>
      <c r="N431" s="326"/>
      <c r="O431" s="327"/>
      <c r="P431" s="609"/>
      <c r="Q431" s="326"/>
      <c r="R431" s="326"/>
      <c r="S431" s="327"/>
      <c r="T431" s="610"/>
      <c r="U431" s="326"/>
      <c r="V431" s="326"/>
      <c r="W431" s="327"/>
      <c r="X431" s="609"/>
      <c r="Y431" s="326"/>
      <c r="Z431" s="326"/>
      <c r="AA431" s="327"/>
      <c r="AB431" s="451"/>
      <c r="AC431" s="326"/>
      <c r="AD431" s="327"/>
      <c r="AE431" s="526"/>
      <c r="AF431" s="326"/>
      <c r="AG431" s="327"/>
      <c r="AH431" s="607"/>
      <c r="AI431" s="326"/>
      <c r="AJ431" s="327"/>
      <c r="AK431" s="497"/>
      <c r="AL431" s="326"/>
      <c r="AM431" s="327"/>
      <c r="AN431" s="44"/>
      <c r="AO431" s="45"/>
      <c r="AP431" s="44"/>
      <c r="AQ431" s="45"/>
      <c r="AR431" s="44"/>
      <c r="AS431" s="45"/>
      <c r="AT431" s="44"/>
      <c r="AU431" s="45"/>
      <c r="AV431" s="44"/>
      <c r="AW431" s="45"/>
      <c r="AX431" s="44"/>
      <c r="AY431" s="45"/>
      <c r="AZ431" s="50"/>
      <c r="BA431" s="47"/>
      <c r="BB431" s="50"/>
      <c r="BC431" s="47"/>
      <c r="BD431" s="50"/>
      <c r="BE431" s="47"/>
      <c r="BF431" s="50"/>
      <c r="BG431" s="47"/>
      <c r="BH431" s="50"/>
      <c r="BI431" s="608" t="s">
        <v>307</v>
      </c>
      <c r="BJ431" s="326"/>
      <c r="BK431" s="326"/>
      <c r="BL431" s="326"/>
      <c r="BM431" s="326"/>
      <c r="BN431" s="326"/>
      <c r="BO431" s="326"/>
      <c r="BP431" s="326"/>
      <c r="BQ431" s="326"/>
      <c r="BR431" s="326"/>
      <c r="BS431" s="326"/>
      <c r="BT431" s="326"/>
      <c r="BU431" s="326"/>
      <c r="BV431" s="327"/>
    </row>
    <row r="432" spans="1:74" ht="30" customHeight="1" x14ac:dyDescent="0.25">
      <c r="A432" s="49">
        <f t="shared" si="1"/>
        <v>418</v>
      </c>
      <c r="B432" s="42" t="s">
        <v>334</v>
      </c>
      <c r="C432" s="43"/>
      <c r="D432" s="609"/>
      <c r="E432" s="326"/>
      <c r="F432" s="326"/>
      <c r="G432" s="326"/>
      <c r="H432" s="326"/>
      <c r="I432" s="326"/>
      <c r="J432" s="326"/>
      <c r="K432" s="327"/>
      <c r="L432" s="610"/>
      <c r="M432" s="326"/>
      <c r="N432" s="326"/>
      <c r="O432" s="327"/>
      <c r="P432" s="609"/>
      <c r="Q432" s="326"/>
      <c r="R432" s="326"/>
      <c r="S432" s="327"/>
      <c r="T432" s="610"/>
      <c r="U432" s="326"/>
      <c r="V432" s="326"/>
      <c r="W432" s="327"/>
      <c r="X432" s="609"/>
      <c r="Y432" s="326"/>
      <c r="Z432" s="326"/>
      <c r="AA432" s="327"/>
      <c r="AB432" s="451"/>
      <c r="AC432" s="326"/>
      <c r="AD432" s="327"/>
      <c r="AE432" s="526"/>
      <c r="AF432" s="326"/>
      <c r="AG432" s="327"/>
      <c r="AH432" s="607"/>
      <c r="AI432" s="326"/>
      <c r="AJ432" s="327"/>
      <c r="AK432" s="497"/>
      <c r="AL432" s="326"/>
      <c r="AM432" s="327"/>
      <c r="AN432" s="44"/>
      <c r="AO432" s="45"/>
      <c r="AP432" s="44"/>
      <c r="AQ432" s="45"/>
      <c r="AR432" s="44"/>
      <c r="AS432" s="45"/>
      <c r="AT432" s="44"/>
      <c r="AU432" s="45"/>
      <c r="AV432" s="44"/>
      <c r="AW432" s="45"/>
      <c r="AX432" s="44"/>
      <c r="AY432" s="45"/>
      <c r="AZ432" s="50"/>
      <c r="BA432" s="47"/>
      <c r="BB432" s="50"/>
      <c r="BC432" s="47"/>
      <c r="BD432" s="50"/>
      <c r="BE432" s="47"/>
      <c r="BF432" s="50"/>
      <c r="BG432" s="47"/>
      <c r="BH432" s="50"/>
      <c r="BI432" s="608" t="s">
        <v>307</v>
      </c>
      <c r="BJ432" s="326"/>
      <c r="BK432" s="326"/>
      <c r="BL432" s="326"/>
      <c r="BM432" s="326"/>
      <c r="BN432" s="326"/>
      <c r="BO432" s="326"/>
      <c r="BP432" s="326"/>
      <c r="BQ432" s="326"/>
      <c r="BR432" s="326"/>
      <c r="BS432" s="326"/>
      <c r="BT432" s="326"/>
      <c r="BU432" s="326"/>
      <c r="BV432" s="327"/>
    </row>
    <row r="433" spans="1:74" ht="30" customHeight="1" x14ac:dyDescent="0.25">
      <c r="A433" s="49">
        <f t="shared" si="1"/>
        <v>419</v>
      </c>
      <c r="B433" s="42" t="s">
        <v>334</v>
      </c>
      <c r="C433" s="43"/>
      <c r="D433" s="609"/>
      <c r="E433" s="326"/>
      <c r="F433" s="326"/>
      <c r="G433" s="326"/>
      <c r="H433" s="326"/>
      <c r="I433" s="326"/>
      <c r="J433" s="326"/>
      <c r="K433" s="327"/>
      <c r="L433" s="610"/>
      <c r="M433" s="326"/>
      <c r="N433" s="326"/>
      <c r="O433" s="327"/>
      <c r="P433" s="609"/>
      <c r="Q433" s="326"/>
      <c r="R433" s="326"/>
      <c r="S433" s="327"/>
      <c r="T433" s="610"/>
      <c r="U433" s="326"/>
      <c r="V433" s="326"/>
      <c r="W433" s="327"/>
      <c r="X433" s="609"/>
      <c r="Y433" s="326"/>
      <c r="Z433" s="326"/>
      <c r="AA433" s="327"/>
      <c r="AB433" s="451"/>
      <c r="AC433" s="326"/>
      <c r="AD433" s="327"/>
      <c r="AE433" s="526"/>
      <c r="AF433" s="326"/>
      <c r="AG433" s="327"/>
      <c r="AH433" s="607"/>
      <c r="AI433" s="326"/>
      <c r="AJ433" s="327"/>
      <c r="AK433" s="497"/>
      <c r="AL433" s="326"/>
      <c r="AM433" s="327"/>
      <c r="AN433" s="44"/>
      <c r="AO433" s="45"/>
      <c r="AP433" s="44"/>
      <c r="AQ433" s="45"/>
      <c r="AR433" s="44"/>
      <c r="AS433" s="45"/>
      <c r="AT433" s="44"/>
      <c r="AU433" s="45"/>
      <c r="AV433" s="44"/>
      <c r="AW433" s="45"/>
      <c r="AX433" s="44"/>
      <c r="AY433" s="45"/>
      <c r="AZ433" s="50"/>
      <c r="BA433" s="47"/>
      <c r="BB433" s="50"/>
      <c r="BC433" s="47"/>
      <c r="BD433" s="50"/>
      <c r="BE433" s="47"/>
      <c r="BF433" s="50"/>
      <c r="BG433" s="47"/>
      <c r="BH433" s="50"/>
      <c r="BI433" s="608" t="s">
        <v>307</v>
      </c>
      <c r="BJ433" s="326"/>
      <c r="BK433" s="326"/>
      <c r="BL433" s="326"/>
      <c r="BM433" s="326"/>
      <c r="BN433" s="326"/>
      <c r="BO433" s="326"/>
      <c r="BP433" s="326"/>
      <c r="BQ433" s="326"/>
      <c r="BR433" s="326"/>
      <c r="BS433" s="326"/>
      <c r="BT433" s="326"/>
      <c r="BU433" s="326"/>
      <c r="BV433" s="327"/>
    </row>
    <row r="434" spans="1:74" ht="30" customHeight="1" x14ac:dyDescent="0.25">
      <c r="A434" s="49">
        <f t="shared" si="1"/>
        <v>420</v>
      </c>
      <c r="B434" s="42" t="s">
        <v>334</v>
      </c>
      <c r="C434" s="43"/>
      <c r="D434" s="609"/>
      <c r="E434" s="326"/>
      <c r="F434" s="326"/>
      <c r="G434" s="326"/>
      <c r="H434" s="326"/>
      <c r="I434" s="326"/>
      <c r="J434" s="326"/>
      <c r="K434" s="327"/>
      <c r="L434" s="610"/>
      <c r="M434" s="326"/>
      <c r="N434" s="326"/>
      <c r="O434" s="327"/>
      <c r="P434" s="609"/>
      <c r="Q434" s="326"/>
      <c r="R434" s="326"/>
      <c r="S434" s="327"/>
      <c r="T434" s="610"/>
      <c r="U434" s="326"/>
      <c r="V434" s="326"/>
      <c r="W434" s="327"/>
      <c r="X434" s="609"/>
      <c r="Y434" s="326"/>
      <c r="Z434" s="326"/>
      <c r="AA434" s="327"/>
      <c r="AB434" s="451"/>
      <c r="AC434" s="326"/>
      <c r="AD434" s="327"/>
      <c r="AE434" s="526"/>
      <c r="AF434" s="326"/>
      <c r="AG434" s="327"/>
      <c r="AH434" s="607"/>
      <c r="AI434" s="326"/>
      <c r="AJ434" s="327"/>
      <c r="AK434" s="497"/>
      <c r="AL434" s="326"/>
      <c r="AM434" s="327"/>
      <c r="AN434" s="44"/>
      <c r="AO434" s="45"/>
      <c r="AP434" s="44"/>
      <c r="AQ434" s="45"/>
      <c r="AR434" s="44"/>
      <c r="AS434" s="45"/>
      <c r="AT434" s="44"/>
      <c r="AU434" s="45"/>
      <c r="AV434" s="44"/>
      <c r="AW434" s="45"/>
      <c r="AX434" s="44"/>
      <c r="AY434" s="45"/>
      <c r="AZ434" s="50"/>
      <c r="BA434" s="47"/>
      <c r="BB434" s="50"/>
      <c r="BC434" s="47"/>
      <c r="BD434" s="50"/>
      <c r="BE434" s="47"/>
      <c r="BF434" s="50"/>
      <c r="BG434" s="47"/>
      <c r="BH434" s="50"/>
      <c r="BI434" s="608" t="s">
        <v>307</v>
      </c>
      <c r="BJ434" s="326"/>
      <c r="BK434" s="326"/>
      <c r="BL434" s="326"/>
      <c r="BM434" s="326"/>
      <c r="BN434" s="326"/>
      <c r="BO434" s="326"/>
      <c r="BP434" s="326"/>
      <c r="BQ434" s="326"/>
      <c r="BR434" s="326"/>
      <c r="BS434" s="326"/>
      <c r="BT434" s="326"/>
      <c r="BU434" s="326"/>
      <c r="BV434" s="327"/>
    </row>
    <row r="435" spans="1:74" ht="30" customHeight="1" x14ac:dyDescent="0.25">
      <c r="A435" s="49">
        <f t="shared" si="1"/>
        <v>421</v>
      </c>
      <c r="B435" s="42" t="s">
        <v>334</v>
      </c>
      <c r="C435" s="43"/>
      <c r="D435" s="609"/>
      <c r="E435" s="326"/>
      <c r="F435" s="326"/>
      <c r="G435" s="326"/>
      <c r="H435" s="326"/>
      <c r="I435" s="326"/>
      <c r="J435" s="326"/>
      <c r="K435" s="327"/>
      <c r="L435" s="610"/>
      <c r="M435" s="326"/>
      <c r="N435" s="326"/>
      <c r="O435" s="327"/>
      <c r="P435" s="609"/>
      <c r="Q435" s="326"/>
      <c r="R435" s="326"/>
      <c r="S435" s="327"/>
      <c r="T435" s="610"/>
      <c r="U435" s="326"/>
      <c r="V435" s="326"/>
      <c r="W435" s="327"/>
      <c r="X435" s="609"/>
      <c r="Y435" s="326"/>
      <c r="Z435" s="326"/>
      <c r="AA435" s="327"/>
      <c r="AB435" s="451"/>
      <c r="AC435" s="326"/>
      <c r="AD435" s="327"/>
      <c r="AE435" s="526"/>
      <c r="AF435" s="326"/>
      <c r="AG435" s="327"/>
      <c r="AH435" s="607"/>
      <c r="AI435" s="326"/>
      <c r="AJ435" s="327"/>
      <c r="AK435" s="497"/>
      <c r="AL435" s="326"/>
      <c r="AM435" s="327"/>
      <c r="AN435" s="44"/>
      <c r="AO435" s="45"/>
      <c r="AP435" s="44"/>
      <c r="AQ435" s="45"/>
      <c r="AR435" s="44"/>
      <c r="AS435" s="45"/>
      <c r="AT435" s="44"/>
      <c r="AU435" s="45"/>
      <c r="AV435" s="44"/>
      <c r="AW435" s="45"/>
      <c r="AX435" s="44"/>
      <c r="AY435" s="45"/>
      <c r="AZ435" s="50"/>
      <c r="BA435" s="47"/>
      <c r="BB435" s="50"/>
      <c r="BC435" s="47"/>
      <c r="BD435" s="50"/>
      <c r="BE435" s="47"/>
      <c r="BF435" s="50"/>
      <c r="BG435" s="47"/>
      <c r="BH435" s="50"/>
      <c r="BI435" s="608" t="s">
        <v>307</v>
      </c>
      <c r="BJ435" s="326"/>
      <c r="BK435" s="326"/>
      <c r="BL435" s="326"/>
      <c r="BM435" s="326"/>
      <c r="BN435" s="326"/>
      <c r="BO435" s="326"/>
      <c r="BP435" s="326"/>
      <c r="BQ435" s="326"/>
      <c r="BR435" s="326"/>
      <c r="BS435" s="326"/>
      <c r="BT435" s="326"/>
      <c r="BU435" s="326"/>
      <c r="BV435" s="327"/>
    </row>
    <row r="436" spans="1:74" ht="30" customHeight="1" x14ac:dyDescent="0.25">
      <c r="A436" s="49">
        <f t="shared" si="1"/>
        <v>422</v>
      </c>
      <c r="B436" s="42" t="s">
        <v>334</v>
      </c>
      <c r="C436" s="43"/>
      <c r="D436" s="609"/>
      <c r="E436" s="326"/>
      <c r="F436" s="326"/>
      <c r="G436" s="326"/>
      <c r="H436" s="326"/>
      <c r="I436" s="326"/>
      <c r="J436" s="326"/>
      <c r="K436" s="327"/>
      <c r="L436" s="610"/>
      <c r="M436" s="326"/>
      <c r="N436" s="326"/>
      <c r="O436" s="327"/>
      <c r="P436" s="609"/>
      <c r="Q436" s="326"/>
      <c r="R436" s="326"/>
      <c r="S436" s="327"/>
      <c r="T436" s="610"/>
      <c r="U436" s="326"/>
      <c r="V436" s="326"/>
      <c r="W436" s="327"/>
      <c r="X436" s="609"/>
      <c r="Y436" s="326"/>
      <c r="Z436" s="326"/>
      <c r="AA436" s="327"/>
      <c r="AB436" s="451"/>
      <c r="AC436" s="326"/>
      <c r="AD436" s="327"/>
      <c r="AE436" s="526"/>
      <c r="AF436" s="326"/>
      <c r="AG436" s="327"/>
      <c r="AH436" s="607"/>
      <c r="AI436" s="326"/>
      <c r="AJ436" s="327"/>
      <c r="AK436" s="497"/>
      <c r="AL436" s="326"/>
      <c r="AM436" s="327"/>
      <c r="AN436" s="44"/>
      <c r="AO436" s="45"/>
      <c r="AP436" s="44"/>
      <c r="AQ436" s="45"/>
      <c r="AR436" s="44"/>
      <c r="AS436" s="45"/>
      <c r="AT436" s="44"/>
      <c r="AU436" s="45"/>
      <c r="AV436" s="44"/>
      <c r="AW436" s="45"/>
      <c r="AX436" s="44"/>
      <c r="AY436" s="45"/>
      <c r="AZ436" s="50"/>
      <c r="BA436" s="47"/>
      <c r="BB436" s="50"/>
      <c r="BC436" s="47"/>
      <c r="BD436" s="50"/>
      <c r="BE436" s="47"/>
      <c r="BF436" s="50"/>
      <c r="BG436" s="47"/>
      <c r="BH436" s="50"/>
      <c r="BI436" s="608" t="s">
        <v>303</v>
      </c>
      <c r="BJ436" s="326"/>
      <c r="BK436" s="326"/>
      <c r="BL436" s="326"/>
      <c r="BM436" s="326"/>
      <c r="BN436" s="326"/>
      <c r="BO436" s="326"/>
      <c r="BP436" s="326"/>
      <c r="BQ436" s="326"/>
      <c r="BR436" s="326"/>
      <c r="BS436" s="326"/>
      <c r="BT436" s="326"/>
      <c r="BU436" s="326"/>
      <c r="BV436" s="327"/>
    </row>
    <row r="437" spans="1:74" ht="30" customHeight="1" x14ac:dyDescent="0.25">
      <c r="A437" s="49">
        <f t="shared" si="1"/>
        <v>423</v>
      </c>
      <c r="B437" s="42" t="s">
        <v>334</v>
      </c>
      <c r="C437" s="43"/>
      <c r="D437" s="609"/>
      <c r="E437" s="326"/>
      <c r="F437" s="326"/>
      <c r="G437" s="326"/>
      <c r="H437" s="326"/>
      <c r="I437" s="326"/>
      <c r="J437" s="326"/>
      <c r="K437" s="327"/>
      <c r="L437" s="610"/>
      <c r="M437" s="326"/>
      <c r="N437" s="326"/>
      <c r="O437" s="327"/>
      <c r="P437" s="609"/>
      <c r="Q437" s="326"/>
      <c r="R437" s="326"/>
      <c r="S437" s="327"/>
      <c r="T437" s="610"/>
      <c r="U437" s="326"/>
      <c r="V437" s="326"/>
      <c r="W437" s="327"/>
      <c r="X437" s="609"/>
      <c r="Y437" s="326"/>
      <c r="Z437" s="326"/>
      <c r="AA437" s="327"/>
      <c r="AB437" s="451"/>
      <c r="AC437" s="326"/>
      <c r="AD437" s="327"/>
      <c r="AE437" s="526"/>
      <c r="AF437" s="326"/>
      <c r="AG437" s="327"/>
      <c r="AH437" s="607"/>
      <c r="AI437" s="326"/>
      <c r="AJ437" s="327"/>
      <c r="AK437" s="497"/>
      <c r="AL437" s="326"/>
      <c r="AM437" s="327"/>
      <c r="AN437" s="44"/>
      <c r="AO437" s="45"/>
      <c r="AP437" s="44"/>
      <c r="AQ437" s="45"/>
      <c r="AR437" s="44"/>
      <c r="AS437" s="45"/>
      <c r="AT437" s="44"/>
      <c r="AU437" s="45"/>
      <c r="AV437" s="44"/>
      <c r="AW437" s="45"/>
      <c r="AX437" s="44"/>
      <c r="AY437" s="45"/>
      <c r="AZ437" s="50"/>
      <c r="BA437" s="47"/>
      <c r="BB437" s="50"/>
      <c r="BC437" s="47"/>
      <c r="BD437" s="50"/>
      <c r="BE437" s="47"/>
      <c r="BF437" s="50"/>
      <c r="BG437" s="47"/>
      <c r="BH437" s="50"/>
      <c r="BI437" s="608" t="s">
        <v>303</v>
      </c>
      <c r="BJ437" s="326"/>
      <c r="BK437" s="326"/>
      <c r="BL437" s="326"/>
      <c r="BM437" s="326"/>
      <c r="BN437" s="326"/>
      <c r="BO437" s="326"/>
      <c r="BP437" s="326"/>
      <c r="BQ437" s="326"/>
      <c r="BR437" s="326"/>
      <c r="BS437" s="326"/>
      <c r="BT437" s="326"/>
      <c r="BU437" s="326"/>
      <c r="BV437" s="327"/>
    </row>
    <row r="438" spans="1:74" ht="30" customHeight="1" x14ac:dyDescent="0.25">
      <c r="A438" s="41">
        <f t="shared" si="1"/>
        <v>424</v>
      </c>
      <c r="B438" s="42" t="s">
        <v>334</v>
      </c>
      <c r="C438" s="43"/>
      <c r="D438" s="609"/>
      <c r="E438" s="326"/>
      <c r="F438" s="326"/>
      <c r="G438" s="326"/>
      <c r="H438" s="326"/>
      <c r="I438" s="326"/>
      <c r="J438" s="326"/>
      <c r="K438" s="327"/>
      <c r="L438" s="610"/>
      <c r="M438" s="326"/>
      <c r="N438" s="326"/>
      <c r="O438" s="327"/>
      <c r="P438" s="609"/>
      <c r="Q438" s="326"/>
      <c r="R438" s="326"/>
      <c r="S438" s="327"/>
      <c r="T438" s="610"/>
      <c r="U438" s="326"/>
      <c r="V438" s="326"/>
      <c r="W438" s="327"/>
      <c r="X438" s="609"/>
      <c r="Y438" s="326"/>
      <c r="Z438" s="326"/>
      <c r="AA438" s="327"/>
      <c r="AB438" s="451"/>
      <c r="AC438" s="326"/>
      <c r="AD438" s="327"/>
      <c r="AE438" s="526"/>
      <c r="AF438" s="326"/>
      <c r="AG438" s="327"/>
      <c r="AH438" s="607"/>
      <c r="AI438" s="326"/>
      <c r="AJ438" s="327"/>
      <c r="AK438" s="497"/>
      <c r="AL438" s="326"/>
      <c r="AM438" s="327"/>
      <c r="AN438" s="44"/>
      <c r="AO438" s="45"/>
      <c r="AP438" s="44"/>
      <c r="AQ438" s="45"/>
      <c r="AR438" s="44"/>
      <c r="AS438" s="45"/>
      <c r="AT438" s="44"/>
      <c r="AU438" s="45"/>
      <c r="AV438" s="44"/>
      <c r="AW438" s="45"/>
      <c r="AX438" s="44"/>
      <c r="AY438" s="45"/>
      <c r="AZ438" s="50"/>
      <c r="BA438" s="47"/>
      <c r="BB438" s="50"/>
      <c r="BC438" s="47"/>
      <c r="BD438" s="50"/>
      <c r="BE438" s="47"/>
      <c r="BF438" s="50"/>
      <c r="BG438" s="47"/>
      <c r="BH438" s="50"/>
      <c r="BI438" s="608" t="s">
        <v>307</v>
      </c>
      <c r="BJ438" s="326"/>
      <c r="BK438" s="326"/>
      <c r="BL438" s="326"/>
      <c r="BM438" s="326"/>
      <c r="BN438" s="326"/>
      <c r="BO438" s="326"/>
      <c r="BP438" s="326"/>
      <c r="BQ438" s="326"/>
      <c r="BR438" s="326"/>
      <c r="BS438" s="326"/>
      <c r="BT438" s="326"/>
      <c r="BU438" s="326"/>
      <c r="BV438" s="327"/>
    </row>
    <row r="439" spans="1:74" ht="30" customHeight="1" x14ac:dyDescent="0.25">
      <c r="A439" s="49">
        <f t="shared" si="1"/>
        <v>425</v>
      </c>
      <c r="B439" s="42" t="s">
        <v>334</v>
      </c>
      <c r="C439" s="43"/>
      <c r="D439" s="609"/>
      <c r="E439" s="326"/>
      <c r="F439" s="326"/>
      <c r="G439" s="326"/>
      <c r="H439" s="326"/>
      <c r="I439" s="326"/>
      <c r="J439" s="326"/>
      <c r="K439" s="327"/>
      <c r="L439" s="610"/>
      <c r="M439" s="326"/>
      <c r="N439" s="326"/>
      <c r="O439" s="327"/>
      <c r="P439" s="609"/>
      <c r="Q439" s="326"/>
      <c r="R439" s="326"/>
      <c r="S439" s="327"/>
      <c r="T439" s="610"/>
      <c r="U439" s="326"/>
      <c r="V439" s="326"/>
      <c r="W439" s="327"/>
      <c r="X439" s="609"/>
      <c r="Y439" s="326"/>
      <c r="Z439" s="326"/>
      <c r="AA439" s="327"/>
      <c r="AB439" s="451"/>
      <c r="AC439" s="326"/>
      <c r="AD439" s="327"/>
      <c r="AE439" s="526"/>
      <c r="AF439" s="326"/>
      <c r="AG439" s="327"/>
      <c r="AH439" s="607"/>
      <c r="AI439" s="326"/>
      <c r="AJ439" s="327"/>
      <c r="AK439" s="497"/>
      <c r="AL439" s="326"/>
      <c r="AM439" s="327"/>
      <c r="AN439" s="44"/>
      <c r="AO439" s="45"/>
      <c r="AP439" s="44"/>
      <c r="AQ439" s="45"/>
      <c r="AR439" s="44"/>
      <c r="AS439" s="45"/>
      <c r="AT439" s="44"/>
      <c r="AU439" s="45"/>
      <c r="AV439" s="44"/>
      <c r="AW439" s="45"/>
      <c r="AX439" s="44"/>
      <c r="AY439" s="45"/>
      <c r="AZ439" s="50"/>
      <c r="BA439" s="47"/>
      <c r="BB439" s="50"/>
      <c r="BC439" s="47"/>
      <c r="BD439" s="50"/>
      <c r="BE439" s="47"/>
      <c r="BF439" s="50"/>
      <c r="BG439" s="47"/>
      <c r="BH439" s="50"/>
      <c r="BI439" s="608" t="s">
        <v>307</v>
      </c>
      <c r="BJ439" s="326"/>
      <c r="BK439" s="326"/>
      <c r="BL439" s="326"/>
      <c r="BM439" s="326"/>
      <c r="BN439" s="326"/>
      <c r="BO439" s="326"/>
      <c r="BP439" s="326"/>
      <c r="BQ439" s="326"/>
      <c r="BR439" s="326"/>
      <c r="BS439" s="326"/>
      <c r="BT439" s="326"/>
      <c r="BU439" s="326"/>
      <c r="BV439" s="327"/>
    </row>
    <row r="440" spans="1:74" ht="30" customHeight="1" x14ac:dyDescent="0.25">
      <c r="A440" s="49">
        <f t="shared" si="1"/>
        <v>426</v>
      </c>
      <c r="B440" s="42" t="s">
        <v>334</v>
      </c>
      <c r="C440" s="43"/>
      <c r="D440" s="609"/>
      <c r="E440" s="326"/>
      <c r="F440" s="326"/>
      <c r="G440" s="326"/>
      <c r="H440" s="326"/>
      <c r="I440" s="326"/>
      <c r="J440" s="326"/>
      <c r="K440" s="327"/>
      <c r="L440" s="610"/>
      <c r="M440" s="326"/>
      <c r="N440" s="326"/>
      <c r="O440" s="327"/>
      <c r="P440" s="609"/>
      <c r="Q440" s="326"/>
      <c r="R440" s="326"/>
      <c r="S440" s="327"/>
      <c r="T440" s="610"/>
      <c r="U440" s="326"/>
      <c r="V440" s="326"/>
      <c r="W440" s="327"/>
      <c r="X440" s="609"/>
      <c r="Y440" s="326"/>
      <c r="Z440" s="326"/>
      <c r="AA440" s="327"/>
      <c r="AB440" s="451"/>
      <c r="AC440" s="326"/>
      <c r="AD440" s="327"/>
      <c r="AE440" s="526"/>
      <c r="AF440" s="326"/>
      <c r="AG440" s="327"/>
      <c r="AH440" s="607"/>
      <c r="AI440" s="326"/>
      <c r="AJ440" s="327"/>
      <c r="AK440" s="497"/>
      <c r="AL440" s="326"/>
      <c r="AM440" s="327"/>
      <c r="AN440" s="44"/>
      <c r="AO440" s="45"/>
      <c r="AP440" s="44"/>
      <c r="AQ440" s="45"/>
      <c r="AR440" s="44"/>
      <c r="AS440" s="45"/>
      <c r="AT440" s="44"/>
      <c r="AU440" s="45"/>
      <c r="AV440" s="44"/>
      <c r="AW440" s="45"/>
      <c r="AX440" s="44"/>
      <c r="AY440" s="45"/>
      <c r="AZ440" s="50"/>
      <c r="BA440" s="47"/>
      <c r="BB440" s="50"/>
      <c r="BC440" s="47"/>
      <c r="BD440" s="50"/>
      <c r="BE440" s="47"/>
      <c r="BF440" s="50"/>
      <c r="BG440" s="47"/>
      <c r="BH440" s="50"/>
      <c r="BI440" s="608" t="s">
        <v>307</v>
      </c>
      <c r="BJ440" s="326"/>
      <c r="BK440" s="326"/>
      <c r="BL440" s="326"/>
      <c r="BM440" s="326"/>
      <c r="BN440" s="326"/>
      <c r="BO440" s="326"/>
      <c r="BP440" s="326"/>
      <c r="BQ440" s="326"/>
      <c r="BR440" s="326"/>
      <c r="BS440" s="326"/>
      <c r="BT440" s="326"/>
      <c r="BU440" s="326"/>
      <c r="BV440" s="327"/>
    </row>
    <row r="441" spans="1:74" ht="30" customHeight="1" x14ac:dyDescent="0.25">
      <c r="A441" s="49">
        <f t="shared" si="1"/>
        <v>427</v>
      </c>
      <c r="B441" s="42" t="s">
        <v>334</v>
      </c>
      <c r="C441" s="43"/>
      <c r="D441" s="609"/>
      <c r="E441" s="326"/>
      <c r="F441" s="326"/>
      <c r="G441" s="326"/>
      <c r="H441" s="326"/>
      <c r="I441" s="326"/>
      <c r="J441" s="326"/>
      <c r="K441" s="327"/>
      <c r="L441" s="610"/>
      <c r="M441" s="326"/>
      <c r="N441" s="326"/>
      <c r="O441" s="327"/>
      <c r="P441" s="609"/>
      <c r="Q441" s="326"/>
      <c r="R441" s="326"/>
      <c r="S441" s="327"/>
      <c r="T441" s="610"/>
      <c r="U441" s="326"/>
      <c r="V441" s="326"/>
      <c r="W441" s="327"/>
      <c r="X441" s="609"/>
      <c r="Y441" s="326"/>
      <c r="Z441" s="326"/>
      <c r="AA441" s="327"/>
      <c r="AB441" s="451"/>
      <c r="AC441" s="326"/>
      <c r="AD441" s="327"/>
      <c r="AE441" s="526"/>
      <c r="AF441" s="326"/>
      <c r="AG441" s="327"/>
      <c r="AH441" s="607"/>
      <c r="AI441" s="326"/>
      <c r="AJ441" s="327"/>
      <c r="AK441" s="497"/>
      <c r="AL441" s="326"/>
      <c r="AM441" s="327"/>
      <c r="AN441" s="44"/>
      <c r="AO441" s="45"/>
      <c r="AP441" s="44"/>
      <c r="AQ441" s="45"/>
      <c r="AR441" s="44"/>
      <c r="AS441" s="45"/>
      <c r="AT441" s="44"/>
      <c r="AU441" s="45"/>
      <c r="AV441" s="44"/>
      <c r="AW441" s="45"/>
      <c r="AX441" s="44"/>
      <c r="AY441" s="45"/>
      <c r="AZ441" s="50"/>
      <c r="BA441" s="47"/>
      <c r="BB441" s="50"/>
      <c r="BC441" s="47"/>
      <c r="BD441" s="50"/>
      <c r="BE441" s="47"/>
      <c r="BF441" s="50"/>
      <c r="BG441" s="47"/>
      <c r="BH441" s="50"/>
      <c r="BI441" s="608" t="s">
        <v>307</v>
      </c>
      <c r="BJ441" s="326"/>
      <c r="BK441" s="326"/>
      <c r="BL441" s="326"/>
      <c r="BM441" s="326"/>
      <c r="BN441" s="326"/>
      <c r="BO441" s="326"/>
      <c r="BP441" s="326"/>
      <c r="BQ441" s="326"/>
      <c r="BR441" s="326"/>
      <c r="BS441" s="326"/>
      <c r="BT441" s="326"/>
      <c r="BU441" s="326"/>
      <c r="BV441" s="327"/>
    </row>
    <row r="442" spans="1:74" ht="30" customHeight="1" x14ac:dyDescent="0.25">
      <c r="A442" s="49">
        <f t="shared" si="1"/>
        <v>428</v>
      </c>
      <c r="B442" s="42" t="s">
        <v>334</v>
      </c>
      <c r="C442" s="43"/>
      <c r="D442" s="609"/>
      <c r="E442" s="326"/>
      <c r="F442" s="326"/>
      <c r="G442" s="326"/>
      <c r="H442" s="326"/>
      <c r="I442" s="326"/>
      <c r="J442" s="326"/>
      <c r="K442" s="327"/>
      <c r="L442" s="610"/>
      <c r="M442" s="326"/>
      <c r="N442" s="326"/>
      <c r="O442" s="327"/>
      <c r="P442" s="609"/>
      <c r="Q442" s="326"/>
      <c r="R442" s="326"/>
      <c r="S442" s="327"/>
      <c r="T442" s="610"/>
      <c r="U442" s="326"/>
      <c r="V442" s="326"/>
      <c r="W442" s="327"/>
      <c r="X442" s="609"/>
      <c r="Y442" s="326"/>
      <c r="Z442" s="326"/>
      <c r="AA442" s="327"/>
      <c r="AB442" s="451"/>
      <c r="AC442" s="326"/>
      <c r="AD442" s="327"/>
      <c r="AE442" s="526"/>
      <c r="AF442" s="326"/>
      <c r="AG442" s="327"/>
      <c r="AH442" s="607"/>
      <c r="AI442" s="326"/>
      <c r="AJ442" s="327"/>
      <c r="AK442" s="497"/>
      <c r="AL442" s="326"/>
      <c r="AM442" s="327"/>
      <c r="AN442" s="44"/>
      <c r="AO442" s="45"/>
      <c r="AP442" s="44"/>
      <c r="AQ442" s="45"/>
      <c r="AR442" s="44"/>
      <c r="AS442" s="45"/>
      <c r="AT442" s="44"/>
      <c r="AU442" s="45"/>
      <c r="AV442" s="44"/>
      <c r="AW442" s="45"/>
      <c r="AX442" s="44"/>
      <c r="AY442" s="45"/>
      <c r="AZ442" s="50"/>
      <c r="BA442" s="47"/>
      <c r="BB442" s="50"/>
      <c r="BC442" s="47"/>
      <c r="BD442" s="50"/>
      <c r="BE442" s="47"/>
      <c r="BF442" s="50"/>
      <c r="BG442" s="47"/>
      <c r="BH442" s="50"/>
      <c r="BI442" s="608" t="s">
        <v>307</v>
      </c>
      <c r="BJ442" s="326"/>
      <c r="BK442" s="326"/>
      <c r="BL442" s="326"/>
      <c r="BM442" s="326"/>
      <c r="BN442" s="326"/>
      <c r="BO442" s="326"/>
      <c r="BP442" s="326"/>
      <c r="BQ442" s="326"/>
      <c r="BR442" s="326"/>
      <c r="BS442" s="326"/>
      <c r="BT442" s="326"/>
      <c r="BU442" s="326"/>
      <c r="BV442" s="327"/>
    </row>
    <row r="443" spans="1:74" ht="30" customHeight="1" x14ac:dyDescent="0.25">
      <c r="A443" s="49">
        <f t="shared" si="1"/>
        <v>429</v>
      </c>
      <c r="B443" s="42" t="s">
        <v>334</v>
      </c>
      <c r="C443" s="43"/>
      <c r="D443" s="609"/>
      <c r="E443" s="326"/>
      <c r="F443" s="326"/>
      <c r="G443" s="326"/>
      <c r="H443" s="326"/>
      <c r="I443" s="326"/>
      <c r="J443" s="326"/>
      <c r="K443" s="327"/>
      <c r="L443" s="610"/>
      <c r="M443" s="326"/>
      <c r="N443" s="326"/>
      <c r="O443" s="327"/>
      <c r="P443" s="609"/>
      <c r="Q443" s="326"/>
      <c r="R443" s="326"/>
      <c r="S443" s="327"/>
      <c r="T443" s="610"/>
      <c r="U443" s="326"/>
      <c r="V443" s="326"/>
      <c r="W443" s="327"/>
      <c r="X443" s="609"/>
      <c r="Y443" s="326"/>
      <c r="Z443" s="326"/>
      <c r="AA443" s="327"/>
      <c r="AB443" s="451"/>
      <c r="AC443" s="326"/>
      <c r="AD443" s="327"/>
      <c r="AE443" s="526"/>
      <c r="AF443" s="326"/>
      <c r="AG443" s="327"/>
      <c r="AH443" s="607"/>
      <c r="AI443" s="326"/>
      <c r="AJ443" s="327"/>
      <c r="AK443" s="497"/>
      <c r="AL443" s="326"/>
      <c r="AM443" s="327"/>
      <c r="AN443" s="44"/>
      <c r="AO443" s="45"/>
      <c r="AP443" s="44"/>
      <c r="AQ443" s="45"/>
      <c r="AR443" s="44"/>
      <c r="AS443" s="45"/>
      <c r="AT443" s="44"/>
      <c r="AU443" s="45"/>
      <c r="AV443" s="44"/>
      <c r="AW443" s="45"/>
      <c r="AX443" s="44"/>
      <c r="AY443" s="45"/>
      <c r="AZ443" s="50"/>
      <c r="BA443" s="47"/>
      <c r="BB443" s="50"/>
      <c r="BC443" s="47"/>
      <c r="BD443" s="50"/>
      <c r="BE443" s="47"/>
      <c r="BF443" s="50"/>
      <c r="BG443" s="47"/>
      <c r="BH443" s="50"/>
      <c r="BI443" s="608" t="s">
        <v>303</v>
      </c>
      <c r="BJ443" s="326"/>
      <c r="BK443" s="326"/>
      <c r="BL443" s="326"/>
      <c r="BM443" s="326"/>
      <c r="BN443" s="326"/>
      <c r="BO443" s="326"/>
      <c r="BP443" s="326"/>
      <c r="BQ443" s="326"/>
      <c r="BR443" s="326"/>
      <c r="BS443" s="326"/>
      <c r="BT443" s="326"/>
      <c r="BU443" s="326"/>
      <c r="BV443" s="327"/>
    </row>
    <row r="444" spans="1:74" ht="30" customHeight="1" x14ac:dyDescent="0.25">
      <c r="A444" s="49">
        <f t="shared" si="1"/>
        <v>430</v>
      </c>
      <c r="B444" s="42" t="s">
        <v>334</v>
      </c>
      <c r="C444" s="43"/>
      <c r="D444" s="609"/>
      <c r="E444" s="326"/>
      <c r="F444" s="326"/>
      <c r="G444" s="326"/>
      <c r="H444" s="326"/>
      <c r="I444" s="326"/>
      <c r="J444" s="326"/>
      <c r="K444" s="327"/>
      <c r="L444" s="610"/>
      <c r="M444" s="326"/>
      <c r="N444" s="326"/>
      <c r="O444" s="327"/>
      <c r="P444" s="609"/>
      <c r="Q444" s="326"/>
      <c r="R444" s="326"/>
      <c r="S444" s="327"/>
      <c r="T444" s="610"/>
      <c r="U444" s="326"/>
      <c r="V444" s="326"/>
      <c r="W444" s="327"/>
      <c r="X444" s="609"/>
      <c r="Y444" s="326"/>
      <c r="Z444" s="326"/>
      <c r="AA444" s="327"/>
      <c r="AB444" s="451"/>
      <c r="AC444" s="326"/>
      <c r="AD444" s="327"/>
      <c r="AE444" s="526"/>
      <c r="AF444" s="326"/>
      <c r="AG444" s="327"/>
      <c r="AH444" s="607"/>
      <c r="AI444" s="326"/>
      <c r="AJ444" s="327"/>
      <c r="AK444" s="497"/>
      <c r="AL444" s="326"/>
      <c r="AM444" s="327"/>
      <c r="AN444" s="44"/>
      <c r="AO444" s="45"/>
      <c r="AP444" s="44"/>
      <c r="AQ444" s="45"/>
      <c r="AR444" s="44"/>
      <c r="AS444" s="45"/>
      <c r="AT444" s="44"/>
      <c r="AU444" s="45"/>
      <c r="AV444" s="44"/>
      <c r="AW444" s="45"/>
      <c r="AX444" s="44"/>
      <c r="AY444" s="45"/>
      <c r="AZ444" s="50"/>
      <c r="BA444" s="47"/>
      <c r="BB444" s="50"/>
      <c r="BC444" s="47"/>
      <c r="BD444" s="50"/>
      <c r="BE444" s="47"/>
      <c r="BF444" s="50"/>
      <c r="BG444" s="47"/>
      <c r="BH444" s="50"/>
      <c r="BI444" s="608" t="s">
        <v>303</v>
      </c>
      <c r="BJ444" s="326"/>
      <c r="BK444" s="326"/>
      <c r="BL444" s="326"/>
      <c r="BM444" s="326"/>
      <c r="BN444" s="326"/>
      <c r="BO444" s="326"/>
      <c r="BP444" s="326"/>
      <c r="BQ444" s="326"/>
      <c r="BR444" s="326"/>
      <c r="BS444" s="326"/>
      <c r="BT444" s="326"/>
      <c r="BU444" s="326"/>
      <c r="BV444" s="327"/>
    </row>
    <row r="445" spans="1:74" ht="30" customHeight="1" x14ac:dyDescent="0.25">
      <c r="A445" s="41">
        <f t="shared" si="1"/>
        <v>431</v>
      </c>
      <c r="B445" s="42" t="s">
        <v>334</v>
      </c>
      <c r="C445" s="43"/>
      <c r="D445" s="609"/>
      <c r="E445" s="326"/>
      <c r="F445" s="326"/>
      <c r="G445" s="326"/>
      <c r="H445" s="326"/>
      <c r="I445" s="326"/>
      <c r="J445" s="326"/>
      <c r="K445" s="327"/>
      <c r="L445" s="610"/>
      <c r="M445" s="326"/>
      <c r="N445" s="326"/>
      <c r="O445" s="327"/>
      <c r="P445" s="609"/>
      <c r="Q445" s="326"/>
      <c r="R445" s="326"/>
      <c r="S445" s="327"/>
      <c r="T445" s="610"/>
      <c r="U445" s="326"/>
      <c r="V445" s="326"/>
      <c r="W445" s="327"/>
      <c r="X445" s="609"/>
      <c r="Y445" s="326"/>
      <c r="Z445" s="326"/>
      <c r="AA445" s="327"/>
      <c r="AB445" s="451"/>
      <c r="AC445" s="326"/>
      <c r="AD445" s="327"/>
      <c r="AE445" s="526"/>
      <c r="AF445" s="326"/>
      <c r="AG445" s="327"/>
      <c r="AH445" s="607"/>
      <c r="AI445" s="326"/>
      <c r="AJ445" s="327"/>
      <c r="AK445" s="497"/>
      <c r="AL445" s="326"/>
      <c r="AM445" s="327"/>
      <c r="AN445" s="44"/>
      <c r="AO445" s="45"/>
      <c r="AP445" s="44"/>
      <c r="AQ445" s="45"/>
      <c r="AR445" s="44"/>
      <c r="AS445" s="45"/>
      <c r="AT445" s="44"/>
      <c r="AU445" s="45"/>
      <c r="AV445" s="44"/>
      <c r="AW445" s="45"/>
      <c r="AX445" s="44"/>
      <c r="AY445" s="45"/>
      <c r="AZ445" s="50"/>
      <c r="BA445" s="47"/>
      <c r="BB445" s="50"/>
      <c r="BC445" s="47"/>
      <c r="BD445" s="50"/>
      <c r="BE445" s="47"/>
      <c r="BF445" s="50"/>
      <c r="BG445" s="47"/>
      <c r="BH445" s="50"/>
      <c r="BI445" s="608" t="s">
        <v>307</v>
      </c>
      <c r="BJ445" s="326"/>
      <c r="BK445" s="326"/>
      <c r="BL445" s="326"/>
      <c r="BM445" s="326"/>
      <c r="BN445" s="326"/>
      <c r="BO445" s="326"/>
      <c r="BP445" s="326"/>
      <c r="BQ445" s="326"/>
      <c r="BR445" s="326"/>
      <c r="BS445" s="326"/>
      <c r="BT445" s="326"/>
      <c r="BU445" s="326"/>
      <c r="BV445" s="327"/>
    </row>
    <row r="446" spans="1:74" ht="30" customHeight="1" x14ac:dyDescent="0.25">
      <c r="A446" s="49">
        <f t="shared" si="1"/>
        <v>432</v>
      </c>
      <c r="B446" s="42" t="s">
        <v>334</v>
      </c>
      <c r="C446" s="43"/>
      <c r="D446" s="609"/>
      <c r="E446" s="326"/>
      <c r="F446" s="326"/>
      <c r="G446" s="326"/>
      <c r="H446" s="326"/>
      <c r="I446" s="326"/>
      <c r="J446" s="326"/>
      <c r="K446" s="327"/>
      <c r="L446" s="610"/>
      <c r="M446" s="326"/>
      <c r="N446" s="326"/>
      <c r="O446" s="327"/>
      <c r="P446" s="609"/>
      <c r="Q446" s="326"/>
      <c r="R446" s="326"/>
      <c r="S446" s="327"/>
      <c r="T446" s="610"/>
      <c r="U446" s="326"/>
      <c r="V446" s="326"/>
      <c r="W446" s="327"/>
      <c r="X446" s="609"/>
      <c r="Y446" s="326"/>
      <c r="Z446" s="326"/>
      <c r="AA446" s="327"/>
      <c r="AB446" s="451"/>
      <c r="AC446" s="326"/>
      <c r="AD446" s="327"/>
      <c r="AE446" s="526"/>
      <c r="AF446" s="326"/>
      <c r="AG446" s="327"/>
      <c r="AH446" s="607"/>
      <c r="AI446" s="326"/>
      <c r="AJ446" s="327"/>
      <c r="AK446" s="497"/>
      <c r="AL446" s="326"/>
      <c r="AM446" s="327"/>
      <c r="AN446" s="44"/>
      <c r="AO446" s="45"/>
      <c r="AP446" s="44"/>
      <c r="AQ446" s="45"/>
      <c r="AR446" s="44"/>
      <c r="AS446" s="45"/>
      <c r="AT446" s="44"/>
      <c r="AU446" s="45"/>
      <c r="AV446" s="44"/>
      <c r="AW446" s="45"/>
      <c r="AX446" s="44"/>
      <c r="AY446" s="45"/>
      <c r="AZ446" s="50"/>
      <c r="BA446" s="47"/>
      <c r="BB446" s="50"/>
      <c r="BC446" s="47"/>
      <c r="BD446" s="50"/>
      <c r="BE446" s="47"/>
      <c r="BF446" s="50"/>
      <c r="BG446" s="47"/>
      <c r="BH446" s="50"/>
      <c r="BI446" s="608" t="s">
        <v>307</v>
      </c>
      <c r="BJ446" s="326"/>
      <c r="BK446" s="326"/>
      <c r="BL446" s="326"/>
      <c r="BM446" s="326"/>
      <c r="BN446" s="326"/>
      <c r="BO446" s="326"/>
      <c r="BP446" s="326"/>
      <c r="BQ446" s="326"/>
      <c r="BR446" s="326"/>
      <c r="BS446" s="326"/>
      <c r="BT446" s="326"/>
      <c r="BU446" s="326"/>
      <c r="BV446" s="327"/>
    </row>
    <row r="447" spans="1:74" ht="30" customHeight="1" x14ac:dyDescent="0.25">
      <c r="A447" s="49">
        <f t="shared" si="1"/>
        <v>433</v>
      </c>
      <c r="B447" s="42" t="s">
        <v>334</v>
      </c>
      <c r="C447" s="43"/>
      <c r="D447" s="609"/>
      <c r="E447" s="326"/>
      <c r="F447" s="326"/>
      <c r="G447" s="326"/>
      <c r="H447" s="326"/>
      <c r="I447" s="326"/>
      <c r="J447" s="326"/>
      <c r="K447" s="327"/>
      <c r="L447" s="610"/>
      <c r="M447" s="326"/>
      <c r="N447" s="326"/>
      <c r="O447" s="327"/>
      <c r="P447" s="609"/>
      <c r="Q447" s="326"/>
      <c r="R447" s="326"/>
      <c r="S447" s="327"/>
      <c r="T447" s="610"/>
      <c r="U447" s="326"/>
      <c r="V447" s="326"/>
      <c r="W447" s="327"/>
      <c r="X447" s="609"/>
      <c r="Y447" s="326"/>
      <c r="Z447" s="326"/>
      <c r="AA447" s="327"/>
      <c r="AB447" s="451"/>
      <c r="AC447" s="326"/>
      <c r="AD447" s="327"/>
      <c r="AE447" s="526"/>
      <c r="AF447" s="326"/>
      <c r="AG447" s="327"/>
      <c r="AH447" s="607"/>
      <c r="AI447" s="326"/>
      <c r="AJ447" s="327"/>
      <c r="AK447" s="497"/>
      <c r="AL447" s="326"/>
      <c r="AM447" s="327"/>
      <c r="AN447" s="44"/>
      <c r="AO447" s="45"/>
      <c r="AP447" s="44"/>
      <c r="AQ447" s="45"/>
      <c r="AR447" s="44"/>
      <c r="AS447" s="45"/>
      <c r="AT447" s="44"/>
      <c r="AU447" s="45"/>
      <c r="AV447" s="44"/>
      <c r="AW447" s="45"/>
      <c r="AX447" s="44"/>
      <c r="AY447" s="45"/>
      <c r="AZ447" s="50"/>
      <c r="BA447" s="47"/>
      <c r="BB447" s="50"/>
      <c r="BC447" s="47"/>
      <c r="BD447" s="50"/>
      <c r="BE447" s="47"/>
      <c r="BF447" s="50"/>
      <c r="BG447" s="47"/>
      <c r="BH447" s="50"/>
      <c r="BI447" s="608" t="s">
        <v>307</v>
      </c>
      <c r="BJ447" s="326"/>
      <c r="BK447" s="326"/>
      <c r="BL447" s="326"/>
      <c r="BM447" s="326"/>
      <c r="BN447" s="326"/>
      <c r="BO447" s="326"/>
      <c r="BP447" s="326"/>
      <c r="BQ447" s="326"/>
      <c r="BR447" s="326"/>
      <c r="BS447" s="326"/>
      <c r="BT447" s="326"/>
      <c r="BU447" s="326"/>
      <c r="BV447" s="327"/>
    </row>
    <row r="448" spans="1:74" ht="30" customHeight="1" x14ac:dyDescent="0.25">
      <c r="A448" s="49">
        <f t="shared" si="1"/>
        <v>434</v>
      </c>
      <c r="B448" s="42" t="s">
        <v>334</v>
      </c>
      <c r="C448" s="43"/>
      <c r="D448" s="609"/>
      <c r="E448" s="326"/>
      <c r="F448" s="326"/>
      <c r="G448" s="326"/>
      <c r="H448" s="326"/>
      <c r="I448" s="326"/>
      <c r="J448" s="326"/>
      <c r="K448" s="327"/>
      <c r="L448" s="610"/>
      <c r="M448" s="326"/>
      <c r="N448" s="326"/>
      <c r="O448" s="327"/>
      <c r="P448" s="609"/>
      <c r="Q448" s="326"/>
      <c r="R448" s="326"/>
      <c r="S448" s="327"/>
      <c r="T448" s="610"/>
      <c r="U448" s="326"/>
      <c r="V448" s="326"/>
      <c r="W448" s="327"/>
      <c r="X448" s="609"/>
      <c r="Y448" s="326"/>
      <c r="Z448" s="326"/>
      <c r="AA448" s="327"/>
      <c r="AB448" s="451"/>
      <c r="AC448" s="326"/>
      <c r="AD448" s="327"/>
      <c r="AE448" s="526"/>
      <c r="AF448" s="326"/>
      <c r="AG448" s="327"/>
      <c r="AH448" s="607"/>
      <c r="AI448" s="326"/>
      <c r="AJ448" s="327"/>
      <c r="AK448" s="497"/>
      <c r="AL448" s="326"/>
      <c r="AM448" s="327"/>
      <c r="AN448" s="44"/>
      <c r="AO448" s="45"/>
      <c r="AP448" s="44"/>
      <c r="AQ448" s="45"/>
      <c r="AR448" s="44"/>
      <c r="AS448" s="45"/>
      <c r="AT448" s="44"/>
      <c r="AU448" s="45"/>
      <c r="AV448" s="44"/>
      <c r="AW448" s="45"/>
      <c r="AX448" s="44"/>
      <c r="AY448" s="45"/>
      <c r="AZ448" s="50"/>
      <c r="BA448" s="47"/>
      <c r="BB448" s="50"/>
      <c r="BC448" s="47"/>
      <c r="BD448" s="50"/>
      <c r="BE448" s="47"/>
      <c r="BF448" s="50"/>
      <c r="BG448" s="47"/>
      <c r="BH448" s="50"/>
      <c r="BI448" s="608" t="s">
        <v>307</v>
      </c>
      <c r="BJ448" s="326"/>
      <c r="BK448" s="326"/>
      <c r="BL448" s="326"/>
      <c r="BM448" s="326"/>
      <c r="BN448" s="326"/>
      <c r="BO448" s="326"/>
      <c r="BP448" s="326"/>
      <c r="BQ448" s="326"/>
      <c r="BR448" s="326"/>
      <c r="BS448" s="326"/>
      <c r="BT448" s="326"/>
      <c r="BU448" s="326"/>
      <c r="BV448" s="327"/>
    </row>
    <row r="449" spans="1:74" ht="30" customHeight="1" x14ac:dyDescent="0.25">
      <c r="A449" s="49">
        <f t="shared" si="1"/>
        <v>435</v>
      </c>
      <c r="B449" s="42" t="s">
        <v>334</v>
      </c>
      <c r="C449" s="43"/>
      <c r="D449" s="609"/>
      <c r="E449" s="326"/>
      <c r="F449" s="326"/>
      <c r="G449" s="326"/>
      <c r="H449" s="326"/>
      <c r="I449" s="326"/>
      <c r="J449" s="326"/>
      <c r="K449" s="327"/>
      <c r="L449" s="610"/>
      <c r="M449" s="326"/>
      <c r="N449" s="326"/>
      <c r="O449" s="327"/>
      <c r="P449" s="609"/>
      <c r="Q449" s="326"/>
      <c r="R449" s="326"/>
      <c r="S449" s="327"/>
      <c r="T449" s="610"/>
      <c r="U449" s="326"/>
      <c r="V449" s="326"/>
      <c r="W449" s="327"/>
      <c r="X449" s="609"/>
      <c r="Y449" s="326"/>
      <c r="Z449" s="326"/>
      <c r="AA449" s="327"/>
      <c r="AB449" s="451"/>
      <c r="AC449" s="326"/>
      <c r="AD449" s="327"/>
      <c r="AE449" s="526"/>
      <c r="AF449" s="326"/>
      <c r="AG449" s="327"/>
      <c r="AH449" s="607"/>
      <c r="AI449" s="326"/>
      <c r="AJ449" s="327"/>
      <c r="AK449" s="497"/>
      <c r="AL449" s="326"/>
      <c r="AM449" s="327"/>
      <c r="AN449" s="44"/>
      <c r="AO449" s="45"/>
      <c r="AP449" s="44"/>
      <c r="AQ449" s="45"/>
      <c r="AR449" s="44"/>
      <c r="AS449" s="45"/>
      <c r="AT449" s="44"/>
      <c r="AU449" s="45"/>
      <c r="AV449" s="44"/>
      <c r="AW449" s="45"/>
      <c r="AX449" s="44"/>
      <c r="AY449" s="45"/>
      <c r="AZ449" s="50"/>
      <c r="BA449" s="47"/>
      <c r="BB449" s="50"/>
      <c r="BC449" s="47"/>
      <c r="BD449" s="50"/>
      <c r="BE449" s="47"/>
      <c r="BF449" s="50"/>
      <c r="BG449" s="47"/>
      <c r="BH449" s="50"/>
      <c r="BI449" s="608" t="s">
        <v>307</v>
      </c>
      <c r="BJ449" s="326"/>
      <c r="BK449" s="326"/>
      <c r="BL449" s="326"/>
      <c r="BM449" s="326"/>
      <c r="BN449" s="326"/>
      <c r="BO449" s="326"/>
      <c r="BP449" s="326"/>
      <c r="BQ449" s="326"/>
      <c r="BR449" s="326"/>
      <c r="BS449" s="326"/>
      <c r="BT449" s="326"/>
      <c r="BU449" s="326"/>
      <c r="BV449" s="327"/>
    </row>
    <row r="450" spans="1:74" ht="30" customHeight="1" x14ac:dyDescent="0.25">
      <c r="A450" s="49">
        <f t="shared" si="1"/>
        <v>436</v>
      </c>
      <c r="B450" s="42" t="s">
        <v>334</v>
      </c>
      <c r="C450" s="43"/>
      <c r="D450" s="609"/>
      <c r="E450" s="326"/>
      <c r="F450" s="326"/>
      <c r="G450" s="326"/>
      <c r="H450" s="326"/>
      <c r="I450" s="326"/>
      <c r="J450" s="326"/>
      <c r="K450" s="327"/>
      <c r="L450" s="610"/>
      <c r="M450" s="326"/>
      <c r="N450" s="326"/>
      <c r="O450" s="327"/>
      <c r="P450" s="609"/>
      <c r="Q450" s="326"/>
      <c r="R450" s="326"/>
      <c r="S450" s="327"/>
      <c r="T450" s="610"/>
      <c r="U450" s="326"/>
      <c r="V450" s="326"/>
      <c r="W450" s="327"/>
      <c r="X450" s="609"/>
      <c r="Y450" s="326"/>
      <c r="Z450" s="326"/>
      <c r="AA450" s="327"/>
      <c r="AB450" s="451"/>
      <c r="AC450" s="326"/>
      <c r="AD450" s="327"/>
      <c r="AE450" s="526"/>
      <c r="AF450" s="326"/>
      <c r="AG450" s="327"/>
      <c r="AH450" s="607"/>
      <c r="AI450" s="326"/>
      <c r="AJ450" s="327"/>
      <c r="AK450" s="497"/>
      <c r="AL450" s="326"/>
      <c r="AM450" s="327"/>
      <c r="AN450" s="44"/>
      <c r="AO450" s="45"/>
      <c r="AP450" s="44"/>
      <c r="AQ450" s="45"/>
      <c r="AR450" s="44"/>
      <c r="AS450" s="45"/>
      <c r="AT450" s="44"/>
      <c r="AU450" s="45"/>
      <c r="AV450" s="44"/>
      <c r="AW450" s="45"/>
      <c r="AX450" s="44"/>
      <c r="AY450" s="45"/>
      <c r="AZ450" s="50"/>
      <c r="BA450" s="47"/>
      <c r="BB450" s="50"/>
      <c r="BC450" s="47"/>
      <c r="BD450" s="50"/>
      <c r="BE450" s="47"/>
      <c r="BF450" s="50"/>
      <c r="BG450" s="47"/>
      <c r="BH450" s="50"/>
      <c r="BI450" s="608" t="s">
        <v>303</v>
      </c>
      <c r="BJ450" s="326"/>
      <c r="BK450" s="326"/>
      <c r="BL450" s="326"/>
      <c r="BM450" s="326"/>
      <c r="BN450" s="326"/>
      <c r="BO450" s="326"/>
      <c r="BP450" s="326"/>
      <c r="BQ450" s="326"/>
      <c r="BR450" s="326"/>
      <c r="BS450" s="326"/>
      <c r="BT450" s="326"/>
      <c r="BU450" s="326"/>
      <c r="BV450" s="327"/>
    </row>
    <row r="451" spans="1:74" ht="30" customHeight="1" x14ac:dyDescent="0.25">
      <c r="A451" s="49">
        <f t="shared" si="1"/>
        <v>437</v>
      </c>
      <c r="B451" s="42" t="s">
        <v>334</v>
      </c>
      <c r="C451" s="43"/>
      <c r="D451" s="609"/>
      <c r="E451" s="326"/>
      <c r="F451" s="326"/>
      <c r="G451" s="326"/>
      <c r="H451" s="326"/>
      <c r="I451" s="326"/>
      <c r="J451" s="326"/>
      <c r="K451" s="327"/>
      <c r="L451" s="610"/>
      <c r="M451" s="326"/>
      <c r="N451" s="326"/>
      <c r="O451" s="327"/>
      <c r="P451" s="609"/>
      <c r="Q451" s="326"/>
      <c r="R451" s="326"/>
      <c r="S451" s="327"/>
      <c r="T451" s="610"/>
      <c r="U451" s="326"/>
      <c r="V451" s="326"/>
      <c r="W451" s="327"/>
      <c r="X451" s="609"/>
      <c r="Y451" s="326"/>
      <c r="Z451" s="326"/>
      <c r="AA451" s="327"/>
      <c r="AB451" s="451"/>
      <c r="AC451" s="326"/>
      <c r="AD451" s="327"/>
      <c r="AE451" s="526"/>
      <c r="AF451" s="326"/>
      <c r="AG451" s="327"/>
      <c r="AH451" s="607"/>
      <c r="AI451" s="326"/>
      <c r="AJ451" s="327"/>
      <c r="AK451" s="497"/>
      <c r="AL451" s="326"/>
      <c r="AM451" s="327"/>
      <c r="AN451" s="44"/>
      <c r="AO451" s="45"/>
      <c r="AP451" s="44"/>
      <c r="AQ451" s="45"/>
      <c r="AR451" s="44"/>
      <c r="AS451" s="45"/>
      <c r="AT451" s="44"/>
      <c r="AU451" s="45"/>
      <c r="AV451" s="44"/>
      <c r="AW451" s="45"/>
      <c r="AX451" s="44"/>
      <c r="AY451" s="45"/>
      <c r="AZ451" s="50"/>
      <c r="BA451" s="47"/>
      <c r="BB451" s="50"/>
      <c r="BC451" s="47"/>
      <c r="BD451" s="50"/>
      <c r="BE451" s="47"/>
      <c r="BF451" s="50"/>
      <c r="BG451" s="47"/>
      <c r="BH451" s="50"/>
      <c r="BI451" s="608" t="s">
        <v>303</v>
      </c>
      <c r="BJ451" s="326"/>
      <c r="BK451" s="326"/>
      <c r="BL451" s="326"/>
      <c r="BM451" s="326"/>
      <c r="BN451" s="326"/>
      <c r="BO451" s="326"/>
      <c r="BP451" s="326"/>
      <c r="BQ451" s="326"/>
      <c r="BR451" s="326"/>
      <c r="BS451" s="326"/>
      <c r="BT451" s="326"/>
      <c r="BU451" s="326"/>
      <c r="BV451" s="327"/>
    </row>
    <row r="452" spans="1:74" ht="30" customHeight="1" x14ac:dyDescent="0.25">
      <c r="A452" s="41">
        <f t="shared" si="1"/>
        <v>438</v>
      </c>
      <c r="B452" s="42" t="s">
        <v>334</v>
      </c>
      <c r="C452" s="43"/>
      <c r="D452" s="609"/>
      <c r="E452" s="326"/>
      <c r="F452" s="326"/>
      <c r="G452" s="326"/>
      <c r="H452" s="326"/>
      <c r="I452" s="326"/>
      <c r="J452" s="326"/>
      <c r="K452" s="327"/>
      <c r="L452" s="610"/>
      <c r="M452" s="326"/>
      <c r="N452" s="326"/>
      <c r="O452" s="327"/>
      <c r="P452" s="609"/>
      <c r="Q452" s="326"/>
      <c r="R452" s="326"/>
      <c r="S452" s="327"/>
      <c r="T452" s="610"/>
      <c r="U452" s="326"/>
      <c r="V452" s="326"/>
      <c r="W452" s="327"/>
      <c r="X452" s="609"/>
      <c r="Y452" s="326"/>
      <c r="Z452" s="326"/>
      <c r="AA452" s="327"/>
      <c r="AB452" s="451"/>
      <c r="AC452" s="326"/>
      <c r="AD452" s="327"/>
      <c r="AE452" s="526"/>
      <c r="AF452" s="326"/>
      <c r="AG452" s="327"/>
      <c r="AH452" s="607"/>
      <c r="AI452" s="326"/>
      <c r="AJ452" s="327"/>
      <c r="AK452" s="497"/>
      <c r="AL452" s="326"/>
      <c r="AM452" s="327"/>
      <c r="AN452" s="44"/>
      <c r="AO452" s="45"/>
      <c r="AP452" s="44"/>
      <c r="AQ452" s="45"/>
      <c r="AR452" s="44"/>
      <c r="AS452" s="45"/>
      <c r="AT452" s="44"/>
      <c r="AU452" s="45"/>
      <c r="AV452" s="44"/>
      <c r="AW452" s="45"/>
      <c r="AX452" s="44"/>
      <c r="AY452" s="45"/>
      <c r="AZ452" s="50"/>
      <c r="BA452" s="47"/>
      <c r="BB452" s="50"/>
      <c r="BC452" s="47"/>
      <c r="BD452" s="50"/>
      <c r="BE452" s="47"/>
      <c r="BF452" s="50"/>
      <c r="BG452" s="47"/>
      <c r="BH452" s="50"/>
      <c r="BI452" s="608" t="s">
        <v>307</v>
      </c>
      <c r="BJ452" s="326"/>
      <c r="BK452" s="326"/>
      <c r="BL452" s="326"/>
      <c r="BM452" s="326"/>
      <c r="BN452" s="326"/>
      <c r="BO452" s="326"/>
      <c r="BP452" s="326"/>
      <c r="BQ452" s="326"/>
      <c r="BR452" s="326"/>
      <c r="BS452" s="326"/>
      <c r="BT452" s="326"/>
      <c r="BU452" s="326"/>
      <c r="BV452" s="327"/>
    </row>
    <row r="453" spans="1:74" ht="30" customHeight="1" x14ac:dyDescent="0.25">
      <c r="A453" s="49">
        <f t="shared" si="1"/>
        <v>439</v>
      </c>
      <c r="B453" s="42" t="s">
        <v>334</v>
      </c>
      <c r="C453" s="43"/>
      <c r="D453" s="609"/>
      <c r="E453" s="326"/>
      <c r="F453" s="326"/>
      <c r="G453" s="326"/>
      <c r="H453" s="326"/>
      <c r="I453" s="326"/>
      <c r="J453" s="326"/>
      <c r="K453" s="327"/>
      <c r="L453" s="610"/>
      <c r="M453" s="326"/>
      <c r="N453" s="326"/>
      <c r="O453" s="327"/>
      <c r="P453" s="609"/>
      <c r="Q453" s="326"/>
      <c r="R453" s="326"/>
      <c r="S453" s="327"/>
      <c r="T453" s="610"/>
      <c r="U453" s="326"/>
      <c r="V453" s="326"/>
      <c r="W453" s="327"/>
      <c r="X453" s="609"/>
      <c r="Y453" s="326"/>
      <c r="Z453" s="326"/>
      <c r="AA453" s="327"/>
      <c r="AB453" s="451"/>
      <c r="AC453" s="326"/>
      <c r="AD453" s="327"/>
      <c r="AE453" s="526"/>
      <c r="AF453" s="326"/>
      <c r="AG453" s="327"/>
      <c r="AH453" s="607"/>
      <c r="AI453" s="326"/>
      <c r="AJ453" s="327"/>
      <c r="AK453" s="497"/>
      <c r="AL453" s="326"/>
      <c r="AM453" s="327"/>
      <c r="AN453" s="44"/>
      <c r="AO453" s="45"/>
      <c r="AP453" s="44"/>
      <c r="AQ453" s="45"/>
      <c r="AR453" s="44"/>
      <c r="AS453" s="45"/>
      <c r="AT453" s="44"/>
      <c r="AU453" s="45"/>
      <c r="AV453" s="44"/>
      <c r="AW453" s="45"/>
      <c r="AX453" s="44"/>
      <c r="AY453" s="45"/>
      <c r="AZ453" s="50"/>
      <c r="BA453" s="47"/>
      <c r="BB453" s="50"/>
      <c r="BC453" s="47"/>
      <c r="BD453" s="50"/>
      <c r="BE453" s="47"/>
      <c r="BF453" s="50"/>
      <c r="BG453" s="47"/>
      <c r="BH453" s="50"/>
      <c r="BI453" s="608" t="s">
        <v>307</v>
      </c>
      <c r="BJ453" s="326"/>
      <c r="BK453" s="326"/>
      <c r="BL453" s="326"/>
      <c r="BM453" s="326"/>
      <c r="BN453" s="326"/>
      <c r="BO453" s="326"/>
      <c r="BP453" s="326"/>
      <c r="BQ453" s="326"/>
      <c r="BR453" s="326"/>
      <c r="BS453" s="326"/>
      <c r="BT453" s="326"/>
      <c r="BU453" s="326"/>
      <c r="BV453" s="327"/>
    </row>
    <row r="454" spans="1:74" ht="30" customHeight="1" x14ac:dyDescent="0.25">
      <c r="A454" s="49">
        <f t="shared" si="1"/>
        <v>440</v>
      </c>
      <c r="B454" s="42" t="s">
        <v>334</v>
      </c>
      <c r="C454" s="43"/>
      <c r="D454" s="609"/>
      <c r="E454" s="326"/>
      <c r="F454" s="326"/>
      <c r="G454" s="326"/>
      <c r="H454" s="326"/>
      <c r="I454" s="326"/>
      <c r="J454" s="326"/>
      <c r="K454" s="327"/>
      <c r="L454" s="610"/>
      <c r="M454" s="326"/>
      <c r="N454" s="326"/>
      <c r="O454" s="327"/>
      <c r="P454" s="609"/>
      <c r="Q454" s="326"/>
      <c r="R454" s="326"/>
      <c r="S454" s="327"/>
      <c r="T454" s="610"/>
      <c r="U454" s="326"/>
      <c r="V454" s="326"/>
      <c r="W454" s="327"/>
      <c r="X454" s="609"/>
      <c r="Y454" s="326"/>
      <c r="Z454" s="326"/>
      <c r="AA454" s="327"/>
      <c r="AB454" s="451"/>
      <c r="AC454" s="326"/>
      <c r="AD454" s="327"/>
      <c r="AE454" s="526"/>
      <c r="AF454" s="326"/>
      <c r="AG454" s="327"/>
      <c r="AH454" s="607"/>
      <c r="AI454" s="326"/>
      <c r="AJ454" s="327"/>
      <c r="AK454" s="497"/>
      <c r="AL454" s="326"/>
      <c r="AM454" s="327"/>
      <c r="AN454" s="44"/>
      <c r="AO454" s="45"/>
      <c r="AP454" s="44"/>
      <c r="AQ454" s="45"/>
      <c r="AR454" s="44"/>
      <c r="AS454" s="45"/>
      <c r="AT454" s="44"/>
      <c r="AU454" s="45"/>
      <c r="AV454" s="44"/>
      <c r="AW454" s="45"/>
      <c r="AX454" s="44"/>
      <c r="AY454" s="45"/>
      <c r="AZ454" s="50"/>
      <c r="BA454" s="47"/>
      <c r="BB454" s="50"/>
      <c r="BC454" s="47"/>
      <c r="BD454" s="50"/>
      <c r="BE454" s="47"/>
      <c r="BF454" s="50"/>
      <c r="BG454" s="47"/>
      <c r="BH454" s="50"/>
      <c r="BI454" s="608" t="s">
        <v>307</v>
      </c>
      <c r="BJ454" s="326"/>
      <c r="BK454" s="326"/>
      <c r="BL454" s="326"/>
      <c r="BM454" s="326"/>
      <c r="BN454" s="326"/>
      <c r="BO454" s="326"/>
      <c r="BP454" s="326"/>
      <c r="BQ454" s="326"/>
      <c r="BR454" s="326"/>
      <c r="BS454" s="326"/>
      <c r="BT454" s="326"/>
      <c r="BU454" s="326"/>
      <c r="BV454" s="327"/>
    </row>
    <row r="455" spans="1:74" ht="30" customHeight="1" x14ac:dyDescent="0.25">
      <c r="A455" s="49">
        <f t="shared" si="1"/>
        <v>441</v>
      </c>
      <c r="B455" s="42" t="s">
        <v>334</v>
      </c>
      <c r="C455" s="43"/>
      <c r="D455" s="609"/>
      <c r="E455" s="326"/>
      <c r="F455" s="326"/>
      <c r="G455" s="326"/>
      <c r="H455" s="326"/>
      <c r="I455" s="326"/>
      <c r="J455" s="326"/>
      <c r="K455" s="327"/>
      <c r="L455" s="610"/>
      <c r="M455" s="326"/>
      <c r="N455" s="326"/>
      <c r="O455" s="327"/>
      <c r="P455" s="609"/>
      <c r="Q455" s="326"/>
      <c r="R455" s="326"/>
      <c r="S455" s="327"/>
      <c r="T455" s="610"/>
      <c r="U455" s="326"/>
      <c r="V455" s="326"/>
      <c r="W455" s="327"/>
      <c r="X455" s="609"/>
      <c r="Y455" s="326"/>
      <c r="Z455" s="326"/>
      <c r="AA455" s="327"/>
      <c r="AB455" s="451"/>
      <c r="AC455" s="326"/>
      <c r="AD455" s="327"/>
      <c r="AE455" s="526"/>
      <c r="AF455" s="326"/>
      <c r="AG455" s="327"/>
      <c r="AH455" s="607"/>
      <c r="AI455" s="326"/>
      <c r="AJ455" s="327"/>
      <c r="AK455" s="497"/>
      <c r="AL455" s="326"/>
      <c r="AM455" s="327"/>
      <c r="AN455" s="44"/>
      <c r="AO455" s="45"/>
      <c r="AP455" s="44"/>
      <c r="AQ455" s="45"/>
      <c r="AR455" s="44"/>
      <c r="AS455" s="45"/>
      <c r="AT455" s="44"/>
      <c r="AU455" s="45"/>
      <c r="AV455" s="44"/>
      <c r="AW455" s="45"/>
      <c r="AX455" s="44"/>
      <c r="AY455" s="45"/>
      <c r="AZ455" s="50"/>
      <c r="BA455" s="47"/>
      <c r="BB455" s="50"/>
      <c r="BC455" s="47"/>
      <c r="BD455" s="50"/>
      <c r="BE455" s="47"/>
      <c r="BF455" s="50"/>
      <c r="BG455" s="47"/>
      <c r="BH455" s="50"/>
      <c r="BI455" s="608" t="s">
        <v>307</v>
      </c>
      <c r="BJ455" s="326"/>
      <c r="BK455" s="326"/>
      <c r="BL455" s="326"/>
      <c r="BM455" s="326"/>
      <c r="BN455" s="326"/>
      <c r="BO455" s="326"/>
      <c r="BP455" s="326"/>
      <c r="BQ455" s="326"/>
      <c r="BR455" s="326"/>
      <c r="BS455" s="326"/>
      <c r="BT455" s="326"/>
      <c r="BU455" s="326"/>
      <c r="BV455" s="327"/>
    </row>
    <row r="456" spans="1:74" ht="30" customHeight="1" x14ac:dyDescent="0.25">
      <c r="A456" s="49">
        <f t="shared" si="1"/>
        <v>442</v>
      </c>
      <c r="B456" s="42" t="s">
        <v>334</v>
      </c>
      <c r="C456" s="43"/>
      <c r="D456" s="609"/>
      <c r="E456" s="326"/>
      <c r="F456" s="326"/>
      <c r="G456" s="326"/>
      <c r="H456" s="326"/>
      <c r="I456" s="326"/>
      <c r="J456" s="326"/>
      <c r="K456" s="327"/>
      <c r="L456" s="610"/>
      <c r="M456" s="326"/>
      <c r="N456" s="326"/>
      <c r="O456" s="327"/>
      <c r="P456" s="609"/>
      <c r="Q456" s="326"/>
      <c r="R456" s="326"/>
      <c r="S456" s="327"/>
      <c r="T456" s="610"/>
      <c r="U456" s="326"/>
      <c r="V456" s="326"/>
      <c r="W456" s="327"/>
      <c r="X456" s="609"/>
      <c r="Y456" s="326"/>
      <c r="Z456" s="326"/>
      <c r="AA456" s="327"/>
      <c r="AB456" s="451"/>
      <c r="AC456" s="326"/>
      <c r="AD456" s="327"/>
      <c r="AE456" s="526"/>
      <c r="AF456" s="326"/>
      <c r="AG456" s="327"/>
      <c r="AH456" s="607"/>
      <c r="AI456" s="326"/>
      <c r="AJ456" s="327"/>
      <c r="AK456" s="497"/>
      <c r="AL456" s="326"/>
      <c r="AM456" s="327"/>
      <c r="AN456" s="44"/>
      <c r="AO456" s="45"/>
      <c r="AP456" s="44"/>
      <c r="AQ456" s="45"/>
      <c r="AR456" s="44"/>
      <c r="AS456" s="45"/>
      <c r="AT456" s="44"/>
      <c r="AU456" s="45"/>
      <c r="AV456" s="44"/>
      <c r="AW456" s="45"/>
      <c r="AX456" s="44"/>
      <c r="AY456" s="45"/>
      <c r="AZ456" s="50"/>
      <c r="BA456" s="47"/>
      <c r="BB456" s="50"/>
      <c r="BC456" s="47"/>
      <c r="BD456" s="50"/>
      <c r="BE456" s="47"/>
      <c r="BF456" s="50"/>
      <c r="BG456" s="47"/>
      <c r="BH456" s="50"/>
      <c r="BI456" s="608" t="s">
        <v>307</v>
      </c>
      <c r="BJ456" s="326"/>
      <c r="BK456" s="326"/>
      <c r="BL456" s="326"/>
      <c r="BM456" s="326"/>
      <c r="BN456" s="326"/>
      <c r="BO456" s="326"/>
      <c r="BP456" s="326"/>
      <c r="BQ456" s="326"/>
      <c r="BR456" s="326"/>
      <c r="BS456" s="326"/>
      <c r="BT456" s="326"/>
      <c r="BU456" s="326"/>
      <c r="BV456" s="327"/>
    </row>
    <row r="457" spans="1:74" ht="30" customHeight="1" x14ac:dyDescent="0.25">
      <c r="A457" s="49">
        <f t="shared" si="1"/>
        <v>443</v>
      </c>
      <c r="B457" s="42" t="s">
        <v>334</v>
      </c>
      <c r="C457" s="43"/>
      <c r="D457" s="609"/>
      <c r="E457" s="326"/>
      <c r="F457" s="326"/>
      <c r="G457" s="326"/>
      <c r="H457" s="326"/>
      <c r="I457" s="326"/>
      <c r="J457" s="326"/>
      <c r="K457" s="327"/>
      <c r="L457" s="610"/>
      <c r="M457" s="326"/>
      <c r="N457" s="326"/>
      <c r="O457" s="327"/>
      <c r="P457" s="609"/>
      <c r="Q457" s="326"/>
      <c r="R457" s="326"/>
      <c r="S457" s="327"/>
      <c r="T457" s="610"/>
      <c r="U457" s="326"/>
      <c r="V457" s="326"/>
      <c r="W457" s="327"/>
      <c r="X457" s="609"/>
      <c r="Y457" s="326"/>
      <c r="Z457" s="326"/>
      <c r="AA457" s="327"/>
      <c r="AB457" s="451"/>
      <c r="AC457" s="326"/>
      <c r="AD457" s="327"/>
      <c r="AE457" s="526"/>
      <c r="AF457" s="326"/>
      <c r="AG457" s="327"/>
      <c r="AH457" s="607"/>
      <c r="AI457" s="326"/>
      <c r="AJ457" s="327"/>
      <c r="AK457" s="497"/>
      <c r="AL457" s="326"/>
      <c r="AM457" s="327"/>
      <c r="AN457" s="44"/>
      <c r="AO457" s="45"/>
      <c r="AP457" s="44"/>
      <c r="AQ457" s="45"/>
      <c r="AR457" s="44"/>
      <c r="AS457" s="45"/>
      <c r="AT457" s="44"/>
      <c r="AU457" s="45"/>
      <c r="AV457" s="44"/>
      <c r="AW457" s="45"/>
      <c r="AX457" s="44"/>
      <c r="AY457" s="45"/>
      <c r="AZ457" s="50"/>
      <c r="BA457" s="47"/>
      <c r="BB457" s="50"/>
      <c r="BC457" s="47"/>
      <c r="BD457" s="50"/>
      <c r="BE457" s="47"/>
      <c r="BF457" s="50"/>
      <c r="BG457" s="47"/>
      <c r="BH457" s="50"/>
      <c r="BI457" s="608" t="s">
        <v>303</v>
      </c>
      <c r="BJ457" s="326"/>
      <c r="BK457" s="326"/>
      <c r="BL457" s="326"/>
      <c r="BM457" s="326"/>
      <c r="BN457" s="326"/>
      <c r="BO457" s="326"/>
      <c r="BP457" s="326"/>
      <c r="BQ457" s="326"/>
      <c r="BR457" s="326"/>
      <c r="BS457" s="326"/>
      <c r="BT457" s="326"/>
      <c r="BU457" s="326"/>
      <c r="BV457" s="327"/>
    </row>
    <row r="458" spans="1:74" ht="30" customHeight="1" x14ac:dyDescent="0.25">
      <c r="A458" s="49">
        <f t="shared" si="1"/>
        <v>444</v>
      </c>
      <c r="B458" s="42" t="s">
        <v>334</v>
      </c>
      <c r="C458" s="43"/>
      <c r="D458" s="609"/>
      <c r="E458" s="326"/>
      <c r="F458" s="326"/>
      <c r="G458" s="326"/>
      <c r="H458" s="326"/>
      <c r="I458" s="326"/>
      <c r="J458" s="326"/>
      <c r="K458" s="327"/>
      <c r="L458" s="610"/>
      <c r="M458" s="326"/>
      <c r="N458" s="326"/>
      <c r="O458" s="327"/>
      <c r="P458" s="609"/>
      <c r="Q458" s="326"/>
      <c r="R458" s="326"/>
      <c r="S458" s="327"/>
      <c r="T458" s="610"/>
      <c r="U458" s="326"/>
      <c r="V458" s="326"/>
      <c r="W458" s="327"/>
      <c r="X458" s="609"/>
      <c r="Y458" s="326"/>
      <c r="Z458" s="326"/>
      <c r="AA458" s="327"/>
      <c r="AB458" s="451"/>
      <c r="AC458" s="326"/>
      <c r="AD458" s="327"/>
      <c r="AE458" s="526"/>
      <c r="AF458" s="326"/>
      <c r="AG458" s="327"/>
      <c r="AH458" s="607"/>
      <c r="AI458" s="326"/>
      <c r="AJ458" s="327"/>
      <c r="AK458" s="497"/>
      <c r="AL458" s="326"/>
      <c r="AM458" s="327"/>
      <c r="AN458" s="44"/>
      <c r="AO458" s="45"/>
      <c r="AP458" s="44"/>
      <c r="AQ458" s="45"/>
      <c r="AR458" s="44"/>
      <c r="AS458" s="45"/>
      <c r="AT458" s="44"/>
      <c r="AU458" s="45"/>
      <c r="AV458" s="44"/>
      <c r="AW458" s="45"/>
      <c r="AX458" s="44"/>
      <c r="AY458" s="45"/>
      <c r="AZ458" s="50"/>
      <c r="BA458" s="47"/>
      <c r="BB458" s="50"/>
      <c r="BC458" s="47"/>
      <c r="BD458" s="50"/>
      <c r="BE458" s="47"/>
      <c r="BF458" s="50"/>
      <c r="BG458" s="47"/>
      <c r="BH458" s="50"/>
      <c r="BI458" s="608" t="s">
        <v>303</v>
      </c>
      <c r="BJ458" s="326"/>
      <c r="BK458" s="326"/>
      <c r="BL458" s="326"/>
      <c r="BM458" s="326"/>
      <c r="BN458" s="326"/>
      <c r="BO458" s="326"/>
      <c r="BP458" s="326"/>
      <c r="BQ458" s="326"/>
      <c r="BR458" s="326"/>
      <c r="BS458" s="326"/>
      <c r="BT458" s="326"/>
      <c r="BU458" s="326"/>
      <c r="BV458" s="327"/>
    </row>
    <row r="459" spans="1:74" ht="30" customHeight="1" x14ac:dyDescent="0.25">
      <c r="A459" s="41">
        <f t="shared" si="1"/>
        <v>445</v>
      </c>
      <c r="B459" s="42" t="s">
        <v>334</v>
      </c>
      <c r="C459" s="43"/>
      <c r="D459" s="609"/>
      <c r="E459" s="326"/>
      <c r="F459" s="326"/>
      <c r="G459" s="326"/>
      <c r="H459" s="326"/>
      <c r="I459" s="326"/>
      <c r="J459" s="326"/>
      <c r="K459" s="327"/>
      <c r="L459" s="610"/>
      <c r="M459" s="326"/>
      <c r="N459" s="326"/>
      <c r="O459" s="327"/>
      <c r="P459" s="609"/>
      <c r="Q459" s="326"/>
      <c r="R459" s="326"/>
      <c r="S459" s="327"/>
      <c r="T459" s="610"/>
      <c r="U459" s="326"/>
      <c r="V459" s="326"/>
      <c r="W459" s="327"/>
      <c r="X459" s="609"/>
      <c r="Y459" s="326"/>
      <c r="Z459" s="326"/>
      <c r="AA459" s="327"/>
      <c r="AB459" s="451"/>
      <c r="AC459" s="326"/>
      <c r="AD459" s="327"/>
      <c r="AE459" s="526"/>
      <c r="AF459" s="326"/>
      <c r="AG459" s="327"/>
      <c r="AH459" s="607"/>
      <c r="AI459" s="326"/>
      <c r="AJ459" s="327"/>
      <c r="AK459" s="497"/>
      <c r="AL459" s="326"/>
      <c r="AM459" s="327"/>
      <c r="AN459" s="44"/>
      <c r="AO459" s="45"/>
      <c r="AP459" s="44"/>
      <c r="AQ459" s="45"/>
      <c r="AR459" s="44"/>
      <c r="AS459" s="45"/>
      <c r="AT459" s="44"/>
      <c r="AU459" s="45"/>
      <c r="AV459" s="44"/>
      <c r="AW459" s="45"/>
      <c r="AX459" s="44"/>
      <c r="AY459" s="45"/>
      <c r="AZ459" s="50"/>
      <c r="BA459" s="47"/>
      <c r="BB459" s="50"/>
      <c r="BC459" s="47"/>
      <c r="BD459" s="50"/>
      <c r="BE459" s="47"/>
      <c r="BF459" s="50"/>
      <c r="BG459" s="47"/>
      <c r="BH459" s="50"/>
      <c r="BI459" s="608" t="s">
        <v>307</v>
      </c>
      <c r="BJ459" s="326"/>
      <c r="BK459" s="326"/>
      <c r="BL459" s="326"/>
      <c r="BM459" s="326"/>
      <c r="BN459" s="326"/>
      <c r="BO459" s="326"/>
      <c r="BP459" s="326"/>
      <c r="BQ459" s="326"/>
      <c r="BR459" s="326"/>
      <c r="BS459" s="326"/>
      <c r="BT459" s="326"/>
      <c r="BU459" s="326"/>
      <c r="BV459" s="327"/>
    </row>
    <row r="460" spans="1:74" ht="30" customHeight="1" x14ac:dyDescent="0.25">
      <c r="A460" s="49">
        <f t="shared" si="1"/>
        <v>446</v>
      </c>
      <c r="B460" s="42" t="s">
        <v>334</v>
      </c>
      <c r="C460" s="43"/>
      <c r="D460" s="609"/>
      <c r="E460" s="326"/>
      <c r="F460" s="326"/>
      <c r="G460" s="326"/>
      <c r="H460" s="326"/>
      <c r="I460" s="326"/>
      <c r="J460" s="326"/>
      <c r="K460" s="327"/>
      <c r="L460" s="610"/>
      <c r="M460" s="326"/>
      <c r="N460" s="326"/>
      <c r="O460" s="327"/>
      <c r="P460" s="609"/>
      <c r="Q460" s="326"/>
      <c r="R460" s="326"/>
      <c r="S460" s="327"/>
      <c r="T460" s="610"/>
      <c r="U460" s="326"/>
      <c r="V460" s="326"/>
      <c r="W460" s="327"/>
      <c r="X460" s="609"/>
      <c r="Y460" s="326"/>
      <c r="Z460" s="326"/>
      <c r="AA460" s="327"/>
      <c r="AB460" s="451"/>
      <c r="AC460" s="326"/>
      <c r="AD460" s="327"/>
      <c r="AE460" s="526"/>
      <c r="AF460" s="326"/>
      <c r="AG460" s="327"/>
      <c r="AH460" s="607"/>
      <c r="AI460" s="326"/>
      <c r="AJ460" s="327"/>
      <c r="AK460" s="497"/>
      <c r="AL460" s="326"/>
      <c r="AM460" s="327"/>
      <c r="AN460" s="44"/>
      <c r="AO460" s="45"/>
      <c r="AP460" s="44"/>
      <c r="AQ460" s="45"/>
      <c r="AR460" s="44"/>
      <c r="AS460" s="45"/>
      <c r="AT460" s="44"/>
      <c r="AU460" s="45"/>
      <c r="AV460" s="44"/>
      <c r="AW460" s="45"/>
      <c r="AX460" s="44"/>
      <c r="AY460" s="45"/>
      <c r="AZ460" s="50"/>
      <c r="BA460" s="47"/>
      <c r="BB460" s="50"/>
      <c r="BC460" s="47"/>
      <c r="BD460" s="50"/>
      <c r="BE460" s="47"/>
      <c r="BF460" s="50"/>
      <c r="BG460" s="47"/>
      <c r="BH460" s="50"/>
      <c r="BI460" s="608" t="s">
        <v>307</v>
      </c>
      <c r="BJ460" s="326"/>
      <c r="BK460" s="326"/>
      <c r="BL460" s="326"/>
      <c r="BM460" s="326"/>
      <c r="BN460" s="326"/>
      <c r="BO460" s="326"/>
      <c r="BP460" s="326"/>
      <c r="BQ460" s="326"/>
      <c r="BR460" s="326"/>
      <c r="BS460" s="326"/>
      <c r="BT460" s="326"/>
      <c r="BU460" s="326"/>
      <c r="BV460" s="327"/>
    </row>
    <row r="461" spans="1:74" ht="30" customHeight="1" x14ac:dyDescent="0.25">
      <c r="A461" s="49">
        <f t="shared" si="1"/>
        <v>447</v>
      </c>
      <c r="B461" s="42" t="s">
        <v>334</v>
      </c>
      <c r="C461" s="43"/>
      <c r="D461" s="609"/>
      <c r="E461" s="326"/>
      <c r="F461" s="326"/>
      <c r="G461" s="326"/>
      <c r="H461" s="326"/>
      <c r="I461" s="326"/>
      <c r="J461" s="326"/>
      <c r="K461" s="327"/>
      <c r="L461" s="610"/>
      <c r="M461" s="326"/>
      <c r="N461" s="326"/>
      <c r="O461" s="327"/>
      <c r="P461" s="609"/>
      <c r="Q461" s="326"/>
      <c r="R461" s="326"/>
      <c r="S461" s="327"/>
      <c r="T461" s="610"/>
      <c r="U461" s="326"/>
      <c r="V461" s="326"/>
      <c r="W461" s="327"/>
      <c r="X461" s="609"/>
      <c r="Y461" s="326"/>
      <c r="Z461" s="326"/>
      <c r="AA461" s="327"/>
      <c r="AB461" s="451"/>
      <c r="AC461" s="326"/>
      <c r="AD461" s="327"/>
      <c r="AE461" s="526"/>
      <c r="AF461" s="326"/>
      <c r="AG461" s="327"/>
      <c r="AH461" s="607"/>
      <c r="AI461" s="326"/>
      <c r="AJ461" s="327"/>
      <c r="AK461" s="497"/>
      <c r="AL461" s="326"/>
      <c r="AM461" s="327"/>
      <c r="AN461" s="44"/>
      <c r="AO461" s="45"/>
      <c r="AP461" s="44"/>
      <c r="AQ461" s="45"/>
      <c r="AR461" s="44"/>
      <c r="AS461" s="45"/>
      <c r="AT461" s="44"/>
      <c r="AU461" s="45"/>
      <c r="AV461" s="44"/>
      <c r="AW461" s="45"/>
      <c r="AX461" s="44"/>
      <c r="AY461" s="45"/>
      <c r="AZ461" s="50"/>
      <c r="BA461" s="47"/>
      <c r="BB461" s="50"/>
      <c r="BC461" s="47"/>
      <c r="BD461" s="50"/>
      <c r="BE461" s="47"/>
      <c r="BF461" s="50"/>
      <c r="BG461" s="47"/>
      <c r="BH461" s="50"/>
      <c r="BI461" s="608" t="s">
        <v>307</v>
      </c>
      <c r="BJ461" s="326"/>
      <c r="BK461" s="326"/>
      <c r="BL461" s="326"/>
      <c r="BM461" s="326"/>
      <c r="BN461" s="326"/>
      <c r="BO461" s="326"/>
      <c r="BP461" s="326"/>
      <c r="BQ461" s="326"/>
      <c r="BR461" s="326"/>
      <c r="BS461" s="326"/>
      <c r="BT461" s="326"/>
      <c r="BU461" s="326"/>
      <c r="BV461" s="327"/>
    </row>
    <row r="462" spans="1:74" ht="30" customHeight="1" x14ac:dyDescent="0.25">
      <c r="A462" s="49">
        <f t="shared" si="1"/>
        <v>448</v>
      </c>
      <c r="B462" s="42" t="s">
        <v>334</v>
      </c>
      <c r="C462" s="43"/>
      <c r="D462" s="609"/>
      <c r="E462" s="326"/>
      <c r="F462" s="326"/>
      <c r="G462" s="326"/>
      <c r="H462" s="326"/>
      <c r="I462" s="326"/>
      <c r="J462" s="326"/>
      <c r="K462" s="327"/>
      <c r="L462" s="610"/>
      <c r="M462" s="326"/>
      <c r="N462" s="326"/>
      <c r="O462" s="327"/>
      <c r="P462" s="609"/>
      <c r="Q462" s="326"/>
      <c r="R462" s="326"/>
      <c r="S462" s="327"/>
      <c r="T462" s="610"/>
      <c r="U462" s="326"/>
      <c r="V462" s="326"/>
      <c r="W462" s="327"/>
      <c r="X462" s="609"/>
      <c r="Y462" s="326"/>
      <c r="Z462" s="326"/>
      <c r="AA462" s="327"/>
      <c r="AB462" s="451"/>
      <c r="AC462" s="326"/>
      <c r="AD462" s="327"/>
      <c r="AE462" s="526"/>
      <c r="AF462" s="326"/>
      <c r="AG462" s="327"/>
      <c r="AH462" s="607"/>
      <c r="AI462" s="326"/>
      <c r="AJ462" s="327"/>
      <c r="AK462" s="497"/>
      <c r="AL462" s="326"/>
      <c r="AM462" s="327"/>
      <c r="AN462" s="44"/>
      <c r="AO462" s="45"/>
      <c r="AP462" s="44"/>
      <c r="AQ462" s="45"/>
      <c r="AR462" s="44"/>
      <c r="AS462" s="45"/>
      <c r="AT462" s="44"/>
      <c r="AU462" s="45"/>
      <c r="AV462" s="44"/>
      <c r="AW462" s="45"/>
      <c r="AX462" s="44"/>
      <c r="AY462" s="45"/>
      <c r="AZ462" s="50"/>
      <c r="BA462" s="47"/>
      <c r="BB462" s="50"/>
      <c r="BC462" s="47"/>
      <c r="BD462" s="50"/>
      <c r="BE462" s="47"/>
      <c r="BF462" s="50"/>
      <c r="BG462" s="47"/>
      <c r="BH462" s="50"/>
      <c r="BI462" s="608" t="s">
        <v>307</v>
      </c>
      <c r="BJ462" s="326"/>
      <c r="BK462" s="326"/>
      <c r="BL462" s="326"/>
      <c r="BM462" s="326"/>
      <c r="BN462" s="326"/>
      <c r="BO462" s="326"/>
      <c r="BP462" s="326"/>
      <c r="BQ462" s="326"/>
      <c r="BR462" s="326"/>
      <c r="BS462" s="326"/>
      <c r="BT462" s="326"/>
      <c r="BU462" s="326"/>
      <c r="BV462" s="327"/>
    </row>
    <row r="463" spans="1:74" ht="30" customHeight="1" x14ac:dyDescent="0.25">
      <c r="A463" s="49">
        <f t="shared" si="1"/>
        <v>449</v>
      </c>
      <c r="B463" s="42" t="s">
        <v>334</v>
      </c>
      <c r="C463" s="43"/>
      <c r="D463" s="609"/>
      <c r="E463" s="326"/>
      <c r="F463" s="326"/>
      <c r="G463" s="326"/>
      <c r="H463" s="326"/>
      <c r="I463" s="326"/>
      <c r="J463" s="326"/>
      <c r="K463" s="327"/>
      <c r="L463" s="610"/>
      <c r="M463" s="326"/>
      <c r="N463" s="326"/>
      <c r="O463" s="327"/>
      <c r="P463" s="609"/>
      <c r="Q463" s="326"/>
      <c r="R463" s="326"/>
      <c r="S463" s="327"/>
      <c r="T463" s="610"/>
      <c r="U463" s="326"/>
      <c r="V463" s="326"/>
      <c r="W463" s="327"/>
      <c r="X463" s="609"/>
      <c r="Y463" s="326"/>
      <c r="Z463" s="326"/>
      <c r="AA463" s="327"/>
      <c r="AB463" s="451"/>
      <c r="AC463" s="326"/>
      <c r="AD463" s="327"/>
      <c r="AE463" s="526"/>
      <c r="AF463" s="326"/>
      <c r="AG463" s="327"/>
      <c r="AH463" s="607"/>
      <c r="AI463" s="326"/>
      <c r="AJ463" s="327"/>
      <c r="AK463" s="497"/>
      <c r="AL463" s="326"/>
      <c r="AM463" s="327"/>
      <c r="AN463" s="44"/>
      <c r="AO463" s="45"/>
      <c r="AP463" s="44"/>
      <c r="AQ463" s="45"/>
      <c r="AR463" s="44"/>
      <c r="AS463" s="45"/>
      <c r="AT463" s="44"/>
      <c r="AU463" s="45"/>
      <c r="AV463" s="44"/>
      <c r="AW463" s="45"/>
      <c r="AX463" s="44"/>
      <c r="AY463" s="45"/>
      <c r="AZ463" s="50"/>
      <c r="BA463" s="47"/>
      <c r="BB463" s="50"/>
      <c r="BC463" s="47"/>
      <c r="BD463" s="50"/>
      <c r="BE463" s="47"/>
      <c r="BF463" s="50"/>
      <c r="BG463" s="47"/>
      <c r="BH463" s="50"/>
      <c r="BI463" s="608" t="s">
        <v>307</v>
      </c>
      <c r="BJ463" s="326"/>
      <c r="BK463" s="326"/>
      <c r="BL463" s="326"/>
      <c r="BM463" s="326"/>
      <c r="BN463" s="326"/>
      <c r="BO463" s="326"/>
      <c r="BP463" s="326"/>
      <c r="BQ463" s="326"/>
      <c r="BR463" s="326"/>
      <c r="BS463" s="326"/>
      <c r="BT463" s="326"/>
      <c r="BU463" s="326"/>
      <c r="BV463" s="327"/>
    </row>
    <row r="464" spans="1:74" ht="30" customHeight="1" x14ac:dyDescent="0.25">
      <c r="A464" s="49">
        <f t="shared" si="1"/>
        <v>450</v>
      </c>
      <c r="B464" s="42" t="s">
        <v>334</v>
      </c>
      <c r="C464" s="43"/>
      <c r="D464" s="609"/>
      <c r="E464" s="326"/>
      <c r="F464" s="326"/>
      <c r="G464" s="326"/>
      <c r="H464" s="326"/>
      <c r="I464" s="326"/>
      <c r="J464" s="326"/>
      <c r="K464" s="327"/>
      <c r="L464" s="610"/>
      <c r="M464" s="326"/>
      <c r="N464" s="326"/>
      <c r="O464" s="327"/>
      <c r="P464" s="609"/>
      <c r="Q464" s="326"/>
      <c r="R464" s="326"/>
      <c r="S464" s="327"/>
      <c r="T464" s="610"/>
      <c r="U464" s="326"/>
      <c r="V464" s="326"/>
      <c r="W464" s="327"/>
      <c r="X464" s="609"/>
      <c r="Y464" s="326"/>
      <c r="Z464" s="326"/>
      <c r="AA464" s="327"/>
      <c r="AB464" s="451"/>
      <c r="AC464" s="326"/>
      <c r="AD464" s="327"/>
      <c r="AE464" s="526"/>
      <c r="AF464" s="326"/>
      <c r="AG464" s="327"/>
      <c r="AH464" s="607"/>
      <c r="AI464" s="326"/>
      <c r="AJ464" s="327"/>
      <c r="AK464" s="497"/>
      <c r="AL464" s="326"/>
      <c r="AM464" s="327"/>
      <c r="AN464" s="44"/>
      <c r="AO464" s="45"/>
      <c r="AP464" s="44"/>
      <c r="AQ464" s="45"/>
      <c r="AR464" s="44"/>
      <c r="AS464" s="45"/>
      <c r="AT464" s="44"/>
      <c r="AU464" s="45"/>
      <c r="AV464" s="44"/>
      <c r="AW464" s="45"/>
      <c r="AX464" s="44"/>
      <c r="AY464" s="45"/>
      <c r="AZ464" s="50"/>
      <c r="BA464" s="47"/>
      <c r="BB464" s="50"/>
      <c r="BC464" s="47"/>
      <c r="BD464" s="50"/>
      <c r="BE464" s="47"/>
      <c r="BF464" s="50"/>
      <c r="BG464" s="47"/>
      <c r="BH464" s="50"/>
      <c r="BI464" s="608" t="s">
        <v>303</v>
      </c>
      <c r="BJ464" s="326"/>
      <c r="BK464" s="326"/>
      <c r="BL464" s="326"/>
      <c r="BM464" s="326"/>
      <c r="BN464" s="326"/>
      <c r="BO464" s="326"/>
      <c r="BP464" s="326"/>
      <c r="BQ464" s="326"/>
      <c r="BR464" s="326"/>
      <c r="BS464" s="326"/>
      <c r="BT464" s="326"/>
      <c r="BU464" s="326"/>
      <c r="BV464" s="327"/>
    </row>
    <row r="465" spans="1:74" ht="30" customHeight="1" x14ac:dyDescent="0.25">
      <c r="A465" s="49">
        <f t="shared" si="1"/>
        <v>451</v>
      </c>
      <c r="B465" s="42" t="s">
        <v>334</v>
      </c>
      <c r="C465" s="43"/>
      <c r="D465" s="609"/>
      <c r="E465" s="326"/>
      <c r="F465" s="326"/>
      <c r="G465" s="326"/>
      <c r="H465" s="326"/>
      <c r="I465" s="326"/>
      <c r="J465" s="326"/>
      <c r="K465" s="327"/>
      <c r="L465" s="610"/>
      <c r="M465" s="326"/>
      <c r="N465" s="326"/>
      <c r="O465" s="327"/>
      <c r="P465" s="609"/>
      <c r="Q465" s="326"/>
      <c r="R465" s="326"/>
      <c r="S465" s="327"/>
      <c r="T465" s="610"/>
      <c r="U465" s="326"/>
      <c r="V465" s="326"/>
      <c r="W465" s="327"/>
      <c r="X465" s="609"/>
      <c r="Y465" s="326"/>
      <c r="Z465" s="326"/>
      <c r="AA465" s="327"/>
      <c r="AB465" s="451"/>
      <c r="AC465" s="326"/>
      <c r="AD465" s="327"/>
      <c r="AE465" s="526"/>
      <c r="AF465" s="326"/>
      <c r="AG465" s="327"/>
      <c r="AH465" s="607"/>
      <c r="AI465" s="326"/>
      <c r="AJ465" s="327"/>
      <c r="AK465" s="497"/>
      <c r="AL465" s="326"/>
      <c r="AM465" s="327"/>
      <c r="AN465" s="44"/>
      <c r="AO465" s="45"/>
      <c r="AP465" s="44"/>
      <c r="AQ465" s="45"/>
      <c r="AR465" s="44"/>
      <c r="AS465" s="45"/>
      <c r="AT465" s="44"/>
      <c r="AU465" s="45"/>
      <c r="AV465" s="44"/>
      <c r="AW465" s="45"/>
      <c r="AX465" s="44"/>
      <c r="AY465" s="45"/>
      <c r="AZ465" s="50"/>
      <c r="BA465" s="47"/>
      <c r="BB465" s="50"/>
      <c r="BC465" s="47"/>
      <c r="BD465" s="50"/>
      <c r="BE465" s="47"/>
      <c r="BF465" s="50"/>
      <c r="BG465" s="47"/>
      <c r="BH465" s="50"/>
      <c r="BI465" s="608" t="s">
        <v>303</v>
      </c>
      <c r="BJ465" s="326"/>
      <c r="BK465" s="326"/>
      <c r="BL465" s="326"/>
      <c r="BM465" s="326"/>
      <c r="BN465" s="326"/>
      <c r="BO465" s="326"/>
      <c r="BP465" s="326"/>
      <c r="BQ465" s="326"/>
      <c r="BR465" s="326"/>
      <c r="BS465" s="326"/>
      <c r="BT465" s="326"/>
      <c r="BU465" s="326"/>
      <c r="BV465" s="327"/>
    </row>
    <row r="466" spans="1:74" ht="30" customHeight="1" x14ac:dyDescent="0.25">
      <c r="A466" s="41">
        <f t="shared" si="1"/>
        <v>452</v>
      </c>
      <c r="B466" s="42" t="s">
        <v>334</v>
      </c>
      <c r="C466" s="43"/>
      <c r="D466" s="609"/>
      <c r="E466" s="326"/>
      <c r="F466" s="326"/>
      <c r="G466" s="326"/>
      <c r="H466" s="326"/>
      <c r="I466" s="326"/>
      <c r="J466" s="326"/>
      <c r="K466" s="327"/>
      <c r="L466" s="610"/>
      <c r="M466" s="326"/>
      <c r="N466" s="326"/>
      <c r="O466" s="327"/>
      <c r="P466" s="609"/>
      <c r="Q466" s="326"/>
      <c r="R466" s="326"/>
      <c r="S466" s="327"/>
      <c r="T466" s="610"/>
      <c r="U466" s="326"/>
      <c r="V466" s="326"/>
      <c r="W466" s="327"/>
      <c r="X466" s="609"/>
      <c r="Y466" s="326"/>
      <c r="Z466" s="326"/>
      <c r="AA466" s="327"/>
      <c r="AB466" s="451"/>
      <c r="AC466" s="326"/>
      <c r="AD466" s="327"/>
      <c r="AE466" s="526"/>
      <c r="AF466" s="326"/>
      <c r="AG466" s="327"/>
      <c r="AH466" s="607"/>
      <c r="AI466" s="326"/>
      <c r="AJ466" s="327"/>
      <c r="AK466" s="497"/>
      <c r="AL466" s="326"/>
      <c r="AM466" s="327"/>
      <c r="AN466" s="44"/>
      <c r="AO466" s="45"/>
      <c r="AP466" s="44"/>
      <c r="AQ466" s="45"/>
      <c r="AR466" s="44"/>
      <c r="AS466" s="45"/>
      <c r="AT466" s="44"/>
      <c r="AU466" s="45"/>
      <c r="AV466" s="44"/>
      <c r="AW466" s="45"/>
      <c r="AX466" s="44"/>
      <c r="AY466" s="45"/>
      <c r="AZ466" s="50"/>
      <c r="BA466" s="47"/>
      <c r="BB466" s="50"/>
      <c r="BC466" s="47"/>
      <c r="BD466" s="50"/>
      <c r="BE466" s="47"/>
      <c r="BF466" s="50"/>
      <c r="BG466" s="47"/>
      <c r="BH466" s="50"/>
      <c r="BI466" s="608" t="s">
        <v>307</v>
      </c>
      <c r="BJ466" s="326"/>
      <c r="BK466" s="326"/>
      <c r="BL466" s="326"/>
      <c r="BM466" s="326"/>
      <c r="BN466" s="326"/>
      <c r="BO466" s="326"/>
      <c r="BP466" s="326"/>
      <c r="BQ466" s="326"/>
      <c r="BR466" s="326"/>
      <c r="BS466" s="326"/>
      <c r="BT466" s="326"/>
      <c r="BU466" s="326"/>
      <c r="BV466" s="327"/>
    </row>
    <row r="467" spans="1:74" ht="30" customHeight="1" x14ac:dyDescent="0.25">
      <c r="A467" s="49">
        <f t="shared" si="1"/>
        <v>453</v>
      </c>
      <c r="B467" s="42" t="s">
        <v>334</v>
      </c>
      <c r="C467" s="43"/>
      <c r="D467" s="609"/>
      <c r="E467" s="326"/>
      <c r="F467" s="326"/>
      <c r="G467" s="326"/>
      <c r="H467" s="326"/>
      <c r="I467" s="326"/>
      <c r="J467" s="326"/>
      <c r="K467" s="327"/>
      <c r="L467" s="610"/>
      <c r="M467" s="326"/>
      <c r="N467" s="326"/>
      <c r="O467" s="327"/>
      <c r="P467" s="609"/>
      <c r="Q467" s="326"/>
      <c r="R467" s="326"/>
      <c r="S467" s="327"/>
      <c r="T467" s="610"/>
      <c r="U467" s="326"/>
      <c r="V467" s="326"/>
      <c r="W467" s="327"/>
      <c r="X467" s="609"/>
      <c r="Y467" s="326"/>
      <c r="Z467" s="326"/>
      <c r="AA467" s="327"/>
      <c r="AB467" s="451"/>
      <c r="AC467" s="326"/>
      <c r="AD467" s="327"/>
      <c r="AE467" s="526"/>
      <c r="AF467" s="326"/>
      <c r="AG467" s="327"/>
      <c r="AH467" s="607"/>
      <c r="AI467" s="326"/>
      <c r="AJ467" s="327"/>
      <c r="AK467" s="497"/>
      <c r="AL467" s="326"/>
      <c r="AM467" s="327"/>
      <c r="AN467" s="44"/>
      <c r="AO467" s="45"/>
      <c r="AP467" s="44"/>
      <c r="AQ467" s="45"/>
      <c r="AR467" s="44"/>
      <c r="AS467" s="45"/>
      <c r="AT467" s="44"/>
      <c r="AU467" s="45"/>
      <c r="AV467" s="44"/>
      <c r="AW467" s="45"/>
      <c r="AX467" s="44"/>
      <c r="AY467" s="45"/>
      <c r="AZ467" s="50"/>
      <c r="BA467" s="47"/>
      <c r="BB467" s="50"/>
      <c r="BC467" s="47"/>
      <c r="BD467" s="50"/>
      <c r="BE467" s="47"/>
      <c r="BF467" s="50"/>
      <c r="BG467" s="47"/>
      <c r="BH467" s="50"/>
      <c r="BI467" s="608" t="s">
        <v>307</v>
      </c>
      <c r="BJ467" s="326"/>
      <c r="BK467" s="326"/>
      <c r="BL467" s="326"/>
      <c r="BM467" s="326"/>
      <c r="BN467" s="326"/>
      <c r="BO467" s="326"/>
      <c r="BP467" s="326"/>
      <c r="BQ467" s="326"/>
      <c r="BR467" s="326"/>
      <c r="BS467" s="326"/>
      <c r="BT467" s="326"/>
      <c r="BU467" s="326"/>
      <c r="BV467" s="327"/>
    </row>
    <row r="468" spans="1:74" ht="30" customHeight="1" x14ac:dyDescent="0.25">
      <c r="A468" s="49">
        <f t="shared" si="1"/>
        <v>454</v>
      </c>
      <c r="B468" s="42" t="s">
        <v>334</v>
      </c>
      <c r="C468" s="43"/>
      <c r="D468" s="609"/>
      <c r="E468" s="326"/>
      <c r="F468" s="326"/>
      <c r="G468" s="326"/>
      <c r="H468" s="326"/>
      <c r="I468" s="326"/>
      <c r="J468" s="326"/>
      <c r="K468" s="327"/>
      <c r="L468" s="610"/>
      <c r="M468" s="326"/>
      <c r="N468" s="326"/>
      <c r="O468" s="327"/>
      <c r="P468" s="609"/>
      <c r="Q468" s="326"/>
      <c r="R468" s="326"/>
      <c r="S468" s="327"/>
      <c r="T468" s="610"/>
      <c r="U468" s="326"/>
      <c r="V468" s="326"/>
      <c r="W468" s="327"/>
      <c r="X468" s="609"/>
      <c r="Y468" s="326"/>
      <c r="Z468" s="326"/>
      <c r="AA468" s="327"/>
      <c r="AB468" s="451"/>
      <c r="AC468" s="326"/>
      <c r="AD468" s="327"/>
      <c r="AE468" s="526"/>
      <c r="AF468" s="326"/>
      <c r="AG468" s="327"/>
      <c r="AH468" s="607"/>
      <c r="AI468" s="326"/>
      <c r="AJ468" s="327"/>
      <c r="AK468" s="497"/>
      <c r="AL468" s="326"/>
      <c r="AM468" s="327"/>
      <c r="AN468" s="44"/>
      <c r="AO468" s="45"/>
      <c r="AP468" s="44"/>
      <c r="AQ468" s="45"/>
      <c r="AR468" s="44"/>
      <c r="AS468" s="45"/>
      <c r="AT468" s="44"/>
      <c r="AU468" s="45"/>
      <c r="AV468" s="44"/>
      <c r="AW468" s="45"/>
      <c r="AX468" s="44"/>
      <c r="AY468" s="45"/>
      <c r="AZ468" s="50"/>
      <c r="BA468" s="47"/>
      <c r="BB468" s="50"/>
      <c r="BC468" s="47"/>
      <c r="BD468" s="50"/>
      <c r="BE468" s="47"/>
      <c r="BF468" s="50"/>
      <c r="BG468" s="47"/>
      <c r="BH468" s="50"/>
      <c r="BI468" s="608" t="s">
        <v>307</v>
      </c>
      <c r="BJ468" s="326"/>
      <c r="BK468" s="326"/>
      <c r="BL468" s="326"/>
      <c r="BM468" s="326"/>
      <c r="BN468" s="326"/>
      <c r="BO468" s="326"/>
      <c r="BP468" s="326"/>
      <c r="BQ468" s="326"/>
      <c r="BR468" s="326"/>
      <c r="BS468" s="326"/>
      <c r="BT468" s="326"/>
      <c r="BU468" s="326"/>
      <c r="BV468" s="327"/>
    </row>
    <row r="469" spans="1:74" ht="30" customHeight="1" x14ac:dyDescent="0.25">
      <c r="A469" s="49">
        <f t="shared" si="1"/>
        <v>455</v>
      </c>
      <c r="B469" s="42" t="s">
        <v>334</v>
      </c>
      <c r="C469" s="43"/>
      <c r="D469" s="609"/>
      <c r="E469" s="326"/>
      <c r="F469" s="326"/>
      <c r="G469" s="326"/>
      <c r="H469" s="326"/>
      <c r="I469" s="326"/>
      <c r="J469" s="326"/>
      <c r="K469" s="327"/>
      <c r="L469" s="610"/>
      <c r="M469" s="326"/>
      <c r="N469" s="326"/>
      <c r="O469" s="327"/>
      <c r="P469" s="609"/>
      <c r="Q469" s="326"/>
      <c r="R469" s="326"/>
      <c r="S469" s="327"/>
      <c r="T469" s="610"/>
      <c r="U469" s="326"/>
      <c r="V469" s="326"/>
      <c r="W469" s="327"/>
      <c r="X469" s="609"/>
      <c r="Y469" s="326"/>
      <c r="Z469" s="326"/>
      <c r="AA469" s="327"/>
      <c r="AB469" s="451"/>
      <c r="AC469" s="326"/>
      <c r="AD469" s="327"/>
      <c r="AE469" s="526"/>
      <c r="AF469" s="326"/>
      <c r="AG469" s="327"/>
      <c r="AH469" s="607"/>
      <c r="AI469" s="326"/>
      <c r="AJ469" s="327"/>
      <c r="AK469" s="497"/>
      <c r="AL469" s="326"/>
      <c r="AM469" s="327"/>
      <c r="AN469" s="44"/>
      <c r="AO469" s="45"/>
      <c r="AP469" s="44"/>
      <c r="AQ469" s="45"/>
      <c r="AR469" s="44"/>
      <c r="AS469" s="45"/>
      <c r="AT469" s="44"/>
      <c r="AU469" s="45"/>
      <c r="AV469" s="44"/>
      <c r="AW469" s="45"/>
      <c r="AX469" s="44"/>
      <c r="AY469" s="45"/>
      <c r="AZ469" s="50"/>
      <c r="BA469" s="47"/>
      <c r="BB469" s="50"/>
      <c r="BC469" s="47"/>
      <c r="BD469" s="50"/>
      <c r="BE469" s="47"/>
      <c r="BF469" s="50"/>
      <c r="BG469" s="47"/>
      <c r="BH469" s="50"/>
      <c r="BI469" s="608" t="s">
        <v>307</v>
      </c>
      <c r="BJ469" s="326"/>
      <c r="BK469" s="326"/>
      <c r="BL469" s="326"/>
      <c r="BM469" s="326"/>
      <c r="BN469" s="326"/>
      <c r="BO469" s="326"/>
      <c r="BP469" s="326"/>
      <c r="BQ469" s="326"/>
      <c r="BR469" s="326"/>
      <c r="BS469" s="326"/>
      <c r="BT469" s="326"/>
      <c r="BU469" s="326"/>
      <c r="BV469" s="327"/>
    </row>
    <row r="470" spans="1:74" ht="30" customHeight="1" x14ac:dyDescent="0.25">
      <c r="A470" s="49">
        <f t="shared" si="1"/>
        <v>456</v>
      </c>
      <c r="B470" s="42" t="s">
        <v>334</v>
      </c>
      <c r="C470" s="43"/>
      <c r="D470" s="609"/>
      <c r="E470" s="326"/>
      <c r="F470" s="326"/>
      <c r="G470" s="326"/>
      <c r="H470" s="326"/>
      <c r="I470" s="326"/>
      <c r="J470" s="326"/>
      <c r="K470" s="327"/>
      <c r="L470" s="610"/>
      <c r="M470" s="326"/>
      <c r="N470" s="326"/>
      <c r="O470" s="327"/>
      <c r="P470" s="609"/>
      <c r="Q470" s="326"/>
      <c r="R470" s="326"/>
      <c r="S470" s="327"/>
      <c r="T470" s="610"/>
      <c r="U470" s="326"/>
      <c r="V470" s="326"/>
      <c r="W470" s="327"/>
      <c r="X470" s="609"/>
      <c r="Y470" s="326"/>
      <c r="Z470" s="326"/>
      <c r="AA470" s="327"/>
      <c r="AB470" s="451"/>
      <c r="AC470" s="326"/>
      <c r="AD470" s="327"/>
      <c r="AE470" s="526"/>
      <c r="AF470" s="326"/>
      <c r="AG470" s="327"/>
      <c r="AH470" s="607"/>
      <c r="AI470" s="326"/>
      <c r="AJ470" s="327"/>
      <c r="AK470" s="497"/>
      <c r="AL470" s="326"/>
      <c r="AM470" s="327"/>
      <c r="AN470" s="44"/>
      <c r="AO470" s="45"/>
      <c r="AP470" s="44"/>
      <c r="AQ470" s="45"/>
      <c r="AR470" s="44"/>
      <c r="AS470" s="45"/>
      <c r="AT470" s="44"/>
      <c r="AU470" s="45"/>
      <c r="AV470" s="44"/>
      <c r="AW470" s="45"/>
      <c r="AX470" s="44"/>
      <c r="AY470" s="45"/>
      <c r="AZ470" s="50"/>
      <c r="BA470" s="47"/>
      <c r="BB470" s="50"/>
      <c r="BC470" s="47"/>
      <c r="BD470" s="50"/>
      <c r="BE470" s="47"/>
      <c r="BF470" s="50"/>
      <c r="BG470" s="47"/>
      <c r="BH470" s="50"/>
      <c r="BI470" s="608" t="s">
        <v>307</v>
      </c>
      <c r="BJ470" s="326"/>
      <c r="BK470" s="326"/>
      <c r="BL470" s="326"/>
      <c r="BM470" s="326"/>
      <c r="BN470" s="326"/>
      <c r="BO470" s="326"/>
      <c r="BP470" s="326"/>
      <c r="BQ470" s="326"/>
      <c r="BR470" s="326"/>
      <c r="BS470" s="326"/>
      <c r="BT470" s="326"/>
      <c r="BU470" s="326"/>
      <c r="BV470" s="327"/>
    </row>
    <row r="471" spans="1:74" ht="30" customHeight="1" x14ac:dyDescent="0.25">
      <c r="A471" s="49">
        <f t="shared" si="1"/>
        <v>457</v>
      </c>
      <c r="B471" s="42" t="s">
        <v>334</v>
      </c>
      <c r="C471" s="43"/>
      <c r="D471" s="609"/>
      <c r="E471" s="326"/>
      <c r="F471" s="326"/>
      <c r="G471" s="326"/>
      <c r="H471" s="326"/>
      <c r="I471" s="326"/>
      <c r="J471" s="326"/>
      <c r="K471" s="327"/>
      <c r="L471" s="610"/>
      <c r="M471" s="326"/>
      <c r="N471" s="326"/>
      <c r="O471" s="327"/>
      <c r="P471" s="609"/>
      <c r="Q471" s="326"/>
      <c r="R471" s="326"/>
      <c r="S471" s="327"/>
      <c r="T471" s="610"/>
      <c r="U471" s="326"/>
      <c r="V471" s="326"/>
      <c r="W471" s="327"/>
      <c r="X471" s="609"/>
      <c r="Y471" s="326"/>
      <c r="Z471" s="326"/>
      <c r="AA471" s="327"/>
      <c r="AB471" s="451"/>
      <c r="AC471" s="326"/>
      <c r="AD471" s="327"/>
      <c r="AE471" s="526"/>
      <c r="AF471" s="326"/>
      <c r="AG471" s="327"/>
      <c r="AH471" s="607"/>
      <c r="AI471" s="326"/>
      <c r="AJ471" s="327"/>
      <c r="AK471" s="497"/>
      <c r="AL471" s="326"/>
      <c r="AM471" s="327"/>
      <c r="AN471" s="44"/>
      <c r="AO471" s="45"/>
      <c r="AP471" s="44"/>
      <c r="AQ471" s="45"/>
      <c r="AR471" s="44"/>
      <c r="AS471" s="45"/>
      <c r="AT471" s="44"/>
      <c r="AU471" s="45"/>
      <c r="AV471" s="44"/>
      <c r="AW471" s="45"/>
      <c r="AX471" s="44"/>
      <c r="AY471" s="45"/>
      <c r="AZ471" s="50"/>
      <c r="BA471" s="47"/>
      <c r="BB471" s="50"/>
      <c r="BC471" s="47"/>
      <c r="BD471" s="50"/>
      <c r="BE471" s="47"/>
      <c r="BF471" s="50"/>
      <c r="BG471" s="47"/>
      <c r="BH471" s="50"/>
      <c r="BI471" s="608" t="s">
        <v>303</v>
      </c>
      <c r="BJ471" s="326"/>
      <c r="BK471" s="326"/>
      <c r="BL471" s="326"/>
      <c r="BM471" s="326"/>
      <c r="BN471" s="326"/>
      <c r="BO471" s="326"/>
      <c r="BP471" s="326"/>
      <c r="BQ471" s="326"/>
      <c r="BR471" s="326"/>
      <c r="BS471" s="326"/>
      <c r="BT471" s="326"/>
      <c r="BU471" s="326"/>
      <c r="BV471" s="327"/>
    </row>
    <row r="472" spans="1:74" ht="30" customHeight="1" x14ac:dyDescent="0.25">
      <c r="A472" s="49">
        <f t="shared" si="1"/>
        <v>458</v>
      </c>
      <c r="B472" s="42" t="s">
        <v>334</v>
      </c>
      <c r="C472" s="43"/>
      <c r="D472" s="609"/>
      <c r="E472" s="326"/>
      <c r="F472" s="326"/>
      <c r="G472" s="326"/>
      <c r="H472" s="326"/>
      <c r="I472" s="326"/>
      <c r="J472" s="326"/>
      <c r="K472" s="327"/>
      <c r="L472" s="610"/>
      <c r="M472" s="326"/>
      <c r="N472" s="326"/>
      <c r="O472" s="327"/>
      <c r="P472" s="609"/>
      <c r="Q472" s="326"/>
      <c r="R472" s="326"/>
      <c r="S472" s="327"/>
      <c r="T472" s="610"/>
      <c r="U472" s="326"/>
      <c r="V472" s="326"/>
      <c r="W472" s="327"/>
      <c r="X472" s="609"/>
      <c r="Y472" s="326"/>
      <c r="Z472" s="326"/>
      <c r="AA472" s="327"/>
      <c r="AB472" s="451"/>
      <c r="AC472" s="326"/>
      <c r="AD472" s="327"/>
      <c r="AE472" s="526"/>
      <c r="AF472" s="326"/>
      <c r="AG472" s="327"/>
      <c r="AH472" s="607"/>
      <c r="AI472" s="326"/>
      <c r="AJ472" s="327"/>
      <c r="AK472" s="497"/>
      <c r="AL472" s="326"/>
      <c r="AM472" s="327"/>
      <c r="AN472" s="44"/>
      <c r="AO472" s="45"/>
      <c r="AP472" s="44"/>
      <c r="AQ472" s="45"/>
      <c r="AR472" s="44"/>
      <c r="AS472" s="45"/>
      <c r="AT472" s="44"/>
      <c r="AU472" s="45"/>
      <c r="AV472" s="44"/>
      <c r="AW472" s="45"/>
      <c r="AX472" s="44"/>
      <c r="AY472" s="45"/>
      <c r="AZ472" s="50"/>
      <c r="BA472" s="47"/>
      <c r="BB472" s="50"/>
      <c r="BC472" s="47"/>
      <c r="BD472" s="50"/>
      <c r="BE472" s="47"/>
      <c r="BF472" s="50"/>
      <c r="BG472" s="47"/>
      <c r="BH472" s="50"/>
      <c r="BI472" s="608" t="s">
        <v>303</v>
      </c>
      <c r="BJ472" s="326"/>
      <c r="BK472" s="326"/>
      <c r="BL472" s="326"/>
      <c r="BM472" s="326"/>
      <c r="BN472" s="326"/>
      <c r="BO472" s="326"/>
      <c r="BP472" s="326"/>
      <c r="BQ472" s="326"/>
      <c r="BR472" s="326"/>
      <c r="BS472" s="326"/>
      <c r="BT472" s="326"/>
      <c r="BU472" s="326"/>
      <c r="BV472" s="327"/>
    </row>
    <row r="473" spans="1:74" ht="30" customHeight="1" x14ac:dyDescent="0.25">
      <c r="A473" s="41">
        <f t="shared" si="1"/>
        <v>459</v>
      </c>
      <c r="B473" s="42" t="s">
        <v>334</v>
      </c>
      <c r="C473" s="43"/>
      <c r="D473" s="609"/>
      <c r="E473" s="326"/>
      <c r="F473" s="326"/>
      <c r="G473" s="326"/>
      <c r="H473" s="326"/>
      <c r="I473" s="326"/>
      <c r="J473" s="326"/>
      <c r="K473" s="327"/>
      <c r="L473" s="610"/>
      <c r="M473" s="326"/>
      <c r="N473" s="326"/>
      <c r="O473" s="327"/>
      <c r="P473" s="609"/>
      <c r="Q473" s="326"/>
      <c r="R473" s="326"/>
      <c r="S473" s="327"/>
      <c r="T473" s="610"/>
      <c r="U473" s="326"/>
      <c r="V473" s="326"/>
      <c r="W473" s="327"/>
      <c r="X473" s="609"/>
      <c r="Y473" s="326"/>
      <c r="Z473" s="326"/>
      <c r="AA473" s="327"/>
      <c r="AB473" s="451"/>
      <c r="AC473" s="326"/>
      <c r="AD473" s="327"/>
      <c r="AE473" s="526"/>
      <c r="AF473" s="326"/>
      <c r="AG473" s="327"/>
      <c r="AH473" s="607"/>
      <c r="AI473" s="326"/>
      <c r="AJ473" s="327"/>
      <c r="AK473" s="497"/>
      <c r="AL473" s="326"/>
      <c r="AM473" s="327"/>
      <c r="AN473" s="44"/>
      <c r="AO473" s="45"/>
      <c r="AP473" s="44"/>
      <c r="AQ473" s="45"/>
      <c r="AR473" s="44"/>
      <c r="AS473" s="45"/>
      <c r="AT473" s="44"/>
      <c r="AU473" s="45"/>
      <c r="AV473" s="44"/>
      <c r="AW473" s="45"/>
      <c r="AX473" s="44"/>
      <c r="AY473" s="45"/>
      <c r="AZ473" s="50"/>
      <c r="BA473" s="47"/>
      <c r="BB473" s="50"/>
      <c r="BC473" s="47"/>
      <c r="BD473" s="50"/>
      <c r="BE473" s="47"/>
      <c r="BF473" s="50"/>
      <c r="BG473" s="47"/>
      <c r="BH473" s="50"/>
      <c r="BI473" s="608" t="s">
        <v>307</v>
      </c>
      <c r="BJ473" s="326"/>
      <c r="BK473" s="326"/>
      <c r="BL473" s="326"/>
      <c r="BM473" s="326"/>
      <c r="BN473" s="326"/>
      <c r="BO473" s="326"/>
      <c r="BP473" s="326"/>
      <c r="BQ473" s="326"/>
      <c r="BR473" s="326"/>
      <c r="BS473" s="326"/>
      <c r="BT473" s="326"/>
      <c r="BU473" s="326"/>
      <c r="BV473" s="327"/>
    </row>
    <row r="474" spans="1:74" ht="30" customHeight="1" x14ac:dyDescent="0.25">
      <c r="A474" s="49">
        <f t="shared" si="1"/>
        <v>460</v>
      </c>
      <c r="B474" s="42" t="s">
        <v>334</v>
      </c>
      <c r="C474" s="43"/>
      <c r="D474" s="609"/>
      <c r="E474" s="326"/>
      <c r="F474" s="326"/>
      <c r="G474" s="326"/>
      <c r="H474" s="326"/>
      <c r="I474" s="326"/>
      <c r="J474" s="326"/>
      <c r="K474" s="327"/>
      <c r="L474" s="610"/>
      <c r="M474" s="326"/>
      <c r="N474" s="326"/>
      <c r="O474" s="327"/>
      <c r="P474" s="609"/>
      <c r="Q474" s="326"/>
      <c r="R474" s="326"/>
      <c r="S474" s="327"/>
      <c r="T474" s="610"/>
      <c r="U474" s="326"/>
      <c r="V474" s="326"/>
      <c r="W474" s="327"/>
      <c r="X474" s="609"/>
      <c r="Y474" s="326"/>
      <c r="Z474" s="326"/>
      <c r="AA474" s="327"/>
      <c r="AB474" s="451"/>
      <c r="AC474" s="326"/>
      <c r="AD474" s="327"/>
      <c r="AE474" s="526"/>
      <c r="AF474" s="326"/>
      <c r="AG474" s="327"/>
      <c r="AH474" s="607"/>
      <c r="AI474" s="326"/>
      <c r="AJ474" s="327"/>
      <c r="AK474" s="497"/>
      <c r="AL474" s="326"/>
      <c r="AM474" s="327"/>
      <c r="AN474" s="44"/>
      <c r="AO474" s="45"/>
      <c r="AP474" s="44"/>
      <c r="AQ474" s="45"/>
      <c r="AR474" s="44"/>
      <c r="AS474" s="45"/>
      <c r="AT474" s="44"/>
      <c r="AU474" s="45"/>
      <c r="AV474" s="44"/>
      <c r="AW474" s="45"/>
      <c r="AX474" s="44"/>
      <c r="AY474" s="45"/>
      <c r="AZ474" s="50"/>
      <c r="BA474" s="47"/>
      <c r="BB474" s="50"/>
      <c r="BC474" s="47"/>
      <c r="BD474" s="50"/>
      <c r="BE474" s="47"/>
      <c r="BF474" s="50"/>
      <c r="BG474" s="47"/>
      <c r="BH474" s="50"/>
      <c r="BI474" s="608" t="s">
        <v>307</v>
      </c>
      <c r="BJ474" s="326"/>
      <c r="BK474" s="326"/>
      <c r="BL474" s="326"/>
      <c r="BM474" s="326"/>
      <c r="BN474" s="326"/>
      <c r="BO474" s="326"/>
      <c r="BP474" s="326"/>
      <c r="BQ474" s="326"/>
      <c r="BR474" s="326"/>
      <c r="BS474" s="326"/>
      <c r="BT474" s="326"/>
      <c r="BU474" s="326"/>
      <c r="BV474" s="327"/>
    </row>
    <row r="475" spans="1:74" ht="30" customHeight="1" x14ac:dyDescent="0.25">
      <c r="A475" s="49">
        <f t="shared" si="1"/>
        <v>461</v>
      </c>
      <c r="B475" s="42" t="s">
        <v>334</v>
      </c>
      <c r="C475" s="43"/>
      <c r="D475" s="609"/>
      <c r="E475" s="326"/>
      <c r="F475" s="326"/>
      <c r="G475" s="326"/>
      <c r="H475" s="326"/>
      <c r="I475" s="326"/>
      <c r="J475" s="326"/>
      <c r="K475" s="327"/>
      <c r="L475" s="610"/>
      <c r="M475" s="326"/>
      <c r="N475" s="326"/>
      <c r="O475" s="327"/>
      <c r="P475" s="609"/>
      <c r="Q475" s="326"/>
      <c r="R475" s="326"/>
      <c r="S475" s="327"/>
      <c r="T475" s="610"/>
      <c r="U475" s="326"/>
      <c r="V475" s="326"/>
      <c r="W475" s="327"/>
      <c r="X475" s="609"/>
      <c r="Y475" s="326"/>
      <c r="Z475" s="326"/>
      <c r="AA475" s="327"/>
      <c r="AB475" s="451"/>
      <c r="AC475" s="326"/>
      <c r="AD475" s="327"/>
      <c r="AE475" s="526"/>
      <c r="AF475" s="326"/>
      <c r="AG475" s="327"/>
      <c r="AH475" s="607"/>
      <c r="AI475" s="326"/>
      <c r="AJ475" s="327"/>
      <c r="AK475" s="497"/>
      <c r="AL475" s="326"/>
      <c r="AM475" s="327"/>
      <c r="AN475" s="44"/>
      <c r="AO475" s="45"/>
      <c r="AP475" s="44"/>
      <c r="AQ475" s="45"/>
      <c r="AR475" s="44"/>
      <c r="AS475" s="45"/>
      <c r="AT475" s="44"/>
      <c r="AU475" s="45"/>
      <c r="AV475" s="44"/>
      <c r="AW475" s="45"/>
      <c r="AX475" s="44"/>
      <c r="AY475" s="45"/>
      <c r="AZ475" s="50"/>
      <c r="BA475" s="47"/>
      <c r="BB475" s="50"/>
      <c r="BC475" s="47"/>
      <c r="BD475" s="50"/>
      <c r="BE475" s="47"/>
      <c r="BF475" s="50"/>
      <c r="BG475" s="47"/>
      <c r="BH475" s="50"/>
      <c r="BI475" s="608" t="s">
        <v>307</v>
      </c>
      <c r="BJ475" s="326"/>
      <c r="BK475" s="326"/>
      <c r="BL475" s="326"/>
      <c r="BM475" s="326"/>
      <c r="BN475" s="326"/>
      <c r="BO475" s="326"/>
      <c r="BP475" s="326"/>
      <c r="BQ475" s="326"/>
      <c r="BR475" s="326"/>
      <c r="BS475" s="326"/>
      <c r="BT475" s="326"/>
      <c r="BU475" s="326"/>
      <c r="BV475" s="327"/>
    </row>
    <row r="476" spans="1:74" ht="30" customHeight="1" x14ac:dyDescent="0.25">
      <c r="A476" s="49">
        <f t="shared" si="1"/>
        <v>462</v>
      </c>
      <c r="B476" s="42" t="s">
        <v>334</v>
      </c>
      <c r="C476" s="43"/>
      <c r="D476" s="609"/>
      <c r="E476" s="326"/>
      <c r="F476" s="326"/>
      <c r="G476" s="326"/>
      <c r="H476" s="326"/>
      <c r="I476" s="326"/>
      <c r="J476" s="326"/>
      <c r="K476" s="327"/>
      <c r="L476" s="610"/>
      <c r="M476" s="326"/>
      <c r="N476" s="326"/>
      <c r="O476" s="327"/>
      <c r="P476" s="609"/>
      <c r="Q476" s="326"/>
      <c r="R476" s="326"/>
      <c r="S476" s="327"/>
      <c r="T476" s="610"/>
      <c r="U476" s="326"/>
      <c r="V476" s="326"/>
      <c r="W476" s="327"/>
      <c r="X476" s="609"/>
      <c r="Y476" s="326"/>
      <c r="Z476" s="326"/>
      <c r="AA476" s="327"/>
      <c r="AB476" s="451"/>
      <c r="AC476" s="326"/>
      <c r="AD476" s="327"/>
      <c r="AE476" s="526"/>
      <c r="AF476" s="326"/>
      <c r="AG476" s="327"/>
      <c r="AH476" s="607"/>
      <c r="AI476" s="326"/>
      <c r="AJ476" s="327"/>
      <c r="AK476" s="497"/>
      <c r="AL476" s="326"/>
      <c r="AM476" s="327"/>
      <c r="AN476" s="44"/>
      <c r="AO476" s="45"/>
      <c r="AP476" s="44"/>
      <c r="AQ476" s="45"/>
      <c r="AR476" s="44"/>
      <c r="AS476" s="45"/>
      <c r="AT476" s="44"/>
      <c r="AU476" s="45"/>
      <c r="AV476" s="44"/>
      <c r="AW476" s="45"/>
      <c r="AX476" s="44"/>
      <c r="AY476" s="45"/>
      <c r="AZ476" s="50"/>
      <c r="BA476" s="47"/>
      <c r="BB476" s="50"/>
      <c r="BC476" s="47"/>
      <c r="BD476" s="50"/>
      <c r="BE476" s="47"/>
      <c r="BF476" s="50"/>
      <c r="BG476" s="47"/>
      <c r="BH476" s="50"/>
      <c r="BI476" s="608" t="s">
        <v>307</v>
      </c>
      <c r="BJ476" s="326"/>
      <c r="BK476" s="326"/>
      <c r="BL476" s="326"/>
      <c r="BM476" s="326"/>
      <c r="BN476" s="326"/>
      <c r="BO476" s="326"/>
      <c r="BP476" s="326"/>
      <c r="BQ476" s="326"/>
      <c r="BR476" s="326"/>
      <c r="BS476" s="326"/>
      <c r="BT476" s="326"/>
      <c r="BU476" s="326"/>
      <c r="BV476" s="327"/>
    </row>
    <row r="477" spans="1:74" ht="30" customHeight="1" x14ac:dyDescent="0.25">
      <c r="A477" s="49">
        <f t="shared" si="1"/>
        <v>463</v>
      </c>
      <c r="B477" s="42" t="s">
        <v>334</v>
      </c>
      <c r="C477" s="43"/>
      <c r="D477" s="609"/>
      <c r="E477" s="326"/>
      <c r="F477" s="326"/>
      <c r="G477" s="326"/>
      <c r="H477" s="326"/>
      <c r="I477" s="326"/>
      <c r="J477" s="326"/>
      <c r="K477" s="327"/>
      <c r="L477" s="610"/>
      <c r="M477" s="326"/>
      <c r="N477" s="326"/>
      <c r="O477" s="327"/>
      <c r="P477" s="609"/>
      <c r="Q477" s="326"/>
      <c r="R477" s="326"/>
      <c r="S477" s="327"/>
      <c r="T477" s="610"/>
      <c r="U477" s="326"/>
      <c r="V477" s="326"/>
      <c r="W477" s="327"/>
      <c r="X477" s="609"/>
      <c r="Y477" s="326"/>
      <c r="Z477" s="326"/>
      <c r="AA477" s="327"/>
      <c r="AB477" s="451"/>
      <c r="AC477" s="326"/>
      <c r="AD477" s="327"/>
      <c r="AE477" s="526"/>
      <c r="AF477" s="326"/>
      <c r="AG477" s="327"/>
      <c r="AH477" s="607"/>
      <c r="AI477" s="326"/>
      <c r="AJ477" s="327"/>
      <c r="AK477" s="497"/>
      <c r="AL477" s="326"/>
      <c r="AM477" s="327"/>
      <c r="AN477" s="44"/>
      <c r="AO477" s="45"/>
      <c r="AP477" s="44"/>
      <c r="AQ477" s="45"/>
      <c r="AR477" s="44"/>
      <c r="AS477" s="45"/>
      <c r="AT477" s="44"/>
      <c r="AU477" s="45"/>
      <c r="AV477" s="44"/>
      <c r="AW477" s="45"/>
      <c r="AX477" s="44"/>
      <c r="AY477" s="45"/>
      <c r="AZ477" s="50"/>
      <c r="BA477" s="47"/>
      <c r="BB477" s="50"/>
      <c r="BC477" s="47"/>
      <c r="BD477" s="50"/>
      <c r="BE477" s="47"/>
      <c r="BF477" s="50"/>
      <c r="BG477" s="47"/>
      <c r="BH477" s="50"/>
      <c r="BI477" s="608" t="s">
        <v>307</v>
      </c>
      <c r="BJ477" s="326"/>
      <c r="BK477" s="326"/>
      <c r="BL477" s="326"/>
      <c r="BM477" s="326"/>
      <c r="BN477" s="326"/>
      <c r="BO477" s="326"/>
      <c r="BP477" s="326"/>
      <c r="BQ477" s="326"/>
      <c r="BR477" s="326"/>
      <c r="BS477" s="326"/>
      <c r="BT477" s="326"/>
      <c r="BU477" s="326"/>
      <c r="BV477" s="327"/>
    </row>
    <row r="478" spans="1:74" ht="30" customHeight="1" x14ac:dyDescent="0.25">
      <c r="A478" s="49">
        <f t="shared" si="1"/>
        <v>464</v>
      </c>
      <c r="B478" s="42" t="s">
        <v>334</v>
      </c>
      <c r="C478" s="43"/>
      <c r="D478" s="609"/>
      <c r="E478" s="326"/>
      <c r="F478" s="326"/>
      <c r="G478" s="326"/>
      <c r="H478" s="326"/>
      <c r="I478" s="326"/>
      <c r="J478" s="326"/>
      <c r="K478" s="327"/>
      <c r="L478" s="610"/>
      <c r="M478" s="326"/>
      <c r="N478" s="326"/>
      <c r="O478" s="327"/>
      <c r="P478" s="609"/>
      <c r="Q478" s="326"/>
      <c r="R478" s="326"/>
      <c r="S478" s="327"/>
      <c r="T478" s="610"/>
      <c r="U478" s="326"/>
      <c r="V478" s="326"/>
      <c r="W478" s="327"/>
      <c r="X478" s="609"/>
      <c r="Y478" s="326"/>
      <c r="Z478" s="326"/>
      <c r="AA478" s="327"/>
      <c r="AB478" s="451"/>
      <c r="AC478" s="326"/>
      <c r="AD478" s="327"/>
      <c r="AE478" s="526"/>
      <c r="AF478" s="326"/>
      <c r="AG478" s="327"/>
      <c r="AH478" s="607"/>
      <c r="AI478" s="326"/>
      <c r="AJ478" s="327"/>
      <c r="AK478" s="497"/>
      <c r="AL478" s="326"/>
      <c r="AM478" s="327"/>
      <c r="AN478" s="44"/>
      <c r="AO478" s="45"/>
      <c r="AP478" s="44"/>
      <c r="AQ478" s="45"/>
      <c r="AR478" s="44"/>
      <c r="AS478" s="45"/>
      <c r="AT478" s="44"/>
      <c r="AU478" s="45"/>
      <c r="AV478" s="44"/>
      <c r="AW478" s="45"/>
      <c r="AX478" s="44"/>
      <c r="AY478" s="45"/>
      <c r="AZ478" s="50"/>
      <c r="BA478" s="47"/>
      <c r="BB478" s="50"/>
      <c r="BC478" s="47"/>
      <c r="BD478" s="50"/>
      <c r="BE478" s="47"/>
      <c r="BF478" s="50"/>
      <c r="BG478" s="47"/>
      <c r="BH478" s="50"/>
      <c r="BI478" s="608" t="s">
        <v>303</v>
      </c>
      <c r="BJ478" s="326"/>
      <c r="BK478" s="326"/>
      <c r="BL478" s="326"/>
      <c r="BM478" s="326"/>
      <c r="BN478" s="326"/>
      <c r="BO478" s="326"/>
      <c r="BP478" s="326"/>
      <c r="BQ478" s="326"/>
      <c r="BR478" s="326"/>
      <c r="BS478" s="326"/>
      <c r="BT478" s="326"/>
      <c r="BU478" s="326"/>
      <c r="BV478" s="327"/>
    </row>
    <row r="479" spans="1:74" ht="30" customHeight="1" x14ac:dyDescent="0.25">
      <c r="A479" s="49">
        <f t="shared" si="1"/>
        <v>465</v>
      </c>
      <c r="B479" s="42" t="s">
        <v>334</v>
      </c>
      <c r="C479" s="43"/>
      <c r="D479" s="609"/>
      <c r="E479" s="326"/>
      <c r="F479" s="326"/>
      <c r="G479" s="326"/>
      <c r="H479" s="326"/>
      <c r="I479" s="326"/>
      <c r="J479" s="326"/>
      <c r="K479" s="327"/>
      <c r="L479" s="610"/>
      <c r="M479" s="326"/>
      <c r="N479" s="326"/>
      <c r="O479" s="327"/>
      <c r="P479" s="609"/>
      <c r="Q479" s="326"/>
      <c r="R479" s="326"/>
      <c r="S479" s="327"/>
      <c r="T479" s="610"/>
      <c r="U479" s="326"/>
      <c r="V479" s="326"/>
      <c r="W479" s="327"/>
      <c r="X479" s="609"/>
      <c r="Y479" s="326"/>
      <c r="Z479" s="326"/>
      <c r="AA479" s="327"/>
      <c r="AB479" s="451"/>
      <c r="AC479" s="326"/>
      <c r="AD479" s="327"/>
      <c r="AE479" s="526"/>
      <c r="AF479" s="326"/>
      <c r="AG479" s="327"/>
      <c r="AH479" s="607"/>
      <c r="AI479" s="326"/>
      <c r="AJ479" s="327"/>
      <c r="AK479" s="497"/>
      <c r="AL479" s="326"/>
      <c r="AM479" s="327"/>
      <c r="AN479" s="44"/>
      <c r="AO479" s="45"/>
      <c r="AP479" s="44"/>
      <c r="AQ479" s="45"/>
      <c r="AR479" s="44"/>
      <c r="AS479" s="45"/>
      <c r="AT479" s="44"/>
      <c r="AU479" s="45"/>
      <c r="AV479" s="44"/>
      <c r="AW479" s="45"/>
      <c r="AX479" s="44"/>
      <c r="AY479" s="45"/>
      <c r="AZ479" s="50"/>
      <c r="BA479" s="47"/>
      <c r="BB479" s="50"/>
      <c r="BC479" s="47"/>
      <c r="BD479" s="50"/>
      <c r="BE479" s="47"/>
      <c r="BF479" s="50"/>
      <c r="BG479" s="47"/>
      <c r="BH479" s="50"/>
      <c r="BI479" s="608" t="s">
        <v>303</v>
      </c>
      <c r="BJ479" s="326"/>
      <c r="BK479" s="326"/>
      <c r="BL479" s="326"/>
      <c r="BM479" s="326"/>
      <c r="BN479" s="326"/>
      <c r="BO479" s="326"/>
      <c r="BP479" s="326"/>
      <c r="BQ479" s="326"/>
      <c r="BR479" s="326"/>
      <c r="BS479" s="326"/>
      <c r="BT479" s="326"/>
      <c r="BU479" s="326"/>
      <c r="BV479" s="327"/>
    </row>
    <row r="480" spans="1:74" ht="30" customHeight="1" x14ac:dyDescent="0.25">
      <c r="A480" s="41">
        <f t="shared" si="1"/>
        <v>466</v>
      </c>
      <c r="B480" s="42" t="s">
        <v>334</v>
      </c>
      <c r="C480" s="43"/>
      <c r="D480" s="609"/>
      <c r="E480" s="326"/>
      <c r="F480" s="326"/>
      <c r="G480" s="326"/>
      <c r="H480" s="326"/>
      <c r="I480" s="326"/>
      <c r="J480" s="326"/>
      <c r="K480" s="327"/>
      <c r="L480" s="610"/>
      <c r="M480" s="326"/>
      <c r="N480" s="326"/>
      <c r="O480" s="327"/>
      <c r="P480" s="609"/>
      <c r="Q480" s="326"/>
      <c r="R480" s="326"/>
      <c r="S480" s="327"/>
      <c r="T480" s="610"/>
      <c r="U480" s="326"/>
      <c r="V480" s="326"/>
      <c r="W480" s="327"/>
      <c r="X480" s="609"/>
      <c r="Y480" s="326"/>
      <c r="Z480" s="326"/>
      <c r="AA480" s="327"/>
      <c r="AB480" s="451"/>
      <c r="AC480" s="326"/>
      <c r="AD480" s="327"/>
      <c r="AE480" s="526"/>
      <c r="AF480" s="326"/>
      <c r="AG480" s="327"/>
      <c r="AH480" s="607"/>
      <c r="AI480" s="326"/>
      <c r="AJ480" s="327"/>
      <c r="AK480" s="497"/>
      <c r="AL480" s="326"/>
      <c r="AM480" s="327"/>
      <c r="AN480" s="44"/>
      <c r="AO480" s="45"/>
      <c r="AP480" s="44"/>
      <c r="AQ480" s="45"/>
      <c r="AR480" s="44"/>
      <c r="AS480" s="45"/>
      <c r="AT480" s="44"/>
      <c r="AU480" s="45"/>
      <c r="AV480" s="44"/>
      <c r="AW480" s="45"/>
      <c r="AX480" s="44"/>
      <c r="AY480" s="45"/>
      <c r="AZ480" s="50"/>
      <c r="BA480" s="47"/>
      <c r="BB480" s="50"/>
      <c r="BC480" s="47"/>
      <c r="BD480" s="50"/>
      <c r="BE480" s="47"/>
      <c r="BF480" s="50"/>
      <c r="BG480" s="47"/>
      <c r="BH480" s="50"/>
      <c r="BI480" s="608" t="s">
        <v>307</v>
      </c>
      <c r="BJ480" s="326"/>
      <c r="BK480" s="326"/>
      <c r="BL480" s="326"/>
      <c r="BM480" s="326"/>
      <c r="BN480" s="326"/>
      <c r="BO480" s="326"/>
      <c r="BP480" s="326"/>
      <c r="BQ480" s="326"/>
      <c r="BR480" s="326"/>
      <c r="BS480" s="326"/>
      <c r="BT480" s="326"/>
      <c r="BU480" s="326"/>
      <c r="BV480" s="327"/>
    </row>
    <row r="481" spans="1:74" ht="30" customHeight="1" x14ac:dyDescent="0.25">
      <c r="A481" s="49">
        <f t="shared" si="1"/>
        <v>467</v>
      </c>
      <c r="B481" s="42" t="s">
        <v>334</v>
      </c>
      <c r="C481" s="43"/>
      <c r="D481" s="609"/>
      <c r="E481" s="326"/>
      <c r="F481" s="326"/>
      <c r="G481" s="326"/>
      <c r="H481" s="326"/>
      <c r="I481" s="326"/>
      <c r="J481" s="326"/>
      <c r="K481" s="327"/>
      <c r="L481" s="610"/>
      <c r="M481" s="326"/>
      <c r="N481" s="326"/>
      <c r="O481" s="327"/>
      <c r="P481" s="609"/>
      <c r="Q481" s="326"/>
      <c r="R481" s="326"/>
      <c r="S481" s="327"/>
      <c r="T481" s="610"/>
      <c r="U481" s="326"/>
      <c r="V481" s="326"/>
      <c r="W481" s="327"/>
      <c r="X481" s="609"/>
      <c r="Y481" s="326"/>
      <c r="Z481" s="326"/>
      <c r="AA481" s="327"/>
      <c r="AB481" s="451"/>
      <c r="AC481" s="326"/>
      <c r="AD481" s="327"/>
      <c r="AE481" s="526"/>
      <c r="AF481" s="326"/>
      <c r="AG481" s="327"/>
      <c r="AH481" s="607"/>
      <c r="AI481" s="326"/>
      <c r="AJ481" s="327"/>
      <c r="AK481" s="497"/>
      <c r="AL481" s="326"/>
      <c r="AM481" s="327"/>
      <c r="AN481" s="44"/>
      <c r="AO481" s="45"/>
      <c r="AP481" s="44"/>
      <c r="AQ481" s="45"/>
      <c r="AR481" s="44"/>
      <c r="AS481" s="45"/>
      <c r="AT481" s="44"/>
      <c r="AU481" s="45"/>
      <c r="AV481" s="44"/>
      <c r="AW481" s="45"/>
      <c r="AX481" s="44"/>
      <c r="AY481" s="45"/>
      <c r="AZ481" s="50"/>
      <c r="BA481" s="47"/>
      <c r="BB481" s="50"/>
      <c r="BC481" s="47"/>
      <c r="BD481" s="50"/>
      <c r="BE481" s="47"/>
      <c r="BF481" s="50"/>
      <c r="BG481" s="47"/>
      <c r="BH481" s="50"/>
      <c r="BI481" s="608" t="s">
        <v>307</v>
      </c>
      <c r="BJ481" s="326"/>
      <c r="BK481" s="326"/>
      <c r="BL481" s="326"/>
      <c r="BM481" s="326"/>
      <c r="BN481" s="326"/>
      <c r="BO481" s="326"/>
      <c r="BP481" s="326"/>
      <c r="BQ481" s="326"/>
      <c r="BR481" s="326"/>
      <c r="BS481" s="326"/>
      <c r="BT481" s="326"/>
      <c r="BU481" s="326"/>
      <c r="BV481" s="327"/>
    </row>
    <row r="482" spans="1:74" ht="30" customHeight="1" x14ac:dyDescent="0.25">
      <c r="A482" s="49">
        <f t="shared" si="1"/>
        <v>468</v>
      </c>
      <c r="B482" s="42" t="s">
        <v>334</v>
      </c>
      <c r="C482" s="43"/>
      <c r="D482" s="609"/>
      <c r="E482" s="326"/>
      <c r="F482" s="326"/>
      <c r="G482" s="326"/>
      <c r="H482" s="326"/>
      <c r="I482" s="326"/>
      <c r="J482" s="326"/>
      <c r="K482" s="327"/>
      <c r="L482" s="610"/>
      <c r="M482" s="326"/>
      <c r="N482" s="326"/>
      <c r="O482" s="327"/>
      <c r="P482" s="609"/>
      <c r="Q482" s="326"/>
      <c r="R482" s="326"/>
      <c r="S482" s="327"/>
      <c r="T482" s="610"/>
      <c r="U482" s="326"/>
      <c r="V482" s="326"/>
      <c r="W482" s="327"/>
      <c r="X482" s="609"/>
      <c r="Y482" s="326"/>
      <c r="Z482" s="326"/>
      <c r="AA482" s="327"/>
      <c r="AB482" s="451"/>
      <c r="AC482" s="326"/>
      <c r="AD482" s="327"/>
      <c r="AE482" s="526"/>
      <c r="AF482" s="326"/>
      <c r="AG482" s="327"/>
      <c r="AH482" s="607"/>
      <c r="AI482" s="326"/>
      <c r="AJ482" s="327"/>
      <c r="AK482" s="497"/>
      <c r="AL482" s="326"/>
      <c r="AM482" s="327"/>
      <c r="AN482" s="44"/>
      <c r="AO482" s="45"/>
      <c r="AP482" s="44"/>
      <c r="AQ482" s="45"/>
      <c r="AR482" s="44"/>
      <c r="AS482" s="45"/>
      <c r="AT482" s="44"/>
      <c r="AU482" s="45"/>
      <c r="AV482" s="44"/>
      <c r="AW482" s="45"/>
      <c r="AX482" s="44"/>
      <c r="AY482" s="45"/>
      <c r="AZ482" s="50"/>
      <c r="BA482" s="47"/>
      <c r="BB482" s="50"/>
      <c r="BC482" s="47"/>
      <c r="BD482" s="50"/>
      <c r="BE482" s="47"/>
      <c r="BF482" s="50"/>
      <c r="BG482" s="47"/>
      <c r="BH482" s="50"/>
      <c r="BI482" s="608" t="s">
        <v>307</v>
      </c>
      <c r="BJ482" s="326"/>
      <c r="BK482" s="326"/>
      <c r="BL482" s="326"/>
      <c r="BM482" s="326"/>
      <c r="BN482" s="326"/>
      <c r="BO482" s="326"/>
      <c r="BP482" s="326"/>
      <c r="BQ482" s="326"/>
      <c r="BR482" s="326"/>
      <c r="BS482" s="326"/>
      <c r="BT482" s="326"/>
      <c r="BU482" s="326"/>
      <c r="BV482" s="327"/>
    </row>
    <row r="483" spans="1:74" ht="30" customHeight="1" x14ac:dyDescent="0.25">
      <c r="A483" s="49">
        <f t="shared" si="1"/>
        <v>469</v>
      </c>
      <c r="B483" s="42" t="s">
        <v>334</v>
      </c>
      <c r="C483" s="43"/>
      <c r="D483" s="609"/>
      <c r="E483" s="326"/>
      <c r="F483" s="326"/>
      <c r="G483" s="326"/>
      <c r="H483" s="326"/>
      <c r="I483" s="326"/>
      <c r="J483" s="326"/>
      <c r="K483" s="327"/>
      <c r="L483" s="610"/>
      <c r="M483" s="326"/>
      <c r="N483" s="326"/>
      <c r="O483" s="327"/>
      <c r="P483" s="609"/>
      <c r="Q483" s="326"/>
      <c r="R483" s="326"/>
      <c r="S483" s="327"/>
      <c r="T483" s="610"/>
      <c r="U483" s="326"/>
      <c r="V483" s="326"/>
      <c r="W483" s="327"/>
      <c r="X483" s="609"/>
      <c r="Y483" s="326"/>
      <c r="Z483" s="326"/>
      <c r="AA483" s="327"/>
      <c r="AB483" s="451"/>
      <c r="AC483" s="326"/>
      <c r="AD483" s="327"/>
      <c r="AE483" s="526"/>
      <c r="AF483" s="326"/>
      <c r="AG483" s="327"/>
      <c r="AH483" s="607"/>
      <c r="AI483" s="326"/>
      <c r="AJ483" s="327"/>
      <c r="AK483" s="497"/>
      <c r="AL483" s="326"/>
      <c r="AM483" s="327"/>
      <c r="AN483" s="44"/>
      <c r="AO483" s="45"/>
      <c r="AP483" s="44"/>
      <c r="AQ483" s="45"/>
      <c r="AR483" s="44"/>
      <c r="AS483" s="45"/>
      <c r="AT483" s="44"/>
      <c r="AU483" s="45"/>
      <c r="AV483" s="44"/>
      <c r="AW483" s="45"/>
      <c r="AX483" s="44"/>
      <c r="AY483" s="45"/>
      <c r="AZ483" s="50"/>
      <c r="BA483" s="47"/>
      <c r="BB483" s="50"/>
      <c r="BC483" s="47"/>
      <c r="BD483" s="50"/>
      <c r="BE483" s="47"/>
      <c r="BF483" s="50"/>
      <c r="BG483" s="47"/>
      <c r="BH483" s="50"/>
      <c r="BI483" s="608" t="s">
        <v>307</v>
      </c>
      <c r="BJ483" s="326"/>
      <c r="BK483" s="326"/>
      <c r="BL483" s="326"/>
      <c r="BM483" s="326"/>
      <c r="BN483" s="326"/>
      <c r="BO483" s="326"/>
      <c r="BP483" s="326"/>
      <c r="BQ483" s="326"/>
      <c r="BR483" s="326"/>
      <c r="BS483" s="326"/>
      <c r="BT483" s="326"/>
      <c r="BU483" s="326"/>
      <c r="BV483" s="327"/>
    </row>
    <row r="484" spans="1:74" ht="30" customHeight="1" x14ac:dyDescent="0.25">
      <c r="A484" s="49">
        <f t="shared" si="1"/>
        <v>470</v>
      </c>
      <c r="B484" s="42" t="s">
        <v>334</v>
      </c>
      <c r="C484" s="43"/>
      <c r="D484" s="609"/>
      <c r="E484" s="326"/>
      <c r="F484" s="326"/>
      <c r="G484" s="326"/>
      <c r="H484" s="326"/>
      <c r="I484" s="326"/>
      <c r="J484" s="326"/>
      <c r="K484" s="327"/>
      <c r="L484" s="610"/>
      <c r="M484" s="326"/>
      <c r="N484" s="326"/>
      <c r="O484" s="327"/>
      <c r="P484" s="609"/>
      <c r="Q484" s="326"/>
      <c r="R484" s="326"/>
      <c r="S484" s="327"/>
      <c r="T484" s="610"/>
      <c r="U484" s="326"/>
      <c r="V484" s="326"/>
      <c r="W484" s="327"/>
      <c r="X484" s="609"/>
      <c r="Y484" s="326"/>
      <c r="Z484" s="326"/>
      <c r="AA484" s="327"/>
      <c r="AB484" s="451"/>
      <c r="AC484" s="326"/>
      <c r="AD484" s="327"/>
      <c r="AE484" s="526"/>
      <c r="AF484" s="326"/>
      <c r="AG484" s="327"/>
      <c r="AH484" s="607"/>
      <c r="AI484" s="326"/>
      <c r="AJ484" s="327"/>
      <c r="AK484" s="497"/>
      <c r="AL484" s="326"/>
      <c r="AM484" s="327"/>
      <c r="AN484" s="44"/>
      <c r="AO484" s="45"/>
      <c r="AP484" s="44"/>
      <c r="AQ484" s="45"/>
      <c r="AR484" s="44"/>
      <c r="AS484" s="45"/>
      <c r="AT484" s="44"/>
      <c r="AU484" s="45"/>
      <c r="AV484" s="44"/>
      <c r="AW484" s="45"/>
      <c r="AX484" s="44"/>
      <c r="AY484" s="45"/>
      <c r="AZ484" s="50"/>
      <c r="BA484" s="47"/>
      <c r="BB484" s="50"/>
      <c r="BC484" s="47"/>
      <c r="BD484" s="50"/>
      <c r="BE484" s="47"/>
      <c r="BF484" s="50"/>
      <c r="BG484" s="47"/>
      <c r="BH484" s="50"/>
      <c r="BI484" s="608" t="s">
        <v>307</v>
      </c>
      <c r="BJ484" s="326"/>
      <c r="BK484" s="326"/>
      <c r="BL484" s="326"/>
      <c r="BM484" s="326"/>
      <c r="BN484" s="326"/>
      <c r="BO484" s="326"/>
      <c r="BP484" s="326"/>
      <c r="BQ484" s="326"/>
      <c r="BR484" s="326"/>
      <c r="BS484" s="326"/>
      <c r="BT484" s="326"/>
      <c r="BU484" s="326"/>
      <c r="BV484" s="327"/>
    </row>
    <row r="485" spans="1:74" ht="30" customHeight="1" x14ac:dyDescent="0.25">
      <c r="A485" s="49">
        <f t="shared" si="1"/>
        <v>471</v>
      </c>
      <c r="B485" s="42" t="s">
        <v>334</v>
      </c>
      <c r="C485" s="43"/>
      <c r="D485" s="609"/>
      <c r="E485" s="326"/>
      <c r="F485" s="326"/>
      <c r="G485" s="326"/>
      <c r="H485" s="326"/>
      <c r="I485" s="326"/>
      <c r="J485" s="326"/>
      <c r="K485" s="327"/>
      <c r="L485" s="610"/>
      <c r="M485" s="326"/>
      <c r="N485" s="326"/>
      <c r="O485" s="327"/>
      <c r="P485" s="609"/>
      <c r="Q485" s="326"/>
      <c r="R485" s="326"/>
      <c r="S485" s="327"/>
      <c r="T485" s="610"/>
      <c r="U485" s="326"/>
      <c r="V485" s="326"/>
      <c r="W485" s="327"/>
      <c r="X485" s="609"/>
      <c r="Y485" s="326"/>
      <c r="Z485" s="326"/>
      <c r="AA485" s="327"/>
      <c r="AB485" s="451"/>
      <c r="AC485" s="326"/>
      <c r="AD485" s="327"/>
      <c r="AE485" s="526"/>
      <c r="AF485" s="326"/>
      <c r="AG485" s="327"/>
      <c r="AH485" s="607"/>
      <c r="AI485" s="326"/>
      <c r="AJ485" s="327"/>
      <c r="AK485" s="497"/>
      <c r="AL485" s="326"/>
      <c r="AM485" s="327"/>
      <c r="AN485" s="44"/>
      <c r="AO485" s="45"/>
      <c r="AP485" s="44"/>
      <c r="AQ485" s="45"/>
      <c r="AR485" s="44"/>
      <c r="AS485" s="45"/>
      <c r="AT485" s="44"/>
      <c r="AU485" s="45"/>
      <c r="AV485" s="44"/>
      <c r="AW485" s="45"/>
      <c r="AX485" s="44"/>
      <c r="AY485" s="45"/>
      <c r="AZ485" s="50"/>
      <c r="BA485" s="47"/>
      <c r="BB485" s="50"/>
      <c r="BC485" s="47"/>
      <c r="BD485" s="50"/>
      <c r="BE485" s="47"/>
      <c r="BF485" s="50"/>
      <c r="BG485" s="47"/>
      <c r="BH485" s="50"/>
      <c r="BI485" s="608" t="s">
        <v>303</v>
      </c>
      <c r="BJ485" s="326"/>
      <c r="BK485" s="326"/>
      <c r="BL485" s="326"/>
      <c r="BM485" s="326"/>
      <c r="BN485" s="326"/>
      <c r="BO485" s="326"/>
      <c r="BP485" s="326"/>
      <c r="BQ485" s="326"/>
      <c r="BR485" s="326"/>
      <c r="BS485" s="326"/>
      <c r="BT485" s="326"/>
      <c r="BU485" s="326"/>
      <c r="BV485" s="327"/>
    </row>
    <row r="486" spans="1:74" ht="30" customHeight="1" x14ac:dyDescent="0.25">
      <c r="A486" s="49">
        <f t="shared" si="1"/>
        <v>472</v>
      </c>
      <c r="B486" s="42" t="s">
        <v>334</v>
      </c>
      <c r="C486" s="43"/>
      <c r="D486" s="609"/>
      <c r="E486" s="326"/>
      <c r="F486" s="326"/>
      <c r="G486" s="326"/>
      <c r="H486" s="326"/>
      <c r="I486" s="326"/>
      <c r="J486" s="326"/>
      <c r="K486" s="327"/>
      <c r="L486" s="610"/>
      <c r="M486" s="326"/>
      <c r="N486" s="326"/>
      <c r="O486" s="327"/>
      <c r="P486" s="609"/>
      <c r="Q486" s="326"/>
      <c r="R486" s="326"/>
      <c r="S486" s="327"/>
      <c r="T486" s="610"/>
      <c r="U486" s="326"/>
      <c r="V486" s="326"/>
      <c r="W486" s="327"/>
      <c r="X486" s="609"/>
      <c r="Y486" s="326"/>
      <c r="Z486" s="326"/>
      <c r="AA486" s="327"/>
      <c r="AB486" s="451"/>
      <c r="AC486" s="326"/>
      <c r="AD486" s="327"/>
      <c r="AE486" s="526"/>
      <c r="AF486" s="326"/>
      <c r="AG486" s="327"/>
      <c r="AH486" s="607"/>
      <c r="AI486" s="326"/>
      <c r="AJ486" s="327"/>
      <c r="AK486" s="497"/>
      <c r="AL486" s="326"/>
      <c r="AM486" s="327"/>
      <c r="AN486" s="44"/>
      <c r="AO486" s="45"/>
      <c r="AP486" s="44"/>
      <c r="AQ486" s="45"/>
      <c r="AR486" s="44"/>
      <c r="AS486" s="45"/>
      <c r="AT486" s="44"/>
      <c r="AU486" s="45"/>
      <c r="AV486" s="44"/>
      <c r="AW486" s="45"/>
      <c r="AX486" s="44"/>
      <c r="AY486" s="45"/>
      <c r="AZ486" s="50"/>
      <c r="BA486" s="47"/>
      <c r="BB486" s="50"/>
      <c r="BC486" s="47"/>
      <c r="BD486" s="50"/>
      <c r="BE486" s="47"/>
      <c r="BF486" s="50"/>
      <c r="BG486" s="47"/>
      <c r="BH486" s="50"/>
      <c r="BI486" s="608" t="s">
        <v>303</v>
      </c>
      <c r="BJ486" s="326"/>
      <c r="BK486" s="326"/>
      <c r="BL486" s="326"/>
      <c r="BM486" s="326"/>
      <c r="BN486" s="326"/>
      <c r="BO486" s="326"/>
      <c r="BP486" s="326"/>
      <c r="BQ486" s="326"/>
      <c r="BR486" s="326"/>
      <c r="BS486" s="326"/>
      <c r="BT486" s="326"/>
      <c r="BU486" s="326"/>
      <c r="BV486" s="327"/>
    </row>
    <row r="487" spans="1:74" ht="30" customHeight="1" x14ac:dyDescent="0.25">
      <c r="A487" s="41">
        <f t="shared" si="1"/>
        <v>473</v>
      </c>
      <c r="B487" s="42" t="s">
        <v>334</v>
      </c>
      <c r="C487" s="43"/>
      <c r="D487" s="609"/>
      <c r="E487" s="326"/>
      <c r="F487" s="326"/>
      <c r="G487" s="326"/>
      <c r="H487" s="326"/>
      <c r="I487" s="326"/>
      <c r="J487" s="326"/>
      <c r="K487" s="327"/>
      <c r="L487" s="610"/>
      <c r="M487" s="326"/>
      <c r="N487" s="326"/>
      <c r="O487" s="327"/>
      <c r="P487" s="609"/>
      <c r="Q487" s="326"/>
      <c r="R487" s="326"/>
      <c r="S487" s="327"/>
      <c r="T487" s="610"/>
      <c r="U487" s="326"/>
      <c r="V487" s="326"/>
      <c r="W487" s="327"/>
      <c r="X487" s="609"/>
      <c r="Y487" s="326"/>
      <c r="Z487" s="326"/>
      <c r="AA487" s="327"/>
      <c r="AB487" s="451"/>
      <c r="AC487" s="326"/>
      <c r="AD487" s="327"/>
      <c r="AE487" s="526"/>
      <c r="AF487" s="326"/>
      <c r="AG487" s="327"/>
      <c r="AH487" s="607"/>
      <c r="AI487" s="326"/>
      <c r="AJ487" s="327"/>
      <c r="AK487" s="497"/>
      <c r="AL487" s="326"/>
      <c r="AM487" s="327"/>
      <c r="AN487" s="44"/>
      <c r="AO487" s="45"/>
      <c r="AP487" s="44"/>
      <c r="AQ487" s="45"/>
      <c r="AR487" s="44"/>
      <c r="AS487" s="45"/>
      <c r="AT487" s="44"/>
      <c r="AU487" s="45"/>
      <c r="AV487" s="44"/>
      <c r="AW487" s="45"/>
      <c r="AX487" s="44"/>
      <c r="AY487" s="45"/>
      <c r="AZ487" s="50"/>
      <c r="BA487" s="47"/>
      <c r="BB487" s="50"/>
      <c r="BC487" s="47"/>
      <c r="BD487" s="50"/>
      <c r="BE487" s="47"/>
      <c r="BF487" s="50"/>
      <c r="BG487" s="47"/>
      <c r="BH487" s="50"/>
      <c r="BI487" s="608" t="s">
        <v>307</v>
      </c>
      <c r="BJ487" s="326"/>
      <c r="BK487" s="326"/>
      <c r="BL487" s="326"/>
      <c r="BM487" s="326"/>
      <c r="BN487" s="326"/>
      <c r="BO487" s="326"/>
      <c r="BP487" s="326"/>
      <c r="BQ487" s="326"/>
      <c r="BR487" s="326"/>
      <c r="BS487" s="326"/>
      <c r="BT487" s="326"/>
      <c r="BU487" s="326"/>
      <c r="BV487" s="327"/>
    </row>
    <row r="488" spans="1:74" ht="30" customHeight="1" x14ac:dyDescent="0.25">
      <c r="A488" s="49">
        <f t="shared" si="1"/>
        <v>474</v>
      </c>
      <c r="B488" s="42" t="s">
        <v>334</v>
      </c>
      <c r="C488" s="43"/>
      <c r="D488" s="609"/>
      <c r="E488" s="326"/>
      <c r="F488" s="326"/>
      <c r="G488" s="326"/>
      <c r="H488" s="326"/>
      <c r="I488" s="326"/>
      <c r="J488" s="326"/>
      <c r="K488" s="327"/>
      <c r="L488" s="610"/>
      <c r="M488" s="326"/>
      <c r="N488" s="326"/>
      <c r="O488" s="327"/>
      <c r="P488" s="609"/>
      <c r="Q488" s="326"/>
      <c r="R488" s="326"/>
      <c r="S488" s="327"/>
      <c r="T488" s="610"/>
      <c r="U488" s="326"/>
      <c r="V488" s="326"/>
      <c r="W488" s="327"/>
      <c r="X488" s="609"/>
      <c r="Y488" s="326"/>
      <c r="Z488" s="326"/>
      <c r="AA488" s="327"/>
      <c r="AB488" s="451"/>
      <c r="AC488" s="326"/>
      <c r="AD488" s="327"/>
      <c r="AE488" s="526"/>
      <c r="AF488" s="326"/>
      <c r="AG488" s="327"/>
      <c r="AH488" s="607"/>
      <c r="AI488" s="326"/>
      <c r="AJ488" s="327"/>
      <c r="AK488" s="497"/>
      <c r="AL488" s="326"/>
      <c r="AM488" s="327"/>
      <c r="AN488" s="44"/>
      <c r="AO488" s="45"/>
      <c r="AP488" s="44"/>
      <c r="AQ488" s="45"/>
      <c r="AR488" s="44"/>
      <c r="AS488" s="45"/>
      <c r="AT488" s="44"/>
      <c r="AU488" s="45"/>
      <c r="AV488" s="44"/>
      <c r="AW488" s="45"/>
      <c r="AX488" s="44"/>
      <c r="AY488" s="45"/>
      <c r="AZ488" s="50"/>
      <c r="BA488" s="47"/>
      <c r="BB488" s="50"/>
      <c r="BC488" s="47"/>
      <c r="BD488" s="50"/>
      <c r="BE488" s="47"/>
      <c r="BF488" s="50"/>
      <c r="BG488" s="47"/>
      <c r="BH488" s="50"/>
      <c r="BI488" s="608" t="s">
        <v>307</v>
      </c>
      <c r="BJ488" s="326"/>
      <c r="BK488" s="326"/>
      <c r="BL488" s="326"/>
      <c r="BM488" s="326"/>
      <c r="BN488" s="326"/>
      <c r="BO488" s="326"/>
      <c r="BP488" s="326"/>
      <c r="BQ488" s="326"/>
      <c r="BR488" s="326"/>
      <c r="BS488" s="326"/>
      <c r="BT488" s="326"/>
      <c r="BU488" s="326"/>
      <c r="BV488" s="327"/>
    </row>
    <row r="489" spans="1:74" ht="30" customHeight="1" x14ac:dyDescent="0.25">
      <c r="A489" s="49">
        <f t="shared" si="1"/>
        <v>475</v>
      </c>
      <c r="B489" s="42" t="s">
        <v>334</v>
      </c>
      <c r="C489" s="43"/>
      <c r="D489" s="609"/>
      <c r="E489" s="326"/>
      <c r="F489" s="326"/>
      <c r="G489" s="326"/>
      <c r="H489" s="326"/>
      <c r="I489" s="326"/>
      <c r="J489" s="326"/>
      <c r="K489" s="327"/>
      <c r="L489" s="610"/>
      <c r="M489" s="326"/>
      <c r="N489" s="326"/>
      <c r="O489" s="327"/>
      <c r="P489" s="609"/>
      <c r="Q489" s="326"/>
      <c r="R489" s="326"/>
      <c r="S489" s="327"/>
      <c r="T489" s="610"/>
      <c r="U489" s="326"/>
      <c r="V489" s="326"/>
      <c r="W489" s="327"/>
      <c r="X489" s="609"/>
      <c r="Y489" s="326"/>
      <c r="Z489" s="326"/>
      <c r="AA489" s="327"/>
      <c r="AB489" s="451"/>
      <c r="AC489" s="326"/>
      <c r="AD489" s="327"/>
      <c r="AE489" s="526"/>
      <c r="AF489" s="326"/>
      <c r="AG489" s="327"/>
      <c r="AH489" s="607"/>
      <c r="AI489" s="326"/>
      <c r="AJ489" s="327"/>
      <c r="AK489" s="497"/>
      <c r="AL489" s="326"/>
      <c r="AM489" s="327"/>
      <c r="AN489" s="44"/>
      <c r="AO489" s="45"/>
      <c r="AP489" s="44"/>
      <c r="AQ489" s="45"/>
      <c r="AR489" s="44"/>
      <c r="AS489" s="45"/>
      <c r="AT489" s="44"/>
      <c r="AU489" s="45"/>
      <c r="AV489" s="44"/>
      <c r="AW489" s="45"/>
      <c r="AX489" s="44"/>
      <c r="AY489" s="45"/>
      <c r="AZ489" s="50"/>
      <c r="BA489" s="47"/>
      <c r="BB489" s="50"/>
      <c r="BC489" s="47"/>
      <c r="BD489" s="50"/>
      <c r="BE489" s="47"/>
      <c r="BF489" s="50"/>
      <c r="BG489" s="47"/>
      <c r="BH489" s="50"/>
      <c r="BI489" s="608" t="s">
        <v>307</v>
      </c>
      <c r="BJ489" s="326"/>
      <c r="BK489" s="326"/>
      <c r="BL489" s="326"/>
      <c r="BM489" s="326"/>
      <c r="BN489" s="326"/>
      <c r="BO489" s="326"/>
      <c r="BP489" s="326"/>
      <c r="BQ489" s="326"/>
      <c r="BR489" s="326"/>
      <c r="BS489" s="326"/>
      <c r="BT489" s="326"/>
      <c r="BU489" s="326"/>
      <c r="BV489" s="327"/>
    </row>
    <row r="490" spans="1:74" ht="30" customHeight="1" x14ac:dyDescent="0.25">
      <c r="A490" s="49">
        <f t="shared" si="1"/>
        <v>476</v>
      </c>
      <c r="B490" s="42" t="s">
        <v>334</v>
      </c>
      <c r="C490" s="43"/>
      <c r="D490" s="609"/>
      <c r="E490" s="326"/>
      <c r="F490" s="326"/>
      <c r="G490" s="326"/>
      <c r="H490" s="326"/>
      <c r="I490" s="326"/>
      <c r="J490" s="326"/>
      <c r="K490" s="327"/>
      <c r="L490" s="610"/>
      <c r="M490" s="326"/>
      <c r="N490" s="326"/>
      <c r="O490" s="327"/>
      <c r="P490" s="609"/>
      <c r="Q490" s="326"/>
      <c r="R490" s="326"/>
      <c r="S490" s="327"/>
      <c r="T490" s="610"/>
      <c r="U490" s="326"/>
      <c r="V490" s="326"/>
      <c r="W490" s="327"/>
      <c r="X490" s="609"/>
      <c r="Y490" s="326"/>
      <c r="Z490" s="326"/>
      <c r="AA490" s="327"/>
      <c r="AB490" s="451"/>
      <c r="AC490" s="326"/>
      <c r="AD490" s="327"/>
      <c r="AE490" s="526"/>
      <c r="AF490" s="326"/>
      <c r="AG490" s="327"/>
      <c r="AH490" s="607"/>
      <c r="AI490" s="326"/>
      <c r="AJ490" s="327"/>
      <c r="AK490" s="497"/>
      <c r="AL490" s="326"/>
      <c r="AM490" s="327"/>
      <c r="AN490" s="44"/>
      <c r="AO490" s="45"/>
      <c r="AP490" s="44"/>
      <c r="AQ490" s="45"/>
      <c r="AR490" s="44"/>
      <c r="AS490" s="45"/>
      <c r="AT490" s="44"/>
      <c r="AU490" s="45"/>
      <c r="AV490" s="44"/>
      <c r="AW490" s="45"/>
      <c r="AX490" s="44"/>
      <c r="AY490" s="45"/>
      <c r="AZ490" s="50"/>
      <c r="BA490" s="47"/>
      <c r="BB490" s="50"/>
      <c r="BC490" s="47"/>
      <c r="BD490" s="50"/>
      <c r="BE490" s="47"/>
      <c r="BF490" s="50"/>
      <c r="BG490" s="47"/>
      <c r="BH490" s="50"/>
      <c r="BI490" s="608" t="s">
        <v>307</v>
      </c>
      <c r="BJ490" s="326"/>
      <c r="BK490" s="326"/>
      <c r="BL490" s="326"/>
      <c r="BM490" s="326"/>
      <c r="BN490" s="326"/>
      <c r="BO490" s="326"/>
      <c r="BP490" s="326"/>
      <c r="BQ490" s="326"/>
      <c r="BR490" s="326"/>
      <c r="BS490" s="326"/>
      <c r="BT490" s="326"/>
      <c r="BU490" s="326"/>
      <c r="BV490" s="327"/>
    </row>
    <row r="491" spans="1:74" ht="30" customHeight="1" x14ac:dyDescent="0.25">
      <c r="A491" s="49">
        <f t="shared" si="1"/>
        <v>477</v>
      </c>
      <c r="B491" s="42" t="s">
        <v>334</v>
      </c>
      <c r="C491" s="43"/>
      <c r="D491" s="609"/>
      <c r="E491" s="326"/>
      <c r="F491" s="326"/>
      <c r="G491" s="326"/>
      <c r="H491" s="326"/>
      <c r="I491" s="326"/>
      <c r="J491" s="326"/>
      <c r="K491" s="327"/>
      <c r="L491" s="610"/>
      <c r="M491" s="326"/>
      <c r="N491" s="326"/>
      <c r="O491" s="327"/>
      <c r="P491" s="609"/>
      <c r="Q491" s="326"/>
      <c r="R491" s="326"/>
      <c r="S491" s="327"/>
      <c r="T491" s="610"/>
      <c r="U491" s="326"/>
      <c r="V491" s="326"/>
      <c r="W491" s="327"/>
      <c r="X491" s="609"/>
      <c r="Y491" s="326"/>
      <c r="Z491" s="326"/>
      <c r="AA491" s="327"/>
      <c r="AB491" s="451"/>
      <c r="AC491" s="326"/>
      <c r="AD491" s="327"/>
      <c r="AE491" s="526"/>
      <c r="AF491" s="326"/>
      <c r="AG491" s="327"/>
      <c r="AH491" s="607"/>
      <c r="AI491" s="326"/>
      <c r="AJ491" s="327"/>
      <c r="AK491" s="497"/>
      <c r="AL491" s="326"/>
      <c r="AM491" s="327"/>
      <c r="AN491" s="44"/>
      <c r="AO491" s="45"/>
      <c r="AP491" s="44"/>
      <c r="AQ491" s="45"/>
      <c r="AR491" s="44"/>
      <c r="AS491" s="45"/>
      <c r="AT491" s="44"/>
      <c r="AU491" s="45"/>
      <c r="AV491" s="44"/>
      <c r="AW491" s="45"/>
      <c r="AX491" s="44"/>
      <c r="AY491" s="45"/>
      <c r="AZ491" s="50"/>
      <c r="BA491" s="47"/>
      <c r="BB491" s="50"/>
      <c r="BC491" s="47"/>
      <c r="BD491" s="50"/>
      <c r="BE491" s="47"/>
      <c r="BF491" s="50"/>
      <c r="BG491" s="47"/>
      <c r="BH491" s="50"/>
      <c r="BI491" s="608" t="s">
        <v>307</v>
      </c>
      <c r="BJ491" s="326"/>
      <c r="BK491" s="326"/>
      <c r="BL491" s="326"/>
      <c r="BM491" s="326"/>
      <c r="BN491" s="326"/>
      <c r="BO491" s="326"/>
      <c r="BP491" s="326"/>
      <c r="BQ491" s="326"/>
      <c r="BR491" s="326"/>
      <c r="BS491" s="326"/>
      <c r="BT491" s="326"/>
      <c r="BU491" s="326"/>
      <c r="BV491" s="327"/>
    </row>
    <row r="492" spans="1:74" ht="30" customHeight="1" x14ac:dyDescent="0.25">
      <c r="A492" s="49">
        <f t="shared" si="1"/>
        <v>478</v>
      </c>
      <c r="B492" s="42" t="s">
        <v>334</v>
      </c>
      <c r="C492" s="43"/>
      <c r="D492" s="609"/>
      <c r="E492" s="326"/>
      <c r="F492" s="326"/>
      <c r="G492" s="326"/>
      <c r="H492" s="326"/>
      <c r="I492" s="326"/>
      <c r="J492" s="326"/>
      <c r="K492" s="327"/>
      <c r="L492" s="610"/>
      <c r="M492" s="326"/>
      <c r="N492" s="326"/>
      <c r="O492" s="327"/>
      <c r="P492" s="609"/>
      <c r="Q492" s="326"/>
      <c r="R492" s="326"/>
      <c r="S492" s="327"/>
      <c r="T492" s="610"/>
      <c r="U492" s="326"/>
      <c r="V492" s="326"/>
      <c r="W492" s="327"/>
      <c r="X492" s="609"/>
      <c r="Y492" s="326"/>
      <c r="Z492" s="326"/>
      <c r="AA492" s="327"/>
      <c r="AB492" s="451"/>
      <c r="AC492" s="326"/>
      <c r="AD492" s="327"/>
      <c r="AE492" s="526"/>
      <c r="AF492" s="326"/>
      <c r="AG492" s="327"/>
      <c r="AH492" s="607"/>
      <c r="AI492" s="326"/>
      <c r="AJ492" s="327"/>
      <c r="AK492" s="497"/>
      <c r="AL492" s="326"/>
      <c r="AM492" s="327"/>
      <c r="AN492" s="44"/>
      <c r="AO492" s="45"/>
      <c r="AP492" s="44"/>
      <c r="AQ492" s="45"/>
      <c r="AR492" s="44"/>
      <c r="AS492" s="45"/>
      <c r="AT492" s="44"/>
      <c r="AU492" s="45"/>
      <c r="AV492" s="44"/>
      <c r="AW492" s="45"/>
      <c r="AX492" s="44"/>
      <c r="AY492" s="45"/>
      <c r="AZ492" s="50"/>
      <c r="BA492" s="47"/>
      <c r="BB492" s="50"/>
      <c r="BC492" s="47"/>
      <c r="BD492" s="50"/>
      <c r="BE492" s="47"/>
      <c r="BF492" s="50"/>
      <c r="BG492" s="47"/>
      <c r="BH492" s="50"/>
      <c r="BI492" s="608" t="s">
        <v>303</v>
      </c>
      <c r="BJ492" s="326"/>
      <c r="BK492" s="326"/>
      <c r="BL492" s="326"/>
      <c r="BM492" s="326"/>
      <c r="BN492" s="326"/>
      <c r="BO492" s="326"/>
      <c r="BP492" s="326"/>
      <c r="BQ492" s="326"/>
      <c r="BR492" s="326"/>
      <c r="BS492" s="326"/>
      <c r="BT492" s="326"/>
      <c r="BU492" s="326"/>
      <c r="BV492" s="327"/>
    </row>
    <row r="493" spans="1:74" ht="30" customHeight="1" x14ac:dyDescent="0.25">
      <c r="A493" s="49">
        <f t="shared" si="1"/>
        <v>479</v>
      </c>
      <c r="B493" s="42" t="s">
        <v>334</v>
      </c>
      <c r="C493" s="43"/>
      <c r="D493" s="609"/>
      <c r="E493" s="326"/>
      <c r="F493" s="326"/>
      <c r="G493" s="326"/>
      <c r="H493" s="326"/>
      <c r="I493" s="326"/>
      <c r="J493" s="326"/>
      <c r="K493" s="327"/>
      <c r="L493" s="610"/>
      <c r="M493" s="326"/>
      <c r="N493" s="326"/>
      <c r="O493" s="327"/>
      <c r="P493" s="609"/>
      <c r="Q493" s="326"/>
      <c r="R493" s="326"/>
      <c r="S493" s="327"/>
      <c r="T493" s="610"/>
      <c r="U493" s="326"/>
      <c r="V493" s="326"/>
      <c r="W493" s="327"/>
      <c r="X493" s="609"/>
      <c r="Y493" s="326"/>
      <c r="Z493" s="326"/>
      <c r="AA493" s="327"/>
      <c r="AB493" s="451"/>
      <c r="AC493" s="326"/>
      <c r="AD493" s="327"/>
      <c r="AE493" s="526"/>
      <c r="AF493" s="326"/>
      <c r="AG493" s="327"/>
      <c r="AH493" s="607"/>
      <c r="AI493" s="326"/>
      <c r="AJ493" s="327"/>
      <c r="AK493" s="497"/>
      <c r="AL493" s="326"/>
      <c r="AM493" s="327"/>
      <c r="AN493" s="44"/>
      <c r="AO493" s="45"/>
      <c r="AP493" s="44"/>
      <c r="AQ493" s="45"/>
      <c r="AR493" s="44"/>
      <c r="AS493" s="45"/>
      <c r="AT493" s="44"/>
      <c r="AU493" s="45"/>
      <c r="AV493" s="44"/>
      <c r="AW493" s="45"/>
      <c r="AX493" s="44"/>
      <c r="AY493" s="45"/>
      <c r="AZ493" s="50"/>
      <c r="BA493" s="47"/>
      <c r="BB493" s="50"/>
      <c r="BC493" s="47"/>
      <c r="BD493" s="50"/>
      <c r="BE493" s="47"/>
      <c r="BF493" s="50"/>
      <c r="BG493" s="47"/>
      <c r="BH493" s="50"/>
      <c r="BI493" s="608" t="s">
        <v>303</v>
      </c>
      <c r="BJ493" s="326"/>
      <c r="BK493" s="326"/>
      <c r="BL493" s="326"/>
      <c r="BM493" s="326"/>
      <c r="BN493" s="326"/>
      <c r="BO493" s="326"/>
      <c r="BP493" s="326"/>
      <c r="BQ493" s="326"/>
      <c r="BR493" s="326"/>
      <c r="BS493" s="326"/>
      <c r="BT493" s="326"/>
      <c r="BU493" s="326"/>
      <c r="BV493" s="327"/>
    </row>
    <row r="494" spans="1:74" ht="30" customHeight="1" x14ac:dyDescent="0.25">
      <c r="A494" s="41">
        <f t="shared" si="1"/>
        <v>480</v>
      </c>
      <c r="B494" s="42" t="s">
        <v>334</v>
      </c>
      <c r="C494" s="43"/>
      <c r="D494" s="609"/>
      <c r="E494" s="326"/>
      <c r="F494" s="326"/>
      <c r="G494" s="326"/>
      <c r="H494" s="326"/>
      <c r="I494" s="326"/>
      <c r="J494" s="326"/>
      <c r="K494" s="327"/>
      <c r="L494" s="610"/>
      <c r="M494" s="326"/>
      <c r="N494" s="326"/>
      <c r="O494" s="327"/>
      <c r="P494" s="609"/>
      <c r="Q494" s="326"/>
      <c r="R494" s="326"/>
      <c r="S494" s="327"/>
      <c r="T494" s="610"/>
      <c r="U494" s="326"/>
      <c r="V494" s="326"/>
      <c r="W494" s="327"/>
      <c r="X494" s="609"/>
      <c r="Y494" s="326"/>
      <c r="Z494" s="326"/>
      <c r="AA494" s="327"/>
      <c r="AB494" s="451"/>
      <c r="AC494" s="326"/>
      <c r="AD494" s="327"/>
      <c r="AE494" s="526"/>
      <c r="AF494" s="326"/>
      <c r="AG494" s="327"/>
      <c r="AH494" s="607"/>
      <c r="AI494" s="326"/>
      <c r="AJ494" s="327"/>
      <c r="AK494" s="497"/>
      <c r="AL494" s="326"/>
      <c r="AM494" s="327"/>
      <c r="AN494" s="44"/>
      <c r="AO494" s="45"/>
      <c r="AP494" s="44"/>
      <c r="AQ494" s="45"/>
      <c r="AR494" s="44"/>
      <c r="AS494" s="45"/>
      <c r="AT494" s="44"/>
      <c r="AU494" s="45"/>
      <c r="AV494" s="44"/>
      <c r="AW494" s="45"/>
      <c r="AX494" s="44"/>
      <c r="AY494" s="45"/>
      <c r="AZ494" s="50"/>
      <c r="BA494" s="47"/>
      <c r="BB494" s="50"/>
      <c r="BC494" s="47"/>
      <c r="BD494" s="50"/>
      <c r="BE494" s="47"/>
      <c r="BF494" s="50"/>
      <c r="BG494" s="47"/>
      <c r="BH494" s="50"/>
      <c r="BI494" s="608" t="s">
        <v>307</v>
      </c>
      <c r="BJ494" s="326"/>
      <c r="BK494" s="326"/>
      <c r="BL494" s="326"/>
      <c r="BM494" s="326"/>
      <c r="BN494" s="326"/>
      <c r="BO494" s="326"/>
      <c r="BP494" s="326"/>
      <c r="BQ494" s="326"/>
      <c r="BR494" s="326"/>
      <c r="BS494" s="326"/>
      <c r="BT494" s="326"/>
      <c r="BU494" s="326"/>
      <c r="BV494" s="327"/>
    </row>
    <row r="495" spans="1:74" ht="30" customHeight="1" x14ac:dyDescent="0.25">
      <c r="A495" s="49">
        <f t="shared" si="1"/>
        <v>481</v>
      </c>
      <c r="B495" s="42" t="s">
        <v>334</v>
      </c>
      <c r="C495" s="43"/>
      <c r="D495" s="609"/>
      <c r="E495" s="326"/>
      <c r="F495" s="326"/>
      <c r="G495" s="326"/>
      <c r="H495" s="326"/>
      <c r="I495" s="326"/>
      <c r="J495" s="326"/>
      <c r="K495" s="327"/>
      <c r="L495" s="610"/>
      <c r="M495" s="326"/>
      <c r="N495" s="326"/>
      <c r="O495" s="327"/>
      <c r="P495" s="609"/>
      <c r="Q495" s="326"/>
      <c r="R495" s="326"/>
      <c r="S495" s="327"/>
      <c r="T495" s="610"/>
      <c r="U495" s="326"/>
      <c r="V495" s="326"/>
      <c r="W495" s="327"/>
      <c r="X495" s="609"/>
      <c r="Y495" s="326"/>
      <c r="Z495" s="326"/>
      <c r="AA495" s="327"/>
      <c r="AB495" s="451"/>
      <c r="AC495" s="326"/>
      <c r="AD495" s="327"/>
      <c r="AE495" s="526"/>
      <c r="AF495" s="326"/>
      <c r="AG495" s="327"/>
      <c r="AH495" s="607"/>
      <c r="AI495" s="326"/>
      <c r="AJ495" s="327"/>
      <c r="AK495" s="497"/>
      <c r="AL495" s="326"/>
      <c r="AM495" s="327"/>
      <c r="AN495" s="44"/>
      <c r="AO495" s="45"/>
      <c r="AP495" s="44"/>
      <c r="AQ495" s="45"/>
      <c r="AR495" s="44"/>
      <c r="AS495" s="45"/>
      <c r="AT495" s="44"/>
      <c r="AU495" s="45"/>
      <c r="AV495" s="44"/>
      <c r="AW495" s="45"/>
      <c r="AX495" s="44"/>
      <c r="AY495" s="45"/>
      <c r="AZ495" s="50"/>
      <c r="BA495" s="47"/>
      <c r="BB495" s="50"/>
      <c r="BC495" s="47"/>
      <c r="BD495" s="50"/>
      <c r="BE495" s="47"/>
      <c r="BF495" s="50"/>
      <c r="BG495" s="47"/>
      <c r="BH495" s="50"/>
      <c r="BI495" s="608" t="s">
        <v>307</v>
      </c>
      <c r="BJ495" s="326"/>
      <c r="BK495" s="326"/>
      <c r="BL495" s="326"/>
      <c r="BM495" s="326"/>
      <c r="BN495" s="326"/>
      <c r="BO495" s="326"/>
      <c r="BP495" s="326"/>
      <c r="BQ495" s="326"/>
      <c r="BR495" s="326"/>
      <c r="BS495" s="326"/>
      <c r="BT495" s="326"/>
      <c r="BU495" s="326"/>
      <c r="BV495" s="327"/>
    </row>
    <row r="496" spans="1:74" ht="30" customHeight="1" x14ac:dyDescent="0.25">
      <c r="A496" s="49">
        <f t="shared" si="1"/>
        <v>482</v>
      </c>
      <c r="B496" s="42" t="s">
        <v>334</v>
      </c>
      <c r="C496" s="43"/>
      <c r="D496" s="609"/>
      <c r="E496" s="326"/>
      <c r="F496" s="326"/>
      <c r="G496" s="326"/>
      <c r="H496" s="326"/>
      <c r="I496" s="326"/>
      <c r="J496" s="326"/>
      <c r="K496" s="327"/>
      <c r="L496" s="610"/>
      <c r="M496" s="326"/>
      <c r="N496" s="326"/>
      <c r="O496" s="327"/>
      <c r="P496" s="609"/>
      <c r="Q496" s="326"/>
      <c r="R496" s="326"/>
      <c r="S496" s="327"/>
      <c r="T496" s="610"/>
      <c r="U496" s="326"/>
      <c r="V496" s="326"/>
      <c r="W496" s="327"/>
      <c r="X496" s="609"/>
      <c r="Y496" s="326"/>
      <c r="Z496" s="326"/>
      <c r="AA496" s="327"/>
      <c r="AB496" s="451"/>
      <c r="AC496" s="326"/>
      <c r="AD496" s="327"/>
      <c r="AE496" s="526"/>
      <c r="AF496" s="326"/>
      <c r="AG496" s="327"/>
      <c r="AH496" s="607"/>
      <c r="AI496" s="326"/>
      <c r="AJ496" s="327"/>
      <c r="AK496" s="497"/>
      <c r="AL496" s="326"/>
      <c r="AM496" s="327"/>
      <c r="AN496" s="44"/>
      <c r="AO496" s="45"/>
      <c r="AP496" s="44"/>
      <c r="AQ496" s="45"/>
      <c r="AR496" s="44"/>
      <c r="AS496" s="45"/>
      <c r="AT496" s="44"/>
      <c r="AU496" s="45"/>
      <c r="AV496" s="44"/>
      <c r="AW496" s="45"/>
      <c r="AX496" s="44"/>
      <c r="AY496" s="45"/>
      <c r="AZ496" s="50"/>
      <c r="BA496" s="47"/>
      <c r="BB496" s="50"/>
      <c r="BC496" s="47"/>
      <c r="BD496" s="50"/>
      <c r="BE496" s="47"/>
      <c r="BF496" s="50"/>
      <c r="BG496" s="47"/>
      <c r="BH496" s="50"/>
      <c r="BI496" s="608" t="s">
        <v>307</v>
      </c>
      <c r="BJ496" s="326"/>
      <c r="BK496" s="326"/>
      <c r="BL496" s="326"/>
      <c r="BM496" s="326"/>
      <c r="BN496" s="326"/>
      <c r="BO496" s="326"/>
      <c r="BP496" s="326"/>
      <c r="BQ496" s="326"/>
      <c r="BR496" s="326"/>
      <c r="BS496" s="326"/>
      <c r="BT496" s="326"/>
      <c r="BU496" s="326"/>
      <c r="BV496" s="327"/>
    </row>
    <row r="497" spans="1:74" ht="30" customHeight="1" x14ac:dyDescent="0.25">
      <c r="A497" s="49">
        <f t="shared" si="1"/>
        <v>483</v>
      </c>
      <c r="B497" s="42" t="s">
        <v>334</v>
      </c>
      <c r="C497" s="43"/>
      <c r="D497" s="609"/>
      <c r="E497" s="326"/>
      <c r="F497" s="326"/>
      <c r="G497" s="326"/>
      <c r="H497" s="326"/>
      <c r="I497" s="326"/>
      <c r="J497" s="326"/>
      <c r="K497" s="327"/>
      <c r="L497" s="610"/>
      <c r="M497" s="326"/>
      <c r="N497" s="326"/>
      <c r="O497" s="327"/>
      <c r="P497" s="609"/>
      <c r="Q497" s="326"/>
      <c r="R497" s="326"/>
      <c r="S497" s="327"/>
      <c r="T497" s="610"/>
      <c r="U497" s="326"/>
      <c r="V497" s="326"/>
      <c r="W497" s="327"/>
      <c r="X497" s="609"/>
      <c r="Y497" s="326"/>
      <c r="Z497" s="326"/>
      <c r="AA497" s="327"/>
      <c r="AB497" s="451"/>
      <c r="AC497" s="326"/>
      <c r="AD497" s="327"/>
      <c r="AE497" s="526"/>
      <c r="AF497" s="326"/>
      <c r="AG497" s="327"/>
      <c r="AH497" s="607"/>
      <c r="AI497" s="326"/>
      <c r="AJ497" s="327"/>
      <c r="AK497" s="497"/>
      <c r="AL497" s="326"/>
      <c r="AM497" s="327"/>
      <c r="AN497" s="44"/>
      <c r="AO497" s="45"/>
      <c r="AP497" s="44"/>
      <c r="AQ497" s="45"/>
      <c r="AR497" s="44"/>
      <c r="AS497" s="45"/>
      <c r="AT497" s="44"/>
      <c r="AU497" s="45"/>
      <c r="AV497" s="44"/>
      <c r="AW497" s="45"/>
      <c r="AX497" s="44"/>
      <c r="AY497" s="45"/>
      <c r="AZ497" s="50"/>
      <c r="BA497" s="47"/>
      <c r="BB497" s="50"/>
      <c r="BC497" s="47"/>
      <c r="BD497" s="50"/>
      <c r="BE497" s="47"/>
      <c r="BF497" s="50"/>
      <c r="BG497" s="47"/>
      <c r="BH497" s="50"/>
      <c r="BI497" s="608" t="s">
        <v>307</v>
      </c>
      <c r="BJ497" s="326"/>
      <c r="BK497" s="326"/>
      <c r="BL497" s="326"/>
      <c r="BM497" s="326"/>
      <c r="BN497" s="326"/>
      <c r="BO497" s="326"/>
      <c r="BP497" s="326"/>
      <c r="BQ497" s="326"/>
      <c r="BR497" s="326"/>
      <c r="BS497" s="326"/>
      <c r="BT497" s="326"/>
      <c r="BU497" s="326"/>
      <c r="BV497" s="327"/>
    </row>
    <row r="498" spans="1:74" ht="30" customHeight="1" x14ac:dyDescent="0.25">
      <c r="A498" s="49">
        <f t="shared" si="1"/>
        <v>484</v>
      </c>
      <c r="B498" s="42" t="s">
        <v>334</v>
      </c>
      <c r="C498" s="43"/>
      <c r="D498" s="609"/>
      <c r="E498" s="326"/>
      <c r="F498" s="326"/>
      <c r="G498" s="326"/>
      <c r="H498" s="326"/>
      <c r="I498" s="326"/>
      <c r="J498" s="326"/>
      <c r="K498" s="327"/>
      <c r="L498" s="610"/>
      <c r="M498" s="326"/>
      <c r="N498" s="326"/>
      <c r="O498" s="327"/>
      <c r="P498" s="609"/>
      <c r="Q498" s="326"/>
      <c r="R498" s="326"/>
      <c r="S498" s="327"/>
      <c r="T498" s="610"/>
      <c r="U498" s="326"/>
      <c r="V498" s="326"/>
      <c r="W498" s="327"/>
      <c r="X498" s="609"/>
      <c r="Y498" s="326"/>
      <c r="Z498" s="326"/>
      <c r="AA498" s="327"/>
      <c r="AB498" s="451"/>
      <c r="AC498" s="326"/>
      <c r="AD498" s="327"/>
      <c r="AE498" s="526"/>
      <c r="AF498" s="326"/>
      <c r="AG498" s="327"/>
      <c r="AH498" s="607"/>
      <c r="AI498" s="326"/>
      <c r="AJ498" s="327"/>
      <c r="AK498" s="497"/>
      <c r="AL498" s="326"/>
      <c r="AM498" s="327"/>
      <c r="AN498" s="44"/>
      <c r="AO498" s="45"/>
      <c r="AP498" s="44"/>
      <c r="AQ498" s="45"/>
      <c r="AR498" s="44"/>
      <c r="AS498" s="45"/>
      <c r="AT498" s="44"/>
      <c r="AU498" s="45"/>
      <c r="AV498" s="44"/>
      <c r="AW498" s="45"/>
      <c r="AX498" s="44"/>
      <c r="AY498" s="45"/>
      <c r="AZ498" s="50"/>
      <c r="BA498" s="47"/>
      <c r="BB498" s="50"/>
      <c r="BC498" s="47"/>
      <c r="BD498" s="50"/>
      <c r="BE498" s="47"/>
      <c r="BF498" s="50"/>
      <c r="BG498" s="47"/>
      <c r="BH498" s="50"/>
      <c r="BI498" s="608" t="s">
        <v>307</v>
      </c>
      <c r="BJ498" s="326"/>
      <c r="BK498" s="326"/>
      <c r="BL498" s="326"/>
      <c r="BM498" s="326"/>
      <c r="BN498" s="326"/>
      <c r="BO498" s="326"/>
      <c r="BP498" s="326"/>
      <c r="BQ498" s="326"/>
      <c r="BR498" s="326"/>
      <c r="BS498" s="326"/>
      <c r="BT498" s="326"/>
      <c r="BU498" s="326"/>
      <c r="BV498" s="327"/>
    </row>
    <row r="499" spans="1:74" ht="30" customHeight="1" x14ac:dyDescent="0.25">
      <c r="A499" s="49">
        <f t="shared" si="1"/>
        <v>485</v>
      </c>
      <c r="B499" s="42" t="s">
        <v>334</v>
      </c>
      <c r="C499" s="43"/>
      <c r="D499" s="609"/>
      <c r="E499" s="326"/>
      <c r="F499" s="326"/>
      <c r="G499" s="326"/>
      <c r="H499" s="326"/>
      <c r="I499" s="326"/>
      <c r="J499" s="326"/>
      <c r="K499" s="327"/>
      <c r="L499" s="610"/>
      <c r="M499" s="326"/>
      <c r="N499" s="326"/>
      <c r="O499" s="327"/>
      <c r="P499" s="609"/>
      <c r="Q499" s="326"/>
      <c r="R499" s="326"/>
      <c r="S499" s="327"/>
      <c r="T499" s="610"/>
      <c r="U499" s="326"/>
      <c r="V499" s="326"/>
      <c r="W499" s="327"/>
      <c r="X499" s="609"/>
      <c r="Y499" s="326"/>
      <c r="Z499" s="326"/>
      <c r="AA499" s="327"/>
      <c r="AB499" s="451"/>
      <c r="AC499" s="326"/>
      <c r="AD499" s="327"/>
      <c r="AE499" s="526"/>
      <c r="AF499" s="326"/>
      <c r="AG499" s="327"/>
      <c r="AH499" s="607"/>
      <c r="AI499" s="326"/>
      <c r="AJ499" s="327"/>
      <c r="AK499" s="497"/>
      <c r="AL499" s="326"/>
      <c r="AM499" s="327"/>
      <c r="AN499" s="44"/>
      <c r="AO499" s="45"/>
      <c r="AP499" s="44"/>
      <c r="AQ499" s="45"/>
      <c r="AR499" s="44"/>
      <c r="AS499" s="45"/>
      <c r="AT499" s="44"/>
      <c r="AU499" s="45"/>
      <c r="AV499" s="44"/>
      <c r="AW499" s="45"/>
      <c r="AX499" s="44"/>
      <c r="AY499" s="45"/>
      <c r="AZ499" s="50"/>
      <c r="BA499" s="47"/>
      <c r="BB499" s="50"/>
      <c r="BC499" s="47"/>
      <c r="BD499" s="50"/>
      <c r="BE499" s="47"/>
      <c r="BF499" s="50"/>
      <c r="BG499" s="47"/>
      <c r="BH499" s="50"/>
      <c r="BI499" s="608" t="s">
        <v>303</v>
      </c>
      <c r="BJ499" s="326"/>
      <c r="BK499" s="326"/>
      <c r="BL499" s="326"/>
      <c r="BM499" s="326"/>
      <c r="BN499" s="326"/>
      <c r="BO499" s="326"/>
      <c r="BP499" s="326"/>
      <c r="BQ499" s="326"/>
      <c r="BR499" s="326"/>
      <c r="BS499" s="326"/>
      <c r="BT499" s="326"/>
      <c r="BU499" s="326"/>
      <c r="BV499" s="327"/>
    </row>
    <row r="500" spans="1:74" ht="30" customHeight="1" x14ac:dyDescent="0.25">
      <c r="A500" s="49">
        <f t="shared" si="1"/>
        <v>486</v>
      </c>
      <c r="B500" s="42" t="s">
        <v>334</v>
      </c>
      <c r="C500" s="43"/>
      <c r="D500" s="609"/>
      <c r="E500" s="326"/>
      <c r="F500" s="326"/>
      <c r="G500" s="326"/>
      <c r="H500" s="326"/>
      <c r="I500" s="326"/>
      <c r="J500" s="326"/>
      <c r="K500" s="327"/>
      <c r="L500" s="610"/>
      <c r="M500" s="326"/>
      <c r="N500" s="326"/>
      <c r="O500" s="327"/>
      <c r="P500" s="609"/>
      <c r="Q500" s="326"/>
      <c r="R500" s="326"/>
      <c r="S500" s="327"/>
      <c r="T500" s="610"/>
      <c r="U500" s="326"/>
      <c r="V500" s="326"/>
      <c r="W500" s="327"/>
      <c r="X500" s="609"/>
      <c r="Y500" s="326"/>
      <c r="Z500" s="326"/>
      <c r="AA500" s="327"/>
      <c r="AB500" s="451"/>
      <c r="AC500" s="326"/>
      <c r="AD500" s="327"/>
      <c r="AE500" s="526"/>
      <c r="AF500" s="326"/>
      <c r="AG500" s="327"/>
      <c r="AH500" s="607"/>
      <c r="AI500" s="326"/>
      <c r="AJ500" s="327"/>
      <c r="AK500" s="497"/>
      <c r="AL500" s="326"/>
      <c r="AM500" s="327"/>
      <c r="AN500" s="44"/>
      <c r="AO500" s="45"/>
      <c r="AP500" s="44"/>
      <c r="AQ500" s="45"/>
      <c r="AR500" s="44"/>
      <c r="AS500" s="45"/>
      <c r="AT500" s="44"/>
      <c r="AU500" s="45"/>
      <c r="AV500" s="44"/>
      <c r="AW500" s="45"/>
      <c r="AX500" s="44"/>
      <c r="AY500" s="45"/>
      <c r="AZ500" s="50"/>
      <c r="BA500" s="47"/>
      <c r="BB500" s="50"/>
      <c r="BC500" s="47"/>
      <c r="BD500" s="50"/>
      <c r="BE500" s="47"/>
      <c r="BF500" s="50"/>
      <c r="BG500" s="47"/>
      <c r="BH500" s="50"/>
      <c r="BI500" s="608" t="s">
        <v>303</v>
      </c>
      <c r="BJ500" s="326"/>
      <c r="BK500" s="326"/>
      <c r="BL500" s="326"/>
      <c r="BM500" s="326"/>
      <c r="BN500" s="326"/>
      <c r="BO500" s="326"/>
      <c r="BP500" s="326"/>
      <c r="BQ500" s="326"/>
      <c r="BR500" s="326"/>
      <c r="BS500" s="326"/>
      <c r="BT500" s="326"/>
      <c r="BU500" s="326"/>
      <c r="BV500" s="327"/>
    </row>
    <row r="501" spans="1:74" ht="30" customHeight="1" x14ac:dyDescent="0.25">
      <c r="A501" s="41">
        <f t="shared" si="1"/>
        <v>487</v>
      </c>
      <c r="B501" s="42" t="s">
        <v>334</v>
      </c>
      <c r="C501" s="43"/>
      <c r="D501" s="609"/>
      <c r="E501" s="326"/>
      <c r="F501" s="326"/>
      <c r="G501" s="326"/>
      <c r="H501" s="326"/>
      <c r="I501" s="326"/>
      <c r="J501" s="326"/>
      <c r="K501" s="327"/>
      <c r="L501" s="610"/>
      <c r="M501" s="326"/>
      <c r="N501" s="326"/>
      <c r="O501" s="327"/>
      <c r="P501" s="609"/>
      <c r="Q501" s="326"/>
      <c r="R501" s="326"/>
      <c r="S501" s="327"/>
      <c r="T501" s="610"/>
      <c r="U501" s="326"/>
      <c r="V501" s="326"/>
      <c r="W501" s="327"/>
      <c r="X501" s="609"/>
      <c r="Y501" s="326"/>
      <c r="Z501" s="326"/>
      <c r="AA501" s="327"/>
      <c r="AB501" s="451"/>
      <c r="AC501" s="326"/>
      <c r="AD501" s="327"/>
      <c r="AE501" s="526"/>
      <c r="AF501" s="326"/>
      <c r="AG501" s="327"/>
      <c r="AH501" s="607"/>
      <c r="AI501" s="326"/>
      <c r="AJ501" s="327"/>
      <c r="AK501" s="497"/>
      <c r="AL501" s="326"/>
      <c r="AM501" s="327"/>
      <c r="AN501" s="44"/>
      <c r="AO501" s="45"/>
      <c r="AP501" s="44"/>
      <c r="AQ501" s="45"/>
      <c r="AR501" s="44"/>
      <c r="AS501" s="45"/>
      <c r="AT501" s="44"/>
      <c r="AU501" s="45"/>
      <c r="AV501" s="44"/>
      <c r="AW501" s="45"/>
      <c r="AX501" s="44"/>
      <c r="AY501" s="45"/>
      <c r="AZ501" s="50"/>
      <c r="BA501" s="47"/>
      <c r="BB501" s="50"/>
      <c r="BC501" s="47"/>
      <c r="BD501" s="50"/>
      <c r="BE501" s="47"/>
      <c r="BF501" s="50"/>
      <c r="BG501" s="47"/>
      <c r="BH501" s="50"/>
      <c r="BI501" s="608" t="s">
        <v>307</v>
      </c>
      <c r="BJ501" s="326"/>
      <c r="BK501" s="326"/>
      <c r="BL501" s="326"/>
      <c r="BM501" s="326"/>
      <c r="BN501" s="326"/>
      <c r="BO501" s="326"/>
      <c r="BP501" s="326"/>
      <c r="BQ501" s="326"/>
      <c r="BR501" s="326"/>
      <c r="BS501" s="326"/>
      <c r="BT501" s="326"/>
      <c r="BU501" s="326"/>
      <c r="BV501" s="327"/>
    </row>
    <row r="502" spans="1:74" ht="30" customHeight="1" x14ac:dyDescent="0.25">
      <c r="A502" s="49">
        <f t="shared" si="1"/>
        <v>488</v>
      </c>
      <c r="B502" s="42" t="s">
        <v>334</v>
      </c>
      <c r="C502" s="43"/>
      <c r="D502" s="609"/>
      <c r="E502" s="326"/>
      <c r="F502" s="326"/>
      <c r="G502" s="326"/>
      <c r="H502" s="326"/>
      <c r="I502" s="326"/>
      <c r="J502" s="326"/>
      <c r="K502" s="327"/>
      <c r="L502" s="610"/>
      <c r="M502" s="326"/>
      <c r="N502" s="326"/>
      <c r="O502" s="327"/>
      <c r="P502" s="609"/>
      <c r="Q502" s="326"/>
      <c r="R502" s="326"/>
      <c r="S502" s="327"/>
      <c r="T502" s="610"/>
      <c r="U502" s="326"/>
      <c r="V502" s="326"/>
      <c r="W502" s="327"/>
      <c r="X502" s="609"/>
      <c r="Y502" s="326"/>
      <c r="Z502" s="326"/>
      <c r="AA502" s="327"/>
      <c r="AB502" s="451"/>
      <c r="AC502" s="326"/>
      <c r="AD502" s="327"/>
      <c r="AE502" s="526"/>
      <c r="AF502" s="326"/>
      <c r="AG502" s="327"/>
      <c r="AH502" s="607"/>
      <c r="AI502" s="326"/>
      <c r="AJ502" s="327"/>
      <c r="AK502" s="497"/>
      <c r="AL502" s="326"/>
      <c r="AM502" s="327"/>
      <c r="AN502" s="44"/>
      <c r="AO502" s="45"/>
      <c r="AP502" s="44"/>
      <c r="AQ502" s="45"/>
      <c r="AR502" s="44"/>
      <c r="AS502" s="45"/>
      <c r="AT502" s="44"/>
      <c r="AU502" s="45"/>
      <c r="AV502" s="44"/>
      <c r="AW502" s="45"/>
      <c r="AX502" s="44"/>
      <c r="AY502" s="45"/>
      <c r="AZ502" s="50"/>
      <c r="BA502" s="47"/>
      <c r="BB502" s="50"/>
      <c r="BC502" s="47"/>
      <c r="BD502" s="50"/>
      <c r="BE502" s="47"/>
      <c r="BF502" s="50"/>
      <c r="BG502" s="47"/>
      <c r="BH502" s="50"/>
      <c r="BI502" s="608" t="s">
        <v>307</v>
      </c>
      <c r="BJ502" s="326"/>
      <c r="BK502" s="326"/>
      <c r="BL502" s="326"/>
      <c r="BM502" s="326"/>
      <c r="BN502" s="326"/>
      <c r="BO502" s="326"/>
      <c r="BP502" s="326"/>
      <c r="BQ502" s="326"/>
      <c r="BR502" s="326"/>
      <c r="BS502" s="326"/>
      <c r="BT502" s="326"/>
      <c r="BU502" s="326"/>
      <c r="BV502" s="327"/>
    </row>
    <row r="503" spans="1:74" ht="30" customHeight="1" x14ac:dyDescent="0.25">
      <c r="A503" s="49">
        <f t="shared" si="1"/>
        <v>489</v>
      </c>
      <c r="B503" s="42" t="s">
        <v>334</v>
      </c>
      <c r="C503" s="43"/>
      <c r="D503" s="609"/>
      <c r="E503" s="326"/>
      <c r="F503" s="326"/>
      <c r="G503" s="326"/>
      <c r="H503" s="326"/>
      <c r="I503" s="326"/>
      <c r="J503" s="326"/>
      <c r="K503" s="327"/>
      <c r="L503" s="610"/>
      <c r="M503" s="326"/>
      <c r="N503" s="326"/>
      <c r="O503" s="327"/>
      <c r="P503" s="609"/>
      <c r="Q503" s="326"/>
      <c r="R503" s="326"/>
      <c r="S503" s="327"/>
      <c r="T503" s="610"/>
      <c r="U503" s="326"/>
      <c r="V503" s="326"/>
      <c r="W503" s="327"/>
      <c r="X503" s="609"/>
      <c r="Y503" s="326"/>
      <c r="Z503" s="326"/>
      <c r="AA503" s="327"/>
      <c r="AB503" s="451"/>
      <c r="AC503" s="326"/>
      <c r="AD503" s="327"/>
      <c r="AE503" s="526"/>
      <c r="AF503" s="326"/>
      <c r="AG503" s="327"/>
      <c r="AH503" s="607"/>
      <c r="AI503" s="326"/>
      <c r="AJ503" s="327"/>
      <c r="AK503" s="497"/>
      <c r="AL503" s="326"/>
      <c r="AM503" s="327"/>
      <c r="AN503" s="44"/>
      <c r="AO503" s="45"/>
      <c r="AP503" s="44"/>
      <c r="AQ503" s="45"/>
      <c r="AR503" s="44"/>
      <c r="AS503" s="45"/>
      <c r="AT503" s="44"/>
      <c r="AU503" s="45"/>
      <c r="AV503" s="44"/>
      <c r="AW503" s="45"/>
      <c r="AX503" s="44"/>
      <c r="AY503" s="45"/>
      <c r="AZ503" s="50"/>
      <c r="BA503" s="47"/>
      <c r="BB503" s="50"/>
      <c r="BC503" s="47"/>
      <c r="BD503" s="50"/>
      <c r="BE503" s="47"/>
      <c r="BF503" s="50"/>
      <c r="BG503" s="47"/>
      <c r="BH503" s="50"/>
      <c r="BI503" s="608" t="s">
        <v>307</v>
      </c>
      <c r="BJ503" s="326"/>
      <c r="BK503" s="326"/>
      <c r="BL503" s="326"/>
      <c r="BM503" s="326"/>
      <c r="BN503" s="326"/>
      <c r="BO503" s="326"/>
      <c r="BP503" s="326"/>
      <c r="BQ503" s="326"/>
      <c r="BR503" s="326"/>
      <c r="BS503" s="326"/>
      <c r="BT503" s="326"/>
      <c r="BU503" s="326"/>
      <c r="BV503" s="327"/>
    </row>
    <row r="504" spans="1:74" ht="30" customHeight="1" x14ac:dyDescent="0.25">
      <c r="A504" s="49">
        <f t="shared" si="1"/>
        <v>490</v>
      </c>
      <c r="B504" s="42" t="s">
        <v>334</v>
      </c>
      <c r="C504" s="43"/>
      <c r="D504" s="609"/>
      <c r="E504" s="326"/>
      <c r="F504" s="326"/>
      <c r="G504" s="326"/>
      <c r="H504" s="326"/>
      <c r="I504" s="326"/>
      <c r="J504" s="326"/>
      <c r="K504" s="327"/>
      <c r="L504" s="610"/>
      <c r="M504" s="326"/>
      <c r="N504" s="326"/>
      <c r="O504" s="327"/>
      <c r="P504" s="609"/>
      <c r="Q504" s="326"/>
      <c r="R504" s="326"/>
      <c r="S504" s="327"/>
      <c r="T504" s="610"/>
      <c r="U504" s="326"/>
      <c r="V504" s="326"/>
      <c r="W504" s="327"/>
      <c r="X504" s="609"/>
      <c r="Y504" s="326"/>
      <c r="Z504" s="326"/>
      <c r="AA504" s="327"/>
      <c r="AB504" s="451"/>
      <c r="AC504" s="326"/>
      <c r="AD504" s="327"/>
      <c r="AE504" s="526"/>
      <c r="AF504" s="326"/>
      <c r="AG504" s="327"/>
      <c r="AH504" s="607"/>
      <c r="AI504" s="326"/>
      <c r="AJ504" s="327"/>
      <c r="AK504" s="497"/>
      <c r="AL504" s="326"/>
      <c r="AM504" s="327"/>
      <c r="AN504" s="44"/>
      <c r="AO504" s="45"/>
      <c r="AP504" s="44"/>
      <c r="AQ504" s="45"/>
      <c r="AR504" s="44"/>
      <c r="AS504" s="45"/>
      <c r="AT504" s="44"/>
      <c r="AU504" s="45"/>
      <c r="AV504" s="44"/>
      <c r="AW504" s="45"/>
      <c r="AX504" s="44"/>
      <c r="AY504" s="45"/>
      <c r="AZ504" s="50"/>
      <c r="BA504" s="47"/>
      <c r="BB504" s="50"/>
      <c r="BC504" s="47"/>
      <c r="BD504" s="50"/>
      <c r="BE504" s="47"/>
      <c r="BF504" s="50"/>
      <c r="BG504" s="47"/>
      <c r="BH504" s="50"/>
      <c r="BI504" s="608" t="s">
        <v>307</v>
      </c>
      <c r="BJ504" s="326"/>
      <c r="BK504" s="326"/>
      <c r="BL504" s="326"/>
      <c r="BM504" s="326"/>
      <c r="BN504" s="326"/>
      <c r="BO504" s="326"/>
      <c r="BP504" s="326"/>
      <c r="BQ504" s="326"/>
      <c r="BR504" s="326"/>
      <c r="BS504" s="326"/>
      <c r="BT504" s="326"/>
      <c r="BU504" s="326"/>
      <c r="BV504" s="327"/>
    </row>
    <row r="505" spans="1:74" ht="30" customHeight="1" x14ac:dyDescent="0.25">
      <c r="A505" s="49">
        <f t="shared" si="1"/>
        <v>491</v>
      </c>
      <c r="B505" s="42" t="s">
        <v>334</v>
      </c>
      <c r="C505" s="43"/>
      <c r="D505" s="609"/>
      <c r="E505" s="326"/>
      <c r="F505" s="326"/>
      <c r="G505" s="326"/>
      <c r="H505" s="326"/>
      <c r="I505" s="326"/>
      <c r="J505" s="326"/>
      <c r="K505" s="327"/>
      <c r="L505" s="610"/>
      <c r="M505" s="326"/>
      <c r="N505" s="326"/>
      <c r="O505" s="327"/>
      <c r="P505" s="609"/>
      <c r="Q505" s="326"/>
      <c r="R505" s="326"/>
      <c r="S505" s="327"/>
      <c r="T505" s="610"/>
      <c r="U505" s="326"/>
      <c r="V505" s="326"/>
      <c r="W505" s="327"/>
      <c r="X505" s="609"/>
      <c r="Y505" s="326"/>
      <c r="Z505" s="326"/>
      <c r="AA505" s="327"/>
      <c r="AB505" s="451"/>
      <c r="AC505" s="326"/>
      <c r="AD505" s="327"/>
      <c r="AE505" s="526"/>
      <c r="AF505" s="326"/>
      <c r="AG505" s="327"/>
      <c r="AH505" s="607"/>
      <c r="AI505" s="326"/>
      <c r="AJ505" s="327"/>
      <c r="AK505" s="497"/>
      <c r="AL505" s="326"/>
      <c r="AM505" s="327"/>
      <c r="AN505" s="44"/>
      <c r="AO505" s="45"/>
      <c r="AP505" s="44"/>
      <c r="AQ505" s="45"/>
      <c r="AR505" s="44"/>
      <c r="AS505" s="45"/>
      <c r="AT505" s="44"/>
      <c r="AU505" s="45"/>
      <c r="AV505" s="44"/>
      <c r="AW505" s="45"/>
      <c r="AX505" s="44"/>
      <c r="AY505" s="45"/>
      <c r="AZ505" s="50"/>
      <c r="BA505" s="47"/>
      <c r="BB505" s="50"/>
      <c r="BC505" s="47"/>
      <c r="BD505" s="50"/>
      <c r="BE505" s="47"/>
      <c r="BF505" s="50"/>
      <c r="BG505" s="47"/>
      <c r="BH505" s="50"/>
      <c r="BI505" s="608" t="s">
        <v>307</v>
      </c>
      <c r="BJ505" s="326"/>
      <c r="BK505" s="326"/>
      <c r="BL505" s="326"/>
      <c r="BM505" s="326"/>
      <c r="BN505" s="326"/>
      <c r="BO505" s="326"/>
      <c r="BP505" s="326"/>
      <c r="BQ505" s="326"/>
      <c r="BR505" s="326"/>
      <c r="BS505" s="326"/>
      <c r="BT505" s="326"/>
      <c r="BU505" s="326"/>
      <c r="BV505" s="327"/>
    </row>
    <row r="506" spans="1:74" ht="30" customHeight="1" x14ac:dyDescent="0.25">
      <c r="A506" s="49">
        <f t="shared" si="1"/>
        <v>492</v>
      </c>
      <c r="B506" s="42" t="s">
        <v>334</v>
      </c>
      <c r="C506" s="43"/>
      <c r="D506" s="609"/>
      <c r="E506" s="326"/>
      <c r="F506" s="326"/>
      <c r="G506" s="326"/>
      <c r="H506" s="326"/>
      <c r="I506" s="326"/>
      <c r="J506" s="326"/>
      <c r="K506" s="327"/>
      <c r="L506" s="610"/>
      <c r="M506" s="326"/>
      <c r="N506" s="326"/>
      <c r="O506" s="327"/>
      <c r="P506" s="609"/>
      <c r="Q506" s="326"/>
      <c r="R506" s="326"/>
      <c r="S506" s="327"/>
      <c r="T506" s="610"/>
      <c r="U506" s="326"/>
      <c r="V506" s="326"/>
      <c r="W506" s="327"/>
      <c r="X506" s="609"/>
      <c r="Y506" s="326"/>
      <c r="Z506" s="326"/>
      <c r="AA506" s="327"/>
      <c r="AB506" s="451"/>
      <c r="AC506" s="326"/>
      <c r="AD506" s="327"/>
      <c r="AE506" s="526"/>
      <c r="AF506" s="326"/>
      <c r="AG506" s="327"/>
      <c r="AH506" s="607"/>
      <c r="AI506" s="326"/>
      <c r="AJ506" s="327"/>
      <c r="AK506" s="497"/>
      <c r="AL506" s="326"/>
      <c r="AM506" s="327"/>
      <c r="AN506" s="44"/>
      <c r="AO506" s="45"/>
      <c r="AP506" s="44"/>
      <c r="AQ506" s="45"/>
      <c r="AR506" s="44"/>
      <c r="AS506" s="45"/>
      <c r="AT506" s="44"/>
      <c r="AU506" s="45"/>
      <c r="AV506" s="44"/>
      <c r="AW506" s="45"/>
      <c r="AX506" s="44"/>
      <c r="AY506" s="45"/>
      <c r="AZ506" s="50"/>
      <c r="BA506" s="47"/>
      <c r="BB506" s="50"/>
      <c r="BC506" s="47"/>
      <c r="BD506" s="50"/>
      <c r="BE506" s="47"/>
      <c r="BF506" s="50"/>
      <c r="BG506" s="47"/>
      <c r="BH506" s="50"/>
      <c r="BI506" s="608" t="s">
        <v>303</v>
      </c>
      <c r="BJ506" s="326"/>
      <c r="BK506" s="326"/>
      <c r="BL506" s="326"/>
      <c r="BM506" s="326"/>
      <c r="BN506" s="326"/>
      <c r="BO506" s="326"/>
      <c r="BP506" s="326"/>
      <c r="BQ506" s="326"/>
      <c r="BR506" s="326"/>
      <c r="BS506" s="326"/>
      <c r="BT506" s="326"/>
      <c r="BU506" s="326"/>
      <c r="BV506" s="327"/>
    </row>
    <row r="507" spans="1:74" ht="30" customHeight="1" x14ac:dyDescent="0.25">
      <c r="A507" s="49">
        <f t="shared" si="1"/>
        <v>493</v>
      </c>
      <c r="B507" s="42" t="s">
        <v>334</v>
      </c>
      <c r="C507" s="43"/>
      <c r="D507" s="609"/>
      <c r="E507" s="326"/>
      <c r="F507" s="326"/>
      <c r="G507" s="326"/>
      <c r="H507" s="326"/>
      <c r="I507" s="326"/>
      <c r="J507" s="326"/>
      <c r="K507" s="327"/>
      <c r="L507" s="610"/>
      <c r="M507" s="326"/>
      <c r="N507" s="326"/>
      <c r="O507" s="327"/>
      <c r="P507" s="609"/>
      <c r="Q507" s="326"/>
      <c r="R507" s="326"/>
      <c r="S507" s="327"/>
      <c r="T507" s="610"/>
      <c r="U507" s="326"/>
      <c r="V507" s="326"/>
      <c r="W507" s="327"/>
      <c r="X507" s="609"/>
      <c r="Y507" s="326"/>
      <c r="Z507" s="326"/>
      <c r="AA507" s="327"/>
      <c r="AB507" s="451"/>
      <c r="AC507" s="326"/>
      <c r="AD507" s="327"/>
      <c r="AE507" s="526"/>
      <c r="AF507" s="326"/>
      <c r="AG507" s="327"/>
      <c r="AH507" s="607"/>
      <c r="AI507" s="326"/>
      <c r="AJ507" s="327"/>
      <c r="AK507" s="497"/>
      <c r="AL507" s="326"/>
      <c r="AM507" s="327"/>
      <c r="AN507" s="44"/>
      <c r="AO507" s="45"/>
      <c r="AP507" s="44"/>
      <c r="AQ507" s="45"/>
      <c r="AR507" s="44"/>
      <c r="AS507" s="45"/>
      <c r="AT507" s="44"/>
      <c r="AU507" s="45"/>
      <c r="AV507" s="44"/>
      <c r="AW507" s="45"/>
      <c r="AX507" s="44"/>
      <c r="AY507" s="45"/>
      <c r="AZ507" s="50"/>
      <c r="BA507" s="47"/>
      <c r="BB507" s="50"/>
      <c r="BC507" s="47"/>
      <c r="BD507" s="50"/>
      <c r="BE507" s="47"/>
      <c r="BF507" s="50"/>
      <c r="BG507" s="47"/>
      <c r="BH507" s="50"/>
      <c r="BI507" s="608" t="s">
        <v>303</v>
      </c>
      <c r="BJ507" s="326"/>
      <c r="BK507" s="326"/>
      <c r="BL507" s="326"/>
      <c r="BM507" s="326"/>
      <c r="BN507" s="326"/>
      <c r="BO507" s="326"/>
      <c r="BP507" s="326"/>
      <c r="BQ507" s="326"/>
      <c r="BR507" s="326"/>
      <c r="BS507" s="326"/>
      <c r="BT507" s="326"/>
      <c r="BU507" s="326"/>
      <c r="BV507" s="327"/>
    </row>
    <row r="508" spans="1:74" ht="30" customHeight="1" x14ac:dyDescent="0.25">
      <c r="A508" s="41">
        <f t="shared" si="1"/>
        <v>494</v>
      </c>
      <c r="B508" s="42" t="s">
        <v>334</v>
      </c>
      <c r="C508" s="43"/>
      <c r="D508" s="609"/>
      <c r="E508" s="326"/>
      <c r="F508" s="326"/>
      <c r="G508" s="326"/>
      <c r="H508" s="326"/>
      <c r="I508" s="326"/>
      <c r="J508" s="326"/>
      <c r="K508" s="327"/>
      <c r="L508" s="610"/>
      <c r="M508" s="326"/>
      <c r="N508" s="326"/>
      <c r="O508" s="327"/>
      <c r="P508" s="609"/>
      <c r="Q508" s="326"/>
      <c r="R508" s="326"/>
      <c r="S508" s="327"/>
      <c r="T508" s="610"/>
      <c r="U508" s="326"/>
      <c r="V508" s="326"/>
      <c r="W508" s="327"/>
      <c r="X508" s="609"/>
      <c r="Y508" s="326"/>
      <c r="Z508" s="326"/>
      <c r="AA508" s="327"/>
      <c r="AB508" s="451"/>
      <c r="AC508" s="326"/>
      <c r="AD508" s="327"/>
      <c r="AE508" s="526"/>
      <c r="AF508" s="326"/>
      <c r="AG508" s="327"/>
      <c r="AH508" s="607"/>
      <c r="AI508" s="326"/>
      <c r="AJ508" s="327"/>
      <c r="AK508" s="497"/>
      <c r="AL508" s="326"/>
      <c r="AM508" s="327"/>
      <c r="AN508" s="44"/>
      <c r="AO508" s="45"/>
      <c r="AP508" s="44"/>
      <c r="AQ508" s="45"/>
      <c r="AR508" s="44"/>
      <c r="AS508" s="45"/>
      <c r="AT508" s="44"/>
      <c r="AU508" s="45"/>
      <c r="AV508" s="44"/>
      <c r="AW508" s="45"/>
      <c r="AX508" s="44"/>
      <c r="AY508" s="45"/>
      <c r="AZ508" s="50"/>
      <c r="BA508" s="47"/>
      <c r="BB508" s="50"/>
      <c r="BC508" s="47"/>
      <c r="BD508" s="50"/>
      <c r="BE508" s="47"/>
      <c r="BF508" s="50"/>
      <c r="BG508" s="47"/>
      <c r="BH508" s="50"/>
      <c r="BI508" s="608" t="s">
        <v>307</v>
      </c>
      <c r="BJ508" s="326"/>
      <c r="BK508" s="326"/>
      <c r="BL508" s="326"/>
      <c r="BM508" s="326"/>
      <c r="BN508" s="326"/>
      <c r="BO508" s="326"/>
      <c r="BP508" s="326"/>
      <c r="BQ508" s="326"/>
      <c r="BR508" s="326"/>
      <c r="BS508" s="326"/>
      <c r="BT508" s="326"/>
      <c r="BU508" s="326"/>
      <c r="BV508" s="327"/>
    </row>
    <row r="509" spans="1:74" ht="30" customHeight="1" x14ac:dyDescent="0.25">
      <c r="A509" s="49">
        <f t="shared" si="1"/>
        <v>495</v>
      </c>
      <c r="B509" s="42" t="s">
        <v>334</v>
      </c>
      <c r="C509" s="43"/>
      <c r="D509" s="609"/>
      <c r="E509" s="326"/>
      <c r="F509" s="326"/>
      <c r="G509" s="326"/>
      <c r="H509" s="326"/>
      <c r="I509" s="326"/>
      <c r="J509" s="326"/>
      <c r="K509" s="327"/>
      <c r="L509" s="610"/>
      <c r="M509" s="326"/>
      <c r="N509" s="326"/>
      <c r="O509" s="327"/>
      <c r="P509" s="609"/>
      <c r="Q509" s="326"/>
      <c r="R509" s="326"/>
      <c r="S509" s="327"/>
      <c r="T509" s="610"/>
      <c r="U509" s="326"/>
      <c r="V509" s="326"/>
      <c r="W509" s="327"/>
      <c r="X509" s="609"/>
      <c r="Y509" s="326"/>
      <c r="Z509" s="326"/>
      <c r="AA509" s="327"/>
      <c r="AB509" s="451"/>
      <c r="AC509" s="326"/>
      <c r="AD509" s="327"/>
      <c r="AE509" s="526"/>
      <c r="AF509" s="326"/>
      <c r="AG509" s="327"/>
      <c r="AH509" s="607"/>
      <c r="AI509" s="326"/>
      <c r="AJ509" s="327"/>
      <c r="AK509" s="497"/>
      <c r="AL509" s="326"/>
      <c r="AM509" s="327"/>
      <c r="AN509" s="44"/>
      <c r="AO509" s="45"/>
      <c r="AP509" s="44"/>
      <c r="AQ509" s="45"/>
      <c r="AR509" s="44"/>
      <c r="AS509" s="45"/>
      <c r="AT509" s="44"/>
      <c r="AU509" s="45"/>
      <c r="AV509" s="44"/>
      <c r="AW509" s="45"/>
      <c r="AX509" s="44"/>
      <c r="AY509" s="45"/>
      <c r="AZ509" s="50"/>
      <c r="BA509" s="47"/>
      <c r="BB509" s="50"/>
      <c r="BC509" s="47"/>
      <c r="BD509" s="50"/>
      <c r="BE509" s="47"/>
      <c r="BF509" s="50"/>
      <c r="BG509" s="47"/>
      <c r="BH509" s="50"/>
      <c r="BI509" s="608" t="s">
        <v>307</v>
      </c>
      <c r="BJ509" s="326"/>
      <c r="BK509" s="326"/>
      <c r="BL509" s="326"/>
      <c r="BM509" s="326"/>
      <c r="BN509" s="326"/>
      <c r="BO509" s="326"/>
      <c r="BP509" s="326"/>
      <c r="BQ509" s="326"/>
      <c r="BR509" s="326"/>
      <c r="BS509" s="326"/>
      <c r="BT509" s="326"/>
      <c r="BU509" s="326"/>
      <c r="BV509" s="327"/>
    </row>
    <row r="510" spans="1:74" ht="30" customHeight="1" x14ac:dyDescent="0.25">
      <c r="A510" s="49">
        <f t="shared" si="1"/>
        <v>496</v>
      </c>
      <c r="B510" s="42" t="s">
        <v>334</v>
      </c>
      <c r="C510" s="43"/>
      <c r="D510" s="609"/>
      <c r="E510" s="326"/>
      <c r="F510" s="326"/>
      <c r="G510" s="326"/>
      <c r="H510" s="326"/>
      <c r="I510" s="326"/>
      <c r="J510" s="326"/>
      <c r="K510" s="327"/>
      <c r="L510" s="610"/>
      <c r="M510" s="326"/>
      <c r="N510" s="326"/>
      <c r="O510" s="327"/>
      <c r="P510" s="609"/>
      <c r="Q510" s="326"/>
      <c r="R510" s="326"/>
      <c r="S510" s="327"/>
      <c r="T510" s="610"/>
      <c r="U510" s="326"/>
      <c r="V510" s="326"/>
      <c r="W510" s="327"/>
      <c r="X510" s="609"/>
      <c r="Y510" s="326"/>
      <c r="Z510" s="326"/>
      <c r="AA510" s="327"/>
      <c r="AB510" s="451"/>
      <c r="AC510" s="326"/>
      <c r="AD510" s="327"/>
      <c r="AE510" s="526"/>
      <c r="AF510" s="326"/>
      <c r="AG510" s="327"/>
      <c r="AH510" s="607"/>
      <c r="AI510" s="326"/>
      <c r="AJ510" s="327"/>
      <c r="AK510" s="497"/>
      <c r="AL510" s="326"/>
      <c r="AM510" s="327"/>
      <c r="AN510" s="44"/>
      <c r="AO510" s="45"/>
      <c r="AP510" s="44"/>
      <c r="AQ510" s="45"/>
      <c r="AR510" s="44"/>
      <c r="AS510" s="45"/>
      <c r="AT510" s="44"/>
      <c r="AU510" s="45"/>
      <c r="AV510" s="44"/>
      <c r="AW510" s="45"/>
      <c r="AX510" s="44"/>
      <c r="AY510" s="45"/>
      <c r="AZ510" s="50"/>
      <c r="BA510" s="47"/>
      <c r="BB510" s="50"/>
      <c r="BC510" s="47"/>
      <c r="BD510" s="50"/>
      <c r="BE510" s="47"/>
      <c r="BF510" s="50"/>
      <c r="BG510" s="47"/>
      <c r="BH510" s="50"/>
      <c r="BI510" s="608" t="s">
        <v>307</v>
      </c>
      <c r="BJ510" s="326"/>
      <c r="BK510" s="326"/>
      <c r="BL510" s="326"/>
      <c r="BM510" s="326"/>
      <c r="BN510" s="326"/>
      <c r="BO510" s="326"/>
      <c r="BP510" s="326"/>
      <c r="BQ510" s="326"/>
      <c r="BR510" s="326"/>
      <c r="BS510" s="326"/>
      <c r="BT510" s="326"/>
      <c r="BU510" s="326"/>
      <c r="BV510" s="327"/>
    </row>
    <row r="511" spans="1:74" ht="30" customHeight="1" x14ac:dyDescent="0.25">
      <c r="A511" s="49">
        <f t="shared" si="1"/>
        <v>497</v>
      </c>
      <c r="B511" s="42" t="s">
        <v>334</v>
      </c>
      <c r="C511" s="43"/>
      <c r="D511" s="609"/>
      <c r="E511" s="326"/>
      <c r="F511" s="326"/>
      <c r="G511" s="326"/>
      <c r="H511" s="326"/>
      <c r="I511" s="326"/>
      <c r="J511" s="326"/>
      <c r="K511" s="327"/>
      <c r="L511" s="610"/>
      <c r="M511" s="326"/>
      <c r="N511" s="326"/>
      <c r="O511" s="327"/>
      <c r="P511" s="609"/>
      <c r="Q511" s="326"/>
      <c r="R511" s="326"/>
      <c r="S511" s="327"/>
      <c r="T511" s="610"/>
      <c r="U511" s="326"/>
      <c r="V511" s="326"/>
      <c r="W511" s="327"/>
      <c r="X511" s="609"/>
      <c r="Y511" s="326"/>
      <c r="Z511" s="326"/>
      <c r="AA511" s="327"/>
      <c r="AB511" s="451"/>
      <c r="AC511" s="326"/>
      <c r="AD511" s="327"/>
      <c r="AE511" s="526"/>
      <c r="AF511" s="326"/>
      <c r="AG511" s="327"/>
      <c r="AH511" s="607"/>
      <c r="AI511" s="326"/>
      <c r="AJ511" s="327"/>
      <c r="AK511" s="497"/>
      <c r="AL511" s="326"/>
      <c r="AM511" s="327"/>
      <c r="AN511" s="44"/>
      <c r="AO511" s="45"/>
      <c r="AP511" s="44"/>
      <c r="AQ511" s="45"/>
      <c r="AR511" s="44"/>
      <c r="AS511" s="45"/>
      <c r="AT511" s="44"/>
      <c r="AU511" s="45"/>
      <c r="AV511" s="44"/>
      <c r="AW511" s="45"/>
      <c r="AX511" s="44"/>
      <c r="AY511" s="45"/>
      <c r="AZ511" s="50"/>
      <c r="BA511" s="47"/>
      <c r="BB511" s="50"/>
      <c r="BC511" s="47"/>
      <c r="BD511" s="50"/>
      <c r="BE511" s="47"/>
      <c r="BF511" s="50"/>
      <c r="BG511" s="47"/>
      <c r="BH511" s="50"/>
      <c r="BI511" s="608" t="s">
        <v>307</v>
      </c>
      <c r="BJ511" s="326"/>
      <c r="BK511" s="326"/>
      <c r="BL511" s="326"/>
      <c r="BM511" s="326"/>
      <c r="BN511" s="326"/>
      <c r="BO511" s="326"/>
      <c r="BP511" s="326"/>
      <c r="BQ511" s="326"/>
      <c r="BR511" s="326"/>
      <c r="BS511" s="326"/>
      <c r="BT511" s="326"/>
      <c r="BU511" s="326"/>
      <c r="BV511" s="327"/>
    </row>
    <row r="512" spans="1:74" ht="30" customHeight="1" x14ac:dyDescent="0.25">
      <c r="A512" s="49">
        <f t="shared" si="1"/>
        <v>498</v>
      </c>
      <c r="B512" s="42" t="s">
        <v>334</v>
      </c>
      <c r="C512" s="43"/>
      <c r="D512" s="609"/>
      <c r="E512" s="326"/>
      <c r="F512" s="326"/>
      <c r="G512" s="326"/>
      <c r="H512" s="326"/>
      <c r="I512" s="326"/>
      <c r="J512" s="326"/>
      <c r="K512" s="327"/>
      <c r="L512" s="610"/>
      <c r="M512" s="326"/>
      <c r="N512" s="326"/>
      <c r="O512" s="327"/>
      <c r="P512" s="609"/>
      <c r="Q512" s="326"/>
      <c r="R512" s="326"/>
      <c r="S512" s="327"/>
      <c r="T512" s="610"/>
      <c r="U512" s="326"/>
      <c r="V512" s="326"/>
      <c r="W512" s="327"/>
      <c r="X512" s="609"/>
      <c r="Y512" s="326"/>
      <c r="Z512" s="326"/>
      <c r="AA512" s="327"/>
      <c r="AB512" s="451"/>
      <c r="AC512" s="326"/>
      <c r="AD512" s="327"/>
      <c r="AE512" s="526"/>
      <c r="AF512" s="326"/>
      <c r="AG512" s="327"/>
      <c r="AH512" s="607"/>
      <c r="AI512" s="326"/>
      <c r="AJ512" s="327"/>
      <c r="AK512" s="497"/>
      <c r="AL512" s="326"/>
      <c r="AM512" s="327"/>
      <c r="AN512" s="44"/>
      <c r="AO512" s="45"/>
      <c r="AP512" s="44"/>
      <c r="AQ512" s="45"/>
      <c r="AR512" s="44"/>
      <c r="AS512" s="45"/>
      <c r="AT512" s="44"/>
      <c r="AU512" s="45"/>
      <c r="AV512" s="44"/>
      <c r="AW512" s="45"/>
      <c r="AX512" s="44"/>
      <c r="AY512" s="45"/>
      <c r="AZ512" s="50"/>
      <c r="BA512" s="47"/>
      <c r="BB512" s="50"/>
      <c r="BC512" s="47"/>
      <c r="BD512" s="50"/>
      <c r="BE512" s="47"/>
      <c r="BF512" s="50"/>
      <c r="BG512" s="47"/>
      <c r="BH512" s="50"/>
      <c r="BI512" s="608" t="s">
        <v>307</v>
      </c>
      <c r="BJ512" s="326"/>
      <c r="BK512" s="326"/>
      <c r="BL512" s="326"/>
      <c r="BM512" s="326"/>
      <c r="BN512" s="326"/>
      <c r="BO512" s="326"/>
      <c r="BP512" s="326"/>
      <c r="BQ512" s="326"/>
      <c r="BR512" s="326"/>
      <c r="BS512" s="326"/>
      <c r="BT512" s="326"/>
      <c r="BU512" s="326"/>
      <c r="BV512" s="327"/>
    </row>
    <row r="513" spans="1:74" ht="30" customHeight="1" x14ac:dyDescent="0.25">
      <c r="A513" s="49">
        <f t="shared" si="1"/>
        <v>499</v>
      </c>
      <c r="B513" s="42" t="s">
        <v>334</v>
      </c>
      <c r="C513" s="43"/>
      <c r="D513" s="609"/>
      <c r="E513" s="326"/>
      <c r="F513" s="326"/>
      <c r="G513" s="326"/>
      <c r="H513" s="326"/>
      <c r="I513" s="326"/>
      <c r="J513" s="326"/>
      <c r="K513" s="327"/>
      <c r="L513" s="610"/>
      <c r="M513" s="326"/>
      <c r="N513" s="326"/>
      <c r="O513" s="327"/>
      <c r="P513" s="609"/>
      <c r="Q513" s="326"/>
      <c r="R513" s="326"/>
      <c r="S513" s="327"/>
      <c r="T513" s="610"/>
      <c r="U513" s="326"/>
      <c r="V513" s="326"/>
      <c r="W513" s="327"/>
      <c r="X513" s="609"/>
      <c r="Y513" s="326"/>
      <c r="Z513" s="326"/>
      <c r="AA513" s="327"/>
      <c r="AB513" s="451"/>
      <c r="AC513" s="326"/>
      <c r="AD513" s="327"/>
      <c r="AE513" s="526"/>
      <c r="AF513" s="326"/>
      <c r="AG513" s="327"/>
      <c r="AH513" s="607"/>
      <c r="AI513" s="326"/>
      <c r="AJ513" s="327"/>
      <c r="AK513" s="497"/>
      <c r="AL513" s="326"/>
      <c r="AM513" s="327"/>
      <c r="AN513" s="44"/>
      <c r="AO513" s="45"/>
      <c r="AP513" s="44"/>
      <c r="AQ513" s="45"/>
      <c r="AR513" s="44"/>
      <c r="AS513" s="45"/>
      <c r="AT513" s="44"/>
      <c r="AU513" s="45"/>
      <c r="AV513" s="44"/>
      <c r="AW513" s="45"/>
      <c r="AX513" s="44"/>
      <c r="AY513" s="45"/>
      <c r="AZ513" s="50"/>
      <c r="BA513" s="47"/>
      <c r="BB513" s="50"/>
      <c r="BC513" s="47"/>
      <c r="BD513" s="50"/>
      <c r="BE513" s="47"/>
      <c r="BF513" s="50"/>
      <c r="BG513" s="47"/>
      <c r="BH513" s="50"/>
      <c r="BI513" s="608" t="s">
        <v>303</v>
      </c>
      <c r="BJ513" s="326"/>
      <c r="BK513" s="326"/>
      <c r="BL513" s="326"/>
      <c r="BM513" s="326"/>
      <c r="BN513" s="326"/>
      <c r="BO513" s="326"/>
      <c r="BP513" s="326"/>
      <c r="BQ513" s="326"/>
      <c r="BR513" s="326"/>
      <c r="BS513" s="326"/>
      <c r="BT513" s="326"/>
      <c r="BU513" s="326"/>
      <c r="BV513" s="327"/>
    </row>
    <row r="514" spans="1:74" ht="30" customHeight="1" x14ac:dyDescent="0.25">
      <c r="A514" s="49">
        <f t="shared" si="1"/>
        <v>500</v>
      </c>
      <c r="B514" s="42" t="s">
        <v>334</v>
      </c>
      <c r="C514" s="43"/>
      <c r="D514" s="609"/>
      <c r="E514" s="326"/>
      <c r="F514" s="326"/>
      <c r="G514" s="326"/>
      <c r="H514" s="326"/>
      <c r="I514" s="326"/>
      <c r="J514" s="326"/>
      <c r="K514" s="327"/>
      <c r="L514" s="610"/>
      <c r="M514" s="326"/>
      <c r="N514" s="326"/>
      <c r="O514" s="327"/>
      <c r="P514" s="609"/>
      <c r="Q514" s="326"/>
      <c r="R514" s="326"/>
      <c r="S514" s="327"/>
      <c r="T514" s="610"/>
      <c r="U514" s="326"/>
      <c r="V514" s="326"/>
      <c r="W514" s="327"/>
      <c r="X514" s="609"/>
      <c r="Y514" s="326"/>
      <c r="Z514" s="326"/>
      <c r="AA514" s="327"/>
      <c r="AB514" s="451"/>
      <c r="AC514" s="326"/>
      <c r="AD514" s="327"/>
      <c r="AE514" s="526"/>
      <c r="AF514" s="326"/>
      <c r="AG514" s="327"/>
      <c r="AH514" s="607"/>
      <c r="AI514" s="326"/>
      <c r="AJ514" s="327"/>
      <c r="AK514" s="497"/>
      <c r="AL514" s="326"/>
      <c r="AM514" s="327"/>
      <c r="AN514" s="44"/>
      <c r="AO514" s="45"/>
      <c r="AP514" s="44"/>
      <c r="AQ514" s="45"/>
      <c r="AR514" s="44"/>
      <c r="AS514" s="45"/>
      <c r="AT514" s="44"/>
      <c r="AU514" s="45"/>
      <c r="AV514" s="44"/>
      <c r="AW514" s="45"/>
      <c r="AX514" s="44"/>
      <c r="AY514" s="45"/>
      <c r="AZ514" s="50"/>
      <c r="BA514" s="47"/>
      <c r="BB514" s="50"/>
      <c r="BC514" s="47"/>
      <c r="BD514" s="50"/>
      <c r="BE514" s="47"/>
      <c r="BF514" s="50"/>
      <c r="BG514" s="47"/>
      <c r="BH514" s="50"/>
      <c r="BI514" s="608" t="s">
        <v>303</v>
      </c>
      <c r="BJ514" s="326"/>
      <c r="BK514" s="326"/>
      <c r="BL514" s="326"/>
      <c r="BM514" s="326"/>
      <c r="BN514" s="326"/>
      <c r="BO514" s="326"/>
      <c r="BP514" s="326"/>
      <c r="BQ514" s="326"/>
      <c r="BR514" s="326"/>
      <c r="BS514" s="326"/>
      <c r="BT514" s="326"/>
      <c r="BU514" s="326"/>
      <c r="BV514" s="327"/>
    </row>
    <row r="515" spans="1:74" ht="30" customHeight="1" x14ac:dyDescent="0.25">
      <c r="A515" s="41">
        <f t="shared" si="1"/>
        <v>501</v>
      </c>
      <c r="B515" s="42" t="s">
        <v>334</v>
      </c>
      <c r="C515" s="43"/>
      <c r="D515" s="609"/>
      <c r="E515" s="326"/>
      <c r="F515" s="326"/>
      <c r="G515" s="326"/>
      <c r="H515" s="326"/>
      <c r="I515" s="326"/>
      <c r="J515" s="326"/>
      <c r="K515" s="327"/>
      <c r="L515" s="610"/>
      <c r="M515" s="326"/>
      <c r="N515" s="326"/>
      <c r="O515" s="327"/>
      <c r="P515" s="609"/>
      <c r="Q515" s="326"/>
      <c r="R515" s="326"/>
      <c r="S515" s="327"/>
      <c r="T515" s="610"/>
      <c r="U515" s="326"/>
      <c r="V515" s="326"/>
      <c r="W515" s="327"/>
      <c r="X515" s="609"/>
      <c r="Y515" s="326"/>
      <c r="Z515" s="326"/>
      <c r="AA515" s="327"/>
      <c r="AB515" s="451"/>
      <c r="AC515" s="326"/>
      <c r="AD515" s="327"/>
      <c r="AE515" s="526"/>
      <c r="AF515" s="326"/>
      <c r="AG515" s="327"/>
      <c r="AH515" s="607"/>
      <c r="AI515" s="326"/>
      <c r="AJ515" s="327"/>
      <c r="AK515" s="497"/>
      <c r="AL515" s="326"/>
      <c r="AM515" s="327"/>
      <c r="AN515" s="44"/>
      <c r="AO515" s="45"/>
      <c r="AP515" s="44"/>
      <c r="AQ515" s="45"/>
      <c r="AR515" s="44"/>
      <c r="AS515" s="45"/>
      <c r="AT515" s="44"/>
      <c r="AU515" s="45"/>
      <c r="AV515" s="44"/>
      <c r="AW515" s="45"/>
      <c r="AX515" s="44"/>
      <c r="AY515" s="45"/>
      <c r="AZ515" s="50"/>
      <c r="BA515" s="47"/>
      <c r="BB515" s="50"/>
      <c r="BC515" s="47"/>
      <c r="BD515" s="50"/>
      <c r="BE515" s="47"/>
      <c r="BF515" s="50"/>
      <c r="BG515" s="47"/>
      <c r="BH515" s="50"/>
      <c r="BI515" s="608" t="s">
        <v>307</v>
      </c>
      <c r="BJ515" s="326"/>
      <c r="BK515" s="326"/>
      <c r="BL515" s="326"/>
      <c r="BM515" s="326"/>
      <c r="BN515" s="326"/>
      <c r="BO515" s="326"/>
      <c r="BP515" s="326"/>
      <c r="BQ515" s="326"/>
      <c r="BR515" s="326"/>
      <c r="BS515" s="326"/>
      <c r="BT515" s="326"/>
      <c r="BU515" s="326"/>
      <c r="BV515" s="327"/>
    </row>
    <row r="516" spans="1:74" ht="30" customHeight="1" x14ac:dyDescent="0.25">
      <c r="A516" s="49">
        <f t="shared" si="1"/>
        <v>502</v>
      </c>
      <c r="B516" s="42" t="s">
        <v>334</v>
      </c>
      <c r="C516" s="43"/>
      <c r="D516" s="609"/>
      <c r="E516" s="326"/>
      <c r="F516" s="326"/>
      <c r="G516" s="326"/>
      <c r="H516" s="326"/>
      <c r="I516" s="326"/>
      <c r="J516" s="326"/>
      <c r="K516" s="327"/>
      <c r="L516" s="610"/>
      <c r="M516" s="326"/>
      <c r="N516" s="326"/>
      <c r="O516" s="327"/>
      <c r="P516" s="609"/>
      <c r="Q516" s="326"/>
      <c r="R516" s="326"/>
      <c r="S516" s="327"/>
      <c r="T516" s="610"/>
      <c r="U516" s="326"/>
      <c r="V516" s="326"/>
      <c r="W516" s="327"/>
      <c r="X516" s="609"/>
      <c r="Y516" s="326"/>
      <c r="Z516" s="326"/>
      <c r="AA516" s="327"/>
      <c r="AB516" s="451"/>
      <c r="AC516" s="326"/>
      <c r="AD516" s="327"/>
      <c r="AE516" s="526"/>
      <c r="AF516" s="326"/>
      <c r="AG516" s="327"/>
      <c r="AH516" s="607"/>
      <c r="AI516" s="326"/>
      <c r="AJ516" s="327"/>
      <c r="AK516" s="497"/>
      <c r="AL516" s="326"/>
      <c r="AM516" s="327"/>
      <c r="AN516" s="44"/>
      <c r="AO516" s="45"/>
      <c r="AP516" s="44"/>
      <c r="AQ516" s="45"/>
      <c r="AR516" s="44"/>
      <c r="AS516" s="45"/>
      <c r="AT516" s="44"/>
      <c r="AU516" s="45"/>
      <c r="AV516" s="44"/>
      <c r="AW516" s="45"/>
      <c r="AX516" s="44"/>
      <c r="AY516" s="45"/>
      <c r="AZ516" s="50"/>
      <c r="BA516" s="47"/>
      <c r="BB516" s="50"/>
      <c r="BC516" s="47"/>
      <c r="BD516" s="50"/>
      <c r="BE516" s="47"/>
      <c r="BF516" s="50"/>
      <c r="BG516" s="47"/>
      <c r="BH516" s="50"/>
      <c r="BI516" s="608" t="s">
        <v>307</v>
      </c>
      <c r="BJ516" s="326"/>
      <c r="BK516" s="326"/>
      <c r="BL516" s="326"/>
      <c r="BM516" s="326"/>
      <c r="BN516" s="326"/>
      <c r="BO516" s="326"/>
      <c r="BP516" s="326"/>
      <c r="BQ516" s="326"/>
      <c r="BR516" s="326"/>
      <c r="BS516" s="326"/>
      <c r="BT516" s="326"/>
      <c r="BU516" s="326"/>
      <c r="BV516" s="327"/>
    </row>
    <row r="517" spans="1:74" ht="30" customHeight="1" x14ac:dyDescent="0.25">
      <c r="A517" s="49">
        <f t="shared" si="1"/>
        <v>503</v>
      </c>
      <c r="B517" s="42" t="s">
        <v>334</v>
      </c>
      <c r="C517" s="43"/>
      <c r="D517" s="609"/>
      <c r="E517" s="326"/>
      <c r="F517" s="326"/>
      <c r="G517" s="326"/>
      <c r="H517" s="326"/>
      <c r="I517" s="326"/>
      <c r="J517" s="326"/>
      <c r="K517" s="327"/>
      <c r="L517" s="610"/>
      <c r="M517" s="326"/>
      <c r="N517" s="326"/>
      <c r="O517" s="327"/>
      <c r="P517" s="609"/>
      <c r="Q517" s="326"/>
      <c r="R517" s="326"/>
      <c r="S517" s="327"/>
      <c r="T517" s="610"/>
      <c r="U517" s="326"/>
      <c r="V517" s="326"/>
      <c r="W517" s="327"/>
      <c r="X517" s="609"/>
      <c r="Y517" s="326"/>
      <c r="Z517" s="326"/>
      <c r="AA517" s="327"/>
      <c r="AB517" s="451"/>
      <c r="AC517" s="326"/>
      <c r="AD517" s="327"/>
      <c r="AE517" s="526"/>
      <c r="AF517" s="326"/>
      <c r="AG517" s="327"/>
      <c r="AH517" s="607"/>
      <c r="AI517" s="326"/>
      <c r="AJ517" s="327"/>
      <c r="AK517" s="497"/>
      <c r="AL517" s="326"/>
      <c r="AM517" s="327"/>
      <c r="AN517" s="44"/>
      <c r="AO517" s="45"/>
      <c r="AP517" s="44"/>
      <c r="AQ517" s="45"/>
      <c r="AR517" s="44"/>
      <c r="AS517" s="45"/>
      <c r="AT517" s="44"/>
      <c r="AU517" s="45"/>
      <c r="AV517" s="44"/>
      <c r="AW517" s="45"/>
      <c r="AX517" s="44"/>
      <c r="AY517" s="45"/>
      <c r="AZ517" s="50"/>
      <c r="BA517" s="47"/>
      <c r="BB517" s="50"/>
      <c r="BC517" s="47"/>
      <c r="BD517" s="50"/>
      <c r="BE517" s="47"/>
      <c r="BF517" s="50"/>
      <c r="BG517" s="47"/>
      <c r="BH517" s="50"/>
      <c r="BI517" s="608" t="s">
        <v>307</v>
      </c>
      <c r="BJ517" s="326"/>
      <c r="BK517" s="326"/>
      <c r="BL517" s="326"/>
      <c r="BM517" s="326"/>
      <c r="BN517" s="326"/>
      <c r="BO517" s="326"/>
      <c r="BP517" s="326"/>
      <c r="BQ517" s="326"/>
      <c r="BR517" s="326"/>
      <c r="BS517" s="326"/>
      <c r="BT517" s="326"/>
      <c r="BU517" s="326"/>
      <c r="BV517" s="327"/>
    </row>
    <row r="518" spans="1:74" ht="30" customHeight="1" x14ac:dyDescent="0.25">
      <c r="A518" s="49">
        <f t="shared" si="1"/>
        <v>504</v>
      </c>
      <c r="B518" s="42" t="s">
        <v>334</v>
      </c>
      <c r="C518" s="43"/>
      <c r="D518" s="609"/>
      <c r="E518" s="326"/>
      <c r="F518" s="326"/>
      <c r="G518" s="326"/>
      <c r="H518" s="326"/>
      <c r="I518" s="326"/>
      <c r="J518" s="326"/>
      <c r="K518" s="327"/>
      <c r="L518" s="610"/>
      <c r="M518" s="326"/>
      <c r="N518" s="326"/>
      <c r="O518" s="327"/>
      <c r="P518" s="609"/>
      <c r="Q518" s="326"/>
      <c r="R518" s="326"/>
      <c r="S518" s="327"/>
      <c r="T518" s="610"/>
      <c r="U518" s="326"/>
      <c r="V518" s="326"/>
      <c r="W518" s="327"/>
      <c r="X518" s="609"/>
      <c r="Y518" s="326"/>
      <c r="Z518" s="326"/>
      <c r="AA518" s="327"/>
      <c r="AB518" s="451"/>
      <c r="AC518" s="326"/>
      <c r="AD518" s="327"/>
      <c r="AE518" s="526"/>
      <c r="AF518" s="326"/>
      <c r="AG518" s="327"/>
      <c r="AH518" s="607"/>
      <c r="AI518" s="326"/>
      <c r="AJ518" s="327"/>
      <c r="AK518" s="497"/>
      <c r="AL518" s="326"/>
      <c r="AM518" s="327"/>
      <c r="AN518" s="44"/>
      <c r="AO518" s="45"/>
      <c r="AP518" s="44"/>
      <c r="AQ518" s="45"/>
      <c r="AR518" s="44"/>
      <c r="AS518" s="45"/>
      <c r="AT518" s="44"/>
      <c r="AU518" s="45"/>
      <c r="AV518" s="44"/>
      <c r="AW518" s="45"/>
      <c r="AX518" s="44"/>
      <c r="AY518" s="45"/>
      <c r="AZ518" s="50"/>
      <c r="BA518" s="47"/>
      <c r="BB518" s="50"/>
      <c r="BC518" s="47"/>
      <c r="BD518" s="50"/>
      <c r="BE518" s="47"/>
      <c r="BF518" s="50"/>
      <c r="BG518" s="47"/>
      <c r="BH518" s="50"/>
      <c r="BI518" s="608" t="s">
        <v>307</v>
      </c>
      <c r="BJ518" s="326"/>
      <c r="BK518" s="326"/>
      <c r="BL518" s="326"/>
      <c r="BM518" s="326"/>
      <c r="BN518" s="326"/>
      <c r="BO518" s="326"/>
      <c r="BP518" s="326"/>
      <c r="BQ518" s="326"/>
      <c r="BR518" s="326"/>
      <c r="BS518" s="326"/>
      <c r="BT518" s="326"/>
      <c r="BU518" s="326"/>
      <c r="BV518" s="327"/>
    </row>
    <row r="519" spans="1:74" ht="30" customHeight="1" x14ac:dyDescent="0.25">
      <c r="A519" s="49">
        <f t="shared" si="1"/>
        <v>505</v>
      </c>
      <c r="B519" s="42" t="s">
        <v>334</v>
      </c>
      <c r="C519" s="43"/>
      <c r="D519" s="609"/>
      <c r="E519" s="326"/>
      <c r="F519" s="326"/>
      <c r="G519" s="326"/>
      <c r="H519" s="326"/>
      <c r="I519" s="326"/>
      <c r="J519" s="326"/>
      <c r="K519" s="327"/>
      <c r="L519" s="610"/>
      <c r="M519" s="326"/>
      <c r="N519" s="326"/>
      <c r="O519" s="327"/>
      <c r="P519" s="609"/>
      <c r="Q519" s="326"/>
      <c r="R519" s="326"/>
      <c r="S519" s="327"/>
      <c r="T519" s="610"/>
      <c r="U519" s="326"/>
      <c r="V519" s="326"/>
      <c r="W519" s="327"/>
      <c r="X519" s="609"/>
      <c r="Y519" s="326"/>
      <c r="Z519" s="326"/>
      <c r="AA519" s="327"/>
      <c r="AB519" s="451"/>
      <c r="AC519" s="326"/>
      <c r="AD519" s="327"/>
      <c r="AE519" s="526"/>
      <c r="AF519" s="326"/>
      <c r="AG519" s="327"/>
      <c r="AH519" s="607"/>
      <c r="AI519" s="326"/>
      <c r="AJ519" s="327"/>
      <c r="AK519" s="497"/>
      <c r="AL519" s="326"/>
      <c r="AM519" s="327"/>
      <c r="AN519" s="44"/>
      <c r="AO519" s="45"/>
      <c r="AP519" s="44"/>
      <c r="AQ519" s="45"/>
      <c r="AR519" s="44"/>
      <c r="AS519" s="45"/>
      <c r="AT519" s="44"/>
      <c r="AU519" s="45"/>
      <c r="AV519" s="44"/>
      <c r="AW519" s="45"/>
      <c r="AX519" s="44"/>
      <c r="AY519" s="45"/>
      <c r="AZ519" s="50"/>
      <c r="BA519" s="47"/>
      <c r="BB519" s="50"/>
      <c r="BC519" s="47"/>
      <c r="BD519" s="50"/>
      <c r="BE519" s="47"/>
      <c r="BF519" s="50"/>
      <c r="BG519" s="47"/>
      <c r="BH519" s="50"/>
      <c r="BI519" s="608" t="s">
        <v>307</v>
      </c>
      <c r="BJ519" s="326"/>
      <c r="BK519" s="326"/>
      <c r="BL519" s="326"/>
      <c r="BM519" s="326"/>
      <c r="BN519" s="326"/>
      <c r="BO519" s="326"/>
      <c r="BP519" s="326"/>
      <c r="BQ519" s="326"/>
      <c r="BR519" s="326"/>
      <c r="BS519" s="326"/>
      <c r="BT519" s="326"/>
      <c r="BU519" s="326"/>
      <c r="BV519" s="327"/>
    </row>
    <row r="520" spans="1:74" ht="30" customHeight="1" x14ac:dyDescent="0.25">
      <c r="A520" s="49">
        <f t="shared" si="1"/>
        <v>506</v>
      </c>
      <c r="B520" s="42" t="s">
        <v>334</v>
      </c>
      <c r="C520" s="43"/>
      <c r="D520" s="609"/>
      <c r="E520" s="326"/>
      <c r="F520" s="326"/>
      <c r="G520" s="326"/>
      <c r="H520" s="326"/>
      <c r="I520" s="326"/>
      <c r="J520" s="326"/>
      <c r="K520" s="327"/>
      <c r="L520" s="610"/>
      <c r="M520" s="326"/>
      <c r="N520" s="326"/>
      <c r="O520" s="327"/>
      <c r="P520" s="609"/>
      <c r="Q520" s="326"/>
      <c r="R520" s="326"/>
      <c r="S520" s="327"/>
      <c r="T520" s="610"/>
      <c r="U520" s="326"/>
      <c r="V520" s="326"/>
      <c r="W520" s="327"/>
      <c r="X520" s="609"/>
      <c r="Y520" s="326"/>
      <c r="Z520" s="326"/>
      <c r="AA520" s="327"/>
      <c r="AB520" s="451"/>
      <c r="AC520" s="326"/>
      <c r="AD520" s="327"/>
      <c r="AE520" s="526"/>
      <c r="AF520" s="326"/>
      <c r="AG520" s="327"/>
      <c r="AH520" s="607"/>
      <c r="AI520" s="326"/>
      <c r="AJ520" s="327"/>
      <c r="AK520" s="497"/>
      <c r="AL520" s="326"/>
      <c r="AM520" s="327"/>
      <c r="AN520" s="44"/>
      <c r="AO520" s="45"/>
      <c r="AP520" s="44"/>
      <c r="AQ520" s="45"/>
      <c r="AR520" s="44"/>
      <c r="AS520" s="45"/>
      <c r="AT520" s="44"/>
      <c r="AU520" s="45"/>
      <c r="AV520" s="44"/>
      <c r="AW520" s="45"/>
      <c r="AX520" s="44"/>
      <c r="AY520" s="45"/>
      <c r="AZ520" s="50"/>
      <c r="BA520" s="47"/>
      <c r="BB520" s="50"/>
      <c r="BC520" s="47"/>
      <c r="BD520" s="50"/>
      <c r="BE520" s="47"/>
      <c r="BF520" s="50"/>
      <c r="BG520" s="47"/>
      <c r="BH520" s="50"/>
      <c r="BI520" s="608" t="s">
        <v>303</v>
      </c>
      <c r="BJ520" s="326"/>
      <c r="BK520" s="326"/>
      <c r="BL520" s="326"/>
      <c r="BM520" s="326"/>
      <c r="BN520" s="326"/>
      <c r="BO520" s="326"/>
      <c r="BP520" s="326"/>
      <c r="BQ520" s="326"/>
      <c r="BR520" s="326"/>
      <c r="BS520" s="326"/>
      <c r="BT520" s="326"/>
      <c r="BU520" s="326"/>
      <c r="BV520" s="327"/>
    </row>
    <row r="521" spans="1:74" ht="30" customHeight="1" x14ac:dyDescent="0.25">
      <c r="A521" s="49">
        <f t="shared" si="1"/>
        <v>507</v>
      </c>
      <c r="B521" s="42" t="s">
        <v>334</v>
      </c>
      <c r="C521" s="43"/>
      <c r="D521" s="609"/>
      <c r="E521" s="326"/>
      <c r="F521" s="326"/>
      <c r="G521" s="326"/>
      <c r="H521" s="326"/>
      <c r="I521" s="326"/>
      <c r="J521" s="326"/>
      <c r="K521" s="327"/>
      <c r="L521" s="610"/>
      <c r="M521" s="326"/>
      <c r="N521" s="326"/>
      <c r="O521" s="327"/>
      <c r="P521" s="609"/>
      <c r="Q521" s="326"/>
      <c r="R521" s="326"/>
      <c r="S521" s="327"/>
      <c r="T521" s="610"/>
      <c r="U521" s="326"/>
      <c r="V521" s="326"/>
      <c r="W521" s="327"/>
      <c r="X521" s="609"/>
      <c r="Y521" s="326"/>
      <c r="Z521" s="326"/>
      <c r="AA521" s="327"/>
      <c r="AB521" s="451"/>
      <c r="AC521" s="326"/>
      <c r="AD521" s="327"/>
      <c r="AE521" s="526"/>
      <c r="AF521" s="326"/>
      <c r="AG521" s="327"/>
      <c r="AH521" s="607"/>
      <c r="AI521" s="326"/>
      <c r="AJ521" s="327"/>
      <c r="AK521" s="497"/>
      <c r="AL521" s="326"/>
      <c r="AM521" s="327"/>
      <c r="AN521" s="44"/>
      <c r="AO521" s="45"/>
      <c r="AP521" s="44"/>
      <c r="AQ521" s="45"/>
      <c r="AR521" s="44"/>
      <c r="AS521" s="45"/>
      <c r="AT521" s="44"/>
      <c r="AU521" s="45"/>
      <c r="AV521" s="44"/>
      <c r="AW521" s="45"/>
      <c r="AX521" s="44"/>
      <c r="AY521" s="45"/>
      <c r="AZ521" s="50"/>
      <c r="BA521" s="47"/>
      <c r="BB521" s="50"/>
      <c r="BC521" s="47"/>
      <c r="BD521" s="50"/>
      <c r="BE521" s="47"/>
      <c r="BF521" s="50"/>
      <c r="BG521" s="47"/>
      <c r="BH521" s="50"/>
      <c r="BI521" s="608" t="s">
        <v>303</v>
      </c>
      <c r="BJ521" s="326"/>
      <c r="BK521" s="326"/>
      <c r="BL521" s="326"/>
      <c r="BM521" s="326"/>
      <c r="BN521" s="326"/>
      <c r="BO521" s="326"/>
      <c r="BP521" s="326"/>
      <c r="BQ521" s="326"/>
      <c r="BR521" s="326"/>
      <c r="BS521" s="326"/>
      <c r="BT521" s="326"/>
      <c r="BU521" s="326"/>
      <c r="BV521" s="327"/>
    </row>
    <row r="522" spans="1:74" ht="30" customHeight="1" x14ac:dyDescent="0.25">
      <c r="A522" s="41">
        <f t="shared" si="1"/>
        <v>508</v>
      </c>
      <c r="B522" s="42" t="s">
        <v>334</v>
      </c>
      <c r="C522" s="43"/>
      <c r="D522" s="609"/>
      <c r="E522" s="326"/>
      <c r="F522" s="326"/>
      <c r="G522" s="326"/>
      <c r="H522" s="326"/>
      <c r="I522" s="326"/>
      <c r="J522" s="326"/>
      <c r="K522" s="327"/>
      <c r="L522" s="610"/>
      <c r="M522" s="326"/>
      <c r="N522" s="326"/>
      <c r="O522" s="327"/>
      <c r="P522" s="609"/>
      <c r="Q522" s="326"/>
      <c r="R522" s="326"/>
      <c r="S522" s="327"/>
      <c r="T522" s="610"/>
      <c r="U522" s="326"/>
      <c r="V522" s="326"/>
      <c r="W522" s="327"/>
      <c r="X522" s="609"/>
      <c r="Y522" s="326"/>
      <c r="Z522" s="326"/>
      <c r="AA522" s="327"/>
      <c r="AB522" s="451"/>
      <c r="AC522" s="326"/>
      <c r="AD522" s="327"/>
      <c r="AE522" s="526"/>
      <c r="AF522" s="326"/>
      <c r="AG522" s="327"/>
      <c r="AH522" s="607"/>
      <c r="AI522" s="326"/>
      <c r="AJ522" s="327"/>
      <c r="AK522" s="497"/>
      <c r="AL522" s="326"/>
      <c r="AM522" s="327"/>
      <c r="AN522" s="44"/>
      <c r="AO522" s="45"/>
      <c r="AP522" s="44"/>
      <c r="AQ522" s="45"/>
      <c r="AR522" s="44"/>
      <c r="AS522" s="45"/>
      <c r="AT522" s="44"/>
      <c r="AU522" s="45"/>
      <c r="AV522" s="44"/>
      <c r="AW522" s="45"/>
      <c r="AX522" s="44"/>
      <c r="AY522" s="45"/>
      <c r="AZ522" s="50"/>
      <c r="BA522" s="47"/>
      <c r="BB522" s="50"/>
      <c r="BC522" s="47"/>
      <c r="BD522" s="50"/>
      <c r="BE522" s="47"/>
      <c r="BF522" s="50"/>
      <c r="BG522" s="47"/>
      <c r="BH522" s="50"/>
      <c r="BI522" s="608" t="s">
        <v>307</v>
      </c>
      <c r="BJ522" s="326"/>
      <c r="BK522" s="326"/>
      <c r="BL522" s="326"/>
      <c r="BM522" s="326"/>
      <c r="BN522" s="326"/>
      <c r="BO522" s="326"/>
      <c r="BP522" s="326"/>
      <c r="BQ522" s="326"/>
      <c r="BR522" s="326"/>
      <c r="BS522" s="326"/>
      <c r="BT522" s="326"/>
      <c r="BU522" s="326"/>
      <c r="BV522" s="327"/>
    </row>
    <row r="523" spans="1:74" ht="30" customHeight="1" x14ac:dyDescent="0.25">
      <c r="A523" s="49">
        <f t="shared" si="1"/>
        <v>509</v>
      </c>
      <c r="B523" s="42" t="s">
        <v>334</v>
      </c>
      <c r="C523" s="43"/>
      <c r="D523" s="609"/>
      <c r="E523" s="326"/>
      <c r="F523" s="326"/>
      <c r="G523" s="326"/>
      <c r="H523" s="326"/>
      <c r="I523" s="326"/>
      <c r="J523" s="326"/>
      <c r="K523" s="327"/>
      <c r="L523" s="610"/>
      <c r="M523" s="326"/>
      <c r="N523" s="326"/>
      <c r="O523" s="327"/>
      <c r="P523" s="609"/>
      <c r="Q523" s="326"/>
      <c r="R523" s="326"/>
      <c r="S523" s="327"/>
      <c r="T523" s="610"/>
      <c r="U523" s="326"/>
      <c r="V523" s="326"/>
      <c r="W523" s="327"/>
      <c r="X523" s="609"/>
      <c r="Y523" s="326"/>
      <c r="Z523" s="326"/>
      <c r="AA523" s="327"/>
      <c r="AB523" s="451"/>
      <c r="AC523" s="326"/>
      <c r="AD523" s="327"/>
      <c r="AE523" s="526"/>
      <c r="AF523" s="326"/>
      <c r="AG523" s="327"/>
      <c r="AH523" s="607"/>
      <c r="AI523" s="326"/>
      <c r="AJ523" s="327"/>
      <c r="AK523" s="497"/>
      <c r="AL523" s="326"/>
      <c r="AM523" s="327"/>
      <c r="AN523" s="44"/>
      <c r="AO523" s="45"/>
      <c r="AP523" s="44"/>
      <c r="AQ523" s="45"/>
      <c r="AR523" s="44"/>
      <c r="AS523" s="45"/>
      <c r="AT523" s="44"/>
      <c r="AU523" s="45"/>
      <c r="AV523" s="44"/>
      <c r="AW523" s="45"/>
      <c r="AX523" s="44"/>
      <c r="AY523" s="45"/>
      <c r="AZ523" s="50"/>
      <c r="BA523" s="47"/>
      <c r="BB523" s="50"/>
      <c r="BC523" s="47"/>
      <c r="BD523" s="50"/>
      <c r="BE523" s="47"/>
      <c r="BF523" s="50"/>
      <c r="BG523" s="47"/>
      <c r="BH523" s="50"/>
      <c r="BI523" s="608" t="s">
        <v>307</v>
      </c>
      <c r="BJ523" s="326"/>
      <c r="BK523" s="326"/>
      <c r="BL523" s="326"/>
      <c r="BM523" s="326"/>
      <c r="BN523" s="326"/>
      <c r="BO523" s="326"/>
      <c r="BP523" s="326"/>
      <c r="BQ523" s="326"/>
      <c r="BR523" s="326"/>
      <c r="BS523" s="326"/>
      <c r="BT523" s="326"/>
      <c r="BU523" s="326"/>
      <c r="BV523" s="327"/>
    </row>
    <row r="524" spans="1:74" ht="30" customHeight="1" x14ac:dyDescent="0.25">
      <c r="A524" s="49">
        <f t="shared" si="1"/>
        <v>510</v>
      </c>
      <c r="B524" s="42" t="s">
        <v>334</v>
      </c>
      <c r="C524" s="43"/>
      <c r="D524" s="609"/>
      <c r="E524" s="326"/>
      <c r="F524" s="326"/>
      <c r="G524" s="326"/>
      <c r="H524" s="326"/>
      <c r="I524" s="326"/>
      <c r="J524" s="326"/>
      <c r="K524" s="327"/>
      <c r="L524" s="610"/>
      <c r="M524" s="326"/>
      <c r="N524" s="326"/>
      <c r="O524" s="327"/>
      <c r="P524" s="609"/>
      <c r="Q524" s="326"/>
      <c r="R524" s="326"/>
      <c r="S524" s="327"/>
      <c r="T524" s="610"/>
      <c r="U524" s="326"/>
      <c r="V524" s="326"/>
      <c r="W524" s="327"/>
      <c r="X524" s="609"/>
      <c r="Y524" s="326"/>
      <c r="Z524" s="326"/>
      <c r="AA524" s="327"/>
      <c r="AB524" s="451"/>
      <c r="AC524" s="326"/>
      <c r="AD524" s="327"/>
      <c r="AE524" s="526"/>
      <c r="AF524" s="326"/>
      <c r="AG524" s="327"/>
      <c r="AH524" s="607"/>
      <c r="AI524" s="326"/>
      <c r="AJ524" s="327"/>
      <c r="AK524" s="497"/>
      <c r="AL524" s="326"/>
      <c r="AM524" s="327"/>
      <c r="AN524" s="44"/>
      <c r="AO524" s="45"/>
      <c r="AP524" s="44"/>
      <c r="AQ524" s="45"/>
      <c r="AR524" s="44"/>
      <c r="AS524" s="45"/>
      <c r="AT524" s="44"/>
      <c r="AU524" s="45"/>
      <c r="AV524" s="44"/>
      <c r="AW524" s="45"/>
      <c r="AX524" s="44"/>
      <c r="AY524" s="45"/>
      <c r="AZ524" s="50"/>
      <c r="BA524" s="47"/>
      <c r="BB524" s="50"/>
      <c r="BC524" s="47"/>
      <c r="BD524" s="50"/>
      <c r="BE524" s="47"/>
      <c r="BF524" s="50"/>
      <c r="BG524" s="47"/>
      <c r="BH524" s="50"/>
      <c r="BI524" s="608" t="s">
        <v>307</v>
      </c>
      <c r="BJ524" s="326"/>
      <c r="BK524" s="326"/>
      <c r="BL524" s="326"/>
      <c r="BM524" s="326"/>
      <c r="BN524" s="326"/>
      <c r="BO524" s="326"/>
      <c r="BP524" s="326"/>
      <c r="BQ524" s="326"/>
      <c r="BR524" s="326"/>
      <c r="BS524" s="326"/>
      <c r="BT524" s="326"/>
      <c r="BU524" s="326"/>
      <c r="BV524" s="327"/>
    </row>
    <row r="525" spans="1:74" ht="30" customHeight="1" x14ac:dyDescent="0.25">
      <c r="A525" s="49">
        <f t="shared" ref="A525:A534" si="2">ROW(A511)</f>
        <v>511</v>
      </c>
      <c r="B525" s="42" t="s">
        <v>334</v>
      </c>
      <c r="C525" s="43"/>
      <c r="D525" s="609"/>
      <c r="E525" s="326"/>
      <c r="F525" s="326"/>
      <c r="G525" s="326"/>
      <c r="H525" s="326"/>
      <c r="I525" s="326"/>
      <c r="J525" s="326"/>
      <c r="K525" s="327"/>
      <c r="L525" s="610"/>
      <c r="M525" s="326"/>
      <c r="N525" s="326"/>
      <c r="O525" s="327"/>
      <c r="P525" s="609"/>
      <c r="Q525" s="326"/>
      <c r="R525" s="326"/>
      <c r="S525" s="327"/>
      <c r="T525" s="610"/>
      <c r="U525" s="326"/>
      <c r="V525" s="326"/>
      <c r="W525" s="327"/>
      <c r="X525" s="609"/>
      <c r="Y525" s="326"/>
      <c r="Z525" s="326"/>
      <c r="AA525" s="327"/>
      <c r="AB525" s="451"/>
      <c r="AC525" s="326"/>
      <c r="AD525" s="327"/>
      <c r="AE525" s="526"/>
      <c r="AF525" s="326"/>
      <c r="AG525" s="327"/>
      <c r="AH525" s="607"/>
      <c r="AI525" s="326"/>
      <c r="AJ525" s="327"/>
      <c r="AK525" s="497"/>
      <c r="AL525" s="326"/>
      <c r="AM525" s="327"/>
      <c r="AN525" s="44"/>
      <c r="AO525" s="45"/>
      <c r="AP525" s="44"/>
      <c r="AQ525" s="45"/>
      <c r="AR525" s="44"/>
      <c r="AS525" s="45"/>
      <c r="AT525" s="44"/>
      <c r="AU525" s="45"/>
      <c r="AV525" s="44"/>
      <c r="AW525" s="45"/>
      <c r="AX525" s="44"/>
      <c r="AY525" s="45"/>
      <c r="AZ525" s="50"/>
      <c r="BA525" s="47"/>
      <c r="BB525" s="50"/>
      <c r="BC525" s="47"/>
      <c r="BD525" s="50"/>
      <c r="BE525" s="47"/>
      <c r="BF525" s="50"/>
      <c r="BG525" s="47"/>
      <c r="BH525" s="50"/>
      <c r="BI525" s="608" t="s">
        <v>307</v>
      </c>
      <c r="BJ525" s="326"/>
      <c r="BK525" s="326"/>
      <c r="BL525" s="326"/>
      <c r="BM525" s="326"/>
      <c r="BN525" s="326"/>
      <c r="BO525" s="326"/>
      <c r="BP525" s="326"/>
      <c r="BQ525" s="326"/>
      <c r="BR525" s="326"/>
      <c r="BS525" s="326"/>
      <c r="BT525" s="326"/>
      <c r="BU525" s="326"/>
      <c r="BV525" s="327"/>
    </row>
    <row r="526" spans="1:74" ht="30" customHeight="1" x14ac:dyDescent="0.25">
      <c r="A526" s="49">
        <f t="shared" si="2"/>
        <v>512</v>
      </c>
      <c r="B526" s="42" t="s">
        <v>334</v>
      </c>
      <c r="C526" s="43"/>
      <c r="D526" s="609"/>
      <c r="E526" s="326"/>
      <c r="F526" s="326"/>
      <c r="G526" s="326"/>
      <c r="H526" s="326"/>
      <c r="I526" s="326"/>
      <c r="J526" s="326"/>
      <c r="K526" s="327"/>
      <c r="L526" s="610"/>
      <c r="M526" s="326"/>
      <c r="N526" s="326"/>
      <c r="O526" s="327"/>
      <c r="P526" s="609"/>
      <c r="Q526" s="326"/>
      <c r="R526" s="326"/>
      <c r="S526" s="327"/>
      <c r="T526" s="610"/>
      <c r="U526" s="326"/>
      <c r="V526" s="326"/>
      <c r="W526" s="327"/>
      <c r="X526" s="609"/>
      <c r="Y526" s="326"/>
      <c r="Z526" s="326"/>
      <c r="AA526" s="327"/>
      <c r="AB526" s="451"/>
      <c r="AC526" s="326"/>
      <c r="AD526" s="327"/>
      <c r="AE526" s="526"/>
      <c r="AF526" s="326"/>
      <c r="AG526" s="327"/>
      <c r="AH526" s="607"/>
      <c r="AI526" s="326"/>
      <c r="AJ526" s="327"/>
      <c r="AK526" s="497"/>
      <c r="AL526" s="326"/>
      <c r="AM526" s="327"/>
      <c r="AN526" s="44"/>
      <c r="AO526" s="45"/>
      <c r="AP526" s="44"/>
      <c r="AQ526" s="45"/>
      <c r="AR526" s="44"/>
      <c r="AS526" s="45"/>
      <c r="AT526" s="44"/>
      <c r="AU526" s="45"/>
      <c r="AV526" s="44"/>
      <c r="AW526" s="45"/>
      <c r="AX526" s="44"/>
      <c r="AY526" s="45"/>
      <c r="AZ526" s="50"/>
      <c r="BA526" s="47"/>
      <c r="BB526" s="50"/>
      <c r="BC526" s="47"/>
      <c r="BD526" s="50"/>
      <c r="BE526" s="47"/>
      <c r="BF526" s="50"/>
      <c r="BG526" s="47"/>
      <c r="BH526" s="50"/>
      <c r="BI526" s="608" t="s">
        <v>307</v>
      </c>
      <c r="BJ526" s="326"/>
      <c r="BK526" s="326"/>
      <c r="BL526" s="326"/>
      <c r="BM526" s="326"/>
      <c r="BN526" s="326"/>
      <c r="BO526" s="326"/>
      <c r="BP526" s="326"/>
      <c r="BQ526" s="326"/>
      <c r="BR526" s="326"/>
      <c r="BS526" s="326"/>
      <c r="BT526" s="326"/>
      <c r="BU526" s="326"/>
      <c r="BV526" s="327"/>
    </row>
    <row r="527" spans="1:74" ht="30" customHeight="1" x14ac:dyDescent="0.25">
      <c r="A527" s="49">
        <f t="shared" si="2"/>
        <v>513</v>
      </c>
      <c r="B527" s="42" t="s">
        <v>334</v>
      </c>
      <c r="C527" s="43"/>
      <c r="D527" s="609"/>
      <c r="E527" s="326"/>
      <c r="F527" s="326"/>
      <c r="G527" s="326"/>
      <c r="H527" s="326"/>
      <c r="I527" s="326"/>
      <c r="J527" s="326"/>
      <c r="K527" s="327"/>
      <c r="L527" s="610"/>
      <c r="M527" s="326"/>
      <c r="N527" s="326"/>
      <c r="O527" s="327"/>
      <c r="P527" s="609"/>
      <c r="Q527" s="326"/>
      <c r="R527" s="326"/>
      <c r="S527" s="327"/>
      <c r="T527" s="610"/>
      <c r="U527" s="326"/>
      <c r="V527" s="326"/>
      <c r="W527" s="327"/>
      <c r="X527" s="609"/>
      <c r="Y527" s="326"/>
      <c r="Z527" s="326"/>
      <c r="AA527" s="327"/>
      <c r="AB527" s="451"/>
      <c r="AC527" s="326"/>
      <c r="AD527" s="327"/>
      <c r="AE527" s="526"/>
      <c r="AF527" s="326"/>
      <c r="AG527" s="327"/>
      <c r="AH527" s="607"/>
      <c r="AI527" s="326"/>
      <c r="AJ527" s="327"/>
      <c r="AK527" s="497"/>
      <c r="AL527" s="326"/>
      <c r="AM527" s="327"/>
      <c r="AN527" s="44"/>
      <c r="AO527" s="45"/>
      <c r="AP527" s="44"/>
      <c r="AQ527" s="45"/>
      <c r="AR527" s="44"/>
      <c r="AS527" s="45"/>
      <c r="AT527" s="44"/>
      <c r="AU527" s="45"/>
      <c r="AV527" s="44"/>
      <c r="AW527" s="45"/>
      <c r="AX527" s="44"/>
      <c r="AY527" s="45"/>
      <c r="AZ527" s="50"/>
      <c r="BA527" s="47"/>
      <c r="BB527" s="50"/>
      <c r="BC527" s="47"/>
      <c r="BD527" s="50"/>
      <c r="BE527" s="47"/>
      <c r="BF527" s="50"/>
      <c r="BG527" s="47"/>
      <c r="BH527" s="50"/>
      <c r="BI527" s="608" t="s">
        <v>303</v>
      </c>
      <c r="BJ527" s="326"/>
      <c r="BK527" s="326"/>
      <c r="BL527" s="326"/>
      <c r="BM527" s="326"/>
      <c r="BN527" s="326"/>
      <c r="BO527" s="326"/>
      <c r="BP527" s="326"/>
      <c r="BQ527" s="326"/>
      <c r="BR527" s="326"/>
      <c r="BS527" s="326"/>
      <c r="BT527" s="326"/>
      <c r="BU527" s="326"/>
      <c r="BV527" s="327"/>
    </row>
    <row r="528" spans="1:74" ht="30" customHeight="1" x14ac:dyDescent="0.25">
      <c r="A528" s="49">
        <f t="shared" si="2"/>
        <v>514</v>
      </c>
      <c r="B528" s="42" t="s">
        <v>334</v>
      </c>
      <c r="C528" s="43"/>
      <c r="D528" s="609"/>
      <c r="E528" s="326"/>
      <c r="F528" s="326"/>
      <c r="G528" s="326"/>
      <c r="H528" s="326"/>
      <c r="I528" s="326"/>
      <c r="J528" s="326"/>
      <c r="K528" s="327"/>
      <c r="L528" s="610"/>
      <c r="M528" s="326"/>
      <c r="N528" s="326"/>
      <c r="O528" s="327"/>
      <c r="P528" s="609"/>
      <c r="Q528" s="326"/>
      <c r="R528" s="326"/>
      <c r="S528" s="327"/>
      <c r="T528" s="610"/>
      <c r="U528" s="326"/>
      <c r="V528" s="326"/>
      <c r="W528" s="327"/>
      <c r="X528" s="609"/>
      <c r="Y528" s="326"/>
      <c r="Z528" s="326"/>
      <c r="AA528" s="327"/>
      <c r="AB528" s="451"/>
      <c r="AC528" s="326"/>
      <c r="AD528" s="327"/>
      <c r="AE528" s="526"/>
      <c r="AF528" s="326"/>
      <c r="AG528" s="327"/>
      <c r="AH528" s="607"/>
      <c r="AI528" s="326"/>
      <c r="AJ528" s="327"/>
      <c r="AK528" s="497"/>
      <c r="AL528" s="326"/>
      <c r="AM528" s="327"/>
      <c r="AN528" s="44"/>
      <c r="AO528" s="45"/>
      <c r="AP528" s="44"/>
      <c r="AQ528" s="45"/>
      <c r="AR528" s="44"/>
      <c r="AS528" s="45"/>
      <c r="AT528" s="44"/>
      <c r="AU528" s="45"/>
      <c r="AV528" s="44"/>
      <c r="AW528" s="45"/>
      <c r="AX528" s="44"/>
      <c r="AY528" s="45"/>
      <c r="AZ528" s="50"/>
      <c r="BA528" s="47"/>
      <c r="BB528" s="50"/>
      <c r="BC528" s="47"/>
      <c r="BD528" s="50"/>
      <c r="BE528" s="47"/>
      <c r="BF528" s="50"/>
      <c r="BG528" s="47"/>
      <c r="BH528" s="50"/>
      <c r="BI528" s="608" t="s">
        <v>303</v>
      </c>
      <c r="BJ528" s="326"/>
      <c r="BK528" s="326"/>
      <c r="BL528" s="326"/>
      <c r="BM528" s="326"/>
      <c r="BN528" s="326"/>
      <c r="BO528" s="326"/>
      <c r="BP528" s="326"/>
      <c r="BQ528" s="326"/>
      <c r="BR528" s="326"/>
      <c r="BS528" s="326"/>
      <c r="BT528" s="326"/>
      <c r="BU528" s="326"/>
      <c r="BV528" s="327"/>
    </row>
    <row r="529" spans="1:74" ht="30" customHeight="1" x14ac:dyDescent="0.25">
      <c r="A529" s="41">
        <f t="shared" si="2"/>
        <v>515</v>
      </c>
      <c r="B529" s="42" t="s">
        <v>334</v>
      </c>
      <c r="C529" s="43"/>
      <c r="D529" s="609"/>
      <c r="E529" s="326"/>
      <c r="F529" s="326"/>
      <c r="G529" s="326"/>
      <c r="H529" s="326"/>
      <c r="I529" s="326"/>
      <c r="J529" s="326"/>
      <c r="K529" s="327"/>
      <c r="L529" s="610"/>
      <c r="M529" s="326"/>
      <c r="N529" s="326"/>
      <c r="O529" s="327"/>
      <c r="P529" s="609"/>
      <c r="Q529" s="326"/>
      <c r="R529" s="326"/>
      <c r="S529" s="327"/>
      <c r="T529" s="610"/>
      <c r="U529" s="326"/>
      <c r="V529" s="326"/>
      <c r="W529" s="327"/>
      <c r="X529" s="609"/>
      <c r="Y529" s="326"/>
      <c r="Z529" s="326"/>
      <c r="AA529" s="327"/>
      <c r="AB529" s="451"/>
      <c r="AC529" s="326"/>
      <c r="AD529" s="327"/>
      <c r="AE529" s="526"/>
      <c r="AF529" s="326"/>
      <c r="AG529" s="327"/>
      <c r="AH529" s="607"/>
      <c r="AI529" s="326"/>
      <c r="AJ529" s="327"/>
      <c r="AK529" s="497"/>
      <c r="AL529" s="326"/>
      <c r="AM529" s="327"/>
      <c r="AN529" s="44"/>
      <c r="AO529" s="45"/>
      <c r="AP529" s="44"/>
      <c r="AQ529" s="45"/>
      <c r="AR529" s="44"/>
      <c r="AS529" s="45"/>
      <c r="AT529" s="44"/>
      <c r="AU529" s="45"/>
      <c r="AV529" s="44"/>
      <c r="AW529" s="45"/>
      <c r="AX529" s="44"/>
      <c r="AY529" s="45"/>
      <c r="AZ529" s="50"/>
      <c r="BA529" s="47"/>
      <c r="BB529" s="50"/>
      <c r="BC529" s="47"/>
      <c r="BD529" s="50"/>
      <c r="BE529" s="47"/>
      <c r="BF529" s="50"/>
      <c r="BG529" s="47"/>
      <c r="BH529" s="50"/>
      <c r="BI529" s="608" t="s">
        <v>307</v>
      </c>
      <c r="BJ529" s="326"/>
      <c r="BK529" s="326"/>
      <c r="BL529" s="326"/>
      <c r="BM529" s="326"/>
      <c r="BN529" s="326"/>
      <c r="BO529" s="326"/>
      <c r="BP529" s="326"/>
      <c r="BQ529" s="326"/>
      <c r="BR529" s="326"/>
      <c r="BS529" s="326"/>
      <c r="BT529" s="326"/>
      <c r="BU529" s="326"/>
      <c r="BV529" s="327"/>
    </row>
    <row r="530" spans="1:74" ht="30" customHeight="1" x14ac:dyDescent="0.25">
      <c r="A530" s="49">
        <f t="shared" si="2"/>
        <v>516</v>
      </c>
      <c r="B530" s="42" t="s">
        <v>334</v>
      </c>
      <c r="C530" s="43"/>
      <c r="D530" s="609"/>
      <c r="E530" s="326"/>
      <c r="F530" s="326"/>
      <c r="G530" s="326"/>
      <c r="H530" s="326"/>
      <c r="I530" s="326"/>
      <c r="J530" s="326"/>
      <c r="K530" s="327"/>
      <c r="L530" s="610"/>
      <c r="M530" s="326"/>
      <c r="N530" s="326"/>
      <c r="O530" s="327"/>
      <c r="P530" s="609"/>
      <c r="Q530" s="326"/>
      <c r="R530" s="326"/>
      <c r="S530" s="327"/>
      <c r="T530" s="610"/>
      <c r="U530" s="326"/>
      <c r="V530" s="326"/>
      <c r="W530" s="327"/>
      <c r="X530" s="609"/>
      <c r="Y530" s="326"/>
      <c r="Z530" s="326"/>
      <c r="AA530" s="327"/>
      <c r="AB530" s="451"/>
      <c r="AC530" s="326"/>
      <c r="AD530" s="327"/>
      <c r="AE530" s="526"/>
      <c r="AF530" s="326"/>
      <c r="AG530" s="327"/>
      <c r="AH530" s="607"/>
      <c r="AI530" s="326"/>
      <c r="AJ530" s="327"/>
      <c r="AK530" s="497"/>
      <c r="AL530" s="326"/>
      <c r="AM530" s="327"/>
      <c r="AN530" s="44"/>
      <c r="AO530" s="45"/>
      <c r="AP530" s="44"/>
      <c r="AQ530" s="45"/>
      <c r="AR530" s="44"/>
      <c r="AS530" s="45"/>
      <c r="AT530" s="44"/>
      <c r="AU530" s="45"/>
      <c r="AV530" s="44"/>
      <c r="AW530" s="45"/>
      <c r="AX530" s="44"/>
      <c r="AY530" s="45"/>
      <c r="AZ530" s="50"/>
      <c r="BA530" s="47"/>
      <c r="BB530" s="50"/>
      <c r="BC530" s="47"/>
      <c r="BD530" s="50"/>
      <c r="BE530" s="47"/>
      <c r="BF530" s="50"/>
      <c r="BG530" s="47"/>
      <c r="BH530" s="50"/>
      <c r="BI530" s="608" t="s">
        <v>307</v>
      </c>
      <c r="BJ530" s="326"/>
      <c r="BK530" s="326"/>
      <c r="BL530" s="326"/>
      <c r="BM530" s="326"/>
      <c r="BN530" s="326"/>
      <c r="BO530" s="326"/>
      <c r="BP530" s="326"/>
      <c r="BQ530" s="326"/>
      <c r="BR530" s="326"/>
      <c r="BS530" s="326"/>
      <c r="BT530" s="326"/>
      <c r="BU530" s="326"/>
      <c r="BV530" s="327"/>
    </row>
    <row r="531" spans="1:74" ht="30" customHeight="1" x14ac:dyDescent="0.25">
      <c r="A531" s="49">
        <f t="shared" si="2"/>
        <v>517</v>
      </c>
      <c r="B531" s="42" t="s">
        <v>334</v>
      </c>
      <c r="C531" s="43"/>
      <c r="D531" s="609"/>
      <c r="E531" s="326"/>
      <c r="F531" s="326"/>
      <c r="G531" s="326"/>
      <c r="H531" s="326"/>
      <c r="I531" s="326"/>
      <c r="J531" s="326"/>
      <c r="K531" s="327"/>
      <c r="L531" s="610"/>
      <c r="M531" s="326"/>
      <c r="N531" s="326"/>
      <c r="O531" s="327"/>
      <c r="P531" s="609"/>
      <c r="Q531" s="326"/>
      <c r="R531" s="326"/>
      <c r="S531" s="327"/>
      <c r="T531" s="610"/>
      <c r="U531" s="326"/>
      <c r="V531" s="326"/>
      <c r="W531" s="327"/>
      <c r="X531" s="609"/>
      <c r="Y531" s="326"/>
      <c r="Z531" s="326"/>
      <c r="AA531" s="327"/>
      <c r="AB531" s="451"/>
      <c r="AC531" s="326"/>
      <c r="AD531" s="327"/>
      <c r="AE531" s="526"/>
      <c r="AF531" s="326"/>
      <c r="AG531" s="327"/>
      <c r="AH531" s="607"/>
      <c r="AI531" s="326"/>
      <c r="AJ531" s="327"/>
      <c r="AK531" s="497"/>
      <c r="AL531" s="326"/>
      <c r="AM531" s="327"/>
      <c r="AN531" s="44"/>
      <c r="AO531" s="45"/>
      <c r="AP531" s="44"/>
      <c r="AQ531" s="45"/>
      <c r="AR531" s="44"/>
      <c r="AS531" s="45"/>
      <c r="AT531" s="44"/>
      <c r="AU531" s="45"/>
      <c r="AV531" s="44"/>
      <c r="AW531" s="45"/>
      <c r="AX531" s="44"/>
      <c r="AY531" s="45"/>
      <c r="AZ531" s="50"/>
      <c r="BA531" s="47"/>
      <c r="BB531" s="50"/>
      <c r="BC531" s="47"/>
      <c r="BD531" s="50"/>
      <c r="BE531" s="47"/>
      <c r="BF531" s="50"/>
      <c r="BG531" s="47"/>
      <c r="BH531" s="50"/>
      <c r="BI531" s="608" t="s">
        <v>307</v>
      </c>
      <c r="BJ531" s="326"/>
      <c r="BK531" s="326"/>
      <c r="BL531" s="326"/>
      <c r="BM531" s="326"/>
      <c r="BN531" s="326"/>
      <c r="BO531" s="326"/>
      <c r="BP531" s="326"/>
      <c r="BQ531" s="326"/>
      <c r="BR531" s="326"/>
      <c r="BS531" s="326"/>
      <c r="BT531" s="326"/>
      <c r="BU531" s="326"/>
      <c r="BV531" s="327"/>
    </row>
    <row r="532" spans="1:74" ht="30" customHeight="1" x14ac:dyDescent="0.25">
      <c r="A532" s="49">
        <f t="shared" si="2"/>
        <v>518</v>
      </c>
      <c r="B532" s="42" t="s">
        <v>334</v>
      </c>
      <c r="C532" s="43"/>
      <c r="D532" s="609"/>
      <c r="E532" s="326"/>
      <c r="F532" s="326"/>
      <c r="G532" s="326"/>
      <c r="H532" s="326"/>
      <c r="I532" s="326"/>
      <c r="J532" s="326"/>
      <c r="K532" s="327"/>
      <c r="L532" s="610"/>
      <c r="M532" s="326"/>
      <c r="N532" s="326"/>
      <c r="O532" s="327"/>
      <c r="P532" s="609"/>
      <c r="Q532" s="326"/>
      <c r="R532" s="326"/>
      <c r="S532" s="327"/>
      <c r="T532" s="610"/>
      <c r="U532" s="326"/>
      <c r="V532" s="326"/>
      <c r="W532" s="327"/>
      <c r="X532" s="609"/>
      <c r="Y532" s="326"/>
      <c r="Z532" s="326"/>
      <c r="AA532" s="327"/>
      <c r="AB532" s="451"/>
      <c r="AC532" s="326"/>
      <c r="AD532" s="327"/>
      <c r="AE532" s="526"/>
      <c r="AF532" s="326"/>
      <c r="AG532" s="327"/>
      <c r="AH532" s="607"/>
      <c r="AI532" s="326"/>
      <c r="AJ532" s="327"/>
      <c r="AK532" s="497"/>
      <c r="AL532" s="326"/>
      <c r="AM532" s="327"/>
      <c r="AN532" s="44"/>
      <c r="AO532" s="45"/>
      <c r="AP532" s="44"/>
      <c r="AQ532" s="45"/>
      <c r="AR532" s="44"/>
      <c r="AS532" s="45"/>
      <c r="AT532" s="44"/>
      <c r="AU532" s="45"/>
      <c r="AV532" s="44"/>
      <c r="AW532" s="45"/>
      <c r="AX532" s="44"/>
      <c r="AY532" s="45"/>
      <c r="AZ532" s="50"/>
      <c r="BA532" s="47"/>
      <c r="BB532" s="50"/>
      <c r="BC532" s="47"/>
      <c r="BD532" s="50"/>
      <c r="BE532" s="47"/>
      <c r="BF532" s="50"/>
      <c r="BG532" s="47"/>
      <c r="BH532" s="50"/>
      <c r="BI532" s="608" t="s">
        <v>307</v>
      </c>
      <c r="BJ532" s="326"/>
      <c r="BK532" s="326"/>
      <c r="BL532" s="326"/>
      <c r="BM532" s="326"/>
      <c r="BN532" s="326"/>
      <c r="BO532" s="326"/>
      <c r="BP532" s="326"/>
      <c r="BQ532" s="326"/>
      <c r="BR532" s="326"/>
      <c r="BS532" s="326"/>
      <c r="BT532" s="326"/>
      <c r="BU532" s="326"/>
      <c r="BV532" s="327"/>
    </row>
    <row r="533" spans="1:74" ht="30" customHeight="1" x14ac:dyDescent="0.25">
      <c r="A533" s="49">
        <f t="shared" si="2"/>
        <v>519</v>
      </c>
      <c r="B533" s="42" t="s">
        <v>334</v>
      </c>
      <c r="C533" s="43"/>
      <c r="D533" s="609"/>
      <c r="E533" s="326"/>
      <c r="F533" s="326"/>
      <c r="G533" s="326"/>
      <c r="H533" s="326"/>
      <c r="I533" s="326"/>
      <c r="J533" s="326"/>
      <c r="K533" s="327"/>
      <c r="L533" s="610"/>
      <c r="M533" s="326"/>
      <c r="N533" s="326"/>
      <c r="O533" s="327"/>
      <c r="P533" s="609"/>
      <c r="Q533" s="326"/>
      <c r="R533" s="326"/>
      <c r="S533" s="327"/>
      <c r="T533" s="610"/>
      <c r="U533" s="326"/>
      <c r="V533" s="326"/>
      <c r="W533" s="327"/>
      <c r="X533" s="609"/>
      <c r="Y533" s="326"/>
      <c r="Z533" s="326"/>
      <c r="AA533" s="327"/>
      <c r="AB533" s="451"/>
      <c r="AC533" s="326"/>
      <c r="AD533" s="327"/>
      <c r="AE533" s="526"/>
      <c r="AF533" s="326"/>
      <c r="AG533" s="327"/>
      <c r="AH533" s="607"/>
      <c r="AI533" s="326"/>
      <c r="AJ533" s="327"/>
      <c r="AK533" s="497"/>
      <c r="AL533" s="326"/>
      <c r="AM533" s="327"/>
      <c r="AN533" s="44"/>
      <c r="AO533" s="45"/>
      <c r="AP533" s="44"/>
      <c r="AQ533" s="45"/>
      <c r="AR533" s="44"/>
      <c r="AS533" s="45"/>
      <c r="AT533" s="44"/>
      <c r="AU533" s="45"/>
      <c r="AV533" s="44"/>
      <c r="AW533" s="45"/>
      <c r="AX533" s="44"/>
      <c r="AY533" s="45"/>
      <c r="AZ533" s="50"/>
      <c r="BA533" s="47"/>
      <c r="BB533" s="50"/>
      <c r="BC533" s="47"/>
      <c r="BD533" s="50"/>
      <c r="BE533" s="47"/>
      <c r="BF533" s="50"/>
      <c r="BG533" s="47"/>
      <c r="BH533" s="50"/>
      <c r="BI533" s="608" t="s">
        <v>307</v>
      </c>
      <c r="BJ533" s="326"/>
      <c r="BK533" s="326"/>
      <c r="BL533" s="326"/>
      <c r="BM533" s="326"/>
      <c r="BN533" s="326"/>
      <c r="BO533" s="326"/>
      <c r="BP533" s="326"/>
      <c r="BQ533" s="326"/>
      <c r="BR533" s="326"/>
      <c r="BS533" s="326"/>
      <c r="BT533" s="326"/>
      <c r="BU533" s="326"/>
      <c r="BV533" s="327"/>
    </row>
    <row r="534" spans="1:74" ht="30" customHeight="1" x14ac:dyDescent="0.25">
      <c r="A534" s="49">
        <f t="shared" si="2"/>
        <v>520</v>
      </c>
      <c r="B534" s="42" t="s">
        <v>334</v>
      </c>
      <c r="C534" s="43"/>
      <c r="D534" s="609"/>
      <c r="E534" s="326"/>
      <c r="F534" s="326"/>
      <c r="G534" s="326"/>
      <c r="H534" s="326"/>
      <c r="I534" s="326"/>
      <c r="J534" s="326"/>
      <c r="K534" s="327"/>
      <c r="L534" s="610"/>
      <c r="M534" s="326"/>
      <c r="N534" s="326"/>
      <c r="O534" s="327"/>
      <c r="P534" s="609"/>
      <c r="Q534" s="326"/>
      <c r="R534" s="326"/>
      <c r="S534" s="327"/>
      <c r="T534" s="610"/>
      <c r="U534" s="326"/>
      <c r="V534" s="326"/>
      <c r="W534" s="327"/>
      <c r="X534" s="609"/>
      <c r="Y534" s="326"/>
      <c r="Z534" s="326"/>
      <c r="AA534" s="327"/>
      <c r="AB534" s="451"/>
      <c r="AC534" s="326"/>
      <c r="AD534" s="327"/>
      <c r="AE534" s="526"/>
      <c r="AF534" s="326"/>
      <c r="AG534" s="327"/>
      <c r="AH534" s="607"/>
      <c r="AI534" s="326"/>
      <c r="AJ534" s="327"/>
      <c r="AK534" s="497"/>
      <c r="AL534" s="326"/>
      <c r="AM534" s="327"/>
      <c r="AN534" s="44"/>
      <c r="AO534" s="45"/>
      <c r="AP534" s="44"/>
      <c r="AQ534" s="45"/>
      <c r="AR534" s="44"/>
      <c r="AS534" s="45"/>
      <c r="AT534" s="44"/>
      <c r="AU534" s="45"/>
      <c r="AV534" s="44"/>
      <c r="AW534" s="45"/>
      <c r="AX534" s="44"/>
      <c r="AY534" s="45"/>
      <c r="AZ534" s="50"/>
      <c r="BA534" s="47"/>
      <c r="BB534" s="50"/>
      <c r="BC534" s="47"/>
      <c r="BD534" s="50"/>
      <c r="BE534" s="47"/>
      <c r="BF534" s="50"/>
      <c r="BG534" s="47"/>
      <c r="BH534" s="50"/>
      <c r="BI534" s="608" t="s">
        <v>303</v>
      </c>
      <c r="BJ534" s="326"/>
      <c r="BK534" s="326"/>
      <c r="BL534" s="326"/>
      <c r="BM534" s="326"/>
      <c r="BN534" s="326"/>
      <c r="BO534" s="326"/>
      <c r="BP534" s="326"/>
      <c r="BQ534" s="326"/>
      <c r="BR534" s="326"/>
      <c r="BS534" s="326"/>
      <c r="BT534" s="326"/>
      <c r="BU534" s="326"/>
      <c r="BV534" s="327"/>
    </row>
  </sheetData>
  <mergeCells count="5260">
    <mergeCell ref="AH359:AJ359"/>
    <mergeCell ref="AK359:AM359"/>
    <mergeCell ref="BI359:BV359"/>
    <mergeCell ref="D359:K359"/>
    <mergeCell ref="L359:O359"/>
    <mergeCell ref="P359:S359"/>
    <mergeCell ref="T359:W359"/>
    <mergeCell ref="X359:AA359"/>
    <mergeCell ref="AB359:AD359"/>
    <mergeCell ref="AE359:AG359"/>
    <mergeCell ref="AH360:AJ360"/>
    <mergeCell ref="AK360:AM360"/>
    <mergeCell ref="BI360:BV360"/>
    <mergeCell ref="D360:K360"/>
    <mergeCell ref="L360:O360"/>
    <mergeCell ref="P360:S360"/>
    <mergeCell ref="T360:W360"/>
    <mergeCell ref="X360:AA360"/>
    <mergeCell ref="AB360:AD360"/>
    <mergeCell ref="AE360:AG360"/>
    <mergeCell ref="AH357:AJ357"/>
    <mergeCell ref="AK357:AM357"/>
    <mergeCell ref="BI357:BV357"/>
    <mergeCell ref="D357:K357"/>
    <mergeCell ref="L357:O357"/>
    <mergeCell ref="P357:S357"/>
    <mergeCell ref="T357:W357"/>
    <mergeCell ref="X357:AA357"/>
    <mergeCell ref="AB357:AD357"/>
    <mergeCell ref="AE357:AG357"/>
    <mergeCell ref="AH358:AJ358"/>
    <mergeCell ref="AK358:AM358"/>
    <mergeCell ref="BI358:BV358"/>
    <mergeCell ref="D358:K358"/>
    <mergeCell ref="L358:O358"/>
    <mergeCell ref="P358:S358"/>
    <mergeCell ref="T358:W358"/>
    <mergeCell ref="X358:AA358"/>
    <mergeCell ref="AB358:AD358"/>
    <mergeCell ref="AE358:AG358"/>
    <mergeCell ref="AH355:AJ355"/>
    <mergeCell ref="AK355:AM355"/>
    <mergeCell ref="BI355:BV355"/>
    <mergeCell ref="D355:K355"/>
    <mergeCell ref="L355:O355"/>
    <mergeCell ref="P355:S355"/>
    <mergeCell ref="T355:W355"/>
    <mergeCell ref="X355:AA355"/>
    <mergeCell ref="AB355:AD355"/>
    <mergeCell ref="AE355:AG355"/>
    <mergeCell ref="AH356:AJ356"/>
    <mergeCell ref="AK356:AM356"/>
    <mergeCell ref="BI356:BV356"/>
    <mergeCell ref="D356:K356"/>
    <mergeCell ref="L356:O356"/>
    <mergeCell ref="P356:S356"/>
    <mergeCell ref="T356:W356"/>
    <mergeCell ref="X356:AA356"/>
    <mergeCell ref="AB356:AD356"/>
    <mergeCell ref="AE356:AG356"/>
    <mergeCell ref="AH353:AJ353"/>
    <mergeCell ref="AK353:AM353"/>
    <mergeCell ref="BI353:BV353"/>
    <mergeCell ref="D353:K353"/>
    <mergeCell ref="L353:O353"/>
    <mergeCell ref="P353:S353"/>
    <mergeCell ref="T353:W353"/>
    <mergeCell ref="X353:AA353"/>
    <mergeCell ref="AB353:AD353"/>
    <mergeCell ref="AE353:AG353"/>
    <mergeCell ref="AH354:AJ354"/>
    <mergeCell ref="AK354:AM354"/>
    <mergeCell ref="BI354:BV354"/>
    <mergeCell ref="D354:K354"/>
    <mergeCell ref="L354:O354"/>
    <mergeCell ref="P354:S354"/>
    <mergeCell ref="T354:W354"/>
    <mergeCell ref="X354:AA354"/>
    <mergeCell ref="AB354:AD354"/>
    <mergeCell ref="AE354:AG354"/>
    <mergeCell ref="AH351:AJ351"/>
    <mergeCell ref="AK351:AM351"/>
    <mergeCell ref="BI351:BV351"/>
    <mergeCell ref="D351:K351"/>
    <mergeCell ref="L351:O351"/>
    <mergeCell ref="P351:S351"/>
    <mergeCell ref="T351:W351"/>
    <mergeCell ref="X351:AA351"/>
    <mergeCell ref="AB351:AD351"/>
    <mergeCell ref="AE351:AG351"/>
    <mergeCell ref="AH352:AJ352"/>
    <mergeCell ref="AK352:AM352"/>
    <mergeCell ref="BI352:BV352"/>
    <mergeCell ref="D352:K352"/>
    <mergeCell ref="L352:O352"/>
    <mergeCell ref="P352:S352"/>
    <mergeCell ref="T352:W352"/>
    <mergeCell ref="X352:AA352"/>
    <mergeCell ref="AB352:AD352"/>
    <mergeCell ref="AE352:AG352"/>
    <mergeCell ref="AH349:AJ349"/>
    <mergeCell ref="AK349:AM349"/>
    <mergeCell ref="BI349:BV349"/>
    <mergeCell ref="D349:K349"/>
    <mergeCell ref="L349:O349"/>
    <mergeCell ref="P349:S349"/>
    <mergeCell ref="T349:W349"/>
    <mergeCell ref="X349:AA349"/>
    <mergeCell ref="AB349:AD349"/>
    <mergeCell ref="AE349:AG349"/>
    <mergeCell ref="AH350:AJ350"/>
    <mergeCell ref="AK350:AM350"/>
    <mergeCell ref="BI350:BV350"/>
    <mergeCell ref="D350:K350"/>
    <mergeCell ref="L350:O350"/>
    <mergeCell ref="P350:S350"/>
    <mergeCell ref="T350:W350"/>
    <mergeCell ref="X350:AA350"/>
    <mergeCell ref="AB350:AD350"/>
    <mergeCell ref="AE350:AG350"/>
    <mergeCell ref="AH347:AJ347"/>
    <mergeCell ref="AK347:AM347"/>
    <mergeCell ref="BI347:BV347"/>
    <mergeCell ref="D347:K347"/>
    <mergeCell ref="L347:O347"/>
    <mergeCell ref="P347:S347"/>
    <mergeCell ref="T347:W347"/>
    <mergeCell ref="X347:AA347"/>
    <mergeCell ref="AB347:AD347"/>
    <mergeCell ref="AE347:AG347"/>
    <mergeCell ref="AH348:AJ348"/>
    <mergeCell ref="AK348:AM348"/>
    <mergeCell ref="BI348:BV348"/>
    <mergeCell ref="D348:K348"/>
    <mergeCell ref="L348:O348"/>
    <mergeCell ref="P348:S348"/>
    <mergeCell ref="T348:W348"/>
    <mergeCell ref="X348:AA348"/>
    <mergeCell ref="AB348:AD348"/>
    <mergeCell ref="AE348:AG348"/>
    <mergeCell ref="AH345:AJ345"/>
    <mergeCell ref="AK345:AM345"/>
    <mergeCell ref="BI345:BV345"/>
    <mergeCell ref="D345:K345"/>
    <mergeCell ref="L345:O345"/>
    <mergeCell ref="P345:S345"/>
    <mergeCell ref="T345:W345"/>
    <mergeCell ref="X345:AA345"/>
    <mergeCell ref="AB345:AD345"/>
    <mergeCell ref="AE345:AG345"/>
    <mergeCell ref="AH346:AJ346"/>
    <mergeCell ref="AK346:AM346"/>
    <mergeCell ref="BI346:BV346"/>
    <mergeCell ref="D346:K346"/>
    <mergeCell ref="L346:O346"/>
    <mergeCell ref="P346:S346"/>
    <mergeCell ref="T346:W346"/>
    <mergeCell ref="X346:AA346"/>
    <mergeCell ref="AB346:AD346"/>
    <mergeCell ref="AE346:AG346"/>
    <mergeCell ref="AH343:AJ343"/>
    <mergeCell ref="AK343:AM343"/>
    <mergeCell ref="BI343:BV343"/>
    <mergeCell ref="D343:K343"/>
    <mergeCell ref="L343:O343"/>
    <mergeCell ref="P343:S343"/>
    <mergeCell ref="T343:W343"/>
    <mergeCell ref="X343:AA343"/>
    <mergeCell ref="AB343:AD343"/>
    <mergeCell ref="AE343:AG343"/>
    <mergeCell ref="AH344:AJ344"/>
    <mergeCell ref="AK344:AM344"/>
    <mergeCell ref="BI344:BV344"/>
    <mergeCell ref="D344:K344"/>
    <mergeCell ref="L344:O344"/>
    <mergeCell ref="P344:S344"/>
    <mergeCell ref="T344:W344"/>
    <mergeCell ref="X344:AA344"/>
    <mergeCell ref="AB344:AD344"/>
    <mergeCell ref="AE344:AG344"/>
    <mergeCell ref="AH341:AJ341"/>
    <mergeCell ref="AK341:AM341"/>
    <mergeCell ref="BI341:BV341"/>
    <mergeCell ref="D341:K341"/>
    <mergeCell ref="L341:O341"/>
    <mergeCell ref="P341:S341"/>
    <mergeCell ref="T341:W341"/>
    <mergeCell ref="X341:AA341"/>
    <mergeCell ref="AB341:AD341"/>
    <mergeCell ref="AE341:AG341"/>
    <mergeCell ref="AH342:AJ342"/>
    <mergeCell ref="AK342:AM342"/>
    <mergeCell ref="BI342:BV342"/>
    <mergeCell ref="D342:K342"/>
    <mergeCell ref="L342:O342"/>
    <mergeCell ref="P342:S342"/>
    <mergeCell ref="T342:W342"/>
    <mergeCell ref="X342:AA342"/>
    <mergeCell ref="AB342:AD342"/>
    <mergeCell ref="AE342:AG342"/>
    <mergeCell ref="AH339:AJ339"/>
    <mergeCell ref="AK339:AM339"/>
    <mergeCell ref="BI339:BV339"/>
    <mergeCell ref="D339:K339"/>
    <mergeCell ref="L339:O339"/>
    <mergeCell ref="P339:S339"/>
    <mergeCell ref="T339:W339"/>
    <mergeCell ref="X339:AA339"/>
    <mergeCell ref="AB339:AD339"/>
    <mergeCell ref="AE339:AG339"/>
    <mergeCell ref="AH340:AJ340"/>
    <mergeCell ref="AK340:AM340"/>
    <mergeCell ref="BI340:BV340"/>
    <mergeCell ref="D340:K340"/>
    <mergeCell ref="L340:O340"/>
    <mergeCell ref="P340:S340"/>
    <mergeCell ref="T340:W340"/>
    <mergeCell ref="X340:AA340"/>
    <mergeCell ref="AB340:AD340"/>
    <mergeCell ref="AE340:AG340"/>
    <mergeCell ref="AH337:AJ337"/>
    <mergeCell ref="AK337:AM337"/>
    <mergeCell ref="BI337:BV337"/>
    <mergeCell ref="D337:K337"/>
    <mergeCell ref="L337:O337"/>
    <mergeCell ref="P337:S337"/>
    <mergeCell ref="T337:W337"/>
    <mergeCell ref="X337:AA337"/>
    <mergeCell ref="AB337:AD337"/>
    <mergeCell ref="AE337:AG337"/>
    <mergeCell ref="AH338:AJ338"/>
    <mergeCell ref="AK338:AM338"/>
    <mergeCell ref="BI338:BV338"/>
    <mergeCell ref="D338:K338"/>
    <mergeCell ref="L338:O338"/>
    <mergeCell ref="P338:S338"/>
    <mergeCell ref="T338:W338"/>
    <mergeCell ref="X338:AA338"/>
    <mergeCell ref="AB338:AD338"/>
    <mergeCell ref="AE338:AG338"/>
    <mergeCell ref="AH335:AJ335"/>
    <mergeCell ref="AK335:AM335"/>
    <mergeCell ref="BI335:BV335"/>
    <mergeCell ref="D335:K335"/>
    <mergeCell ref="L335:O335"/>
    <mergeCell ref="P335:S335"/>
    <mergeCell ref="T335:W335"/>
    <mergeCell ref="X335:AA335"/>
    <mergeCell ref="AB335:AD335"/>
    <mergeCell ref="AE335:AG335"/>
    <mergeCell ref="AH336:AJ336"/>
    <mergeCell ref="AK336:AM336"/>
    <mergeCell ref="BI336:BV336"/>
    <mergeCell ref="D336:K336"/>
    <mergeCell ref="L336:O336"/>
    <mergeCell ref="P336:S336"/>
    <mergeCell ref="T336:W336"/>
    <mergeCell ref="X336:AA336"/>
    <mergeCell ref="AB336:AD336"/>
    <mergeCell ref="AE336:AG336"/>
    <mergeCell ref="AH333:AJ333"/>
    <mergeCell ref="AK333:AM333"/>
    <mergeCell ref="BI333:BV333"/>
    <mergeCell ref="D333:K333"/>
    <mergeCell ref="L333:O333"/>
    <mergeCell ref="P333:S333"/>
    <mergeCell ref="T333:W333"/>
    <mergeCell ref="X333:AA333"/>
    <mergeCell ref="AB333:AD333"/>
    <mergeCell ref="AE333:AG333"/>
    <mergeCell ref="AH334:AJ334"/>
    <mergeCell ref="AK334:AM334"/>
    <mergeCell ref="BI334:BV334"/>
    <mergeCell ref="D334:K334"/>
    <mergeCell ref="L334:O334"/>
    <mergeCell ref="P334:S334"/>
    <mergeCell ref="T334:W334"/>
    <mergeCell ref="X334:AA334"/>
    <mergeCell ref="AB334:AD334"/>
    <mergeCell ref="AE334:AG334"/>
    <mergeCell ref="AH331:AJ331"/>
    <mergeCell ref="AK331:AM331"/>
    <mergeCell ref="BI331:BV331"/>
    <mergeCell ref="D331:K331"/>
    <mergeCell ref="L331:O331"/>
    <mergeCell ref="P331:S331"/>
    <mergeCell ref="T331:W331"/>
    <mergeCell ref="X331:AA331"/>
    <mergeCell ref="AB331:AD331"/>
    <mergeCell ref="AE331:AG331"/>
    <mergeCell ref="AH332:AJ332"/>
    <mergeCell ref="AK332:AM332"/>
    <mergeCell ref="BI332:BV332"/>
    <mergeCell ref="D332:K332"/>
    <mergeCell ref="L332:O332"/>
    <mergeCell ref="P332:S332"/>
    <mergeCell ref="T332:W332"/>
    <mergeCell ref="X332:AA332"/>
    <mergeCell ref="AB332:AD332"/>
    <mergeCell ref="AE332:AG332"/>
    <mergeCell ref="AH329:AJ329"/>
    <mergeCell ref="AK329:AM329"/>
    <mergeCell ref="BI329:BV329"/>
    <mergeCell ref="D329:K329"/>
    <mergeCell ref="L329:O329"/>
    <mergeCell ref="P329:S329"/>
    <mergeCell ref="T329:W329"/>
    <mergeCell ref="X329:AA329"/>
    <mergeCell ref="AB329:AD329"/>
    <mergeCell ref="AE329:AG329"/>
    <mergeCell ref="AH330:AJ330"/>
    <mergeCell ref="AK330:AM330"/>
    <mergeCell ref="BI330:BV330"/>
    <mergeCell ref="D330:K330"/>
    <mergeCell ref="L330:O330"/>
    <mergeCell ref="P330:S330"/>
    <mergeCell ref="T330:W330"/>
    <mergeCell ref="X330:AA330"/>
    <mergeCell ref="AB330:AD330"/>
    <mergeCell ref="AE330:AG330"/>
    <mergeCell ref="AH327:AJ327"/>
    <mergeCell ref="AK327:AM327"/>
    <mergeCell ref="BI327:BV327"/>
    <mergeCell ref="D327:K327"/>
    <mergeCell ref="L327:O327"/>
    <mergeCell ref="P327:S327"/>
    <mergeCell ref="T327:W327"/>
    <mergeCell ref="X327:AA327"/>
    <mergeCell ref="AB327:AD327"/>
    <mergeCell ref="AE327:AG327"/>
    <mergeCell ref="AH328:AJ328"/>
    <mergeCell ref="AK328:AM328"/>
    <mergeCell ref="BI328:BV328"/>
    <mergeCell ref="D328:K328"/>
    <mergeCell ref="L328:O328"/>
    <mergeCell ref="P328:S328"/>
    <mergeCell ref="T328:W328"/>
    <mergeCell ref="X328:AA328"/>
    <mergeCell ref="AB328:AD328"/>
    <mergeCell ref="AE328:AG328"/>
    <mergeCell ref="AH325:AJ325"/>
    <mergeCell ref="AK325:AM325"/>
    <mergeCell ref="BI325:BV325"/>
    <mergeCell ref="D325:K325"/>
    <mergeCell ref="L325:O325"/>
    <mergeCell ref="P325:S325"/>
    <mergeCell ref="T325:W325"/>
    <mergeCell ref="X325:AA325"/>
    <mergeCell ref="AB325:AD325"/>
    <mergeCell ref="AE325:AG325"/>
    <mergeCell ref="AH326:AJ326"/>
    <mergeCell ref="AK326:AM326"/>
    <mergeCell ref="BI326:BV326"/>
    <mergeCell ref="D326:K326"/>
    <mergeCell ref="L326:O326"/>
    <mergeCell ref="P326:S326"/>
    <mergeCell ref="T326:W326"/>
    <mergeCell ref="X326:AA326"/>
    <mergeCell ref="AB326:AD326"/>
    <mergeCell ref="AE326:AG326"/>
    <mergeCell ref="AH323:AJ323"/>
    <mergeCell ref="AK323:AM323"/>
    <mergeCell ref="BI323:BV323"/>
    <mergeCell ref="D323:K323"/>
    <mergeCell ref="L323:O323"/>
    <mergeCell ref="P323:S323"/>
    <mergeCell ref="T323:W323"/>
    <mergeCell ref="X323:AA323"/>
    <mergeCell ref="AB323:AD323"/>
    <mergeCell ref="AE323:AG323"/>
    <mergeCell ref="AH324:AJ324"/>
    <mergeCell ref="AK324:AM324"/>
    <mergeCell ref="BI324:BV324"/>
    <mergeCell ref="D324:K324"/>
    <mergeCell ref="L324:O324"/>
    <mergeCell ref="P324:S324"/>
    <mergeCell ref="T324:W324"/>
    <mergeCell ref="X324:AA324"/>
    <mergeCell ref="AB324:AD324"/>
    <mergeCell ref="AE324:AG324"/>
    <mergeCell ref="AH321:AJ321"/>
    <mergeCell ref="AK321:AM321"/>
    <mergeCell ref="BI321:BV321"/>
    <mergeCell ref="D321:K321"/>
    <mergeCell ref="L321:O321"/>
    <mergeCell ref="P321:S321"/>
    <mergeCell ref="T321:W321"/>
    <mergeCell ref="X321:AA321"/>
    <mergeCell ref="AB321:AD321"/>
    <mergeCell ref="AE321:AG321"/>
    <mergeCell ref="AH322:AJ322"/>
    <mergeCell ref="AK322:AM322"/>
    <mergeCell ref="BI322:BV322"/>
    <mergeCell ref="D322:K322"/>
    <mergeCell ref="L322:O322"/>
    <mergeCell ref="P322:S322"/>
    <mergeCell ref="T322:W322"/>
    <mergeCell ref="X322:AA322"/>
    <mergeCell ref="AB322:AD322"/>
    <mergeCell ref="AE322:AG322"/>
    <mergeCell ref="AH319:AJ319"/>
    <mergeCell ref="AK319:AM319"/>
    <mergeCell ref="BI319:BV319"/>
    <mergeCell ref="D319:K319"/>
    <mergeCell ref="L319:O319"/>
    <mergeCell ref="P319:S319"/>
    <mergeCell ref="T319:W319"/>
    <mergeCell ref="X319:AA319"/>
    <mergeCell ref="AB319:AD319"/>
    <mergeCell ref="AE319:AG319"/>
    <mergeCell ref="AH320:AJ320"/>
    <mergeCell ref="AK320:AM320"/>
    <mergeCell ref="BI320:BV320"/>
    <mergeCell ref="D320:K320"/>
    <mergeCell ref="L320:O320"/>
    <mergeCell ref="P320:S320"/>
    <mergeCell ref="T320:W320"/>
    <mergeCell ref="X320:AA320"/>
    <mergeCell ref="AB320:AD320"/>
    <mergeCell ref="AE320:AG320"/>
    <mergeCell ref="AH317:AJ317"/>
    <mergeCell ref="AK317:AM317"/>
    <mergeCell ref="BI317:BV317"/>
    <mergeCell ref="D317:K317"/>
    <mergeCell ref="L317:O317"/>
    <mergeCell ref="P317:S317"/>
    <mergeCell ref="T317:W317"/>
    <mergeCell ref="X317:AA317"/>
    <mergeCell ref="AB317:AD317"/>
    <mergeCell ref="AE317:AG317"/>
    <mergeCell ref="AH318:AJ318"/>
    <mergeCell ref="AK318:AM318"/>
    <mergeCell ref="BI318:BV318"/>
    <mergeCell ref="D318:K318"/>
    <mergeCell ref="L318:O318"/>
    <mergeCell ref="P318:S318"/>
    <mergeCell ref="T318:W318"/>
    <mergeCell ref="X318:AA318"/>
    <mergeCell ref="AB318:AD318"/>
    <mergeCell ref="AE318:AG318"/>
    <mergeCell ref="AH315:AJ315"/>
    <mergeCell ref="AK315:AM315"/>
    <mergeCell ref="BI315:BV315"/>
    <mergeCell ref="D315:K315"/>
    <mergeCell ref="L315:O315"/>
    <mergeCell ref="P315:S315"/>
    <mergeCell ref="T315:W315"/>
    <mergeCell ref="X315:AA315"/>
    <mergeCell ref="AB315:AD315"/>
    <mergeCell ref="AE315:AG315"/>
    <mergeCell ref="AH316:AJ316"/>
    <mergeCell ref="AK316:AM316"/>
    <mergeCell ref="BI316:BV316"/>
    <mergeCell ref="D316:K316"/>
    <mergeCell ref="L316:O316"/>
    <mergeCell ref="P316:S316"/>
    <mergeCell ref="T316:W316"/>
    <mergeCell ref="X316:AA316"/>
    <mergeCell ref="AB316:AD316"/>
    <mergeCell ref="AE316:AG316"/>
    <mergeCell ref="AH313:AJ313"/>
    <mergeCell ref="AK313:AM313"/>
    <mergeCell ref="BI313:BV313"/>
    <mergeCell ref="D313:K313"/>
    <mergeCell ref="L313:O313"/>
    <mergeCell ref="P313:S313"/>
    <mergeCell ref="T313:W313"/>
    <mergeCell ref="X313:AA313"/>
    <mergeCell ref="AB313:AD313"/>
    <mergeCell ref="AE313:AG313"/>
    <mergeCell ref="AH314:AJ314"/>
    <mergeCell ref="AK314:AM314"/>
    <mergeCell ref="BI314:BV314"/>
    <mergeCell ref="D314:K314"/>
    <mergeCell ref="L314:O314"/>
    <mergeCell ref="P314:S314"/>
    <mergeCell ref="T314:W314"/>
    <mergeCell ref="X314:AA314"/>
    <mergeCell ref="AB314:AD314"/>
    <mergeCell ref="AE314:AG314"/>
    <mergeCell ref="AH311:AJ311"/>
    <mergeCell ref="AK311:AM311"/>
    <mergeCell ref="BI311:BV311"/>
    <mergeCell ref="D311:K311"/>
    <mergeCell ref="L311:O311"/>
    <mergeCell ref="P311:S311"/>
    <mergeCell ref="T311:W311"/>
    <mergeCell ref="X311:AA311"/>
    <mergeCell ref="AB311:AD311"/>
    <mergeCell ref="AE311:AG311"/>
    <mergeCell ref="AH312:AJ312"/>
    <mergeCell ref="AK312:AM312"/>
    <mergeCell ref="BI312:BV312"/>
    <mergeCell ref="D312:K312"/>
    <mergeCell ref="L312:O312"/>
    <mergeCell ref="P312:S312"/>
    <mergeCell ref="T312:W312"/>
    <mergeCell ref="X312:AA312"/>
    <mergeCell ref="AB312:AD312"/>
    <mergeCell ref="AE312:AG312"/>
    <mergeCell ref="AH309:AJ309"/>
    <mergeCell ref="AK309:AM309"/>
    <mergeCell ref="BI309:BV309"/>
    <mergeCell ref="D309:K309"/>
    <mergeCell ref="L309:O309"/>
    <mergeCell ref="P309:S309"/>
    <mergeCell ref="T309:W309"/>
    <mergeCell ref="X309:AA309"/>
    <mergeCell ref="AB309:AD309"/>
    <mergeCell ref="AE309:AG309"/>
    <mergeCell ref="AH310:AJ310"/>
    <mergeCell ref="AK310:AM310"/>
    <mergeCell ref="BI310:BV310"/>
    <mergeCell ref="D310:K310"/>
    <mergeCell ref="L310:O310"/>
    <mergeCell ref="P310:S310"/>
    <mergeCell ref="T310:W310"/>
    <mergeCell ref="X310:AA310"/>
    <mergeCell ref="AB310:AD310"/>
    <mergeCell ref="AE310:AG310"/>
    <mergeCell ref="AH307:AJ307"/>
    <mergeCell ref="AK307:AM307"/>
    <mergeCell ref="BI307:BV307"/>
    <mergeCell ref="D307:K307"/>
    <mergeCell ref="L307:O307"/>
    <mergeCell ref="P307:S307"/>
    <mergeCell ref="T307:W307"/>
    <mergeCell ref="X307:AA307"/>
    <mergeCell ref="AB307:AD307"/>
    <mergeCell ref="AE307:AG307"/>
    <mergeCell ref="AH308:AJ308"/>
    <mergeCell ref="AK308:AM308"/>
    <mergeCell ref="BI308:BV308"/>
    <mergeCell ref="D308:K308"/>
    <mergeCell ref="L308:O308"/>
    <mergeCell ref="P308:S308"/>
    <mergeCell ref="T308:W308"/>
    <mergeCell ref="X308:AA308"/>
    <mergeCell ref="AB308:AD308"/>
    <mergeCell ref="AE308:AG308"/>
    <mergeCell ref="AH305:AJ305"/>
    <mergeCell ref="AK305:AM305"/>
    <mergeCell ref="BI305:BV305"/>
    <mergeCell ref="D305:K305"/>
    <mergeCell ref="L305:O305"/>
    <mergeCell ref="P305:S305"/>
    <mergeCell ref="T305:W305"/>
    <mergeCell ref="X305:AA305"/>
    <mergeCell ref="AB305:AD305"/>
    <mergeCell ref="AE305:AG305"/>
    <mergeCell ref="AH306:AJ306"/>
    <mergeCell ref="AK306:AM306"/>
    <mergeCell ref="BI306:BV306"/>
    <mergeCell ref="D306:K306"/>
    <mergeCell ref="L306:O306"/>
    <mergeCell ref="P306:S306"/>
    <mergeCell ref="T306:W306"/>
    <mergeCell ref="X306:AA306"/>
    <mergeCell ref="AB306:AD306"/>
    <mergeCell ref="AE306:AG306"/>
    <mergeCell ref="AH303:AJ303"/>
    <mergeCell ref="AK303:AM303"/>
    <mergeCell ref="BI303:BV303"/>
    <mergeCell ref="D303:K303"/>
    <mergeCell ref="L303:O303"/>
    <mergeCell ref="P303:S303"/>
    <mergeCell ref="T303:W303"/>
    <mergeCell ref="X303:AA303"/>
    <mergeCell ref="AB303:AD303"/>
    <mergeCell ref="AE303:AG303"/>
    <mergeCell ref="AH304:AJ304"/>
    <mergeCell ref="AK304:AM304"/>
    <mergeCell ref="BI304:BV304"/>
    <mergeCell ref="D304:K304"/>
    <mergeCell ref="L304:O304"/>
    <mergeCell ref="P304:S304"/>
    <mergeCell ref="T304:W304"/>
    <mergeCell ref="X304:AA304"/>
    <mergeCell ref="AB304:AD304"/>
    <mergeCell ref="AE304:AG304"/>
    <mergeCell ref="AH301:AJ301"/>
    <mergeCell ref="AK301:AM301"/>
    <mergeCell ref="BI301:BV301"/>
    <mergeCell ref="D301:K301"/>
    <mergeCell ref="L301:O301"/>
    <mergeCell ref="P301:S301"/>
    <mergeCell ref="T301:W301"/>
    <mergeCell ref="X301:AA301"/>
    <mergeCell ref="AB301:AD301"/>
    <mergeCell ref="AE301:AG301"/>
    <mergeCell ref="AH302:AJ302"/>
    <mergeCell ref="AK302:AM302"/>
    <mergeCell ref="BI302:BV302"/>
    <mergeCell ref="D302:K302"/>
    <mergeCell ref="L302:O302"/>
    <mergeCell ref="P302:S302"/>
    <mergeCell ref="T302:W302"/>
    <mergeCell ref="X302:AA302"/>
    <mergeCell ref="AB302:AD302"/>
    <mergeCell ref="AE302:AG302"/>
    <mergeCell ref="AH299:AJ299"/>
    <mergeCell ref="AK299:AM299"/>
    <mergeCell ref="BI299:BV299"/>
    <mergeCell ref="D299:K299"/>
    <mergeCell ref="L299:O299"/>
    <mergeCell ref="P299:S299"/>
    <mergeCell ref="T299:W299"/>
    <mergeCell ref="X299:AA299"/>
    <mergeCell ref="AB299:AD299"/>
    <mergeCell ref="AE299:AG299"/>
    <mergeCell ref="AH300:AJ300"/>
    <mergeCell ref="AK300:AM300"/>
    <mergeCell ref="BI300:BV300"/>
    <mergeCell ref="D300:K300"/>
    <mergeCell ref="L300:O300"/>
    <mergeCell ref="P300:S300"/>
    <mergeCell ref="T300:W300"/>
    <mergeCell ref="X300:AA300"/>
    <mergeCell ref="AB300:AD300"/>
    <mergeCell ref="AE300:AG300"/>
    <mergeCell ref="AH297:AJ297"/>
    <mergeCell ref="AK297:AM297"/>
    <mergeCell ref="BI297:BV297"/>
    <mergeCell ref="D297:K297"/>
    <mergeCell ref="L297:O297"/>
    <mergeCell ref="P297:S297"/>
    <mergeCell ref="T297:W297"/>
    <mergeCell ref="X297:AA297"/>
    <mergeCell ref="AB297:AD297"/>
    <mergeCell ref="AE297:AG297"/>
    <mergeCell ref="AH298:AJ298"/>
    <mergeCell ref="AK298:AM298"/>
    <mergeCell ref="BI298:BV298"/>
    <mergeCell ref="D298:K298"/>
    <mergeCell ref="L298:O298"/>
    <mergeCell ref="P298:S298"/>
    <mergeCell ref="T298:W298"/>
    <mergeCell ref="X298:AA298"/>
    <mergeCell ref="AB298:AD298"/>
    <mergeCell ref="AE298:AG298"/>
    <mergeCell ref="AH295:AJ295"/>
    <mergeCell ref="AK295:AM295"/>
    <mergeCell ref="BI295:BV295"/>
    <mergeCell ref="D295:K295"/>
    <mergeCell ref="L295:O295"/>
    <mergeCell ref="P295:S295"/>
    <mergeCell ref="T295:W295"/>
    <mergeCell ref="X295:AA295"/>
    <mergeCell ref="AB295:AD295"/>
    <mergeCell ref="AE295:AG295"/>
    <mergeCell ref="AH296:AJ296"/>
    <mergeCell ref="AK296:AM296"/>
    <mergeCell ref="BI296:BV296"/>
    <mergeCell ref="D296:K296"/>
    <mergeCell ref="L296:O296"/>
    <mergeCell ref="P296:S296"/>
    <mergeCell ref="T296:W296"/>
    <mergeCell ref="X296:AA296"/>
    <mergeCell ref="AB296:AD296"/>
    <mergeCell ref="AE296:AG296"/>
    <mergeCell ref="AH293:AJ293"/>
    <mergeCell ref="AK293:AM293"/>
    <mergeCell ref="BI293:BV293"/>
    <mergeCell ref="D293:K293"/>
    <mergeCell ref="L293:O293"/>
    <mergeCell ref="P293:S293"/>
    <mergeCell ref="T293:W293"/>
    <mergeCell ref="X293:AA293"/>
    <mergeCell ref="AB293:AD293"/>
    <mergeCell ref="AE293:AG293"/>
    <mergeCell ref="AH294:AJ294"/>
    <mergeCell ref="AK294:AM294"/>
    <mergeCell ref="BI294:BV294"/>
    <mergeCell ref="D294:K294"/>
    <mergeCell ref="L294:O294"/>
    <mergeCell ref="P294:S294"/>
    <mergeCell ref="T294:W294"/>
    <mergeCell ref="X294:AA294"/>
    <mergeCell ref="AB294:AD294"/>
    <mergeCell ref="AE294:AG294"/>
    <mergeCell ref="AH291:AJ291"/>
    <mergeCell ref="AK291:AM291"/>
    <mergeCell ref="BI291:BV291"/>
    <mergeCell ref="D291:K291"/>
    <mergeCell ref="L291:O291"/>
    <mergeCell ref="P291:S291"/>
    <mergeCell ref="T291:W291"/>
    <mergeCell ref="X291:AA291"/>
    <mergeCell ref="AB291:AD291"/>
    <mergeCell ref="AE291:AG291"/>
    <mergeCell ref="AH292:AJ292"/>
    <mergeCell ref="AK292:AM292"/>
    <mergeCell ref="BI292:BV292"/>
    <mergeCell ref="D292:K292"/>
    <mergeCell ref="L292:O292"/>
    <mergeCell ref="P292:S292"/>
    <mergeCell ref="T292:W292"/>
    <mergeCell ref="X292:AA292"/>
    <mergeCell ref="AB292:AD292"/>
    <mergeCell ref="AE292:AG292"/>
    <mergeCell ref="AH289:AJ289"/>
    <mergeCell ref="AK289:AM289"/>
    <mergeCell ref="BI289:BV289"/>
    <mergeCell ref="D289:K289"/>
    <mergeCell ref="L289:O289"/>
    <mergeCell ref="P289:S289"/>
    <mergeCell ref="T289:W289"/>
    <mergeCell ref="X289:AA289"/>
    <mergeCell ref="AB289:AD289"/>
    <mergeCell ref="AE289:AG289"/>
    <mergeCell ref="AH290:AJ290"/>
    <mergeCell ref="AK290:AM290"/>
    <mergeCell ref="BI290:BV290"/>
    <mergeCell ref="D290:K290"/>
    <mergeCell ref="L290:O290"/>
    <mergeCell ref="P290:S290"/>
    <mergeCell ref="T290:W290"/>
    <mergeCell ref="X290:AA290"/>
    <mergeCell ref="AB290:AD290"/>
    <mergeCell ref="AE290:AG290"/>
    <mergeCell ref="AH287:AJ287"/>
    <mergeCell ref="AK287:AM287"/>
    <mergeCell ref="BI287:BV287"/>
    <mergeCell ref="D287:K287"/>
    <mergeCell ref="L287:O287"/>
    <mergeCell ref="P287:S287"/>
    <mergeCell ref="T287:W287"/>
    <mergeCell ref="X287:AA287"/>
    <mergeCell ref="AB287:AD287"/>
    <mergeCell ref="AE287:AG287"/>
    <mergeCell ref="AH288:AJ288"/>
    <mergeCell ref="AK288:AM288"/>
    <mergeCell ref="BI288:BV288"/>
    <mergeCell ref="D288:K288"/>
    <mergeCell ref="L288:O288"/>
    <mergeCell ref="P288:S288"/>
    <mergeCell ref="T288:W288"/>
    <mergeCell ref="X288:AA288"/>
    <mergeCell ref="AB288:AD288"/>
    <mergeCell ref="AE288:AG288"/>
    <mergeCell ref="AH285:AJ285"/>
    <mergeCell ref="AK285:AM285"/>
    <mergeCell ref="BI285:BV285"/>
    <mergeCell ref="D285:K285"/>
    <mergeCell ref="L285:O285"/>
    <mergeCell ref="P285:S285"/>
    <mergeCell ref="T285:W285"/>
    <mergeCell ref="X285:AA285"/>
    <mergeCell ref="AB285:AD285"/>
    <mergeCell ref="AE285:AG285"/>
    <mergeCell ref="AH286:AJ286"/>
    <mergeCell ref="AK286:AM286"/>
    <mergeCell ref="BI286:BV286"/>
    <mergeCell ref="D286:K286"/>
    <mergeCell ref="L286:O286"/>
    <mergeCell ref="P286:S286"/>
    <mergeCell ref="T286:W286"/>
    <mergeCell ref="X286:AA286"/>
    <mergeCell ref="AB286:AD286"/>
    <mergeCell ref="AE286:AG286"/>
    <mergeCell ref="AH283:AJ283"/>
    <mergeCell ref="AK283:AM283"/>
    <mergeCell ref="BI283:BV283"/>
    <mergeCell ref="D283:K283"/>
    <mergeCell ref="L283:O283"/>
    <mergeCell ref="P283:S283"/>
    <mergeCell ref="T283:W283"/>
    <mergeCell ref="X283:AA283"/>
    <mergeCell ref="AB283:AD283"/>
    <mergeCell ref="AE283:AG283"/>
    <mergeCell ref="AH284:AJ284"/>
    <mergeCell ref="AK284:AM284"/>
    <mergeCell ref="BI284:BV284"/>
    <mergeCell ref="D284:K284"/>
    <mergeCell ref="L284:O284"/>
    <mergeCell ref="P284:S284"/>
    <mergeCell ref="T284:W284"/>
    <mergeCell ref="X284:AA284"/>
    <mergeCell ref="AB284:AD284"/>
    <mergeCell ref="AE284:AG284"/>
    <mergeCell ref="AH281:AJ281"/>
    <mergeCell ref="AK281:AM281"/>
    <mergeCell ref="BI281:BV281"/>
    <mergeCell ref="D281:K281"/>
    <mergeCell ref="L281:O281"/>
    <mergeCell ref="P281:S281"/>
    <mergeCell ref="T281:W281"/>
    <mergeCell ref="X281:AA281"/>
    <mergeCell ref="AB281:AD281"/>
    <mergeCell ref="AE281:AG281"/>
    <mergeCell ref="AH282:AJ282"/>
    <mergeCell ref="AK282:AM282"/>
    <mergeCell ref="BI282:BV282"/>
    <mergeCell ref="D282:K282"/>
    <mergeCell ref="L282:O282"/>
    <mergeCell ref="P282:S282"/>
    <mergeCell ref="T282:W282"/>
    <mergeCell ref="X282:AA282"/>
    <mergeCell ref="AB282:AD282"/>
    <mergeCell ref="AE282:AG282"/>
    <mergeCell ref="AH279:AJ279"/>
    <mergeCell ref="AK279:AM279"/>
    <mergeCell ref="BI279:BV279"/>
    <mergeCell ref="D279:K279"/>
    <mergeCell ref="L279:O279"/>
    <mergeCell ref="P279:S279"/>
    <mergeCell ref="T279:W279"/>
    <mergeCell ref="X279:AA279"/>
    <mergeCell ref="AB279:AD279"/>
    <mergeCell ref="AE279:AG279"/>
    <mergeCell ref="AH280:AJ280"/>
    <mergeCell ref="AK280:AM280"/>
    <mergeCell ref="BI280:BV280"/>
    <mergeCell ref="D280:K280"/>
    <mergeCell ref="L280:O280"/>
    <mergeCell ref="P280:S280"/>
    <mergeCell ref="T280:W280"/>
    <mergeCell ref="X280:AA280"/>
    <mergeCell ref="AB280:AD280"/>
    <mergeCell ref="AE280:AG280"/>
    <mergeCell ref="AH277:AJ277"/>
    <mergeCell ref="AK277:AM277"/>
    <mergeCell ref="BI277:BV277"/>
    <mergeCell ref="D277:K277"/>
    <mergeCell ref="L277:O277"/>
    <mergeCell ref="P277:S277"/>
    <mergeCell ref="T277:W277"/>
    <mergeCell ref="X277:AA277"/>
    <mergeCell ref="AB277:AD277"/>
    <mergeCell ref="AE277:AG277"/>
    <mergeCell ref="AH278:AJ278"/>
    <mergeCell ref="AK278:AM278"/>
    <mergeCell ref="BI278:BV278"/>
    <mergeCell ref="D278:K278"/>
    <mergeCell ref="L278:O278"/>
    <mergeCell ref="P278:S278"/>
    <mergeCell ref="T278:W278"/>
    <mergeCell ref="X278:AA278"/>
    <mergeCell ref="AB278:AD278"/>
    <mergeCell ref="AE278:AG278"/>
    <mergeCell ref="AH275:AJ275"/>
    <mergeCell ref="AK275:AM275"/>
    <mergeCell ref="BI275:BV275"/>
    <mergeCell ref="D275:K275"/>
    <mergeCell ref="L275:O275"/>
    <mergeCell ref="P275:S275"/>
    <mergeCell ref="T275:W275"/>
    <mergeCell ref="X275:AA275"/>
    <mergeCell ref="AB275:AD275"/>
    <mergeCell ref="AE275:AG275"/>
    <mergeCell ref="AH276:AJ276"/>
    <mergeCell ref="AK276:AM276"/>
    <mergeCell ref="BI276:BV276"/>
    <mergeCell ref="D276:K276"/>
    <mergeCell ref="L276:O276"/>
    <mergeCell ref="P276:S276"/>
    <mergeCell ref="T276:W276"/>
    <mergeCell ref="X276:AA276"/>
    <mergeCell ref="AB276:AD276"/>
    <mergeCell ref="AE276:AG276"/>
    <mergeCell ref="AH273:AJ273"/>
    <mergeCell ref="AK273:AM273"/>
    <mergeCell ref="BI273:BV273"/>
    <mergeCell ref="D273:K273"/>
    <mergeCell ref="L273:O273"/>
    <mergeCell ref="P273:S273"/>
    <mergeCell ref="T273:W273"/>
    <mergeCell ref="X273:AA273"/>
    <mergeCell ref="AB273:AD273"/>
    <mergeCell ref="AE273:AG273"/>
    <mergeCell ref="AH274:AJ274"/>
    <mergeCell ref="AK274:AM274"/>
    <mergeCell ref="BI274:BV274"/>
    <mergeCell ref="D274:K274"/>
    <mergeCell ref="L274:O274"/>
    <mergeCell ref="P274:S274"/>
    <mergeCell ref="T274:W274"/>
    <mergeCell ref="X274:AA274"/>
    <mergeCell ref="AB274:AD274"/>
    <mergeCell ref="AE274:AG274"/>
    <mergeCell ref="AH271:AJ271"/>
    <mergeCell ref="AK271:AM271"/>
    <mergeCell ref="BI271:BV271"/>
    <mergeCell ref="D271:K271"/>
    <mergeCell ref="L271:O271"/>
    <mergeCell ref="P271:S271"/>
    <mergeCell ref="T271:W271"/>
    <mergeCell ref="X271:AA271"/>
    <mergeCell ref="AB271:AD271"/>
    <mergeCell ref="AE271:AG271"/>
    <mergeCell ref="AH272:AJ272"/>
    <mergeCell ref="AK272:AM272"/>
    <mergeCell ref="BI272:BV272"/>
    <mergeCell ref="D272:K272"/>
    <mergeCell ref="L272:O272"/>
    <mergeCell ref="P272:S272"/>
    <mergeCell ref="T272:W272"/>
    <mergeCell ref="X272:AA272"/>
    <mergeCell ref="AB272:AD272"/>
    <mergeCell ref="AE272:AG272"/>
    <mergeCell ref="AH269:AJ269"/>
    <mergeCell ref="AK269:AM269"/>
    <mergeCell ref="BI269:BV269"/>
    <mergeCell ref="D269:K269"/>
    <mergeCell ref="L269:O269"/>
    <mergeCell ref="P269:S269"/>
    <mergeCell ref="T269:W269"/>
    <mergeCell ref="X269:AA269"/>
    <mergeCell ref="AB269:AD269"/>
    <mergeCell ref="AE269:AG269"/>
    <mergeCell ref="AH270:AJ270"/>
    <mergeCell ref="AK270:AM270"/>
    <mergeCell ref="BI270:BV270"/>
    <mergeCell ref="D270:K270"/>
    <mergeCell ref="L270:O270"/>
    <mergeCell ref="P270:S270"/>
    <mergeCell ref="T270:W270"/>
    <mergeCell ref="X270:AA270"/>
    <mergeCell ref="AB270:AD270"/>
    <mergeCell ref="AE270:AG270"/>
    <mergeCell ref="AH267:AJ267"/>
    <mergeCell ref="AK267:AM267"/>
    <mergeCell ref="BI267:BV267"/>
    <mergeCell ref="D267:K267"/>
    <mergeCell ref="L267:O267"/>
    <mergeCell ref="P267:S267"/>
    <mergeCell ref="T267:W267"/>
    <mergeCell ref="X267:AA267"/>
    <mergeCell ref="AB267:AD267"/>
    <mergeCell ref="AE267:AG267"/>
    <mergeCell ref="AH268:AJ268"/>
    <mergeCell ref="AK268:AM268"/>
    <mergeCell ref="BI268:BV268"/>
    <mergeCell ref="D268:K268"/>
    <mergeCell ref="L268:O268"/>
    <mergeCell ref="P268:S268"/>
    <mergeCell ref="T268:W268"/>
    <mergeCell ref="X268:AA268"/>
    <mergeCell ref="AB268:AD268"/>
    <mergeCell ref="AE268:AG268"/>
    <mergeCell ref="AH265:AJ265"/>
    <mergeCell ref="AK265:AM265"/>
    <mergeCell ref="BI265:BV265"/>
    <mergeCell ref="D265:K265"/>
    <mergeCell ref="L265:O265"/>
    <mergeCell ref="P265:S265"/>
    <mergeCell ref="T265:W265"/>
    <mergeCell ref="X265:AA265"/>
    <mergeCell ref="AB265:AD265"/>
    <mergeCell ref="AE265:AG265"/>
    <mergeCell ref="AH266:AJ266"/>
    <mergeCell ref="AK266:AM266"/>
    <mergeCell ref="BI266:BV266"/>
    <mergeCell ref="D266:K266"/>
    <mergeCell ref="L266:O266"/>
    <mergeCell ref="P266:S266"/>
    <mergeCell ref="T266:W266"/>
    <mergeCell ref="X266:AA266"/>
    <mergeCell ref="AB266:AD266"/>
    <mergeCell ref="AE266:AG266"/>
    <mergeCell ref="AH263:AJ263"/>
    <mergeCell ref="AK263:AM263"/>
    <mergeCell ref="BI263:BV263"/>
    <mergeCell ref="D263:K263"/>
    <mergeCell ref="L263:O263"/>
    <mergeCell ref="P263:S263"/>
    <mergeCell ref="T263:W263"/>
    <mergeCell ref="X263:AA263"/>
    <mergeCell ref="AB263:AD263"/>
    <mergeCell ref="AE263:AG263"/>
    <mergeCell ref="AH264:AJ264"/>
    <mergeCell ref="AK264:AM264"/>
    <mergeCell ref="BI264:BV264"/>
    <mergeCell ref="D264:K264"/>
    <mergeCell ref="L264:O264"/>
    <mergeCell ref="P264:S264"/>
    <mergeCell ref="T264:W264"/>
    <mergeCell ref="X264:AA264"/>
    <mergeCell ref="AB264:AD264"/>
    <mergeCell ref="AE264:AG264"/>
    <mergeCell ref="AH261:AJ261"/>
    <mergeCell ref="AK261:AM261"/>
    <mergeCell ref="BI261:BV261"/>
    <mergeCell ref="D261:K261"/>
    <mergeCell ref="L261:O261"/>
    <mergeCell ref="P261:S261"/>
    <mergeCell ref="T261:W261"/>
    <mergeCell ref="X261:AA261"/>
    <mergeCell ref="AB261:AD261"/>
    <mergeCell ref="AE261:AG261"/>
    <mergeCell ref="AH262:AJ262"/>
    <mergeCell ref="AK262:AM262"/>
    <mergeCell ref="BI262:BV262"/>
    <mergeCell ref="D262:K262"/>
    <mergeCell ref="L262:O262"/>
    <mergeCell ref="P262:S262"/>
    <mergeCell ref="T262:W262"/>
    <mergeCell ref="X262:AA262"/>
    <mergeCell ref="AB262:AD262"/>
    <mergeCell ref="AE262:AG262"/>
    <mergeCell ref="AH259:AJ259"/>
    <mergeCell ref="AK259:AM259"/>
    <mergeCell ref="BI259:BV259"/>
    <mergeCell ref="D259:K259"/>
    <mergeCell ref="L259:O259"/>
    <mergeCell ref="P259:S259"/>
    <mergeCell ref="T259:W259"/>
    <mergeCell ref="X259:AA259"/>
    <mergeCell ref="AB259:AD259"/>
    <mergeCell ref="AE259:AG259"/>
    <mergeCell ref="AH260:AJ260"/>
    <mergeCell ref="AK260:AM260"/>
    <mergeCell ref="BI260:BV260"/>
    <mergeCell ref="D260:K260"/>
    <mergeCell ref="L260:O260"/>
    <mergeCell ref="P260:S260"/>
    <mergeCell ref="T260:W260"/>
    <mergeCell ref="X260:AA260"/>
    <mergeCell ref="AB260:AD260"/>
    <mergeCell ref="AE260:AG260"/>
    <mergeCell ref="AH257:AJ257"/>
    <mergeCell ref="AK257:AM257"/>
    <mergeCell ref="BI257:BV257"/>
    <mergeCell ref="D257:K257"/>
    <mergeCell ref="L257:O257"/>
    <mergeCell ref="P257:S257"/>
    <mergeCell ref="T257:W257"/>
    <mergeCell ref="X257:AA257"/>
    <mergeCell ref="AB257:AD257"/>
    <mergeCell ref="AE257:AG257"/>
    <mergeCell ref="AH258:AJ258"/>
    <mergeCell ref="AK258:AM258"/>
    <mergeCell ref="BI258:BV258"/>
    <mergeCell ref="D258:K258"/>
    <mergeCell ref="L258:O258"/>
    <mergeCell ref="P258:S258"/>
    <mergeCell ref="T258:W258"/>
    <mergeCell ref="X258:AA258"/>
    <mergeCell ref="AB258:AD258"/>
    <mergeCell ref="AE258:AG258"/>
    <mergeCell ref="AH255:AJ255"/>
    <mergeCell ref="AK255:AM255"/>
    <mergeCell ref="BI255:BV255"/>
    <mergeCell ref="D255:K255"/>
    <mergeCell ref="L255:O255"/>
    <mergeCell ref="P255:S255"/>
    <mergeCell ref="T255:W255"/>
    <mergeCell ref="X255:AA255"/>
    <mergeCell ref="AB255:AD255"/>
    <mergeCell ref="AE255:AG255"/>
    <mergeCell ref="AH256:AJ256"/>
    <mergeCell ref="AK256:AM256"/>
    <mergeCell ref="BI256:BV256"/>
    <mergeCell ref="D256:K256"/>
    <mergeCell ref="L256:O256"/>
    <mergeCell ref="P256:S256"/>
    <mergeCell ref="T256:W256"/>
    <mergeCell ref="X256:AA256"/>
    <mergeCell ref="AB256:AD256"/>
    <mergeCell ref="AE256:AG256"/>
    <mergeCell ref="AH253:AJ253"/>
    <mergeCell ref="AK253:AM253"/>
    <mergeCell ref="BI253:BV253"/>
    <mergeCell ref="D253:K253"/>
    <mergeCell ref="L253:O253"/>
    <mergeCell ref="P253:S253"/>
    <mergeCell ref="T253:W253"/>
    <mergeCell ref="X253:AA253"/>
    <mergeCell ref="AB253:AD253"/>
    <mergeCell ref="AE253:AG253"/>
    <mergeCell ref="AH254:AJ254"/>
    <mergeCell ref="AK254:AM254"/>
    <mergeCell ref="BI254:BV254"/>
    <mergeCell ref="D254:K254"/>
    <mergeCell ref="L254:O254"/>
    <mergeCell ref="P254:S254"/>
    <mergeCell ref="T254:W254"/>
    <mergeCell ref="X254:AA254"/>
    <mergeCell ref="AB254:AD254"/>
    <mergeCell ref="AE254:AG254"/>
    <mergeCell ref="AH251:AJ251"/>
    <mergeCell ref="AK251:AM251"/>
    <mergeCell ref="BI251:BV251"/>
    <mergeCell ref="D251:K251"/>
    <mergeCell ref="L251:O251"/>
    <mergeCell ref="P251:S251"/>
    <mergeCell ref="T251:W251"/>
    <mergeCell ref="X251:AA251"/>
    <mergeCell ref="AB251:AD251"/>
    <mergeCell ref="AE251:AG251"/>
    <mergeCell ref="AH252:AJ252"/>
    <mergeCell ref="AK252:AM252"/>
    <mergeCell ref="BI252:BV252"/>
    <mergeCell ref="D252:K252"/>
    <mergeCell ref="L252:O252"/>
    <mergeCell ref="P252:S252"/>
    <mergeCell ref="T252:W252"/>
    <mergeCell ref="X252:AA252"/>
    <mergeCell ref="AB252:AD252"/>
    <mergeCell ref="AE252:AG252"/>
    <mergeCell ref="AH249:AJ249"/>
    <mergeCell ref="AK249:AM249"/>
    <mergeCell ref="BI249:BV249"/>
    <mergeCell ref="D249:K249"/>
    <mergeCell ref="L249:O249"/>
    <mergeCell ref="P249:S249"/>
    <mergeCell ref="T249:W249"/>
    <mergeCell ref="X249:AA249"/>
    <mergeCell ref="AB249:AD249"/>
    <mergeCell ref="AE249:AG249"/>
    <mergeCell ref="AH250:AJ250"/>
    <mergeCell ref="AK250:AM250"/>
    <mergeCell ref="BI250:BV250"/>
    <mergeCell ref="D250:K250"/>
    <mergeCell ref="L250:O250"/>
    <mergeCell ref="P250:S250"/>
    <mergeCell ref="T250:W250"/>
    <mergeCell ref="X250:AA250"/>
    <mergeCell ref="AB250:AD250"/>
    <mergeCell ref="AE250:AG250"/>
    <mergeCell ref="AH247:AJ247"/>
    <mergeCell ref="AK247:AM247"/>
    <mergeCell ref="BI247:BV247"/>
    <mergeCell ref="D247:K247"/>
    <mergeCell ref="L247:O247"/>
    <mergeCell ref="P247:S247"/>
    <mergeCell ref="T247:W247"/>
    <mergeCell ref="X247:AA247"/>
    <mergeCell ref="AB247:AD247"/>
    <mergeCell ref="AE247:AG247"/>
    <mergeCell ref="AH248:AJ248"/>
    <mergeCell ref="AK248:AM248"/>
    <mergeCell ref="BI248:BV248"/>
    <mergeCell ref="D248:K248"/>
    <mergeCell ref="L248:O248"/>
    <mergeCell ref="P248:S248"/>
    <mergeCell ref="T248:W248"/>
    <mergeCell ref="X248:AA248"/>
    <mergeCell ref="AB248:AD248"/>
    <mergeCell ref="AE248:AG248"/>
    <mergeCell ref="AH245:AJ245"/>
    <mergeCell ref="AK245:AM245"/>
    <mergeCell ref="BI245:BV245"/>
    <mergeCell ref="D245:K245"/>
    <mergeCell ref="L245:O245"/>
    <mergeCell ref="P245:S245"/>
    <mergeCell ref="T245:W245"/>
    <mergeCell ref="X245:AA245"/>
    <mergeCell ref="AB245:AD245"/>
    <mergeCell ref="AE245:AG245"/>
    <mergeCell ref="AH246:AJ246"/>
    <mergeCell ref="AK246:AM246"/>
    <mergeCell ref="BI246:BV246"/>
    <mergeCell ref="D246:K246"/>
    <mergeCell ref="L246:O246"/>
    <mergeCell ref="P246:S246"/>
    <mergeCell ref="T246:W246"/>
    <mergeCell ref="X246:AA246"/>
    <mergeCell ref="AB246:AD246"/>
    <mergeCell ref="AE246:AG246"/>
    <mergeCell ref="AH243:AJ243"/>
    <mergeCell ref="AK243:AM243"/>
    <mergeCell ref="BI243:BV243"/>
    <mergeCell ref="D243:K243"/>
    <mergeCell ref="L243:O243"/>
    <mergeCell ref="P243:S243"/>
    <mergeCell ref="T243:W243"/>
    <mergeCell ref="X243:AA243"/>
    <mergeCell ref="AB243:AD243"/>
    <mergeCell ref="AE243:AG243"/>
    <mergeCell ref="AH244:AJ244"/>
    <mergeCell ref="AK244:AM244"/>
    <mergeCell ref="BI244:BV244"/>
    <mergeCell ref="D244:K244"/>
    <mergeCell ref="L244:O244"/>
    <mergeCell ref="P244:S244"/>
    <mergeCell ref="T244:W244"/>
    <mergeCell ref="X244:AA244"/>
    <mergeCell ref="AB244:AD244"/>
    <mergeCell ref="AE244:AG244"/>
    <mergeCell ref="AH241:AJ241"/>
    <mergeCell ref="AK241:AM241"/>
    <mergeCell ref="BI241:BV241"/>
    <mergeCell ref="D241:K241"/>
    <mergeCell ref="L241:O241"/>
    <mergeCell ref="P241:S241"/>
    <mergeCell ref="T241:W241"/>
    <mergeCell ref="X241:AA241"/>
    <mergeCell ref="AB241:AD241"/>
    <mergeCell ref="AE241:AG241"/>
    <mergeCell ref="AH242:AJ242"/>
    <mergeCell ref="AK242:AM242"/>
    <mergeCell ref="BI242:BV242"/>
    <mergeCell ref="D242:K242"/>
    <mergeCell ref="L242:O242"/>
    <mergeCell ref="P242:S242"/>
    <mergeCell ref="T242:W242"/>
    <mergeCell ref="X242:AA242"/>
    <mergeCell ref="AB242:AD242"/>
    <mergeCell ref="AE242:AG242"/>
    <mergeCell ref="AH239:AJ239"/>
    <mergeCell ref="AK239:AM239"/>
    <mergeCell ref="BI239:BV239"/>
    <mergeCell ref="D239:K239"/>
    <mergeCell ref="L239:O239"/>
    <mergeCell ref="P239:S239"/>
    <mergeCell ref="T239:W239"/>
    <mergeCell ref="X239:AA239"/>
    <mergeCell ref="AB239:AD239"/>
    <mergeCell ref="AE239:AG239"/>
    <mergeCell ref="AH240:AJ240"/>
    <mergeCell ref="AK240:AM240"/>
    <mergeCell ref="BI240:BV240"/>
    <mergeCell ref="D240:K240"/>
    <mergeCell ref="L240:O240"/>
    <mergeCell ref="P240:S240"/>
    <mergeCell ref="T240:W240"/>
    <mergeCell ref="X240:AA240"/>
    <mergeCell ref="AB240:AD240"/>
    <mergeCell ref="AE240:AG240"/>
    <mergeCell ref="AH237:AJ237"/>
    <mergeCell ref="AK237:AM237"/>
    <mergeCell ref="BI237:BV237"/>
    <mergeCell ref="D237:K237"/>
    <mergeCell ref="L237:O237"/>
    <mergeCell ref="P237:S237"/>
    <mergeCell ref="T237:W237"/>
    <mergeCell ref="X237:AA237"/>
    <mergeCell ref="AB237:AD237"/>
    <mergeCell ref="AE237:AG237"/>
    <mergeCell ref="AH238:AJ238"/>
    <mergeCell ref="AK238:AM238"/>
    <mergeCell ref="BI238:BV238"/>
    <mergeCell ref="D238:K238"/>
    <mergeCell ref="L238:O238"/>
    <mergeCell ref="P238:S238"/>
    <mergeCell ref="T238:W238"/>
    <mergeCell ref="X238:AA238"/>
    <mergeCell ref="AB238:AD238"/>
    <mergeCell ref="AE238:AG238"/>
    <mergeCell ref="AH235:AJ235"/>
    <mergeCell ref="AK235:AM235"/>
    <mergeCell ref="BI235:BV235"/>
    <mergeCell ref="D235:K235"/>
    <mergeCell ref="L235:O235"/>
    <mergeCell ref="P235:S235"/>
    <mergeCell ref="T235:W235"/>
    <mergeCell ref="X235:AA235"/>
    <mergeCell ref="AB235:AD235"/>
    <mergeCell ref="AE235:AG235"/>
    <mergeCell ref="AH236:AJ236"/>
    <mergeCell ref="AK236:AM236"/>
    <mergeCell ref="BI236:BV236"/>
    <mergeCell ref="D236:K236"/>
    <mergeCell ref="L236:O236"/>
    <mergeCell ref="P236:S236"/>
    <mergeCell ref="T236:W236"/>
    <mergeCell ref="X236:AA236"/>
    <mergeCell ref="AB236:AD236"/>
    <mergeCell ref="AE236:AG236"/>
    <mergeCell ref="AH233:AJ233"/>
    <mergeCell ref="AK233:AM233"/>
    <mergeCell ref="BI233:BV233"/>
    <mergeCell ref="D233:K233"/>
    <mergeCell ref="L233:O233"/>
    <mergeCell ref="P233:S233"/>
    <mergeCell ref="T233:W233"/>
    <mergeCell ref="X233:AA233"/>
    <mergeCell ref="AB233:AD233"/>
    <mergeCell ref="AE233:AG233"/>
    <mergeCell ref="AH234:AJ234"/>
    <mergeCell ref="AK234:AM234"/>
    <mergeCell ref="BI234:BV234"/>
    <mergeCell ref="D234:K234"/>
    <mergeCell ref="L234:O234"/>
    <mergeCell ref="P234:S234"/>
    <mergeCell ref="T234:W234"/>
    <mergeCell ref="X234:AA234"/>
    <mergeCell ref="AB234:AD234"/>
    <mergeCell ref="AE234:AG234"/>
    <mergeCell ref="AH231:AJ231"/>
    <mergeCell ref="AK231:AM231"/>
    <mergeCell ref="BI231:BV231"/>
    <mergeCell ref="D231:K231"/>
    <mergeCell ref="L231:O231"/>
    <mergeCell ref="P231:S231"/>
    <mergeCell ref="T231:W231"/>
    <mergeCell ref="X231:AA231"/>
    <mergeCell ref="AB231:AD231"/>
    <mergeCell ref="AE231:AG231"/>
    <mergeCell ref="AH232:AJ232"/>
    <mergeCell ref="AK232:AM232"/>
    <mergeCell ref="BI232:BV232"/>
    <mergeCell ref="D232:K232"/>
    <mergeCell ref="L232:O232"/>
    <mergeCell ref="P232:S232"/>
    <mergeCell ref="T232:W232"/>
    <mergeCell ref="X232:AA232"/>
    <mergeCell ref="AB232:AD232"/>
    <mergeCell ref="AE232:AG232"/>
    <mergeCell ref="AH229:AJ229"/>
    <mergeCell ref="AK229:AM229"/>
    <mergeCell ref="BI229:BV229"/>
    <mergeCell ref="D229:K229"/>
    <mergeCell ref="L229:O229"/>
    <mergeCell ref="P229:S229"/>
    <mergeCell ref="T229:W229"/>
    <mergeCell ref="X229:AA229"/>
    <mergeCell ref="AB229:AD229"/>
    <mergeCell ref="AE229:AG229"/>
    <mergeCell ref="AH230:AJ230"/>
    <mergeCell ref="AK230:AM230"/>
    <mergeCell ref="BI230:BV230"/>
    <mergeCell ref="D230:K230"/>
    <mergeCell ref="L230:O230"/>
    <mergeCell ref="P230:S230"/>
    <mergeCell ref="T230:W230"/>
    <mergeCell ref="X230:AA230"/>
    <mergeCell ref="AB230:AD230"/>
    <mergeCell ref="AE230:AG230"/>
    <mergeCell ref="AH227:AJ227"/>
    <mergeCell ref="AK227:AM227"/>
    <mergeCell ref="BI227:BV227"/>
    <mergeCell ref="D227:K227"/>
    <mergeCell ref="L227:O227"/>
    <mergeCell ref="P227:S227"/>
    <mergeCell ref="T227:W227"/>
    <mergeCell ref="X227:AA227"/>
    <mergeCell ref="AB227:AD227"/>
    <mergeCell ref="AE227:AG227"/>
    <mergeCell ref="AH228:AJ228"/>
    <mergeCell ref="AK228:AM228"/>
    <mergeCell ref="BI228:BV228"/>
    <mergeCell ref="D228:K228"/>
    <mergeCell ref="L228:O228"/>
    <mergeCell ref="P228:S228"/>
    <mergeCell ref="T228:W228"/>
    <mergeCell ref="X228:AA228"/>
    <mergeCell ref="AB228:AD228"/>
    <mergeCell ref="AE228:AG228"/>
    <mergeCell ref="AH225:AJ225"/>
    <mergeCell ref="AK225:AM225"/>
    <mergeCell ref="BI225:BV225"/>
    <mergeCell ref="D225:K225"/>
    <mergeCell ref="L225:O225"/>
    <mergeCell ref="P225:S225"/>
    <mergeCell ref="T225:W225"/>
    <mergeCell ref="X225:AA225"/>
    <mergeCell ref="AB225:AD225"/>
    <mergeCell ref="AE225:AG225"/>
    <mergeCell ref="AH226:AJ226"/>
    <mergeCell ref="AK226:AM226"/>
    <mergeCell ref="BI226:BV226"/>
    <mergeCell ref="D226:K226"/>
    <mergeCell ref="L226:O226"/>
    <mergeCell ref="P226:S226"/>
    <mergeCell ref="T226:W226"/>
    <mergeCell ref="X226:AA226"/>
    <mergeCell ref="AB226:AD226"/>
    <mergeCell ref="AE226:AG226"/>
    <mergeCell ref="AH223:AJ223"/>
    <mergeCell ref="AK223:AM223"/>
    <mergeCell ref="BI223:BV223"/>
    <mergeCell ref="D223:K223"/>
    <mergeCell ref="L223:O223"/>
    <mergeCell ref="P223:S223"/>
    <mergeCell ref="T223:W223"/>
    <mergeCell ref="X223:AA223"/>
    <mergeCell ref="AB223:AD223"/>
    <mergeCell ref="AE223:AG223"/>
    <mergeCell ref="AH224:AJ224"/>
    <mergeCell ref="AK224:AM224"/>
    <mergeCell ref="BI224:BV224"/>
    <mergeCell ref="D224:K224"/>
    <mergeCell ref="L224:O224"/>
    <mergeCell ref="P224:S224"/>
    <mergeCell ref="T224:W224"/>
    <mergeCell ref="X224:AA224"/>
    <mergeCell ref="AB224:AD224"/>
    <mergeCell ref="AE224:AG224"/>
    <mergeCell ref="AH221:AJ221"/>
    <mergeCell ref="AK221:AM221"/>
    <mergeCell ref="BI221:BV221"/>
    <mergeCell ref="D221:K221"/>
    <mergeCell ref="L221:O221"/>
    <mergeCell ref="P221:S221"/>
    <mergeCell ref="T221:W221"/>
    <mergeCell ref="X221:AA221"/>
    <mergeCell ref="AB221:AD221"/>
    <mergeCell ref="AE221:AG221"/>
    <mergeCell ref="AH222:AJ222"/>
    <mergeCell ref="AK222:AM222"/>
    <mergeCell ref="BI222:BV222"/>
    <mergeCell ref="D222:K222"/>
    <mergeCell ref="L222:O222"/>
    <mergeCell ref="P222:S222"/>
    <mergeCell ref="T222:W222"/>
    <mergeCell ref="X222:AA222"/>
    <mergeCell ref="AB222:AD222"/>
    <mergeCell ref="AE222:AG222"/>
    <mergeCell ref="AH219:AJ219"/>
    <mergeCell ref="AK219:AM219"/>
    <mergeCell ref="BI219:BV219"/>
    <mergeCell ref="D219:K219"/>
    <mergeCell ref="L219:O219"/>
    <mergeCell ref="P219:S219"/>
    <mergeCell ref="T219:W219"/>
    <mergeCell ref="X219:AA219"/>
    <mergeCell ref="AB219:AD219"/>
    <mergeCell ref="AE219:AG219"/>
    <mergeCell ref="AH220:AJ220"/>
    <mergeCell ref="AK220:AM220"/>
    <mergeCell ref="BI220:BV220"/>
    <mergeCell ref="D220:K220"/>
    <mergeCell ref="L220:O220"/>
    <mergeCell ref="P220:S220"/>
    <mergeCell ref="T220:W220"/>
    <mergeCell ref="X220:AA220"/>
    <mergeCell ref="AB220:AD220"/>
    <mergeCell ref="AE220:AG220"/>
    <mergeCell ref="AH217:AJ217"/>
    <mergeCell ref="AK217:AM217"/>
    <mergeCell ref="BI217:BV217"/>
    <mergeCell ref="D217:K217"/>
    <mergeCell ref="L217:O217"/>
    <mergeCell ref="P217:S217"/>
    <mergeCell ref="T217:W217"/>
    <mergeCell ref="X217:AA217"/>
    <mergeCell ref="AB217:AD217"/>
    <mergeCell ref="AE217:AG217"/>
    <mergeCell ref="AH218:AJ218"/>
    <mergeCell ref="AK218:AM218"/>
    <mergeCell ref="BI218:BV218"/>
    <mergeCell ref="D218:K218"/>
    <mergeCell ref="L218:O218"/>
    <mergeCell ref="P218:S218"/>
    <mergeCell ref="T218:W218"/>
    <mergeCell ref="X218:AA218"/>
    <mergeCell ref="AB218:AD218"/>
    <mergeCell ref="AE218:AG218"/>
    <mergeCell ref="AH215:AJ215"/>
    <mergeCell ref="AK215:AM215"/>
    <mergeCell ref="BI215:BV215"/>
    <mergeCell ref="D215:K215"/>
    <mergeCell ref="L215:O215"/>
    <mergeCell ref="P215:S215"/>
    <mergeCell ref="T215:W215"/>
    <mergeCell ref="X215:AA215"/>
    <mergeCell ref="AB215:AD215"/>
    <mergeCell ref="AE215:AG215"/>
    <mergeCell ref="AH216:AJ216"/>
    <mergeCell ref="AK216:AM216"/>
    <mergeCell ref="BI216:BV216"/>
    <mergeCell ref="D216:K216"/>
    <mergeCell ref="L216:O216"/>
    <mergeCell ref="P216:S216"/>
    <mergeCell ref="T216:W216"/>
    <mergeCell ref="X216:AA216"/>
    <mergeCell ref="AB216:AD216"/>
    <mergeCell ref="AE216:AG216"/>
    <mergeCell ref="AH213:AJ213"/>
    <mergeCell ref="AK213:AM213"/>
    <mergeCell ref="BI213:BV213"/>
    <mergeCell ref="D213:K213"/>
    <mergeCell ref="L213:O213"/>
    <mergeCell ref="P213:S213"/>
    <mergeCell ref="T213:W213"/>
    <mergeCell ref="X213:AA213"/>
    <mergeCell ref="AB213:AD213"/>
    <mergeCell ref="AE213:AG213"/>
    <mergeCell ref="AH214:AJ214"/>
    <mergeCell ref="AK214:AM214"/>
    <mergeCell ref="BI214:BV214"/>
    <mergeCell ref="D214:K214"/>
    <mergeCell ref="L214:O214"/>
    <mergeCell ref="P214:S214"/>
    <mergeCell ref="T214:W214"/>
    <mergeCell ref="X214:AA214"/>
    <mergeCell ref="AB214:AD214"/>
    <mergeCell ref="AE214:AG214"/>
    <mergeCell ref="AH211:AJ211"/>
    <mergeCell ref="AK211:AM211"/>
    <mergeCell ref="BI211:BV211"/>
    <mergeCell ref="D211:K211"/>
    <mergeCell ref="L211:O211"/>
    <mergeCell ref="P211:S211"/>
    <mergeCell ref="T211:W211"/>
    <mergeCell ref="X211:AA211"/>
    <mergeCell ref="AB211:AD211"/>
    <mergeCell ref="AE211:AG211"/>
    <mergeCell ref="AH212:AJ212"/>
    <mergeCell ref="AK212:AM212"/>
    <mergeCell ref="BI212:BV212"/>
    <mergeCell ref="D212:K212"/>
    <mergeCell ref="L212:O212"/>
    <mergeCell ref="P212:S212"/>
    <mergeCell ref="T212:W212"/>
    <mergeCell ref="X212:AA212"/>
    <mergeCell ref="AB212:AD212"/>
    <mergeCell ref="AE212:AG212"/>
    <mergeCell ref="AH209:AJ209"/>
    <mergeCell ref="AK209:AM209"/>
    <mergeCell ref="BI209:BV209"/>
    <mergeCell ref="D209:K209"/>
    <mergeCell ref="L209:O209"/>
    <mergeCell ref="P209:S209"/>
    <mergeCell ref="T209:W209"/>
    <mergeCell ref="X209:AA209"/>
    <mergeCell ref="AB209:AD209"/>
    <mergeCell ref="AE209:AG209"/>
    <mergeCell ref="AH210:AJ210"/>
    <mergeCell ref="AK210:AM210"/>
    <mergeCell ref="BI210:BV210"/>
    <mergeCell ref="D210:K210"/>
    <mergeCell ref="L210:O210"/>
    <mergeCell ref="P210:S210"/>
    <mergeCell ref="T210:W210"/>
    <mergeCell ref="X210:AA210"/>
    <mergeCell ref="AB210:AD210"/>
    <mergeCell ref="AE210:AG210"/>
    <mergeCell ref="AH207:AJ207"/>
    <mergeCell ref="AK207:AM207"/>
    <mergeCell ref="BI207:BV207"/>
    <mergeCell ref="D207:K207"/>
    <mergeCell ref="L207:O207"/>
    <mergeCell ref="P207:S207"/>
    <mergeCell ref="T207:W207"/>
    <mergeCell ref="X207:AA207"/>
    <mergeCell ref="AB207:AD207"/>
    <mergeCell ref="AE207:AG207"/>
    <mergeCell ref="AH208:AJ208"/>
    <mergeCell ref="AK208:AM208"/>
    <mergeCell ref="BI208:BV208"/>
    <mergeCell ref="D208:K208"/>
    <mergeCell ref="L208:O208"/>
    <mergeCell ref="P208:S208"/>
    <mergeCell ref="T208:W208"/>
    <mergeCell ref="X208:AA208"/>
    <mergeCell ref="AB208:AD208"/>
    <mergeCell ref="AE208:AG208"/>
    <mergeCell ref="AH205:AJ205"/>
    <mergeCell ref="AK205:AM205"/>
    <mergeCell ref="BI205:BV205"/>
    <mergeCell ref="D205:K205"/>
    <mergeCell ref="L205:O205"/>
    <mergeCell ref="P205:S205"/>
    <mergeCell ref="T205:W205"/>
    <mergeCell ref="X205:AA205"/>
    <mergeCell ref="AB205:AD205"/>
    <mergeCell ref="AE205:AG205"/>
    <mergeCell ref="AH206:AJ206"/>
    <mergeCell ref="AK206:AM206"/>
    <mergeCell ref="BI206:BV206"/>
    <mergeCell ref="D206:K206"/>
    <mergeCell ref="L206:O206"/>
    <mergeCell ref="P206:S206"/>
    <mergeCell ref="T206:W206"/>
    <mergeCell ref="X206:AA206"/>
    <mergeCell ref="AB206:AD206"/>
    <mergeCell ref="AE206:AG206"/>
    <mergeCell ref="AH203:AJ203"/>
    <mergeCell ref="AK203:AM203"/>
    <mergeCell ref="BI203:BV203"/>
    <mergeCell ref="D203:K203"/>
    <mergeCell ref="L203:O203"/>
    <mergeCell ref="P203:S203"/>
    <mergeCell ref="T203:W203"/>
    <mergeCell ref="X203:AA203"/>
    <mergeCell ref="AB203:AD203"/>
    <mergeCell ref="AE203:AG203"/>
    <mergeCell ref="AH204:AJ204"/>
    <mergeCell ref="AK204:AM204"/>
    <mergeCell ref="BI204:BV204"/>
    <mergeCell ref="D204:K204"/>
    <mergeCell ref="L204:O204"/>
    <mergeCell ref="P204:S204"/>
    <mergeCell ref="T204:W204"/>
    <mergeCell ref="X204:AA204"/>
    <mergeCell ref="AB204:AD204"/>
    <mergeCell ref="AE204:AG204"/>
    <mergeCell ref="AH201:AJ201"/>
    <mergeCell ref="AK201:AM201"/>
    <mergeCell ref="BI201:BV201"/>
    <mergeCell ref="D201:K201"/>
    <mergeCell ref="L201:O201"/>
    <mergeCell ref="P201:S201"/>
    <mergeCell ref="T201:W201"/>
    <mergeCell ref="X201:AA201"/>
    <mergeCell ref="AB201:AD201"/>
    <mergeCell ref="AE201:AG201"/>
    <mergeCell ref="AH202:AJ202"/>
    <mergeCell ref="AK202:AM202"/>
    <mergeCell ref="BI202:BV202"/>
    <mergeCell ref="D202:K202"/>
    <mergeCell ref="L202:O202"/>
    <mergeCell ref="P202:S202"/>
    <mergeCell ref="T202:W202"/>
    <mergeCell ref="X202:AA202"/>
    <mergeCell ref="AB202:AD202"/>
    <mergeCell ref="AE202:AG202"/>
    <mergeCell ref="AH199:AJ199"/>
    <mergeCell ref="AK199:AM199"/>
    <mergeCell ref="BI199:BV199"/>
    <mergeCell ref="D199:K199"/>
    <mergeCell ref="L199:O199"/>
    <mergeCell ref="P199:S199"/>
    <mergeCell ref="T199:W199"/>
    <mergeCell ref="X199:AA199"/>
    <mergeCell ref="AB199:AD199"/>
    <mergeCell ref="AE199:AG199"/>
    <mergeCell ref="AH200:AJ200"/>
    <mergeCell ref="AK200:AM200"/>
    <mergeCell ref="BI200:BV200"/>
    <mergeCell ref="D200:K200"/>
    <mergeCell ref="L200:O200"/>
    <mergeCell ref="P200:S200"/>
    <mergeCell ref="T200:W200"/>
    <mergeCell ref="X200:AA200"/>
    <mergeCell ref="AB200:AD200"/>
    <mergeCell ref="AE200:AG200"/>
    <mergeCell ref="AH197:AJ197"/>
    <mergeCell ref="AK197:AM197"/>
    <mergeCell ref="BI197:BV197"/>
    <mergeCell ref="D197:K197"/>
    <mergeCell ref="L197:O197"/>
    <mergeCell ref="P197:S197"/>
    <mergeCell ref="T197:W197"/>
    <mergeCell ref="X197:AA197"/>
    <mergeCell ref="AB197:AD197"/>
    <mergeCell ref="AE197:AG197"/>
    <mergeCell ref="AH198:AJ198"/>
    <mergeCell ref="AK198:AM198"/>
    <mergeCell ref="BI198:BV198"/>
    <mergeCell ref="D198:K198"/>
    <mergeCell ref="L198:O198"/>
    <mergeCell ref="P198:S198"/>
    <mergeCell ref="T198:W198"/>
    <mergeCell ref="X198:AA198"/>
    <mergeCell ref="AB198:AD198"/>
    <mergeCell ref="AE198:AG198"/>
    <mergeCell ref="AH195:AJ195"/>
    <mergeCell ref="AK195:AM195"/>
    <mergeCell ref="BI195:BV195"/>
    <mergeCell ref="D195:K195"/>
    <mergeCell ref="L195:O195"/>
    <mergeCell ref="P195:S195"/>
    <mergeCell ref="T195:W195"/>
    <mergeCell ref="X195:AA195"/>
    <mergeCell ref="AB195:AD195"/>
    <mergeCell ref="AE195:AG195"/>
    <mergeCell ref="AH196:AJ196"/>
    <mergeCell ref="AK196:AM196"/>
    <mergeCell ref="BI196:BV196"/>
    <mergeCell ref="D196:K196"/>
    <mergeCell ref="L196:O196"/>
    <mergeCell ref="P196:S196"/>
    <mergeCell ref="T196:W196"/>
    <mergeCell ref="X196:AA196"/>
    <mergeCell ref="AB196:AD196"/>
    <mergeCell ref="AE196:AG196"/>
    <mergeCell ref="AH193:AJ193"/>
    <mergeCell ref="AK193:AM193"/>
    <mergeCell ref="BI193:BV193"/>
    <mergeCell ref="D193:K193"/>
    <mergeCell ref="L193:O193"/>
    <mergeCell ref="P193:S193"/>
    <mergeCell ref="T193:W193"/>
    <mergeCell ref="X193:AA193"/>
    <mergeCell ref="AB193:AD193"/>
    <mergeCell ref="AE193:AG193"/>
    <mergeCell ref="AH194:AJ194"/>
    <mergeCell ref="AK194:AM194"/>
    <mergeCell ref="BI194:BV194"/>
    <mergeCell ref="D194:K194"/>
    <mergeCell ref="L194:O194"/>
    <mergeCell ref="P194:S194"/>
    <mergeCell ref="T194:W194"/>
    <mergeCell ref="X194:AA194"/>
    <mergeCell ref="AB194:AD194"/>
    <mergeCell ref="AE194:AG194"/>
    <mergeCell ref="AH191:AJ191"/>
    <mergeCell ref="AK191:AM191"/>
    <mergeCell ref="BI191:BV191"/>
    <mergeCell ref="D191:K191"/>
    <mergeCell ref="L191:O191"/>
    <mergeCell ref="P191:S191"/>
    <mergeCell ref="T191:W191"/>
    <mergeCell ref="X191:AA191"/>
    <mergeCell ref="AB191:AD191"/>
    <mergeCell ref="AE191:AG191"/>
    <mergeCell ref="AH192:AJ192"/>
    <mergeCell ref="AK192:AM192"/>
    <mergeCell ref="BI192:BV192"/>
    <mergeCell ref="D192:K192"/>
    <mergeCell ref="L192:O192"/>
    <mergeCell ref="P192:S192"/>
    <mergeCell ref="T192:W192"/>
    <mergeCell ref="X192:AA192"/>
    <mergeCell ref="AB192:AD192"/>
    <mergeCell ref="AE192:AG192"/>
    <mergeCell ref="AH189:AJ189"/>
    <mergeCell ref="AK189:AM189"/>
    <mergeCell ref="BI189:BV189"/>
    <mergeCell ref="D189:K189"/>
    <mergeCell ref="L189:O189"/>
    <mergeCell ref="P189:S189"/>
    <mergeCell ref="T189:W189"/>
    <mergeCell ref="X189:AA189"/>
    <mergeCell ref="AB189:AD189"/>
    <mergeCell ref="AE189:AG189"/>
    <mergeCell ref="AH190:AJ190"/>
    <mergeCell ref="AK190:AM190"/>
    <mergeCell ref="BI190:BV190"/>
    <mergeCell ref="D190:K190"/>
    <mergeCell ref="L190:O190"/>
    <mergeCell ref="P190:S190"/>
    <mergeCell ref="T190:W190"/>
    <mergeCell ref="X190:AA190"/>
    <mergeCell ref="AB190:AD190"/>
    <mergeCell ref="AE190:AG190"/>
    <mergeCell ref="AH187:AJ187"/>
    <mergeCell ref="AK187:AM187"/>
    <mergeCell ref="BI187:BV187"/>
    <mergeCell ref="D187:K187"/>
    <mergeCell ref="L187:O187"/>
    <mergeCell ref="P187:S187"/>
    <mergeCell ref="T187:W187"/>
    <mergeCell ref="X187:AA187"/>
    <mergeCell ref="AB187:AD187"/>
    <mergeCell ref="AE187:AG187"/>
    <mergeCell ref="AH188:AJ188"/>
    <mergeCell ref="AK188:AM188"/>
    <mergeCell ref="BI188:BV188"/>
    <mergeCell ref="D188:K188"/>
    <mergeCell ref="L188:O188"/>
    <mergeCell ref="P188:S188"/>
    <mergeCell ref="T188:W188"/>
    <mergeCell ref="X188:AA188"/>
    <mergeCell ref="AB188:AD188"/>
    <mergeCell ref="AE188:AG188"/>
    <mergeCell ref="AH185:AJ185"/>
    <mergeCell ref="AK185:AM185"/>
    <mergeCell ref="BI185:BV185"/>
    <mergeCell ref="D185:K185"/>
    <mergeCell ref="L185:O185"/>
    <mergeCell ref="P185:S185"/>
    <mergeCell ref="T185:W185"/>
    <mergeCell ref="X185:AA185"/>
    <mergeCell ref="AB185:AD185"/>
    <mergeCell ref="AE185:AG185"/>
    <mergeCell ref="AH186:AJ186"/>
    <mergeCell ref="AK186:AM186"/>
    <mergeCell ref="BI186:BV186"/>
    <mergeCell ref="D186:K186"/>
    <mergeCell ref="L186:O186"/>
    <mergeCell ref="P186:S186"/>
    <mergeCell ref="T186:W186"/>
    <mergeCell ref="X186:AA186"/>
    <mergeCell ref="AB186:AD186"/>
    <mergeCell ref="AE186:AG186"/>
    <mergeCell ref="AH183:AJ183"/>
    <mergeCell ref="AK183:AM183"/>
    <mergeCell ref="BI183:BV183"/>
    <mergeCell ref="D183:K183"/>
    <mergeCell ref="L183:O183"/>
    <mergeCell ref="P183:S183"/>
    <mergeCell ref="T183:W183"/>
    <mergeCell ref="X183:AA183"/>
    <mergeCell ref="AB183:AD183"/>
    <mergeCell ref="AE183:AG183"/>
    <mergeCell ref="AH184:AJ184"/>
    <mergeCell ref="AK184:AM184"/>
    <mergeCell ref="BI184:BV184"/>
    <mergeCell ref="D184:K184"/>
    <mergeCell ref="L184:O184"/>
    <mergeCell ref="P184:S184"/>
    <mergeCell ref="T184:W184"/>
    <mergeCell ref="X184:AA184"/>
    <mergeCell ref="AB184:AD184"/>
    <mergeCell ref="AE184:AG184"/>
    <mergeCell ref="AH181:AJ181"/>
    <mergeCell ref="AK181:AM181"/>
    <mergeCell ref="BI181:BV181"/>
    <mergeCell ref="D181:K181"/>
    <mergeCell ref="L181:O181"/>
    <mergeCell ref="P181:S181"/>
    <mergeCell ref="T181:W181"/>
    <mergeCell ref="X181:AA181"/>
    <mergeCell ref="AB181:AD181"/>
    <mergeCell ref="AE181:AG181"/>
    <mergeCell ref="AH182:AJ182"/>
    <mergeCell ref="AK182:AM182"/>
    <mergeCell ref="BI182:BV182"/>
    <mergeCell ref="D182:K182"/>
    <mergeCell ref="L182:O182"/>
    <mergeCell ref="P182:S182"/>
    <mergeCell ref="T182:W182"/>
    <mergeCell ref="X182:AA182"/>
    <mergeCell ref="AB182:AD182"/>
    <mergeCell ref="AE182:AG182"/>
    <mergeCell ref="AH179:AJ179"/>
    <mergeCell ref="AK179:AM179"/>
    <mergeCell ref="BI179:BV179"/>
    <mergeCell ref="D179:K179"/>
    <mergeCell ref="L179:O179"/>
    <mergeCell ref="P179:S179"/>
    <mergeCell ref="T179:W179"/>
    <mergeCell ref="X179:AA179"/>
    <mergeCell ref="AB179:AD179"/>
    <mergeCell ref="AE179:AG179"/>
    <mergeCell ref="AH180:AJ180"/>
    <mergeCell ref="AK180:AM180"/>
    <mergeCell ref="BI180:BV180"/>
    <mergeCell ref="D180:K180"/>
    <mergeCell ref="L180:O180"/>
    <mergeCell ref="P180:S180"/>
    <mergeCell ref="T180:W180"/>
    <mergeCell ref="X180:AA180"/>
    <mergeCell ref="AB180:AD180"/>
    <mergeCell ref="AE180:AG180"/>
    <mergeCell ref="AH177:AJ177"/>
    <mergeCell ref="AK177:AM177"/>
    <mergeCell ref="BI177:BV177"/>
    <mergeCell ref="D177:K177"/>
    <mergeCell ref="L177:O177"/>
    <mergeCell ref="P177:S177"/>
    <mergeCell ref="T177:W177"/>
    <mergeCell ref="X177:AA177"/>
    <mergeCell ref="AB177:AD177"/>
    <mergeCell ref="AE177:AG177"/>
    <mergeCell ref="AH178:AJ178"/>
    <mergeCell ref="AK178:AM178"/>
    <mergeCell ref="BI178:BV178"/>
    <mergeCell ref="D178:K178"/>
    <mergeCell ref="L178:O178"/>
    <mergeCell ref="P178:S178"/>
    <mergeCell ref="T178:W178"/>
    <mergeCell ref="X178:AA178"/>
    <mergeCell ref="AB178:AD178"/>
    <mergeCell ref="AE178:AG178"/>
    <mergeCell ref="AH175:AJ175"/>
    <mergeCell ref="AK175:AM175"/>
    <mergeCell ref="BI175:BV175"/>
    <mergeCell ref="D175:K175"/>
    <mergeCell ref="L175:O175"/>
    <mergeCell ref="P175:S175"/>
    <mergeCell ref="T175:W175"/>
    <mergeCell ref="X175:AA175"/>
    <mergeCell ref="AB175:AD175"/>
    <mergeCell ref="AE175:AG175"/>
    <mergeCell ref="AH176:AJ176"/>
    <mergeCell ref="AK176:AM176"/>
    <mergeCell ref="BI176:BV176"/>
    <mergeCell ref="D176:K176"/>
    <mergeCell ref="L176:O176"/>
    <mergeCell ref="P176:S176"/>
    <mergeCell ref="T176:W176"/>
    <mergeCell ref="X176:AA176"/>
    <mergeCell ref="AB176:AD176"/>
    <mergeCell ref="AE176:AG176"/>
    <mergeCell ref="AH173:AJ173"/>
    <mergeCell ref="AK173:AM173"/>
    <mergeCell ref="BI173:BV173"/>
    <mergeCell ref="D173:K173"/>
    <mergeCell ref="L173:O173"/>
    <mergeCell ref="P173:S173"/>
    <mergeCell ref="T173:W173"/>
    <mergeCell ref="X173:AA173"/>
    <mergeCell ref="AB173:AD173"/>
    <mergeCell ref="AE173:AG173"/>
    <mergeCell ref="AH174:AJ174"/>
    <mergeCell ref="AK174:AM174"/>
    <mergeCell ref="BI174:BV174"/>
    <mergeCell ref="D174:K174"/>
    <mergeCell ref="L174:O174"/>
    <mergeCell ref="P174:S174"/>
    <mergeCell ref="T174:W174"/>
    <mergeCell ref="X174:AA174"/>
    <mergeCell ref="AB174:AD174"/>
    <mergeCell ref="AE174:AG174"/>
    <mergeCell ref="AH171:AJ171"/>
    <mergeCell ref="AK171:AM171"/>
    <mergeCell ref="BI171:BV171"/>
    <mergeCell ref="D171:K171"/>
    <mergeCell ref="L171:O171"/>
    <mergeCell ref="P171:S171"/>
    <mergeCell ref="T171:W171"/>
    <mergeCell ref="X171:AA171"/>
    <mergeCell ref="AB171:AD171"/>
    <mergeCell ref="AE171:AG171"/>
    <mergeCell ref="AH172:AJ172"/>
    <mergeCell ref="AK172:AM172"/>
    <mergeCell ref="BI172:BV172"/>
    <mergeCell ref="D172:K172"/>
    <mergeCell ref="L172:O172"/>
    <mergeCell ref="P172:S172"/>
    <mergeCell ref="T172:W172"/>
    <mergeCell ref="X172:AA172"/>
    <mergeCell ref="AB172:AD172"/>
    <mergeCell ref="AE172:AG172"/>
    <mergeCell ref="AH169:AJ169"/>
    <mergeCell ref="AK169:AM169"/>
    <mergeCell ref="BI169:BV169"/>
    <mergeCell ref="D169:K169"/>
    <mergeCell ref="L169:O169"/>
    <mergeCell ref="P169:S169"/>
    <mergeCell ref="T169:W169"/>
    <mergeCell ref="X169:AA169"/>
    <mergeCell ref="AB169:AD169"/>
    <mergeCell ref="AE169:AG169"/>
    <mergeCell ref="AH170:AJ170"/>
    <mergeCell ref="AK170:AM170"/>
    <mergeCell ref="BI170:BV170"/>
    <mergeCell ref="D170:K170"/>
    <mergeCell ref="L170:O170"/>
    <mergeCell ref="P170:S170"/>
    <mergeCell ref="T170:W170"/>
    <mergeCell ref="X170:AA170"/>
    <mergeCell ref="AB170:AD170"/>
    <mergeCell ref="AE170:AG170"/>
    <mergeCell ref="AH167:AJ167"/>
    <mergeCell ref="AK167:AM167"/>
    <mergeCell ref="BI167:BV167"/>
    <mergeCell ref="D167:K167"/>
    <mergeCell ref="L167:O167"/>
    <mergeCell ref="P167:S167"/>
    <mergeCell ref="T167:W167"/>
    <mergeCell ref="X167:AA167"/>
    <mergeCell ref="AB167:AD167"/>
    <mergeCell ref="AE167:AG167"/>
    <mergeCell ref="AH168:AJ168"/>
    <mergeCell ref="AK168:AM168"/>
    <mergeCell ref="BI168:BV168"/>
    <mergeCell ref="D168:K168"/>
    <mergeCell ref="L168:O168"/>
    <mergeCell ref="P168:S168"/>
    <mergeCell ref="T168:W168"/>
    <mergeCell ref="X168:AA168"/>
    <mergeCell ref="AB168:AD168"/>
    <mergeCell ref="AE168:AG168"/>
    <mergeCell ref="AH165:AJ165"/>
    <mergeCell ref="AK165:AM165"/>
    <mergeCell ref="BI165:BV165"/>
    <mergeCell ref="D165:K165"/>
    <mergeCell ref="L165:O165"/>
    <mergeCell ref="P165:S165"/>
    <mergeCell ref="T165:W165"/>
    <mergeCell ref="X165:AA165"/>
    <mergeCell ref="AB165:AD165"/>
    <mergeCell ref="AE165:AG165"/>
    <mergeCell ref="AH166:AJ166"/>
    <mergeCell ref="AK166:AM166"/>
    <mergeCell ref="BI166:BV166"/>
    <mergeCell ref="D166:K166"/>
    <mergeCell ref="L166:O166"/>
    <mergeCell ref="P166:S166"/>
    <mergeCell ref="T166:W166"/>
    <mergeCell ref="X166:AA166"/>
    <mergeCell ref="AB166:AD166"/>
    <mergeCell ref="AE166:AG166"/>
    <mergeCell ref="AH163:AJ163"/>
    <mergeCell ref="AK163:AM163"/>
    <mergeCell ref="BI163:BV163"/>
    <mergeCell ref="D163:K163"/>
    <mergeCell ref="L163:O163"/>
    <mergeCell ref="P163:S163"/>
    <mergeCell ref="T163:W163"/>
    <mergeCell ref="X163:AA163"/>
    <mergeCell ref="AB163:AD163"/>
    <mergeCell ref="AE163:AG163"/>
    <mergeCell ref="AH164:AJ164"/>
    <mergeCell ref="AK164:AM164"/>
    <mergeCell ref="BI164:BV164"/>
    <mergeCell ref="D164:K164"/>
    <mergeCell ref="L164:O164"/>
    <mergeCell ref="P164:S164"/>
    <mergeCell ref="T164:W164"/>
    <mergeCell ref="X164:AA164"/>
    <mergeCell ref="AB164:AD164"/>
    <mergeCell ref="AE164:AG164"/>
    <mergeCell ref="AH161:AJ161"/>
    <mergeCell ref="AK161:AM161"/>
    <mergeCell ref="BI161:BV161"/>
    <mergeCell ref="D161:K161"/>
    <mergeCell ref="L161:O161"/>
    <mergeCell ref="P161:S161"/>
    <mergeCell ref="T161:W161"/>
    <mergeCell ref="X161:AA161"/>
    <mergeCell ref="AB161:AD161"/>
    <mergeCell ref="AE161:AG161"/>
    <mergeCell ref="AH162:AJ162"/>
    <mergeCell ref="AK162:AM162"/>
    <mergeCell ref="BI162:BV162"/>
    <mergeCell ref="D162:K162"/>
    <mergeCell ref="L162:O162"/>
    <mergeCell ref="P162:S162"/>
    <mergeCell ref="T162:W162"/>
    <mergeCell ref="X162:AA162"/>
    <mergeCell ref="AB162:AD162"/>
    <mergeCell ref="AE162:AG162"/>
    <mergeCell ref="AH159:AJ159"/>
    <mergeCell ref="AK159:AM159"/>
    <mergeCell ref="BI159:BV159"/>
    <mergeCell ref="D159:K159"/>
    <mergeCell ref="L159:O159"/>
    <mergeCell ref="P159:S159"/>
    <mergeCell ref="T159:W159"/>
    <mergeCell ref="X159:AA159"/>
    <mergeCell ref="AB159:AD159"/>
    <mergeCell ref="AE159:AG159"/>
    <mergeCell ref="AH160:AJ160"/>
    <mergeCell ref="AK160:AM160"/>
    <mergeCell ref="BI160:BV160"/>
    <mergeCell ref="D160:K160"/>
    <mergeCell ref="L160:O160"/>
    <mergeCell ref="P160:S160"/>
    <mergeCell ref="T160:W160"/>
    <mergeCell ref="X160:AA160"/>
    <mergeCell ref="AB160:AD160"/>
    <mergeCell ref="AE160:AG160"/>
    <mergeCell ref="AH157:AJ157"/>
    <mergeCell ref="AK157:AM157"/>
    <mergeCell ref="BI157:BV157"/>
    <mergeCell ref="D157:K157"/>
    <mergeCell ref="L157:O157"/>
    <mergeCell ref="P157:S157"/>
    <mergeCell ref="T157:W157"/>
    <mergeCell ref="X157:AA157"/>
    <mergeCell ref="AB157:AD157"/>
    <mergeCell ref="AE157:AG157"/>
    <mergeCell ref="AH158:AJ158"/>
    <mergeCell ref="AK158:AM158"/>
    <mergeCell ref="BI158:BV158"/>
    <mergeCell ref="D158:K158"/>
    <mergeCell ref="L158:O158"/>
    <mergeCell ref="P158:S158"/>
    <mergeCell ref="T158:W158"/>
    <mergeCell ref="X158:AA158"/>
    <mergeCell ref="AB158:AD158"/>
    <mergeCell ref="AE158:AG158"/>
    <mergeCell ref="AH155:AJ155"/>
    <mergeCell ref="AK155:AM155"/>
    <mergeCell ref="BI155:BV155"/>
    <mergeCell ref="D155:K155"/>
    <mergeCell ref="L155:O155"/>
    <mergeCell ref="P155:S155"/>
    <mergeCell ref="T155:W155"/>
    <mergeCell ref="X155:AA155"/>
    <mergeCell ref="AB155:AD155"/>
    <mergeCell ref="AE155:AG155"/>
    <mergeCell ref="AH156:AJ156"/>
    <mergeCell ref="AK156:AM156"/>
    <mergeCell ref="BI156:BV156"/>
    <mergeCell ref="D156:K156"/>
    <mergeCell ref="L156:O156"/>
    <mergeCell ref="P156:S156"/>
    <mergeCell ref="T156:W156"/>
    <mergeCell ref="X156:AA156"/>
    <mergeCell ref="AB156:AD156"/>
    <mergeCell ref="AE156:AG156"/>
    <mergeCell ref="AH153:AJ153"/>
    <mergeCell ref="AK153:AM153"/>
    <mergeCell ref="BI153:BV153"/>
    <mergeCell ref="D153:K153"/>
    <mergeCell ref="L153:O153"/>
    <mergeCell ref="P153:S153"/>
    <mergeCell ref="T153:W153"/>
    <mergeCell ref="X153:AA153"/>
    <mergeCell ref="AB153:AD153"/>
    <mergeCell ref="AE153:AG153"/>
    <mergeCell ref="AH154:AJ154"/>
    <mergeCell ref="AK154:AM154"/>
    <mergeCell ref="BI154:BV154"/>
    <mergeCell ref="D154:K154"/>
    <mergeCell ref="L154:O154"/>
    <mergeCell ref="P154:S154"/>
    <mergeCell ref="T154:W154"/>
    <mergeCell ref="X154:AA154"/>
    <mergeCell ref="AB154:AD154"/>
    <mergeCell ref="AE154:AG154"/>
    <mergeCell ref="AH151:AJ151"/>
    <mergeCell ref="AK151:AM151"/>
    <mergeCell ref="BI151:BV151"/>
    <mergeCell ref="D151:K151"/>
    <mergeCell ref="L151:O151"/>
    <mergeCell ref="P151:S151"/>
    <mergeCell ref="T151:W151"/>
    <mergeCell ref="X151:AA151"/>
    <mergeCell ref="AB151:AD151"/>
    <mergeCell ref="AE151:AG151"/>
    <mergeCell ref="AH152:AJ152"/>
    <mergeCell ref="AK152:AM152"/>
    <mergeCell ref="BI152:BV152"/>
    <mergeCell ref="D152:K152"/>
    <mergeCell ref="L152:O152"/>
    <mergeCell ref="P152:S152"/>
    <mergeCell ref="T152:W152"/>
    <mergeCell ref="X152:AA152"/>
    <mergeCell ref="AB152:AD152"/>
    <mergeCell ref="AE152:AG152"/>
    <mergeCell ref="AH149:AJ149"/>
    <mergeCell ref="AK149:AM149"/>
    <mergeCell ref="BI149:BV149"/>
    <mergeCell ref="D149:K149"/>
    <mergeCell ref="L149:O149"/>
    <mergeCell ref="P149:S149"/>
    <mergeCell ref="T149:W149"/>
    <mergeCell ref="X149:AA149"/>
    <mergeCell ref="AB149:AD149"/>
    <mergeCell ref="AE149:AG149"/>
    <mergeCell ref="AH150:AJ150"/>
    <mergeCell ref="AK150:AM150"/>
    <mergeCell ref="BI150:BV150"/>
    <mergeCell ref="D150:K150"/>
    <mergeCell ref="L150:O150"/>
    <mergeCell ref="P150:S150"/>
    <mergeCell ref="T150:W150"/>
    <mergeCell ref="X150:AA150"/>
    <mergeCell ref="AB150:AD150"/>
    <mergeCell ref="AE150:AG150"/>
    <mergeCell ref="AH147:AJ147"/>
    <mergeCell ref="AK147:AM147"/>
    <mergeCell ref="BI147:BV147"/>
    <mergeCell ref="D147:K147"/>
    <mergeCell ref="L147:O147"/>
    <mergeCell ref="P147:S147"/>
    <mergeCell ref="T147:W147"/>
    <mergeCell ref="X147:AA147"/>
    <mergeCell ref="AB147:AD147"/>
    <mergeCell ref="AE147:AG147"/>
    <mergeCell ref="AH148:AJ148"/>
    <mergeCell ref="AK148:AM148"/>
    <mergeCell ref="BI148:BV148"/>
    <mergeCell ref="D148:K148"/>
    <mergeCell ref="L148:O148"/>
    <mergeCell ref="P148:S148"/>
    <mergeCell ref="T148:W148"/>
    <mergeCell ref="X148:AA148"/>
    <mergeCell ref="AB148:AD148"/>
    <mergeCell ref="AE148:AG148"/>
    <mergeCell ref="AH145:AJ145"/>
    <mergeCell ref="AK145:AM145"/>
    <mergeCell ref="BI145:BV145"/>
    <mergeCell ref="D145:K145"/>
    <mergeCell ref="L145:O145"/>
    <mergeCell ref="P145:S145"/>
    <mergeCell ref="T145:W145"/>
    <mergeCell ref="X145:AA145"/>
    <mergeCell ref="AB145:AD145"/>
    <mergeCell ref="AE145:AG145"/>
    <mergeCell ref="AH146:AJ146"/>
    <mergeCell ref="AK146:AM146"/>
    <mergeCell ref="BI146:BV146"/>
    <mergeCell ref="D146:K146"/>
    <mergeCell ref="L146:O146"/>
    <mergeCell ref="P146:S146"/>
    <mergeCell ref="T146:W146"/>
    <mergeCell ref="X146:AA146"/>
    <mergeCell ref="AB146:AD146"/>
    <mergeCell ref="AE146:AG146"/>
    <mergeCell ref="AH143:AJ143"/>
    <mergeCell ref="AK143:AM143"/>
    <mergeCell ref="BI143:BV143"/>
    <mergeCell ref="D143:K143"/>
    <mergeCell ref="L143:O143"/>
    <mergeCell ref="P143:S143"/>
    <mergeCell ref="T143:W143"/>
    <mergeCell ref="X143:AA143"/>
    <mergeCell ref="AB143:AD143"/>
    <mergeCell ref="AE143:AG143"/>
    <mergeCell ref="AH144:AJ144"/>
    <mergeCell ref="AK144:AM144"/>
    <mergeCell ref="BI144:BV144"/>
    <mergeCell ref="D144:K144"/>
    <mergeCell ref="L144:O144"/>
    <mergeCell ref="P144:S144"/>
    <mergeCell ref="T144:W144"/>
    <mergeCell ref="X144:AA144"/>
    <mergeCell ref="AB144:AD144"/>
    <mergeCell ref="AE144:AG144"/>
    <mergeCell ref="AH141:AJ141"/>
    <mergeCell ref="AK141:AM141"/>
    <mergeCell ref="BI141:BV141"/>
    <mergeCell ref="D141:K141"/>
    <mergeCell ref="L141:O141"/>
    <mergeCell ref="P141:S141"/>
    <mergeCell ref="T141:W141"/>
    <mergeCell ref="X141:AA141"/>
    <mergeCell ref="AB141:AD141"/>
    <mergeCell ref="AE141:AG141"/>
    <mergeCell ref="AH142:AJ142"/>
    <mergeCell ref="AK142:AM142"/>
    <mergeCell ref="BI142:BV142"/>
    <mergeCell ref="D142:K142"/>
    <mergeCell ref="L142:O142"/>
    <mergeCell ref="P142:S142"/>
    <mergeCell ref="T142:W142"/>
    <mergeCell ref="X142:AA142"/>
    <mergeCell ref="AB142:AD142"/>
    <mergeCell ref="AE142:AG142"/>
    <mergeCell ref="AH139:AJ139"/>
    <mergeCell ref="AK139:AM139"/>
    <mergeCell ref="BI139:BV139"/>
    <mergeCell ref="D139:K139"/>
    <mergeCell ref="L139:O139"/>
    <mergeCell ref="P139:S139"/>
    <mergeCell ref="T139:W139"/>
    <mergeCell ref="X139:AA139"/>
    <mergeCell ref="AB139:AD139"/>
    <mergeCell ref="AE139:AG139"/>
    <mergeCell ref="AH140:AJ140"/>
    <mergeCell ref="AK140:AM140"/>
    <mergeCell ref="BI140:BV140"/>
    <mergeCell ref="D140:K140"/>
    <mergeCell ref="L140:O140"/>
    <mergeCell ref="P140:S140"/>
    <mergeCell ref="T140:W140"/>
    <mergeCell ref="X140:AA140"/>
    <mergeCell ref="AB140:AD140"/>
    <mergeCell ref="AE140:AG140"/>
    <mergeCell ref="AH137:AJ137"/>
    <mergeCell ref="AK137:AM137"/>
    <mergeCell ref="BI137:BV137"/>
    <mergeCell ref="D137:K137"/>
    <mergeCell ref="L137:O137"/>
    <mergeCell ref="P137:S137"/>
    <mergeCell ref="T137:W137"/>
    <mergeCell ref="X137:AA137"/>
    <mergeCell ref="AB137:AD137"/>
    <mergeCell ref="AE137:AG137"/>
    <mergeCell ref="AH138:AJ138"/>
    <mergeCell ref="AK138:AM138"/>
    <mergeCell ref="BI138:BV138"/>
    <mergeCell ref="D138:K138"/>
    <mergeCell ref="L138:O138"/>
    <mergeCell ref="P138:S138"/>
    <mergeCell ref="T138:W138"/>
    <mergeCell ref="X138:AA138"/>
    <mergeCell ref="AB138:AD138"/>
    <mergeCell ref="AE138:AG138"/>
    <mergeCell ref="AH135:AJ135"/>
    <mergeCell ref="AK135:AM135"/>
    <mergeCell ref="BI135:BV135"/>
    <mergeCell ref="D135:K135"/>
    <mergeCell ref="L135:O135"/>
    <mergeCell ref="P135:S135"/>
    <mergeCell ref="T135:W135"/>
    <mergeCell ref="X135:AA135"/>
    <mergeCell ref="AB135:AD135"/>
    <mergeCell ref="AE135:AG135"/>
    <mergeCell ref="AH136:AJ136"/>
    <mergeCell ref="AK136:AM136"/>
    <mergeCell ref="BI136:BV136"/>
    <mergeCell ref="D136:K136"/>
    <mergeCell ref="L136:O136"/>
    <mergeCell ref="P136:S136"/>
    <mergeCell ref="T136:W136"/>
    <mergeCell ref="X136:AA136"/>
    <mergeCell ref="AB136:AD136"/>
    <mergeCell ref="AE136:AG136"/>
    <mergeCell ref="AH133:AJ133"/>
    <mergeCell ref="AK133:AM133"/>
    <mergeCell ref="BI133:BV133"/>
    <mergeCell ref="D133:K133"/>
    <mergeCell ref="L133:O133"/>
    <mergeCell ref="P133:S133"/>
    <mergeCell ref="T133:W133"/>
    <mergeCell ref="X133:AA133"/>
    <mergeCell ref="AB133:AD133"/>
    <mergeCell ref="AE133:AG133"/>
    <mergeCell ref="AH134:AJ134"/>
    <mergeCell ref="AK134:AM134"/>
    <mergeCell ref="BI134:BV134"/>
    <mergeCell ref="D134:K134"/>
    <mergeCell ref="L134:O134"/>
    <mergeCell ref="P134:S134"/>
    <mergeCell ref="T134:W134"/>
    <mergeCell ref="X134:AA134"/>
    <mergeCell ref="AB134:AD134"/>
    <mergeCell ref="AE134:AG134"/>
    <mergeCell ref="AH131:AJ131"/>
    <mergeCell ref="AK131:AM131"/>
    <mergeCell ref="BI131:BV131"/>
    <mergeCell ref="D131:K131"/>
    <mergeCell ref="L131:O131"/>
    <mergeCell ref="P131:S131"/>
    <mergeCell ref="T131:W131"/>
    <mergeCell ref="X131:AA131"/>
    <mergeCell ref="AB131:AD131"/>
    <mergeCell ref="AE131:AG131"/>
    <mergeCell ref="AH132:AJ132"/>
    <mergeCell ref="AK132:AM132"/>
    <mergeCell ref="BI132:BV132"/>
    <mergeCell ref="D132:K132"/>
    <mergeCell ref="L132:O132"/>
    <mergeCell ref="P132:S132"/>
    <mergeCell ref="T132:W132"/>
    <mergeCell ref="X132:AA132"/>
    <mergeCell ref="AB132:AD132"/>
    <mergeCell ref="AE132:AG132"/>
    <mergeCell ref="AH129:AJ129"/>
    <mergeCell ref="AK129:AM129"/>
    <mergeCell ref="BI129:BV129"/>
    <mergeCell ref="D129:K129"/>
    <mergeCell ref="L129:O129"/>
    <mergeCell ref="P129:S129"/>
    <mergeCell ref="T129:W129"/>
    <mergeCell ref="X129:AA129"/>
    <mergeCell ref="AB129:AD129"/>
    <mergeCell ref="AE129:AG129"/>
    <mergeCell ref="AH130:AJ130"/>
    <mergeCell ref="AK130:AM130"/>
    <mergeCell ref="BI130:BV130"/>
    <mergeCell ref="D130:K130"/>
    <mergeCell ref="L130:O130"/>
    <mergeCell ref="P130:S130"/>
    <mergeCell ref="T130:W130"/>
    <mergeCell ref="X130:AA130"/>
    <mergeCell ref="AB130:AD130"/>
    <mergeCell ref="AE130:AG130"/>
    <mergeCell ref="AH127:AJ127"/>
    <mergeCell ref="AK127:AM127"/>
    <mergeCell ref="BI127:BV127"/>
    <mergeCell ref="D127:K127"/>
    <mergeCell ref="L127:O127"/>
    <mergeCell ref="P127:S127"/>
    <mergeCell ref="T127:W127"/>
    <mergeCell ref="X127:AA127"/>
    <mergeCell ref="AB127:AD127"/>
    <mergeCell ref="AE127:AG127"/>
    <mergeCell ref="AH128:AJ128"/>
    <mergeCell ref="AK128:AM128"/>
    <mergeCell ref="BI128:BV128"/>
    <mergeCell ref="D128:K128"/>
    <mergeCell ref="L128:O128"/>
    <mergeCell ref="P128:S128"/>
    <mergeCell ref="T128:W128"/>
    <mergeCell ref="X128:AA128"/>
    <mergeCell ref="AB128:AD128"/>
    <mergeCell ref="AE128:AG128"/>
    <mergeCell ref="AH125:AJ125"/>
    <mergeCell ref="AK125:AM125"/>
    <mergeCell ref="BI125:BV125"/>
    <mergeCell ref="D125:K125"/>
    <mergeCell ref="L125:O125"/>
    <mergeCell ref="P125:S125"/>
    <mergeCell ref="T125:W125"/>
    <mergeCell ref="X125:AA125"/>
    <mergeCell ref="AB125:AD125"/>
    <mergeCell ref="AE125:AG125"/>
    <mergeCell ref="AH126:AJ126"/>
    <mergeCell ref="AK126:AM126"/>
    <mergeCell ref="BI126:BV126"/>
    <mergeCell ref="D126:K126"/>
    <mergeCell ref="L126:O126"/>
    <mergeCell ref="P126:S126"/>
    <mergeCell ref="T126:W126"/>
    <mergeCell ref="X126:AA126"/>
    <mergeCell ref="AB126:AD126"/>
    <mergeCell ref="AE126:AG126"/>
    <mergeCell ref="AH123:AJ123"/>
    <mergeCell ref="AK123:AM123"/>
    <mergeCell ref="BI123:BV123"/>
    <mergeCell ref="D123:K123"/>
    <mergeCell ref="L123:O123"/>
    <mergeCell ref="P123:S123"/>
    <mergeCell ref="T123:W123"/>
    <mergeCell ref="X123:AA123"/>
    <mergeCell ref="AB123:AD123"/>
    <mergeCell ref="AE123:AG123"/>
    <mergeCell ref="AH124:AJ124"/>
    <mergeCell ref="AK124:AM124"/>
    <mergeCell ref="BI124:BV124"/>
    <mergeCell ref="D124:K124"/>
    <mergeCell ref="L124:O124"/>
    <mergeCell ref="P124:S124"/>
    <mergeCell ref="T124:W124"/>
    <mergeCell ref="X124:AA124"/>
    <mergeCell ref="AB124:AD124"/>
    <mergeCell ref="AE124:AG124"/>
    <mergeCell ref="AH121:AJ121"/>
    <mergeCell ref="AK121:AM121"/>
    <mergeCell ref="BI121:BV121"/>
    <mergeCell ref="D121:K121"/>
    <mergeCell ref="L121:O121"/>
    <mergeCell ref="P121:S121"/>
    <mergeCell ref="T121:W121"/>
    <mergeCell ref="X121:AA121"/>
    <mergeCell ref="AB121:AD121"/>
    <mergeCell ref="AE121:AG121"/>
    <mergeCell ref="AH122:AJ122"/>
    <mergeCell ref="AK122:AM122"/>
    <mergeCell ref="BI122:BV122"/>
    <mergeCell ref="D122:K122"/>
    <mergeCell ref="L122:O122"/>
    <mergeCell ref="P122:S122"/>
    <mergeCell ref="T122:W122"/>
    <mergeCell ref="X122:AA122"/>
    <mergeCell ref="AB122:AD122"/>
    <mergeCell ref="AE122:AG122"/>
    <mergeCell ref="AH119:AJ119"/>
    <mergeCell ref="AK119:AM119"/>
    <mergeCell ref="BI119:BV119"/>
    <mergeCell ref="D119:K119"/>
    <mergeCell ref="L119:O119"/>
    <mergeCell ref="P119:S119"/>
    <mergeCell ref="T119:W119"/>
    <mergeCell ref="X119:AA119"/>
    <mergeCell ref="AB119:AD119"/>
    <mergeCell ref="AE119:AG119"/>
    <mergeCell ref="AH120:AJ120"/>
    <mergeCell ref="AK120:AM120"/>
    <mergeCell ref="BI120:BV120"/>
    <mergeCell ref="D120:K120"/>
    <mergeCell ref="L120:O120"/>
    <mergeCell ref="P120:S120"/>
    <mergeCell ref="T120:W120"/>
    <mergeCell ref="X120:AA120"/>
    <mergeCell ref="AB120:AD120"/>
    <mergeCell ref="AE120:AG120"/>
    <mergeCell ref="AH117:AJ117"/>
    <mergeCell ref="AK117:AM117"/>
    <mergeCell ref="BI117:BV117"/>
    <mergeCell ref="D117:K117"/>
    <mergeCell ref="L117:O117"/>
    <mergeCell ref="P117:S117"/>
    <mergeCell ref="T117:W117"/>
    <mergeCell ref="X117:AA117"/>
    <mergeCell ref="AB117:AD117"/>
    <mergeCell ref="AE117:AG117"/>
    <mergeCell ref="AH118:AJ118"/>
    <mergeCell ref="AK118:AM118"/>
    <mergeCell ref="BI118:BV118"/>
    <mergeCell ref="D118:K118"/>
    <mergeCell ref="L118:O118"/>
    <mergeCell ref="P118:S118"/>
    <mergeCell ref="T118:W118"/>
    <mergeCell ref="X118:AA118"/>
    <mergeCell ref="AB118:AD118"/>
    <mergeCell ref="AE118:AG118"/>
    <mergeCell ref="AH115:AJ115"/>
    <mergeCell ref="AK115:AM115"/>
    <mergeCell ref="BI115:BV115"/>
    <mergeCell ref="D115:K115"/>
    <mergeCell ref="L115:O115"/>
    <mergeCell ref="P115:S115"/>
    <mergeCell ref="T115:W115"/>
    <mergeCell ref="X115:AA115"/>
    <mergeCell ref="AB115:AD115"/>
    <mergeCell ref="AE115:AG115"/>
    <mergeCell ref="AH116:AJ116"/>
    <mergeCell ref="AK116:AM116"/>
    <mergeCell ref="BI116:BV116"/>
    <mergeCell ref="D116:K116"/>
    <mergeCell ref="L116:O116"/>
    <mergeCell ref="P116:S116"/>
    <mergeCell ref="T116:W116"/>
    <mergeCell ref="X116:AA116"/>
    <mergeCell ref="AB116:AD116"/>
    <mergeCell ref="AE116:AG116"/>
    <mergeCell ref="AH113:AJ113"/>
    <mergeCell ref="AK113:AM113"/>
    <mergeCell ref="BI113:BV113"/>
    <mergeCell ref="D113:K113"/>
    <mergeCell ref="L113:O113"/>
    <mergeCell ref="P113:S113"/>
    <mergeCell ref="T113:W113"/>
    <mergeCell ref="X113:AA113"/>
    <mergeCell ref="AB113:AD113"/>
    <mergeCell ref="AE113:AG113"/>
    <mergeCell ref="AH114:AJ114"/>
    <mergeCell ref="AK114:AM114"/>
    <mergeCell ref="BI114:BV114"/>
    <mergeCell ref="D114:K114"/>
    <mergeCell ref="L114:O114"/>
    <mergeCell ref="P114:S114"/>
    <mergeCell ref="T114:W114"/>
    <mergeCell ref="X114:AA114"/>
    <mergeCell ref="AB114:AD114"/>
    <mergeCell ref="AE114:AG114"/>
    <mergeCell ref="AH111:AJ111"/>
    <mergeCell ref="AK111:AM111"/>
    <mergeCell ref="BI111:BV111"/>
    <mergeCell ref="D111:K111"/>
    <mergeCell ref="L111:O111"/>
    <mergeCell ref="P111:S111"/>
    <mergeCell ref="T111:W111"/>
    <mergeCell ref="X111:AA111"/>
    <mergeCell ref="AB111:AD111"/>
    <mergeCell ref="AE111:AG111"/>
    <mergeCell ref="AH112:AJ112"/>
    <mergeCell ref="AK112:AM112"/>
    <mergeCell ref="BI112:BV112"/>
    <mergeCell ref="D112:K112"/>
    <mergeCell ref="L112:O112"/>
    <mergeCell ref="P112:S112"/>
    <mergeCell ref="T112:W112"/>
    <mergeCell ref="X112:AA112"/>
    <mergeCell ref="AB112:AD112"/>
    <mergeCell ref="AE112:AG112"/>
    <mergeCell ref="AH109:AJ109"/>
    <mergeCell ref="AK109:AM109"/>
    <mergeCell ref="BI109:BV109"/>
    <mergeCell ref="D109:K109"/>
    <mergeCell ref="L109:O109"/>
    <mergeCell ref="P109:S109"/>
    <mergeCell ref="T109:W109"/>
    <mergeCell ref="X109:AA109"/>
    <mergeCell ref="AB109:AD109"/>
    <mergeCell ref="AE109:AG109"/>
    <mergeCell ref="AH110:AJ110"/>
    <mergeCell ref="AK110:AM110"/>
    <mergeCell ref="BI110:BV110"/>
    <mergeCell ref="D110:K110"/>
    <mergeCell ref="L110:O110"/>
    <mergeCell ref="P110:S110"/>
    <mergeCell ref="T110:W110"/>
    <mergeCell ref="X110:AA110"/>
    <mergeCell ref="AB110:AD110"/>
    <mergeCell ref="AE110:AG110"/>
    <mergeCell ref="AH107:AJ107"/>
    <mergeCell ref="AK107:AM107"/>
    <mergeCell ref="BI107:BV107"/>
    <mergeCell ref="D107:K107"/>
    <mergeCell ref="L107:O107"/>
    <mergeCell ref="P107:S107"/>
    <mergeCell ref="T107:W107"/>
    <mergeCell ref="X107:AA107"/>
    <mergeCell ref="AB107:AD107"/>
    <mergeCell ref="AE107:AG107"/>
    <mergeCell ref="AH108:AJ108"/>
    <mergeCell ref="AK108:AM108"/>
    <mergeCell ref="BI108:BV108"/>
    <mergeCell ref="D108:K108"/>
    <mergeCell ref="L108:O108"/>
    <mergeCell ref="P108:S108"/>
    <mergeCell ref="T108:W108"/>
    <mergeCell ref="X108:AA108"/>
    <mergeCell ref="AB108:AD108"/>
    <mergeCell ref="AE108:AG108"/>
    <mergeCell ref="AH105:AJ105"/>
    <mergeCell ref="AK105:AM105"/>
    <mergeCell ref="BI105:BV105"/>
    <mergeCell ref="D105:K105"/>
    <mergeCell ref="L105:O105"/>
    <mergeCell ref="P105:S105"/>
    <mergeCell ref="T105:W105"/>
    <mergeCell ref="X105:AA105"/>
    <mergeCell ref="AB105:AD105"/>
    <mergeCell ref="AE105:AG105"/>
    <mergeCell ref="AH106:AJ106"/>
    <mergeCell ref="AK106:AM106"/>
    <mergeCell ref="BI106:BV106"/>
    <mergeCell ref="D106:K106"/>
    <mergeCell ref="L106:O106"/>
    <mergeCell ref="P106:S106"/>
    <mergeCell ref="T106:W106"/>
    <mergeCell ref="X106:AA106"/>
    <mergeCell ref="AB106:AD106"/>
    <mergeCell ref="AE106:AG106"/>
    <mergeCell ref="AH103:AJ103"/>
    <mergeCell ref="AK103:AM103"/>
    <mergeCell ref="BI103:BV103"/>
    <mergeCell ref="D103:K103"/>
    <mergeCell ref="L103:O103"/>
    <mergeCell ref="P103:S103"/>
    <mergeCell ref="T103:W103"/>
    <mergeCell ref="X103:AA103"/>
    <mergeCell ref="AB103:AD103"/>
    <mergeCell ref="AE103:AG103"/>
    <mergeCell ref="AH104:AJ104"/>
    <mergeCell ref="AK104:AM104"/>
    <mergeCell ref="BI104:BV104"/>
    <mergeCell ref="D104:K104"/>
    <mergeCell ref="L104:O104"/>
    <mergeCell ref="P104:S104"/>
    <mergeCell ref="T104:W104"/>
    <mergeCell ref="X104:AA104"/>
    <mergeCell ref="AB104:AD104"/>
    <mergeCell ref="AE104:AG104"/>
    <mergeCell ref="AH101:AJ101"/>
    <mergeCell ref="AK101:AM101"/>
    <mergeCell ref="BI101:BV101"/>
    <mergeCell ref="D101:K101"/>
    <mergeCell ref="L101:O101"/>
    <mergeCell ref="P101:S101"/>
    <mergeCell ref="T101:W101"/>
    <mergeCell ref="X101:AA101"/>
    <mergeCell ref="AB101:AD101"/>
    <mergeCell ref="AE101:AG101"/>
    <mergeCell ref="AH102:AJ102"/>
    <mergeCell ref="AK102:AM102"/>
    <mergeCell ref="BI102:BV102"/>
    <mergeCell ref="D102:K102"/>
    <mergeCell ref="L102:O102"/>
    <mergeCell ref="P102:S102"/>
    <mergeCell ref="T102:W102"/>
    <mergeCell ref="X102:AA102"/>
    <mergeCell ref="AB102:AD102"/>
    <mergeCell ref="AE102:AG102"/>
    <mergeCell ref="AH99:AJ99"/>
    <mergeCell ref="AK99:AM99"/>
    <mergeCell ref="BI99:BV99"/>
    <mergeCell ref="D99:K99"/>
    <mergeCell ref="L99:O99"/>
    <mergeCell ref="P99:S99"/>
    <mergeCell ref="T99:W99"/>
    <mergeCell ref="X99:AA99"/>
    <mergeCell ref="AB99:AD99"/>
    <mergeCell ref="AE99:AG99"/>
    <mergeCell ref="AH100:AJ100"/>
    <mergeCell ref="AK100:AM100"/>
    <mergeCell ref="BI100:BV100"/>
    <mergeCell ref="D100:K100"/>
    <mergeCell ref="L100:O100"/>
    <mergeCell ref="P100:S100"/>
    <mergeCell ref="T100:W100"/>
    <mergeCell ref="X100:AA100"/>
    <mergeCell ref="AB100:AD100"/>
    <mergeCell ref="AE100:AG100"/>
    <mergeCell ref="AH97:AJ97"/>
    <mergeCell ref="AK97:AM97"/>
    <mergeCell ref="BI97:BV97"/>
    <mergeCell ref="D97:K97"/>
    <mergeCell ref="L97:O97"/>
    <mergeCell ref="P97:S97"/>
    <mergeCell ref="T97:W97"/>
    <mergeCell ref="X97:AA97"/>
    <mergeCell ref="AB97:AD97"/>
    <mergeCell ref="AE97:AG97"/>
    <mergeCell ref="AH98:AJ98"/>
    <mergeCell ref="AK98:AM98"/>
    <mergeCell ref="BI98:BV98"/>
    <mergeCell ref="D98:K98"/>
    <mergeCell ref="L98:O98"/>
    <mergeCell ref="P98:S98"/>
    <mergeCell ref="T98:W98"/>
    <mergeCell ref="X98:AA98"/>
    <mergeCell ref="AB98:AD98"/>
    <mergeCell ref="AE98:AG98"/>
    <mergeCell ref="AH95:AJ95"/>
    <mergeCell ref="AK95:AM95"/>
    <mergeCell ref="BI95:BV95"/>
    <mergeCell ref="D95:K95"/>
    <mergeCell ref="L95:O95"/>
    <mergeCell ref="P95:S95"/>
    <mergeCell ref="T95:W95"/>
    <mergeCell ref="X95:AA95"/>
    <mergeCell ref="AB95:AD95"/>
    <mergeCell ref="AE95:AG95"/>
    <mergeCell ref="AH96:AJ96"/>
    <mergeCell ref="AK96:AM96"/>
    <mergeCell ref="BI96:BV96"/>
    <mergeCell ref="D96:K96"/>
    <mergeCell ref="L96:O96"/>
    <mergeCell ref="P96:S96"/>
    <mergeCell ref="T96:W96"/>
    <mergeCell ref="X96:AA96"/>
    <mergeCell ref="AB96:AD96"/>
    <mergeCell ref="AE96:AG96"/>
    <mergeCell ref="AH93:AJ93"/>
    <mergeCell ref="AK93:AM93"/>
    <mergeCell ref="BI93:BV93"/>
    <mergeCell ref="D93:K93"/>
    <mergeCell ref="L93:O93"/>
    <mergeCell ref="P93:S93"/>
    <mergeCell ref="T93:W93"/>
    <mergeCell ref="X93:AA93"/>
    <mergeCell ref="AB93:AD93"/>
    <mergeCell ref="AE93:AG93"/>
    <mergeCell ref="AH94:AJ94"/>
    <mergeCell ref="AK94:AM94"/>
    <mergeCell ref="BI94:BV94"/>
    <mergeCell ref="D94:K94"/>
    <mergeCell ref="L94:O94"/>
    <mergeCell ref="P94:S94"/>
    <mergeCell ref="T94:W94"/>
    <mergeCell ref="X94:AA94"/>
    <mergeCell ref="AB94:AD94"/>
    <mergeCell ref="AE94:AG94"/>
    <mergeCell ref="AH91:AJ91"/>
    <mergeCell ref="AK91:AM91"/>
    <mergeCell ref="BI91:BV91"/>
    <mergeCell ref="D91:K91"/>
    <mergeCell ref="L91:O91"/>
    <mergeCell ref="P91:S91"/>
    <mergeCell ref="T91:W91"/>
    <mergeCell ref="X91:AA91"/>
    <mergeCell ref="AB91:AD91"/>
    <mergeCell ref="AE91:AG91"/>
    <mergeCell ref="AH92:AJ92"/>
    <mergeCell ref="AK92:AM92"/>
    <mergeCell ref="BI92:BV92"/>
    <mergeCell ref="D92:K92"/>
    <mergeCell ref="L92:O92"/>
    <mergeCell ref="P92:S92"/>
    <mergeCell ref="T92:W92"/>
    <mergeCell ref="X92:AA92"/>
    <mergeCell ref="AB92:AD92"/>
    <mergeCell ref="AE92:AG92"/>
    <mergeCell ref="AH89:AJ89"/>
    <mergeCell ref="AK89:AM89"/>
    <mergeCell ref="BI89:BV89"/>
    <mergeCell ref="D89:K89"/>
    <mergeCell ref="L89:O89"/>
    <mergeCell ref="P89:S89"/>
    <mergeCell ref="T89:W89"/>
    <mergeCell ref="X89:AA89"/>
    <mergeCell ref="AB89:AD89"/>
    <mergeCell ref="AE89:AG89"/>
    <mergeCell ref="AH90:AJ90"/>
    <mergeCell ref="AK90:AM90"/>
    <mergeCell ref="BI90:BV90"/>
    <mergeCell ref="D90:K90"/>
    <mergeCell ref="L90:O90"/>
    <mergeCell ref="P90:S90"/>
    <mergeCell ref="T90:W90"/>
    <mergeCell ref="X90:AA90"/>
    <mergeCell ref="AB90:AD90"/>
    <mergeCell ref="AE90:AG90"/>
    <mergeCell ref="AH87:AJ87"/>
    <mergeCell ref="AK87:AM87"/>
    <mergeCell ref="BI87:BV87"/>
    <mergeCell ref="D87:K87"/>
    <mergeCell ref="L87:O87"/>
    <mergeCell ref="P87:S87"/>
    <mergeCell ref="T87:W87"/>
    <mergeCell ref="X87:AA87"/>
    <mergeCell ref="AB87:AD87"/>
    <mergeCell ref="AE87:AG87"/>
    <mergeCell ref="AH88:AJ88"/>
    <mergeCell ref="AK88:AM88"/>
    <mergeCell ref="BI88:BV88"/>
    <mergeCell ref="D88:K88"/>
    <mergeCell ref="L88:O88"/>
    <mergeCell ref="P88:S88"/>
    <mergeCell ref="T88:W88"/>
    <mergeCell ref="X88:AA88"/>
    <mergeCell ref="AB88:AD88"/>
    <mergeCell ref="AE88:AG88"/>
    <mergeCell ref="AH85:AJ85"/>
    <mergeCell ref="AK85:AM85"/>
    <mergeCell ref="BI85:BV85"/>
    <mergeCell ref="D85:K85"/>
    <mergeCell ref="L85:O85"/>
    <mergeCell ref="P85:S85"/>
    <mergeCell ref="T85:W85"/>
    <mergeCell ref="X85:AA85"/>
    <mergeCell ref="AB85:AD85"/>
    <mergeCell ref="AE85:AG85"/>
    <mergeCell ref="AH86:AJ86"/>
    <mergeCell ref="AK86:AM86"/>
    <mergeCell ref="BI86:BV86"/>
    <mergeCell ref="D86:K86"/>
    <mergeCell ref="L86:O86"/>
    <mergeCell ref="P86:S86"/>
    <mergeCell ref="T86:W86"/>
    <mergeCell ref="X86:AA86"/>
    <mergeCell ref="AB86:AD86"/>
    <mergeCell ref="AE86:AG86"/>
    <mergeCell ref="AH83:AJ83"/>
    <mergeCell ref="AK83:AM83"/>
    <mergeCell ref="BI83:BV83"/>
    <mergeCell ref="D83:K83"/>
    <mergeCell ref="L83:O83"/>
    <mergeCell ref="P83:S83"/>
    <mergeCell ref="T83:W83"/>
    <mergeCell ref="X83:AA83"/>
    <mergeCell ref="AB83:AD83"/>
    <mergeCell ref="AE83:AG83"/>
    <mergeCell ref="AH84:AJ84"/>
    <mergeCell ref="AK84:AM84"/>
    <mergeCell ref="BI84:BV84"/>
    <mergeCell ref="D84:K84"/>
    <mergeCell ref="L84:O84"/>
    <mergeCell ref="P84:S84"/>
    <mergeCell ref="T84:W84"/>
    <mergeCell ref="X84:AA84"/>
    <mergeCell ref="AB84:AD84"/>
    <mergeCell ref="AE84:AG84"/>
    <mergeCell ref="AH81:AJ81"/>
    <mergeCell ref="AK81:AM81"/>
    <mergeCell ref="BI81:BV81"/>
    <mergeCell ref="D81:K81"/>
    <mergeCell ref="L81:O81"/>
    <mergeCell ref="P81:S81"/>
    <mergeCell ref="T81:W81"/>
    <mergeCell ref="X81:AA81"/>
    <mergeCell ref="AB81:AD81"/>
    <mergeCell ref="AE81:AG81"/>
    <mergeCell ref="AH82:AJ82"/>
    <mergeCell ref="AK82:AM82"/>
    <mergeCell ref="BI82:BV82"/>
    <mergeCell ref="D82:K82"/>
    <mergeCell ref="L82:O82"/>
    <mergeCell ref="P82:S82"/>
    <mergeCell ref="T82:W82"/>
    <mergeCell ref="X82:AA82"/>
    <mergeCell ref="AB82:AD82"/>
    <mergeCell ref="AE82:AG82"/>
    <mergeCell ref="AH79:AJ79"/>
    <mergeCell ref="AK79:AM79"/>
    <mergeCell ref="BI79:BV79"/>
    <mergeCell ref="D79:K79"/>
    <mergeCell ref="L79:O79"/>
    <mergeCell ref="P79:S79"/>
    <mergeCell ref="T79:W79"/>
    <mergeCell ref="X79:AA79"/>
    <mergeCell ref="AB79:AD79"/>
    <mergeCell ref="AE79:AG79"/>
    <mergeCell ref="AH80:AJ80"/>
    <mergeCell ref="AK80:AM80"/>
    <mergeCell ref="BI80:BV80"/>
    <mergeCell ref="D80:K80"/>
    <mergeCell ref="L80:O80"/>
    <mergeCell ref="P80:S80"/>
    <mergeCell ref="T80:W80"/>
    <mergeCell ref="X80:AA80"/>
    <mergeCell ref="AB80:AD80"/>
    <mergeCell ref="AE80:AG80"/>
    <mergeCell ref="AH77:AJ77"/>
    <mergeCell ref="AK77:AM77"/>
    <mergeCell ref="BI77:BV77"/>
    <mergeCell ref="D77:K77"/>
    <mergeCell ref="L77:O77"/>
    <mergeCell ref="P77:S77"/>
    <mergeCell ref="T77:W77"/>
    <mergeCell ref="X77:AA77"/>
    <mergeCell ref="AB77:AD77"/>
    <mergeCell ref="AE77:AG77"/>
    <mergeCell ref="AH78:AJ78"/>
    <mergeCell ref="AK78:AM78"/>
    <mergeCell ref="BI78:BV78"/>
    <mergeCell ref="D78:K78"/>
    <mergeCell ref="L78:O78"/>
    <mergeCell ref="P78:S78"/>
    <mergeCell ref="T78:W78"/>
    <mergeCell ref="X78:AA78"/>
    <mergeCell ref="AB78:AD78"/>
    <mergeCell ref="AE78:AG78"/>
    <mergeCell ref="AH75:AJ75"/>
    <mergeCell ref="AK75:AM75"/>
    <mergeCell ref="BI75:BV75"/>
    <mergeCell ref="D75:K75"/>
    <mergeCell ref="L75:O75"/>
    <mergeCell ref="P75:S75"/>
    <mergeCell ref="T75:W75"/>
    <mergeCell ref="X75:AA75"/>
    <mergeCell ref="AB75:AD75"/>
    <mergeCell ref="AE75:AG75"/>
    <mergeCell ref="AH76:AJ76"/>
    <mergeCell ref="AK76:AM76"/>
    <mergeCell ref="BI76:BV76"/>
    <mergeCell ref="D76:K76"/>
    <mergeCell ref="L76:O76"/>
    <mergeCell ref="P76:S76"/>
    <mergeCell ref="T76:W76"/>
    <mergeCell ref="X76:AA76"/>
    <mergeCell ref="AB76:AD76"/>
    <mergeCell ref="AE76:AG76"/>
    <mergeCell ref="AH73:AJ73"/>
    <mergeCell ref="AK73:AM73"/>
    <mergeCell ref="BI73:BV73"/>
    <mergeCell ref="D73:K73"/>
    <mergeCell ref="L73:O73"/>
    <mergeCell ref="P73:S73"/>
    <mergeCell ref="T73:W73"/>
    <mergeCell ref="X73:AA73"/>
    <mergeCell ref="AB73:AD73"/>
    <mergeCell ref="AE73:AG73"/>
    <mergeCell ref="AH74:AJ74"/>
    <mergeCell ref="AK74:AM74"/>
    <mergeCell ref="BI74:BV74"/>
    <mergeCell ref="D74:K74"/>
    <mergeCell ref="L74:O74"/>
    <mergeCell ref="P74:S74"/>
    <mergeCell ref="T74:W74"/>
    <mergeCell ref="X74:AA74"/>
    <mergeCell ref="AB74:AD74"/>
    <mergeCell ref="AE74:AG74"/>
    <mergeCell ref="AH71:AJ71"/>
    <mergeCell ref="AK71:AM71"/>
    <mergeCell ref="BI71:BV71"/>
    <mergeCell ref="D71:K71"/>
    <mergeCell ref="L71:O71"/>
    <mergeCell ref="P71:S71"/>
    <mergeCell ref="T71:W71"/>
    <mergeCell ref="X71:AA71"/>
    <mergeCell ref="AB71:AD71"/>
    <mergeCell ref="AE71:AG71"/>
    <mergeCell ref="AH72:AJ72"/>
    <mergeCell ref="AK72:AM72"/>
    <mergeCell ref="BI72:BV72"/>
    <mergeCell ref="D72:K72"/>
    <mergeCell ref="L72:O72"/>
    <mergeCell ref="P72:S72"/>
    <mergeCell ref="T72:W72"/>
    <mergeCell ref="X72:AA72"/>
    <mergeCell ref="AB72:AD72"/>
    <mergeCell ref="AE72:AG72"/>
    <mergeCell ref="AH69:AJ69"/>
    <mergeCell ref="AK69:AM69"/>
    <mergeCell ref="BI69:BV69"/>
    <mergeCell ref="D69:K69"/>
    <mergeCell ref="L69:O69"/>
    <mergeCell ref="P69:S69"/>
    <mergeCell ref="T69:W69"/>
    <mergeCell ref="X69:AA69"/>
    <mergeCell ref="AB69:AD69"/>
    <mergeCell ref="AE69:AG69"/>
    <mergeCell ref="AH70:AJ70"/>
    <mergeCell ref="AK70:AM70"/>
    <mergeCell ref="BI70:BV70"/>
    <mergeCell ref="D70:K70"/>
    <mergeCell ref="L70:O70"/>
    <mergeCell ref="P70:S70"/>
    <mergeCell ref="T70:W70"/>
    <mergeCell ref="X70:AA70"/>
    <mergeCell ref="AB70:AD70"/>
    <mergeCell ref="AE70:AG70"/>
    <mergeCell ref="AH67:AJ67"/>
    <mergeCell ref="AK67:AM67"/>
    <mergeCell ref="BI67:BV67"/>
    <mergeCell ref="D67:K67"/>
    <mergeCell ref="L67:O67"/>
    <mergeCell ref="P67:S67"/>
    <mergeCell ref="T67:W67"/>
    <mergeCell ref="X67:AA67"/>
    <mergeCell ref="AB67:AD67"/>
    <mergeCell ref="AE67:AG67"/>
    <mergeCell ref="AH68:AJ68"/>
    <mergeCell ref="AK68:AM68"/>
    <mergeCell ref="BI68:BV68"/>
    <mergeCell ref="D68:K68"/>
    <mergeCell ref="L68:O68"/>
    <mergeCell ref="P68:S68"/>
    <mergeCell ref="T68:W68"/>
    <mergeCell ref="X68:AA68"/>
    <mergeCell ref="AB68:AD68"/>
    <mergeCell ref="AE68:AG68"/>
    <mergeCell ref="AH65:AJ65"/>
    <mergeCell ref="AK65:AM65"/>
    <mergeCell ref="BI65:BV65"/>
    <mergeCell ref="D65:K65"/>
    <mergeCell ref="L65:O65"/>
    <mergeCell ref="P65:S65"/>
    <mergeCell ref="T65:W65"/>
    <mergeCell ref="X65:AA65"/>
    <mergeCell ref="AB65:AD65"/>
    <mergeCell ref="AE65:AG65"/>
    <mergeCell ref="AH66:AJ66"/>
    <mergeCell ref="AK66:AM66"/>
    <mergeCell ref="BI66:BV66"/>
    <mergeCell ref="D66:K66"/>
    <mergeCell ref="L66:O66"/>
    <mergeCell ref="P66:S66"/>
    <mergeCell ref="T66:W66"/>
    <mergeCell ref="X66:AA66"/>
    <mergeCell ref="AB66:AD66"/>
    <mergeCell ref="AE66:AG66"/>
    <mergeCell ref="AH63:AJ63"/>
    <mergeCell ref="AK63:AM63"/>
    <mergeCell ref="BI63:BV63"/>
    <mergeCell ref="D63:K63"/>
    <mergeCell ref="L63:O63"/>
    <mergeCell ref="P63:S63"/>
    <mergeCell ref="T63:W63"/>
    <mergeCell ref="X63:AA63"/>
    <mergeCell ref="AB63:AD63"/>
    <mergeCell ref="AE63:AG63"/>
    <mergeCell ref="AH64:AJ64"/>
    <mergeCell ref="AK64:AM64"/>
    <mergeCell ref="BI64:BV64"/>
    <mergeCell ref="D64:K64"/>
    <mergeCell ref="L64:O64"/>
    <mergeCell ref="P64:S64"/>
    <mergeCell ref="T64:W64"/>
    <mergeCell ref="X64:AA64"/>
    <mergeCell ref="AB64:AD64"/>
    <mergeCell ref="AE64:AG64"/>
    <mergeCell ref="AH61:AJ61"/>
    <mergeCell ref="AK61:AM61"/>
    <mergeCell ref="BI61:BV61"/>
    <mergeCell ref="D61:K61"/>
    <mergeCell ref="L61:O61"/>
    <mergeCell ref="P61:S61"/>
    <mergeCell ref="T61:W61"/>
    <mergeCell ref="X61:AA61"/>
    <mergeCell ref="AB61:AD61"/>
    <mergeCell ref="AE61:AG61"/>
    <mergeCell ref="AH62:AJ62"/>
    <mergeCell ref="AK62:AM62"/>
    <mergeCell ref="BI62:BV62"/>
    <mergeCell ref="D62:K62"/>
    <mergeCell ref="L62:O62"/>
    <mergeCell ref="P62:S62"/>
    <mergeCell ref="T62:W62"/>
    <mergeCell ref="X62:AA62"/>
    <mergeCell ref="AB62:AD62"/>
    <mergeCell ref="AE62:AG62"/>
    <mergeCell ref="AH59:AJ59"/>
    <mergeCell ref="AK59:AM59"/>
    <mergeCell ref="BI59:BV59"/>
    <mergeCell ref="D59:K59"/>
    <mergeCell ref="L59:O59"/>
    <mergeCell ref="P59:S59"/>
    <mergeCell ref="T59:W59"/>
    <mergeCell ref="X59:AA59"/>
    <mergeCell ref="AB59:AD59"/>
    <mergeCell ref="AE59:AG59"/>
    <mergeCell ref="AH60:AJ60"/>
    <mergeCell ref="AK60:AM60"/>
    <mergeCell ref="BI60:BV60"/>
    <mergeCell ref="D60:K60"/>
    <mergeCell ref="L60:O60"/>
    <mergeCell ref="P60:S60"/>
    <mergeCell ref="T60:W60"/>
    <mergeCell ref="X60:AA60"/>
    <mergeCell ref="AB60:AD60"/>
    <mergeCell ref="AE60:AG60"/>
    <mergeCell ref="AH57:AJ57"/>
    <mergeCell ref="AK57:AM57"/>
    <mergeCell ref="BI57:BV57"/>
    <mergeCell ref="D57:K57"/>
    <mergeCell ref="L57:O57"/>
    <mergeCell ref="P57:S57"/>
    <mergeCell ref="T57:W57"/>
    <mergeCell ref="X57:AA57"/>
    <mergeCell ref="AB57:AD57"/>
    <mergeCell ref="AE57:AG57"/>
    <mergeCell ref="AH58:AJ58"/>
    <mergeCell ref="AK58:AM58"/>
    <mergeCell ref="BI58:BV58"/>
    <mergeCell ref="D58:K58"/>
    <mergeCell ref="L58:O58"/>
    <mergeCell ref="P58:S58"/>
    <mergeCell ref="T58:W58"/>
    <mergeCell ref="X58:AA58"/>
    <mergeCell ref="AB58:AD58"/>
    <mergeCell ref="AE58:AG58"/>
    <mergeCell ref="AH55:AJ55"/>
    <mergeCell ref="AK55:AM55"/>
    <mergeCell ref="BI55:BV55"/>
    <mergeCell ref="D55:K55"/>
    <mergeCell ref="L55:O55"/>
    <mergeCell ref="P55:S55"/>
    <mergeCell ref="T55:W55"/>
    <mergeCell ref="X55:AA55"/>
    <mergeCell ref="AB55:AD55"/>
    <mergeCell ref="AE55:AG55"/>
    <mergeCell ref="AH56:AJ56"/>
    <mergeCell ref="AK56:AM56"/>
    <mergeCell ref="BI56:BV56"/>
    <mergeCell ref="D56:K56"/>
    <mergeCell ref="L56:O56"/>
    <mergeCell ref="P56:S56"/>
    <mergeCell ref="T56:W56"/>
    <mergeCell ref="X56:AA56"/>
    <mergeCell ref="AB56:AD56"/>
    <mergeCell ref="AE56:AG56"/>
    <mergeCell ref="AH53:AJ53"/>
    <mergeCell ref="AK53:AM53"/>
    <mergeCell ref="BI53:BV53"/>
    <mergeCell ref="D53:K53"/>
    <mergeCell ref="L53:O53"/>
    <mergeCell ref="P53:S53"/>
    <mergeCell ref="T53:W53"/>
    <mergeCell ref="X53:AA53"/>
    <mergeCell ref="AB53:AD53"/>
    <mergeCell ref="AE53:AG53"/>
    <mergeCell ref="AH54:AJ54"/>
    <mergeCell ref="AK54:AM54"/>
    <mergeCell ref="BI54:BV54"/>
    <mergeCell ref="D54:K54"/>
    <mergeCell ref="L54:O54"/>
    <mergeCell ref="P54:S54"/>
    <mergeCell ref="T54:W54"/>
    <mergeCell ref="X54:AA54"/>
    <mergeCell ref="AB54:AD54"/>
    <mergeCell ref="AE54:AG54"/>
    <mergeCell ref="AH51:AJ51"/>
    <mergeCell ref="AK51:AM51"/>
    <mergeCell ref="BI51:BV51"/>
    <mergeCell ref="D51:K51"/>
    <mergeCell ref="L51:O51"/>
    <mergeCell ref="P51:S51"/>
    <mergeCell ref="T51:W51"/>
    <mergeCell ref="X51:AA51"/>
    <mergeCell ref="AB51:AD51"/>
    <mergeCell ref="AE51:AG51"/>
    <mergeCell ref="AH52:AJ52"/>
    <mergeCell ref="AK52:AM52"/>
    <mergeCell ref="BI52:BV52"/>
    <mergeCell ref="D52:K52"/>
    <mergeCell ref="L52:O52"/>
    <mergeCell ref="P52:S52"/>
    <mergeCell ref="T52:W52"/>
    <mergeCell ref="X52:AA52"/>
    <mergeCell ref="AB52:AD52"/>
    <mergeCell ref="AE52:AG52"/>
    <mergeCell ref="AH49:AJ49"/>
    <mergeCell ref="AK49:AM49"/>
    <mergeCell ref="BI49:BV49"/>
    <mergeCell ref="D49:K49"/>
    <mergeCell ref="L49:O49"/>
    <mergeCell ref="P49:S49"/>
    <mergeCell ref="T49:W49"/>
    <mergeCell ref="X49:AA49"/>
    <mergeCell ref="AB49:AD49"/>
    <mergeCell ref="AE49:AG49"/>
    <mergeCell ref="AH50:AJ50"/>
    <mergeCell ref="AK50:AM50"/>
    <mergeCell ref="BI50:BV50"/>
    <mergeCell ref="D50:K50"/>
    <mergeCell ref="L50:O50"/>
    <mergeCell ref="P50:S50"/>
    <mergeCell ref="T50:W50"/>
    <mergeCell ref="X50:AA50"/>
    <mergeCell ref="AB50:AD50"/>
    <mergeCell ref="AE50:AG50"/>
    <mergeCell ref="AH47:AJ47"/>
    <mergeCell ref="AK47:AM47"/>
    <mergeCell ref="BI47:BV47"/>
    <mergeCell ref="D47:K47"/>
    <mergeCell ref="L47:O47"/>
    <mergeCell ref="P47:S47"/>
    <mergeCell ref="T47:W47"/>
    <mergeCell ref="X47:AA47"/>
    <mergeCell ref="AB47:AD47"/>
    <mergeCell ref="AE47:AG47"/>
    <mergeCell ref="AH48:AJ48"/>
    <mergeCell ref="AK48:AM48"/>
    <mergeCell ref="BI48:BV48"/>
    <mergeCell ref="D48:K48"/>
    <mergeCell ref="L48:O48"/>
    <mergeCell ref="P48:S48"/>
    <mergeCell ref="T48:W48"/>
    <mergeCell ref="X48:AA48"/>
    <mergeCell ref="AB48:AD48"/>
    <mergeCell ref="AE48:AG48"/>
    <mergeCell ref="AH45:AJ45"/>
    <mergeCell ref="AK45:AM45"/>
    <mergeCell ref="BI45:BV45"/>
    <mergeCell ref="D45:K45"/>
    <mergeCell ref="L45:O45"/>
    <mergeCell ref="P45:S45"/>
    <mergeCell ref="T45:W45"/>
    <mergeCell ref="X45:AA45"/>
    <mergeCell ref="AB45:AD45"/>
    <mergeCell ref="AE45:AG45"/>
    <mergeCell ref="AH46:AJ46"/>
    <mergeCell ref="AK46:AM46"/>
    <mergeCell ref="BI46:BV46"/>
    <mergeCell ref="D46:K46"/>
    <mergeCell ref="L46:O46"/>
    <mergeCell ref="P46:S46"/>
    <mergeCell ref="T46:W46"/>
    <mergeCell ref="X46:AA46"/>
    <mergeCell ref="AB46:AD46"/>
    <mergeCell ref="AE46:AG46"/>
    <mergeCell ref="AH43:AJ43"/>
    <mergeCell ref="AK43:AM43"/>
    <mergeCell ref="BI43:BV43"/>
    <mergeCell ref="D43:K43"/>
    <mergeCell ref="L43:O43"/>
    <mergeCell ref="P43:S43"/>
    <mergeCell ref="T43:W43"/>
    <mergeCell ref="X43:AA43"/>
    <mergeCell ref="AB43:AD43"/>
    <mergeCell ref="AE43:AG43"/>
    <mergeCell ref="AH44:AJ44"/>
    <mergeCell ref="AK44:AM44"/>
    <mergeCell ref="BI44:BV44"/>
    <mergeCell ref="D44:K44"/>
    <mergeCell ref="L44:O44"/>
    <mergeCell ref="P44:S44"/>
    <mergeCell ref="T44:W44"/>
    <mergeCell ref="X44:AA44"/>
    <mergeCell ref="AB44:AD44"/>
    <mergeCell ref="AE44:AG44"/>
    <mergeCell ref="AH41:AJ41"/>
    <mergeCell ref="AK41:AM41"/>
    <mergeCell ref="BI41:BV41"/>
    <mergeCell ref="D41:K41"/>
    <mergeCell ref="L41:O41"/>
    <mergeCell ref="P41:S41"/>
    <mergeCell ref="T41:W41"/>
    <mergeCell ref="X41:AA41"/>
    <mergeCell ref="AB41:AD41"/>
    <mergeCell ref="AE41:AG41"/>
    <mergeCell ref="AH42:AJ42"/>
    <mergeCell ref="AK42:AM42"/>
    <mergeCell ref="BI42:BV42"/>
    <mergeCell ref="D42:K42"/>
    <mergeCell ref="L42:O42"/>
    <mergeCell ref="P42:S42"/>
    <mergeCell ref="T42:W42"/>
    <mergeCell ref="X42:AA42"/>
    <mergeCell ref="AB42:AD42"/>
    <mergeCell ref="AE42:AG42"/>
    <mergeCell ref="AH39:AJ39"/>
    <mergeCell ref="AK39:AM39"/>
    <mergeCell ref="BI39:BV39"/>
    <mergeCell ref="D39:K39"/>
    <mergeCell ref="L39:O39"/>
    <mergeCell ref="P39:S39"/>
    <mergeCell ref="T39:W39"/>
    <mergeCell ref="X39:AA39"/>
    <mergeCell ref="AB39:AD39"/>
    <mergeCell ref="AE39:AG39"/>
    <mergeCell ref="AH40:AJ40"/>
    <mergeCell ref="AK40:AM40"/>
    <mergeCell ref="BI40:BV40"/>
    <mergeCell ref="D40:K40"/>
    <mergeCell ref="L40:O40"/>
    <mergeCell ref="P40:S40"/>
    <mergeCell ref="T40:W40"/>
    <mergeCell ref="X40:AA40"/>
    <mergeCell ref="AB40:AD40"/>
    <mergeCell ref="AE40:AG40"/>
    <mergeCell ref="AH37:AJ37"/>
    <mergeCell ref="AK37:AM37"/>
    <mergeCell ref="BI37:BV37"/>
    <mergeCell ref="D37:K37"/>
    <mergeCell ref="L37:O37"/>
    <mergeCell ref="P37:S37"/>
    <mergeCell ref="T37:W37"/>
    <mergeCell ref="X37:AA37"/>
    <mergeCell ref="AB37:AD37"/>
    <mergeCell ref="AE37:AG37"/>
    <mergeCell ref="AH38:AJ38"/>
    <mergeCell ref="AK38:AM38"/>
    <mergeCell ref="BI38:BV38"/>
    <mergeCell ref="D38:K38"/>
    <mergeCell ref="L38:O38"/>
    <mergeCell ref="P38:S38"/>
    <mergeCell ref="T38:W38"/>
    <mergeCell ref="X38:AA38"/>
    <mergeCell ref="AB38:AD38"/>
    <mergeCell ref="AE38:AG38"/>
    <mergeCell ref="AH35:AJ35"/>
    <mergeCell ref="AK35:AM35"/>
    <mergeCell ref="BI35:BV35"/>
    <mergeCell ref="D35:K35"/>
    <mergeCell ref="L35:O35"/>
    <mergeCell ref="P35:S35"/>
    <mergeCell ref="T35:W35"/>
    <mergeCell ref="X35:AA35"/>
    <mergeCell ref="AB35:AD35"/>
    <mergeCell ref="AE35:AG35"/>
    <mergeCell ref="AH36:AJ36"/>
    <mergeCell ref="AK36:AM36"/>
    <mergeCell ref="BI36:BV36"/>
    <mergeCell ref="D36:K36"/>
    <mergeCell ref="L36:O36"/>
    <mergeCell ref="P36:S36"/>
    <mergeCell ref="T36:W36"/>
    <mergeCell ref="X36:AA36"/>
    <mergeCell ref="AB36:AD36"/>
    <mergeCell ref="AE36:AG36"/>
    <mergeCell ref="AH33:AJ33"/>
    <mergeCell ref="AK33:AM33"/>
    <mergeCell ref="BI33:BV33"/>
    <mergeCell ref="D33:K33"/>
    <mergeCell ref="L33:O33"/>
    <mergeCell ref="P33:S33"/>
    <mergeCell ref="T33:W33"/>
    <mergeCell ref="X33:AA33"/>
    <mergeCell ref="AB33:AD33"/>
    <mergeCell ref="AE33:AG33"/>
    <mergeCell ref="AH34:AJ34"/>
    <mergeCell ref="AK34:AM34"/>
    <mergeCell ref="BI34:BV34"/>
    <mergeCell ref="D34:K34"/>
    <mergeCell ref="L34:O34"/>
    <mergeCell ref="P34:S34"/>
    <mergeCell ref="T34:W34"/>
    <mergeCell ref="X34:AA34"/>
    <mergeCell ref="AB34:AD34"/>
    <mergeCell ref="AE34:AG34"/>
    <mergeCell ref="AH31:AJ31"/>
    <mergeCell ref="AK31:AM31"/>
    <mergeCell ref="BI31:BV31"/>
    <mergeCell ref="D31:K31"/>
    <mergeCell ref="L31:O31"/>
    <mergeCell ref="P31:S31"/>
    <mergeCell ref="T31:W31"/>
    <mergeCell ref="X31:AA31"/>
    <mergeCell ref="AB31:AD31"/>
    <mergeCell ref="AE31:AG31"/>
    <mergeCell ref="AH32:AJ32"/>
    <mergeCell ref="AK32:AM32"/>
    <mergeCell ref="BI32:BV32"/>
    <mergeCell ref="D32:K32"/>
    <mergeCell ref="L32:O32"/>
    <mergeCell ref="P32:S32"/>
    <mergeCell ref="T32:W32"/>
    <mergeCell ref="X32:AA32"/>
    <mergeCell ref="AB32:AD32"/>
    <mergeCell ref="AE32:AG32"/>
    <mergeCell ref="AH29:AJ29"/>
    <mergeCell ref="AK29:AM29"/>
    <mergeCell ref="BI29:BV29"/>
    <mergeCell ref="D29:K29"/>
    <mergeCell ref="L29:O29"/>
    <mergeCell ref="P29:S29"/>
    <mergeCell ref="T29:W29"/>
    <mergeCell ref="X29:AA29"/>
    <mergeCell ref="AB29:AD29"/>
    <mergeCell ref="AE29:AG29"/>
    <mergeCell ref="AH30:AJ30"/>
    <mergeCell ref="AK30:AM30"/>
    <mergeCell ref="BI30:BV30"/>
    <mergeCell ref="D30:K30"/>
    <mergeCell ref="L30:O30"/>
    <mergeCell ref="P30:S30"/>
    <mergeCell ref="T30:W30"/>
    <mergeCell ref="X30:AA30"/>
    <mergeCell ref="AB30:AD30"/>
    <mergeCell ref="AE30:AG30"/>
    <mergeCell ref="AH27:AJ27"/>
    <mergeCell ref="AK27:AM27"/>
    <mergeCell ref="BI27:BV27"/>
    <mergeCell ref="D27:K27"/>
    <mergeCell ref="L27:O27"/>
    <mergeCell ref="P27:S27"/>
    <mergeCell ref="T27:W27"/>
    <mergeCell ref="X27:AA27"/>
    <mergeCell ref="AB27:AD27"/>
    <mergeCell ref="AE27:AG27"/>
    <mergeCell ref="AH28:AJ28"/>
    <mergeCell ref="AK28:AM28"/>
    <mergeCell ref="BI28:BV28"/>
    <mergeCell ref="D28:K28"/>
    <mergeCell ref="L28:O28"/>
    <mergeCell ref="P28:S28"/>
    <mergeCell ref="T28:W28"/>
    <mergeCell ref="X28:AA28"/>
    <mergeCell ref="AB28:AD28"/>
    <mergeCell ref="AE28:AG28"/>
    <mergeCell ref="AH25:AJ25"/>
    <mergeCell ref="AK25:AM25"/>
    <mergeCell ref="BI25:BV25"/>
    <mergeCell ref="D25:K25"/>
    <mergeCell ref="L25:O25"/>
    <mergeCell ref="P25:S25"/>
    <mergeCell ref="T25:W25"/>
    <mergeCell ref="X25:AA25"/>
    <mergeCell ref="AB25:AD25"/>
    <mergeCell ref="AE25:AG25"/>
    <mergeCell ref="AH26:AJ26"/>
    <mergeCell ref="AK26:AM26"/>
    <mergeCell ref="BI26:BV26"/>
    <mergeCell ref="D26:K26"/>
    <mergeCell ref="L26:O26"/>
    <mergeCell ref="P26:S26"/>
    <mergeCell ref="T26:W26"/>
    <mergeCell ref="X26:AA26"/>
    <mergeCell ref="AB26:AD26"/>
    <mergeCell ref="AE26:AG26"/>
    <mergeCell ref="AH23:AJ23"/>
    <mergeCell ref="AK23:AM23"/>
    <mergeCell ref="BI23:BV23"/>
    <mergeCell ref="D23:K23"/>
    <mergeCell ref="L23:O23"/>
    <mergeCell ref="P23:S23"/>
    <mergeCell ref="T23:W23"/>
    <mergeCell ref="X23:AA23"/>
    <mergeCell ref="AB23:AD23"/>
    <mergeCell ref="AE23:AG23"/>
    <mergeCell ref="AH24:AJ24"/>
    <mergeCell ref="AK24:AM24"/>
    <mergeCell ref="BI24:BV24"/>
    <mergeCell ref="D24:K24"/>
    <mergeCell ref="L24:O24"/>
    <mergeCell ref="P24:S24"/>
    <mergeCell ref="T24:W24"/>
    <mergeCell ref="X24:AA24"/>
    <mergeCell ref="AB24:AD24"/>
    <mergeCell ref="AE24:AG24"/>
    <mergeCell ref="AH21:AJ21"/>
    <mergeCell ref="AK21:AM21"/>
    <mergeCell ref="BI21:BV21"/>
    <mergeCell ref="D21:K21"/>
    <mergeCell ref="L21:O21"/>
    <mergeCell ref="P21:S21"/>
    <mergeCell ref="T21:W21"/>
    <mergeCell ref="X21:AA21"/>
    <mergeCell ref="AB21:AD21"/>
    <mergeCell ref="AE21:AG21"/>
    <mergeCell ref="AH22:AJ22"/>
    <mergeCell ref="AK22:AM22"/>
    <mergeCell ref="BI22:BV22"/>
    <mergeCell ref="D22:K22"/>
    <mergeCell ref="L22:O22"/>
    <mergeCell ref="P22:S22"/>
    <mergeCell ref="T22:W22"/>
    <mergeCell ref="X22:AA22"/>
    <mergeCell ref="AB22:AD22"/>
    <mergeCell ref="AE22:AG22"/>
    <mergeCell ref="AH16:AJ16"/>
    <mergeCell ref="AK16:AM16"/>
    <mergeCell ref="BI16:BV16"/>
    <mergeCell ref="D16:K16"/>
    <mergeCell ref="L16:O16"/>
    <mergeCell ref="P16:S16"/>
    <mergeCell ref="T16:W16"/>
    <mergeCell ref="X16:AA16"/>
    <mergeCell ref="AB16:AD16"/>
    <mergeCell ref="AE16:AG16"/>
    <mergeCell ref="AH17:AJ17"/>
    <mergeCell ref="AK17:AM17"/>
    <mergeCell ref="BI17:BV17"/>
    <mergeCell ref="D17:K17"/>
    <mergeCell ref="L17:O17"/>
    <mergeCell ref="P17:S17"/>
    <mergeCell ref="T17:W17"/>
    <mergeCell ref="X17:AA17"/>
    <mergeCell ref="AB17:AD17"/>
    <mergeCell ref="AE17:AG17"/>
    <mergeCell ref="BI13:BV14"/>
    <mergeCell ref="AB15:AD15"/>
    <mergeCell ref="AE15:AG15"/>
    <mergeCell ref="B12:AM12"/>
    <mergeCell ref="AN12:AY12"/>
    <mergeCell ref="AZ12:BH12"/>
    <mergeCell ref="BI12:BV12"/>
    <mergeCell ref="A13:A14"/>
    <mergeCell ref="B13:C14"/>
    <mergeCell ref="D13:K14"/>
    <mergeCell ref="AH15:AJ15"/>
    <mergeCell ref="AK15:AM15"/>
    <mergeCell ref="BI15:BV15"/>
    <mergeCell ref="T13:W14"/>
    <mergeCell ref="X13:AA14"/>
    <mergeCell ref="D15:K15"/>
    <mergeCell ref="L15:O15"/>
    <mergeCell ref="P15:S15"/>
    <mergeCell ref="T15:W15"/>
    <mergeCell ref="X15:AA15"/>
    <mergeCell ref="A7:J8"/>
    <mergeCell ref="K7:AE8"/>
    <mergeCell ref="AG7:AN7"/>
    <mergeCell ref="AO7:BA7"/>
    <mergeCell ref="AG8:AN8"/>
    <mergeCell ref="AO8:BA8"/>
    <mergeCell ref="A9:J9"/>
    <mergeCell ref="K9:Y9"/>
    <mergeCell ref="Z9:AE9"/>
    <mergeCell ref="AG9:AN9"/>
    <mergeCell ref="AO9:BA9"/>
    <mergeCell ref="A10:BH10"/>
    <mergeCell ref="A11:AR11"/>
    <mergeCell ref="L13:O14"/>
    <mergeCell ref="P13:S14"/>
    <mergeCell ref="AB13:AD14"/>
    <mergeCell ref="AE13:AG14"/>
    <mergeCell ref="AH13:AJ14"/>
    <mergeCell ref="AK13:AM14"/>
    <mergeCell ref="AZ13:AZ14"/>
    <mergeCell ref="BA13:BA14"/>
    <mergeCell ref="BB13:BB14"/>
    <mergeCell ref="BC13:BC14"/>
    <mergeCell ref="BD13:BD14"/>
    <mergeCell ref="BE13:BE14"/>
    <mergeCell ref="BF13:BF14"/>
    <mergeCell ref="BG13:BG14"/>
    <mergeCell ref="BH13:BH14"/>
    <mergeCell ref="AH507:AJ507"/>
    <mergeCell ref="AK507:AM507"/>
    <mergeCell ref="BI507:BV507"/>
    <mergeCell ref="D507:K507"/>
    <mergeCell ref="L507:O507"/>
    <mergeCell ref="P507:S507"/>
    <mergeCell ref="T507:W507"/>
    <mergeCell ref="X507:AA507"/>
    <mergeCell ref="AB507:AD507"/>
    <mergeCell ref="AE507:AG507"/>
    <mergeCell ref="B1:C1"/>
    <mergeCell ref="D1:K1"/>
    <mergeCell ref="L1:O1"/>
    <mergeCell ref="P1:S1"/>
    <mergeCell ref="T1:W1"/>
    <mergeCell ref="X1:AA1"/>
    <mergeCell ref="AB1:AD1"/>
    <mergeCell ref="AE1:AG1"/>
    <mergeCell ref="AH1:AJ1"/>
    <mergeCell ref="AK1:AM1"/>
    <mergeCell ref="BI1:BV1"/>
    <mergeCell ref="A2:BW2"/>
    <mergeCell ref="A3:BW3"/>
    <mergeCell ref="A4:BW4"/>
    <mergeCell ref="A5:J5"/>
    <mergeCell ref="K5:AE5"/>
    <mergeCell ref="AG5:AN5"/>
    <mergeCell ref="AO5:BA5"/>
    <mergeCell ref="K6:AE6"/>
    <mergeCell ref="AG6:AN6"/>
    <mergeCell ref="AO6:BA6"/>
    <mergeCell ref="A6:J6"/>
    <mergeCell ref="AH505:AJ505"/>
    <mergeCell ref="AK505:AM505"/>
    <mergeCell ref="BI505:BV505"/>
    <mergeCell ref="D505:K505"/>
    <mergeCell ref="L505:O505"/>
    <mergeCell ref="P505:S505"/>
    <mergeCell ref="T505:W505"/>
    <mergeCell ref="X505:AA505"/>
    <mergeCell ref="AB505:AD505"/>
    <mergeCell ref="AE505:AG505"/>
    <mergeCell ref="AH506:AJ506"/>
    <mergeCell ref="AK506:AM506"/>
    <mergeCell ref="BI506:BV506"/>
    <mergeCell ref="D506:K506"/>
    <mergeCell ref="L506:O506"/>
    <mergeCell ref="P506:S506"/>
    <mergeCell ref="T506:W506"/>
    <mergeCell ref="X506:AA506"/>
    <mergeCell ref="AB506:AD506"/>
    <mergeCell ref="AE506:AG506"/>
    <mergeCell ref="AH503:AJ503"/>
    <mergeCell ref="AK503:AM503"/>
    <mergeCell ref="BI503:BV503"/>
    <mergeCell ref="D503:K503"/>
    <mergeCell ref="L503:O503"/>
    <mergeCell ref="P503:S503"/>
    <mergeCell ref="T503:W503"/>
    <mergeCell ref="X503:AA503"/>
    <mergeCell ref="AB503:AD503"/>
    <mergeCell ref="AE503:AG503"/>
    <mergeCell ref="AH504:AJ504"/>
    <mergeCell ref="AK504:AM504"/>
    <mergeCell ref="BI504:BV504"/>
    <mergeCell ref="D504:K504"/>
    <mergeCell ref="L504:O504"/>
    <mergeCell ref="P504:S504"/>
    <mergeCell ref="T504:W504"/>
    <mergeCell ref="X504:AA504"/>
    <mergeCell ref="AB504:AD504"/>
    <mergeCell ref="AE504:AG504"/>
    <mergeCell ref="AH501:AJ501"/>
    <mergeCell ref="AK501:AM501"/>
    <mergeCell ref="BI501:BV501"/>
    <mergeCell ref="D501:K501"/>
    <mergeCell ref="L501:O501"/>
    <mergeCell ref="P501:S501"/>
    <mergeCell ref="T501:W501"/>
    <mergeCell ref="X501:AA501"/>
    <mergeCell ref="AB501:AD501"/>
    <mergeCell ref="AE501:AG501"/>
    <mergeCell ref="AH502:AJ502"/>
    <mergeCell ref="AK502:AM502"/>
    <mergeCell ref="BI502:BV502"/>
    <mergeCell ref="D502:K502"/>
    <mergeCell ref="L502:O502"/>
    <mergeCell ref="P502:S502"/>
    <mergeCell ref="T502:W502"/>
    <mergeCell ref="X502:AA502"/>
    <mergeCell ref="AB502:AD502"/>
    <mergeCell ref="AE502:AG502"/>
    <mergeCell ref="AH499:AJ499"/>
    <mergeCell ref="AK499:AM499"/>
    <mergeCell ref="BI499:BV499"/>
    <mergeCell ref="D499:K499"/>
    <mergeCell ref="L499:O499"/>
    <mergeCell ref="P499:S499"/>
    <mergeCell ref="T499:W499"/>
    <mergeCell ref="X499:AA499"/>
    <mergeCell ref="AB499:AD499"/>
    <mergeCell ref="AE499:AG499"/>
    <mergeCell ref="AH500:AJ500"/>
    <mergeCell ref="AK500:AM500"/>
    <mergeCell ref="BI500:BV500"/>
    <mergeCell ref="D500:K500"/>
    <mergeCell ref="L500:O500"/>
    <mergeCell ref="P500:S500"/>
    <mergeCell ref="T500:W500"/>
    <mergeCell ref="X500:AA500"/>
    <mergeCell ref="AB500:AD500"/>
    <mergeCell ref="AE500:AG500"/>
    <mergeCell ref="AH497:AJ497"/>
    <mergeCell ref="AK497:AM497"/>
    <mergeCell ref="BI497:BV497"/>
    <mergeCell ref="D497:K497"/>
    <mergeCell ref="L497:O497"/>
    <mergeCell ref="P497:S497"/>
    <mergeCell ref="T497:W497"/>
    <mergeCell ref="X497:AA497"/>
    <mergeCell ref="AB497:AD497"/>
    <mergeCell ref="AE497:AG497"/>
    <mergeCell ref="AH498:AJ498"/>
    <mergeCell ref="AK498:AM498"/>
    <mergeCell ref="BI498:BV498"/>
    <mergeCell ref="D498:K498"/>
    <mergeCell ref="L498:O498"/>
    <mergeCell ref="P498:S498"/>
    <mergeCell ref="T498:W498"/>
    <mergeCell ref="X498:AA498"/>
    <mergeCell ref="AB498:AD498"/>
    <mergeCell ref="AE498:AG498"/>
    <mergeCell ref="AH495:AJ495"/>
    <mergeCell ref="AK495:AM495"/>
    <mergeCell ref="BI495:BV495"/>
    <mergeCell ref="D495:K495"/>
    <mergeCell ref="L495:O495"/>
    <mergeCell ref="P495:S495"/>
    <mergeCell ref="T495:W495"/>
    <mergeCell ref="X495:AA495"/>
    <mergeCell ref="AB495:AD495"/>
    <mergeCell ref="AE495:AG495"/>
    <mergeCell ref="AH496:AJ496"/>
    <mergeCell ref="AK496:AM496"/>
    <mergeCell ref="BI496:BV496"/>
    <mergeCell ref="D496:K496"/>
    <mergeCell ref="L496:O496"/>
    <mergeCell ref="P496:S496"/>
    <mergeCell ref="T496:W496"/>
    <mergeCell ref="X496:AA496"/>
    <mergeCell ref="AB496:AD496"/>
    <mergeCell ref="AE496:AG496"/>
    <mergeCell ref="AH493:AJ493"/>
    <mergeCell ref="AK493:AM493"/>
    <mergeCell ref="BI493:BV493"/>
    <mergeCell ref="D493:K493"/>
    <mergeCell ref="L493:O493"/>
    <mergeCell ref="P493:S493"/>
    <mergeCell ref="T493:W493"/>
    <mergeCell ref="X493:AA493"/>
    <mergeCell ref="AB493:AD493"/>
    <mergeCell ref="AE493:AG493"/>
    <mergeCell ref="AH494:AJ494"/>
    <mergeCell ref="AK494:AM494"/>
    <mergeCell ref="BI494:BV494"/>
    <mergeCell ref="D494:K494"/>
    <mergeCell ref="L494:O494"/>
    <mergeCell ref="P494:S494"/>
    <mergeCell ref="T494:W494"/>
    <mergeCell ref="X494:AA494"/>
    <mergeCell ref="AB494:AD494"/>
    <mergeCell ref="AE494:AG494"/>
    <mergeCell ref="AH491:AJ491"/>
    <mergeCell ref="AK491:AM491"/>
    <mergeCell ref="BI491:BV491"/>
    <mergeCell ref="D491:K491"/>
    <mergeCell ref="L491:O491"/>
    <mergeCell ref="P491:S491"/>
    <mergeCell ref="T491:W491"/>
    <mergeCell ref="X491:AA491"/>
    <mergeCell ref="AB491:AD491"/>
    <mergeCell ref="AE491:AG491"/>
    <mergeCell ref="AH492:AJ492"/>
    <mergeCell ref="AK492:AM492"/>
    <mergeCell ref="BI492:BV492"/>
    <mergeCell ref="D492:K492"/>
    <mergeCell ref="L492:O492"/>
    <mergeCell ref="P492:S492"/>
    <mergeCell ref="T492:W492"/>
    <mergeCell ref="X492:AA492"/>
    <mergeCell ref="AB492:AD492"/>
    <mergeCell ref="AE492:AG492"/>
    <mergeCell ref="AH489:AJ489"/>
    <mergeCell ref="AK489:AM489"/>
    <mergeCell ref="BI489:BV489"/>
    <mergeCell ref="D489:K489"/>
    <mergeCell ref="L489:O489"/>
    <mergeCell ref="P489:S489"/>
    <mergeCell ref="T489:W489"/>
    <mergeCell ref="X489:AA489"/>
    <mergeCell ref="AB489:AD489"/>
    <mergeCell ref="AE489:AG489"/>
    <mergeCell ref="AH490:AJ490"/>
    <mergeCell ref="AK490:AM490"/>
    <mergeCell ref="BI490:BV490"/>
    <mergeCell ref="D490:K490"/>
    <mergeCell ref="L490:O490"/>
    <mergeCell ref="P490:S490"/>
    <mergeCell ref="T490:W490"/>
    <mergeCell ref="X490:AA490"/>
    <mergeCell ref="AB490:AD490"/>
    <mergeCell ref="AE490:AG490"/>
    <mergeCell ref="AH487:AJ487"/>
    <mergeCell ref="AK487:AM487"/>
    <mergeCell ref="BI487:BV487"/>
    <mergeCell ref="D487:K487"/>
    <mergeCell ref="L487:O487"/>
    <mergeCell ref="P487:S487"/>
    <mergeCell ref="T487:W487"/>
    <mergeCell ref="X487:AA487"/>
    <mergeCell ref="AB487:AD487"/>
    <mergeCell ref="AE487:AG487"/>
    <mergeCell ref="AH488:AJ488"/>
    <mergeCell ref="AK488:AM488"/>
    <mergeCell ref="BI488:BV488"/>
    <mergeCell ref="D488:K488"/>
    <mergeCell ref="L488:O488"/>
    <mergeCell ref="P488:S488"/>
    <mergeCell ref="T488:W488"/>
    <mergeCell ref="X488:AA488"/>
    <mergeCell ref="AB488:AD488"/>
    <mergeCell ref="AE488:AG488"/>
    <mergeCell ref="AH485:AJ485"/>
    <mergeCell ref="AK485:AM485"/>
    <mergeCell ref="BI485:BV485"/>
    <mergeCell ref="D485:K485"/>
    <mergeCell ref="L485:O485"/>
    <mergeCell ref="P485:S485"/>
    <mergeCell ref="T485:W485"/>
    <mergeCell ref="X485:AA485"/>
    <mergeCell ref="AB485:AD485"/>
    <mergeCell ref="AE485:AG485"/>
    <mergeCell ref="AH486:AJ486"/>
    <mergeCell ref="AK486:AM486"/>
    <mergeCell ref="BI486:BV486"/>
    <mergeCell ref="D486:K486"/>
    <mergeCell ref="L486:O486"/>
    <mergeCell ref="P486:S486"/>
    <mergeCell ref="T486:W486"/>
    <mergeCell ref="X486:AA486"/>
    <mergeCell ref="AB486:AD486"/>
    <mergeCell ref="AE486:AG486"/>
    <mergeCell ref="AH483:AJ483"/>
    <mergeCell ref="AK483:AM483"/>
    <mergeCell ref="BI483:BV483"/>
    <mergeCell ref="D483:K483"/>
    <mergeCell ref="L483:O483"/>
    <mergeCell ref="P483:S483"/>
    <mergeCell ref="T483:W483"/>
    <mergeCell ref="X483:AA483"/>
    <mergeCell ref="AB483:AD483"/>
    <mergeCell ref="AE483:AG483"/>
    <mergeCell ref="AH484:AJ484"/>
    <mergeCell ref="AK484:AM484"/>
    <mergeCell ref="BI484:BV484"/>
    <mergeCell ref="D484:K484"/>
    <mergeCell ref="L484:O484"/>
    <mergeCell ref="P484:S484"/>
    <mergeCell ref="T484:W484"/>
    <mergeCell ref="X484:AA484"/>
    <mergeCell ref="AB484:AD484"/>
    <mergeCell ref="AE484:AG484"/>
    <mergeCell ref="AH481:AJ481"/>
    <mergeCell ref="AK481:AM481"/>
    <mergeCell ref="BI481:BV481"/>
    <mergeCell ref="D481:K481"/>
    <mergeCell ref="L481:O481"/>
    <mergeCell ref="P481:S481"/>
    <mergeCell ref="T481:W481"/>
    <mergeCell ref="X481:AA481"/>
    <mergeCell ref="AB481:AD481"/>
    <mergeCell ref="AE481:AG481"/>
    <mergeCell ref="AH482:AJ482"/>
    <mergeCell ref="AK482:AM482"/>
    <mergeCell ref="BI482:BV482"/>
    <mergeCell ref="D482:K482"/>
    <mergeCell ref="L482:O482"/>
    <mergeCell ref="P482:S482"/>
    <mergeCell ref="T482:W482"/>
    <mergeCell ref="X482:AA482"/>
    <mergeCell ref="AB482:AD482"/>
    <mergeCell ref="AE482:AG482"/>
    <mergeCell ref="AH479:AJ479"/>
    <mergeCell ref="AK479:AM479"/>
    <mergeCell ref="BI479:BV479"/>
    <mergeCell ref="D479:K479"/>
    <mergeCell ref="L479:O479"/>
    <mergeCell ref="P479:S479"/>
    <mergeCell ref="T479:W479"/>
    <mergeCell ref="X479:AA479"/>
    <mergeCell ref="AB479:AD479"/>
    <mergeCell ref="AE479:AG479"/>
    <mergeCell ref="AH480:AJ480"/>
    <mergeCell ref="AK480:AM480"/>
    <mergeCell ref="BI480:BV480"/>
    <mergeCell ref="D480:K480"/>
    <mergeCell ref="L480:O480"/>
    <mergeCell ref="P480:S480"/>
    <mergeCell ref="T480:W480"/>
    <mergeCell ref="X480:AA480"/>
    <mergeCell ref="AB480:AD480"/>
    <mergeCell ref="AE480:AG480"/>
    <mergeCell ref="AH477:AJ477"/>
    <mergeCell ref="AK477:AM477"/>
    <mergeCell ref="BI477:BV477"/>
    <mergeCell ref="D477:K477"/>
    <mergeCell ref="L477:O477"/>
    <mergeCell ref="P477:S477"/>
    <mergeCell ref="T477:W477"/>
    <mergeCell ref="X477:AA477"/>
    <mergeCell ref="AB477:AD477"/>
    <mergeCell ref="AE477:AG477"/>
    <mergeCell ref="AH478:AJ478"/>
    <mergeCell ref="AK478:AM478"/>
    <mergeCell ref="BI478:BV478"/>
    <mergeCell ref="D478:K478"/>
    <mergeCell ref="L478:O478"/>
    <mergeCell ref="P478:S478"/>
    <mergeCell ref="T478:W478"/>
    <mergeCell ref="X478:AA478"/>
    <mergeCell ref="AB478:AD478"/>
    <mergeCell ref="AE478:AG478"/>
    <mergeCell ref="AH475:AJ475"/>
    <mergeCell ref="AK475:AM475"/>
    <mergeCell ref="BI475:BV475"/>
    <mergeCell ref="D475:K475"/>
    <mergeCell ref="L475:O475"/>
    <mergeCell ref="P475:S475"/>
    <mergeCell ref="T475:W475"/>
    <mergeCell ref="X475:AA475"/>
    <mergeCell ref="AB475:AD475"/>
    <mergeCell ref="AE475:AG475"/>
    <mergeCell ref="AH476:AJ476"/>
    <mergeCell ref="AK476:AM476"/>
    <mergeCell ref="BI476:BV476"/>
    <mergeCell ref="D476:K476"/>
    <mergeCell ref="L476:O476"/>
    <mergeCell ref="P476:S476"/>
    <mergeCell ref="T476:W476"/>
    <mergeCell ref="X476:AA476"/>
    <mergeCell ref="AB476:AD476"/>
    <mergeCell ref="AE476:AG476"/>
    <mergeCell ref="AH473:AJ473"/>
    <mergeCell ref="AK473:AM473"/>
    <mergeCell ref="BI473:BV473"/>
    <mergeCell ref="D473:K473"/>
    <mergeCell ref="L473:O473"/>
    <mergeCell ref="P473:S473"/>
    <mergeCell ref="T473:W473"/>
    <mergeCell ref="X473:AA473"/>
    <mergeCell ref="AB473:AD473"/>
    <mergeCell ref="AE473:AG473"/>
    <mergeCell ref="AH474:AJ474"/>
    <mergeCell ref="AK474:AM474"/>
    <mergeCell ref="BI474:BV474"/>
    <mergeCell ref="D474:K474"/>
    <mergeCell ref="L474:O474"/>
    <mergeCell ref="P474:S474"/>
    <mergeCell ref="T474:W474"/>
    <mergeCell ref="X474:AA474"/>
    <mergeCell ref="AB474:AD474"/>
    <mergeCell ref="AE474:AG474"/>
    <mergeCell ref="AH471:AJ471"/>
    <mergeCell ref="AK471:AM471"/>
    <mergeCell ref="BI471:BV471"/>
    <mergeCell ref="D471:K471"/>
    <mergeCell ref="L471:O471"/>
    <mergeCell ref="P471:S471"/>
    <mergeCell ref="T471:W471"/>
    <mergeCell ref="X471:AA471"/>
    <mergeCell ref="AB471:AD471"/>
    <mergeCell ref="AE471:AG471"/>
    <mergeCell ref="AH472:AJ472"/>
    <mergeCell ref="AK472:AM472"/>
    <mergeCell ref="BI472:BV472"/>
    <mergeCell ref="D472:K472"/>
    <mergeCell ref="L472:O472"/>
    <mergeCell ref="P472:S472"/>
    <mergeCell ref="T472:W472"/>
    <mergeCell ref="X472:AA472"/>
    <mergeCell ref="AB472:AD472"/>
    <mergeCell ref="AE472:AG472"/>
    <mergeCell ref="AH469:AJ469"/>
    <mergeCell ref="AK469:AM469"/>
    <mergeCell ref="BI469:BV469"/>
    <mergeCell ref="D469:K469"/>
    <mergeCell ref="L469:O469"/>
    <mergeCell ref="P469:S469"/>
    <mergeCell ref="T469:W469"/>
    <mergeCell ref="X469:AA469"/>
    <mergeCell ref="AB469:AD469"/>
    <mergeCell ref="AE469:AG469"/>
    <mergeCell ref="AH470:AJ470"/>
    <mergeCell ref="AK470:AM470"/>
    <mergeCell ref="BI470:BV470"/>
    <mergeCell ref="D470:K470"/>
    <mergeCell ref="L470:O470"/>
    <mergeCell ref="P470:S470"/>
    <mergeCell ref="T470:W470"/>
    <mergeCell ref="X470:AA470"/>
    <mergeCell ref="AB470:AD470"/>
    <mergeCell ref="AE470:AG470"/>
    <mergeCell ref="AH467:AJ467"/>
    <mergeCell ref="AK467:AM467"/>
    <mergeCell ref="BI467:BV467"/>
    <mergeCell ref="D467:K467"/>
    <mergeCell ref="L467:O467"/>
    <mergeCell ref="P467:S467"/>
    <mergeCell ref="T467:W467"/>
    <mergeCell ref="X467:AA467"/>
    <mergeCell ref="AB467:AD467"/>
    <mergeCell ref="AE467:AG467"/>
    <mergeCell ref="AH468:AJ468"/>
    <mergeCell ref="AK468:AM468"/>
    <mergeCell ref="BI468:BV468"/>
    <mergeCell ref="D468:K468"/>
    <mergeCell ref="L468:O468"/>
    <mergeCell ref="P468:S468"/>
    <mergeCell ref="T468:W468"/>
    <mergeCell ref="X468:AA468"/>
    <mergeCell ref="AB468:AD468"/>
    <mergeCell ref="AE468:AG468"/>
    <mergeCell ref="AH465:AJ465"/>
    <mergeCell ref="AK465:AM465"/>
    <mergeCell ref="BI465:BV465"/>
    <mergeCell ref="D465:K465"/>
    <mergeCell ref="L465:O465"/>
    <mergeCell ref="P465:S465"/>
    <mergeCell ref="T465:W465"/>
    <mergeCell ref="X465:AA465"/>
    <mergeCell ref="AB465:AD465"/>
    <mergeCell ref="AE465:AG465"/>
    <mergeCell ref="AH466:AJ466"/>
    <mergeCell ref="AK466:AM466"/>
    <mergeCell ref="BI466:BV466"/>
    <mergeCell ref="D466:K466"/>
    <mergeCell ref="L466:O466"/>
    <mergeCell ref="P466:S466"/>
    <mergeCell ref="T466:W466"/>
    <mergeCell ref="X466:AA466"/>
    <mergeCell ref="AB466:AD466"/>
    <mergeCell ref="AE466:AG466"/>
    <mergeCell ref="AH463:AJ463"/>
    <mergeCell ref="AK463:AM463"/>
    <mergeCell ref="BI463:BV463"/>
    <mergeCell ref="D463:K463"/>
    <mergeCell ref="L463:O463"/>
    <mergeCell ref="P463:S463"/>
    <mergeCell ref="T463:W463"/>
    <mergeCell ref="X463:AA463"/>
    <mergeCell ref="AB463:AD463"/>
    <mergeCell ref="AE463:AG463"/>
    <mergeCell ref="AH464:AJ464"/>
    <mergeCell ref="AK464:AM464"/>
    <mergeCell ref="BI464:BV464"/>
    <mergeCell ref="D464:K464"/>
    <mergeCell ref="L464:O464"/>
    <mergeCell ref="P464:S464"/>
    <mergeCell ref="T464:W464"/>
    <mergeCell ref="X464:AA464"/>
    <mergeCell ref="AB464:AD464"/>
    <mergeCell ref="AE464:AG464"/>
    <mergeCell ref="BI461:BV461"/>
    <mergeCell ref="D461:K461"/>
    <mergeCell ref="L461:O461"/>
    <mergeCell ref="P461:S461"/>
    <mergeCell ref="T461:W461"/>
    <mergeCell ref="X461:AA461"/>
    <mergeCell ref="AB461:AD461"/>
    <mergeCell ref="AE461:AG461"/>
    <mergeCell ref="AH462:AJ462"/>
    <mergeCell ref="AK462:AM462"/>
    <mergeCell ref="BI462:BV462"/>
    <mergeCell ref="D462:K462"/>
    <mergeCell ref="L462:O462"/>
    <mergeCell ref="P462:S462"/>
    <mergeCell ref="T462:W462"/>
    <mergeCell ref="X462:AA462"/>
    <mergeCell ref="AB462:AD462"/>
    <mergeCell ref="AE462:AG462"/>
    <mergeCell ref="AH528:AJ528"/>
    <mergeCell ref="AK528:AM528"/>
    <mergeCell ref="BI528:BV528"/>
    <mergeCell ref="D528:K528"/>
    <mergeCell ref="L528:O528"/>
    <mergeCell ref="P528:S528"/>
    <mergeCell ref="T528:W528"/>
    <mergeCell ref="X528:AA528"/>
    <mergeCell ref="AB528:AD528"/>
    <mergeCell ref="AE528:AG528"/>
    <mergeCell ref="AH459:AJ459"/>
    <mergeCell ref="AK459:AM459"/>
    <mergeCell ref="BI459:BV459"/>
    <mergeCell ref="D459:K459"/>
    <mergeCell ref="L459:O459"/>
    <mergeCell ref="P459:S459"/>
    <mergeCell ref="T459:W459"/>
    <mergeCell ref="X459:AA459"/>
    <mergeCell ref="AB459:AD459"/>
    <mergeCell ref="AE459:AG459"/>
    <mergeCell ref="AH460:AJ460"/>
    <mergeCell ref="AK460:AM460"/>
    <mergeCell ref="BI460:BV460"/>
    <mergeCell ref="D460:K460"/>
    <mergeCell ref="L460:O460"/>
    <mergeCell ref="P460:S460"/>
    <mergeCell ref="T460:W460"/>
    <mergeCell ref="X460:AA460"/>
    <mergeCell ref="AB460:AD460"/>
    <mergeCell ref="AE460:AG460"/>
    <mergeCell ref="AH461:AJ461"/>
    <mergeCell ref="AK461:AM461"/>
    <mergeCell ref="AH526:AJ526"/>
    <mergeCell ref="AK526:AM526"/>
    <mergeCell ref="BI526:BV526"/>
    <mergeCell ref="D526:K526"/>
    <mergeCell ref="L526:O526"/>
    <mergeCell ref="P526:S526"/>
    <mergeCell ref="T526:W526"/>
    <mergeCell ref="X526:AA526"/>
    <mergeCell ref="AB526:AD526"/>
    <mergeCell ref="AE526:AG526"/>
    <mergeCell ref="AH527:AJ527"/>
    <mergeCell ref="AK527:AM527"/>
    <mergeCell ref="BI527:BV527"/>
    <mergeCell ref="D527:K527"/>
    <mergeCell ref="L527:O527"/>
    <mergeCell ref="P527:S527"/>
    <mergeCell ref="T527:W527"/>
    <mergeCell ref="X527:AA527"/>
    <mergeCell ref="AB527:AD527"/>
    <mergeCell ref="AE527:AG527"/>
    <mergeCell ref="L523:O523"/>
    <mergeCell ref="P523:S523"/>
    <mergeCell ref="T523:W523"/>
    <mergeCell ref="X523:AA523"/>
    <mergeCell ref="AB523:AD523"/>
    <mergeCell ref="AE523:AG523"/>
    <mergeCell ref="AH524:AJ524"/>
    <mergeCell ref="AK524:AM524"/>
    <mergeCell ref="BI524:BV524"/>
    <mergeCell ref="D524:K524"/>
    <mergeCell ref="L524:O524"/>
    <mergeCell ref="P524:S524"/>
    <mergeCell ref="T524:W524"/>
    <mergeCell ref="X524:AA524"/>
    <mergeCell ref="AB524:AD524"/>
    <mergeCell ref="AE524:AG524"/>
    <mergeCell ref="AH525:AJ525"/>
    <mergeCell ref="AK525:AM525"/>
    <mergeCell ref="BI525:BV525"/>
    <mergeCell ref="D525:K525"/>
    <mergeCell ref="L525:O525"/>
    <mergeCell ref="P525:S525"/>
    <mergeCell ref="T525:W525"/>
    <mergeCell ref="X525:AA525"/>
    <mergeCell ref="AB525:AD525"/>
    <mergeCell ref="AE525:AG525"/>
    <mergeCell ref="BI20:BV20"/>
    <mergeCell ref="D20:K20"/>
    <mergeCell ref="L20:O20"/>
    <mergeCell ref="P20:S20"/>
    <mergeCell ref="T20:W20"/>
    <mergeCell ref="X20:AA20"/>
    <mergeCell ref="AB20:AD20"/>
    <mergeCell ref="AE20:AG20"/>
    <mergeCell ref="AH534:AJ534"/>
    <mergeCell ref="AK534:AM534"/>
    <mergeCell ref="BI534:BV534"/>
    <mergeCell ref="D534:K534"/>
    <mergeCell ref="L534:O534"/>
    <mergeCell ref="P534:S534"/>
    <mergeCell ref="T534:W534"/>
    <mergeCell ref="X534:AA534"/>
    <mergeCell ref="AB534:AD534"/>
    <mergeCell ref="AE534:AG534"/>
    <mergeCell ref="AH522:AJ522"/>
    <mergeCell ref="AK522:AM522"/>
    <mergeCell ref="BI522:BV522"/>
    <mergeCell ref="D522:K522"/>
    <mergeCell ref="L522:O522"/>
    <mergeCell ref="P522:S522"/>
    <mergeCell ref="T522:W522"/>
    <mergeCell ref="X522:AA522"/>
    <mergeCell ref="AB522:AD522"/>
    <mergeCell ref="AE522:AG522"/>
    <mergeCell ref="AH523:AJ523"/>
    <mergeCell ref="AK523:AM523"/>
    <mergeCell ref="BI523:BV523"/>
    <mergeCell ref="D523:K523"/>
    <mergeCell ref="AH533:AJ533"/>
    <mergeCell ref="AK533:AM533"/>
    <mergeCell ref="BI533:BV533"/>
    <mergeCell ref="D533:K533"/>
    <mergeCell ref="L533:O533"/>
    <mergeCell ref="P533:S533"/>
    <mergeCell ref="T533:W533"/>
    <mergeCell ref="X533:AA533"/>
    <mergeCell ref="AB533:AD533"/>
    <mergeCell ref="AE533:AG533"/>
    <mergeCell ref="AH18:AJ18"/>
    <mergeCell ref="AK18:AM18"/>
    <mergeCell ref="BI18:BV18"/>
    <mergeCell ref="D18:K18"/>
    <mergeCell ref="L18:O18"/>
    <mergeCell ref="P18:S18"/>
    <mergeCell ref="T18:W18"/>
    <mergeCell ref="X18:AA18"/>
    <mergeCell ref="AB18:AD18"/>
    <mergeCell ref="AE18:AG18"/>
    <mergeCell ref="AH19:AJ19"/>
    <mergeCell ref="AK19:AM19"/>
    <mergeCell ref="BI19:BV19"/>
    <mergeCell ref="D19:K19"/>
    <mergeCell ref="L19:O19"/>
    <mergeCell ref="P19:S19"/>
    <mergeCell ref="T19:W19"/>
    <mergeCell ref="X19:AA19"/>
    <mergeCell ref="AB19:AD19"/>
    <mergeCell ref="AE19:AG19"/>
    <mergeCell ref="AH20:AJ20"/>
    <mergeCell ref="AK20:AM20"/>
    <mergeCell ref="AH531:AJ531"/>
    <mergeCell ref="AK531:AM531"/>
    <mergeCell ref="BI531:BV531"/>
    <mergeCell ref="D531:K531"/>
    <mergeCell ref="L531:O531"/>
    <mergeCell ref="P531:S531"/>
    <mergeCell ref="T531:W531"/>
    <mergeCell ref="X531:AA531"/>
    <mergeCell ref="AB531:AD531"/>
    <mergeCell ref="AE531:AG531"/>
    <mergeCell ref="AH532:AJ532"/>
    <mergeCell ref="AK532:AM532"/>
    <mergeCell ref="BI532:BV532"/>
    <mergeCell ref="D532:K532"/>
    <mergeCell ref="L532:O532"/>
    <mergeCell ref="P532:S532"/>
    <mergeCell ref="T532:W532"/>
    <mergeCell ref="X532:AA532"/>
    <mergeCell ref="AB532:AD532"/>
    <mergeCell ref="AE532:AG532"/>
    <mergeCell ref="AH529:AJ529"/>
    <mergeCell ref="AK529:AM529"/>
    <mergeCell ref="BI529:BV529"/>
    <mergeCell ref="D529:K529"/>
    <mergeCell ref="L529:O529"/>
    <mergeCell ref="P529:S529"/>
    <mergeCell ref="T529:W529"/>
    <mergeCell ref="X529:AA529"/>
    <mergeCell ref="AB529:AD529"/>
    <mergeCell ref="AE529:AG529"/>
    <mergeCell ref="AH530:AJ530"/>
    <mergeCell ref="AK530:AM530"/>
    <mergeCell ref="BI530:BV530"/>
    <mergeCell ref="D530:K530"/>
    <mergeCell ref="L530:O530"/>
    <mergeCell ref="P530:S530"/>
    <mergeCell ref="T530:W530"/>
    <mergeCell ref="X530:AA530"/>
    <mergeCell ref="AB530:AD530"/>
    <mergeCell ref="AE530:AG530"/>
    <mergeCell ref="AH520:AJ520"/>
    <mergeCell ref="AK520:AM520"/>
    <mergeCell ref="BI520:BV520"/>
    <mergeCell ref="D520:K520"/>
    <mergeCell ref="L520:O520"/>
    <mergeCell ref="P520:S520"/>
    <mergeCell ref="T520:W520"/>
    <mergeCell ref="X520:AA520"/>
    <mergeCell ref="AB520:AD520"/>
    <mergeCell ref="AE520:AG520"/>
    <mergeCell ref="AH521:AJ521"/>
    <mergeCell ref="AK521:AM521"/>
    <mergeCell ref="BI521:BV521"/>
    <mergeCell ref="D521:K521"/>
    <mergeCell ref="L521:O521"/>
    <mergeCell ref="P521:S521"/>
    <mergeCell ref="T521:W521"/>
    <mergeCell ref="X521:AA521"/>
    <mergeCell ref="AB521:AD521"/>
    <mergeCell ref="AE521:AG521"/>
    <mergeCell ref="AH518:AJ518"/>
    <mergeCell ref="AK518:AM518"/>
    <mergeCell ref="BI518:BV518"/>
    <mergeCell ref="D518:K518"/>
    <mergeCell ref="L518:O518"/>
    <mergeCell ref="P518:S518"/>
    <mergeCell ref="T518:W518"/>
    <mergeCell ref="X518:AA518"/>
    <mergeCell ref="AB518:AD518"/>
    <mergeCell ref="AE518:AG518"/>
    <mergeCell ref="AH519:AJ519"/>
    <mergeCell ref="AK519:AM519"/>
    <mergeCell ref="BI519:BV519"/>
    <mergeCell ref="D519:K519"/>
    <mergeCell ref="L519:O519"/>
    <mergeCell ref="P519:S519"/>
    <mergeCell ref="T519:W519"/>
    <mergeCell ref="X519:AA519"/>
    <mergeCell ref="AB519:AD519"/>
    <mergeCell ref="AE519:AG519"/>
    <mergeCell ref="AH516:AJ516"/>
    <mergeCell ref="AK516:AM516"/>
    <mergeCell ref="BI516:BV516"/>
    <mergeCell ref="D516:K516"/>
    <mergeCell ref="L516:O516"/>
    <mergeCell ref="P516:S516"/>
    <mergeCell ref="T516:W516"/>
    <mergeCell ref="X516:AA516"/>
    <mergeCell ref="AB516:AD516"/>
    <mergeCell ref="AE516:AG516"/>
    <mergeCell ref="AH517:AJ517"/>
    <mergeCell ref="AK517:AM517"/>
    <mergeCell ref="BI517:BV517"/>
    <mergeCell ref="D517:K517"/>
    <mergeCell ref="L517:O517"/>
    <mergeCell ref="P517:S517"/>
    <mergeCell ref="T517:W517"/>
    <mergeCell ref="X517:AA517"/>
    <mergeCell ref="AB517:AD517"/>
    <mergeCell ref="AE517:AG517"/>
    <mergeCell ref="AH514:AJ514"/>
    <mergeCell ref="AK514:AM514"/>
    <mergeCell ref="BI514:BV514"/>
    <mergeCell ref="D514:K514"/>
    <mergeCell ref="L514:O514"/>
    <mergeCell ref="P514:S514"/>
    <mergeCell ref="T514:W514"/>
    <mergeCell ref="X514:AA514"/>
    <mergeCell ref="AB514:AD514"/>
    <mergeCell ref="AE514:AG514"/>
    <mergeCell ref="AH515:AJ515"/>
    <mergeCell ref="AK515:AM515"/>
    <mergeCell ref="BI515:BV515"/>
    <mergeCell ref="D515:K515"/>
    <mergeCell ref="L515:O515"/>
    <mergeCell ref="P515:S515"/>
    <mergeCell ref="T515:W515"/>
    <mergeCell ref="X515:AA515"/>
    <mergeCell ref="AB515:AD515"/>
    <mergeCell ref="AE515:AG515"/>
    <mergeCell ref="AH512:AJ512"/>
    <mergeCell ref="AK512:AM512"/>
    <mergeCell ref="BI512:BV512"/>
    <mergeCell ref="D512:K512"/>
    <mergeCell ref="L512:O512"/>
    <mergeCell ref="P512:S512"/>
    <mergeCell ref="T512:W512"/>
    <mergeCell ref="X512:AA512"/>
    <mergeCell ref="AB512:AD512"/>
    <mergeCell ref="AE512:AG512"/>
    <mergeCell ref="AH513:AJ513"/>
    <mergeCell ref="AK513:AM513"/>
    <mergeCell ref="BI513:BV513"/>
    <mergeCell ref="D513:K513"/>
    <mergeCell ref="L513:O513"/>
    <mergeCell ref="P513:S513"/>
    <mergeCell ref="T513:W513"/>
    <mergeCell ref="X513:AA513"/>
    <mergeCell ref="AB513:AD513"/>
    <mergeCell ref="AE513:AG513"/>
    <mergeCell ref="AH510:AJ510"/>
    <mergeCell ref="AK510:AM510"/>
    <mergeCell ref="BI510:BV510"/>
    <mergeCell ref="D510:K510"/>
    <mergeCell ref="L510:O510"/>
    <mergeCell ref="P510:S510"/>
    <mergeCell ref="T510:W510"/>
    <mergeCell ref="X510:AA510"/>
    <mergeCell ref="AB510:AD510"/>
    <mergeCell ref="AE510:AG510"/>
    <mergeCell ref="AH511:AJ511"/>
    <mergeCell ref="AK511:AM511"/>
    <mergeCell ref="BI511:BV511"/>
    <mergeCell ref="D511:K511"/>
    <mergeCell ref="L511:O511"/>
    <mergeCell ref="P511:S511"/>
    <mergeCell ref="T511:W511"/>
    <mergeCell ref="X511:AA511"/>
    <mergeCell ref="AB511:AD511"/>
    <mergeCell ref="AE511:AG511"/>
    <mergeCell ref="AH508:AJ508"/>
    <mergeCell ref="AK508:AM508"/>
    <mergeCell ref="BI508:BV508"/>
    <mergeCell ref="D508:K508"/>
    <mergeCell ref="L508:O508"/>
    <mergeCell ref="P508:S508"/>
    <mergeCell ref="T508:W508"/>
    <mergeCell ref="X508:AA508"/>
    <mergeCell ref="AB508:AD508"/>
    <mergeCell ref="AE508:AG508"/>
    <mergeCell ref="AH509:AJ509"/>
    <mergeCell ref="AK509:AM509"/>
    <mergeCell ref="BI509:BV509"/>
    <mergeCell ref="D509:K509"/>
    <mergeCell ref="L509:O509"/>
    <mergeCell ref="P509:S509"/>
    <mergeCell ref="T509:W509"/>
    <mergeCell ref="X509:AA509"/>
    <mergeCell ref="AB509:AD509"/>
    <mergeCell ref="AE509:AG509"/>
    <mergeCell ref="AH457:AJ457"/>
    <mergeCell ref="AK457:AM457"/>
    <mergeCell ref="BI457:BV457"/>
    <mergeCell ref="D457:K457"/>
    <mergeCell ref="L457:O457"/>
    <mergeCell ref="P457:S457"/>
    <mergeCell ref="T457:W457"/>
    <mergeCell ref="X457:AA457"/>
    <mergeCell ref="AB457:AD457"/>
    <mergeCell ref="AE457:AG457"/>
    <mergeCell ref="AH458:AJ458"/>
    <mergeCell ref="AK458:AM458"/>
    <mergeCell ref="BI458:BV458"/>
    <mergeCell ref="D458:K458"/>
    <mergeCell ref="L458:O458"/>
    <mergeCell ref="P458:S458"/>
    <mergeCell ref="T458:W458"/>
    <mergeCell ref="X458:AA458"/>
    <mergeCell ref="AB458:AD458"/>
    <mergeCell ref="AE458:AG458"/>
    <mergeCell ref="AH455:AJ455"/>
    <mergeCell ref="AK455:AM455"/>
    <mergeCell ref="BI455:BV455"/>
    <mergeCell ref="D455:K455"/>
    <mergeCell ref="L455:O455"/>
    <mergeCell ref="P455:S455"/>
    <mergeCell ref="T455:W455"/>
    <mergeCell ref="X455:AA455"/>
    <mergeCell ref="AB455:AD455"/>
    <mergeCell ref="AE455:AG455"/>
    <mergeCell ref="AH456:AJ456"/>
    <mergeCell ref="AK456:AM456"/>
    <mergeCell ref="BI456:BV456"/>
    <mergeCell ref="D456:K456"/>
    <mergeCell ref="L456:O456"/>
    <mergeCell ref="P456:S456"/>
    <mergeCell ref="T456:W456"/>
    <mergeCell ref="X456:AA456"/>
    <mergeCell ref="AB456:AD456"/>
    <mergeCell ref="AE456:AG456"/>
    <mergeCell ref="AH453:AJ453"/>
    <mergeCell ref="AK453:AM453"/>
    <mergeCell ref="BI453:BV453"/>
    <mergeCell ref="D453:K453"/>
    <mergeCell ref="L453:O453"/>
    <mergeCell ref="P453:S453"/>
    <mergeCell ref="T453:W453"/>
    <mergeCell ref="X453:AA453"/>
    <mergeCell ref="AB453:AD453"/>
    <mergeCell ref="AE453:AG453"/>
    <mergeCell ref="AH454:AJ454"/>
    <mergeCell ref="AK454:AM454"/>
    <mergeCell ref="BI454:BV454"/>
    <mergeCell ref="D454:K454"/>
    <mergeCell ref="L454:O454"/>
    <mergeCell ref="P454:S454"/>
    <mergeCell ref="T454:W454"/>
    <mergeCell ref="X454:AA454"/>
    <mergeCell ref="AB454:AD454"/>
    <mergeCell ref="AE454:AG454"/>
    <mergeCell ref="AH451:AJ451"/>
    <mergeCell ref="AK451:AM451"/>
    <mergeCell ref="BI451:BV451"/>
    <mergeCell ref="D451:K451"/>
    <mergeCell ref="L451:O451"/>
    <mergeCell ref="P451:S451"/>
    <mergeCell ref="T451:W451"/>
    <mergeCell ref="X451:AA451"/>
    <mergeCell ref="AB451:AD451"/>
    <mergeCell ref="AE451:AG451"/>
    <mergeCell ref="AH452:AJ452"/>
    <mergeCell ref="AK452:AM452"/>
    <mergeCell ref="BI452:BV452"/>
    <mergeCell ref="D452:K452"/>
    <mergeCell ref="L452:O452"/>
    <mergeCell ref="P452:S452"/>
    <mergeCell ref="T452:W452"/>
    <mergeCell ref="X452:AA452"/>
    <mergeCell ref="AB452:AD452"/>
    <mergeCell ref="AE452:AG452"/>
    <mergeCell ref="AH449:AJ449"/>
    <mergeCell ref="AK449:AM449"/>
    <mergeCell ref="BI449:BV449"/>
    <mergeCell ref="D449:K449"/>
    <mergeCell ref="L449:O449"/>
    <mergeCell ref="P449:S449"/>
    <mergeCell ref="T449:W449"/>
    <mergeCell ref="X449:AA449"/>
    <mergeCell ref="AB449:AD449"/>
    <mergeCell ref="AE449:AG449"/>
    <mergeCell ref="AH450:AJ450"/>
    <mergeCell ref="AK450:AM450"/>
    <mergeCell ref="BI450:BV450"/>
    <mergeCell ref="D450:K450"/>
    <mergeCell ref="L450:O450"/>
    <mergeCell ref="P450:S450"/>
    <mergeCell ref="T450:W450"/>
    <mergeCell ref="X450:AA450"/>
    <mergeCell ref="AB450:AD450"/>
    <mergeCell ref="AE450:AG450"/>
    <mergeCell ref="AH447:AJ447"/>
    <mergeCell ref="AK447:AM447"/>
    <mergeCell ref="BI447:BV447"/>
    <mergeCell ref="D447:K447"/>
    <mergeCell ref="L447:O447"/>
    <mergeCell ref="P447:S447"/>
    <mergeCell ref="T447:W447"/>
    <mergeCell ref="X447:AA447"/>
    <mergeCell ref="AB447:AD447"/>
    <mergeCell ref="AE447:AG447"/>
    <mergeCell ref="AH448:AJ448"/>
    <mergeCell ref="AK448:AM448"/>
    <mergeCell ref="BI448:BV448"/>
    <mergeCell ref="D448:K448"/>
    <mergeCell ref="L448:O448"/>
    <mergeCell ref="P448:S448"/>
    <mergeCell ref="T448:W448"/>
    <mergeCell ref="X448:AA448"/>
    <mergeCell ref="AB448:AD448"/>
    <mergeCell ref="AE448:AG448"/>
    <mergeCell ref="AH445:AJ445"/>
    <mergeCell ref="AK445:AM445"/>
    <mergeCell ref="BI445:BV445"/>
    <mergeCell ref="D445:K445"/>
    <mergeCell ref="L445:O445"/>
    <mergeCell ref="P445:S445"/>
    <mergeCell ref="T445:W445"/>
    <mergeCell ref="X445:AA445"/>
    <mergeCell ref="AB445:AD445"/>
    <mergeCell ref="AE445:AG445"/>
    <mergeCell ref="AH446:AJ446"/>
    <mergeCell ref="AK446:AM446"/>
    <mergeCell ref="BI446:BV446"/>
    <mergeCell ref="D446:K446"/>
    <mergeCell ref="L446:O446"/>
    <mergeCell ref="P446:S446"/>
    <mergeCell ref="T446:W446"/>
    <mergeCell ref="X446:AA446"/>
    <mergeCell ref="AB446:AD446"/>
    <mergeCell ref="AE446:AG446"/>
    <mergeCell ref="AH443:AJ443"/>
    <mergeCell ref="AK443:AM443"/>
    <mergeCell ref="BI443:BV443"/>
    <mergeCell ref="D443:K443"/>
    <mergeCell ref="L443:O443"/>
    <mergeCell ref="P443:S443"/>
    <mergeCell ref="T443:W443"/>
    <mergeCell ref="X443:AA443"/>
    <mergeCell ref="AB443:AD443"/>
    <mergeCell ref="AE443:AG443"/>
    <mergeCell ref="AH444:AJ444"/>
    <mergeCell ref="AK444:AM444"/>
    <mergeCell ref="BI444:BV444"/>
    <mergeCell ref="D444:K444"/>
    <mergeCell ref="L444:O444"/>
    <mergeCell ref="P444:S444"/>
    <mergeCell ref="T444:W444"/>
    <mergeCell ref="X444:AA444"/>
    <mergeCell ref="AB444:AD444"/>
    <mergeCell ref="AE444:AG444"/>
    <mergeCell ref="AH441:AJ441"/>
    <mergeCell ref="AK441:AM441"/>
    <mergeCell ref="BI441:BV441"/>
    <mergeCell ref="D441:K441"/>
    <mergeCell ref="L441:O441"/>
    <mergeCell ref="P441:S441"/>
    <mergeCell ref="T441:W441"/>
    <mergeCell ref="X441:AA441"/>
    <mergeCell ref="AB441:AD441"/>
    <mergeCell ref="AE441:AG441"/>
    <mergeCell ref="AH442:AJ442"/>
    <mergeCell ref="AK442:AM442"/>
    <mergeCell ref="BI442:BV442"/>
    <mergeCell ref="D442:K442"/>
    <mergeCell ref="L442:O442"/>
    <mergeCell ref="P442:S442"/>
    <mergeCell ref="T442:W442"/>
    <mergeCell ref="X442:AA442"/>
    <mergeCell ref="AB442:AD442"/>
    <mergeCell ref="AE442:AG442"/>
    <mergeCell ref="AH439:AJ439"/>
    <mergeCell ref="AK439:AM439"/>
    <mergeCell ref="BI439:BV439"/>
    <mergeCell ref="D439:K439"/>
    <mergeCell ref="L439:O439"/>
    <mergeCell ref="P439:S439"/>
    <mergeCell ref="T439:W439"/>
    <mergeCell ref="X439:AA439"/>
    <mergeCell ref="AB439:AD439"/>
    <mergeCell ref="AE439:AG439"/>
    <mergeCell ref="AH440:AJ440"/>
    <mergeCell ref="AK440:AM440"/>
    <mergeCell ref="BI440:BV440"/>
    <mergeCell ref="D440:K440"/>
    <mergeCell ref="L440:O440"/>
    <mergeCell ref="P440:S440"/>
    <mergeCell ref="T440:W440"/>
    <mergeCell ref="X440:AA440"/>
    <mergeCell ref="AB440:AD440"/>
    <mergeCell ref="AE440:AG440"/>
    <mergeCell ref="AH437:AJ437"/>
    <mergeCell ref="AK437:AM437"/>
    <mergeCell ref="BI437:BV437"/>
    <mergeCell ref="D437:K437"/>
    <mergeCell ref="L437:O437"/>
    <mergeCell ref="P437:S437"/>
    <mergeCell ref="T437:W437"/>
    <mergeCell ref="X437:AA437"/>
    <mergeCell ref="AB437:AD437"/>
    <mergeCell ref="AE437:AG437"/>
    <mergeCell ref="AH438:AJ438"/>
    <mergeCell ref="AK438:AM438"/>
    <mergeCell ref="BI438:BV438"/>
    <mergeCell ref="D438:K438"/>
    <mergeCell ref="L438:O438"/>
    <mergeCell ref="P438:S438"/>
    <mergeCell ref="T438:W438"/>
    <mergeCell ref="X438:AA438"/>
    <mergeCell ref="AB438:AD438"/>
    <mergeCell ref="AE438:AG438"/>
    <mergeCell ref="AH435:AJ435"/>
    <mergeCell ref="AK435:AM435"/>
    <mergeCell ref="BI435:BV435"/>
    <mergeCell ref="D435:K435"/>
    <mergeCell ref="L435:O435"/>
    <mergeCell ref="P435:S435"/>
    <mergeCell ref="T435:W435"/>
    <mergeCell ref="X435:AA435"/>
    <mergeCell ref="AB435:AD435"/>
    <mergeCell ref="AE435:AG435"/>
    <mergeCell ref="AH436:AJ436"/>
    <mergeCell ref="AK436:AM436"/>
    <mergeCell ref="BI436:BV436"/>
    <mergeCell ref="D436:K436"/>
    <mergeCell ref="L436:O436"/>
    <mergeCell ref="P436:S436"/>
    <mergeCell ref="T436:W436"/>
    <mergeCell ref="X436:AA436"/>
    <mergeCell ref="AB436:AD436"/>
    <mergeCell ref="AE436:AG436"/>
    <mergeCell ref="AH433:AJ433"/>
    <mergeCell ref="AK433:AM433"/>
    <mergeCell ref="BI433:BV433"/>
    <mergeCell ref="D433:K433"/>
    <mergeCell ref="L433:O433"/>
    <mergeCell ref="P433:S433"/>
    <mergeCell ref="T433:W433"/>
    <mergeCell ref="X433:AA433"/>
    <mergeCell ref="AB433:AD433"/>
    <mergeCell ref="AE433:AG433"/>
    <mergeCell ref="AH434:AJ434"/>
    <mergeCell ref="AK434:AM434"/>
    <mergeCell ref="BI434:BV434"/>
    <mergeCell ref="D434:K434"/>
    <mergeCell ref="L434:O434"/>
    <mergeCell ref="P434:S434"/>
    <mergeCell ref="T434:W434"/>
    <mergeCell ref="X434:AA434"/>
    <mergeCell ref="AB434:AD434"/>
    <mergeCell ref="AE434:AG434"/>
    <mergeCell ref="AH431:AJ431"/>
    <mergeCell ref="AK431:AM431"/>
    <mergeCell ref="BI431:BV431"/>
    <mergeCell ref="D431:K431"/>
    <mergeCell ref="L431:O431"/>
    <mergeCell ref="P431:S431"/>
    <mergeCell ref="T431:W431"/>
    <mergeCell ref="X431:AA431"/>
    <mergeCell ref="AB431:AD431"/>
    <mergeCell ref="AE431:AG431"/>
    <mergeCell ref="AH432:AJ432"/>
    <mergeCell ref="AK432:AM432"/>
    <mergeCell ref="BI432:BV432"/>
    <mergeCell ref="D432:K432"/>
    <mergeCell ref="L432:O432"/>
    <mergeCell ref="P432:S432"/>
    <mergeCell ref="T432:W432"/>
    <mergeCell ref="X432:AA432"/>
    <mergeCell ref="AB432:AD432"/>
    <mergeCell ref="AE432:AG432"/>
    <mergeCell ref="AH429:AJ429"/>
    <mergeCell ref="AK429:AM429"/>
    <mergeCell ref="BI429:BV429"/>
    <mergeCell ref="D429:K429"/>
    <mergeCell ref="L429:O429"/>
    <mergeCell ref="P429:S429"/>
    <mergeCell ref="T429:W429"/>
    <mergeCell ref="X429:AA429"/>
    <mergeCell ref="AB429:AD429"/>
    <mergeCell ref="AE429:AG429"/>
    <mergeCell ref="AH430:AJ430"/>
    <mergeCell ref="AK430:AM430"/>
    <mergeCell ref="BI430:BV430"/>
    <mergeCell ref="D430:K430"/>
    <mergeCell ref="L430:O430"/>
    <mergeCell ref="P430:S430"/>
    <mergeCell ref="T430:W430"/>
    <mergeCell ref="X430:AA430"/>
    <mergeCell ref="AB430:AD430"/>
    <mergeCell ref="AE430:AG430"/>
    <mergeCell ref="AH427:AJ427"/>
    <mergeCell ref="AK427:AM427"/>
    <mergeCell ref="BI427:BV427"/>
    <mergeCell ref="D427:K427"/>
    <mergeCell ref="L427:O427"/>
    <mergeCell ref="P427:S427"/>
    <mergeCell ref="T427:W427"/>
    <mergeCell ref="X427:AA427"/>
    <mergeCell ref="AB427:AD427"/>
    <mergeCell ref="AE427:AG427"/>
    <mergeCell ref="AH428:AJ428"/>
    <mergeCell ref="AK428:AM428"/>
    <mergeCell ref="BI428:BV428"/>
    <mergeCell ref="D428:K428"/>
    <mergeCell ref="L428:O428"/>
    <mergeCell ref="P428:S428"/>
    <mergeCell ref="T428:W428"/>
    <mergeCell ref="X428:AA428"/>
    <mergeCell ref="AB428:AD428"/>
    <mergeCell ref="AE428:AG428"/>
    <mergeCell ref="AH425:AJ425"/>
    <mergeCell ref="AK425:AM425"/>
    <mergeCell ref="BI425:BV425"/>
    <mergeCell ref="D425:K425"/>
    <mergeCell ref="L425:O425"/>
    <mergeCell ref="P425:S425"/>
    <mergeCell ref="T425:W425"/>
    <mergeCell ref="X425:AA425"/>
    <mergeCell ref="AB425:AD425"/>
    <mergeCell ref="AE425:AG425"/>
    <mergeCell ref="AH426:AJ426"/>
    <mergeCell ref="AK426:AM426"/>
    <mergeCell ref="BI426:BV426"/>
    <mergeCell ref="D426:K426"/>
    <mergeCell ref="L426:O426"/>
    <mergeCell ref="P426:S426"/>
    <mergeCell ref="T426:W426"/>
    <mergeCell ref="X426:AA426"/>
    <mergeCell ref="AB426:AD426"/>
    <mergeCell ref="AE426:AG426"/>
    <mergeCell ref="AH423:AJ423"/>
    <mergeCell ref="AK423:AM423"/>
    <mergeCell ref="BI423:BV423"/>
    <mergeCell ref="D423:K423"/>
    <mergeCell ref="L423:O423"/>
    <mergeCell ref="P423:S423"/>
    <mergeCell ref="T423:W423"/>
    <mergeCell ref="X423:AA423"/>
    <mergeCell ref="AB423:AD423"/>
    <mergeCell ref="AE423:AG423"/>
    <mergeCell ref="AH424:AJ424"/>
    <mergeCell ref="AK424:AM424"/>
    <mergeCell ref="BI424:BV424"/>
    <mergeCell ref="D424:K424"/>
    <mergeCell ref="L424:O424"/>
    <mergeCell ref="P424:S424"/>
    <mergeCell ref="T424:W424"/>
    <mergeCell ref="X424:AA424"/>
    <mergeCell ref="AB424:AD424"/>
    <mergeCell ref="AE424:AG424"/>
    <mergeCell ref="AH421:AJ421"/>
    <mergeCell ref="AK421:AM421"/>
    <mergeCell ref="BI421:BV421"/>
    <mergeCell ref="D421:K421"/>
    <mergeCell ref="L421:O421"/>
    <mergeCell ref="P421:S421"/>
    <mergeCell ref="T421:W421"/>
    <mergeCell ref="X421:AA421"/>
    <mergeCell ref="AB421:AD421"/>
    <mergeCell ref="AE421:AG421"/>
    <mergeCell ref="AH422:AJ422"/>
    <mergeCell ref="AK422:AM422"/>
    <mergeCell ref="BI422:BV422"/>
    <mergeCell ref="D422:K422"/>
    <mergeCell ref="L422:O422"/>
    <mergeCell ref="P422:S422"/>
    <mergeCell ref="T422:W422"/>
    <mergeCell ref="X422:AA422"/>
    <mergeCell ref="AB422:AD422"/>
    <mergeCell ref="AE422:AG422"/>
    <mergeCell ref="AH419:AJ419"/>
    <mergeCell ref="AK419:AM419"/>
    <mergeCell ref="BI419:BV419"/>
    <mergeCell ref="D419:K419"/>
    <mergeCell ref="L419:O419"/>
    <mergeCell ref="P419:S419"/>
    <mergeCell ref="T419:W419"/>
    <mergeCell ref="X419:AA419"/>
    <mergeCell ref="AB419:AD419"/>
    <mergeCell ref="AE419:AG419"/>
    <mergeCell ref="AH420:AJ420"/>
    <mergeCell ref="AK420:AM420"/>
    <mergeCell ref="BI420:BV420"/>
    <mergeCell ref="D420:K420"/>
    <mergeCell ref="L420:O420"/>
    <mergeCell ref="P420:S420"/>
    <mergeCell ref="T420:W420"/>
    <mergeCell ref="X420:AA420"/>
    <mergeCell ref="AB420:AD420"/>
    <mergeCell ref="AE420:AG420"/>
    <mergeCell ref="AH417:AJ417"/>
    <mergeCell ref="AK417:AM417"/>
    <mergeCell ref="BI417:BV417"/>
    <mergeCell ref="D417:K417"/>
    <mergeCell ref="L417:O417"/>
    <mergeCell ref="P417:S417"/>
    <mergeCell ref="T417:W417"/>
    <mergeCell ref="X417:AA417"/>
    <mergeCell ref="AB417:AD417"/>
    <mergeCell ref="AE417:AG417"/>
    <mergeCell ref="AH418:AJ418"/>
    <mergeCell ref="AK418:AM418"/>
    <mergeCell ref="BI418:BV418"/>
    <mergeCell ref="D418:K418"/>
    <mergeCell ref="L418:O418"/>
    <mergeCell ref="P418:S418"/>
    <mergeCell ref="T418:W418"/>
    <mergeCell ref="X418:AA418"/>
    <mergeCell ref="AB418:AD418"/>
    <mergeCell ref="AE418:AG418"/>
    <mergeCell ref="AH415:AJ415"/>
    <mergeCell ref="AK415:AM415"/>
    <mergeCell ref="BI415:BV415"/>
    <mergeCell ref="D415:K415"/>
    <mergeCell ref="L415:O415"/>
    <mergeCell ref="P415:S415"/>
    <mergeCell ref="T415:W415"/>
    <mergeCell ref="X415:AA415"/>
    <mergeCell ref="AB415:AD415"/>
    <mergeCell ref="AE415:AG415"/>
    <mergeCell ref="AH416:AJ416"/>
    <mergeCell ref="AK416:AM416"/>
    <mergeCell ref="BI416:BV416"/>
    <mergeCell ref="D416:K416"/>
    <mergeCell ref="L416:O416"/>
    <mergeCell ref="P416:S416"/>
    <mergeCell ref="T416:W416"/>
    <mergeCell ref="X416:AA416"/>
    <mergeCell ref="AB416:AD416"/>
    <mergeCell ref="AE416:AG416"/>
    <mergeCell ref="AH413:AJ413"/>
    <mergeCell ref="AK413:AM413"/>
    <mergeCell ref="BI413:BV413"/>
    <mergeCell ref="D413:K413"/>
    <mergeCell ref="L413:O413"/>
    <mergeCell ref="P413:S413"/>
    <mergeCell ref="T413:W413"/>
    <mergeCell ref="X413:AA413"/>
    <mergeCell ref="AB413:AD413"/>
    <mergeCell ref="AE413:AG413"/>
    <mergeCell ref="AH414:AJ414"/>
    <mergeCell ref="AK414:AM414"/>
    <mergeCell ref="BI414:BV414"/>
    <mergeCell ref="D414:K414"/>
    <mergeCell ref="L414:O414"/>
    <mergeCell ref="P414:S414"/>
    <mergeCell ref="T414:W414"/>
    <mergeCell ref="X414:AA414"/>
    <mergeCell ref="AB414:AD414"/>
    <mergeCell ref="AE414:AG414"/>
    <mergeCell ref="AH411:AJ411"/>
    <mergeCell ref="AK411:AM411"/>
    <mergeCell ref="BI411:BV411"/>
    <mergeCell ref="D411:K411"/>
    <mergeCell ref="L411:O411"/>
    <mergeCell ref="P411:S411"/>
    <mergeCell ref="T411:W411"/>
    <mergeCell ref="X411:AA411"/>
    <mergeCell ref="AB411:AD411"/>
    <mergeCell ref="AE411:AG411"/>
    <mergeCell ref="AH412:AJ412"/>
    <mergeCell ref="AK412:AM412"/>
    <mergeCell ref="BI412:BV412"/>
    <mergeCell ref="D412:K412"/>
    <mergeCell ref="L412:O412"/>
    <mergeCell ref="P412:S412"/>
    <mergeCell ref="T412:W412"/>
    <mergeCell ref="X412:AA412"/>
    <mergeCell ref="AB412:AD412"/>
    <mergeCell ref="AE412:AG412"/>
    <mergeCell ref="AH409:AJ409"/>
    <mergeCell ref="AK409:AM409"/>
    <mergeCell ref="BI409:BV409"/>
    <mergeCell ref="D409:K409"/>
    <mergeCell ref="L409:O409"/>
    <mergeCell ref="P409:S409"/>
    <mergeCell ref="T409:W409"/>
    <mergeCell ref="X409:AA409"/>
    <mergeCell ref="AB409:AD409"/>
    <mergeCell ref="AE409:AG409"/>
    <mergeCell ref="AH410:AJ410"/>
    <mergeCell ref="AK410:AM410"/>
    <mergeCell ref="BI410:BV410"/>
    <mergeCell ref="D410:K410"/>
    <mergeCell ref="L410:O410"/>
    <mergeCell ref="P410:S410"/>
    <mergeCell ref="T410:W410"/>
    <mergeCell ref="X410:AA410"/>
    <mergeCell ref="AB410:AD410"/>
    <mergeCell ref="AE410:AG410"/>
    <mergeCell ref="AH407:AJ407"/>
    <mergeCell ref="AK407:AM407"/>
    <mergeCell ref="BI407:BV407"/>
    <mergeCell ref="D407:K407"/>
    <mergeCell ref="L407:O407"/>
    <mergeCell ref="P407:S407"/>
    <mergeCell ref="T407:W407"/>
    <mergeCell ref="X407:AA407"/>
    <mergeCell ref="AB407:AD407"/>
    <mergeCell ref="AE407:AG407"/>
    <mergeCell ref="AH408:AJ408"/>
    <mergeCell ref="AK408:AM408"/>
    <mergeCell ref="BI408:BV408"/>
    <mergeCell ref="D408:K408"/>
    <mergeCell ref="L408:O408"/>
    <mergeCell ref="P408:S408"/>
    <mergeCell ref="T408:W408"/>
    <mergeCell ref="X408:AA408"/>
    <mergeCell ref="AB408:AD408"/>
    <mergeCell ref="AE408:AG408"/>
    <mergeCell ref="AH405:AJ405"/>
    <mergeCell ref="AK405:AM405"/>
    <mergeCell ref="BI405:BV405"/>
    <mergeCell ref="D405:K405"/>
    <mergeCell ref="L405:O405"/>
    <mergeCell ref="P405:S405"/>
    <mergeCell ref="T405:W405"/>
    <mergeCell ref="X405:AA405"/>
    <mergeCell ref="AB405:AD405"/>
    <mergeCell ref="AE405:AG405"/>
    <mergeCell ref="AH406:AJ406"/>
    <mergeCell ref="AK406:AM406"/>
    <mergeCell ref="BI406:BV406"/>
    <mergeCell ref="D406:K406"/>
    <mergeCell ref="L406:O406"/>
    <mergeCell ref="P406:S406"/>
    <mergeCell ref="T406:W406"/>
    <mergeCell ref="X406:AA406"/>
    <mergeCell ref="AB406:AD406"/>
    <mergeCell ref="AE406:AG406"/>
    <mergeCell ref="AH403:AJ403"/>
    <mergeCell ref="AK403:AM403"/>
    <mergeCell ref="BI403:BV403"/>
    <mergeCell ref="D403:K403"/>
    <mergeCell ref="L403:O403"/>
    <mergeCell ref="P403:S403"/>
    <mergeCell ref="T403:W403"/>
    <mergeCell ref="X403:AA403"/>
    <mergeCell ref="AB403:AD403"/>
    <mergeCell ref="AE403:AG403"/>
    <mergeCell ref="AH404:AJ404"/>
    <mergeCell ref="AK404:AM404"/>
    <mergeCell ref="BI404:BV404"/>
    <mergeCell ref="D404:K404"/>
    <mergeCell ref="L404:O404"/>
    <mergeCell ref="P404:S404"/>
    <mergeCell ref="T404:W404"/>
    <mergeCell ref="X404:AA404"/>
    <mergeCell ref="AB404:AD404"/>
    <mergeCell ref="AE404:AG404"/>
    <mergeCell ref="AH401:AJ401"/>
    <mergeCell ref="AK401:AM401"/>
    <mergeCell ref="BI401:BV401"/>
    <mergeCell ref="D401:K401"/>
    <mergeCell ref="L401:O401"/>
    <mergeCell ref="P401:S401"/>
    <mergeCell ref="T401:W401"/>
    <mergeCell ref="X401:AA401"/>
    <mergeCell ref="AB401:AD401"/>
    <mergeCell ref="AE401:AG401"/>
    <mergeCell ref="AH402:AJ402"/>
    <mergeCell ref="AK402:AM402"/>
    <mergeCell ref="BI402:BV402"/>
    <mergeCell ref="D402:K402"/>
    <mergeCell ref="L402:O402"/>
    <mergeCell ref="P402:S402"/>
    <mergeCell ref="T402:W402"/>
    <mergeCell ref="X402:AA402"/>
    <mergeCell ref="AB402:AD402"/>
    <mergeCell ref="AE402:AG402"/>
    <mergeCell ref="AH399:AJ399"/>
    <mergeCell ref="AK399:AM399"/>
    <mergeCell ref="BI399:BV399"/>
    <mergeCell ref="D399:K399"/>
    <mergeCell ref="L399:O399"/>
    <mergeCell ref="P399:S399"/>
    <mergeCell ref="T399:W399"/>
    <mergeCell ref="X399:AA399"/>
    <mergeCell ref="AB399:AD399"/>
    <mergeCell ref="AE399:AG399"/>
    <mergeCell ref="AH400:AJ400"/>
    <mergeCell ref="AK400:AM400"/>
    <mergeCell ref="BI400:BV400"/>
    <mergeCell ref="D400:K400"/>
    <mergeCell ref="L400:O400"/>
    <mergeCell ref="P400:S400"/>
    <mergeCell ref="T400:W400"/>
    <mergeCell ref="X400:AA400"/>
    <mergeCell ref="AB400:AD400"/>
    <mergeCell ref="AE400:AG400"/>
    <mergeCell ref="AH397:AJ397"/>
    <mergeCell ref="AK397:AM397"/>
    <mergeCell ref="BI397:BV397"/>
    <mergeCell ref="D397:K397"/>
    <mergeCell ref="L397:O397"/>
    <mergeCell ref="P397:S397"/>
    <mergeCell ref="T397:W397"/>
    <mergeCell ref="X397:AA397"/>
    <mergeCell ref="AB397:AD397"/>
    <mergeCell ref="AE397:AG397"/>
    <mergeCell ref="AH398:AJ398"/>
    <mergeCell ref="AK398:AM398"/>
    <mergeCell ref="BI398:BV398"/>
    <mergeCell ref="D398:K398"/>
    <mergeCell ref="L398:O398"/>
    <mergeCell ref="P398:S398"/>
    <mergeCell ref="T398:W398"/>
    <mergeCell ref="X398:AA398"/>
    <mergeCell ref="AB398:AD398"/>
    <mergeCell ref="AE398:AG398"/>
    <mergeCell ref="AH395:AJ395"/>
    <mergeCell ref="AK395:AM395"/>
    <mergeCell ref="BI395:BV395"/>
    <mergeCell ref="D395:K395"/>
    <mergeCell ref="L395:O395"/>
    <mergeCell ref="P395:S395"/>
    <mergeCell ref="T395:W395"/>
    <mergeCell ref="X395:AA395"/>
    <mergeCell ref="AB395:AD395"/>
    <mergeCell ref="AE395:AG395"/>
    <mergeCell ref="AH396:AJ396"/>
    <mergeCell ref="AK396:AM396"/>
    <mergeCell ref="BI396:BV396"/>
    <mergeCell ref="D396:K396"/>
    <mergeCell ref="L396:O396"/>
    <mergeCell ref="P396:S396"/>
    <mergeCell ref="T396:W396"/>
    <mergeCell ref="X396:AA396"/>
    <mergeCell ref="AB396:AD396"/>
    <mergeCell ref="AE396:AG396"/>
    <mergeCell ref="AH393:AJ393"/>
    <mergeCell ref="AK393:AM393"/>
    <mergeCell ref="BI393:BV393"/>
    <mergeCell ref="D393:K393"/>
    <mergeCell ref="L393:O393"/>
    <mergeCell ref="P393:S393"/>
    <mergeCell ref="T393:W393"/>
    <mergeCell ref="X393:AA393"/>
    <mergeCell ref="AB393:AD393"/>
    <mergeCell ref="AE393:AG393"/>
    <mergeCell ref="AH394:AJ394"/>
    <mergeCell ref="AK394:AM394"/>
    <mergeCell ref="BI394:BV394"/>
    <mergeCell ref="D394:K394"/>
    <mergeCell ref="L394:O394"/>
    <mergeCell ref="P394:S394"/>
    <mergeCell ref="T394:W394"/>
    <mergeCell ref="X394:AA394"/>
    <mergeCell ref="AB394:AD394"/>
    <mergeCell ref="AE394:AG394"/>
    <mergeCell ref="AH391:AJ391"/>
    <mergeCell ref="AK391:AM391"/>
    <mergeCell ref="BI391:BV391"/>
    <mergeCell ref="D391:K391"/>
    <mergeCell ref="L391:O391"/>
    <mergeCell ref="P391:S391"/>
    <mergeCell ref="T391:W391"/>
    <mergeCell ref="X391:AA391"/>
    <mergeCell ref="AB391:AD391"/>
    <mergeCell ref="AE391:AG391"/>
    <mergeCell ref="AH392:AJ392"/>
    <mergeCell ref="AK392:AM392"/>
    <mergeCell ref="BI392:BV392"/>
    <mergeCell ref="D392:K392"/>
    <mergeCell ref="L392:O392"/>
    <mergeCell ref="P392:S392"/>
    <mergeCell ref="T392:W392"/>
    <mergeCell ref="X392:AA392"/>
    <mergeCell ref="AB392:AD392"/>
    <mergeCell ref="AE392:AG392"/>
    <mergeCell ref="AH389:AJ389"/>
    <mergeCell ref="AK389:AM389"/>
    <mergeCell ref="BI389:BV389"/>
    <mergeCell ref="D389:K389"/>
    <mergeCell ref="L389:O389"/>
    <mergeCell ref="P389:S389"/>
    <mergeCell ref="T389:W389"/>
    <mergeCell ref="X389:AA389"/>
    <mergeCell ref="AB389:AD389"/>
    <mergeCell ref="AE389:AG389"/>
    <mergeCell ref="AH390:AJ390"/>
    <mergeCell ref="AK390:AM390"/>
    <mergeCell ref="BI390:BV390"/>
    <mergeCell ref="D390:K390"/>
    <mergeCell ref="L390:O390"/>
    <mergeCell ref="P390:S390"/>
    <mergeCell ref="T390:W390"/>
    <mergeCell ref="X390:AA390"/>
    <mergeCell ref="AB390:AD390"/>
    <mergeCell ref="AE390:AG390"/>
    <mergeCell ref="AH387:AJ387"/>
    <mergeCell ref="AK387:AM387"/>
    <mergeCell ref="BI387:BV387"/>
    <mergeCell ref="D387:K387"/>
    <mergeCell ref="L387:O387"/>
    <mergeCell ref="P387:S387"/>
    <mergeCell ref="T387:W387"/>
    <mergeCell ref="X387:AA387"/>
    <mergeCell ref="AB387:AD387"/>
    <mergeCell ref="AE387:AG387"/>
    <mergeCell ref="AH388:AJ388"/>
    <mergeCell ref="AK388:AM388"/>
    <mergeCell ref="BI388:BV388"/>
    <mergeCell ref="D388:K388"/>
    <mergeCell ref="L388:O388"/>
    <mergeCell ref="P388:S388"/>
    <mergeCell ref="T388:W388"/>
    <mergeCell ref="X388:AA388"/>
    <mergeCell ref="AB388:AD388"/>
    <mergeCell ref="AE388:AG388"/>
    <mergeCell ref="AH385:AJ385"/>
    <mergeCell ref="AK385:AM385"/>
    <mergeCell ref="BI385:BV385"/>
    <mergeCell ref="D385:K385"/>
    <mergeCell ref="L385:O385"/>
    <mergeCell ref="P385:S385"/>
    <mergeCell ref="T385:W385"/>
    <mergeCell ref="X385:AA385"/>
    <mergeCell ref="AB385:AD385"/>
    <mergeCell ref="AE385:AG385"/>
    <mergeCell ref="AH386:AJ386"/>
    <mergeCell ref="AK386:AM386"/>
    <mergeCell ref="BI386:BV386"/>
    <mergeCell ref="D386:K386"/>
    <mergeCell ref="L386:O386"/>
    <mergeCell ref="P386:S386"/>
    <mergeCell ref="T386:W386"/>
    <mergeCell ref="X386:AA386"/>
    <mergeCell ref="AB386:AD386"/>
    <mergeCell ref="AE386:AG386"/>
    <mergeCell ref="AH383:AJ383"/>
    <mergeCell ref="AK383:AM383"/>
    <mergeCell ref="BI383:BV383"/>
    <mergeCell ref="D383:K383"/>
    <mergeCell ref="L383:O383"/>
    <mergeCell ref="P383:S383"/>
    <mergeCell ref="T383:W383"/>
    <mergeCell ref="X383:AA383"/>
    <mergeCell ref="AB383:AD383"/>
    <mergeCell ref="AE383:AG383"/>
    <mergeCell ref="AH384:AJ384"/>
    <mergeCell ref="AK384:AM384"/>
    <mergeCell ref="BI384:BV384"/>
    <mergeCell ref="D384:K384"/>
    <mergeCell ref="L384:O384"/>
    <mergeCell ref="P384:S384"/>
    <mergeCell ref="T384:W384"/>
    <mergeCell ref="X384:AA384"/>
    <mergeCell ref="AB384:AD384"/>
    <mergeCell ref="AE384:AG384"/>
    <mergeCell ref="AH381:AJ381"/>
    <mergeCell ref="AK381:AM381"/>
    <mergeCell ref="BI381:BV381"/>
    <mergeCell ref="D381:K381"/>
    <mergeCell ref="L381:O381"/>
    <mergeCell ref="P381:S381"/>
    <mergeCell ref="T381:W381"/>
    <mergeCell ref="X381:AA381"/>
    <mergeCell ref="AB381:AD381"/>
    <mergeCell ref="AE381:AG381"/>
    <mergeCell ref="AH382:AJ382"/>
    <mergeCell ref="AK382:AM382"/>
    <mergeCell ref="BI382:BV382"/>
    <mergeCell ref="D382:K382"/>
    <mergeCell ref="L382:O382"/>
    <mergeCell ref="P382:S382"/>
    <mergeCell ref="T382:W382"/>
    <mergeCell ref="X382:AA382"/>
    <mergeCell ref="AB382:AD382"/>
    <mergeCell ref="AE382:AG382"/>
    <mergeCell ref="AH379:AJ379"/>
    <mergeCell ref="AK379:AM379"/>
    <mergeCell ref="BI379:BV379"/>
    <mergeCell ref="D379:K379"/>
    <mergeCell ref="L379:O379"/>
    <mergeCell ref="P379:S379"/>
    <mergeCell ref="T379:W379"/>
    <mergeCell ref="X379:AA379"/>
    <mergeCell ref="AB379:AD379"/>
    <mergeCell ref="AE379:AG379"/>
    <mergeCell ref="AH380:AJ380"/>
    <mergeCell ref="AK380:AM380"/>
    <mergeCell ref="BI380:BV380"/>
    <mergeCell ref="D380:K380"/>
    <mergeCell ref="L380:O380"/>
    <mergeCell ref="P380:S380"/>
    <mergeCell ref="T380:W380"/>
    <mergeCell ref="X380:AA380"/>
    <mergeCell ref="AB380:AD380"/>
    <mergeCell ref="AE380:AG380"/>
    <mergeCell ref="AH377:AJ377"/>
    <mergeCell ref="AK377:AM377"/>
    <mergeCell ref="BI377:BV377"/>
    <mergeCell ref="D377:K377"/>
    <mergeCell ref="L377:O377"/>
    <mergeCell ref="P377:S377"/>
    <mergeCell ref="T377:W377"/>
    <mergeCell ref="X377:AA377"/>
    <mergeCell ref="AB377:AD377"/>
    <mergeCell ref="AE377:AG377"/>
    <mergeCell ref="AH378:AJ378"/>
    <mergeCell ref="AK378:AM378"/>
    <mergeCell ref="BI378:BV378"/>
    <mergeCell ref="D378:K378"/>
    <mergeCell ref="L378:O378"/>
    <mergeCell ref="P378:S378"/>
    <mergeCell ref="T378:W378"/>
    <mergeCell ref="X378:AA378"/>
    <mergeCell ref="AB378:AD378"/>
    <mergeCell ref="AE378:AG378"/>
    <mergeCell ref="AH375:AJ375"/>
    <mergeCell ref="AK375:AM375"/>
    <mergeCell ref="BI375:BV375"/>
    <mergeCell ref="D375:K375"/>
    <mergeCell ref="L375:O375"/>
    <mergeCell ref="P375:S375"/>
    <mergeCell ref="T375:W375"/>
    <mergeCell ref="X375:AA375"/>
    <mergeCell ref="AB375:AD375"/>
    <mergeCell ref="AE375:AG375"/>
    <mergeCell ref="AH376:AJ376"/>
    <mergeCell ref="AK376:AM376"/>
    <mergeCell ref="BI376:BV376"/>
    <mergeCell ref="D376:K376"/>
    <mergeCell ref="L376:O376"/>
    <mergeCell ref="P376:S376"/>
    <mergeCell ref="T376:W376"/>
    <mergeCell ref="X376:AA376"/>
    <mergeCell ref="AB376:AD376"/>
    <mergeCell ref="AE376:AG376"/>
    <mergeCell ref="AH373:AJ373"/>
    <mergeCell ref="AK373:AM373"/>
    <mergeCell ref="BI373:BV373"/>
    <mergeCell ref="D373:K373"/>
    <mergeCell ref="L373:O373"/>
    <mergeCell ref="P373:S373"/>
    <mergeCell ref="T373:W373"/>
    <mergeCell ref="X373:AA373"/>
    <mergeCell ref="AB373:AD373"/>
    <mergeCell ref="AE373:AG373"/>
    <mergeCell ref="AH374:AJ374"/>
    <mergeCell ref="AK374:AM374"/>
    <mergeCell ref="BI374:BV374"/>
    <mergeCell ref="D374:K374"/>
    <mergeCell ref="L374:O374"/>
    <mergeCell ref="P374:S374"/>
    <mergeCell ref="T374:W374"/>
    <mergeCell ref="X374:AA374"/>
    <mergeCell ref="AB374:AD374"/>
    <mergeCell ref="AE374:AG374"/>
    <mergeCell ref="AH371:AJ371"/>
    <mergeCell ref="AK371:AM371"/>
    <mergeCell ref="BI371:BV371"/>
    <mergeCell ref="D371:K371"/>
    <mergeCell ref="L371:O371"/>
    <mergeCell ref="P371:S371"/>
    <mergeCell ref="T371:W371"/>
    <mergeCell ref="X371:AA371"/>
    <mergeCell ref="AB371:AD371"/>
    <mergeCell ref="AE371:AG371"/>
    <mergeCell ref="AH372:AJ372"/>
    <mergeCell ref="AK372:AM372"/>
    <mergeCell ref="BI372:BV372"/>
    <mergeCell ref="D372:K372"/>
    <mergeCell ref="L372:O372"/>
    <mergeCell ref="P372:S372"/>
    <mergeCell ref="T372:W372"/>
    <mergeCell ref="X372:AA372"/>
    <mergeCell ref="AB372:AD372"/>
    <mergeCell ref="AE372:AG372"/>
    <mergeCell ref="AH369:AJ369"/>
    <mergeCell ref="AK369:AM369"/>
    <mergeCell ref="BI369:BV369"/>
    <mergeCell ref="D369:K369"/>
    <mergeCell ref="L369:O369"/>
    <mergeCell ref="P369:S369"/>
    <mergeCell ref="T369:W369"/>
    <mergeCell ref="X369:AA369"/>
    <mergeCell ref="AB369:AD369"/>
    <mergeCell ref="AE369:AG369"/>
    <mergeCell ref="AH370:AJ370"/>
    <mergeCell ref="AK370:AM370"/>
    <mergeCell ref="BI370:BV370"/>
    <mergeCell ref="D370:K370"/>
    <mergeCell ref="L370:O370"/>
    <mergeCell ref="P370:S370"/>
    <mergeCell ref="T370:W370"/>
    <mergeCell ref="X370:AA370"/>
    <mergeCell ref="AB370:AD370"/>
    <mergeCell ref="AE370:AG370"/>
    <mergeCell ref="AH367:AJ367"/>
    <mergeCell ref="AK367:AM367"/>
    <mergeCell ref="BI367:BV367"/>
    <mergeCell ref="D367:K367"/>
    <mergeCell ref="L367:O367"/>
    <mergeCell ref="P367:S367"/>
    <mergeCell ref="T367:W367"/>
    <mergeCell ref="X367:AA367"/>
    <mergeCell ref="AB367:AD367"/>
    <mergeCell ref="AE367:AG367"/>
    <mergeCell ref="AH368:AJ368"/>
    <mergeCell ref="AK368:AM368"/>
    <mergeCell ref="BI368:BV368"/>
    <mergeCell ref="D368:K368"/>
    <mergeCell ref="L368:O368"/>
    <mergeCell ref="P368:S368"/>
    <mergeCell ref="T368:W368"/>
    <mergeCell ref="X368:AA368"/>
    <mergeCell ref="AB368:AD368"/>
    <mergeCell ref="AE368:AG368"/>
    <mergeCell ref="AH365:AJ365"/>
    <mergeCell ref="AK365:AM365"/>
    <mergeCell ref="BI365:BV365"/>
    <mergeCell ref="D365:K365"/>
    <mergeCell ref="L365:O365"/>
    <mergeCell ref="P365:S365"/>
    <mergeCell ref="T365:W365"/>
    <mergeCell ref="X365:AA365"/>
    <mergeCell ref="AB365:AD365"/>
    <mergeCell ref="AE365:AG365"/>
    <mergeCell ref="AH366:AJ366"/>
    <mergeCell ref="AK366:AM366"/>
    <mergeCell ref="BI366:BV366"/>
    <mergeCell ref="D366:K366"/>
    <mergeCell ref="L366:O366"/>
    <mergeCell ref="P366:S366"/>
    <mergeCell ref="T366:W366"/>
    <mergeCell ref="X366:AA366"/>
    <mergeCell ref="AB366:AD366"/>
    <mergeCell ref="AE366:AG366"/>
    <mergeCell ref="AH363:AJ363"/>
    <mergeCell ref="AK363:AM363"/>
    <mergeCell ref="BI363:BV363"/>
    <mergeCell ref="D363:K363"/>
    <mergeCell ref="L363:O363"/>
    <mergeCell ref="P363:S363"/>
    <mergeCell ref="T363:W363"/>
    <mergeCell ref="X363:AA363"/>
    <mergeCell ref="AB363:AD363"/>
    <mergeCell ref="AE363:AG363"/>
    <mergeCell ref="AH364:AJ364"/>
    <mergeCell ref="AK364:AM364"/>
    <mergeCell ref="BI364:BV364"/>
    <mergeCell ref="D364:K364"/>
    <mergeCell ref="L364:O364"/>
    <mergeCell ref="P364:S364"/>
    <mergeCell ref="T364:W364"/>
    <mergeCell ref="X364:AA364"/>
    <mergeCell ref="AB364:AD364"/>
    <mergeCell ref="AE364:AG364"/>
    <mergeCell ref="AH361:AJ361"/>
    <mergeCell ref="AK361:AM361"/>
    <mergeCell ref="BI361:BV361"/>
    <mergeCell ref="D361:K361"/>
    <mergeCell ref="L361:O361"/>
    <mergeCell ref="P361:S361"/>
    <mergeCell ref="T361:W361"/>
    <mergeCell ref="X361:AA361"/>
    <mergeCell ref="AB361:AD361"/>
    <mergeCell ref="AE361:AG361"/>
    <mergeCell ref="AH362:AJ362"/>
    <mergeCell ref="AK362:AM362"/>
    <mergeCell ref="BI362:BV362"/>
    <mergeCell ref="D362:K362"/>
    <mergeCell ref="L362:O362"/>
    <mergeCell ref="P362:S362"/>
    <mergeCell ref="T362:W362"/>
    <mergeCell ref="X362:AA362"/>
    <mergeCell ref="AB362:AD362"/>
    <mergeCell ref="AE362:AG362"/>
  </mergeCells>
  <pageMargins left="0.25" right="0.25" top="0.75" bottom="0.75" header="0" footer="0"/>
  <pageSetup paperSize="5"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500-000000000000}">
          <x14:formula1>
            <xm:f>'Drop-Down Boxes '!$O$98:$O$101</xm:f>
          </x14:formula1>
          <xm:sqref>D15:D534</xm:sqref>
        </x14:dataValidation>
        <x14:dataValidation type="list" allowBlank="1" showErrorMessage="1" xr:uid="{00000000-0002-0000-0500-000001000000}">
          <x14:formula1>
            <xm:f>'Drop-Down Boxes '!$H$89:$H$90</xm:f>
          </x14:formula1>
          <xm:sqref>AH15:AH534 AK15:AK534 AN15:AY534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53734"/>
  </sheetPr>
  <dimension ref="A1:BU522"/>
  <sheetViews>
    <sheetView workbookViewId="0">
      <pane ySplit="1" topLeftCell="A2" activePane="bottomLeft" state="frozen"/>
      <selection pane="bottomLeft" activeCell="A3" sqref="A3:BR3"/>
    </sheetView>
  </sheetViews>
  <sheetFormatPr defaultColWidth="14.42578125" defaultRowHeight="15" customHeight="1" x14ac:dyDescent="0.25"/>
  <cols>
    <col min="1" max="2" width="4.7109375" customWidth="1"/>
    <col min="3" max="3" width="6.28515625" customWidth="1"/>
    <col min="4" max="53" width="4.7109375" customWidth="1"/>
    <col min="54" max="55" width="5.28515625" customWidth="1"/>
    <col min="56" max="69" width="4.7109375" customWidth="1"/>
    <col min="70" max="73" width="8.85546875" customWidth="1"/>
  </cols>
  <sheetData>
    <row r="1" spans="1:73" ht="69.75" customHeight="1" x14ac:dyDescent="0.25">
      <c r="A1" s="51" t="s">
        <v>294</v>
      </c>
      <c r="B1" s="660" t="s">
        <v>482</v>
      </c>
      <c r="C1" s="351"/>
      <c r="D1" s="661" t="s">
        <v>445</v>
      </c>
      <c r="E1" s="350"/>
      <c r="F1" s="350"/>
      <c r="G1" s="351"/>
      <c r="H1" s="662" t="s">
        <v>483</v>
      </c>
      <c r="I1" s="350"/>
      <c r="J1" s="350"/>
      <c r="K1" s="351"/>
      <c r="L1" s="661" t="s">
        <v>447</v>
      </c>
      <c r="M1" s="350"/>
      <c r="N1" s="351"/>
      <c r="O1" s="662" t="s">
        <v>448</v>
      </c>
      <c r="P1" s="350"/>
      <c r="Q1" s="351"/>
      <c r="R1" s="661" t="s">
        <v>484</v>
      </c>
      <c r="S1" s="350"/>
      <c r="T1" s="351"/>
      <c r="U1" s="662" t="s">
        <v>485</v>
      </c>
      <c r="V1" s="350"/>
      <c r="W1" s="351"/>
      <c r="X1" s="52" t="s">
        <v>451</v>
      </c>
      <c r="Y1" s="53" t="s">
        <v>452</v>
      </c>
      <c r="Z1" s="52" t="s">
        <v>453</v>
      </c>
      <c r="AA1" s="53" t="s">
        <v>454</v>
      </c>
      <c r="AB1" s="52" t="s">
        <v>455</v>
      </c>
      <c r="AC1" s="53" t="s">
        <v>456</v>
      </c>
      <c r="AD1" s="52" t="s">
        <v>457</v>
      </c>
      <c r="AE1" s="53" t="s">
        <v>458</v>
      </c>
      <c r="AF1" s="52" t="s">
        <v>459</v>
      </c>
      <c r="AG1" s="53" t="s">
        <v>460</v>
      </c>
      <c r="AH1" s="52" t="s">
        <v>461</v>
      </c>
      <c r="AI1" s="53" t="s">
        <v>462</v>
      </c>
      <c r="AJ1" s="34" t="s">
        <v>463</v>
      </c>
      <c r="AK1" s="35" t="s">
        <v>464</v>
      </c>
      <c r="AL1" s="34" t="s">
        <v>465</v>
      </c>
      <c r="AM1" s="35" t="s">
        <v>466</v>
      </c>
      <c r="AN1" s="34" t="s">
        <v>467</v>
      </c>
      <c r="AO1" s="35" t="s">
        <v>468</v>
      </c>
      <c r="AP1" s="34" t="s">
        <v>469</v>
      </c>
      <c r="AQ1" s="35" t="s">
        <v>470</v>
      </c>
      <c r="AR1" s="34" t="s">
        <v>471</v>
      </c>
      <c r="AS1" s="663" t="s">
        <v>324</v>
      </c>
      <c r="AT1" s="326"/>
      <c r="AU1" s="326"/>
      <c r="AV1" s="326"/>
      <c r="AW1" s="326"/>
      <c r="AX1" s="326"/>
      <c r="AY1" s="327"/>
      <c r="AZ1" s="54"/>
      <c r="BA1" s="54"/>
      <c r="BB1" s="664" t="s">
        <v>486</v>
      </c>
      <c r="BC1" s="327"/>
      <c r="BD1" s="652" t="s">
        <v>487</v>
      </c>
      <c r="BE1" s="326"/>
      <c r="BF1" s="327"/>
      <c r="BG1" s="653" t="s">
        <v>488</v>
      </c>
      <c r="BH1" s="326"/>
      <c r="BI1" s="326"/>
      <c r="BJ1" s="327"/>
      <c r="BK1" s="654" t="s">
        <v>489</v>
      </c>
      <c r="BL1" s="326"/>
      <c r="BM1" s="327"/>
      <c r="BN1" s="55"/>
      <c r="BO1" s="55"/>
      <c r="BP1" s="655" t="s">
        <v>490</v>
      </c>
      <c r="BQ1" s="347"/>
      <c r="BR1" s="348"/>
      <c r="BS1" s="653" t="s">
        <v>491</v>
      </c>
      <c r="BT1" s="326"/>
      <c r="BU1" s="327"/>
    </row>
    <row r="2" spans="1:73" ht="15.75" customHeight="1" x14ac:dyDescent="0.25">
      <c r="A2" s="432" t="str">
        <f>'GRANTEE SET UP INFO &amp; DATE '!A1</f>
        <v>WV Bureau for Behavioral Healh - Peer Recovery Support Services  V 20200110</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54"/>
      <c r="BS2" s="56"/>
      <c r="BT2" s="56"/>
      <c r="BU2" s="56"/>
    </row>
    <row r="3" spans="1:73" ht="15" customHeight="1" x14ac:dyDescent="0.25">
      <c r="A3" s="433" t="str">
        <f>'GRANTEE SET UP INFO &amp; DATE '!A2</f>
        <v>Program reports need to be submitted electronically, via e-mail to BBHReporting@wv.gov within 25 calendar days of the end of each month.</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47"/>
      <c r="AV3" s="347"/>
      <c r="AW3" s="347"/>
      <c r="AX3" s="347"/>
      <c r="AY3" s="347"/>
      <c r="AZ3" s="347"/>
      <c r="BA3" s="347"/>
      <c r="BB3" s="347"/>
      <c r="BC3" s="347"/>
      <c r="BD3" s="347"/>
      <c r="BE3" s="347"/>
      <c r="BF3" s="347"/>
      <c r="BG3" s="347"/>
      <c r="BH3" s="347"/>
      <c r="BI3" s="347"/>
      <c r="BJ3" s="347"/>
      <c r="BK3" s="347"/>
      <c r="BL3" s="347"/>
      <c r="BM3" s="347"/>
      <c r="BN3" s="347"/>
      <c r="BO3" s="347"/>
      <c r="BP3" s="347"/>
      <c r="BQ3" s="347"/>
      <c r="BR3" s="354"/>
      <c r="BS3" s="56"/>
      <c r="BT3" s="56"/>
      <c r="BU3" s="56"/>
    </row>
    <row r="4" spans="1:73" ht="19.5" customHeight="1" x14ac:dyDescent="0.25">
      <c r="A4" s="459" t="s">
        <v>492</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54"/>
      <c r="AY4" s="9"/>
      <c r="AZ4" s="9"/>
      <c r="BA4" s="9"/>
      <c r="BB4" s="9"/>
      <c r="BC4" s="9"/>
      <c r="BD4" s="9"/>
      <c r="BE4" s="9"/>
      <c r="BF4" s="9"/>
      <c r="BG4" s="9"/>
      <c r="BH4" s="9"/>
      <c r="BI4" s="9"/>
      <c r="BJ4" s="9"/>
      <c r="BK4" s="9"/>
      <c r="BL4" s="9"/>
      <c r="BM4" s="9"/>
      <c r="BN4" s="9"/>
      <c r="BO4" s="9"/>
      <c r="BP4" s="9"/>
      <c r="BQ4" s="9"/>
      <c r="BR4" s="9"/>
      <c r="BS4" s="9"/>
      <c r="BT4" s="9"/>
      <c r="BU4" s="9"/>
    </row>
    <row r="5" spans="1:73" x14ac:dyDescent="0.25">
      <c r="A5" s="674" t="s">
        <v>493</v>
      </c>
      <c r="B5" s="350"/>
      <c r="C5" s="350"/>
      <c r="D5" s="350"/>
      <c r="E5" s="350"/>
      <c r="F5" s="350"/>
      <c r="G5" s="351"/>
      <c r="H5" s="461" t="str">
        <f>'GRANTEE SET UP INFO &amp; DATE '!H4</f>
        <v xml:space="preserve">SA Peer Recovery Support Specialist </v>
      </c>
      <c r="I5" s="338"/>
      <c r="J5" s="338"/>
      <c r="K5" s="338"/>
      <c r="L5" s="338"/>
      <c r="M5" s="338"/>
      <c r="N5" s="338"/>
      <c r="O5" s="338"/>
      <c r="P5" s="338"/>
      <c r="Q5" s="338"/>
      <c r="R5" s="338"/>
      <c r="S5" s="339"/>
      <c r="T5" s="5"/>
      <c r="U5" s="409" t="s">
        <v>31</v>
      </c>
      <c r="V5" s="326"/>
      <c r="W5" s="326"/>
      <c r="X5" s="326"/>
      <c r="Y5" s="327"/>
      <c r="Z5" s="462" t="str">
        <f>'GRANTEE SET UP INFO &amp; DATE '!Z4</f>
        <v xml:space="preserve">Grantee formal Name (name on grant agreement) </v>
      </c>
      <c r="AA5" s="326"/>
      <c r="AB5" s="326"/>
      <c r="AC5" s="326"/>
      <c r="AD5" s="326"/>
      <c r="AE5" s="326"/>
      <c r="AF5" s="326"/>
      <c r="AG5" s="326"/>
      <c r="AH5" s="326"/>
      <c r="AI5" s="326"/>
      <c r="AJ5" s="326"/>
      <c r="AK5" s="326"/>
      <c r="AL5" s="327"/>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row>
    <row r="6" spans="1:73" ht="14.25" customHeight="1" x14ac:dyDescent="0.25">
      <c r="A6" s="407" t="s">
        <v>494</v>
      </c>
      <c r="B6" s="326"/>
      <c r="C6" s="326"/>
      <c r="D6" s="326"/>
      <c r="E6" s="326"/>
      <c r="F6" s="326"/>
      <c r="G6" s="327"/>
      <c r="H6" s="381" t="str">
        <f>'GRANTEE SET UP INFO &amp; DATE '!H5</f>
        <v xml:space="preserve"> SA Peer Recovery Support Specialist </v>
      </c>
      <c r="I6" s="326"/>
      <c r="J6" s="326"/>
      <c r="K6" s="326"/>
      <c r="L6" s="326"/>
      <c r="M6" s="326"/>
      <c r="N6" s="326"/>
      <c r="O6" s="326"/>
      <c r="P6" s="326"/>
      <c r="Q6" s="326"/>
      <c r="R6" s="326"/>
      <c r="S6" s="327"/>
      <c r="T6" s="5"/>
      <c r="U6" s="437" t="s">
        <v>328</v>
      </c>
      <c r="V6" s="326"/>
      <c r="W6" s="326"/>
      <c r="X6" s="326"/>
      <c r="Y6" s="327"/>
      <c r="Z6" s="382" t="str">
        <f>'GRANTEE SET UP INFO &amp; DATE '!Z5</f>
        <v>Names of Contact(s):</v>
      </c>
      <c r="AA6" s="326"/>
      <c r="AB6" s="326"/>
      <c r="AC6" s="326"/>
      <c r="AD6" s="326"/>
      <c r="AE6" s="326"/>
      <c r="AF6" s="326"/>
      <c r="AG6" s="326"/>
      <c r="AH6" s="326"/>
      <c r="AI6" s="326"/>
      <c r="AJ6" s="326"/>
      <c r="AK6" s="326"/>
      <c r="AL6" s="327"/>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row>
    <row r="7" spans="1:73" x14ac:dyDescent="0.25">
      <c r="A7" s="442" t="s">
        <v>37</v>
      </c>
      <c r="B7" s="332"/>
      <c r="C7" s="332"/>
      <c r="D7" s="332"/>
      <c r="E7" s="332"/>
      <c r="F7" s="332"/>
      <c r="G7" s="333"/>
      <c r="H7" s="464" t="str">
        <f>'GRANTEE SET UP INFO &amp; DATE '!H6</f>
        <v>123 Any Street, Any City, WV 12345</v>
      </c>
      <c r="I7" s="332"/>
      <c r="J7" s="332"/>
      <c r="K7" s="332"/>
      <c r="L7" s="332"/>
      <c r="M7" s="332"/>
      <c r="N7" s="332"/>
      <c r="O7" s="332"/>
      <c r="P7" s="332"/>
      <c r="Q7" s="332"/>
      <c r="R7" s="332"/>
      <c r="S7" s="333"/>
      <c r="T7" s="5"/>
      <c r="U7" s="407" t="s">
        <v>39</v>
      </c>
      <c r="V7" s="326"/>
      <c r="W7" s="326"/>
      <c r="X7" s="326"/>
      <c r="Y7" s="327"/>
      <c r="Z7" s="381" t="str">
        <f>'GRANTEE SET UP INFO &amp; DATE '!Z6</f>
        <v>Phone numbers for contacts</v>
      </c>
      <c r="AA7" s="326"/>
      <c r="AB7" s="326"/>
      <c r="AC7" s="326"/>
      <c r="AD7" s="326"/>
      <c r="AE7" s="326"/>
      <c r="AF7" s="326"/>
      <c r="AG7" s="326"/>
      <c r="AH7" s="326"/>
      <c r="AI7" s="326"/>
      <c r="AJ7" s="326"/>
      <c r="AK7" s="326"/>
      <c r="AL7" s="327"/>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row>
    <row r="8" spans="1:73" ht="15" customHeight="1" x14ac:dyDescent="0.25">
      <c r="A8" s="337"/>
      <c r="B8" s="338"/>
      <c r="C8" s="338"/>
      <c r="D8" s="338"/>
      <c r="E8" s="338"/>
      <c r="F8" s="338"/>
      <c r="G8" s="339"/>
      <c r="H8" s="337"/>
      <c r="I8" s="338"/>
      <c r="J8" s="338"/>
      <c r="K8" s="338"/>
      <c r="L8" s="338"/>
      <c r="M8" s="338"/>
      <c r="N8" s="338"/>
      <c r="O8" s="338"/>
      <c r="P8" s="338"/>
      <c r="Q8" s="338"/>
      <c r="R8" s="338"/>
      <c r="S8" s="339"/>
      <c r="T8" s="5"/>
      <c r="U8" s="407" t="s">
        <v>41</v>
      </c>
      <c r="V8" s="326"/>
      <c r="W8" s="326"/>
      <c r="X8" s="326"/>
      <c r="Y8" s="327"/>
      <c r="Z8" s="381" t="str">
        <f>'GRANTEE SET UP INFO &amp; DATE '!Z7</f>
        <v xml:space="preserve">number on grant agreement or TFB </v>
      </c>
      <c r="AA8" s="326"/>
      <c r="AB8" s="326"/>
      <c r="AC8" s="326"/>
      <c r="AD8" s="326"/>
      <c r="AE8" s="326"/>
      <c r="AF8" s="326"/>
      <c r="AG8" s="326"/>
      <c r="AH8" s="326"/>
      <c r="AI8" s="326"/>
      <c r="AJ8" s="326"/>
      <c r="AK8" s="326"/>
      <c r="AL8" s="327"/>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row>
    <row r="9" spans="1:73" ht="24.75" customHeight="1" x14ac:dyDescent="0.25">
      <c r="A9" s="466" t="s">
        <v>495</v>
      </c>
      <c r="B9" s="326"/>
      <c r="C9" s="326"/>
      <c r="D9" s="326"/>
      <c r="E9" s="326"/>
      <c r="F9" s="326"/>
      <c r="G9" s="327"/>
      <c r="H9" s="659" t="str">
        <f>'GRANTEE SET UP INFO &amp; DATE '!H8</f>
        <v>October 1 - 31</v>
      </c>
      <c r="I9" s="326"/>
      <c r="J9" s="326"/>
      <c r="K9" s="326"/>
      <c r="L9" s="326"/>
      <c r="M9" s="326"/>
      <c r="N9" s="326"/>
      <c r="O9" s="327"/>
      <c r="P9" s="659">
        <f>'GRANTEE SET UP INFO &amp; DATE '!P8</f>
        <v>2026</v>
      </c>
      <c r="Q9" s="326"/>
      <c r="R9" s="326"/>
      <c r="S9" s="327"/>
      <c r="T9" s="5"/>
      <c r="U9" s="675" t="s">
        <v>45</v>
      </c>
      <c r="V9" s="326"/>
      <c r="W9" s="326"/>
      <c r="X9" s="326"/>
      <c r="Y9" s="327"/>
      <c r="Z9" s="678" t="str">
        <f>'GRANTEE SET UP INFO &amp; DATE '!Z8</f>
        <v>program code can locate on SOW or  TFB</v>
      </c>
      <c r="AA9" s="326"/>
      <c r="AB9" s="326"/>
      <c r="AC9" s="326"/>
      <c r="AD9" s="326"/>
      <c r="AE9" s="326"/>
      <c r="AF9" s="326"/>
      <c r="AG9" s="326"/>
      <c r="AH9" s="326"/>
      <c r="AI9" s="326"/>
      <c r="AJ9" s="326"/>
      <c r="AK9" s="326"/>
      <c r="AL9" s="327"/>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row>
    <row r="10" spans="1:73" ht="39.75" customHeight="1" x14ac:dyDescent="0.25">
      <c r="A10" s="532" t="s">
        <v>496</v>
      </c>
      <c r="B10" s="533"/>
      <c r="C10" s="533"/>
      <c r="D10" s="533"/>
      <c r="E10" s="533"/>
      <c r="F10" s="533"/>
      <c r="G10" s="533"/>
      <c r="H10" s="533"/>
      <c r="I10" s="533"/>
      <c r="J10" s="533"/>
      <c r="K10" s="533"/>
      <c r="L10" s="533"/>
      <c r="M10" s="533"/>
      <c r="N10" s="533"/>
      <c r="O10" s="533"/>
      <c r="P10" s="533"/>
      <c r="Q10" s="533"/>
      <c r="R10" s="533"/>
      <c r="S10" s="533"/>
      <c r="T10" s="533"/>
      <c r="U10" s="533"/>
      <c r="V10" s="533"/>
      <c r="W10" s="533"/>
      <c r="X10" s="533"/>
      <c r="Y10" s="533"/>
      <c r="Z10" s="533"/>
      <c r="AA10" s="533"/>
      <c r="AB10" s="533"/>
      <c r="AC10" s="533"/>
      <c r="AD10" s="533"/>
      <c r="AE10" s="533"/>
      <c r="AF10" s="533"/>
      <c r="AG10" s="533"/>
      <c r="AH10" s="533"/>
      <c r="AI10" s="534"/>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row>
    <row r="11" spans="1:73" ht="15" customHeight="1" x14ac:dyDescent="0.25">
      <c r="A11" s="621" t="s">
        <v>497</v>
      </c>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54"/>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row>
    <row r="12" spans="1:73" ht="60" customHeight="1" x14ac:dyDescent="0.25">
      <c r="A12" s="57" t="s">
        <v>294</v>
      </c>
      <c r="B12" s="656" t="s">
        <v>498</v>
      </c>
      <c r="C12" s="326"/>
      <c r="D12" s="326"/>
      <c r="E12" s="326"/>
      <c r="F12" s="326"/>
      <c r="G12" s="326"/>
      <c r="H12" s="326"/>
      <c r="I12" s="326"/>
      <c r="J12" s="326"/>
      <c r="K12" s="326"/>
      <c r="L12" s="326"/>
      <c r="M12" s="326"/>
      <c r="N12" s="326"/>
      <c r="O12" s="326"/>
      <c r="P12" s="326"/>
      <c r="Q12" s="326"/>
      <c r="R12" s="326"/>
      <c r="S12" s="326"/>
      <c r="T12" s="326"/>
      <c r="U12" s="326"/>
      <c r="V12" s="326"/>
      <c r="W12" s="327"/>
      <c r="X12" s="657" t="s">
        <v>499</v>
      </c>
      <c r="Y12" s="350"/>
      <c r="Z12" s="350"/>
      <c r="AA12" s="350"/>
      <c r="AB12" s="350"/>
      <c r="AC12" s="350"/>
      <c r="AD12" s="350"/>
      <c r="AE12" s="350"/>
      <c r="AF12" s="350"/>
      <c r="AG12" s="350"/>
      <c r="AH12" s="350"/>
      <c r="AI12" s="358"/>
      <c r="AJ12" s="633" t="s">
        <v>500</v>
      </c>
      <c r="AK12" s="350"/>
      <c r="AL12" s="350"/>
      <c r="AM12" s="350"/>
      <c r="AN12" s="350"/>
      <c r="AO12" s="350"/>
      <c r="AP12" s="350"/>
      <c r="AQ12" s="350"/>
      <c r="AR12" s="351"/>
      <c r="AS12" s="658" t="s">
        <v>324</v>
      </c>
      <c r="AT12" s="347"/>
      <c r="AU12" s="347"/>
      <c r="AV12" s="347"/>
      <c r="AW12" s="347"/>
      <c r="AX12" s="347"/>
      <c r="AY12" s="354"/>
      <c r="AZ12" s="58"/>
      <c r="BA12" s="58"/>
      <c r="BB12" s="676" t="s">
        <v>501</v>
      </c>
      <c r="BC12" s="350"/>
      <c r="BD12" s="350"/>
      <c r="BE12" s="350"/>
      <c r="BF12" s="350"/>
      <c r="BG12" s="350"/>
      <c r="BH12" s="350"/>
      <c r="BI12" s="350"/>
      <c r="BJ12" s="350"/>
      <c r="BK12" s="350"/>
      <c r="BL12" s="350"/>
      <c r="BM12" s="358"/>
      <c r="BN12" s="59"/>
      <c r="BO12" s="59"/>
      <c r="BP12" s="677" t="s">
        <v>502</v>
      </c>
      <c r="BQ12" s="350"/>
      <c r="BR12" s="350"/>
      <c r="BS12" s="350"/>
      <c r="BT12" s="350"/>
      <c r="BU12" s="358"/>
    </row>
    <row r="13" spans="1:73" ht="64.5" customHeight="1" x14ac:dyDescent="0.25">
      <c r="A13" s="679" t="s">
        <v>294</v>
      </c>
      <c r="B13" s="680" t="s">
        <v>482</v>
      </c>
      <c r="C13" s="333"/>
      <c r="D13" s="681" t="s">
        <v>445</v>
      </c>
      <c r="E13" s="332"/>
      <c r="F13" s="332"/>
      <c r="G13" s="333"/>
      <c r="H13" s="684" t="s">
        <v>483</v>
      </c>
      <c r="I13" s="332"/>
      <c r="J13" s="332"/>
      <c r="K13" s="333"/>
      <c r="L13" s="665" t="s">
        <v>447</v>
      </c>
      <c r="M13" s="332"/>
      <c r="N13" s="333"/>
      <c r="O13" s="637" t="s">
        <v>448</v>
      </c>
      <c r="P13" s="332"/>
      <c r="Q13" s="333"/>
      <c r="R13" s="666" t="s">
        <v>484</v>
      </c>
      <c r="S13" s="332"/>
      <c r="T13" s="333"/>
      <c r="U13" s="667" t="s">
        <v>485</v>
      </c>
      <c r="V13" s="332"/>
      <c r="W13" s="333"/>
      <c r="X13" s="60" t="s">
        <v>451</v>
      </c>
      <c r="Y13" s="61" t="s">
        <v>452</v>
      </c>
      <c r="Z13" s="60" t="s">
        <v>453</v>
      </c>
      <c r="AA13" s="61" t="s">
        <v>454</v>
      </c>
      <c r="AB13" s="60" t="s">
        <v>455</v>
      </c>
      <c r="AC13" s="61" t="s">
        <v>456</v>
      </c>
      <c r="AD13" s="60" t="s">
        <v>457</v>
      </c>
      <c r="AE13" s="61" t="s">
        <v>458</v>
      </c>
      <c r="AF13" s="60" t="s">
        <v>459</v>
      </c>
      <c r="AG13" s="61" t="s">
        <v>460</v>
      </c>
      <c r="AH13" s="60" t="s">
        <v>461</v>
      </c>
      <c r="AI13" s="53" t="s">
        <v>462</v>
      </c>
      <c r="AJ13" s="668" t="s">
        <v>463</v>
      </c>
      <c r="AK13" s="669" t="s">
        <v>464</v>
      </c>
      <c r="AL13" s="668" t="s">
        <v>465</v>
      </c>
      <c r="AM13" s="669" t="s">
        <v>466</v>
      </c>
      <c r="AN13" s="668" t="s">
        <v>467</v>
      </c>
      <c r="AO13" s="669" t="s">
        <v>468</v>
      </c>
      <c r="AP13" s="668" t="s">
        <v>469</v>
      </c>
      <c r="AQ13" s="669" t="s">
        <v>470</v>
      </c>
      <c r="AR13" s="668" t="s">
        <v>471</v>
      </c>
      <c r="AS13" s="683" t="s">
        <v>324</v>
      </c>
      <c r="AT13" s="332"/>
      <c r="AU13" s="332"/>
      <c r="AV13" s="332"/>
      <c r="AW13" s="332"/>
      <c r="AX13" s="332"/>
      <c r="AY13" s="333"/>
      <c r="AZ13" s="54"/>
      <c r="BA13" s="54"/>
      <c r="BB13" s="682" t="s">
        <v>486</v>
      </c>
      <c r="BC13" s="333"/>
      <c r="BD13" s="670" t="s">
        <v>487</v>
      </c>
      <c r="BE13" s="332"/>
      <c r="BF13" s="333"/>
      <c r="BG13" s="671" t="s">
        <v>488</v>
      </c>
      <c r="BH13" s="332"/>
      <c r="BI13" s="332"/>
      <c r="BJ13" s="333"/>
      <c r="BK13" s="672" t="s">
        <v>489</v>
      </c>
      <c r="BL13" s="332"/>
      <c r="BM13" s="333"/>
      <c r="BN13" s="55"/>
      <c r="BO13" s="55"/>
      <c r="BP13" s="673" t="s">
        <v>503</v>
      </c>
      <c r="BQ13" s="332"/>
      <c r="BR13" s="333"/>
      <c r="BS13" s="670" t="s">
        <v>504</v>
      </c>
      <c r="BT13" s="332"/>
      <c r="BU13" s="333"/>
    </row>
    <row r="14" spans="1:73" ht="24.75" customHeight="1" x14ac:dyDescent="0.25">
      <c r="A14" s="636"/>
      <c r="B14" s="337"/>
      <c r="C14" s="339"/>
      <c r="D14" s="337"/>
      <c r="E14" s="338"/>
      <c r="F14" s="338"/>
      <c r="G14" s="339"/>
      <c r="H14" s="337"/>
      <c r="I14" s="338"/>
      <c r="J14" s="338"/>
      <c r="K14" s="339"/>
      <c r="L14" s="337"/>
      <c r="M14" s="338"/>
      <c r="N14" s="339"/>
      <c r="O14" s="337"/>
      <c r="P14" s="338"/>
      <c r="Q14" s="339"/>
      <c r="R14" s="337"/>
      <c r="S14" s="338"/>
      <c r="T14" s="339"/>
      <c r="U14" s="337"/>
      <c r="V14" s="338"/>
      <c r="W14" s="339"/>
      <c r="X14" s="62">
        <f>'GRANTEE SET UP INFO &amp; DATE '!C11</f>
        <v>0</v>
      </c>
      <c r="Y14" s="63">
        <f>'GRANTEE SET UP INFO &amp; DATE '!C12</f>
        <v>0</v>
      </c>
      <c r="Z14" s="62">
        <f>'GRANTEE SET UP INFO &amp; DATE '!C13</f>
        <v>0</v>
      </c>
      <c r="AA14" s="63">
        <f>'GRANTEE SET UP INFO &amp; DATE '!C14</f>
        <v>0</v>
      </c>
      <c r="AB14" s="62">
        <f>'GRANTEE SET UP INFO &amp; DATE '!C15</f>
        <v>0</v>
      </c>
      <c r="AC14" s="63">
        <f>'GRANTEE SET UP INFO &amp; DATE '!C16</f>
        <v>0</v>
      </c>
      <c r="AD14" s="62">
        <f>'GRANTEE SET UP INFO &amp; DATE '!C17</f>
        <v>0</v>
      </c>
      <c r="AE14" s="63">
        <f>'GRANTEE SET UP INFO &amp; DATE '!C18</f>
        <v>0</v>
      </c>
      <c r="AF14" s="62">
        <f>'GRANTEE SET UP INFO &amp; DATE '!C19</f>
        <v>0</v>
      </c>
      <c r="AG14" s="63">
        <f>'GRANTEE SET UP INFO &amp; DATE '!C18</f>
        <v>0</v>
      </c>
      <c r="AH14" s="62">
        <f>'GRANTEE SET UP INFO &amp; DATE '!D18</f>
        <v>0</v>
      </c>
      <c r="AI14" s="63">
        <f>'GRANTEE SET UP INFO &amp; DATE '!E18</f>
        <v>0</v>
      </c>
      <c r="AJ14" s="628"/>
      <c r="AK14" s="628"/>
      <c r="AL14" s="628"/>
      <c r="AM14" s="628"/>
      <c r="AN14" s="628"/>
      <c r="AO14" s="628"/>
      <c r="AP14" s="628"/>
      <c r="AQ14" s="628"/>
      <c r="AR14" s="628"/>
      <c r="AS14" s="337"/>
      <c r="AT14" s="338"/>
      <c r="AU14" s="338"/>
      <c r="AV14" s="338"/>
      <c r="AW14" s="338"/>
      <c r="AX14" s="338"/>
      <c r="AY14" s="339"/>
      <c r="AZ14" s="54"/>
      <c r="BA14" s="54"/>
      <c r="BB14" s="337"/>
      <c r="BC14" s="339"/>
      <c r="BD14" s="337"/>
      <c r="BE14" s="338"/>
      <c r="BF14" s="339"/>
      <c r="BG14" s="337"/>
      <c r="BH14" s="338"/>
      <c r="BI14" s="338"/>
      <c r="BJ14" s="339"/>
      <c r="BK14" s="337"/>
      <c r="BL14" s="338"/>
      <c r="BM14" s="339"/>
      <c r="BN14" s="64"/>
      <c r="BO14" s="64"/>
      <c r="BP14" s="337"/>
      <c r="BQ14" s="338"/>
      <c r="BR14" s="339"/>
      <c r="BS14" s="337"/>
      <c r="BT14" s="338"/>
      <c r="BU14" s="339"/>
    </row>
    <row r="15" spans="1:73" ht="30" customHeight="1" x14ac:dyDescent="0.25">
      <c r="A15" s="65">
        <f t="shared" ref="A15:A269" si="0">ROW(A1)</f>
        <v>1</v>
      </c>
      <c r="B15" s="639" t="s">
        <v>334</v>
      </c>
      <c r="C15" s="327"/>
      <c r="D15" s="640" t="s">
        <v>303</v>
      </c>
      <c r="E15" s="326"/>
      <c r="F15" s="326"/>
      <c r="G15" s="327"/>
      <c r="H15" s="641" t="s">
        <v>303</v>
      </c>
      <c r="I15" s="326"/>
      <c r="J15" s="326"/>
      <c r="K15" s="327"/>
      <c r="L15" s="438" t="s">
        <v>303</v>
      </c>
      <c r="M15" s="326"/>
      <c r="N15" s="327"/>
      <c r="O15" s="519" t="s">
        <v>303</v>
      </c>
      <c r="P15" s="326"/>
      <c r="Q15" s="327"/>
      <c r="R15" s="527"/>
      <c r="S15" s="326"/>
      <c r="T15" s="327"/>
      <c r="U15" s="527"/>
      <c r="V15" s="326"/>
      <c r="W15" s="327"/>
      <c r="X15" s="66"/>
      <c r="Y15" s="67"/>
      <c r="Z15" s="66"/>
      <c r="AA15" s="67"/>
      <c r="AB15" s="66"/>
      <c r="AC15" s="67"/>
      <c r="AD15" s="66"/>
      <c r="AE15" s="67"/>
      <c r="AF15" s="66"/>
      <c r="AG15" s="67"/>
      <c r="AH15" s="66"/>
      <c r="AI15" s="67"/>
      <c r="AJ15" s="68"/>
      <c r="AK15" s="69"/>
      <c r="AL15" s="68"/>
      <c r="AM15" s="69"/>
      <c r="AN15" s="68"/>
      <c r="AO15" s="69"/>
      <c r="AP15" s="68"/>
      <c r="AQ15" s="69"/>
      <c r="AR15" s="68"/>
      <c r="AS15" s="642" t="s">
        <v>303</v>
      </c>
      <c r="AT15" s="326"/>
      <c r="AU15" s="326"/>
      <c r="AV15" s="326"/>
      <c r="AW15" s="326"/>
      <c r="AX15" s="326"/>
      <c r="AY15" s="327"/>
      <c r="AZ15" s="70"/>
      <c r="BA15" s="70"/>
      <c r="BB15" s="644" t="s">
        <v>334</v>
      </c>
      <c r="BC15" s="327"/>
      <c r="BD15" s="645">
        <v>1</v>
      </c>
      <c r="BE15" s="326"/>
      <c r="BF15" s="327"/>
      <c r="BG15" s="646" t="s">
        <v>303</v>
      </c>
      <c r="BH15" s="326"/>
      <c r="BI15" s="326"/>
      <c r="BJ15" s="327"/>
      <c r="BK15" s="647" t="s">
        <v>505</v>
      </c>
      <c r="BL15" s="326"/>
      <c r="BM15" s="327"/>
      <c r="BN15" s="71"/>
      <c r="BO15" s="71"/>
      <c r="BP15" s="646"/>
      <c r="BQ15" s="326"/>
      <c r="BR15" s="327"/>
      <c r="BS15" s="645" t="s">
        <v>303</v>
      </c>
      <c r="BT15" s="326"/>
      <c r="BU15" s="327"/>
    </row>
    <row r="16" spans="1:73" ht="30" customHeight="1" x14ac:dyDescent="0.25">
      <c r="A16" s="65">
        <f t="shared" si="0"/>
        <v>2</v>
      </c>
      <c r="B16" s="639" t="s">
        <v>334</v>
      </c>
      <c r="C16" s="327"/>
      <c r="D16" s="640" t="s">
        <v>303</v>
      </c>
      <c r="E16" s="326"/>
      <c r="F16" s="326"/>
      <c r="G16" s="327"/>
      <c r="H16" s="641" t="s">
        <v>303</v>
      </c>
      <c r="I16" s="326"/>
      <c r="J16" s="326"/>
      <c r="K16" s="327"/>
      <c r="L16" s="438" t="s">
        <v>303</v>
      </c>
      <c r="M16" s="326"/>
      <c r="N16" s="327"/>
      <c r="O16" s="519" t="s">
        <v>303</v>
      </c>
      <c r="P16" s="326"/>
      <c r="Q16" s="327"/>
      <c r="R16" s="527"/>
      <c r="S16" s="326"/>
      <c r="T16" s="327"/>
      <c r="U16" s="527"/>
      <c r="V16" s="326"/>
      <c r="W16" s="327"/>
      <c r="X16" s="66"/>
      <c r="Y16" s="67"/>
      <c r="Z16" s="66"/>
      <c r="AA16" s="67"/>
      <c r="AB16" s="66"/>
      <c r="AC16" s="67"/>
      <c r="AD16" s="66"/>
      <c r="AE16" s="67"/>
      <c r="AF16" s="66"/>
      <c r="AG16" s="67"/>
      <c r="AH16" s="66"/>
      <c r="AI16" s="67"/>
      <c r="AJ16" s="68"/>
      <c r="AK16" s="69"/>
      <c r="AL16" s="68"/>
      <c r="AM16" s="69"/>
      <c r="AN16" s="68"/>
      <c r="AO16" s="69"/>
      <c r="AP16" s="68"/>
      <c r="AQ16" s="69"/>
      <c r="AR16" s="68"/>
      <c r="AS16" s="642" t="s">
        <v>303</v>
      </c>
      <c r="AT16" s="326"/>
      <c r="AU16" s="326"/>
      <c r="AV16" s="326"/>
      <c r="AW16" s="326"/>
      <c r="AX16" s="326"/>
      <c r="AY16" s="327"/>
      <c r="AZ16" s="70"/>
      <c r="BA16" s="70"/>
      <c r="BB16" s="643" t="s">
        <v>334</v>
      </c>
      <c r="BC16" s="327"/>
      <c r="BD16" s="645">
        <v>1</v>
      </c>
      <c r="BE16" s="326"/>
      <c r="BF16" s="327"/>
      <c r="BG16" s="646" t="s">
        <v>303</v>
      </c>
      <c r="BH16" s="326"/>
      <c r="BI16" s="326"/>
      <c r="BJ16" s="327"/>
      <c r="BK16" s="647" t="s">
        <v>505</v>
      </c>
      <c r="BL16" s="326"/>
      <c r="BM16" s="327"/>
      <c r="BN16" s="71"/>
      <c r="BO16" s="71"/>
      <c r="BP16" s="646"/>
      <c r="BQ16" s="326"/>
      <c r="BR16" s="327"/>
      <c r="BS16" s="645" t="s">
        <v>303</v>
      </c>
      <c r="BT16" s="326"/>
      <c r="BU16" s="327"/>
    </row>
    <row r="17" spans="1:73" ht="30" customHeight="1" x14ac:dyDescent="0.25">
      <c r="A17" s="65">
        <f t="shared" si="0"/>
        <v>3</v>
      </c>
      <c r="B17" s="639" t="s">
        <v>334</v>
      </c>
      <c r="C17" s="327"/>
      <c r="D17" s="640" t="s">
        <v>303</v>
      </c>
      <c r="E17" s="326"/>
      <c r="F17" s="326"/>
      <c r="G17" s="327"/>
      <c r="H17" s="641" t="s">
        <v>303</v>
      </c>
      <c r="I17" s="326"/>
      <c r="J17" s="326"/>
      <c r="K17" s="327"/>
      <c r="L17" s="438" t="s">
        <v>303</v>
      </c>
      <c r="M17" s="326"/>
      <c r="N17" s="327"/>
      <c r="O17" s="519" t="s">
        <v>303</v>
      </c>
      <c r="P17" s="326"/>
      <c r="Q17" s="327"/>
      <c r="R17" s="527"/>
      <c r="S17" s="326"/>
      <c r="T17" s="327"/>
      <c r="U17" s="527"/>
      <c r="V17" s="326"/>
      <c r="W17" s="327"/>
      <c r="X17" s="66"/>
      <c r="Y17" s="67"/>
      <c r="Z17" s="66"/>
      <c r="AA17" s="67"/>
      <c r="AB17" s="66"/>
      <c r="AC17" s="67"/>
      <c r="AD17" s="66"/>
      <c r="AE17" s="67"/>
      <c r="AF17" s="66"/>
      <c r="AG17" s="67"/>
      <c r="AH17" s="66"/>
      <c r="AI17" s="67"/>
      <c r="AJ17" s="68"/>
      <c r="AK17" s="69"/>
      <c r="AL17" s="68"/>
      <c r="AM17" s="69"/>
      <c r="AN17" s="68"/>
      <c r="AO17" s="69"/>
      <c r="AP17" s="68"/>
      <c r="AQ17" s="69"/>
      <c r="AR17" s="68"/>
      <c r="AS17" s="642" t="s">
        <v>303</v>
      </c>
      <c r="AT17" s="326"/>
      <c r="AU17" s="326"/>
      <c r="AV17" s="326"/>
      <c r="AW17" s="326"/>
      <c r="AX17" s="326"/>
      <c r="AY17" s="327"/>
      <c r="AZ17" s="70"/>
      <c r="BA17" s="70"/>
      <c r="BB17" s="643" t="s">
        <v>334</v>
      </c>
      <c r="BC17" s="327"/>
      <c r="BD17" s="645">
        <v>1</v>
      </c>
      <c r="BE17" s="326"/>
      <c r="BF17" s="327"/>
      <c r="BG17" s="646" t="s">
        <v>303</v>
      </c>
      <c r="BH17" s="326"/>
      <c r="BI17" s="326"/>
      <c r="BJ17" s="327"/>
      <c r="BK17" s="647" t="s">
        <v>505</v>
      </c>
      <c r="BL17" s="326"/>
      <c r="BM17" s="327"/>
      <c r="BN17" s="71"/>
      <c r="BO17" s="71"/>
      <c r="BP17" s="646"/>
      <c r="BQ17" s="326"/>
      <c r="BR17" s="327"/>
      <c r="BS17" s="645" t="s">
        <v>303</v>
      </c>
      <c r="BT17" s="326"/>
      <c r="BU17" s="327"/>
    </row>
    <row r="18" spans="1:73" ht="30" customHeight="1" x14ac:dyDescent="0.25">
      <c r="A18" s="65">
        <f t="shared" si="0"/>
        <v>4</v>
      </c>
      <c r="B18" s="639" t="s">
        <v>334</v>
      </c>
      <c r="C18" s="327"/>
      <c r="D18" s="640" t="s">
        <v>303</v>
      </c>
      <c r="E18" s="326"/>
      <c r="F18" s="326"/>
      <c r="G18" s="327"/>
      <c r="H18" s="641" t="s">
        <v>303</v>
      </c>
      <c r="I18" s="326"/>
      <c r="J18" s="326"/>
      <c r="K18" s="327"/>
      <c r="L18" s="438" t="s">
        <v>303</v>
      </c>
      <c r="M18" s="326"/>
      <c r="N18" s="327"/>
      <c r="O18" s="519" t="s">
        <v>303</v>
      </c>
      <c r="P18" s="326"/>
      <c r="Q18" s="327"/>
      <c r="R18" s="527"/>
      <c r="S18" s="326"/>
      <c r="T18" s="327"/>
      <c r="U18" s="527"/>
      <c r="V18" s="326"/>
      <c r="W18" s="327"/>
      <c r="X18" s="66"/>
      <c r="Y18" s="67"/>
      <c r="Z18" s="66"/>
      <c r="AA18" s="67"/>
      <c r="AB18" s="66"/>
      <c r="AC18" s="67"/>
      <c r="AD18" s="66"/>
      <c r="AE18" s="67"/>
      <c r="AF18" s="66"/>
      <c r="AG18" s="67"/>
      <c r="AH18" s="66"/>
      <c r="AI18" s="67"/>
      <c r="AJ18" s="68"/>
      <c r="AK18" s="69"/>
      <c r="AL18" s="68"/>
      <c r="AM18" s="69"/>
      <c r="AN18" s="68"/>
      <c r="AO18" s="69"/>
      <c r="AP18" s="68"/>
      <c r="AQ18" s="69"/>
      <c r="AR18" s="68"/>
      <c r="AS18" s="642" t="s">
        <v>303</v>
      </c>
      <c r="AT18" s="326"/>
      <c r="AU18" s="326"/>
      <c r="AV18" s="326"/>
      <c r="AW18" s="326"/>
      <c r="AX18" s="326"/>
      <c r="AY18" s="327"/>
      <c r="AZ18" s="70"/>
      <c r="BA18" s="70"/>
      <c r="BB18" s="643" t="s">
        <v>334</v>
      </c>
      <c r="BC18" s="327"/>
      <c r="BD18" s="645">
        <v>1</v>
      </c>
      <c r="BE18" s="326"/>
      <c r="BF18" s="327"/>
      <c r="BG18" s="646" t="s">
        <v>303</v>
      </c>
      <c r="BH18" s="326"/>
      <c r="BI18" s="326"/>
      <c r="BJ18" s="327"/>
      <c r="BK18" s="647" t="s">
        <v>505</v>
      </c>
      <c r="BL18" s="326"/>
      <c r="BM18" s="327"/>
      <c r="BN18" s="71"/>
      <c r="BO18" s="71"/>
      <c r="BP18" s="646"/>
      <c r="BQ18" s="326"/>
      <c r="BR18" s="327"/>
      <c r="BS18" s="645" t="s">
        <v>303</v>
      </c>
      <c r="BT18" s="326"/>
      <c r="BU18" s="327"/>
    </row>
    <row r="19" spans="1:73" ht="30" customHeight="1" x14ac:dyDescent="0.25">
      <c r="A19" s="65">
        <f t="shared" si="0"/>
        <v>5</v>
      </c>
      <c r="B19" s="639" t="s">
        <v>334</v>
      </c>
      <c r="C19" s="327"/>
      <c r="D19" s="640" t="s">
        <v>303</v>
      </c>
      <c r="E19" s="326"/>
      <c r="F19" s="326"/>
      <c r="G19" s="327"/>
      <c r="H19" s="641" t="s">
        <v>303</v>
      </c>
      <c r="I19" s="326"/>
      <c r="J19" s="326"/>
      <c r="K19" s="327"/>
      <c r="L19" s="438" t="s">
        <v>303</v>
      </c>
      <c r="M19" s="326"/>
      <c r="N19" s="327"/>
      <c r="O19" s="519" t="s">
        <v>303</v>
      </c>
      <c r="P19" s="326"/>
      <c r="Q19" s="327"/>
      <c r="R19" s="527"/>
      <c r="S19" s="326"/>
      <c r="T19" s="327"/>
      <c r="U19" s="527"/>
      <c r="V19" s="326"/>
      <c r="W19" s="327"/>
      <c r="X19" s="66"/>
      <c r="Y19" s="67"/>
      <c r="Z19" s="66"/>
      <c r="AA19" s="67"/>
      <c r="AB19" s="66"/>
      <c r="AC19" s="67"/>
      <c r="AD19" s="66"/>
      <c r="AE19" s="67"/>
      <c r="AF19" s="66"/>
      <c r="AG19" s="67"/>
      <c r="AH19" s="66"/>
      <c r="AI19" s="67"/>
      <c r="AJ19" s="68"/>
      <c r="AK19" s="69"/>
      <c r="AL19" s="68"/>
      <c r="AM19" s="69"/>
      <c r="AN19" s="68"/>
      <c r="AO19" s="69"/>
      <c r="AP19" s="68"/>
      <c r="AQ19" s="69"/>
      <c r="AR19" s="68"/>
      <c r="AS19" s="642" t="s">
        <v>303</v>
      </c>
      <c r="AT19" s="326"/>
      <c r="AU19" s="326"/>
      <c r="AV19" s="326"/>
      <c r="AW19" s="326"/>
      <c r="AX19" s="326"/>
      <c r="AY19" s="327"/>
      <c r="AZ19" s="70"/>
      <c r="BA19" s="70"/>
      <c r="BB19" s="643" t="s">
        <v>334</v>
      </c>
      <c r="BC19" s="327"/>
      <c r="BD19" s="645">
        <v>1</v>
      </c>
      <c r="BE19" s="326"/>
      <c r="BF19" s="327"/>
      <c r="BG19" s="646" t="s">
        <v>303</v>
      </c>
      <c r="BH19" s="326"/>
      <c r="BI19" s="326"/>
      <c r="BJ19" s="327"/>
      <c r="BK19" s="647" t="s">
        <v>505</v>
      </c>
      <c r="BL19" s="326"/>
      <c r="BM19" s="327"/>
      <c r="BN19" s="71"/>
      <c r="BO19" s="71"/>
      <c r="BP19" s="646"/>
      <c r="BQ19" s="326"/>
      <c r="BR19" s="327"/>
      <c r="BS19" s="645" t="s">
        <v>303</v>
      </c>
      <c r="BT19" s="326"/>
      <c r="BU19" s="327"/>
    </row>
    <row r="20" spans="1:73" ht="30" customHeight="1" x14ac:dyDescent="0.25">
      <c r="A20" s="65">
        <f t="shared" si="0"/>
        <v>6</v>
      </c>
      <c r="B20" s="639" t="s">
        <v>334</v>
      </c>
      <c r="C20" s="327"/>
      <c r="D20" s="640" t="s">
        <v>303</v>
      </c>
      <c r="E20" s="326"/>
      <c r="F20" s="326"/>
      <c r="G20" s="327"/>
      <c r="H20" s="641" t="s">
        <v>303</v>
      </c>
      <c r="I20" s="326"/>
      <c r="J20" s="326"/>
      <c r="K20" s="327"/>
      <c r="L20" s="438" t="s">
        <v>303</v>
      </c>
      <c r="M20" s="326"/>
      <c r="N20" s="327"/>
      <c r="O20" s="519" t="s">
        <v>303</v>
      </c>
      <c r="P20" s="326"/>
      <c r="Q20" s="327"/>
      <c r="R20" s="527"/>
      <c r="S20" s="326"/>
      <c r="T20" s="327"/>
      <c r="U20" s="527"/>
      <c r="V20" s="326"/>
      <c r="W20" s="327"/>
      <c r="X20" s="66"/>
      <c r="Y20" s="67"/>
      <c r="Z20" s="66"/>
      <c r="AA20" s="67"/>
      <c r="AB20" s="66"/>
      <c r="AC20" s="67"/>
      <c r="AD20" s="66"/>
      <c r="AE20" s="67"/>
      <c r="AF20" s="66"/>
      <c r="AG20" s="67"/>
      <c r="AH20" s="66"/>
      <c r="AI20" s="67"/>
      <c r="AJ20" s="68"/>
      <c r="AK20" s="69"/>
      <c r="AL20" s="68"/>
      <c r="AM20" s="69"/>
      <c r="AN20" s="68"/>
      <c r="AO20" s="69"/>
      <c r="AP20" s="68"/>
      <c r="AQ20" s="69"/>
      <c r="AR20" s="68"/>
      <c r="AS20" s="642" t="s">
        <v>303</v>
      </c>
      <c r="AT20" s="326"/>
      <c r="AU20" s="326"/>
      <c r="AV20" s="326"/>
      <c r="AW20" s="326"/>
      <c r="AX20" s="326"/>
      <c r="AY20" s="327"/>
      <c r="AZ20" s="70"/>
      <c r="BA20" s="70"/>
      <c r="BB20" s="643" t="s">
        <v>334</v>
      </c>
      <c r="BC20" s="327"/>
      <c r="BD20" s="645">
        <v>1</v>
      </c>
      <c r="BE20" s="326"/>
      <c r="BF20" s="327"/>
      <c r="BG20" s="646" t="s">
        <v>303</v>
      </c>
      <c r="BH20" s="326"/>
      <c r="BI20" s="326"/>
      <c r="BJ20" s="327"/>
      <c r="BK20" s="647" t="s">
        <v>505</v>
      </c>
      <c r="BL20" s="326"/>
      <c r="BM20" s="327"/>
      <c r="BN20" s="71"/>
      <c r="BO20" s="71"/>
      <c r="BP20" s="646"/>
      <c r="BQ20" s="326"/>
      <c r="BR20" s="327"/>
      <c r="BS20" s="645" t="s">
        <v>303</v>
      </c>
      <c r="BT20" s="326"/>
      <c r="BU20" s="327"/>
    </row>
    <row r="21" spans="1:73" ht="30" customHeight="1" x14ac:dyDescent="0.25">
      <c r="A21" s="65">
        <f t="shared" si="0"/>
        <v>7</v>
      </c>
      <c r="B21" s="639" t="s">
        <v>334</v>
      </c>
      <c r="C21" s="327"/>
      <c r="D21" s="640" t="s">
        <v>303</v>
      </c>
      <c r="E21" s="326"/>
      <c r="F21" s="326"/>
      <c r="G21" s="327"/>
      <c r="H21" s="641" t="s">
        <v>303</v>
      </c>
      <c r="I21" s="326"/>
      <c r="J21" s="326"/>
      <c r="K21" s="327"/>
      <c r="L21" s="438" t="s">
        <v>303</v>
      </c>
      <c r="M21" s="326"/>
      <c r="N21" s="327"/>
      <c r="O21" s="519" t="s">
        <v>303</v>
      </c>
      <c r="P21" s="326"/>
      <c r="Q21" s="327"/>
      <c r="R21" s="527"/>
      <c r="S21" s="326"/>
      <c r="T21" s="327"/>
      <c r="U21" s="527"/>
      <c r="V21" s="326"/>
      <c r="W21" s="327"/>
      <c r="X21" s="66"/>
      <c r="Y21" s="67"/>
      <c r="Z21" s="66"/>
      <c r="AA21" s="67"/>
      <c r="AB21" s="66"/>
      <c r="AC21" s="67"/>
      <c r="AD21" s="66"/>
      <c r="AE21" s="67"/>
      <c r="AF21" s="66"/>
      <c r="AG21" s="67"/>
      <c r="AH21" s="66"/>
      <c r="AI21" s="67"/>
      <c r="AJ21" s="68"/>
      <c r="AK21" s="69"/>
      <c r="AL21" s="68"/>
      <c r="AM21" s="69"/>
      <c r="AN21" s="68"/>
      <c r="AO21" s="69"/>
      <c r="AP21" s="68"/>
      <c r="AQ21" s="69"/>
      <c r="AR21" s="68"/>
      <c r="AS21" s="642" t="s">
        <v>303</v>
      </c>
      <c r="AT21" s="326"/>
      <c r="AU21" s="326"/>
      <c r="AV21" s="326"/>
      <c r="AW21" s="326"/>
      <c r="AX21" s="326"/>
      <c r="AY21" s="327"/>
      <c r="AZ21" s="70"/>
      <c r="BA21" s="70"/>
      <c r="BB21" s="643" t="s">
        <v>334</v>
      </c>
      <c r="BC21" s="327"/>
      <c r="BD21" s="645">
        <v>1</v>
      </c>
      <c r="BE21" s="326"/>
      <c r="BF21" s="327"/>
      <c r="BG21" s="646" t="s">
        <v>303</v>
      </c>
      <c r="BH21" s="326"/>
      <c r="BI21" s="326"/>
      <c r="BJ21" s="327"/>
      <c r="BK21" s="647" t="s">
        <v>505</v>
      </c>
      <c r="BL21" s="326"/>
      <c r="BM21" s="327"/>
      <c r="BN21" s="71"/>
      <c r="BO21" s="71"/>
      <c r="BP21" s="646"/>
      <c r="BQ21" s="326"/>
      <c r="BR21" s="327"/>
      <c r="BS21" s="645" t="s">
        <v>303</v>
      </c>
      <c r="BT21" s="326"/>
      <c r="BU21" s="327"/>
    </row>
    <row r="22" spans="1:73" ht="30" customHeight="1" x14ac:dyDescent="0.25">
      <c r="A22" s="65">
        <f t="shared" si="0"/>
        <v>8</v>
      </c>
      <c r="B22" s="639" t="s">
        <v>334</v>
      </c>
      <c r="C22" s="327"/>
      <c r="D22" s="640" t="s">
        <v>303</v>
      </c>
      <c r="E22" s="326"/>
      <c r="F22" s="326"/>
      <c r="G22" s="327"/>
      <c r="H22" s="641" t="s">
        <v>303</v>
      </c>
      <c r="I22" s="326"/>
      <c r="J22" s="326"/>
      <c r="K22" s="327"/>
      <c r="L22" s="438" t="s">
        <v>303</v>
      </c>
      <c r="M22" s="326"/>
      <c r="N22" s="327"/>
      <c r="O22" s="519" t="s">
        <v>303</v>
      </c>
      <c r="P22" s="326"/>
      <c r="Q22" s="327"/>
      <c r="R22" s="527"/>
      <c r="S22" s="326"/>
      <c r="T22" s="327"/>
      <c r="U22" s="527"/>
      <c r="V22" s="326"/>
      <c r="W22" s="327"/>
      <c r="X22" s="66"/>
      <c r="Y22" s="67"/>
      <c r="Z22" s="66"/>
      <c r="AA22" s="67"/>
      <c r="AB22" s="66"/>
      <c r="AC22" s="67"/>
      <c r="AD22" s="66"/>
      <c r="AE22" s="67"/>
      <c r="AF22" s="66"/>
      <c r="AG22" s="67"/>
      <c r="AH22" s="66"/>
      <c r="AI22" s="67"/>
      <c r="AJ22" s="68"/>
      <c r="AK22" s="69"/>
      <c r="AL22" s="68"/>
      <c r="AM22" s="69"/>
      <c r="AN22" s="68"/>
      <c r="AO22" s="69"/>
      <c r="AP22" s="68"/>
      <c r="AQ22" s="69"/>
      <c r="AR22" s="68"/>
      <c r="AS22" s="642" t="s">
        <v>303</v>
      </c>
      <c r="AT22" s="326"/>
      <c r="AU22" s="326"/>
      <c r="AV22" s="326"/>
      <c r="AW22" s="326"/>
      <c r="AX22" s="326"/>
      <c r="AY22" s="327"/>
      <c r="AZ22" s="70"/>
      <c r="BA22" s="70"/>
      <c r="BB22" s="644" t="s">
        <v>334</v>
      </c>
      <c r="BC22" s="327"/>
      <c r="BD22" s="645">
        <v>1</v>
      </c>
      <c r="BE22" s="326"/>
      <c r="BF22" s="327"/>
      <c r="BG22" s="646" t="s">
        <v>303</v>
      </c>
      <c r="BH22" s="326"/>
      <c r="BI22" s="326"/>
      <c r="BJ22" s="327"/>
      <c r="BK22" s="647" t="s">
        <v>505</v>
      </c>
      <c r="BL22" s="326"/>
      <c r="BM22" s="327"/>
      <c r="BN22" s="71"/>
      <c r="BO22" s="71"/>
      <c r="BP22" s="646"/>
      <c r="BQ22" s="326"/>
      <c r="BR22" s="327"/>
      <c r="BS22" s="645" t="s">
        <v>303</v>
      </c>
      <c r="BT22" s="326"/>
      <c r="BU22" s="327"/>
    </row>
    <row r="23" spans="1:73" ht="30" customHeight="1" x14ac:dyDescent="0.25">
      <c r="A23" s="65">
        <f t="shared" si="0"/>
        <v>9</v>
      </c>
      <c r="B23" s="639" t="s">
        <v>334</v>
      </c>
      <c r="C23" s="327"/>
      <c r="D23" s="640" t="s">
        <v>303</v>
      </c>
      <c r="E23" s="326"/>
      <c r="F23" s="326"/>
      <c r="G23" s="327"/>
      <c r="H23" s="641" t="s">
        <v>303</v>
      </c>
      <c r="I23" s="326"/>
      <c r="J23" s="326"/>
      <c r="K23" s="327"/>
      <c r="L23" s="438" t="s">
        <v>303</v>
      </c>
      <c r="M23" s="326"/>
      <c r="N23" s="327"/>
      <c r="O23" s="519" t="s">
        <v>303</v>
      </c>
      <c r="P23" s="326"/>
      <c r="Q23" s="327"/>
      <c r="R23" s="527"/>
      <c r="S23" s="326"/>
      <c r="T23" s="327"/>
      <c r="U23" s="527"/>
      <c r="V23" s="326"/>
      <c r="W23" s="327"/>
      <c r="X23" s="66"/>
      <c r="Y23" s="67"/>
      <c r="Z23" s="66"/>
      <c r="AA23" s="67"/>
      <c r="AB23" s="66"/>
      <c r="AC23" s="67"/>
      <c r="AD23" s="66"/>
      <c r="AE23" s="67"/>
      <c r="AF23" s="66"/>
      <c r="AG23" s="67"/>
      <c r="AH23" s="66"/>
      <c r="AI23" s="67"/>
      <c r="AJ23" s="68"/>
      <c r="AK23" s="69"/>
      <c r="AL23" s="68"/>
      <c r="AM23" s="69"/>
      <c r="AN23" s="68"/>
      <c r="AO23" s="69"/>
      <c r="AP23" s="68"/>
      <c r="AQ23" s="69"/>
      <c r="AR23" s="68"/>
      <c r="AS23" s="642" t="s">
        <v>303</v>
      </c>
      <c r="AT23" s="326"/>
      <c r="AU23" s="326"/>
      <c r="AV23" s="326"/>
      <c r="AW23" s="326"/>
      <c r="AX23" s="326"/>
      <c r="AY23" s="327"/>
      <c r="AZ23" s="70"/>
      <c r="BA23" s="70"/>
      <c r="BB23" s="643" t="s">
        <v>334</v>
      </c>
      <c r="BC23" s="327"/>
      <c r="BD23" s="645">
        <v>1</v>
      </c>
      <c r="BE23" s="326"/>
      <c r="BF23" s="327"/>
      <c r="BG23" s="646" t="s">
        <v>303</v>
      </c>
      <c r="BH23" s="326"/>
      <c r="BI23" s="326"/>
      <c r="BJ23" s="327"/>
      <c r="BK23" s="647" t="s">
        <v>505</v>
      </c>
      <c r="BL23" s="326"/>
      <c r="BM23" s="327"/>
      <c r="BN23" s="71"/>
      <c r="BO23" s="71"/>
      <c r="BP23" s="646"/>
      <c r="BQ23" s="326"/>
      <c r="BR23" s="327"/>
      <c r="BS23" s="645" t="s">
        <v>303</v>
      </c>
      <c r="BT23" s="326"/>
      <c r="BU23" s="327"/>
    </row>
    <row r="24" spans="1:73" ht="30" customHeight="1" x14ac:dyDescent="0.25">
      <c r="A24" s="65">
        <f t="shared" si="0"/>
        <v>10</v>
      </c>
      <c r="B24" s="639" t="s">
        <v>334</v>
      </c>
      <c r="C24" s="327"/>
      <c r="D24" s="640" t="s">
        <v>303</v>
      </c>
      <c r="E24" s="326"/>
      <c r="F24" s="326"/>
      <c r="G24" s="327"/>
      <c r="H24" s="641" t="s">
        <v>303</v>
      </c>
      <c r="I24" s="326"/>
      <c r="J24" s="326"/>
      <c r="K24" s="327"/>
      <c r="L24" s="438" t="s">
        <v>303</v>
      </c>
      <c r="M24" s="326"/>
      <c r="N24" s="327"/>
      <c r="O24" s="519" t="s">
        <v>303</v>
      </c>
      <c r="P24" s="326"/>
      <c r="Q24" s="327"/>
      <c r="R24" s="527"/>
      <c r="S24" s="326"/>
      <c r="T24" s="327"/>
      <c r="U24" s="527"/>
      <c r="V24" s="326"/>
      <c r="W24" s="327"/>
      <c r="X24" s="66"/>
      <c r="Y24" s="67"/>
      <c r="Z24" s="66"/>
      <c r="AA24" s="67"/>
      <c r="AB24" s="66"/>
      <c r="AC24" s="67"/>
      <c r="AD24" s="66"/>
      <c r="AE24" s="67"/>
      <c r="AF24" s="66"/>
      <c r="AG24" s="67"/>
      <c r="AH24" s="66"/>
      <c r="AI24" s="67"/>
      <c r="AJ24" s="68"/>
      <c r="AK24" s="69"/>
      <c r="AL24" s="68"/>
      <c r="AM24" s="69"/>
      <c r="AN24" s="68"/>
      <c r="AO24" s="69"/>
      <c r="AP24" s="68"/>
      <c r="AQ24" s="69"/>
      <c r="AR24" s="68"/>
      <c r="AS24" s="642" t="s">
        <v>303</v>
      </c>
      <c r="AT24" s="326"/>
      <c r="AU24" s="326"/>
      <c r="AV24" s="326"/>
      <c r="AW24" s="326"/>
      <c r="AX24" s="326"/>
      <c r="AY24" s="327"/>
      <c r="AZ24" s="70"/>
      <c r="BA24" s="70"/>
      <c r="BB24" s="643" t="s">
        <v>334</v>
      </c>
      <c r="BC24" s="327"/>
      <c r="BD24" s="645">
        <v>1</v>
      </c>
      <c r="BE24" s="326"/>
      <c r="BF24" s="327"/>
      <c r="BG24" s="646" t="s">
        <v>303</v>
      </c>
      <c r="BH24" s="326"/>
      <c r="BI24" s="326"/>
      <c r="BJ24" s="327"/>
      <c r="BK24" s="647" t="s">
        <v>505</v>
      </c>
      <c r="BL24" s="326"/>
      <c r="BM24" s="327"/>
      <c r="BN24" s="71"/>
      <c r="BO24" s="71"/>
      <c r="BP24" s="646"/>
      <c r="BQ24" s="326"/>
      <c r="BR24" s="327"/>
      <c r="BS24" s="645" t="s">
        <v>303</v>
      </c>
      <c r="BT24" s="326"/>
      <c r="BU24" s="327"/>
    </row>
    <row r="25" spans="1:73" ht="30" customHeight="1" x14ac:dyDescent="0.25">
      <c r="A25" s="65">
        <f t="shared" si="0"/>
        <v>11</v>
      </c>
      <c r="B25" s="639" t="s">
        <v>334</v>
      </c>
      <c r="C25" s="327"/>
      <c r="D25" s="640" t="s">
        <v>303</v>
      </c>
      <c r="E25" s="326"/>
      <c r="F25" s="326"/>
      <c r="G25" s="327"/>
      <c r="H25" s="641" t="s">
        <v>303</v>
      </c>
      <c r="I25" s="326"/>
      <c r="J25" s="326"/>
      <c r="K25" s="327"/>
      <c r="L25" s="438" t="s">
        <v>303</v>
      </c>
      <c r="M25" s="326"/>
      <c r="N25" s="327"/>
      <c r="O25" s="519" t="s">
        <v>303</v>
      </c>
      <c r="P25" s="326"/>
      <c r="Q25" s="327"/>
      <c r="R25" s="527"/>
      <c r="S25" s="326"/>
      <c r="T25" s="327"/>
      <c r="U25" s="527"/>
      <c r="V25" s="326"/>
      <c r="W25" s="327"/>
      <c r="X25" s="66"/>
      <c r="Y25" s="67"/>
      <c r="Z25" s="66"/>
      <c r="AA25" s="67"/>
      <c r="AB25" s="66"/>
      <c r="AC25" s="67"/>
      <c r="AD25" s="66"/>
      <c r="AE25" s="67"/>
      <c r="AF25" s="66"/>
      <c r="AG25" s="67"/>
      <c r="AH25" s="66"/>
      <c r="AI25" s="67"/>
      <c r="AJ25" s="68"/>
      <c r="AK25" s="69"/>
      <c r="AL25" s="68"/>
      <c r="AM25" s="69"/>
      <c r="AN25" s="68"/>
      <c r="AO25" s="69"/>
      <c r="AP25" s="68"/>
      <c r="AQ25" s="69"/>
      <c r="AR25" s="68"/>
      <c r="AS25" s="642" t="s">
        <v>303</v>
      </c>
      <c r="AT25" s="326"/>
      <c r="AU25" s="326"/>
      <c r="AV25" s="326"/>
      <c r="AW25" s="326"/>
      <c r="AX25" s="326"/>
      <c r="AY25" s="327"/>
      <c r="AZ25" s="70"/>
      <c r="BA25" s="70"/>
      <c r="BB25" s="643" t="s">
        <v>334</v>
      </c>
      <c r="BC25" s="327"/>
      <c r="BD25" s="645">
        <v>1</v>
      </c>
      <c r="BE25" s="326"/>
      <c r="BF25" s="327"/>
      <c r="BG25" s="646" t="s">
        <v>303</v>
      </c>
      <c r="BH25" s="326"/>
      <c r="BI25" s="326"/>
      <c r="BJ25" s="327"/>
      <c r="BK25" s="647" t="s">
        <v>505</v>
      </c>
      <c r="BL25" s="326"/>
      <c r="BM25" s="327"/>
      <c r="BN25" s="71"/>
      <c r="BO25" s="71"/>
      <c r="BP25" s="646"/>
      <c r="BQ25" s="326"/>
      <c r="BR25" s="327"/>
      <c r="BS25" s="645" t="s">
        <v>303</v>
      </c>
      <c r="BT25" s="326"/>
      <c r="BU25" s="327"/>
    </row>
    <row r="26" spans="1:73" ht="30" customHeight="1" x14ac:dyDescent="0.25">
      <c r="A26" s="65">
        <f t="shared" si="0"/>
        <v>12</v>
      </c>
      <c r="B26" s="639" t="s">
        <v>334</v>
      </c>
      <c r="C26" s="327"/>
      <c r="D26" s="640" t="s">
        <v>303</v>
      </c>
      <c r="E26" s="326"/>
      <c r="F26" s="326"/>
      <c r="G26" s="327"/>
      <c r="H26" s="641" t="s">
        <v>303</v>
      </c>
      <c r="I26" s="326"/>
      <c r="J26" s="326"/>
      <c r="K26" s="327"/>
      <c r="L26" s="438" t="s">
        <v>303</v>
      </c>
      <c r="M26" s="326"/>
      <c r="N26" s="327"/>
      <c r="O26" s="519" t="s">
        <v>303</v>
      </c>
      <c r="P26" s="326"/>
      <c r="Q26" s="327"/>
      <c r="R26" s="527"/>
      <c r="S26" s="326"/>
      <c r="T26" s="327"/>
      <c r="U26" s="527"/>
      <c r="V26" s="326"/>
      <c r="W26" s="327"/>
      <c r="X26" s="66"/>
      <c r="Y26" s="67"/>
      <c r="Z26" s="66"/>
      <c r="AA26" s="67"/>
      <c r="AB26" s="66"/>
      <c r="AC26" s="67"/>
      <c r="AD26" s="66"/>
      <c r="AE26" s="67"/>
      <c r="AF26" s="66"/>
      <c r="AG26" s="67"/>
      <c r="AH26" s="66"/>
      <c r="AI26" s="67"/>
      <c r="AJ26" s="68"/>
      <c r="AK26" s="69"/>
      <c r="AL26" s="68"/>
      <c r="AM26" s="69"/>
      <c r="AN26" s="68"/>
      <c r="AO26" s="69"/>
      <c r="AP26" s="68"/>
      <c r="AQ26" s="69"/>
      <c r="AR26" s="68"/>
      <c r="AS26" s="642" t="s">
        <v>303</v>
      </c>
      <c r="AT26" s="326"/>
      <c r="AU26" s="326"/>
      <c r="AV26" s="326"/>
      <c r="AW26" s="326"/>
      <c r="AX26" s="326"/>
      <c r="AY26" s="327"/>
      <c r="AZ26" s="70"/>
      <c r="BA26" s="70"/>
      <c r="BB26" s="643" t="s">
        <v>334</v>
      </c>
      <c r="BC26" s="327"/>
      <c r="BD26" s="645" t="s">
        <v>303</v>
      </c>
      <c r="BE26" s="326"/>
      <c r="BF26" s="327"/>
      <c r="BG26" s="646" t="s">
        <v>303</v>
      </c>
      <c r="BH26" s="326"/>
      <c r="BI26" s="326"/>
      <c r="BJ26" s="327"/>
      <c r="BK26" s="647" t="s">
        <v>505</v>
      </c>
      <c r="BL26" s="326"/>
      <c r="BM26" s="327"/>
      <c r="BN26" s="71"/>
      <c r="BO26" s="71"/>
      <c r="BP26" s="646"/>
      <c r="BQ26" s="326"/>
      <c r="BR26" s="327"/>
      <c r="BS26" s="645" t="s">
        <v>303</v>
      </c>
      <c r="BT26" s="326"/>
      <c r="BU26" s="327"/>
    </row>
    <row r="27" spans="1:73" ht="30" customHeight="1" x14ac:dyDescent="0.25">
      <c r="A27" s="65">
        <f t="shared" si="0"/>
        <v>13</v>
      </c>
      <c r="B27" s="639" t="s">
        <v>334</v>
      </c>
      <c r="C27" s="327"/>
      <c r="D27" s="640" t="s">
        <v>303</v>
      </c>
      <c r="E27" s="326"/>
      <c r="F27" s="326"/>
      <c r="G27" s="327"/>
      <c r="H27" s="641" t="s">
        <v>303</v>
      </c>
      <c r="I27" s="326"/>
      <c r="J27" s="326"/>
      <c r="K27" s="327"/>
      <c r="L27" s="438" t="s">
        <v>303</v>
      </c>
      <c r="M27" s="326"/>
      <c r="N27" s="327"/>
      <c r="O27" s="519" t="s">
        <v>303</v>
      </c>
      <c r="P27" s="326"/>
      <c r="Q27" s="327"/>
      <c r="R27" s="527"/>
      <c r="S27" s="326"/>
      <c r="T27" s="327"/>
      <c r="U27" s="527"/>
      <c r="V27" s="326"/>
      <c r="W27" s="327"/>
      <c r="X27" s="66"/>
      <c r="Y27" s="67"/>
      <c r="Z27" s="66"/>
      <c r="AA27" s="67"/>
      <c r="AB27" s="66"/>
      <c r="AC27" s="67"/>
      <c r="AD27" s="66"/>
      <c r="AE27" s="67"/>
      <c r="AF27" s="66"/>
      <c r="AG27" s="67"/>
      <c r="AH27" s="66"/>
      <c r="AI27" s="67"/>
      <c r="AJ27" s="68"/>
      <c r="AK27" s="69"/>
      <c r="AL27" s="68"/>
      <c r="AM27" s="69"/>
      <c r="AN27" s="68"/>
      <c r="AO27" s="69"/>
      <c r="AP27" s="68"/>
      <c r="AQ27" s="69"/>
      <c r="AR27" s="68"/>
      <c r="AS27" s="642" t="s">
        <v>303</v>
      </c>
      <c r="AT27" s="326"/>
      <c r="AU27" s="326"/>
      <c r="AV27" s="326"/>
      <c r="AW27" s="326"/>
      <c r="AX27" s="326"/>
      <c r="AY27" s="327"/>
      <c r="AZ27" s="70"/>
      <c r="BA27" s="70"/>
      <c r="BB27" s="643" t="s">
        <v>334</v>
      </c>
      <c r="BC27" s="327"/>
      <c r="BD27" s="645" t="s">
        <v>303</v>
      </c>
      <c r="BE27" s="326"/>
      <c r="BF27" s="327"/>
      <c r="BG27" s="646" t="s">
        <v>303</v>
      </c>
      <c r="BH27" s="326"/>
      <c r="BI27" s="326"/>
      <c r="BJ27" s="327"/>
      <c r="BK27" s="647" t="s">
        <v>505</v>
      </c>
      <c r="BL27" s="326"/>
      <c r="BM27" s="327"/>
      <c r="BN27" s="71"/>
      <c r="BO27" s="71"/>
      <c r="BP27" s="646"/>
      <c r="BQ27" s="326"/>
      <c r="BR27" s="327"/>
      <c r="BS27" s="645" t="s">
        <v>303</v>
      </c>
      <c r="BT27" s="326"/>
      <c r="BU27" s="327"/>
    </row>
    <row r="28" spans="1:73" ht="30" customHeight="1" x14ac:dyDescent="0.25">
      <c r="A28" s="65">
        <f t="shared" si="0"/>
        <v>14</v>
      </c>
      <c r="B28" s="639" t="s">
        <v>334</v>
      </c>
      <c r="C28" s="327"/>
      <c r="D28" s="640" t="s">
        <v>303</v>
      </c>
      <c r="E28" s="326"/>
      <c r="F28" s="326"/>
      <c r="G28" s="327"/>
      <c r="H28" s="641" t="s">
        <v>303</v>
      </c>
      <c r="I28" s="326"/>
      <c r="J28" s="326"/>
      <c r="K28" s="327"/>
      <c r="L28" s="438" t="s">
        <v>303</v>
      </c>
      <c r="M28" s="326"/>
      <c r="N28" s="327"/>
      <c r="O28" s="519" t="s">
        <v>303</v>
      </c>
      <c r="P28" s="326"/>
      <c r="Q28" s="327"/>
      <c r="R28" s="527"/>
      <c r="S28" s="326"/>
      <c r="T28" s="327"/>
      <c r="U28" s="527"/>
      <c r="V28" s="326"/>
      <c r="W28" s="327"/>
      <c r="X28" s="66"/>
      <c r="Y28" s="67"/>
      <c r="Z28" s="66"/>
      <c r="AA28" s="67"/>
      <c r="AB28" s="66"/>
      <c r="AC28" s="67"/>
      <c r="AD28" s="66"/>
      <c r="AE28" s="67"/>
      <c r="AF28" s="66"/>
      <c r="AG28" s="67"/>
      <c r="AH28" s="66"/>
      <c r="AI28" s="67"/>
      <c r="AJ28" s="68"/>
      <c r="AK28" s="69"/>
      <c r="AL28" s="68"/>
      <c r="AM28" s="69"/>
      <c r="AN28" s="68"/>
      <c r="AO28" s="69"/>
      <c r="AP28" s="68"/>
      <c r="AQ28" s="69"/>
      <c r="AR28" s="68"/>
      <c r="AS28" s="642" t="s">
        <v>303</v>
      </c>
      <c r="AT28" s="326"/>
      <c r="AU28" s="326"/>
      <c r="AV28" s="326"/>
      <c r="AW28" s="326"/>
      <c r="AX28" s="326"/>
      <c r="AY28" s="327"/>
      <c r="AZ28" s="70"/>
      <c r="BA28" s="70"/>
      <c r="BB28" s="643" t="s">
        <v>334</v>
      </c>
      <c r="BC28" s="327"/>
      <c r="BD28" s="645" t="s">
        <v>303</v>
      </c>
      <c r="BE28" s="326"/>
      <c r="BF28" s="327"/>
      <c r="BG28" s="646" t="s">
        <v>303</v>
      </c>
      <c r="BH28" s="326"/>
      <c r="BI28" s="326"/>
      <c r="BJ28" s="327"/>
      <c r="BK28" s="647" t="s">
        <v>505</v>
      </c>
      <c r="BL28" s="326"/>
      <c r="BM28" s="327"/>
      <c r="BN28" s="71"/>
      <c r="BO28" s="71"/>
      <c r="BP28" s="646"/>
      <c r="BQ28" s="326"/>
      <c r="BR28" s="327"/>
      <c r="BS28" s="645" t="s">
        <v>303</v>
      </c>
      <c r="BT28" s="326"/>
      <c r="BU28" s="327"/>
    </row>
    <row r="29" spans="1:73" ht="30" customHeight="1" x14ac:dyDescent="0.25">
      <c r="A29" s="65">
        <f t="shared" si="0"/>
        <v>15</v>
      </c>
      <c r="B29" s="639" t="s">
        <v>334</v>
      </c>
      <c r="C29" s="327"/>
      <c r="D29" s="640" t="s">
        <v>303</v>
      </c>
      <c r="E29" s="326"/>
      <c r="F29" s="326"/>
      <c r="G29" s="327"/>
      <c r="H29" s="641" t="s">
        <v>303</v>
      </c>
      <c r="I29" s="326"/>
      <c r="J29" s="326"/>
      <c r="K29" s="327"/>
      <c r="L29" s="438" t="s">
        <v>303</v>
      </c>
      <c r="M29" s="326"/>
      <c r="N29" s="327"/>
      <c r="O29" s="519" t="s">
        <v>303</v>
      </c>
      <c r="P29" s="326"/>
      <c r="Q29" s="327"/>
      <c r="R29" s="527"/>
      <c r="S29" s="326"/>
      <c r="T29" s="327"/>
      <c r="U29" s="527"/>
      <c r="V29" s="326"/>
      <c r="W29" s="327"/>
      <c r="X29" s="66"/>
      <c r="Y29" s="67"/>
      <c r="Z29" s="66"/>
      <c r="AA29" s="67"/>
      <c r="AB29" s="66"/>
      <c r="AC29" s="67"/>
      <c r="AD29" s="66"/>
      <c r="AE29" s="67"/>
      <c r="AF29" s="66"/>
      <c r="AG29" s="67"/>
      <c r="AH29" s="66"/>
      <c r="AI29" s="67"/>
      <c r="AJ29" s="68"/>
      <c r="AK29" s="69"/>
      <c r="AL29" s="68"/>
      <c r="AM29" s="69"/>
      <c r="AN29" s="68"/>
      <c r="AO29" s="69"/>
      <c r="AP29" s="68"/>
      <c r="AQ29" s="69"/>
      <c r="AR29" s="68"/>
      <c r="AS29" s="642" t="s">
        <v>303</v>
      </c>
      <c r="AT29" s="326"/>
      <c r="AU29" s="326"/>
      <c r="AV29" s="326"/>
      <c r="AW29" s="326"/>
      <c r="AX29" s="326"/>
      <c r="AY29" s="327"/>
      <c r="AZ29" s="70"/>
      <c r="BA29" s="70"/>
      <c r="BB29" s="644" t="s">
        <v>334</v>
      </c>
      <c r="BC29" s="327"/>
      <c r="BD29" s="645" t="s">
        <v>303</v>
      </c>
      <c r="BE29" s="326"/>
      <c r="BF29" s="327"/>
      <c r="BG29" s="646" t="s">
        <v>303</v>
      </c>
      <c r="BH29" s="326"/>
      <c r="BI29" s="326"/>
      <c r="BJ29" s="327"/>
      <c r="BK29" s="647" t="s">
        <v>505</v>
      </c>
      <c r="BL29" s="326"/>
      <c r="BM29" s="327"/>
      <c r="BN29" s="71"/>
      <c r="BO29" s="71"/>
      <c r="BP29" s="646"/>
      <c r="BQ29" s="326"/>
      <c r="BR29" s="327"/>
      <c r="BS29" s="645" t="s">
        <v>303</v>
      </c>
      <c r="BT29" s="326"/>
      <c r="BU29" s="327"/>
    </row>
    <row r="30" spans="1:73" ht="30" customHeight="1" x14ac:dyDescent="0.25">
      <c r="A30" s="65">
        <f t="shared" si="0"/>
        <v>16</v>
      </c>
      <c r="B30" s="639" t="s">
        <v>334</v>
      </c>
      <c r="C30" s="327"/>
      <c r="D30" s="640" t="s">
        <v>303</v>
      </c>
      <c r="E30" s="326"/>
      <c r="F30" s="326"/>
      <c r="G30" s="327"/>
      <c r="H30" s="641" t="s">
        <v>303</v>
      </c>
      <c r="I30" s="326"/>
      <c r="J30" s="326"/>
      <c r="K30" s="327"/>
      <c r="L30" s="438" t="s">
        <v>303</v>
      </c>
      <c r="M30" s="326"/>
      <c r="N30" s="327"/>
      <c r="O30" s="519" t="s">
        <v>303</v>
      </c>
      <c r="P30" s="326"/>
      <c r="Q30" s="327"/>
      <c r="R30" s="527"/>
      <c r="S30" s="326"/>
      <c r="T30" s="327"/>
      <c r="U30" s="527"/>
      <c r="V30" s="326"/>
      <c r="W30" s="327"/>
      <c r="X30" s="66"/>
      <c r="Y30" s="67"/>
      <c r="Z30" s="66"/>
      <c r="AA30" s="67"/>
      <c r="AB30" s="66"/>
      <c r="AC30" s="67"/>
      <c r="AD30" s="66"/>
      <c r="AE30" s="67"/>
      <c r="AF30" s="66"/>
      <c r="AG30" s="67"/>
      <c r="AH30" s="66"/>
      <c r="AI30" s="67"/>
      <c r="AJ30" s="68"/>
      <c r="AK30" s="69"/>
      <c r="AL30" s="68"/>
      <c r="AM30" s="69"/>
      <c r="AN30" s="68"/>
      <c r="AO30" s="69"/>
      <c r="AP30" s="68"/>
      <c r="AQ30" s="69"/>
      <c r="AR30" s="68"/>
      <c r="AS30" s="642" t="s">
        <v>303</v>
      </c>
      <c r="AT30" s="326"/>
      <c r="AU30" s="326"/>
      <c r="AV30" s="326"/>
      <c r="AW30" s="326"/>
      <c r="AX30" s="326"/>
      <c r="AY30" s="327"/>
      <c r="AZ30" s="70"/>
      <c r="BA30" s="70"/>
      <c r="BB30" s="643" t="s">
        <v>334</v>
      </c>
      <c r="BC30" s="327"/>
      <c r="BD30" s="645" t="s">
        <v>303</v>
      </c>
      <c r="BE30" s="326"/>
      <c r="BF30" s="327"/>
      <c r="BG30" s="646" t="s">
        <v>303</v>
      </c>
      <c r="BH30" s="326"/>
      <c r="BI30" s="326"/>
      <c r="BJ30" s="327"/>
      <c r="BK30" s="647" t="s">
        <v>505</v>
      </c>
      <c r="BL30" s="326"/>
      <c r="BM30" s="327"/>
      <c r="BN30" s="71"/>
      <c r="BO30" s="71"/>
      <c r="BP30" s="646"/>
      <c r="BQ30" s="326"/>
      <c r="BR30" s="327"/>
      <c r="BS30" s="645" t="s">
        <v>303</v>
      </c>
      <c r="BT30" s="326"/>
      <c r="BU30" s="327"/>
    </row>
    <row r="31" spans="1:73" ht="30" customHeight="1" x14ac:dyDescent="0.25">
      <c r="A31" s="65">
        <f t="shared" si="0"/>
        <v>17</v>
      </c>
      <c r="B31" s="639" t="s">
        <v>334</v>
      </c>
      <c r="C31" s="327"/>
      <c r="D31" s="640" t="s">
        <v>303</v>
      </c>
      <c r="E31" s="326"/>
      <c r="F31" s="326"/>
      <c r="G31" s="327"/>
      <c r="H31" s="641" t="s">
        <v>303</v>
      </c>
      <c r="I31" s="326"/>
      <c r="J31" s="326"/>
      <c r="K31" s="327"/>
      <c r="L31" s="438" t="s">
        <v>303</v>
      </c>
      <c r="M31" s="326"/>
      <c r="N31" s="327"/>
      <c r="O31" s="519" t="s">
        <v>303</v>
      </c>
      <c r="P31" s="326"/>
      <c r="Q31" s="327"/>
      <c r="R31" s="527"/>
      <c r="S31" s="326"/>
      <c r="T31" s="327"/>
      <c r="U31" s="527"/>
      <c r="V31" s="326"/>
      <c r="W31" s="327"/>
      <c r="X31" s="66"/>
      <c r="Y31" s="67"/>
      <c r="Z31" s="66"/>
      <c r="AA31" s="67"/>
      <c r="AB31" s="66"/>
      <c r="AC31" s="67"/>
      <c r="AD31" s="66"/>
      <c r="AE31" s="67"/>
      <c r="AF31" s="66"/>
      <c r="AG31" s="67"/>
      <c r="AH31" s="66"/>
      <c r="AI31" s="67"/>
      <c r="AJ31" s="68"/>
      <c r="AK31" s="69"/>
      <c r="AL31" s="68"/>
      <c r="AM31" s="69"/>
      <c r="AN31" s="68"/>
      <c r="AO31" s="69"/>
      <c r="AP31" s="68"/>
      <c r="AQ31" s="69"/>
      <c r="AR31" s="68"/>
      <c r="AS31" s="642" t="s">
        <v>303</v>
      </c>
      <c r="AT31" s="326"/>
      <c r="AU31" s="326"/>
      <c r="AV31" s="326"/>
      <c r="AW31" s="326"/>
      <c r="AX31" s="326"/>
      <c r="AY31" s="327"/>
      <c r="AZ31" s="70"/>
      <c r="BA31" s="70"/>
      <c r="BB31" s="643" t="s">
        <v>334</v>
      </c>
      <c r="BC31" s="327"/>
      <c r="BD31" s="645" t="s">
        <v>303</v>
      </c>
      <c r="BE31" s="326"/>
      <c r="BF31" s="327"/>
      <c r="BG31" s="646" t="s">
        <v>303</v>
      </c>
      <c r="BH31" s="326"/>
      <c r="BI31" s="326"/>
      <c r="BJ31" s="327"/>
      <c r="BK31" s="647" t="s">
        <v>505</v>
      </c>
      <c r="BL31" s="326"/>
      <c r="BM31" s="327"/>
      <c r="BN31" s="71"/>
      <c r="BO31" s="71"/>
      <c r="BP31" s="646"/>
      <c r="BQ31" s="326"/>
      <c r="BR31" s="327"/>
      <c r="BS31" s="645" t="s">
        <v>303</v>
      </c>
      <c r="BT31" s="326"/>
      <c r="BU31" s="327"/>
    </row>
    <row r="32" spans="1:73" ht="30" customHeight="1" x14ac:dyDescent="0.25">
      <c r="A32" s="65">
        <f t="shared" si="0"/>
        <v>18</v>
      </c>
      <c r="B32" s="639" t="s">
        <v>334</v>
      </c>
      <c r="C32" s="327"/>
      <c r="D32" s="640" t="s">
        <v>303</v>
      </c>
      <c r="E32" s="326"/>
      <c r="F32" s="326"/>
      <c r="G32" s="327"/>
      <c r="H32" s="641" t="s">
        <v>303</v>
      </c>
      <c r="I32" s="326"/>
      <c r="J32" s="326"/>
      <c r="K32" s="327"/>
      <c r="L32" s="438" t="s">
        <v>303</v>
      </c>
      <c r="M32" s="326"/>
      <c r="N32" s="327"/>
      <c r="O32" s="519" t="s">
        <v>303</v>
      </c>
      <c r="P32" s="326"/>
      <c r="Q32" s="327"/>
      <c r="R32" s="527"/>
      <c r="S32" s="326"/>
      <c r="T32" s="327"/>
      <c r="U32" s="527"/>
      <c r="V32" s="326"/>
      <c r="W32" s="327"/>
      <c r="X32" s="66"/>
      <c r="Y32" s="67"/>
      <c r="Z32" s="66"/>
      <c r="AA32" s="67"/>
      <c r="AB32" s="66"/>
      <c r="AC32" s="67"/>
      <c r="AD32" s="66"/>
      <c r="AE32" s="67"/>
      <c r="AF32" s="66"/>
      <c r="AG32" s="67"/>
      <c r="AH32" s="66"/>
      <c r="AI32" s="67"/>
      <c r="AJ32" s="68"/>
      <c r="AK32" s="69"/>
      <c r="AL32" s="68"/>
      <c r="AM32" s="69"/>
      <c r="AN32" s="68"/>
      <c r="AO32" s="69"/>
      <c r="AP32" s="68"/>
      <c r="AQ32" s="69"/>
      <c r="AR32" s="68"/>
      <c r="AS32" s="642" t="s">
        <v>303</v>
      </c>
      <c r="AT32" s="326"/>
      <c r="AU32" s="326"/>
      <c r="AV32" s="326"/>
      <c r="AW32" s="326"/>
      <c r="AX32" s="326"/>
      <c r="AY32" s="327"/>
      <c r="AZ32" s="70"/>
      <c r="BA32" s="70"/>
      <c r="BB32" s="643" t="s">
        <v>334</v>
      </c>
      <c r="BC32" s="327"/>
      <c r="BD32" s="645" t="s">
        <v>303</v>
      </c>
      <c r="BE32" s="326"/>
      <c r="BF32" s="327"/>
      <c r="BG32" s="646" t="s">
        <v>303</v>
      </c>
      <c r="BH32" s="326"/>
      <c r="BI32" s="326"/>
      <c r="BJ32" s="327"/>
      <c r="BK32" s="647" t="s">
        <v>505</v>
      </c>
      <c r="BL32" s="326"/>
      <c r="BM32" s="327"/>
      <c r="BN32" s="71"/>
      <c r="BO32" s="71"/>
      <c r="BP32" s="646"/>
      <c r="BQ32" s="326"/>
      <c r="BR32" s="327"/>
      <c r="BS32" s="645" t="s">
        <v>303</v>
      </c>
      <c r="BT32" s="326"/>
      <c r="BU32" s="327"/>
    </row>
    <row r="33" spans="1:73" ht="30" customHeight="1" x14ac:dyDescent="0.25">
      <c r="A33" s="65">
        <f t="shared" si="0"/>
        <v>19</v>
      </c>
      <c r="B33" s="639" t="s">
        <v>334</v>
      </c>
      <c r="C33" s="327"/>
      <c r="D33" s="640" t="s">
        <v>303</v>
      </c>
      <c r="E33" s="326"/>
      <c r="F33" s="326"/>
      <c r="G33" s="327"/>
      <c r="H33" s="641" t="s">
        <v>303</v>
      </c>
      <c r="I33" s="326"/>
      <c r="J33" s="326"/>
      <c r="K33" s="327"/>
      <c r="L33" s="438" t="s">
        <v>303</v>
      </c>
      <c r="M33" s="326"/>
      <c r="N33" s="327"/>
      <c r="O33" s="519" t="s">
        <v>303</v>
      </c>
      <c r="P33" s="326"/>
      <c r="Q33" s="327"/>
      <c r="R33" s="527"/>
      <c r="S33" s="326"/>
      <c r="T33" s="327"/>
      <c r="U33" s="527"/>
      <c r="V33" s="326"/>
      <c r="W33" s="327"/>
      <c r="X33" s="66"/>
      <c r="Y33" s="67"/>
      <c r="Z33" s="66"/>
      <c r="AA33" s="67"/>
      <c r="AB33" s="66"/>
      <c r="AC33" s="67"/>
      <c r="AD33" s="66"/>
      <c r="AE33" s="67"/>
      <c r="AF33" s="66"/>
      <c r="AG33" s="67"/>
      <c r="AH33" s="66"/>
      <c r="AI33" s="67"/>
      <c r="AJ33" s="68"/>
      <c r="AK33" s="69"/>
      <c r="AL33" s="68"/>
      <c r="AM33" s="69"/>
      <c r="AN33" s="68"/>
      <c r="AO33" s="69"/>
      <c r="AP33" s="68"/>
      <c r="AQ33" s="69"/>
      <c r="AR33" s="68"/>
      <c r="AS33" s="642" t="s">
        <v>303</v>
      </c>
      <c r="AT33" s="326"/>
      <c r="AU33" s="326"/>
      <c r="AV33" s="326"/>
      <c r="AW33" s="326"/>
      <c r="AX33" s="326"/>
      <c r="AY33" s="327"/>
      <c r="AZ33" s="70"/>
      <c r="BA33" s="70"/>
      <c r="BB33" s="643" t="s">
        <v>334</v>
      </c>
      <c r="BC33" s="327"/>
      <c r="BD33" s="645" t="s">
        <v>303</v>
      </c>
      <c r="BE33" s="326"/>
      <c r="BF33" s="327"/>
      <c r="BG33" s="646" t="s">
        <v>303</v>
      </c>
      <c r="BH33" s="326"/>
      <c r="BI33" s="326"/>
      <c r="BJ33" s="327"/>
      <c r="BK33" s="647" t="s">
        <v>505</v>
      </c>
      <c r="BL33" s="326"/>
      <c r="BM33" s="327"/>
      <c r="BN33" s="71"/>
      <c r="BO33" s="71"/>
      <c r="BP33" s="646"/>
      <c r="BQ33" s="326"/>
      <c r="BR33" s="327"/>
      <c r="BS33" s="645" t="s">
        <v>303</v>
      </c>
      <c r="BT33" s="326"/>
      <c r="BU33" s="327"/>
    </row>
    <row r="34" spans="1:73" ht="30" customHeight="1" x14ac:dyDescent="0.25">
      <c r="A34" s="65">
        <f t="shared" si="0"/>
        <v>20</v>
      </c>
      <c r="B34" s="639" t="s">
        <v>334</v>
      </c>
      <c r="C34" s="327"/>
      <c r="D34" s="640" t="s">
        <v>303</v>
      </c>
      <c r="E34" s="326"/>
      <c r="F34" s="326"/>
      <c r="G34" s="327"/>
      <c r="H34" s="641" t="s">
        <v>303</v>
      </c>
      <c r="I34" s="326"/>
      <c r="J34" s="326"/>
      <c r="K34" s="327"/>
      <c r="L34" s="438" t="s">
        <v>303</v>
      </c>
      <c r="M34" s="326"/>
      <c r="N34" s="327"/>
      <c r="O34" s="519" t="s">
        <v>303</v>
      </c>
      <c r="P34" s="326"/>
      <c r="Q34" s="327"/>
      <c r="R34" s="527"/>
      <c r="S34" s="326"/>
      <c r="T34" s="327"/>
      <c r="U34" s="527"/>
      <c r="V34" s="326"/>
      <c r="W34" s="327"/>
      <c r="X34" s="66"/>
      <c r="Y34" s="67"/>
      <c r="Z34" s="66"/>
      <c r="AA34" s="67"/>
      <c r="AB34" s="66"/>
      <c r="AC34" s="67"/>
      <c r="AD34" s="66"/>
      <c r="AE34" s="67"/>
      <c r="AF34" s="66"/>
      <c r="AG34" s="67"/>
      <c r="AH34" s="66"/>
      <c r="AI34" s="67"/>
      <c r="AJ34" s="68"/>
      <c r="AK34" s="69"/>
      <c r="AL34" s="68"/>
      <c r="AM34" s="69"/>
      <c r="AN34" s="68"/>
      <c r="AO34" s="69"/>
      <c r="AP34" s="68"/>
      <c r="AQ34" s="69"/>
      <c r="AR34" s="68"/>
      <c r="AS34" s="642" t="s">
        <v>303</v>
      </c>
      <c r="AT34" s="326"/>
      <c r="AU34" s="326"/>
      <c r="AV34" s="326"/>
      <c r="AW34" s="326"/>
      <c r="AX34" s="326"/>
      <c r="AY34" s="327"/>
      <c r="AZ34" s="70"/>
      <c r="BA34" s="70"/>
      <c r="BB34" s="643" t="s">
        <v>334</v>
      </c>
      <c r="BC34" s="327"/>
      <c r="BD34" s="645" t="s">
        <v>303</v>
      </c>
      <c r="BE34" s="326"/>
      <c r="BF34" s="327"/>
      <c r="BG34" s="646" t="s">
        <v>303</v>
      </c>
      <c r="BH34" s="326"/>
      <c r="BI34" s="326"/>
      <c r="BJ34" s="327"/>
      <c r="BK34" s="647" t="s">
        <v>505</v>
      </c>
      <c r="BL34" s="326"/>
      <c r="BM34" s="327"/>
      <c r="BN34" s="71"/>
      <c r="BO34" s="71"/>
      <c r="BP34" s="646"/>
      <c r="BQ34" s="326"/>
      <c r="BR34" s="327"/>
      <c r="BS34" s="645" t="s">
        <v>303</v>
      </c>
      <c r="BT34" s="326"/>
      <c r="BU34" s="327"/>
    </row>
    <row r="35" spans="1:73" ht="30" customHeight="1" x14ac:dyDescent="0.25">
      <c r="A35" s="65">
        <f t="shared" si="0"/>
        <v>21</v>
      </c>
      <c r="B35" s="639" t="s">
        <v>334</v>
      </c>
      <c r="C35" s="327"/>
      <c r="D35" s="640" t="s">
        <v>303</v>
      </c>
      <c r="E35" s="326"/>
      <c r="F35" s="326"/>
      <c r="G35" s="327"/>
      <c r="H35" s="641" t="s">
        <v>303</v>
      </c>
      <c r="I35" s="326"/>
      <c r="J35" s="326"/>
      <c r="K35" s="327"/>
      <c r="L35" s="438" t="s">
        <v>303</v>
      </c>
      <c r="M35" s="326"/>
      <c r="N35" s="327"/>
      <c r="O35" s="519" t="s">
        <v>303</v>
      </c>
      <c r="P35" s="326"/>
      <c r="Q35" s="327"/>
      <c r="R35" s="527"/>
      <c r="S35" s="326"/>
      <c r="T35" s="327"/>
      <c r="U35" s="527"/>
      <c r="V35" s="326"/>
      <c r="W35" s="327"/>
      <c r="X35" s="66"/>
      <c r="Y35" s="67"/>
      <c r="Z35" s="66"/>
      <c r="AA35" s="67"/>
      <c r="AB35" s="66"/>
      <c r="AC35" s="67"/>
      <c r="AD35" s="66"/>
      <c r="AE35" s="67"/>
      <c r="AF35" s="66"/>
      <c r="AG35" s="67"/>
      <c r="AH35" s="66"/>
      <c r="AI35" s="67"/>
      <c r="AJ35" s="68"/>
      <c r="AK35" s="69"/>
      <c r="AL35" s="68"/>
      <c r="AM35" s="69"/>
      <c r="AN35" s="68"/>
      <c r="AO35" s="69"/>
      <c r="AP35" s="68"/>
      <c r="AQ35" s="69"/>
      <c r="AR35" s="68"/>
      <c r="AS35" s="642" t="s">
        <v>303</v>
      </c>
      <c r="AT35" s="326"/>
      <c r="AU35" s="326"/>
      <c r="AV35" s="326"/>
      <c r="AW35" s="326"/>
      <c r="AX35" s="326"/>
      <c r="AY35" s="327"/>
      <c r="AZ35" s="70"/>
      <c r="BA35" s="70"/>
      <c r="BB35" s="643" t="s">
        <v>334</v>
      </c>
      <c r="BC35" s="327"/>
      <c r="BD35" s="645" t="s">
        <v>303</v>
      </c>
      <c r="BE35" s="326"/>
      <c r="BF35" s="327"/>
      <c r="BG35" s="646" t="s">
        <v>303</v>
      </c>
      <c r="BH35" s="326"/>
      <c r="BI35" s="326"/>
      <c r="BJ35" s="327"/>
      <c r="BK35" s="647" t="s">
        <v>505</v>
      </c>
      <c r="BL35" s="326"/>
      <c r="BM35" s="327"/>
      <c r="BN35" s="71"/>
      <c r="BO35" s="71"/>
      <c r="BP35" s="646"/>
      <c r="BQ35" s="326"/>
      <c r="BR35" s="327"/>
      <c r="BS35" s="645" t="s">
        <v>303</v>
      </c>
      <c r="BT35" s="326"/>
      <c r="BU35" s="327"/>
    </row>
    <row r="36" spans="1:73" ht="30" customHeight="1" x14ac:dyDescent="0.25">
      <c r="A36" s="65">
        <f t="shared" si="0"/>
        <v>22</v>
      </c>
      <c r="B36" s="639" t="s">
        <v>334</v>
      </c>
      <c r="C36" s="327"/>
      <c r="D36" s="640" t="s">
        <v>303</v>
      </c>
      <c r="E36" s="326"/>
      <c r="F36" s="326"/>
      <c r="G36" s="327"/>
      <c r="H36" s="641" t="s">
        <v>303</v>
      </c>
      <c r="I36" s="326"/>
      <c r="J36" s="326"/>
      <c r="K36" s="327"/>
      <c r="L36" s="438" t="s">
        <v>303</v>
      </c>
      <c r="M36" s="326"/>
      <c r="N36" s="327"/>
      <c r="O36" s="519" t="s">
        <v>303</v>
      </c>
      <c r="P36" s="326"/>
      <c r="Q36" s="327"/>
      <c r="R36" s="527"/>
      <c r="S36" s="326"/>
      <c r="T36" s="327"/>
      <c r="U36" s="527"/>
      <c r="V36" s="326"/>
      <c r="W36" s="327"/>
      <c r="X36" s="66"/>
      <c r="Y36" s="67"/>
      <c r="Z36" s="66"/>
      <c r="AA36" s="67"/>
      <c r="AB36" s="66"/>
      <c r="AC36" s="67"/>
      <c r="AD36" s="66"/>
      <c r="AE36" s="67"/>
      <c r="AF36" s="66"/>
      <c r="AG36" s="67"/>
      <c r="AH36" s="66"/>
      <c r="AI36" s="67"/>
      <c r="AJ36" s="68"/>
      <c r="AK36" s="69"/>
      <c r="AL36" s="68"/>
      <c r="AM36" s="69"/>
      <c r="AN36" s="68"/>
      <c r="AO36" s="69"/>
      <c r="AP36" s="68"/>
      <c r="AQ36" s="69"/>
      <c r="AR36" s="68"/>
      <c r="AS36" s="642" t="s">
        <v>303</v>
      </c>
      <c r="AT36" s="326"/>
      <c r="AU36" s="326"/>
      <c r="AV36" s="326"/>
      <c r="AW36" s="326"/>
      <c r="AX36" s="326"/>
      <c r="AY36" s="327"/>
      <c r="AZ36" s="70"/>
      <c r="BA36" s="70"/>
      <c r="BB36" s="644" t="s">
        <v>334</v>
      </c>
      <c r="BC36" s="327"/>
      <c r="BD36" s="645" t="s">
        <v>303</v>
      </c>
      <c r="BE36" s="326"/>
      <c r="BF36" s="327"/>
      <c r="BG36" s="646" t="s">
        <v>303</v>
      </c>
      <c r="BH36" s="326"/>
      <c r="BI36" s="326"/>
      <c r="BJ36" s="327"/>
      <c r="BK36" s="647" t="s">
        <v>505</v>
      </c>
      <c r="BL36" s="326"/>
      <c r="BM36" s="327"/>
      <c r="BN36" s="71"/>
      <c r="BO36" s="71"/>
      <c r="BP36" s="646"/>
      <c r="BQ36" s="326"/>
      <c r="BR36" s="327"/>
      <c r="BS36" s="645" t="s">
        <v>303</v>
      </c>
      <c r="BT36" s="326"/>
      <c r="BU36" s="327"/>
    </row>
    <row r="37" spans="1:73" ht="30" customHeight="1" x14ac:dyDescent="0.25">
      <c r="A37" s="65">
        <f t="shared" si="0"/>
        <v>23</v>
      </c>
      <c r="B37" s="639" t="s">
        <v>334</v>
      </c>
      <c r="C37" s="327"/>
      <c r="D37" s="640" t="s">
        <v>303</v>
      </c>
      <c r="E37" s="326"/>
      <c r="F37" s="326"/>
      <c r="G37" s="327"/>
      <c r="H37" s="641" t="s">
        <v>303</v>
      </c>
      <c r="I37" s="326"/>
      <c r="J37" s="326"/>
      <c r="K37" s="327"/>
      <c r="L37" s="438" t="s">
        <v>303</v>
      </c>
      <c r="M37" s="326"/>
      <c r="N37" s="327"/>
      <c r="O37" s="519" t="s">
        <v>303</v>
      </c>
      <c r="P37" s="326"/>
      <c r="Q37" s="327"/>
      <c r="R37" s="527"/>
      <c r="S37" s="326"/>
      <c r="T37" s="327"/>
      <c r="U37" s="527"/>
      <c r="V37" s="326"/>
      <c r="W37" s="327"/>
      <c r="X37" s="66"/>
      <c r="Y37" s="67"/>
      <c r="Z37" s="66"/>
      <c r="AA37" s="67"/>
      <c r="AB37" s="66"/>
      <c r="AC37" s="67"/>
      <c r="AD37" s="66"/>
      <c r="AE37" s="67"/>
      <c r="AF37" s="66"/>
      <c r="AG37" s="67"/>
      <c r="AH37" s="66"/>
      <c r="AI37" s="67"/>
      <c r="AJ37" s="68"/>
      <c r="AK37" s="69"/>
      <c r="AL37" s="68"/>
      <c r="AM37" s="69"/>
      <c r="AN37" s="68"/>
      <c r="AO37" s="69"/>
      <c r="AP37" s="68"/>
      <c r="AQ37" s="69"/>
      <c r="AR37" s="68"/>
      <c r="AS37" s="642" t="s">
        <v>303</v>
      </c>
      <c r="AT37" s="326"/>
      <c r="AU37" s="326"/>
      <c r="AV37" s="326"/>
      <c r="AW37" s="326"/>
      <c r="AX37" s="326"/>
      <c r="AY37" s="327"/>
      <c r="AZ37" s="70"/>
      <c r="BA37" s="70"/>
      <c r="BB37" s="643" t="s">
        <v>334</v>
      </c>
      <c r="BC37" s="327"/>
      <c r="BD37" s="645" t="s">
        <v>303</v>
      </c>
      <c r="BE37" s="326"/>
      <c r="BF37" s="327"/>
      <c r="BG37" s="646" t="s">
        <v>303</v>
      </c>
      <c r="BH37" s="326"/>
      <c r="BI37" s="326"/>
      <c r="BJ37" s="327"/>
      <c r="BK37" s="647" t="s">
        <v>505</v>
      </c>
      <c r="BL37" s="326"/>
      <c r="BM37" s="327"/>
      <c r="BN37" s="71"/>
      <c r="BO37" s="71"/>
      <c r="BP37" s="646"/>
      <c r="BQ37" s="326"/>
      <c r="BR37" s="327"/>
      <c r="BS37" s="645" t="s">
        <v>303</v>
      </c>
      <c r="BT37" s="326"/>
      <c r="BU37" s="327"/>
    </row>
    <row r="38" spans="1:73" ht="30" customHeight="1" x14ac:dyDescent="0.25">
      <c r="A38" s="65">
        <f t="shared" si="0"/>
        <v>24</v>
      </c>
      <c r="B38" s="639" t="s">
        <v>334</v>
      </c>
      <c r="C38" s="327"/>
      <c r="D38" s="640" t="s">
        <v>303</v>
      </c>
      <c r="E38" s="326"/>
      <c r="F38" s="326"/>
      <c r="G38" s="327"/>
      <c r="H38" s="641" t="s">
        <v>303</v>
      </c>
      <c r="I38" s="326"/>
      <c r="J38" s="326"/>
      <c r="K38" s="327"/>
      <c r="L38" s="438" t="s">
        <v>303</v>
      </c>
      <c r="M38" s="326"/>
      <c r="N38" s="327"/>
      <c r="O38" s="519" t="s">
        <v>303</v>
      </c>
      <c r="P38" s="326"/>
      <c r="Q38" s="327"/>
      <c r="R38" s="527"/>
      <c r="S38" s="326"/>
      <c r="T38" s="327"/>
      <c r="U38" s="527"/>
      <c r="V38" s="326"/>
      <c r="W38" s="327"/>
      <c r="X38" s="66"/>
      <c r="Y38" s="67"/>
      <c r="Z38" s="66"/>
      <c r="AA38" s="67"/>
      <c r="AB38" s="66"/>
      <c r="AC38" s="67"/>
      <c r="AD38" s="66"/>
      <c r="AE38" s="67"/>
      <c r="AF38" s="66"/>
      <c r="AG38" s="67"/>
      <c r="AH38" s="66"/>
      <c r="AI38" s="67"/>
      <c r="AJ38" s="68"/>
      <c r="AK38" s="69"/>
      <c r="AL38" s="68"/>
      <c r="AM38" s="69"/>
      <c r="AN38" s="68"/>
      <c r="AO38" s="69"/>
      <c r="AP38" s="68"/>
      <c r="AQ38" s="69"/>
      <c r="AR38" s="68"/>
      <c r="AS38" s="642" t="s">
        <v>303</v>
      </c>
      <c r="AT38" s="326"/>
      <c r="AU38" s="326"/>
      <c r="AV38" s="326"/>
      <c r="AW38" s="326"/>
      <c r="AX38" s="326"/>
      <c r="AY38" s="327"/>
      <c r="AZ38" s="70"/>
      <c r="BA38" s="70"/>
      <c r="BB38" s="643" t="s">
        <v>334</v>
      </c>
      <c r="BC38" s="327"/>
      <c r="BD38" s="645" t="s">
        <v>303</v>
      </c>
      <c r="BE38" s="326"/>
      <c r="BF38" s="327"/>
      <c r="BG38" s="646" t="s">
        <v>303</v>
      </c>
      <c r="BH38" s="326"/>
      <c r="BI38" s="326"/>
      <c r="BJ38" s="327"/>
      <c r="BK38" s="647" t="s">
        <v>505</v>
      </c>
      <c r="BL38" s="326"/>
      <c r="BM38" s="327"/>
      <c r="BN38" s="71"/>
      <c r="BO38" s="71"/>
      <c r="BP38" s="646"/>
      <c r="BQ38" s="326"/>
      <c r="BR38" s="327"/>
      <c r="BS38" s="645" t="s">
        <v>303</v>
      </c>
      <c r="BT38" s="326"/>
      <c r="BU38" s="327"/>
    </row>
    <row r="39" spans="1:73" ht="30" customHeight="1" x14ac:dyDescent="0.25">
      <c r="A39" s="65">
        <f t="shared" si="0"/>
        <v>25</v>
      </c>
      <c r="B39" s="639" t="s">
        <v>334</v>
      </c>
      <c r="C39" s="327"/>
      <c r="D39" s="640" t="s">
        <v>303</v>
      </c>
      <c r="E39" s="326"/>
      <c r="F39" s="326"/>
      <c r="G39" s="327"/>
      <c r="H39" s="641" t="s">
        <v>303</v>
      </c>
      <c r="I39" s="326"/>
      <c r="J39" s="326"/>
      <c r="K39" s="327"/>
      <c r="L39" s="438" t="s">
        <v>303</v>
      </c>
      <c r="M39" s="326"/>
      <c r="N39" s="327"/>
      <c r="O39" s="519" t="s">
        <v>303</v>
      </c>
      <c r="P39" s="326"/>
      <c r="Q39" s="327"/>
      <c r="R39" s="527"/>
      <c r="S39" s="326"/>
      <c r="T39" s="327"/>
      <c r="U39" s="527"/>
      <c r="V39" s="326"/>
      <c r="W39" s="327"/>
      <c r="X39" s="66"/>
      <c r="Y39" s="67"/>
      <c r="Z39" s="66"/>
      <c r="AA39" s="67"/>
      <c r="AB39" s="66"/>
      <c r="AC39" s="67"/>
      <c r="AD39" s="66"/>
      <c r="AE39" s="67"/>
      <c r="AF39" s="66"/>
      <c r="AG39" s="67"/>
      <c r="AH39" s="66"/>
      <c r="AI39" s="67"/>
      <c r="AJ39" s="68"/>
      <c r="AK39" s="69"/>
      <c r="AL39" s="68"/>
      <c r="AM39" s="69"/>
      <c r="AN39" s="68"/>
      <c r="AO39" s="69"/>
      <c r="AP39" s="68"/>
      <c r="AQ39" s="69"/>
      <c r="AR39" s="68"/>
      <c r="AS39" s="642" t="s">
        <v>303</v>
      </c>
      <c r="AT39" s="326"/>
      <c r="AU39" s="326"/>
      <c r="AV39" s="326"/>
      <c r="AW39" s="326"/>
      <c r="AX39" s="326"/>
      <c r="AY39" s="327"/>
      <c r="AZ39" s="70"/>
      <c r="BA39" s="70"/>
      <c r="BB39" s="643" t="s">
        <v>334</v>
      </c>
      <c r="BC39" s="327"/>
      <c r="BD39" s="645" t="s">
        <v>303</v>
      </c>
      <c r="BE39" s="326"/>
      <c r="BF39" s="327"/>
      <c r="BG39" s="646" t="s">
        <v>303</v>
      </c>
      <c r="BH39" s="326"/>
      <c r="BI39" s="326"/>
      <c r="BJ39" s="327"/>
      <c r="BK39" s="647" t="s">
        <v>505</v>
      </c>
      <c r="BL39" s="326"/>
      <c r="BM39" s="327"/>
      <c r="BN39" s="71"/>
      <c r="BO39" s="71"/>
      <c r="BP39" s="646"/>
      <c r="BQ39" s="326"/>
      <c r="BR39" s="327"/>
      <c r="BS39" s="645" t="s">
        <v>303</v>
      </c>
      <c r="BT39" s="326"/>
      <c r="BU39" s="327"/>
    </row>
    <row r="40" spans="1:73" ht="30" customHeight="1" x14ac:dyDescent="0.25">
      <c r="A40" s="65">
        <f t="shared" si="0"/>
        <v>26</v>
      </c>
      <c r="B40" s="639" t="s">
        <v>334</v>
      </c>
      <c r="C40" s="327"/>
      <c r="D40" s="640" t="s">
        <v>303</v>
      </c>
      <c r="E40" s="326"/>
      <c r="F40" s="326"/>
      <c r="G40" s="327"/>
      <c r="H40" s="641" t="s">
        <v>303</v>
      </c>
      <c r="I40" s="326"/>
      <c r="J40" s="326"/>
      <c r="K40" s="327"/>
      <c r="L40" s="438" t="s">
        <v>303</v>
      </c>
      <c r="M40" s="326"/>
      <c r="N40" s="327"/>
      <c r="O40" s="519" t="s">
        <v>303</v>
      </c>
      <c r="P40" s="326"/>
      <c r="Q40" s="327"/>
      <c r="R40" s="527"/>
      <c r="S40" s="326"/>
      <c r="T40" s="327"/>
      <c r="U40" s="527"/>
      <c r="V40" s="326"/>
      <c r="W40" s="327"/>
      <c r="X40" s="66"/>
      <c r="Y40" s="67"/>
      <c r="Z40" s="66"/>
      <c r="AA40" s="67"/>
      <c r="AB40" s="66"/>
      <c r="AC40" s="67"/>
      <c r="AD40" s="66"/>
      <c r="AE40" s="67"/>
      <c r="AF40" s="66"/>
      <c r="AG40" s="67"/>
      <c r="AH40" s="66"/>
      <c r="AI40" s="67"/>
      <c r="AJ40" s="68"/>
      <c r="AK40" s="69"/>
      <c r="AL40" s="68"/>
      <c r="AM40" s="69"/>
      <c r="AN40" s="68"/>
      <c r="AO40" s="69"/>
      <c r="AP40" s="68"/>
      <c r="AQ40" s="69"/>
      <c r="AR40" s="68"/>
      <c r="AS40" s="642" t="s">
        <v>303</v>
      </c>
      <c r="AT40" s="326"/>
      <c r="AU40" s="326"/>
      <c r="AV40" s="326"/>
      <c r="AW40" s="326"/>
      <c r="AX40" s="326"/>
      <c r="AY40" s="327"/>
      <c r="AZ40" s="70"/>
      <c r="BA40" s="70"/>
      <c r="BB40" s="643" t="s">
        <v>334</v>
      </c>
      <c r="BC40" s="327"/>
      <c r="BD40" s="645" t="s">
        <v>303</v>
      </c>
      <c r="BE40" s="326"/>
      <c r="BF40" s="327"/>
      <c r="BG40" s="646" t="s">
        <v>303</v>
      </c>
      <c r="BH40" s="326"/>
      <c r="BI40" s="326"/>
      <c r="BJ40" s="327"/>
      <c r="BK40" s="647" t="s">
        <v>505</v>
      </c>
      <c r="BL40" s="326"/>
      <c r="BM40" s="327"/>
      <c r="BN40" s="71"/>
      <c r="BO40" s="71"/>
      <c r="BP40" s="646"/>
      <c r="BQ40" s="326"/>
      <c r="BR40" s="327"/>
      <c r="BS40" s="645" t="s">
        <v>303</v>
      </c>
      <c r="BT40" s="326"/>
      <c r="BU40" s="327"/>
    </row>
    <row r="41" spans="1:73" ht="30" customHeight="1" x14ac:dyDescent="0.25">
      <c r="A41" s="65">
        <f t="shared" si="0"/>
        <v>27</v>
      </c>
      <c r="B41" s="639" t="s">
        <v>334</v>
      </c>
      <c r="C41" s="327"/>
      <c r="D41" s="640" t="s">
        <v>303</v>
      </c>
      <c r="E41" s="326"/>
      <c r="F41" s="326"/>
      <c r="G41" s="327"/>
      <c r="H41" s="641" t="s">
        <v>303</v>
      </c>
      <c r="I41" s="326"/>
      <c r="J41" s="326"/>
      <c r="K41" s="327"/>
      <c r="L41" s="438" t="s">
        <v>303</v>
      </c>
      <c r="M41" s="326"/>
      <c r="N41" s="327"/>
      <c r="O41" s="519" t="s">
        <v>303</v>
      </c>
      <c r="P41" s="326"/>
      <c r="Q41" s="327"/>
      <c r="R41" s="527"/>
      <c r="S41" s="326"/>
      <c r="T41" s="327"/>
      <c r="U41" s="527"/>
      <c r="V41" s="326"/>
      <c r="W41" s="327"/>
      <c r="X41" s="66"/>
      <c r="Y41" s="67"/>
      <c r="Z41" s="66"/>
      <c r="AA41" s="67"/>
      <c r="AB41" s="66"/>
      <c r="AC41" s="67"/>
      <c r="AD41" s="66"/>
      <c r="AE41" s="67"/>
      <c r="AF41" s="66"/>
      <c r="AG41" s="67"/>
      <c r="AH41" s="66"/>
      <c r="AI41" s="67"/>
      <c r="AJ41" s="68"/>
      <c r="AK41" s="69"/>
      <c r="AL41" s="68"/>
      <c r="AM41" s="69"/>
      <c r="AN41" s="68"/>
      <c r="AO41" s="69"/>
      <c r="AP41" s="68"/>
      <c r="AQ41" s="69"/>
      <c r="AR41" s="68"/>
      <c r="AS41" s="642" t="s">
        <v>303</v>
      </c>
      <c r="AT41" s="326"/>
      <c r="AU41" s="326"/>
      <c r="AV41" s="326"/>
      <c r="AW41" s="326"/>
      <c r="AX41" s="326"/>
      <c r="AY41" s="327"/>
      <c r="AZ41" s="70"/>
      <c r="BA41" s="70"/>
      <c r="BB41" s="643" t="s">
        <v>334</v>
      </c>
      <c r="BC41" s="327"/>
      <c r="BD41" s="645" t="s">
        <v>303</v>
      </c>
      <c r="BE41" s="326"/>
      <c r="BF41" s="327"/>
      <c r="BG41" s="646" t="s">
        <v>303</v>
      </c>
      <c r="BH41" s="326"/>
      <c r="BI41" s="326"/>
      <c r="BJ41" s="327"/>
      <c r="BK41" s="647" t="s">
        <v>505</v>
      </c>
      <c r="BL41" s="326"/>
      <c r="BM41" s="327"/>
      <c r="BN41" s="71"/>
      <c r="BO41" s="71"/>
      <c r="BP41" s="646"/>
      <c r="BQ41" s="326"/>
      <c r="BR41" s="327"/>
      <c r="BS41" s="645" t="s">
        <v>303</v>
      </c>
      <c r="BT41" s="326"/>
      <c r="BU41" s="327"/>
    </row>
    <row r="42" spans="1:73" ht="30" customHeight="1" x14ac:dyDescent="0.25">
      <c r="A42" s="65">
        <f t="shared" si="0"/>
        <v>28</v>
      </c>
      <c r="B42" s="639" t="s">
        <v>334</v>
      </c>
      <c r="C42" s="327"/>
      <c r="D42" s="640" t="s">
        <v>303</v>
      </c>
      <c r="E42" s="326"/>
      <c r="F42" s="326"/>
      <c r="G42" s="327"/>
      <c r="H42" s="641" t="s">
        <v>303</v>
      </c>
      <c r="I42" s="326"/>
      <c r="J42" s="326"/>
      <c r="K42" s="327"/>
      <c r="L42" s="438" t="s">
        <v>303</v>
      </c>
      <c r="M42" s="326"/>
      <c r="N42" s="327"/>
      <c r="O42" s="519" t="s">
        <v>303</v>
      </c>
      <c r="P42" s="326"/>
      <c r="Q42" s="327"/>
      <c r="R42" s="527"/>
      <c r="S42" s="326"/>
      <c r="T42" s="327"/>
      <c r="U42" s="527"/>
      <c r="V42" s="326"/>
      <c r="W42" s="327"/>
      <c r="X42" s="66"/>
      <c r="Y42" s="67"/>
      <c r="Z42" s="66"/>
      <c r="AA42" s="67"/>
      <c r="AB42" s="66"/>
      <c r="AC42" s="67"/>
      <c r="AD42" s="66"/>
      <c r="AE42" s="67"/>
      <c r="AF42" s="66"/>
      <c r="AG42" s="67"/>
      <c r="AH42" s="66"/>
      <c r="AI42" s="67"/>
      <c r="AJ42" s="68"/>
      <c r="AK42" s="69"/>
      <c r="AL42" s="68"/>
      <c r="AM42" s="69"/>
      <c r="AN42" s="68"/>
      <c r="AO42" s="69"/>
      <c r="AP42" s="68"/>
      <c r="AQ42" s="69"/>
      <c r="AR42" s="68"/>
      <c r="AS42" s="642" t="s">
        <v>303</v>
      </c>
      <c r="AT42" s="326"/>
      <c r="AU42" s="326"/>
      <c r="AV42" s="326"/>
      <c r="AW42" s="326"/>
      <c r="AX42" s="326"/>
      <c r="AY42" s="327"/>
      <c r="AZ42" s="70"/>
      <c r="BA42" s="70"/>
      <c r="BB42" s="643" t="s">
        <v>334</v>
      </c>
      <c r="BC42" s="327"/>
      <c r="BD42" s="645" t="s">
        <v>303</v>
      </c>
      <c r="BE42" s="326"/>
      <c r="BF42" s="327"/>
      <c r="BG42" s="646" t="s">
        <v>303</v>
      </c>
      <c r="BH42" s="326"/>
      <c r="BI42" s="326"/>
      <c r="BJ42" s="327"/>
      <c r="BK42" s="647" t="s">
        <v>505</v>
      </c>
      <c r="BL42" s="326"/>
      <c r="BM42" s="327"/>
      <c r="BN42" s="71"/>
      <c r="BO42" s="71"/>
      <c r="BP42" s="646"/>
      <c r="BQ42" s="326"/>
      <c r="BR42" s="327"/>
      <c r="BS42" s="645" t="s">
        <v>303</v>
      </c>
      <c r="BT42" s="326"/>
      <c r="BU42" s="327"/>
    </row>
    <row r="43" spans="1:73" ht="30" customHeight="1" x14ac:dyDescent="0.25">
      <c r="A43" s="65">
        <f t="shared" si="0"/>
        <v>29</v>
      </c>
      <c r="B43" s="639" t="s">
        <v>334</v>
      </c>
      <c r="C43" s="327"/>
      <c r="D43" s="640" t="s">
        <v>303</v>
      </c>
      <c r="E43" s="326"/>
      <c r="F43" s="326"/>
      <c r="G43" s="327"/>
      <c r="H43" s="641" t="s">
        <v>303</v>
      </c>
      <c r="I43" s="326"/>
      <c r="J43" s="326"/>
      <c r="K43" s="327"/>
      <c r="L43" s="438" t="s">
        <v>303</v>
      </c>
      <c r="M43" s="326"/>
      <c r="N43" s="327"/>
      <c r="O43" s="519" t="s">
        <v>303</v>
      </c>
      <c r="P43" s="326"/>
      <c r="Q43" s="327"/>
      <c r="R43" s="527"/>
      <c r="S43" s="326"/>
      <c r="T43" s="327"/>
      <c r="U43" s="527"/>
      <c r="V43" s="326"/>
      <c r="W43" s="327"/>
      <c r="X43" s="66"/>
      <c r="Y43" s="67"/>
      <c r="Z43" s="66"/>
      <c r="AA43" s="67"/>
      <c r="AB43" s="66"/>
      <c r="AC43" s="67"/>
      <c r="AD43" s="66"/>
      <c r="AE43" s="67"/>
      <c r="AF43" s="66"/>
      <c r="AG43" s="67"/>
      <c r="AH43" s="66"/>
      <c r="AI43" s="67"/>
      <c r="AJ43" s="68"/>
      <c r="AK43" s="69"/>
      <c r="AL43" s="68"/>
      <c r="AM43" s="69"/>
      <c r="AN43" s="68"/>
      <c r="AO43" s="69"/>
      <c r="AP43" s="68"/>
      <c r="AQ43" s="69"/>
      <c r="AR43" s="68"/>
      <c r="AS43" s="642" t="s">
        <v>303</v>
      </c>
      <c r="AT43" s="326"/>
      <c r="AU43" s="326"/>
      <c r="AV43" s="326"/>
      <c r="AW43" s="326"/>
      <c r="AX43" s="326"/>
      <c r="AY43" s="327"/>
      <c r="AZ43" s="70"/>
      <c r="BA43" s="70"/>
      <c r="BB43" s="644" t="s">
        <v>334</v>
      </c>
      <c r="BC43" s="327"/>
      <c r="BD43" s="645" t="s">
        <v>303</v>
      </c>
      <c r="BE43" s="326"/>
      <c r="BF43" s="327"/>
      <c r="BG43" s="646" t="s">
        <v>303</v>
      </c>
      <c r="BH43" s="326"/>
      <c r="BI43" s="326"/>
      <c r="BJ43" s="327"/>
      <c r="BK43" s="647" t="s">
        <v>505</v>
      </c>
      <c r="BL43" s="326"/>
      <c r="BM43" s="327"/>
      <c r="BN43" s="71"/>
      <c r="BO43" s="71"/>
      <c r="BP43" s="646"/>
      <c r="BQ43" s="326"/>
      <c r="BR43" s="327"/>
      <c r="BS43" s="645" t="s">
        <v>303</v>
      </c>
      <c r="BT43" s="326"/>
      <c r="BU43" s="327"/>
    </row>
    <row r="44" spans="1:73" ht="30" customHeight="1" x14ac:dyDescent="0.25">
      <c r="A44" s="65">
        <f t="shared" si="0"/>
        <v>30</v>
      </c>
      <c r="B44" s="639" t="s">
        <v>334</v>
      </c>
      <c r="C44" s="327"/>
      <c r="D44" s="640" t="s">
        <v>303</v>
      </c>
      <c r="E44" s="326"/>
      <c r="F44" s="326"/>
      <c r="G44" s="327"/>
      <c r="H44" s="641" t="s">
        <v>303</v>
      </c>
      <c r="I44" s="326"/>
      <c r="J44" s="326"/>
      <c r="K44" s="327"/>
      <c r="L44" s="438" t="s">
        <v>303</v>
      </c>
      <c r="M44" s="326"/>
      <c r="N44" s="327"/>
      <c r="O44" s="519" t="s">
        <v>303</v>
      </c>
      <c r="P44" s="326"/>
      <c r="Q44" s="327"/>
      <c r="R44" s="527"/>
      <c r="S44" s="326"/>
      <c r="T44" s="327"/>
      <c r="U44" s="527"/>
      <c r="V44" s="326"/>
      <c r="W44" s="327"/>
      <c r="X44" s="66"/>
      <c r="Y44" s="67"/>
      <c r="Z44" s="66"/>
      <c r="AA44" s="67"/>
      <c r="AB44" s="66"/>
      <c r="AC44" s="67"/>
      <c r="AD44" s="66"/>
      <c r="AE44" s="67"/>
      <c r="AF44" s="66"/>
      <c r="AG44" s="67"/>
      <c r="AH44" s="66"/>
      <c r="AI44" s="67"/>
      <c r="AJ44" s="68"/>
      <c r="AK44" s="69"/>
      <c r="AL44" s="68"/>
      <c r="AM44" s="69"/>
      <c r="AN44" s="68"/>
      <c r="AO44" s="69"/>
      <c r="AP44" s="68"/>
      <c r="AQ44" s="69"/>
      <c r="AR44" s="68"/>
      <c r="AS44" s="642" t="s">
        <v>303</v>
      </c>
      <c r="AT44" s="326"/>
      <c r="AU44" s="326"/>
      <c r="AV44" s="326"/>
      <c r="AW44" s="326"/>
      <c r="AX44" s="326"/>
      <c r="AY44" s="327"/>
      <c r="AZ44" s="70"/>
      <c r="BA44" s="70"/>
      <c r="BB44" s="643" t="s">
        <v>334</v>
      </c>
      <c r="BC44" s="327"/>
      <c r="BD44" s="645" t="s">
        <v>303</v>
      </c>
      <c r="BE44" s="326"/>
      <c r="BF44" s="327"/>
      <c r="BG44" s="646" t="s">
        <v>303</v>
      </c>
      <c r="BH44" s="326"/>
      <c r="BI44" s="326"/>
      <c r="BJ44" s="327"/>
      <c r="BK44" s="647" t="s">
        <v>505</v>
      </c>
      <c r="BL44" s="326"/>
      <c r="BM44" s="327"/>
      <c r="BN44" s="71"/>
      <c r="BO44" s="71"/>
      <c r="BP44" s="646"/>
      <c r="BQ44" s="326"/>
      <c r="BR44" s="327"/>
      <c r="BS44" s="645" t="s">
        <v>303</v>
      </c>
      <c r="BT44" s="326"/>
      <c r="BU44" s="327"/>
    </row>
    <row r="45" spans="1:73" ht="30" customHeight="1" x14ac:dyDescent="0.25">
      <c r="A45" s="65">
        <f t="shared" si="0"/>
        <v>31</v>
      </c>
      <c r="B45" s="639" t="s">
        <v>334</v>
      </c>
      <c r="C45" s="327"/>
      <c r="D45" s="640" t="s">
        <v>303</v>
      </c>
      <c r="E45" s="326"/>
      <c r="F45" s="326"/>
      <c r="G45" s="327"/>
      <c r="H45" s="641" t="s">
        <v>303</v>
      </c>
      <c r="I45" s="326"/>
      <c r="J45" s="326"/>
      <c r="K45" s="327"/>
      <c r="L45" s="438" t="s">
        <v>303</v>
      </c>
      <c r="M45" s="326"/>
      <c r="N45" s="327"/>
      <c r="O45" s="519" t="s">
        <v>303</v>
      </c>
      <c r="P45" s="326"/>
      <c r="Q45" s="327"/>
      <c r="R45" s="527"/>
      <c r="S45" s="326"/>
      <c r="T45" s="327"/>
      <c r="U45" s="527"/>
      <c r="V45" s="326"/>
      <c r="W45" s="327"/>
      <c r="X45" s="66"/>
      <c r="Y45" s="67"/>
      <c r="Z45" s="66"/>
      <c r="AA45" s="67"/>
      <c r="AB45" s="66"/>
      <c r="AC45" s="67"/>
      <c r="AD45" s="66"/>
      <c r="AE45" s="67"/>
      <c r="AF45" s="66"/>
      <c r="AG45" s="67"/>
      <c r="AH45" s="66"/>
      <c r="AI45" s="67"/>
      <c r="AJ45" s="68"/>
      <c r="AK45" s="69"/>
      <c r="AL45" s="68"/>
      <c r="AM45" s="69"/>
      <c r="AN45" s="68"/>
      <c r="AO45" s="69"/>
      <c r="AP45" s="68"/>
      <c r="AQ45" s="69"/>
      <c r="AR45" s="68"/>
      <c r="AS45" s="642" t="s">
        <v>303</v>
      </c>
      <c r="AT45" s="326"/>
      <c r="AU45" s="326"/>
      <c r="AV45" s="326"/>
      <c r="AW45" s="326"/>
      <c r="AX45" s="326"/>
      <c r="AY45" s="327"/>
      <c r="AZ45" s="70"/>
      <c r="BA45" s="70"/>
      <c r="BB45" s="643" t="s">
        <v>334</v>
      </c>
      <c r="BC45" s="327"/>
      <c r="BD45" s="645" t="s">
        <v>303</v>
      </c>
      <c r="BE45" s="326"/>
      <c r="BF45" s="327"/>
      <c r="BG45" s="646" t="s">
        <v>303</v>
      </c>
      <c r="BH45" s="326"/>
      <c r="BI45" s="326"/>
      <c r="BJ45" s="327"/>
      <c r="BK45" s="647" t="s">
        <v>505</v>
      </c>
      <c r="BL45" s="326"/>
      <c r="BM45" s="327"/>
      <c r="BN45" s="71"/>
      <c r="BO45" s="71"/>
      <c r="BP45" s="646"/>
      <c r="BQ45" s="326"/>
      <c r="BR45" s="327"/>
      <c r="BS45" s="645" t="s">
        <v>303</v>
      </c>
      <c r="BT45" s="326"/>
      <c r="BU45" s="327"/>
    </row>
    <row r="46" spans="1:73" ht="30" customHeight="1" x14ac:dyDescent="0.25">
      <c r="A46" s="65">
        <f t="shared" si="0"/>
        <v>32</v>
      </c>
      <c r="B46" s="639" t="s">
        <v>334</v>
      </c>
      <c r="C46" s="327"/>
      <c r="D46" s="640" t="s">
        <v>303</v>
      </c>
      <c r="E46" s="326"/>
      <c r="F46" s="326"/>
      <c r="G46" s="327"/>
      <c r="H46" s="641" t="s">
        <v>303</v>
      </c>
      <c r="I46" s="326"/>
      <c r="J46" s="326"/>
      <c r="K46" s="327"/>
      <c r="L46" s="438" t="s">
        <v>303</v>
      </c>
      <c r="M46" s="326"/>
      <c r="N46" s="327"/>
      <c r="O46" s="519" t="s">
        <v>303</v>
      </c>
      <c r="P46" s="326"/>
      <c r="Q46" s="327"/>
      <c r="R46" s="527"/>
      <c r="S46" s="326"/>
      <c r="T46" s="327"/>
      <c r="U46" s="527"/>
      <c r="V46" s="326"/>
      <c r="W46" s="327"/>
      <c r="X46" s="66"/>
      <c r="Y46" s="67"/>
      <c r="Z46" s="66"/>
      <c r="AA46" s="67"/>
      <c r="AB46" s="66"/>
      <c r="AC46" s="67"/>
      <c r="AD46" s="66"/>
      <c r="AE46" s="67"/>
      <c r="AF46" s="66"/>
      <c r="AG46" s="67"/>
      <c r="AH46" s="66"/>
      <c r="AI46" s="67"/>
      <c r="AJ46" s="68"/>
      <c r="AK46" s="69"/>
      <c r="AL46" s="68"/>
      <c r="AM46" s="69"/>
      <c r="AN46" s="68"/>
      <c r="AO46" s="69"/>
      <c r="AP46" s="68"/>
      <c r="AQ46" s="69"/>
      <c r="AR46" s="68"/>
      <c r="AS46" s="642" t="s">
        <v>303</v>
      </c>
      <c r="AT46" s="326"/>
      <c r="AU46" s="326"/>
      <c r="AV46" s="326"/>
      <c r="AW46" s="326"/>
      <c r="AX46" s="326"/>
      <c r="AY46" s="327"/>
      <c r="AZ46" s="70"/>
      <c r="BA46" s="70"/>
      <c r="BB46" s="643" t="s">
        <v>334</v>
      </c>
      <c r="BC46" s="327"/>
      <c r="BD46" s="645" t="s">
        <v>303</v>
      </c>
      <c r="BE46" s="326"/>
      <c r="BF46" s="327"/>
      <c r="BG46" s="646" t="s">
        <v>303</v>
      </c>
      <c r="BH46" s="326"/>
      <c r="BI46" s="326"/>
      <c r="BJ46" s="327"/>
      <c r="BK46" s="647" t="s">
        <v>505</v>
      </c>
      <c r="BL46" s="326"/>
      <c r="BM46" s="327"/>
      <c r="BN46" s="71"/>
      <c r="BO46" s="71"/>
      <c r="BP46" s="646"/>
      <c r="BQ46" s="326"/>
      <c r="BR46" s="327"/>
      <c r="BS46" s="645" t="s">
        <v>303</v>
      </c>
      <c r="BT46" s="326"/>
      <c r="BU46" s="327"/>
    </row>
    <row r="47" spans="1:73" ht="30" customHeight="1" x14ac:dyDescent="0.25">
      <c r="A47" s="65">
        <f t="shared" si="0"/>
        <v>33</v>
      </c>
      <c r="B47" s="639" t="s">
        <v>334</v>
      </c>
      <c r="C47" s="327"/>
      <c r="D47" s="640" t="s">
        <v>303</v>
      </c>
      <c r="E47" s="326"/>
      <c r="F47" s="326"/>
      <c r="G47" s="327"/>
      <c r="H47" s="641" t="s">
        <v>303</v>
      </c>
      <c r="I47" s="326"/>
      <c r="J47" s="326"/>
      <c r="K47" s="327"/>
      <c r="L47" s="438" t="s">
        <v>303</v>
      </c>
      <c r="M47" s="326"/>
      <c r="N47" s="327"/>
      <c r="O47" s="519" t="s">
        <v>303</v>
      </c>
      <c r="P47" s="326"/>
      <c r="Q47" s="327"/>
      <c r="R47" s="527"/>
      <c r="S47" s="326"/>
      <c r="T47" s="327"/>
      <c r="U47" s="527"/>
      <c r="V47" s="326"/>
      <c r="W47" s="327"/>
      <c r="X47" s="66"/>
      <c r="Y47" s="67"/>
      <c r="Z47" s="66"/>
      <c r="AA47" s="67"/>
      <c r="AB47" s="66"/>
      <c r="AC47" s="67"/>
      <c r="AD47" s="66"/>
      <c r="AE47" s="67"/>
      <c r="AF47" s="66"/>
      <c r="AG47" s="67"/>
      <c r="AH47" s="66"/>
      <c r="AI47" s="67"/>
      <c r="AJ47" s="68"/>
      <c r="AK47" s="69"/>
      <c r="AL47" s="68"/>
      <c r="AM47" s="69"/>
      <c r="AN47" s="68"/>
      <c r="AO47" s="69"/>
      <c r="AP47" s="68"/>
      <c r="AQ47" s="69"/>
      <c r="AR47" s="68"/>
      <c r="AS47" s="642" t="s">
        <v>303</v>
      </c>
      <c r="AT47" s="326"/>
      <c r="AU47" s="326"/>
      <c r="AV47" s="326"/>
      <c r="AW47" s="326"/>
      <c r="AX47" s="326"/>
      <c r="AY47" s="327"/>
      <c r="AZ47" s="70"/>
      <c r="BA47" s="70"/>
      <c r="BB47" s="643" t="s">
        <v>334</v>
      </c>
      <c r="BC47" s="327"/>
      <c r="BD47" s="645" t="s">
        <v>303</v>
      </c>
      <c r="BE47" s="326"/>
      <c r="BF47" s="327"/>
      <c r="BG47" s="646" t="s">
        <v>303</v>
      </c>
      <c r="BH47" s="326"/>
      <c r="BI47" s="326"/>
      <c r="BJ47" s="327"/>
      <c r="BK47" s="647" t="s">
        <v>505</v>
      </c>
      <c r="BL47" s="326"/>
      <c r="BM47" s="327"/>
      <c r="BN47" s="71"/>
      <c r="BO47" s="71"/>
      <c r="BP47" s="646"/>
      <c r="BQ47" s="326"/>
      <c r="BR47" s="327"/>
      <c r="BS47" s="645" t="s">
        <v>303</v>
      </c>
      <c r="BT47" s="326"/>
      <c r="BU47" s="327"/>
    </row>
    <row r="48" spans="1:73" ht="30" customHeight="1" x14ac:dyDescent="0.25">
      <c r="A48" s="65">
        <f t="shared" si="0"/>
        <v>34</v>
      </c>
      <c r="B48" s="639" t="s">
        <v>334</v>
      </c>
      <c r="C48" s="327"/>
      <c r="D48" s="640" t="s">
        <v>303</v>
      </c>
      <c r="E48" s="326"/>
      <c r="F48" s="326"/>
      <c r="G48" s="327"/>
      <c r="H48" s="641" t="s">
        <v>303</v>
      </c>
      <c r="I48" s="326"/>
      <c r="J48" s="326"/>
      <c r="K48" s="327"/>
      <c r="L48" s="438" t="s">
        <v>303</v>
      </c>
      <c r="M48" s="326"/>
      <c r="N48" s="327"/>
      <c r="O48" s="519" t="s">
        <v>303</v>
      </c>
      <c r="P48" s="326"/>
      <c r="Q48" s="327"/>
      <c r="R48" s="527"/>
      <c r="S48" s="326"/>
      <c r="T48" s="327"/>
      <c r="U48" s="527"/>
      <c r="V48" s="326"/>
      <c r="W48" s="327"/>
      <c r="X48" s="66"/>
      <c r="Y48" s="67"/>
      <c r="Z48" s="66"/>
      <c r="AA48" s="67"/>
      <c r="AB48" s="66"/>
      <c r="AC48" s="67"/>
      <c r="AD48" s="66"/>
      <c r="AE48" s="67"/>
      <c r="AF48" s="66"/>
      <c r="AG48" s="67"/>
      <c r="AH48" s="66"/>
      <c r="AI48" s="67"/>
      <c r="AJ48" s="68"/>
      <c r="AK48" s="69"/>
      <c r="AL48" s="68"/>
      <c r="AM48" s="69"/>
      <c r="AN48" s="68"/>
      <c r="AO48" s="69"/>
      <c r="AP48" s="68"/>
      <c r="AQ48" s="69"/>
      <c r="AR48" s="68"/>
      <c r="AS48" s="642" t="s">
        <v>303</v>
      </c>
      <c r="AT48" s="326"/>
      <c r="AU48" s="326"/>
      <c r="AV48" s="326"/>
      <c r="AW48" s="326"/>
      <c r="AX48" s="326"/>
      <c r="AY48" s="327"/>
      <c r="AZ48" s="70"/>
      <c r="BA48" s="70"/>
      <c r="BB48" s="643" t="s">
        <v>334</v>
      </c>
      <c r="BC48" s="327"/>
      <c r="BD48" s="645" t="s">
        <v>303</v>
      </c>
      <c r="BE48" s="326"/>
      <c r="BF48" s="327"/>
      <c r="BG48" s="646" t="s">
        <v>303</v>
      </c>
      <c r="BH48" s="326"/>
      <c r="BI48" s="326"/>
      <c r="BJ48" s="327"/>
      <c r="BK48" s="647" t="s">
        <v>505</v>
      </c>
      <c r="BL48" s="326"/>
      <c r="BM48" s="327"/>
      <c r="BN48" s="71"/>
      <c r="BO48" s="71"/>
      <c r="BP48" s="646"/>
      <c r="BQ48" s="326"/>
      <c r="BR48" s="327"/>
      <c r="BS48" s="645" t="s">
        <v>303</v>
      </c>
      <c r="BT48" s="326"/>
      <c r="BU48" s="327"/>
    </row>
    <row r="49" spans="1:73" ht="30" customHeight="1" x14ac:dyDescent="0.25">
      <c r="A49" s="65">
        <f t="shared" si="0"/>
        <v>35</v>
      </c>
      <c r="B49" s="639" t="s">
        <v>334</v>
      </c>
      <c r="C49" s="327"/>
      <c r="D49" s="640" t="s">
        <v>303</v>
      </c>
      <c r="E49" s="326"/>
      <c r="F49" s="326"/>
      <c r="G49" s="327"/>
      <c r="H49" s="641" t="s">
        <v>303</v>
      </c>
      <c r="I49" s="326"/>
      <c r="J49" s="326"/>
      <c r="K49" s="327"/>
      <c r="L49" s="438" t="s">
        <v>303</v>
      </c>
      <c r="M49" s="326"/>
      <c r="N49" s="327"/>
      <c r="O49" s="519" t="s">
        <v>303</v>
      </c>
      <c r="P49" s="326"/>
      <c r="Q49" s="327"/>
      <c r="R49" s="527"/>
      <c r="S49" s="326"/>
      <c r="T49" s="327"/>
      <c r="U49" s="527"/>
      <c r="V49" s="326"/>
      <c r="W49" s="327"/>
      <c r="X49" s="66"/>
      <c r="Y49" s="67"/>
      <c r="Z49" s="66"/>
      <c r="AA49" s="67"/>
      <c r="AB49" s="66"/>
      <c r="AC49" s="67"/>
      <c r="AD49" s="66"/>
      <c r="AE49" s="67"/>
      <c r="AF49" s="66"/>
      <c r="AG49" s="67"/>
      <c r="AH49" s="66"/>
      <c r="AI49" s="67"/>
      <c r="AJ49" s="68"/>
      <c r="AK49" s="69"/>
      <c r="AL49" s="68"/>
      <c r="AM49" s="69"/>
      <c r="AN49" s="68"/>
      <c r="AO49" s="69"/>
      <c r="AP49" s="68"/>
      <c r="AQ49" s="69"/>
      <c r="AR49" s="68"/>
      <c r="AS49" s="642" t="s">
        <v>303</v>
      </c>
      <c r="AT49" s="326"/>
      <c r="AU49" s="326"/>
      <c r="AV49" s="326"/>
      <c r="AW49" s="326"/>
      <c r="AX49" s="326"/>
      <c r="AY49" s="327"/>
      <c r="AZ49" s="70"/>
      <c r="BA49" s="70"/>
      <c r="BB49" s="643" t="s">
        <v>334</v>
      </c>
      <c r="BC49" s="327"/>
      <c r="BD49" s="645" t="s">
        <v>303</v>
      </c>
      <c r="BE49" s="326"/>
      <c r="BF49" s="327"/>
      <c r="BG49" s="646" t="s">
        <v>303</v>
      </c>
      <c r="BH49" s="326"/>
      <c r="BI49" s="326"/>
      <c r="BJ49" s="327"/>
      <c r="BK49" s="647" t="s">
        <v>505</v>
      </c>
      <c r="BL49" s="326"/>
      <c r="BM49" s="327"/>
      <c r="BN49" s="71"/>
      <c r="BO49" s="71"/>
      <c r="BP49" s="646"/>
      <c r="BQ49" s="326"/>
      <c r="BR49" s="327"/>
      <c r="BS49" s="645" t="s">
        <v>303</v>
      </c>
      <c r="BT49" s="326"/>
      <c r="BU49" s="327"/>
    </row>
    <row r="50" spans="1:73" ht="30" customHeight="1" x14ac:dyDescent="0.25">
      <c r="A50" s="65">
        <f t="shared" si="0"/>
        <v>36</v>
      </c>
      <c r="B50" s="639" t="s">
        <v>334</v>
      </c>
      <c r="C50" s="327"/>
      <c r="D50" s="640" t="s">
        <v>303</v>
      </c>
      <c r="E50" s="326"/>
      <c r="F50" s="326"/>
      <c r="G50" s="327"/>
      <c r="H50" s="641" t="s">
        <v>303</v>
      </c>
      <c r="I50" s="326"/>
      <c r="J50" s="326"/>
      <c r="K50" s="327"/>
      <c r="L50" s="438" t="s">
        <v>303</v>
      </c>
      <c r="M50" s="326"/>
      <c r="N50" s="327"/>
      <c r="O50" s="519" t="s">
        <v>303</v>
      </c>
      <c r="P50" s="326"/>
      <c r="Q50" s="327"/>
      <c r="R50" s="527"/>
      <c r="S50" s="326"/>
      <c r="T50" s="327"/>
      <c r="U50" s="527"/>
      <c r="V50" s="326"/>
      <c r="W50" s="327"/>
      <c r="X50" s="66"/>
      <c r="Y50" s="67"/>
      <c r="Z50" s="66"/>
      <c r="AA50" s="67"/>
      <c r="AB50" s="66"/>
      <c r="AC50" s="67"/>
      <c r="AD50" s="66"/>
      <c r="AE50" s="67"/>
      <c r="AF50" s="66"/>
      <c r="AG50" s="67"/>
      <c r="AH50" s="66"/>
      <c r="AI50" s="67"/>
      <c r="AJ50" s="68"/>
      <c r="AK50" s="69"/>
      <c r="AL50" s="68"/>
      <c r="AM50" s="69"/>
      <c r="AN50" s="68"/>
      <c r="AO50" s="69"/>
      <c r="AP50" s="68"/>
      <c r="AQ50" s="69"/>
      <c r="AR50" s="68"/>
      <c r="AS50" s="642" t="s">
        <v>303</v>
      </c>
      <c r="AT50" s="326"/>
      <c r="AU50" s="326"/>
      <c r="AV50" s="326"/>
      <c r="AW50" s="326"/>
      <c r="AX50" s="326"/>
      <c r="AY50" s="327"/>
      <c r="AZ50" s="70"/>
      <c r="BA50" s="70"/>
      <c r="BB50" s="644" t="s">
        <v>334</v>
      </c>
      <c r="BC50" s="327"/>
      <c r="BD50" s="645" t="s">
        <v>303</v>
      </c>
      <c r="BE50" s="326"/>
      <c r="BF50" s="327"/>
      <c r="BG50" s="646" t="s">
        <v>303</v>
      </c>
      <c r="BH50" s="326"/>
      <c r="BI50" s="326"/>
      <c r="BJ50" s="327"/>
      <c r="BK50" s="647" t="s">
        <v>505</v>
      </c>
      <c r="BL50" s="326"/>
      <c r="BM50" s="327"/>
      <c r="BN50" s="71"/>
      <c r="BO50" s="71"/>
      <c r="BP50" s="646"/>
      <c r="BQ50" s="326"/>
      <c r="BR50" s="327"/>
      <c r="BS50" s="645" t="s">
        <v>303</v>
      </c>
      <c r="BT50" s="326"/>
      <c r="BU50" s="327"/>
    </row>
    <row r="51" spans="1:73" ht="30" customHeight="1" x14ac:dyDescent="0.25">
      <c r="A51" s="65">
        <f t="shared" si="0"/>
        <v>37</v>
      </c>
      <c r="B51" s="639" t="s">
        <v>334</v>
      </c>
      <c r="C51" s="327"/>
      <c r="D51" s="640" t="s">
        <v>303</v>
      </c>
      <c r="E51" s="326"/>
      <c r="F51" s="326"/>
      <c r="G51" s="327"/>
      <c r="H51" s="641" t="s">
        <v>303</v>
      </c>
      <c r="I51" s="326"/>
      <c r="J51" s="326"/>
      <c r="K51" s="327"/>
      <c r="L51" s="438" t="s">
        <v>303</v>
      </c>
      <c r="M51" s="326"/>
      <c r="N51" s="327"/>
      <c r="O51" s="519" t="s">
        <v>303</v>
      </c>
      <c r="P51" s="326"/>
      <c r="Q51" s="327"/>
      <c r="R51" s="527"/>
      <c r="S51" s="326"/>
      <c r="T51" s="327"/>
      <c r="U51" s="527"/>
      <c r="V51" s="326"/>
      <c r="W51" s="327"/>
      <c r="X51" s="66"/>
      <c r="Y51" s="67"/>
      <c r="Z51" s="66"/>
      <c r="AA51" s="67"/>
      <c r="AB51" s="66"/>
      <c r="AC51" s="67"/>
      <c r="AD51" s="66"/>
      <c r="AE51" s="67"/>
      <c r="AF51" s="66"/>
      <c r="AG51" s="67"/>
      <c r="AH51" s="66"/>
      <c r="AI51" s="67"/>
      <c r="AJ51" s="68"/>
      <c r="AK51" s="69"/>
      <c r="AL51" s="68"/>
      <c r="AM51" s="69"/>
      <c r="AN51" s="68"/>
      <c r="AO51" s="69"/>
      <c r="AP51" s="68"/>
      <c r="AQ51" s="69"/>
      <c r="AR51" s="68"/>
      <c r="AS51" s="642" t="s">
        <v>303</v>
      </c>
      <c r="AT51" s="326"/>
      <c r="AU51" s="326"/>
      <c r="AV51" s="326"/>
      <c r="AW51" s="326"/>
      <c r="AX51" s="326"/>
      <c r="AY51" s="327"/>
      <c r="AZ51" s="70"/>
      <c r="BA51" s="70"/>
      <c r="BB51" s="643" t="s">
        <v>334</v>
      </c>
      <c r="BC51" s="327"/>
      <c r="BD51" s="645" t="s">
        <v>303</v>
      </c>
      <c r="BE51" s="326"/>
      <c r="BF51" s="327"/>
      <c r="BG51" s="646" t="s">
        <v>303</v>
      </c>
      <c r="BH51" s="326"/>
      <c r="BI51" s="326"/>
      <c r="BJ51" s="327"/>
      <c r="BK51" s="647" t="s">
        <v>505</v>
      </c>
      <c r="BL51" s="326"/>
      <c r="BM51" s="327"/>
      <c r="BN51" s="71"/>
      <c r="BO51" s="71"/>
      <c r="BP51" s="646"/>
      <c r="BQ51" s="326"/>
      <c r="BR51" s="327"/>
      <c r="BS51" s="645" t="s">
        <v>303</v>
      </c>
      <c r="BT51" s="326"/>
      <c r="BU51" s="327"/>
    </row>
    <row r="52" spans="1:73" ht="30" customHeight="1" x14ac:dyDescent="0.25">
      <c r="A52" s="65">
        <f t="shared" si="0"/>
        <v>38</v>
      </c>
      <c r="B52" s="639" t="s">
        <v>334</v>
      </c>
      <c r="C52" s="327"/>
      <c r="D52" s="640" t="s">
        <v>303</v>
      </c>
      <c r="E52" s="326"/>
      <c r="F52" s="326"/>
      <c r="G52" s="327"/>
      <c r="H52" s="641" t="s">
        <v>303</v>
      </c>
      <c r="I52" s="326"/>
      <c r="J52" s="326"/>
      <c r="K52" s="327"/>
      <c r="L52" s="438" t="s">
        <v>303</v>
      </c>
      <c r="M52" s="326"/>
      <c r="N52" s="327"/>
      <c r="O52" s="519" t="s">
        <v>303</v>
      </c>
      <c r="P52" s="326"/>
      <c r="Q52" s="327"/>
      <c r="R52" s="527"/>
      <c r="S52" s="326"/>
      <c r="T52" s="327"/>
      <c r="U52" s="527"/>
      <c r="V52" s="326"/>
      <c r="W52" s="327"/>
      <c r="X52" s="66"/>
      <c r="Y52" s="67"/>
      <c r="Z52" s="66"/>
      <c r="AA52" s="67"/>
      <c r="AB52" s="66"/>
      <c r="AC52" s="67"/>
      <c r="AD52" s="66"/>
      <c r="AE52" s="67"/>
      <c r="AF52" s="66"/>
      <c r="AG52" s="67"/>
      <c r="AH52" s="66"/>
      <c r="AI52" s="67"/>
      <c r="AJ52" s="68"/>
      <c r="AK52" s="69"/>
      <c r="AL52" s="68"/>
      <c r="AM52" s="69"/>
      <c r="AN52" s="68"/>
      <c r="AO52" s="69"/>
      <c r="AP52" s="68"/>
      <c r="AQ52" s="69"/>
      <c r="AR52" s="68"/>
      <c r="AS52" s="642" t="s">
        <v>303</v>
      </c>
      <c r="AT52" s="326"/>
      <c r="AU52" s="326"/>
      <c r="AV52" s="326"/>
      <c r="AW52" s="326"/>
      <c r="AX52" s="326"/>
      <c r="AY52" s="327"/>
      <c r="AZ52" s="70"/>
      <c r="BA52" s="70"/>
      <c r="BB52" s="643" t="s">
        <v>334</v>
      </c>
      <c r="BC52" s="327"/>
      <c r="BD52" s="645" t="s">
        <v>303</v>
      </c>
      <c r="BE52" s="326"/>
      <c r="BF52" s="327"/>
      <c r="BG52" s="646" t="s">
        <v>303</v>
      </c>
      <c r="BH52" s="326"/>
      <c r="BI52" s="326"/>
      <c r="BJ52" s="327"/>
      <c r="BK52" s="647" t="s">
        <v>505</v>
      </c>
      <c r="BL52" s="326"/>
      <c r="BM52" s="327"/>
      <c r="BN52" s="71"/>
      <c r="BO52" s="71"/>
      <c r="BP52" s="646"/>
      <c r="BQ52" s="326"/>
      <c r="BR52" s="327"/>
      <c r="BS52" s="645" t="s">
        <v>303</v>
      </c>
      <c r="BT52" s="326"/>
      <c r="BU52" s="327"/>
    </row>
    <row r="53" spans="1:73" ht="30" customHeight="1" x14ac:dyDescent="0.25">
      <c r="A53" s="65">
        <f t="shared" si="0"/>
        <v>39</v>
      </c>
      <c r="B53" s="639" t="s">
        <v>334</v>
      </c>
      <c r="C53" s="327"/>
      <c r="D53" s="640" t="s">
        <v>303</v>
      </c>
      <c r="E53" s="326"/>
      <c r="F53" s="326"/>
      <c r="G53" s="327"/>
      <c r="H53" s="641" t="s">
        <v>303</v>
      </c>
      <c r="I53" s="326"/>
      <c r="J53" s="326"/>
      <c r="K53" s="327"/>
      <c r="L53" s="438" t="s">
        <v>303</v>
      </c>
      <c r="M53" s="326"/>
      <c r="N53" s="327"/>
      <c r="O53" s="519" t="s">
        <v>303</v>
      </c>
      <c r="P53" s="326"/>
      <c r="Q53" s="327"/>
      <c r="R53" s="527"/>
      <c r="S53" s="326"/>
      <c r="T53" s="327"/>
      <c r="U53" s="527"/>
      <c r="V53" s="326"/>
      <c r="W53" s="327"/>
      <c r="X53" s="66"/>
      <c r="Y53" s="67"/>
      <c r="Z53" s="66"/>
      <c r="AA53" s="67"/>
      <c r="AB53" s="66"/>
      <c r="AC53" s="67"/>
      <c r="AD53" s="66"/>
      <c r="AE53" s="67"/>
      <c r="AF53" s="66"/>
      <c r="AG53" s="67"/>
      <c r="AH53" s="66"/>
      <c r="AI53" s="67"/>
      <c r="AJ53" s="68"/>
      <c r="AK53" s="69"/>
      <c r="AL53" s="68"/>
      <c r="AM53" s="69"/>
      <c r="AN53" s="68"/>
      <c r="AO53" s="69"/>
      <c r="AP53" s="68"/>
      <c r="AQ53" s="69"/>
      <c r="AR53" s="68"/>
      <c r="AS53" s="642" t="s">
        <v>303</v>
      </c>
      <c r="AT53" s="326"/>
      <c r="AU53" s="326"/>
      <c r="AV53" s="326"/>
      <c r="AW53" s="326"/>
      <c r="AX53" s="326"/>
      <c r="AY53" s="327"/>
      <c r="AZ53" s="70"/>
      <c r="BA53" s="70"/>
      <c r="BB53" s="643" t="s">
        <v>334</v>
      </c>
      <c r="BC53" s="327"/>
      <c r="BD53" s="645" t="s">
        <v>303</v>
      </c>
      <c r="BE53" s="326"/>
      <c r="BF53" s="327"/>
      <c r="BG53" s="646" t="s">
        <v>303</v>
      </c>
      <c r="BH53" s="326"/>
      <c r="BI53" s="326"/>
      <c r="BJ53" s="327"/>
      <c r="BK53" s="647" t="s">
        <v>505</v>
      </c>
      <c r="BL53" s="326"/>
      <c r="BM53" s="327"/>
      <c r="BN53" s="71"/>
      <c r="BO53" s="71"/>
      <c r="BP53" s="646"/>
      <c r="BQ53" s="326"/>
      <c r="BR53" s="327"/>
      <c r="BS53" s="645" t="s">
        <v>303</v>
      </c>
      <c r="BT53" s="326"/>
      <c r="BU53" s="327"/>
    </row>
    <row r="54" spans="1:73" ht="30" customHeight="1" x14ac:dyDescent="0.25">
      <c r="A54" s="65">
        <f t="shared" si="0"/>
        <v>40</v>
      </c>
      <c r="B54" s="639" t="s">
        <v>334</v>
      </c>
      <c r="C54" s="327"/>
      <c r="D54" s="640" t="s">
        <v>303</v>
      </c>
      <c r="E54" s="326"/>
      <c r="F54" s="326"/>
      <c r="G54" s="327"/>
      <c r="H54" s="641" t="s">
        <v>303</v>
      </c>
      <c r="I54" s="326"/>
      <c r="J54" s="326"/>
      <c r="K54" s="327"/>
      <c r="L54" s="438" t="s">
        <v>303</v>
      </c>
      <c r="M54" s="326"/>
      <c r="N54" s="327"/>
      <c r="O54" s="519" t="s">
        <v>303</v>
      </c>
      <c r="P54" s="326"/>
      <c r="Q54" s="327"/>
      <c r="R54" s="527"/>
      <c r="S54" s="326"/>
      <c r="T54" s="327"/>
      <c r="U54" s="527"/>
      <c r="V54" s="326"/>
      <c r="W54" s="327"/>
      <c r="X54" s="66"/>
      <c r="Y54" s="67"/>
      <c r="Z54" s="66"/>
      <c r="AA54" s="67"/>
      <c r="AB54" s="66"/>
      <c r="AC54" s="67"/>
      <c r="AD54" s="66"/>
      <c r="AE54" s="67"/>
      <c r="AF54" s="66"/>
      <c r="AG54" s="67"/>
      <c r="AH54" s="66"/>
      <c r="AI54" s="67"/>
      <c r="AJ54" s="68"/>
      <c r="AK54" s="69"/>
      <c r="AL54" s="68"/>
      <c r="AM54" s="69"/>
      <c r="AN54" s="68"/>
      <c r="AO54" s="69"/>
      <c r="AP54" s="68"/>
      <c r="AQ54" s="69"/>
      <c r="AR54" s="68"/>
      <c r="AS54" s="642" t="s">
        <v>303</v>
      </c>
      <c r="AT54" s="326"/>
      <c r="AU54" s="326"/>
      <c r="AV54" s="326"/>
      <c r="AW54" s="326"/>
      <c r="AX54" s="326"/>
      <c r="AY54" s="327"/>
      <c r="AZ54" s="70"/>
      <c r="BA54" s="70"/>
      <c r="BB54" s="643" t="s">
        <v>334</v>
      </c>
      <c r="BC54" s="327"/>
      <c r="BD54" s="645" t="s">
        <v>303</v>
      </c>
      <c r="BE54" s="326"/>
      <c r="BF54" s="327"/>
      <c r="BG54" s="646" t="s">
        <v>303</v>
      </c>
      <c r="BH54" s="326"/>
      <c r="BI54" s="326"/>
      <c r="BJ54" s="327"/>
      <c r="BK54" s="647" t="s">
        <v>505</v>
      </c>
      <c r="BL54" s="326"/>
      <c r="BM54" s="327"/>
      <c r="BN54" s="71"/>
      <c r="BO54" s="71"/>
      <c r="BP54" s="646"/>
      <c r="BQ54" s="326"/>
      <c r="BR54" s="327"/>
      <c r="BS54" s="645" t="s">
        <v>303</v>
      </c>
      <c r="BT54" s="326"/>
      <c r="BU54" s="327"/>
    </row>
    <row r="55" spans="1:73" ht="30" customHeight="1" x14ac:dyDescent="0.25">
      <c r="A55" s="65">
        <f t="shared" si="0"/>
        <v>41</v>
      </c>
      <c r="B55" s="639" t="s">
        <v>334</v>
      </c>
      <c r="C55" s="327"/>
      <c r="D55" s="640" t="s">
        <v>303</v>
      </c>
      <c r="E55" s="326"/>
      <c r="F55" s="326"/>
      <c r="G55" s="327"/>
      <c r="H55" s="641" t="s">
        <v>303</v>
      </c>
      <c r="I55" s="326"/>
      <c r="J55" s="326"/>
      <c r="K55" s="327"/>
      <c r="L55" s="438" t="s">
        <v>303</v>
      </c>
      <c r="M55" s="326"/>
      <c r="N55" s="327"/>
      <c r="O55" s="519" t="s">
        <v>303</v>
      </c>
      <c r="P55" s="326"/>
      <c r="Q55" s="327"/>
      <c r="R55" s="527"/>
      <c r="S55" s="326"/>
      <c r="T55" s="327"/>
      <c r="U55" s="527"/>
      <c r="V55" s="326"/>
      <c r="W55" s="327"/>
      <c r="X55" s="66"/>
      <c r="Y55" s="67"/>
      <c r="Z55" s="66"/>
      <c r="AA55" s="67"/>
      <c r="AB55" s="66"/>
      <c r="AC55" s="67"/>
      <c r="AD55" s="66"/>
      <c r="AE55" s="67"/>
      <c r="AF55" s="66"/>
      <c r="AG55" s="67"/>
      <c r="AH55" s="66"/>
      <c r="AI55" s="67"/>
      <c r="AJ55" s="68"/>
      <c r="AK55" s="69"/>
      <c r="AL55" s="68"/>
      <c r="AM55" s="69"/>
      <c r="AN55" s="68"/>
      <c r="AO55" s="69"/>
      <c r="AP55" s="68"/>
      <c r="AQ55" s="69"/>
      <c r="AR55" s="68"/>
      <c r="AS55" s="642" t="s">
        <v>303</v>
      </c>
      <c r="AT55" s="326"/>
      <c r="AU55" s="326"/>
      <c r="AV55" s="326"/>
      <c r="AW55" s="326"/>
      <c r="AX55" s="326"/>
      <c r="AY55" s="327"/>
      <c r="AZ55" s="70"/>
      <c r="BA55" s="70"/>
      <c r="BB55" s="643" t="s">
        <v>334</v>
      </c>
      <c r="BC55" s="327"/>
      <c r="BD55" s="645" t="s">
        <v>303</v>
      </c>
      <c r="BE55" s="326"/>
      <c r="BF55" s="327"/>
      <c r="BG55" s="646" t="s">
        <v>303</v>
      </c>
      <c r="BH55" s="326"/>
      <c r="BI55" s="326"/>
      <c r="BJ55" s="327"/>
      <c r="BK55" s="647" t="s">
        <v>505</v>
      </c>
      <c r="BL55" s="326"/>
      <c r="BM55" s="327"/>
      <c r="BN55" s="71"/>
      <c r="BO55" s="71"/>
      <c r="BP55" s="646"/>
      <c r="BQ55" s="326"/>
      <c r="BR55" s="327"/>
      <c r="BS55" s="645" t="s">
        <v>303</v>
      </c>
      <c r="BT55" s="326"/>
      <c r="BU55" s="327"/>
    </row>
    <row r="56" spans="1:73" ht="30" customHeight="1" x14ac:dyDescent="0.25">
      <c r="A56" s="65">
        <f t="shared" si="0"/>
        <v>42</v>
      </c>
      <c r="B56" s="639" t="s">
        <v>334</v>
      </c>
      <c r="C56" s="327"/>
      <c r="D56" s="640" t="s">
        <v>303</v>
      </c>
      <c r="E56" s="326"/>
      <c r="F56" s="326"/>
      <c r="G56" s="327"/>
      <c r="H56" s="641" t="s">
        <v>303</v>
      </c>
      <c r="I56" s="326"/>
      <c r="J56" s="326"/>
      <c r="K56" s="327"/>
      <c r="L56" s="438" t="s">
        <v>303</v>
      </c>
      <c r="M56" s="326"/>
      <c r="N56" s="327"/>
      <c r="O56" s="519" t="s">
        <v>303</v>
      </c>
      <c r="P56" s="326"/>
      <c r="Q56" s="327"/>
      <c r="R56" s="527"/>
      <c r="S56" s="326"/>
      <c r="T56" s="327"/>
      <c r="U56" s="527"/>
      <c r="V56" s="326"/>
      <c r="W56" s="327"/>
      <c r="X56" s="66"/>
      <c r="Y56" s="67"/>
      <c r="Z56" s="66"/>
      <c r="AA56" s="67"/>
      <c r="AB56" s="66"/>
      <c r="AC56" s="67"/>
      <c r="AD56" s="66"/>
      <c r="AE56" s="67"/>
      <c r="AF56" s="66"/>
      <c r="AG56" s="67"/>
      <c r="AH56" s="66"/>
      <c r="AI56" s="67"/>
      <c r="AJ56" s="68"/>
      <c r="AK56" s="69"/>
      <c r="AL56" s="68"/>
      <c r="AM56" s="69"/>
      <c r="AN56" s="68"/>
      <c r="AO56" s="69"/>
      <c r="AP56" s="68"/>
      <c r="AQ56" s="69"/>
      <c r="AR56" s="68"/>
      <c r="AS56" s="642" t="s">
        <v>303</v>
      </c>
      <c r="AT56" s="326"/>
      <c r="AU56" s="326"/>
      <c r="AV56" s="326"/>
      <c r="AW56" s="326"/>
      <c r="AX56" s="326"/>
      <c r="AY56" s="327"/>
      <c r="AZ56" s="70"/>
      <c r="BA56" s="70"/>
      <c r="BB56" s="643" t="s">
        <v>334</v>
      </c>
      <c r="BC56" s="327"/>
      <c r="BD56" s="645" t="s">
        <v>303</v>
      </c>
      <c r="BE56" s="326"/>
      <c r="BF56" s="327"/>
      <c r="BG56" s="646" t="s">
        <v>303</v>
      </c>
      <c r="BH56" s="326"/>
      <c r="BI56" s="326"/>
      <c r="BJ56" s="327"/>
      <c r="BK56" s="647" t="s">
        <v>505</v>
      </c>
      <c r="BL56" s="326"/>
      <c r="BM56" s="327"/>
      <c r="BN56" s="71"/>
      <c r="BO56" s="71"/>
      <c r="BP56" s="646"/>
      <c r="BQ56" s="326"/>
      <c r="BR56" s="327"/>
      <c r="BS56" s="645" t="s">
        <v>303</v>
      </c>
      <c r="BT56" s="326"/>
      <c r="BU56" s="327"/>
    </row>
    <row r="57" spans="1:73" ht="30" customHeight="1" x14ac:dyDescent="0.25">
      <c r="A57" s="65">
        <f t="shared" si="0"/>
        <v>43</v>
      </c>
      <c r="B57" s="639" t="s">
        <v>334</v>
      </c>
      <c r="C57" s="327"/>
      <c r="D57" s="640" t="s">
        <v>303</v>
      </c>
      <c r="E57" s="326"/>
      <c r="F57" s="326"/>
      <c r="G57" s="327"/>
      <c r="H57" s="641" t="s">
        <v>303</v>
      </c>
      <c r="I57" s="326"/>
      <c r="J57" s="326"/>
      <c r="K57" s="327"/>
      <c r="L57" s="438" t="s">
        <v>303</v>
      </c>
      <c r="M57" s="326"/>
      <c r="N57" s="327"/>
      <c r="O57" s="519" t="s">
        <v>303</v>
      </c>
      <c r="P57" s="326"/>
      <c r="Q57" s="327"/>
      <c r="R57" s="527"/>
      <c r="S57" s="326"/>
      <c r="T57" s="327"/>
      <c r="U57" s="527"/>
      <c r="V57" s="326"/>
      <c r="W57" s="327"/>
      <c r="X57" s="66"/>
      <c r="Y57" s="67"/>
      <c r="Z57" s="66"/>
      <c r="AA57" s="67"/>
      <c r="AB57" s="66"/>
      <c r="AC57" s="67"/>
      <c r="AD57" s="66"/>
      <c r="AE57" s="67"/>
      <c r="AF57" s="66"/>
      <c r="AG57" s="67"/>
      <c r="AH57" s="66"/>
      <c r="AI57" s="67"/>
      <c r="AJ57" s="68"/>
      <c r="AK57" s="69"/>
      <c r="AL57" s="68"/>
      <c r="AM57" s="69"/>
      <c r="AN57" s="68"/>
      <c r="AO57" s="69"/>
      <c r="AP57" s="68"/>
      <c r="AQ57" s="69"/>
      <c r="AR57" s="68"/>
      <c r="AS57" s="642" t="s">
        <v>303</v>
      </c>
      <c r="AT57" s="326"/>
      <c r="AU57" s="326"/>
      <c r="AV57" s="326"/>
      <c r="AW57" s="326"/>
      <c r="AX57" s="326"/>
      <c r="AY57" s="327"/>
      <c r="AZ57" s="70"/>
      <c r="BA57" s="70"/>
      <c r="BB57" s="644" t="s">
        <v>334</v>
      </c>
      <c r="BC57" s="327"/>
      <c r="BD57" s="645" t="s">
        <v>303</v>
      </c>
      <c r="BE57" s="326"/>
      <c r="BF57" s="327"/>
      <c r="BG57" s="646" t="s">
        <v>303</v>
      </c>
      <c r="BH57" s="326"/>
      <c r="BI57" s="326"/>
      <c r="BJ57" s="327"/>
      <c r="BK57" s="647" t="s">
        <v>505</v>
      </c>
      <c r="BL57" s="326"/>
      <c r="BM57" s="327"/>
      <c r="BN57" s="71"/>
      <c r="BO57" s="71"/>
      <c r="BP57" s="646"/>
      <c r="BQ57" s="326"/>
      <c r="BR57" s="327"/>
      <c r="BS57" s="645" t="s">
        <v>303</v>
      </c>
      <c r="BT57" s="326"/>
      <c r="BU57" s="327"/>
    </row>
    <row r="58" spans="1:73" ht="30" customHeight="1" x14ac:dyDescent="0.25">
      <c r="A58" s="65">
        <f t="shared" si="0"/>
        <v>44</v>
      </c>
      <c r="B58" s="639" t="s">
        <v>334</v>
      </c>
      <c r="C58" s="327"/>
      <c r="D58" s="640" t="s">
        <v>303</v>
      </c>
      <c r="E58" s="326"/>
      <c r="F58" s="326"/>
      <c r="G58" s="327"/>
      <c r="H58" s="641" t="s">
        <v>303</v>
      </c>
      <c r="I58" s="326"/>
      <c r="J58" s="326"/>
      <c r="K58" s="327"/>
      <c r="L58" s="438" t="s">
        <v>303</v>
      </c>
      <c r="M58" s="326"/>
      <c r="N58" s="327"/>
      <c r="O58" s="519" t="s">
        <v>303</v>
      </c>
      <c r="P58" s="326"/>
      <c r="Q58" s="327"/>
      <c r="R58" s="527"/>
      <c r="S58" s="326"/>
      <c r="T58" s="327"/>
      <c r="U58" s="527"/>
      <c r="V58" s="326"/>
      <c r="W58" s="327"/>
      <c r="X58" s="66"/>
      <c r="Y58" s="67"/>
      <c r="Z58" s="66"/>
      <c r="AA58" s="67"/>
      <c r="AB58" s="66"/>
      <c r="AC58" s="67"/>
      <c r="AD58" s="66"/>
      <c r="AE58" s="67"/>
      <c r="AF58" s="66"/>
      <c r="AG58" s="67"/>
      <c r="AH58" s="66"/>
      <c r="AI58" s="67"/>
      <c r="AJ58" s="68"/>
      <c r="AK58" s="69"/>
      <c r="AL58" s="68"/>
      <c r="AM58" s="69"/>
      <c r="AN58" s="68"/>
      <c r="AO58" s="69"/>
      <c r="AP58" s="68"/>
      <c r="AQ58" s="69"/>
      <c r="AR58" s="68"/>
      <c r="AS58" s="642" t="s">
        <v>303</v>
      </c>
      <c r="AT58" s="326"/>
      <c r="AU58" s="326"/>
      <c r="AV58" s="326"/>
      <c r="AW58" s="326"/>
      <c r="AX58" s="326"/>
      <c r="AY58" s="327"/>
      <c r="AZ58" s="70"/>
      <c r="BA58" s="70"/>
      <c r="BB58" s="643" t="s">
        <v>334</v>
      </c>
      <c r="BC58" s="327"/>
      <c r="BD58" s="645" t="s">
        <v>303</v>
      </c>
      <c r="BE58" s="326"/>
      <c r="BF58" s="327"/>
      <c r="BG58" s="646" t="s">
        <v>303</v>
      </c>
      <c r="BH58" s="326"/>
      <c r="BI58" s="326"/>
      <c r="BJ58" s="327"/>
      <c r="BK58" s="647" t="s">
        <v>505</v>
      </c>
      <c r="BL58" s="326"/>
      <c r="BM58" s="327"/>
      <c r="BN58" s="71"/>
      <c r="BO58" s="71"/>
      <c r="BP58" s="646"/>
      <c r="BQ58" s="326"/>
      <c r="BR58" s="327"/>
      <c r="BS58" s="645" t="s">
        <v>303</v>
      </c>
      <c r="BT58" s="326"/>
      <c r="BU58" s="327"/>
    </row>
    <row r="59" spans="1:73" ht="30" customHeight="1" x14ac:dyDescent="0.25">
      <c r="A59" s="65">
        <f t="shared" si="0"/>
        <v>45</v>
      </c>
      <c r="B59" s="639" t="s">
        <v>334</v>
      </c>
      <c r="C59" s="327"/>
      <c r="D59" s="640" t="s">
        <v>303</v>
      </c>
      <c r="E59" s="326"/>
      <c r="F59" s="326"/>
      <c r="G59" s="327"/>
      <c r="H59" s="641" t="s">
        <v>303</v>
      </c>
      <c r="I59" s="326"/>
      <c r="J59" s="326"/>
      <c r="K59" s="327"/>
      <c r="L59" s="438" t="s">
        <v>303</v>
      </c>
      <c r="M59" s="326"/>
      <c r="N59" s="327"/>
      <c r="O59" s="519" t="s">
        <v>303</v>
      </c>
      <c r="P59" s="326"/>
      <c r="Q59" s="327"/>
      <c r="R59" s="527"/>
      <c r="S59" s="326"/>
      <c r="T59" s="327"/>
      <c r="U59" s="527"/>
      <c r="V59" s="326"/>
      <c r="W59" s="327"/>
      <c r="X59" s="66"/>
      <c r="Y59" s="67"/>
      <c r="Z59" s="66"/>
      <c r="AA59" s="67"/>
      <c r="AB59" s="66"/>
      <c r="AC59" s="67"/>
      <c r="AD59" s="66"/>
      <c r="AE59" s="67"/>
      <c r="AF59" s="66"/>
      <c r="AG59" s="67"/>
      <c r="AH59" s="66"/>
      <c r="AI59" s="67"/>
      <c r="AJ59" s="68"/>
      <c r="AK59" s="69"/>
      <c r="AL59" s="68"/>
      <c r="AM59" s="69"/>
      <c r="AN59" s="68"/>
      <c r="AO59" s="69"/>
      <c r="AP59" s="68"/>
      <c r="AQ59" s="69"/>
      <c r="AR59" s="68"/>
      <c r="AS59" s="642" t="s">
        <v>303</v>
      </c>
      <c r="AT59" s="326"/>
      <c r="AU59" s="326"/>
      <c r="AV59" s="326"/>
      <c r="AW59" s="326"/>
      <c r="AX59" s="326"/>
      <c r="AY59" s="327"/>
      <c r="AZ59" s="70"/>
      <c r="BA59" s="70"/>
      <c r="BB59" s="643" t="s">
        <v>334</v>
      </c>
      <c r="BC59" s="327"/>
      <c r="BD59" s="645" t="s">
        <v>303</v>
      </c>
      <c r="BE59" s="326"/>
      <c r="BF59" s="327"/>
      <c r="BG59" s="646" t="s">
        <v>303</v>
      </c>
      <c r="BH59" s="326"/>
      <c r="BI59" s="326"/>
      <c r="BJ59" s="327"/>
      <c r="BK59" s="647" t="s">
        <v>505</v>
      </c>
      <c r="BL59" s="326"/>
      <c r="BM59" s="327"/>
      <c r="BN59" s="71"/>
      <c r="BO59" s="71"/>
      <c r="BP59" s="646"/>
      <c r="BQ59" s="326"/>
      <c r="BR59" s="327"/>
      <c r="BS59" s="645" t="s">
        <v>303</v>
      </c>
      <c r="BT59" s="326"/>
      <c r="BU59" s="327"/>
    </row>
    <row r="60" spans="1:73" ht="30" customHeight="1" x14ac:dyDescent="0.25">
      <c r="A60" s="65">
        <f t="shared" si="0"/>
        <v>46</v>
      </c>
      <c r="B60" s="639" t="s">
        <v>334</v>
      </c>
      <c r="C60" s="327"/>
      <c r="D60" s="640" t="s">
        <v>303</v>
      </c>
      <c r="E60" s="326"/>
      <c r="F60" s="326"/>
      <c r="G60" s="327"/>
      <c r="H60" s="641" t="s">
        <v>303</v>
      </c>
      <c r="I60" s="326"/>
      <c r="J60" s="326"/>
      <c r="K60" s="327"/>
      <c r="L60" s="438" t="s">
        <v>303</v>
      </c>
      <c r="M60" s="326"/>
      <c r="N60" s="327"/>
      <c r="O60" s="519" t="s">
        <v>303</v>
      </c>
      <c r="P60" s="326"/>
      <c r="Q60" s="327"/>
      <c r="R60" s="527"/>
      <c r="S60" s="326"/>
      <c r="T60" s="327"/>
      <c r="U60" s="527"/>
      <c r="V60" s="326"/>
      <c r="W60" s="327"/>
      <c r="X60" s="66"/>
      <c r="Y60" s="67"/>
      <c r="Z60" s="66"/>
      <c r="AA60" s="67"/>
      <c r="AB60" s="66"/>
      <c r="AC60" s="67"/>
      <c r="AD60" s="66"/>
      <c r="AE60" s="67"/>
      <c r="AF60" s="66"/>
      <c r="AG60" s="67"/>
      <c r="AH60" s="66"/>
      <c r="AI60" s="67"/>
      <c r="AJ60" s="68"/>
      <c r="AK60" s="69"/>
      <c r="AL60" s="68"/>
      <c r="AM60" s="69"/>
      <c r="AN60" s="68"/>
      <c r="AO60" s="69"/>
      <c r="AP60" s="68"/>
      <c r="AQ60" s="69"/>
      <c r="AR60" s="68"/>
      <c r="AS60" s="642" t="s">
        <v>303</v>
      </c>
      <c r="AT60" s="326"/>
      <c r="AU60" s="326"/>
      <c r="AV60" s="326"/>
      <c r="AW60" s="326"/>
      <c r="AX60" s="326"/>
      <c r="AY60" s="327"/>
      <c r="AZ60" s="70"/>
      <c r="BA60" s="70"/>
      <c r="BB60" s="643" t="s">
        <v>334</v>
      </c>
      <c r="BC60" s="327"/>
      <c r="BD60" s="645" t="s">
        <v>303</v>
      </c>
      <c r="BE60" s="326"/>
      <c r="BF60" s="327"/>
      <c r="BG60" s="646" t="s">
        <v>303</v>
      </c>
      <c r="BH60" s="326"/>
      <c r="BI60" s="326"/>
      <c r="BJ60" s="327"/>
      <c r="BK60" s="647" t="s">
        <v>505</v>
      </c>
      <c r="BL60" s="326"/>
      <c r="BM60" s="327"/>
      <c r="BN60" s="71"/>
      <c r="BO60" s="71"/>
      <c r="BP60" s="646"/>
      <c r="BQ60" s="326"/>
      <c r="BR60" s="327"/>
      <c r="BS60" s="645" t="s">
        <v>303</v>
      </c>
      <c r="BT60" s="326"/>
      <c r="BU60" s="327"/>
    </row>
    <row r="61" spans="1:73" ht="30" customHeight="1" x14ac:dyDescent="0.25">
      <c r="A61" s="65">
        <f t="shared" si="0"/>
        <v>47</v>
      </c>
      <c r="B61" s="639" t="s">
        <v>334</v>
      </c>
      <c r="C61" s="327"/>
      <c r="D61" s="640" t="s">
        <v>303</v>
      </c>
      <c r="E61" s="326"/>
      <c r="F61" s="326"/>
      <c r="G61" s="327"/>
      <c r="H61" s="641" t="s">
        <v>303</v>
      </c>
      <c r="I61" s="326"/>
      <c r="J61" s="326"/>
      <c r="K61" s="327"/>
      <c r="L61" s="438" t="s">
        <v>303</v>
      </c>
      <c r="M61" s="326"/>
      <c r="N61" s="327"/>
      <c r="O61" s="519" t="s">
        <v>303</v>
      </c>
      <c r="P61" s="326"/>
      <c r="Q61" s="327"/>
      <c r="R61" s="527"/>
      <c r="S61" s="326"/>
      <c r="T61" s="327"/>
      <c r="U61" s="527"/>
      <c r="V61" s="326"/>
      <c r="W61" s="327"/>
      <c r="X61" s="66"/>
      <c r="Y61" s="67"/>
      <c r="Z61" s="66"/>
      <c r="AA61" s="67"/>
      <c r="AB61" s="66"/>
      <c r="AC61" s="67"/>
      <c r="AD61" s="66"/>
      <c r="AE61" s="67"/>
      <c r="AF61" s="66"/>
      <c r="AG61" s="67"/>
      <c r="AH61" s="66"/>
      <c r="AI61" s="67"/>
      <c r="AJ61" s="68"/>
      <c r="AK61" s="69"/>
      <c r="AL61" s="68"/>
      <c r="AM61" s="69"/>
      <c r="AN61" s="68"/>
      <c r="AO61" s="69"/>
      <c r="AP61" s="68"/>
      <c r="AQ61" s="69"/>
      <c r="AR61" s="68"/>
      <c r="AS61" s="642" t="s">
        <v>303</v>
      </c>
      <c r="AT61" s="326"/>
      <c r="AU61" s="326"/>
      <c r="AV61" s="326"/>
      <c r="AW61" s="326"/>
      <c r="AX61" s="326"/>
      <c r="AY61" s="327"/>
      <c r="AZ61" s="70"/>
      <c r="BA61" s="70"/>
      <c r="BB61" s="643" t="s">
        <v>334</v>
      </c>
      <c r="BC61" s="327"/>
      <c r="BD61" s="645" t="s">
        <v>303</v>
      </c>
      <c r="BE61" s="326"/>
      <c r="BF61" s="327"/>
      <c r="BG61" s="646" t="s">
        <v>303</v>
      </c>
      <c r="BH61" s="326"/>
      <c r="BI61" s="326"/>
      <c r="BJ61" s="327"/>
      <c r="BK61" s="647" t="s">
        <v>505</v>
      </c>
      <c r="BL61" s="326"/>
      <c r="BM61" s="327"/>
      <c r="BN61" s="71"/>
      <c r="BO61" s="71"/>
      <c r="BP61" s="646"/>
      <c r="BQ61" s="326"/>
      <c r="BR61" s="327"/>
      <c r="BS61" s="645" t="s">
        <v>303</v>
      </c>
      <c r="BT61" s="326"/>
      <c r="BU61" s="327"/>
    </row>
    <row r="62" spans="1:73" ht="30" customHeight="1" x14ac:dyDescent="0.25">
      <c r="A62" s="65">
        <f t="shared" si="0"/>
        <v>48</v>
      </c>
      <c r="B62" s="639" t="s">
        <v>334</v>
      </c>
      <c r="C62" s="327"/>
      <c r="D62" s="640" t="s">
        <v>303</v>
      </c>
      <c r="E62" s="326"/>
      <c r="F62" s="326"/>
      <c r="G62" s="327"/>
      <c r="H62" s="641" t="s">
        <v>303</v>
      </c>
      <c r="I62" s="326"/>
      <c r="J62" s="326"/>
      <c r="K62" s="327"/>
      <c r="L62" s="438" t="s">
        <v>303</v>
      </c>
      <c r="M62" s="326"/>
      <c r="N62" s="327"/>
      <c r="O62" s="519" t="s">
        <v>303</v>
      </c>
      <c r="P62" s="326"/>
      <c r="Q62" s="327"/>
      <c r="R62" s="527"/>
      <c r="S62" s="326"/>
      <c r="T62" s="327"/>
      <c r="U62" s="527"/>
      <c r="V62" s="326"/>
      <c r="W62" s="327"/>
      <c r="X62" s="66"/>
      <c r="Y62" s="67"/>
      <c r="Z62" s="66"/>
      <c r="AA62" s="67"/>
      <c r="AB62" s="66"/>
      <c r="AC62" s="67"/>
      <c r="AD62" s="66"/>
      <c r="AE62" s="67"/>
      <c r="AF62" s="66"/>
      <c r="AG62" s="67"/>
      <c r="AH62" s="66"/>
      <c r="AI62" s="67"/>
      <c r="AJ62" s="68"/>
      <c r="AK62" s="69"/>
      <c r="AL62" s="68"/>
      <c r="AM62" s="69"/>
      <c r="AN62" s="68"/>
      <c r="AO62" s="69"/>
      <c r="AP62" s="68"/>
      <c r="AQ62" s="69"/>
      <c r="AR62" s="68"/>
      <c r="AS62" s="642" t="s">
        <v>303</v>
      </c>
      <c r="AT62" s="326"/>
      <c r="AU62" s="326"/>
      <c r="AV62" s="326"/>
      <c r="AW62" s="326"/>
      <c r="AX62" s="326"/>
      <c r="AY62" s="327"/>
      <c r="AZ62" s="70"/>
      <c r="BA62" s="70"/>
      <c r="BB62" s="643" t="s">
        <v>334</v>
      </c>
      <c r="BC62" s="327"/>
      <c r="BD62" s="645" t="s">
        <v>303</v>
      </c>
      <c r="BE62" s="326"/>
      <c r="BF62" s="327"/>
      <c r="BG62" s="646" t="s">
        <v>303</v>
      </c>
      <c r="BH62" s="326"/>
      <c r="BI62" s="326"/>
      <c r="BJ62" s="327"/>
      <c r="BK62" s="647" t="s">
        <v>505</v>
      </c>
      <c r="BL62" s="326"/>
      <c r="BM62" s="327"/>
      <c r="BN62" s="71"/>
      <c r="BO62" s="71"/>
      <c r="BP62" s="646"/>
      <c r="BQ62" s="326"/>
      <c r="BR62" s="327"/>
      <c r="BS62" s="645" t="s">
        <v>303</v>
      </c>
      <c r="BT62" s="326"/>
      <c r="BU62" s="327"/>
    </row>
    <row r="63" spans="1:73" ht="30" customHeight="1" x14ac:dyDescent="0.25">
      <c r="A63" s="65">
        <f t="shared" si="0"/>
        <v>49</v>
      </c>
      <c r="B63" s="639" t="s">
        <v>334</v>
      </c>
      <c r="C63" s="327"/>
      <c r="D63" s="640" t="s">
        <v>303</v>
      </c>
      <c r="E63" s="326"/>
      <c r="F63" s="326"/>
      <c r="G63" s="327"/>
      <c r="H63" s="641" t="s">
        <v>303</v>
      </c>
      <c r="I63" s="326"/>
      <c r="J63" s="326"/>
      <c r="K63" s="327"/>
      <c r="L63" s="438" t="s">
        <v>303</v>
      </c>
      <c r="M63" s="326"/>
      <c r="N63" s="327"/>
      <c r="O63" s="519" t="s">
        <v>303</v>
      </c>
      <c r="P63" s="326"/>
      <c r="Q63" s="327"/>
      <c r="R63" s="527"/>
      <c r="S63" s="326"/>
      <c r="T63" s="327"/>
      <c r="U63" s="527"/>
      <c r="V63" s="326"/>
      <c r="W63" s="327"/>
      <c r="X63" s="66"/>
      <c r="Y63" s="67"/>
      <c r="Z63" s="66"/>
      <c r="AA63" s="67"/>
      <c r="AB63" s="66"/>
      <c r="AC63" s="67"/>
      <c r="AD63" s="66"/>
      <c r="AE63" s="67"/>
      <c r="AF63" s="66"/>
      <c r="AG63" s="67"/>
      <c r="AH63" s="66"/>
      <c r="AI63" s="67"/>
      <c r="AJ63" s="68"/>
      <c r="AK63" s="69"/>
      <c r="AL63" s="68"/>
      <c r="AM63" s="69"/>
      <c r="AN63" s="68"/>
      <c r="AO63" s="69"/>
      <c r="AP63" s="68"/>
      <c r="AQ63" s="69"/>
      <c r="AR63" s="68"/>
      <c r="AS63" s="642" t="s">
        <v>303</v>
      </c>
      <c r="AT63" s="326"/>
      <c r="AU63" s="326"/>
      <c r="AV63" s="326"/>
      <c r="AW63" s="326"/>
      <c r="AX63" s="326"/>
      <c r="AY63" s="327"/>
      <c r="AZ63" s="70"/>
      <c r="BA63" s="70"/>
      <c r="BB63" s="643" t="s">
        <v>334</v>
      </c>
      <c r="BC63" s="327"/>
      <c r="BD63" s="645" t="s">
        <v>303</v>
      </c>
      <c r="BE63" s="326"/>
      <c r="BF63" s="327"/>
      <c r="BG63" s="646" t="s">
        <v>303</v>
      </c>
      <c r="BH63" s="326"/>
      <c r="BI63" s="326"/>
      <c r="BJ63" s="327"/>
      <c r="BK63" s="647" t="s">
        <v>505</v>
      </c>
      <c r="BL63" s="326"/>
      <c r="BM63" s="327"/>
      <c r="BN63" s="71"/>
      <c r="BO63" s="71"/>
      <c r="BP63" s="646"/>
      <c r="BQ63" s="326"/>
      <c r="BR63" s="327"/>
      <c r="BS63" s="645" t="s">
        <v>303</v>
      </c>
      <c r="BT63" s="326"/>
      <c r="BU63" s="327"/>
    </row>
    <row r="64" spans="1:73" ht="30" customHeight="1" x14ac:dyDescent="0.25">
      <c r="A64" s="65">
        <f t="shared" si="0"/>
        <v>50</v>
      </c>
      <c r="B64" s="639" t="s">
        <v>334</v>
      </c>
      <c r="C64" s="327"/>
      <c r="D64" s="640" t="s">
        <v>303</v>
      </c>
      <c r="E64" s="326"/>
      <c r="F64" s="326"/>
      <c r="G64" s="327"/>
      <c r="H64" s="641" t="s">
        <v>303</v>
      </c>
      <c r="I64" s="326"/>
      <c r="J64" s="326"/>
      <c r="K64" s="327"/>
      <c r="L64" s="438" t="s">
        <v>303</v>
      </c>
      <c r="M64" s="326"/>
      <c r="N64" s="327"/>
      <c r="O64" s="519" t="s">
        <v>303</v>
      </c>
      <c r="P64" s="326"/>
      <c r="Q64" s="327"/>
      <c r="R64" s="527"/>
      <c r="S64" s="326"/>
      <c r="T64" s="327"/>
      <c r="U64" s="527"/>
      <c r="V64" s="326"/>
      <c r="W64" s="327"/>
      <c r="X64" s="66"/>
      <c r="Y64" s="67"/>
      <c r="Z64" s="66"/>
      <c r="AA64" s="67"/>
      <c r="AB64" s="66"/>
      <c r="AC64" s="67"/>
      <c r="AD64" s="66"/>
      <c r="AE64" s="67"/>
      <c r="AF64" s="66"/>
      <c r="AG64" s="67"/>
      <c r="AH64" s="66"/>
      <c r="AI64" s="67"/>
      <c r="AJ64" s="68"/>
      <c r="AK64" s="69"/>
      <c r="AL64" s="68"/>
      <c r="AM64" s="69"/>
      <c r="AN64" s="68"/>
      <c r="AO64" s="69"/>
      <c r="AP64" s="68"/>
      <c r="AQ64" s="69"/>
      <c r="AR64" s="68"/>
      <c r="AS64" s="642" t="s">
        <v>303</v>
      </c>
      <c r="AT64" s="326"/>
      <c r="AU64" s="326"/>
      <c r="AV64" s="326"/>
      <c r="AW64" s="326"/>
      <c r="AX64" s="326"/>
      <c r="AY64" s="327"/>
      <c r="AZ64" s="70"/>
      <c r="BA64" s="70"/>
      <c r="BB64" s="644" t="s">
        <v>334</v>
      </c>
      <c r="BC64" s="327"/>
      <c r="BD64" s="645" t="s">
        <v>303</v>
      </c>
      <c r="BE64" s="326"/>
      <c r="BF64" s="327"/>
      <c r="BG64" s="646" t="s">
        <v>303</v>
      </c>
      <c r="BH64" s="326"/>
      <c r="BI64" s="326"/>
      <c r="BJ64" s="327"/>
      <c r="BK64" s="647" t="s">
        <v>505</v>
      </c>
      <c r="BL64" s="326"/>
      <c r="BM64" s="327"/>
      <c r="BN64" s="71"/>
      <c r="BO64" s="71"/>
      <c r="BP64" s="646"/>
      <c r="BQ64" s="326"/>
      <c r="BR64" s="327"/>
      <c r="BS64" s="645" t="s">
        <v>303</v>
      </c>
      <c r="BT64" s="326"/>
      <c r="BU64" s="327"/>
    </row>
    <row r="65" spans="1:73" ht="30" customHeight="1" x14ac:dyDescent="0.25">
      <c r="A65" s="65">
        <f t="shared" si="0"/>
        <v>51</v>
      </c>
      <c r="B65" s="639" t="s">
        <v>334</v>
      </c>
      <c r="C65" s="327"/>
      <c r="D65" s="640" t="s">
        <v>303</v>
      </c>
      <c r="E65" s="326"/>
      <c r="F65" s="326"/>
      <c r="G65" s="327"/>
      <c r="H65" s="641" t="s">
        <v>303</v>
      </c>
      <c r="I65" s="326"/>
      <c r="J65" s="326"/>
      <c r="K65" s="327"/>
      <c r="L65" s="438" t="s">
        <v>303</v>
      </c>
      <c r="M65" s="326"/>
      <c r="N65" s="327"/>
      <c r="O65" s="519" t="s">
        <v>303</v>
      </c>
      <c r="P65" s="326"/>
      <c r="Q65" s="327"/>
      <c r="R65" s="527"/>
      <c r="S65" s="326"/>
      <c r="T65" s="327"/>
      <c r="U65" s="497"/>
      <c r="V65" s="326"/>
      <c r="W65" s="327"/>
      <c r="X65" s="66"/>
      <c r="Y65" s="67"/>
      <c r="Z65" s="66"/>
      <c r="AA65" s="67"/>
      <c r="AB65" s="66"/>
      <c r="AC65" s="67"/>
      <c r="AD65" s="66"/>
      <c r="AE65" s="67"/>
      <c r="AF65" s="66"/>
      <c r="AG65" s="67"/>
      <c r="AH65" s="66"/>
      <c r="AI65" s="67"/>
      <c r="AJ65" s="68"/>
      <c r="AK65" s="69"/>
      <c r="AL65" s="68"/>
      <c r="AM65" s="69"/>
      <c r="AN65" s="68"/>
      <c r="AO65" s="69"/>
      <c r="AP65" s="68"/>
      <c r="AQ65" s="69"/>
      <c r="AR65" s="68"/>
      <c r="AS65" s="642" t="s">
        <v>303</v>
      </c>
      <c r="AT65" s="326"/>
      <c r="AU65" s="326"/>
      <c r="AV65" s="326"/>
      <c r="AW65" s="326"/>
      <c r="AX65" s="326"/>
      <c r="AY65" s="327"/>
      <c r="AZ65" s="70"/>
      <c r="BA65" s="70"/>
      <c r="BB65" s="643" t="s">
        <v>334</v>
      </c>
      <c r="BC65" s="327"/>
      <c r="BD65" s="645" t="s">
        <v>303</v>
      </c>
      <c r="BE65" s="326"/>
      <c r="BF65" s="327"/>
      <c r="BG65" s="646" t="s">
        <v>303</v>
      </c>
      <c r="BH65" s="326"/>
      <c r="BI65" s="326"/>
      <c r="BJ65" s="327"/>
      <c r="BK65" s="647" t="s">
        <v>505</v>
      </c>
      <c r="BL65" s="326"/>
      <c r="BM65" s="327"/>
      <c r="BN65" s="71"/>
      <c r="BO65" s="71"/>
      <c r="BP65" s="646"/>
      <c r="BQ65" s="326"/>
      <c r="BR65" s="327"/>
      <c r="BS65" s="645" t="s">
        <v>303</v>
      </c>
      <c r="BT65" s="326"/>
      <c r="BU65" s="327"/>
    </row>
    <row r="66" spans="1:73" ht="30" customHeight="1" x14ac:dyDescent="0.25">
      <c r="A66" s="65">
        <f t="shared" si="0"/>
        <v>52</v>
      </c>
      <c r="B66" s="639" t="s">
        <v>334</v>
      </c>
      <c r="C66" s="327"/>
      <c r="D66" s="640" t="s">
        <v>303</v>
      </c>
      <c r="E66" s="326"/>
      <c r="F66" s="326"/>
      <c r="G66" s="327"/>
      <c r="H66" s="641" t="s">
        <v>303</v>
      </c>
      <c r="I66" s="326"/>
      <c r="J66" s="326"/>
      <c r="K66" s="327"/>
      <c r="L66" s="438" t="s">
        <v>303</v>
      </c>
      <c r="M66" s="326"/>
      <c r="N66" s="327"/>
      <c r="O66" s="519" t="s">
        <v>303</v>
      </c>
      <c r="P66" s="326"/>
      <c r="Q66" s="327"/>
      <c r="R66" s="527"/>
      <c r="S66" s="326"/>
      <c r="T66" s="327"/>
      <c r="U66" s="497"/>
      <c r="V66" s="326"/>
      <c r="W66" s="327"/>
      <c r="X66" s="66"/>
      <c r="Y66" s="67"/>
      <c r="Z66" s="66"/>
      <c r="AA66" s="67"/>
      <c r="AB66" s="66"/>
      <c r="AC66" s="67"/>
      <c r="AD66" s="66"/>
      <c r="AE66" s="67"/>
      <c r="AF66" s="66"/>
      <c r="AG66" s="67"/>
      <c r="AH66" s="66"/>
      <c r="AI66" s="67"/>
      <c r="AJ66" s="68"/>
      <c r="AK66" s="69"/>
      <c r="AL66" s="68"/>
      <c r="AM66" s="69"/>
      <c r="AN66" s="68"/>
      <c r="AO66" s="69"/>
      <c r="AP66" s="68"/>
      <c r="AQ66" s="69"/>
      <c r="AR66" s="68"/>
      <c r="AS66" s="642" t="s">
        <v>303</v>
      </c>
      <c r="AT66" s="326"/>
      <c r="AU66" s="326"/>
      <c r="AV66" s="326"/>
      <c r="AW66" s="326"/>
      <c r="AX66" s="326"/>
      <c r="AY66" s="327"/>
      <c r="AZ66" s="70"/>
      <c r="BA66" s="70"/>
      <c r="BB66" s="643" t="s">
        <v>334</v>
      </c>
      <c r="BC66" s="327"/>
      <c r="BD66" s="645" t="s">
        <v>303</v>
      </c>
      <c r="BE66" s="326"/>
      <c r="BF66" s="327"/>
      <c r="BG66" s="646" t="s">
        <v>303</v>
      </c>
      <c r="BH66" s="326"/>
      <c r="BI66" s="326"/>
      <c r="BJ66" s="327"/>
      <c r="BK66" s="647" t="s">
        <v>505</v>
      </c>
      <c r="BL66" s="326"/>
      <c r="BM66" s="327"/>
      <c r="BN66" s="71"/>
      <c r="BO66" s="71"/>
      <c r="BP66" s="646"/>
      <c r="BQ66" s="326"/>
      <c r="BR66" s="327"/>
      <c r="BS66" s="645" t="s">
        <v>303</v>
      </c>
      <c r="BT66" s="326"/>
      <c r="BU66" s="327"/>
    </row>
    <row r="67" spans="1:73" ht="30" customHeight="1" x14ac:dyDescent="0.25">
      <c r="A67" s="65">
        <f t="shared" si="0"/>
        <v>53</v>
      </c>
      <c r="B67" s="639" t="s">
        <v>334</v>
      </c>
      <c r="C67" s="327"/>
      <c r="D67" s="640" t="s">
        <v>303</v>
      </c>
      <c r="E67" s="326"/>
      <c r="F67" s="326"/>
      <c r="G67" s="327"/>
      <c r="H67" s="641" t="s">
        <v>303</v>
      </c>
      <c r="I67" s="326"/>
      <c r="J67" s="326"/>
      <c r="K67" s="327"/>
      <c r="L67" s="438" t="s">
        <v>303</v>
      </c>
      <c r="M67" s="326"/>
      <c r="N67" s="327"/>
      <c r="O67" s="519" t="s">
        <v>303</v>
      </c>
      <c r="P67" s="326"/>
      <c r="Q67" s="327"/>
      <c r="R67" s="527"/>
      <c r="S67" s="326"/>
      <c r="T67" s="327"/>
      <c r="U67" s="497"/>
      <c r="V67" s="326"/>
      <c r="W67" s="327"/>
      <c r="X67" s="66"/>
      <c r="Y67" s="67"/>
      <c r="Z67" s="66"/>
      <c r="AA67" s="67"/>
      <c r="AB67" s="66"/>
      <c r="AC67" s="67"/>
      <c r="AD67" s="66"/>
      <c r="AE67" s="67"/>
      <c r="AF67" s="66"/>
      <c r="AG67" s="67"/>
      <c r="AH67" s="66"/>
      <c r="AI67" s="67"/>
      <c r="AJ67" s="68"/>
      <c r="AK67" s="69"/>
      <c r="AL67" s="68"/>
      <c r="AM67" s="69"/>
      <c r="AN67" s="68"/>
      <c r="AO67" s="69"/>
      <c r="AP67" s="68"/>
      <c r="AQ67" s="69"/>
      <c r="AR67" s="68"/>
      <c r="AS67" s="642" t="s">
        <v>303</v>
      </c>
      <c r="AT67" s="326"/>
      <c r="AU67" s="326"/>
      <c r="AV67" s="326"/>
      <c r="AW67" s="326"/>
      <c r="AX67" s="326"/>
      <c r="AY67" s="327"/>
      <c r="AZ67" s="70"/>
      <c r="BA67" s="70"/>
      <c r="BB67" s="643" t="s">
        <v>334</v>
      </c>
      <c r="BC67" s="327"/>
      <c r="BD67" s="645" t="s">
        <v>303</v>
      </c>
      <c r="BE67" s="326"/>
      <c r="BF67" s="327"/>
      <c r="BG67" s="646" t="s">
        <v>303</v>
      </c>
      <c r="BH67" s="326"/>
      <c r="BI67" s="326"/>
      <c r="BJ67" s="327"/>
      <c r="BK67" s="647" t="s">
        <v>505</v>
      </c>
      <c r="BL67" s="326"/>
      <c r="BM67" s="327"/>
      <c r="BN67" s="71"/>
      <c r="BO67" s="71"/>
      <c r="BP67" s="646"/>
      <c r="BQ67" s="326"/>
      <c r="BR67" s="327"/>
      <c r="BS67" s="645" t="s">
        <v>303</v>
      </c>
      <c r="BT67" s="326"/>
      <c r="BU67" s="327"/>
    </row>
    <row r="68" spans="1:73" ht="30" customHeight="1" x14ac:dyDescent="0.25">
      <c r="A68" s="65">
        <f t="shared" si="0"/>
        <v>54</v>
      </c>
      <c r="B68" s="639" t="s">
        <v>334</v>
      </c>
      <c r="C68" s="327"/>
      <c r="D68" s="640" t="s">
        <v>303</v>
      </c>
      <c r="E68" s="326"/>
      <c r="F68" s="326"/>
      <c r="G68" s="327"/>
      <c r="H68" s="641" t="s">
        <v>303</v>
      </c>
      <c r="I68" s="326"/>
      <c r="J68" s="326"/>
      <c r="K68" s="327"/>
      <c r="L68" s="438" t="s">
        <v>303</v>
      </c>
      <c r="M68" s="326"/>
      <c r="N68" s="327"/>
      <c r="O68" s="519" t="s">
        <v>303</v>
      </c>
      <c r="P68" s="326"/>
      <c r="Q68" s="327"/>
      <c r="R68" s="527"/>
      <c r="S68" s="326"/>
      <c r="T68" s="327"/>
      <c r="U68" s="497"/>
      <c r="V68" s="326"/>
      <c r="W68" s="327"/>
      <c r="X68" s="66"/>
      <c r="Y68" s="67"/>
      <c r="Z68" s="66"/>
      <c r="AA68" s="67"/>
      <c r="AB68" s="66"/>
      <c r="AC68" s="67"/>
      <c r="AD68" s="66"/>
      <c r="AE68" s="67"/>
      <c r="AF68" s="66"/>
      <c r="AG68" s="67"/>
      <c r="AH68" s="66"/>
      <c r="AI68" s="67"/>
      <c r="AJ68" s="68"/>
      <c r="AK68" s="69"/>
      <c r="AL68" s="68"/>
      <c r="AM68" s="69"/>
      <c r="AN68" s="68"/>
      <c r="AO68" s="69"/>
      <c r="AP68" s="68"/>
      <c r="AQ68" s="69"/>
      <c r="AR68" s="68"/>
      <c r="AS68" s="642" t="s">
        <v>303</v>
      </c>
      <c r="AT68" s="326"/>
      <c r="AU68" s="326"/>
      <c r="AV68" s="326"/>
      <c r="AW68" s="326"/>
      <c r="AX68" s="326"/>
      <c r="AY68" s="327"/>
      <c r="AZ68" s="70"/>
      <c r="BA68" s="70"/>
      <c r="BB68" s="643" t="s">
        <v>334</v>
      </c>
      <c r="BC68" s="327"/>
      <c r="BD68" s="645" t="s">
        <v>303</v>
      </c>
      <c r="BE68" s="326"/>
      <c r="BF68" s="327"/>
      <c r="BG68" s="646" t="s">
        <v>303</v>
      </c>
      <c r="BH68" s="326"/>
      <c r="BI68" s="326"/>
      <c r="BJ68" s="327"/>
      <c r="BK68" s="647" t="s">
        <v>505</v>
      </c>
      <c r="BL68" s="326"/>
      <c r="BM68" s="327"/>
      <c r="BN68" s="71"/>
      <c r="BO68" s="71"/>
      <c r="BP68" s="646"/>
      <c r="BQ68" s="326"/>
      <c r="BR68" s="327"/>
      <c r="BS68" s="645" t="s">
        <v>303</v>
      </c>
      <c r="BT68" s="326"/>
      <c r="BU68" s="327"/>
    </row>
    <row r="69" spans="1:73" ht="30" customHeight="1" x14ac:dyDescent="0.25">
      <c r="A69" s="65">
        <f t="shared" si="0"/>
        <v>55</v>
      </c>
      <c r="B69" s="639" t="s">
        <v>334</v>
      </c>
      <c r="C69" s="327"/>
      <c r="D69" s="640" t="s">
        <v>303</v>
      </c>
      <c r="E69" s="326"/>
      <c r="F69" s="326"/>
      <c r="G69" s="327"/>
      <c r="H69" s="641" t="s">
        <v>303</v>
      </c>
      <c r="I69" s="326"/>
      <c r="J69" s="326"/>
      <c r="K69" s="327"/>
      <c r="L69" s="438" t="s">
        <v>303</v>
      </c>
      <c r="M69" s="326"/>
      <c r="N69" s="327"/>
      <c r="O69" s="519" t="s">
        <v>303</v>
      </c>
      <c r="P69" s="326"/>
      <c r="Q69" s="327"/>
      <c r="R69" s="527"/>
      <c r="S69" s="326"/>
      <c r="T69" s="327"/>
      <c r="U69" s="497"/>
      <c r="V69" s="326"/>
      <c r="W69" s="327"/>
      <c r="X69" s="66"/>
      <c r="Y69" s="67"/>
      <c r="Z69" s="66"/>
      <c r="AA69" s="67"/>
      <c r="AB69" s="66"/>
      <c r="AC69" s="67"/>
      <c r="AD69" s="66"/>
      <c r="AE69" s="67"/>
      <c r="AF69" s="66"/>
      <c r="AG69" s="67"/>
      <c r="AH69" s="66"/>
      <c r="AI69" s="67"/>
      <c r="AJ69" s="68"/>
      <c r="AK69" s="69"/>
      <c r="AL69" s="68"/>
      <c r="AM69" s="69"/>
      <c r="AN69" s="68"/>
      <c r="AO69" s="69"/>
      <c r="AP69" s="68"/>
      <c r="AQ69" s="69"/>
      <c r="AR69" s="68"/>
      <c r="AS69" s="642" t="s">
        <v>303</v>
      </c>
      <c r="AT69" s="326"/>
      <c r="AU69" s="326"/>
      <c r="AV69" s="326"/>
      <c r="AW69" s="326"/>
      <c r="AX69" s="326"/>
      <c r="AY69" s="327"/>
      <c r="AZ69" s="70"/>
      <c r="BA69" s="70"/>
      <c r="BB69" s="643" t="s">
        <v>334</v>
      </c>
      <c r="BC69" s="327"/>
      <c r="BD69" s="645" t="s">
        <v>303</v>
      </c>
      <c r="BE69" s="326"/>
      <c r="BF69" s="327"/>
      <c r="BG69" s="646" t="s">
        <v>303</v>
      </c>
      <c r="BH69" s="326"/>
      <c r="BI69" s="326"/>
      <c r="BJ69" s="327"/>
      <c r="BK69" s="647" t="s">
        <v>505</v>
      </c>
      <c r="BL69" s="326"/>
      <c r="BM69" s="327"/>
      <c r="BN69" s="71"/>
      <c r="BO69" s="71"/>
      <c r="BP69" s="646"/>
      <c r="BQ69" s="326"/>
      <c r="BR69" s="327"/>
      <c r="BS69" s="645" t="s">
        <v>303</v>
      </c>
      <c r="BT69" s="326"/>
      <c r="BU69" s="327"/>
    </row>
    <row r="70" spans="1:73" ht="30" customHeight="1" x14ac:dyDescent="0.25">
      <c r="A70" s="65">
        <f t="shared" si="0"/>
        <v>56</v>
      </c>
      <c r="B70" s="639" t="s">
        <v>334</v>
      </c>
      <c r="C70" s="327"/>
      <c r="D70" s="640" t="s">
        <v>303</v>
      </c>
      <c r="E70" s="326"/>
      <c r="F70" s="326"/>
      <c r="G70" s="327"/>
      <c r="H70" s="641" t="s">
        <v>303</v>
      </c>
      <c r="I70" s="326"/>
      <c r="J70" s="326"/>
      <c r="K70" s="327"/>
      <c r="L70" s="438" t="s">
        <v>303</v>
      </c>
      <c r="M70" s="326"/>
      <c r="N70" s="327"/>
      <c r="O70" s="519" t="s">
        <v>303</v>
      </c>
      <c r="P70" s="326"/>
      <c r="Q70" s="327"/>
      <c r="R70" s="527"/>
      <c r="S70" s="326"/>
      <c r="T70" s="327"/>
      <c r="U70" s="497"/>
      <c r="V70" s="326"/>
      <c r="W70" s="327"/>
      <c r="X70" s="66"/>
      <c r="Y70" s="67"/>
      <c r="Z70" s="66"/>
      <c r="AA70" s="67"/>
      <c r="AB70" s="66"/>
      <c r="AC70" s="67"/>
      <c r="AD70" s="66"/>
      <c r="AE70" s="67"/>
      <c r="AF70" s="66"/>
      <c r="AG70" s="67"/>
      <c r="AH70" s="66"/>
      <c r="AI70" s="67"/>
      <c r="AJ70" s="68"/>
      <c r="AK70" s="69"/>
      <c r="AL70" s="68"/>
      <c r="AM70" s="69"/>
      <c r="AN70" s="68"/>
      <c r="AO70" s="69"/>
      <c r="AP70" s="68"/>
      <c r="AQ70" s="69"/>
      <c r="AR70" s="68"/>
      <c r="AS70" s="642" t="s">
        <v>303</v>
      </c>
      <c r="AT70" s="326"/>
      <c r="AU70" s="326"/>
      <c r="AV70" s="326"/>
      <c r="AW70" s="326"/>
      <c r="AX70" s="326"/>
      <c r="AY70" s="327"/>
      <c r="AZ70" s="70"/>
      <c r="BA70" s="70"/>
      <c r="BB70" s="643" t="s">
        <v>334</v>
      </c>
      <c r="BC70" s="327"/>
      <c r="BD70" s="645" t="s">
        <v>303</v>
      </c>
      <c r="BE70" s="326"/>
      <c r="BF70" s="327"/>
      <c r="BG70" s="646" t="s">
        <v>303</v>
      </c>
      <c r="BH70" s="326"/>
      <c r="BI70" s="326"/>
      <c r="BJ70" s="327"/>
      <c r="BK70" s="647" t="s">
        <v>505</v>
      </c>
      <c r="BL70" s="326"/>
      <c r="BM70" s="327"/>
      <c r="BN70" s="71"/>
      <c r="BO70" s="71"/>
      <c r="BP70" s="646"/>
      <c r="BQ70" s="326"/>
      <c r="BR70" s="327"/>
      <c r="BS70" s="645" t="s">
        <v>303</v>
      </c>
      <c r="BT70" s="326"/>
      <c r="BU70" s="327"/>
    </row>
    <row r="71" spans="1:73" ht="30" customHeight="1" x14ac:dyDescent="0.25">
      <c r="A71" s="65">
        <f t="shared" si="0"/>
        <v>57</v>
      </c>
      <c r="B71" s="639" t="s">
        <v>334</v>
      </c>
      <c r="C71" s="327"/>
      <c r="D71" s="640" t="s">
        <v>303</v>
      </c>
      <c r="E71" s="326"/>
      <c r="F71" s="326"/>
      <c r="G71" s="327"/>
      <c r="H71" s="641" t="s">
        <v>303</v>
      </c>
      <c r="I71" s="326"/>
      <c r="J71" s="326"/>
      <c r="K71" s="327"/>
      <c r="L71" s="438" t="s">
        <v>303</v>
      </c>
      <c r="M71" s="326"/>
      <c r="N71" s="327"/>
      <c r="O71" s="519" t="s">
        <v>303</v>
      </c>
      <c r="P71" s="326"/>
      <c r="Q71" s="327"/>
      <c r="R71" s="527"/>
      <c r="S71" s="326"/>
      <c r="T71" s="327"/>
      <c r="U71" s="497"/>
      <c r="V71" s="326"/>
      <c r="W71" s="327"/>
      <c r="X71" s="66"/>
      <c r="Y71" s="67"/>
      <c r="Z71" s="66"/>
      <c r="AA71" s="67"/>
      <c r="AB71" s="66"/>
      <c r="AC71" s="67"/>
      <c r="AD71" s="66"/>
      <c r="AE71" s="67"/>
      <c r="AF71" s="66"/>
      <c r="AG71" s="67"/>
      <c r="AH71" s="66"/>
      <c r="AI71" s="67"/>
      <c r="AJ71" s="68"/>
      <c r="AK71" s="69"/>
      <c r="AL71" s="68"/>
      <c r="AM71" s="69"/>
      <c r="AN71" s="68"/>
      <c r="AO71" s="69"/>
      <c r="AP71" s="68"/>
      <c r="AQ71" s="69"/>
      <c r="AR71" s="68"/>
      <c r="AS71" s="642" t="s">
        <v>303</v>
      </c>
      <c r="AT71" s="326"/>
      <c r="AU71" s="326"/>
      <c r="AV71" s="326"/>
      <c r="AW71" s="326"/>
      <c r="AX71" s="326"/>
      <c r="AY71" s="327"/>
      <c r="AZ71" s="70"/>
      <c r="BA71" s="70"/>
      <c r="BB71" s="644" t="s">
        <v>334</v>
      </c>
      <c r="BC71" s="327"/>
      <c r="BD71" s="645" t="s">
        <v>303</v>
      </c>
      <c r="BE71" s="326"/>
      <c r="BF71" s="327"/>
      <c r="BG71" s="646" t="s">
        <v>303</v>
      </c>
      <c r="BH71" s="326"/>
      <c r="BI71" s="326"/>
      <c r="BJ71" s="327"/>
      <c r="BK71" s="647" t="s">
        <v>505</v>
      </c>
      <c r="BL71" s="326"/>
      <c r="BM71" s="327"/>
      <c r="BN71" s="71"/>
      <c r="BO71" s="71"/>
      <c r="BP71" s="646"/>
      <c r="BQ71" s="326"/>
      <c r="BR71" s="327"/>
      <c r="BS71" s="645" t="s">
        <v>303</v>
      </c>
      <c r="BT71" s="326"/>
      <c r="BU71" s="327"/>
    </row>
    <row r="72" spans="1:73" ht="30" customHeight="1" x14ac:dyDescent="0.25">
      <c r="A72" s="65">
        <f t="shared" si="0"/>
        <v>58</v>
      </c>
      <c r="B72" s="639" t="s">
        <v>334</v>
      </c>
      <c r="C72" s="327"/>
      <c r="D72" s="640" t="s">
        <v>303</v>
      </c>
      <c r="E72" s="326"/>
      <c r="F72" s="326"/>
      <c r="G72" s="327"/>
      <c r="H72" s="641" t="s">
        <v>303</v>
      </c>
      <c r="I72" s="326"/>
      <c r="J72" s="326"/>
      <c r="K72" s="327"/>
      <c r="L72" s="438" t="s">
        <v>303</v>
      </c>
      <c r="M72" s="326"/>
      <c r="N72" s="327"/>
      <c r="O72" s="519" t="s">
        <v>303</v>
      </c>
      <c r="P72" s="326"/>
      <c r="Q72" s="327"/>
      <c r="R72" s="527"/>
      <c r="S72" s="326"/>
      <c r="T72" s="327"/>
      <c r="U72" s="497"/>
      <c r="V72" s="326"/>
      <c r="W72" s="327"/>
      <c r="X72" s="66"/>
      <c r="Y72" s="67"/>
      <c r="Z72" s="66"/>
      <c r="AA72" s="67"/>
      <c r="AB72" s="66"/>
      <c r="AC72" s="67"/>
      <c r="AD72" s="66"/>
      <c r="AE72" s="67"/>
      <c r="AF72" s="66"/>
      <c r="AG72" s="67"/>
      <c r="AH72" s="66"/>
      <c r="AI72" s="67"/>
      <c r="AJ72" s="68"/>
      <c r="AK72" s="69"/>
      <c r="AL72" s="68"/>
      <c r="AM72" s="69"/>
      <c r="AN72" s="68"/>
      <c r="AO72" s="69"/>
      <c r="AP72" s="68"/>
      <c r="AQ72" s="69"/>
      <c r="AR72" s="68"/>
      <c r="AS72" s="642" t="s">
        <v>303</v>
      </c>
      <c r="AT72" s="326"/>
      <c r="AU72" s="326"/>
      <c r="AV72" s="326"/>
      <c r="AW72" s="326"/>
      <c r="AX72" s="326"/>
      <c r="AY72" s="327"/>
      <c r="AZ72" s="70"/>
      <c r="BA72" s="70"/>
      <c r="BB72" s="643" t="s">
        <v>334</v>
      </c>
      <c r="BC72" s="327"/>
      <c r="BD72" s="645" t="s">
        <v>303</v>
      </c>
      <c r="BE72" s="326"/>
      <c r="BF72" s="327"/>
      <c r="BG72" s="646" t="s">
        <v>303</v>
      </c>
      <c r="BH72" s="326"/>
      <c r="BI72" s="326"/>
      <c r="BJ72" s="327"/>
      <c r="BK72" s="647" t="s">
        <v>505</v>
      </c>
      <c r="BL72" s="326"/>
      <c r="BM72" s="327"/>
      <c r="BN72" s="71"/>
      <c r="BO72" s="71"/>
      <c r="BP72" s="646"/>
      <c r="BQ72" s="326"/>
      <c r="BR72" s="327"/>
      <c r="BS72" s="645" t="s">
        <v>303</v>
      </c>
      <c r="BT72" s="326"/>
      <c r="BU72" s="327"/>
    </row>
    <row r="73" spans="1:73" ht="30" customHeight="1" x14ac:dyDescent="0.25">
      <c r="A73" s="65">
        <f t="shared" si="0"/>
        <v>59</v>
      </c>
      <c r="B73" s="639" t="s">
        <v>334</v>
      </c>
      <c r="C73" s="327"/>
      <c r="D73" s="640" t="s">
        <v>303</v>
      </c>
      <c r="E73" s="326"/>
      <c r="F73" s="326"/>
      <c r="G73" s="327"/>
      <c r="H73" s="641" t="s">
        <v>303</v>
      </c>
      <c r="I73" s="326"/>
      <c r="J73" s="326"/>
      <c r="K73" s="327"/>
      <c r="L73" s="438" t="s">
        <v>303</v>
      </c>
      <c r="M73" s="326"/>
      <c r="N73" s="327"/>
      <c r="O73" s="519" t="s">
        <v>303</v>
      </c>
      <c r="P73" s="326"/>
      <c r="Q73" s="327"/>
      <c r="R73" s="527"/>
      <c r="S73" s="326"/>
      <c r="T73" s="327"/>
      <c r="U73" s="497"/>
      <c r="V73" s="326"/>
      <c r="W73" s="327"/>
      <c r="X73" s="66"/>
      <c r="Y73" s="67"/>
      <c r="Z73" s="66"/>
      <c r="AA73" s="67"/>
      <c r="AB73" s="66"/>
      <c r="AC73" s="67"/>
      <c r="AD73" s="66"/>
      <c r="AE73" s="67"/>
      <c r="AF73" s="66"/>
      <c r="AG73" s="67"/>
      <c r="AH73" s="66"/>
      <c r="AI73" s="67"/>
      <c r="AJ73" s="68"/>
      <c r="AK73" s="69"/>
      <c r="AL73" s="68"/>
      <c r="AM73" s="69"/>
      <c r="AN73" s="68"/>
      <c r="AO73" s="69"/>
      <c r="AP73" s="68"/>
      <c r="AQ73" s="69"/>
      <c r="AR73" s="68"/>
      <c r="AS73" s="642" t="s">
        <v>303</v>
      </c>
      <c r="AT73" s="326"/>
      <c r="AU73" s="326"/>
      <c r="AV73" s="326"/>
      <c r="AW73" s="326"/>
      <c r="AX73" s="326"/>
      <c r="AY73" s="327"/>
      <c r="AZ73" s="70"/>
      <c r="BA73" s="70"/>
      <c r="BB73" s="643" t="s">
        <v>334</v>
      </c>
      <c r="BC73" s="327"/>
      <c r="BD73" s="645" t="s">
        <v>303</v>
      </c>
      <c r="BE73" s="326"/>
      <c r="BF73" s="327"/>
      <c r="BG73" s="646" t="s">
        <v>303</v>
      </c>
      <c r="BH73" s="326"/>
      <c r="BI73" s="326"/>
      <c r="BJ73" s="327"/>
      <c r="BK73" s="647" t="s">
        <v>505</v>
      </c>
      <c r="BL73" s="326"/>
      <c r="BM73" s="327"/>
      <c r="BN73" s="71"/>
      <c r="BO73" s="71"/>
      <c r="BP73" s="646"/>
      <c r="BQ73" s="326"/>
      <c r="BR73" s="327"/>
      <c r="BS73" s="645" t="s">
        <v>303</v>
      </c>
      <c r="BT73" s="326"/>
      <c r="BU73" s="327"/>
    </row>
    <row r="74" spans="1:73" ht="30" customHeight="1" x14ac:dyDescent="0.25">
      <c r="A74" s="65">
        <f t="shared" si="0"/>
        <v>60</v>
      </c>
      <c r="B74" s="639" t="s">
        <v>334</v>
      </c>
      <c r="C74" s="327"/>
      <c r="D74" s="640" t="s">
        <v>303</v>
      </c>
      <c r="E74" s="326"/>
      <c r="F74" s="326"/>
      <c r="G74" s="327"/>
      <c r="H74" s="641" t="s">
        <v>303</v>
      </c>
      <c r="I74" s="326"/>
      <c r="J74" s="326"/>
      <c r="K74" s="327"/>
      <c r="L74" s="438" t="s">
        <v>303</v>
      </c>
      <c r="M74" s="326"/>
      <c r="N74" s="327"/>
      <c r="O74" s="519" t="s">
        <v>303</v>
      </c>
      <c r="P74" s="326"/>
      <c r="Q74" s="327"/>
      <c r="R74" s="527"/>
      <c r="S74" s="326"/>
      <c r="T74" s="327"/>
      <c r="U74" s="497"/>
      <c r="V74" s="326"/>
      <c r="W74" s="327"/>
      <c r="X74" s="66"/>
      <c r="Y74" s="67"/>
      <c r="Z74" s="66"/>
      <c r="AA74" s="67"/>
      <c r="AB74" s="66"/>
      <c r="AC74" s="67"/>
      <c r="AD74" s="66"/>
      <c r="AE74" s="67"/>
      <c r="AF74" s="66"/>
      <c r="AG74" s="67"/>
      <c r="AH74" s="66"/>
      <c r="AI74" s="67"/>
      <c r="AJ74" s="68"/>
      <c r="AK74" s="69"/>
      <c r="AL74" s="68"/>
      <c r="AM74" s="69"/>
      <c r="AN74" s="68"/>
      <c r="AO74" s="69"/>
      <c r="AP74" s="68"/>
      <c r="AQ74" s="69"/>
      <c r="AR74" s="68"/>
      <c r="AS74" s="642" t="s">
        <v>303</v>
      </c>
      <c r="AT74" s="326"/>
      <c r="AU74" s="326"/>
      <c r="AV74" s="326"/>
      <c r="AW74" s="326"/>
      <c r="AX74" s="326"/>
      <c r="AY74" s="327"/>
      <c r="AZ74" s="70"/>
      <c r="BA74" s="70"/>
      <c r="BB74" s="643" t="s">
        <v>334</v>
      </c>
      <c r="BC74" s="327"/>
      <c r="BD74" s="645" t="s">
        <v>303</v>
      </c>
      <c r="BE74" s="326"/>
      <c r="BF74" s="327"/>
      <c r="BG74" s="646" t="s">
        <v>303</v>
      </c>
      <c r="BH74" s="326"/>
      <c r="BI74" s="326"/>
      <c r="BJ74" s="327"/>
      <c r="BK74" s="647" t="s">
        <v>505</v>
      </c>
      <c r="BL74" s="326"/>
      <c r="BM74" s="327"/>
      <c r="BN74" s="71"/>
      <c r="BO74" s="71"/>
      <c r="BP74" s="646"/>
      <c r="BQ74" s="326"/>
      <c r="BR74" s="327"/>
      <c r="BS74" s="645" t="s">
        <v>303</v>
      </c>
      <c r="BT74" s="326"/>
      <c r="BU74" s="327"/>
    </row>
    <row r="75" spans="1:73" ht="30" customHeight="1" x14ac:dyDescent="0.25">
      <c r="A75" s="65">
        <f t="shared" si="0"/>
        <v>61</v>
      </c>
      <c r="B75" s="639" t="s">
        <v>334</v>
      </c>
      <c r="C75" s="327"/>
      <c r="D75" s="640" t="s">
        <v>303</v>
      </c>
      <c r="E75" s="326"/>
      <c r="F75" s="326"/>
      <c r="G75" s="327"/>
      <c r="H75" s="641" t="s">
        <v>303</v>
      </c>
      <c r="I75" s="326"/>
      <c r="J75" s="326"/>
      <c r="K75" s="327"/>
      <c r="L75" s="438" t="s">
        <v>303</v>
      </c>
      <c r="M75" s="326"/>
      <c r="N75" s="327"/>
      <c r="O75" s="519" t="s">
        <v>303</v>
      </c>
      <c r="P75" s="326"/>
      <c r="Q75" s="327"/>
      <c r="R75" s="527"/>
      <c r="S75" s="326"/>
      <c r="T75" s="327"/>
      <c r="U75" s="497"/>
      <c r="V75" s="326"/>
      <c r="W75" s="327"/>
      <c r="X75" s="66"/>
      <c r="Y75" s="67"/>
      <c r="Z75" s="66"/>
      <c r="AA75" s="67"/>
      <c r="AB75" s="66"/>
      <c r="AC75" s="67"/>
      <c r="AD75" s="66"/>
      <c r="AE75" s="67"/>
      <c r="AF75" s="66"/>
      <c r="AG75" s="67"/>
      <c r="AH75" s="66"/>
      <c r="AI75" s="67"/>
      <c r="AJ75" s="68"/>
      <c r="AK75" s="69"/>
      <c r="AL75" s="68"/>
      <c r="AM75" s="69"/>
      <c r="AN75" s="68"/>
      <c r="AO75" s="69"/>
      <c r="AP75" s="68"/>
      <c r="AQ75" s="69"/>
      <c r="AR75" s="68"/>
      <c r="AS75" s="642" t="s">
        <v>303</v>
      </c>
      <c r="AT75" s="326"/>
      <c r="AU75" s="326"/>
      <c r="AV75" s="326"/>
      <c r="AW75" s="326"/>
      <c r="AX75" s="326"/>
      <c r="AY75" s="327"/>
      <c r="AZ75" s="70"/>
      <c r="BA75" s="70"/>
      <c r="BB75" s="643" t="s">
        <v>334</v>
      </c>
      <c r="BC75" s="327"/>
      <c r="BD75" s="645" t="s">
        <v>303</v>
      </c>
      <c r="BE75" s="326"/>
      <c r="BF75" s="327"/>
      <c r="BG75" s="646" t="s">
        <v>303</v>
      </c>
      <c r="BH75" s="326"/>
      <c r="BI75" s="326"/>
      <c r="BJ75" s="327"/>
      <c r="BK75" s="647" t="s">
        <v>505</v>
      </c>
      <c r="BL75" s="326"/>
      <c r="BM75" s="327"/>
      <c r="BN75" s="71"/>
      <c r="BO75" s="71"/>
      <c r="BP75" s="646"/>
      <c r="BQ75" s="326"/>
      <c r="BR75" s="327"/>
      <c r="BS75" s="645" t="s">
        <v>303</v>
      </c>
      <c r="BT75" s="326"/>
      <c r="BU75" s="327"/>
    </row>
    <row r="76" spans="1:73" ht="30" customHeight="1" x14ac:dyDescent="0.25">
      <c r="A76" s="65">
        <f t="shared" si="0"/>
        <v>62</v>
      </c>
      <c r="B76" s="639" t="s">
        <v>334</v>
      </c>
      <c r="C76" s="327"/>
      <c r="D76" s="640" t="s">
        <v>303</v>
      </c>
      <c r="E76" s="326"/>
      <c r="F76" s="326"/>
      <c r="G76" s="327"/>
      <c r="H76" s="641" t="s">
        <v>303</v>
      </c>
      <c r="I76" s="326"/>
      <c r="J76" s="326"/>
      <c r="K76" s="327"/>
      <c r="L76" s="438" t="s">
        <v>303</v>
      </c>
      <c r="M76" s="326"/>
      <c r="N76" s="327"/>
      <c r="O76" s="519" t="s">
        <v>303</v>
      </c>
      <c r="P76" s="326"/>
      <c r="Q76" s="327"/>
      <c r="R76" s="527"/>
      <c r="S76" s="326"/>
      <c r="T76" s="327"/>
      <c r="U76" s="497"/>
      <c r="V76" s="326"/>
      <c r="W76" s="327"/>
      <c r="X76" s="66"/>
      <c r="Y76" s="67"/>
      <c r="Z76" s="66"/>
      <c r="AA76" s="67"/>
      <c r="AB76" s="66"/>
      <c r="AC76" s="67"/>
      <c r="AD76" s="66"/>
      <c r="AE76" s="67"/>
      <c r="AF76" s="66"/>
      <c r="AG76" s="67"/>
      <c r="AH76" s="66"/>
      <c r="AI76" s="67"/>
      <c r="AJ76" s="68"/>
      <c r="AK76" s="69"/>
      <c r="AL76" s="68"/>
      <c r="AM76" s="69"/>
      <c r="AN76" s="68"/>
      <c r="AO76" s="69"/>
      <c r="AP76" s="68"/>
      <c r="AQ76" s="69"/>
      <c r="AR76" s="68"/>
      <c r="AS76" s="642" t="s">
        <v>303</v>
      </c>
      <c r="AT76" s="326"/>
      <c r="AU76" s="326"/>
      <c r="AV76" s="326"/>
      <c r="AW76" s="326"/>
      <c r="AX76" s="326"/>
      <c r="AY76" s="327"/>
      <c r="AZ76" s="70"/>
      <c r="BA76" s="70"/>
      <c r="BB76" s="643" t="s">
        <v>334</v>
      </c>
      <c r="BC76" s="327"/>
      <c r="BD76" s="645" t="s">
        <v>303</v>
      </c>
      <c r="BE76" s="326"/>
      <c r="BF76" s="327"/>
      <c r="BG76" s="646" t="s">
        <v>303</v>
      </c>
      <c r="BH76" s="326"/>
      <c r="BI76" s="326"/>
      <c r="BJ76" s="327"/>
      <c r="BK76" s="647" t="s">
        <v>505</v>
      </c>
      <c r="BL76" s="326"/>
      <c r="BM76" s="327"/>
      <c r="BN76" s="71"/>
      <c r="BO76" s="71"/>
      <c r="BP76" s="646"/>
      <c r="BQ76" s="326"/>
      <c r="BR76" s="327"/>
      <c r="BS76" s="645" t="s">
        <v>303</v>
      </c>
      <c r="BT76" s="326"/>
      <c r="BU76" s="327"/>
    </row>
    <row r="77" spans="1:73" ht="30" customHeight="1" x14ac:dyDescent="0.25">
      <c r="A77" s="65">
        <f t="shared" si="0"/>
        <v>63</v>
      </c>
      <c r="B77" s="639" t="s">
        <v>334</v>
      </c>
      <c r="C77" s="327"/>
      <c r="D77" s="640" t="s">
        <v>303</v>
      </c>
      <c r="E77" s="326"/>
      <c r="F77" s="326"/>
      <c r="G77" s="327"/>
      <c r="H77" s="641" t="s">
        <v>303</v>
      </c>
      <c r="I77" s="326"/>
      <c r="J77" s="326"/>
      <c r="K77" s="327"/>
      <c r="L77" s="438" t="s">
        <v>303</v>
      </c>
      <c r="M77" s="326"/>
      <c r="N77" s="327"/>
      <c r="O77" s="519" t="s">
        <v>303</v>
      </c>
      <c r="P77" s="326"/>
      <c r="Q77" s="327"/>
      <c r="R77" s="527"/>
      <c r="S77" s="326"/>
      <c r="T77" s="327"/>
      <c r="U77" s="497"/>
      <c r="V77" s="326"/>
      <c r="W77" s="327"/>
      <c r="X77" s="66"/>
      <c r="Y77" s="67"/>
      <c r="Z77" s="66"/>
      <c r="AA77" s="67"/>
      <c r="AB77" s="66"/>
      <c r="AC77" s="67"/>
      <c r="AD77" s="66"/>
      <c r="AE77" s="67"/>
      <c r="AF77" s="66"/>
      <c r="AG77" s="67"/>
      <c r="AH77" s="66"/>
      <c r="AI77" s="67"/>
      <c r="AJ77" s="68"/>
      <c r="AK77" s="69"/>
      <c r="AL77" s="68"/>
      <c r="AM77" s="69"/>
      <c r="AN77" s="68"/>
      <c r="AO77" s="69"/>
      <c r="AP77" s="68"/>
      <c r="AQ77" s="69"/>
      <c r="AR77" s="68"/>
      <c r="AS77" s="642" t="s">
        <v>303</v>
      </c>
      <c r="AT77" s="326"/>
      <c r="AU77" s="326"/>
      <c r="AV77" s="326"/>
      <c r="AW77" s="326"/>
      <c r="AX77" s="326"/>
      <c r="AY77" s="327"/>
      <c r="AZ77" s="70"/>
      <c r="BA77" s="70"/>
      <c r="BB77" s="643" t="s">
        <v>334</v>
      </c>
      <c r="BC77" s="327"/>
      <c r="BD77" s="645" t="s">
        <v>303</v>
      </c>
      <c r="BE77" s="326"/>
      <c r="BF77" s="327"/>
      <c r="BG77" s="646" t="s">
        <v>303</v>
      </c>
      <c r="BH77" s="326"/>
      <c r="BI77" s="326"/>
      <c r="BJ77" s="327"/>
      <c r="BK77" s="647" t="s">
        <v>505</v>
      </c>
      <c r="BL77" s="326"/>
      <c r="BM77" s="327"/>
      <c r="BN77" s="71"/>
      <c r="BO77" s="71"/>
      <c r="BP77" s="646"/>
      <c r="BQ77" s="326"/>
      <c r="BR77" s="327"/>
      <c r="BS77" s="645" t="s">
        <v>303</v>
      </c>
      <c r="BT77" s="326"/>
      <c r="BU77" s="327"/>
    </row>
    <row r="78" spans="1:73" ht="30" customHeight="1" x14ac:dyDescent="0.25">
      <c r="A78" s="65">
        <f t="shared" si="0"/>
        <v>64</v>
      </c>
      <c r="B78" s="639" t="s">
        <v>334</v>
      </c>
      <c r="C78" s="327"/>
      <c r="D78" s="640" t="s">
        <v>303</v>
      </c>
      <c r="E78" s="326"/>
      <c r="F78" s="326"/>
      <c r="G78" s="327"/>
      <c r="H78" s="641" t="s">
        <v>303</v>
      </c>
      <c r="I78" s="326"/>
      <c r="J78" s="326"/>
      <c r="K78" s="327"/>
      <c r="L78" s="438" t="s">
        <v>303</v>
      </c>
      <c r="M78" s="326"/>
      <c r="N78" s="327"/>
      <c r="O78" s="519" t="s">
        <v>303</v>
      </c>
      <c r="P78" s="326"/>
      <c r="Q78" s="327"/>
      <c r="R78" s="527"/>
      <c r="S78" s="326"/>
      <c r="T78" s="327"/>
      <c r="U78" s="497"/>
      <c r="V78" s="326"/>
      <c r="W78" s="327"/>
      <c r="X78" s="66"/>
      <c r="Y78" s="67"/>
      <c r="Z78" s="66"/>
      <c r="AA78" s="67"/>
      <c r="AB78" s="66"/>
      <c r="AC78" s="67"/>
      <c r="AD78" s="66"/>
      <c r="AE78" s="67"/>
      <c r="AF78" s="66"/>
      <c r="AG78" s="67"/>
      <c r="AH78" s="66"/>
      <c r="AI78" s="67"/>
      <c r="AJ78" s="68"/>
      <c r="AK78" s="69"/>
      <c r="AL78" s="68"/>
      <c r="AM78" s="69"/>
      <c r="AN78" s="68"/>
      <c r="AO78" s="69"/>
      <c r="AP78" s="68"/>
      <c r="AQ78" s="69"/>
      <c r="AR78" s="68"/>
      <c r="AS78" s="642" t="s">
        <v>303</v>
      </c>
      <c r="AT78" s="326"/>
      <c r="AU78" s="326"/>
      <c r="AV78" s="326"/>
      <c r="AW78" s="326"/>
      <c r="AX78" s="326"/>
      <c r="AY78" s="327"/>
      <c r="AZ78" s="70"/>
      <c r="BA78" s="70"/>
      <c r="BB78" s="644" t="s">
        <v>334</v>
      </c>
      <c r="BC78" s="327"/>
      <c r="BD78" s="645" t="s">
        <v>303</v>
      </c>
      <c r="BE78" s="326"/>
      <c r="BF78" s="327"/>
      <c r="BG78" s="646" t="s">
        <v>303</v>
      </c>
      <c r="BH78" s="326"/>
      <c r="BI78" s="326"/>
      <c r="BJ78" s="327"/>
      <c r="BK78" s="647" t="s">
        <v>505</v>
      </c>
      <c r="BL78" s="326"/>
      <c r="BM78" s="327"/>
      <c r="BN78" s="71"/>
      <c r="BO78" s="71"/>
      <c r="BP78" s="646"/>
      <c r="BQ78" s="326"/>
      <c r="BR78" s="327"/>
      <c r="BS78" s="645" t="s">
        <v>303</v>
      </c>
      <c r="BT78" s="326"/>
      <c r="BU78" s="327"/>
    </row>
    <row r="79" spans="1:73" ht="30" customHeight="1" x14ac:dyDescent="0.25">
      <c r="A79" s="65">
        <f t="shared" si="0"/>
        <v>65</v>
      </c>
      <c r="B79" s="639" t="s">
        <v>334</v>
      </c>
      <c r="C79" s="327"/>
      <c r="D79" s="640" t="s">
        <v>303</v>
      </c>
      <c r="E79" s="326"/>
      <c r="F79" s="326"/>
      <c r="G79" s="327"/>
      <c r="H79" s="641" t="s">
        <v>303</v>
      </c>
      <c r="I79" s="326"/>
      <c r="J79" s="326"/>
      <c r="K79" s="327"/>
      <c r="L79" s="438" t="s">
        <v>303</v>
      </c>
      <c r="M79" s="326"/>
      <c r="N79" s="327"/>
      <c r="O79" s="519" t="s">
        <v>303</v>
      </c>
      <c r="P79" s="326"/>
      <c r="Q79" s="327"/>
      <c r="R79" s="527"/>
      <c r="S79" s="326"/>
      <c r="T79" s="327"/>
      <c r="U79" s="497"/>
      <c r="V79" s="326"/>
      <c r="W79" s="327"/>
      <c r="X79" s="66"/>
      <c r="Y79" s="67"/>
      <c r="Z79" s="66"/>
      <c r="AA79" s="67"/>
      <c r="AB79" s="66"/>
      <c r="AC79" s="67"/>
      <c r="AD79" s="66"/>
      <c r="AE79" s="67"/>
      <c r="AF79" s="66"/>
      <c r="AG79" s="67"/>
      <c r="AH79" s="66"/>
      <c r="AI79" s="67"/>
      <c r="AJ79" s="68"/>
      <c r="AK79" s="69"/>
      <c r="AL79" s="68"/>
      <c r="AM79" s="69"/>
      <c r="AN79" s="68"/>
      <c r="AO79" s="69"/>
      <c r="AP79" s="68"/>
      <c r="AQ79" s="69"/>
      <c r="AR79" s="68"/>
      <c r="AS79" s="642" t="s">
        <v>303</v>
      </c>
      <c r="AT79" s="326"/>
      <c r="AU79" s="326"/>
      <c r="AV79" s="326"/>
      <c r="AW79" s="326"/>
      <c r="AX79" s="326"/>
      <c r="AY79" s="327"/>
      <c r="AZ79" s="70"/>
      <c r="BA79" s="70"/>
      <c r="BB79" s="643" t="s">
        <v>334</v>
      </c>
      <c r="BC79" s="327"/>
      <c r="BD79" s="645" t="s">
        <v>303</v>
      </c>
      <c r="BE79" s="326"/>
      <c r="BF79" s="327"/>
      <c r="BG79" s="646" t="s">
        <v>303</v>
      </c>
      <c r="BH79" s="326"/>
      <c r="BI79" s="326"/>
      <c r="BJ79" s="327"/>
      <c r="BK79" s="647" t="s">
        <v>505</v>
      </c>
      <c r="BL79" s="326"/>
      <c r="BM79" s="327"/>
      <c r="BN79" s="71"/>
      <c r="BO79" s="71"/>
      <c r="BP79" s="646"/>
      <c r="BQ79" s="326"/>
      <c r="BR79" s="327"/>
      <c r="BS79" s="645" t="s">
        <v>303</v>
      </c>
      <c r="BT79" s="326"/>
      <c r="BU79" s="327"/>
    </row>
    <row r="80" spans="1:73" ht="30" customHeight="1" x14ac:dyDescent="0.25">
      <c r="A80" s="65">
        <f t="shared" si="0"/>
        <v>66</v>
      </c>
      <c r="B80" s="639" t="s">
        <v>334</v>
      </c>
      <c r="C80" s="327"/>
      <c r="D80" s="640" t="s">
        <v>303</v>
      </c>
      <c r="E80" s="326"/>
      <c r="F80" s="326"/>
      <c r="G80" s="327"/>
      <c r="H80" s="641" t="s">
        <v>303</v>
      </c>
      <c r="I80" s="326"/>
      <c r="J80" s="326"/>
      <c r="K80" s="327"/>
      <c r="L80" s="438" t="s">
        <v>303</v>
      </c>
      <c r="M80" s="326"/>
      <c r="N80" s="327"/>
      <c r="O80" s="519" t="s">
        <v>303</v>
      </c>
      <c r="P80" s="326"/>
      <c r="Q80" s="327"/>
      <c r="R80" s="527"/>
      <c r="S80" s="326"/>
      <c r="T80" s="327"/>
      <c r="U80" s="497"/>
      <c r="V80" s="326"/>
      <c r="W80" s="327"/>
      <c r="X80" s="66"/>
      <c r="Y80" s="67"/>
      <c r="Z80" s="66"/>
      <c r="AA80" s="67"/>
      <c r="AB80" s="66"/>
      <c r="AC80" s="67"/>
      <c r="AD80" s="66"/>
      <c r="AE80" s="67"/>
      <c r="AF80" s="66"/>
      <c r="AG80" s="67"/>
      <c r="AH80" s="66"/>
      <c r="AI80" s="67"/>
      <c r="AJ80" s="68"/>
      <c r="AK80" s="69"/>
      <c r="AL80" s="68"/>
      <c r="AM80" s="69"/>
      <c r="AN80" s="68"/>
      <c r="AO80" s="69"/>
      <c r="AP80" s="68"/>
      <c r="AQ80" s="69"/>
      <c r="AR80" s="68"/>
      <c r="AS80" s="642" t="s">
        <v>303</v>
      </c>
      <c r="AT80" s="326"/>
      <c r="AU80" s="326"/>
      <c r="AV80" s="326"/>
      <c r="AW80" s="326"/>
      <c r="AX80" s="326"/>
      <c r="AY80" s="327"/>
      <c r="AZ80" s="70"/>
      <c r="BA80" s="70"/>
      <c r="BB80" s="643" t="s">
        <v>334</v>
      </c>
      <c r="BC80" s="327"/>
      <c r="BD80" s="645" t="s">
        <v>303</v>
      </c>
      <c r="BE80" s="326"/>
      <c r="BF80" s="327"/>
      <c r="BG80" s="646" t="s">
        <v>303</v>
      </c>
      <c r="BH80" s="326"/>
      <c r="BI80" s="326"/>
      <c r="BJ80" s="327"/>
      <c r="BK80" s="647" t="s">
        <v>505</v>
      </c>
      <c r="BL80" s="326"/>
      <c r="BM80" s="327"/>
      <c r="BN80" s="71"/>
      <c r="BO80" s="71"/>
      <c r="BP80" s="646"/>
      <c r="BQ80" s="326"/>
      <c r="BR80" s="327"/>
      <c r="BS80" s="645" t="s">
        <v>303</v>
      </c>
      <c r="BT80" s="326"/>
      <c r="BU80" s="327"/>
    </row>
    <row r="81" spans="1:73" ht="30" customHeight="1" x14ac:dyDescent="0.25">
      <c r="A81" s="65">
        <f t="shared" si="0"/>
        <v>67</v>
      </c>
      <c r="B81" s="639" t="s">
        <v>334</v>
      </c>
      <c r="C81" s="327"/>
      <c r="D81" s="640" t="s">
        <v>303</v>
      </c>
      <c r="E81" s="326"/>
      <c r="F81" s="326"/>
      <c r="G81" s="327"/>
      <c r="H81" s="641" t="s">
        <v>303</v>
      </c>
      <c r="I81" s="326"/>
      <c r="J81" s="326"/>
      <c r="K81" s="327"/>
      <c r="L81" s="438" t="s">
        <v>303</v>
      </c>
      <c r="M81" s="326"/>
      <c r="N81" s="327"/>
      <c r="O81" s="519" t="s">
        <v>303</v>
      </c>
      <c r="P81" s="326"/>
      <c r="Q81" s="327"/>
      <c r="R81" s="527"/>
      <c r="S81" s="326"/>
      <c r="T81" s="327"/>
      <c r="U81" s="497"/>
      <c r="V81" s="326"/>
      <c r="W81" s="327"/>
      <c r="X81" s="66"/>
      <c r="Y81" s="67"/>
      <c r="Z81" s="66"/>
      <c r="AA81" s="67"/>
      <c r="AB81" s="66"/>
      <c r="AC81" s="67"/>
      <c r="AD81" s="66"/>
      <c r="AE81" s="67"/>
      <c r="AF81" s="66"/>
      <c r="AG81" s="67"/>
      <c r="AH81" s="66"/>
      <c r="AI81" s="67"/>
      <c r="AJ81" s="68"/>
      <c r="AK81" s="69"/>
      <c r="AL81" s="68"/>
      <c r="AM81" s="69"/>
      <c r="AN81" s="68"/>
      <c r="AO81" s="69"/>
      <c r="AP81" s="68"/>
      <c r="AQ81" s="69"/>
      <c r="AR81" s="68"/>
      <c r="AS81" s="642" t="s">
        <v>303</v>
      </c>
      <c r="AT81" s="326"/>
      <c r="AU81" s="326"/>
      <c r="AV81" s="326"/>
      <c r="AW81" s="326"/>
      <c r="AX81" s="326"/>
      <c r="AY81" s="327"/>
      <c r="AZ81" s="70"/>
      <c r="BA81" s="70"/>
      <c r="BB81" s="643" t="s">
        <v>334</v>
      </c>
      <c r="BC81" s="327"/>
      <c r="BD81" s="645" t="s">
        <v>303</v>
      </c>
      <c r="BE81" s="326"/>
      <c r="BF81" s="327"/>
      <c r="BG81" s="646" t="s">
        <v>303</v>
      </c>
      <c r="BH81" s="326"/>
      <c r="BI81" s="326"/>
      <c r="BJ81" s="327"/>
      <c r="BK81" s="647" t="s">
        <v>505</v>
      </c>
      <c r="BL81" s="326"/>
      <c r="BM81" s="327"/>
      <c r="BN81" s="71"/>
      <c r="BO81" s="71"/>
      <c r="BP81" s="646"/>
      <c r="BQ81" s="326"/>
      <c r="BR81" s="327"/>
      <c r="BS81" s="645" t="s">
        <v>303</v>
      </c>
      <c r="BT81" s="326"/>
      <c r="BU81" s="327"/>
    </row>
    <row r="82" spans="1:73" ht="30" customHeight="1" x14ac:dyDescent="0.25">
      <c r="A82" s="65">
        <f t="shared" si="0"/>
        <v>68</v>
      </c>
      <c r="B82" s="639" t="s">
        <v>334</v>
      </c>
      <c r="C82" s="327"/>
      <c r="D82" s="640" t="s">
        <v>303</v>
      </c>
      <c r="E82" s="326"/>
      <c r="F82" s="326"/>
      <c r="G82" s="327"/>
      <c r="H82" s="641" t="s">
        <v>303</v>
      </c>
      <c r="I82" s="326"/>
      <c r="J82" s="326"/>
      <c r="K82" s="327"/>
      <c r="L82" s="438" t="s">
        <v>303</v>
      </c>
      <c r="M82" s="326"/>
      <c r="N82" s="327"/>
      <c r="O82" s="519" t="s">
        <v>303</v>
      </c>
      <c r="P82" s="326"/>
      <c r="Q82" s="327"/>
      <c r="R82" s="527"/>
      <c r="S82" s="326"/>
      <c r="T82" s="327"/>
      <c r="U82" s="497"/>
      <c r="V82" s="326"/>
      <c r="W82" s="327"/>
      <c r="X82" s="66"/>
      <c r="Y82" s="67"/>
      <c r="Z82" s="66"/>
      <c r="AA82" s="67"/>
      <c r="AB82" s="66"/>
      <c r="AC82" s="67"/>
      <c r="AD82" s="66"/>
      <c r="AE82" s="67"/>
      <c r="AF82" s="66"/>
      <c r="AG82" s="67"/>
      <c r="AH82" s="66"/>
      <c r="AI82" s="67"/>
      <c r="AJ82" s="68"/>
      <c r="AK82" s="69"/>
      <c r="AL82" s="68"/>
      <c r="AM82" s="69"/>
      <c r="AN82" s="68"/>
      <c r="AO82" s="69"/>
      <c r="AP82" s="68"/>
      <c r="AQ82" s="69"/>
      <c r="AR82" s="68"/>
      <c r="AS82" s="642" t="s">
        <v>303</v>
      </c>
      <c r="AT82" s="326"/>
      <c r="AU82" s="326"/>
      <c r="AV82" s="326"/>
      <c r="AW82" s="326"/>
      <c r="AX82" s="326"/>
      <c r="AY82" s="327"/>
      <c r="AZ82" s="70"/>
      <c r="BA82" s="70"/>
      <c r="BB82" s="643" t="s">
        <v>334</v>
      </c>
      <c r="BC82" s="327"/>
      <c r="BD82" s="645" t="s">
        <v>303</v>
      </c>
      <c r="BE82" s="326"/>
      <c r="BF82" s="327"/>
      <c r="BG82" s="646" t="s">
        <v>303</v>
      </c>
      <c r="BH82" s="326"/>
      <c r="BI82" s="326"/>
      <c r="BJ82" s="327"/>
      <c r="BK82" s="647" t="s">
        <v>505</v>
      </c>
      <c r="BL82" s="326"/>
      <c r="BM82" s="327"/>
      <c r="BN82" s="71"/>
      <c r="BO82" s="71"/>
      <c r="BP82" s="646"/>
      <c r="BQ82" s="326"/>
      <c r="BR82" s="327"/>
      <c r="BS82" s="645" t="s">
        <v>303</v>
      </c>
      <c r="BT82" s="326"/>
      <c r="BU82" s="327"/>
    </row>
    <row r="83" spans="1:73" ht="30" customHeight="1" x14ac:dyDescent="0.25">
      <c r="A83" s="65">
        <f t="shared" si="0"/>
        <v>69</v>
      </c>
      <c r="B83" s="639" t="s">
        <v>334</v>
      </c>
      <c r="C83" s="327"/>
      <c r="D83" s="640" t="s">
        <v>303</v>
      </c>
      <c r="E83" s="326"/>
      <c r="F83" s="326"/>
      <c r="G83" s="327"/>
      <c r="H83" s="641" t="s">
        <v>303</v>
      </c>
      <c r="I83" s="326"/>
      <c r="J83" s="326"/>
      <c r="K83" s="327"/>
      <c r="L83" s="438" t="s">
        <v>303</v>
      </c>
      <c r="M83" s="326"/>
      <c r="N83" s="327"/>
      <c r="O83" s="519" t="s">
        <v>303</v>
      </c>
      <c r="P83" s="326"/>
      <c r="Q83" s="327"/>
      <c r="R83" s="527"/>
      <c r="S83" s="326"/>
      <c r="T83" s="327"/>
      <c r="U83" s="497"/>
      <c r="V83" s="326"/>
      <c r="W83" s="327"/>
      <c r="X83" s="66"/>
      <c r="Y83" s="67"/>
      <c r="Z83" s="66"/>
      <c r="AA83" s="67"/>
      <c r="AB83" s="66"/>
      <c r="AC83" s="67"/>
      <c r="AD83" s="66"/>
      <c r="AE83" s="67"/>
      <c r="AF83" s="66"/>
      <c r="AG83" s="67"/>
      <c r="AH83" s="66"/>
      <c r="AI83" s="67"/>
      <c r="AJ83" s="68"/>
      <c r="AK83" s="69"/>
      <c r="AL83" s="68"/>
      <c r="AM83" s="69"/>
      <c r="AN83" s="68"/>
      <c r="AO83" s="69"/>
      <c r="AP83" s="68"/>
      <c r="AQ83" s="69"/>
      <c r="AR83" s="68"/>
      <c r="AS83" s="642" t="s">
        <v>303</v>
      </c>
      <c r="AT83" s="326"/>
      <c r="AU83" s="326"/>
      <c r="AV83" s="326"/>
      <c r="AW83" s="326"/>
      <c r="AX83" s="326"/>
      <c r="AY83" s="327"/>
      <c r="AZ83" s="70"/>
      <c r="BA83" s="70"/>
      <c r="BB83" s="643" t="s">
        <v>334</v>
      </c>
      <c r="BC83" s="327"/>
      <c r="BD83" s="645" t="s">
        <v>303</v>
      </c>
      <c r="BE83" s="326"/>
      <c r="BF83" s="327"/>
      <c r="BG83" s="646" t="s">
        <v>303</v>
      </c>
      <c r="BH83" s="326"/>
      <c r="BI83" s="326"/>
      <c r="BJ83" s="327"/>
      <c r="BK83" s="647" t="s">
        <v>505</v>
      </c>
      <c r="BL83" s="326"/>
      <c r="BM83" s="327"/>
      <c r="BN83" s="71"/>
      <c r="BO83" s="71"/>
      <c r="BP83" s="646"/>
      <c r="BQ83" s="326"/>
      <c r="BR83" s="327"/>
      <c r="BS83" s="645" t="s">
        <v>303</v>
      </c>
      <c r="BT83" s="326"/>
      <c r="BU83" s="327"/>
    </row>
    <row r="84" spans="1:73" ht="30" customHeight="1" x14ac:dyDescent="0.25">
      <c r="A84" s="65">
        <f t="shared" si="0"/>
        <v>70</v>
      </c>
      <c r="B84" s="639" t="s">
        <v>334</v>
      </c>
      <c r="C84" s="327"/>
      <c r="D84" s="640" t="s">
        <v>303</v>
      </c>
      <c r="E84" s="326"/>
      <c r="F84" s="326"/>
      <c r="G84" s="327"/>
      <c r="H84" s="641" t="s">
        <v>303</v>
      </c>
      <c r="I84" s="326"/>
      <c r="J84" s="326"/>
      <c r="K84" s="327"/>
      <c r="L84" s="438" t="s">
        <v>303</v>
      </c>
      <c r="M84" s="326"/>
      <c r="N84" s="327"/>
      <c r="O84" s="519" t="s">
        <v>303</v>
      </c>
      <c r="P84" s="326"/>
      <c r="Q84" s="327"/>
      <c r="R84" s="527"/>
      <c r="S84" s="326"/>
      <c r="T84" s="327"/>
      <c r="U84" s="497"/>
      <c r="V84" s="326"/>
      <c r="W84" s="327"/>
      <c r="X84" s="66"/>
      <c r="Y84" s="67"/>
      <c r="Z84" s="66"/>
      <c r="AA84" s="67"/>
      <c r="AB84" s="66"/>
      <c r="AC84" s="67"/>
      <c r="AD84" s="66"/>
      <c r="AE84" s="67"/>
      <c r="AF84" s="66"/>
      <c r="AG84" s="67"/>
      <c r="AH84" s="66"/>
      <c r="AI84" s="67"/>
      <c r="AJ84" s="68"/>
      <c r="AK84" s="69"/>
      <c r="AL84" s="68"/>
      <c r="AM84" s="69"/>
      <c r="AN84" s="68"/>
      <c r="AO84" s="69"/>
      <c r="AP84" s="68"/>
      <c r="AQ84" s="69"/>
      <c r="AR84" s="68"/>
      <c r="AS84" s="642" t="s">
        <v>303</v>
      </c>
      <c r="AT84" s="326"/>
      <c r="AU84" s="326"/>
      <c r="AV84" s="326"/>
      <c r="AW84" s="326"/>
      <c r="AX84" s="326"/>
      <c r="AY84" s="327"/>
      <c r="AZ84" s="70"/>
      <c r="BA84" s="70"/>
      <c r="BB84" s="643" t="s">
        <v>334</v>
      </c>
      <c r="BC84" s="327"/>
      <c r="BD84" s="645" t="s">
        <v>303</v>
      </c>
      <c r="BE84" s="326"/>
      <c r="BF84" s="327"/>
      <c r="BG84" s="646" t="s">
        <v>303</v>
      </c>
      <c r="BH84" s="326"/>
      <c r="BI84" s="326"/>
      <c r="BJ84" s="327"/>
      <c r="BK84" s="647" t="s">
        <v>505</v>
      </c>
      <c r="BL84" s="326"/>
      <c r="BM84" s="327"/>
      <c r="BN84" s="71"/>
      <c r="BO84" s="71"/>
      <c r="BP84" s="646"/>
      <c r="BQ84" s="326"/>
      <c r="BR84" s="327"/>
      <c r="BS84" s="645" t="s">
        <v>303</v>
      </c>
      <c r="BT84" s="326"/>
      <c r="BU84" s="327"/>
    </row>
    <row r="85" spans="1:73" ht="30" customHeight="1" x14ac:dyDescent="0.25">
      <c r="A85" s="65">
        <f t="shared" si="0"/>
        <v>71</v>
      </c>
      <c r="B85" s="639" t="s">
        <v>334</v>
      </c>
      <c r="C85" s="327"/>
      <c r="D85" s="640" t="s">
        <v>303</v>
      </c>
      <c r="E85" s="326"/>
      <c r="F85" s="326"/>
      <c r="G85" s="327"/>
      <c r="H85" s="641" t="s">
        <v>303</v>
      </c>
      <c r="I85" s="326"/>
      <c r="J85" s="326"/>
      <c r="K85" s="327"/>
      <c r="L85" s="438" t="s">
        <v>303</v>
      </c>
      <c r="M85" s="326"/>
      <c r="N85" s="327"/>
      <c r="O85" s="519" t="s">
        <v>303</v>
      </c>
      <c r="P85" s="326"/>
      <c r="Q85" s="327"/>
      <c r="R85" s="527"/>
      <c r="S85" s="326"/>
      <c r="T85" s="327"/>
      <c r="U85" s="497"/>
      <c r="V85" s="326"/>
      <c r="W85" s="327"/>
      <c r="X85" s="66"/>
      <c r="Y85" s="67"/>
      <c r="Z85" s="66"/>
      <c r="AA85" s="67"/>
      <c r="AB85" s="66"/>
      <c r="AC85" s="67"/>
      <c r="AD85" s="66"/>
      <c r="AE85" s="67"/>
      <c r="AF85" s="66"/>
      <c r="AG85" s="67"/>
      <c r="AH85" s="66"/>
      <c r="AI85" s="67"/>
      <c r="AJ85" s="68"/>
      <c r="AK85" s="69"/>
      <c r="AL85" s="68"/>
      <c r="AM85" s="69"/>
      <c r="AN85" s="68"/>
      <c r="AO85" s="69"/>
      <c r="AP85" s="68"/>
      <c r="AQ85" s="69"/>
      <c r="AR85" s="68"/>
      <c r="AS85" s="642" t="s">
        <v>303</v>
      </c>
      <c r="AT85" s="326"/>
      <c r="AU85" s="326"/>
      <c r="AV85" s="326"/>
      <c r="AW85" s="326"/>
      <c r="AX85" s="326"/>
      <c r="AY85" s="327"/>
      <c r="AZ85" s="70"/>
      <c r="BA85" s="70"/>
      <c r="BB85" s="644" t="s">
        <v>334</v>
      </c>
      <c r="BC85" s="327"/>
      <c r="BD85" s="645" t="s">
        <v>303</v>
      </c>
      <c r="BE85" s="326"/>
      <c r="BF85" s="327"/>
      <c r="BG85" s="646" t="s">
        <v>303</v>
      </c>
      <c r="BH85" s="326"/>
      <c r="BI85" s="326"/>
      <c r="BJ85" s="327"/>
      <c r="BK85" s="647" t="s">
        <v>505</v>
      </c>
      <c r="BL85" s="326"/>
      <c r="BM85" s="327"/>
      <c r="BN85" s="71"/>
      <c r="BO85" s="71"/>
      <c r="BP85" s="646"/>
      <c r="BQ85" s="326"/>
      <c r="BR85" s="327"/>
      <c r="BS85" s="645" t="s">
        <v>303</v>
      </c>
      <c r="BT85" s="326"/>
      <c r="BU85" s="327"/>
    </row>
    <row r="86" spans="1:73" ht="30" customHeight="1" x14ac:dyDescent="0.25">
      <c r="A86" s="65">
        <f t="shared" si="0"/>
        <v>72</v>
      </c>
      <c r="B86" s="639" t="s">
        <v>334</v>
      </c>
      <c r="C86" s="327"/>
      <c r="D86" s="640" t="s">
        <v>303</v>
      </c>
      <c r="E86" s="326"/>
      <c r="F86" s="326"/>
      <c r="G86" s="327"/>
      <c r="H86" s="641" t="s">
        <v>303</v>
      </c>
      <c r="I86" s="326"/>
      <c r="J86" s="326"/>
      <c r="K86" s="327"/>
      <c r="L86" s="438" t="s">
        <v>303</v>
      </c>
      <c r="M86" s="326"/>
      <c r="N86" s="327"/>
      <c r="O86" s="519" t="s">
        <v>303</v>
      </c>
      <c r="P86" s="326"/>
      <c r="Q86" s="327"/>
      <c r="R86" s="527"/>
      <c r="S86" s="326"/>
      <c r="T86" s="327"/>
      <c r="U86" s="497"/>
      <c r="V86" s="326"/>
      <c r="W86" s="327"/>
      <c r="X86" s="66"/>
      <c r="Y86" s="67"/>
      <c r="Z86" s="66"/>
      <c r="AA86" s="67"/>
      <c r="AB86" s="66"/>
      <c r="AC86" s="67"/>
      <c r="AD86" s="66"/>
      <c r="AE86" s="67"/>
      <c r="AF86" s="66"/>
      <c r="AG86" s="67"/>
      <c r="AH86" s="66"/>
      <c r="AI86" s="67"/>
      <c r="AJ86" s="68"/>
      <c r="AK86" s="69"/>
      <c r="AL86" s="68"/>
      <c r="AM86" s="69"/>
      <c r="AN86" s="68"/>
      <c r="AO86" s="69"/>
      <c r="AP86" s="68"/>
      <c r="AQ86" s="69"/>
      <c r="AR86" s="68"/>
      <c r="AS86" s="642" t="s">
        <v>303</v>
      </c>
      <c r="AT86" s="326"/>
      <c r="AU86" s="326"/>
      <c r="AV86" s="326"/>
      <c r="AW86" s="326"/>
      <c r="AX86" s="326"/>
      <c r="AY86" s="327"/>
      <c r="AZ86" s="70"/>
      <c r="BA86" s="70"/>
      <c r="BB86" s="643" t="s">
        <v>334</v>
      </c>
      <c r="BC86" s="327"/>
      <c r="BD86" s="645" t="s">
        <v>303</v>
      </c>
      <c r="BE86" s="326"/>
      <c r="BF86" s="327"/>
      <c r="BG86" s="646" t="s">
        <v>303</v>
      </c>
      <c r="BH86" s="326"/>
      <c r="BI86" s="326"/>
      <c r="BJ86" s="327"/>
      <c r="BK86" s="647" t="s">
        <v>505</v>
      </c>
      <c r="BL86" s="326"/>
      <c r="BM86" s="327"/>
      <c r="BN86" s="71"/>
      <c r="BO86" s="71"/>
      <c r="BP86" s="646"/>
      <c r="BQ86" s="326"/>
      <c r="BR86" s="327"/>
      <c r="BS86" s="645" t="s">
        <v>303</v>
      </c>
      <c r="BT86" s="326"/>
      <c r="BU86" s="327"/>
    </row>
    <row r="87" spans="1:73" ht="30" customHeight="1" x14ac:dyDescent="0.25">
      <c r="A87" s="65">
        <f t="shared" si="0"/>
        <v>73</v>
      </c>
      <c r="B87" s="639" t="s">
        <v>334</v>
      </c>
      <c r="C87" s="327"/>
      <c r="D87" s="640" t="s">
        <v>303</v>
      </c>
      <c r="E87" s="326"/>
      <c r="F87" s="326"/>
      <c r="G87" s="327"/>
      <c r="H87" s="641" t="s">
        <v>303</v>
      </c>
      <c r="I87" s="326"/>
      <c r="J87" s="326"/>
      <c r="K87" s="327"/>
      <c r="L87" s="438" t="s">
        <v>303</v>
      </c>
      <c r="M87" s="326"/>
      <c r="N87" s="327"/>
      <c r="O87" s="519" t="s">
        <v>303</v>
      </c>
      <c r="P87" s="326"/>
      <c r="Q87" s="327"/>
      <c r="R87" s="527"/>
      <c r="S87" s="326"/>
      <c r="T87" s="327"/>
      <c r="U87" s="497"/>
      <c r="V87" s="326"/>
      <c r="W87" s="327"/>
      <c r="X87" s="66"/>
      <c r="Y87" s="67"/>
      <c r="Z87" s="66"/>
      <c r="AA87" s="67"/>
      <c r="AB87" s="66"/>
      <c r="AC87" s="67"/>
      <c r="AD87" s="66"/>
      <c r="AE87" s="67"/>
      <c r="AF87" s="66"/>
      <c r="AG87" s="67"/>
      <c r="AH87" s="66"/>
      <c r="AI87" s="67"/>
      <c r="AJ87" s="68"/>
      <c r="AK87" s="69"/>
      <c r="AL87" s="68"/>
      <c r="AM87" s="69"/>
      <c r="AN87" s="68"/>
      <c r="AO87" s="69"/>
      <c r="AP87" s="68"/>
      <c r="AQ87" s="69"/>
      <c r="AR87" s="68"/>
      <c r="AS87" s="642" t="s">
        <v>303</v>
      </c>
      <c r="AT87" s="326"/>
      <c r="AU87" s="326"/>
      <c r="AV87" s="326"/>
      <c r="AW87" s="326"/>
      <c r="AX87" s="326"/>
      <c r="AY87" s="327"/>
      <c r="AZ87" s="70"/>
      <c r="BA87" s="70"/>
      <c r="BB87" s="643" t="s">
        <v>334</v>
      </c>
      <c r="BC87" s="327"/>
      <c r="BD87" s="645" t="s">
        <v>303</v>
      </c>
      <c r="BE87" s="326"/>
      <c r="BF87" s="327"/>
      <c r="BG87" s="646" t="s">
        <v>303</v>
      </c>
      <c r="BH87" s="326"/>
      <c r="BI87" s="326"/>
      <c r="BJ87" s="327"/>
      <c r="BK87" s="647" t="s">
        <v>505</v>
      </c>
      <c r="BL87" s="326"/>
      <c r="BM87" s="327"/>
      <c r="BN87" s="71"/>
      <c r="BO87" s="71"/>
      <c r="BP87" s="646"/>
      <c r="BQ87" s="326"/>
      <c r="BR87" s="327"/>
      <c r="BS87" s="645" t="s">
        <v>303</v>
      </c>
      <c r="BT87" s="326"/>
      <c r="BU87" s="327"/>
    </row>
    <row r="88" spans="1:73" ht="30" customHeight="1" x14ac:dyDescent="0.25">
      <c r="A88" s="65">
        <f t="shared" si="0"/>
        <v>74</v>
      </c>
      <c r="B88" s="639" t="s">
        <v>334</v>
      </c>
      <c r="C88" s="327"/>
      <c r="D88" s="640" t="s">
        <v>303</v>
      </c>
      <c r="E88" s="326"/>
      <c r="F88" s="326"/>
      <c r="G88" s="327"/>
      <c r="H88" s="641" t="s">
        <v>303</v>
      </c>
      <c r="I88" s="326"/>
      <c r="J88" s="326"/>
      <c r="K88" s="327"/>
      <c r="L88" s="438" t="s">
        <v>303</v>
      </c>
      <c r="M88" s="326"/>
      <c r="N88" s="327"/>
      <c r="O88" s="519" t="s">
        <v>303</v>
      </c>
      <c r="P88" s="326"/>
      <c r="Q88" s="327"/>
      <c r="R88" s="527"/>
      <c r="S88" s="326"/>
      <c r="T88" s="327"/>
      <c r="U88" s="497"/>
      <c r="V88" s="326"/>
      <c r="W88" s="327"/>
      <c r="X88" s="66"/>
      <c r="Y88" s="67"/>
      <c r="Z88" s="66"/>
      <c r="AA88" s="67"/>
      <c r="AB88" s="66"/>
      <c r="AC88" s="67"/>
      <c r="AD88" s="66"/>
      <c r="AE88" s="67"/>
      <c r="AF88" s="66"/>
      <c r="AG88" s="67"/>
      <c r="AH88" s="66"/>
      <c r="AI88" s="67"/>
      <c r="AJ88" s="68"/>
      <c r="AK88" s="69"/>
      <c r="AL88" s="68"/>
      <c r="AM88" s="69"/>
      <c r="AN88" s="68"/>
      <c r="AO88" s="69"/>
      <c r="AP88" s="68"/>
      <c r="AQ88" s="69"/>
      <c r="AR88" s="68"/>
      <c r="AS88" s="642" t="s">
        <v>303</v>
      </c>
      <c r="AT88" s="326"/>
      <c r="AU88" s="326"/>
      <c r="AV88" s="326"/>
      <c r="AW88" s="326"/>
      <c r="AX88" s="326"/>
      <c r="AY88" s="327"/>
      <c r="AZ88" s="70"/>
      <c r="BA88" s="70"/>
      <c r="BB88" s="643" t="s">
        <v>334</v>
      </c>
      <c r="BC88" s="327"/>
      <c r="BD88" s="645" t="s">
        <v>303</v>
      </c>
      <c r="BE88" s="326"/>
      <c r="BF88" s="327"/>
      <c r="BG88" s="646" t="s">
        <v>303</v>
      </c>
      <c r="BH88" s="326"/>
      <c r="BI88" s="326"/>
      <c r="BJ88" s="327"/>
      <c r="BK88" s="647" t="s">
        <v>505</v>
      </c>
      <c r="BL88" s="326"/>
      <c r="BM88" s="327"/>
      <c r="BN88" s="71"/>
      <c r="BO88" s="71"/>
      <c r="BP88" s="646"/>
      <c r="BQ88" s="326"/>
      <c r="BR88" s="327"/>
      <c r="BS88" s="645" t="s">
        <v>303</v>
      </c>
      <c r="BT88" s="326"/>
      <c r="BU88" s="327"/>
    </row>
    <row r="89" spans="1:73" ht="30" customHeight="1" x14ac:dyDescent="0.25">
      <c r="A89" s="65">
        <f t="shared" si="0"/>
        <v>75</v>
      </c>
      <c r="B89" s="639" t="s">
        <v>334</v>
      </c>
      <c r="C89" s="327"/>
      <c r="D89" s="640" t="s">
        <v>303</v>
      </c>
      <c r="E89" s="326"/>
      <c r="F89" s="326"/>
      <c r="G89" s="327"/>
      <c r="H89" s="641" t="s">
        <v>303</v>
      </c>
      <c r="I89" s="326"/>
      <c r="J89" s="326"/>
      <c r="K89" s="327"/>
      <c r="L89" s="438" t="s">
        <v>303</v>
      </c>
      <c r="M89" s="326"/>
      <c r="N89" s="327"/>
      <c r="O89" s="519" t="s">
        <v>303</v>
      </c>
      <c r="P89" s="326"/>
      <c r="Q89" s="327"/>
      <c r="R89" s="527"/>
      <c r="S89" s="326"/>
      <c r="T89" s="327"/>
      <c r="U89" s="497"/>
      <c r="V89" s="326"/>
      <c r="W89" s="327"/>
      <c r="X89" s="66"/>
      <c r="Y89" s="67"/>
      <c r="Z89" s="66"/>
      <c r="AA89" s="67"/>
      <c r="AB89" s="66"/>
      <c r="AC89" s="67"/>
      <c r="AD89" s="66"/>
      <c r="AE89" s="67"/>
      <c r="AF89" s="66"/>
      <c r="AG89" s="67"/>
      <c r="AH89" s="66"/>
      <c r="AI89" s="67"/>
      <c r="AJ89" s="68"/>
      <c r="AK89" s="69"/>
      <c r="AL89" s="68"/>
      <c r="AM89" s="69"/>
      <c r="AN89" s="68"/>
      <c r="AO89" s="69"/>
      <c r="AP89" s="68"/>
      <c r="AQ89" s="69"/>
      <c r="AR89" s="68"/>
      <c r="AS89" s="642" t="s">
        <v>303</v>
      </c>
      <c r="AT89" s="326"/>
      <c r="AU89" s="326"/>
      <c r="AV89" s="326"/>
      <c r="AW89" s="326"/>
      <c r="AX89" s="326"/>
      <c r="AY89" s="327"/>
      <c r="AZ89" s="70"/>
      <c r="BA89" s="70"/>
      <c r="BB89" s="643" t="s">
        <v>334</v>
      </c>
      <c r="BC89" s="327"/>
      <c r="BD89" s="645" t="s">
        <v>303</v>
      </c>
      <c r="BE89" s="326"/>
      <c r="BF89" s="327"/>
      <c r="BG89" s="646" t="s">
        <v>303</v>
      </c>
      <c r="BH89" s="326"/>
      <c r="BI89" s="326"/>
      <c r="BJ89" s="327"/>
      <c r="BK89" s="647" t="s">
        <v>505</v>
      </c>
      <c r="BL89" s="326"/>
      <c r="BM89" s="327"/>
      <c r="BN89" s="71"/>
      <c r="BO89" s="71"/>
      <c r="BP89" s="646"/>
      <c r="BQ89" s="326"/>
      <c r="BR89" s="327"/>
      <c r="BS89" s="645" t="s">
        <v>303</v>
      </c>
      <c r="BT89" s="326"/>
      <c r="BU89" s="327"/>
    </row>
    <row r="90" spans="1:73" ht="30" customHeight="1" x14ac:dyDescent="0.25">
      <c r="A90" s="65">
        <f t="shared" si="0"/>
        <v>76</v>
      </c>
      <c r="B90" s="639" t="s">
        <v>334</v>
      </c>
      <c r="C90" s="327"/>
      <c r="D90" s="640" t="s">
        <v>303</v>
      </c>
      <c r="E90" s="326"/>
      <c r="F90" s="326"/>
      <c r="G90" s="327"/>
      <c r="H90" s="641" t="s">
        <v>303</v>
      </c>
      <c r="I90" s="326"/>
      <c r="J90" s="326"/>
      <c r="K90" s="327"/>
      <c r="L90" s="438" t="s">
        <v>303</v>
      </c>
      <c r="M90" s="326"/>
      <c r="N90" s="327"/>
      <c r="O90" s="519" t="s">
        <v>303</v>
      </c>
      <c r="P90" s="326"/>
      <c r="Q90" s="327"/>
      <c r="R90" s="527"/>
      <c r="S90" s="326"/>
      <c r="T90" s="327"/>
      <c r="U90" s="497"/>
      <c r="V90" s="326"/>
      <c r="W90" s="327"/>
      <c r="X90" s="66"/>
      <c r="Y90" s="67"/>
      <c r="Z90" s="66"/>
      <c r="AA90" s="67"/>
      <c r="AB90" s="66"/>
      <c r="AC90" s="67"/>
      <c r="AD90" s="66"/>
      <c r="AE90" s="67"/>
      <c r="AF90" s="66"/>
      <c r="AG90" s="67"/>
      <c r="AH90" s="66"/>
      <c r="AI90" s="67"/>
      <c r="AJ90" s="68"/>
      <c r="AK90" s="69"/>
      <c r="AL90" s="68"/>
      <c r="AM90" s="69"/>
      <c r="AN90" s="68"/>
      <c r="AO90" s="69"/>
      <c r="AP90" s="68"/>
      <c r="AQ90" s="69"/>
      <c r="AR90" s="68"/>
      <c r="AS90" s="642" t="s">
        <v>303</v>
      </c>
      <c r="AT90" s="326"/>
      <c r="AU90" s="326"/>
      <c r="AV90" s="326"/>
      <c r="AW90" s="326"/>
      <c r="AX90" s="326"/>
      <c r="AY90" s="327"/>
      <c r="AZ90" s="70"/>
      <c r="BA90" s="70"/>
      <c r="BB90" s="643" t="s">
        <v>334</v>
      </c>
      <c r="BC90" s="327"/>
      <c r="BD90" s="645" t="s">
        <v>303</v>
      </c>
      <c r="BE90" s="326"/>
      <c r="BF90" s="327"/>
      <c r="BG90" s="646" t="s">
        <v>303</v>
      </c>
      <c r="BH90" s="326"/>
      <c r="BI90" s="326"/>
      <c r="BJ90" s="327"/>
      <c r="BK90" s="647" t="s">
        <v>505</v>
      </c>
      <c r="BL90" s="326"/>
      <c r="BM90" s="327"/>
      <c r="BN90" s="71"/>
      <c r="BO90" s="71"/>
      <c r="BP90" s="646"/>
      <c r="BQ90" s="326"/>
      <c r="BR90" s="327"/>
      <c r="BS90" s="645" t="s">
        <v>303</v>
      </c>
      <c r="BT90" s="326"/>
      <c r="BU90" s="327"/>
    </row>
    <row r="91" spans="1:73" ht="30" customHeight="1" x14ac:dyDescent="0.25">
      <c r="A91" s="65">
        <f t="shared" si="0"/>
        <v>77</v>
      </c>
      <c r="B91" s="639" t="s">
        <v>334</v>
      </c>
      <c r="C91" s="327"/>
      <c r="D91" s="640" t="s">
        <v>303</v>
      </c>
      <c r="E91" s="326"/>
      <c r="F91" s="326"/>
      <c r="G91" s="327"/>
      <c r="H91" s="641" t="s">
        <v>303</v>
      </c>
      <c r="I91" s="326"/>
      <c r="J91" s="326"/>
      <c r="K91" s="327"/>
      <c r="L91" s="438" t="s">
        <v>303</v>
      </c>
      <c r="M91" s="326"/>
      <c r="N91" s="327"/>
      <c r="O91" s="519" t="s">
        <v>303</v>
      </c>
      <c r="P91" s="326"/>
      <c r="Q91" s="327"/>
      <c r="R91" s="527"/>
      <c r="S91" s="326"/>
      <c r="T91" s="327"/>
      <c r="U91" s="497"/>
      <c r="V91" s="326"/>
      <c r="W91" s="327"/>
      <c r="X91" s="66"/>
      <c r="Y91" s="67"/>
      <c r="Z91" s="66"/>
      <c r="AA91" s="67"/>
      <c r="AB91" s="66"/>
      <c r="AC91" s="67"/>
      <c r="AD91" s="66"/>
      <c r="AE91" s="67"/>
      <c r="AF91" s="66"/>
      <c r="AG91" s="67"/>
      <c r="AH91" s="66"/>
      <c r="AI91" s="67"/>
      <c r="AJ91" s="68"/>
      <c r="AK91" s="69"/>
      <c r="AL91" s="68"/>
      <c r="AM91" s="69"/>
      <c r="AN91" s="68"/>
      <c r="AO91" s="69"/>
      <c r="AP91" s="68"/>
      <c r="AQ91" s="69"/>
      <c r="AR91" s="68"/>
      <c r="AS91" s="642" t="s">
        <v>303</v>
      </c>
      <c r="AT91" s="326"/>
      <c r="AU91" s="326"/>
      <c r="AV91" s="326"/>
      <c r="AW91" s="326"/>
      <c r="AX91" s="326"/>
      <c r="AY91" s="327"/>
      <c r="AZ91" s="70"/>
      <c r="BA91" s="70"/>
      <c r="BB91" s="643" t="s">
        <v>334</v>
      </c>
      <c r="BC91" s="327"/>
      <c r="BD91" s="645" t="s">
        <v>303</v>
      </c>
      <c r="BE91" s="326"/>
      <c r="BF91" s="327"/>
      <c r="BG91" s="646" t="s">
        <v>303</v>
      </c>
      <c r="BH91" s="326"/>
      <c r="BI91" s="326"/>
      <c r="BJ91" s="327"/>
      <c r="BK91" s="647" t="s">
        <v>505</v>
      </c>
      <c r="BL91" s="326"/>
      <c r="BM91" s="327"/>
      <c r="BN91" s="71"/>
      <c r="BO91" s="71"/>
      <c r="BP91" s="646"/>
      <c r="BQ91" s="326"/>
      <c r="BR91" s="327"/>
      <c r="BS91" s="645" t="s">
        <v>303</v>
      </c>
      <c r="BT91" s="326"/>
      <c r="BU91" s="327"/>
    </row>
    <row r="92" spans="1:73" ht="30" customHeight="1" x14ac:dyDescent="0.25">
      <c r="A92" s="65">
        <f t="shared" si="0"/>
        <v>78</v>
      </c>
      <c r="B92" s="639" t="s">
        <v>334</v>
      </c>
      <c r="C92" s="327"/>
      <c r="D92" s="640" t="s">
        <v>303</v>
      </c>
      <c r="E92" s="326"/>
      <c r="F92" s="326"/>
      <c r="G92" s="327"/>
      <c r="H92" s="641" t="s">
        <v>303</v>
      </c>
      <c r="I92" s="326"/>
      <c r="J92" s="326"/>
      <c r="K92" s="327"/>
      <c r="L92" s="438" t="s">
        <v>303</v>
      </c>
      <c r="M92" s="326"/>
      <c r="N92" s="327"/>
      <c r="O92" s="519" t="s">
        <v>303</v>
      </c>
      <c r="P92" s="326"/>
      <c r="Q92" s="327"/>
      <c r="R92" s="527"/>
      <c r="S92" s="326"/>
      <c r="T92" s="327"/>
      <c r="U92" s="497"/>
      <c r="V92" s="326"/>
      <c r="W92" s="327"/>
      <c r="X92" s="66"/>
      <c r="Y92" s="67"/>
      <c r="Z92" s="66"/>
      <c r="AA92" s="67"/>
      <c r="AB92" s="66"/>
      <c r="AC92" s="67"/>
      <c r="AD92" s="66"/>
      <c r="AE92" s="67"/>
      <c r="AF92" s="66"/>
      <c r="AG92" s="67"/>
      <c r="AH92" s="66"/>
      <c r="AI92" s="67"/>
      <c r="AJ92" s="68"/>
      <c r="AK92" s="69"/>
      <c r="AL92" s="68"/>
      <c r="AM92" s="69"/>
      <c r="AN92" s="68"/>
      <c r="AO92" s="69"/>
      <c r="AP92" s="68"/>
      <c r="AQ92" s="69"/>
      <c r="AR92" s="68"/>
      <c r="AS92" s="642" t="s">
        <v>303</v>
      </c>
      <c r="AT92" s="326"/>
      <c r="AU92" s="326"/>
      <c r="AV92" s="326"/>
      <c r="AW92" s="326"/>
      <c r="AX92" s="326"/>
      <c r="AY92" s="327"/>
      <c r="AZ92" s="70"/>
      <c r="BA92" s="70"/>
      <c r="BB92" s="644" t="s">
        <v>334</v>
      </c>
      <c r="BC92" s="327"/>
      <c r="BD92" s="645" t="s">
        <v>303</v>
      </c>
      <c r="BE92" s="326"/>
      <c r="BF92" s="327"/>
      <c r="BG92" s="646" t="s">
        <v>303</v>
      </c>
      <c r="BH92" s="326"/>
      <c r="BI92" s="326"/>
      <c r="BJ92" s="327"/>
      <c r="BK92" s="647" t="s">
        <v>505</v>
      </c>
      <c r="BL92" s="326"/>
      <c r="BM92" s="327"/>
      <c r="BN92" s="71"/>
      <c r="BO92" s="71"/>
      <c r="BP92" s="646"/>
      <c r="BQ92" s="326"/>
      <c r="BR92" s="327"/>
      <c r="BS92" s="645" t="s">
        <v>303</v>
      </c>
      <c r="BT92" s="326"/>
      <c r="BU92" s="327"/>
    </row>
    <row r="93" spans="1:73" ht="30" customHeight="1" x14ac:dyDescent="0.25">
      <c r="A93" s="65">
        <f t="shared" si="0"/>
        <v>79</v>
      </c>
      <c r="B93" s="639" t="s">
        <v>334</v>
      </c>
      <c r="C93" s="327"/>
      <c r="D93" s="640" t="s">
        <v>303</v>
      </c>
      <c r="E93" s="326"/>
      <c r="F93" s="326"/>
      <c r="G93" s="327"/>
      <c r="H93" s="641" t="s">
        <v>303</v>
      </c>
      <c r="I93" s="326"/>
      <c r="J93" s="326"/>
      <c r="K93" s="327"/>
      <c r="L93" s="438" t="s">
        <v>303</v>
      </c>
      <c r="M93" s="326"/>
      <c r="N93" s="327"/>
      <c r="O93" s="519" t="s">
        <v>303</v>
      </c>
      <c r="P93" s="326"/>
      <c r="Q93" s="327"/>
      <c r="R93" s="527"/>
      <c r="S93" s="326"/>
      <c r="T93" s="327"/>
      <c r="U93" s="497"/>
      <c r="V93" s="326"/>
      <c r="W93" s="327"/>
      <c r="X93" s="66"/>
      <c r="Y93" s="67"/>
      <c r="Z93" s="66"/>
      <c r="AA93" s="67"/>
      <c r="AB93" s="66"/>
      <c r="AC93" s="67"/>
      <c r="AD93" s="66"/>
      <c r="AE93" s="67"/>
      <c r="AF93" s="66"/>
      <c r="AG93" s="67"/>
      <c r="AH93" s="66"/>
      <c r="AI93" s="67"/>
      <c r="AJ93" s="68"/>
      <c r="AK93" s="69"/>
      <c r="AL93" s="68"/>
      <c r="AM93" s="69"/>
      <c r="AN93" s="68"/>
      <c r="AO93" s="69"/>
      <c r="AP93" s="68"/>
      <c r="AQ93" s="69"/>
      <c r="AR93" s="68"/>
      <c r="AS93" s="642" t="s">
        <v>303</v>
      </c>
      <c r="AT93" s="326"/>
      <c r="AU93" s="326"/>
      <c r="AV93" s="326"/>
      <c r="AW93" s="326"/>
      <c r="AX93" s="326"/>
      <c r="AY93" s="327"/>
      <c r="AZ93" s="70"/>
      <c r="BA93" s="70"/>
      <c r="BB93" s="643" t="s">
        <v>334</v>
      </c>
      <c r="BC93" s="327"/>
      <c r="BD93" s="645" t="s">
        <v>303</v>
      </c>
      <c r="BE93" s="326"/>
      <c r="BF93" s="327"/>
      <c r="BG93" s="646" t="s">
        <v>303</v>
      </c>
      <c r="BH93" s="326"/>
      <c r="BI93" s="326"/>
      <c r="BJ93" s="327"/>
      <c r="BK93" s="647" t="s">
        <v>505</v>
      </c>
      <c r="BL93" s="326"/>
      <c r="BM93" s="327"/>
      <c r="BN93" s="71"/>
      <c r="BO93" s="71"/>
      <c r="BP93" s="646"/>
      <c r="BQ93" s="326"/>
      <c r="BR93" s="327"/>
      <c r="BS93" s="645" t="s">
        <v>303</v>
      </c>
      <c r="BT93" s="326"/>
      <c r="BU93" s="327"/>
    </row>
    <row r="94" spans="1:73" ht="30" customHeight="1" x14ac:dyDescent="0.25">
      <c r="A94" s="65">
        <f t="shared" si="0"/>
        <v>80</v>
      </c>
      <c r="B94" s="639" t="s">
        <v>334</v>
      </c>
      <c r="C94" s="327"/>
      <c r="D94" s="640" t="s">
        <v>303</v>
      </c>
      <c r="E94" s="326"/>
      <c r="F94" s="326"/>
      <c r="G94" s="327"/>
      <c r="H94" s="641" t="s">
        <v>303</v>
      </c>
      <c r="I94" s="326"/>
      <c r="J94" s="326"/>
      <c r="K94" s="327"/>
      <c r="L94" s="438" t="s">
        <v>303</v>
      </c>
      <c r="M94" s="326"/>
      <c r="N94" s="327"/>
      <c r="O94" s="519" t="s">
        <v>303</v>
      </c>
      <c r="P94" s="326"/>
      <c r="Q94" s="327"/>
      <c r="R94" s="527"/>
      <c r="S94" s="326"/>
      <c r="T94" s="327"/>
      <c r="U94" s="497"/>
      <c r="V94" s="326"/>
      <c r="W94" s="327"/>
      <c r="X94" s="66"/>
      <c r="Y94" s="67"/>
      <c r="Z94" s="66"/>
      <c r="AA94" s="67"/>
      <c r="AB94" s="66"/>
      <c r="AC94" s="67"/>
      <c r="AD94" s="66"/>
      <c r="AE94" s="67"/>
      <c r="AF94" s="66"/>
      <c r="AG94" s="67"/>
      <c r="AH94" s="66"/>
      <c r="AI94" s="67"/>
      <c r="AJ94" s="68"/>
      <c r="AK94" s="69"/>
      <c r="AL94" s="68"/>
      <c r="AM94" s="69"/>
      <c r="AN94" s="68"/>
      <c r="AO94" s="69"/>
      <c r="AP94" s="68"/>
      <c r="AQ94" s="69"/>
      <c r="AR94" s="68"/>
      <c r="AS94" s="642" t="s">
        <v>303</v>
      </c>
      <c r="AT94" s="326"/>
      <c r="AU94" s="326"/>
      <c r="AV94" s="326"/>
      <c r="AW94" s="326"/>
      <c r="AX94" s="326"/>
      <c r="AY94" s="327"/>
      <c r="AZ94" s="70"/>
      <c r="BA94" s="70"/>
      <c r="BB94" s="643" t="s">
        <v>334</v>
      </c>
      <c r="BC94" s="327"/>
      <c r="BD94" s="645" t="s">
        <v>303</v>
      </c>
      <c r="BE94" s="326"/>
      <c r="BF94" s="327"/>
      <c r="BG94" s="646" t="s">
        <v>303</v>
      </c>
      <c r="BH94" s="326"/>
      <c r="BI94" s="326"/>
      <c r="BJ94" s="327"/>
      <c r="BK94" s="647" t="s">
        <v>505</v>
      </c>
      <c r="BL94" s="326"/>
      <c r="BM94" s="327"/>
      <c r="BN94" s="71"/>
      <c r="BO94" s="71"/>
      <c r="BP94" s="646"/>
      <c r="BQ94" s="326"/>
      <c r="BR94" s="327"/>
      <c r="BS94" s="645" t="s">
        <v>303</v>
      </c>
      <c r="BT94" s="326"/>
      <c r="BU94" s="327"/>
    </row>
    <row r="95" spans="1:73" ht="30" customHeight="1" x14ac:dyDescent="0.25">
      <c r="A95" s="65">
        <f t="shared" si="0"/>
        <v>81</v>
      </c>
      <c r="B95" s="639" t="s">
        <v>334</v>
      </c>
      <c r="C95" s="327"/>
      <c r="D95" s="640" t="s">
        <v>303</v>
      </c>
      <c r="E95" s="326"/>
      <c r="F95" s="326"/>
      <c r="G95" s="327"/>
      <c r="H95" s="641" t="s">
        <v>303</v>
      </c>
      <c r="I95" s="326"/>
      <c r="J95" s="326"/>
      <c r="K95" s="327"/>
      <c r="L95" s="438" t="s">
        <v>303</v>
      </c>
      <c r="M95" s="326"/>
      <c r="N95" s="327"/>
      <c r="O95" s="519" t="s">
        <v>303</v>
      </c>
      <c r="P95" s="326"/>
      <c r="Q95" s="327"/>
      <c r="R95" s="527"/>
      <c r="S95" s="326"/>
      <c r="T95" s="327"/>
      <c r="U95" s="497"/>
      <c r="V95" s="326"/>
      <c r="W95" s="327"/>
      <c r="X95" s="66"/>
      <c r="Y95" s="67"/>
      <c r="Z95" s="66"/>
      <c r="AA95" s="67"/>
      <c r="AB95" s="66"/>
      <c r="AC95" s="67"/>
      <c r="AD95" s="66"/>
      <c r="AE95" s="67"/>
      <c r="AF95" s="66"/>
      <c r="AG95" s="67"/>
      <c r="AH95" s="66"/>
      <c r="AI95" s="67"/>
      <c r="AJ95" s="68"/>
      <c r="AK95" s="69"/>
      <c r="AL95" s="68"/>
      <c r="AM95" s="69"/>
      <c r="AN95" s="68"/>
      <c r="AO95" s="69"/>
      <c r="AP95" s="68"/>
      <c r="AQ95" s="69"/>
      <c r="AR95" s="68"/>
      <c r="AS95" s="642" t="s">
        <v>303</v>
      </c>
      <c r="AT95" s="326"/>
      <c r="AU95" s="326"/>
      <c r="AV95" s="326"/>
      <c r="AW95" s="326"/>
      <c r="AX95" s="326"/>
      <c r="AY95" s="327"/>
      <c r="AZ95" s="70"/>
      <c r="BA95" s="70"/>
      <c r="BB95" s="643" t="s">
        <v>334</v>
      </c>
      <c r="BC95" s="327"/>
      <c r="BD95" s="645" t="s">
        <v>303</v>
      </c>
      <c r="BE95" s="326"/>
      <c r="BF95" s="327"/>
      <c r="BG95" s="646" t="s">
        <v>303</v>
      </c>
      <c r="BH95" s="326"/>
      <c r="BI95" s="326"/>
      <c r="BJ95" s="327"/>
      <c r="BK95" s="647" t="s">
        <v>505</v>
      </c>
      <c r="BL95" s="326"/>
      <c r="BM95" s="327"/>
      <c r="BN95" s="71"/>
      <c r="BO95" s="71"/>
      <c r="BP95" s="646"/>
      <c r="BQ95" s="326"/>
      <c r="BR95" s="327"/>
      <c r="BS95" s="645" t="s">
        <v>303</v>
      </c>
      <c r="BT95" s="326"/>
      <c r="BU95" s="327"/>
    </row>
    <row r="96" spans="1:73" ht="30" customHeight="1" x14ac:dyDescent="0.25">
      <c r="A96" s="65">
        <f t="shared" si="0"/>
        <v>82</v>
      </c>
      <c r="B96" s="639" t="s">
        <v>334</v>
      </c>
      <c r="C96" s="327"/>
      <c r="D96" s="640" t="s">
        <v>303</v>
      </c>
      <c r="E96" s="326"/>
      <c r="F96" s="326"/>
      <c r="G96" s="327"/>
      <c r="H96" s="641" t="s">
        <v>303</v>
      </c>
      <c r="I96" s="326"/>
      <c r="J96" s="326"/>
      <c r="K96" s="327"/>
      <c r="L96" s="438" t="s">
        <v>303</v>
      </c>
      <c r="M96" s="326"/>
      <c r="N96" s="327"/>
      <c r="O96" s="519" t="s">
        <v>303</v>
      </c>
      <c r="P96" s="326"/>
      <c r="Q96" s="327"/>
      <c r="R96" s="527"/>
      <c r="S96" s="326"/>
      <c r="T96" s="327"/>
      <c r="U96" s="497"/>
      <c r="V96" s="326"/>
      <c r="W96" s="327"/>
      <c r="X96" s="66"/>
      <c r="Y96" s="67"/>
      <c r="Z96" s="66"/>
      <c r="AA96" s="67"/>
      <c r="AB96" s="66"/>
      <c r="AC96" s="67"/>
      <c r="AD96" s="66"/>
      <c r="AE96" s="67"/>
      <c r="AF96" s="66"/>
      <c r="AG96" s="67"/>
      <c r="AH96" s="66"/>
      <c r="AI96" s="67"/>
      <c r="AJ96" s="68"/>
      <c r="AK96" s="69"/>
      <c r="AL96" s="68"/>
      <c r="AM96" s="69"/>
      <c r="AN96" s="68"/>
      <c r="AO96" s="69"/>
      <c r="AP96" s="68"/>
      <c r="AQ96" s="69"/>
      <c r="AR96" s="68"/>
      <c r="AS96" s="642" t="s">
        <v>303</v>
      </c>
      <c r="AT96" s="326"/>
      <c r="AU96" s="326"/>
      <c r="AV96" s="326"/>
      <c r="AW96" s="326"/>
      <c r="AX96" s="326"/>
      <c r="AY96" s="327"/>
      <c r="AZ96" s="70"/>
      <c r="BA96" s="70"/>
      <c r="BB96" s="643" t="s">
        <v>334</v>
      </c>
      <c r="BC96" s="327"/>
      <c r="BD96" s="645" t="s">
        <v>303</v>
      </c>
      <c r="BE96" s="326"/>
      <c r="BF96" s="327"/>
      <c r="BG96" s="646" t="s">
        <v>303</v>
      </c>
      <c r="BH96" s="326"/>
      <c r="BI96" s="326"/>
      <c r="BJ96" s="327"/>
      <c r="BK96" s="647" t="s">
        <v>505</v>
      </c>
      <c r="BL96" s="326"/>
      <c r="BM96" s="327"/>
      <c r="BN96" s="71"/>
      <c r="BO96" s="71"/>
      <c r="BP96" s="646"/>
      <c r="BQ96" s="326"/>
      <c r="BR96" s="327"/>
      <c r="BS96" s="645" t="s">
        <v>303</v>
      </c>
      <c r="BT96" s="326"/>
      <c r="BU96" s="327"/>
    </row>
    <row r="97" spans="1:73" ht="30" customHeight="1" x14ac:dyDescent="0.25">
      <c r="A97" s="65">
        <f t="shared" si="0"/>
        <v>83</v>
      </c>
      <c r="B97" s="639" t="s">
        <v>334</v>
      </c>
      <c r="C97" s="327"/>
      <c r="D97" s="640" t="s">
        <v>303</v>
      </c>
      <c r="E97" s="326"/>
      <c r="F97" s="326"/>
      <c r="G97" s="327"/>
      <c r="H97" s="641" t="s">
        <v>303</v>
      </c>
      <c r="I97" s="326"/>
      <c r="J97" s="326"/>
      <c r="K97" s="327"/>
      <c r="L97" s="438" t="s">
        <v>303</v>
      </c>
      <c r="M97" s="326"/>
      <c r="N97" s="327"/>
      <c r="O97" s="519" t="s">
        <v>303</v>
      </c>
      <c r="P97" s="326"/>
      <c r="Q97" s="327"/>
      <c r="R97" s="527"/>
      <c r="S97" s="326"/>
      <c r="T97" s="327"/>
      <c r="U97" s="497"/>
      <c r="V97" s="326"/>
      <c r="W97" s="327"/>
      <c r="X97" s="66"/>
      <c r="Y97" s="67"/>
      <c r="Z97" s="66"/>
      <c r="AA97" s="67"/>
      <c r="AB97" s="66"/>
      <c r="AC97" s="67"/>
      <c r="AD97" s="66"/>
      <c r="AE97" s="67"/>
      <c r="AF97" s="66"/>
      <c r="AG97" s="67"/>
      <c r="AH97" s="66"/>
      <c r="AI97" s="67"/>
      <c r="AJ97" s="68"/>
      <c r="AK97" s="69"/>
      <c r="AL97" s="68"/>
      <c r="AM97" s="69"/>
      <c r="AN97" s="68"/>
      <c r="AO97" s="69"/>
      <c r="AP97" s="68"/>
      <c r="AQ97" s="69"/>
      <c r="AR97" s="68"/>
      <c r="AS97" s="642" t="s">
        <v>303</v>
      </c>
      <c r="AT97" s="326"/>
      <c r="AU97" s="326"/>
      <c r="AV97" s="326"/>
      <c r="AW97" s="326"/>
      <c r="AX97" s="326"/>
      <c r="AY97" s="327"/>
      <c r="AZ97" s="70"/>
      <c r="BA97" s="70"/>
      <c r="BB97" s="643" t="s">
        <v>334</v>
      </c>
      <c r="BC97" s="327"/>
      <c r="BD97" s="645" t="s">
        <v>303</v>
      </c>
      <c r="BE97" s="326"/>
      <c r="BF97" s="327"/>
      <c r="BG97" s="646" t="s">
        <v>303</v>
      </c>
      <c r="BH97" s="326"/>
      <c r="BI97" s="326"/>
      <c r="BJ97" s="327"/>
      <c r="BK97" s="647" t="s">
        <v>505</v>
      </c>
      <c r="BL97" s="326"/>
      <c r="BM97" s="327"/>
      <c r="BN97" s="71"/>
      <c r="BO97" s="71"/>
      <c r="BP97" s="646"/>
      <c r="BQ97" s="326"/>
      <c r="BR97" s="327"/>
      <c r="BS97" s="645" t="s">
        <v>303</v>
      </c>
      <c r="BT97" s="326"/>
      <c r="BU97" s="327"/>
    </row>
    <row r="98" spans="1:73" ht="30" customHeight="1" x14ac:dyDescent="0.25">
      <c r="A98" s="65">
        <f t="shared" si="0"/>
        <v>84</v>
      </c>
      <c r="B98" s="639" t="s">
        <v>334</v>
      </c>
      <c r="C98" s="327"/>
      <c r="D98" s="640" t="s">
        <v>303</v>
      </c>
      <c r="E98" s="326"/>
      <c r="F98" s="326"/>
      <c r="G98" s="327"/>
      <c r="H98" s="641" t="s">
        <v>303</v>
      </c>
      <c r="I98" s="326"/>
      <c r="J98" s="326"/>
      <c r="K98" s="327"/>
      <c r="L98" s="438" t="s">
        <v>303</v>
      </c>
      <c r="M98" s="326"/>
      <c r="N98" s="327"/>
      <c r="O98" s="519" t="s">
        <v>303</v>
      </c>
      <c r="P98" s="326"/>
      <c r="Q98" s="327"/>
      <c r="R98" s="527"/>
      <c r="S98" s="326"/>
      <c r="T98" s="327"/>
      <c r="U98" s="497"/>
      <c r="V98" s="326"/>
      <c r="W98" s="327"/>
      <c r="X98" s="66"/>
      <c r="Y98" s="67"/>
      <c r="Z98" s="66"/>
      <c r="AA98" s="67"/>
      <c r="AB98" s="66"/>
      <c r="AC98" s="67"/>
      <c r="AD98" s="66"/>
      <c r="AE98" s="67"/>
      <c r="AF98" s="66"/>
      <c r="AG98" s="67"/>
      <c r="AH98" s="66"/>
      <c r="AI98" s="67"/>
      <c r="AJ98" s="68"/>
      <c r="AK98" s="69"/>
      <c r="AL98" s="68"/>
      <c r="AM98" s="69"/>
      <c r="AN98" s="68"/>
      <c r="AO98" s="69"/>
      <c r="AP98" s="68"/>
      <c r="AQ98" s="69"/>
      <c r="AR98" s="68"/>
      <c r="AS98" s="642" t="s">
        <v>303</v>
      </c>
      <c r="AT98" s="326"/>
      <c r="AU98" s="326"/>
      <c r="AV98" s="326"/>
      <c r="AW98" s="326"/>
      <c r="AX98" s="326"/>
      <c r="AY98" s="327"/>
      <c r="AZ98" s="70"/>
      <c r="BA98" s="70"/>
      <c r="BB98" s="643" t="s">
        <v>334</v>
      </c>
      <c r="BC98" s="327"/>
      <c r="BD98" s="645" t="s">
        <v>303</v>
      </c>
      <c r="BE98" s="326"/>
      <c r="BF98" s="327"/>
      <c r="BG98" s="646" t="s">
        <v>303</v>
      </c>
      <c r="BH98" s="326"/>
      <c r="BI98" s="326"/>
      <c r="BJ98" s="327"/>
      <c r="BK98" s="647" t="s">
        <v>505</v>
      </c>
      <c r="BL98" s="326"/>
      <c r="BM98" s="327"/>
      <c r="BN98" s="71"/>
      <c r="BO98" s="71"/>
      <c r="BP98" s="646"/>
      <c r="BQ98" s="326"/>
      <c r="BR98" s="327"/>
      <c r="BS98" s="645" t="s">
        <v>303</v>
      </c>
      <c r="BT98" s="326"/>
      <c r="BU98" s="327"/>
    </row>
    <row r="99" spans="1:73" ht="30" customHeight="1" x14ac:dyDescent="0.25">
      <c r="A99" s="65">
        <f t="shared" si="0"/>
        <v>85</v>
      </c>
      <c r="B99" s="639" t="s">
        <v>334</v>
      </c>
      <c r="C99" s="327"/>
      <c r="D99" s="640" t="s">
        <v>303</v>
      </c>
      <c r="E99" s="326"/>
      <c r="F99" s="326"/>
      <c r="G99" s="327"/>
      <c r="H99" s="641" t="s">
        <v>303</v>
      </c>
      <c r="I99" s="326"/>
      <c r="J99" s="326"/>
      <c r="K99" s="327"/>
      <c r="L99" s="438" t="s">
        <v>303</v>
      </c>
      <c r="M99" s="326"/>
      <c r="N99" s="327"/>
      <c r="O99" s="519" t="s">
        <v>303</v>
      </c>
      <c r="P99" s="326"/>
      <c r="Q99" s="327"/>
      <c r="R99" s="527"/>
      <c r="S99" s="326"/>
      <c r="T99" s="327"/>
      <c r="U99" s="497"/>
      <c r="V99" s="326"/>
      <c r="W99" s="327"/>
      <c r="X99" s="66"/>
      <c r="Y99" s="67"/>
      <c r="Z99" s="66"/>
      <c r="AA99" s="67"/>
      <c r="AB99" s="66"/>
      <c r="AC99" s="67"/>
      <c r="AD99" s="66"/>
      <c r="AE99" s="67"/>
      <c r="AF99" s="66"/>
      <c r="AG99" s="67"/>
      <c r="AH99" s="66"/>
      <c r="AI99" s="67"/>
      <c r="AJ99" s="68"/>
      <c r="AK99" s="69"/>
      <c r="AL99" s="68"/>
      <c r="AM99" s="69"/>
      <c r="AN99" s="68"/>
      <c r="AO99" s="69"/>
      <c r="AP99" s="68"/>
      <c r="AQ99" s="69"/>
      <c r="AR99" s="68"/>
      <c r="AS99" s="642" t="s">
        <v>303</v>
      </c>
      <c r="AT99" s="326"/>
      <c r="AU99" s="326"/>
      <c r="AV99" s="326"/>
      <c r="AW99" s="326"/>
      <c r="AX99" s="326"/>
      <c r="AY99" s="327"/>
      <c r="AZ99" s="70"/>
      <c r="BA99" s="70"/>
      <c r="BB99" s="644" t="s">
        <v>334</v>
      </c>
      <c r="BC99" s="327"/>
      <c r="BD99" s="645" t="s">
        <v>303</v>
      </c>
      <c r="BE99" s="326"/>
      <c r="BF99" s="327"/>
      <c r="BG99" s="646" t="s">
        <v>303</v>
      </c>
      <c r="BH99" s="326"/>
      <c r="BI99" s="326"/>
      <c r="BJ99" s="327"/>
      <c r="BK99" s="647" t="s">
        <v>505</v>
      </c>
      <c r="BL99" s="326"/>
      <c r="BM99" s="327"/>
      <c r="BN99" s="71"/>
      <c r="BO99" s="71"/>
      <c r="BP99" s="646"/>
      <c r="BQ99" s="326"/>
      <c r="BR99" s="327"/>
      <c r="BS99" s="645" t="s">
        <v>303</v>
      </c>
      <c r="BT99" s="326"/>
      <c r="BU99" s="327"/>
    </row>
    <row r="100" spans="1:73" ht="30" customHeight="1" x14ac:dyDescent="0.25">
      <c r="A100" s="65">
        <f t="shared" si="0"/>
        <v>86</v>
      </c>
      <c r="B100" s="639" t="s">
        <v>334</v>
      </c>
      <c r="C100" s="327"/>
      <c r="D100" s="640" t="s">
        <v>303</v>
      </c>
      <c r="E100" s="326"/>
      <c r="F100" s="326"/>
      <c r="G100" s="327"/>
      <c r="H100" s="641" t="s">
        <v>303</v>
      </c>
      <c r="I100" s="326"/>
      <c r="J100" s="326"/>
      <c r="K100" s="327"/>
      <c r="L100" s="438" t="s">
        <v>303</v>
      </c>
      <c r="M100" s="326"/>
      <c r="N100" s="327"/>
      <c r="O100" s="519" t="s">
        <v>303</v>
      </c>
      <c r="P100" s="326"/>
      <c r="Q100" s="327"/>
      <c r="R100" s="527"/>
      <c r="S100" s="326"/>
      <c r="T100" s="327"/>
      <c r="U100" s="497"/>
      <c r="V100" s="326"/>
      <c r="W100" s="327"/>
      <c r="X100" s="66"/>
      <c r="Y100" s="67"/>
      <c r="Z100" s="66"/>
      <c r="AA100" s="67"/>
      <c r="AB100" s="66"/>
      <c r="AC100" s="67"/>
      <c r="AD100" s="66"/>
      <c r="AE100" s="67"/>
      <c r="AF100" s="66"/>
      <c r="AG100" s="67"/>
      <c r="AH100" s="66"/>
      <c r="AI100" s="67"/>
      <c r="AJ100" s="68"/>
      <c r="AK100" s="69"/>
      <c r="AL100" s="68"/>
      <c r="AM100" s="69"/>
      <c r="AN100" s="68"/>
      <c r="AO100" s="69"/>
      <c r="AP100" s="68"/>
      <c r="AQ100" s="69"/>
      <c r="AR100" s="68"/>
      <c r="AS100" s="642" t="s">
        <v>303</v>
      </c>
      <c r="AT100" s="326"/>
      <c r="AU100" s="326"/>
      <c r="AV100" s="326"/>
      <c r="AW100" s="326"/>
      <c r="AX100" s="326"/>
      <c r="AY100" s="327"/>
      <c r="AZ100" s="70"/>
      <c r="BA100" s="70"/>
      <c r="BB100" s="643" t="s">
        <v>334</v>
      </c>
      <c r="BC100" s="327"/>
      <c r="BD100" s="645" t="s">
        <v>303</v>
      </c>
      <c r="BE100" s="326"/>
      <c r="BF100" s="327"/>
      <c r="BG100" s="646" t="s">
        <v>303</v>
      </c>
      <c r="BH100" s="326"/>
      <c r="BI100" s="326"/>
      <c r="BJ100" s="327"/>
      <c r="BK100" s="647" t="s">
        <v>505</v>
      </c>
      <c r="BL100" s="326"/>
      <c r="BM100" s="327"/>
      <c r="BN100" s="71"/>
      <c r="BO100" s="71"/>
      <c r="BP100" s="646"/>
      <c r="BQ100" s="326"/>
      <c r="BR100" s="327"/>
      <c r="BS100" s="645" t="s">
        <v>303</v>
      </c>
      <c r="BT100" s="326"/>
      <c r="BU100" s="327"/>
    </row>
    <row r="101" spans="1:73" ht="30" customHeight="1" x14ac:dyDescent="0.25">
      <c r="A101" s="65">
        <f t="shared" si="0"/>
        <v>87</v>
      </c>
      <c r="B101" s="639" t="s">
        <v>334</v>
      </c>
      <c r="C101" s="327"/>
      <c r="D101" s="640" t="s">
        <v>303</v>
      </c>
      <c r="E101" s="326"/>
      <c r="F101" s="326"/>
      <c r="G101" s="327"/>
      <c r="H101" s="641" t="s">
        <v>303</v>
      </c>
      <c r="I101" s="326"/>
      <c r="J101" s="326"/>
      <c r="K101" s="327"/>
      <c r="L101" s="438" t="s">
        <v>303</v>
      </c>
      <c r="M101" s="326"/>
      <c r="N101" s="327"/>
      <c r="O101" s="519" t="s">
        <v>303</v>
      </c>
      <c r="P101" s="326"/>
      <c r="Q101" s="327"/>
      <c r="R101" s="527"/>
      <c r="S101" s="326"/>
      <c r="T101" s="327"/>
      <c r="U101" s="497"/>
      <c r="V101" s="326"/>
      <c r="W101" s="327"/>
      <c r="X101" s="66"/>
      <c r="Y101" s="67"/>
      <c r="Z101" s="66"/>
      <c r="AA101" s="67"/>
      <c r="AB101" s="66"/>
      <c r="AC101" s="67"/>
      <c r="AD101" s="66"/>
      <c r="AE101" s="67"/>
      <c r="AF101" s="66"/>
      <c r="AG101" s="67"/>
      <c r="AH101" s="66"/>
      <c r="AI101" s="67"/>
      <c r="AJ101" s="68"/>
      <c r="AK101" s="69"/>
      <c r="AL101" s="68"/>
      <c r="AM101" s="69"/>
      <c r="AN101" s="68"/>
      <c r="AO101" s="69"/>
      <c r="AP101" s="68"/>
      <c r="AQ101" s="69"/>
      <c r="AR101" s="68"/>
      <c r="AS101" s="642" t="s">
        <v>303</v>
      </c>
      <c r="AT101" s="326"/>
      <c r="AU101" s="326"/>
      <c r="AV101" s="326"/>
      <c r="AW101" s="326"/>
      <c r="AX101" s="326"/>
      <c r="AY101" s="327"/>
      <c r="AZ101" s="70"/>
      <c r="BA101" s="70"/>
      <c r="BB101" s="643" t="s">
        <v>334</v>
      </c>
      <c r="BC101" s="327"/>
      <c r="BD101" s="645" t="s">
        <v>303</v>
      </c>
      <c r="BE101" s="326"/>
      <c r="BF101" s="327"/>
      <c r="BG101" s="646" t="s">
        <v>303</v>
      </c>
      <c r="BH101" s="326"/>
      <c r="BI101" s="326"/>
      <c r="BJ101" s="327"/>
      <c r="BK101" s="647" t="s">
        <v>505</v>
      </c>
      <c r="BL101" s="326"/>
      <c r="BM101" s="327"/>
      <c r="BN101" s="71"/>
      <c r="BO101" s="71"/>
      <c r="BP101" s="646"/>
      <c r="BQ101" s="326"/>
      <c r="BR101" s="327"/>
      <c r="BS101" s="645" t="s">
        <v>303</v>
      </c>
      <c r="BT101" s="326"/>
      <c r="BU101" s="327"/>
    </row>
    <row r="102" spans="1:73" ht="30" customHeight="1" x14ac:dyDescent="0.25">
      <c r="A102" s="65">
        <f t="shared" si="0"/>
        <v>88</v>
      </c>
      <c r="B102" s="639" t="s">
        <v>334</v>
      </c>
      <c r="C102" s="327"/>
      <c r="D102" s="640" t="s">
        <v>303</v>
      </c>
      <c r="E102" s="326"/>
      <c r="F102" s="326"/>
      <c r="G102" s="327"/>
      <c r="H102" s="641" t="s">
        <v>303</v>
      </c>
      <c r="I102" s="326"/>
      <c r="J102" s="326"/>
      <c r="K102" s="327"/>
      <c r="L102" s="438" t="s">
        <v>303</v>
      </c>
      <c r="M102" s="326"/>
      <c r="N102" s="327"/>
      <c r="O102" s="519" t="s">
        <v>303</v>
      </c>
      <c r="P102" s="326"/>
      <c r="Q102" s="327"/>
      <c r="R102" s="527"/>
      <c r="S102" s="326"/>
      <c r="T102" s="327"/>
      <c r="U102" s="497"/>
      <c r="V102" s="326"/>
      <c r="W102" s="327"/>
      <c r="X102" s="66"/>
      <c r="Y102" s="67"/>
      <c r="Z102" s="66"/>
      <c r="AA102" s="67"/>
      <c r="AB102" s="66"/>
      <c r="AC102" s="67"/>
      <c r="AD102" s="66"/>
      <c r="AE102" s="67"/>
      <c r="AF102" s="66"/>
      <c r="AG102" s="67"/>
      <c r="AH102" s="66"/>
      <c r="AI102" s="67"/>
      <c r="AJ102" s="68"/>
      <c r="AK102" s="69"/>
      <c r="AL102" s="68"/>
      <c r="AM102" s="69"/>
      <c r="AN102" s="68"/>
      <c r="AO102" s="69"/>
      <c r="AP102" s="68"/>
      <c r="AQ102" s="69"/>
      <c r="AR102" s="68"/>
      <c r="AS102" s="642" t="s">
        <v>303</v>
      </c>
      <c r="AT102" s="326"/>
      <c r="AU102" s="326"/>
      <c r="AV102" s="326"/>
      <c r="AW102" s="326"/>
      <c r="AX102" s="326"/>
      <c r="AY102" s="327"/>
      <c r="AZ102" s="70"/>
      <c r="BA102" s="70"/>
      <c r="BB102" s="643" t="s">
        <v>334</v>
      </c>
      <c r="BC102" s="327"/>
      <c r="BD102" s="645" t="s">
        <v>303</v>
      </c>
      <c r="BE102" s="326"/>
      <c r="BF102" s="327"/>
      <c r="BG102" s="646" t="s">
        <v>303</v>
      </c>
      <c r="BH102" s="326"/>
      <c r="BI102" s="326"/>
      <c r="BJ102" s="327"/>
      <c r="BK102" s="647" t="s">
        <v>505</v>
      </c>
      <c r="BL102" s="326"/>
      <c r="BM102" s="327"/>
      <c r="BN102" s="71"/>
      <c r="BO102" s="71"/>
      <c r="BP102" s="646"/>
      <c r="BQ102" s="326"/>
      <c r="BR102" s="327"/>
      <c r="BS102" s="645" t="s">
        <v>303</v>
      </c>
      <c r="BT102" s="326"/>
      <c r="BU102" s="327"/>
    </row>
    <row r="103" spans="1:73" ht="30" customHeight="1" x14ac:dyDescent="0.25">
      <c r="A103" s="65">
        <f t="shared" si="0"/>
        <v>89</v>
      </c>
      <c r="B103" s="639" t="s">
        <v>334</v>
      </c>
      <c r="C103" s="327"/>
      <c r="D103" s="640" t="s">
        <v>303</v>
      </c>
      <c r="E103" s="326"/>
      <c r="F103" s="326"/>
      <c r="G103" s="327"/>
      <c r="H103" s="641" t="s">
        <v>303</v>
      </c>
      <c r="I103" s="326"/>
      <c r="J103" s="326"/>
      <c r="K103" s="327"/>
      <c r="L103" s="438" t="s">
        <v>303</v>
      </c>
      <c r="M103" s="326"/>
      <c r="N103" s="327"/>
      <c r="O103" s="519" t="s">
        <v>303</v>
      </c>
      <c r="P103" s="326"/>
      <c r="Q103" s="327"/>
      <c r="R103" s="527"/>
      <c r="S103" s="326"/>
      <c r="T103" s="327"/>
      <c r="U103" s="497"/>
      <c r="V103" s="326"/>
      <c r="W103" s="327"/>
      <c r="X103" s="66"/>
      <c r="Y103" s="67"/>
      <c r="Z103" s="66"/>
      <c r="AA103" s="67"/>
      <c r="AB103" s="66"/>
      <c r="AC103" s="67"/>
      <c r="AD103" s="66"/>
      <c r="AE103" s="67"/>
      <c r="AF103" s="66"/>
      <c r="AG103" s="67"/>
      <c r="AH103" s="66"/>
      <c r="AI103" s="67"/>
      <c r="AJ103" s="68"/>
      <c r="AK103" s="69"/>
      <c r="AL103" s="68"/>
      <c r="AM103" s="69"/>
      <c r="AN103" s="68"/>
      <c r="AO103" s="69"/>
      <c r="AP103" s="68"/>
      <c r="AQ103" s="69"/>
      <c r="AR103" s="68"/>
      <c r="AS103" s="642" t="s">
        <v>303</v>
      </c>
      <c r="AT103" s="326"/>
      <c r="AU103" s="326"/>
      <c r="AV103" s="326"/>
      <c r="AW103" s="326"/>
      <c r="AX103" s="326"/>
      <c r="AY103" s="327"/>
      <c r="AZ103" s="70"/>
      <c r="BA103" s="70"/>
      <c r="BB103" s="643" t="s">
        <v>334</v>
      </c>
      <c r="BC103" s="327"/>
      <c r="BD103" s="645" t="s">
        <v>303</v>
      </c>
      <c r="BE103" s="326"/>
      <c r="BF103" s="327"/>
      <c r="BG103" s="646" t="s">
        <v>303</v>
      </c>
      <c r="BH103" s="326"/>
      <c r="BI103" s="326"/>
      <c r="BJ103" s="327"/>
      <c r="BK103" s="647" t="s">
        <v>505</v>
      </c>
      <c r="BL103" s="326"/>
      <c r="BM103" s="327"/>
      <c r="BN103" s="71"/>
      <c r="BO103" s="71"/>
      <c r="BP103" s="646"/>
      <c r="BQ103" s="326"/>
      <c r="BR103" s="327"/>
      <c r="BS103" s="645" t="s">
        <v>303</v>
      </c>
      <c r="BT103" s="326"/>
      <c r="BU103" s="327"/>
    </row>
    <row r="104" spans="1:73" ht="30" customHeight="1" x14ac:dyDescent="0.25">
      <c r="A104" s="65">
        <f t="shared" si="0"/>
        <v>90</v>
      </c>
      <c r="B104" s="639" t="s">
        <v>334</v>
      </c>
      <c r="C104" s="327"/>
      <c r="D104" s="640" t="s">
        <v>303</v>
      </c>
      <c r="E104" s="326"/>
      <c r="F104" s="326"/>
      <c r="G104" s="327"/>
      <c r="H104" s="641" t="s">
        <v>303</v>
      </c>
      <c r="I104" s="326"/>
      <c r="J104" s="326"/>
      <c r="K104" s="327"/>
      <c r="L104" s="438" t="s">
        <v>303</v>
      </c>
      <c r="M104" s="326"/>
      <c r="N104" s="327"/>
      <c r="O104" s="519" t="s">
        <v>303</v>
      </c>
      <c r="P104" s="326"/>
      <c r="Q104" s="327"/>
      <c r="R104" s="527"/>
      <c r="S104" s="326"/>
      <c r="T104" s="327"/>
      <c r="U104" s="497"/>
      <c r="V104" s="326"/>
      <c r="W104" s="327"/>
      <c r="X104" s="66"/>
      <c r="Y104" s="67"/>
      <c r="Z104" s="66"/>
      <c r="AA104" s="67"/>
      <c r="AB104" s="66"/>
      <c r="AC104" s="67"/>
      <c r="AD104" s="66"/>
      <c r="AE104" s="67"/>
      <c r="AF104" s="66"/>
      <c r="AG104" s="67"/>
      <c r="AH104" s="66"/>
      <c r="AI104" s="67"/>
      <c r="AJ104" s="68"/>
      <c r="AK104" s="69"/>
      <c r="AL104" s="68"/>
      <c r="AM104" s="69"/>
      <c r="AN104" s="68"/>
      <c r="AO104" s="69"/>
      <c r="AP104" s="68"/>
      <c r="AQ104" s="69"/>
      <c r="AR104" s="68"/>
      <c r="AS104" s="642" t="s">
        <v>303</v>
      </c>
      <c r="AT104" s="326"/>
      <c r="AU104" s="326"/>
      <c r="AV104" s="326"/>
      <c r="AW104" s="326"/>
      <c r="AX104" s="326"/>
      <c r="AY104" s="327"/>
      <c r="AZ104" s="70"/>
      <c r="BA104" s="70"/>
      <c r="BB104" s="643" t="s">
        <v>334</v>
      </c>
      <c r="BC104" s="327"/>
      <c r="BD104" s="645" t="s">
        <v>303</v>
      </c>
      <c r="BE104" s="326"/>
      <c r="BF104" s="327"/>
      <c r="BG104" s="646" t="s">
        <v>303</v>
      </c>
      <c r="BH104" s="326"/>
      <c r="BI104" s="326"/>
      <c r="BJ104" s="327"/>
      <c r="BK104" s="647" t="s">
        <v>505</v>
      </c>
      <c r="BL104" s="326"/>
      <c r="BM104" s="327"/>
      <c r="BN104" s="71"/>
      <c r="BO104" s="71"/>
      <c r="BP104" s="646"/>
      <c r="BQ104" s="326"/>
      <c r="BR104" s="327"/>
      <c r="BS104" s="645" t="s">
        <v>303</v>
      </c>
      <c r="BT104" s="326"/>
      <c r="BU104" s="327"/>
    </row>
    <row r="105" spans="1:73" ht="30" customHeight="1" x14ac:dyDescent="0.25">
      <c r="A105" s="65">
        <f t="shared" si="0"/>
        <v>91</v>
      </c>
      <c r="B105" s="639" t="s">
        <v>334</v>
      </c>
      <c r="C105" s="327"/>
      <c r="D105" s="640" t="s">
        <v>303</v>
      </c>
      <c r="E105" s="326"/>
      <c r="F105" s="326"/>
      <c r="G105" s="327"/>
      <c r="H105" s="641" t="s">
        <v>303</v>
      </c>
      <c r="I105" s="326"/>
      <c r="J105" s="326"/>
      <c r="K105" s="327"/>
      <c r="L105" s="438" t="s">
        <v>303</v>
      </c>
      <c r="M105" s="326"/>
      <c r="N105" s="327"/>
      <c r="O105" s="519" t="s">
        <v>303</v>
      </c>
      <c r="P105" s="326"/>
      <c r="Q105" s="327"/>
      <c r="R105" s="527"/>
      <c r="S105" s="326"/>
      <c r="T105" s="327"/>
      <c r="U105" s="497"/>
      <c r="V105" s="326"/>
      <c r="W105" s="327"/>
      <c r="X105" s="66"/>
      <c r="Y105" s="67"/>
      <c r="Z105" s="66"/>
      <c r="AA105" s="67"/>
      <c r="AB105" s="66"/>
      <c r="AC105" s="67"/>
      <c r="AD105" s="66"/>
      <c r="AE105" s="67"/>
      <c r="AF105" s="66"/>
      <c r="AG105" s="67"/>
      <c r="AH105" s="66"/>
      <c r="AI105" s="67"/>
      <c r="AJ105" s="68"/>
      <c r="AK105" s="69"/>
      <c r="AL105" s="68"/>
      <c r="AM105" s="69"/>
      <c r="AN105" s="68"/>
      <c r="AO105" s="69"/>
      <c r="AP105" s="68"/>
      <c r="AQ105" s="69"/>
      <c r="AR105" s="68"/>
      <c r="AS105" s="642" t="s">
        <v>303</v>
      </c>
      <c r="AT105" s="326"/>
      <c r="AU105" s="326"/>
      <c r="AV105" s="326"/>
      <c r="AW105" s="326"/>
      <c r="AX105" s="326"/>
      <c r="AY105" s="327"/>
      <c r="AZ105" s="70"/>
      <c r="BA105" s="70"/>
      <c r="BB105" s="643" t="s">
        <v>334</v>
      </c>
      <c r="BC105" s="327"/>
      <c r="BD105" s="645" t="s">
        <v>303</v>
      </c>
      <c r="BE105" s="326"/>
      <c r="BF105" s="327"/>
      <c r="BG105" s="646" t="s">
        <v>303</v>
      </c>
      <c r="BH105" s="326"/>
      <c r="BI105" s="326"/>
      <c r="BJ105" s="327"/>
      <c r="BK105" s="647" t="s">
        <v>505</v>
      </c>
      <c r="BL105" s="326"/>
      <c r="BM105" s="327"/>
      <c r="BN105" s="71"/>
      <c r="BO105" s="71"/>
      <c r="BP105" s="646"/>
      <c r="BQ105" s="326"/>
      <c r="BR105" s="327"/>
      <c r="BS105" s="645" t="s">
        <v>303</v>
      </c>
      <c r="BT105" s="326"/>
      <c r="BU105" s="327"/>
    </row>
    <row r="106" spans="1:73" ht="30" customHeight="1" x14ac:dyDescent="0.25">
      <c r="A106" s="65">
        <f t="shared" si="0"/>
        <v>92</v>
      </c>
      <c r="B106" s="639" t="s">
        <v>334</v>
      </c>
      <c r="C106" s="327"/>
      <c r="D106" s="640" t="s">
        <v>303</v>
      </c>
      <c r="E106" s="326"/>
      <c r="F106" s="326"/>
      <c r="G106" s="327"/>
      <c r="H106" s="641" t="s">
        <v>303</v>
      </c>
      <c r="I106" s="326"/>
      <c r="J106" s="326"/>
      <c r="K106" s="327"/>
      <c r="L106" s="438" t="s">
        <v>303</v>
      </c>
      <c r="M106" s="326"/>
      <c r="N106" s="327"/>
      <c r="O106" s="519" t="s">
        <v>303</v>
      </c>
      <c r="P106" s="326"/>
      <c r="Q106" s="327"/>
      <c r="R106" s="527"/>
      <c r="S106" s="326"/>
      <c r="T106" s="327"/>
      <c r="U106" s="497"/>
      <c r="V106" s="326"/>
      <c r="W106" s="327"/>
      <c r="X106" s="66"/>
      <c r="Y106" s="67"/>
      <c r="Z106" s="66"/>
      <c r="AA106" s="67"/>
      <c r="AB106" s="66"/>
      <c r="AC106" s="67"/>
      <c r="AD106" s="66"/>
      <c r="AE106" s="67"/>
      <c r="AF106" s="66"/>
      <c r="AG106" s="67"/>
      <c r="AH106" s="66"/>
      <c r="AI106" s="67"/>
      <c r="AJ106" s="68"/>
      <c r="AK106" s="69"/>
      <c r="AL106" s="68"/>
      <c r="AM106" s="69"/>
      <c r="AN106" s="68"/>
      <c r="AO106" s="69"/>
      <c r="AP106" s="68"/>
      <c r="AQ106" s="69"/>
      <c r="AR106" s="68"/>
      <c r="AS106" s="642" t="s">
        <v>303</v>
      </c>
      <c r="AT106" s="326"/>
      <c r="AU106" s="326"/>
      <c r="AV106" s="326"/>
      <c r="AW106" s="326"/>
      <c r="AX106" s="326"/>
      <c r="AY106" s="327"/>
      <c r="AZ106" s="70"/>
      <c r="BA106" s="70"/>
      <c r="BB106" s="644" t="s">
        <v>334</v>
      </c>
      <c r="BC106" s="327"/>
      <c r="BD106" s="645" t="s">
        <v>303</v>
      </c>
      <c r="BE106" s="326"/>
      <c r="BF106" s="327"/>
      <c r="BG106" s="646" t="s">
        <v>303</v>
      </c>
      <c r="BH106" s="326"/>
      <c r="BI106" s="326"/>
      <c r="BJ106" s="327"/>
      <c r="BK106" s="647" t="s">
        <v>505</v>
      </c>
      <c r="BL106" s="326"/>
      <c r="BM106" s="327"/>
      <c r="BN106" s="71"/>
      <c r="BO106" s="71"/>
      <c r="BP106" s="646"/>
      <c r="BQ106" s="326"/>
      <c r="BR106" s="327"/>
      <c r="BS106" s="645" t="s">
        <v>303</v>
      </c>
      <c r="BT106" s="326"/>
      <c r="BU106" s="327"/>
    </row>
    <row r="107" spans="1:73" ht="30" customHeight="1" x14ac:dyDescent="0.25">
      <c r="A107" s="65">
        <f t="shared" si="0"/>
        <v>93</v>
      </c>
      <c r="B107" s="639" t="s">
        <v>334</v>
      </c>
      <c r="C107" s="327"/>
      <c r="D107" s="640" t="s">
        <v>303</v>
      </c>
      <c r="E107" s="326"/>
      <c r="F107" s="326"/>
      <c r="G107" s="327"/>
      <c r="H107" s="641" t="s">
        <v>303</v>
      </c>
      <c r="I107" s="326"/>
      <c r="J107" s="326"/>
      <c r="K107" s="327"/>
      <c r="L107" s="438" t="s">
        <v>303</v>
      </c>
      <c r="M107" s="326"/>
      <c r="N107" s="327"/>
      <c r="O107" s="519" t="s">
        <v>303</v>
      </c>
      <c r="P107" s="326"/>
      <c r="Q107" s="327"/>
      <c r="R107" s="527"/>
      <c r="S107" s="326"/>
      <c r="T107" s="327"/>
      <c r="U107" s="497"/>
      <c r="V107" s="326"/>
      <c r="W107" s="327"/>
      <c r="X107" s="66"/>
      <c r="Y107" s="67"/>
      <c r="Z107" s="66"/>
      <c r="AA107" s="67"/>
      <c r="AB107" s="66"/>
      <c r="AC107" s="67"/>
      <c r="AD107" s="66"/>
      <c r="AE107" s="67"/>
      <c r="AF107" s="66"/>
      <c r="AG107" s="67"/>
      <c r="AH107" s="66"/>
      <c r="AI107" s="67"/>
      <c r="AJ107" s="68"/>
      <c r="AK107" s="69"/>
      <c r="AL107" s="68"/>
      <c r="AM107" s="69"/>
      <c r="AN107" s="68"/>
      <c r="AO107" s="69"/>
      <c r="AP107" s="68"/>
      <c r="AQ107" s="69"/>
      <c r="AR107" s="68"/>
      <c r="AS107" s="642" t="s">
        <v>303</v>
      </c>
      <c r="AT107" s="326"/>
      <c r="AU107" s="326"/>
      <c r="AV107" s="326"/>
      <c r="AW107" s="326"/>
      <c r="AX107" s="326"/>
      <c r="AY107" s="327"/>
      <c r="AZ107" s="70"/>
      <c r="BA107" s="70"/>
      <c r="BB107" s="643" t="s">
        <v>334</v>
      </c>
      <c r="BC107" s="327"/>
      <c r="BD107" s="645" t="s">
        <v>303</v>
      </c>
      <c r="BE107" s="326"/>
      <c r="BF107" s="327"/>
      <c r="BG107" s="646" t="s">
        <v>303</v>
      </c>
      <c r="BH107" s="326"/>
      <c r="BI107" s="326"/>
      <c r="BJ107" s="327"/>
      <c r="BK107" s="647" t="s">
        <v>505</v>
      </c>
      <c r="BL107" s="326"/>
      <c r="BM107" s="327"/>
      <c r="BN107" s="71"/>
      <c r="BO107" s="71"/>
      <c r="BP107" s="646"/>
      <c r="BQ107" s="326"/>
      <c r="BR107" s="327"/>
      <c r="BS107" s="645" t="s">
        <v>303</v>
      </c>
      <c r="BT107" s="326"/>
      <c r="BU107" s="327"/>
    </row>
    <row r="108" spans="1:73" ht="30" customHeight="1" x14ac:dyDescent="0.25">
      <c r="A108" s="65">
        <f t="shared" si="0"/>
        <v>94</v>
      </c>
      <c r="B108" s="639" t="s">
        <v>334</v>
      </c>
      <c r="C108" s="327"/>
      <c r="D108" s="640" t="s">
        <v>303</v>
      </c>
      <c r="E108" s="326"/>
      <c r="F108" s="326"/>
      <c r="G108" s="327"/>
      <c r="H108" s="641" t="s">
        <v>303</v>
      </c>
      <c r="I108" s="326"/>
      <c r="J108" s="326"/>
      <c r="K108" s="327"/>
      <c r="L108" s="438" t="s">
        <v>303</v>
      </c>
      <c r="M108" s="326"/>
      <c r="N108" s="327"/>
      <c r="O108" s="519" t="s">
        <v>303</v>
      </c>
      <c r="P108" s="326"/>
      <c r="Q108" s="327"/>
      <c r="R108" s="527"/>
      <c r="S108" s="326"/>
      <c r="T108" s="327"/>
      <c r="U108" s="497"/>
      <c r="V108" s="326"/>
      <c r="W108" s="327"/>
      <c r="X108" s="66"/>
      <c r="Y108" s="67"/>
      <c r="Z108" s="66"/>
      <c r="AA108" s="67"/>
      <c r="AB108" s="66"/>
      <c r="AC108" s="67"/>
      <c r="AD108" s="66"/>
      <c r="AE108" s="67"/>
      <c r="AF108" s="66"/>
      <c r="AG108" s="67"/>
      <c r="AH108" s="66"/>
      <c r="AI108" s="67"/>
      <c r="AJ108" s="68"/>
      <c r="AK108" s="69"/>
      <c r="AL108" s="68"/>
      <c r="AM108" s="69"/>
      <c r="AN108" s="68"/>
      <c r="AO108" s="69"/>
      <c r="AP108" s="68"/>
      <c r="AQ108" s="69"/>
      <c r="AR108" s="68"/>
      <c r="AS108" s="642" t="s">
        <v>303</v>
      </c>
      <c r="AT108" s="326"/>
      <c r="AU108" s="326"/>
      <c r="AV108" s="326"/>
      <c r="AW108" s="326"/>
      <c r="AX108" s="326"/>
      <c r="AY108" s="327"/>
      <c r="AZ108" s="70"/>
      <c r="BA108" s="70"/>
      <c r="BB108" s="643" t="s">
        <v>334</v>
      </c>
      <c r="BC108" s="327"/>
      <c r="BD108" s="645" t="s">
        <v>303</v>
      </c>
      <c r="BE108" s="326"/>
      <c r="BF108" s="327"/>
      <c r="BG108" s="646" t="s">
        <v>303</v>
      </c>
      <c r="BH108" s="326"/>
      <c r="BI108" s="326"/>
      <c r="BJ108" s="327"/>
      <c r="BK108" s="647" t="s">
        <v>505</v>
      </c>
      <c r="BL108" s="326"/>
      <c r="BM108" s="327"/>
      <c r="BN108" s="71"/>
      <c r="BO108" s="71"/>
      <c r="BP108" s="646"/>
      <c r="BQ108" s="326"/>
      <c r="BR108" s="327"/>
      <c r="BS108" s="645" t="s">
        <v>303</v>
      </c>
      <c r="BT108" s="326"/>
      <c r="BU108" s="327"/>
    </row>
    <row r="109" spans="1:73" ht="30" customHeight="1" x14ac:dyDescent="0.25">
      <c r="A109" s="65">
        <f t="shared" si="0"/>
        <v>95</v>
      </c>
      <c r="B109" s="639" t="s">
        <v>334</v>
      </c>
      <c r="C109" s="327"/>
      <c r="D109" s="640" t="s">
        <v>303</v>
      </c>
      <c r="E109" s="326"/>
      <c r="F109" s="326"/>
      <c r="G109" s="327"/>
      <c r="H109" s="641" t="s">
        <v>303</v>
      </c>
      <c r="I109" s="326"/>
      <c r="J109" s="326"/>
      <c r="K109" s="327"/>
      <c r="L109" s="438" t="s">
        <v>303</v>
      </c>
      <c r="M109" s="326"/>
      <c r="N109" s="327"/>
      <c r="O109" s="519" t="s">
        <v>303</v>
      </c>
      <c r="P109" s="326"/>
      <c r="Q109" s="327"/>
      <c r="R109" s="527"/>
      <c r="S109" s="326"/>
      <c r="T109" s="327"/>
      <c r="U109" s="497"/>
      <c r="V109" s="326"/>
      <c r="W109" s="327"/>
      <c r="X109" s="66"/>
      <c r="Y109" s="67"/>
      <c r="Z109" s="66"/>
      <c r="AA109" s="67"/>
      <c r="AB109" s="66"/>
      <c r="AC109" s="67"/>
      <c r="AD109" s="66"/>
      <c r="AE109" s="67"/>
      <c r="AF109" s="66"/>
      <c r="AG109" s="67"/>
      <c r="AH109" s="66"/>
      <c r="AI109" s="67"/>
      <c r="AJ109" s="68"/>
      <c r="AK109" s="69"/>
      <c r="AL109" s="68"/>
      <c r="AM109" s="69"/>
      <c r="AN109" s="68"/>
      <c r="AO109" s="69"/>
      <c r="AP109" s="68"/>
      <c r="AQ109" s="69"/>
      <c r="AR109" s="68"/>
      <c r="AS109" s="642" t="s">
        <v>303</v>
      </c>
      <c r="AT109" s="326"/>
      <c r="AU109" s="326"/>
      <c r="AV109" s="326"/>
      <c r="AW109" s="326"/>
      <c r="AX109" s="326"/>
      <c r="AY109" s="327"/>
      <c r="AZ109" s="70"/>
      <c r="BA109" s="70"/>
      <c r="BB109" s="643" t="s">
        <v>334</v>
      </c>
      <c r="BC109" s="327"/>
      <c r="BD109" s="645" t="s">
        <v>303</v>
      </c>
      <c r="BE109" s="326"/>
      <c r="BF109" s="327"/>
      <c r="BG109" s="646" t="s">
        <v>303</v>
      </c>
      <c r="BH109" s="326"/>
      <c r="BI109" s="326"/>
      <c r="BJ109" s="327"/>
      <c r="BK109" s="647" t="s">
        <v>505</v>
      </c>
      <c r="BL109" s="326"/>
      <c r="BM109" s="327"/>
      <c r="BN109" s="71"/>
      <c r="BO109" s="71"/>
      <c r="BP109" s="646"/>
      <c r="BQ109" s="326"/>
      <c r="BR109" s="327"/>
      <c r="BS109" s="645" t="s">
        <v>303</v>
      </c>
      <c r="BT109" s="326"/>
      <c r="BU109" s="327"/>
    </row>
    <row r="110" spans="1:73" ht="30" customHeight="1" x14ac:dyDescent="0.25">
      <c r="A110" s="65">
        <f t="shared" si="0"/>
        <v>96</v>
      </c>
      <c r="B110" s="639" t="s">
        <v>334</v>
      </c>
      <c r="C110" s="327"/>
      <c r="D110" s="640" t="s">
        <v>303</v>
      </c>
      <c r="E110" s="326"/>
      <c r="F110" s="326"/>
      <c r="G110" s="327"/>
      <c r="H110" s="641" t="s">
        <v>303</v>
      </c>
      <c r="I110" s="326"/>
      <c r="J110" s="326"/>
      <c r="K110" s="327"/>
      <c r="L110" s="438" t="s">
        <v>303</v>
      </c>
      <c r="M110" s="326"/>
      <c r="N110" s="327"/>
      <c r="O110" s="519" t="s">
        <v>303</v>
      </c>
      <c r="P110" s="326"/>
      <c r="Q110" s="327"/>
      <c r="R110" s="527"/>
      <c r="S110" s="326"/>
      <c r="T110" s="327"/>
      <c r="U110" s="497"/>
      <c r="V110" s="326"/>
      <c r="W110" s="327"/>
      <c r="X110" s="66"/>
      <c r="Y110" s="67"/>
      <c r="Z110" s="66"/>
      <c r="AA110" s="67"/>
      <c r="AB110" s="66"/>
      <c r="AC110" s="67"/>
      <c r="AD110" s="66"/>
      <c r="AE110" s="67"/>
      <c r="AF110" s="66"/>
      <c r="AG110" s="67"/>
      <c r="AH110" s="66"/>
      <c r="AI110" s="67"/>
      <c r="AJ110" s="68"/>
      <c r="AK110" s="69"/>
      <c r="AL110" s="68"/>
      <c r="AM110" s="69"/>
      <c r="AN110" s="68"/>
      <c r="AO110" s="69"/>
      <c r="AP110" s="68"/>
      <c r="AQ110" s="69"/>
      <c r="AR110" s="68"/>
      <c r="AS110" s="642" t="s">
        <v>303</v>
      </c>
      <c r="AT110" s="326"/>
      <c r="AU110" s="326"/>
      <c r="AV110" s="326"/>
      <c r="AW110" s="326"/>
      <c r="AX110" s="326"/>
      <c r="AY110" s="327"/>
      <c r="AZ110" s="70"/>
      <c r="BA110" s="70"/>
      <c r="BB110" s="643" t="s">
        <v>334</v>
      </c>
      <c r="BC110" s="327"/>
      <c r="BD110" s="645" t="s">
        <v>303</v>
      </c>
      <c r="BE110" s="326"/>
      <c r="BF110" s="327"/>
      <c r="BG110" s="646" t="s">
        <v>303</v>
      </c>
      <c r="BH110" s="326"/>
      <c r="BI110" s="326"/>
      <c r="BJ110" s="327"/>
      <c r="BK110" s="647" t="s">
        <v>505</v>
      </c>
      <c r="BL110" s="326"/>
      <c r="BM110" s="327"/>
      <c r="BN110" s="71"/>
      <c r="BO110" s="71"/>
      <c r="BP110" s="646"/>
      <c r="BQ110" s="326"/>
      <c r="BR110" s="327"/>
      <c r="BS110" s="645" t="s">
        <v>303</v>
      </c>
      <c r="BT110" s="326"/>
      <c r="BU110" s="327"/>
    </row>
    <row r="111" spans="1:73" ht="30" customHeight="1" x14ac:dyDescent="0.25">
      <c r="A111" s="65">
        <f t="shared" si="0"/>
        <v>97</v>
      </c>
      <c r="B111" s="639" t="s">
        <v>334</v>
      </c>
      <c r="C111" s="327"/>
      <c r="D111" s="640" t="s">
        <v>303</v>
      </c>
      <c r="E111" s="326"/>
      <c r="F111" s="326"/>
      <c r="G111" s="327"/>
      <c r="H111" s="641" t="s">
        <v>303</v>
      </c>
      <c r="I111" s="326"/>
      <c r="J111" s="326"/>
      <c r="K111" s="327"/>
      <c r="L111" s="438" t="s">
        <v>303</v>
      </c>
      <c r="M111" s="326"/>
      <c r="N111" s="327"/>
      <c r="O111" s="519" t="s">
        <v>303</v>
      </c>
      <c r="P111" s="326"/>
      <c r="Q111" s="327"/>
      <c r="R111" s="527"/>
      <c r="S111" s="326"/>
      <c r="T111" s="327"/>
      <c r="U111" s="497"/>
      <c r="V111" s="326"/>
      <c r="W111" s="327"/>
      <c r="X111" s="66"/>
      <c r="Y111" s="67"/>
      <c r="Z111" s="66"/>
      <c r="AA111" s="67"/>
      <c r="AB111" s="66"/>
      <c r="AC111" s="67"/>
      <c r="AD111" s="66"/>
      <c r="AE111" s="67"/>
      <c r="AF111" s="66"/>
      <c r="AG111" s="67"/>
      <c r="AH111" s="66"/>
      <c r="AI111" s="67"/>
      <c r="AJ111" s="68"/>
      <c r="AK111" s="69"/>
      <c r="AL111" s="68"/>
      <c r="AM111" s="69"/>
      <c r="AN111" s="68"/>
      <c r="AO111" s="69"/>
      <c r="AP111" s="68"/>
      <c r="AQ111" s="69"/>
      <c r="AR111" s="68"/>
      <c r="AS111" s="642" t="s">
        <v>303</v>
      </c>
      <c r="AT111" s="326"/>
      <c r="AU111" s="326"/>
      <c r="AV111" s="326"/>
      <c r="AW111" s="326"/>
      <c r="AX111" s="326"/>
      <c r="AY111" s="327"/>
      <c r="AZ111" s="70"/>
      <c r="BA111" s="70"/>
      <c r="BB111" s="643" t="s">
        <v>334</v>
      </c>
      <c r="BC111" s="327"/>
      <c r="BD111" s="645" t="s">
        <v>303</v>
      </c>
      <c r="BE111" s="326"/>
      <c r="BF111" s="327"/>
      <c r="BG111" s="646" t="s">
        <v>303</v>
      </c>
      <c r="BH111" s="326"/>
      <c r="BI111" s="326"/>
      <c r="BJ111" s="327"/>
      <c r="BK111" s="647" t="s">
        <v>505</v>
      </c>
      <c r="BL111" s="326"/>
      <c r="BM111" s="327"/>
      <c r="BN111" s="71"/>
      <c r="BO111" s="71"/>
      <c r="BP111" s="646"/>
      <c r="BQ111" s="326"/>
      <c r="BR111" s="327"/>
      <c r="BS111" s="645" t="s">
        <v>303</v>
      </c>
      <c r="BT111" s="326"/>
      <c r="BU111" s="327"/>
    </row>
    <row r="112" spans="1:73" ht="30" customHeight="1" x14ac:dyDescent="0.25">
      <c r="A112" s="65">
        <f t="shared" si="0"/>
        <v>98</v>
      </c>
      <c r="B112" s="639" t="s">
        <v>334</v>
      </c>
      <c r="C112" s="327"/>
      <c r="D112" s="640" t="s">
        <v>303</v>
      </c>
      <c r="E112" s="326"/>
      <c r="F112" s="326"/>
      <c r="G112" s="327"/>
      <c r="H112" s="641" t="s">
        <v>303</v>
      </c>
      <c r="I112" s="326"/>
      <c r="J112" s="326"/>
      <c r="K112" s="327"/>
      <c r="L112" s="438" t="s">
        <v>303</v>
      </c>
      <c r="M112" s="326"/>
      <c r="N112" s="327"/>
      <c r="O112" s="519" t="s">
        <v>303</v>
      </c>
      <c r="P112" s="326"/>
      <c r="Q112" s="327"/>
      <c r="R112" s="527"/>
      <c r="S112" s="326"/>
      <c r="T112" s="327"/>
      <c r="U112" s="497"/>
      <c r="V112" s="326"/>
      <c r="W112" s="327"/>
      <c r="X112" s="66"/>
      <c r="Y112" s="67"/>
      <c r="Z112" s="66"/>
      <c r="AA112" s="67"/>
      <c r="AB112" s="66"/>
      <c r="AC112" s="67"/>
      <c r="AD112" s="66"/>
      <c r="AE112" s="67"/>
      <c r="AF112" s="66"/>
      <c r="AG112" s="67"/>
      <c r="AH112" s="66"/>
      <c r="AI112" s="67"/>
      <c r="AJ112" s="68"/>
      <c r="AK112" s="69"/>
      <c r="AL112" s="68"/>
      <c r="AM112" s="69"/>
      <c r="AN112" s="68"/>
      <c r="AO112" s="69"/>
      <c r="AP112" s="68"/>
      <c r="AQ112" s="69"/>
      <c r="AR112" s="68"/>
      <c r="AS112" s="642" t="s">
        <v>303</v>
      </c>
      <c r="AT112" s="326"/>
      <c r="AU112" s="326"/>
      <c r="AV112" s="326"/>
      <c r="AW112" s="326"/>
      <c r="AX112" s="326"/>
      <c r="AY112" s="327"/>
      <c r="AZ112" s="70"/>
      <c r="BA112" s="70"/>
      <c r="BB112" s="643" t="s">
        <v>334</v>
      </c>
      <c r="BC112" s="327"/>
      <c r="BD112" s="645" t="s">
        <v>303</v>
      </c>
      <c r="BE112" s="326"/>
      <c r="BF112" s="327"/>
      <c r="BG112" s="646" t="s">
        <v>303</v>
      </c>
      <c r="BH112" s="326"/>
      <c r="BI112" s="326"/>
      <c r="BJ112" s="327"/>
      <c r="BK112" s="647" t="s">
        <v>505</v>
      </c>
      <c r="BL112" s="326"/>
      <c r="BM112" s="327"/>
      <c r="BN112" s="71"/>
      <c r="BO112" s="71"/>
      <c r="BP112" s="646"/>
      <c r="BQ112" s="326"/>
      <c r="BR112" s="327"/>
      <c r="BS112" s="645" t="s">
        <v>303</v>
      </c>
      <c r="BT112" s="326"/>
      <c r="BU112" s="327"/>
    </row>
    <row r="113" spans="1:73" ht="30" customHeight="1" x14ac:dyDescent="0.25">
      <c r="A113" s="65">
        <f t="shared" si="0"/>
        <v>99</v>
      </c>
      <c r="B113" s="639" t="s">
        <v>334</v>
      </c>
      <c r="C113" s="327"/>
      <c r="D113" s="640" t="s">
        <v>303</v>
      </c>
      <c r="E113" s="326"/>
      <c r="F113" s="326"/>
      <c r="G113" s="327"/>
      <c r="H113" s="641" t="s">
        <v>303</v>
      </c>
      <c r="I113" s="326"/>
      <c r="J113" s="326"/>
      <c r="K113" s="327"/>
      <c r="L113" s="438" t="s">
        <v>303</v>
      </c>
      <c r="M113" s="326"/>
      <c r="N113" s="327"/>
      <c r="O113" s="519" t="s">
        <v>303</v>
      </c>
      <c r="P113" s="326"/>
      <c r="Q113" s="327"/>
      <c r="R113" s="527"/>
      <c r="S113" s="326"/>
      <c r="T113" s="327"/>
      <c r="U113" s="497"/>
      <c r="V113" s="326"/>
      <c r="W113" s="327"/>
      <c r="X113" s="66"/>
      <c r="Y113" s="67"/>
      <c r="Z113" s="66"/>
      <c r="AA113" s="67"/>
      <c r="AB113" s="66"/>
      <c r="AC113" s="67"/>
      <c r="AD113" s="66"/>
      <c r="AE113" s="67"/>
      <c r="AF113" s="66"/>
      <c r="AG113" s="67"/>
      <c r="AH113" s="66"/>
      <c r="AI113" s="67"/>
      <c r="AJ113" s="68"/>
      <c r="AK113" s="69"/>
      <c r="AL113" s="68"/>
      <c r="AM113" s="69"/>
      <c r="AN113" s="68"/>
      <c r="AO113" s="69"/>
      <c r="AP113" s="68"/>
      <c r="AQ113" s="69"/>
      <c r="AR113" s="68"/>
      <c r="AS113" s="642" t="s">
        <v>303</v>
      </c>
      <c r="AT113" s="326"/>
      <c r="AU113" s="326"/>
      <c r="AV113" s="326"/>
      <c r="AW113" s="326"/>
      <c r="AX113" s="326"/>
      <c r="AY113" s="327"/>
      <c r="AZ113" s="70"/>
      <c r="BA113" s="70"/>
      <c r="BB113" s="644" t="s">
        <v>334</v>
      </c>
      <c r="BC113" s="327"/>
      <c r="BD113" s="645" t="s">
        <v>303</v>
      </c>
      <c r="BE113" s="326"/>
      <c r="BF113" s="327"/>
      <c r="BG113" s="646" t="s">
        <v>303</v>
      </c>
      <c r="BH113" s="326"/>
      <c r="BI113" s="326"/>
      <c r="BJ113" s="327"/>
      <c r="BK113" s="647" t="s">
        <v>505</v>
      </c>
      <c r="BL113" s="326"/>
      <c r="BM113" s="327"/>
      <c r="BN113" s="71"/>
      <c r="BO113" s="71"/>
      <c r="BP113" s="646"/>
      <c r="BQ113" s="326"/>
      <c r="BR113" s="327"/>
      <c r="BS113" s="645" t="s">
        <v>303</v>
      </c>
      <c r="BT113" s="326"/>
      <c r="BU113" s="327"/>
    </row>
    <row r="114" spans="1:73" ht="30" customHeight="1" x14ac:dyDescent="0.25">
      <c r="A114" s="65">
        <f t="shared" si="0"/>
        <v>100</v>
      </c>
      <c r="B114" s="639" t="s">
        <v>334</v>
      </c>
      <c r="C114" s="327"/>
      <c r="D114" s="640" t="s">
        <v>303</v>
      </c>
      <c r="E114" s="326"/>
      <c r="F114" s="326"/>
      <c r="G114" s="327"/>
      <c r="H114" s="641" t="s">
        <v>303</v>
      </c>
      <c r="I114" s="326"/>
      <c r="J114" s="326"/>
      <c r="K114" s="327"/>
      <c r="L114" s="438" t="s">
        <v>303</v>
      </c>
      <c r="M114" s="326"/>
      <c r="N114" s="327"/>
      <c r="O114" s="519" t="s">
        <v>303</v>
      </c>
      <c r="P114" s="326"/>
      <c r="Q114" s="327"/>
      <c r="R114" s="527"/>
      <c r="S114" s="326"/>
      <c r="T114" s="327"/>
      <c r="U114" s="497"/>
      <c r="V114" s="326"/>
      <c r="W114" s="327"/>
      <c r="X114" s="66"/>
      <c r="Y114" s="67"/>
      <c r="Z114" s="66"/>
      <c r="AA114" s="67"/>
      <c r="AB114" s="66"/>
      <c r="AC114" s="67"/>
      <c r="AD114" s="66"/>
      <c r="AE114" s="67"/>
      <c r="AF114" s="66"/>
      <c r="AG114" s="67"/>
      <c r="AH114" s="66"/>
      <c r="AI114" s="67"/>
      <c r="AJ114" s="68"/>
      <c r="AK114" s="69"/>
      <c r="AL114" s="68"/>
      <c r="AM114" s="69"/>
      <c r="AN114" s="68"/>
      <c r="AO114" s="69"/>
      <c r="AP114" s="68"/>
      <c r="AQ114" s="69"/>
      <c r="AR114" s="68"/>
      <c r="AS114" s="642" t="s">
        <v>303</v>
      </c>
      <c r="AT114" s="326"/>
      <c r="AU114" s="326"/>
      <c r="AV114" s="326"/>
      <c r="AW114" s="326"/>
      <c r="AX114" s="326"/>
      <c r="AY114" s="327"/>
      <c r="AZ114" s="70"/>
      <c r="BA114" s="70"/>
      <c r="BB114" s="643" t="s">
        <v>334</v>
      </c>
      <c r="BC114" s="327"/>
      <c r="BD114" s="645" t="s">
        <v>303</v>
      </c>
      <c r="BE114" s="326"/>
      <c r="BF114" s="327"/>
      <c r="BG114" s="646" t="s">
        <v>303</v>
      </c>
      <c r="BH114" s="326"/>
      <c r="BI114" s="326"/>
      <c r="BJ114" s="327"/>
      <c r="BK114" s="647" t="s">
        <v>505</v>
      </c>
      <c r="BL114" s="326"/>
      <c r="BM114" s="327"/>
      <c r="BN114" s="71"/>
      <c r="BO114" s="71"/>
      <c r="BP114" s="646"/>
      <c r="BQ114" s="326"/>
      <c r="BR114" s="327"/>
      <c r="BS114" s="645" t="s">
        <v>303</v>
      </c>
      <c r="BT114" s="326"/>
      <c r="BU114" s="327"/>
    </row>
    <row r="115" spans="1:73" ht="30" customHeight="1" x14ac:dyDescent="0.25">
      <c r="A115" s="65">
        <f t="shared" si="0"/>
        <v>101</v>
      </c>
      <c r="B115" s="639" t="s">
        <v>334</v>
      </c>
      <c r="C115" s="327"/>
      <c r="D115" s="640" t="s">
        <v>303</v>
      </c>
      <c r="E115" s="326"/>
      <c r="F115" s="326"/>
      <c r="G115" s="327"/>
      <c r="H115" s="641" t="s">
        <v>303</v>
      </c>
      <c r="I115" s="326"/>
      <c r="J115" s="326"/>
      <c r="K115" s="327"/>
      <c r="L115" s="438" t="s">
        <v>303</v>
      </c>
      <c r="M115" s="326"/>
      <c r="N115" s="327"/>
      <c r="O115" s="519" t="s">
        <v>303</v>
      </c>
      <c r="P115" s="326"/>
      <c r="Q115" s="327"/>
      <c r="R115" s="527"/>
      <c r="S115" s="326"/>
      <c r="T115" s="327"/>
      <c r="U115" s="497"/>
      <c r="V115" s="326"/>
      <c r="W115" s="327"/>
      <c r="X115" s="66"/>
      <c r="Y115" s="67"/>
      <c r="Z115" s="66"/>
      <c r="AA115" s="67"/>
      <c r="AB115" s="66"/>
      <c r="AC115" s="67"/>
      <c r="AD115" s="66"/>
      <c r="AE115" s="67"/>
      <c r="AF115" s="66"/>
      <c r="AG115" s="67"/>
      <c r="AH115" s="66"/>
      <c r="AI115" s="67"/>
      <c r="AJ115" s="50"/>
      <c r="AK115" s="69"/>
      <c r="AL115" s="50"/>
      <c r="AM115" s="69"/>
      <c r="AN115" s="50"/>
      <c r="AO115" s="69"/>
      <c r="AP115" s="50"/>
      <c r="AQ115" s="69"/>
      <c r="AR115" s="50"/>
      <c r="AS115" s="642" t="s">
        <v>303</v>
      </c>
      <c r="AT115" s="326"/>
      <c r="AU115" s="326"/>
      <c r="AV115" s="326"/>
      <c r="AW115" s="326"/>
      <c r="AX115" s="326"/>
      <c r="AY115" s="327"/>
      <c r="AZ115" s="70"/>
      <c r="BA115" s="70"/>
      <c r="BB115" s="643" t="s">
        <v>334</v>
      </c>
      <c r="BC115" s="327"/>
      <c r="BD115" s="645" t="s">
        <v>303</v>
      </c>
      <c r="BE115" s="326"/>
      <c r="BF115" s="327"/>
      <c r="BG115" s="646" t="s">
        <v>303</v>
      </c>
      <c r="BH115" s="326"/>
      <c r="BI115" s="326"/>
      <c r="BJ115" s="327"/>
      <c r="BK115" s="647"/>
      <c r="BL115" s="326"/>
      <c r="BM115" s="327"/>
      <c r="BN115" s="71"/>
      <c r="BO115" s="71"/>
      <c r="BP115" s="646"/>
      <c r="BQ115" s="326"/>
      <c r="BR115" s="327"/>
      <c r="BS115" s="645" t="s">
        <v>303</v>
      </c>
      <c r="BT115" s="326"/>
      <c r="BU115" s="327"/>
    </row>
    <row r="116" spans="1:73" ht="30" customHeight="1" x14ac:dyDescent="0.25">
      <c r="A116" s="65">
        <f t="shared" si="0"/>
        <v>102</v>
      </c>
      <c r="B116" s="639" t="s">
        <v>334</v>
      </c>
      <c r="C116" s="327"/>
      <c r="D116" s="640" t="s">
        <v>303</v>
      </c>
      <c r="E116" s="326"/>
      <c r="F116" s="326"/>
      <c r="G116" s="327"/>
      <c r="H116" s="641" t="s">
        <v>303</v>
      </c>
      <c r="I116" s="326"/>
      <c r="J116" s="326"/>
      <c r="K116" s="327"/>
      <c r="L116" s="438" t="s">
        <v>303</v>
      </c>
      <c r="M116" s="326"/>
      <c r="N116" s="327"/>
      <c r="O116" s="519" t="s">
        <v>303</v>
      </c>
      <c r="P116" s="326"/>
      <c r="Q116" s="327"/>
      <c r="R116" s="527"/>
      <c r="S116" s="326"/>
      <c r="T116" s="327"/>
      <c r="U116" s="497"/>
      <c r="V116" s="326"/>
      <c r="W116" s="327"/>
      <c r="X116" s="66"/>
      <c r="Y116" s="67"/>
      <c r="Z116" s="66"/>
      <c r="AA116" s="67"/>
      <c r="AB116" s="66"/>
      <c r="AC116" s="67"/>
      <c r="AD116" s="66"/>
      <c r="AE116" s="67"/>
      <c r="AF116" s="66"/>
      <c r="AG116" s="67"/>
      <c r="AH116" s="66"/>
      <c r="AI116" s="67"/>
      <c r="AJ116" s="50"/>
      <c r="AK116" s="69"/>
      <c r="AL116" s="50"/>
      <c r="AM116" s="69"/>
      <c r="AN116" s="50"/>
      <c r="AO116" s="69"/>
      <c r="AP116" s="50"/>
      <c r="AQ116" s="69"/>
      <c r="AR116" s="50"/>
      <c r="AS116" s="642" t="s">
        <v>303</v>
      </c>
      <c r="AT116" s="326"/>
      <c r="AU116" s="326"/>
      <c r="AV116" s="326"/>
      <c r="AW116" s="326"/>
      <c r="AX116" s="326"/>
      <c r="AY116" s="327"/>
      <c r="AZ116" s="70"/>
      <c r="BA116" s="70"/>
      <c r="BB116" s="643" t="s">
        <v>334</v>
      </c>
      <c r="BC116" s="327"/>
      <c r="BD116" s="645" t="s">
        <v>303</v>
      </c>
      <c r="BE116" s="326"/>
      <c r="BF116" s="327"/>
      <c r="BG116" s="646" t="s">
        <v>303</v>
      </c>
      <c r="BH116" s="326"/>
      <c r="BI116" s="326"/>
      <c r="BJ116" s="327"/>
      <c r="BK116" s="647"/>
      <c r="BL116" s="326"/>
      <c r="BM116" s="327"/>
      <c r="BN116" s="71"/>
      <c r="BO116" s="71"/>
      <c r="BP116" s="646"/>
      <c r="BQ116" s="326"/>
      <c r="BR116" s="327"/>
      <c r="BS116" s="645" t="s">
        <v>303</v>
      </c>
      <c r="BT116" s="326"/>
      <c r="BU116" s="327"/>
    </row>
    <row r="117" spans="1:73" ht="30" customHeight="1" x14ac:dyDescent="0.25">
      <c r="A117" s="65">
        <f t="shared" si="0"/>
        <v>103</v>
      </c>
      <c r="B117" s="639" t="s">
        <v>334</v>
      </c>
      <c r="C117" s="327"/>
      <c r="D117" s="640" t="s">
        <v>303</v>
      </c>
      <c r="E117" s="326"/>
      <c r="F117" s="326"/>
      <c r="G117" s="327"/>
      <c r="H117" s="641" t="s">
        <v>303</v>
      </c>
      <c r="I117" s="326"/>
      <c r="J117" s="326"/>
      <c r="K117" s="327"/>
      <c r="L117" s="438" t="s">
        <v>303</v>
      </c>
      <c r="M117" s="326"/>
      <c r="N117" s="327"/>
      <c r="O117" s="519" t="s">
        <v>303</v>
      </c>
      <c r="P117" s="326"/>
      <c r="Q117" s="327"/>
      <c r="R117" s="527"/>
      <c r="S117" s="326"/>
      <c r="T117" s="327"/>
      <c r="U117" s="497"/>
      <c r="V117" s="326"/>
      <c r="W117" s="327"/>
      <c r="X117" s="66"/>
      <c r="Y117" s="67"/>
      <c r="Z117" s="66"/>
      <c r="AA117" s="67"/>
      <c r="AB117" s="66"/>
      <c r="AC117" s="67"/>
      <c r="AD117" s="66"/>
      <c r="AE117" s="67"/>
      <c r="AF117" s="66"/>
      <c r="AG117" s="67"/>
      <c r="AH117" s="66"/>
      <c r="AI117" s="67"/>
      <c r="AJ117" s="50"/>
      <c r="AK117" s="69"/>
      <c r="AL117" s="50"/>
      <c r="AM117" s="69"/>
      <c r="AN117" s="50"/>
      <c r="AO117" s="69"/>
      <c r="AP117" s="50"/>
      <c r="AQ117" s="69"/>
      <c r="AR117" s="50"/>
      <c r="AS117" s="642" t="s">
        <v>303</v>
      </c>
      <c r="AT117" s="326"/>
      <c r="AU117" s="326"/>
      <c r="AV117" s="326"/>
      <c r="AW117" s="326"/>
      <c r="AX117" s="326"/>
      <c r="AY117" s="327"/>
      <c r="AZ117" s="70"/>
      <c r="BA117" s="70"/>
      <c r="BB117" s="643" t="s">
        <v>334</v>
      </c>
      <c r="BC117" s="327"/>
      <c r="BD117" s="645" t="s">
        <v>303</v>
      </c>
      <c r="BE117" s="326"/>
      <c r="BF117" s="327"/>
      <c r="BG117" s="646" t="s">
        <v>303</v>
      </c>
      <c r="BH117" s="326"/>
      <c r="BI117" s="326"/>
      <c r="BJ117" s="327"/>
      <c r="BK117" s="647"/>
      <c r="BL117" s="326"/>
      <c r="BM117" s="327"/>
      <c r="BN117" s="71"/>
      <c r="BO117" s="71"/>
      <c r="BP117" s="646"/>
      <c r="BQ117" s="326"/>
      <c r="BR117" s="327"/>
      <c r="BS117" s="645" t="s">
        <v>303</v>
      </c>
      <c r="BT117" s="326"/>
      <c r="BU117" s="327"/>
    </row>
    <row r="118" spans="1:73" ht="30" customHeight="1" x14ac:dyDescent="0.25">
      <c r="A118" s="65">
        <f t="shared" si="0"/>
        <v>104</v>
      </c>
      <c r="B118" s="639" t="s">
        <v>334</v>
      </c>
      <c r="C118" s="327"/>
      <c r="D118" s="640" t="s">
        <v>303</v>
      </c>
      <c r="E118" s="326"/>
      <c r="F118" s="326"/>
      <c r="G118" s="327"/>
      <c r="H118" s="641" t="s">
        <v>303</v>
      </c>
      <c r="I118" s="326"/>
      <c r="J118" s="326"/>
      <c r="K118" s="327"/>
      <c r="L118" s="438" t="s">
        <v>303</v>
      </c>
      <c r="M118" s="326"/>
      <c r="N118" s="327"/>
      <c r="O118" s="519" t="s">
        <v>303</v>
      </c>
      <c r="P118" s="326"/>
      <c r="Q118" s="327"/>
      <c r="R118" s="527"/>
      <c r="S118" s="326"/>
      <c r="T118" s="327"/>
      <c r="U118" s="497"/>
      <c r="V118" s="326"/>
      <c r="W118" s="327"/>
      <c r="X118" s="66"/>
      <c r="Y118" s="67"/>
      <c r="Z118" s="66"/>
      <c r="AA118" s="67"/>
      <c r="AB118" s="66"/>
      <c r="AC118" s="67"/>
      <c r="AD118" s="66"/>
      <c r="AE118" s="67"/>
      <c r="AF118" s="66"/>
      <c r="AG118" s="67"/>
      <c r="AH118" s="66"/>
      <c r="AI118" s="67"/>
      <c r="AJ118" s="50"/>
      <c r="AK118" s="69"/>
      <c r="AL118" s="50"/>
      <c r="AM118" s="69"/>
      <c r="AN118" s="50"/>
      <c r="AO118" s="69"/>
      <c r="AP118" s="50"/>
      <c r="AQ118" s="69"/>
      <c r="AR118" s="50"/>
      <c r="AS118" s="642" t="s">
        <v>303</v>
      </c>
      <c r="AT118" s="326"/>
      <c r="AU118" s="326"/>
      <c r="AV118" s="326"/>
      <c r="AW118" s="326"/>
      <c r="AX118" s="326"/>
      <c r="AY118" s="327"/>
      <c r="AZ118" s="70"/>
      <c r="BA118" s="70"/>
      <c r="BB118" s="643" t="s">
        <v>334</v>
      </c>
      <c r="BC118" s="327"/>
      <c r="BD118" s="645" t="s">
        <v>303</v>
      </c>
      <c r="BE118" s="326"/>
      <c r="BF118" s="327"/>
      <c r="BG118" s="646" t="s">
        <v>303</v>
      </c>
      <c r="BH118" s="326"/>
      <c r="BI118" s="326"/>
      <c r="BJ118" s="327"/>
      <c r="BK118" s="647"/>
      <c r="BL118" s="326"/>
      <c r="BM118" s="327"/>
      <c r="BN118" s="71"/>
      <c r="BO118" s="71"/>
      <c r="BP118" s="646"/>
      <c r="BQ118" s="326"/>
      <c r="BR118" s="327"/>
      <c r="BS118" s="645" t="s">
        <v>303</v>
      </c>
      <c r="BT118" s="326"/>
      <c r="BU118" s="327"/>
    </row>
    <row r="119" spans="1:73" ht="30" customHeight="1" x14ac:dyDescent="0.25">
      <c r="A119" s="65">
        <f t="shared" si="0"/>
        <v>105</v>
      </c>
      <c r="B119" s="639" t="s">
        <v>334</v>
      </c>
      <c r="C119" s="327"/>
      <c r="D119" s="640" t="s">
        <v>303</v>
      </c>
      <c r="E119" s="326"/>
      <c r="F119" s="326"/>
      <c r="G119" s="327"/>
      <c r="H119" s="641" t="s">
        <v>303</v>
      </c>
      <c r="I119" s="326"/>
      <c r="J119" s="326"/>
      <c r="K119" s="327"/>
      <c r="L119" s="438" t="s">
        <v>303</v>
      </c>
      <c r="M119" s="326"/>
      <c r="N119" s="327"/>
      <c r="O119" s="519" t="s">
        <v>303</v>
      </c>
      <c r="P119" s="326"/>
      <c r="Q119" s="327"/>
      <c r="R119" s="527"/>
      <c r="S119" s="326"/>
      <c r="T119" s="327"/>
      <c r="U119" s="497"/>
      <c r="V119" s="326"/>
      <c r="W119" s="327"/>
      <c r="X119" s="66"/>
      <c r="Y119" s="67"/>
      <c r="Z119" s="66"/>
      <c r="AA119" s="67"/>
      <c r="AB119" s="66"/>
      <c r="AC119" s="67"/>
      <c r="AD119" s="66"/>
      <c r="AE119" s="67"/>
      <c r="AF119" s="66"/>
      <c r="AG119" s="67"/>
      <c r="AH119" s="66"/>
      <c r="AI119" s="67"/>
      <c r="AJ119" s="50"/>
      <c r="AK119" s="69"/>
      <c r="AL119" s="50"/>
      <c r="AM119" s="69"/>
      <c r="AN119" s="50"/>
      <c r="AO119" s="69"/>
      <c r="AP119" s="50"/>
      <c r="AQ119" s="69"/>
      <c r="AR119" s="50"/>
      <c r="AS119" s="642" t="s">
        <v>303</v>
      </c>
      <c r="AT119" s="326"/>
      <c r="AU119" s="326"/>
      <c r="AV119" s="326"/>
      <c r="AW119" s="326"/>
      <c r="AX119" s="326"/>
      <c r="AY119" s="327"/>
      <c r="AZ119" s="70"/>
      <c r="BA119" s="70"/>
      <c r="BB119" s="643" t="s">
        <v>334</v>
      </c>
      <c r="BC119" s="327"/>
      <c r="BD119" s="645" t="s">
        <v>303</v>
      </c>
      <c r="BE119" s="326"/>
      <c r="BF119" s="327"/>
      <c r="BG119" s="646" t="s">
        <v>303</v>
      </c>
      <c r="BH119" s="326"/>
      <c r="BI119" s="326"/>
      <c r="BJ119" s="327"/>
      <c r="BK119" s="647"/>
      <c r="BL119" s="326"/>
      <c r="BM119" s="327"/>
      <c r="BN119" s="71"/>
      <c r="BO119" s="71"/>
      <c r="BP119" s="646"/>
      <c r="BQ119" s="326"/>
      <c r="BR119" s="327"/>
      <c r="BS119" s="645" t="s">
        <v>303</v>
      </c>
      <c r="BT119" s="326"/>
      <c r="BU119" s="327"/>
    </row>
    <row r="120" spans="1:73" ht="30" customHeight="1" x14ac:dyDescent="0.25">
      <c r="A120" s="65">
        <f t="shared" si="0"/>
        <v>106</v>
      </c>
      <c r="B120" s="639" t="s">
        <v>334</v>
      </c>
      <c r="C120" s="327"/>
      <c r="D120" s="640" t="s">
        <v>303</v>
      </c>
      <c r="E120" s="326"/>
      <c r="F120" s="326"/>
      <c r="G120" s="327"/>
      <c r="H120" s="641" t="s">
        <v>303</v>
      </c>
      <c r="I120" s="326"/>
      <c r="J120" s="326"/>
      <c r="K120" s="327"/>
      <c r="L120" s="438" t="s">
        <v>303</v>
      </c>
      <c r="M120" s="326"/>
      <c r="N120" s="327"/>
      <c r="O120" s="519" t="s">
        <v>303</v>
      </c>
      <c r="P120" s="326"/>
      <c r="Q120" s="327"/>
      <c r="R120" s="527"/>
      <c r="S120" s="326"/>
      <c r="T120" s="327"/>
      <c r="U120" s="497"/>
      <c r="V120" s="326"/>
      <c r="W120" s="327"/>
      <c r="X120" s="66"/>
      <c r="Y120" s="67"/>
      <c r="Z120" s="66"/>
      <c r="AA120" s="67"/>
      <c r="AB120" s="66"/>
      <c r="AC120" s="67"/>
      <c r="AD120" s="66"/>
      <c r="AE120" s="67"/>
      <c r="AF120" s="66"/>
      <c r="AG120" s="67"/>
      <c r="AH120" s="66"/>
      <c r="AI120" s="67"/>
      <c r="AJ120" s="50"/>
      <c r="AK120" s="69"/>
      <c r="AL120" s="50"/>
      <c r="AM120" s="69"/>
      <c r="AN120" s="50"/>
      <c r="AO120" s="69"/>
      <c r="AP120" s="50"/>
      <c r="AQ120" s="69"/>
      <c r="AR120" s="50"/>
      <c r="AS120" s="642" t="s">
        <v>303</v>
      </c>
      <c r="AT120" s="326"/>
      <c r="AU120" s="326"/>
      <c r="AV120" s="326"/>
      <c r="AW120" s="326"/>
      <c r="AX120" s="326"/>
      <c r="AY120" s="327"/>
      <c r="AZ120" s="70"/>
      <c r="BA120" s="70"/>
      <c r="BB120" s="644" t="s">
        <v>334</v>
      </c>
      <c r="BC120" s="327"/>
      <c r="BD120" s="645" t="s">
        <v>303</v>
      </c>
      <c r="BE120" s="326"/>
      <c r="BF120" s="327"/>
      <c r="BG120" s="646" t="s">
        <v>303</v>
      </c>
      <c r="BH120" s="326"/>
      <c r="BI120" s="326"/>
      <c r="BJ120" s="327"/>
      <c r="BK120" s="647"/>
      <c r="BL120" s="326"/>
      <c r="BM120" s="327"/>
      <c r="BN120" s="71"/>
      <c r="BO120" s="71"/>
      <c r="BP120" s="646"/>
      <c r="BQ120" s="326"/>
      <c r="BR120" s="327"/>
      <c r="BS120" s="645" t="s">
        <v>303</v>
      </c>
      <c r="BT120" s="326"/>
      <c r="BU120" s="327"/>
    </row>
    <row r="121" spans="1:73" ht="30" customHeight="1" x14ac:dyDescent="0.25">
      <c r="A121" s="65">
        <f t="shared" si="0"/>
        <v>107</v>
      </c>
      <c r="B121" s="639" t="s">
        <v>334</v>
      </c>
      <c r="C121" s="327"/>
      <c r="D121" s="640" t="s">
        <v>303</v>
      </c>
      <c r="E121" s="326"/>
      <c r="F121" s="326"/>
      <c r="G121" s="327"/>
      <c r="H121" s="641" t="s">
        <v>303</v>
      </c>
      <c r="I121" s="326"/>
      <c r="J121" s="326"/>
      <c r="K121" s="327"/>
      <c r="L121" s="438" t="s">
        <v>303</v>
      </c>
      <c r="M121" s="326"/>
      <c r="N121" s="327"/>
      <c r="O121" s="519" t="s">
        <v>303</v>
      </c>
      <c r="P121" s="326"/>
      <c r="Q121" s="327"/>
      <c r="R121" s="527"/>
      <c r="S121" s="326"/>
      <c r="T121" s="327"/>
      <c r="U121" s="497"/>
      <c r="V121" s="326"/>
      <c r="W121" s="327"/>
      <c r="X121" s="66"/>
      <c r="Y121" s="67"/>
      <c r="Z121" s="66"/>
      <c r="AA121" s="67"/>
      <c r="AB121" s="66"/>
      <c r="AC121" s="67"/>
      <c r="AD121" s="66"/>
      <c r="AE121" s="67"/>
      <c r="AF121" s="66"/>
      <c r="AG121" s="67"/>
      <c r="AH121" s="66"/>
      <c r="AI121" s="67"/>
      <c r="AJ121" s="50"/>
      <c r="AK121" s="69"/>
      <c r="AL121" s="50"/>
      <c r="AM121" s="69"/>
      <c r="AN121" s="50"/>
      <c r="AO121" s="69"/>
      <c r="AP121" s="50"/>
      <c r="AQ121" s="69"/>
      <c r="AR121" s="50"/>
      <c r="AS121" s="642" t="s">
        <v>303</v>
      </c>
      <c r="AT121" s="326"/>
      <c r="AU121" s="326"/>
      <c r="AV121" s="326"/>
      <c r="AW121" s="326"/>
      <c r="AX121" s="326"/>
      <c r="AY121" s="327"/>
      <c r="AZ121" s="70"/>
      <c r="BA121" s="70"/>
      <c r="BB121" s="643" t="s">
        <v>334</v>
      </c>
      <c r="BC121" s="327"/>
      <c r="BD121" s="645" t="s">
        <v>303</v>
      </c>
      <c r="BE121" s="326"/>
      <c r="BF121" s="327"/>
      <c r="BG121" s="646" t="s">
        <v>303</v>
      </c>
      <c r="BH121" s="326"/>
      <c r="BI121" s="326"/>
      <c r="BJ121" s="327"/>
      <c r="BK121" s="647"/>
      <c r="BL121" s="326"/>
      <c r="BM121" s="327"/>
      <c r="BN121" s="71"/>
      <c r="BO121" s="71"/>
      <c r="BP121" s="646"/>
      <c r="BQ121" s="326"/>
      <c r="BR121" s="327"/>
      <c r="BS121" s="645" t="s">
        <v>303</v>
      </c>
      <c r="BT121" s="326"/>
      <c r="BU121" s="327"/>
    </row>
    <row r="122" spans="1:73" ht="30" customHeight="1" x14ac:dyDescent="0.25">
      <c r="A122" s="65">
        <f t="shared" si="0"/>
        <v>108</v>
      </c>
      <c r="B122" s="639" t="s">
        <v>334</v>
      </c>
      <c r="C122" s="327"/>
      <c r="D122" s="640" t="s">
        <v>303</v>
      </c>
      <c r="E122" s="326"/>
      <c r="F122" s="326"/>
      <c r="G122" s="327"/>
      <c r="H122" s="641" t="s">
        <v>303</v>
      </c>
      <c r="I122" s="326"/>
      <c r="J122" s="326"/>
      <c r="K122" s="327"/>
      <c r="L122" s="438" t="s">
        <v>303</v>
      </c>
      <c r="M122" s="326"/>
      <c r="N122" s="327"/>
      <c r="O122" s="519" t="s">
        <v>303</v>
      </c>
      <c r="P122" s="326"/>
      <c r="Q122" s="327"/>
      <c r="R122" s="527"/>
      <c r="S122" s="326"/>
      <c r="T122" s="327"/>
      <c r="U122" s="497"/>
      <c r="V122" s="326"/>
      <c r="W122" s="327"/>
      <c r="X122" s="66"/>
      <c r="Y122" s="67"/>
      <c r="Z122" s="66"/>
      <c r="AA122" s="67"/>
      <c r="AB122" s="66"/>
      <c r="AC122" s="67"/>
      <c r="AD122" s="66"/>
      <c r="AE122" s="67"/>
      <c r="AF122" s="66"/>
      <c r="AG122" s="67"/>
      <c r="AH122" s="66"/>
      <c r="AI122" s="67"/>
      <c r="AJ122" s="50"/>
      <c r="AK122" s="69"/>
      <c r="AL122" s="50"/>
      <c r="AM122" s="69"/>
      <c r="AN122" s="50"/>
      <c r="AO122" s="69"/>
      <c r="AP122" s="50"/>
      <c r="AQ122" s="69"/>
      <c r="AR122" s="50"/>
      <c r="AS122" s="642" t="s">
        <v>303</v>
      </c>
      <c r="AT122" s="326"/>
      <c r="AU122" s="326"/>
      <c r="AV122" s="326"/>
      <c r="AW122" s="326"/>
      <c r="AX122" s="326"/>
      <c r="AY122" s="327"/>
      <c r="AZ122" s="70"/>
      <c r="BA122" s="70"/>
      <c r="BB122" s="643" t="s">
        <v>334</v>
      </c>
      <c r="BC122" s="327"/>
      <c r="BD122" s="645" t="s">
        <v>303</v>
      </c>
      <c r="BE122" s="326"/>
      <c r="BF122" s="327"/>
      <c r="BG122" s="646" t="s">
        <v>303</v>
      </c>
      <c r="BH122" s="326"/>
      <c r="BI122" s="326"/>
      <c r="BJ122" s="327"/>
      <c r="BK122" s="647"/>
      <c r="BL122" s="326"/>
      <c r="BM122" s="327"/>
      <c r="BN122" s="71"/>
      <c r="BO122" s="71"/>
      <c r="BP122" s="646"/>
      <c r="BQ122" s="326"/>
      <c r="BR122" s="327"/>
      <c r="BS122" s="645" t="s">
        <v>303</v>
      </c>
      <c r="BT122" s="326"/>
      <c r="BU122" s="327"/>
    </row>
    <row r="123" spans="1:73" ht="30" customHeight="1" x14ac:dyDescent="0.25">
      <c r="A123" s="65">
        <f t="shared" si="0"/>
        <v>109</v>
      </c>
      <c r="B123" s="639" t="s">
        <v>334</v>
      </c>
      <c r="C123" s="327"/>
      <c r="D123" s="640" t="s">
        <v>303</v>
      </c>
      <c r="E123" s="326"/>
      <c r="F123" s="326"/>
      <c r="G123" s="327"/>
      <c r="H123" s="641" t="s">
        <v>303</v>
      </c>
      <c r="I123" s="326"/>
      <c r="J123" s="326"/>
      <c r="K123" s="327"/>
      <c r="L123" s="438" t="s">
        <v>303</v>
      </c>
      <c r="M123" s="326"/>
      <c r="N123" s="327"/>
      <c r="O123" s="519" t="s">
        <v>303</v>
      </c>
      <c r="P123" s="326"/>
      <c r="Q123" s="327"/>
      <c r="R123" s="527"/>
      <c r="S123" s="326"/>
      <c r="T123" s="327"/>
      <c r="U123" s="497"/>
      <c r="V123" s="326"/>
      <c r="W123" s="327"/>
      <c r="X123" s="66"/>
      <c r="Y123" s="67"/>
      <c r="Z123" s="66"/>
      <c r="AA123" s="67"/>
      <c r="AB123" s="66"/>
      <c r="AC123" s="67"/>
      <c r="AD123" s="66"/>
      <c r="AE123" s="67"/>
      <c r="AF123" s="66"/>
      <c r="AG123" s="67"/>
      <c r="AH123" s="66"/>
      <c r="AI123" s="67"/>
      <c r="AJ123" s="50"/>
      <c r="AK123" s="69"/>
      <c r="AL123" s="50"/>
      <c r="AM123" s="69"/>
      <c r="AN123" s="50"/>
      <c r="AO123" s="69"/>
      <c r="AP123" s="50"/>
      <c r="AQ123" s="69"/>
      <c r="AR123" s="50"/>
      <c r="AS123" s="642" t="s">
        <v>303</v>
      </c>
      <c r="AT123" s="326"/>
      <c r="AU123" s="326"/>
      <c r="AV123" s="326"/>
      <c r="AW123" s="326"/>
      <c r="AX123" s="326"/>
      <c r="AY123" s="327"/>
      <c r="AZ123" s="70"/>
      <c r="BA123" s="70"/>
      <c r="BB123" s="643" t="s">
        <v>334</v>
      </c>
      <c r="BC123" s="327"/>
      <c r="BD123" s="645" t="s">
        <v>303</v>
      </c>
      <c r="BE123" s="326"/>
      <c r="BF123" s="327"/>
      <c r="BG123" s="646" t="s">
        <v>303</v>
      </c>
      <c r="BH123" s="326"/>
      <c r="BI123" s="326"/>
      <c r="BJ123" s="327"/>
      <c r="BK123" s="647"/>
      <c r="BL123" s="326"/>
      <c r="BM123" s="327"/>
      <c r="BN123" s="71"/>
      <c r="BO123" s="71"/>
      <c r="BP123" s="646"/>
      <c r="BQ123" s="326"/>
      <c r="BR123" s="327"/>
      <c r="BS123" s="645" t="s">
        <v>303</v>
      </c>
      <c r="BT123" s="326"/>
      <c r="BU123" s="327"/>
    </row>
    <row r="124" spans="1:73" ht="30" customHeight="1" x14ac:dyDescent="0.25">
      <c r="A124" s="65">
        <f t="shared" si="0"/>
        <v>110</v>
      </c>
      <c r="B124" s="639" t="s">
        <v>334</v>
      </c>
      <c r="C124" s="327"/>
      <c r="D124" s="640" t="s">
        <v>303</v>
      </c>
      <c r="E124" s="326"/>
      <c r="F124" s="326"/>
      <c r="G124" s="327"/>
      <c r="H124" s="641" t="s">
        <v>303</v>
      </c>
      <c r="I124" s="326"/>
      <c r="J124" s="326"/>
      <c r="K124" s="327"/>
      <c r="L124" s="438" t="s">
        <v>303</v>
      </c>
      <c r="M124" s="326"/>
      <c r="N124" s="327"/>
      <c r="O124" s="519" t="s">
        <v>303</v>
      </c>
      <c r="P124" s="326"/>
      <c r="Q124" s="327"/>
      <c r="R124" s="527"/>
      <c r="S124" s="326"/>
      <c r="T124" s="327"/>
      <c r="U124" s="497"/>
      <c r="V124" s="326"/>
      <c r="W124" s="327"/>
      <c r="X124" s="66"/>
      <c r="Y124" s="67"/>
      <c r="Z124" s="66"/>
      <c r="AA124" s="67"/>
      <c r="AB124" s="66"/>
      <c r="AC124" s="67"/>
      <c r="AD124" s="66"/>
      <c r="AE124" s="67"/>
      <c r="AF124" s="66"/>
      <c r="AG124" s="67"/>
      <c r="AH124" s="66"/>
      <c r="AI124" s="67"/>
      <c r="AJ124" s="50"/>
      <c r="AK124" s="69"/>
      <c r="AL124" s="50"/>
      <c r="AM124" s="69"/>
      <c r="AN124" s="50"/>
      <c r="AO124" s="69"/>
      <c r="AP124" s="50"/>
      <c r="AQ124" s="69"/>
      <c r="AR124" s="50"/>
      <c r="AS124" s="642" t="s">
        <v>303</v>
      </c>
      <c r="AT124" s="326"/>
      <c r="AU124" s="326"/>
      <c r="AV124" s="326"/>
      <c r="AW124" s="326"/>
      <c r="AX124" s="326"/>
      <c r="AY124" s="327"/>
      <c r="AZ124" s="70"/>
      <c r="BA124" s="70"/>
      <c r="BB124" s="643" t="s">
        <v>334</v>
      </c>
      <c r="BC124" s="327"/>
      <c r="BD124" s="645" t="s">
        <v>303</v>
      </c>
      <c r="BE124" s="326"/>
      <c r="BF124" s="327"/>
      <c r="BG124" s="646" t="s">
        <v>303</v>
      </c>
      <c r="BH124" s="326"/>
      <c r="BI124" s="326"/>
      <c r="BJ124" s="327"/>
      <c r="BK124" s="647"/>
      <c r="BL124" s="326"/>
      <c r="BM124" s="327"/>
      <c r="BN124" s="71"/>
      <c r="BO124" s="71"/>
      <c r="BP124" s="646"/>
      <c r="BQ124" s="326"/>
      <c r="BR124" s="327"/>
      <c r="BS124" s="645" t="s">
        <v>303</v>
      </c>
      <c r="BT124" s="326"/>
      <c r="BU124" s="327"/>
    </row>
    <row r="125" spans="1:73" ht="30" customHeight="1" x14ac:dyDescent="0.25">
      <c r="A125" s="65">
        <f t="shared" si="0"/>
        <v>111</v>
      </c>
      <c r="B125" s="639" t="s">
        <v>334</v>
      </c>
      <c r="C125" s="327"/>
      <c r="D125" s="640" t="s">
        <v>303</v>
      </c>
      <c r="E125" s="326"/>
      <c r="F125" s="326"/>
      <c r="G125" s="327"/>
      <c r="H125" s="641" t="s">
        <v>303</v>
      </c>
      <c r="I125" s="326"/>
      <c r="J125" s="326"/>
      <c r="K125" s="327"/>
      <c r="L125" s="438" t="s">
        <v>303</v>
      </c>
      <c r="M125" s="326"/>
      <c r="N125" s="327"/>
      <c r="O125" s="519" t="s">
        <v>303</v>
      </c>
      <c r="P125" s="326"/>
      <c r="Q125" s="327"/>
      <c r="R125" s="527"/>
      <c r="S125" s="326"/>
      <c r="T125" s="327"/>
      <c r="U125" s="497"/>
      <c r="V125" s="326"/>
      <c r="W125" s="327"/>
      <c r="X125" s="66"/>
      <c r="Y125" s="67"/>
      <c r="Z125" s="66"/>
      <c r="AA125" s="67"/>
      <c r="AB125" s="66"/>
      <c r="AC125" s="67"/>
      <c r="AD125" s="66"/>
      <c r="AE125" s="67"/>
      <c r="AF125" s="66"/>
      <c r="AG125" s="67"/>
      <c r="AH125" s="66"/>
      <c r="AI125" s="67"/>
      <c r="AJ125" s="50"/>
      <c r="AK125" s="69"/>
      <c r="AL125" s="50"/>
      <c r="AM125" s="69"/>
      <c r="AN125" s="50"/>
      <c r="AO125" s="69"/>
      <c r="AP125" s="50"/>
      <c r="AQ125" s="69"/>
      <c r="AR125" s="50"/>
      <c r="AS125" s="642" t="s">
        <v>303</v>
      </c>
      <c r="AT125" s="326"/>
      <c r="AU125" s="326"/>
      <c r="AV125" s="326"/>
      <c r="AW125" s="326"/>
      <c r="AX125" s="326"/>
      <c r="AY125" s="327"/>
      <c r="AZ125" s="70"/>
      <c r="BA125" s="70"/>
      <c r="BB125" s="643" t="s">
        <v>334</v>
      </c>
      <c r="BC125" s="327"/>
      <c r="BD125" s="645" t="s">
        <v>303</v>
      </c>
      <c r="BE125" s="326"/>
      <c r="BF125" s="327"/>
      <c r="BG125" s="646" t="s">
        <v>303</v>
      </c>
      <c r="BH125" s="326"/>
      <c r="BI125" s="326"/>
      <c r="BJ125" s="327"/>
      <c r="BK125" s="647"/>
      <c r="BL125" s="326"/>
      <c r="BM125" s="327"/>
      <c r="BN125" s="71"/>
      <c r="BO125" s="71"/>
      <c r="BP125" s="646"/>
      <c r="BQ125" s="326"/>
      <c r="BR125" s="327"/>
      <c r="BS125" s="645" t="s">
        <v>303</v>
      </c>
      <c r="BT125" s="326"/>
      <c r="BU125" s="327"/>
    </row>
    <row r="126" spans="1:73" ht="30" customHeight="1" x14ac:dyDescent="0.25">
      <c r="A126" s="65">
        <f t="shared" si="0"/>
        <v>112</v>
      </c>
      <c r="B126" s="639" t="s">
        <v>334</v>
      </c>
      <c r="C126" s="327"/>
      <c r="D126" s="640" t="s">
        <v>303</v>
      </c>
      <c r="E126" s="326"/>
      <c r="F126" s="326"/>
      <c r="G126" s="327"/>
      <c r="H126" s="641" t="s">
        <v>303</v>
      </c>
      <c r="I126" s="326"/>
      <c r="J126" s="326"/>
      <c r="K126" s="327"/>
      <c r="L126" s="438" t="s">
        <v>303</v>
      </c>
      <c r="M126" s="326"/>
      <c r="N126" s="327"/>
      <c r="O126" s="519" t="s">
        <v>303</v>
      </c>
      <c r="P126" s="326"/>
      <c r="Q126" s="327"/>
      <c r="R126" s="527"/>
      <c r="S126" s="326"/>
      <c r="T126" s="327"/>
      <c r="U126" s="497"/>
      <c r="V126" s="326"/>
      <c r="W126" s="327"/>
      <c r="X126" s="66"/>
      <c r="Y126" s="67"/>
      <c r="Z126" s="66"/>
      <c r="AA126" s="67"/>
      <c r="AB126" s="66"/>
      <c r="AC126" s="67"/>
      <c r="AD126" s="66"/>
      <c r="AE126" s="67"/>
      <c r="AF126" s="66"/>
      <c r="AG126" s="67"/>
      <c r="AH126" s="66"/>
      <c r="AI126" s="67"/>
      <c r="AJ126" s="50"/>
      <c r="AK126" s="69"/>
      <c r="AL126" s="50"/>
      <c r="AM126" s="69"/>
      <c r="AN126" s="50"/>
      <c r="AO126" s="69"/>
      <c r="AP126" s="50"/>
      <c r="AQ126" s="69"/>
      <c r="AR126" s="50"/>
      <c r="AS126" s="642" t="s">
        <v>303</v>
      </c>
      <c r="AT126" s="326"/>
      <c r="AU126" s="326"/>
      <c r="AV126" s="326"/>
      <c r="AW126" s="326"/>
      <c r="AX126" s="326"/>
      <c r="AY126" s="327"/>
      <c r="AZ126" s="70"/>
      <c r="BA126" s="70"/>
      <c r="BB126" s="643" t="s">
        <v>334</v>
      </c>
      <c r="BC126" s="327"/>
      <c r="BD126" s="645" t="s">
        <v>303</v>
      </c>
      <c r="BE126" s="326"/>
      <c r="BF126" s="327"/>
      <c r="BG126" s="646" t="s">
        <v>303</v>
      </c>
      <c r="BH126" s="326"/>
      <c r="BI126" s="326"/>
      <c r="BJ126" s="327"/>
      <c r="BK126" s="647"/>
      <c r="BL126" s="326"/>
      <c r="BM126" s="327"/>
      <c r="BN126" s="71"/>
      <c r="BO126" s="71"/>
      <c r="BP126" s="646"/>
      <c r="BQ126" s="326"/>
      <c r="BR126" s="327"/>
      <c r="BS126" s="645" t="s">
        <v>303</v>
      </c>
      <c r="BT126" s="326"/>
      <c r="BU126" s="327"/>
    </row>
    <row r="127" spans="1:73" ht="30" customHeight="1" x14ac:dyDescent="0.25">
      <c r="A127" s="65">
        <f t="shared" si="0"/>
        <v>113</v>
      </c>
      <c r="B127" s="639" t="s">
        <v>334</v>
      </c>
      <c r="C127" s="327"/>
      <c r="D127" s="640" t="s">
        <v>303</v>
      </c>
      <c r="E127" s="326"/>
      <c r="F127" s="326"/>
      <c r="G127" s="327"/>
      <c r="H127" s="641" t="s">
        <v>303</v>
      </c>
      <c r="I127" s="326"/>
      <c r="J127" s="326"/>
      <c r="K127" s="327"/>
      <c r="L127" s="438" t="s">
        <v>303</v>
      </c>
      <c r="M127" s="326"/>
      <c r="N127" s="327"/>
      <c r="O127" s="519" t="s">
        <v>303</v>
      </c>
      <c r="P127" s="326"/>
      <c r="Q127" s="327"/>
      <c r="R127" s="527"/>
      <c r="S127" s="326"/>
      <c r="T127" s="327"/>
      <c r="U127" s="497"/>
      <c r="V127" s="326"/>
      <c r="W127" s="327"/>
      <c r="X127" s="66"/>
      <c r="Y127" s="67"/>
      <c r="Z127" s="66"/>
      <c r="AA127" s="67"/>
      <c r="AB127" s="66"/>
      <c r="AC127" s="67"/>
      <c r="AD127" s="66"/>
      <c r="AE127" s="67"/>
      <c r="AF127" s="66"/>
      <c r="AG127" s="67"/>
      <c r="AH127" s="66"/>
      <c r="AI127" s="67"/>
      <c r="AJ127" s="50"/>
      <c r="AK127" s="69"/>
      <c r="AL127" s="50"/>
      <c r="AM127" s="69"/>
      <c r="AN127" s="50"/>
      <c r="AO127" s="69"/>
      <c r="AP127" s="50"/>
      <c r="AQ127" s="69"/>
      <c r="AR127" s="50"/>
      <c r="AS127" s="642" t="s">
        <v>303</v>
      </c>
      <c r="AT127" s="326"/>
      <c r="AU127" s="326"/>
      <c r="AV127" s="326"/>
      <c r="AW127" s="326"/>
      <c r="AX127" s="326"/>
      <c r="AY127" s="327"/>
      <c r="AZ127" s="70"/>
      <c r="BA127" s="70"/>
      <c r="BB127" s="644" t="s">
        <v>334</v>
      </c>
      <c r="BC127" s="327"/>
      <c r="BD127" s="645" t="s">
        <v>303</v>
      </c>
      <c r="BE127" s="326"/>
      <c r="BF127" s="327"/>
      <c r="BG127" s="646" t="s">
        <v>303</v>
      </c>
      <c r="BH127" s="326"/>
      <c r="BI127" s="326"/>
      <c r="BJ127" s="327"/>
      <c r="BK127" s="647"/>
      <c r="BL127" s="326"/>
      <c r="BM127" s="327"/>
      <c r="BN127" s="71"/>
      <c r="BO127" s="71"/>
      <c r="BP127" s="646"/>
      <c r="BQ127" s="326"/>
      <c r="BR127" s="327"/>
      <c r="BS127" s="645" t="s">
        <v>303</v>
      </c>
      <c r="BT127" s="326"/>
      <c r="BU127" s="327"/>
    </row>
    <row r="128" spans="1:73" ht="30" customHeight="1" x14ac:dyDescent="0.25">
      <c r="A128" s="65">
        <f t="shared" si="0"/>
        <v>114</v>
      </c>
      <c r="B128" s="639" t="s">
        <v>334</v>
      </c>
      <c r="C128" s="327"/>
      <c r="D128" s="640" t="s">
        <v>303</v>
      </c>
      <c r="E128" s="326"/>
      <c r="F128" s="326"/>
      <c r="G128" s="327"/>
      <c r="H128" s="641" t="s">
        <v>303</v>
      </c>
      <c r="I128" s="326"/>
      <c r="J128" s="326"/>
      <c r="K128" s="327"/>
      <c r="L128" s="438" t="s">
        <v>303</v>
      </c>
      <c r="M128" s="326"/>
      <c r="N128" s="327"/>
      <c r="O128" s="519" t="s">
        <v>303</v>
      </c>
      <c r="P128" s="326"/>
      <c r="Q128" s="327"/>
      <c r="R128" s="527"/>
      <c r="S128" s="326"/>
      <c r="T128" s="327"/>
      <c r="U128" s="497"/>
      <c r="V128" s="326"/>
      <c r="W128" s="327"/>
      <c r="X128" s="66"/>
      <c r="Y128" s="67"/>
      <c r="Z128" s="66"/>
      <c r="AA128" s="67"/>
      <c r="AB128" s="66"/>
      <c r="AC128" s="67"/>
      <c r="AD128" s="66"/>
      <c r="AE128" s="67"/>
      <c r="AF128" s="66"/>
      <c r="AG128" s="67"/>
      <c r="AH128" s="66"/>
      <c r="AI128" s="67"/>
      <c r="AJ128" s="50"/>
      <c r="AK128" s="69"/>
      <c r="AL128" s="50"/>
      <c r="AM128" s="69"/>
      <c r="AN128" s="50"/>
      <c r="AO128" s="69"/>
      <c r="AP128" s="50"/>
      <c r="AQ128" s="69"/>
      <c r="AR128" s="50"/>
      <c r="AS128" s="642" t="s">
        <v>303</v>
      </c>
      <c r="AT128" s="326"/>
      <c r="AU128" s="326"/>
      <c r="AV128" s="326"/>
      <c r="AW128" s="326"/>
      <c r="AX128" s="326"/>
      <c r="AY128" s="327"/>
      <c r="AZ128" s="70"/>
      <c r="BA128" s="70"/>
      <c r="BB128" s="643" t="s">
        <v>334</v>
      </c>
      <c r="BC128" s="327"/>
      <c r="BD128" s="645" t="s">
        <v>303</v>
      </c>
      <c r="BE128" s="326"/>
      <c r="BF128" s="327"/>
      <c r="BG128" s="646" t="s">
        <v>303</v>
      </c>
      <c r="BH128" s="326"/>
      <c r="BI128" s="326"/>
      <c r="BJ128" s="327"/>
      <c r="BK128" s="647"/>
      <c r="BL128" s="326"/>
      <c r="BM128" s="327"/>
      <c r="BN128" s="71"/>
      <c r="BO128" s="71"/>
      <c r="BP128" s="646"/>
      <c r="BQ128" s="326"/>
      <c r="BR128" s="327"/>
      <c r="BS128" s="645" t="s">
        <v>303</v>
      </c>
      <c r="BT128" s="326"/>
      <c r="BU128" s="327"/>
    </row>
    <row r="129" spans="1:73" ht="30" customHeight="1" x14ac:dyDescent="0.25">
      <c r="A129" s="65">
        <f t="shared" si="0"/>
        <v>115</v>
      </c>
      <c r="B129" s="639" t="s">
        <v>334</v>
      </c>
      <c r="C129" s="327"/>
      <c r="D129" s="640" t="s">
        <v>303</v>
      </c>
      <c r="E129" s="326"/>
      <c r="F129" s="326"/>
      <c r="G129" s="327"/>
      <c r="H129" s="641" t="s">
        <v>303</v>
      </c>
      <c r="I129" s="326"/>
      <c r="J129" s="326"/>
      <c r="K129" s="327"/>
      <c r="L129" s="438" t="s">
        <v>303</v>
      </c>
      <c r="M129" s="326"/>
      <c r="N129" s="327"/>
      <c r="O129" s="519" t="s">
        <v>303</v>
      </c>
      <c r="P129" s="326"/>
      <c r="Q129" s="327"/>
      <c r="R129" s="527"/>
      <c r="S129" s="326"/>
      <c r="T129" s="327"/>
      <c r="U129" s="497"/>
      <c r="V129" s="326"/>
      <c r="W129" s="327"/>
      <c r="X129" s="66"/>
      <c r="Y129" s="67"/>
      <c r="Z129" s="66"/>
      <c r="AA129" s="67"/>
      <c r="AB129" s="66"/>
      <c r="AC129" s="67"/>
      <c r="AD129" s="66"/>
      <c r="AE129" s="67"/>
      <c r="AF129" s="66"/>
      <c r="AG129" s="67"/>
      <c r="AH129" s="66"/>
      <c r="AI129" s="67"/>
      <c r="AJ129" s="50"/>
      <c r="AK129" s="69"/>
      <c r="AL129" s="50"/>
      <c r="AM129" s="69"/>
      <c r="AN129" s="50"/>
      <c r="AO129" s="69"/>
      <c r="AP129" s="50"/>
      <c r="AQ129" s="69"/>
      <c r="AR129" s="50"/>
      <c r="AS129" s="642" t="s">
        <v>303</v>
      </c>
      <c r="AT129" s="326"/>
      <c r="AU129" s="326"/>
      <c r="AV129" s="326"/>
      <c r="AW129" s="326"/>
      <c r="AX129" s="326"/>
      <c r="AY129" s="327"/>
      <c r="AZ129" s="70"/>
      <c r="BA129" s="70"/>
      <c r="BB129" s="643" t="s">
        <v>334</v>
      </c>
      <c r="BC129" s="327"/>
      <c r="BD129" s="645" t="s">
        <v>303</v>
      </c>
      <c r="BE129" s="326"/>
      <c r="BF129" s="327"/>
      <c r="BG129" s="646" t="s">
        <v>303</v>
      </c>
      <c r="BH129" s="326"/>
      <c r="BI129" s="326"/>
      <c r="BJ129" s="327"/>
      <c r="BK129" s="647"/>
      <c r="BL129" s="326"/>
      <c r="BM129" s="327"/>
      <c r="BN129" s="71"/>
      <c r="BO129" s="71"/>
      <c r="BP129" s="646"/>
      <c r="BQ129" s="326"/>
      <c r="BR129" s="327"/>
      <c r="BS129" s="645" t="s">
        <v>303</v>
      </c>
      <c r="BT129" s="326"/>
      <c r="BU129" s="327"/>
    </row>
    <row r="130" spans="1:73" ht="30" customHeight="1" x14ac:dyDescent="0.25">
      <c r="A130" s="65">
        <f t="shared" si="0"/>
        <v>116</v>
      </c>
      <c r="B130" s="639" t="s">
        <v>334</v>
      </c>
      <c r="C130" s="327"/>
      <c r="D130" s="640" t="s">
        <v>303</v>
      </c>
      <c r="E130" s="326"/>
      <c r="F130" s="326"/>
      <c r="G130" s="327"/>
      <c r="H130" s="641" t="s">
        <v>303</v>
      </c>
      <c r="I130" s="326"/>
      <c r="J130" s="326"/>
      <c r="K130" s="327"/>
      <c r="L130" s="438" t="s">
        <v>303</v>
      </c>
      <c r="M130" s="326"/>
      <c r="N130" s="327"/>
      <c r="O130" s="519" t="s">
        <v>303</v>
      </c>
      <c r="P130" s="326"/>
      <c r="Q130" s="327"/>
      <c r="R130" s="527"/>
      <c r="S130" s="326"/>
      <c r="T130" s="327"/>
      <c r="U130" s="497"/>
      <c r="V130" s="326"/>
      <c r="W130" s="327"/>
      <c r="X130" s="66"/>
      <c r="Y130" s="67"/>
      <c r="Z130" s="66"/>
      <c r="AA130" s="67"/>
      <c r="AB130" s="66"/>
      <c r="AC130" s="67"/>
      <c r="AD130" s="66"/>
      <c r="AE130" s="67"/>
      <c r="AF130" s="66"/>
      <c r="AG130" s="67"/>
      <c r="AH130" s="66"/>
      <c r="AI130" s="67"/>
      <c r="AJ130" s="50"/>
      <c r="AK130" s="69"/>
      <c r="AL130" s="50"/>
      <c r="AM130" s="69"/>
      <c r="AN130" s="50"/>
      <c r="AO130" s="69"/>
      <c r="AP130" s="50"/>
      <c r="AQ130" s="69"/>
      <c r="AR130" s="50"/>
      <c r="AS130" s="642" t="s">
        <v>303</v>
      </c>
      <c r="AT130" s="326"/>
      <c r="AU130" s="326"/>
      <c r="AV130" s="326"/>
      <c r="AW130" s="326"/>
      <c r="AX130" s="326"/>
      <c r="AY130" s="327"/>
      <c r="AZ130" s="70"/>
      <c r="BA130" s="70"/>
      <c r="BB130" s="643" t="s">
        <v>334</v>
      </c>
      <c r="BC130" s="327"/>
      <c r="BD130" s="645" t="s">
        <v>303</v>
      </c>
      <c r="BE130" s="326"/>
      <c r="BF130" s="327"/>
      <c r="BG130" s="646" t="s">
        <v>303</v>
      </c>
      <c r="BH130" s="326"/>
      <c r="BI130" s="326"/>
      <c r="BJ130" s="327"/>
      <c r="BK130" s="647"/>
      <c r="BL130" s="326"/>
      <c r="BM130" s="327"/>
      <c r="BN130" s="71"/>
      <c r="BO130" s="71"/>
      <c r="BP130" s="646"/>
      <c r="BQ130" s="326"/>
      <c r="BR130" s="327"/>
      <c r="BS130" s="645" t="s">
        <v>303</v>
      </c>
      <c r="BT130" s="326"/>
      <c r="BU130" s="327"/>
    </row>
    <row r="131" spans="1:73" ht="30" customHeight="1" x14ac:dyDescent="0.25">
      <c r="A131" s="65">
        <f t="shared" si="0"/>
        <v>117</v>
      </c>
      <c r="B131" s="639" t="s">
        <v>334</v>
      </c>
      <c r="C131" s="327"/>
      <c r="D131" s="640" t="s">
        <v>303</v>
      </c>
      <c r="E131" s="326"/>
      <c r="F131" s="326"/>
      <c r="G131" s="327"/>
      <c r="H131" s="641" t="s">
        <v>303</v>
      </c>
      <c r="I131" s="326"/>
      <c r="J131" s="326"/>
      <c r="K131" s="327"/>
      <c r="L131" s="438" t="s">
        <v>303</v>
      </c>
      <c r="M131" s="326"/>
      <c r="N131" s="327"/>
      <c r="O131" s="519" t="s">
        <v>303</v>
      </c>
      <c r="P131" s="326"/>
      <c r="Q131" s="327"/>
      <c r="R131" s="527"/>
      <c r="S131" s="326"/>
      <c r="T131" s="327"/>
      <c r="U131" s="497"/>
      <c r="V131" s="326"/>
      <c r="W131" s="327"/>
      <c r="X131" s="66"/>
      <c r="Y131" s="67"/>
      <c r="Z131" s="66"/>
      <c r="AA131" s="67"/>
      <c r="AB131" s="66"/>
      <c r="AC131" s="67"/>
      <c r="AD131" s="66"/>
      <c r="AE131" s="67"/>
      <c r="AF131" s="66"/>
      <c r="AG131" s="67"/>
      <c r="AH131" s="66"/>
      <c r="AI131" s="67"/>
      <c r="AJ131" s="50"/>
      <c r="AK131" s="69"/>
      <c r="AL131" s="50"/>
      <c r="AM131" s="69"/>
      <c r="AN131" s="50"/>
      <c r="AO131" s="69"/>
      <c r="AP131" s="50"/>
      <c r="AQ131" s="69"/>
      <c r="AR131" s="50"/>
      <c r="AS131" s="642" t="s">
        <v>303</v>
      </c>
      <c r="AT131" s="326"/>
      <c r="AU131" s="326"/>
      <c r="AV131" s="326"/>
      <c r="AW131" s="326"/>
      <c r="AX131" s="326"/>
      <c r="AY131" s="327"/>
      <c r="AZ131" s="70"/>
      <c r="BA131" s="70"/>
      <c r="BB131" s="643" t="s">
        <v>334</v>
      </c>
      <c r="BC131" s="327"/>
      <c r="BD131" s="645" t="s">
        <v>303</v>
      </c>
      <c r="BE131" s="326"/>
      <c r="BF131" s="327"/>
      <c r="BG131" s="646" t="s">
        <v>303</v>
      </c>
      <c r="BH131" s="326"/>
      <c r="BI131" s="326"/>
      <c r="BJ131" s="327"/>
      <c r="BK131" s="647"/>
      <c r="BL131" s="326"/>
      <c r="BM131" s="327"/>
      <c r="BN131" s="71"/>
      <c r="BO131" s="71"/>
      <c r="BP131" s="646"/>
      <c r="BQ131" s="326"/>
      <c r="BR131" s="327"/>
      <c r="BS131" s="645" t="s">
        <v>303</v>
      </c>
      <c r="BT131" s="326"/>
      <c r="BU131" s="327"/>
    </row>
    <row r="132" spans="1:73" ht="30" customHeight="1" x14ac:dyDescent="0.25">
      <c r="A132" s="65">
        <f t="shared" si="0"/>
        <v>118</v>
      </c>
      <c r="B132" s="639" t="s">
        <v>334</v>
      </c>
      <c r="C132" s="327"/>
      <c r="D132" s="640" t="s">
        <v>303</v>
      </c>
      <c r="E132" s="326"/>
      <c r="F132" s="326"/>
      <c r="G132" s="327"/>
      <c r="H132" s="641" t="s">
        <v>303</v>
      </c>
      <c r="I132" s="326"/>
      <c r="J132" s="326"/>
      <c r="K132" s="327"/>
      <c r="L132" s="438" t="s">
        <v>303</v>
      </c>
      <c r="M132" s="326"/>
      <c r="N132" s="327"/>
      <c r="O132" s="519" t="s">
        <v>303</v>
      </c>
      <c r="P132" s="326"/>
      <c r="Q132" s="327"/>
      <c r="R132" s="527"/>
      <c r="S132" s="326"/>
      <c r="T132" s="327"/>
      <c r="U132" s="497"/>
      <c r="V132" s="326"/>
      <c r="W132" s="327"/>
      <c r="X132" s="66"/>
      <c r="Y132" s="67"/>
      <c r="Z132" s="66"/>
      <c r="AA132" s="67"/>
      <c r="AB132" s="66"/>
      <c r="AC132" s="67"/>
      <c r="AD132" s="66"/>
      <c r="AE132" s="67"/>
      <c r="AF132" s="66"/>
      <c r="AG132" s="67"/>
      <c r="AH132" s="66"/>
      <c r="AI132" s="67"/>
      <c r="AJ132" s="50"/>
      <c r="AK132" s="69"/>
      <c r="AL132" s="50"/>
      <c r="AM132" s="69"/>
      <c r="AN132" s="50"/>
      <c r="AO132" s="69"/>
      <c r="AP132" s="50"/>
      <c r="AQ132" s="69"/>
      <c r="AR132" s="50"/>
      <c r="AS132" s="642" t="s">
        <v>303</v>
      </c>
      <c r="AT132" s="326"/>
      <c r="AU132" s="326"/>
      <c r="AV132" s="326"/>
      <c r="AW132" s="326"/>
      <c r="AX132" s="326"/>
      <c r="AY132" s="327"/>
      <c r="AZ132" s="70"/>
      <c r="BA132" s="70"/>
      <c r="BB132" s="643" t="s">
        <v>334</v>
      </c>
      <c r="BC132" s="327"/>
      <c r="BD132" s="645" t="s">
        <v>303</v>
      </c>
      <c r="BE132" s="326"/>
      <c r="BF132" s="327"/>
      <c r="BG132" s="646" t="s">
        <v>303</v>
      </c>
      <c r="BH132" s="326"/>
      <c r="BI132" s="326"/>
      <c r="BJ132" s="327"/>
      <c r="BK132" s="647"/>
      <c r="BL132" s="326"/>
      <c r="BM132" s="327"/>
      <c r="BN132" s="71"/>
      <c r="BO132" s="71"/>
      <c r="BP132" s="646"/>
      <c r="BQ132" s="326"/>
      <c r="BR132" s="327"/>
      <c r="BS132" s="645" t="s">
        <v>303</v>
      </c>
      <c r="BT132" s="326"/>
      <c r="BU132" s="327"/>
    </row>
    <row r="133" spans="1:73" ht="30" customHeight="1" x14ac:dyDescent="0.25">
      <c r="A133" s="65">
        <f t="shared" si="0"/>
        <v>119</v>
      </c>
      <c r="B133" s="639" t="s">
        <v>334</v>
      </c>
      <c r="C133" s="327"/>
      <c r="D133" s="640" t="s">
        <v>303</v>
      </c>
      <c r="E133" s="326"/>
      <c r="F133" s="326"/>
      <c r="G133" s="327"/>
      <c r="H133" s="641" t="s">
        <v>303</v>
      </c>
      <c r="I133" s="326"/>
      <c r="J133" s="326"/>
      <c r="K133" s="327"/>
      <c r="L133" s="438" t="s">
        <v>303</v>
      </c>
      <c r="M133" s="326"/>
      <c r="N133" s="327"/>
      <c r="O133" s="519" t="s">
        <v>303</v>
      </c>
      <c r="P133" s="326"/>
      <c r="Q133" s="327"/>
      <c r="R133" s="527"/>
      <c r="S133" s="326"/>
      <c r="T133" s="327"/>
      <c r="U133" s="497"/>
      <c r="V133" s="326"/>
      <c r="W133" s="327"/>
      <c r="X133" s="66"/>
      <c r="Y133" s="67"/>
      <c r="Z133" s="66"/>
      <c r="AA133" s="67"/>
      <c r="AB133" s="66"/>
      <c r="AC133" s="67"/>
      <c r="AD133" s="66"/>
      <c r="AE133" s="67"/>
      <c r="AF133" s="66"/>
      <c r="AG133" s="67"/>
      <c r="AH133" s="66"/>
      <c r="AI133" s="67"/>
      <c r="AJ133" s="50"/>
      <c r="AK133" s="69"/>
      <c r="AL133" s="50"/>
      <c r="AM133" s="69"/>
      <c r="AN133" s="50"/>
      <c r="AO133" s="69"/>
      <c r="AP133" s="50"/>
      <c r="AQ133" s="69"/>
      <c r="AR133" s="50"/>
      <c r="AS133" s="642" t="s">
        <v>303</v>
      </c>
      <c r="AT133" s="326"/>
      <c r="AU133" s="326"/>
      <c r="AV133" s="326"/>
      <c r="AW133" s="326"/>
      <c r="AX133" s="326"/>
      <c r="AY133" s="327"/>
      <c r="AZ133" s="70"/>
      <c r="BA133" s="70"/>
      <c r="BB133" s="643" t="s">
        <v>334</v>
      </c>
      <c r="BC133" s="327"/>
      <c r="BD133" s="645" t="s">
        <v>303</v>
      </c>
      <c r="BE133" s="326"/>
      <c r="BF133" s="327"/>
      <c r="BG133" s="646" t="s">
        <v>303</v>
      </c>
      <c r="BH133" s="326"/>
      <c r="BI133" s="326"/>
      <c r="BJ133" s="327"/>
      <c r="BK133" s="647"/>
      <c r="BL133" s="326"/>
      <c r="BM133" s="327"/>
      <c r="BN133" s="71"/>
      <c r="BO133" s="71"/>
      <c r="BP133" s="646"/>
      <c r="BQ133" s="326"/>
      <c r="BR133" s="327"/>
      <c r="BS133" s="645" t="s">
        <v>303</v>
      </c>
      <c r="BT133" s="326"/>
      <c r="BU133" s="327"/>
    </row>
    <row r="134" spans="1:73" ht="30" customHeight="1" x14ac:dyDescent="0.25">
      <c r="A134" s="65">
        <f t="shared" si="0"/>
        <v>120</v>
      </c>
      <c r="B134" s="639" t="s">
        <v>334</v>
      </c>
      <c r="C134" s="327"/>
      <c r="D134" s="640" t="s">
        <v>303</v>
      </c>
      <c r="E134" s="326"/>
      <c r="F134" s="326"/>
      <c r="G134" s="327"/>
      <c r="H134" s="641" t="s">
        <v>303</v>
      </c>
      <c r="I134" s="326"/>
      <c r="J134" s="326"/>
      <c r="K134" s="327"/>
      <c r="L134" s="438" t="s">
        <v>303</v>
      </c>
      <c r="M134" s="326"/>
      <c r="N134" s="327"/>
      <c r="O134" s="519" t="s">
        <v>303</v>
      </c>
      <c r="P134" s="326"/>
      <c r="Q134" s="327"/>
      <c r="R134" s="527"/>
      <c r="S134" s="326"/>
      <c r="T134" s="327"/>
      <c r="U134" s="497"/>
      <c r="V134" s="326"/>
      <c r="W134" s="327"/>
      <c r="X134" s="66"/>
      <c r="Y134" s="67"/>
      <c r="Z134" s="66"/>
      <c r="AA134" s="67"/>
      <c r="AB134" s="66"/>
      <c r="AC134" s="67"/>
      <c r="AD134" s="66"/>
      <c r="AE134" s="67"/>
      <c r="AF134" s="66"/>
      <c r="AG134" s="67"/>
      <c r="AH134" s="66"/>
      <c r="AI134" s="67"/>
      <c r="AJ134" s="50"/>
      <c r="AK134" s="69"/>
      <c r="AL134" s="50"/>
      <c r="AM134" s="69"/>
      <c r="AN134" s="50"/>
      <c r="AO134" s="69"/>
      <c r="AP134" s="50"/>
      <c r="AQ134" s="69"/>
      <c r="AR134" s="50"/>
      <c r="AS134" s="642" t="s">
        <v>303</v>
      </c>
      <c r="AT134" s="326"/>
      <c r="AU134" s="326"/>
      <c r="AV134" s="326"/>
      <c r="AW134" s="326"/>
      <c r="AX134" s="326"/>
      <c r="AY134" s="327"/>
      <c r="AZ134" s="70"/>
      <c r="BA134" s="70"/>
      <c r="BB134" s="644" t="s">
        <v>334</v>
      </c>
      <c r="BC134" s="327"/>
      <c r="BD134" s="645" t="s">
        <v>303</v>
      </c>
      <c r="BE134" s="326"/>
      <c r="BF134" s="327"/>
      <c r="BG134" s="646" t="s">
        <v>303</v>
      </c>
      <c r="BH134" s="326"/>
      <c r="BI134" s="326"/>
      <c r="BJ134" s="327"/>
      <c r="BK134" s="647"/>
      <c r="BL134" s="326"/>
      <c r="BM134" s="327"/>
      <c r="BN134" s="71"/>
      <c r="BO134" s="71"/>
      <c r="BP134" s="646"/>
      <c r="BQ134" s="326"/>
      <c r="BR134" s="327"/>
      <c r="BS134" s="645" t="s">
        <v>303</v>
      </c>
      <c r="BT134" s="326"/>
      <c r="BU134" s="327"/>
    </row>
    <row r="135" spans="1:73" ht="30" customHeight="1" x14ac:dyDescent="0.25">
      <c r="A135" s="65">
        <f t="shared" si="0"/>
        <v>121</v>
      </c>
      <c r="B135" s="639" t="s">
        <v>334</v>
      </c>
      <c r="C135" s="327"/>
      <c r="D135" s="640" t="s">
        <v>303</v>
      </c>
      <c r="E135" s="326"/>
      <c r="F135" s="326"/>
      <c r="G135" s="327"/>
      <c r="H135" s="641" t="s">
        <v>303</v>
      </c>
      <c r="I135" s="326"/>
      <c r="J135" s="326"/>
      <c r="K135" s="327"/>
      <c r="L135" s="438" t="s">
        <v>303</v>
      </c>
      <c r="M135" s="326"/>
      <c r="N135" s="327"/>
      <c r="O135" s="519" t="s">
        <v>303</v>
      </c>
      <c r="P135" s="326"/>
      <c r="Q135" s="327"/>
      <c r="R135" s="527"/>
      <c r="S135" s="326"/>
      <c r="T135" s="327"/>
      <c r="U135" s="497"/>
      <c r="V135" s="326"/>
      <c r="W135" s="327"/>
      <c r="X135" s="66"/>
      <c r="Y135" s="67"/>
      <c r="Z135" s="66"/>
      <c r="AA135" s="67"/>
      <c r="AB135" s="66"/>
      <c r="AC135" s="67"/>
      <c r="AD135" s="66"/>
      <c r="AE135" s="67"/>
      <c r="AF135" s="66"/>
      <c r="AG135" s="67"/>
      <c r="AH135" s="66"/>
      <c r="AI135" s="67"/>
      <c r="AJ135" s="50"/>
      <c r="AK135" s="69"/>
      <c r="AL135" s="50"/>
      <c r="AM135" s="69"/>
      <c r="AN135" s="50"/>
      <c r="AO135" s="69"/>
      <c r="AP135" s="50"/>
      <c r="AQ135" s="69"/>
      <c r="AR135" s="50"/>
      <c r="AS135" s="642" t="s">
        <v>303</v>
      </c>
      <c r="AT135" s="326"/>
      <c r="AU135" s="326"/>
      <c r="AV135" s="326"/>
      <c r="AW135" s="326"/>
      <c r="AX135" s="326"/>
      <c r="AY135" s="327"/>
      <c r="AZ135" s="70"/>
      <c r="BA135" s="70"/>
      <c r="BB135" s="643" t="s">
        <v>334</v>
      </c>
      <c r="BC135" s="327"/>
      <c r="BD135" s="645" t="s">
        <v>303</v>
      </c>
      <c r="BE135" s="326"/>
      <c r="BF135" s="327"/>
      <c r="BG135" s="646" t="s">
        <v>303</v>
      </c>
      <c r="BH135" s="326"/>
      <c r="BI135" s="326"/>
      <c r="BJ135" s="327"/>
      <c r="BK135" s="647"/>
      <c r="BL135" s="326"/>
      <c r="BM135" s="327"/>
      <c r="BN135" s="71"/>
      <c r="BO135" s="71"/>
      <c r="BP135" s="646"/>
      <c r="BQ135" s="326"/>
      <c r="BR135" s="327"/>
      <c r="BS135" s="645" t="s">
        <v>303</v>
      </c>
      <c r="BT135" s="326"/>
      <c r="BU135" s="327"/>
    </row>
    <row r="136" spans="1:73" ht="30" customHeight="1" x14ac:dyDescent="0.25">
      <c r="A136" s="65">
        <f t="shared" si="0"/>
        <v>122</v>
      </c>
      <c r="B136" s="639" t="s">
        <v>334</v>
      </c>
      <c r="C136" s="327"/>
      <c r="D136" s="640" t="s">
        <v>303</v>
      </c>
      <c r="E136" s="326"/>
      <c r="F136" s="326"/>
      <c r="G136" s="327"/>
      <c r="H136" s="641" t="s">
        <v>303</v>
      </c>
      <c r="I136" s="326"/>
      <c r="J136" s="326"/>
      <c r="K136" s="327"/>
      <c r="L136" s="438" t="s">
        <v>303</v>
      </c>
      <c r="M136" s="326"/>
      <c r="N136" s="327"/>
      <c r="O136" s="519" t="s">
        <v>303</v>
      </c>
      <c r="P136" s="326"/>
      <c r="Q136" s="327"/>
      <c r="R136" s="527"/>
      <c r="S136" s="326"/>
      <c r="T136" s="327"/>
      <c r="U136" s="497"/>
      <c r="V136" s="326"/>
      <c r="W136" s="327"/>
      <c r="X136" s="66"/>
      <c r="Y136" s="67"/>
      <c r="Z136" s="66"/>
      <c r="AA136" s="67"/>
      <c r="AB136" s="66"/>
      <c r="AC136" s="67"/>
      <c r="AD136" s="66"/>
      <c r="AE136" s="67"/>
      <c r="AF136" s="66"/>
      <c r="AG136" s="67"/>
      <c r="AH136" s="66"/>
      <c r="AI136" s="67"/>
      <c r="AJ136" s="50"/>
      <c r="AK136" s="69"/>
      <c r="AL136" s="50"/>
      <c r="AM136" s="69"/>
      <c r="AN136" s="50"/>
      <c r="AO136" s="69"/>
      <c r="AP136" s="50"/>
      <c r="AQ136" s="69"/>
      <c r="AR136" s="50"/>
      <c r="AS136" s="642" t="s">
        <v>303</v>
      </c>
      <c r="AT136" s="326"/>
      <c r="AU136" s="326"/>
      <c r="AV136" s="326"/>
      <c r="AW136" s="326"/>
      <c r="AX136" s="326"/>
      <c r="AY136" s="327"/>
      <c r="AZ136" s="70"/>
      <c r="BA136" s="70"/>
      <c r="BB136" s="643" t="s">
        <v>334</v>
      </c>
      <c r="BC136" s="327"/>
      <c r="BD136" s="645" t="s">
        <v>303</v>
      </c>
      <c r="BE136" s="326"/>
      <c r="BF136" s="327"/>
      <c r="BG136" s="646" t="s">
        <v>303</v>
      </c>
      <c r="BH136" s="326"/>
      <c r="BI136" s="326"/>
      <c r="BJ136" s="327"/>
      <c r="BK136" s="647"/>
      <c r="BL136" s="326"/>
      <c r="BM136" s="327"/>
      <c r="BN136" s="71"/>
      <c r="BO136" s="71"/>
      <c r="BP136" s="646"/>
      <c r="BQ136" s="326"/>
      <c r="BR136" s="327"/>
      <c r="BS136" s="645" t="s">
        <v>303</v>
      </c>
      <c r="BT136" s="326"/>
      <c r="BU136" s="327"/>
    </row>
    <row r="137" spans="1:73" ht="30" customHeight="1" x14ac:dyDescent="0.25">
      <c r="A137" s="65">
        <f t="shared" si="0"/>
        <v>123</v>
      </c>
      <c r="B137" s="639" t="s">
        <v>334</v>
      </c>
      <c r="C137" s="327"/>
      <c r="D137" s="640" t="s">
        <v>303</v>
      </c>
      <c r="E137" s="326"/>
      <c r="F137" s="326"/>
      <c r="G137" s="327"/>
      <c r="H137" s="641" t="s">
        <v>303</v>
      </c>
      <c r="I137" s="326"/>
      <c r="J137" s="326"/>
      <c r="K137" s="327"/>
      <c r="L137" s="438" t="s">
        <v>303</v>
      </c>
      <c r="M137" s="326"/>
      <c r="N137" s="327"/>
      <c r="O137" s="519" t="s">
        <v>303</v>
      </c>
      <c r="P137" s="326"/>
      <c r="Q137" s="327"/>
      <c r="R137" s="527"/>
      <c r="S137" s="326"/>
      <c r="T137" s="327"/>
      <c r="U137" s="497"/>
      <c r="V137" s="326"/>
      <c r="W137" s="327"/>
      <c r="X137" s="66"/>
      <c r="Y137" s="67"/>
      <c r="Z137" s="66"/>
      <c r="AA137" s="67"/>
      <c r="AB137" s="66"/>
      <c r="AC137" s="67"/>
      <c r="AD137" s="66"/>
      <c r="AE137" s="67"/>
      <c r="AF137" s="66"/>
      <c r="AG137" s="67"/>
      <c r="AH137" s="66"/>
      <c r="AI137" s="67"/>
      <c r="AJ137" s="50"/>
      <c r="AK137" s="69"/>
      <c r="AL137" s="50"/>
      <c r="AM137" s="69"/>
      <c r="AN137" s="50"/>
      <c r="AO137" s="69"/>
      <c r="AP137" s="50"/>
      <c r="AQ137" s="69"/>
      <c r="AR137" s="50"/>
      <c r="AS137" s="642" t="s">
        <v>303</v>
      </c>
      <c r="AT137" s="326"/>
      <c r="AU137" s="326"/>
      <c r="AV137" s="326"/>
      <c r="AW137" s="326"/>
      <c r="AX137" s="326"/>
      <c r="AY137" s="327"/>
      <c r="AZ137" s="70"/>
      <c r="BA137" s="70"/>
      <c r="BB137" s="643" t="s">
        <v>334</v>
      </c>
      <c r="BC137" s="327"/>
      <c r="BD137" s="645" t="s">
        <v>303</v>
      </c>
      <c r="BE137" s="326"/>
      <c r="BF137" s="327"/>
      <c r="BG137" s="646" t="s">
        <v>303</v>
      </c>
      <c r="BH137" s="326"/>
      <c r="BI137" s="326"/>
      <c r="BJ137" s="327"/>
      <c r="BK137" s="647"/>
      <c r="BL137" s="326"/>
      <c r="BM137" s="327"/>
      <c r="BN137" s="71"/>
      <c r="BO137" s="71"/>
      <c r="BP137" s="646"/>
      <c r="BQ137" s="326"/>
      <c r="BR137" s="327"/>
      <c r="BS137" s="645" t="s">
        <v>303</v>
      </c>
      <c r="BT137" s="326"/>
      <c r="BU137" s="327"/>
    </row>
    <row r="138" spans="1:73" ht="30" customHeight="1" x14ac:dyDescent="0.25">
      <c r="A138" s="65">
        <f t="shared" si="0"/>
        <v>124</v>
      </c>
      <c r="B138" s="639" t="s">
        <v>334</v>
      </c>
      <c r="C138" s="327"/>
      <c r="D138" s="640" t="s">
        <v>303</v>
      </c>
      <c r="E138" s="326"/>
      <c r="F138" s="326"/>
      <c r="G138" s="327"/>
      <c r="H138" s="641" t="s">
        <v>303</v>
      </c>
      <c r="I138" s="326"/>
      <c r="J138" s="326"/>
      <c r="K138" s="327"/>
      <c r="L138" s="438" t="s">
        <v>303</v>
      </c>
      <c r="M138" s="326"/>
      <c r="N138" s="327"/>
      <c r="O138" s="519" t="s">
        <v>303</v>
      </c>
      <c r="P138" s="326"/>
      <c r="Q138" s="327"/>
      <c r="R138" s="527"/>
      <c r="S138" s="326"/>
      <c r="T138" s="327"/>
      <c r="U138" s="497"/>
      <c r="V138" s="326"/>
      <c r="W138" s="327"/>
      <c r="X138" s="66"/>
      <c r="Y138" s="67"/>
      <c r="Z138" s="66"/>
      <c r="AA138" s="67"/>
      <c r="AB138" s="66"/>
      <c r="AC138" s="67"/>
      <c r="AD138" s="66"/>
      <c r="AE138" s="67"/>
      <c r="AF138" s="66"/>
      <c r="AG138" s="67"/>
      <c r="AH138" s="66"/>
      <c r="AI138" s="67"/>
      <c r="AJ138" s="50"/>
      <c r="AK138" s="69"/>
      <c r="AL138" s="50"/>
      <c r="AM138" s="69"/>
      <c r="AN138" s="50"/>
      <c r="AO138" s="69"/>
      <c r="AP138" s="50"/>
      <c r="AQ138" s="69"/>
      <c r="AR138" s="50"/>
      <c r="AS138" s="642" t="s">
        <v>303</v>
      </c>
      <c r="AT138" s="326"/>
      <c r="AU138" s="326"/>
      <c r="AV138" s="326"/>
      <c r="AW138" s="326"/>
      <c r="AX138" s="326"/>
      <c r="AY138" s="327"/>
      <c r="AZ138" s="70"/>
      <c r="BA138" s="70"/>
      <c r="BB138" s="643" t="s">
        <v>334</v>
      </c>
      <c r="BC138" s="327"/>
      <c r="BD138" s="645" t="s">
        <v>303</v>
      </c>
      <c r="BE138" s="326"/>
      <c r="BF138" s="327"/>
      <c r="BG138" s="646" t="s">
        <v>303</v>
      </c>
      <c r="BH138" s="326"/>
      <c r="BI138" s="326"/>
      <c r="BJ138" s="327"/>
      <c r="BK138" s="647"/>
      <c r="BL138" s="326"/>
      <c r="BM138" s="327"/>
      <c r="BN138" s="71"/>
      <c r="BO138" s="71"/>
      <c r="BP138" s="646"/>
      <c r="BQ138" s="326"/>
      <c r="BR138" s="327"/>
      <c r="BS138" s="645" t="s">
        <v>303</v>
      </c>
      <c r="BT138" s="326"/>
      <c r="BU138" s="327"/>
    </row>
    <row r="139" spans="1:73" ht="30" customHeight="1" x14ac:dyDescent="0.25">
      <c r="A139" s="65">
        <f t="shared" si="0"/>
        <v>125</v>
      </c>
      <c r="B139" s="639" t="s">
        <v>334</v>
      </c>
      <c r="C139" s="327"/>
      <c r="D139" s="640" t="s">
        <v>303</v>
      </c>
      <c r="E139" s="326"/>
      <c r="F139" s="326"/>
      <c r="G139" s="327"/>
      <c r="H139" s="641" t="s">
        <v>303</v>
      </c>
      <c r="I139" s="326"/>
      <c r="J139" s="326"/>
      <c r="K139" s="327"/>
      <c r="L139" s="438" t="s">
        <v>303</v>
      </c>
      <c r="M139" s="326"/>
      <c r="N139" s="327"/>
      <c r="O139" s="519" t="s">
        <v>303</v>
      </c>
      <c r="P139" s="326"/>
      <c r="Q139" s="327"/>
      <c r="R139" s="527"/>
      <c r="S139" s="326"/>
      <c r="T139" s="327"/>
      <c r="U139" s="497"/>
      <c r="V139" s="326"/>
      <c r="W139" s="327"/>
      <c r="X139" s="66"/>
      <c r="Y139" s="67"/>
      <c r="Z139" s="66"/>
      <c r="AA139" s="67"/>
      <c r="AB139" s="66"/>
      <c r="AC139" s="67"/>
      <c r="AD139" s="66"/>
      <c r="AE139" s="67"/>
      <c r="AF139" s="66"/>
      <c r="AG139" s="67"/>
      <c r="AH139" s="66"/>
      <c r="AI139" s="67"/>
      <c r="AJ139" s="50"/>
      <c r="AK139" s="69"/>
      <c r="AL139" s="50"/>
      <c r="AM139" s="69"/>
      <c r="AN139" s="50"/>
      <c r="AO139" s="69"/>
      <c r="AP139" s="50"/>
      <c r="AQ139" s="69"/>
      <c r="AR139" s="50"/>
      <c r="AS139" s="642" t="s">
        <v>303</v>
      </c>
      <c r="AT139" s="326"/>
      <c r="AU139" s="326"/>
      <c r="AV139" s="326"/>
      <c r="AW139" s="326"/>
      <c r="AX139" s="326"/>
      <c r="AY139" s="327"/>
      <c r="AZ139" s="70"/>
      <c r="BA139" s="70"/>
      <c r="BB139" s="643" t="s">
        <v>334</v>
      </c>
      <c r="BC139" s="327"/>
      <c r="BD139" s="645" t="s">
        <v>303</v>
      </c>
      <c r="BE139" s="326"/>
      <c r="BF139" s="327"/>
      <c r="BG139" s="646" t="s">
        <v>303</v>
      </c>
      <c r="BH139" s="326"/>
      <c r="BI139" s="326"/>
      <c r="BJ139" s="327"/>
      <c r="BK139" s="647"/>
      <c r="BL139" s="326"/>
      <c r="BM139" s="327"/>
      <c r="BN139" s="71"/>
      <c r="BO139" s="71"/>
      <c r="BP139" s="646"/>
      <c r="BQ139" s="326"/>
      <c r="BR139" s="327"/>
      <c r="BS139" s="645" t="s">
        <v>303</v>
      </c>
      <c r="BT139" s="326"/>
      <c r="BU139" s="327"/>
    </row>
    <row r="140" spans="1:73" ht="30" customHeight="1" x14ac:dyDescent="0.25">
      <c r="A140" s="65">
        <f t="shared" si="0"/>
        <v>126</v>
      </c>
      <c r="B140" s="639" t="s">
        <v>334</v>
      </c>
      <c r="C140" s="327"/>
      <c r="D140" s="640" t="s">
        <v>303</v>
      </c>
      <c r="E140" s="326"/>
      <c r="F140" s="326"/>
      <c r="G140" s="327"/>
      <c r="H140" s="641" t="s">
        <v>303</v>
      </c>
      <c r="I140" s="326"/>
      <c r="J140" s="326"/>
      <c r="K140" s="327"/>
      <c r="L140" s="438" t="s">
        <v>303</v>
      </c>
      <c r="M140" s="326"/>
      <c r="N140" s="327"/>
      <c r="O140" s="519" t="s">
        <v>303</v>
      </c>
      <c r="P140" s="326"/>
      <c r="Q140" s="327"/>
      <c r="R140" s="527"/>
      <c r="S140" s="326"/>
      <c r="T140" s="327"/>
      <c r="U140" s="497"/>
      <c r="V140" s="326"/>
      <c r="W140" s="327"/>
      <c r="X140" s="66"/>
      <c r="Y140" s="67"/>
      <c r="Z140" s="66"/>
      <c r="AA140" s="67"/>
      <c r="AB140" s="66"/>
      <c r="AC140" s="67"/>
      <c r="AD140" s="66"/>
      <c r="AE140" s="67"/>
      <c r="AF140" s="66"/>
      <c r="AG140" s="67"/>
      <c r="AH140" s="66"/>
      <c r="AI140" s="67"/>
      <c r="AJ140" s="50"/>
      <c r="AK140" s="69"/>
      <c r="AL140" s="50"/>
      <c r="AM140" s="69"/>
      <c r="AN140" s="50"/>
      <c r="AO140" s="69"/>
      <c r="AP140" s="50"/>
      <c r="AQ140" s="69"/>
      <c r="AR140" s="50"/>
      <c r="AS140" s="642" t="s">
        <v>303</v>
      </c>
      <c r="AT140" s="326"/>
      <c r="AU140" s="326"/>
      <c r="AV140" s="326"/>
      <c r="AW140" s="326"/>
      <c r="AX140" s="326"/>
      <c r="AY140" s="327"/>
      <c r="AZ140" s="70"/>
      <c r="BA140" s="70"/>
      <c r="BB140" s="643" t="s">
        <v>334</v>
      </c>
      <c r="BC140" s="327"/>
      <c r="BD140" s="645" t="s">
        <v>303</v>
      </c>
      <c r="BE140" s="326"/>
      <c r="BF140" s="327"/>
      <c r="BG140" s="646" t="s">
        <v>303</v>
      </c>
      <c r="BH140" s="326"/>
      <c r="BI140" s="326"/>
      <c r="BJ140" s="327"/>
      <c r="BK140" s="647"/>
      <c r="BL140" s="326"/>
      <c r="BM140" s="327"/>
      <c r="BN140" s="71"/>
      <c r="BO140" s="71"/>
      <c r="BP140" s="646"/>
      <c r="BQ140" s="326"/>
      <c r="BR140" s="327"/>
      <c r="BS140" s="645" t="s">
        <v>303</v>
      </c>
      <c r="BT140" s="326"/>
      <c r="BU140" s="327"/>
    </row>
    <row r="141" spans="1:73" ht="30" customHeight="1" x14ac:dyDescent="0.25">
      <c r="A141" s="65">
        <f t="shared" si="0"/>
        <v>127</v>
      </c>
      <c r="B141" s="639" t="s">
        <v>334</v>
      </c>
      <c r="C141" s="327"/>
      <c r="D141" s="640" t="s">
        <v>303</v>
      </c>
      <c r="E141" s="326"/>
      <c r="F141" s="326"/>
      <c r="G141" s="327"/>
      <c r="H141" s="641" t="s">
        <v>303</v>
      </c>
      <c r="I141" s="326"/>
      <c r="J141" s="326"/>
      <c r="K141" s="327"/>
      <c r="L141" s="438" t="s">
        <v>303</v>
      </c>
      <c r="M141" s="326"/>
      <c r="N141" s="327"/>
      <c r="O141" s="519" t="s">
        <v>303</v>
      </c>
      <c r="P141" s="326"/>
      <c r="Q141" s="327"/>
      <c r="R141" s="527"/>
      <c r="S141" s="326"/>
      <c r="T141" s="327"/>
      <c r="U141" s="497"/>
      <c r="V141" s="326"/>
      <c r="W141" s="327"/>
      <c r="X141" s="66"/>
      <c r="Y141" s="67"/>
      <c r="Z141" s="66"/>
      <c r="AA141" s="67"/>
      <c r="AB141" s="66"/>
      <c r="AC141" s="67"/>
      <c r="AD141" s="66"/>
      <c r="AE141" s="67"/>
      <c r="AF141" s="66"/>
      <c r="AG141" s="67"/>
      <c r="AH141" s="66"/>
      <c r="AI141" s="67"/>
      <c r="AJ141" s="50"/>
      <c r="AK141" s="69"/>
      <c r="AL141" s="50"/>
      <c r="AM141" s="69"/>
      <c r="AN141" s="50"/>
      <c r="AO141" s="69"/>
      <c r="AP141" s="50"/>
      <c r="AQ141" s="69"/>
      <c r="AR141" s="50"/>
      <c r="AS141" s="642" t="s">
        <v>303</v>
      </c>
      <c r="AT141" s="326"/>
      <c r="AU141" s="326"/>
      <c r="AV141" s="326"/>
      <c r="AW141" s="326"/>
      <c r="AX141" s="326"/>
      <c r="AY141" s="327"/>
      <c r="AZ141" s="70"/>
      <c r="BA141" s="70"/>
      <c r="BB141" s="644" t="s">
        <v>334</v>
      </c>
      <c r="BC141" s="327"/>
      <c r="BD141" s="645" t="s">
        <v>303</v>
      </c>
      <c r="BE141" s="326"/>
      <c r="BF141" s="327"/>
      <c r="BG141" s="646" t="s">
        <v>303</v>
      </c>
      <c r="BH141" s="326"/>
      <c r="BI141" s="326"/>
      <c r="BJ141" s="327"/>
      <c r="BK141" s="647"/>
      <c r="BL141" s="326"/>
      <c r="BM141" s="327"/>
      <c r="BN141" s="71"/>
      <c r="BO141" s="71"/>
      <c r="BP141" s="646"/>
      <c r="BQ141" s="326"/>
      <c r="BR141" s="327"/>
      <c r="BS141" s="645" t="s">
        <v>303</v>
      </c>
      <c r="BT141" s="326"/>
      <c r="BU141" s="327"/>
    </row>
    <row r="142" spans="1:73" ht="30" customHeight="1" x14ac:dyDescent="0.25">
      <c r="A142" s="65">
        <f t="shared" si="0"/>
        <v>128</v>
      </c>
      <c r="B142" s="639" t="s">
        <v>334</v>
      </c>
      <c r="C142" s="327"/>
      <c r="D142" s="640" t="s">
        <v>303</v>
      </c>
      <c r="E142" s="326"/>
      <c r="F142" s="326"/>
      <c r="G142" s="327"/>
      <c r="H142" s="641" t="s">
        <v>303</v>
      </c>
      <c r="I142" s="326"/>
      <c r="J142" s="326"/>
      <c r="K142" s="327"/>
      <c r="L142" s="438" t="s">
        <v>303</v>
      </c>
      <c r="M142" s="326"/>
      <c r="N142" s="327"/>
      <c r="O142" s="519" t="s">
        <v>303</v>
      </c>
      <c r="P142" s="326"/>
      <c r="Q142" s="327"/>
      <c r="R142" s="527"/>
      <c r="S142" s="326"/>
      <c r="T142" s="327"/>
      <c r="U142" s="497"/>
      <c r="V142" s="326"/>
      <c r="W142" s="327"/>
      <c r="X142" s="66"/>
      <c r="Y142" s="67"/>
      <c r="Z142" s="66"/>
      <c r="AA142" s="67"/>
      <c r="AB142" s="66"/>
      <c r="AC142" s="67"/>
      <c r="AD142" s="66"/>
      <c r="AE142" s="67"/>
      <c r="AF142" s="66"/>
      <c r="AG142" s="67"/>
      <c r="AH142" s="66"/>
      <c r="AI142" s="67"/>
      <c r="AJ142" s="50"/>
      <c r="AK142" s="69"/>
      <c r="AL142" s="50"/>
      <c r="AM142" s="69"/>
      <c r="AN142" s="50"/>
      <c r="AO142" s="69"/>
      <c r="AP142" s="50"/>
      <c r="AQ142" s="69"/>
      <c r="AR142" s="50"/>
      <c r="AS142" s="642" t="s">
        <v>303</v>
      </c>
      <c r="AT142" s="326"/>
      <c r="AU142" s="326"/>
      <c r="AV142" s="326"/>
      <c r="AW142" s="326"/>
      <c r="AX142" s="326"/>
      <c r="AY142" s="327"/>
      <c r="AZ142" s="70"/>
      <c r="BA142" s="70"/>
      <c r="BB142" s="643" t="s">
        <v>334</v>
      </c>
      <c r="BC142" s="327"/>
      <c r="BD142" s="645" t="s">
        <v>303</v>
      </c>
      <c r="BE142" s="326"/>
      <c r="BF142" s="327"/>
      <c r="BG142" s="646" t="s">
        <v>303</v>
      </c>
      <c r="BH142" s="326"/>
      <c r="BI142" s="326"/>
      <c r="BJ142" s="327"/>
      <c r="BK142" s="647"/>
      <c r="BL142" s="326"/>
      <c r="BM142" s="327"/>
      <c r="BN142" s="71"/>
      <c r="BO142" s="71"/>
      <c r="BP142" s="646"/>
      <c r="BQ142" s="326"/>
      <c r="BR142" s="327"/>
      <c r="BS142" s="645" t="s">
        <v>303</v>
      </c>
      <c r="BT142" s="326"/>
      <c r="BU142" s="327"/>
    </row>
    <row r="143" spans="1:73" ht="30" customHeight="1" x14ac:dyDescent="0.25">
      <c r="A143" s="65">
        <f t="shared" si="0"/>
        <v>129</v>
      </c>
      <c r="B143" s="639" t="s">
        <v>334</v>
      </c>
      <c r="C143" s="327"/>
      <c r="D143" s="640" t="s">
        <v>303</v>
      </c>
      <c r="E143" s="326"/>
      <c r="F143" s="326"/>
      <c r="G143" s="327"/>
      <c r="H143" s="641" t="s">
        <v>303</v>
      </c>
      <c r="I143" s="326"/>
      <c r="J143" s="326"/>
      <c r="K143" s="327"/>
      <c r="L143" s="438" t="s">
        <v>303</v>
      </c>
      <c r="M143" s="326"/>
      <c r="N143" s="327"/>
      <c r="O143" s="519" t="s">
        <v>303</v>
      </c>
      <c r="P143" s="326"/>
      <c r="Q143" s="327"/>
      <c r="R143" s="527"/>
      <c r="S143" s="326"/>
      <c r="T143" s="327"/>
      <c r="U143" s="497"/>
      <c r="V143" s="326"/>
      <c r="W143" s="327"/>
      <c r="X143" s="66"/>
      <c r="Y143" s="67"/>
      <c r="Z143" s="66"/>
      <c r="AA143" s="67"/>
      <c r="AB143" s="66"/>
      <c r="AC143" s="67"/>
      <c r="AD143" s="66"/>
      <c r="AE143" s="67"/>
      <c r="AF143" s="66"/>
      <c r="AG143" s="67"/>
      <c r="AH143" s="66"/>
      <c r="AI143" s="67"/>
      <c r="AJ143" s="50"/>
      <c r="AK143" s="69"/>
      <c r="AL143" s="50"/>
      <c r="AM143" s="69"/>
      <c r="AN143" s="50"/>
      <c r="AO143" s="69"/>
      <c r="AP143" s="50"/>
      <c r="AQ143" s="69"/>
      <c r="AR143" s="50"/>
      <c r="AS143" s="642" t="s">
        <v>303</v>
      </c>
      <c r="AT143" s="326"/>
      <c r="AU143" s="326"/>
      <c r="AV143" s="326"/>
      <c r="AW143" s="326"/>
      <c r="AX143" s="326"/>
      <c r="AY143" s="327"/>
      <c r="AZ143" s="70"/>
      <c r="BA143" s="70"/>
      <c r="BB143" s="643" t="s">
        <v>334</v>
      </c>
      <c r="BC143" s="327"/>
      <c r="BD143" s="645" t="s">
        <v>303</v>
      </c>
      <c r="BE143" s="326"/>
      <c r="BF143" s="327"/>
      <c r="BG143" s="646" t="s">
        <v>303</v>
      </c>
      <c r="BH143" s="326"/>
      <c r="BI143" s="326"/>
      <c r="BJ143" s="327"/>
      <c r="BK143" s="647"/>
      <c r="BL143" s="326"/>
      <c r="BM143" s="327"/>
      <c r="BN143" s="71"/>
      <c r="BO143" s="71"/>
      <c r="BP143" s="646"/>
      <c r="BQ143" s="326"/>
      <c r="BR143" s="327"/>
      <c r="BS143" s="645" t="s">
        <v>303</v>
      </c>
      <c r="BT143" s="326"/>
      <c r="BU143" s="327"/>
    </row>
    <row r="144" spans="1:73" ht="30" customHeight="1" x14ac:dyDescent="0.25">
      <c r="A144" s="65">
        <f t="shared" si="0"/>
        <v>130</v>
      </c>
      <c r="B144" s="639" t="s">
        <v>334</v>
      </c>
      <c r="C144" s="327"/>
      <c r="D144" s="640" t="s">
        <v>303</v>
      </c>
      <c r="E144" s="326"/>
      <c r="F144" s="326"/>
      <c r="G144" s="327"/>
      <c r="H144" s="641" t="s">
        <v>303</v>
      </c>
      <c r="I144" s="326"/>
      <c r="J144" s="326"/>
      <c r="K144" s="327"/>
      <c r="L144" s="438" t="s">
        <v>303</v>
      </c>
      <c r="M144" s="326"/>
      <c r="N144" s="327"/>
      <c r="O144" s="519" t="s">
        <v>303</v>
      </c>
      <c r="P144" s="326"/>
      <c r="Q144" s="327"/>
      <c r="R144" s="527"/>
      <c r="S144" s="326"/>
      <c r="T144" s="327"/>
      <c r="U144" s="497"/>
      <c r="V144" s="326"/>
      <c r="W144" s="327"/>
      <c r="X144" s="66"/>
      <c r="Y144" s="67"/>
      <c r="Z144" s="66"/>
      <c r="AA144" s="67"/>
      <c r="AB144" s="66"/>
      <c r="AC144" s="67"/>
      <c r="AD144" s="66"/>
      <c r="AE144" s="67"/>
      <c r="AF144" s="66"/>
      <c r="AG144" s="67"/>
      <c r="AH144" s="66"/>
      <c r="AI144" s="67"/>
      <c r="AJ144" s="50"/>
      <c r="AK144" s="69"/>
      <c r="AL144" s="50"/>
      <c r="AM144" s="69"/>
      <c r="AN144" s="50"/>
      <c r="AO144" s="69"/>
      <c r="AP144" s="50"/>
      <c r="AQ144" s="69"/>
      <c r="AR144" s="50"/>
      <c r="AS144" s="642" t="s">
        <v>303</v>
      </c>
      <c r="AT144" s="326"/>
      <c r="AU144" s="326"/>
      <c r="AV144" s="326"/>
      <c r="AW144" s="326"/>
      <c r="AX144" s="326"/>
      <c r="AY144" s="327"/>
      <c r="AZ144" s="70"/>
      <c r="BA144" s="70"/>
      <c r="BB144" s="643" t="s">
        <v>334</v>
      </c>
      <c r="BC144" s="327"/>
      <c r="BD144" s="645" t="s">
        <v>303</v>
      </c>
      <c r="BE144" s="326"/>
      <c r="BF144" s="327"/>
      <c r="BG144" s="646" t="s">
        <v>303</v>
      </c>
      <c r="BH144" s="326"/>
      <c r="BI144" s="326"/>
      <c r="BJ144" s="327"/>
      <c r="BK144" s="647"/>
      <c r="BL144" s="326"/>
      <c r="BM144" s="327"/>
      <c r="BN144" s="71"/>
      <c r="BO144" s="71"/>
      <c r="BP144" s="646"/>
      <c r="BQ144" s="326"/>
      <c r="BR144" s="327"/>
      <c r="BS144" s="645" t="s">
        <v>303</v>
      </c>
      <c r="BT144" s="326"/>
      <c r="BU144" s="327"/>
    </row>
    <row r="145" spans="1:73" ht="30" customHeight="1" x14ac:dyDescent="0.25">
      <c r="A145" s="65">
        <f t="shared" si="0"/>
        <v>131</v>
      </c>
      <c r="B145" s="639" t="s">
        <v>334</v>
      </c>
      <c r="C145" s="327"/>
      <c r="D145" s="640" t="s">
        <v>303</v>
      </c>
      <c r="E145" s="326"/>
      <c r="F145" s="326"/>
      <c r="G145" s="327"/>
      <c r="H145" s="641" t="s">
        <v>303</v>
      </c>
      <c r="I145" s="326"/>
      <c r="J145" s="326"/>
      <c r="K145" s="327"/>
      <c r="L145" s="438" t="s">
        <v>303</v>
      </c>
      <c r="M145" s="326"/>
      <c r="N145" s="327"/>
      <c r="O145" s="519" t="s">
        <v>303</v>
      </c>
      <c r="P145" s="326"/>
      <c r="Q145" s="327"/>
      <c r="R145" s="527"/>
      <c r="S145" s="326"/>
      <c r="T145" s="327"/>
      <c r="U145" s="497"/>
      <c r="V145" s="326"/>
      <c r="W145" s="327"/>
      <c r="X145" s="66"/>
      <c r="Y145" s="67"/>
      <c r="Z145" s="66"/>
      <c r="AA145" s="67"/>
      <c r="AB145" s="66"/>
      <c r="AC145" s="67"/>
      <c r="AD145" s="66"/>
      <c r="AE145" s="67"/>
      <c r="AF145" s="66"/>
      <c r="AG145" s="67"/>
      <c r="AH145" s="66"/>
      <c r="AI145" s="67"/>
      <c r="AJ145" s="50"/>
      <c r="AK145" s="69"/>
      <c r="AL145" s="50"/>
      <c r="AM145" s="69"/>
      <c r="AN145" s="50"/>
      <c r="AO145" s="69"/>
      <c r="AP145" s="50"/>
      <c r="AQ145" s="69"/>
      <c r="AR145" s="50"/>
      <c r="AS145" s="642" t="s">
        <v>303</v>
      </c>
      <c r="AT145" s="326"/>
      <c r="AU145" s="326"/>
      <c r="AV145" s="326"/>
      <c r="AW145" s="326"/>
      <c r="AX145" s="326"/>
      <c r="AY145" s="327"/>
      <c r="AZ145" s="70"/>
      <c r="BA145" s="70"/>
      <c r="BB145" s="643" t="s">
        <v>334</v>
      </c>
      <c r="BC145" s="327"/>
      <c r="BD145" s="645" t="s">
        <v>303</v>
      </c>
      <c r="BE145" s="326"/>
      <c r="BF145" s="327"/>
      <c r="BG145" s="646" t="s">
        <v>303</v>
      </c>
      <c r="BH145" s="326"/>
      <c r="BI145" s="326"/>
      <c r="BJ145" s="327"/>
      <c r="BK145" s="647"/>
      <c r="BL145" s="326"/>
      <c r="BM145" s="327"/>
      <c r="BN145" s="71"/>
      <c r="BO145" s="71"/>
      <c r="BP145" s="646"/>
      <c r="BQ145" s="326"/>
      <c r="BR145" s="327"/>
      <c r="BS145" s="645" t="s">
        <v>303</v>
      </c>
      <c r="BT145" s="326"/>
      <c r="BU145" s="327"/>
    </row>
    <row r="146" spans="1:73" ht="30" customHeight="1" x14ac:dyDescent="0.25">
      <c r="A146" s="65">
        <f t="shared" si="0"/>
        <v>132</v>
      </c>
      <c r="B146" s="639" t="s">
        <v>334</v>
      </c>
      <c r="C146" s="327"/>
      <c r="D146" s="640" t="s">
        <v>303</v>
      </c>
      <c r="E146" s="326"/>
      <c r="F146" s="326"/>
      <c r="G146" s="327"/>
      <c r="H146" s="641" t="s">
        <v>303</v>
      </c>
      <c r="I146" s="326"/>
      <c r="J146" s="326"/>
      <c r="K146" s="327"/>
      <c r="L146" s="438" t="s">
        <v>303</v>
      </c>
      <c r="M146" s="326"/>
      <c r="N146" s="327"/>
      <c r="O146" s="519" t="s">
        <v>303</v>
      </c>
      <c r="P146" s="326"/>
      <c r="Q146" s="327"/>
      <c r="R146" s="527"/>
      <c r="S146" s="326"/>
      <c r="T146" s="327"/>
      <c r="U146" s="497"/>
      <c r="V146" s="326"/>
      <c r="W146" s="327"/>
      <c r="X146" s="66"/>
      <c r="Y146" s="67"/>
      <c r="Z146" s="66"/>
      <c r="AA146" s="67"/>
      <c r="AB146" s="66"/>
      <c r="AC146" s="67"/>
      <c r="AD146" s="66"/>
      <c r="AE146" s="67"/>
      <c r="AF146" s="66"/>
      <c r="AG146" s="67"/>
      <c r="AH146" s="66"/>
      <c r="AI146" s="67"/>
      <c r="AJ146" s="50"/>
      <c r="AK146" s="69"/>
      <c r="AL146" s="50"/>
      <c r="AM146" s="69"/>
      <c r="AN146" s="50"/>
      <c r="AO146" s="69"/>
      <c r="AP146" s="50"/>
      <c r="AQ146" s="69"/>
      <c r="AR146" s="50"/>
      <c r="AS146" s="642" t="s">
        <v>303</v>
      </c>
      <c r="AT146" s="326"/>
      <c r="AU146" s="326"/>
      <c r="AV146" s="326"/>
      <c r="AW146" s="326"/>
      <c r="AX146" s="326"/>
      <c r="AY146" s="327"/>
      <c r="AZ146" s="70"/>
      <c r="BA146" s="70"/>
      <c r="BB146" s="643" t="s">
        <v>334</v>
      </c>
      <c r="BC146" s="327"/>
      <c r="BD146" s="645" t="s">
        <v>303</v>
      </c>
      <c r="BE146" s="326"/>
      <c r="BF146" s="327"/>
      <c r="BG146" s="646" t="s">
        <v>303</v>
      </c>
      <c r="BH146" s="326"/>
      <c r="BI146" s="326"/>
      <c r="BJ146" s="327"/>
      <c r="BK146" s="647"/>
      <c r="BL146" s="326"/>
      <c r="BM146" s="327"/>
      <c r="BN146" s="71"/>
      <c r="BO146" s="71"/>
      <c r="BP146" s="646"/>
      <c r="BQ146" s="326"/>
      <c r="BR146" s="327"/>
      <c r="BS146" s="645" t="s">
        <v>303</v>
      </c>
      <c r="BT146" s="326"/>
      <c r="BU146" s="327"/>
    </row>
    <row r="147" spans="1:73" ht="30" customHeight="1" x14ac:dyDescent="0.25">
      <c r="A147" s="65">
        <f t="shared" si="0"/>
        <v>133</v>
      </c>
      <c r="B147" s="639" t="s">
        <v>334</v>
      </c>
      <c r="C147" s="327"/>
      <c r="D147" s="640" t="s">
        <v>303</v>
      </c>
      <c r="E147" s="326"/>
      <c r="F147" s="326"/>
      <c r="G147" s="327"/>
      <c r="H147" s="641" t="s">
        <v>303</v>
      </c>
      <c r="I147" s="326"/>
      <c r="J147" s="326"/>
      <c r="K147" s="327"/>
      <c r="L147" s="438" t="s">
        <v>303</v>
      </c>
      <c r="M147" s="326"/>
      <c r="N147" s="327"/>
      <c r="O147" s="519" t="s">
        <v>303</v>
      </c>
      <c r="P147" s="326"/>
      <c r="Q147" s="327"/>
      <c r="R147" s="527"/>
      <c r="S147" s="326"/>
      <c r="T147" s="327"/>
      <c r="U147" s="497"/>
      <c r="V147" s="326"/>
      <c r="W147" s="327"/>
      <c r="X147" s="66"/>
      <c r="Y147" s="67"/>
      <c r="Z147" s="66"/>
      <c r="AA147" s="67"/>
      <c r="AB147" s="66"/>
      <c r="AC147" s="67"/>
      <c r="AD147" s="66"/>
      <c r="AE147" s="67"/>
      <c r="AF147" s="66"/>
      <c r="AG147" s="67"/>
      <c r="AH147" s="66"/>
      <c r="AI147" s="67"/>
      <c r="AJ147" s="50"/>
      <c r="AK147" s="69"/>
      <c r="AL147" s="50"/>
      <c r="AM147" s="69"/>
      <c r="AN147" s="50"/>
      <c r="AO147" s="69"/>
      <c r="AP147" s="50"/>
      <c r="AQ147" s="69"/>
      <c r="AR147" s="50"/>
      <c r="AS147" s="642" t="s">
        <v>303</v>
      </c>
      <c r="AT147" s="326"/>
      <c r="AU147" s="326"/>
      <c r="AV147" s="326"/>
      <c r="AW147" s="326"/>
      <c r="AX147" s="326"/>
      <c r="AY147" s="327"/>
      <c r="AZ147" s="70"/>
      <c r="BA147" s="70"/>
      <c r="BB147" s="643" t="s">
        <v>334</v>
      </c>
      <c r="BC147" s="327"/>
      <c r="BD147" s="645" t="s">
        <v>303</v>
      </c>
      <c r="BE147" s="326"/>
      <c r="BF147" s="327"/>
      <c r="BG147" s="646" t="s">
        <v>303</v>
      </c>
      <c r="BH147" s="326"/>
      <c r="BI147" s="326"/>
      <c r="BJ147" s="327"/>
      <c r="BK147" s="647"/>
      <c r="BL147" s="326"/>
      <c r="BM147" s="327"/>
      <c r="BN147" s="71"/>
      <c r="BO147" s="71"/>
      <c r="BP147" s="646"/>
      <c r="BQ147" s="326"/>
      <c r="BR147" s="327"/>
      <c r="BS147" s="645" t="s">
        <v>303</v>
      </c>
      <c r="BT147" s="326"/>
      <c r="BU147" s="327"/>
    </row>
    <row r="148" spans="1:73" ht="30" customHeight="1" x14ac:dyDescent="0.25">
      <c r="A148" s="65">
        <f t="shared" si="0"/>
        <v>134</v>
      </c>
      <c r="B148" s="639" t="s">
        <v>334</v>
      </c>
      <c r="C148" s="327"/>
      <c r="D148" s="640" t="s">
        <v>303</v>
      </c>
      <c r="E148" s="326"/>
      <c r="F148" s="326"/>
      <c r="G148" s="327"/>
      <c r="H148" s="641" t="s">
        <v>303</v>
      </c>
      <c r="I148" s="326"/>
      <c r="J148" s="326"/>
      <c r="K148" s="327"/>
      <c r="L148" s="438" t="s">
        <v>303</v>
      </c>
      <c r="M148" s="326"/>
      <c r="N148" s="327"/>
      <c r="O148" s="519" t="s">
        <v>303</v>
      </c>
      <c r="P148" s="326"/>
      <c r="Q148" s="327"/>
      <c r="R148" s="527"/>
      <c r="S148" s="326"/>
      <c r="T148" s="327"/>
      <c r="U148" s="497"/>
      <c r="V148" s="326"/>
      <c r="W148" s="327"/>
      <c r="X148" s="66"/>
      <c r="Y148" s="67"/>
      <c r="Z148" s="66"/>
      <c r="AA148" s="67"/>
      <c r="AB148" s="66"/>
      <c r="AC148" s="67"/>
      <c r="AD148" s="66"/>
      <c r="AE148" s="67"/>
      <c r="AF148" s="66"/>
      <c r="AG148" s="67"/>
      <c r="AH148" s="66"/>
      <c r="AI148" s="67"/>
      <c r="AJ148" s="50"/>
      <c r="AK148" s="69"/>
      <c r="AL148" s="50"/>
      <c r="AM148" s="69"/>
      <c r="AN148" s="50"/>
      <c r="AO148" s="69"/>
      <c r="AP148" s="50"/>
      <c r="AQ148" s="69"/>
      <c r="AR148" s="50"/>
      <c r="AS148" s="642" t="s">
        <v>303</v>
      </c>
      <c r="AT148" s="326"/>
      <c r="AU148" s="326"/>
      <c r="AV148" s="326"/>
      <c r="AW148" s="326"/>
      <c r="AX148" s="326"/>
      <c r="AY148" s="327"/>
      <c r="AZ148" s="70"/>
      <c r="BA148" s="70"/>
      <c r="BB148" s="644" t="s">
        <v>334</v>
      </c>
      <c r="BC148" s="327"/>
      <c r="BD148" s="645" t="s">
        <v>303</v>
      </c>
      <c r="BE148" s="326"/>
      <c r="BF148" s="327"/>
      <c r="BG148" s="646" t="s">
        <v>303</v>
      </c>
      <c r="BH148" s="326"/>
      <c r="BI148" s="326"/>
      <c r="BJ148" s="327"/>
      <c r="BK148" s="647"/>
      <c r="BL148" s="326"/>
      <c r="BM148" s="327"/>
      <c r="BN148" s="71"/>
      <c r="BO148" s="71"/>
      <c r="BP148" s="646"/>
      <c r="BQ148" s="326"/>
      <c r="BR148" s="327"/>
      <c r="BS148" s="645" t="s">
        <v>303</v>
      </c>
      <c r="BT148" s="326"/>
      <c r="BU148" s="327"/>
    </row>
    <row r="149" spans="1:73" ht="30" customHeight="1" x14ac:dyDescent="0.25">
      <c r="A149" s="65">
        <f t="shared" si="0"/>
        <v>135</v>
      </c>
      <c r="B149" s="639" t="s">
        <v>334</v>
      </c>
      <c r="C149" s="327"/>
      <c r="D149" s="640" t="s">
        <v>303</v>
      </c>
      <c r="E149" s="326"/>
      <c r="F149" s="326"/>
      <c r="G149" s="327"/>
      <c r="H149" s="641" t="s">
        <v>303</v>
      </c>
      <c r="I149" s="326"/>
      <c r="J149" s="326"/>
      <c r="K149" s="327"/>
      <c r="L149" s="438" t="s">
        <v>303</v>
      </c>
      <c r="M149" s="326"/>
      <c r="N149" s="327"/>
      <c r="O149" s="519" t="s">
        <v>303</v>
      </c>
      <c r="P149" s="326"/>
      <c r="Q149" s="327"/>
      <c r="R149" s="527"/>
      <c r="S149" s="326"/>
      <c r="T149" s="327"/>
      <c r="U149" s="497"/>
      <c r="V149" s="326"/>
      <c r="W149" s="327"/>
      <c r="X149" s="66"/>
      <c r="Y149" s="67"/>
      <c r="Z149" s="66"/>
      <c r="AA149" s="67"/>
      <c r="AB149" s="66"/>
      <c r="AC149" s="67"/>
      <c r="AD149" s="66"/>
      <c r="AE149" s="67"/>
      <c r="AF149" s="66"/>
      <c r="AG149" s="67"/>
      <c r="AH149" s="66"/>
      <c r="AI149" s="67"/>
      <c r="AJ149" s="50"/>
      <c r="AK149" s="69"/>
      <c r="AL149" s="50"/>
      <c r="AM149" s="69"/>
      <c r="AN149" s="50"/>
      <c r="AO149" s="69"/>
      <c r="AP149" s="50"/>
      <c r="AQ149" s="69"/>
      <c r="AR149" s="50"/>
      <c r="AS149" s="642" t="s">
        <v>303</v>
      </c>
      <c r="AT149" s="326"/>
      <c r="AU149" s="326"/>
      <c r="AV149" s="326"/>
      <c r="AW149" s="326"/>
      <c r="AX149" s="326"/>
      <c r="AY149" s="327"/>
      <c r="AZ149" s="70"/>
      <c r="BA149" s="70"/>
      <c r="BB149" s="643" t="s">
        <v>334</v>
      </c>
      <c r="BC149" s="327"/>
      <c r="BD149" s="645" t="s">
        <v>303</v>
      </c>
      <c r="BE149" s="326"/>
      <c r="BF149" s="327"/>
      <c r="BG149" s="646" t="s">
        <v>303</v>
      </c>
      <c r="BH149" s="326"/>
      <c r="BI149" s="326"/>
      <c r="BJ149" s="327"/>
      <c r="BK149" s="647"/>
      <c r="BL149" s="326"/>
      <c r="BM149" s="327"/>
      <c r="BN149" s="71"/>
      <c r="BO149" s="71"/>
      <c r="BP149" s="646"/>
      <c r="BQ149" s="326"/>
      <c r="BR149" s="327"/>
      <c r="BS149" s="645" t="s">
        <v>303</v>
      </c>
      <c r="BT149" s="326"/>
      <c r="BU149" s="327"/>
    </row>
    <row r="150" spans="1:73" ht="30" customHeight="1" x14ac:dyDescent="0.25">
      <c r="A150" s="65">
        <f t="shared" si="0"/>
        <v>136</v>
      </c>
      <c r="B150" s="639" t="s">
        <v>334</v>
      </c>
      <c r="C150" s="327"/>
      <c r="D150" s="640" t="s">
        <v>303</v>
      </c>
      <c r="E150" s="326"/>
      <c r="F150" s="326"/>
      <c r="G150" s="327"/>
      <c r="H150" s="641" t="s">
        <v>303</v>
      </c>
      <c r="I150" s="326"/>
      <c r="J150" s="326"/>
      <c r="K150" s="327"/>
      <c r="L150" s="438" t="s">
        <v>303</v>
      </c>
      <c r="M150" s="326"/>
      <c r="N150" s="327"/>
      <c r="O150" s="519" t="s">
        <v>303</v>
      </c>
      <c r="P150" s="326"/>
      <c r="Q150" s="327"/>
      <c r="R150" s="527"/>
      <c r="S150" s="326"/>
      <c r="T150" s="327"/>
      <c r="U150" s="497"/>
      <c r="V150" s="326"/>
      <c r="W150" s="327"/>
      <c r="X150" s="66"/>
      <c r="Y150" s="67"/>
      <c r="Z150" s="66"/>
      <c r="AA150" s="67"/>
      <c r="AB150" s="66"/>
      <c r="AC150" s="67"/>
      <c r="AD150" s="66"/>
      <c r="AE150" s="67"/>
      <c r="AF150" s="66"/>
      <c r="AG150" s="67"/>
      <c r="AH150" s="66"/>
      <c r="AI150" s="67"/>
      <c r="AJ150" s="50"/>
      <c r="AK150" s="69"/>
      <c r="AL150" s="50"/>
      <c r="AM150" s="69"/>
      <c r="AN150" s="50"/>
      <c r="AO150" s="69"/>
      <c r="AP150" s="50"/>
      <c r="AQ150" s="69"/>
      <c r="AR150" s="50"/>
      <c r="AS150" s="642" t="s">
        <v>303</v>
      </c>
      <c r="AT150" s="326"/>
      <c r="AU150" s="326"/>
      <c r="AV150" s="326"/>
      <c r="AW150" s="326"/>
      <c r="AX150" s="326"/>
      <c r="AY150" s="327"/>
      <c r="AZ150" s="70"/>
      <c r="BA150" s="70"/>
      <c r="BB150" s="643" t="s">
        <v>334</v>
      </c>
      <c r="BC150" s="327"/>
      <c r="BD150" s="645" t="s">
        <v>303</v>
      </c>
      <c r="BE150" s="326"/>
      <c r="BF150" s="327"/>
      <c r="BG150" s="646" t="s">
        <v>303</v>
      </c>
      <c r="BH150" s="326"/>
      <c r="BI150" s="326"/>
      <c r="BJ150" s="327"/>
      <c r="BK150" s="647"/>
      <c r="BL150" s="326"/>
      <c r="BM150" s="327"/>
      <c r="BN150" s="71"/>
      <c r="BO150" s="71"/>
      <c r="BP150" s="646"/>
      <c r="BQ150" s="326"/>
      <c r="BR150" s="327"/>
      <c r="BS150" s="645" t="s">
        <v>303</v>
      </c>
      <c r="BT150" s="326"/>
      <c r="BU150" s="327"/>
    </row>
    <row r="151" spans="1:73" ht="30" customHeight="1" x14ac:dyDescent="0.25">
      <c r="A151" s="65">
        <f t="shared" si="0"/>
        <v>137</v>
      </c>
      <c r="B151" s="639" t="s">
        <v>334</v>
      </c>
      <c r="C151" s="327"/>
      <c r="D151" s="640" t="s">
        <v>303</v>
      </c>
      <c r="E151" s="326"/>
      <c r="F151" s="326"/>
      <c r="G151" s="327"/>
      <c r="H151" s="641" t="s">
        <v>303</v>
      </c>
      <c r="I151" s="326"/>
      <c r="J151" s="326"/>
      <c r="K151" s="327"/>
      <c r="L151" s="438" t="s">
        <v>303</v>
      </c>
      <c r="M151" s="326"/>
      <c r="N151" s="327"/>
      <c r="O151" s="519" t="s">
        <v>303</v>
      </c>
      <c r="P151" s="326"/>
      <c r="Q151" s="327"/>
      <c r="R151" s="527"/>
      <c r="S151" s="326"/>
      <c r="T151" s="327"/>
      <c r="U151" s="497"/>
      <c r="V151" s="326"/>
      <c r="W151" s="327"/>
      <c r="X151" s="66"/>
      <c r="Y151" s="67"/>
      <c r="Z151" s="66"/>
      <c r="AA151" s="67"/>
      <c r="AB151" s="66"/>
      <c r="AC151" s="67"/>
      <c r="AD151" s="66"/>
      <c r="AE151" s="67"/>
      <c r="AF151" s="66"/>
      <c r="AG151" s="67"/>
      <c r="AH151" s="66"/>
      <c r="AI151" s="67"/>
      <c r="AJ151" s="50"/>
      <c r="AK151" s="69"/>
      <c r="AL151" s="50"/>
      <c r="AM151" s="69"/>
      <c r="AN151" s="50"/>
      <c r="AO151" s="69"/>
      <c r="AP151" s="50"/>
      <c r="AQ151" s="69"/>
      <c r="AR151" s="50"/>
      <c r="AS151" s="642" t="s">
        <v>303</v>
      </c>
      <c r="AT151" s="326"/>
      <c r="AU151" s="326"/>
      <c r="AV151" s="326"/>
      <c r="AW151" s="326"/>
      <c r="AX151" s="326"/>
      <c r="AY151" s="327"/>
      <c r="AZ151" s="70"/>
      <c r="BA151" s="70"/>
      <c r="BB151" s="643" t="s">
        <v>334</v>
      </c>
      <c r="BC151" s="327"/>
      <c r="BD151" s="645" t="s">
        <v>303</v>
      </c>
      <c r="BE151" s="326"/>
      <c r="BF151" s="327"/>
      <c r="BG151" s="646" t="s">
        <v>303</v>
      </c>
      <c r="BH151" s="326"/>
      <c r="BI151" s="326"/>
      <c r="BJ151" s="327"/>
      <c r="BK151" s="647"/>
      <c r="BL151" s="326"/>
      <c r="BM151" s="327"/>
      <c r="BN151" s="71"/>
      <c r="BO151" s="71"/>
      <c r="BP151" s="646"/>
      <c r="BQ151" s="326"/>
      <c r="BR151" s="327"/>
      <c r="BS151" s="645" t="s">
        <v>303</v>
      </c>
      <c r="BT151" s="326"/>
      <c r="BU151" s="327"/>
    </row>
    <row r="152" spans="1:73" ht="30" customHeight="1" x14ac:dyDescent="0.25">
      <c r="A152" s="65">
        <f t="shared" si="0"/>
        <v>138</v>
      </c>
      <c r="B152" s="639" t="s">
        <v>334</v>
      </c>
      <c r="C152" s="327"/>
      <c r="D152" s="640" t="s">
        <v>303</v>
      </c>
      <c r="E152" s="326"/>
      <c r="F152" s="326"/>
      <c r="G152" s="327"/>
      <c r="H152" s="641" t="s">
        <v>303</v>
      </c>
      <c r="I152" s="326"/>
      <c r="J152" s="326"/>
      <c r="K152" s="327"/>
      <c r="L152" s="438" t="s">
        <v>303</v>
      </c>
      <c r="M152" s="326"/>
      <c r="N152" s="327"/>
      <c r="O152" s="519" t="s">
        <v>303</v>
      </c>
      <c r="P152" s="326"/>
      <c r="Q152" s="327"/>
      <c r="R152" s="527"/>
      <c r="S152" s="326"/>
      <c r="T152" s="327"/>
      <c r="U152" s="497"/>
      <c r="V152" s="326"/>
      <c r="W152" s="327"/>
      <c r="X152" s="66"/>
      <c r="Y152" s="67"/>
      <c r="Z152" s="66"/>
      <c r="AA152" s="67"/>
      <c r="AB152" s="66"/>
      <c r="AC152" s="67"/>
      <c r="AD152" s="66"/>
      <c r="AE152" s="67"/>
      <c r="AF152" s="66"/>
      <c r="AG152" s="67"/>
      <c r="AH152" s="66"/>
      <c r="AI152" s="67"/>
      <c r="AJ152" s="50"/>
      <c r="AK152" s="69"/>
      <c r="AL152" s="50"/>
      <c r="AM152" s="69"/>
      <c r="AN152" s="50"/>
      <c r="AO152" s="69"/>
      <c r="AP152" s="50"/>
      <c r="AQ152" s="69"/>
      <c r="AR152" s="50"/>
      <c r="AS152" s="642" t="s">
        <v>303</v>
      </c>
      <c r="AT152" s="326"/>
      <c r="AU152" s="326"/>
      <c r="AV152" s="326"/>
      <c r="AW152" s="326"/>
      <c r="AX152" s="326"/>
      <c r="AY152" s="327"/>
      <c r="AZ152" s="70"/>
      <c r="BA152" s="70"/>
      <c r="BB152" s="643" t="s">
        <v>334</v>
      </c>
      <c r="BC152" s="327"/>
      <c r="BD152" s="645" t="s">
        <v>303</v>
      </c>
      <c r="BE152" s="326"/>
      <c r="BF152" s="327"/>
      <c r="BG152" s="646" t="s">
        <v>303</v>
      </c>
      <c r="BH152" s="326"/>
      <c r="BI152" s="326"/>
      <c r="BJ152" s="327"/>
      <c r="BK152" s="647"/>
      <c r="BL152" s="326"/>
      <c r="BM152" s="327"/>
      <c r="BN152" s="71"/>
      <c r="BO152" s="71"/>
      <c r="BP152" s="646"/>
      <c r="BQ152" s="326"/>
      <c r="BR152" s="327"/>
      <c r="BS152" s="645" t="s">
        <v>303</v>
      </c>
      <c r="BT152" s="326"/>
      <c r="BU152" s="327"/>
    </row>
    <row r="153" spans="1:73" ht="30" customHeight="1" x14ac:dyDescent="0.25">
      <c r="A153" s="65">
        <f t="shared" si="0"/>
        <v>139</v>
      </c>
      <c r="B153" s="639" t="s">
        <v>334</v>
      </c>
      <c r="C153" s="327"/>
      <c r="D153" s="640" t="s">
        <v>303</v>
      </c>
      <c r="E153" s="326"/>
      <c r="F153" s="326"/>
      <c r="G153" s="327"/>
      <c r="H153" s="641" t="s">
        <v>303</v>
      </c>
      <c r="I153" s="326"/>
      <c r="J153" s="326"/>
      <c r="K153" s="327"/>
      <c r="L153" s="438" t="s">
        <v>303</v>
      </c>
      <c r="M153" s="326"/>
      <c r="N153" s="327"/>
      <c r="O153" s="519" t="s">
        <v>303</v>
      </c>
      <c r="P153" s="326"/>
      <c r="Q153" s="327"/>
      <c r="R153" s="527"/>
      <c r="S153" s="326"/>
      <c r="T153" s="327"/>
      <c r="U153" s="497"/>
      <c r="V153" s="326"/>
      <c r="W153" s="327"/>
      <c r="X153" s="66"/>
      <c r="Y153" s="67"/>
      <c r="Z153" s="66"/>
      <c r="AA153" s="67"/>
      <c r="AB153" s="66"/>
      <c r="AC153" s="67"/>
      <c r="AD153" s="66"/>
      <c r="AE153" s="67"/>
      <c r="AF153" s="66"/>
      <c r="AG153" s="67"/>
      <c r="AH153" s="66"/>
      <c r="AI153" s="67"/>
      <c r="AJ153" s="50"/>
      <c r="AK153" s="69"/>
      <c r="AL153" s="50"/>
      <c r="AM153" s="69"/>
      <c r="AN153" s="50"/>
      <c r="AO153" s="69"/>
      <c r="AP153" s="50"/>
      <c r="AQ153" s="69"/>
      <c r="AR153" s="50"/>
      <c r="AS153" s="642" t="s">
        <v>303</v>
      </c>
      <c r="AT153" s="326"/>
      <c r="AU153" s="326"/>
      <c r="AV153" s="326"/>
      <c r="AW153" s="326"/>
      <c r="AX153" s="326"/>
      <c r="AY153" s="327"/>
      <c r="AZ153" s="70"/>
      <c r="BA153" s="70"/>
      <c r="BB153" s="643" t="s">
        <v>334</v>
      </c>
      <c r="BC153" s="327"/>
      <c r="BD153" s="645" t="s">
        <v>303</v>
      </c>
      <c r="BE153" s="326"/>
      <c r="BF153" s="327"/>
      <c r="BG153" s="646" t="s">
        <v>303</v>
      </c>
      <c r="BH153" s="326"/>
      <c r="BI153" s="326"/>
      <c r="BJ153" s="327"/>
      <c r="BK153" s="647"/>
      <c r="BL153" s="326"/>
      <c r="BM153" s="327"/>
      <c r="BN153" s="71"/>
      <c r="BO153" s="71"/>
      <c r="BP153" s="646"/>
      <c r="BQ153" s="326"/>
      <c r="BR153" s="327"/>
      <c r="BS153" s="645" t="s">
        <v>303</v>
      </c>
      <c r="BT153" s="326"/>
      <c r="BU153" s="327"/>
    </row>
    <row r="154" spans="1:73" ht="30" customHeight="1" x14ac:dyDescent="0.25">
      <c r="A154" s="65">
        <f t="shared" si="0"/>
        <v>140</v>
      </c>
      <c r="B154" s="639" t="s">
        <v>334</v>
      </c>
      <c r="C154" s="327"/>
      <c r="D154" s="640" t="s">
        <v>303</v>
      </c>
      <c r="E154" s="326"/>
      <c r="F154" s="326"/>
      <c r="G154" s="327"/>
      <c r="H154" s="641" t="s">
        <v>303</v>
      </c>
      <c r="I154" s="326"/>
      <c r="J154" s="326"/>
      <c r="K154" s="327"/>
      <c r="L154" s="438" t="s">
        <v>303</v>
      </c>
      <c r="M154" s="326"/>
      <c r="N154" s="327"/>
      <c r="O154" s="519" t="s">
        <v>303</v>
      </c>
      <c r="P154" s="326"/>
      <c r="Q154" s="327"/>
      <c r="R154" s="527"/>
      <c r="S154" s="326"/>
      <c r="T154" s="327"/>
      <c r="U154" s="497"/>
      <c r="V154" s="326"/>
      <c r="W154" s="327"/>
      <c r="X154" s="66"/>
      <c r="Y154" s="67"/>
      <c r="Z154" s="66"/>
      <c r="AA154" s="67"/>
      <c r="AB154" s="66"/>
      <c r="AC154" s="67"/>
      <c r="AD154" s="66"/>
      <c r="AE154" s="67"/>
      <c r="AF154" s="66"/>
      <c r="AG154" s="67"/>
      <c r="AH154" s="66"/>
      <c r="AI154" s="67"/>
      <c r="AJ154" s="50"/>
      <c r="AK154" s="69"/>
      <c r="AL154" s="50"/>
      <c r="AM154" s="69"/>
      <c r="AN154" s="50"/>
      <c r="AO154" s="69"/>
      <c r="AP154" s="50"/>
      <c r="AQ154" s="69"/>
      <c r="AR154" s="50"/>
      <c r="AS154" s="642" t="s">
        <v>303</v>
      </c>
      <c r="AT154" s="326"/>
      <c r="AU154" s="326"/>
      <c r="AV154" s="326"/>
      <c r="AW154" s="326"/>
      <c r="AX154" s="326"/>
      <c r="AY154" s="327"/>
      <c r="AZ154" s="70"/>
      <c r="BA154" s="70"/>
      <c r="BB154" s="643" t="s">
        <v>334</v>
      </c>
      <c r="BC154" s="327"/>
      <c r="BD154" s="645" t="s">
        <v>303</v>
      </c>
      <c r="BE154" s="326"/>
      <c r="BF154" s="327"/>
      <c r="BG154" s="646" t="s">
        <v>303</v>
      </c>
      <c r="BH154" s="326"/>
      <c r="BI154" s="326"/>
      <c r="BJ154" s="327"/>
      <c r="BK154" s="647"/>
      <c r="BL154" s="326"/>
      <c r="BM154" s="327"/>
      <c r="BN154" s="71"/>
      <c r="BO154" s="71"/>
      <c r="BP154" s="646"/>
      <c r="BQ154" s="326"/>
      <c r="BR154" s="327"/>
      <c r="BS154" s="645" t="s">
        <v>303</v>
      </c>
      <c r="BT154" s="326"/>
      <c r="BU154" s="327"/>
    </row>
    <row r="155" spans="1:73" ht="30" customHeight="1" x14ac:dyDescent="0.25">
      <c r="A155" s="65">
        <f t="shared" si="0"/>
        <v>141</v>
      </c>
      <c r="B155" s="639" t="s">
        <v>334</v>
      </c>
      <c r="C155" s="327"/>
      <c r="D155" s="640" t="s">
        <v>303</v>
      </c>
      <c r="E155" s="326"/>
      <c r="F155" s="326"/>
      <c r="G155" s="327"/>
      <c r="H155" s="641" t="s">
        <v>303</v>
      </c>
      <c r="I155" s="326"/>
      <c r="J155" s="326"/>
      <c r="K155" s="327"/>
      <c r="L155" s="438" t="s">
        <v>303</v>
      </c>
      <c r="M155" s="326"/>
      <c r="N155" s="327"/>
      <c r="O155" s="519" t="s">
        <v>303</v>
      </c>
      <c r="P155" s="326"/>
      <c r="Q155" s="327"/>
      <c r="R155" s="527"/>
      <c r="S155" s="326"/>
      <c r="T155" s="327"/>
      <c r="U155" s="497"/>
      <c r="V155" s="326"/>
      <c r="W155" s="327"/>
      <c r="X155" s="66"/>
      <c r="Y155" s="67"/>
      <c r="Z155" s="66"/>
      <c r="AA155" s="67"/>
      <c r="AB155" s="66"/>
      <c r="AC155" s="67"/>
      <c r="AD155" s="66"/>
      <c r="AE155" s="67"/>
      <c r="AF155" s="66"/>
      <c r="AG155" s="67"/>
      <c r="AH155" s="66"/>
      <c r="AI155" s="67"/>
      <c r="AJ155" s="50"/>
      <c r="AK155" s="69"/>
      <c r="AL155" s="50"/>
      <c r="AM155" s="69"/>
      <c r="AN155" s="50"/>
      <c r="AO155" s="69"/>
      <c r="AP155" s="50"/>
      <c r="AQ155" s="69"/>
      <c r="AR155" s="50"/>
      <c r="AS155" s="642" t="s">
        <v>303</v>
      </c>
      <c r="AT155" s="326"/>
      <c r="AU155" s="326"/>
      <c r="AV155" s="326"/>
      <c r="AW155" s="326"/>
      <c r="AX155" s="326"/>
      <c r="AY155" s="327"/>
      <c r="AZ155" s="70"/>
      <c r="BA155" s="70"/>
      <c r="BB155" s="644" t="s">
        <v>334</v>
      </c>
      <c r="BC155" s="327"/>
      <c r="BD155" s="645" t="s">
        <v>303</v>
      </c>
      <c r="BE155" s="326"/>
      <c r="BF155" s="327"/>
      <c r="BG155" s="646" t="s">
        <v>303</v>
      </c>
      <c r="BH155" s="326"/>
      <c r="BI155" s="326"/>
      <c r="BJ155" s="327"/>
      <c r="BK155" s="647"/>
      <c r="BL155" s="326"/>
      <c r="BM155" s="327"/>
      <c r="BN155" s="71"/>
      <c r="BO155" s="71"/>
      <c r="BP155" s="646"/>
      <c r="BQ155" s="326"/>
      <c r="BR155" s="327"/>
      <c r="BS155" s="645" t="s">
        <v>303</v>
      </c>
      <c r="BT155" s="326"/>
      <c r="BU155" s="327"/>
    </row>
    <row r="156" spans="1:73" ht="30" customHeight="1" x14ac:dyDescent="0.25">
      <c r="A156" s="65">
        <f t="shared" si="0"/>
        <v>142</v>
      </c>
      <c r="B156" s="639" t="s">
        <v>334</v>
      </c>
      <c r="C156" s="327"/>
      <c r="D156" s="640" t="s">
        <v>303</v>
      </c>
      <c r="E156" s="326"/>
      <c r="F156" s="326"/>
      <c r="G156" s="327"/>
      <c r="H156" s="641" t="s">
        <v>303</v>
      </c>
      <c r="I156" s="326"/>
      <c r="J156" s="326"/>
      <c r="K156" s="327"/>
      <c r="L156" s="438" t="s">
        <v>303</v>
      </c>
      <c r="M156" s="326"/>
      <c r="N156" s="327"/>
      <c r="O156" s="519" t="s">
        <v>303</v>
      </c>
      <c r="P156" s="326"/>
      <c r="Q156" s="327"/>
      <c r="R156" s="527"/>
      <c r="S156" s="326"/>
      <c r="T156" s="327"/>
      <c r="U156" s="497"/>
      <c r="V156" s="326"/>
      <c r="W156" s="327"/>
      <c r="X156" s="66"/>
      <c r="Y156" s="67"/>
      <c r="Z156" s="66"/>
      <c r="AA156" s="67"/>
      <c r="AB156" s="66"/>
      <c r="AC156" s="67"/>
      <c r="AD156" s="66"/>
      <c r="AE156" s="67"/>
      <c r="AF156" s="66"/>
      <c r="AG156" s="67"/>
      <c r="AH156" s="66"/>
      <c r="AI156" s="67"/>
      <c r="AJ156" s="50"/>
      <c r="AK156" s="69"/>
      <c r="AL156" s="50"/>
      <c r="AM156" s="69"/>
      <c r="AN156" s="50"/>
      <c r="AO156" s="69"/>
      <c r="AP156" s="50"/>
      <c r="AQ156" s="69"/>
      <c r="AR156" s="50"/>
      <c r="AS156" s="642" t="s">
        <v>303</v>
      </c>
      <c r="AT156" s="326"/>
      <c r="AU156" s="326"/>
      <c r="AV156" s="326"/>
      <c r="AW156" s="326"/>
      <c r="AX156" s="326"/>
      <c r="AY156" s="327"/>
      <c r="AZ156" s="70"/>
      <c r="BA156" s="70"/>
      <c r="BB156" s="643" t="s">
        <v>334</v>
      </c>
      <c r="BC156" s="327"/>
      <c r="BD156" s="645" t="s">
        <v>303</v>
      </c>
      <c r="BE156" s="326"/>
      <c r="BF156" s="327"/>
      <c r="BG156" s="646" t="s">
        <v>303</v>
      </c>
      <c r="BH156" s="326"/>
      <c r="BI156" s="326"/>
      <c r="BJ156" s="327"/>
      <c r="BK156" s="647"/>
      <c r="BL156" s="326"/>
      <c r="BM156" s="327"/>
      <c r="BN156" s="71"/>
      <c r="BO156" s="71"/>
      <c r="BP156" s="646"/>
      <c r="BQ156" s="326"/>
      <c r="BR156" s="327"/>
      <c r="BS156" s="645" t="s">
        <v>303</v>
      </c>
      <c r="BT156" s="326"/>
      <c r="BU156" s="327"/>
    </row>
    <row r="157" spans="1:73" ht="30" customHeight="1" x14ac:dyDescent="0.25">
      <c r="A157" s="65">
        <f t="shared" si="0"/>
        <v>143</v>
      </c>
      <c r="B157" s="639" t="s">
        <v>334</v>
      </c>
      <c r="C157" s="327"/>
      <c r="D157" s="640" t="s">
        <v>303</v>
      </c>
      <c r="E157" s="326"/>
      <c r="F157" s="326"/>
      <c r="G157" s="327"/>
      <c r="H157" s="641" t="s">
        <v>303</v>
      </c>
      <c r="I157" s="326"/>
      <c r="J157" s="326"/>
      <c r="K157" s="327"/>
      <c r="L157" s="438" t="s">
        <v>303</v>
      </c>
      <c r="M157" s="326"/>
      <c r="N157" s="327"/>
      <c r="O157" s="519" t="s">
        <v>303</v>
      </c>
      <c r="P157" s="326"/>
      <c r="Q157" s="327"/>
      <c r="R157" s="527"/>
      <c r="S157" s="326"/>
      <c r="T157" s="327"/>
      <c r="U157" s="497"/>
      <c r="V157" s="326"/>
      <c r="W157" s="327"/>
      <c r="X157" s="66"/>
      <c r="Y157" s="67"/>
      <c r="Z157" s="66"/>
      <c r="AA157" s="67"/>
      <c r="AB157" s="66"/>
      <c r="AC157" s="67"/>
      <c r="AD157" s="66"/>
      <c r="AE157" s="67"/>
      <c r="AF157" s="66"/>
      <c r="AG157" s="67"/>
      <c r="AH157" s="66"/>
      <c r="AI157" s="67"/>
      <c r="AJ157" s="50"/>
      <c r="AK157" s="69"/>
      <c r="AL157" s="50"/>
      <c r="AM157" s="69"/>
      <c r="AN157" s="50"/>
      <c r="AO157" s="69"/>
      <c r="AP157" s="50"/>
      <c r="AQ157" s="69"/>
      <c r="AR157" s="50"/>
      <c r="AS157" s="642" t="s">
        <v>303</v>
      </c>
      <c r="AT157" s="326"/>
      <c r="AU157" s="326"/>
      <c r="AV157" s="326"/>
      <c r="AW157" s="326"/>
      <c r="AX157" s="326"/>
      <c r="AY157" s="327"/>
      <c r="AZ157" s="70"/>
      <c r="BA157" s="70"/>
      <c r="BB157" s="643" t="s">
        <v>334</v>
      </c>
      <c r="BC157" s="327"/>
      <c r="BD157" s="645" t="s">
        <v>303</v>
      </c>
      <c r="BE157" s="326"/>
      <c r="BF157" s="327"/>
      <c r="BG157" s="646" t="s">
        <v>303</v>
      </c>
      <c r="BH157" s="326"/>
      <c r="BI157" s="326"/>
      <c r="BJ157" s="327"/>
      <c r="BK157" s="647"/>
      <c r="BL157" s="326"/>
      <c r="BM157" s="327"/>
      <c r="BN157" s="71"/>
      <c r="BO157" s="71"/>
      <c r="BP157" s="646"/>
      <c r="BQ157" s="326"/>
      <c r="BR157" s="327"/>
      <c r="BS157" s="645" t="s">
        <v>303</v>
      </c>
      <c r="BT157" s="326"/>
      <c r="BU157" s="327"/>
    </row>
    <row r="158" spans="1:73" ht="30" customHeight="1" x14ac:dyDescent="0.25">
      <c r="A158" s="65">
        <f t="shared" si="0"/>
        <v>144</v>
      </c>
      <c r="B158" s="639" t="s">
        <v>334</v>
      </c>
      <c r="C158" s="327"/>
      <c r="D158" s="640" t="s">
        <v>303</v>
      </c>
      <c r="E158" s="326"/>
      <c r="F158" s="326"/>
      <c r="G158" s="327"/>
      <c r="H158" s="641" t="s">
        <v>303</v>
      </c>
      <c r="I158" s="326"/>
      <c r="J158" s="326"/>
      <c r="K158" s="327"/>
      <c r="L158" s="438" t="s">
        <v>303</v>
      </c>
      <c r="M158" s="326"/>
      <c r="N158" s="327"/>
      <c r="O158" s="519" t="s">
        <v>303</v>
      </c>
      <c r="P158" s="326"/>
      <c r="Q158" s="327"/>
      <c r="R158" s="527"/>
      <c r="S158" s="326"/>
      <c r="T158" s="327"/>
      <c r="U158" s="497"/>
      <c r="V158" s="326"/>
      <c r="W158" s="327"/>
      <c r="X158" s="66"/>
      <c r="Y158" s="67"/>
      <c r="Z158" s="66"/>
      <c r="AA158" s="67"/>
      <c r="AB158" s="66"/>
      <c r="AC158" s="67"/>
      <c r="AD158" s="66"/>
      <c r="AE158" s="67"/>
      <c r="AF158" s="66"/>
      <c r="AG158" s="67"/>
      <c r="AH158" s="66"/>
      <c r="AI158" s="67"/>
      <c r="AJ158" s="50"/>
      <c r="AK158" s="69"/>
      <c r="AL158" s="50"/>
      <c r="AM158" s="69"/>
      <c r="AN158" s="50"/>
      <c r="AO158" s="69"/>
      <c r="AP158" s="50"/>
      <c r="AQ158" s="69"/>
      <c r="AR158" s="50"/>
      <c r="AS158" s="642" t="s">
        <v>303</v>
      </c>
      <c r="AT158" s="326"/>
      <c r="AU158" s="326"/>
      <c r="AV158" s="326"/>
      <c r="AW158" s="326"/>
      <c r="AX158" s="326"/>
      <c r="AY158" s="327"/>
      <c r="AZ158" s="70"/>
      <c r="BA158" s="70"/>
      <c r="BB158" s="643" t="s">
        <v>334</v>
      </c>
      <c r="BC158" s="327"/>
      <c r="BD158" s="645" t="s">
        <v>303</v>
      </c>
      <c r="BE158" s="326"/>
      <c r="BF158" s="327"/>
      <c r="BG158" s="646" t="s">
        <v>303</v>
      </c>
      <c r="BH158" s="326"/>
      <c r="BI158" s="326"/>
      <c r="BJ158" s="327"/>
      <c r="BK158" s="647"/>
      <c r="BL158" s="326"/>
      <c r="BM158" s="327"/>
      <c r="BN158" s="71"/>
      <c r="BO158" s="71"/>
      <c r="BP158" s="646"/>
      <c r="BQ158" s="326"/>
      <c r="BR158" s="327"/>
      <c r="BS158" s="645" t="s">
        <v>303</v>
      </c>
      <c r="BT158" s="326"/>
      <c r="BU158" s="327"/>
    </row>
    <row r="159" spans="1:73" ht="30" customHeight="1" x14ac:dyDescent="0.25">
      <c r="A159" s="65">
        <f t="shared" si="0"/>
        <v>145</v>
      </c>
      <c r="B159" s="639" t="s">
        <v>334</v>
      </c>
      <c r="C159" s="327"/>
      <c r="D159" s="640" t="s">
        <v>303</v>
      </c>
      <c r="E159" s="326"/>
      <c r="F159" s="326"/>
      <c r="G159" s="327"/>
      <c r="H159" s="641" t="s">
        <v>303</v>
      </c>
      <c r="I159" s="326"/>
      <c r="J159" s="326"/>
      <c r="K159" s="327"/>
      <c r="L159" s="438" t="s">
        <v>303</v>
      </c>
      <c r="M159" s="326"/>
      <c r="N159" s="327"/>
      <c r="O159" s="519" t="s">
        <v>303</v>
      </c>
      <c r="P159" s="326"/>
      <c r="Q159" s="327"/>
      <c r="R159" s="527"/>
      <c r="S159" s="326"/>
      <c r="T159" s="327"/>
      <c r="U159" s="497"/>
      <c r="V159" s="326"/>
      <c r="W159" s="327"/>
      <c r="X159" s="66"/>
      <c r="Y159" s="67"/>
      <c r="Z159" s="66"/>
      <c r="AA159" s="67"/>
      <c r="AB159" s="66"/>
      <c r="AC159" s="67"/>
      <c r="AD159" s="66"/>
      <c r="AE159" s="67"/>
      <c r="AF159" s="66"/>
      <c r="AG159" s="67"/>
      <c r="AH159" s="66"/>
      <c r="AI159" s="67"/>
      <c r="AJ159" s="50"/>
      <c r="AK159" s="69"/>
      <c r="AL159" s="50"/>
      <c r="AM159" s="69"/>
      <c r="AN159" s="50"/>
      <c r="AO159" s="69"/>
      <c r="AP159" s="50"/>
      <c r="AQ159" s="69"/>
      <c r="AR159" s="50"/>
      <c r="AS159" s="642" t="s">
        <v>303</v>
      </c>
      <c r="AT159" s="326"/>
      <c r="AU159" s="326"/>
      <c r="AV159" s="326"/>
      <c r="AW159" s="326"/>
      <c r="AX159" s="326"/>
      <c r="AY159" s="327"/>
      <c r="AZ159" s="70"/>
      <c r="BA159" s="70"/>
      <c r="BB159" s="643" t="s">
        <v>334</v>
      </c>
      <c r="BC159" s="327"/>
      <c r="BD159" s="645" t="s">
        <v>303</v>
      </c>
      <c r="BE159" s="326"/>
      <c r="BF159" s="327"/>
      <c r="BG159" s="646" t="s">
        <v>303</v>
      </c>
      <c r="BH159" s="326"/>
      <c r="BI159" s="326"/>
      <c r="BJ159" s="327"/>
      <c r="BK159" s="647"/>
      <c r="BL159" s="326"/>
      <c r="BM159" s="327"/>
      <c r="BN159" s="71"/>
      <c r="BO159" s="71"/>
      <c r="BP159" s="646"/>
      <c r="BQ159" s="326"/>
      <c r="BR159" s="327"/>
      <c r="BS159" s="645" t="s">
        <v>303</v>
      </c>
      <c r="BT159" s="326"/>
      <c r="BU159" s="327"/>
    </row>
    <row r="160" spans="1:73" ht="30" customHeight="1" x14ac:dyDescent="0.25">
      <c r="A160" s="65">
        <f t="shared" si="0"/>
        <v>146</v>
      </c>
      <c r="B160" s="639" t="s">
        <v>334</v>
      </c>
      <c r="C160" s="327"/>
      <c r="D160" s="640" t="s">
        <v>303</v>
      </c>
      <c r="E160" s="326"/>
      <c r="F160" s="326"/>
      <c r="G160" s="327"/>
      <c r="H160" s="641" t="s">
        <v>303</v>
      </c>
      <c r="I160" s="326"/>
      <c r="J160" s="326"/>
      <c r="K160" s="327"/>
      <c r="L160" s="438" t="s">
        <v>303</v>
      </c>
      <c r="M160" s="326"/>
      <c r="N160" s="327"/>
      <c r="O160" s="519" t="s">
        <v>303</v>
      </c>
      <c r="P160" s="326"/>
      <c r="Q160" s="327"/>
      <c r="R160" s="527"/>
      <c r="S160" s="326"/>
      <c r="T160" s="327"/>
      <c r="U160" s="497"/>
      <c r="V160" s="326"/>
      <c r="W160" s="327"/>
      <c r="X160" s="66"/>
      <c r="Y160" s="67"/>
      <c r="Z160" s="66"/>
      <c r="AA160" s="67"/>
      <c r="AB160" s="66"/>
      <c r="AC160" s="67"/>
      <c r="AD160" s="66"/>
      <c r="AE160" s="67"/>
      <c r="AF160" s="66"/>
      <c r="AG160" s="67"/>
      <c r="AH160" s="66"/>
      <c r="AI160" s="67"/>
      <c r="AJ160" s="50"/>
      <c r="AK160" s="69"/>
      <c r="AL160" s="50"/>
      <c r="AM160" s="69"/>
      <c r="AN160" s="50"/>
      <c r="AO160" s="69"/>
      <c r="AP160" s="50"/>
      <c r="AQ160" s="69"/>
      <c r="AR160" s="50"/>
      <c r="AS160" s="642" t="s">
        <v>303</v>
      </c>
      <c r="AT160" s="326"/>
      <c r="AU160" s="326"/>
      <c r="AV160" s="326"/>
      <c r="AW160" s="326"/>
      <c r="AX160" s="326"/>
      <c r="AY160" s="327"/>
      <c r="AZ160" s="70"/>
      <c r="BA160" s="70"/>
      <c r="BB160" s="643" t="s">
        <v>334</v>
      </c>
      <c r="BC160" s="327"/>
      <c r="BD160" s="645" t="s">
        <v>303</v>
      </c>
      <c r="BE160" s="326"/>
      <c r="BF160" s="327"/>
      <c r="BG160" s="646" t="s">
        <v>303</v>
      </c>
      <c r="BH160" s="326"/>
      <c r="BI160" s="326"/>
      <c r="BJ160" s="327"/>
      <c r="BK160" s="647"/>
      <c r="BL160" s="326"/>
      <c r="BM160" s="327"/>
      <c r="BN160" s="71"/>
      <c r="BO160" s="71"/>
      <c r="BP160" s="646"/>
      <c r="BQ160" s="326"/>
      <c r="BR160" s="327"/>
      <c r="BS160" s="645" t="s">
        <v>303</v>
      </c>
      <c r="BT160" s="326"/>
      <c r="BU160" s="327"/>
    </row>
    <row r="161" spans="1:73" ht="30" customHeight="1" x14ac:dyDescent="0.25">
      <c r="A161" s="65">
        <f t="shared" si="0"/>
        <v>147</v>
      </c>
      <c r="B161" s="639" t="s">
        <v>334</v>
      </c>
      <c r="C161" s="327"/>
      <c r="D161" s="640" t="s">
        <v>303</v>
      </c>
      <c r="E161" s="326"/>
      <c r="F161" s="326"/>
      <c r="G161" s="327"/>
      <c r="H161" s="641" t="s">
        <v>303</v>
      </c>
      <c r="I161" s="326"/>
      <c r="J161" s="326"/>
      <c r="K161" s="327"/>
      <c r="L161" s="438" t="s">
        <v>303</v>
      </c>
      <c r="M161" s="326"/>
      <c r="N161" s="327"/>
      <c r="O161" s="519" t="s">
        <v>303</v>
      </c>
      <c r="P161" s="326"/>
      <c r="Q161" s="327"/>
      <c r="R161" s="527"/>
      <c r="S161" s="326"/>
      <c r="T161" s="327"/>
      <c r="U161" s="497"/>
      <c r="V161" s="326"/>
      <c r="W161" s="327"/>
      <c r="X161" s="66"/>
      <c r="Y161" s="67"/>
      <c r="Z161" s="66"/>
      <c r="AA161" s="67"/>
      <c r="AB161" s="66"/>
      <c r="AC161" s="67"/>
      <c r="AD161" s="66"/>
      <c r="AE161" s="67"/>
      <c r="AF161" s="66"/>
      <c r="AG161" s="67"/>
      <c r="AH161" s="66"/>
      <c r="AI161" s="67"/>
      <c r="AJ161" s="50"/>
      <c r="AK161" s="69"/>
      <c r="AL161" s="50"/>
      <c r="AM161" s="69"/>
      <c r="AN161" s="50"/>
      <c r="AO161" s="69"/>
      <c r="AP161" s="50"/>
      <c r="AQ161" s="69"/>
      <c r="AR161" s="50"/>
      <c r="AS161" s="642" t="s">
        <v>303</v>
      </c>
      <c r="AT161" s="326"/>
      <c r="AU161" s="326"/>
      <c r="AV161" s="326"/>
      <c r="AW161" s="326"/>
      <c r="AX161" s="326"/>
      <c r="AY161" s="327"/>
      <c r="AZ161" s="70"/>
      <c r="BA161" s="70"/>
      <c r="BB161" s="643" t="s">
        <v>334</v>
      </c>
      <c r="BC161" s="327"/>
      <c r="BD161" s="645" t="s">
        <v>303</v>
      </c>
      <c r="BE161" s="326"/>
      <c r="BF161" s="327"/>
      <c r="BG161" s="646" t="s">
        <v>303</v>
      </c>
      <c r="BH161" s="326"/>
      <c r="BI161" s="326"/>
      <c r="BJ161" s="327"/>
      <c r="BK161" s="647"/>
      <c r="BL161" s="326"/>
      <c r="BM161" s="327"/>
      <c r="BN161" s="71"/>
      <c r="BO161" s="71"/>
      <c r="BP161" s="646"/>
      <c r="BQ161" s="326"/>
      <c r="BR161" s="327"/>
      <c r="BS161" s="645" t="s">
        <v>303</v>
      </c>
      <c r="BT161" s="326"/>
      <c r="BU161" s="327"/>
    </row>
    <row r="162" spans="1:73" ht="30" customHeight="1" x14ac:dyDescent="0.25">
      <c r="A162" s="65">
        <f t="shared" si="0"/>
        <v>148</v>
      </c>
      <c r="B162" s="639" t="s">
        <v>334</v>
      </c>
      <c r="C162" s="327"/>
      <c r="D162" s="640" t="s">
        <v>303</v>
      </c>
      <c r="E162" s="326"/>
      <c r="F162" s="326"/>
      <c r="G162" s="327"/>
      <c r="H162" s="641" t="s">
        <v>303</v>
      </c>
      <c r="I162" s="326"/>
      <c r="J162" s="326"/>
      <c r="K162" s="327"/>
      <c r="L162" s="438" t="s">
        <v>303</v>
      </c>
      <c r="M162" s="326"/>
      <c r="N162" s="327"/>
      <c r="O162" s="519" t="s">
        <v>303</v>
      </c>
      <c r="P162" s="326"/>
      <c r="Q162" s="327"/>
      <c r="R162" s="527"/>
      <c r="S162" s="326"/>
      <c r="T162" s="327"/>
      <c r="U162" s="497"/>
      <c r="V162" s="326"/>
      <c r="W162" s="327"/>
      <c r="X162" s="66"/>
      <c r="Y162" s="67"/>
      <c r="Z162" s="66"/>
      <c r="AA162" s="67"/>
      <c r="AB162" s="66"/>
      <c r="AC162" s="67"/>
      <c r="AD162" s="66"/>
      <c r="AE162" s="67"/>
      <c r="AF162" s="66"/>
      <c r="AG162" s="67"/>
      <c r="AH162" s="66"/>
      <c r="AI162" s="67"/>
      <c r="AJ162" s="50"/>
      <c r="AK162" s="69"/>
      <c r="AL162" s="50"/>
      <c r="AM162" s="69"/>
      <c r="AN162" s="50"/>
      <c r="AO162" s="69"/>
      <c r="AP162" s="50"/>
      <c r="AQ162" s="69"/>
      <c r="AR162" s="50"/>
      <c r="AS162" s="642" t="s">
        <v>303</v>
      </c>
      <c r="AT162" s="326"/>
      <c r="AU162" s="326"/>
      <c r="AV162" s="326"/>
      <c r="AW162" s="326"/>
      <c r="AX162" s="326"/>
      <c r="AY162" s="327"/>
      <c r="AZ162" s="72"/>
      <c r="BA162" s="72"/>
      <c r="BB162" s="643" t="s">
        <v>334</v>
      </c>
      <c r="BC162" s="327"/>
      <c r="BD162" s="648" t="s">
        <v>303</v>
      </c>
      <c r="BE162" s="344"/>
      <c r="BF162" s="345"/>
      <c r="BG162" s="649" t="s">
        <v>303</v>
      </c>
      <c r="BH162" s="344"/>
      <c r="BI162" s="344"/>
      <c r="BJ162" s="345"/>
      <c r="BK162" s="650"/>
      <c r="BL162" s="344"/>
      <c r="BM162" s="345"/>
      <c r="BN162" s="73"/>
      <c r="BO162" s="73"/>
      <c r="BP162" s="649"/>
      <c r="BQ162" s="344"/>
      <c r="BR162" s="345"/>
      <c r="BS162" s="648" t="s">
        <v>303</v>
      </c>
      <c r="BT162" s="344"/>
      <c r="BU162" s="345"/>
    </row>
    <row r="163" spans="1:73" ht="30" customHeight="1" x14ac:dyDescent="0.25">
      <c r="A163" s="65">
        <f t="shared" si="0"/>
        <v>149</v>
      </c>
      <c r="B163" s="639" t="s">
        <v>334</v>
      </c>
      <c r="C163" s="327"/>
      <c r="D163" s="640" t="s">
        <v>303</v>
      </c>
      <c r="E163" s="326"/>
      <c r="F163" s="326"/>
      <c r="G163" s="327"/>
      <c r="H163" s="641" t="s">
        <v>303</v>
      </c>
      <c r="I163" s="326"/>
      <c r="J163" s="326"/>
      <c r="K163" s="327"/>
      <c r="L163" s="438" t="s">
        <v>303</v>
      </c>
      <c r="M163" s="326"/>
      <c r="N163" s="327"/>
      <c r="O163" s="519" t="s">
        <v>303</v>
      </c>
      <c r="P163" s="326"/>
      <c r="Q163" s="327"/>
      <c r="R163" s="527"/>
      <c r="S163" s="326"/>
      <c r="T163" s="327"/>
      <c r="U163" s="497"/>
      <c r="V163" s="326"/>
      <c r="W163" s="327"/>
      <c r="X163" s="66"/>
      <c r="Y163" s="67"/>
      <c r="Z163" s="66"/>
      <c r="AA163" s="67"/>
      <c r="AB163" s="66"/>
      <c r="AC163" s="67"/>
      <c r="AD163" s="66"/>
      <c r="AE163" s="67"/>
      <c r="AF163" s="66"/>
      <c r="AG163" s="67"/>
      <c r="AH163" s="66"/>
      <c r="AI163" s="67"/>
      <c r="AJ163" s="50"/>
      <c r="AK163" s="69"/>
      <c r="AL163" s="50"/>
      <c r="AM163" s="69"/>
      <c r="AN163" s="50"/>
      <c r="AO163" s="69"/>
      <c r="AP163" s="50"/>
      <c r="AQ163" s="69"/>
      <c r="AR163" s="50"/>
      <c r="AS163" s="642" t="s">
        <v>303</v>
      </c>
      <c r="AT163" s="326"/>
      <c r="AU163" s="326"/>
      <c r="AV163" s="326"/>
      <c r="AW163" s="326"/>
      <c r="AX163" s="326"/>
      <c r="AY163" s="327"/>
      <c r="AZ163" s="70"/>
      <c r="BA163" s="70"/>
      <c r="BB163" s="643" t="s">
        <v>334</v>
      </c>
      <c r="BC163" s="327"/>
      <c r="BD163" s="645" t="s">
        <v>303</v>
      </c>
      <c r="BE163" s="326"/>
      <c r="BF163" s="327"/>
      <c r="BG163" s="646" t="s">
        <v>303</v>
      </c>
      <c r="BH163" s="326"/>
      <c r="BI163" s="326"/>
      <c r="BJ163" s="327"/>
      <c r="BK163" s="647"/>
      <c r="BL163" s="326"/>
      <c r="BM163" s="327"/>
      <c r="BN163" s="71"/>
      <c r="BO163" s="71"/>
      <c r="BP163" s="646"/>
      <c r="BQ163" s="326"/>
      <c r="BR163" s="327"/>
      <c r="BS163" s="645" t="s">
        <v>303</v>
      </c>
      <c r="BT163" s="326"/>
      <c r="BU163" s="327"/>
    </row>
    <row r="164" spans="1:73" ht="30" customHeight="1" x14ac:dyDescent="0.25">
      <c r="A164" s="65">
        <f t="shared" si="0"/>
        <v>150</v>
      </c>
      <c r="B164" s="639" t="s">
        <v>334</v>
      </c>
      <c r="C164" s="327"/>
      <c r="D164" s="640" t="s">
        <v>303</v>
      </c>
      <c r="E164" s="326"/>
      <c r="F164" s="326"/>
      <c r="G164" s="327"/>
      <c r="H164" s="641" t="s">
        <v>303</v>
      </c>
      <c r="I164" s="326"/>
      <c r="J164" s="326"/>
      <c r="K164" s="327"/>
      <c r="L164" s="438" t="s">
        <v>303</v>
      </c>
      <c r="M164" s="326"/>
      <c r="N164" s="327"/>
      <c r="O164" s="519" t="s">
        <v>303</v>
      </c>
      <c r="P164" s="326"/>
      <c r="Q164" s="327"/>
      <c r="R164" s="527"/>
      <c r="S164" s="326"/>
      <c r="T164" s="327"/>
      <c r="U164" s="497"/>
      <c r="V164" s="326"/>
      <c r="W164" s="327"/>
      <c r="X164" s="66"/>
      <c r="Y164" s="67"/>
      <c r="Z164" s="66"/>
      <c r="AA164" s="67"/>
      <c r="AB164" s="66"/>
      <c r="AC164" s="67"/>
      <c r="AD164" s="66"/>
      <c r="AE164" s="67"/>
      <c r="AF164" s="66"/>
      <c r="AG164" s="67"/>
      <c r="AH164" s="66"/>
      <c r="AI164" s="67"/>
      <c r="AJ164" s="50"/>
      <c r="AK164" s="69"/>
      <c r="AL164" s="50"/>
      <c r="AM164" s="69"/>
      <c r="AN164" s="50"/>
      <c r="AO164" s="69"/>
      <c r="AP164" s="50"/>
      <c r="AQ164" s="69"/>
      <c r="AR164" s="50"/>
      <c r="AS164" s="642" t="s">
        <v>303</v>
      </c>
      <c r="AT164" s="326"/>
      <c r="AU164" s="326"/>
      <c r="AV164" s="326"/>
      <c r="AW164" s="326"/>
      <c r="AX164" s="326"/>
      <c r="AY164" s="327"/>
      <c r="AZ164" s="70"/>
      <c r="BA164" s="70"/>
      <c r="BB164" s="643" t="s">
        <v>334</v>
      </c>
      <c r="BC164" s="327"/>
      <c r="BD164" s="645" t="s">
        <v>303</v>
      </c>
      <c r="BE164" s="326"/>
      <c r="BF164" s="327"/>
      <c r="BG164" s="646" t="s">
        <v>303</v>
      </c>
      <c r="BH164" s="326"/>
      <c r="BI164" s="326"/>
      <c r="BJ164" s="327"/>
      <c r="BK164" s="647"/>
      <c r="BL164" s="326"/>
      <c r="BM164" s="327"/>
      <c r="BN164" s="71"/>
      <c r="BO164" s="71"/>
      <c r="BP164" s="646"/>
      <c r="BQ164" s="326"/>
      <c r="BR164" s="327"/>
      <c r="BS164" s="645" t="s">
        <v>303</v>
      </c>
      <c r="BT164" s="326"/>
      <c r="BU164" s="327"/>
    </row>
    <row r="165" spans="1:73" ht="30" customHeight="1" x14ac:dyDescent="0.25">
      <c r="A165" s="65">
        <f t="shared" si="0"/>
        <v>151</v>
      </c>
      <c r="B165" s="639" t="s">
        <v>334</v>
      </c>
      <c r="C165" s="327"/>
      <c r="D165" s="640" t="s">
        <v>303</v>
      </c>
      <c r="E165" s="326"/>
      <c r="F165" s="326"/>
      <c r="G165" s="327"/>
      <c r="H165" s="641" t="s">
        <v>303</v>
      </c>
      <c r="I165" s="326"/>
      <c r="J165" s="326"/>
      <c r="K165" s="327"/>
      <c r="L165" s="438" t="s">
        <v>303</v>
      </c>
      <c r="M165" s="326"/>
      <c r="N165" s="327"/>
      <c r="O165" s="519" t="s">
        <v>303</v>
      </c>
      <c r="P165" s="326"/>
      <c r="Q165" s="327"/>
      <c r="R165" s="527"/>
      <c r="S165" s="326"/>
      <c r="T165" s="327"/>
      <c r="U165" s="497"/>
      <c r="V165" s="326"/>
      <c r="W165" s="327"/>
      <c r="X165" s="66"/>
      <c r="Y165" s="67"/>
      <c r="Z165" s="66"/>
      <c r="AA165" s="67"/>
      <c r="AB165" s="66"/>
      <c r="AC165" s="67"/>
      <c r="AD165" s="66"/>
      <c r="AE165" s="67"/>
      <c r="AF165" s="66"/>
      <c r="AG165" s="67"/>
      <c r="AH165" s="66"/>
      <c r="AI165" s="67"/>
      <c r="AJ165" s="50"/>
      <c r="AK165" s="69"/>
      <c r="AL165" s="50"/>
      <c r="AM165" s="69"/>
      <c r="AN165" s="50"/>
      <c r="AO165" s="69"/>
      <c r="AP165" s="50"/>
      <c r="AQ165" s="69"/>
      <c r="AR165" s="50"/>
      <c r="AS165" s="642" t="s">
        <v>303</v>
      </c>
      <c r="AT165" s="326"/>
      <c r="AU165" s="326"/>
      <c r="AV165" s="326"/>
      <c r="AW165" s="326"/>
      <c r="AX165" s="326"/>
      <c r="AY165" s="327"/>
      <c r="AZ165" s="70"/>
      <c r="BA165" s="70"/>
      <c r="BB165" s="643" t="s">
        <v>334</v>
      </c>
      <c r="BC165" s="327"/>
      <c r="BD165" s="645" t="s">
        <v>303</v>
      </c>
      <c r="BE165" s="326"/>
      <c r="BF165" s="327"/>
      <c r="BG165" s="646" t="s">
        <v>303</v>
      </c>
      <c r="BH165" s="326"/>
      <c r="BI165" s="326"/>
      <c r="BJ165" s="327"/>
      <c r="BK165" s="647"/>
      <c r="BL165" s="326"/>
      <c r="BM165" s="327"/>
      <c r="BN165" s="71"/>
      <c r="BO165" s="71"/>
      <c r="BP165" s="646"/>
      <c r="BQ165" s="326"/>
      <c r="BR165" s="327"/>
      <c r="BS165" s="645" t="s">
        <v>303</v>
      </c>
      <c r="BT165" s="326"/>
      <c r="BU165" s="327"/>
    </row>
    <row r="166" spans="1:73" ht="30" customHeight="1" x14ac:dyDescent="0.25">
      <c r="A166" s="65">
        <f t="shared" si="0"/>
        <v>152</v>
      </c>
      <c r="B166" s="639" t="s">
        <v>334</v>
      </c>
      <c r="C166" s="327"/>
      <c r="D166" s="640" t="s">
        <v>303</v>
      </c>
      <c r="E166" s="326"/>
      <c r="F166" s="326"/>
      <c r="G166" s="327"/>
      <c r="H166" s="641" t="s">
        <v>303</v>
      </c>
      <c r="I166" s="326"/>
      <c r="J166" s="326"/>
      <c r="K166" s="327"/>
      <c r="L166" s="438" t="s">
        <v>303</v>
      </c>
      <c r="M166" s="326"/>
      <c r="N166" s="327"/>
      <c r="O166" s="519" t="s">
        <v>303</v>
      </c>
      <c r="P166" s="326"/>
      <c r="Q166" s="327"/>
      <c r="R166" s="527"/>
      <c r="S166" s="326"/>
      <c r="T166" s="327"/>
      <c r="U166" s="497"/>
      <c r="V166" s="326"/>
      <c r="W166" s="327"/>
      <c r="X166" s="66"/>
      <c r="Y166" s="67"/>
      <c r="Z166" s="66"/>
      <c r="AA166" s="67"/>
      <c r="AB166" s="66"/>
      <c r="AC166" s="67"/>
      <c r="AD166" s="66"/>
      <c r="AE166" s="67"/>
      <c r="AF166" s="66"/>
      <c r="AG166" s="67"/>
      <c r="AH166" s="66"/>
      <c r="AI166" s="67"/>
      <c r="AJ166" s="50"/>
      <c r="AK166" s="69"/>
      <c r="AL166" s="50"/>
      <c r="AM166" s="69"/>
      <c r="AN166" s="50"/>
      <c r="AO166" s="69"/>
      <c r="AP166" s="50"/>
      <c r="AQ166" s="69"/>
      <c r="AR166" s="50"/>
      <c r="AS166" s="642" t="s">
        <v>303</v>
      </c>
      <c r="AT166" s="326"/>
      <c r="AU166" s="326"/>
      <c r="AV166" s="326"/>
      <c r="AW166" s="326"/>
      <c r="AX166" s="326"/>
      <c r="AY166" s="327"/>
      <c r="AZ166" s="70"/>
      <c r="BA166" s="70"/>
      <c r="BB166" s="643" t="s">
        <v>334</v>
      </c>
      <c r="BC166" s="327"/>
      <c r="BD166" s="645" t="s">
        <v>303</v>
      </c>
      <c r="BE166" s="326"/>
      <c r="BF166" s="327"/>
      <c r="BG166" s="646" t="s">
        <v>303</v>
      </c>
      <c r="BH166" s="326"/>
      <c r="BI166" s="326"/>
      <c r="BJ166" s="327"/>
      <c r="BK166" s="647"/>
      <c r="BL166" s="326"/>
      <c r="BM166" s="327"/>
      <c r="BN166" s="71"/>
      <c r="BO166" s="71"/>
      <c r="BP166" s="646"/>
      <c r="BQ166" s="326"/>
      <c r="BR166" s="327"/>
      <c r="BS166" s="645" t="s">
        <v>303</v>
      </c>
      <c r="BT166" s="326"/>
      <c r="BU166" s="327"/>
    </row>
    <row r="167" spans="1:73" ht="30" customHeight="1" x14ac:dyDescent="0.25">
      <c r="A167" s="65">
        <f t="shared" si="0"/>
        <v>153</v>
      </c>
      <c r="B167" s="639" t="s">
        <v>334</v>
      </c>
      <c r="C167" s="327"/>
      <c r="D167" s="640" t="s">
        <v>303</v>
      </c>
      <c r="E167" s="326"/>
      <c r="F167" s="326"/>
      <c r="G167" s="327"/>
      <c r="H167" s="641" t="s">
        <v>303</v>
      </c>
      <c r="I167" s="326"/>
      <c r="J167" s="326"/>
      <c r="K167" s="327"/>
      <c r="L167" s="438" t="s">
        <v>303</v>
      </c>
      <c r="M167" s="326"/>
      <c r="N167" s="327"/>
      <c r="O167" s="519" t="s">
        <v>303</v>
      </c>
      <c r="P167" s="326"/>
      <c r="Q167" s="327"/>
      <c r="R167" s="527"/>
      <c r="S167" s="326"/>
      <c r="T167" s="327"/>
      <c r="U167" s="497"/>
      <c r="V167" s="326"/>
      <c r="W167" s="327"/>
      <c r="X167" s="66"/>
      <c r="Y167" s="67"/>
      <c r="Z167" s="66"/>
      <c r="AA167" s="67"/>
      <c r="AB167" s="66"/>
      <c r="AC167" s="67"/>
      <c r="AD167" s="66"/>
      <c r="AE167" s="67"/>
      <c r="AF167" s="66"/>
      <c r="AG167" s="67"/>
      <c r="AH167" s="66"/>
      <c r="AI167" s="67"/>
      <c r="AJ167" s="50"/>
      <c r="AK167" s="69"/>
      <c r="AL167" s="50"/>
      <c r="AM167" s="69"/>
      <c r="AN167" s="50"/>
      <c r="AO167" s="69"/>
      <c r="AP167" s="50"/>
      <c r="AQ167" s="69"/>
      <c r="AR167" s="50"/>
      <c r="AS167" s="642" t="s">
        <v>303</v>
      </c>
      <c r="AT167" s="326"/>
      <c r="AU167" s="326"/>
      <c r="AV167" s="326"/>
      <c r="AW167" s="326"/>
      <c r="AX167" s="326"/>
      <c r="AY167" s="327"/>
      <c r="AZ167" s="70"/>
      <c r="BA167" s="70"/>
      <c r="BB167" s="643" t="s">
        <v>334</v>
      </c>
      <c r="BC167" s="327"/>
      <c r="BD167" s="645" t="s">
        <v>303</v>
      </c>
      <c r="BE167" s="326"/>
      <c r="BF167" s="327"/>
      <c r="BG167" s="646" t="s">
        <v>303</v>
      </c>
      <c r="BH167" s="326"/>
      <c r="BI167" s="326"/>
      <c r="BJ167" s="327"/>
      <c r="BK167" s="647"/>
      <c r="BL167" s="326"/>
      <c r="BM167" s="327"/>
      <c r="BN167" s="71"/>
      <c r="BO167" s="71"/>
      <c r="BP167" s="646"/>
      <c r="BQ167" s="326"/>
      <c r="BR167" s="327"/>
      <c r="BS167" s="645" t="s">
        <v>303</v>
      </c>
      <c r="BT167" s="326"/>
      <c r="BU167" s="327"/>
    </row>
    <row r="168" spans="1:73" ht="30" customHeight="1" x14ac:dyDescent="0.25">
      <c r="A168" s="65">
        <f t="shared" si="0"/>
        <v>154</v>
      </c>
      <c r="B168" s="639" t="s">
        <v>334</v>
      </c>
      <c r="C168" s="327"/>
      <c r="D168" s="640" t="s">
        <v>303</v>
      </c>
      <c r="E168" s="326"/>
      <c r="F168" s="326"/>
      <c r="G168" s="327"/>
      <c r="H168" s="641" t="s">
        <v>303</v>
      </c>
      <c r="I168" s="326"/>
      <c r="J168" s="326"/>
      <c r="K168" s="327"/>
      <c r="L168" s="438" t="s">
        <v>303</v>
      </c>
      <c r="M168" s="326"/>
      <c r="N168" s="327"/>
      <c r="O168" s="519" t="s">
        <v>303</v>
      </c>
      <c r="P168" s="326"/>
      <c r="Q168" s="327"/>
      <c r="R168" s="527"/>
      <c r="S168" s="326"/>
      <c r="T168" s="327"/>
      <c r="U168" s="497"/>
      <c r="V168" s="326"/>
      <c r="W168" s="327"/>
      <c r="X168" s="66"/>
      <c r="Y168" s="67"/>
      <c r="Z168" s="66"/>
      <c r="AA168" s="67"/>
      <c r="AB168" s="66"/>
      <c r="AC168" s="67"/>
      <c r="AD168" s="66"/>
      <c r="AE168" s="67"/>
      <c r="AF168" s="66"/>
      <c r="AG168" s="67"/>
      <c r="AH168" s="66"/>
      <c r="AI168" s="67"/>
      <c r="AJ168" s="50"/>
      <c r="AK168" s="69"/>
      <c r="AL168" s="50"/>
      <c r="AM168" s="69"/>
      <c r="AN168" s="50"/>
      <c r="AO168" s="69"/>
      <c r="AP168" s="50"/>
      <c r="AQ168" s="69"/>
      <c r="AR168" s="50"/>
      <c r="AS168" s="642" t="s">
        <v>303</v>
      </c>
      <c r="AT168" s="326"/>
      <c r="AU168" s="326"/>
      <c r="AV168" s="326"/>
      <c r="AW168" s="326"/>
      <c r="AX168" s="326"/>
      <c r="AY168" s="327"/>
      <c r="AZ168" s="70"/>
      <c r="BA168" s="70"/>
      <c r="BB168" s="643" t="s">
        <v>334</v>
      </c>
      <c r="BC168" s="327"/>
      <c r="BD168" s="645" t="s">
        <v>303</v>
      </c>
      <c r="BE168" s="326"/>
      <c r="BF168" s="327"/>
      <c r="BG168" s="646" t="s">
        <v>303</v>
      </c>
      <c r="BH168" s="326"/>
      <c r="BI168" s="326"/>
      <c r="BJ168" s="327"/>
      <c r="BK168" s="647"/>
      <c r="BL168" s="326"/>
      <c r="BM168" s="327"/>
      <c r="BN168" s="71"/>
      <c r="BO168" s="71"/>
      <c r="BP168" s="646"/>
      <c r="BQ168" s="326"/>
      <c r="BR168" s="327"/>
      <c r="BS168" s="645" t="s">
        <v>303</v>
      </c>
      <c r="BT168" s="326"/>
      <c r="BU168" s="327"/>
    </row>
    <row r="169" spans="1:73" ht="30" customHeight="1" x14ac:dyDescent="0.25">
      <c r="A169" s="65">
        <f t="shared" si="0"/>
        <v>155</v>
      </c>
      <c r="B169" s="639" t="s">
        <v>334</v>
      </c>
      <c r="C169" s="327"/>
      <c r="D169" s="640" t="s">
        <v>303</v>
      </c>
      <c r="E169" s="326"/>
      <c r="F169" s="326"/>
      <c r="G169" s="327"/>
      <c r="H169" s="641" t="s">
        <v>303</v>
      </c>
      <c r="I169" s="326"/>
      <c r="J169" s="326"/>
      <c r="K169" s="327"/>
      <c r="L169" s="438" t="s">
        <v>303</v>
      </c>
      <c r="M169" s="326"/>
      <c r="N169" s="327"/>
      <c r="O169" s="519" t="s">
        <v>303</v>
      </c>
      <c r="P169" s="326"/>
      <c r="Q169" s="327"/>
      <c r="R169" s="527"/>
      <c r="S169" s="326"/>
      <c r="T169" s="327"/>
      <c r="U169" s="497"/>
      <c r="V169" s="326"/>
      <c r="W169" s="327"/>
      <c r="X169" s="66"/>
      <c r="Y169" s="67"/>
      <c r="Z169" s="66"/>
      <c r="AA169" s="67"/>
      <c r="AB169" s="66"/>
      <c r="AC169" s="67"/>
      <c r="AD169" s="66"/>
      <c r="AE169" s="67"/>
      <c r="AF169" s="66"/>
      <c r="AG169" s="67"/>
      <c r="AH169" s="66"/>
      <c r="AI169" s="67"/>
      <c r="AJ169" s="50"/>
      <c r="AK169" s="69"/>
      <c r="AL169" s="50"/>
      <c r="AM169" s="69"/>
      <c r="AN169" s="50"/>
      <c r="AO169" s="69"/>
      <c r="AP169" s="50"/>
      <c r="AQ169" s="69"/>
      <c r="AR169" s="50"/>
      <c r="AS169" s="642" t="s">
        <v>303</v>
      </c>
      <c r="AT169" s="326"/>
      <c r="AU169" s="326"/>
      <c r="AV169" s="326"/>
      <c r="AW169" s="326"/>
      <c r="AX169" s="326"/>
      <c r="AY169" s="327"/>
      <c r="AZ169" s="72"/>
      <c r="BA169" s="72"/>
      <c r="BB169" s="643" t="s">
        <v>334</v>
      </c>
      <c r="BC169" s="327"/>
      <c r="BD169" s="648" t="s">
        <v>303</v>
      </c>
      <c r="BE169" s="344"/>
      <c r="BF169" s="345"/>
      <c r="BG169" s="649" t="s">
        <v>303</v>
      </c>
      <c r="BH169" s="344"/>
      <c r="BI169" s="344"/>
      <c r="BJ169" s="345"/>
      <c r="BK169" s="650"/>
      <c r="BL169" s="344"/>
      <c r="BM169" s="345"/>
      <c r="BN169" s="73"/>
      <c r="BO169" s="73"/>
      <c r="BP169" s="649"/>
      <c r="BQ169" s="344"/>
      <c r="BR169" s="345"/>
      <c r="BS169" s="648" t="s">
        <v>303</v>
      </c>
      <c r="BT169" s="344"/>
      <c r="BU169" s="345"/>
    </row>
    <row r="170" spans="1:73" ht="30" customHeight="1" x14ac:dyDescent="0.25">
      <c r="A170" s="65">
        <f t="shared" si="0"/>
        <v>156</v>
      </c>
      <c r="B170" s="639" t="s">
        <v>334</v>
      </c>
      <c r="C170" s="327"/>
      <c r="D170" s="640" t="s">
        <v>303</v>
      </c>
      <c r="E170" s="326"/>
      <c r="F170" s="326"/>
      <c r="G170" s="327"/>
      <c r="H170" s="641" t="s">
        <v>303</v>
      </c>
      <c r="I170" s="326"/>
      <c r="J170" s="326"/>
      <c r="K170" s="327"/>
      <c r="L170" s="438" t="s">
        <v>303</v>
      </c>
      <c r="M170" s="326"/>
      <c r="N170" s="327"/>
      <c r="O170" s="519" t="s">
        <v>303</v>
      </c>
      <c r="P170" s="326"/>
      <c r="Q170" s="327"/>
      <c r="R170" s="527"/>
      <c r="S170" s="326"/>
      <c r="T170" s="327"/>
      <c r="U170" s="497"/>
      <c r="V170" s="326"/>
      <c r="W170" s="327"/>
      <c r="X170" s="66"/>
      <c r="Y170" s="67"/>
      <c r="Z170" s="66"/>
      <c r="AA170" s="67"/>
      <c r="AB170" s="66"/>
      <c r="AC170" s="67"/>
      <c r="AD170" s="66"/>
      <c r="AE170" s="67"/>
      <c r="AF170" s="66"/>
      <c r="AG170" s="67"/>
      <c r="AH170" s="66"/>
      <c r="AI170" s="67"/>
      <c r="AJ170" s="50"/>
      <c r="AK170" s="69"/>
      <c r="AL170" s="50"/>
      <c r="AM170" s="69"/>
      <c r="AN170" s="50"/>
      <c r="AO170" s="69"/>
      <c r="AP170" s="50"/>
      <c r="AQ170" s="69"/>
      <c r="AR170" s="50"/>
      <c r="AS170" s="642" t="s">
        <v>303</v>
      </c>
      <c r="AT170" s="326"/>
      <c r="AU170" s="326"/>
      <c r="AV170" s="326"/>
      <c r="AW170" s="326"/>
      <c r="AX170" s="326"/>
      <c r="AY170" s="327"/>
      <c r="AZ170" s="70"/>
      <c r="BA170" s="70"/>
      <c r="BB170" s="643" t="s">
        <v>334</v>
      </c>
      <c r="BC170" s="327"/>
      <c r="BD170" s="645" t="s">
        <v>303</v>
      </c>
      <c r="BE170" s="326"/>
      <c r="BF170" s="327"/>
      <c r="BG170" s="646" t="s">
        <v>303</v>
      </c>
      <c r="BH170" s="326"/>
      <c r="BI170" s="326"/>
      <c r="BJ170" s="327"/>
      <c r="BK170" s="647"/>
      <c r="BL170" s="326"/>
      <c r="BM170" s="327"/>
      <c r="BN170" s="71"/>
      <c r="BO170" s="71"/>
      <c r="BP170" s="646"/>
      <c r="BQ170" s="326"/>
      <c r="BR170" s="327"/>
      <c r="BS170" s="645" t="s">
        <v>303</v>
      </c>
      <c r="BT170" s="326"/>
      <c r="BU170" s="327"/>
    </row>
    <row r="171" spans="1:73" ht="30" customHeight="1" x14ac:dyDescent="0.25">
      <c r="A171" s="65">
        <f t="shared" si="0"/>
        <v>157</v>
      </c>
      <c r="B171" s="639" t="s">
        <v>334</v>
      </c>
      <c r="C171" s="327"/>
      <c r="D171" s="640" t="s">
        <v>303</v>
      </c>
      <c r="E171" s="326"/>
      <c r="F171" s="326"/>
      <c r="G171" s="327"/>
      <c r="H171" s="641" t="s">
        <v>303</v>
      </c>
      <c r="I171" s="326"/>
      <c r="J171" s="326"/>
      <c r="K171" s="327"/>
      <c r="L171" s="438" t="s">
        <v>303</v>
      </c>
      <c r="M171" s="326"/>
      <c r="N171" s="327"/>
      <c r="O171" s="519" t="s">
        <v>303</v>
      </c>
      <c r="P171" s="326"/>
      <c r="Q171" s="327"/>
      <c r="R171" s="527"/>
      <c r="S171" s="326"/>
      <c r="T171" s="327"/>
      <c r="U171" s="497"/>
      <c r="V171" s="326"/>
      <c r="W171" s="327"/>
      <c r="X171" s="66"/>
      <c r="Y171" s="67"/>
      <c r="Z171" s="66"/>
      <c r="AA171" s="67"/>
      <c r="AB171" s="66"/>
      <c r="AC171" s="67"/>
      <c r="AD171" s="66"/>
      <c r="AE171" s="67"/>
      <c r="AF171" s="66"/>
      <c r="AG171" s="67"/>
      <c r="AH171" s="66"/>
      <c r="AI171" s="67"/>
      <c r="AJ171" s="50"/>
      <c r="AK171" s="69"/>
      <c r="AL171" s="50"/>
      <c r="AM171" s="69"/>
      <c r="AN171" s="50"/>
      <c r="AO171" s="69"/>
      <c r="AP171" s="50"/>
      <c r="AQ171" s="69"/>
      <c r="AR171" s="50"/>
      <c r="AS171" s="642" t="s">
        <v>303</v>
      </c>
      <c r="AT171" s="326"/>
      <c r="AU171" s="326"/>
      <c r="AV171" s="326"/>
      <c r="AW171" s="326"/>
      <c r="AX171" s="326"/>
      <c r="AY171" s="327"/>
      <c r="AZ171" s="70"/>
      <c r="BA171" s="70"/>
      <c r="BB171" s="643" t="s">
        <v>334</v>
      </c>
      <c r="BC171" s="327"/>
      <c r="BD171" s="645" t="s">
        <v>303</v>
      </c>
      <c r="BE171" s="326"/>
      <c r="BF171" s="327"/>
      <c r="BG171" s="646" t="s">
        <v>303</v>
      </c>
      <c r="BH171" s="326"/>
      <c r="BI171" s="326"/>
      <c r="BJ171" s="327"/>
      <c r="BK171" s="647"/>
      <c r="BL171" s="326"/>
      <c r="BM171" s="327"/>
      <c r="BN171" s="71"/>
      <c r="BO171" s="71"/>
      <c r="BP171" s="646"/>
      <c r="BQ171" s="326"/>
      <c r="BR171" s="327"/>
      <c r="BS171" s="645" t="s">
        <v>303</v>
      </c>
      <c r="BT171" s="326"/>
      <c r="BU171" s="327"/>
    </row>
    <row r="172" spans="1:73" ht="30" customHeight="1" x14ac:dyDescent="0.25">
      <c r="A172" s="65">
        <f t="shared" si="0"/>
        <v>158</v>
      </c>
      <c r="B172" s="639" t="s">
        <v>334</v>
      </c>
      <c r="C172" s="327"/>
      <c r="D172" s="640" t="s">
        <v>303</v>
      </c>
      <c r="E172" s="326"/>
      <c r="F172" s="326"/>
      <c r="G172" s="327"/>
      <c r="H172" s="641" t="s">
        <v>303</v>
      </c>
      <c r="I172" s="326"/>
      <c r="J172" s="326"/>
      <c r="K172" s="327"/>
      <c r="L172" s="438" t="s">
        <v>303</v>
      </c>
      <c r="M172" s="326"/>
      <c r="N172" s="327"/>
      <c r="O172" s="519" t="s">
        <v>303</v>
      </c>
      <c r="P172" s="326"/>
      <c r="Q172" s="327"/>
      <c r="R172" s="527"/>
      <c r="S172" s="326"/>
      <c r="T172" s="327"/>
      <c r="U172" s="497"/>
      <c r="V172" s="326"/>
      <c r="W172" s="327"/>
      <c r="X172" s="66"/>
      <c r="Y172" s="67"/>
      <c r="Z172" s="66"/>
      <c r="AA172" s="67"/>
      <c r="AB172" s="66"/>
      <c r="AC172" s="67"/>
      <c r="AD172" s="66"/>
      <c r="AE172" s="67"/>
      <c r="AF172" s="66"/>
      <c r="AG172" s="67"/>
      <c r="AH172" s="66"/>
      <c r="AI172" s="67"/>
      <c r="AJ172" s="50"/>
      <c r="AK172" s="69"/>
      <c r="AL172" s="50"/>
      <c r="AM172" s="69"/>
      <c r="AN172" s="50"/>
      <c r="AO172" s="69"/>
      <c r="AP172" s="50"/>
      <c r="AQ172" s="69"/>
      <c r="AR172" s="50"/>
      <c r="AS172" s="642" t="s">
        <v>303</v>
      </c>
      <c r="AT172" s="326"/>
      <c r="AU172" s="326"/>
      <c r="AV172" s="326"/>
      <c r="AW172" s="326"/>
      <c r="AX172" s="326"/>
      <c r="AY172" s="327"/>
      <c r="AZ172" s="70"/>
      <c r="BA172" s="70"/>
      <c r="BB172" s="643" t="s">
        <v>334</v>
      </c>
      <c r="BC172" s="327"/>
      <c r="BD172" s="645" t="s">
        <v>303</v>
      </c>
      <c r="BE172" s="326"/>
      <c r="BF172" s="327"/>
      <c r="BG172" s="646" t="s">
        <v>303</v>
      </c>
      <c r="BH172" s="326"/>
      <c r="BI172" s="326"/>
      <c r="BJ172" s="327"/>
      <c r="BK172" s="647"/>
      <c r="BL172" s="326"/>
      <c r="BM172" s="327"/>
      <c r="BN172" s="71"/>
      <c r="BO172" s="71"/>
      <c r="BP172" s="646"/>
      <c r="BQ172" s="326"/>
      <c r="BR172" s="327"/>
      <c r="BS172" s="645" t="s">
        <v>303</v>
      </c>
      <c r="BT172" s="326"/>
      <c r="BU172" s="327"/>
    </row>
    <row r="173" spans="1:73" ht="30" customHeight="1" x14ac:dyDescent="0.25">
      <c r="A173" s="65">
        <f t="shared" si="0"/>
        <v>159</v>
      </c>
      <c r="B173" s="639" t="s">
        <v>334</v>
      </c>
      <c r="C173" s="327"/>
      <c r="D173" s="640" t="s">
        <v>303</v>
      </c>
      <c r="E173" s="326"/>
      <c r="F173" s="326"/>
      <c r="G173" s="327"/>
      <c r="H173" s="641" t="s">
        <v>303</v>
      </c>
      <c r="I173" s="326"/>
      <c r="J173" s="326"/>
      <c r="K173" s="327"/>
      <c r="L173" s="438" t="s">
        <v>303</v>
      </c>
      <c r="M173" s="326"/>
      <c r="N173" s="327"/>
      <c r="O173" s="519" t="s">
        <v>303</v>
      </c>
      <c r="P173" s="326"/>
      <c r="Q173" s="327"/>
      <c r="R173" s="527"/>
      <c r="S173" s="326"/>
      <c r="T173" s="327"/>
      <c r="U173" s="497"/>
      <c r="V173" s="326"/>
      <c r="W173" s="327"/>
      <c r="X173" s="66"/>
      <c r="Y173" s="67"/>
      <c r="Z173" s="66"/>
      <c r="AA173" s="67"/>
      <c r="AB173" s="66"/>
      <c r="AC173" s="67"/>
      <c r="AD173" s="66"/>
      <c r="AE173" s="67"/>
      <c r="AF173" s="66"/>
      <c r="AG173" s="67"/>
      <c r="AH173" s="66"/>
      <c r="AI173" s="67"/>
      <c r="AJ173" s="50"/>
      <c r="AK173" s="69"/>
      <c r="AL173" s="50"/>
      <c r="AM173" s="69"/>
      <c r="AN173" s="50"/>
      <c r="AO173" s="69"/>
      <c r="AP173" s="50"/>
      <c r="AQ173" s="69"/>
      <c r="AR173" s="50"/>
      <c r="AS173" s="642" t="s">
        <v>303</v>
      </c>
      <c r="AT173" s="326"/>
      <c r="AU173" s="326"/>
      <c r="AV173" s="326"/>
      <c r="AW173" s="326"/>
      <c r="AX173" s="326"/>
      <c r="AY173" s="327"/>
      <c r="AZ173" s="70"/>
      <c r="BA173" s="70"/>
      <c r="BB173" s="643" t="s">
        <v>334</v>
      </c>
      <c r="BC173" s="327"/>
      <c r="BD173" s="645" t="s">
        <v>303</v>
      </c>
      <c r="BE173" s="326"/>
      <c r="BF173" s="327"/>
      <c r="BG173" s="646" t="s">
        <v>303</v>
      </c>
      <c r="BH173" s="326"/>
      <c r="BI173" s="326"/>
      <c r="BJ173" s="327"/>
      <c r="BK173" s="647"/>
      <c r="BL173" s="326"/>
      <c r="BM173" s="327"/>
      <c r="BN173" s="71"/>
      <c r="BO173" s="71"/>
      <c r="BP173" s="646"/>
      <c r="BQ173" s="326"/>
      <c r="BR173" s="327"/>
      <c r="BS173" s="645" t="s">
        <v>303</v>
      </c>
      <c r="BT173" s="326"/>
      <c r="BU173" s="327"/>
    </row>
    <row r="174" spans="1:73" ht="30" customHeight="1" x14ac:dyDescent="0.25">
      <c r="A174" s="65">
        <f t="shared" si="0"/>
        <v>160</v>
      </c>
      <c r="B174" s="639" t="s">
        <v>334</v>
      </c>
      <c r="C174" s="327"/>
      <c r="D174" s="640" t="s">
        <v>303</v>
      </c>
      <c r="E174" s="326"/>
      <c r="F174" s="326"/>
      <c r="G174" s="327"/>
      <c r="H174" s="641" t="s">
        <v>303</v>
      </c>
      <c r="I174" s="326"/>
      <c r="J174" s="326"/>
      <c r="K174" s="327"/>
      <c r="L174" s="438" t="s">
        <v>303</v>
      </c>
      <c r="M174" s="326"/>
      <c r="N174" s="327"/>
      <c r="O174" s="519" t="s">
        <v>303</v>
      </c>
      <c r="P174" s="326"/>
      <c r="Q174" s="327"/>
      <c r="R174" s="527"/>
      <c r="S174" s="326"/>
      <c r="T174" s="327"/>
      <c r="U174" s="497"/>
      <c r="V174" s="326"/>
      <c r="W174" s="327"/>
      <c r="X174" s="66"/>
      <c r="Y174" s="67"/>
      <c r="Z174" s="66"/>
      <c r="AA174" s="67"/>
      <c r="AB174" s="66"/>
      <c r="AC174" s="67"/>
      <c r="AD174" s="66"/>
      <c r="AE174" s="67"/>
      <c r="AF174" s="66"/>
      <c r="AG174" s="67"/>
      <c r="AH174" s="66"/>
      <c r="AI174" s="67"/>
      <c r="AJ174" s="50"/>
      <c r="AK174" s="69"/>
      <c r="AL174" s="50"/>
      <c r="AM174" s="69"/>
      <c r="AN174" s="50"/>
      <c r="AO174" s="69"/>
      <c r="AP174" s="50"/>
      <c r="AQ174" s="69"/>
      <c r="AR174" s="50"/>
      <c r="AS174" s="642" t="s">
        <v>303</v>
      </c>
      <c r="AT174" s="326"/>
      <c r="AU174" s="326"/>
      <c r="AV174" s="326"/>
      <c r="AW174" s="326"/>
      <c r="AX174" s="326"/>
      <c r="AY174" s="327"/>
      <c r="AZ174" s="70"/>
      <c r="BA174" s="70"/>
      <c r="BB174" s="643" t="s">
        <v>334</v>
      </c>
      <c r="BC174" s="327"/>
      <c r="BD174" s="645" t="s">
        <v>303</v>
      </c>
      <c r="BE174" s="326"/>
      <c r="BF174" s="327"/>
      <c r="BG174" s="646" t="s">
        <v>303</v>
      </c>
      <c r="BH174" s="326"/>
      <c r="BI174" s="326"/>
      <c r="BJ174" s="327"/>
      <c r="BK174" s="647"/>
      <c r="BL174" s="326"/>
      <c r="BM174" s="327"/>
      <c r="BN174" s="71"/>
      <c r="BO174" s="71"/>
      <c r="BP174" s="646"/>
      <c r="BQ174" s="326"/>
      <c r="BR174" s="327"/>
      <c r="BS174" s="645" t="s">
        <v>303</v>
      </c>
      <c r="BT174" s="326"/>
      <c r="BU174" s="327"/>
    </row>
    <row r="175" spans="1:73" ht="30" customHeight="1" x14ac:dyDescent="0.25">
      <c r="A175" s="65">
        <f t="shared" si="0"/>
        <v>161</v>
      </c>
      <c r="B175" s="639" t="s">
        <v>334</v>
      </c>
      <c r="C175" s="327"/>
      <c r="D175" s="640" t="s">
        <v>303</v>
      </c>
      <c r="E175" s="326"/>
      <c r="F175" s="326"/>
      <c r="G175" s="327"/>
      <c r="H175" s="641" t="s">
        <v>303</v>
      </c>
      <c r="I175" s="326"/>
      <c r="J175" s="326"/>
      <c r="K175" s="327"/>
      <c r="L175" s="438" t="s">
        <v>303</v>
      </c>
      <c r="M175" s="326"/>
      <c r="N175" s="327"/>
      <c r="O175" s="519" t="s">
        <v>303</v>
      </c>
      <c r="P175" s="326"/>
      <c r="Q175" s="327"/>
      <c r="R175" s="527"/>
      <c r="S175" s="326"/>
      <c r="T175" s="327"/>
      <c r="U175" s="497"/>
      <c r="V175" s="326"/>
      <c r="W175" s="327"/>
      <c r="X175" s="66"/>
      <c r="Y175" s="67"/>
      <c r="Z175" s="66"/>
      <c r="AA175" s="67"/>
      <c r="AB175" s="66"/>
      <c r="AC175" s="67"/>
      <c r="AD175" s="66"/>
      <c r="AE175" s="67"/>
      <c r="AF175" s="66"/>
      <c r="AG175" s="67"/>
      <c r="AH175" s="66"/>
      <c r="AI175" s="67"/>
      <c r="AJ175" s="50"/>
      <c r="AK175" s="69"/>
      <c r="AL175" s="50"/>
      <c r="AM175" s="69"/>
      <c r="AN175" s="50"/>
      <c r="AO175" s="69"/>
      <c r="AP175" s="50"/>
      <c r="AQ175" s="69"/>
      <c r="AR175" s="50"/>
      <c r="AS175" s="642" t="s">
        <v>303</v>
      </c>
      <c r="AT175" s="326"/>
      <c r="AU175" s="326"/>
      <c r="AV175" s="326"/>
      <c r="AW175" s="326"/>
      <c r="AX175" s="326"/>
      <c r="AY175" s="327"/>
      <c r="AZ175" s="70"/>
      <c r="BA175" s="70"/>
      <c r="BB175" s="643" t="s">
        <v>334</v>
      </c>
      <c r="BC175" s="327"/>
      <c r="BD175" s="645" t="s">
        <v>303</v>
      </c>
      <c r="BE175" s="326"/>
      <c r="BF175" s="327"/>
      <c r="BG175" s="646" t="s">
        <v>303</v>
      </c>
      <c r="BH175" s="326"/>
      <c r="BI175" s="326"/>
      <c r="BJ175" s="327"/>
      <c r="BK175" s="647"/>
      <c r="BL175" s="326"/>
      <c r="BM175" s="327"/>
      <c r="BN175" s="71"/>
      <c r="BO175" s="71"/>
      <c r="BP175" s="646"/>
      <c r="BQ175" s="326"/>
      <c r="BR175" s="327"/>
      <c r="BS175" s="645" t="s">
        <v>303</v>
      </c>
      <c r="BT175" s="326"/>
      <c r="BU175" s="327"/>
    </row>
    <row r="176" spans="1:73" ht="30" customHeight="1" x14ac:dyDescent="0.25">
      <c r="A176" s="65">
        <f t="shared" si="0"/>
        <v>162</v>
      </c>
      <c r="B176" s="639" t="s">
        <v>334</v>
      </c>
      <c r="C176" s="327"/>
      <c r="D176" s="640" t="s">
        <v>303</v>
      </c>
      <c r="E176" s="326"/>
      <c r="F176" s="326"/>
      <c r="G176" s="327"/>
      <c r="H176" s="641" t="s">
        <v>303</v>
      </c>
      <c r="I176" s="326"/>
      <c r="J176" s="326"/>
      <c r="K176" s="327"/>
      <c r="L176" s="438" t="s">
        <v>303</v>
      </c>
      <c r="M176" s="326"/>
      <c r="N176" s="327"/>
      <c r="O176" s="519" t="s">
        <v>303</v>
      </c>
      <c r="P176" s="326"/>
      <c r="Q176" s="327"/>
      <c r="R176" s="527"/>
      <c r="S176" s="326"/>
      <c r="T176" s="327"/>
      <c r="U176" s="497"/>
      <c r="V176" s="326"/>
      <c r="W176" s="327"/>
      <c r="X176" s="66"/>
      <c r="Y176" s="67"/>
      <c r="Z176" s="66"/>
      <c r="AA176" s="67"/>
      <c r="AB176" s="66"/>
      <c r="AC176" s="67"/>
      <c r="AD176" s="66"/>
      <c r="AE176" s="67"/>
      <c r="AF176" s="66"/>
      <c r="AG176" s="67"/>
      <c r="AH176" s="66"/>
      <c r="AI176" s="67"/>
      <c r="AJ176" s="50"/>
      <c r="AK176" s="69"/>
      <c r="AL176" s="50"/>
      <c r="AM176" s="69"/>
      <c r="AN176" s="50"/>
      <c r="AO176" s="69"/>
      <c r="AP176" s="50"/>
      <c r="AQ176" s="69"/>
      <c r="AR176" s="50"/>
      <c r="AS176" s="642" t="s">
        <v>303</v>
      </c>
      <c r="AT176" s="326"/>
      <c r="AU176" s="326"/>
      <c r="AV176" s="326"/>
      <c r="AW176" s="326"/>
      <c r="AX176" s="326"/>
      <c r="AY176" s="327"/>
      <c r="AZ176" s="72"/>
      <c r="BA176" s="72"/>
      <c r="BB176" s="643" t="s">
        <v>334</v>
      </c>
      <c r="BC176" s="327"/>
      <c r="BD176" s="648" t="s">
        <v>303</v>
      </c>
      <c r="BE176" s="344"/>
      <c r="BF176" s="345"/>
      <c r="BG176" s="649" t="s">
        <v>303</v>
      </c>
      <c r="BH176" s="344"/>
      <c r="BI176" s="344"/>
      <c r="BJ176" s="345"/>
      <c r="BK176" s="650"/>
      <c r="BL176" s="344"/>
      <c r="BM176" s="345"/>
      <c r="BN176" s="73"/>
      <c r="BO176" s="73"/>
      <c r="BP176" s="649"/>
      <c r="BQ176" s="344"/>
      <c r="BR176" s="345"/>
      <c r="BS176" s="648" t="s">
        <v>303</v>
      </c>
      <c r="BT176" s="344"/>
      <c r="BU176" s="345"/>
    </row>
    <row r="177" spans="1:73" ht="30" customHeight="1" x14ac:dyDescent="0.25">
      <c r="A177" s="65">
        <f t="shared" si="0"/>
        <v>163</v>
      </c>
      <c r="B177" s="639" t="s">
        <v>334</v>
      </c>
      <c r="C177" s="327"/>
      <c r="D177" s="640" t="s">
        <v>303</v>
      </c>
      <c r="E177" s="326"/>
      <c r="F177" s="326"/>
      <c r="G177" s="327"/>
      <c r="H177" s="641" t="s">
        <v>303</v>
      </c>
      <c r="I177" s="326"/>
      <c r="J177" s="326"/>
      <c r="K177" s="327"/>
      <c r="L177" s="438" t="s">
        <v>303</v>
      </c>
      <c r="M177" s="326"/>
      <c r="N177" s="327"/>
      <c r="O177" s="519" t="s">
        <v>303</v>
      </c>
      <c r="P177" s="326"/>
      <c r="Q177" s="327"/>
      <c r="R177" s="527"/>
      <c r="S177" s="326"/>
      <c r="T177" s="327"/>
      <c r="U177" s="497"/>
      <c r="V177" s="326"/>
      <c r="W177" s="327"/>
      <c r="X177" s="66"/>
      <c r="Y177" s="67"/>
      <c r="Z177" s="66"/>
      <c r="AA177" s="67"/>
      <c r="AB177" s="66"/>
      <c r="AC177" s="67"/>
      <c r="AD177" s="66"/>
      <c r="AE177" s="67"/>
      <c r="AF177" s="66"/>
      <c r="AG177" s="67"/>
      <c r="AH177" s="66"/>
      <c r="AI177" s="67"/>
      <c r="AJ177" s="50"/>
      <c r="AK177" s="69"/>
      <c r="AL177" s="50"/>
      <c r="AM177" s="69"/>
      <c r="AN177" s="50"/>
      <c r="AO177" s="69"/>
      <c r="AP177" s="50"/>
      <c r="AQ177" s="69"/>
      <c r="AR177" s="50"/>
      <c r="AS177" s="642" t="s">
        <v>303</v>
      </c>
      <c r="AT177" s="326"/>
      <c r="AU177" s="326"/>
      <c r="AV177" s="326"/>
      <c r="AW177" s="326"/>
      <c r="AX177" s="326"/>
      <c r="AY177" s="327"/>
      <c r="AZ177" s="70"/>
      <c r="BA177" s="70"/>
      <c r="BB177" s="643" t="s">
        <v>334</v>
      </c>
      <c r="BC177" s="327"/>
      <c r="BD177" s="645" t="s">
        <v>303</v>
      </c>
      <c r="BE177" s="326"/>
      <c r="BF177" s="327"/>
      <c r="BG177" s="646" t="s">
        <v>303</v>
      </c>
      <c r="BH177" s="326"/>
      <c r="BI177" s="326"/>
      <c r="BJ177" s="327"/>
      <c r="BK177" s="647"/>
      <c r="BL177" s="326"/>
      <c r="BM177" s="327"/>
      <c r="BN177" s="71"/>
      <c r="BO177" s="71"/>
      <c r="BP177" s="646"/>
      <c r="BQ177" s="326"/>
      <c r="BR177" s="327"/>
      <c r="BS177" s="645" t="s">
        <v>303</v>
      </c>
      <c r="BT177" s="326"/>
      <c r="BU177" s="327"/>
    </row>
    <row r="178" spans="1:73" ht="30" customHeight="1" x14ac:dyDescent="0.25">
      <c r="A178" s="65">
        <f t="shared" si="0"/>
        <v>164</v>
      </c>
      <c r="B178" s="639" t="s">
        <v>334</v>
      </c>
      <c r="C178" s="327"/>
      <c r="D178" s="640" t="s">
        <v>303</v>
      </c>
      <c r="E178" s="326"/>
      <c r="F178" s="326"/>
      <c r="G178" s="327"/>
      <c r="H178" s="641" t="s">
        <v>303</v>
      </c>
      <c r="I178" s="326"/>
      <c r="J178" s="326"/>
      <c r="K178" s="327"/>
      <c r="L178" s="438" t="s">
        <v>303</v>
      </c>
      <c r="M178" s="326"/>
      <c r="N178" s="327"/>
      <c r="O178" s="519" t="s">
        <v>303</v>
      </c>
      <c r="P178" s="326"/>
      <c r="Q178" s="327"/>
      <c r="R178" s="527"/>
      <c r="S178" s="326"/>
      <c r="T178" s="327"/>
      <c r="U178" s="497"/>
      <c r="V178" s="326"/>
      <c r="W178" s="327"/>
      <c r="X178" s="66"/>
      <c r="Y178" s="67"/>
      <c r="Z178" s="66"/>
      <c r="AA178" s="67"/>
      <c r="AB178" s="66"/>
      <c r="AC178" s="67"/>
      <c r="AD178" s="66"/>
      <c r="AE178" s="67"/>
      <c r="AF178" s="66"/>
      <c r="AG178" s="67"/>
      <c r="AH178" s="66"/>
      <c r="AI178" s="67"/>
      <c r="AJ178" s="50"/>
      <c r="AK178" s="69"/>
      <c r="AL178" s="50"/>
      <c r="AM178" s="69"/>
      <c r="AN178" s="50"/>
      <c r="AO178" s="69"/>
      <c r="AP178" s="50"/>
      <c r="AQ178" s="69"/>
      <c r="AR178" s="50"/>
      <c r="AS178" s="642" t="s">
        <v>303</v>
      </c>
      <c r="AT178" s="326"/>
      <c r="AU178" s="326"/>
      <c r="AV178" s="326"/>
      <c r="AW178" s="326"/>
      <c r="AX178" s="326"/>
      <c r="AY178" s="327"/>
      <c r="AZ178" s="70"/>
      <c r="BA178" s="70"/>
      <c r="BB178" s="643" t="s">
        <v>334</v>
      </c>
      <c r="BC178" s="327"/>
      <c r="BD178" s="645" t="s">
        <v>303</v>
      </c>
      <c r="BE178" s="326"/>
      <c r="BF178" s="327"/>
      <c r="BG178" s="646" t="s">
        <v>303</v>
      </c>
      <c r="BH178" s="326"/>
      <c r="BI178" s="326"/>
      <c r="BJ178" s="327"/>
      <c r="BK178" s="647"/>
      <c r="BL178" s="326"/>
      <c r="BM178" s="327"/>
      <c r="BN178" s="71"/>
      <c r="BO178" s="71"/>
      <c r="BP178" s="646"/>
      <c r="BQ178" s="326"/>
      <c r="BR178" s="327"/>
      <c r="BS178" s="645" t="s">
        <v>303</v>
      </c>
      <c r="BT178" s="326"/>
      <c r="BU178" s="327"/>
    </row>
    <row r="179" spans="1:73" ht="30" customHeight="1" x14ac:dyDescent="0.25">
      <c r="A179" s="65">
        <f t="shared" si="0"/>
        <v>165</v>
      </c>
      <c r="B179" s="639" t="s">
        <v>334</v>
      </c>
      <c r="C179" s="327"/>
      <c r="D179" s="640" t="s">
        <v>303</v>
      </c>
      <c r="E179" s="326"/>
      <c r="F179" s="326"/>
      <c r="G179" s="327"/>
      <c r="H179" s="641" t="s">
        <v>303</v>
      </c>
      <c r="I179" s="326"/>
      <c r="J179" s="326"/>
      <c r="K179" s="327"/>
      <c r="L179" s="438" t="s">
        <v>303</v>
      </c>
      <c r="M179" s="326"/>
      <c r="N179" s="327"/>
      <c r="O179" s="519" t="s">
        <v>303</v>
      </c>
      <c r="P179" s="326"/>
      <c r="Q179" s="327"/>
      <c r="R179" s="527"/>
      <c r="S179" s="326"/>
      <c r="T179" s="327"/>
      <c r="U179" s="497"/>
      <c r="V179" s="326"/>
      <c r="W179" s="327"/>
      <c r="X179" s="66"/>
      <c r="Y179" s="67"/>
      <c r="Z179" s="66"/>
      <c r="AA179" s="67"/>
      <c r="AB179" s="66"/>
      <c r="AC179" s="67"/>
      <c r="AD179" s="66"/>
      <c r="AE179" s="67"/>
      <c r="AF179" s="66"/>
      <c r="AG179" s="67"/>
      <c r="AH179" s="66"/>
      <c r="AI179" s="67"/>
      <c r="AJ179" s="50"/>
      <c r="AK179" s="69"/>
      <c r="AL179" s="50"/>
      <c r="AM179" s="69"/>
      <c r="AN179" s="50"/>
      <c r="AO179" s="69"/>
      <c r="AP179" s="50"/>
      <c r="AQ179" s="69"/>
      <c r="AR179" s="50"/>
      <c r="AS179" s="642" t="s">
        <v>303</v>
      </c>
      <c r="AT179" s="326"/>
      <c r="AU179" s="326"/>
      <c r="AV179" s="326"/>
      <c r="AW179" s="326"/>
      <c r="AX179" s="326"/>
      <c r="AY179" s="327"/>
      <c r="AZ179" s="70"/>
      <c r="BA179" s="70"/>
      <c r="BB179" s="643" t="s">
        <v>334</v>
      </c>
      <c r="BC179" s="327"/>
      <c r="BD179" s="645" t="s">
        <v>303</v>
      </c>
      <c r="BE179" s="326"/>
      <c r="BF179" s="327"/>
      <c r="BG179" s="646" t="s">
        <v>303</v>
      </c>
      <c r="BH179" s="326"/>
      <c r="BI179" s="326"/>
      <c r="BJ179" s="327"/>
      <c r="BK179" s="647"/>
      <c r="BL179" s="326"/>
      <c r="BM179" s="327"/>
      <c r="BN179" s="71"/>
      <c r="BO179" s="71"/>
      <c r="BP179" s="646"/>
      <c r="BQ179" s="326"/>
      <c r="BR179" s="327"/>
      <c r="BS179" s="645" t="s">
        <v>303</v>
      </c>
      <c r="BT179" s="326"/>
      <c r="BU179" s="327"/>
    </row>
    <row r="180" spans="1:73" ht="30" customHeight="1" x14ac:dyDescent="0.25">
      <c r="A180" s="65">
        <f t="shared" si="0"/>
        <v>166</v>
      </c>
      <c r="B180" s="639" t="s">
        <v>334</v>
      </c>
      <c r="C180" s="327"/>
      <c r="D180" s="640" t="s">
        <v>303</v>
      </c>
      <c r="E180" s="326"/>
      <c r="F180" s="326"/>
      <c r="G180" s="327"/>
      <c r="H180" s="641" t="s">
        <v>303</v>
      </c>
      <c r="I180" s="326"/>
      <c r="J180" s="326"/>
      <c r="K180" s="327"/>
      <c r="L180" s="438" t="s">
        <v>303</v>
      </c>
      <c r="M180" s="326"/>
      <c r="N180" s="327"/>
      <c r="O180" s="519" t="s">
        <v>303</v>
      </c>
      <c r="P180" s="326"/>
      <c r="Q180" s="327"/>
      <c r="R180" s="527"/>
      <c r="S180" s="326"/>
      <c r="T180" s="327"/>
      <c r="U180" s="497"/>
      <c r="V180" s="326"/>
      <c r="W180" s="327"/>
      <c r="X180" s="66"/>
      <c r="Y180" s="67"/>
      <c r="Z180" s="66"/>
      <c r="AA180" s="67"/>
      <c r="AB180" s="66"/>
      <c r="AC180" s="67"/>
      <c r="AD180" s="66"/>
      <c r="AE180" s="67"/>
      <c r="AF180" s="66"/>
      <c r="AG180" s="67"/>
      <c r="AH180" s="66"/>
      <c r="AI180" s="67"/>
      <c r="AJ180" s="50"/>
      <c r="AK180" s="69"/>
      <c r="AL180" s="50"/>
      <c r="AM180" s="69"/>
      <c r="AN180" s="50"/>
      <c r="AO180" s="69"/>
      <c r="AP180" s="50"/>
      <c r="AQ180" s="69"/>
      <c r="AR180" s="50"/>
      <c r="AS180" s="642" t="s">
        <v>303</v>
      </c>
      <c r="AT180" s="326"/>
      <c r="AU180" s="326"/>
      <c r="AV180" s="326"/>
      <c r="AW180" s="326"/>
      <c r="AX180" s="326"/>
      <c r="AY180" s="327"/>
      <c r="AZ180" s="70"/>
      <c r="BA180" s="70"/>
      <c r="BB180" s="643" t="s">
        <v>334</v>
      </c>
      <c r="BC180" s="327"/>
      <c r="BD180" s="645" t="s">
        <v>303</v>
      </c>
      <c r="BE180" s="326"/>
      <c r="BF180" s="327"/>
      <c r="BG180" s="646" t="s">
        <v>303</v>
      </c>
      <c r="BH180" s="326"/>
      <c r="BI180" s="326"/>
      <c r="BJ180" s="327"/>
      <c r="BK180" s="647"/>
      <c r="BL180" s="326"/>
      <c r="BM180" s="327"/>
      <c r="BN180" s="71"/>
      <c r="BO180" s="71"/>
      <c r="BP180" s="646"/>
      <c r="BQ180" s="326"/>
      <c r="BR180" s="327"/>
      <c r="BS180" s="645" t="s">
        <v>303</v>
      </c>
      <c r="BT180" s="326"/>
      <c r="BU180" s="327"/>
    </row>
    <row r="181" spans="1:73" ht="30" customHeight="1" x14ac:dyDescent="0.25">
      <c r="A181" s="65">
        <f t="shared" si="0"/>
        <v>167</v>
      </c>
      <c r="B181" s="639" t="s">
        <v>334</v>
      </c>
      <c r="C181" s="327"/>
      <c r="D181" s="640" t="s">
        <v>303</v>
      </c>
      <c r="E181" s="326"/>
      <c r="F181" s="326"/>
      <c r="G181" s="327"/>
      <c r="H181" s="641" t="s">
        <v>303</v>
      </c>
      <c r="I181" s="326"/>
      <c r="J181" s="326"/>
      <c r="K181" s="327"/>
      <c r="L181" s="438" t="s">
        <v>303</v>
      </c>
      <c r="M181" s="326"/>
      <c r="N181" s="327"/>
      <c r="O181" s="519" t="s">
        <v>303</v>
      </c>
      <c r="P181" s="326"/>
      <c r="Q181" s="327"/>
      <c r="R181" s="527"/>
      <c r="S181" s="326"/>
      <c r="T181" s="327"/>
      <c r="U181" s="497"/>
      <c r="V181" s="326"/>
      <c r="W181" s="327"/>
      <c r="X181" s="66"/>
      <c r="Y181" s="67"/>
      <c r="Z181" s="66"/>
      <c r="AA181" s="67"/>
      <c r="AB181" s="66"/>
      <c r="AC181" s="67"/>
      <c r="AD181" s="66"/>
      <c r="AE181" s="67"/>
      <c r="AF181" s="66"/>
      <c r="AG181" s="67"/>
      <c r="AH181" s="66"/>
      <c r="AI181" s="67"/>
      <c r="AJ181" s="50"/>
      <c r="AK181" s="69"/>
      <c r="AL181" s="50"/>
      <c r="AM181" s="69"/>
      <c r="AN181" s="50"/>
      <c r="AO181" s="69"/>
      <c r="AP181" s="50"/>
      <c r="AQ181" s="69"/>
      <c r="AR181" s="50"/>
      <c r="AS181" s="642" t="s">
        <v>303</v>
      </c>
      <c r="AT181" s="326"/>
      <c r="AU181" s="326"/>
      <c r="AV181" s="326"/>
      <c r="AW181" s="326"/>
      <c r="AX181" s="326"/>
      <c r="AY181" s="327"/>
      <c r="AZ181" s="70"/>
      <c r="BA181" s="70"/>
      <c r="BB181" s="643" t="s">
        <v>334</v>
      </c>
      <c r="BC181" s="327"/>
      <c r="BD181" s="645" t="s">
        <v>303</v>
      </c>
      <c r="BE181" s="326"/>
      <c r="BF181" s="327"/>
      <c r="BG181" s="646" t="s">
        <v>303</v>
      </c>
      <c r="BH181" s="326"/>
      <c r="BI181" s="326"/>
      <c r="BJ181" s="327"/>
      <c r="BK181" s="647"/>
      <c r="BL181" s="326"/>
      <c r="BM181" s="327"/>
      <c r="BN181" s="71"/>
      <c r="BO181" s="71"/>
      <c r="BP181" s="646"/>
      <c r="BQ181" s="326"/>
      <c r="BR181" s="327"/>
      <c r="BS181" s="645" t="s">
        <v>303</v>
      </c>
      <c r="BT181" s="326"/>
      <c r="BU181" s="327"/>
    </row>
    <row r="182" spans="1:73" ht="30" customHeight="1" x14ac:dyDescent="0.25">
      <c r="A182" s="65">
        <f t="shared" si="0"/>
        <v>168</v>
      </c>
      <c r="B182" s="639" t="s">
        <v>334</v>
      </c>
      <c r="C182" s="327"/>
      <c r="D182" s="640" t="s">
        <v>303</v>
      </c>
      <c r="E182" s="326"/>
      <c r="F182" s="326"/>
      <c r="G182" s="327"/>
      <c r="H182" s="641" t="s">
        <v>303</v>
      </c>
      <c r="I182" s="326"/>
      <c r="J182" s="326"/>
      <c r="K182" s="327"/>
      <c r="L182" s="438" t="s">
        <v>303</v>
      </c>
      <c r="M182" s="326"/>
      <c r="N182" s="327"/>
      <c r="O182" s="519" t="s">
        <v>303</v>
      </c>
      <c r="P182" s="326"/>
      <c r="Q182" s="327"/>
      <c r="R182" s="527"/>
      <c r="S182" s="326"/>
      <c r="T182" s="327"/>
      <c r="U182" s="497"/>
      <c r="V182" s="326"/>
      <c r="W182" s="327"/>
      <c r="X182" s="66"/>
      <c r="Y182" s="67"/>
      <c r="Z182" s="66"/>
      <c r="AA182" s="67"/>
      <c r="AB182" s="66"/>
      <c r="AC182" s="67"/>
      <c r="AD182" s="66"/>
      <c r="AE182" s="67"/>
      <c r="AF182" s="66"/>
      <c r="AG182" s="67"/>
      <c r="AH182" s="66"/>
      <c r="AI182" s="67"/>
      <c r="AJ182" s="50"/>
      <c r="AK182" s="69"/>
      <c r="AL182" s="50"/>
      <c r="AM182" s="69"/>
      <c r="AN182" s="50"/>
      <c r="AO182" s="69"/>
      <c r="AP182" s="50"/>
      <c r="AQ182" s="69"/>
      <c r="AR182" s="50"/>
      <c r="AS182" s="642" t="s">
        <v>303</v>
      </c>
      <c r="AT182" s="326"/>
      <c r="AU182" s="326"/>
      <c r="AV182" s="326"/>
      <c r="AW182" s="326"/>
      <c r="AX182" s="326"/>
      <c r="AY182" s="327"/>
      <c r="AZ182" s="70"/>
      <c r="BA182" s="70"/>
      <c r="BB182" s="643" t="s">
        <v>334</v>
      </c>
      <c r="BC182" s="327"/>
      <c r="BD182" s="645" t="s">
        <v>303</v>
      </c>
      <c r="BE182" s="326"/>
      <c r="BF182" s="327"/>
      <c r="BG182" s="646" t="s">
        <v>303</v>
      </c>
      <c r="BH182" s="326"/>
      <c r="BI182" s="326"/>
      <c r="BJ182" s="327"/>
      <c r="BK182" s="647"/>
      <c r="BL182" s="326"/>
      <c r="BM182" s="327"/>
      <c r="BN182" s="71"/>
      <c r="BO182" s="71"/>
      <c r="BP182" s="646"/>
      <c r="BQ182" s="326"/>
      <c r="BR182" s="327"/>
      <c r="BS182" s="645" t="s">
        <v>303</v>
      </c>
      <c r="BT182" s="326"/>
      <c r="BU182" s="327"/>
    </row>
    <row r="183" spans="1:73" ht="30" customHeight="1" x14ac:dyDescent="0.25">
      <c r="A183" s="65">
        <f t="shared" si="0"/>
        <v>169</v>
      </c>
      <c r="B183" s="639" t="s">
        <v>334</v>
      </c>
      <c r="C183" s="327"/>
      <c r="D183" s="640" t="s">
        <v>303</v>
      </c>
      <c r="E183" s="326"/>
      <c r="F183" s="326"/>
      <c r="G183" s="327"/>
      <c r="H183" s="641" t="s">
        <v>303</v>
      </c>
      <c r="I183" s="326"/>
      <c r="J183" s="326"/>
      <c r="K183" s="327"/>
      <c r="L183" s="438" t="s">
        <v>303</v>
      </c>
      <c r="M183" s="326"/>
      <c r="N183" s="327"/>
      <c r="O183" s="519" t="s">
        <v>303</v>
      </c>
      <c r="P183" s="326"/>
      <c r="Q183" s="327"/>
      <c r="R183" s="527"/>
      <c r="S183" s="326"/>
      <c r="T183" s="327"/>
      <c r="U183" s="497"/>
      <c r="V183" s="326"/>
      <c r="W183" s="327"/>
      <c r="X183" s="66"/>
      <c r="Y183" s="67"/>
      <c r="Z183" s="66"/>
      <c r="AA183" s="67"/>
      <c r="AB183" s="66"/>
      <c r="AC183" s="67"/>
      <c r="AD183" s="66"/>
      <c r="AE183" s="67"/>
      <c r="AF183" s="66"/>
      <c r="AG183" s="67"/>
      <c r="AH183" s="66"/>
      <c r="AI183" s="67"/>
      <c r="AJ183" s="50"/>
      <c r="AK183" s="69"/>
      <c r="AL183" s="50"/>
      <c r="AM183" s="69"/>
      <c r="AN183" s="50"/>
      <c r="AO183" s="69"/>
      <c r="AP183" s="50"/>
      <c r="AQ183" s="69"/>
      <c r="AR183" s="50"/>
      <c r="AS183" s="642" t="s">
        <v>303</v>
      </c>
      <c r="AT183" s="326"/>
      <c r="AU183" s="326"/>
      <c r="AV183" s="326"/>
      <c r="AW183" s="326"/>
      <c r="AX183" s="326"/>
      <c r="AY183" s="327"/>
      <c r="AZ183" s="72"/>
      <c r="BA183" s="72"/>
      <c r="BB183" s="643" t="s">
        <v>334</v>
      </c>
      <c r="BC183" s="327"/>
      <c r="BD183" s="648" t="s">
        <v>303</v>
      </c>
      <c r="BE183" s="344"/>
      <c r="BF183" s="345"/>
      <c r="BG183" s="649" t="s">
        <v>303</v>
      </c>
      <c r="BH183" s="344"/>
      <c r="BI183" s="344"/>
      <c r="BJ183" s="345"/>
      <c r="BK183" s="650"/>
      <c r="BL183" s="344"/>
      <c r="BM183" s="345"/>
      <c r="BN183" s="73"/>
      <c r="BO183" s="73"/>
      <c r="BP183" s="649"/>
      <c r="BQ183" s="344"/>
      <c r="BR183" s="345"/>
      <c r="BS183" s="648" t="s">
        <v>303</v>
      </c>
      <c r="BT183" s="344"/>
      <c r="BU183" s="345"/>
    </row>
    <row r="184" spans="1:73" ht="30" customHeight="1" x14ac:dyDescent="0.25">
      <c r="A184" s="65">
        <f t="shared" si="0"/>
        <v>170</v>
      </c>
      <c r="B184" s="639" t="s">
        <v>334</v>
      </c>
      <c r="C184" s="327"/>
      <c r="D184" s="640" t="s">
        <v>303</v>
      </c>
      <c r="E184" s="326"/>
      <c r="F184" s="326"/>
      <c r="G184" s="327"/>
      <c r="H184" s="641" t="s">
        <v>303</v>
      </c>
      <c r="I184" s="326"/>
      <c r="J184" s="326"/>
      <c r="K184" s="327"/>
      <c r="L184" s="438" t="s">
        <v>303</v>
      </c>
      <c r="M184" s="326"/>
      <c r="N184" s="327"/>
      <c r="O184" s="519" t="s">
        <v>303</v>
      </c>
      <c r="P184" s="326"/>
      <c r="Q184" s="327"/>
      <c r="R184" s="527"/>
      <c r="S184" s="326"/>
      <c r="T184" s="327"/>
      <c r="U184" s="497"/>
      <c r="V184" s="326"/>
      <c r="W184" s="327"/>
      <c r="X184" s="66"/>
      <c r="Y184" s="67"/>
      <c r="Z184" s="66"/>
      <c r="AA184" s="67"/>
      <c r="AB184" s="66"/>
      <c r="AC184" s="67"/>
      <c r="AD184" s="66"/>
      <c r="AE184" s="67"/>
      <c r="AF184" s="66"/>
      <c r="AG184" s="67"/>
      <c r="AH184" s="66"/>
      <c r="AI184" s="67"/>
      <c r="AJ184" s="50"/>
      <c r="AK184" s="69"/>
      <c r="AL184" s="50"/>
      <c r="AM184" s="69"/>
      <c r="AN184" s="50"/>
      <c r="AO184" s="69"/>
      <c r="AP184" s="50"/>
      <c r="AQ184" s="69"/>
      <c r="AR184" s="50"/>
      <c r="AS184" s="642" t="s">
        <v>303</v>
      </c>
      <c r="AT184" s="326"/>
      <c r="AU184" s="326"/>
      <c r="AV184" s="326"/>
      <c r="AW184" s="326"/>
      <c r="AX184" s="326"/>
      <c r="AY184" s="327"/>
      <c r="AZ184" s="70"/>
      <c r="BA184" s="70"/>
      <c r="BB184" s="643" t="s">
        <v>334</v>
      </c>
      <c r="BC184" s="327"/>
      <c r="BD184" s="645" t="s">
        <v>303</v>
      </c>
      <c r="BE184" s="326"/>
      <c r="BF184" s="327"/>
      <c r="BG184" s="646" t="s">
        <v>303</v>
      </c>
      <c r="BH184" s="326"/>
      <c r="BI184" s="326"/>
      <c r="BJ184" s="327"/>
      <c r="BK184" s="647"/>
      <c r="BL184" s="326"/>
      <c r="BM184" s="327"/>
      <c r="BN184" s="71"/>
      <c r="BO184" s="71"/>
      <c r="BP184" s="646"/>
      <c r="BQ184" s="326"/>
      <c r="BR184" s="327"/>
      <c r="BS184" s="645" t="s">
        <v>303</v>
      </c>
      <c r="BT184" s="326"/>
      <c r="BU184" s="327"/>
    </row>
    <row r="185" spans="1:73" ht="30" customHeight="1" x14ac:dyDescent="0.25">
      <c r="A185" s="65">
        <f t="shared" si="0"/>
        <v>171</v>
      </c>
      <c r="B185" s="639" t="s">
        <v>334</v>
      </c>
      <c r="C185" s="327"/>
      <c r="D185" s="640" t="s">
        <v>303</v>
      </c>
      <c r="E185" s="326"/>
      <c r="F185" s="326"/>
      <c r="G185" s="327"/>
      <c r="H185" s="641" t="s">
        <v>303</v>
      </c>
      <c r="I185" s="326"/>
      <c r="J185" s="326"/>
      <c r="K185" s="327"/>
      <c r="L185" s="438" t="s">
        <v>303</v>
      </c>
      <c r="M185" s="326"/>
      <c r="N185" s="327"/>
      <c r="O185" s="519" t="s">
        <v>303</v>
      </c>
      <c r="P185" s="326"/>
      <c r="Q185" s="327"/>
      <c r="R185" s="527"/>
      <c r="S185" s="326"/>
      <c r="T185" s="327"/>
      <c r="U185" s="497"/>
      <c r="V185" s="326"/>
      <c r="W185" s="327"/>
      <c r="X185" s="66"/>
      <c r="Y185" s="67"/>
      <c r="Z185" s="66"/>
      <c r="AA185" s="67"/>
      <c r="AB185" s="66"/>
      <c r="AC185" s="67"/>
      <c r="AD185" s="66"/>
      <c r="AE185" s="67"/>
      <c r="AF185" s="66"/>
      <c r="AG185" s="67"/>
      <c r="AH185" s="66"/>
      <c r="AI185" s="67"/>
      <c r="AJ185" s="50"/>
      <c r="AK185" s="69"/>
      <c r="AL185" s="50"/>
      <c r="AM185" s="69"/>
      <c r="AN185" s="50"/>
      <c r="AO185" s="69"/>
      <c r="AP185" s="50"/>
      <c r="AQ185" s="69"/>
      <c r="AR185" s="50"/>
      <c r="AS185" s="642" t="s">
        <v>303</v>
      </c>
      <c r="AT185" s="326"/>
      <c r="AU185" s="326"/>
      <c r="AV185" s="326"/>
      <c r="AW185" s="326"/>
      <c r="AX185" s="326"/>
      <c r="AY185" s="327"/>
      <c r="AZ185" s="70"/>
      <c r="BA185" s="70"/>
      <c r="BB185" s="643" t="s">
        <v>334</v>
      </c>
      <c r="BC185" s="327"/>
      <c r="BD185" s="645" t="s">
        <v>303</v>
      </c>
      <c r="BE185" s="326"/>
      <c r="BF185" s="327"/>
      <c r="BG185" s="646" t="s">
        <v>303</v>
      </c>
      <c r="BH185" s="326"/>
      <c r="BI185" s="326"/>
      <c r="BJ185" s="327"/>
      <c r="BK185" s="647"/>
      <c r="BL185" s="326"/>
      <c r="BM185" s="327"/>
      <c r="BN185" s="71"/>
      <c r="BO185" s="71"/>
      <c r="BP185" s="646"/>
      <c r="BQ185" s="326"/>
      <c r="BR185" s="327"/>
      <c r="BS185" s="645" t="s">
        <v>303</v>
      </c>
      <c r="BT185" s="326"/>
      <c r="BU185" s="327"/>
    </row>
    <row r="186" spans="1:73" ht="30" customHeight="1" x14ac:dyDescent="0.25">
      <c r="A186" s="65">
        <f t="shared" si="0"/>
        <v>172</v>
      </c>
      <c r="B186" s="639" t="s">
        <v>334</v>
      </c>
      <c r="C186" s="327"/>
      <c r="D186" s="640" t="s">
        <v>303</v>
      </c>
      <c r="E186" s="326"/>
      <c r="F186" s="326"/>
      <c r="G186" s="327"/>
      <c r="H186" s="641" t="s">
        <v>303</v>
      </c>
      <c r="I186" s="326"/>
      <c r="J186" s="326"/>
      <c r="K186" s="327"/>
      <c r="L186" s="438" t="s">
        <v>303</v>
      </c>
      <c r="M186" s="326"/>
      <c r="N186" s="327"/>
      <c r="O186" s="519" t="s">
        <v>303</v>
      </c>
      <c r="P186" s="326"/>
      <c r="Q186" s="327"/>
      <c r="R186" s="527"/>
      <c r="S186" s="326"/>
      <c r="T186" s="327"/>
      <c r="U186" s="497"/>
      <c r="V186" s="326"/>
      <c r="W186" s="327"/>
      <c r="X186" s="66"/>
      <c r="Y186" s="67"/>
      <c r="Z186" s="66"/>
      <c r="AA186" s="67"/>
      <c r="AB186" s="66"/>
      <c r="AC186" s="67"/>
      <c r="AD186" s="66"/>
      <c r="AE186" s="67"/>
      <c r="AF186" s="66"/>
      <c r="AG186" s="67"/>
      <c r="AH186" s="66"/>
      <c r="AI186" s="67"/>
      <c r="AJ186" s="50"/>
      <c r="AK186" s="69"/>
      <c r="AL186" s="50"/>
      <c r="AM186" s="69"/>
      <c r="AN186" s="50"/>
      <c r="AO186" s="69"/>
      <c r="AP186" s="50"/>
      <c r="AQ186" s="69"/>
      <c r="AR186" s="50"/>
      <c r="AS186" s="642" t="s">
        <v>303</v>
      </c>
      <c r="AT186" s="326"/>
      <c r="AU186" s="326"/>
      <c r="AV186" s="326"/>
      <c r="AW186" s="326"/>
      <c r="AX186" s="326"/>
      <c r="AY186" s="327"/>
      <c r="AZ186" s="70"/>
      <c r="BA186" s="70"/>
      <c r="BB186" s="643" t="s">
        <v>334</v>
      </c>
      <c r="BC186" s="327"/>
      <c r="BD186" s="645" t="s">
        <v>303</v>
      </c>
      <c r="BE186" s="326"/>
      <c r="BF186" s="327"/>
      <c r="BG186" s="646" t="s">
        <v>303</v>
      </c>
      <c r="BH186" s="326"/>
      <c r="BI186" s="326"/>
      <c r="BJ186" s="327"/>
      <c r="BK186" s="647"/>
      <c r="BL186" s="326"/>
      <c r="BM186" s="327"/>
      <c r="BN186" s="71"/>
      <c r="BO186" s="71"/>
      <c r="BP186" s="646"/>
      <c r="BQ186" s="326"/>
      <c r="BR186" s="327"/>
      <c r="BS186" s="645" t="s">
        <v>303</v>
      </c>
      <c r="BT186" s="326"/>
      <c r="BU186" s="327"/>
    </row>
    <row r="187" spans="1:73" ht="30" customHeight="1" x14ac:dyDescent="0.25">
      <c r="A187" s="65">
        <f t="shared" si="0"/>
        <v>173</v>
      </c>
      <c r="B187" s="639" t="s">
        <v>334</v>
      </c>
      <c r="C187" s="327"/>
      <c r="D187" s="640" t="s">
        <v>303</v>
      </c>
      <c r="E187" s="326"/>
      <c r="F187" s="326"/>
      <c r="G187" s="327"/>
      <c r="H187" s="641" t="s">
        <v>303</v>
      </c>
      <c r="I187" s="326"/>
      <c r="J187" s="326"/>
      <c r="K187" s="327"/>
      <c r="L187" s="438" t="s">
        <v>303</v>
      </c>
      <c r="M187" s="326"/>
      <c r="N187" s="327"/>
      <c r="O187" s="519" t="s">
        <v>303</v>
      </c>
      <c r="P187" s="326"/>
      <c r="Q187" s="327"/>
      <c r="R187" s="527"/>
      <c r="S187" s="326"/>
      <c r="T187" s="327"/>
      <c r="U187" s="497"/>
      <c r="V187" s="326"/>
      <c r="W187" s="327"/>
      <c r="X187" s="66"/>
      <c r="Y187" s="67"/>
      <c r="Z187" s="66"/>
      <c r="AA187" s="67"/>
      <c r="AB187" s="66"/>
      <c r="AC187" s="67"/>
      <c r="AD187" s="66"/>
      <c r="AE187" s="67"/>
      <c r="AF187" s="66"/>
      <c r="AG187" s="67"/>
      <c r="AH187" s="66"/>
      <c r="AI187" s="67"/>
      <c r="AJ187" s="50"/>
      <c r="AK187" s="69"/>
      <c r="AL187" s="50"/>
      <c r="AM187" s="69"/>
      <c r="AN187" s="50"/>
      <c r="AO187" s="69"/>
      <c r="AP187" s="50"/>
      <c r="AQ187" s="69"/>
      <c r="AR187" s="50"/>
      <c r="AS187" s="642" t="s">
        <v>303</v>
      </c>
      <c r="AT187" s="326"/>
      <c r="AU187" s="326"/>
      <c r="AV187" s="326"/>
      <c r="AW187" s="326"/>
      <c r="AX187" s="326"/>
      <c r="AY187" s="327"/>
      <c r="AZ187" s="70"/>
      <c r="BA187" s="70"/>
      <c r="BB187" s="643" t="s">
        <v>334</v>
      </c>
      <c r="BC187" s="327"/>
      <c r="BD187" s="645" t="s">
        <v>303</v>
      </c>
      <c r="BE187" s="326"/>
      <c r="BF187" s="327"/>
      <c r="BG187" s="646" t="s">
        <v>303</v>
      </c>
      <c r="BH187" s="326"/>
      <c r="BI187" s="326"/>
      <c r="BJ187" s="327"/>
      <c r="BK187" s="647"/>
      <c r="BL187" s="326"/>
      <c r="BM187" s="327"/>
      <c r="BN187" s="71"/>
      <c r="BO187" s="71"/>
      <c r="BP187" s="646"/>
      <c r="BQ187" s="326"/>
      <c r="BR187" s="327"/>
      <c r="BS187" s="645" t="s">
        <v>303</v>
      </c>
      <c r="BT187" s="326"/>
      <c r="BU187" s="327"/>
    </row>
    <row r="188" spans="1:73" ht="30" customHeight="1" x14ac:dyDescent="0.25">
      <c r="A188" s="65">
        <f t="shared" si="0"/>
        <v>174</v>
      </c>
      <c r="B188" s="639" t="s">
        <v>334</v>
      </c>
      <c r="C188" s="327"/>
      <c r="D188" s="640" t="s">
        <v>303</v>
      </c>
      <c r="E188" s="326"/>
      <c r="F188" s="326"/>
      <c r="G188" s="327"/>
      <c r="H188" s="641" t="s">
        <v>303</v>
      </c>
      <c r="I188" s="326"/>
      <c r="J188" s="326"/>
      <c r="K188" s="327"/>
      <c r="L188" s="438" t="s">
        <v>303</v>
      </c>
      <c r="M188" s="326"/>
      <c r="N188" s="327"/>
      <c r="O188" s="519" t="s">
        <v>303</v>
      </c>
      <c r="P188" s="326"/>
      <c r="Q188" s="327"/>
      <c r="R188" s="527"/>
      <c r="S188" s="326"/>
      <c r="T188" s="327"/>
      <c r="U188" s="497"/>
      <c r="V188" s="326"/>
      <c r="W188" s="327"/>
      <c r="X188" s="66"/>
      <c r="Y188" s="67"/>
      <c r="Z188" s="66"/>
      <c r="AA188" s="67"/>
      <c r="AB188" s="66"/>
      <c r="AC188" s="67"/>
      <c r="AD188" s="66"/>
      <c r="AE188" s="67"/>
      <c r="AF188" s="66"/>
      <c r="AG188" s="67"/>
      <c r="AH188" s="66"/>
      <c r="AI188" s="67"/>
      <c r="AJ188" s="50"/>
      <c r="AK188" s="69"/>
      <c r="AL188" s="50"/>
      <c r="AM188" s="69"/>
      <c r="AN188" s="50"/>
      <c r="AO188" s="69"/>
      <c r="AP188" s="50"/>
      <c r="AQ188" s="69"/>
      <c r="AR188" s="50"/>
      <c r="AS188" s="642" t="s">
        <v>303</v>
      </c>
      <c r="AT188" s="326"/>
      <c r="AU188" s="326"/>
      <c r="AV188" s="326"/>
      <c r="AW188" s="326"/>
      <c r="AX188" s="326"/>
      <c r="AY188" s="327"/>
      <c r="AZ188" s="70"/>
      <c r="BA188" s="70"/>
      <c r="BB188" s="643" t="s">
        <v>334</v>
      </c>
      <c r="BC188" s="327"/>
      <c r="BD188" s="645" t="s">
        <v>303</v>
      </c>
      <c r="BE188" s="326"/>
      <c r="BF188" s="327"/>
      <c r="BG188" s="646" t="s">
        <v>303</v>
      </c>
      <c r="BH188" s="326"/>
      <c r="BI188" s="326"/>
      <c r="BJ188" s="327"/>
      <c r="BK188" s="647"/>
      <c r="BL188" s="326"/>
      <c r="BM188" s="327"/>
      <c r="BN188" s="71"/>
      <c r="BO188" s="71"/>
      <c r="BP188" s="646"/>
      <c r="BQ188" s="326"/>
      <c r="BR188" s="327"/>
      <c r="BS188" s="645" t="s">
        <v>303</v>
      </c>
      <c r="BT188" s="326"/>
      <c r="BU188" s="327"/>
    </row>
    <row r="189" spans="1:73" ht="30" customHeight="1" x14ac:dyDescent="0.25">
      <c r="A189" s="65">
        <f t="shared" si="0"/>
        <v>175</v>
      </c>
      <c r="B189" s="639" t="s">
        <v>334</v>
      </c>
      <c r="C189" s="327"/>
      <c r="D189" s="640" t="s">
        <v>303</v>
      </c>
      <c r="E189" s="326"/>
      <c r="F189" s="326"/>
      <c r="G189" s="327"/>
      <c r="H189" s="641" t="s">
        <v>303</v>
      </c>
      <c r="I189" s="326"/>
      <c r="J189" s="326"/>
      <c r="K189" s="327"/>
      <c r="L189" s="438" t="s">
        <v>303</v>
      </c>
      <c r="M189" s="326"/>
      <c r="N189" s="327"/>
      <c r="O189" s="519" t="s">
        <v>303</v>
      </c>
      <c r="P189" s="326"/>
      <c r="Q189" s="327"/>
      <c r="R189" s="527"/>
      <c r="S189" s="326"/>
      <c r="T189" s="327"/>
      <c r="U189" s="497"/>
      <c r="V189" s="326"/>
      <c r="W189" s="327"/>
      <c r="X189" s="66"/>
      <c r="Y189" s="67"/>
      <c r="Z189" s="66"/>
      <c r="AA189" s="67"/>
      <c r="AB189" s="66"/>
      <c r="AC189" s="67"/>
      <c r="AD189" s="66"/>
      <c r="AE189" s="67"/>
      <c r="AF189" s="66"/>
      <c r="AG189" s="67"/>
      <c r="AH189" s="66"/>
      <c r="AI189" s="67"/>
      <c r="AJ189" s="50"/>
      <c r="AK189" s="69"/>
      <c r="AL189" s="50"/>
      <c r="AM189" s="69"/>
      <c r="AN189" s="50"/>
      <c r="AO189" s="69"/>
      <c r="AP189" s="50"/>
      <c r="AQ189" s="69"/>
      <c r="AR189" s="50"/>
      <c r="AS189" s="642" t="s">
        <v>303</v>
      </c>
      <c r="AT189" s="326"/>
      <c r="AU189" s="326"/>
      <c r="AV189" s="326"/>
      <c r="AW189" s="326"/>
      <c r="AX189" s="326"/>
      <c r="AY189" s="327"/>
      <c r="AZ189" s="70"/>
      <c r="BA189" s="70"/>
      <c r="BB189" s="643" t="s">
        <v>334</v>
      </c>
      <c r="BC189" s="327"/>
      <c r="BD189" s="645" t="s">
        <v>303</v>
      </c>
      <c r="BE189" s="326"/>
      <c r="BF189" s="327"/>
      <c r="BG189" s="646" t="s">
        <v>303</v>
      </c>
      <c r="BH189" s="326"/>
      <c r="BI189" s="326"/>
      <c r="BJ189" s="327"/>
      <c r="BK189" s="647"/>
      <c r="BL189" s="326"/>
      <c r="BM189" s="327"/>
      <c r="BN189" s="71"/>
      <c r="BO189" s="71"/>
      <c r="BP189" s="646"/>
      <c r="BQ189" s="326"/>
      <c r="BR189" s="327"/>
      <c r="BS189" s="645" t="s">
        <v>303</v>
      </c>
      <c r="BT189" s="326"/>
      <c r="BU189" s="327"/>
    </row>
    <row r="190" spans="1:73" ht="30" customHeight="1" x14ac:dyDescent="0.25">
      <c r="A190" s="65">
        <f t="shared" si="0"/>
        <v>176</v>
      </c>
      <c r="B190" s="639" t="s">
        <v>334</v>
      </c>
      <c r="C190" s="327"/>
      <c r="D190" s="640" t="s">
        <v>303</v>
      </c>
      <c r="E190" s="326"/>
      <c r="F190" s="326"/>
      <c r="G190" s="327"/>
      <c r="H190" s="641" t="s">
        <v>303</v>
      </c>
      <c r="I190" s="326"/>
      <c r="J190" s="326"/>
      <c r="K190" s="327"/>
      <c r="L190" s="438" t="s">
        <v>303</v>
      </c>
      <c r="M190" s="326"/>
      <c r="N190" s="327"/>
      <c r="O190" s="519" t="s">
        <v>303</v>
      </c>
      <c r="P190" s="326"/>
      <c r="Q190" s="327"/>
      <c r="R190" s="527"/>
      <c r="S190" s="326"/>
      <c r="T190" s="327"/>
      <c r="U190" s="497"/>
      <c r="V190" s="326"/>
      <c r="W190" s="327"/>
      <c r="X190" s="66"/>
      <c r="Y190" s="67"/>
      <c r="Z190" s="66"/>
      <c r="AA190" s="67"/>
      <c r="AB190" s="66"/>
      <c r="AC190" s="67"/>
      <c r="AD190" s="66"/>
      <c r="AE190" s="67"/>
      <c r="AF190" s="66"/>
      <c r="AG190" s="67"/>
      <c r="AH190" s="66"/>
      <c r="AI190" s="67"/>
      <c r="AJ190" s="50"/>
      <c r="AK190" s="69"/>
      <c r="AL190" s="50"/>
      <c r="AM190" s="69"/>
      <c r="AN190" s="50"/>
      <c r="AO190" s="69"/>
      <c r="AP190" s="50"/>
      <c r="AQ190" s="69"/>
      <c r="AR190" s="50"/>
      <c r="AS190" s="642" t="s">
        <v>303</v>
      </c>
      <c r="AT190" s="326"/>
      <c r="AU190" s="326"/>
      <c r="AV190" s="326"/>
      <c r="AW190" s="326"/>
      <c r="AX190" s="326"/>
      <c r="AY190" s="327"/>
      <c r="AZ190" s="72"/>
      <c r="BA190" s="72"/>
      <c r="BB190" s="643" t="s">
        <v>334</v>
      </c>
      <c r="BC190" s="327"/>
      <c r="BD190" s="648" t="s">
        <v>303</v>
      </c>
      <c r="BE190" s="344"/>
      <c r="BF190" s="345"/>
      <c r="BG190" s="649" t="s">
        <v>303</v>
      </c>
      <c r="BH190" s="344"/>
      <c r="BI190" s="344"/>
      <c r="BJ190" s="345"/>
      <c r="BK190" s="650"/>
      <c r="BL190" s="344"/>
      <c r="BM190" s="345"/>
      <c r="BN190" s="73"/>
      <c r="BO190" s="73"/>
      <c r="BP190" s="649"/>
      <c r="BQ190" s="344"/>
      <c r="BR190" s="345"/>
      <c r="BS190" s="648" t="s">
        <v>303</v>
      </c>
      <c r="BT190" s="344"/>
      <c r="BU190" s="345"/>
    </row>
    <row r="191" spans="1:73" ht="30" customHeight="1" x14ac:dyDescent="0.25">
      <c r="A191" s="65">
        <f t="shared" si="0"/>
        <v>177</v>
      </c>
      <c r="B191" s="639" t="s">
        <v>334</v>
      </c>
      <c r="C191" s="327"/>
      <c r="D191" s="640" t="s">
        <v>303</v>
      </c>
      <c r="E191" s="326"/>
      <c r="F191" s="326"/>
      <c r="G191" s="327"/>
      <c r="H191" s="641" t="s">
        <v>303</v>
      </c>
      <c r="I191" s="326"/>
      <c r="J191" s="326"/>
      <c r="K191" s="327"/>
      <c r="L191" s="438" t="s">
        <v>303</v>
      </c>
      <c r="M191" s="326"/>
      <c r="N191" s="327"/>
      <c r="O191" s="519" t="s">
        <v>303</v>
      </c>
      <c r="P191" s="326"/>
      <c r="Q191" s="327"/>
      <c r="R191" s="527"/>
      <c r="S191" s="326"/>
      <c r="T191" s="327"/>
      <c r="U191" s="497"/>
      <c r="V191" s="326"/>
      <c r="W191" s="327"/>
      <c r="X191" s="66"/>
      <c r="Y191" s="67"/>
      <c r="Z191" s="66"/>
      <c r="AA191" s="67"/>
      <c r="AB191" s="66"/>
      <c r="AC191" s="67"/>
      <c r="AD191" s="66"/>
      <c r="AE191" s="67"/>
      <c r="AF191" s="66"/>
      <c r="AG191" s="67"/>
      <c r="AH191" s="66"/>
      <c r="AI191" s="67"/>
      <c r="AJ191" s="50"/>
      <c r="AK191" s="69"/>
      <c r="AL191" s="50"/>
      <c r="AM191" s="69"/>
      <c r="AN191" s="50"/>
      <c r="AO191" s="69"/>
      <c r="AP191" s="50"/>
      <c r="AQ191" s="69"/>
      <c r="AR191" s="50"/>
      <c r="AS191" s="642" t="s">
        <v>303</v>
      </c>
      <c r="AT191" s="326"/>
      <c r="AU191" s="326"/>
      <c r="AV191" s="326"/>
      <c r="AW191" s="326"/>
      <c r="AX191" s="326"/>
      <c r="AY191" s="327"/>
      <c r="AZ191" s="70"/>
      <c r="BA191" s="70"/>
      <c r="BB191" s="643" t="s">
        <v>334</v>
      </c>
      <c r="BC191" s="327"/>
      <c r="BD191" s="645" t="s">
        <v>303</v>
      </c>
      <c r="BE191" s="326"/>
      <c r="BF191" s="327"/>
      <c r="BG191" s="646" t="s">
        <v>303</v>
      </c>
      <c r="BH191" s="326"/>
      <c r="BI191" s="326"/>
      <c r="BJ191" s="327"/>
      <c r="BK191" s="647"/>
      <c r="BL191" s="326"/>
      <c r="BM191" s="327"/>
      <c r="BN191" s="71"/>
      <c r="BO191" s="71"/>
      <c r="BP191" s="646"/>
      <c r="BQ191" s="326"/>
      <c r="BR191" s="327"/>
      <c r="BS191" s="645" t="s">
        <v>303</v>
      </c>
      <c r="BT191" s="326"/>
      <c r="BU191" s="327"/>
    </row>
    <row r="192" spans="1:73" ht="30" customHeight="1" x14ac:dyDescent="0.25">
      <c r="A192" s="65">
        <f t="shared" si="0"/>
        <v>178</v>
      </c>
      <c r="B192" s="639" t="s">
        <v>334</v>
      </c>
      <c r="C192" s="327"/>
      <c r="D192" s="640" t="s">
        <v>303</v>
      </c>
      <c r="E192" s="326"/>
      <c r="F192" s="326"/>
      <c r="G192" s="327"/>
      <c r="H192" s="641" t="s">
        <v>303</v>
      </c>
      <c r="I192" s="326"/>
      <c r="J192" s="326"/>
      <c r="K192" s="327"/>
      <c r="L192" s="438" t="s">
        <v>303</v>
      </c>
      <c r="M192" s="326"/>
      <c r="N192" s="327"/>
      <c r="O192" s="519" t="s">
        <v>303</v>
      </c>
      <c r="P192" s="326"/>
      <c r="Q192" s="327"/>
      <c r="R192" s="527"/>
      <c r="S192" s="326"/>
      <c r="T192" s="327"/>
      <c r="U192" s="497"/>
      <c r="V192" s="326"/>
      <c r="W192" s="327"/>
      <c r="X192" s="66"/>
      <c r="Y192" s="67"/>
      <c r="Z192" s="66"/>
      <c r="AA192" s="67"/>
      <c r="AB192" s="66"/>
      <c r="AC192" s="67"/>
      <c r="AD192" s="66"/>
      <c r="AE192" s="67"/>
      <c r="AF192" s="66"/>
      <c r="AG192" s="67"/>
      <c r="AH192" s="66"/>
      <c r="AI192" s="67"/>
      <c r="AJ192" s="50"/>
      <c r="AK192" s="69"/>
      <c r="AL192" s="50"/>
      <c r="AM192" s="69"/>
      <c r="AN192" s="50"/>
      <c r="AO192" s="69"/>
      <c r="AP192" s="50"/>
      <c r="AQ192" s="69"/>
      <c r="AR192" s="50"/>
      <c r="AS192" s="642" t="s">
        <v>303</v>
      </c>
      <c r="AT192" s="326"/>
      <c r="AU192" s="326"/>
      <c r="AV192" s="326"/>
      <c r="AW192" s="326"/>
      <c r="AX192" s="326"/>
      <c r="AY192" s="327"/>
      <c r="AZ192" s="70"/>
      <c r="BA192" s="70"/>
      <c r="BB192" s="643" t="s">
        <v>334</v>
      </c>
      <c r="BC192" s="327"/>
      <c r="BD192" s="645" t="s">
        <v>303</v>
      </c>
      <c r="BE192" s="326"/>
      <c r="BF192" s="327"/>
      <c r="BG192" s="646" t="s">
        <v>303</v>
      </c>
      <c r="BH192" s="326"/>
      <c r="BI192" s="326"/>
      <c r="BJ192" s="327"/>
      <c r="BK192" s="647"/>
      <c r="BL192" s="326"/>
      <c r="BM192" s="327"/>
      <c r="BN192" s="71"/>
      <c r="BO192" s="71"/>
      <c r="BP192" s="646"/>
      <c r="BQ192" s="326"/>
      <c r="BR192" s="327"/>
      <c r="BS192" s="645" t="s">
        <v>303</v>
      </c>
      <c r="BT192" s="326"/>
      <c r="BU192" s="327"/>
    </row>
    <row r="193" spans="1:73" ht="30" customHeight="1" x14ac:dyDescent="0.25">
      <c r="A193" s="65">
        <f t="shared" si="0"/>
        <v>179</v>
      </c>
      <c r="B193" s="639" t="s">
        <v>334</v>
      </c>
      <c r="C193" s="327"/>
      <c r="D193" s="640" t="s">
        <v>303</v>
      </c>
      <c r="E193" s="326"/>
      <c r="F193" s="326"/>
      <c r="G193" s="327"/>
      <c r="H193" s="641" t="s">
        <v>303</v>
      </c>
      <c r="I193" s="326"/>
      <c r="J193" s="326"/>
      <c r="K193" s="327"/>
      <c r="L193" s="438" t="s">
        <v>303</v>
      </c>
      <c r="M193" s="326"/>
      <c r="N193" s="327"/>
      <c r="O193" s="519" t="s">
        <v>303</v>
      </c>
      <c r="P193" s="326"/>
      <c r="Q193" s="327"/>
      <c r="R193" s="527"/>
      <c r="S193" s="326"/>
      <c r="T193" s="327"/>
      <c r="U193" s="497"/>
      <c r="V193" s="326"/>
      <c r="W193" s="327"/>
      <c r="X193" s="66"/>
      <c r="Y193" s="67"/>
      <c r="Z193" s="66"/>
      <c r="AA193" s="67"/>
      <c r="AB193" s="66"/>
      <c r="AC193" s="67"/>
      <c r="AD193" s="66"/>
      <c r="AE193" s="67"/>
      <c r="AF193" s="66"/>
      <c r="AG193" s="67"/>
      <c r="AH193" s="66"/>
      <c r="AI193" s="67"/>
      <c r="AJ193" s="50"/>
      <c r="AK193" s="69"/>
      <c r="AL193" s="50"/>
      <c r="AM193" s="69"/>
      <c r="AN193" s="50"/>
      <c r="AO193" s="69"/>
      <c r="AP193" s="50"/>
      <c r="AQ193" s="69"/>
      <c r="AR193" s="50"/>
      <c r="AS193" s="642" t="s">
        <v>303</v>
      </c>
      <c r="AT193" s="326"/>
      <c r="AU193" s="326"/>
      <c r="AV193" s="326"/>
      <c r="AW193" s="326"/>
      <c r="AX193" s="326"/>
      <c r="AY193" s="327"/>
      <c r="AZ193" s="70"/>
      <c r="BA193" s="70"/>
      <c r="BB193" s="643" t="s">
        <v>334</v>
      </c>
      <c r="BC193" s="327"/>
      <c r="BD193" s="645" t="s">
        <v>303</v>
      </c>
      <c r="BE193" s="326"/>
      <c r="BF193" s="327"/>
      <c r="BG193" s="646" t="s">
        <v>303</v>
      </c>
      <c r="BH193" s="326"/>
      <c r="BI193" s="326"/>
      <c r="BJ193" s="327"/>
      <c r="BK193" s="647"/>
      <c r="BL193" s="326"/>
      <c r="BM193" s="327"/>
      <c r="BN193" s="71"/>
      <c r="BO193" s="71"/>
      <c r="BP193" s="646"/>
      <c r="BQ193" s="326"/>
      <c r="BR193" s="327"/>
      <c r="BS193" s="645" t="s">
        <v>303</v>
      </c>
      <c r="BT193" s="326"/>
      <c r="BU193" s="327"/>
    </row>
    <row r="194" spans="1:73" ht="30" customHeight="1" x14ac:dyDescent="0.25">
      <c r="A194" s="65">
        <f t="shared" si="0"/>
        <v>180</v>
      </c>
      <c r="B194" s="639" t="s">
        <v>334</v>
      </c>
      <c r="C194" s="327"/>
      <c r="D194" s="640" t="s">
        <v>303</v>
      </c>
      <c r="E194" s="326"/>
      <c r="F194" s="326"/>
      <c r="G194" s="327"/>
      <c r="H194" s="641" t="s">
        <v>303</v>
      </c>
      <c r="I194" s="326"/>
      <c r="J194" s="326"/>
      <c r="K194" s="327"/>
      <c r="L194" s="438" t="s">
        <v>303</v>
      </c>
      <c r="M194" s="326"/>
      <c r="N194" s="327"/>
      <c r="O194" s="519" t="s">
        <v>303</v>
      </c>
      <c r="P194" s="326"/>
      <c r="Q194" s="327"/>
      <c r="R194" s="527"/>
      <c r="S194" s="326"/>
      <c r="T194" s="327"/>
      <c r="U194" s="497"/>
      <c r="V194" s="326"/>
      <c r="W194" s="327"/>
      <c r="X194" s="66"/>
      <c r="Y194" s="67"/>
      <c r="Z194" s="66"/>
      <c r="AA194" s="67"/>
      <c r="AB194" s="66"/>
      <c r="AC194" s="67"/>
      <c r="AD194" s="66"/>
      <c r="AE194" s="67"/>
      <c r="AF194" s="66"/>
      <c r="AG194" s="67"/>
      <c r="AH194" s="66"/>
      <c r="AI194" s="67"/>
      <c r="AJ194" s="50"/>
      <c r="AK194" s="69"/>
      <c r="AL194" s="50"/>
      <c r="AM194" s="69"/>
      <c r="AN194" s="50"/>
      <c r="AO194" s="69"/>
      <c r="AP194" s="50"/>
      <c r="AQ194" s="69"/>
      <c r="AR194" s="50"/>
      <c r="AS194" s="642" t="s">
        <v>303</v>
      </c>
      <c r="AT194" s="326"/>
      <c r="AU194" s="326"/>
      <c r="AV194" s="326"/>
      <c r="AW194" s="326"/>
      <c r="AX194" s="326"/>
      <c r="AY194" s="327"/>
      <c r="AZ194" s="70"/>
      <c r="BA194" s="70"/>
      <c r="BB194" s="643" t="s">
        <v>334</v>
      </c>
      <c r="BC194" s="327"/>
      <c r="BD194" s="645" t="s">
        <v>303</v>
      </c>
      <c r="BE194" s="326"/>
      <c r="BF194" s="327"/>
      <c r="BG194" s="646" t="s">
        <v>303</v>
      </c>
      <c r="BH194" s="326"/>
      <c r="BI194" s="326"/>
      <c r="BJ194" s="327"/>
      <c r="BK194" s="647"/>
      <c r="BL194" s="326"/>
      <c r="BM194" s="327"/>
      <c r="BN194" s="71"/>
      <c r="BO194" s="71"/>
      <c r="BP194" s="646"/>
      <c r="BQ194" s="326"/>
      <c r="BR194" s="327"/>
      <c r="BS194" s="645" t="s">
        <v>303</v>
      </c>
      <c r="BT194" s="326"/>
      <c r="BU194" s="327"/>
    </row>
    <row r="195" spans="1:73" ht="30" customHeight="1" x14ac:dyDescent="0.25">
      <c r="A195" s="65">
        <f t="shared" si="0"/>
        <v>181</v>
      </c>
      <c r="B195" s="639" t="s">
        <v>334</v>
      </c>
      <c r="C195" s="327"/>
      <c r="D195" s="640" t="s">
        <v>303</v>
      </c>
      <c r="E195" s="326"/>
      <c r="F195" s="326"/>
      <c r="G195" s="327"/>
      <c r="H195" s="641" t="s">
        <v>303</v>
      </c>
      <c r="I195" s="326"/>
      <c r="J195" s="326"/>
      <c r="K195" s="327"/>
      <c r="L195" s="438" t="s">
        <v>303</v>
      </c>
      <c r="M195" s="326"/>
      <c r="N195" s="327"/>
      <c r="O195" s="519" t="s">
        <v>303</v>
      </c>
      <c r="P195" s="326"/>
      <c r="Q195" s="327"/>
      <c r="R195" s="527"/>
      <c r="S195" s="326"/>
      <c r="T195" s="327"/>
      <c r="U195" s="497"/>
      <c r="V195" s="326"/>
      <c r="W195" s="327"/>
      <c r="X195" s="66"/>
      <c r="Y195" s="67"/>
      <c r="Z195" s="66"/>
      <c r="AA195" s="67"/>
      <c r="AB195" s="66"/>
      <c r="AC195" s="67"/>
      <c r="AD195" s="66"/>
      <c r="AE195" s="67"/>
      <c r="AF195" s="66"/>
      <c r="AG195" s="67"/>
      <c r="AH195" s="66"/>
      <c r="AI195" s="67"/>
      <c r="AJ195" s="50"/>
      <c r="AK195" s="69"/>
      <c r="AL195" s="50"/>
      <c r="AM195" s="69"/>
      <c r="AN195" s="50"/>
      <c r="AO195" s="69"/>
      <c r="AP195" s="50"/>
      <c r="AQ195" s="69"/>
      <c r="AR195" s="50"/>
      <c r="AS195" s="642" t="s">
        <v>303</v>
      </c>
      <c r="AT195" s="326"/>
      <c r="AU195" s="326"/>
      <c r="AV195" s="326"/>
      <c r="AW195" s="326"/>
      <c r="AX195" s="326"/>
      <c r="AY195" s="327"/>
      <c r="AZ195" s="70"/>
      <c r="BA195" s="70"/>
      <c r="BB195" s="643" t="s">
        <v>334</v>
      </c>
      <c r="BC195" s="327"/>
      <c r="BD195" s="645" t="s">
        <v>303</v>
      </c>
      <c r="BE195" s="326"/>
      <c r="BF195" s="327"/>
      <c r="BG195" s="646" t="s">
        <v>303</v>
      </c>
      <c r="BH195" s="326"/>
      <c r="BI195" s="326"/>
      <c r="BJ195" s="327"/>
      <c r="BK195" s="647"/>
      <c r="BL195" s="326"/>
      <c r="BM195" s="327"/>
      <c r="BN195" s="71"/>
      <c r="BO195" s="71"/>
      <c r="BP195" s="646"/>
      <c r="BQ195" s="326"/>
      <c r="BR195" s="327"/>
      <c r="BS195" s="645" t="s">
        <v>303</v>
      </c>
      <c r="BT195" s="326"/>
      <c r="BU195" s="327"/>
    </row>
    <row r="196" spans="1:73" ht="30" customHeight="1" x14ac:dyDescent="0.25">
      <c r="A196" s="65">
        <f t="shared" si="0"/>
        <v>182</v>
      </c>
      <c r="B196" s="639" t="s">
        <v>334</v>
      </c>
      <c r="C196" s="327"/>
      <c r="D196" s="640" t="s">
        <v>303</v>
      </c>
      <c r="E196" s="326"/>
      <c r="F196" s="326"/>
      <c r="G196" s="327"/>
      <c r="H196" s="641" t="s">
        <v>303</v>
      </c>
      <c r="I196" s="326"/>
      <c r="J196" s="326"/>
      <c r="K196" s="327"/>
      <c r="L196" s="438" t="s">
        <v>303</v>
      </c>
      <c r="M196" s="326"/>
      <c r="N196" s="327"/>
      <c r="O196" s="519" t="s">
        <v>303</v>
      </c>
      <c r="P196" s="326"/>
      <c r="Q196" s="327"/>
      <c r="R196" s="527"/>
      <c r="S196" s="326"/>
      <c r="T196" s="327"/>
      <c r="U196" s="497"/>
      <c r="V196" s="326"/>
      <c r="W196" s="327"/>
      <c r="X196" s="66"/>
      <c r="Y196" s="67"/>
      <c r="Z196" s="66"/>
      <c r="AA196" s="67"/>
      <c r="AB196" s="66"/>
      <c r="AC196" s="67"/>
      <c r="AD196" s="66"/>
      <c r="AE196" s="67"/>
      <c r="AF196" s="66"/>
      <c r="AG196" s="67"/>
      <c r="AH196" s="66"/>
      <c r="AI196" s="67"/>
      <c r="AJ196" s="50"/>
      <c r="AK196" s="69"/>
      <c r="AL196" s="50"/>
      <c r="AM196" s="69"/>
      <c r="AN196" s="50"/>
      <c r="AO196" s="69"/>
      <c r="AP196" s="50"/>
      <c r="AQ196" s="69"/>
      <c r="AR196" s="50"/>
      <c r="AS196" s="642" t="s">
        <v>303</v>
      </c>
      <c r="AT196" s="326"/>
      <c r="AU196" s="326"/>
      <c r="AV196" s="326"/>
      <c r="AW196" s="326"/>
      <c r="AX196" s="326"/>
      <c r="AY196" s="327"/>
      <c r="AZ196" s="70"/>
      <c r="BA196" s="70"/>
      <c r="BB196" s="643" t="s">
        <v>334</v>
      </c>
      <c r="BC196" s="327"/>
      <c r="BD196" s="645" t="s">
        <v>303</v>
      </c>
      <c r="BE196" s="326"/>
      <c r="BF196" s="327"/>
      <c r="BG196" s="646" t="s">
        <v>303</v>
      </c>
      <c r="BH196" s="326"/>
      <c r="BI196" s="326"/>
      <c r="BJ196" s="327"/>
      <c r="BK196" s="647"/>
      <c r="BL196" s="326"/>
      <c r="BM196" s="327"/>
      <c r="BN196" s="71"/>
      <c r="BO196" s="71"/>
      <c r="BP196" s="646"/>
      <c r="BQ196" s="326"/>
      <c r="BR196" s="327"/>
      <c r="BS196" s="645" t="s">
        <v>303</v>
      </c>
      <c r="BT196" s="326"/>
      <c r="BU196" s="327"/>
    </row>
    <row r="197" spans="1:73" ht="30" customHeight="1" x14ac:dyDescent="0.25">
      <c r="A197" s="65">
        <f t="shared" si="0"/>
        <v>183</v>
      </c>
      <c r="B197" s="639" t="s">
        <v>334</v>
      </c>
      <c r="C197" s="327"/>
      <c r="D197" s="640" t="s">
        <v>303</v>
      </c>
      <c r="E197" s="326"/>
      <c r="F197" s="326"/>
      <c r="G197" s="327"/>
      <c r="H197" s="641" t="s">
        <v>303</v>
      </c>
      <c r="I197" s="326"/>
      <c r="J197" s="326"/>
      <c r="K197" s="327"/>
      <c r="L197" s="438" t="s">
        <v>303</v>
      </c>
      <c r="M197" s="326"/>
      <c r="N197" s="327"/>
      <c r="O197" s="519" t="s">
        <v>303</v>
      </c>
      <c r="P197" s="326"/>
      <c r="Q197" s="327"/>
      <c r="R197" s="527"/>
      <c r="S197" s="326"/>
      <c r="T197" s="327"/>
      <c r="U197" s="497"/>
      <c r="V197" s="326"/>
      <c r="W197" s="327"/>
      <c r="X197" s="66"/>
      <c r="Y197" s="67"/>
      <c r="Z197" s="66"/>
      <c r="AA197" s="67"/>
      <c r="AB197" s="66"/>
      <c r="AC197" s="67"/>
      <c r="AD197" s="66"/>
      <c r="AE197" s="67"/>
      <c r="AF197" s="66"/>
      <c r="AG197" s="67"/>
      <c r="AH197" s="66"/>
      <c r="AI197" s="67"/>
      <c r="AJ197" s="50"/>
      <c r="AK197" s="69"/>
      <c r="AL197" s="50"/>
      <c r="AM197" s="69"/>
      <c r="AN197" s="50"/>
      <c r="AO197" s="69"/>
      <c r="AP197" s="50"/>
      <c r="AQ197" s="69"/>
      <c r="AR197" s="50"/>
      <c r="AS197" s="642" t="s">
        <v>303</v>
      </c>
      <c r="AT197" s="326"/>
      <c r="AU197" s="326"/>
      <c r="AV197" s="326"/>
      <c r="AW197" s="326"/>
      <c r="AX197" s="326"/>
      <c r="AY197" s="327"/>
      <c r="AZ197" s="72"/>
      <c r="BA197" s="72"/>
      <c r="BB197" s="643" t="s">
        <v>334</v>
      </c>
      <c r="BC197" s="327"/>
      <c r="BD197" s="648" t="s">
        <v>303</v>
      </c>
      <c r="BE197" s="344"/>
      <c r="BF197" s="345"/>
      <c r="BG197" s="649" t="s">
        <v>303</v>
      </c>
      <c r="BH197" s="344"/>
      <c r="BI197" s="344"/>
      <c r="BJ197" s="345"/>
      <c r="BK197" s="650"/>
      <c r="BL197" s="344"/>
      <c r="BM197" s="345"/>
      <c r="BN197" s="73"/>
      <c r="BO197" s="73"/>
      <c r="BP197" s="649"/>
      <c r="BQ197" s="344"/>
      <c r="BR197" s="345"/>
      <c r="BS197" s="648" t="s">
        <v>303</v>
      </c>
      <c r="BT197" s="344"/>
      <c r="BU197" s="345"/>
    </row>
    <row r="198" spans="1:73" ht="30" customHeight="1" x14ac:dyDescent="0.25">
      <c r="A198" s="65">
        <f t="shared" si="0"/>
        <v>184</v>
      </c>
      <c r="B198" s="639" t="s">
        <v>334</v>
      </c>
      <c r="C198" s="327"/>
      <c r="D198" s="640" t="s">
        <v>303</v>
      </c>
      <c r="E198" s="326"/>
      <c r="F198" s="326"/>
      <c r="G198" s="327"/>
      <c r="H198" s="641" t="s">
        <v>303</v>
      </c>
      <c r="I198" s="326"/>
      <c r="J198" s="326"/>
      <c r="K198" s="327"/>
      <c r="L198" s="438" t="s">
        <v>303</v>
      </c>
      <c r="M198" s="326"/>
      <c r="N198" s="327"/>
      <c r="O198" s="519" t="s">
        <v>303</v>
      </c>
      <c r="P198" s="326"/>
      <c r="Q198" s="327"/>
      <c r="R198" s="527"/>
      <c r="S198" s="326"/>
      <c r="T198" s="327"/>
      <c r="U198" s="497"/>
      <c r="V198" s="326"/>
      <c r="W198" s="327"/>
      <c r="X198" s="66"/>
      <c r="Y198" s="67"/>
      <c r="Z198" s="66"/>
      <c r="AA198" s="67"/>
      <c r="AB198" s="66"/>
      <c r="AC198" s="67"/>
      <c r="AD198" s="66"/>
      <c r="AE198" s="67"/>
      <c r="AF198" s="66"/>
      <c r="AG198" s="67"/>
      <c r="AH198" s="66"/>
      <c r="AI198" s="67"/>
      <c r="AJ198" s="50"/>
      <c r="AK198" s="69"/>
      <c r="AL198" s="50"/>
      <c r="AM198" s="69"/>
      <c r="AN198" s="50"/>
      <c r="AO198" s="69"/>
      <c r="AP198" s="50"/>
      <c r="AQ198" s="69"/>
      <c r="AR198" s="50"/>
      <c r="AS198" s="642" t="s">
        <v>303</v>
      </c>
      <c r="AT198" s="326"/>
      <c r="AU198" s="326"/>
      <c r="AV198" s="326"/>
      <c r="AW198" s="326"/>
      <c r="AX198" s="326"/>
      <c r="AY198" s="327"/>
      <c r="AZ198" s="70"/>
      <c r="BA198" s="70"/>
      <c r="BB198" s="643" t="s">
        <v>334</v>
      </c>
      <c r="BC198" s="327"/>
      <c r="BD198" s="645" t="s">
        <v>303</v>
      </c>
      <c r="BE198" s="326"/>
      <c r="BF198" s="327"/>
      <c r="BG198" s="646" t="s">
        <v>303</v>
      </c>
      <c r="BH198" s="326"/>
      <c r="BI198" s="326"/>
      <c r="BJ198" s="327"/>
      <c r="BK198" s="647"/>
      <c r="BL198" s="326"/>
      <c r="BM198" s="327"/>
      <c r="BN198" s="71"/>
      <c r="BO198" s="71"/>
      <c r="BP198" s="646"/>
      <c r="BQ198" s="326"/>
      <c r="BR198" s="327"/>
      <c r="BS198" s="645" t="s">
        <v>303</v>
      </c>
      <c r="BT198" s="326"/>
      <c r="BU198" s="327"/>
    </row>
    <row r="199" spans="1:73" ht="30" customHeight="1" x14ac:dyDescent="0.25">
      <c r="A199" s="65">
        <f t="shared" si="0"/>
        <v>185</v>
      </c>
      <c r="B199" s="639" t="s">
        <v>334</v>
      </c>
      <c r="C199" s="327"/>
      <c r="D199" s="640" t="s">
        <v>303</v>
      </c>
      <c r="E199" s="326"/>
      <c r="F199" s="326"/>
      <c r="G199" s="327"/>
      <c r="H199" s="641" t="s">
        <v>303</v>
      </c>
      <c r="I199" s="326"/>
      <c r="J199" s="326"/>
      <c r="K199" s="327"/>
      <c r="L199" s="438" t="s">
        <v>303</v>
      </c>
      <c r="M199" s="326"/>
      <c r="N199" s="327"/>
      <c r="O199" s="519" t="s">
        <v>303</v>
      </c>
      <c r="P199" s="326"/>
      <c r="Q199" s="327"/>
      <c r="R199" s="527"/>
      <c r="S199" s="326"/>
      <c r="T199" s="327"/>
      <c r="U199" s="497"/>
      <c r="V199" s="326"/>
      <c r="W199" s="327"/>
      <c r="X199" s="66"/>
      <c r="Y199" s="67"/>
      <c r="Z199" s="66"/>
      <c r="AA199" s="67"/>
      <c r="AB199" s="66"/>
      <c r="AC199" s="67"/>
      <c r="AD199" s="66"/>
      <c r="AE199" s="67"/>
      <c r="AF199" s="66"/>
      <c r="AG199" s="67"/>
      <c r="AH199" s="66"/>
      <c r="AI199" s="67"/>
      <c r="AJ199" s="50"/>
      <c r="AK199" s="69"/>
      <c r="AL199" s="50"/>
      <c r="AM199" s="69"/>
      <c r="AN199" s="50"/>
      <c r="AO199" s="69"/>
      <c r="AP199" s="50"/>
      <c r="AQ199" s="69"/>
      <c r="AR199" s="50"/>
      <c r="AS199" s="642" t="s">
        <v>303</v>
      </c>
      <c r="AT199" s="326"/>
      <c r="AU199" s="326"/>
      <c r="AV199" s="326"/>
      <c r="AW199" s="326"/>
      <c r="AX199" s="326"/>
      <c r="AY199" s="327"/>
      <c r="AZ199" s="70"/>
      <c r="BA199" s="70"/>
      <c r="BB199" s="643" t="s">
        <v>334</v>
      </c>
      <c r="BC199" s="327"/>
      <c r="BD199" s="645" t="s">
        <v>303</v>
      </c>
      <c r="BE199" s="326"/>
      <c r="BF199" s="327"/>
      <c r="BG199" s="646" t="s">
        <v>303</v>
      </c>
      <c r="BH199" s="326"/>
      <c r="BI199" s="326"/>
      <c r="BJ199" s="327"/>
      <c r="BK199" s="647"/>
      <c r="BL199" s="326"/>
      <c r="BM199" s="327"/>
      <c r="BN199" s="71"/>
      <c r="BO199" s="71"/>
      <c r="BP199" s="646"/>
      <c r="BQ199" s="326"/>
      <c r="BR199" s="327"/>
      <c r="BS199" s="645" t="s">
        <v>303</v>
      </c>
      <c r="BT199" s="326"/>
      <c r="BU199" s="327"/>
    </row>
    <row r="200" spans="1:73" ht="30" customHeight="1" x14ac:dyDescent="0.25">
      <c r="A200" s="65">
        <f t="shared" si="0"/>
        <v>186</v>
      </c>
      <c r="B200" s="639" t="s">
        <v>334</v>
      </c>
      <c r="C200" s="327"/>
      <c r="D200" s="640" t="s">
        <v>303</v>
      </c>
      <c r="E200" s="326"/>
      <c r="F200" s="326"/>
      <c r="G200" s="327"/>
      <c r="H200" s="641" t="s">
        <v>303</v>
      </c>
      <c r="I200" s="326"/>
      <c r="J200" s="326"/>
      <c r="K200" s="327"/>
      <c r="L200" s="438" t="s">
        <v>303</v>
      </c>
      <c r="M200" s="326"/>
      <c r="N200" s="327"/>
      <c r="O200" s="519" t="s">
        <v>303</v>
      </c>
      <c r="P200" s="326"/>
      <c r="Q200" s="327"/>
      <c r="R200" s="527"/>
      <c r="S200" s="326"/>
      <c r="T200" s="327"/>
      <c r="U200" s="497"/>
      <c r="V200" s="326"/>
      <c r="W200" s="327"/>
      <c r="X200" s="66"/>
      <c r="Y200" s="67"/>
      <c r="Z200" s="66"/>
      <c r="AA200" s="67"/>
      <c r="AB200" s="66"/>
      <c r="AC200" s="67"/>
      <c r="AD200" s="66"/>
      <c r="AE200" s="67"/>
      <c r="AF200" s="66"/>
      <c r="AG200" s="67"/>
      <c r="AH200" s="66"/>
      <c r="AI200" s="67"/>
      <c r="AJ200" s="50"/>
      <c r="AK200" s="69"/>
      <c r="AL200" s="50"/>
      <c r="AM200" s="69"/>
      <c r="AN200" s="50"/>
      <c r="AO200" s="69"/>
      <c r="AP200" s="50"/>
      <c r="AQ200" s="69"/>
      <c r="AR200" s="50"/>
      <c r="AS200" s="642" t="s">
        <v>303</v>
      </c>
      <c r="AT200" s="326"/>
      <c r="AU200" s="326"/>
      <c r="AV200" s="326"/>
      <c r="AW200" s="326"/>
      <c r="AX200" s="326"/>
      <c r="AY200" s="327"/>
      <c r="AZ200" s="70"/>
      <c r="BA200" s="70"/>
      <c r="BB200" s="643" t="s">
        <v>334</v>
      </c>
      <c r="BC200" s="327"/>
      <c r="BD200" s="645" t="s">
        <v>303</v>
      </c>
      <c r="BE200" s="326"/>
      <c r="BF200" s="327"/>
      <c r="BG200" s="646" t="s">
        <v>303</v>
      </c>
      <c r="BH200" s="326"/>
      <c r="BI200" s="326"/>
      <c r="BJ200" s="327"/>
      <c r="BK200" s="647"/>
      <c r="BL200" s="326"/>
      <c r="BM200" s="327"/>
      <c r="BN200" s="71"/>
      <c r="BO200" s="71"/>
      <c r="BP200" s="646"/>
      <c r="BQ200" s="326"/>
      <c r="BR200" s="327"/>
      <c r="BS200" s="645" t="s">
        <v>303</v>
      </c>
      <c r="BT200" s="326"/>
      <c r="BU200" s="327"/>
    </row>
    <row r="201" spans="1:73" ht="30" customHeight="1" x14ac:dyDescent="0.25">
      <c r="A201" s="65">
        <f t="shared" si="0"/>
        <v>187</v>
      </c>
      <c r="B201" s="639" t="s">
        <v>334</v>
      </c>
      <c r="C201" s="327"/>
      <c r="D201" s="640" t="s">
        <v>303</v>
      </c>
      <c r="E201" s="326"/>
      <c r="F201" s="326"/>
      <c r="G201" s="327"/>
      <c r="H201" s="641" t="s">
        <v>303</v>
      </c>
      <c r="I201" s="326"/>
      <c r="J201" s="326"/>
      <c r="K201" s="327"/>
      <c r="L201" s="438" t="s">
        <v>303</v>
      </c>
      <c r="M201" s="326"/>
      <c r="N201" s="327"/>
      <c r="O201" s="519" t="s">
        <v>303</v>
      </c>
      <c r="P201" s="326"/>
      <c r="Q201" s="327"/>
      <c r="R201" s="527"/>
      <c r="S201" s="326"/>
      <c r="T201" s="327"/>
      <c r="U201" s="497"/>
      <c r="V201" s="326"/>
      <c r="W201" s="327"/>
      <c r="X201" s="66"/>
      <c r="Y201" s="67"/>
      <c r="Z201" s="66"/>
      <c r="AA201" s="67"/>
      <c r="AB201" s="66"/>
      <c r="AC201" s="67"/>
      <c r="AD201" s="66"/>
      <c r="AE201" s="67"/>
      <c r="AF201" s="66"/>
      <c r="AG201" s="67"/>
      <c r="AH201" s="66"/>
      <c r="AI201" s="67"/>
      <c r="AJ201" s="50"/>
      <c r="AK201" s="69"/>
      <c r="AL201" s="50"/>
      <c r="AM201" s="69"/>
      <c r="AN201" s="50"/>
      <c r="AO201" s="69"/>
      <c r="AP201" s="50"/>
      <c r="AQ201" s="69"/>
      <c r="AR201" s="50"/>
      <c r="AS201" s="642" t="s">
        <v>303</v>
      </c>
      <c r="AT201" s="326"/>
      <c r="AU201" s="326"/>
      <c r="AV201" s="326"/>
      <c r="AW201" s="326"/>
      <c r="AX201" s="326"/>
      <c r="AY201" s="327"/>
      <c r="AZ201" s="70"/>
      <c r="BA201" s="70"/>
      <c r="BB201" s="643" t="s">
        <v>334</v>
      </c>
      <c r="BC201" s="327"/>
      <c r="BD201" s="645" t="s">
        <v>303</v>
      </c>
      <c r="BE201" s="326"/>
      <c r="BF201" s="327"/>
      <c r="BG201" s="646" t="s">
        <v>303</v>
      </c>
      <c r="BH201" s="326"/>
      <c r="BI201" s="326"/>
      <c r="BJ201" s="327"/>
      <c r="BK201" s="647"/>
      <c r="BL201" s="326"/>
      <c r="BM201" s="327"/>
      <c r="BN201" s="71"/>
      <c r="BO201" s="71"/>
      <c r="BP201" s="646"/>
      <c r="BQ201" s="326"/>
      <c r="BR201" s="327"/>
      <c r="BS201" s="645" t="s">
        <v>303</v>
      </c>
      <c r="BT201" s="326"/>
      <c r="BU201" s="327"/>
    </row>
    <row r="202" spans="1:73" ht="30" customHeight="1" x14ac:dyDescent="0.25">
      <c r="A202" s="65">
        <f t="shared" si="0"/>
        <v>188</v>
      </c>
      <c r="B202" s="639" t="s">
        <v>334</v>
      </c>
      <c r="C202" s="327"/>
      <c r="D202" s="640" t="s">
        <v>303</v>
      </c>
      <c r="E202" s="326"/>
      <c r="F202" s="326"/>
      <c r="G202" s="327"/>
      <c r="H202" s="641" t="s">
        <v>303</v>
      </c>
      <c r="I202" s="326"/>
      <c r="J202" s="326"/>
      <c r="K202" s="327"/>
      <c r="L202" s="438" t="s">
        <v>303</v>
      </c>
      <c r="M202" s="326"/>
      <c r="N202" s="327"/>
      <c r="O202" s="519" t="s">
        <v>303</v>
      </c>
      <c r="P202" s="326"/>
      <c r="Q202" s="327"/>
      <c r="R202" s="527"/>
      <c r="S202" s="326"/>
      <c r="T202" s="327"/>
      <c r="U202" s="497"/>
      <c r="V202" s="326"/>
      <c r="W202" s="327"/>
      <c r="X202" s="66"/>
      <c r="Y202" s="67"/>
      <c r="Z202" s="66"/>
      <c r="AA202" s="67"/>
      <c r="AB202" s="66"/>
      <c r="AC202" s="67"/>
      <c r="AD202" s="66"/>
      <c r="AE202" s="67"/>
      <c r="AF202" s="66"/>
      <c r="AG202" s="67"/>
      <c r="AH202" s="66"/>
      <c r="AI202" s="67"/>
      <c r="AJ202" s="50"/>
      <c r="AK202" s="69"/>
      <c r="AL202" s="50"/>
      <c r="AM202" s="69"/>
      <c r="AN202" s="50"/>
      <c r="AO202" s="69"/>
      <c r="AP202" s="50"/>
      <c r="AQ202" s="69"/>
      <c r="AR202" s="50"/>
      <c r="AS202" s="642" t="s">
        <v>303</v>
      </c>
      <c r="AT202" s="326"/>
      <c r="AU202" s="326"/>
      <c r="AV202" s="326"/>
      <c r="AW202" s="326"/>
      <c r="AX202" s="326"/>
      <c r="AY202" s="327"/>
      <c r="AZ202" s="70"/>
      <c r="BA202" s="70"/>
      <c r="BB202" s="643" t="s">
        <v>334</v>
      </c>
      <c r="BC202" s="327"/>
      <c r="BD202" s="645" t="s">
        <v>303</v>
      </c>
      <c r="BE202" s="326"/>
      <c r="BF202" s="327"/>
      <c r="BG202" s="646" t="s">
        <v>303</v>
      </c>
      <c r="BH202" s="326"/>
      <c r="BI202" s="326"/>
      <c r="BJ202" s="327"/>
      <c r="BK202" s="647"/>
      <c r="BL202" s="326"/>
      <c r="BM202" s="327"/>
      <c r="BN202" s="71"/>
      <c r="BO202" s="71"/>
      <c r="BP202" s="646"/>
      <c r="BQ202" s="326"/>
      <c r="BR202" s="327"/>
      <c r="BS202" s="645" t="s">
        <v>303</v>
      </c>
      <c r="BT202" s="326"/>
      <c r="BU202" s="327"/>
    </row>
    <row r="203" spans="1:73" ht="30" customHeight="1" x14ac:dyDescent="0.25">
      <c r="A203" s="65">
        <f t="shared" si="0"/>
        <v>189</v>
      </c>
      <c r="B203" s="639" t="s">
        <v>334</v>
      </c>
      <c r="C203" s="327"/>
      <c r="D203" s="640" t="s">
        <v>303</v>
      </c>
      <c r="E203" s="326"/>
      <c r="F203" s="326"/>
      <c r="G203" s="327"/>
      <c r="H203" s="641" t="s">
        <v>303</v>
      </c>
      <c r="I203" s="326"/>
      <c r="J203" s="326"/>
      <c r="K203" s="327"/>
      <c r="L203" s="438" t="s">
        <v>303</v>
      </c>
      <c r="M203" s="326"/>
      <c r="N203" s="327"/>
      <c r="O203" s="519" t="s">
        <v>303</v>
      </c>
      <c r="P203" s="326"/>
      <c r="Q203" s="327"/>
      <c r="R203" s="527"/>
      <c r="S203" s="326"/>
      <c r="T203" s="327"/>
      <c r="U203" s="497"/>
      <c r="V203" s="326"/>
      <c r="W203" s="327"/>
      <c r="X203" s="66"/>
      <c r="Y203" s="67"/>
      <c r="Z203" s="66"/>
      <c r="AA203" s="67"/>
      <c r="AB203" s="66"/>
      <c r="AC203" s="67"/>
      <c r="AD203" s="66"/>
      <c r="AE203" s="67"/>
      <c r="AF203" s="66"/>
      <c r="AG203" s="67"/>
      <c r="AH203" s="66"/>
      <c r="AI203" s="67"/>
      <c r="AJ203" s="50"/>
      <c r="AK203" s="69"/>
      <c r="AL203" s="50"/>
      <c r="AM203" s="69"/>
      <c r="AN203" s="50"/>
      <c r="AO203" s="69"/>
      <c r="AP203" s="50"/>
      <c r="AQ203" s="69"/>
      <c r="AR203" s="50"/>
      <c r="AS203" s="642" t="s">
        <v>303</v>
      </c>
      <c r="AT203" s="326"/>
      <c r="AU203" s="326"/>
      <c r="AV203" s="326"/>
      <c r="AW203" s="326"/>
      <c r="AX203" s="326"/>
      <c r="AY203" s="327"/>
      <c r="AZ203" s="70"/>
      <c r="BA203" s="70"/>
      <c r="BB203" s="643" t="s">
        <v>334</v>
      </c>
      <c r="BC203" s="327"/>
      <c r="BD203" s="645" t="s">
        <v>303</v>
      </c>
      <c r="BE203" s="326"/>
      <c r="BF203" s="327"/>
      <c r="BG203" s="646" t="s">
        <v>303</v>
      </c>
      <c r="BH203" s="326"/>
      <c r="BI203" s="326"/>
      <c r="BJ203" s="327"/>
      <c r="BK203" s="647"/>
      <c r="BL203" s="326"/>
      <c r="BM203" s="327"/>
      <c r="BN203" s="71"/>
      <c r="BO203" s="71"/>
      <c r="BP203" s="646"/>
      <c r="BQ203" s="326"/>
      <c r="BR203" s="327"/>
      <c r="BS203" s="645" t="s">
        <v>303</v>
      </c>
      <c r="BT203" s="326"/>
      <c r="BU203" s="327"/>
    </row>
    <row r="204" spans="1:73" ht="30" customHeight="1" x14ac:dyDescent="0.25">
      <c r="A204" s="65">
        <f t="shared" si="0"/>
        <v>190</v>
      </c>
      <c r="B204" s="639" t="s">
        <v>334</v>
      </c>
      <c r="C204" s="327"/>
      <c r="D204" s="640" t="s">
        <v>303</v>
      </c>
      <c r="E204" s="326"/>
      <c r="F204" s="326"/>
      <c r="G204" s="327"/>
      <c r="H204" s="641" t="s">
        <v>303</v>
      </c>
      <c r="I204" s="326"/>
      <c r="J204" s="326"/>
      <c r="K204" s="327"/>
      <c r="L204" s="438" t="s">
        <v>303</v>
      </c>
      <c r="M204" s="326"/>
      <c r="N204" s="327"/>
      <c r="O204" s="519" t="s">
        <v>303</v>
      </c>
      <c r="P204" s="326"/>
      <c r="Q204" s="327"/>
      <c r="R204" s="527"/>
      <c r="S204" s="326"/>
      <c r="T204" s="327"/>
      <c r="U204" s="497"/>
      <c r="V204" s="326"/>
      <c r="W204" s="327"/>
      <c r="X204" s="66"/>
      <c r="Y204" s="67"/>
      <c r="Z204" s="66"/>
      <c r="AA204" s="67"/>
      <c r="AB204" s="66"/>
      <c r="AC204" s="67"/>
      <c r="AD204" s="66"/>
      <c r="AE204" s="67"/>
      <c r="AF204" s="66"/>
      <c r="AG204" s="67"/>
      <c r="AH204" s="66"/>
      <c r="AI204" s="67"/>
      <c r="AJ204" s="50"/>
      <c r="AK204" s="69"/>
      <c r="AL204" s="50"/>
      <c r="AM204" s="69"/>
      <c r="AN204" s="50"/>
      <c r="AO204" s="69"/>
      <c r="AP204" s="50"/>
      <c r="AQ204" s="69"/>
      <c r="AR204" s="50"/>
      <c r="AS204" s="642" t="s">
        <v>303</v>
      </c>
      <c r="AT204" s="326"/>
      <c r="AU204" s="326"/>
      <c r="AV204" s="326"/>
      <c r="AW204" s="326"/>
      <c r="AX204" s="326"/>
      <c r="AY204" s="327"/>
      <c r="AZ204" s="70"/>
      <c r="BA204" s="70"/>
      <c r="BB204" s="644" t="s">
        <v>334</v>
      </c>
      <c r="BC204" s="327"/>
      <c r="BD204" s="645" t="s">
        <v>303</v>
      </c>
      <c r="BE204" s="326"/>
      <c r="BF204" s="327"/>
      <c r="BG204" s="646" t="s">
        <v>303</v>
      </c>
      <c r="BH204" s="326"/>
      <c r="BI204" s="326"/>
      <c r="BJ204" s="327"/>
      <c r="BK204" s="647"/>
      <c r="BL204" s="326"/>
      <c r="BM204" s="327"/>
      <c r="BN204" s="71"/>
      <c r="BO204" s="71"/>
      <c r="BP204" s="646"/>
      <c r="BQ204" s="326"/>
      <c r="BR204" s="327"/>
      <c r="BS204" s="645" t="s">
        <v>303</v>
      </c>
      <c r="BT204" s="326"/>
      <c r="BU204" s="327"/>
    </row>
    <row r="205" spans="1:73" ht="30" customHeight="1" x14ac:dyDescent="0.25">
      <c r="A205" s="65">
        <f t="shared" si="0"/>
        <v>191</v>
      </c>
      <c r="B205" s="639" t="s">
        <v>334</v>
      </c>
      <c r="C205" s="327"/>
      <c r="D205" s="640" t="s">
        <v>303</v>
      </c>
      <c r="E205" s="326"/>
      <c r="F205" s="326"/>
      <c r="G205" s="327"/>
      <c r="H205" s="641" t="s">
        <v>303</v>
      </c>
      <c r="I205" s="326"/>
      <c r="J205" s="326"/>
      <c r="K205" s="327"/>
      <c r="L205" s="438" t="s">
        <v>303</v>
      </c>
      <c r="M205" s="326"/>
      <c r="N205" s="327"/>
      <c r="O205" s="519" t="s">
        <v>303</v>
      </c>
      <c r="P205" s="326"/>
      <c r="Q205" s="327"/>
      <c r="R205" s="527"/>
      <c r="S205" s="326"/>
      <c r="T205" s="327"/>
      <c r="U205" s="497"/>
      <c r="V205" s="326"/>
      <c r="W205" s="327"/>
      <c r="X205" s="66"/>
      <c r="Y205" s="67"/>
      <c r="Z205" s="66"/>
      <c r="AA205" s="67"/>
      <c r="AB205" s="66"/>
      <c r="AC205" s="67"/>
      <c r="AD205" s="66"/>
      <c r="AE205" s="67"/>
      <c r="AF205" s="66"/>
      <c r="AG205" s="67"/>
      <c r="AH205" s="66"/>
      <c r="AI205" s="67"/>
      <c r="AJ205" s="50"/>
      <c r="AK205" s="69"/>
      <c r="AL205" s="50"/>
      <c r="AM205" s="69"/>
      <c r="AN205" s="50"/>
      <c r="AO205" s="69"/>
      <c r="AP205" s="50"/>
      <c r="AQ205" s="69"/>
      <c r="AR205" s="50"/>
      <c r="AS205" s="642" t="s">
        <v>303</v>
      </c>
      <c r="AT205" s="326"/>
      <c r="AU205" s="326"/>
      <c r="AV205" s="326"/>
      <c r="AW205" s="326"/>
      <c r="AX205" s="326"/>
      <c r="AY205" s="327"/>
      <c r="AZ205" s="70"/>
      <c r="BA205" s="70"/>
      <c r="BB205" s="643" t="s">
        <v>334</v>
      </c>
      <c r="BC205" s="327"/>
      <c r="BD205" s="645" t="s">
        <v>303</v>
      </c>
      <c r="BE205" s="326"/>
      <c r="BF205" s="327"/>
      <c r="BG205" s="646" t="s">
        <v>303</v>
      </c>
      <c r="BH205" s="326"/>
      <c r="BI205" s="326"/>
      <c r="BJ205" s="327"/>
      <c r="BK205" s="647"/>
      <c r="BL205" s="326"/>
      <c r="BM205" s="327"/>
      <c r="BN205" s="71"/>
      <c r="BO205" s="71"/>
      <c r="BP205" s="646"/>
      <c r="BQ205" s="326"/>
      <c r="BR205" s="327"/>
      <c r="BS205" s="645" t="s">
        <v>303</v>
      </c>
      <c r="BT205" s="326"/>
      <c r="BU205" s="327"/>
    </row>
    <row r="206" spans="1:73" ht="30" customHeight="1" x14ac:dyDescent="0.25">
      <c r="A206" s="65">
        <f t="shared" si="0"/>
        <v>192</v>
      </c>
      <c r="B206" s="639" t="s">
        <v>334</v>
      </c>
      <c r="C206" s="327"/>
      <c r="D206" s="640" t="s">
        <v>303</v>
      </c>
      <c r="E206" s="326"/>
      <c r="F206" s="326"/>
      <c r="G206" s="327"/>
      <c r="H206" s="641" t="s">
        <v>303</v>
      </c>
      <c r="I206" s="326"/>
      <c r="J206" s="326"/>
      <c r="K206" s="327"/>
      <c r="L206" s="438" t="s">
        <v>303</v>
      </c>
      <c r="M206" s="326"/>
      <c r="N206" s="327"/>
      <c r="O206" s="519" t="s">
        <v>303</v>
      </c>
      <c r="P206" s="326"/>
      <c r="Q206" s="327"/>
      <c r="R206" s="527"/>
      <c r="S206" s="326"/>
      <c r="T206" s="327"/>
      <c r="U206" s="497"/>
      <c r="V206" s="326"/>
      <c r="W206" s="327"/>
      <c r="X206" s="66"/>
      <c r="Y206" s="67"/>
      <c r="Z206" s="66"/>
      <c r="AA206" s="67"/>
      <c r="AB206" s="66"/>
      <c r="AC206" s="67"/>
      <c r="AD206" s="66"/>
      <c r="AE206" s="67"/>
      <c r="AF206" s="66"/>
      <c r="AG206" s="67"/>
      <c r="AH206" s="66"/>
      <c r="AI206" s="67"/>
      <c r="AJ206" s="50"/>
      <c r="AK206" s="69"/>
      <c r="AL206" s="50"/>
      <c r="AM206" s="69"/>
      <c r="AN206" s="50"/>
      <c r="AO206" s="69"/>
      <c r="AP206" s="50"/>
      <c r="AQ206" s="69"/>
      <c r="AR206" s="50"/>
      <c r="AS206" s="642" t="s">
        <v>303</v>
      </c>
      <c r="AT206" s="326"/>
      <c r="AU206" s="326"/>
      <c r="AV206" s="326"/>
      <c r="AW206" s="326"/>
      <c r="AX206" s="326"/>
      <c r="AY206" s="327"/>
      <c r="AZ206" s="70"/>
      <c r="BA206" s="70"/>
      <c r="BB206" s="643" t="s">
        <v>334</v>
      </c>
      <c r="BC206" s="327"/>
      <c r="BD206" s="645" t="s">
        <v>303</v>
      </c>
      <c r="BE206" s="326"/>
      <c r="BF206" s="327"/>
      <c r="BG206" s="646" t="s">
        <v>303</v>
      </c>
      <c r="BH206" s="326"/>
      <c r="BI206" s="326"/>
      <c r="BJ206" s="327"/>
      <c r="BK206" s="647"/>
      <c r="BL206" s="326"/>
      <c r="BM206" s="327"/>
      <c r="BN206" s="71"/>
      <c r="BO206" s="71"/>
      <c r="BP206" s="646"/>
      <c r="BQ206" s="326"/>
      <c r="BR206" s="327"/>
      <c r="BS206" s="645" t="s">
        <v>303</v>
      </c>
      <c r="BT206" s="326"/>
      <c r="BU206" s="327"/>
    </row>
    <row r="207" spans="1:73" ht="30" customHeight="1" x14ac:dyDescent="0.25">
      <c r="A207" s="65">
        <f t="shared" si="0"/>
        <v>193</v>
      </c>
      <c r="B207" s="639" t="s">
        <v>334</v>
      </c>
      <c r="C207" s="327"/>
      <c r="D207" s="640" t="s">
        <v>303</v>
      </c>
      <c r="E207" s="326"/>
      <c r="F207" s="326"/>
      <c r="G207" s="327"/>
      <c r="H207" s="641" t="s">
        <v>303</v>
      </c>
      <c r="I207" s="326"/>
      <c r="J207" s="326"/>
      <c r="K207" s="327"/>
      <c r="L207" s="438" t="s">
        <v>303</v>
      </c>
      <c r="M207" s="326"/>
      <c r="N207" s="327"/>
      <c r="O207" s="519" t="s">
        <v>303</v>
      </c>
      <c r="P207" s="326"/>
      <c r="Q207" s="327"/>
      <c r="R207" s="527"/>
      <c r="S207" s="326"/>
      <c r="T207" s="327"/>
      <c r="U207" s="497"/>
      <c r="V207" s="326"/>
      <c r="W207" s="327"/>
      <c r="X207" s="66"/>
      <c r="Y207" s="67"/>
      <c r="Z207" s="66"/>
      <c r="AA207" s="67"/>
      <c r="AB207" s="66"/>
      <c r="AC207" s="67"/>
      <c r="AD207" s="66"/>
      <c r="AE207" s="67"/>
      <c r="AF207" s="66"/>
      <c r="AG207" s="67"/>
      <c r="AH207" s="66"/>
      <c r="AI207" s="67"/>
      <c r="AJ207" s="50"/>
      <c r="AK207" s="69"/>
      <c r="AL207" s="50"/>
      <c r="AM207" s="69"/>
      <c r="AN207" s="50"/>
      <c r="AO207" s="69"/>
      <c r="AP207" s="50"/>
      <c r="AQ207" s="69"/>
      <c r="AR207" s="50"/>
      <c r="AS207" s="642" t="s">
        <v>303</v>
      </c>
      <c r="AT207" s="326"/>
      <c r="AU207" s="326"/>
      <c r="AV207" s="326"/>
      <c r="AW207" s="326"/>
      <c r="AX207" s="326"/>
      <c r="AY207" s="327"/>
      <c r="AZ207" s="70"/>
      <c r="BA207" s="70"/>
      <c r="BB207" s="643" t="s">
        <v>334</v>
      </c>
      <c r="BC207" s="327"/>
      <c r="BD207" s="645" t="s">
        <v>303</v>
      </c>
      <c r="BE207" s="326"/>
      <c r="BF207" s="327"/>
      <c r="BG207" s="646" t="s">
        <v>303</v>
      </c>
      <c r="BH207" s="326"/>
      <c r="BI207" s="326"/>
      <c r="BJ207" s="327"/>
      <c r="BK207" s="647"/>
      <c r="BL207" s="326"/>
      <c r="BM207" s="327"/>
      <c r="BN207" s="71"/>
      <c r="BO207" s="71"/>
      <c r="BP207" s="646"/>
      <c r="BQ207" s="326"/>
      <c r="BR207" s="327"/>
      <c r="BS207" s="645" t="s">
        <v>303</v>
      </c>
      <c r="BT207" s="326"/>
      <c r="BU207" s="327"/>
    </row>
    <row r="208" spans="1:73" ht="30" customHeight="1" x14ac:dyDescent="0.25">
      <c r="A208" s="65">
        <f t="shared" si="0"/>
        <v>194</v>
      </c>
      <c r="B208" s="639" t="s">
        <v>334</v>
      </c>
      <c r="C208" s="327"/>
      <c r="D208" s="640" t="s">
        <v>303</v>
      </c>
      <c r="E208" s="326"/>
      <c r="F208" s="326"/>
      <c r="G208" s="327"/>
      <c r="H208" s="641" t="s">
        <v>303</v>
      </c>
      <c r="I208" s="326"/>
      <c r="J208" s="326"/>
      <c r="K208" s="327"/>
      <c r="L208" s="438" t="s">
        <v>303</v>
      </c>
      <c r="M208" s="326"/>
      <c r="N208" s="327"/>
      <c r="O208" s="519" t="s">
        <v>303</v>
      </c>
      <c r="P208" s="326"/>
      <c r="Q208" s="327"/>
      <c r="R208" s="527"/>
      <c r="S208" s="326"/>
      <c r="T208" s="327"/>
      <c r="U208" s="497"/>
      <c r="V208" s="326"/>
      <c r="W208" s="327"/>
      <c r="X208" s="66"/>
      <c r="Y208" s="67"/>
      <c r="Z208" s="66"/>
      <c r="AA208" s="67"/>
      <c r="AB208" s="66"/>
      <c r="AC208" s="67"/>
      <c r="AD208" s="66"/>
      <c r="AE208" s="67"/>
      <c r="AF208" s="66"/>
      <c r="AG208" s="67"/>
      <c r="AH208" s="66"/>
      <c r="AI208" s="67"/>
      <c r="AJ208" s="50"/>
      <c r="AK208" s="69"/>
      <c r="AL208" s="50"/>
      <c r="AM208" s="69"/>
      <c r="AN208" s="50"/>
      <c r="AO208" s="69"/>
      <c r="AP208" s="50"/>
      <c r="AQ208" s="69"/>
      <c r="AR208" s="50"/>
      <c r="AS208" s="642" t="s">
        <v>303</v>
      </c>
      <c r="AT208" s="326"/>
      <c r="AU208" s="326"/>
      <c r="AV208" s="326"/>
      <c r="AW208" s="326"/>
      <c r="AX208" s="326"/>
      <c r="AY208" s="327"/>
      <c r="AZ208" s="70"/>
      <c r="BA208" s="70"/>
      <c r="BB208" s="643" t="s">
        <v>334</v>
      </c>
      <c r="BC208" s="327"/>
      <c r="BD208" s="645" t="s">
        <v>303</v>
      </c>
      <c r="BE208" s="326"/>
      <c r="BF208" s="327"/>
      <c r="BG208" s="646" t="s">
        <v>303</v>
      </c>
      <c r="BH208" s="326"/>
      <c r="BI208" s="326"/>
      <c r="BJ208" s="327"/>
      <c r="BK208" s="647"/>
      <c r="BL208" s="326"/>
      <c r="BM208" s="327"/>
      <c r="BN208" s="71"/>
      <c r="BO208" s="71"/>
      <c r="BP208" s="646"/>
      <c r="BQ208" s="326"/>
      <c r="BR208" s="327"/>
      <c r="BS208" s="645" t="s">
        <v>303</v>
      </c>
      <c r="BT208" s="326"/>
      <c r="BU208" s="327"/>
    </row>
    <row r="209" spans="1:73" ht="30" customHeight="1" x14ac:dyDescent="0.25">
      <c r="A209" s="65">
        <f t="shared" si="0"/>
        <v>195</v>
      </c>
      <c r="B209" s="639" t="s">
        <v>334</v>
      </c>
      <c r="C209" s="327"/>
      <c r="D209" s="640" t="s">
        <v>303</v>
      </c>
      <c r="E209" s="326"/>
      <c r="F209" s="326"/>
      <c r="G209" s="327"/>
      <c r="H209" s="641" t="s">
        <v>303</v>
      </c>
      <c r="I209" s="326"/>
      <c r="J209" s="326"/>
      <c r="K209" s="327"/>
      <c r="L209" s="438" t="s">
        <v>303</v>
      </c>
      <c r="M209" s="326"/>
      <c r="N209" s="327"/>
      <c r="O209" s="519" t="s">
        <v>303</v>
      </c>
      <c r="P209" s="326"/>
      <c r="Q209" s="327"/>
      <c r="R209" s="527"/>
      <c r="S209" s="326"/>
      <c r="T209" s="327"/>
      <c r="U209" s="497"/>
      <c r="V209" s="326"/>
      <c r="W209" s="327"/>
      <c r="X209" s="66"/>
      <c r="Y209" s="67"/>
      <c r="Z209" s="66"/>
      <c r="AA209" s="67"/>
      <c r="AB209" s="66"/>
      <c r="AC209" s="67"/>
      <c r="AD209" s="66"/>
      <c r="AE209" s="67"/>
      <c r="AF209" s="66"/>
      <c r="AG209" s="67"/>
      <c r="AH209" s="66"/>
      <c r="AI209" s="67"/>
      <c r="AJ209" s="50"/>
      <c r="AK209" s="69"/>
      <c r="AL209" s="50"/>
      <c r="AM209" s="69"/>
      <c r="AN209" s="50"/>
      <c r="AO209" s="69"/>
      <c r="AP209" s="50"/>
      <c r="AQ209" s="69"/>
      <c r="AR209" s="50"/>
      <c r="AS209" s="642" t="s">
        <v>303</v>
      </c>
      <c r="AT209" s="326"/>
      <c r="AU209" s="326"/>
      <c r="AV209" s="326"/>
      <c r="AW209" s="326"/>
      <c r="AX209" s="326"/>
      <c r="AY209" s="327"/>
      <c r="AZ209" s="70"/>
      <c r="BA209" s="70"/>
      <c r="BB209" s="643" t="s">
        <v>334</v>
      </c>
      <c r="BC209" s="327"/>
      <c r="BD209" s="645" t="s">
        <v>303</v>
      </c>
      <c r="BE209" s="326"/>
      <c r="BF209" s="327"/>
      <c r="BG209" s="646" t="s">
        <v>303</v>
      </c>
      <c r="BH209" s="326"/>
      <c r="BI209" s="326"/>
      <c r="BJ209" s="327"/>
      <c r="BK209" s="647"/>
      <c r="BL209" s="326"/>
      <c r="BM209" s="327"/>
      <c r="BN209" s="71"/>
      <c r="BO209" s="71"/>
      <c r="BP209" s="646"/>
      <c r="BQ209" s="326"/>
      <c r="BR209" s="327"/>
      <c r="BS209" s="645" t="s">
        <v>303</v>
      </c>
      <c r="BT209" s="326"/>
      <c r="BU209" s="327"/>
    </row>
    <row r="210" spans="1:73" ht="30" customHeight="1" x14ac:dyDescent="0.25">
      <c r="A210" s="65">
        <f t="shared" si="0"/>
        <v>196</v>
      </c>
      <c r="B210" s="639" t="s">
        <v>334</v>
      </c>
      <c r="C210" s="327"/>
      <c r="D210" s="640" t="s">
        <v>303</v>
      </c>
      <c r="E210" s="326"/>
      <c r="F210" s="326"/>
      <c r="G210" s="327"/>
      <c r="H210" s="641" t="s">
        <v>303</v>
      </c>
      <c r="I210" s="326"/>
      <c r="J210" s="326"/>
      <c r="K210" s="327"/>
      <c r="L210" s="438" t="s">
        <v>303</v>
      </c>
      <c r="M210" s="326"/>
      <c r="N210" s="327"/>
      <c r="O210" s="519" t="s">
        <v>303</v>
      </c>
      <c r="P210" s="326"/>
      <c r="Q210" s="327"/>
      <c r="R210" s="527"/>
      <c r="S210" s="326"/>
      <c r="T210" s="327"/>
      <c r="U210" s="497"/>
      <c r="V210" s="326"/>
      <c r="W210" s="327"/>
      <c r="X210" s="66"/>
      <c r="Y210" s="67"/>
      <c r="Z210" s="66"/>
      <c r="AA210" s="67"/>
      <c r="AB210" s="66"/>
      <c r="AC210" s="67"/>
      <c r="AD210" s="66"/>
      <c r="AE210" s="67"/>
      <c r="AF210" s="66"/>
      <c r="AG210" s="67"/>
      <c r="AH210" s="66"/>
      <c r="AI210" s="67"/>
      <c r="AJ210" s="50"/>
      <c r="AK210" s="69"/>
      <c r="AL210" s="50"/>
      <c r="AM210" s="69"/>
      <c r="AN210" s="50"/>
      <c r="AO210" s="69"/>
      <c r="AP210" s="50"/>
      <c r="AQ210" s="69"/>
      <c r="AR210" s="50"/>
      <c r="AS210" s="642" t="s">
        <v>303</v>
      </c>
      <c r="AT210" s="326"/>
      <c r="AU210" s="326"/>
      <c r="AV210" s="326"/>
      <c r="AW210" s="326"/>
      <c r="AX210" s="326"/>
      <c r="AY210" s="327"/>
      <c r="AZ210" s="70"/>
      <c r="BA210" s="70"/>
      <c r="BB210" s="643" t="s">
        <v>334</v>
      </c>
      <c r="BC210" s="327"/>
      <c r="BD210" s="645" t="s">
        <v>303</v>
      </c>
      <c r="BE210" s="326"/>
      <c r="BF210" s="327"/>
      <c r="BG210" s="646" t="s">
        <v>303</v>
      </c>
      <c r="BH210" s="326"/>
      <c r="BI210" s="326"/>
      <c r="BJ210" s="327"/>
      <c r="BK210" s="647"/>
      <c r="BL210" s="326"/>
      <c r="BM210" s="327"/>
      <c r="BN210" s="71"/>
      <c r="BO210" s="71"/>
      <c r="BP210" s="646"/>
      <c r="BQ210" s="326"/>
      <c r="BR210" s="327"/>
      <c r="BS210" s="645" t="s">
        <v>303</v>
      </c>
      <c r="BT210" s="326"/>
      <c r="BU210" s="327"/>
    </row>
    <row r="211" spans="1:73" ht="30" customHeight="1" x14ac:dyDescent="0.25">
      <c r="A211" s="65">
        <f t="shared" si="0"/>
        <v>197</v>
      </c>
      <c r="B211" s="639" t="s">
        <v>334</v>
      </c>
      <c r="C211" s="327"/>
      <c r="D211" s="640" t="s">
        <v>303</v>
      </c>
      <c r="E211" s="326"/>
      <c r="F211" s="326"/>
      <c r="G211" s="327"/>
      <c r="H211" s="641" t="s">
        <v>303</v>
      </c>
      <c r="I211" s="326"/>
      <c r="J211" s="326"/>
      <c r="K211" s="327"/>
      <c r="L211" s="438" t="s">
        <v>303</v>
      </c>
      <c r="M211" s="326"/>
      <c r="N211" s="327"/>
      <c r="O211" s="519" t="s">
        <v>303</v>
      </c>
      <c r="P211" s="326"/>
      <c r="Q211" s="327"/>
      <c r="R211" s="527"/>
      <c r="S211" s="326"/>
      <c r="T211" s="327"/>
      <c r="U211" s="497"/>
      <c r="V211" s="326"/>
      <c r="W211" s="327"/>
      <c r="X211" s="66"/>
      <c r="Y211" s="67"/>
      <c r="Z211" s="66"/>
      <c r="AA211" s="67"/>
      <c r="AB211" s="66"/>
      <c r="AC211" s="67"/>
      <c r="AD211" s="66"/>
      <c r="AE211" s="67"/>
      <c r="AF211" s="66"/>
      <c r="AG211" s="67"/>
      <c r="AH211" s="66"/>
      <c r="AI211" s="67"/>
      <c r="AJ211" s="50"/>
      <c r="AK211" s="69"/>
      <c r="AL211" s="50"/>
      <c r="AM211" s="69"/>
      <c r="AN211" s="50"/>
      <c r="AO211" s="69"/>
      <c r="AP211" s="50"/>
      <c r="AQ211" s="69"/>
      <c r="AR211" s="50"/>
      <c r="AS211" s="642" t="s">
        <v>303</v>
      </c>
      <c r="AT211" s="326"/>
      <c r="AU211" s="326"/>
      <c r="AV211" s="326"/>
      <c r="AW211" s="326"/>
      <c r="AX211" s="326"/>
      <c r="AY211" s="327"/>
      <c r="AZ211" s="70"/>
      <c r="BA211" s="70"/>
      <c r="BB211" s="644" t="s">
        <v>334</v>
      </c>
      <c r="BC211" s="327"/>
      <c r="BD211" s="645" t="s">
        <v>303</v>
      </c>
      <c r="BE211" s="326"/>
      <c r="BF211" s="327"/>
      <c r="BG211" s="646" t="s">
        <v>303</v>
      </c>
      <c r="BH211" s="326"/>
      <c r="BI211" s="326"/>
      <c r="BJ211" s="327"/>
      <c r="BK211" s="647"/>
      <c r="BL211" s="326"/>
      <c r="BM211" s="327"/>
      <c r="BN211" s="71"/>
      <c r="BO211" s="71"/>
      <c r="BP211" s="646"/>
      <c r="BQ211" s="326"/>
      <c r="BR211" s="327"/>
      <c r="BS211" s="645" t="s">
        <v>303</v>
      </c>
      <c r="BT211" s="326"/>
      <c r="BU211" s="327"/>
    </row>
    <row r="212" spans="1:73" ht="30" customHeight="1" x14ac:dyDescent="0.25">
      <c r="A212" s="65">
        <f t="shared" si="0"/>
        <v>198</v>
      </c>
      <c r="B212" s="639" t="s">
        <v>334</v>
      </c>
      <c r="C212" s="327"/>
      <c r="D212" s="640" t="s">
        <v>303</v>
      </c>
      <c r="E212" s="326"/>
      <c r="F212" s="326"/>
      <c r="G212" s="327"/>
      <c r="H212" s="641" t="s">
        <v>303</v>
      </c>
      <c r="I212" s="326"/>
      <c r="J212" s="326"/>
      <c r="K212" s="327"/>
      <c r="L212" s="438" t="s">
        <v>303</v>
      </c>
      <c r="M212" s="326"/>
      <c r="N212" s="327"/>
      <c r="O212" s="519" t="s">
        <v>303</v>
      </c>
      <c r="P212" s="326"/>
      <c r="Q212" s="327"/>
      <c r="R212" s="527"/>
      <c r="S212" s="326"/>
      <c r="T212" s="327"/>
      <c r="U212" s="497"/>
      <c r="V212" s="326"/>
      <c r="W212" s="327"/>
      <c r="X212" s="66"/>
      <c r="Y212" s="67"/>
      <c r="Z212" s="66"/>
      <c r="AA212" s="67"/>
      <c r="AB212" s="66"/>
      <c r="AC212" s="67"/>
      <c r="AD212" s="66"/>
      <c r="AE212" s="67"/>
      <c r="AF212" s="66"/>
      <c r="AG212" s="67"/>
      <c r="AH212" s="66"/>
      <c r="AI212" s="67"/>
      <c r="AJ212" s="50"/>
      <c r="AK212" s="69"/>
      <c r="AL212" s="50"/>
      <c r="AM212" s="69"/>
      <c r="AN212" s="50"/>
      <c r="AO212" s="69"/>
      <c r="AP212" s="50"/>
      <c r="AQ212" s="69"/>
      <c r="AR212" s="50"/>
      <c r="AS212" s="642" t="s">
        <v>303</v>
      </c>
      <c r="AT212" s="326"/>
      <c r="AU212" s="326"/>
      <c r="AV212" s="326"/>
      <c r="AW212" s="326"/>
      <c r="AX212" s="326"/>
      <c r="AY212" s="327"/>
      <c r="AZ212" s="70"/>
      <c r="BA212" s="70"/>
      <c r="BB212" s="643" t="s">
        <v>334</v>
      </c>
      <c r="BC212" s="327"/>
      <c r="BD212" s="645" t="s">
        <v>303</v>
      </c>
      <c r="BE212" s="326"/>
      <c r="BF212" s="327"/>
      <c r="BG212" s="646" t="s">
        <v>303</v>
      </c>
      <c r="BH212" s="326"/>
      <c r="BI212" s="326"/>
      <c r="BJ212" s="327"/>
      <c r="BK212" s="647"/>
      <c r="BL212" s="326"/>
      <c r="BM212" s="327"/>
      <c r="BN212" s="71"/>
      <c r="BO212" s="71"/>
      <c r="BP212" s="646"/>
      <c r="BQ212" s="326"/>
      <c r="BR212" s="327"/>
      <c r="BS212" s="645" t="s">
        <v>303</v>
      </c>
      <c r="BT212" s="326"/>
      <c r="BU212" s="327"/>
    </row>
    <row r="213" spans="1:73" ht="30" customHeight="1" x14ac:dyDescent="0.25">
      <c r="A213" s="65">
        <f t="shared" si="0"/>
        <v>199</v>
      </c>
      <c r="B213" s="639" t="s">
        <v>334</v>
      </c>
      <c r="C213" s="327"/>
      <c r="D213" s="640" t="s">
        <v>303</v>
      </c>
      <c r="E213" s="326"/>
      <c r="F213" s="326"/>
      <c r="G213" s="327"/>
      <c r="H213" s="641" t="s">
        <v>303</v>
      </c>
      <c r="I213" s="326"/>
      <c r="J213" s="326"/>
      <c r="K213" s="327"/>
      <c r="L213" s="438" t="s">
        <v>303</v>
      </c>
      <c r="M213" s="326"/>
      <c r="N213" s="327"/>
      <c r="O213" s="519" t="s">
        <v>303</v>
      </c>
      <c r="P213" s="326"/>
      <c r="Q213" s="327"/>
      <c r="R213" s="527"/>
      <c r="S213" s="326"/>
      <c r="T213" s="327"/>
      <c r="U213" s="497"/>
      <c r="V213" s="326"/>
      <c r="W213" s="327"/>
      <c r="X213" s="66"/>
      <c r="Y213" s="67"/>
      <c r="Z213" s="66"/>
      <c r="AA213" s="67"/>
      <c r="AB213" s="66"/>
      <c r="AC213" s="67"/>
      <c r="AD213" s="66"/>
      <c r="AE213" s="67"/>
      <c r="AF213" s="66"/>
      <c r="AG213" s="67"/>
      <c r="AH213" s="66"/>
      <c r="AI213" s="67"/>
      <c r="AJ213" s="50"/>
      <c r="AK213" s="69"/>
      <c r="AL213" s="50"/>
      <c r="AM213" s="69"/>
      <c r="AN213" s="50"/>
      <c r="AO213" s="69"/>
      <c r="AP213" s="50"/>
      <c r="AQ213" s="69"/>
      <c r="AR213" s="50"/>
      <c r="AS213" s="642" t="s">
        <v>303</v>
      </c>
      <c r="AT213" s="326"/>
      <c r="AU213" s="326"/>
      <c r="AV213" s="326"/>
      <c r="AW213" s="326"/>
      <c r="AX213" s="326"/>
      <c r="AY213" s="327"/>
      <c r="AZ213" s="70"/>
      <c r="BA213" s="70"/>
      <c r="BB213" s="643" t="s">
        <v>334</v>
      </c>
      <c r="BC213" s="327"/>
      <c r="BD213" s="645" t="s">
        <v>303</v>
      </c>
      <c r="BE213" s="326"/>
      <c r="BF213" s="327"/>
      <c r="BG213" s="646" t="s">
        <v>303</v>
      </c>
      <c r="BH213" s="326"/>
      <c r="BI213" s="326"/>
      <c r="BJ213" s="327"/>
      <c r="BK213" s="647"/>
      <c r="BL213" s="326"/>
      <c r="BM213" s="327"/>
      <c r="BN213" s="71"/>
      <c r="BO213" s="71"/>
      <c r="BP213" s="646"/>
      <c r="BQ213" s="326"/>
      <c r="BR213" s="327"/>
      <c r="BS213" s="645" t="s">
        <v>303</v>
      </c>
      <c r="BT213" s="326"/>
      <c r="BU213" s="327"/>
    </row>
    <row r="214" spans="1:73" ht="30" customHeight="1" x14ac:dyDescent="0.25">
      <c r="A214" s="65">
        <f t="shared" si="0"/>
        <v>200</v>
      </c>
      <c r="B214" s="639" t="s">
        <v>334</v>
      </c>
      <c r="C214" s="327"/>
      <c r="D214" s="640" t="s">
        <v>303</v>
      </c>
      <c r="E214" s="326"/>
      <c r="F214" s="326"/>
      <c r="G214" s="327"/>
      <c r="H214" s="641" t="s">
        <v>303</v>
      </c>
      <c r="I214" s="326"/>
      <c r="J214" s="326"/>
      <c r="K214" s="327"/>
      <c r="L214" s="438" t="s">
        <v>303</v>
      </c>
      <c r="M214" s="326"/>
      <c r="N214" s="327"/>
      <c r="O214" s="519" t="s">
        <v>303</v>
      </c>
      <c r="P214" s="326"/>
      <c r="Q214" s="327"/>
      <c r="R214" s="527"/>
      <c r="S214" s="326"/>
      <c r="T214" s="327"/>
      <c r="U214" s="497"/>
      <c r="V214" s="326"/>
      <c r="W214" s="327"/>
      <c r="X214" s="66"/>
      <c r="Y214" s="67"/>
      <c r="Z214" s="66"/>
      <c r="AA214" s="67"/>
      <c r="AB214" s="66"/>
      <c r="AC214" s="67"/>
      <c r="AD214" s="66"/>
      <c r="AE214" s="67"/>
      <c r="AF214" s="66"/>
      <c r="AG214" s="67"/>
      <c r="AH214" s="66"/>
      <c r="AI214" s="67"/>
      <c r="AJ214" s="50"/>
      <c r="AK214" s="69"/>
      <c r="AL214" s="50"/>
      <c r="AM214" s="69"/>
      <c r="AN214" s="50"/>
      <c r="AO214" s="69"/>
      <c r="AP214" s="50"/>
      <c r="AQ214" s="69"/>
      <c r="AR214" s="50"/>
      <c r="AS214" s="642" t="s">
        <v>303</v>
      </c>
      <c r="AT214" s="326"/>
      <c r="AU214" s="326"/>
      <c r="AV214" s="326"/>
      <c r="AW214" s="326"/>
      <c r="AX214" s="326"/>
      <c r="AY214" s="327"/>
      <c r="AZ214" s="70"/>
      <c r="BA214" s="70"/>
      <c r="BB214" s="643" t="s">
        <v>334</v>
      </c>
      <c r="BC214" s="327"/>
      <c r="BD214" s="645" t="s">
        <v>303</v>
      </c>
      <c r="BE214" s="326"/>
      <c r="BF214" s="327"/>
      <c r="BG214" s="646" t="s">
        <v>303</v>
      </c>
      <c r="BH214" s="326"/>
      <c r="BI214" s="326"/>
      <c r="BJ214" s="327"/>
      <c r="BK214" s="647"/>
      <c r="BL214" s="326"/>
      <c r="BM214" s="327"/>
      <c r="BN214" s="71"/>
      <c r="BO214" s="71"/>
      <c r="BP214" s="646"/>
      <c r="BQ214" s="326"/>
      <c r="BR214" s="327"/>
      <c r="BS214" s="645" t="s">
        <v>303</v>
      </c>
      <c r="BT214" s="326"/>
      <c r="BU214" s="327"/>
    </row>
    <row r="215" spans="1:73" ht="30" customHeight="1" x14ac:dyDescent="0.25">
      <c r="A215" s="65">
        <f t="shared" si="0"/>
        <v>201</v>
      </c>
      <c r="B215" s="639" t="s">
        <v>334</v>
      </c>
      <c r="C215" s="327"/>
      <c r="D215" s="640" t="s">
        <v>303</v>
      </c>
      <c r="E215" s="326"/>
      <c r="F215" s="326"/>
      <c r="G215" s="327"/>
      <c r="H215" s="641" t="s">
        <v>303</v>
      </c>
      <c r="I215" s="326"/>
      <c r="J215" s="326"/>
      <c r="K215" s="327"/>
      <c r="L215" s="438" t="s">
        <v>303</v>
      </c>
      <c r="M215" s="326"/>
      <c r="N215" s="327"/>
      <c r="O215" s="519" t="s">
        <v>303</v>
      </c>
      <c r="P215" s="326"/>
      <c r="Q215" s="327"/>
      <c r="R215" s="527"/>
      <c r="S215" s="326"/>
      <c r="T215" s="327"/>
      <c r="U215" s="497"/>
      <c r="V215" s="326"/>
      <c r="W215" s="327"/>
      <c r="X215" s="66"/>
      <c r="Y215" s="67"/>
      <c r="Z215" s="66"/>
      <c r="AA215" s="67"/>
      <c r="AB215" s="66"/>
      <c r="AC215" s="67"/>
      <c r="AD215" s="66"/>
      <c r="AE215" s="67"/>
      <c r="AF215" s="66"/>
      <c r="AG215" s="67"/>
      <c r="AH215" s="66"/>
      <c r="AI215" s="67"/>
      <c r="AJ215" s="50"/>
      <c r="AK215" s="69"/>
      <c r="AL215" s="50"/>
      <c r="AM215" s="69"/>
      <c r="AN215" s="50"/>
      <c r="AO215" s="69"/>
      <c r="AP215" s="50"/>
      <c r="AQ215" s="69"/>
      <c r="AR215" s="50"/>
      <c r="AS215" s="642" t="s">
        <v>303</v>
      </c>
      <c r="AT215" s="326"/>
      <c r="AU215" s="326"/>
      <c r="AV215" s="326"/>
      <c r="AW215" s="326"/>
      <c r="AX215" s="326"/>
      <c r="AY215" s="327"/>
      <c r="AZ215" s="70"/>
      <c r="BA215" s="70"/>
      <c r="BB215" s="643" t="s">
        <v>334</v>
      </c>
      <c r="BC215" s="327"/>
      <c r="BD215" s="645" t="s">
        <v>303</v>
      </c>
      <c r="BE215" s="326"/>
      <c r="BF215" s="327"/>
      <c r="BG215" s="646" t="s">
        <v>303</v>
      </c>
      <c r="BH215" s="326"/>
      <c r="BI215" s="326"/>
      <c r="BJ215" s="327"/>
      <c r="BK215" s="647"/>
      <c r="BL215" s="326"/>
      <c r="BM215" s="327"/>
      <c r="BN215" s="71"/>
      <c r="BO215" s="71"/>
      <c r="BP215" s="646"/>
      <c r="BQ215" s="326"/>
      <c r="BR215" s="327"/>
      <c r="BS215" s="645" t="s">
        <v>303</v>
      </c>
      <c r="BT215" s="326"/>
      <c r="BU215" s="327"/>
    </row>
    <row r="216" spans="1:73" ht="30" customHeight="1" x14ac:dyDescent="0.25">
      <c r="A216" s="65">
        <f t="shared" si="0"/>
        <v>202</v>
      </c>
      <c r="B216" s="639" t="s">
        <v>334</v>
      </c>
      <c r="C216" s="327"/>
      <c r="D216" s="640" t="s">
        <v>303</v>
      </c>
      <c r="E216" s="326"/>
      <c r="F216" s="326"/>
      <c r="G216" s="327"/>
      <c r="H216" s="641" t="s">
        <v>303</v>
      </c>
      <c r="I216" s="326"/>
      <c r="J216" s="326"/>
      <c r="K216" s="327"/>
      <c r="L216" s="438" t="s">
        <v>303</v>
      </c>
      <c r="M216" s="326"/>
      <c r="N216" s="327"/>
      <c r="O216" s="519" t="s">
        <v>303</v>
      </c>
      <c r="P216" s="326"/>
      <c r="Q216" s="327"/>
      <c r="R216" s="527"/>
      <c r="S216" s="326"/>
      <c r="T216" s="327"/>
      <c r="U216" s="497"/>
      <c r="V216" s="326"/>
      <c r="W216" s="327"/>
      <c r="X216" s="66"/>
      <c r="Y216" s="67"/>
      <c r="Z216" s="66"/>
      <c r="AA216" s="67"/>
      <c r="AB216" s="66"/>
      <c r="AC216" s="67"/>
      <c r="AD216" s="66"/>
      <c r="AE216" s="67"/>
      <c r="AF216" s="66"/>
      <c r="AG216" s="67"/>
      <c r="AH216" s="66"/>
      <c r="AI216" s="67"/>
      <c r="AJ216" s="50"/>
      <c r="AK216" s="69"/>
      <c r="AL216" s="50"/>
      <c r="AM216" s="69"/>
      <c r="AN216" s="50"/>
      <c r="AO216" s="69"/>
      <c r="AP216" s="50"/>
      <c r="AQ216" s="69"/>
      <c r="AR216" s="50"/>
      <c r="AS216" s="642" t="s">
        <v>303</v>
      </c>
      <c r="AT216" s="326"/>
      <c r="AU216" s="326"/>
      <c r="AV216" s="326"/>
      <c r="AW216" s="326"/>
      <c r="AX216" s="326"/>
      <c r="AY216" s="327"/>
      <c r="AZ216" s="70"/>
      <c r="BA216" s="70"/>
      <c r="BB216" s="643" t="s">
        <v>334</v>
      </c>
      <c r="BC216" s="327"/>
      <c r="BD216" s="645" t="s">
        <v>303</v>
      </c>
      <c r="BE216" s="326"/>
      <c r="BF216" s="327"/>
      <c r="BG216" s="646" t="s">
        <v>303</v>
      </c>
      <c r="BH216" s="326"/>
      <c r="BI216" s="326"/>
      <c r="BJ216" s="327"/>
      <c r="BK216" s="647"/>
      <c r="BL216" s="326"/>
      <c r="BM216" s="327"/>
      <c r="BN216" s="71"/>
      <c r="BO216" s="71"/>
      <c r="BP216" s="646"/>
      <c r="BQ216" s="326"/>
      <c r="BR216" s="327"/>
      <c r="BS216" s="645" t="s">
        <v>303</v>
      </c>
      <c r="BT216" s="326"/>
      <c r="BU216" s="327"/>
    </row>
    <row r="217" spans="1:73" ht="30" customHeight="1" x14ac:dyDescent="0.25">
      <c r="A217" s="65">
        <f t="shared" si="0"/>
        <v>203</v>
      </c>
      <c r="B217" s="639" t="s">
        <v>334</v>
      </c>
      <c r="C217" s="327"/>
      <c r="D217" s="640" t="s">
        <v>303</v>
      </c>
      <c r="E217" s="326"/>
      <c r="F217" s="326"/>
      <c r="G217" s="327"/>
      <c r="H217" s="641" t="s">
        <v>303</v>
      </c>
      <c r="I217" s="326"/>
      <c r="J217" s="326"/>
      <c r="K217" s="327"/>
      <c r="L217" s="438" t="s">
        <v>303</v>
      </c>
      <c r="M217" s="326"/>
      <c r="N217" s="327"/>
      <c r="O217" s="519" t="s">
        <v>303</v>
      </c>
      <c r="P217" s="326"/>
      <c r="Q217" s="327"/>
      <c r="R217" s="527"/>
      <c r="S217" s="326"/>
      <c r="T217" s="327"/>
      <c r="U217" s="497"/>
      <c r="V217" s="326"/>
      <c r="W217" s="327"/>
      <c r="X217" s="66"/>
      <c r="Y217" s="67"/>
      <c r="Z217" s="66"/>
      <c r="AA217" s="67"/>
      <c r="AB217" s="66"/>
      <c r="AC217" s="67"/>
      <c r="AD217" s="66"/>
      <c r="AE217" s="67"/>
      <c r="AF217" s="66"/>
      <c r="AG217" s="67"/>
      <c r="AH217" s="66"/>
      <c r="AI217" s="67"/>
      <c r="AJ217" s="50"/>
      <c r="AK217" s="69"/>
      <c r="AL217" s="50"/>
      <c r="AM217" s="69"/>
      <c r="AN217" s="50"/>
      <c r="AO217" s="69"/>
      <c r="AP217" s="50"/>
      <c r="AQ217" s="69"/>
      <c r="AR217" s="50"/>
      <c r="AS217" s="642" t="s">
        <v>303</v>
      </c>
      <c r="AT217" s="326"/>
      <c r="AU217" s="326"/>
      <c r="AV217" s="326"/>
      <c r="AW217" s="326"/>
      <c r="AX217" s="326"/>
      <c r="AY217" s="327"/>
      <c r="AZ217" s="70"/>
      <c r="BA217" s="70"/>
      <c r="BB217" s="643" t="s">
        <v>334</v>
      </c>
      <c r="BC217" s="327"/>
      <c r="BD217" s="645" t="s">
        <v>303</v>
      </c>
      <c r="BE217" s="326"/>
      <c r="BF217" s="327"/>
      <c r="BG217" s="646" t="s">
        <v>303</v>
      </c>
      <c r="BH217" s="326"/>
      <c r="BI217" s="326"/>
      <c r="BJ217" s="327"/>
      <c r="BK217" s="647"/>
      <c r="BL217" s="326"/>
      <c r="BM217" s="327"/>
      <c r="BN217" s="71"/>
      <c r="BO217" s="71"/>
      <c r="BP217" s="646"/>
      <c r="BQ217" s="326"/>
      <c r="BR217" s="327"/>
      <c r="BS217" s="645" t="s">
        <v>303</v>
      </c>
      <c r="BT217" s="326"/>
      <c r="BU217" s="327"/>
    </row>
    <row r="218" spans="1:73" ht="30" customHeight="1" x14ac:dyDescent="0.25">
      <c r="A218" s="65">
        <f t="shared" si="0"/>
        <v>204</v>
      </c>
      <c r="B218" s="639" t="s">
        <v>334</v>
      </c>
      <c r="C218" s="327"/>
      <c r="D218" s="640" t="s">
        <v>303</v>
      </c>
      <c r="E218" s="326"/>
      <c r="F218" s="326"/>
      <c r="G218" s="327"/>
      <c r="H218" s="641" t="s">
        <v>303</v>
      </c>
      <c r="I218" s="326"/>
      <c r="J218" s="326"/>
      <c r="K218" s="327"/>
      <c r="L218" s="438" t="s">
        <v>303</v>
      </c>
      <c r="M218" s="326"/>
      <c r="N218" s="327"/>
      <c r="O218" s="519" t="s">
        <v>303</v>
      </c>
      <c r="P218" s="326"/>
      <c r="Q218" s="327"/>
      <c r="R218" s="527"/>
      <c r="S218" s="326"/>
      <c r="T218" s="327"/>
      <c r="U218" s="497"/>
      <c r="V218" s="326"/>
      <c r="W218" s="327"/>
      <c r="X218" s="66"/>
      <c r="Y218" s="67"/>
      <c r="Z218" s="66"/>
      <c r="AA218" s="67"/>
      <c r="AB218" s="66"/>
      <c r="AC218" s="67"/>
      <c r="AD218" s="66"/>
      <c r="AE218" s="67"/>
      <c r="AF218" s="66"/>
      <c r="AG218" s="67"/>
      <c r="AH218" s="66"/>
      <c r="AI218" s="67"/>
      <c r="AJ218" s="50"/>
      <c r="AK218" s="69"/>
      <c r="AL218" s="50"/>
      <c r="AM218" s="69"/>
      <c r="AN218" s="50"/>
      <c r="AO218" s="69"/>
      <c r="AP218" s="50"/>
      <c r="AQ218" s="69"/>
      <c r="AR218" s="50"/>
      <c r="AS218" s="642" t="s">
        <v>303</v>
      </c>
      <c r="AT218" s="326"/>
      <c r="AU218" s="326"/>
      <c r="AV218" s="326"/>
      <c r="AW218" s="326"/>
      <c r="AX218" s="326"/>
      <c r="AY218" s="327"/>
      <c r="AZ218" s="70"/>
      <c r="BA218" s="70"/>
      <c r="BB218" s="644" t="s">
        <v>334</v>
      </c>
      <c r="BC218" s="327"/>
      <c r="BD218" s="645" t="s">
        <v>303</v>
      </c>
      <c r="BE218" s="326"/>
      <c r="BF218" s="327"/>
      <c r="BG218" s="646" t="s">
        <v>303</v>
      </c>
      <c r="BH218" s="326"/>
      <c r="BI218" s="326"/>
      <c r="BJ218" s="327"/>
      <c r="BK218" s="647"/>
      <c r="BL218" s="326"/>
      <c r="BM218" s="327"/>
      <c r="BN218" s="71"/>
      <c r="BO218" s="71"/>
      <c r="BP218" s="646"/>
      <c r="BQ218" s="326"/>
      <c r="BR218" s="327"/>
      <c r="BS218" s="645" t="s">
        <v>303</v>
      </c>
      <c r="BT218" s="326"/>
      <c r="BU218" s="327"/>
    </row>
    <row r="219" spans="1:73" ht="30" customHeight="1" x14ac:dyDescent="0.25">
      <c r="A219" s="65">
        <f t="shared" si="0"/>
        <v>205</v>
      </c>
      <c r="B219" s="639" t="s">
        <v>334</v>
      </c>
      <c r="C219" s="327"/>
      <c r="D219" s="640" t="s">
        <v>303</v>
      </c>
      <c r="E219" s="326"/>
      <c r="F219" s="326"/>
      <c r="G219" s="327"/>
      <c r="H219" s="641" t="s">
        <v>303</v>
      </c>
      <c r="I219" s="326"/>
      <c r="J219" s="326"/>
      <c r="K219" s="327"/>
      <c r="L219" s="438" t="s">
        <v>303</v>
      </c>
      <c r="M219" s="326"/>
      <c r="N219" s="327"/>
      <c r="O219" s="519" t="s">
        <v>303</v>
      </c>
      <c r="P219" s="326"/>
      <c r="Q219" s="327"/>
      <c r="R219" s="527"/>
      <c r="S219" s="326"/>
      <c r="T219" s="327"/>
      <c r="U219" s="497"/>
      <c r="V219" s="326"/>
      <c r="W219" s="327"/>
      <c r="X219" s="66"/>
      <c r="Y219" s="67"/>
      <c r="Z219" s="66"/>
      <c r="AA219" s="67"/>
      <c r="AB219" s="66"/>
      <c r="AC219" s="67"/>
      <c r="AD219" s="66"/>
      <c r="AE219" s="67"/>
      <c r="AF219" s="66"/>
      <c r="AG219" s="67"/>
      <c r="AH219" s="66"/>
      <c r="AI219" s="67"/>
      <c r="AJ219" s="50"/>
      <c r="AK219" s="69"/>
      <c r="AL219" s="50"/>
      <c r="AM219" s="69"/>
      <c r="AN219" s="50"/>
      <c r="AO219" s="69"/>
      <c r="AP219" s="50"/>
      <c r="AQ219" s="69"/>
      <c r="AR219" s="50"/>
      <c r="AS219" s="642" t="s">
        <v>303</v>
      </c>
      <c r="AT219" s="326"/>
      <c r="AU219" s="326"/>
      <c r="AV219" s="326"/>
      <c r="AW219" s="326"/>
      <c r="AX219" s="326"/>
      <c r="AY219" s="327"/>
      <c r="AZ219" s="70"/>
      <c r="BA219" s="70"/>
      <c r="BB219" s="643" t="s">
        <v>334</v>
      </c>
      <c r="BC219" s="327"/>
      <c r="BD219" s="645" t="s">
        <v>303</v>
      </c>
      <c r="BE219" s="326"/>
      <c r="BF219" s="327"/>
      <c r="BG219" s="646" t="s">
        <v>303</v>
      </c>
      <c r="BH219" s="326"/>
      <c r="BI219" s="326"/>
      <c r="BJ219" s="327"/>
      <c r="BK219" s="647"/>
      <c r="BL219" s="326"/>
      <c r="BM219" s="327"/>
      <c r="BN219" s="71"/>
      <c r="BO219" s="71"/>
      <c r="BP219" s="646"/>
      <c r="BQ219" s="326"/>
      <c r="BR219" s="327"/>
      <c r="BS219" s="645" t="s">
        <v>303</v>
      </c>
      <c r="BT219" s="326"/>
      <c r="BU219" s="327"/>
    </row>
    <row r="220" spans="1:73" ht="30" customHeight="1" x14ac:dyDescent="0.25">
      <c r="A220" s="65">
        <f t="shared" si="0"/>
        <v>206</v>
      </c>
      <c r="B220" s="639" t="s">
        <v>334</v>
      </c>
      <c r="C220" s="327"/>
      <c r="D220" s="640" t="s">
        <v>303</v>
      </c>
      <c r="E220" s="326"/>
      <c r="F220" s="326"/>
      <c r="G220" s="327"/>
      <c r="H220" s="641" t="s">
        <v>303</v>
      </c>
      <c r="I220" s="326"/>
      <c r="J220" s="326"/>
      <c r="K220" s="327"/>
      <c r="L220" s="438" t="s">
        <v>303</v>
      </c>
      <c r="M220" s="326"/>
      <c r="N220" s="327"/>
      <c r="O220" s="519" t="s">
        <v>303</v>
      </c>
      <c r="P220" s="326"/>
      <c r="Q220" s="327"/>
      <c r="R220" s="527"/>
      <c r="S220" s="326"/>
      <c r="T220" s="327"/>
      <c r="U220" s="497"/>
      <c r="V220" s="326"/>
      <c r="W220" s="327"/>
      <c r="X220" s="66"/>
      <c r="Y220" s="67"/>
      <c r="Z220" s="66"/>
      <c r="AA220" s="67"/>
      <c r="AB220" s="66"/>
      <c r="AC220" s="67"/>
      <c r="AD220" s="66"/>
      <c r="AE220" s="67"/>
      <c r="AF220" s="66"/>
      <c r="AG220" s="67"/>
      <c r="AH220" s="66"/>
      <c r="AI220" s="67"/>
      <c r="AJ220" s="50"/>
      <c r="AK220" s="69"/>
      <c r="AL220" s="50"/>
      <c r="AM220" s="69"/>
      <c r="AN220" s="50"/>
      <c r="AO220" s="69"/>
      <c r="AP220" s="50"/>
      <c r="AQ220" s="69"/>
      <c r="AR220" s="50"/>
      <c r="AS220" s="642" t="s">
        <v>303</v>
      </c>
      <c r="AT220" s="326"/>
      <c r="AU220" s="326"/>
      <c r="AV220" s="326"/>
      <c r="AW220" s="326"/>
      <c r="AX220" s="326"/>
      <c r="AY220" s="327"/>
      <c r="AZ220" s="70"/>
      <c r="BA220" s="70"/>
      <c r="BB220" s="643" t="s">
        <v>334</v>
      </c>
      <c r="BC220" s="327"/>
      <c r="BD220" s="645" t="s">
        <v>303</v>
      </c>
      <c r="BE220" s="326"/>
      <c r="BF220" s="327"/>
      <c r="BG220" s="646" t="s">
        <v>303</v>
      </c>
      <c r="BH220" s="326"/>
      <c r="BI220" s="326"/>
      <c r="BJ220" s="327"/>
      <c r="BK220" s="647"/>
      <c r="BL220" s="326"/>
      <c r="BM220" s="327"/>
      <c r="BN220" s="71"/>
      <c r="BO220" s="71"/>
      <c r="BP220" s="646"/>
      <c r="BQ220" s="326"/>
      <c r="BR220" s="327"/>
      <c r="BS220" s="645" t="s">
        <v>303</v>
      </c>
      <c r="BT220" s="326"/>
      <c r="BU220" s="327"/>
    </row>
    <row r="221" spans="1:73" ht="30" customHeight="1" x14ac:dyDescent="0.25">
      <c r="A221" s="65">
        <f t="shared" si="0"/>
        <v>207</v>
      </c>
      <c r="B221" s="639" t="s">
        <v>334</v>
      </c>
      <c r="C221" s="327"/>
      <c r="D221" s="640" t="s">
        <v>303</v>
      </c>
      <c r="E221" s="326"/>
      <c r="F221" s="326"/>
      <c r="G221" s="327"/>
      <c r="H221" s="641" t="s">
        <v>303</v>
      </c>
      <c r="I221" s="326"/>
      <c r="J221" s="326"/>
      <c r="K221" s="327"/>
      <c r="L221" s="438" t="s">
        <v>303</v>
      </c>
      <c r="M221" s="326"/>
      <c r="N221" s="327"/>
      <c r="O221" s="519" t="s">
        <v>303</v>
      </c>
      <c r="P221" s="326"/>
      <c r="Q221" s="327"/>
      <c r="R221" s="527"/>
      <c r="S221" s="326"/>
      <c r="T221" s="327"/>
      <c r="U221" s="497"/>
      <c r="V221" s="326"/>
      <c r="W221" s="327"/>
      <c r="X221" s="66"/>
      <c r="Y221" s="67"/>
      <c r="Z221" s="66"/>
      <c r="AA221" s="67"/>
      <c r="AB221" s="66"/>
      <c r="AC221" s="67"/>
      <c r="AD221" s="66"/>
      <c r="AE221" s="67"/>
      <c r="AF221" s="66"/>
      <c r="AG221" s="67"/>
      <c r="AH221" s="66"/>
      <c r="AI221" s="67"/>
      <c r="AJ221" s="50"/>
      <c r="AK221" s="69"/>
      <c r="AL221" s="50"/>
      <c r="AM221" s="69"/>
      <c r="AN221" s="50"/>
      <c r="AO221" s="69"/>
      <c r="AP221" s="50"/>
      <c r="AQ221" s="69"/>
      <c r="AR221" s="50"/>
      <c r="AS221" s="642" t="s">
        <v>303</v>
      </c>
      <c r="AT221" s="326"/>
      <c r="AU221" s="326"/>
      <c r="AV221" s="326"/>
      <c r="AW221" s="326"/>
      <c r="AX221" s="326"/>
      <c r="AY221" s="327"/>
      <c r="AZ221" s="70"/>
      <c r="BA221" s="70"/>
      <c r="BB221" s="643" t="s">
        <v>334</v>
      </c>
      <c r="BC221" s="327"/>
      <c r="BD221" s="645" t="s">
        <v>303</v>
      </c>
      <c r="BE221" s="326"/>
      <c r="BF221" s="327"/>
      <c r="BG221" s="646" t="s">
        <v>303</v>
      </c>
      <c r="BH221" s="326"/>
      <c r="BI221" s="326"/>
      <c r="BJ221" s="327"/>
      <c r="BK221" s="647"/>
      <c r="BL221" s="326"/>
      <c r="BM221" s="327"/>
      <c r="BN221" s="71"/>
      <c r="BO221" s="71"/>
      <c r="BP221" s="646"/>
      <c r="BQ221" s="326"/>
      <c r="BR221" s="327"/>
      <c r="BS221" s="645" t="s">
        <v>303</v>
      </c>
      <c r="BT221" s="326"/>
      <c r="BU221" s="327"/>
    </row>
    <row r="222" spans="1:73" ht="30" customHeight="1" x14ac:dyDescent="0.25">
      <c r="A222" s="65">
        <f t="shared" si="0"/>
        <v>208</v>
      </c>
      <c r="B222" s="639" t="s">
        <v>334</v>
      </c>
      <c r="C222" s="327"/>
      <c r="D222" s="640" t="s">
        <v>303</v>
      </c>
      <c r="E222" s="326"/>
      <c r="F222" s="326"/>
      <c r="G222" s="327"/>
      <c r="H222" s="641" t="s">
        <v>303</v>
      </c>
      <c r="I222" s="326"/>
      <c r="J222" s="326"/>
      <c r="K222" s="327"/>
      <c r="L222" s="438" t="s">
        <v>303</v>
      </c>
      <c r="M222" s="326"/>
      <c r="N222" s="327"/>
      <c r="O222" s="519" t="s">
        <v>303</v>
      </c>
      <c r="P222" s="326"/>
      <c r="Q222" s="327"/>
      <c r="R222" s="527"/>
      <c r="S222" s="326"/>
      <c r="T222" s="327"/>
      <c r="U222" s="497"/>
      <c r="V222" s="326"/>
      <c r="W222" s="327"/>
      <c r="X222" s="66"/>
      <c r="Y222" s="67"/>
      <c r="Z222" s="66"/>
      <c r="AA222" s="67"/>
      <c r="AB222" s="66"/>
      <c r="AC222" s="67"/>
      <c r="AD222" s="66"/>
      <c r="AE222" s="67"/>
      <c r="AF222" s="66"/>
      <c r="AG222" s="67"/>
      <c r="AH222" s="66"/>
      <c r="AI222" s="67"/>
      <c r="AJ222" s="50"/>
      <c r="AK222" s="69"/>
      <c r="AL222" s="50"/>
      <c r="AM222" s="69"/>
      <c r="AN222" s="50"/>
      <c r="AO222" s="69"/>
      <c r="AP222" s="50"/>
      <c r="AQ222" s="69"/>
      <c r="AR222" s="50"/>
      <c r="AS222" s="642" t="s">
        <v>303</v>
      </c>
      <c r="AT222" s="326"/>
      <c r="AU222" s="326"/>
      <c r="AV222" s="326"/>
      <c r="AW222" s="326"/>
      <c r="AX222" s="326"/>
      <c r="AY222" s="327"/>
      <c r="AZ222" s="70"/>
      <c r="BA222" s="70"/>
      <c r="BB222" s="643" t="s">
        <v>334</v>
      </c>
      <c r="BC222" s="327"/>
      <c r="BD222" s="645" t="s">
        <v>303</v>
      </c>
      <c r="BE222" s="326"/>
      <c r="BF222" s="327"/>
      <c r="BG222" s="646" t="s">
        <v>303</v>
      </c>
      <c r="BH222" s="326"/>
      <c r="BI222" s="326"/>
      <c r="BJ222" s="327"/>
      <c r="BK222" s="647"/>
      <c r="BL222" s="326"/>
      <c r="BM222" s="327"/>
      <c r="BN222" s="71"/>
      <c r="BO222" s="71"/>
      <c r="BP222" s="646"/>
      <c r="BQ222" s="326"/>
      <c r="BR222" s="327"/>
      <c r="BS222" s="645" t="s">
        <v>303</v>
      </c>
      <c r="BT222" s="326"/>
      <c r="BU222" s="327"/>
    </row>
    <row r="223" spans="1:73" ht="30" customHeight="1" x14ac:dyDescent="0.25">
      <c r="A223" s="65">
        <f t="shared" si="0"/>
        <v>209</v>
      </c>
      <c r="B223" s="639" t="s">
        <v>334</v>
      </c>
      <c r="C223" s="327"/>
      <c r="D223" s="640" t="s">
        <v>303</v>
      </c>
      <c r="E223" s="326"/>
      <c r="F223" s="326"/>
      <c r="G223" s="327"/>
      <c r="H223" s="641" t="s">
        <v>303</v>
      </c>
      <c r="I223" s="326"/>
      <c r="J223" s="326"/>
      <c r="K223" s="327"/>
      <c r="L223" s="438" t="s">
        <v>303</v>
      </c>
      <c r="M223" s="326"/>
      <c r="N223" s="327"/>
      <c r="O223" s="519" t="s">
        <v>303</v>
      </c>
      <c r="P223" s="326"/>
      <c r="Q223" s="327"/>
      <c r="R223" s="527"/>
      <c r="S223" s="326"/>
      <c r="T223" s="327"/>
      <c r="U223" s="497"/>
      <c r="V223" s="326"/>
      <c r="W223" s="327"/>
      <c r="X223" s="66"/>
      <c r="Y223" s="67"/>
      <c r="Z223" s="66"/>
      <c r="AA223" s="67"/>
      <c r="AB223" s="66"/>
      <c r="AC223" s="67"/>
      <c r="AD223" s="66"/>
      <c r="AE223" s="67"/>
      <c r="AF223" s="66"/>
      <c r="AG223" s="67"/>
      <c r="AH223" s="66"/>
      <c r="AI223" s="67"/>
      <c r="AJ223" s="50"/>
      <c r="AK223" s="69"/>
      <c r="AL223" s="50"/>
      <c r="AM223" s="69"/>
      <c r="AN223" s="50"/>
      <c r="AO223" s="69"/>
      <c r="AP223" s="50"/>
      <c r="AQ223" s="69"/>
      <c r="AR223" s="50"/>
      <c r="AS223" s="642" t="s">
        <v>303</v>
      </c>
      <c r="AT223" s="326"/>
      <c r="AU223" s="326"/>
      <c r="AV223" s="326"/>
      <c r="AW223" s="326"/>
      <c r="AX223" s="326"/>
      <c r="AY223" s="327"/>
      <c r="AZ223" s="70"/>
      <c r="BA223" s="70"/>
      <c r="BB223" s="643" t="s">
        <v>334</v>
      </c>
      <c r="BC223" s="327"/>
      <c r="BD223" s="645" t="s">
        <v>303</v>
      </c>
      <c r="BE223" s="326"/>
      <c r="BF223" s="327"/>
      <c r="BG223" s="646" t="s">
        <v>303</v>
      </c>
      <c r="BH223" s="326"/>
      <c r="BI223" s="326"/>
      <c r="BJ223" s="327"/>
      <c r="BK223" s="647"/>
      <c r="BL223" s="326"/>
      <c r="BM223" s="327"/>
      <c r="BN223" s="71"/>
      <c r="BO223" s="71"/>
      <c r="BP223" s="646"/>
      <c r="BQ223" s="326"/>
      <c r="BR223" s="327"/>
      <c r="BS223" s="645" t="s">
        <v>303</v>
      </c>
      <c r="BT223" s="326"/>
      <c r="BU223" s="327"/>
    </row>
    <row r="224" spans="1:73" ht="30" customHeight="1" x14ac:dyDescent="0.25">
      <c r="A224" s="65">
        <f t="shared" si="0"/>
        <v>210</v>
      </c>
      <c r="B224" s="639" t="s">
        <v>334</v>
      </c>
      <c r="C224" s="327"/>
      <c r="D224" s="640" t="s">
        <v>303</v>
      </c>
      <c r="E224" s="326"/>
      <c r="F224" s="326"/>
      <c r="G224" s="327"/>
      <c r="H224" s="641" t="s">
        <v>303</v>
      </c>
      <c r="I224" s="326"/>
      <c r="J224" s="326"/>
      <c r="K224" s="327"/>
      <c r="L224" s="438" t="s">
        <v>303</v>
      </c>
      <c r="M224" s="326"/>
      <c r="N224" s="327"/>
      <c r="O224" s="519" t="s">
        <v>303</v>
      </c>
      <c r="P224" s="326"/>
      <c r="Q224" s="327"/>
      <c r="R224" s="527"/>
      <c r="S224" s="326"/>
      <c r="T224" s="327"/>
      <c r="U224" s="497"/>
      <c r="V224" s="326"/>
      <c r="W224" s="327"/>
      <c r="X224" s="66"/>
      <c r="Y224" s="67"/>
      <c r="Z224" s="66"/>
      <c r="AA224" s="67"/>
      <c r="AB224" s="66"/>
      <c r="AC224" s="67"/>
      <c r="AD224" s="66"/>
      <c r="AE224" s="67"/>
      <c r="AF224" s="66"/>
      <c r="AG224" s="67"/>
      <c r="AH224" s="66"/>
      <c r="AI224" s="67"/>
      <c r="AJ224" s="50"/>
      <c r="AK224" s="69"/>
      <c r="AL224" s="50"/>
      <c r="AM224" s="69"/>
      <c r="AN224" s="50"/>
      <c r="AO224" s="69"/>
      <c r="AP224" s="50"/>
      <c r="AQ224" s="69"/>
      <c r="AR224" s="50"/>
      <c r="AS224" s="642" t="s">
        <v>303</v>
      </c>
      <c r="AT224" s="326"/>
      <c r="AU224" s="326"/>
      <c r="AV224" s="326"/>
      <c r="AW224" s="326"/>
      <c r="AX224" s="326"/>
      <c r="AY224" s="327"/>
      <c r="AZ224" s="70"/>
      <c r="BA224" s="70"/>
      <c r="BB224" s="643" t="s">
        <v>334</v>
      </c>
      <c r="BC224" s="327"/>
      <c r="BD224" s="645" t="s">
        <v>303</v>
      </c>
      <c r="BE224" s="326"/>
      <c r="BF224" s="327"/>
      <c r="BG224" s="646" t="s">
        <v>303</v>
      </c>
      <c r="BH224" s="326"/>
      <c r="BI224" s="326"/>
      <c r="BJ224" s="327"/>
      <c r="BK224" s="647"/>
      <c r="BL224" s="326"/>
      <c r="BM224" s="327"/>
      <c r="BN224" s="71"/>
      <c r="BO224" s="71"/>
      <c r="BP224" s="646"/>
      <c r="BQ224" s="326"/>
      <c r="BR224" s="327"/>
      <c r="BS224" s="645" t="s">
        <v>303</v>
      </c>
      <c r="BT224" s="326"/>
      <c r="BU224" s="327"/>
    </row>
    <row r="225" spans="1:73" ht="30" customHeight="1" x14ac:dyDescent="0.25">
      <c r="A225" s="65">
        <f t="shared" si="0"/>
        <v>211</v>
      </c>
      <c r="B225" s="639" t="s">
        <v>334</v>
      </c>
      <c r="C225" s="327"/>
      <c r="D225" s="640" t="s">
        <v>303</v>
      </c>
      <c r="E225" s="326"/>
      <c r="F225" s="326"/>
      <c r="G225" s="327"/>
      <c r="H225" s="641" t="s">
        <v>303</v>
      </c>
      <c r="I225" s="326"/>
      <c r="J225" s="326"/>
      <c r="K225" s="327"/>
      <c r="L225" s="438" t="s">
        <v>303</v>
      </c>
      <c r="M225" s="326"/>
      <c r="N225" s="327"/>
      <c r="O225" s="519" t="s">
        <v>303</v>
      </c>
      <c r="P225" s="326"/>
      <c r="Q225" s="327"/>
      <c r="R225" s="527"/>
      <c r="S225" s="326"/>
      <c r="T225" s="327"/>
      <c r="U225" s="497"/>
      <c r="V225" s="326"/>
      <c r="W225" s="327"/>
      <c r="X225" s="66"/>
      <c r="Y225" s="67"/>
      <c r="Z225" s="66"/>
      <c r="AA225" s="67"/>
      <c r="AB225" s="66"/>
      <c r="AC225" s="67"/>
      <c r="AD225" s="66"/>
      <c r="AE225" s="67"/>
      <c r="AF225" s="66"/>
      <c r="AG225" s="67"/>
      <c r="AH225" s="66"/>
      <c r="AI225" s="67"/>
      <c r="AJ225" s="50"/>
      <c r="AK225" s="69"/>
      <c r="AL225" s="50"/>
      <c r="AM225" s="69"/>
      <c r="AN225" s="50"/>
      <c r="AO225" s="69"/>
      <c r="AP225" s="50"/>
      <c r="AQ225" s="69"/>
      <c r="AR225" s="50"/>
      <c r="AS225" s="642" t="s">
        <v>303</v>
      </c>
      <c r="AT225" s="326"/>
      <c r="AU225" s="326"/>
      <c r="AV225" s="326"/>
      <c r="AW225" s="326"/>
      <c r="AX225" s="326"/>
      <c r="AY225" s="327"/>
      <c r="AZ225" s="70"/>
      <c r="BA225" s="70"/>
      <c r="BB225" s="644" t="s">
        <v>334</v>
      </c>
      <c r="BC225" s="327"/>
      <c r="BD225" s="645" t="s">
        <v>303</v>
      </c>
      <c r="BE225" s="326"/>
      <c r="BF225" s="327"/>
      <c r="BG225" s="646" t="s">
        <v>303</v>
      </c>
      <c r="BH225" s="326"/>
      <c r="BI225" s="326"/>
      <c r="BJ225" s="327"/>
      <c r="BK225" s="647"/>
      <c r="BL225" s="326"/>
      <c r="BM225" s="327"/>
      <c r="BN225" s="71"/>
      <c r="BO225" s="71"/>
      <c r="BP225" s="646"/>
      <c r="BQ225" s="326"/>
      <c r="BR225" s="327"/>
      <c r="BS225" s="645" t="s">
        <v>303</v>
      </c>
      <c r="BT225" s="326"/>
      <c r="BU225" s="327"/>
    </row>
    <row r="226" spans="1:73" ht="30" customHeight="1" x14ac:dyDescent="0.25">
      <c r="A226" s="65">
        <f t="shared" si="0"/>
        <v>212</v>
      </c>
      <c r="B226" s="639" t="s">
        <v>334</v>
      </c>
      <c r="C226" s="327"/>
      <c r="D226" s="640" t="s">
        <v>303</v>
      </c>
      <c r="E226" s="326"/>
      <c r="F226" s="326"/>
      <c r="G226" s="327"/>
      <c r="H226" s="641" t="s">
        <v>303</v>
      </c>
      <c r="I226" s="326"/>
      <c r="J226" s="326"/>
      <c r="K226" s="327"/>
      <c r="L226" s="438" t="s">
        <v>303</v>
      </c>
      <c r="M226" s="326"/>
      <c r="N226" s="327"/>
      <c r="O226" s="519" t="s">
        <v>303</v>
      </c>
      <c r="P226" s="326"/>
      <c r="Q226" s="327"/>
      <c r="R226" s="527"/>
      <c r="S226" s="326"/>
      <c r="T226" s="327"/>
      <c r="U226" s="497"/>
      <c r="V226" s="326"/>
      <c r="W226" s="327"/>
      <c r="X226" s="66"/>
      <c r="Y226" s="67"/>
      <c r="Z226" s="66"/>
      <c r="AA226" s="67"/>
      <c r="AB226" s="66"/>
      <c r="AC226" s="67"/>
      <c r="AD226" s="66"/>
      <c r="AE226" s="67"/>
      <c r="AF226" s="66"/>
      <c r="AG226" s="67"/>
      <c r="AH226" s="66"/>
      <c r="AI226" s="67"/>
      <c r="AJ226" s="50"/>
      <c r="AK226" s="69"/>
      <c r="AL226" s="50"/>
      <c r="AM226" s="69"/>
      <c r="AN226" s="50"/>
      <c r="AO226" s="69"/>
      <c r="AP226" s="50"/>
      <c r="AQ226" s="69"/>
      <c r="AR226" s="50"/>
      <c r="AS226" s="642" t="s">
        <v>303</v>
      </c>
      <c r="AT226" s="326"/>
      <c r="AU226" s="326"/>
      <c r="AV226" s="326"/>
      <c r="AW226" s="326"/>
      <c r="AX226" s="326"/>
      <c r="AY226" s="327"/>
      <c r="AZ226" s="70"/>
      <c r="BA226" s="70"/>
      <c r="BB226" s="643" t="s">
        <v>334</v>
      </c>
      <c r="BC226" s="327"/>
      <c r="BD226" s="645" t="s">
        <v>303</v>
      </c>
      <c r="BE226" s="326"/>
      <c r="BF226" s="327"/>
      <c r="BG226" s="646" t="s">
        <v>303</v>
      </c>
      <c r="BH226" s="326"/>
      <c r="BI226" s="326"/>
      <c r="BJ226" s="327"/>
      <c r="BK226" s="647"/>
      <c r="BL226" s="326"/>
      <c r="BM226" s="327"/>
      <c r="BN226" s="71"/>
      <c r="BO226" s="71"/>
      <c r="BP226" s="646"/>
      <c r="BQ226" s="326"/>
      <c r="BR226" s="327"/>
      <c r="BS226" s="645" t="s">
        <v>303</v>
      </c>
      <c r="BT226" s="326"/>
      <c r="BU226" s="327"/>
    </row>
    <row r="227" spans="1:73" ht="30" customHeight="1" x14ac:dyDescent="0.25">
      <c r="A227" s="65">
        <f t="shared" si="0"/>
        <v>213</v>
      </c>
      <c r="B227" s="639" t="s">
        <v>334</v>
      </c>
      <c r="C227" s="327"/>
      <c r="D227" s="640" t="s">
        <v>303</v>
      </c>
      <c r="E227" s="326"/>
      <c r="F227" s="326"/>
      <c r="G227" s="327"/>
      <c r="H227" s="641" t="s">
        <v>303</v>
      </c>
      <c r="I227" s="326"/>
      <c r="J227" s="326"/>
      <c r="K227" s="327"/>
      <c r="L227" s="438" t="s">
        <v>303</v>
      </c>
      <c r="M227" s="326"/>
      <c r="N227" s="327"/>
      <c r="O227" s="519" t="s">
        <v>303</v>
      </c>
      <c r="P227" s="326"/>
      <c r="Q227" s="327"/>
      <c r="R227" s="527"/>
      <c r="S227" s="326"/>
      <c r="T227" s="327"/>
      <c r="U227" s="497"/>
      <c r="V227" s="326"/>
      <c r="W227" s="327"/>
      <c r="X227" s="66"/>
      <c r="Y227" s="67"/>
      <c r="Z227" s="66"/>
      <c r="AA227" s="67"/>
      <c r="AB227" s="66"/>
      <c r="AC227" s="67"/>
      <c r="AD227" s="66"/>
      <c r="AE227" s="67"/>
      <c r="AF227" s="66"/>
      <c r="AG227" s="67"/>
      <c r="AH227" s="66"/>
      <c r="AI227" s="67"/>
      <c r="AJ227" s="50"/>
      <c r="AK227" s="69"/>
      <c r="AL227" s="50"/>
      <c r="AM227" s="69"/>
      <c r="AN227" s="50"/>
      <c r="AO227" s="69"/>
      <c r="AP227" s="50"/>
      <c r="AQ227" s="69"/>
      <c r="AR227" s="50"/>
      <c r="AS227" s="642" t="s">
        <v>303</v>
      </c>
      <c r="AT227" s="326"/>
      <c r="AU227" s="326"/>
      <c r="AV227" s="326"/>
      <c r="AW227" s="326"/>
      <c r="AX227" s="326"/>
      <c r="AY227" s="327"/>
      <c r="AZ227" s="70"/>
      <c r="BA227" s="70"/>
      <c r="BB227" s="643" t="s">
        <v>334</v>
      </c>
      <c r="BC227" s="327"/>
      <c r="BD227" s="645" t="s">
        <v>303</v>
      </c>
      <c r="BE227" s="326"/>
      <c r="BF227" s="327"/>
      <c r="BG227" s="646" t="s">
        <v>303</v>
      </c>
      <c r="BH227" s="326"/>
      <c r="BI227" s="326"/>
      <c r="BJ227" s="327"/>
      <c r="BK227" s="647"/>
      <c r="BL227" s="326"/>
      <c r="BM227" s="327"/>
      <c r="BN227" s="71"/>
      <c r="BO227" s="71"/>
      <c r="BP227" s="646"/>
      <c r="BQ227" s="326"/>
      <c r="BR227" s="327"/>
      <c r="BS227" s="645" t="s">
        <v>303</v>
      </c>
      <c r="BT227" s="326"/>
      <c r="BU227" s="327"/>
    </row>
    <row r="228" spans="1:73" ht="30" customHeight="1" x14ac:dyDescent="0.25">
      <c r="A228" s="65">
        <f t="shared" si="0"/>
        <v>214</v>
      </c>
      <c r="B228" s="639" t="s">
        <v>334</v>
      </c>
      <c r="C228" s="327"/>
      <c r="D228" s="640" t="s">
        <v>303</v>
      </c>
      <c r="E228" s="326"/>
      <c r="F228" s="326"/>
      <c r="G228" s="327"/>
      <c r="H228" s="641" t="s">
        <v>303</v>
      </c>
      <c r="I228" s="326"/>
      <c r="J228" s="326"/>
      <c r="K228" s="327"/>
      <c r="L228" s="438" t="s">
        <v>303</v>
      </c>
      <c r="M228" s="326"/>
      <c r="N228" s="327"/>
      <c r="O228" s="519" t="s">
        <v>303</v>
      </c>
      <c r="P228" s="326"/>
      <c r="Q228" s="327"/>
      <c r="R228" s="527"/>
      <c r="S228" s="326"/>
      <c r="T228" s="327"/>
      <c r="U228" s="497"/>
      <c r="V228" s="326"/>
      <c r="W228" s="327"/>
      <c r="X228" s="66"/>
      <c r="Y228" s="67"/>
      <c r="Z228" s="66"/>
      <c r="AA228" s="67"/>
      <c r="AB228" s="66"/>
      <c r="AC228" s="67"/>
      <c r="AD228" s="66"/>
      <c r="AE228" s="67"/>
      <c r="AF228" s="66"/>
      <c r="AG228" s="67"/>
      <c r="AH228" s="66"/>
      <c r="AI228" s="67"/>
      <c r="AJ228" s="50"/>
      <c r="AK228" s="69"/>
      <c r="AL228" s="50"/>
      <c r="AM228" s="69"/>
      <c r="AN228" s="50"/>
      <c r="AO228" s="69"/>
      <c r="AP228" s="50"/>
      <c r="AQ228" s="69"/>
      <c r="AR228" s="50"/>
      <c r="AS228" s="642" t="s">
        <v>303</v>
      </c>
      <c r="AT228" s="326"/>
      <c r="AU228" s="326"/>
      <c r="AV228" s="326"/>
      <c r="AW228" s="326"/>
      <c r="AX228" s="326"/>
      <c r="AY228" s="327"/>
      <c r="AZ228" s="70"/>
      <c r="BA228" s="70"/>
      <c r="BB228" s="643" t="s">
        <v>334</v>
      </c>
      <c r="BC228" s="327"/>
      <c r="BD228" s="645" t="s">
        <v>303</v>
      </c>
      <c r="BE228" s="326"/>
      <c r="BF228" s="327"/>
      <c r="BG228" s="646" t="s">
        <v>303</v>
      </c>
      <c r="BH228" s="326"/>
      <c r="BI228" s="326"/>
      <c r="BJ228" s="327"/>
      <c r="BK228" s="647"/>
      <c r="BL228" s="326"/>
      <c r="BM228" s="327"/>
      <c r="BN228" s="71"/>
      <c r="BO228" s="71"/>
      <c r="BP228" s="646"/>
      <c r="BQ228" s="326"/>
      <c r="BR228" s="327"/>
      <c r="BS228" s="645" t="s">
        <v>303</v>
      </c>
      <c r="BT228" s="326"/>
      <c r="BU228" s="327"/>
    </row>
    <row r="229" spans="1:73" ht="30" customHeight="1" x14ac:dyDescent="0.25">
      <c r="A229" s="65">
        <f t="shared" si="0"/>
        <v>215</v>
      </c>
      <c r="B229" s="639" t="s">
        <v>334</v>
      </c>
      <c r="C229" s="327"/>
      <c r="D229" s="640" t="s">
        <v>303</v>
      </c>
      <c r="E229" s="326"/>
      <c r="F229" s="326"/>
      <c r="G229" s="327"/>
      <c r="H229" s="641" t="s">
        <v>303</v>
      </c>
      <c r="I229" s="326"/>
      <c r="J229" s="326"/>
      <c r="K229" s="327"/>
      <c r="L229" s="438" t="s">
        <v>303</v>
      </c>
      <c r="M229" s="326"/>
      <c r="N229" s="327"/>
      <c r="O229" s="519" t="s">
        <v>303</v>
      </c>
      <c r="P229" s="326"/>
      <c r="Q229" s="327"/>
      <c r="R229" s="527"/>
      <c r="S229" s="326"/>
      <c r="T229" s="327"/>
      <c r="U229" s="497"/>
      <c r="V229" s="326"/>
      <c r="W229" s="327"/>
      <c r="X229" s="66"/>
      <c r="Y229" s="67"/>
      <c r="Z229" s="66"/>
      <c r="AA229" s="67"/>
      <c r="AB229" s="66"/>
      <c r="AC229" s="67"/>
      <c r="AD229" s="66"/>
      <c r="AE229" s="67"/>
      <c r="AF229" s="66"/>
      <c r="AG229" s="67"/>
      <c r="AH229" s="66"/>
      <c r="AI229" s="67"/>
      <c r="AJ229" s="50"/>
      <c r="AK229" s="69"/>
      <c r="AL229" s="50"/>
      <c r="AM229" s="69"/>
      <c r="AN229" s="50"/>
      <c r="AO229" s="69"/>
      <c r="AP229" s="50"/>
      <c r="AQ229" s="69"/>
      <c r="AR229" s="50"/>
      <c r="AS229" s="642" t="s">
        <v>303</v>
      </c>
      <c r="AT229" s="326"/>
      <c r="AU229" s="326"/>
      <c r="AV229" s="326"/>
      <c r="AW229" s="326"/>
      <c r="AX229" s="326"/>
      <c r="AY229" s="327"/>
      <c r="AZ229" s="70"/>
      <c r="BA229" s="70"/>
      <c r="BB229" s="643" t="s">
        <v>334</v>
      </c>
      <c r="BC229" s="327"/>
      <c r="BD229" s="645" t="s">
        <v>303</v>
      </c>
      <c r="BE229" s="326"/>
      <c r="BF229" s="327"/>
      <c r="BG229" s="646" t="s">
        <v>303</v>
      </c>
      <c r="BH229" s="326"/>
      <c r="BI229" s="326"/>
      <c r="BJ229" s="327"/>
      <c r="BK229" s="647"/>
      <c r="BL229" s="326"/>
      <c r="BM229" s="327"/>
      <c r="BN229" s="71"/>
      <c r="BO229" s="71"/>
      <c r="BP229" s="646"/>
      <c r="BQ229" s="326"/>
      <c r="BR229" s="327"/>
      <c r="BS229" s="645" t="s">
        <v>303</v>
      </c>
      <c r="BT229" s="326"/>
      <c r="BU229" s="327"/>
    </row>
    <row r="230" spans="1:73" ht="30" customHeight="1" x14ac:dyDescent="0.25">
      <c r="A230" s="65">
        <f t="shared" si="0"/>
        <v>216</v>
      </c>
      <c r="B230" s="639" t="s">
        <v>334</v>
      </c>
      <c r="C230" s="327"/>
      <c r="D230" s="640" t="s">
        <v>303</v>
      </c>
      <c r="E230" s="326"/>
      <c r="F230" s="326"/>
      <c r="G230" s="327"/>
      <c r="H230" s="641" t="s">
        <v>303</v>
      </c>
      <c r="I230" s="326"/>
      <c r="J230" s="326"/>
      <c r="K230" s="327"/>
      <c r="L230" s="438" t="s">
        <v>303</v>
      </c>
      <c r="M230" s="326"/>
      <c r="N230" s="327"/>
      <c r="O230" s="519" t="s">
        <v>303</v>
      </c>
      <c r="P230" s="326"/>
      <c r="Q230" s="327"/>
      <c r="R230" s="527"/>
      <c r="S230" s="326"/>
      <c r="T230" s="327"/>
      <c r="U230" s="497"/>
      <c r="V230" s="326"/>
      <c r="W230" s="327"/>
      <c r="X230" s="66"/>
      <c r="Y230" s="67"/>
      <c r="Z230" s="66"/>
      <c r="AA230" s="67"/>
      <c r="AB230" s="66"/>
      <c r="AC230" s="67"/>
      <c r="AD230" s="66"/>
      <c r="AE230" s="67"/>
      <c r="AF230" s="66"/>
      <c r="AG230" s="67"/>
      <c r="AH230" s="66"/>
      <c r="AI230" s="67"/>
      <c r="AJ230" s="50"/>
      <c r="AK230" s="69"/>
      <c r="AL230" s="50"/>
      <c r="AM230" s="69"/>
      <c r="AN230" s="50"/>
      <c r="AO230" s="69"/>
      <c r="AP230" s="50"/>
      <c r="AQ230" s="69"/>
      <c r="AR230" s="50"/>
      <c r="AS230" s="642" t="s">
        <v>303</v>
      </c>
      <c r="AT230" s="326"/>
      <c r="AU230" s="326"/>
      <c r="AV230" s="326"/>
      <c r="AW230" s="326"/>
      <c r="AX230" s="326"/>
      <c r="AY230" s="327"/>
      <c r="AZ230" s="70"/>
      <c r="BA230" s="70"/>
      <c r="BB230" s="643" t="s">
        <v>334</v>
      </c>
      <c r="BC230" s="327"/>
      <c r="BD230" s="645" t="s">
        <v>303</v>
      </c>
      <c r="BE230" s="326"/>
      <c r="BF230" s="327"/>
      <c r="BG230" s="646" t="s">
        <v>303</v>
      </c>
      <c r="BH230" s="326"/>
      <c r="BI230" s="326"/>
      <c r="BJ230" s="327"/>
      <c r="BK230" s="647"/>
      <c r="BL230" s="326"/>
      <c r="BM230" s="327"/>
      <c r="BN230" s="71"/>
      <c r="BO230" s="71"/>
      <c r="BP230" s="646"/>
      <c r="BQ230" s="326"/>
      <c r="BR230" s="327"/>
      <c r="BS230" s="645" t="s">
        <v>303</v>
      </c>
      <c r="BT230" s="326"/>
      <c r="BU230" s="327"/>
    </row>
    <row r="231" spans="1:73" ht="30" customHeight="1" x14ac:dyDescent="0.25">
      <c r="A231" s="65">
        <f t="shared" si="0"/>
        <v>217</v>
      </c>
      <c r="B231" s="639" t="s">
        <v>334</v>
      </c>
      <c r="C231" s="327"/>
      <c r="D231" s="640" t="s">
        <v>303</v>
      </c>
      <c r="E231" s="326"/>
      <c r="F231" s="326"/>
      <c r="G231" s="327"/>
      <c r="H231" s="641" t="s">
        <v>303</v>
      </c>
      <c r="I231" s="326"/>
      <c r="J231" s="326"/>
      <c r="K231" s="327"/>
      <c r="L231" s="438" t="s">
        <v>303</v>
      </c>
      <c r="M231" s="326"/>
      <c r="N231" s="327"/>
      <c r="O231" s="519" t="s">
        <v>303</v>
      </c>
      <c r="P231" s="326"/>
      <c r="Q231" s="327"/>
      <c r="R231" s="527"/>
      <c r="S231" s="326"/>
      <c r="T231" s="327"/>
      <c r="U231" s="497"/>
      <c r="V231" s="326"/>
      <c r="W231" s="327"/>
      <c r="X231" s="66"/>
      <c r="Y231" s="67"/>
      <c r="Z231" s="66"/>
      <c r="AA231" s="67"/>
      <c r="AB231" s="66"/>
      <c r="AC231" s="67"/>
      <c r="AD231" s="66"/>
      <c r="AE231" s="67"/>
      <c r="AF231" s="66"/>
      <c r="AG231" s="67"/>
      <c r="AH231" s="66"/>
      <c r="AI231" s="67"/>
      <c r="AJ231" s="50"/>
      <c r="AK231" s="69"/>
      <c r="AL231" s="50"/>
      <c r="AM231" s="69"/>
      <c r="AN231" s="50"/>
      <c r="AO231" s="69"/>
      <c r="AP231" s="50"/>
      <c r="AQ231" s="69"/>
      <c r="AR231" s="50"/>
      <c r="AS231" s="642" t="s">
        <v>303</v>
      </c>
      <c r="AT231" s="326"/>
      <c r="AU231" s="326"/>
      <c r="AV231" s="326"/>
      <c r="AW231" s="326"/>
      <c r="AX231" s="326"/>
      <c r="AY231" s="327"/>
      <c r="AZ231" s="70"/>
      <c r="BA231" s="70"/>
      <c r="BB231" s="643" t="s">
        <v>334</v>
      </c>
      <c r="BC231" s="327"/>
      <c r="BD231" s="645" t="s">
        <v>303</v>
      </c>
      <c r="BE231" s="326"/>
      <c r="BF231" s="327"/>
      <c r="BG231" s="646" t="s">
        <v>303</v>
      </c>
      <c r="BH231" s="326"/>
      <c r="BI231" s="326"/>
      <c r="BJ231" s="327"/>
      <c r="BK231" s="647"/>
      <c r="BL231" s="326"/>
      <c r="BM231" s="327"/>
      <c r="BN231" s="71"/>
      <c r="BO231" s="71"/>
      <c r="BP231" s="646"/>
      <c r="BQ231" s="326"/>
      <c r="BR231" s="327"/>
      <c r="BS231" s="645" t="s">
        <v>303</v>
      </c>
      <c r="BT231" s="326"/>
      <c r="BU231" s="327"/>
    </row>
    <row r="232" spans="1:73" ht="30" customHeight="1" x14ac:dyDescent="0.25">
      <c r="A232" s="65">
        <f t="shared" si="0"/>
        <v>218</v>
      </c>
      <c r="B232" s="639" t="s">
        <v>334</v>
      </c>
      <c r="C232" s="327"/>
      <c r="D232" s="640" t="s">
        <v>303</v>
      </c>
      <c r="E232" s="326"/>
      <c r="F232" s="326"/>
      <c r="G232" s="327"/>
      <c r="H232" s="641" t="s">
        <v>303</v>
      </c>
      <c r="I232" s="326"/>
      <c r="J232" s="326"/>
      <c r="K232" s="327"/>
      <c r="L232" s="438" t="s">
        <v>303</v>
      </c>
      <c r="M232" s="326"/>
      <c r="N232" s="327"/>
      <c r="O232" s="519" t="s">
        <v>303</v>
      </c>
      <c r="P232" s="326"/>
      <c r="Q232" s="327"/>
      <c r="R232" s="527"/>
      <c r="S232" s="326"/>
      <c r="T232" s="327"/>
      <c r="U232" s="497"/>
      <c r="V232" s="326"/>
      <c r="W232" s="327"/>
      <c r="X232" s="66"/>
      <c r="Y232" s="67"/>
      <c r="Z232" s="66"/>
      <c r="AA232" s="67"/>
      <c r="AB232" s="66"/>
      <c r="AC232" s="67"/>
      <c r="AD232" s="66"/>
      <c r="AE232" s="67"/>
      <c r="AF232" s="66"/>
      <c r="AG232" s="67"/>
      <c r="AH232" s="66"/>
      <c r="AI232" s="67"/>
      <c r="AJ232" s="50"/>
      <c r="AK232" s="69"/>
      <c r="AL232" s="50"/>
      <c r="AM232" s="69"/>
      <c r="AN232" s="50"/>
      <c r="AO232" s="69"/>
      <c r="AP232" s="50"/>
      <c r="AQ232" s="69"/>
      <c r="AR232" s="50"/>
      <c r="AS232" s="642" t="s">
        <v>303</v>
      </c>
      <c r="AT232" s="326"/>
      <c r="AU232" s="326"/>
      <c r="AV232" s="326"/>
      <c r="AW232" s="326"/>
      <c r="AX232" s="326"/>
      <c r="AY232" s="327"/>
      <c r="AZ232" s="70"/>
      <c r="BA232" s="70"/>
      <c r="BB232" s="644" t="s">
        <v>334</v>
      </c>
      <c r="BC232" s="327"/>
      <c r="BD232" s="645" t="s">
        <v>303</v>
      </c>
      <c r="BE232" s="326"/>
      <c r="BF232" s="327"/>
      <c r="BG232" s="646" t="s">
        <v>303</v>
      </c>
      <c r="BH232" s="326"/>
      <c r="BI232" s="326"/>
      <c r="BJ232" s="327"/>
      <c r="BK232" s="647"/>
      <c r="BL232" s="326"/>
      <c r="BM232" s="327"/>
      <c r="BN232" s="71"/>
      <c r="BO232" s="71"/>
      <c r="BP232" s="646"/>
      <c r="BQ232" s="326"/>
      <c r="BR232" s="327"/>
      <c r="BS232" s="645" t="s">
        <v>303</v>
      </c>
      <c r="BT232" s="326"/>
      <c r="BU232" s="327"/>
    </row>
    <row r="233" spans="1:73" ht="30" customHeight="1" x14ac:dyDescent="0.25">
      <c r="A233" s="65">
        <f t="shared" si="0"/>
        <v>219</v>
      </c>
      <c r="B233" s="639" t="s">
        <v>334</v>
      </c>
      <c r="C233" s="327"/>
      <c r="D233" s="640" t="s">
        <v>303</v>
      </c>
      <c r="E233" s="326"/>
      <c r="F233" s="326"/>
      <c r="G233" s="327"/>
      <c r="H233" s="641" t="s">
        <v>303</v>
      </c>
      <c r="I233" s="326"/>
      <c r="J233" s="326"/>
      <c r="K233" s="327"/>
      <c r="L233" s="438" t="s">
        <v>303</v>
      </c>
      <c r="M233" s="326"/>
      <c r="N233" s="327"/>
      <c r="O233" s="519" t="s">
        <v>303</v>
      </c>
      <c r="P233" s="326"/>
      <c r="Q233" s="327"/>
      <c r="R233" s="527"/>
      <c r="S233" s="326"/>
      <c r="T233" s="327"/>
      <c r="U233" s="497"/>
      <c r="V233" s="326"/>
      <c r="W233" s="327"/>
      <c r="X233" s="66"/>
      <c r="Y233" s="67"/>
      <c r="Z233" s="66"/>
      <c r="AA233" s="67"/>
      <c r="AB233" s="66"/>
      <c r="AC233" s="67"/>
      <c r="AD233" s="66"/>
      <c r="AE233" s="67"/>
      <c r="AF233" s="66"/>
      <c r="AG233" s="67"/>
      <c r="AH233" s="66"/>
      <c r="AI233" s="67"/>
      <c r="AJ233" s="50"/>
      <c r="AK233" s="69"/>
      <c r="AL233" s="50"/>
      <c r="AM233" s="69"/>
      <c r="AN233" s="50"/>
      <c r="AO233" s="69"/>
      <c r="AP233" s="50"/>
      <c r="AQ233" s="69"/>
      <c r="AR233" s="50"/>
      <c r="AS233" s="642" t="s">
        <v>303</v>
      </c>
      <c r="AT233" s="326"/>
      <c r="AU233" s="326"/>
      <c r="AV233" s="326"/>
      <c r="AW233" s="326"/>
      <c r="AX233" s="326"/>
      <c r="AY233" s="327"/>
      <c r="AZ233" s="70"/>
      <c r="BA233" s="70"/>
      <c r="BB233" s="643" t="s">
        <v>334</v>
      </c>
      <c r="BC233" s="327"/>
      <c r="BD233" s="645" t="s">
        <v>303</v>
      </c>
      <c r="BE233" s="326"/>
      <c r="BF233" s="327"/>
      <c r="BG233" s="646" t="s">
        <v>303</v>
      </c>
      <c r="BH233" s="326"/>
      <c r="BI233" s="326"/>
      <c r="BJ233" s="327"/>
      <c r="BK233" s="647"/>
      <c r="BL233" s="326"/>
      <c r="BM233" s="327"/>
      <c r="BN233" s="71"/>
      <c r="BO233" s="71"/>
      <c r="BP233" s="646"/>
      <c r="BQ233" s="326"/>
      <c r="BR233" s="327"/>
      <c r="BS233" s="645" t="s">
        <v>303</v>
      </c>
      <c r="BT233" s="326"/>
      <c r="BU233" s="327"/>
    </row>
    <row r="234" spans="1:73" ht="30" customHeight="1" x14ac:dyDescent="0.25">
      <c r="A234" s="65">
        <f t="shared" si="0"/>
        <v>220</v>
      </c>
      <c r="B234" s="639" t="s">
        <v>334</v>
      </c>
      <c r="C234" s="327"/>
      <c r="D234" s="640" t="s">
        <v>303</v>
      </c>
      <c r="E234" s="326"/>
      <c r="F234" s="326"/>
      <c r="G234" s="327"/>
      <c r="H234" s="641" t="s">
        <v>303</v>
      </c>
      <c r="I234" s="326"/>
      <c r="J234" s="326"/>
      <c r="K234" s="327"/>
      <c r="L234" s="438" t="s">
        <v>303</v>
      </c>
      <c r="M234" s="326"/>
      <c r="N234" s="327"/>
      <c r="O234" s="519" t="s">
        <v>303</v>
      </c>
      <c r="P234" s="326"/>
      <c r="Q234" s="327"/>
      <c r="R234" s="527"/>
      <c r="S234" s="326"/>
      <c r="T234" s="327"/>
      <c r="U234" s="497"/>
      <c r="V234" s="326"/>
      <c r="W234" s="327"/>
      <c r="X234" s="66"/>
      <c r="Y234" s="67"/>
      <c r="Z234" s="66"/>
      <c r="AA234" s="67"/>
      <c r="AB234" s="66"/>
      <c r="AC234" s="67"/>
      <c r="AD234" s="66"/>
      <c r="AE234" s="67"/>
      <c r="AF234" s="66"/>
      <c r="AG234" s="67"/>
      <c r="AH234" s="66"/>
      <c r="AI234" s="67"/>
      <c r="AJ234" s="50"/>
      <c r="AK234" s="69"/>
      <c r="AL234" s="50"/>
      <c r="AM234" s="69"/>
      <c r="AN234" s="50"/>
      <c r="AO234" s="69"/>
      <c r="AP234" s="50"/>
      <c r="AQ234" s="69"/>
      <c r="AR234" s="50"/>
      <c r="AS234" s="642" t="s">
        <v>303</v>
      </c>
      <c r="AT234" s="326"/>
      <c r="AU234" s="326"/>
      <c r="AV234" s="326"/>
      <c r="AW234" s="326"/>
      <c r="AX234" s="326"/>
      <c r="AY234" s="327"/>
      <c r="AZ234" s="70"/>
      <c r="BA234" s="70"/>
      <c r="BB234" s="643" t="s">
        <v>334</v>
      </c>
      <c r="BC234" s="327"/>
      <c r="BD234" s="645" t="s">
        <v>303</v>
      </c>
      <c r="BE234" s="326"/>
      <c r="BF234" s="327"/>
      <c r="BG234" s="646" t="s">
        <v>303</v>
      </c>
      <c r="BH234" s="326"/>
      <c r="BI234" s="326"/>
      <c r="BJ234" s="327"/>
      <c r="BK234" s="647"/>
      <c r="BL234" s="326"/>
      <c r="BM234" s="327"/>
      <c r="BN234" s="71"/>
      <c r="BO234" s="71"/>
      <c r="BP234" s="646"/>
      <c r="BQ234" s="326"/>
      <c r="BR234" s="327"/>
      <c r="BS234" s="645" t="s">
        <v>303</v>
      </c>
      <c r="BT234" s="326"/>
      <c r="BU234" s="327"/>
    </row>
    <row r="235" spans="1:73" ht="30" customHeight="1" x14ac:dyDescent="0.25">
      <c r="A235" s="65">
        <f t="shared" si="0"/>
        <v>221</v>
      </c>
      <c r="B235" s="639" t="s">
        <v>334</v>
      </c>
      <c r="C235" s="327"/>
      <c r="D235" s="640" t="s">
        <v>303</v>
      </c>
      <c r="E235" s="326"/>
      <c r="F235" s="326"/>
      <c r="G235" s="327"/>
      <c r="H235" s="641" t="s">
        <v>303</v>
      </c>
      <c r="I235" s="326"/>
      <c r="J235" s="326"/>
      <c r="K235" s="327"/>
      <c r="L235" s="438" t="s">
        <v>303</v>
      </c>
      <c r="M235" s="326"/>
      <c r="N235" s="327"/>
      <c r="O235" s="519" t="s">
        <v>303</v>
      </c>
      <c r="P235" s="326"/>
      <c r="Q235" s="327"/>
      <c r="R235" s="527"/>
      <c r="S235" s="326"/>
      <c r="T235" s="327"/>
      <c r="U235" s="497"/>
      <c r="V235" s="326"/>
      <c r="W235" s="327"/>
      <c r="X235" s="66"/>
      <c r="Y235" s="67"/>
      <c r="Z235" s="66"/>
      <c r="AA235" s="67"/>
      <c r="AB235" s="66"/>
      <c r="AC235" s="67"/>
      <c r="AD235" s="66"/>
      <c r="AE235" s="67"/>
      <c r="AF235" s="66"/>
      <c r="AG235" s="67"/>
      <c r="AH235" s="66"/>
      <c r="AI235" s="67"/>
      <c r="AJ235" s="50"/>
      <c r="AK235" s="69"/>
      <c r="AL235" s="50"/>
      <c r="AM235" s="69"/>
      <c r="AN235" s="50"/>
      <c r="AO235" s="69"/>
      <c r="AP235" s="50"/>
      <c r="AQ235" s="69"/>
      <c r="AR235" s="50"/>
      <c r="AS235" s="642" t="s">
        <v>303</v>
      </c>
      <c r="AT235" s="326"/>
      <c r="AU235" s="326"/>
      <c r="AV235" s="326"/>
      <c r="AW235" s="326"/>
      <c r="AX235" s="326"/>
      <c r="AY235" s="327"/>
      <c r="AZ235" s="70"/>
      <c r="BA235" s="70"/>
      <c r="BB235" s="643" t="s">
        <v>334</v>
      </c>
      <c r="BC235" s="327"/>
      <c r="BD235" s="645" t="s">
        <v>303</v>
      </c>
      <c r="BE235" s="326"/>
      <c r="BF235" s="327"/>
      <c r="BG235" s="646" t="s">
        <v>303</v>
      </c>
      <c r="BH235" s="326"/>
      <c r="BI235" s="326"/>
      <c r="BJ235" s="327"/>
      <c r="BK235" s="647"/>
      <c r="BL235" s="326"/>
      <c r="BM235" s="327"/>
      <c r="BN235" s="71"/>
      <c r="BO235" s="71"/>
      <c r="BP235" s="646"/>
      <c r="BQ235" s="326"/>
      <c r="BR235" s="327"/>
      <c r="BS235" s="645" t="s">
        <v>303</v>
      </c>
      <c r="BT235" s="326"/>
      <c r="BU235" s="327"/>
    </row>
    <row r="236" spans="1:73" ht="30" customHeight="1" x14ac:dyDescent="0.25">
      <c r="A236" s="65">
        <f t="shared" si="0"/>
        <v>222</v>
      </c>
      <c r="B236" s="639" t="s">
        <v>334</v>
      </c>
      <c r="C236" s="327"/>
      <c r="D236" s="640" t="s">
        <v>303</v>
      </c>
      <c r="E236" s="326"/>
      <c r="F236" s="326"/>
      <c r="G236" s="327"/>
      <c r="H236" s="641" t="s">
        <v>303</v>
      </c>
      <c r="I236" s="326"/>
      <c r="J236" s="326"/>
      <c r="K236" s="327"/>
      <c r="L236" s="438" t="s">
        <v>303</v>
      </c>
      <c r="M236" s="326"/>
      <c r="N236" s="327"/>
      <c r="O236" s="519" t="s">
        <v>303</v>
      </c>
      <c r="P236" s="326"/>
      <c r="Q236" s="327"/>
      <c r="R236" s="527"/>
      <c r="S236" s="326"/>
      <c r="T236" s="327"/>
      <c r="U236" s="497"/>
      <c r="V236" s="326"/>
      <c r="W236" s="327"/>
      <c r="X236" s="66"/>
      <c r="Y236" s="67"/>
      <c r="Z236" s="66"/>
      <c r="AA236" s="67"/>
      <c r="AB236" s="66"/>
      <c r="AC236" s="67"/>
      <c r="AD236" s="66"/>
      <c r="AE236" s="67"/>
      <c r="AF236" s="66"/>
      <c r="AG236" s="67"/>
      <c r="AH236" s="66"/>
      <c r="AI236" s="67"/>
      <c r="AJ236" s="50"/>
      <c r="AK236" s="69"/>
      <c r="AL236" s="50"/>
      <c r="AM236" s="69"/>
      <c r="AN236" s="50"/>
      <c r="AO236" s="69"/>
      <c r="AP236" s="50"/>
      <c r="AQ236" s="69"/>
      <c r="AR236" s="50"/>
      <c r="AS236" s="642" t="s">
        <v>303</v>
      </c>
      <c r="AT236" s="326"/>
      <c r="AU236" s="326"/>
      <c r="AV236" s="326"/>
      <c r="AW236" s="326"/>
      <c r="AX236" s="326"/>
      <c r="AY236" s="327"/>
      <c r="AZ236" s="70"/>
      <c r="BA236" s="70"/>
      <c r="BB236" s="643" t="s">
        <v>334</v>
      </c>
      <c r="BC236" s="327"/>
      <c r="BD236" s="645" t="s">
        <v>303</v>
      </c>
      <c r="BE236" s="326"/>
      <c r="BF236" s="327"/>
      <c r="BG236" s="646" t="s">
        <v>303</v>
      </c>
      <c r="BH236" s="326"/>
      <c r="BI236" s="326"/>
      <c r="BJ236" s="327"/>
      <c r="BK236" s="647"/>
      <c r="BL236" s="326"/>
      <c r="BM236" s="327"/>
      <c r="BN236" s="71"/>
      <c r="BO236" s="71"/>
      <c r="BP236" s="646"/>
      <c r="BQ236" s="326"/>
      <c r="BR236" s="327"/>
      <c r="BS236" s="645" t="s">
        <v>303</v>
      </c>
      <c r="BT236" s="326"/>
      <c r="BU236" s="327"/>
    </row>
    <row r="237" spans="1:73" ht="30" customHeight="1" x14ac:dyDescent="0.25">
      <c r="A237" s="65">
        <f t="shared" si="0"/>
        <v>223</v>
      </c>
      <c r="B237" s="639" t="s">
        <v>334</v>
      </c>
      <c r="C237" s="327"/>
      <c r="D237" s="640" t="s">
        <v>303</v>
      </c>
      <c r="E237" s="326"/>
      <c r="F237" s="326"/>
      <c r="G237" s="327"/>
      <c r="H237" s="641" t="s">
        <v>303</v>
      </c>
      <c r="I237" s="326"/>
      <c r="J237" s="326"/>
      <c r="K237" s="327"/>
      <c r="L237" s="438" t="s">
        <v>303</v>
      </c>
      <c r="M237" s="326"/>
      <c r="N237" s="327"/>
      <c r="O237" s="519" t="s">
        <v>303</v>
      </c>
      <c r="P237" s="326"/>
      <c r="Q237" s="327"/>
      <c r="R237" s="527"/>
      <c r="S237" s="326"/>
      <c r="T237" s="327"/>
      <c r="U237" s="497"/>
      <c r="V237" s="326"/>
      <c r="W237" s="327"/>
      <c r="X237" s="66"/>
      <c r="Y237" s="67"/>
      <c r="Z237" s="66"/>
      <c r="AA237" s="67"/>
      <c r="AB237" s="66"/>
      <c r="AC237" s="67"/>
      <c r="AD237" s="66"/>
      <c r="AE237" s="67"/>
      <c r="AF237" s="66"/>
      <c r="AG237" s="67"/>
      <c r="AH237" s="66"/>
      <c r="AI237" s="67"/>
      <c r="AJ237" s="50"/>
      <c r="AK237" s="69"/>
      <c r="AL237" s="50"/>
      <c r="AM237" s="69"/>
      <c r="AN237" s="50"/>
      <c r="AO237" s="69"/>
      <c r="AP237" s="50"/>
      <c r="AQ237" s="69"/>
      <c r="AR237" s="50"/>
      <c r="AS237" s="642" t="s">
        <v>303</v>
      </c>
      <c r="AT237" s="326"/>
      <c r="AU237" s="326"/>
      <c r="AV237" s="326"/>
      <c r="AW237" s="326"/>
      <c r="AX237" s="326"/>
      <c r="AY237" s="327"/>
      <c r="AZ237" s="70"/>
      <c r="BA237" s="70"/>
      <c r="BB237" s="643" t="s">
        <v>334</v>
      </c>
      <c r="BC237" s="327"/>
      <c r="BD237" s="645" t="s">
        <v>303</v>
      </c>
      <c r="BE237" s="326"/>
      <c r="BF237" s="327"/>
      <c r="BG237" s="646" t="s">
        <v>303</v>
      </c>
      <c r="BH237" s="326"/>
      <c r="BI237" s="326"/>
      <c r="BJ237" s="327"/>
      <c r="BK237" s="647"/>
      <c r="BL237" s="326"/>
      <c r="BM237" s="327"/>
      <c r="BN237" s="71"/>
      <c r="BO237" s="71"/>
      <c r="BP237" s="646"/>
      <c r="BQ237" s="326"/>
      <c r="BR237" s="327"/>
      <c r="BS237" s="645" t="s">
        <v>303</v>
      </c>
      <c r="BT237" s="326"/>
      <c r="BU237" s="327"/>
    </row>
    <row r="238" spans="1:73" ht="30" customHeight="1" x14ac:dyDescent="0.25">
      <c r="A238" s="65">
        <f t="shared" si="0"/>
        <v>224</v>
      </c>
      <c r="B238" s="639" t="s">
        <v>334</v>
      </c>
      <c r="C238" s="327"/>
      <c r="D238" s="640" t="s">
        <v>303</v>
      </c>
      <c r="E238" s="326"/>
      <c r="F238" s="326"/>
      <c r="G238" s="327"/>
      <c r="H238" s="641" t="s">
        <v>303</v>
      </c>
      <c r="I238" s="326"/>
      <c r="J238" s="326"/>
      <c r="K238" s="327"/>
      <c r="L238" s="438" t="s">
        <v>303</v>
      </c>
      <c r="M238" s="326"/>
      <c r="N238" s="327"/>
      <c r="O238" s="519" t="s">
        <v>303</v>
      </c>
      <c r="P238" s="326"/>
      <c r="Q238" s="327"/>
      <c r="R238" s="527"/>
      <c r="S238" s="326"/>
      <c r="T238" s="327"/>
      <c r="U238" s="497"/>
      <c r="V238" s="326"/>
      <c r="W238" s="327"/>
      <c r="X238" s="66"/>
      <c r="Y238" s="67"/>
      <c r="Z238" s="66"/>
      <c r="AA238" s="67"/>
      <c r="AB238" s="66"/>
      <c r="AC238" s="67"/>
      <c r="AD238" s="66"/>
      <c r="AE238" s="67"/>
      <c r="AF238" s="66"/>
      <c r="AG238" s="67"/>
      <c r="AH238" s="66"/>
      <c r="AI238" s="67"/>
      <c r="AJ238" s="50"/>
      <c r="AK238" s="69"/>
      <c r="AL238" s="50"/>
      <c r="AM238" s="69"/>
      <c r="AN238" s="50"/>
      <c r="AO238" s="69"/>
      <c r="AP238" s="50"/>
      <c r="AQ238" s="69"/>
      <c r="AR238" s="50"/>
      <c r="AS238" s="642" t="s">
        <v>303</v>
      </c>
      <c r="AT238" s="326"/>
      <c r="AU238" s="326"/>
      <c r="AV238" s="326"/>
      <c r="AW238" s="326"/>
      <c r="AX238" s="326"/>
      <c r="AY238" s="327"/>
      <c r="AZ238" s="70"/>
      <c r="BA238" s="70"/>
      <c r="BB238" s="643" t="s">
        <v>334</v>
      </c>
      <c r="BC238" s="327"/>
      <c r="BD238" s="645" t="s">
        <v>303</v>
      </c>
      <c r="BE238" s="326"/>
      <c r="BF238" s="327"/>
      <c r="BG238" s="646" t="s">
        <v>303</v>
      </c>
      <c r="BH238" s="326"/>
      <c r="BI238" s="326"/>
      <c r="BJ238" s="327"/>
      <c r="BK238" s="647"/>
      <c r="BL238" s="326"/>
      <c r="BM238" s="327"/>
      <c r="BN238" s="71"/>
      <c r="BO238" s="71"/>
      <c r="BP238" s="646"/>
      <c r="BQ238" s="326"/>
      <c r="BR238" s="327"/>
      <c r="BS238" s="645" t="s">
        <v>303</v>
      </c>
      <c r="BT238" s="326"/>
      <c r="BU238" s="327"/>
    </row>
    <row r="239" spans="1:73" ht="30" customHeight="1" x14ac:dyDescent="0.25">
      <c r="A239" s="65">
        <f t="shared" si="0"/>
        <v>225</v>
      </c>
      <c r="B239" s="639" t="s">
        <v>334</v>
      </c>
      <c r="C239" s="327"/>
      <c r="D239" s="640" t="s">
        <v>303</v>
      </c>
      <c r="E239" s="326"/>
      <c r="F239" s="326"/>
      <c r="G239" s="327"/>
      <c r="H239" s="641" t="s">
        <v>303</v>
      </c>
      <c r="I239" s="326"/>
      <c r="J239" s="326"/>
      <c r="K239" s="327"/>
      <c r="L239" s="438" t="s">
        <v>303</v>
      </c>
      <c r="M239" s="326"/>
      <c r="N239" s="327"/>
      <c r="O239" s="519" t="s">
        <v>303</v>
      </c>
      <c r="P239" s="326"/>
      <c r="Q239" s="327"/>
      <c r="R239" s="527"/>
      <c r="S239" s="326"/>
      <c r="T239" s="327"/>
      <c r="U239" s="497"/>
      <c r="V239" s="326"/>
      <c r="W239" s="327"/>
      <c r="X239" s="66"/>
      <c r="Y239" s="67"/>
      <c r="Z239" s="66"/>
      <c r="AA239" s="67"/>
      <c r="AB239" s="66"/>
      <c r="AC239" s="67"/>
      <c r="AD239" s="66"/>
      <c r="AE239" s="67"/>
      <c r="AF239" s="66"/>
      <c r="AG239" s="67"/>
      <c r="AH239" s="66"/>
      <c r="AI239" s="67"/>
      <c r="AJ239" s="50"/>
      <c r="AK239" s="69"/>
      <c r="AL239" s="50"/>
      <c r="AM239" s="69"/>
      <c r="AN239" s="50"/>
      <c r="AO239" s="69"/>
      <c r="AP239" s="50"/>
      <c r="AQ239" s="69"/>
      <c r="AR239" s="50"/>
      <c r="AS239" s="642" t="s">
        <v>303</v>
      </c>
      <c r="AT239" s="326"/>
      <c r="AU239" s="326"/>
      <c r="AV239" s="326"/>
      <c r="AW239" s="326"/>
      <c r="AX239" s="326"/>
      <c r="AY239" s="327"/>
      <c r="AZ239" s="70"/>
      <c r="BA239" s="70"/>
      <c r="BB239" s="644" t="s">
        <v>334</v>
      </c>
      <c r="BC239" s="327"/>
      <c r="BD239" s="645" t="s">
        <v>303</v>
      </c>
      <c r="BE239" s="326"/>
      <c r="BF239" s="327"/>
      <c r="BG239" s="646" t="s">
        <v>303</v>
      </c>
      <c r="BH239" s="326"/>
      <c r="BI239" s="326"/>
      <c r="BJ239" s="327"/>
      <c r="BK239" s="647"/>
      <c r="BL239" s="326"/>
      <c r="BM239" s="327"/>
      <c r="BN239" s="71"/>
      <c r="BO239" s="71"/>
      <c r="BP239" s="646"/>
      <c r="BQ239" s="326"/>
      <c r="BR239" s="327"/>
      <c r="BS239" s="645" t="s">
        <v>303</v>
      </c>
      <c r="BT239" s="326"/>
      <c r="BU239" s="327"/>
    </row>
    <row r="240" spans="1:73" ht="30" customHeight="1" x14ac:dyDescent="0.25">
      <c r="A240" s="65">
        <f t="shared" si="0"/>
        <v>226</v>
      </c>
      <c r="B240" s="639" t="s">
        <v>334</v>
      </c>
      <c r="C240" s="327"/>
      <c r="D240" s="640" t="s">
        <v>303</v>
      </c>
      <c r="E240" s="326"/>
      <c r="F240" s="326"/>
      <c r="G240" s="327"/>
      <c r="H240" s="641" t="s">
        <v>303</v>
      </c>
      <c r="I240" s="326"/>
      <c r="J240" s="326"/>
      <c r="K240" s="327"/>
      <c r="L240" s="438" t="s">
        <v>303</v>
      </c>
      <c r="M240" s="326"/>
      <c r="N240" s="327"/>
      <c r="O240" s="519" t="s">
        <v>303</v>
      </c>
      <c r="P240" s="326"/>
      <c r="Q240" s="327"/>
      <c r="R240" s="527"/>
      <c r="S240" s="326"/>
      <c r="T240" s="327"/>
      <c r="U240" s="497"/>
      <c r="V240" s="326"/>
      <c r="W240" s="327"/>
      <c r="X240" s="66"/>
      <c r="Y240" s="67"/>
      <c r="Z240" s="66"/>
      <c r="AA240" s="67"/>
      <c r="AB240" s="66"/>
      <c r="AC240" s="67"/>
      <c r="AD240" s="66"/>
      <c r="AE240" s="67"/>
      <c r="AF240" s="66"/>
      <c r="AG240" s="67"/>
      <c r="AH240" s="66"/>
      <c r="AI240" s="67"/>
      <c r="AJ240" s="50"/>
      <c r="AK240" s="69"/>
      <c r="AL240" s="50"/>
      <c r="AM240" s="69"/>
      <c r="AN240" s="50"/>
      <c r="AO240" s="69"/>
      <c r="AP240" s="50"/>
      <c r="AQ240" s="69"/>
      <c r="AR240" s="50"/>
      <c r="AS240" s="642" t="s">
        <v>303</v>
      </c>
      <c r="AT240" s="326"/>
      <c r="AU240" s="326"/>
      <c r="AV240" s="326"/>
      <c r="AW240" s="326"/>
      <c r="AX240" s="326"/>
      <c r="AY240" s="327"/>
      <c r="AZ240" s="70"/>
      <c r="BA240" s="70"/>
      <c r="BB240" s="643" t="s">
        <v>334</v>
      </c>
      <c r="BC240" s="327"/>
      <c r="BD240" s="645" t="s">
        <v>303</v>
      </c>
      <c r="BE240" s="326"/>
      <c r="BF240" s="327"/>
      <c r="BG240" s="646" t="s">
        <v>303</v>
      </c>
      <c r="BH240" s="326"/>
      <c r="BI240" s="326"/>
      <c r="BJ240" s="327"/>
      <c r="BK240" s="647"/>
      <c r="BL240" s="326"/>
      <c r="BM240" s="327"/>
      <c r="BN240" s="71"/>
      <c r="BO240" s="71"/>
      <c r="BP240" s="646"/>
      <c r="BQ240" s="326"/>
      <c r="BR240" s="327"/>
      <c r="BS240" s="645" t="s">
        <v>303</v>
      </c>
      <c r="BT240" s="326"/>
      <c r="BU240" s="327"/>
    </row>
    <row r="241" spans="1:73" ht="30" customHeight="1" x14ac:dyDescent="0.25">
      <c r="A241" s="65">
        <f t="shared" si="0"/>
        <v>227</v>
      </c>
      <c r="B241" s="639" t="s">
        <v>334</v>
      </c>
      <c r="C241" s="327"/>
      <c r="D241" s="640" t="s">
        <v>303</v>
      </c>
      <c r="E241" s="326"/>
      <c r="F241" s="326"/>
      <c r="G241" s="327"/>
      <c r="H241" s="641" t="s">
        <v>303</v>
      </c>
      <c r="I241" s="326"/>
      <c r="J241" s="326"/>
      <c r="K241" s="327"/>
      <c r="L241" s="438" t="s">
        <v>303</v>
      </c>
      <c r="M241" s="326"/>
      <c r="N241" s="327"/>
      <c r="O241" s="519" t="s">
        <v>303</v>
      </c>
      <c r="P241" s="326"/>
      <c r="Q241" s="327"/>
      <c r="R241" s="527"/>
      <c r="S241" s="326"/>
      <c r="T241" s="327"/>
      <c r="U241" s="497"/>
      <c r="V241" s="326"/>
      <c r="W241" s="327"/>
      <c r="X241" s="66"/>
      <c r="Y241" s="67"/>
      <c r="Z241" s="66"/>
      <c r="AA241" s="67"/>
      <c r="AB241" s="66"/>
      <c r="AC241" s="67"/>
      <c r="AD241" s="66"/>
      <c r="AE241" s="67"/>
      <c r="AF241" s="66"/>
      <c r="AG241" s="67"/>
      <c r="AH241" s="66"/>
      <c r="AI241" s="67"/>
      <c r="AJ241" s="50"/>
      <c r="AK241" s="69"/>
      <c r="AL241" s="50"/>
      <c r="AM241" s="69"/>
      <c r="AN241" s="50"/>
      <c r="AO241" s="69"/>
      <c r="AP241" s="50"/>
      <c r="AQ241" s="69"/>
      <c r="AR241" s="50"/>
      <c r="AS241" s="642" t="s">
        <v>303</v>
      </c>
      <c r="AT241" s="326"/>
      <c r="AU241" s="326"/>
      <c r="AV241" s="326"/>
      <c r="AW241" s="326"/>
      <c r="AX241" s="326"/>
      <c r="AY241" s="327"/>
      <c r="AZ241" s="70"/>
      <c r="BA241" s="70"/>
      <c r="BB241" s="643" t="s">
        <v>334</v>
      </c>
      <c r="BC241" s="327"/>
      <c r="BD241" s="645" t="s">
        <v>303</v>
      </c>
      <c r="BE241" s="326"/>
      <c r="BF241" s="327"/>
      <c r="BG241" s="646" t="s">
        <v>303</v>
      </c>
      <c r="BH241" s="326"/>
      <c r="BI241" s="326"/>
      <c r="BJ241" s="327"/>
      <c r="BK241" s="647"/>
      <c r="BL241" s="326"/>
      <c r="BM241" s="327"/>
      <c r="BN241" s="71"/>
      <c r="BO241" s="71"/>
      <c r="BP241" s="646"/>
      <c r="BQ241" s="326"/>
      <c r="BR241" s="327"/>
      <c r="BS241" s="645" t="s">
        <v>303</v>
      </c>
      <c r="BT241" s="326"/>
      <c r="BU241" s="327"/>
    </row>
    <row r="242" spans="1:73" ht="30" customHeight="1" x14ac:dyDescent="0.25">
      <c r="A242" s="65">
        <f t="shared" si="0"/>
        <v>228</v>
      </c>
      <c r="B242" s="639" t="s">
        <v>334</v>
      </c>
      <c r="C242" s="327"/>
      <c r="D242" s="640" t="s">
        <v>303</v>
      </c>
      <c r="E242" s="326"/>
      <c r="F242" s="326"/>
      <c r="G242" s="327"/>
      <c r="H242" s="641" t="s">
        <v>303</v>
      </c>
      <c r="I242" s="326"/>
      <c r="J242" s="326"/>
      <c r="K242" s="327"/>
      <c r="L242" s="438" t="s">
        <v>303</v>
      </c>
      <c r="M242" s="326"/>
      <c r="N242" s="327"/>
      <c r="O242" s="519" t="s">
        <v>303</v>
      </c>
      <c r="P242" s="326"/>
      <c r="Q242" s="327"/>
      <c r="R242" s="527"/>
      <c r="S242" s="326"/>
      <c r="T242" s="327"/>
      <c r="U242" s="497"/>
      <c r="V242" s="326"/>
      <c r="W242" s="327"/>
      <c r="X242" s="66"/>
      <c r="Y242" s="67"/>
      <c r="Z242" s="66"/>
      <c r="AA242" s="67"/>
      <c r="AB242" s="66"/>
      <c r="AC242" s="67"/>
      <c r="AD242" s="66"/>
      <c r="AE242" s="67"/>
      <c r="AF242" s="66"/>
      <c r="AG242" s="67"/>
      <c r="AH242" s="66"/>
      <c r="AI242" s="67"/>
      <c r="AJ242" s="50"/>
      <c r="AK242" s="69"/>
      <c r="AL242" s="50"/>
      <c r="AM242" s="69"/>
      <c r="AN242" s="50"/>
      <c r="AO242" s="69"/>
      <c r="AP242" s="50"/>
      <c r="AQ242" s="69"/>
      <c r="AR242" s="50"/>
      <c r="AS242" s="642" t="s">
        <v>303</v>
      </c>
      <c r="AT242" s="326"/>
      <c r="AU242" s="326"/>
      <c r="AV242" s="326"/>
      <c r="AW242" s="326"/>
      <c r="AX242" s="326"/>
      <c r="AY242" s="327"/>
      <c r="AZ242" s="70"/>
      <c r="BA242" s="70"/>
      <c r="BB242" s="643" t="s">
        <v>334</v>
      </c>
      <c r="BC242" s="327"/>
      <c r="BD242" s="645" t="s">
        <v>303</v>
      </c>
      <c r="BE242" s="326"/>
      <c r="BF242" s="327"/>
      <c r="BG242" s="646" t="s">
        <v>303</v>
      </c>
      <c r="BH242" s="326"/>
      <c r="BI242" s="326"/>
      <c r="BJ242" s="327"/>
      <c r="BK242" s="647"/>
      <c r="BL242" s="326"/>
      <c r="BM242" s="327"/>
      <c r="BN242" s="71"/>
      <c r="BO242" s="71"/>
      <c r="BP242" s="646"/>
      <c r="BQ242" s="326"/>
      <c r="BR242" s="327"/>
      <c r="BS242" s="645" t="s">
        <v>303</v>
      </c>
      <c r="BT242" s="326"/>
      <c r="BU242" s="327"/>
    </row>
    <row r="243" spans="1:73" ht="30" customHeight="1" x14ac:dyDescent="0.25">
      <c r="A243" s="65">
        <f t="shared" si="0"/>
        <v>229</v>
      </c>
      <c r="B243" s="639" t="s">
        <v>334</v>
      </c>
      <c r="C243" s="327"/>
      <c r="D243" s="640" t="s">
        <v>303</v>
      </c>
      <c r="E243" s="326"/>
      <c r="F243" s="326"/>
      <c r="G243" s="327"/>
      <c r="H243" s="641" t="s">
        <v>303</v>
      </c>
      <c r="I243" s="326"/>
      <c r="J243" s="326"/>
      <c r="K243" s="327"/>
      <c r="L243" s="438" t="s">
        <v>303</v>
      </c>
      <c r="M243" s="326"/>
      <c r="N243" s="327"/>
      <c r="O243" s="519" t="s">
        <v>303</v>
      </c>
      <c r="P243" s="326"/>
      <c r="Q243" s="327"/>
      <c r="R243" s="527"/>
      <c r="S243" s="326"/>
      <c r="T243" s="327"/>
      <c r="U243" s="497"/>
      <c r="V243" s="326"/>
      <c r="W243" s="327"/>
      <c r="X243" s="66"/>
      <c r="Y243" s="67"/>
      <c r="Z243" s="66"/>
      <c r="AA243" s="67"/>
      <c r="AB243" s="66"/>
      <c r="AC243" s="67"/>
      <c r="AD243" s="66"/>
      <c r="AE243" s="67"/>
      <c r="AF243" s="66"/>
      <c r="AG243" s="67"/>
      <c r="AH243" s="66"/>
      <c r="AI243" s="67"/>
      <c r="AJ243" s="50"/>
      <c r="AK243" s="69"/>
      <c r="AL243" s="50"/>
      <c r="AM243" s="69"/>
      <c r="AN243" s="50"/>
      <c r="AO243" s="69"/>
      <c r="AP243" s="50"/>
      <c r="AQ243" s="69"/>
      <c r="AR243" s="50"/>
      <c r="AS243" s="642" t="s">
        <v>303</v>
      </c>
      <c r="AT243" s="326"/>
      <c r="AU243" s="326"/>
      <c r="AV243" s="326"/>
      <c r="AW243" s="326"/>
      <c r="AX243" s="326"/>
      <c r="AY243" s="327"/>
      <c r="AZ243" s="70"/>
      <c r="BA243" s="70"/>
      <c r="BB243" s="643" t="s">
        <v>334</v>
      </c>
      <c r="BC243" s="327"/>
      <c r="BD243" s="645" t="s">
        <v>303</v>
      </c>
      <c r="BE243" s="326"/>
      <c r="BF243" s="327"/>
      <c r="BG243" s="646" t="s">
        <v>303</v>
      </c>
      <c r="BH243" s="326"/>
      <c r="BI243" s="326"/>
      <c r="BJ243" s="327"/>
      <c r="BK243" s="647"/>
      <c r="BL243" s="326"/>
      <c r="BM243" s="327"/>
      <c r="BN243" s="71"/>
      <c r="BO243" s="71"/>
      <c r="BP243" s="646"/>
      <c r="BQ243" s="326"/>
      <c r="BR243" s="327"/>
      <c r="BS243" s="645" t="s">
        <v>303</v>
      </c>
      <c r="BT243" s="326"/>
      <c r="BU243" s="327"/>
    </row>
    <row r="244" spans="1:73" ht="30" customHeight="1" x14ac:dyDescent="0.25">
      <c r="A244" s="65">
        <f t="shared" si="0"/>
        <v>230</v>
      </c>
      <c r="B244" s="639" t="s">
        <v>334</v>
      </c>
      <c r="C244" s="327"/>
      <c r="D244" s="640" t="s">
        <v>303</v>
      </c>
      <c r="E244" s="326"/>
      <c r="F244" s="326"/>
      <c r="G244" s="327"/>
      <c r="H244" s="641" t="s">
        <v>303</v>
      </c>
      <c r="I244" s="326"/>
      <c r="J244" s="326"/>
      <c r="K244" s="327"/>
      <c r="L244" s="438" t="s">
        <v>303</v>
      </c>
      <c r="M244" s="326"/>
      <c r="N244" s="327"/>
      <c r="O244" s="519" t="s">
        <v>303</v>
      </c>
      <c r="P244" s="326"/>
      <c r="Q244" s="327"/>
      <c r="R244" s="527"/>
      <c r="S244" s="326"/>
      <c r="T244" s="327"/>
      <c r="U244" s="497"/>
      <c r="V244" s="326"/>
      <c r="W244" s="327"/>
      <c r="X244" s="66"/>
      <c r="Y244" s="67"/>
      <c r="Z244" s="66"/>
      <c r="AA244" s="67"/>
      <c r="AB244" s="66"/>
      <c r="AC244" s="67"/>
      <c r="AD244" s="66"/>
      <c r="AE244" s="67"/>
      <c r="AF244" s="66"/>
      <c r="AG244" s="67"/>
      <c r="AH244" s="66"/>
      <c r="AI244" s="67"/>
      <c r="AJ244" s="50"/>
      <c r="AK244" s="69"/>
      <c r="AL244" s="50"/>
      <c r="AM244" s="69"/>
      <c r="AN244" s="50"/>
      <c r="AO244" s="69"/>
      <c r="AP244" s="50"/>
      <c r="AQ244" s="69"/>
      <c r="AR244" s="50"/>
      <c r="AS244" s="642" t="s">
        <v>303</v>
      </c>
      <c r="AT244" s="326"/>
      <c r="AU244" s="326"/>
      <c r="AV244" s="326"/>
      <c r="AW244" s="326"/>
      <c r="AX244" s="326"/>
      <c r="AY244" s="327"/>
      <c r="AZ244" s="70"/>
      <c r="BA244" s="70"/>
      <c r="BB244" s="643" t="s">
        <v>334</v>
      </c>
      <c r="BC244" s="327"/>
      <c r="BD244" s="645" t="s">
        <v>303</v>
      </c>
      <c r="BE244" s="326"/>
      <c r="BF244" s="327"/>
      <c r="BG244" s="646" t="s">
        <v>303</v>
      </c>
      <c r="BH244" s="326"/>
      <c r="BI244" s="326"/>
      <c r="BJ244" s="327"/>
      <c r="BK244" s="647"/>
      <c r="BL244" s="326"/>
      <c r="BM244" s="327"/>
      <c r="BN244" s="71"/>
      <c r="BO244" s="71"/>
      <c r="BP244" s="646"/>
      <c r="BQ244" s="326"/>
      <c r="BR244" s="327"/>
      <c r="BS244" s="645" t="s">
        <v>303</v>
      </c>
      <c r="BT244" s="326"/>
      <c r="BU244" s="327"/>
    </row>
    <row r="245" spans="1:73" ht="30" customHeight="1" x14ac:dyDescent="0.25">
      <c r="A245" s="65">
        <f t="shared" si="0"/>
        <v>231</v>
      </c>
      <c r="B245" s="639" t="s">
        <v>334</v>
      </c>
      <c r="C245" s="327"/>
      <c r="D245" s="640" t="s">
        <v>303</v>
      </c>
      <c r="E245" s="326"/>
      <c r="F245" s="326"/>
      <c r="G245" s="327"/>
      <c r="H245" s="641" t="s">
        <v>303</v>
      </c>
      <c r="I245" s="326"/>
      <c r="J245" s="326"/>
      <c r="K245" s="327"/>
      <c r="L245" s="438" t="s">
        <v>303</v>
      </c>
      <c r="M245" s="326"/>
      <c r="N245" s="327"/>
      <c r="O245" s="519" t="s">
        <v>303</v>
      </c>
      <c r="P245" s="326"/>
      <c r="Q245" s="327"/>
      <c r="R245" s="527"/>
      <c r="S245" s="326"/>
      <c r="T245" s="327"/>
      <c r="U245" s="497"/>
      <c r="V245" s="326"/>
      <c r="W245" s="327"/>
      <c r="X245" s="66"/>
      <c r="Y245" s="67"/>
      <c r="Z245" s="66"/>
      <c r="AA245" s="67"/>
      <c r="AB245" s="66"/>
      <c r="AC245" s="67"/>
      <c r="AD245" s="66"/>
      <c r="AE245" s="67"/>
      <c r="AF245" s="66"/>
      <c r="AG245" s="67"/>
      <c r="AH245" s="66"/>
      <c r="AI245" s="67"/>
      <c r="AJ245" s="50"/>
      <c r="AK245" s="69"/>
      <c r="AL245" s="50"/>
      <c r="AM245" s="69"/>
      <c r="AN245" s="50"/>
      <c r="AO245" s="69"/>
      <c r="AP245" s="50"/>
      <c r="AQ245" s="69"/>
      <c r="AR245" s="50"/>
      <c r="AS245" s="642" t="s">
        <v>303</v>
      </c>
      <c r="AT245" s="326"/>
      <c r="AU245" s="326"/>
      <c r="AV245" s="326"/>
      <c r="AW245" s="326"/>
      <c r="AX245" s="326"/>
      <c r="AY245" s="327"/>
      <c r="AZ245" s="70"/>
      <c r="BA245" s="70"/>
      <c r="BB245" s="643" t="s">
        <v>334</v>
      </c>
      <c r="BC245" s="327"/>
      <c r="BD245" s="645" t="s">
        <v>303</v>
      </c>
      <c r="BE245" s="326"/>
      <c r="BF245" s="327"/>
      <c r="BG245" s="646" t="s">
        <v>303</v>
      </c>
      <c r="BH245" s="326"/>
      <c r="BI245" s="326"/>
      <c r="BJ245" s="327"/>
      <c r="BK245" s="647"/>
      <c r="BL245" s="326"/>
      <c r="BM245" s="327"/>
      <c r="BN245" s="71"/>
      <c r="BO245" s="71"/>
      <c r="BP245" s="646"/>
      <c r="BQ245" s="326"/>
      <c r="BR245" s="327"/>
      <c r="BS245" s="645" t="s">
        <v>303</v>
      </c>
      <c r="BT245" s="326"/>
      <c r="BU245" s="327"/>
    </row>
    <row r="246" spans="1:73" ht="30" customHeight="1" x14ac:dyDescent="0.25">
      <c r="A246" s="65">
        <f t="shared" si="0"/>
        <v>232</v>
      </c>
      <c r="B246" s="639" t="s">
        <v>334</v>
      </c>
      <c r="C246" s="327"/>
      <c r="D246" s="640" t="s">
        <v>303</v>
      </c>
      <c r="E246" s="326"/>
      <c r="F246" s="326"/>
      <c r="G246" s="327"/>
      <c r="H246" s="641" t="s">
        <v>303</v>
      </c>
      <c r="I246" s="326"/>
      <c r="J246" s="326"/>
      <c r="K246" s="327"/>
      <c r="L246" s="438" t="s">
        <v>303</v>
      </c>
      <c r="M246" s="326"/>
      <c r="N246" s="327"/>
      <c r="O246" s="519" t="s">
        <v>303</v>
      </c>
      <c r="P246" s="326"/>
      <c r="Q246" s="327"/>
      <c r="R246" s="527"/>
      <c r="S246" s="326"/>
      <c r="T246" s="327"/>
      <c r="U246" s="497"/>
      <c r="V246" s="326"/>
      <c r="W246" s="327"/>
      <c r="X246" s="66"/>
      <c r="Y246" s="67"/>
      <c r="Z246" s="66"/>
      <c r="AA246" s="67"/>
      <c r="AB246" s="66"/>
      <c r="AC246" s="67"/>
      <c r="AD246" s="66"/>
      <c r="AE246" s="67"/>
      <c r="AF246" s="66"/>
      <c r="AG246" s="67"/>
      <c r="AH246" s="66"/>
      <c r="AI246" s="67"/>
      <c r="AJ246" s="50"/>
      <c r="AK246" s="69"/>
      <c r="AL246" s="50"/>
      <c r="AM246" s="69"/>
      <c r="AN246" s="50"/>
      <c r="AO246" s="69"/>
      <c r="AP246" s="50"/>
      <c r="AQ246" s="69"/>
      <c r="AR246" s="50"/>
      <c r="AS246" s="642" t="s">
        <v>303</v>
      </c>
      <c r="AT246" s="326"/>
      <c r="AU246" s="326"/>
      <c r="AV246" s="326"/>
      <c r="AW246" s="326"/>
      <c r="AX246" s="326"/>
      <c r="AY246" s="327"/>
      <c r="AZ246" s="70"/>
      <c r="BA246" s="70"/>
      <c r="BB246" s="644" t="s">
        <v>334</v>
      </c>
      <c r="BC246" s="327"/>
      <c r="BD246" s="645" t="s">
        <v>303</v>
      </c>
      <c r="BE246" s="326"/>
      <c r="BF246" s="327"/>
      <c r="BG246" s="646" t="s">
        <v>303</v>
      </c>
      <c r="BH246" s="326"/>
      <c r="BI246" s="326"/>
      <c r="BJ246" s="327"/>
      <c r="BK246" s="647"/>
      <c r="BL246" s="326"/>
      <c r="BM246" s="327"/>
      <c r="BN246" s="71"/>
      <c r="BO246" s="71"/>
      <c r="BP246" s="646"/>
      <c r="BQ246" s="326"/>
      <c r="BR246" s="327"/>
      <c r="BS246" s="645" t="s">
        <v>303</v>
      </c>
      <c r="BT246" s="326"/>
      <c r="BU246" s="327"/>
    </row>
    <row r="247" spans="1:73" ht="30" customHeight="1" x14ac:dyDescent="0.25">
      <c r="A247" s="65">
        <f t="shared" si="0"/>
        <v>233</v>
      </c>
      <c r="B247" s="639" t="s">
        <v>334</v>
      </c>
      <c r="C247" s="327"/>
      <c r="D247" s="640" t="s">
        <v>303</v>
      </c>
      <c r="E247" s="326"/>
      <c r="F247" s="326"/>
      <c r="G247" s="327"/>
      <c r="H247" s="641" t="s">
        <v>303</v>
      </c>
      <c r="I247" s="326"/>
      <c r="J247" s="326"/>
      <c r="K247" s="327"/>
      <c r="L247" s="438" t="s">
        <v>303</v>
      </c>
      <c r="M247" s="326"/>
      <c r="N247" s="327"/>
      <c r="O247" s="519" t="s">
        <v>303</v>
      </c>
      <c r="P247" s="326"/>
      <c r="Q247" s="327"/>
      <c r="R247" s="527"/>
      <c r="S247" s="326"/>
      <c r="T247" s="327"/>
      <c r="U247" s="497"/>
      <c r="V247" s="326"/>
      <c r="W247" s="327"/>
      <c r="X247" s="66"/>
      <c r="Y247" s="67"/>
      <c r="Z247" s="66"/>
      <c r="AA247" s="67"/>
      <c r="AB247" s="66"/>
      <c r="AC247" s="67"/>
      <c r="AD247" s="66"/>
      <c r="AE247" s="67"/>
      <c r="AF247" s="66"/>
      <c r="AG247" s="67"/>
      <c r="AH247" s="66"/>
      <c r="AI247" s="67"/>
      <c r="AJ247" s="50"/>
      <c r="AK247" s="69"/>
      <c r="AL247" s="50"/>
      <c r="AM247" s="69"/>
      <c r="AN247" s="50"/>
      <c r="AO247" s="69"/>
      <c r="AP247" s="50"/>
      <c r="AQ247" s="69"/>
      <c r="AR247" s="50"/>
      <c r="AS247" s="642" t="s">
        <v>303</v>
      </c>
      <c r="AT247" s="326"/>
      <c r="AU247" s="326"/>
      <c r="AV247" s="326"/>
      <c r="AW247" s="326"/>
      <c r="AX247" s="326"/>
      <c r="AY247" s="327"/>
      <c r="AZ247" s="70"/>
      <c r="BA247" s="70"/>
      <c r="BB247" s="643" t="s">
        <v>334</v>
      </c>
      <c r="BC247" s="327"/>
      <c r="BD247" s="645" t="s">
        <v>303</v>
      </c>
      <c r="BE247" s="326"/>
      <c r="BF247" s="327"/>
      <c r="BG247" s="646" t="s">
        <v>303</v>
      </c>
      <c r="BH247" s="326"/>
      <c r="BI247" s="326"/>
      <c r="BJ247" s="327"/>
      <c r="BK247" s="647"/>
      <c r="BL247" s="326"/>
      <c r="BM247" s="327"/>
      <c r="BN247" s="71"/>
      <c r="BO247" s="71"/>
      <c r="BP247" s="646"/>
      <c r="BQ247" s="326"/>
      <c r="BR247" s="327"/>
      <c r="BS247" s="645" t="s">
        <v>303</v>
      </c>
      <c r="BT247" s="326"/>
      <c r="BU247" s="327"/>
    </row>
    <row r="248" spans="1:73" ht="30" customHeight="1" x14ac:dyDescent="0.25">
      <c r="A248" s="65">
        <f t="shared" si="0"/>
        <v>234</v>
      </c>
      <c r="B248" s="639" t="s">
        <v>334</v>
      </c>
      <c r="C248" s="327"/>
      <c r="D248" s="640" t="s">
        <v>303</v>
      </c>
      <c r="E248" s="326"/>
      <c r="F248" s="326"/>
      <c r="G248" s="327"/>
      <c r="H248" s="641" t="s">
        <v>303</v>
      </c>
      <c r="I248" s="326"/>
      <c r="J248" s="326"/>
      <c r="K248" s="327"/>
      <c r="L248" s="438" t="s">
        <v>303</v>
      </c>
      <c r="M248" s="326"/>
      <c r="N248" s="327"/>
      <c r="O248" s="519" t="s">
        <v>303</v>
      </c>
      <c r="P248" s="326"/>
      <c r="Q248" s="327"/>
      <c r="R248" s="527"/>
      <c r="S248" s="326"/>
      <c r="T248" s="327"/>
      <c r="U248" s="497"/>
      <c r="V248" s="326"/>
      <c r="W248" s="327"/>
      <c r="X248" s="66"/>
      <c r="Y248" s="67"/>
      <c r="Z248" s="66"/>
      <c r="AA248" s="67"/>
      <c r="AB248" s="66"/>
      <c r="AC248" s="67"/>
      <c r="AD248" s="66"/>
      <c r="AE248" s="67"/>
      <c r="AF248" s="66"/>
      <c r="AG248" s="67"/>
      <c r="AH248" s="66"/>
      <c r="AI248" s="67"/>
      <c r="AJ248" s="50"/>
      <c r="AK248" s="69"/>
      <c r="AL248" s="50"/>
      <c r="AM248" s="69"/>
      <c r="AN248" s="50"/>
      <c r="AO248" s="69"/>
      <c r="AP248" s="50"/>
      <c r="AQ248" s="69"/>
      <c r="AR248" s="50"/>
      <c r="AS248" s="642" t="s">
        <v>303</v>
      </c>
      <c r="AT248" s="326"/>
      <c r="AU248" s="326"/>
      <c r="AV248" s="326"/>
      <c r="AW248" s="326"/>
      <c r="AX248" s="326"/>
      <c r="AY248" s="327"/>
      <c r="AZ248" s="70"/>
      <c r="BA248" s="70"/>
      <c r="BB248" s="643" t="s">
        <v>334</v>
      </c>
      <c r="BC248" s="327"/>
      <c r="BD248" s="645" t="s">
        <v>303</v>
      </c>
      <c r="BE248" s="326"/>
      <c r="BF248" s="327"/>
      <c r="BG248" s="646" t="s">
        <v>303</v>
      </c>
      <c r="BH248" s="326"/>
      <c r="BI248" s="326"/>
      <c r="BJ248" s="327"/>
      <c r="BK248" s="647"/>
      <c r="BL248" s="326"/>
      <c r="BM248" s="327"/>
      <c r="BN248" s="71"/>
      <c r="BO248" s="71"/>
      <c r="BP248" s="646"/>
      <c r="BQ248" s="326"/>
      <c r="BR248" s="327"/>
      <c r="BS248" s="645" t="s">
        <v>303</v>
      </c>
      <c r="BT248" s="326"/>
      <c r="BU248" s="327"/>
    </row>
    <row r="249" spans="1:73" ht="30" customHeight="1" x14ac:dyDescent="0.25">
      <c r="A249" s="65">
        <f t="shared" si="0"/>
        <v>235</v>
      </c>
      <c r="B249" s="639" t="s">
        <v>334</v>
      </c>
      <c r="C249" s="327"/>
      <c r="D249" s="640" t="s">
        <v>303</v>
      </c>
      <c r="E249" s="326"/>
      <c r="F249" s="326"/>
      <c r="G249" s="327"/>
      <c r="H249" s="641" t="s">
        <v>303</v>
      </c>
      <c r="I249" s="326"/>
      <c r="J249" s="326"/>
      <c r="K249" s="327"/>
      <c r="L249" s="438" t="s">
        <v>303</v>
      </c>
      <c r="M249" s="326"/>
      <c r="N249" s="327"/>
      <c r="O249" s="519" t="s">
        <v>303</v>
      </c>
      <c r="P249" s="326"/>
      <c r="Q249" s="327"/>
      <c r="R249" s="527"/>
      <c r="S249" s="326"/>
      <c r="T249" s="327"/>
      <c r="U249" s="497"/>
      <c r="V249" s="326"/>
      <c r="W249" s="327"/>
      <c r="X249" s="66"/>
      <c r="Y249" s="67"/>
      <c r="Z249" s="66"/>
      <c r="AA249" s="67"/>
      <c r="AB249" s="66"/>
      <c r="AC249" s="67"/>
      <c r="AD249" s="66"/>
      <c r="AE249" s="67"/>
      <c r="AF249" s="66"/>
      <c r="AG249" s="67"/>
      <c r="AH249" s="66"/>
      <c r="AI249" s="67"/>
      <c r="AJ249" s="50"/>
      <c r="AK249" s="69"/>
      <c r="AL249" s="50"/>
      <c r="AM249" s="69"/>
      <c r="AN249" s="50"/>
      <c r="AO249" s="69"/>
      <c r="AP249" s="50"/>
      <c r="AQ249" s="69"/>
      <c r="AR249" s="50"/>
      <c r="AS249" s="642" t="s">
        <v>303</v>
      </c>
      <c r="AT249" s="326"/>
      <c r="AU249" s="326"/>
      <c r="AV249" s="326"/>
      <c r="AW249" s="326"/>
      <c r="AX249" s="326"/>
      <c r="AY249" s="327"/>
      <c r="AZ249" s="70"/>
      <c r="BA249" s="70"/>
      <c r="BB249" s="643" t="s">
        <v>334</v>
      </c>
      <c r="BC249" s="327"/>
      <c r="BD249" s="645" t="s">
        <v>303</v>
      </c>
      <c r="BE249" s="326"/>
      <c r="BF249" s="327"/>
      <c r="BG249" s="646" t="s">
        <v>303</v>
      </c>
      <c r="BH249" s="326"/>
      <c r="BI249" s="326"/>
      <c r="BJ249" s="327"/>
      <c r="BK249" s="647"/>
      <c r="BL249" s="326"/>
      <c r="BM249" s="327"/>
      <c r="BN249" s="71"/>
      <c r="BO249" s="71"/>
      <c r="BP249" s="646"/>
      <c r="BQ249" s="326"/>
      <c r="BR249" s="327"/>
      <c r="BS249" s="645" t="s">
        <v>303</v>
      </c>
      <c r="BT249" s="326"/>
      <c r="BU249" s="327"/>
    </row>
    <row r="250" spans="1:73" ht="30" customHeight="1" x14ac:dyDescent="0.25">
      <c r="A250" s="65">
        <f t="shared" si="0"/>
        <v>236</v>
      </c>
      <c r="B250" s="639" t="s">
        <v>334</v>
      </c>
      <c r="C250" s="327"/>
      <c r="D250" s="640" t="s">
        <v>303</v>
      </c>
      <c r="E250" s="326"/>
      <c r="F250" s="326"/>
      <c r="G250" s="327"/>
      <c r="H250" s="641" t="s">
        <v>303</v>
      </c>
      <c r="I250" s="326"/>
      <c r="J250" s="326"/>
      <c r="K250" s="327"/>
      <c r="L250" s="438" t="s">
        <v>303</v>
      </c>
      <c r="M250" s="326"/>
      <c r="N250" s="327"/>
      <c r="O250" s="519" t="s">
        <v>303</v>
      </c>
      <c r="P250" s="326"/>
      <c r="Q250" s="327"/>
      <c r="R250" s="527"/>
      <c r="S250" s="326"/>
      <c r="T250" s="327"/>
      <c r="U250" s="497"/>
      <c r="V250" s="326"/>
      <c r="W250" s="327"/>
      <c r="X250" s="66"/>
      <c r="Y250" s="67"/>
      <c r="Z250" s="66"/>
      <c r="AA250" s="67"/>
      <c r="AB250" s="66"/>
      <c r="AC250" s="67"/>
      <c r="AD250" s="66"/>
      <c r="AE250" s="67"/>
      <c r="AF250" s="66"/>
      <c r="AG250" s="67"/>
      <c r="AH250" s="66"/>
      <c r="AI250" s="67"/>
      <c r="AJ250" s="50"/>
      <c r="AK250" s="69"/>
      <c r="AL250" s="50"/>
      <c r="AM250" s="69"/>
      <c r="AN250" s="50"/>
      <c r="AO250" s="69"/>
      <c r="AP250" s="50"/>
      <c r="AQ250" s="69"/>
      <c r="AR250" s="50"/>
      <c r="AS250" s="642" t="s">
        <v>303</v>
      </c>
      <c r="AT250" s="326"/>
      <c r="AU250" s="326"/>
      <c r="AV250" s="326"/>
      <c r="AW250" s="326"/>
      <c r="AX250" s="326"/>
      <c r="AY250" s="327"/>
      <c r="AZ250" s="70"/>
      <c r="BA250" s="70"/>
      <c r="BB250" s="643" t="s">
        <v>334</v>
      </c>
      <c r="BC250" s="327"/>
      <c r="BD250" s="645" t="s">
        <v>303</v>
      </c>
      <c r="BE250" s="326"/>
      <c r="BF250" s="327"/>
      <c r="BG250" s="646" t="s">
        <v>303</v>
      </c>
      <c r="BH250" s="326"/>
      <c r="BI250" s="326"/>
      <c r="BJ250" s="327"/>
      <c r="BK250" s="647"/>
      <c r="BL250" s="326"/>
      <c r="BM250" s="327"/>
      <c r="BN250" s="71"/>
      <c r="BO250" s="71"/>
      <c r="BP250" s="646"/>
      <c r="BQ250" s="326"/>
      <c r="BR250" s="327"/>
      <c r="BS250" s="645" t="s">
        <v>303</v>
      </c>
      <c r="BT250" s="326"/>
      <c r="BU250" s="327"/>
    </row>
    <row r="251" spans="1:73" ht="30" customHeight="1" x14ac:dyDescent="0.25">
      <c r="A251" s="65">
        <f t="shared" si="0"/>
        <v>237</v>
      </c>
      <c r="B251" s="639" t="s">
        <v>334</v>
      </c>
      <c r="C251" s="327"/>
      <c r="D251" s="640" t="s">
        <v>303</v>
      </c>
      <c r="E251" s="326"/>
      <c r="F251" s="326"/>
      <c r="G251" s="327"/>
      <c r="H251" s="641" t="s">
        <v>303</v>
      </c>
      <c r="I251" s="326"/>
      <c r="J251" s="326"/>
      <c r="K251" s="327"/>
      <c r="L251" s="438" t="s">
        <v>303</v>
      </c>
      <c r="M251" s="326"/>
      <c r="N251" s="327"/>
      <c r="O251" s="519" t="s">
        <v>303</v>
      </c>
      <c r="P251" s="326"/>
      <c r="Q251" s="327"/>
      <c r="R251" s="527"/>
      <c r="S251" s="326"/>
      <c r="T251" s="327"/>
      <c r="U251" s="497"/>
      <c r="V251" s="326"/>
      <c r="W251" s="327"/>
      <c r="X251" s="66"/>
      <c r="Y251" s="67"/>
      <c r="Z251" s="66"/>
      <c r="AA251" s="67"/>
      <c r="AB251" s="66"/>
      <c r="AC251" s="67"/>
      <c r="AD251" s="66"/>
      <c r="AE251" s="67"/>
      <c r="AF251" s="66"/>
      <c r="AG251" s="67"/>
      <c r="AH251" s="66"/>
      <c r="AI251" s="67"/>
      <c r="AJ251" s="50"/>
      <c r="AK251" s="69"/>
      <c r="AL251" s="50"/>
      <c r="AM251" s="69"/>
      <c r="AN251" s="50"/>
      <c r="AO251" s="69"/>
      <c r="AP251" s="50"/>
      <c r="AQ251" s="69"/>
      <c r="AR251" s="50"/>
      <c r="AS251" s="642" t="s">
        <v>303</v>
      </c>
      <c r="AT251" s="326"/>
      <c r="AU251" s="326"/>
      <c r="AV251" s="326"/>
      <c r="AW251" s="326"/>
      <c r="AX251" s="326"/>
      <c r="AY251" s="327"/>
      <c r="AZ251" s="70"/>
      <c r="BA251" s="70"/>
      <c r="BB251" s="643" t="s">
        <v>334</v>
      </c>
      <c r="BC251" s="327"/>
      <c r="BD251" s="645" t="s">
        <v>303</v>
      </c>
      <c r="BE251" s="326"/>
      <c r="BF251" s="327"/>
      <c r="BG251" s="646" t="s">
        <v>303</v>
      </c>
      <c r="BH251" s="326"/>
      <c r="BI251" s="326"/>
      <c r="BJ251" s="327"/>
      <c r="BK251" s="647"/>
      <c r="BL251" s="326"/>
      <c r="BM251" s="327"/>
      <c r="BN251" s="71"/>
      <c r="BO251" s="71"/>
      <c r="BP251" s="646"/>
      <c r="BQ251" s="326"/>
      <c r="BR251" s="327"/>
      <c r="BS251" s="645" t="s">
        <v>303</v>
      </c>
      <c r="BT251" s="326"/>
      <c r="BU251" s="327"/>
    </row>
    <row r="252" spans="1:73" ht="30" customHeight="1" x14ac:dyDescent="0.25">
      <c r="A252" s="65">
        <f t="shared" si="0"/>
        <v>238</v>
      </c>
      <c r="B252" s="639" t="s">
        <v>334</v>
      </c>
      <c r="C252" s="327"/>
      <c r="D252" s="640" t="s">
        <v>303</v>
      </c>
      <c r="E252" s="326"/>
      <c r="F252" s="326"/>
      <c r="G252" s="327"/>
      <c r="H252" s="641" t="s">
        <v>303</v>
      </c>
      <c r="I252" s="326"/>
      <c r="J252" s="326"/>
      <c r="K252" s="327"/>
      <c r="L252" s="438" t="s">
        <v>303</v>
      </c>
      <c r="M252" s="326"/>
      <c r="N252" s="327"/>
      <c r="O252" s="519" t="s">
        <v>303</v>
      </c>
      <c r="P252" s="326"/>
      <c r="Q252" s="327"/>
      <c r="R252" s="527"/>
      <c r="S252" s="326"/>
      <c r="T252" s="327"/>
      <c r="U252" s="497"/>
      <c r="V252" s="326"/>
      <c r="W252" s="327"/>
      <c r="X252" s="66"/>
      <c r="Y252" s="67"/>
      <c r="Z252" s="66"/>
      <c r="AA252" s="67"/>
      <c r="AB252" s="66"/>
      <c r="AC252" s="67"/>
      <c r="AD252" s="66"/>
      <c r="AE252" s="67"/>
      <c r="AF252" s="66"/>
      <c r="AG252" s="67"/>
      <c r="AH252" s="66"/>
      <c r="AI252" s="67"/>
      <c r="AJ252" s="50"/>
      <c r="AK252" s="69"/>
      <c r="AL252" s="50"/>
      <c r="AM252" s="69"/>
      <c r="AN252" s="50"/>
      <c r="AO252" s="69"/>
      <c r="AP252" s="50"/>
      <c r="AQ252" s="69"/>
      <c r="AR252" s="50"/>
      <c r="AS252" s="642" t="s">
        <v>303</v>
      </c>
      <c r="AT252" s="326"/>
      <c r="AU252" s="326"/>
      <c r="AV252" s="326"/>
      <c r="AW252" s="326"/>
      <c r="AX252" s="326"/>
      <c r="AY252" s="327"/>
      <c r="AZ252" s="70"/>
      <c r="BA252" s="70"/>
      <c r="BB252" s="643" t="s">
        <v>334</v>
      </c>
      <c r="BC252" s="327"/>
      <c r="BD252" s="645" t="s">
        <v>303</v>
      </c>
      <c r="BE252" s="326"/>
      <c r="BF252" s="327"/>
      <c r="BG252" s="646" t="s">
        <v>303</v>
      </c>
      <c r="BH252" s="326"/>
      <c r="BI252" s="326"/>
      <c r="BJ252" s="327"/>
      <c r="BK252" s="647"/>
      <c r="BL252" s="326"/>
      <c r="BM252" s="327"/>
      <c r="BN252" s="71"/>
      <c r="BO252" s="71"/>
      <c r="BP252" s="646"/>
      <c r="BQ252" s="326"/>
      <c r="BR252" s="327"/>
      <c r="BS252" s="645" t="s">
        <v>303</v>
      </c>
      <c r="BT252" s="326"/>
      <c r="BU252" s="327"/>
    </row>
    <row r="253" spans="1:73" ht="30" customHeight="1" x14ac:dyDescent="0.25">
      <c r="A253" s="65">
        <f t="shared" si="0"/>
        <v>239</v>
      </c>
      <c r="B253" s="639" t="s">
        <v>334</v>
      </c>
      <c r="C253" s="327"/>
      <c r="D253" s="640" t="s">
        <v>303</v>
      </c>
      <c r="E253" s="326"/>
      <c r="F253" s="326"/>
      <c r="G253" s="327"/>
      <c r="H253" s="641" t="s">
        <v>303</v>
      </c>
      <c r="I253" s="326"/>
      <c r="J253" s="326"/>
      <c r="K253" s="327"/>
      <c r="L253" s="438" t="s">
        <v>303</v>
      </c>
      <c r="M253" s="326"/>
      <c r="N253" s="327"/>
      <c r="O253" s="519" t="s">
        <v>303</v>
      </c>
      <c r="P253" s="326"/>
      <c r="Q253" s="327"/>
      <c r="R253" s="527"/>
      <c r="S253" s="326"/>
      <c r="T253" s="327"/>
      <c r="U253" s="497"/>
      <c r="V253" s="326"/>
      <c r="W253" s="327"/>
      <c r="X253" s="66"/>
      <c r="Y253" s="67"/>
      <c r="Z253" s="66"/>
      <c r="AA253" s="67"/>
      <c r="AB253" s="66"/>
      <c r="AC253" s="67"/>
      <c r="AD253" s="66"/>
      <c r="AE253" s="67"/>
      <c r="AF253" s="66"/>
      <c r="AG253" s="67"/>
      <c r="AH253" s="66"/>
      <c r="AI253" s="67"/>
      <c r="AJ253" s="50"/>
      <c r="AK253" s="69"/>
      <c r="AL253" s="50"/>
      <c r="AM253" s="69"/>
      <c r="AN253" s="50"/>
      <c r="AO253" s="69"/>
      <c r="AP253" s="50"/>
      <c r="AQ253" s="69"/>
      <c r="AR253" s="50"/>
      <c r="AS253" s="642" t="s">
        <v>303</v>
      </c>
      <c r="AT253" s="326"/>
      <c r="AU253" s="326"/>
      <c r="AV253" s="326"/>
      <c r="AW253" s="326"/>
      <c r="AX253" s="326"/>
      <c r="AY253" s="327"/>
      <c r="AZ253" s="70"/>
      <c r="BA253" s="70"/>
      <c r="BB253" s="644" t="s">
        <v>334</v>
      </c>
      <c r="BC253" s="327"/>
      <c r="BD253" s="645" t="s">
        <v>303</v>
      </c>
      <c r="BE253" s="326"/>
      <c r="BF253" s="327"/>
      <c r="BG253" s="646" t="s">
        <v>303</v>
      </c>
      <c r="BH253" s="326"/>
      <c r="BI253" s="326"/>
      <c r="BJ253" s="327"/>
      <c r="BK253" s="647"/>
      <c r="BL253" s="326"/>
      <c r="BM253" s="327"/>
      <c r="BN253" s="71"/>
      <c r="BO253" s="71"/>
      <c r="BP253" s="646"/>
      <c r="BQ253" s="326"/>
      <c r="BR253" s="327"/>
      <c r="BS253" s="645" t="s">
        <v>303</v>
      </c>
      <c r="BT253" s="326"/>
      <c r="BU253" s="327"/>
    </row>
    <row r="254" spans="1:73" ht="30" customHeight="1" x14ac:dyDescent="0.25">
      <c r="A254" s="65">
        <f t="shared" si="0"/>
        <v>240</v>
      </c>
      <c r="B254" s="639" t="s">
        <v>334</v>
      </c>
      <c r="C254" s="327"/>
      <c r="D254" s="640" t="s">
        <v>303</v>
      </c>
      <c r="E254" s="326"/>
      <c r="F254" s="326"/>
      <c r="G254" s="327"/>
      <c r="H254" s="641" t="s">
        <v>303</v>
      </c>
      <c r="I254" s="326"/>
      <c r="J254" s="326"/>
      <c r="K254" s="327"/>
      <c r="L254" s="438" t="s">
        <v>303</v>
      </c>
      <c r="M254" s="326"/>
      <c r="N254" s="327"/>
      <c r="O254" s="519" t="s">
        <v>303</v>
      </c>
      <c r="P254" s="326"/>
      <c r="Q254" s="327"/>
      <c r="R254" s="527"/>
      <c r="S254" s="326"/>
      <c r="T254" s="327"/>
      <c r="U254" s="497"/>
      <c r="V254" s="326"/>
      <c r="W254" s="327"/>
      <c r="X254" s="66"/>
      <c r="Y254" s="67"/>
      <c r="Z254" s="66"/>
      <c r="AA254" s="67"/>
      <c r="AB254" s="66"/>
      <c r="AC254" s="67"/>
      <c r="AD254" s="66"/>
      <c r="AE254" s="67"/>
      <c r="AF254" s="66"/>
      <c r="AG254" s="67"/>
      <c r="AH254" s="66"/>
      <c r="AI254" s="67"/>
      <c r="AJ254" s="50"/>
      <c r="AK254" s="69"/>
      <c r="AL254" s="50"/>
      <c r="AM254" s="69"/>
      <c r="AN254" s="50"/>
      <c r="AO254" s="69"/>
      <c r="AP254" s="50"/>
      <c r="AQ254" s="69"/>
      <c r="AR254" s="50"/>
      <c r="AS254" s="642" t="s">
        <v>303</v>
      </c>
      <c r="AT254" s="326"/>
      <c r="AU254" s="326"/>
      <c r="AV254" s="326"/>
      <c r="AW254" s="326"/>
      <c r="AX254" s="326"/>
      <c r="AY254" s="327"/>
      <c r="AZ254" s="70"/>
      <c r="BA254" s="70"/>
      <c r="BB254" s="643" t="s">
        <v>334</v>
      </c>
      <c r="BC254" s="327"/>
      <c r="BD254" s="645" t="s">
        <v>303</v>
      </c>
      <c r="BE254" s="326"/>
      <c r="BF254" s="327"/>
      <c r="BG254" s="646" t="s">
        <v>303</v>
      </c>
      <c r="BH254" s="326"/>
      <c r="BI254" s="326"/>
      <c r="BJ254" s="327"/>
      <c r="BK254" s="647"/>
      <c r="BL254" s="326"/>
      <c r="BM254" s="327"/>
      <c r="BN254" s="71"/>
      <c r="BO254" s="71"/>
      <c r="BP254" s="646"/>
      <c r="BQ254" s="326"/>
      <c r="BR254" s="327"/>
      <c r="BS254" s="645" t="s">
        <v>303</v>
      </c>
      <c r="BT254" s="326"/>
      <c r="BU254" s="327"/>
    </row>
    <row r="255" spans="1:73" ht="30" customHeight="1" x14ac:dyDescent="0.25">
      <c r="A255" s="65">
        <f t="shared" si="0"/>
        <v>241</v>
      </c>
      <c r="B255" s="639" t="s">
        <v>334</v>
      </c>
      <c r="C255" s="327"/>
      <c r="D255" s="640" t="s">
        <v>303</v>
      </c>
      <c r="E255" s="326"/>
      <c r="F255" s="326"/>
      <c r="G255" s="327"/>
      <c r="H255" s="641" t="s">
        <v>303</v>
      </c>
      <c r="I255" s="326"/>
      <c r="J255" s="326"/>
      <c r="K255" s="327"/>
      <c r="L255" s="438" t="s">
        <v>303</v>
      </c>
      <c r="M255" s="326"/>
      <c r="N255" s="327"/>
      <c r="O255" s="519" t="s">
        <v>303</v>
      </c>
      <c r="P255" s="326"/>
      <c r="Q255" s="327"/>
      <c r="R255" s="527"/>
      <c r="S255" s="326"/>
      <c r="T255" s="327"/>
      <c r="U255" s="497"/>
      <c r="V255" s="326"/>
      <c r="W255" s="327"/>
      <c r="X255" s="66"/>
      <c r="Y255" s="67"/>
      <c r="Z255" s="66"/>
      <c r="AA255" s="67"/>
      <c r="AB255" s="66"/>
      <c r="AC255" s="67"/>
      <c r="AD255" s="66"/>
      <c r="AE255" s="67"/>
      <c r="AF255" s="66"/>
      <c r="AG255" s="67"/>
      <c r="AH255" s="66"/>
      <c r="AI255" s="67"/>
      <c r="AJ255" s="50"/>
      <c r="AK255" s="69"/>
      <c r="AL255" s="50"/>
      <c r="AM255" s="69"/>
      <c r="AN255" s="50"/>
      <c r="AO255" s="69"/>
      <c r="AP255" s="50"/>
      <c r="AQ255" s="69"/>
      <c r="AR255" s="50"/>
      <c r="AS255" s="642" t="s">
        <v>303</v>
      </c>
      <c r="AT255" s="326"/>
      <c r="AU255" s="326"/>
      <c r="AV255" s="326"/>
      <c r="AW255" s="326"/>
      <c r="AX255" s="326"/>
      <c r="AY255" s="327"/>
      <c r="AZ255" s="70"/>
      <c r="BA255" s="70"/>
      <c r="BB255" s="643" t="s">
        <v>334</v>
      </c>
      <c r="BC255" s="327"/>
      <c r="BD255" s="645" t="s">
        <v>303</v>
      </c>
      <c r="BE255" s="326"/>
      <c r="BF255" s="327"/>
      <c r="BG255" s="646" t="s">
        <v>303</v>
      </c>
      <c r="BH255" s="326"/>
      <c r="BI255" s="326"/>
      <c r="BJ255" s="327"/>
      <c r="BK255" s="647"/>
      <c r="BL255" s="326"/>
      <c r="BM255" s="327"/>
      <c r="BN255" s="71"/>
      <c r="BO255" s="71"/>
      <c r="BP255" s="646"/>
      <c r="BQ255" s="326"/>
      <c r="BR255" s="327"/>
      <c r="BS255" s="645" t="s">
        <v>303</v>
      </c>
      <c r="BT255" s="326"/>
      <c r="BU255" s="327"/>
    </row>
    <row r="256" spans="1:73" ht="30" customHeight="1" x14ac:dyDescent="0.25">
      <c r="A256" s="65">
        <f t="shared" si="0"/>
        <v>242</v>
      </c>
      <c r="B256" s="639" t="s">
        <v>334</v>
      </c>
      <c r="C256" s="327"/>
      <c r="D256" s="640" t="s">
        <v>303</v>
      </c>
      <c r="E256" s="326"/>
      <c r="F256" s="326"/>
      <c r="G256" s="327"/>
      <c r="H256" s="641" t="s">
        <v>303</v>
      </c>
      <c r="I256" s="326"/>
      <c r="J256" s="326"/>
      <c r="K256" s="327"/>
      <c r="L256" s="438" t="s">
        <v>303</v>
      </c>
      <c r="M256" s="326"/>
      <c r="N256" s="327"/>
      <c r="O256" s="519" t="s">
        <v>303</v>
      </c>
      <c r="P256" s="326"/>
      <c r="Q256" s="327"/>
      <c r="R256" s="527"/>
      <c r="S256" s="326"/>
      <c r="T256" s="327"/>
      <c r="U256" s="497"/>
      <c r="V256" s="326"/>
      <c r="W256" s="327"/>
      <c r="X256" s="66"/>
      <c r="Y256" s="67"/>
      <c r="Z256" s="66"/>
      <c r="AA256" s="67"/>
      <c r="AB256" s="66"/>
      <c r="AC256" s="67"/>
      <c r="AD256" s="66"/>
      <c r="AE256" s="67"/>
      <c r="AF256" s="66"/>
      <c r="AG256" s="67"/>
      <c r="AH256" s="66"/>
      <c r="AI256" s="67"/>
      <c r="AJ256" s="50"/>
      <c r="AK256" s="69"/>
      <c r="AL256" s="50"/>
      <c r="AM256" s="69"/>
      <c r="AN256" s="50"/>
      <c r="AO256" s="69"/>
      <c r="AP256" s="50"/>
      <c r="AQ256" s="69"/>
      <c r="AR256" s="50"/>
      <c r="AS256" s="642" t="s">
        <v>303</v>
      </c>
      <c r="AT256" s="326"/>
      <c r="AU256" s="326"/>
      <c r="AV256" s="326"/>
      <c r="AW256" s="326"/>
      <c r="AX256" s="326"/>
      <c r="AY256" s="327"/>
      <c r="AZ256" s="70"/>
      <c r="BA256" s="70"/>
      <c r="BB256" s="643" t="s">
        <v>334</v>
      </c>
      <c r="BC256" s="327"/>
      <c r="BD256" s="645" t="s">
        <v>303</v>
      </c>
      <c r="BE256" s="326"/>
      <c r="BF256" s="327"/>
      <c r="BG256" s="646" t="s">
        <v>303</v>
      </c>
      <c r="BH256" s="326"/>
      <c r="BI256" s="326"/>
      <c r="BJ256" s="327"/>
      <c r="BK256" s="647"/>
      <c r="BL256" s="326"/>
      <c r="BM256" s="327"/>
      <c r="BN256" s="71"/>
      <c r="BO256" s="71"/>
      <c r="BP256" s="646"/>
      <c r="BQ256" s="326"/>
      <c r="BR256" s="327"/>
      <c r="BS256" s="645" t="s">
        <v>303</v>
      </c>
      <c r="BT256" s="326"/>
      <c r="BU256" s="327"/>
    </row>
    <row r="257" spans="1:73" ht="30" customHeight="1" x14ac:dyDescent="0.25">
      <c r="A257" s="65">
        <f t="shared" si="0"/>
        <v>243</v>
      </c>
      <c r="B257" s="639" t="s">
        <v>334</v>
      </c>
      <c r="C257" s="327"/>
      <c r="D257" s="640" t="s">
        <v>303</v>
      </c>
      <c r="E257" s="326"/>
      <c r="F257" s="326"/>
      <c r="G257" s="327"/>
      <c r="H257" s="641" t="s">
        <v>303</v>
      </c>
      <c r="I257" s="326"/>
      <c r="J257" s="326"/>
      <c r="K257" s="327"/>
      <c r="L257" s="438" t="s">
        <v>303</v>
      </c>
      <c r="M257" s="326"/>
      <c r="N257" s="327"/>
      <c r="O257" s="519" t="s">
        <v>303</v>
      </c>
      <c r="P257" s="326"/>
      <c r="Q257" s="327"/>
      <c r="R257" s="527"/>
      <c r="S257" s="326"/>
      <c r="T257" s="327"/>
      <c r="U257" s="497"/>
      <c r="V257" s="326"/>
      <c r="W257" s="327"/>
      <c r="X257" s="66"/>
      <c r="Y257" s="67"/>
      <c r="Z257" s="66"/>
      <c r="AA257" s="67"/>
      <c r="AB257" s="66"/>
      <c r="AC257" s="67"/>
      <c r="AD257" s="66"/>
      <c r="AE257" s="67"/>
      <c r="AF257" s="66"/>
      <c r="AG257" s="67"/>
      <c r="AH257" s="66"/>
      <c r="AI257" s="67"/>
      <c r="AJ257" s="50"/>
      <c r="AK257" s="69"/>
      <c r="AL257" s="50"/>
      <c r="AM257" s="69"/>
      <c r="AN257" s="50"/>
      <c r="AO257" s="69"/>
      <c r="AP257" s="50"/>
      <c r="AQ257" s="69"/>
      <c r="AR257" s="50"/>
      <c r="AS257" s="642" t="s">
        <v>303</v>
      </c>
      <c r="AT257" s="326"/>
      <c r="AU257" s="326"/>
      <c r="AV257" s="326"/>
      <c r="AW257" s="326"/>
      <c r="AX257" s="326"/>
      <c r="AY257" s="327"/>
      <c r="AZ257" s="70"/>
      <c r="BA257" s="70"/>
      <c r="BB257" s="643" t="s">
        <v>334</v>
      </c>
      <c r="BC257" s="327"/>
      <c r="BD257" s="645" t="s">
        <v>303</v>
      </c>
      <c r="BE257" s="326"/>
      <c r="BF257" s="327"/>
      <c r="BG257" s="646" t="s">
        <v>303</v>
      </c>
      <c r="BH257" s="326"/>
      <c r="BI257" s="326"/>
      <c r="BJ257" s="327"/>
      <c r="BK257" s="647"/>
      <c r="BL257" s="326"/>
      <c r="BM257" s="327"/>
      <c r="BN257" s="71"/>
      <c r="BO257" s="71"/>
      <c r="BP257" s="646"/>
      <c r="BQ257" s="326"/>
      <c r="BR257" s="327"/>
      <c r="BS257" s="645" t="s">
        <v>303</v>
      </c>
      <c r="BT257" s="326"/>
      <c r="BU257" s="327"/>
    </row>
    <row r="258" spans="1:73" ht="30" customHeight="1" x14ac:dyDescent="0.25">
      <c r="A258" s="65">
        <f t="shared" si="0"/>
        <v>244</v>
      </c>
      <c r="B258" s="639" t="s">
        <v>334</v>
      </c>
      <c r="C258" s="327"/>
      <c r="D258" s="640" t="s">
        <v>303</v>
      </c>
      <c r="E258" s="326"/>
      <c r="F258" s="326"/>
      <c r="G258" s="327"/>
      <c r="H258" s="641" t="s">
        <v>303</v>
      </c>
      <c r="I258" s="326"/>
      <c r="J258" s="326"/>
      <c r="K258" s="327"/>
      <c r="L258" s="438" t="s">
        <v>303</v>
      </c>
      <c r="M258" s="326"/>
      <c r="N258" s="327"/>
      <c r="O258" s="519" t="s">
        <v>303</v>
      </c>
      <c r="P258" s="326"/>
      <c r="Q258" s="327"/>
      <c r="R258" s="527"/>
      <c r="S258" s="326"/>
      <c r="T258" s="327"/>
      <c r="U258" s="497"/>
      <c r="V258" s="326"/>
      <c r="W258" s="327"/>
      <c r="X258" s="66"/>
      <c r="Y258" s="67"/>
      <c r="Z258" s="66"/>
      <c r="AA258" s="67"/>
      <c r="AB258" s="66"/>
      <c r="AC258" s="67"/>
      <c r="AD258" s="66"/>
      <c r="AE258" s="67"/>
      <c r="AF258" s="66"/>
      <c r="AG258" s="67"/>
      <c r="AH258" s="66"/>
      <c r="AI258" s="67"/>
      <c r="AJ258" s="50"/>
      <c r="AK258" s="69"/>
      <c r="AL258" s="50"/>
      <c r="AM258" s="69"/>
      <c r="AN258" s="50"/>
      <c r="AO258" s="69"/>
      <c r="AP258" s="50"/>
      <c r="AQ258" s="69"/>
      <c r="AR258" s="50"/>
      <c r="AS258" s="642" t="s">
        <v>303</v>
      </c>
      <c r="AT258" s="326"/>
      <c r="AU258" s="326"/>
      <c r="AV258" s="326"/>
      <c r="AW258" s="326"/>
      <c r="AX258" s="326"/>
      <c r="AY258" s="327"/>
      <c r="AZ258" s="70"/>
      <c r="BA258" s="70"/>
      <c r="BB258" s="643" t="s">
        <v>334</v>
      </c>
      <c r="BC258" s="327"/>
      <c r="BD258" s="645" t="s">
        <v>303</v>
      </c>
      <c r="BE258" s="326"/>
      <c r="BF258" s="327"/>
      <c r="BG258" s="646" t="s">
        <v>303</v>
      </c>
      <c r="BH258" s="326"/>
      <c r="BI258" s="326"/>
      <c r="BJ258" s="327"/>
      <c r="BK258" s="647"/>
      <c r="BL258" s="326"/>
      <c r="BM258" s="327"/>
      <c r="BN258" s="71"/>
      <c r="BO258" s="71"/>
      <c r="BP258" s="646"/>
      <c r="BQ258" s="326"/>
      <c r="BR258" s="327"/>
      <c r="BS258" s="645" t="s">
        <v>303</v>
      </c>
      <c r="BT258" s="326"/>
      <c r="BU258" s="327"/>
    </row>
    <row r="259" spans="1:73" ht="30" customHeight="1" x14ac:dyDescent="0.25">
      <c r="A259" s="65">
        <f t="shared" si="0"/>
        <v>245</v>
      </c>
      <c r="B259" s="639" t="s">
        <v>334</v>
      </c>
      <c r="C259" s="327"/>
      <c r="D259" s="640" t="s">
        <v>303</v>
      </c>
      <c r="E259" s="326"/>
      <c r="F259" s="326"/>
      <c r="G259" s="327"/>
      <c r="H259" s="641" t="s">
        <v>303</v>
      </c>
      <c r="I259" s="326"/>
      <c r="J259" s="326"/>
      <c r="K259" s="327"/>
      <c r="L259" s="438" t="s">
        <v>303</v>
      </c>
      <c r="M259" s="326"/>
      <c r="N259" s="327"/>
      <c r="O259" s="519" t="s">
        <v>303</v>
      </c>
      <c r="P259" s="326"/>
      <c r="Q259" s="327"/>
      <c r="R259" s="527"/>
      <c r="S259" s="326"/>
      <c r="T259" s="327"/>
      <c r="U259" s="497"/>
      <c r="V259" s="326"/>
      <c r="W259" s="327"/>
      <c r="X259" s="66"/>
      <c r="Y259" s="67"/>
      <c r="Z259" s="66"/>
      <c r="AA259" s="67"/>
      <c r="AB259" s="66"/>
      <c r="AC259" s="67"/>
      <c r="AD259" s="66"/>
      <c r="AE259" s="67"/>
      <c r="AF259" s="66"/>
      <c r="AG259" s="67"/>
      <c r="AH259" s="66"/>
      <c r="AI259" s="67"/>
      <c r="AJ259" s="50"/>
      <c r="AK259" s="69"/>
      <c r="AL259" s="50"/>
      <c r="AM259" s="69"/>
      <c r="AN259" s="50"/>
      <c r="AO259" s="69"/>
      <c r="AP259" s="50"/>
      <c r="AQ259" s="69"/>
      <c r="AR259" s="50"/>
      <c r="AS259" s="642" t="s">
        <v>303</v>
      </c>
      <c r="AT259" s="326"/>
      <c r="AU259" s="326"/>
      <c r="AV259" s="326"/>
      <c r="AW259" s="326"/>
      <c r="AX259" s="326"/>
      <c r="AY259" s="327"/>
      <c r="AZ259" s="70"/>
      <c r="BA259" s="70"/>
      <c r="BB259" s="643" t="s">
        <v>334</v>
      </c>
      <c r="BC259" s="327"/>
      <c r="BD259" s="645" t="s">
        <v>303</v>
      </c>
      <c r="BE259" s="326"/>
      <c r="BF259" s="327"/>
      <c r="BG259" s="646" t="s">
        <v>303</v>
      </c>
      <c r="BH259" s="326"/>
      <c r="BI259" s="326"/>
      <c r="BJ259" s="327"/>
      <c r="BK259" s="647"/>
      <c r="BL259" s="326"/>
      <c r="BM259" s="327"/>
      <c r="BN259" s="71"/>
      <c r="BO259" s="71"/>
      <c r="BP259" s="646"/>
      <c r="BQ259" s="326"/>
      <c r="BR259" s="327"/>
      <c r="BS259" s="645" t="s">
        <v>303</v>
      </c>
      <c r="BT259" s="326"/>
      <c r="BU259" s="327"/>
    </row>
    <row r="260" spans="1:73" ht="30" customHeight="1" x14ac:dyDescent="0.25">
      <c r="A260" s="65">
        <f t="shared" si="0"/>
        <v>246</v>
      </c>
      <c r="B260" s="639" t="s">
        <v>334</v>
      </c>
      <c r="C260" s="327"/>
      <c r="D260" s="640" t="s">
        <v>303</v>
      </c>
      <c r="E260" s="326"/>
      <c r="F260" s="326"/>
      <c r="G260" s="327"/>
      <c r="H260" s="641" t="s">
        <v>303</v>
      </c>
      <c r="I260" s="326"/>
      <c r="J260" s="326"/>
      <c r="K260" s="327"/>
      <c r="L260" s="438" t="s">
        <v>303</v>
      </c>
      <c r="M260" s="326"/>
      <c r="N260" s="327"/>
      <c r="O260" s="519" t="s">
        <v>303</v>
      </c>
      <c r="P260" s="326"/>
      <c r="Q260" s="327"/>
      <c r="R260" s="527"/>
      <c r="S260" s="326"/>
      <c r="T260" s="327"/>
      <c r="U260" s="497"/>
      <c r="V260" s="326"/>
      <c r="W260" s="327"/>
      <c r="X260" s="66"/>
      <c r="Y260" s="67"/>
      <c r="Z260" s="66"/>
      <c r="AA260" s="67"/>
      <c r="AB260" s="66"/>
      <c r="AC260" s="67"/>
      <c r="AD260" s="66"/>
      <c r="AE260" s="67"/>
      <c r="AF260" s="66"/>
      <c r="AG260" s="67"/>
      <c r="AH260" s="66"/>
      <c r="AI260" s="67"/>
      <c r="AJ260" s="50"/>
      <c r="AK260" s="69"/>
      <c r="AL260" s="50"/>
      <c r="AM260" s="69"/>
      <c r="AN260" s="50"/>
      <c r="AO260" s="69"/>
      <c r="AP260" s="50"/>
      <c r="AQ260" s="69"/>
      <c r="AR260" s="50"/>
      <c r="AS260" s="642" t="s">
        <v>303</v>
      </c>
      <c r="AT260" s="326"/>
      <c r="AU260" s="326"/>
      <c r="AV260" s="326"/>
      <c r="AW260" s="326"/>
      <c r="AX260" s="326"/>
      <c r="AY260" s="327"/>
      <c r="AZ260" s="70"/>
      <c r="BA260" s="70"/>
      <c r="BB260" s="644" t="s">
        <v>334</v>
      </c>
      <c r="BC260" s="327"/>
      <c r="BD260" s="645" t="s">
        <v>303</v>
      </c>
      <c r="BE260" s="326"/>
      <c r="BF260" s="327"/>
      <c r="BG260" s="646" t="s">
        <v>303</v>
      </c>
      <c r="BH260" s="326"/>
      <c r="BI260" s="326"/>
      <c r="BJ260" s="327"/>
      <c r="BK260" s="647"/>
      <c r="BL260" s="326"/>
      <c r="BM260" s="327"/>
      <c r="BN260" s="71"/>
      <c r="BO260" s="71"/>
      <c r="BP260" s="646"/>
      <c r="BQ260" s="326"/>
      <c r="BR260" s="327"/>
      <c r="BS260" s="645" t="s">
        <v>303</v>
      </c>
      <c r="BT260" s="326"/>
      <c r="BU260" s="327"/>
    </row>
    <row r="261" spans="1:73" ht="30" customHeight="1" x14ac:dyDescent="0.25">
      <c r="A261" s="65">
        <f t="shared" si="0"/>
        <v>247</v>
      </c>
      <c r="B261" s="639" t="s">
        <v>334</v>
      </c>
      <c r="C261" s="327"/>
      <c r="D261" s="640" t="s">
        <v>303</v>
      </c>
      <c r="E261" s="326"/>
      <c r="F261" s="326"/>
      <c r="G261" s="327"/>
      <c r="H261" s="641" t="s">
        <v>303</v>
      </c>
      <c r="I261" s="326"/>
      <c r="J261" s="326"/>
      <c r="K261" s="327"/>
      <c r="L261" s="438" t="s">
        <v>303</v>
      </c>
      <c r="M261" s="326"/>
      <c r="N261" s="327"/>
      <c r="O261" s="519" t="s">
        <v>303</v>
      </c>
      <c r="P261" s="326"/>
      <c r="Q261" s="327"/>
      <c r="R261" s="527"/>
      <c r="S261" s="326"/>
      <c r="T261" s="327"/>
      <c r="U261" s="497"/>
      <c r="V261" s="326"/>
      <c r="W261" s="327"/>
      <c r="X261" s="66"/>
      <c r="Y261" s="67"/>
      <c r="Z261" s="66"/>
      <c r="AA261" s="67"/>
      <c r="AB261" s="66"/>
      <c r="AC261" s="67"/>
      <c r="AD261" s="66"/>
      <c r="AE261" s="67"/>
      <c r="AF261" s="66"/>
      <c r="AG261" s="67"/>
      <c r="AH261" s="66"/>
      <c r="AI261" s="67"/>
      <c r="AJ261" s="50"/>
      <c r="AK261" s="69"/>
      <c r="AL261" s="50"/>
      <c r="AM261" s="69"/>
      <c r="AN261" s="50"/>
      <c r="AO261" s="69"/>
      <c r="AP261" s="50"/>
      <c r="AQ261" s="69"/>
      <c r="AR261" s="50"/>
      <c r="AS261" s="642" t="s">
        <v>303</v>
      </c>
      <c r="AT261" s="326"/>
      <c r="AU261" s="326"/>
      <c r="AV261" s="326"/>
      <c r="AW261" s="326"/>
      <c r="AX261" s="326"/>
      <c r="AY261" s="327"/>
      <c r="AZ261" s="70"/>
      <c r="BA261" s="70"/>
      <c r="BB261" s="643" t="s">
        <v>334</v>
      </c>
      <c r="BC261" s="327"/>
      <c r="BD261" s="645" t="s">
        <v>303</v>
      </c>
      <c r="BE261" s="326"/>
      <c r="BF261" s="327"/>
      <c r="BG261" s="646" t="s">
        <v>303</v>
      </c>
      <c r="BH261" s="326"/>
      <c r="BI261" s="326"/>
      <c r="BJ261" s="327"/>
      <c r="BK261" s="647"/>
      <c r="BL261" s="326"/>
      <c r="BM261" s="327"/>
      <c r="BN261" s="71"/>
      <c r="BO261" s="71"/>
      <c r="BP261" s="646"/>
      <c r="BQ261" s="326"/>
      <c r="BR261" s="327"/>
      <c r="BS261" s="645" t="s">
        <v>303</v>
      </c>
      <c r="BT261" s="326"/>
      <c r="BU261" s="327"/>
    </row>
    <row r="262" spans="1:73" ht="30" customHeight="1" x14ac:dyDescent="0.25">
      <c r="A262" s="65">
        <f t="shared" si="0"/>
        <v>248</v>
      </c>
      <c r="B262" s="639" t="s">
        <v>334</v>
      </c>
      <c r="C262" s="327"/>
      <c r="D262" s="640" t="s">
        <v>303</v>
      </c>
      <c r="E262" s="326"/>
      <c r="F262" s="326"/>
      <c r="G262" s="327"/>
      <c r="H262" s="641" t="s">
        <v>303</v>
      </c>
      <c r="I262" s="326"/>
      <c r="J262" s="326"/>
      <c r="K262" s="327"/>
      <c r="L262" s="438" t="s">
        <v>303</v>
      </c>
      <c r="M262" s="326"/>
      <c r="N262" s="327"/>
      <c r="O262" s="519" t="s">
        <v>303</v>
      </c>
      <c r="P262" s="326"/>
      <c r="Q262" s="327"/>
      <c r="R262" s="527"/>
      <c r="S262" s="326"/>
      <c r="T262" s="327"/>
      <c r="U262" s="497"/>
      <c r="V262" s="326"/>
      <c r="W262" s="327"/>
      <c r="X262" s="66"/>
      <c r="Y262" s="67"/>
      <c r="Z262" s="66"/>
      <c r="AA262" s="67"/>
      <c r="AB262" s="66"/>
      <c r="AC262" s="67"/>
      <c r="AD262" s="66"/>
      <c r="AE262" s="67"/>
      <c r="AF262" s="66"/>
      <c r="AG262" s="67"/>
      <c r="AH262" s="66"/>
      <c r="AI262" s="67"/>
      <c r="AJ262" s="50"/>
      <c r="AK262" s="69"/>
      <c r="AL262" s="50"/>
      <c r="AM262" s="69"/>
      <c r="AN262" s="50"/>
      <c r="AO262" s="69"/>
      <c r="AP262" s="50"/>
      <c r="AQ262" s="69"/>
      <c r="AR262" s="50"/>
      <c r="AS262" s="642" t="s">
        <v>303</v>
      </c>
      <c r="AT262" s="326"/>
      <c r="AU262" s="326"/>
      <c r="AV262" s="326"/>
      <c r="AW262" s="326"/>
      <c r="AX262" s="326"/>
      <c r="AY262" s="327"/>
      <c r="AZ262" s="70"/>
      <c r="BA262" s="70"/>
      <c r="BB262" s="643" t="s">
        <v>334</v>
      </c>
      <c r="BC262" s="327"/>
      <c r="BD262" s="645" t="s">
        <v>303</v>
      </c>
      <c r="BE262" s="326"/>
      <c r="BF262" s="327"/>
      <c r="BG262" s="646" t="s">
        <v>303</v>
      </c>
      <c r="BH262" s="326"/>
      <c r="BI262" s="326"/>
      <c r="BJ262" s="327"/>
      <c r="BK262" s="647"/>
      <c r="BL262" s="326"/>
      <c r="BM262" s="327"/>
      <c r="BN262" s="71"/>
      <c r="BO262" s="71"/>
      <c r="BP262" s="646"/>
      <c r="BQ262" s="326"/>
      <c r="BR262" s="327"/>
      <c r="BS262" s="645" t="s">
        <v>303</v>
      </c>
      <c r="BT262" s="326"/>
      <c r="BU262" s="327"/>
    </row>
    <row r="263" spans="1:73" ht="30" customHeight="1" x14ac:dyDescent="0.25">
      <c r="A263" s="65">
        <f t="shared" si="0"/>
        <v>249</v>
      </c>
      <c r="B263" s="639" t="s">
        <v>334</v>
      </c>
      <c r="C263" s="327"/>
      <c r="D263" s="640" t="s">
        <v>303</v>
      </c>
      <c r="E263" s="326"/>
      <c r="F263" s="326"/>
      <c r="G263" s="327"/>
      <c r="H263" s="641" t="s">
        <v>303</v>
      </c>
      <c r="I263" s="326"/>
      <c r="J263" s="326"/>
      <c r="K263" s="327"/>
      <c r="L263" s="438" t="s">
        <v>303</v>
      </c>
      <c r="M263" s="326"/>
      <c r="N263" s="327"/>
      <c r="O263" s="519" t="s">
        <v>303</v>
      </c>
      <c r="P263" s="326"/>
      <c r="Q263" s="327"/>
      <c r="R263" s="527"/>
      <c r="S263" s="326"/>
      <c r="T263" s="327"/>
      <c r="U263" s="497"/>
      <c r="V263" s="326"/>
      <c r="W263" s="327"/>
      <c r="X263" s="66"/>
      <c r="Y263" s="67"/>
      <c r="Z263" s="66"/>
      <c r="AA263" s="67"/>
      <c r="AB263" s="66"/>
      <c r="AC263" s="67"/>
      <c r="AD263" s="66"/>
      <c r="AE263" s="67"/>
      <c r="AF263" s="66"/>
      <c r="AG263" s="67"/>
      <c r="AH263" s="66"/>
      <c r="AI263" s="67"/>
      <c r="AJ263" s="50"/>
      <c r="AK263" s="69"/>
      <c r="AL263" s="50"/>
      <c r="AM263" s="69"/>
      <c r="AN263" s="50"/>
      <c r="AO263" s="69"/>
      <c r="AP263" s="50"/>
      <c r="AQ263" s="69"/>
      <c r="AR263" s="50"/>
      <c r="AS263" s="642" t="s">
        <v>303</v>
      </c>
      <c r="AT263" s="326"/>
      <c r="AU263" s="326"/>
      <c r="AV263" s="326"/>
      <c r="AW263" s="326"/>
      <c r="AX263" s="326"/>
      <c r="AY263" s="327"/>
      <c r="AZ263" s="70"/>
      <c r="BA263" s="70"/>
      <c r="BB263" s="643" t="s">
        <v>334</v>
      </c>
      <c r="BC263" s="327"/>
      <c r="BD263" s="645" t="s">
        <v>303</v>
      </c>
      <c r="BE263" s="326"/>
      <c r="BF263" s="327"/>
      <c r="BG263" s="646" t="s">
        <v>303</v>
      </c>
      <c r="BH263" s="326"/>
      <c r="BI263" s="326"/>
      <c r="BJ263" s="327"/>
      <c r="BK263" s="647"/>
      <c r="BL263" s="326"/>
      <c r="BM263" s="327"/>
      <c r="BN263" s="71"/>
      <c r="BO263" s="71"/>
      <c r="BP263" s="646"/>
      <c r="BQ263" s="326"/>
      <c r="BR263" s="327"/>
      <c r="BS263" s="645" t="s">
        <v>303</v>
      </c>
      <c r="BT263" s="326"/>
      <c r="BU263" s="327"/>
    </row>
    <row r="264" spans="1:73" ht="30" customHeight="1" x14ac:dyDescent="0.25">
      <c r="A264" s="65">
        <f t="shared" si="0"/>
        <v>250</v>
      </c>
      <c r="B264" s="639" t="s">
        <v>334</v>
      </c>
      <c r="C264" s="327"/>
      <c r="D264" s="640" t="s">
        <v>303</v>
      </c>
      <c r="E264" s="326"/>
      <c r="F264" s="326"/>
      <c r="G264" s="327"/>
      <c r="H264" s="641" t="s">
        <v>303</v>
      </c>
      <c r="I264" s="326"/>
      <c r="J264" s="326"/>
      <c r="K264" s="327"/>
      <c r="L264" s="438" t="s">
        <v>303</v>
      </c>
      <c r="M264" s="326"/>
      <c r="N264" s="327"/>
      <c r="O264" s="519" t="s">
        <v>303</v>
      </c>
      <c r="P264" s="326"/>
      <c r="Q264" s="327"/>
      <c r="R264" s="527"/>
      <c r="S264" s="326"/>
      <c r="T264" s="327"/>
      <c r="U264" s="497"/>
      <c r="V264" s="326"/>
      <c r="W264" s="327"/>
      <c r="X264" s="66"/>
      <c r="Y264" s="67"/>
      <c r="Z264" s="66"/>
      <c r="AA264" s="67"/>
      <c r="AB264" s="66"/>
      <c r="AC264" s="67"/>
      <c r="AD264" s="66"/>
      <c r="AE264" s="67"/>
      <c r="AF264" s="66"/>
      <c r="AG264" s="67"/>
      <c r="AH264" s="66"/>
      <c r="AI264" s="67"/>
      <c r="AJ264" s="50"/>
      <c r="AK264" s="69"/>
      <c r="AL264" s="50"/>
      <c r="AM264" s="69"/>
      <c r="AN264" s="50"/>
      <c r="AO264" s="69"/>
      <c r="AP264" s="50"/>
      <c r="AQ264" s="69"/>
      <c r="AR264" s="50"/>
      <c r="AS264" s="642" t="s">
        <v>303</v>
      </c>
      <c r="AT264" s="326"/>
      <c r="AU264" s="326"/>
      <c r="AV264" s="326"/>
      <c r="AW264" s="326"/>
      <c r="AX264" s="326"/>
      <c r="AY264" s="327"/>
      <c r="AZ264" s="70"/>
      <c r="BA264" s="70"/>
      <c r="BB264" s="643" t="s">
        <v>334</v>
      </c>
      <c r="BC264" s="327"/>
      <c r="BD264" s="645" t="s">
        <v>303</v>
      </c>
      <c r="BE264" s="326"/>
      <c r="BF264" s="327"/>
      <c r="BG264" s="646" t="s">
        <v>303</v>
      </c>
      <c r="BH264" s="326"/>
      <c r="BI264" s="326"/>
      <c r="BJ264" s="327"/>
      <c r="BK264" s="647"/>
      <c r="BL264" s="326"/>
      <c r="BM264" s="327"/>
      <c r="BN264" s="71"/>
      <c r="BO264" s="71"/>
      <c r="BP264" s="646"/>
      <c r="BQ264" s="326"/>
      <c r="BR264" s="327"/>
      <c r="BS264" s="645" t="s">
        <v>303</v>
      </c>
      <c r="BT264" s="326"/>
      <c r="BU264" s="327"/>
    </row>
    <row r="265" spans="1:73" ht="30" customHeight="1" x14ac:dyDescent="0.25">
      <c r="A265" s="65">
        <f t="shared" si="0"/>
        <v>251</v>
      </c>
      <c r="B265" s="639" t="s">
        <v>334</v>
      </c>
      <c r="C265" s="327"/>
      <c r="D265" s="640" t="s">
        <v>303</v>
      </c>
      <c r="E265" s="326"/>
      <c r="F265" s="326"/>
      <c r="G265" s="327"/>
      <c r="H265" s="641" t="s">
        <v>303</v>
      </c>
      <c r="I265" s="326"/>
      <c r="J265" s="326"/>
      <c r="K265" s="327"/>
      <c r="L265" s="438" t="s">
        <v>303</v>
      </c>
      <c r="M265" s="326"/>
      <c r="N265" s="327"/>
      <c r="O265" s="519" t="s">
        <v>303</v>
      </c>
      <c r="P265" s="326"/>
      <c r="Q265" s="327"/>
      <c r="R265" s="527"/>
      <c r="S265" s="326"/>
      <c r="T265" s="327"/>
      <c r="U265" s="497"/>
      <c r="V265" s="326"/>
      <c r="W265" s="327"/>
      <c r="X265" s="66"/>
      <c r="Y265" s="67"/>
      <c r="Z265" s="66"/>
      <c r="AA265" s="67"/>
      <c r="AB265" s="66"/>
      <c r="AC265" s="67"/>
      <c r="AD265" s="66"/>
      <c r="AE265" s="67"/>
      <c r="AF265" s="66"/>
      <c r="AG265" s="67"/>
      <c r="AH265" s="66"/>
      <c r="AI265" s="67"/>
      <c r="AJ265" s="50"/>
      <c r="AK265" s="69"/>
      <c r="AL265" s="50"/>
      <c r="AM265" s="69"/>
      <c r="AN265" s="50"/>
      <c r="AO265" s="69"/>
      <c r="AP265" s="50"/>
      <c r="AQ265" s="69"/>
      <c r="AR265" s="50"/>
      <c r="AS265" s="642" t="s">
        <v>303</v>
      </c>
      <c r="AT265" s="326"/>
      <c r="AU265" s="326"/>
      <c r="AV265" s="326"/>
      <c r="AW265" s="326"/>
      <c r="AX265" s="326"/>
      <c r="AY265" s="327"/>
      <c r="AZ265" s="70"/>
      <c r="BA265" s="70"/>
      <c r="BB265" s="643" t="s">
        <v>334</v>
      </c>
      <c r="BC265" s="327"/>
      <c r="BD265" s="645" t="s">
        <v>303</v>
      </c>
      <c r="BE265" s="326"/>
      <c r="BF265" s="327"/>
      <c r="BG265" s="646" t="s">
        <v>303</v>
      </c>
      <c r="BH265" s="326"/>
      <c r="BI265" s="326"/>
      <c r="BJ265" s="327"/>
      <c r="BK265" s="647"/>
      <c r="BL265" s="326"/>
      <c r="BM265" s="327"/>
      <c r="BN265" s="71"/>
      <c r="BO265" s="71"/>
      <c r="BP265" s="646"/>
      <c r="BQ265" s="326"/>
      <c r="BR265" s="327"/>
      <c r="BS265" s="645" t="s">
        <v>303</v>
      </c>
      <c r="BT265" s="326"/>
      <c r="BU265" s="327"/>
    </row>
    <row r="266" spans="1:73" ht="30" customHeight="1" x14ac:dyDescent="0.25">
      <c r="A266" s="65">
        <f t="shared" si="0"/>
        <v>252</v>
      </c>
      <c r="B266" s="639" t="s">
        <v>334</v>
      </c>
      <c r="C266" s="327"/>
      <c r="D266" s="640" t="s">
        <v>303</v>
      </c>
      <c r="E266" s="326"/>
      <c r="F266" s="326"/>
      <c r="G266" s="327"/>
      <c r="H266" s="641" t="s">
        <v>303</v>
      </c>
      <c r="I266" s="326"/>
      <c r="J266" s="326"/>
      <c r="K266" s="327"/>
      <c r="L266" s="438" t="s">
        <v>303</v>
      </c>
      <c r="M266" s="326"/>
      <c r="N266" s="327"/>
      <c r="O266" s="519" t="s">
        <v>303</v>
      </c>
      <c r="P266" s="326"/>
      <c r="Q266" s="327"/>
      <c r="R266" s="527"/>
      <c r="S266" s="326"/>
      <c r="T266" s="327"/>
      <c r="U266" s="497"/>
      <c r="V266" s="326"/>
      <c r="W266" s="327"/>
      <c r="X266" s="66"/>
      <c r="Y266" s="67"/>
      <c r="Z266" s="66"/>
      <c r="AA266" s="67"/>
      <c r="AB266" s="66"/>
      <c r="AC266" s="67"/>
      <c r="AD266" s="66"/>
      <c r="AE266" s="67"/>
      <c r="AF266" s="66"/>
      <c r="AG266" s="67"/>
      <c r="AH266" s="66"/>
      <c r="AI266" s="67"/>
      <c r="AJ266" s="50"/>
      <c r="AK266" s="69"/>
      <c r="AL266" s="50"/>
      <c r="AM266" s="69"/>
      <c r="AN266" s="50"/>
      <c r="AO266" s="69"/>
      <c r="AP266" s="50"/>
      <c r="AQ266" s="69"/>
      <c r="AR266" s="50"/>
      <c r="AS266" s="642" t="s">
        <v>303</v>
      </c>
      <c r="AT266" s="326"/>
      <c r="AU266" s="326"/>
      <c r="AV266" s="326"/>
      <c r="AW266" s="326"/>
      <c r="AX266" s="326"/>
      <c r="AY266" s="327"/>
      <c r="AZ266" s="70"/>
      <c r="BA266" s="70"/>
      <c r="BB266" s="643" t="s">
        <v>334</v>
      </c>
      <c r="BC266" s="327"/>
      <c r="BD266" s="645" t="s">
        <v>303</v>
      </c>
      <c r="BE266" s="326"/>
      <c r="BF266" s="327"/>
      <c r="BG266" s="646" t="s">
        <v>303</v>
      </c>
      <c r="BH266" s="326"/>
      <c r="BI266" s="326"/>
      <c r="BJ266" s="327"/>
      <c r="BK266" s="647"/>
      <c r="BL266" s="326"/>
      <c r="BM266" s="327"/>
      <c r="BN266" s="71"/>
      <c r="BO266" s="71"/>
      <c r="BP266" s="646"/>
      <c r="BQ266" s="326"/>
      <c r="BR266" s="327"/>
      <c r="BS266" s="645" t="s">
        <v>303</v>
      </c>
      <c r="BT266" s="326"/>
      <c r="BU266" s="327"/>
    </row>
    <row r="267" spans="1:73" ht="30" customHeight="1" x14ac:dyDescent="0.25">
      <c r="A267" s="65">
        <f t="shared" si="0"/>
        <v>253</v>
      </c>
      <c r="B267" s="639" t="s">
        <v>334</v>
      </c>
      <c r="C267" s="327"/>
      <c r="D267" s="640" t="s">
        <v>303</v>
      </c>
      <c r="E267" s="326"/>
      <c r="F267" s="326"/>
      <c r="G267" s="327"/>
      <c r="H267" s="641" t="s">
        <v>303</v>
      </c>
      <c r="I267" s="326"/>
      <c r="J267" s="326"/>
      <c r="K267" s="327"/>
      <c r="L267" s="438" t="s">
        <v>303</v>
      </c>
      <c r="M267" s="326"/>
      <c r="N267" s="327"/>
      <c r="O267" s="519" t="s">
        <v>303</v>
      </c>
      <c r="P267" s="326"/>
      <c r="Q267" s="327"/>
      <c r="R267" s="527"/>
      <c r="S267" s="326"/>
      <c r="T267" s="327"/>
      <c r="U267" s="497"/>
      <c r="V267" s="326"/>
      <c r="W267" s="327"/>
      <c r="X267" s="66"/>
      <c r="Y267" s="67"/>
      <c r="Z267" s="66"/>
      <c r="AA267" s="67"/>
      <c r="AB267" s="66"/>
      <c r="AC267" s="67"/>
      <c r="AD267" s="66"/>
      <c r="AE267" s="67"/>
      <c r="AF267" s="66"/>
      <c r="AG267" s="67"/>
      <c r="AH267" s="66"/>
      <c r="AI267" s="67"/>
      <c r="AJ267" s="50"/>
      <c r="AK267" s="69"/>
      <c r="AL267" s="50"/>
      <c r="AM267" s="69"/>
      <c r="AN267" s="50"/>
      <c r="AO267" s="69"/>
      <c r="AP267" s="50"/>
      <c r="AQ267" s="69"/>
      <c r="AR267" s="50"/>
      <c r="AS267" s="642" t="s">
        <v>303</v>
      </c>
      <c r="AT267" s="326"/>
      <c r="AU267" s="326"/>
      <c r="AV267" s="326"/>
      <c r="AW267" s="326"/>
      <c r="AX267" s="326"/>
      <c r="AY267" s="327"/>
      <c r="AZ267" s="70"/>
      <c r="BA267" s="70"/>
      <c r="BB267" s="644" t="s">
        <v>334</v>
      </c>
      <c r="BC267" s="327"/>
      <c r="BD267" s="645" t="s">
        <v>303</v>
      </c>
      <c r="BE267" s="326"/>
      <c r="BF267" s="327"/>
      <c r="BG267" s="646" t="s">
        <v>303</v>
      </c>
      <c r="BH267" s="326"/>
      <c r="BI267" s="326"/>
      <c r="BJ267" s="327"/>
      <c r="BK267" s="647"/>
      <c r="BL267" s="326"/>
      <c r="BM267" s="327"/>
      <c r="BN267" s="71"/>
      <c r="BO267" s="71"/>
      <c r="BP267" s="646"/>
      <c r="BQ267" s="326"/>
      <c r="BR267" s="327"/>
      <c r="BS267" s="645" t="s">
        <v>303</v>
      </c>
      <c r="BT267" s="326"/>
      <c r="BU267" s="327"/>
    </row>
    <row r="268" spans="1:73" ht="30" customHeight="1" x14ac:dyDescent="0.25">
      <c r="A268" s="65">
        <f t="shared" si="0"/>
        <v>254</v>
      </c>
      <c r="B268" s="639" t="s">
        <v>334</v>
      </c>
      <c r="C268" s="327"/>
      <c r="D268" s="640" t="s">
        <v>303</v>
      </c>
      <c r="E268" s="326"/>
      <c r="F268" s="326"/>
      <c r="G268" s="327"/>
      <c r="H268" s="641" t="s">
        <v>303</v>
      </c>
      <c r="I268" s="326"/>
      <c r="J268" s="326"/>
      <c r="K268" s="327"/>
      <c r="L268" s="438" t="s">
        <v>303</v>
      </c>
      <c r="M268" s="326"/>
      <c r="N268" s="327"/>
      <c r="O268" s="519" t="s">
        <v>303</v>
      </c>
      <c r="P268" s="326"/>
      <c r="Q268" s="327"/>
      <c r="R268" s="527"/>
      <c r="S268" s="326"/>
      <c r="T268" s="327"/>
      <c r="U268" s="497"/>
      <c r="V268" s="326"/>
      <c r="W268" s="327"/>
      <c r="X268" s="66"/>
      <c r="Y268" s="67"/>
      <c r="Z268" s="66"/>
      <c r="AA268" s="67"/>
      <c r="AB268" s="66"/>
      <c r="AC268" s="67"/>
      <c r="AD268" s="66"/>
      <c r="AE268" s="67"/>
      <c r="AF268" s="66"/>
      <c r="AG268" s="67"/>
      <c r="AH268" s="66"/>
      <c r="AI268" s="67"/>
      <c r="AJ268" s="50"/>
      <c r="AK268" s="69"/>
      <c r="AL268" s="50"/>
      <c r="AM268" s="69"/>
      <c r="AN268" s="50"/>
      <c r="AO268" s="69"/>
      <c r="AP268" s="50"/>
      <c r="AQ268" s="69"/>
      <c r="AR268" s="50"/>
      <c r="AS268" s="642" t="s">
        <v>303</v>
      </c>
      <c r="AT268" s="326"/>
      <c r="AU268" s="326"/>
      <c r="AV268" s="326"/>
      <c r="AW268" s="326"/>
      <c r="AX268" s="326"/>
      <c r="AY268" s="327"/>
      <c r="AZ268" s="70"/>
      <c r="BA268" s="70"/>
      <c r="BB268" s="643" t="s">
        <v>334</v>
      </c>
      <c r="BC268" s="327"/>
      <c r="BD268" s="645" t="s">
        <v>303</v>
      </c>
      <c r="BE268" s="326"/>
      <c r="BF268" s="327"/>
      <c r="BG268" s="646" t="s">
        <v>303</v>
      </c>
      <c r="BH268" s="326"/>
      <c r="BI268" s="326"/>
      <c r="BJ268" s="327"/>
      <c r="BK268" s="647"/>
      <c r="BL268" s="326"/>
      <c r="BM268" s="327"/>
      <c r="BN268" s="71"/>
      <c r="BO268" s="71"/>
      <c r="BP268" s="646"/>
      <c r="BQ268" s="326"/>
      <c r="BR268" s="327"/>
      <c r="BS268" s="645" t="s">
        <v>303</v>
      </c>
      <c r="BT268" s="326"/>
      <c r="BU268" s="327"/>
    </row>
    <row r="269" spans="1:73" ht="30" customHeight="1" x14ac:dyDescent="0.25">
      <c r="A269" s="65">
        <f t="shared" si="0"/>
        <v>255</v>
      </c>
      <c r="B269" s="639" t="s">
        <v>334</v>
      </c>
      <c r="C269" s="327"/>
      <c r="D269" s="640" t="s">
        <v>303</v>
      </c>
      <c r="E269" s="326"/>
      <c r="F269" s="326"/>
      <c r="G269" s="327"/>
      <c r="H269" s="641" t="s">
        <v>303</v>
      </c>
      <c r="I269" s="326"/>
      <c r="J269" s="326"/>
      <c r="K269" s="327"/>
      <c r="L269" s="438" t="s">
        <v>303</v>
      </c>
      <c r="M269" s="326"/>
      <c r="N269" s="327"/>
      <c r="O269" s="519" t="s">
        <v>303</v>
      </c>
      <c r="P269" s="326"/>
      <c r="Q269" s="327"/>
      <c r="R269" s="527"/>
      <c r="S269" s="326"/>
      <c r="T269" s="327"/>
      <c r="U269" s="497"/>
      <c r="V269" s="326"/>
      <c r="W269" s="327"/>
      <c r="X269" s="66"/>
      <c r="Y269" s="67"/>
      <c r="Z269" s="66"/>
      <c r="AA269" s="67"/>
      <c r="AB269" s="66"/>
      <c r="AC269" s="67"/>
      <c r="AD269" s="66"/>
      <c r="AE269" s="67"/>
      <c r="AF269" s="66"/>
      <c r="AG269" s="67"/>
      <c r="AH269" s="66"/>
      <c r="AI269" s="67"/>
      <c r="AJ269" s="50"/>
      <c r="AK269" s="69"/>
      <c r="AL269" s="50"/>
      <c r="AM269" s="69"/>
      <c r="AN269" s="50"/>
      <c r="AO269" s="69"/>
      <c r="AP269" s="50"/>
      <c r="AQ269" s="69"/>
      <c r="AR269" s="50"/>
      <c r="AS269" s="642" t="s">
        <v>303</v>
      </c>
      <c r="AT269" s="326"/>
      <c r="AU269" s="326"/>
      <c r="AV269" s="326"/>
      <c r="AW269" s="326"/>
      <c r="AX269" s="326"/>
      <c r="AY269" s="327"/>
      <c r="AZ269" s="70"/>
      <c r="BA269" s="70"/>
      <c r="BB269" s="643" t="s">
        <v>334</v>
      </c>
      <c r="BC269" s="327"/>
      <c r="BD269" s="645" t="s">
        <v>303</v>
      </c>
      <c r="BE269" s="326"/>
      <c r="BF269" s="327"/>
      <c r="BG269" s="646" t="s">
        <v>303</v>
      </c>
      <c r="BH269" s="326"/>
      <c r="BI269" s="326"/>
      <c r="BJ269" s="327"/>
      <c r="BK269" s="647"/>
      <c r="BL269" s="326"/>
      <c r="BM269" s="327"/>
      <c r="BN269" s="71"/>
      <c r="BO269" s="71"/>
      <c r="BP269" s="646"/>
      <c r="BQ269" s="326"/>
      <c r="BR269" s="327"/>
      <c r="BS269" s="645" t="s">
        <v>303</v>
      </c>
      <c r="BT269" s="326"/>
      <c r="BU269" s="327"/>
    </row>
    <row r="270" spans="1:73" ht="30" customHeight="1" x14ac:dyDescent="0.25">
      <c r="A270" s="65">
        <f t="shared" ref="A270:A514" si="1">ROW(A256)</f>
        <v>256</v>
      </c>
      <c r="B270" s="639" t="s">
        <v>334</v>
      </c>
      <c r="C270" s="327"/>
      <c r="D270" s="640" t="s">
        <v>303</v>
      </c>
      <c r="E270" s="326"/>
      <c r="F270" s="326"/>
      <c r="G270" s="327"/>
      <c r="H270" s="641" t="s">
        <v>303</v>
      </c>
      <c r="I270" s="326"/>
      <c r="J270" s="326"/>
      <c r="K270" s="327"/>
      <c r="L270" s="438" t="s">
        <v>303</v>
      </c>
      <c r="M270" s="326"/>
      <c r="N270" s="327"/>
      <c r="O270" s="519" t="s">
        <v>303</v>
      </c>
      <c r="P270" s="326"/>
      <c r="Q270" s="327"/>
      <c r="R270" s="527"/>
      <c r="S270" s="326"/>
      <c r="T270" s="327"/>
      <c r="U270" s="497"/>
      <c r="V270" s="326"/>
      <c r="W270" s="327"/>
      <c r="X270" s="66"/>
      <c r="Y270" s="67"/>
      <c r="Z270" s="66"/>
      <c r="AA270" s="67"/>
      <c r="AB270" s="66"/>
      <c r="AC270" s="67"/>
      <c r="AD270" s="66"/>
      <c r="AE270" s="67"/>
      <c r="AF270" s="66"/>
      <c r="AG270" s="67"/>
      <c r="AH270" s="66"/>
      <c r="AI270" s="67"/>
      <c r="AJ270" s="50"/>
      <c r="AK270" s="69"/>
      <c r="AL270" s="50"/>
      <c r="AM270" s="69"/>
      <c r="AN270" s="50"/>
      <c r="AO270" s="69"/>
      <c r="AP270" s="50"/>
      <c r="AQ270" s="69"/>
      <c r="AR270" s="50"/>
      <c r="AS270" s="642" t="s">
        <v>303</v>
      </c>
      <c r="AT270" s="326"/>
      <c r="AU270" s="326"/>
      <c r="AV270" s="326"/>
      <c r="AW270" s="326"/>
      <c r="AX270" s="326"/>
      <c r="AY270" s="327"/>
      <c r="AZ270" s="70"/>
      <c r="BA270" s="70"/>
      <c r="BB270" s="643" t="s">
        <v>334</v>
      </c>
      <c r="BC270" s="327"/>
      <c r="BD270" s="645" t="s">
        <v>303</v>
      </c>
      <c r="BE270" s="326"/>
      <c r="BF270" s="327"/>
      <c r="BG270" s="646" t="s">
        <v>303</v>
      </c>
      <c r="BH270" s="326"/>
      <c r="BI270" s="326"/>
      <c r="BJ270" s="327"/>
      <c r="BK270" s="647"/>
      <c r="BL270" s="326"/>
      <c r="BM270" s="327"/>
      <c r="BN270" s="71"/>
      <c r="BO270" s="71"/>
      <c r="BP270" s="646"/>
      <c r="BQ270" s="326"/>
      <c r="BR270" s="327"/>
      <c r="BS270" s="645" t="s">
        <v>303</v>
      </c>
      <c r="BT270" s="326"/>
      <c r="BU270" s="327"/>
    </row>
    <row r="271" spans="1:73" ht="30" customHeight="1" x14ac:dyDescent="0.25">
      <c r="A271" s="65">
        <f t="shared" si="1"/>
        <v>257</v>
      </c>
      <c r="B271" s="639" t="s">
        <v>334</v>
      </c>
      <c r="C271" s="327"/>
      <c r="D271" s="640" t="s">
        <v>303</v>
      </c>
      <c r="E271" s="326"/>
      <c r="F271" s="326"/>
      <c r="G271" s="327"/>
      <c r="H271" s="641" t="s">
        <v>303</v>
      </c>
      <c r="I271" s="326"/>
      <c r="J271" s="326"/>
      <c r="K271" s="327"/>
      <c r="L271" s="438" t="s">
        <v>303</v>
      </c>
      <c r="M271" s="326"/>
      <c r="N271" s="327"/>
      <c r="O271" s="519" t="s">
        <v>303</v>
      </c>
      <c r="P271" s="326"/>
      <c r="Q271" s="327"/>
      <c r="R271" s="527"/>
      <c r="S271" s="326"/>
      <c r="T271" s="327"/>
      <c r="U271" s="497"/>
      <c r="V271" s="326"/>
      <c r="W271" s="327"/>
      <c r="X271" s="66"/>
      <c r="Y271" s="67"/>
      <c r="Z271" s="66"/>
      <c r="AA271" s="67"/>
      <c r="AB271" s="66"/>
      <c r="AC271" s="67"/>
      <c r="AD271" s="66"/>
      <c r="AE271" s="67"/>
      <c r="AF271" s="66"/>
      <c r="AG271" s="67"/>
      <c r="AH271" s="66"/>
      <c r="AI271" s="67"/>
      <c r="AJ271" s="50"/>
      <c r="AK271" s="69"/>
      <c r="AL271" s="50"/>
      <c r="AM271" s="69"/>
      <c r="AN271" s="50"/>
      <c r="AO271" s="69"/>
      <c r="AP271" s="50"/>
      <c r="AQ271" s="69"/>
      <c r="AR271" s="50"/>
      <c r="AS271" s="642" t="s">
        <v>303</v>
      </c>
      <c r="AT271" s="326"/>
      <c r="AU271" s="326"/>
      <c r="AV271" s="326"/>
      <c r="AW271" s="326"/>
      <c r="AX271" s="326"/>
      <c r="AY271" s="327"/>
      <c r="AZ271" s="70"/>
      <c r="BA271" s="70"/>
      <c r="BB271" s="643" t="s">
        <v>334</v>
      </c>
      <c r="BC271" s="327"/>
      <c r="BD271" s="645" t="s">
        <v>303</v>
      </c>
      <c r="BE271" s="326"/>
      <c r="BF271" s="327"/>
      <c r="BG271" s="646" t="s">
        <v>303</v>
      </c>
      <c r="BH271" s="326"/>
      <c r="BI271" s="326"/>
      <c r="BJ271" s="327"/>
      <c r="BK271" s="647"/>
      <c r="BL271" s="326"/>
      <c r="BM271" s="327"/>
      <c r="BN271" s="71"/>
      <c r="BO271" s="71"/>
      <c r="BP271" s="646"/>
      <c r="BQ271" s="326"/>
      <c r="BR271" s="327"/>
      <c r="BS271" s="645" t="s">
        <v>303</v>
      </c>
      <c r="BT271" s="326"/>
      <c r="BU271" s="327"/>
    </row>
    <row r="272" spans="1:73" ht="30" customHeight="1" x14ac:dyDescent="0.25">
      <c r="A272" s="65">
        <f t="shared" si="1"/>
        <v>258</v>
      </c>
      <c r="B272" s="639" t="s">
        <v>334</v>
      </c>
      <c r="C272" s="327"/>
      <c r="D272" s="640" t="s">
        <v>303</v>
      </c>
      <c r="E272" s="326"/>
      <c r="F272" s="326"/>
      <c r="G272" s="327"/>
      <c r="H272" s="641" t="s">
        <v>303</v>
      </c>
      <c r="I272" s="326"/>
      <c r="J272" s="326"/>
      <c r="K272" s="327"/>
      <c r="L272" s="438" t="s">
        <v>303</v>
      </c>
      <c r="M272" s="326"/>
      <c r="N272" s="327"/>
      <c r="O272" s="519" t="s">
        <v>303</v>
      </c>
      <c r="P272" s="326"/>
      <c r="Q272" s="327"/>
      <c r="R272" s="527"/>
      <c r="S272" s="326"/>
      <c r="T272" s="327"/>
      <c r="U272" s="497"/>
      <c r="V272" s="326"/>
      <c r="W272" s="327"/>
      <c r="X272" s="66"/>
      <c r="Y272" s="67"/>
      <c r="Z272" s="66"/>
      <c r="AA272" s="67"/>
      <c r="AB272" s="66"/>
      <c r="AC272" s="67"/>
      <c r="AD272" s="66"/>
      <c r="AE272" s="67"/>
      <c r="AF272" s="66"/>
      <c r="AG272" s="67"/>
      <c r="AH272" s="66"/>
      <c r="AI272" s="67"/>
      <c r="AJ272" s="50"/>
      <c r="AK272" s="69"/>
      <c r="AL272" s="50"/>
      <c r="AM272" s="69"/>
      <c r="AN272" s="50"/>
      <c r="AO272" s="69"/>
      <c r="AP272" s="50"/>
      <c r="AQ272" s="69"/>
      <c r="AR272" s="50"/>
      <c r="AS272" s="642" t="s">
        <v>303</v>
      </c>
      <c r="AT272" s="326"/>
      <c r="AU272" s="326"/>
      <c r="AV272" s="326"/>
      <c r="AW272" s="326"/>
      <c r="AX272" s="326"/>
      <c r="AY272" s="327"/>
      <c r="AZ272" s="70"/>
      <c r="BA272" s="70"/>
      <c r="BB272" s="643" t="s">
        <v>334</v>
      </c>
      <c r="BC272" s="327"/>
      <c r="BD272" s="645" t="s">
        <v>303</v>
      </c>
      <c r="BE272" s="326"/>
      <c r="BF272" s="327"/>
      <c r="BG272" s="646" t="s">
        <v>303</v>
      </c>
      <c r="BH272" s="326"/>
      <c r="BI272" s="326"/>
      <c r="BJ272" s="327"/>
      <c r="BK272" s="647"/>
      <c r="BL272" s="326"/>
      <c r="BM272" s="327"/>
      <c r="BN272" s="71"/>
      <c r="BO272" s="71"/>
      <c r="BP272" s="646"/>
      <c r="BQ272" s="326"/>
      <c r="BR272" s="327"/>
      <c r="BS272" s="645" t="s">
        <v>303</v>
      </c>
      <c r="BT272" s="326"/>
      <c r="BU272" s="327"/>
    </row>
    <row r="273" spans="1:73" ht="30" customHeight="1" x14ac:dyDescent="0.25">
      <c r="A273" s="65">
        <f t="shared" si="1"/>
        <v>259</v>
      </c>
      <c r="B273" s="639" t="s">
        <v>334</v>
      </c>
      <c r="C273" s="327"/>
      <c r="D273" s="640" t="s">
        <v>303</v>
      </c>
      <c r="E273" s="326"/>
      <c r="F273" s="326"/>
      <c r="G273" s="327"/>
      <c r="H273" s="641" t="s">
        <v>303</v>
      </c>
      <c r="I273" s="326"/>
      <c r="J273" s="326"/>
      <c r="K273" s="327"/>
      <c r="L273" s="438" t="s">
        <v>303</v>
      </c>
      <c r="M273" s="326"/>
      <c r="N273" s="327"/>
      <c r="O273" s="519" t="s">
        <v>303</v>
      </c>
      <c r="P273" s="326"/>
      <c r="Q273" s="327"/>
      <c r="R273" s="527"/>
      <c r="S273" s="326"/>
      <c r="T273" s="327"/>
      <c r="U273" s="497"/>
      <c r="V273" s="326"/>
      <c r="W273" s="327"/>
      <c r="X273" s="66"/>
      <c r="Y273" s="67"/>
      <c r="Z273" s="66"/>
      <c r="AA273" s="67"/>
      <c r="AB273" s="66"/>
      <c r="AC273" s="67"/>
      <c r="AD273" s="66"/>
      <c r="AE273" s="67"/>
      <c r="AF273" s="66"/>
      <c r="AG273" s="67"/>
      <c r="AH273" s="66"/>
      <c r="AI273" s="67"/>
      <c r="AJ273" s="50"/>
      <c r="AK273" s="69"/>
      <c r="AL273" s="50"/>
      <c r="AM273" s="69"/>
      <c r="AN273" s="50"/>
      <c r="AO273" s="69"/>
      <c r="AP273" s="50"/>
      <c r="AQ273" s="69"/>
      <c r="AR273" s="50"/>
      <c r="AS273" s="642" t="s">
        <v>303</v>
      </c>
      <c r="AT273" s="326"/>
      <c r="AU273" s="326"/>
      <c r="AV273" s="326"/>
      <c r="AW273" s="326"/>
      <c r="AX273" s="326"/>
      <c r="AY273" s="327"/>
      <c r="AZ273" s="70"/>
      <c r="BA273" s="70"/>
      <c r="BB273" s="643" t="s">
        <v>334</v>
      </c>
      <c r="BC273" s="327"/>
      <c r="BD273" s="645" t="s">
        <v>303</v>
      </c>
      <c r="BE273" s="326"/>
      <c r="BF273" s="327"/>
      <c r="BG273" s="646" t="s">
        <v>303</v>
      </c>
      <c r="BH273" s="326"/>
      <c r="BI273" s="326"/>
      <c r="BJ273" s="327"/>
      <c r="BK273" s="647"/>
      <c r="BL273" s="326"/>
      <c r="BM273" s="327"/>
      <c r="BN273" s="71"/>
      <c r="BO273" s="71"/>
      <c r="BP273" s="646"/>
      <c r="BQ273" s="326"/>
      <c r="BR273" s="327"/>
      <c r="BS273" s="645" t="s">
        <v>303</v>
      </c>
      <c r="BT273" s="326"/>
      <c r="BU273" s="327"/>
    </row>
    <row r="274" spans="1:73" ht="30" customHeight="1" x14ac:dyDescent="0.25">
      <c r="A274" s="65">
        <f t="shared" si="1"/>
        <v>260</v>
      </c>
      <c r="B274" s="639" t="s">
        <v>334</v>
      </c>
      <c r="C274" s="327"/>
      <c r="D274" s="640" t="s">
        <v>303</v>
      </c>
      <c r="E274" s="326"/>
      <c r="F274" s="326"/>
      <c r="G274" s="327"/>
      <c r="H274" s="641" t="s">
        <v>303</v>
      </c>
      <c r="I274" s="326"/>
      <c r="J274" s="326"/>
      <c r="K274" s="327"/>
      <c r="L274" s="438" t="s">
        <v>303</v>
      </c>
      <c r="M274" s="326"/>
      <c r="N274" s="327"/>
      <c r="O274" s="519" t="s">
        <v>303</v>
      </c>
      <c r="P274" s="326"/>
      <c r="Q274" s="327"/>
      <c r="R274" s="527"/>
      <c r="S274" s="326"/>
      <c r="T274" s="327"/>
      <c r="U274" s="497"/>
      <c r="V274" s="326"/>
      <c r="W274" s="327"/>
      <c r="X274" s="66"/>
      <c r="Y274" s="67"/>
      <c r="Z274" s="66"/>
      <c r="AA274" s="67"/>
      <c r="AB274" s="66"/>
      <c r="AC274" s="67"/>
      <c r="AD274" s="66"/>
      <c r="AE274" s="67"/>
      <c r="AF274" s="66"/>
      <c r="AG274" s="67"/>
      <c r="AH274" s="66"/>
      <c r="AI274" s="67"/>
      <c r="AJ274" s="50"/>
      <c r="AK274" s="69"/>
      <c r="AL274" s="50"/>
      <c r="AM274" s="69"/>
      <c r="AN274" s="50"/>
      <c r="AO274" s="69"/>
      <c r="AP274" s="50"/>
      <c r="AQ274" s="69"/>
      <c r="AR274" s="50"/>
      <c r="AS274" s="642" t="s">
        <v>303</v>
      </c>
      <c r="AT274" s="326"/>
      <c r="AU274" s="326"/>
      <c r="AV274" s="326"/>
      <c r="AW274" s="326"/>
      <c r="AX274" s="326"/>
      <c r="AY274" s="327"/>
      <c r="AZ274" s="70"/>
      <c r="BA274" s="70"/>
      <c r="BB274" s="644" t="s">
        <v>334</v>
      </c>
      <c r="BC274" s="327"/>
      <c r="BD274" s="645" t="s">
        <v>303</v>
      </c>
      <c r="BE274" s="326"/>
      <c r="BF274" s="327"/>
      <c r="BG274" s="646" t="s">
        <v>303</v>
      </c>
      <c r="BH274" s="326"/>
      <c r="BI274" s="326"/>
      <c r="BJ274" s="327"/>
      <c r="BK274" s="647"/>
      <c r="BL274" s="326"/>
      <c r="BM274" s="327"/>
      <c r="BN274" s="71"/>
      <c r="BO274" s="71"/>
      <c r="BP274" s="646"/>
      <c r="BQ274" s="326"/>
      <c r="BR274" s="327"/>
      <c r="BS274" s="645" t="s">
        <v>303</v>
      </c>
      <c r="BT274" s="326"/>
      <c r="BU274" s="327"/>
    </row>
    <row r="275" spans="1:73" ht="30" customHeight="1" x14ac:dyDescent="0.25">
      <c r="A275" s="65">
        <f t="shared" si="1"/>
        <v>261</v>
      </c>
      <c r="B275" s="639" t="s">
        <v>334</v>
      </c>
      <c r="C275" s="327"/>
      <c r="D275" s="640" t="s">
        <v>303</v>
      </c>
      <c r="E275" s="326"/>
      <c r="F275" s="326"/>
      <c r="G275" s="327"/>
      <c r="H275" s="641" t="s">
        <v>303</v>
      </c>
      <c r="I275" s="326"/>
      <c r="J275" s="326"/>
      <c r="K275" s="327"/>
      <c r="L275" s="438" t="s">
        <v>303</v>
      </c>
      <c r="M275" s="326"/>
      <c r="N275" s="327"/>
      <c r="O275" s="519" t="s">
        <v>303</v>
      </c>
      <c r="P275" s="326"/>
      <c r="Q275" s="327"/>
      <c r="R275" s="527"/>
      <c r="S275" s="326"/>
      <c r="T275" s="327"/>
      <c r="U275" s="497"/>
      <c r="V275" s="326"/>
      <c r="W275" s="327"/>
      <c r="X275" s="66"/>
      <c r="Y275" s="67"/>
      <c r="Z275" s="66"/>
      <c r="AA275" s="67"/>
      <c r="AB275" s="66"/>
      <c r="AC275" s="67"/>
      <c r="AD275" s="66"/>
      <c r="AE275" s="67"/>
      <c r="AF275" s="66"/>
      <c r="AG275" s="67"/>
      <c r="AH275" s="66"/>
      <c r="AI275" s="67"/>
      <c r="AJ275" s="50"/>
      <c r="AK275" s="69"/>
      <c r="AL275" s="50"/>
      <c r="AM275" s="69"/>
      <c r="AN275" s="50"/>
      <c r="AO275" s="69"/>
      <c r="AP275" s="50"/>
      <c r="AQ275" s="69"/>
      <c r="AR275" s="50"/>
      <c r="AS275" s="642" t="s">
        <v>303</v>
      </c>
      <c r="AT275" s="326"/>
      <c r="AU275" s="326"/>
      <c r="AV275" s="326"/>
      <c r="AW275" s="326"/>
      <c r="AX275" s="326"/>
      <c r="AY275" s="327"/>
      <c r="AZ275" s="70"/>
      <c r="BA275" s="70"/>
      <c r="BB275" s="643" t="s">
        <v>334</v>
      </c>
      <c r="BC275" s="327"/>
      <c r="BD275" s="645" t="s">
        <v>303</v>
      </c>
      <c r="BE275" s="326"/>
      <c r="BF275" s="327"/>
      <c r="BG275" s="646" t="s">
        <v>303</v>
      </c>
      <c r="BH275" s="326"/>
      <c r="BI275" s="326"/>
      <c r="BJ275" s="327"/>
      <c r="BK275" s="647"/>
      <c r="BL275" s="326"/>
      <c r="BM275" s="327"/>
      <c r="BN275" s="71"/>
      <c r="BO275" s="71"/>
      <c r="BP275" s="646"/>
      <c r="BQ275" s="326"/>
      <c r="BR275" s="327"/>
      <c r="BS275" s="645" t="s">
        <v>303</v>
      </c>
      <c r="BT275" s="326"/>
      <c r="BU275" s="327"/>
    </row>
    <row r="276" spans="1:73" ht="30" customHeight="1" x14ac:dyDescent="0.25">
      <c r="A276" s="65">
        <f t="shared" si="1"/>
        <v>262</v>
      </c>
      <c r="B276" s="639" t="s">
        <v>334</v>
      </c>
      <c r="C276" s="327"/>
      <c r="D276" s="640" t="s">
        <v>303</v>
      </c>
      <c r="E276" s="326"/>
      <c r="F276" s="326"/>
      <c r="G276" s="327"/>
      <c r="H276" s="641" t="s">
        <v>303</v>
      </c>
      <c r="I276" s="326"/>
      <c r="J276" s="326"/>
      <c r="K276" s="327"/>
      <c r="L276" s="438" t="s">
        <v>303</v>
      </c>
      <c r="M276" s="326"/>
      <c r="N276" s="327"/>
      <c r="O276" s="519" t="s">
        <v>303</v>
      </c>
      <c r="P276" s="326"/>
      <c r="Q276" s="327"/>
      <c r="R276" s="527"/>
      <c r="S276" s="326"/>
      <c r="T276" s="327"/>
      <c r="U276" s="497"/>
      <c r="V276" s="326"/>
      <c r="W276" s="327"/>
      <c r="X276" s="66"/>
      <c r="Y276" s="67"/>
      <c r="Z276" s="66"/>
      <c r="AA276" s="67"/>
      <c r="AB276" s="66"/>
      <c r="AC276" s="67"/>
      <c r="AD276" s="66"/>
      <c r="AE276" s="67"/>
      <c r="AF276" s="66"/>
      <c r="AG276" s="67"/>
      <c r="AH276" s="66"/>
      <c r="AI276" s="67"/>
      <c r="AJ276" s="50"/>
      <c r="AK276" s="69"/>
      <c r="AL276" s="50"/>
      <c r="AM276" s="69"/>
      <c r="AN276" s="50"/>
      <c r="AO276" s="69"/>
      <c r="AP276" s="50"/>
      <c r="AQ276" s="69"/>
      <c r="AR276" s="50"/>
      <c r="AS276" s="642" t="s">
        <v>303</v>
      </c>
      <c r="AT276" s="326"/>
      <c r="AU276" s="326"/>
      <c r="AV276" s="326"/>
      <c r="AW276" s="326"/>
      <c r="AX276" s="326"/>
      <c r="AY276" s="327"/>
      <c r="AZ276" s="70"/>
      <c r="BA276" s="70"/>
      <c r="BB276" s="643" t="s">
        <v>334</v>
      </c>
      <c r="BC276" s="327"/>
      <c r="BD276" s="645" t="s">
        <v>303</v>
      </c>
      <c r="BE276" s="326"/>
      <c r="BF276" s="327"/>
      <c r="BG276" s="646" t="s">
        <v>303</v>
      </c>
      <c r="BH276" s="326"/>
      <c r="BI276" s="326"/>
      <c r="BJ276" s="327"/>
      <c r="BK276" s="647"/>
      <c r="BL276" s="326"/>
      <c r="BM276" s="327"/>
      <c r="BN276" s="71"/>
      <c r="BO276" s="71"/>
      <c r="BP276" s="646"/>
      <c r="BQ276" s="326"/>
      <c r="BR276" s="327"/>
      <c r="BS276" s="645" t="s">
        <v>303</v>
      </c>
      <c r="BT276" s="326"/>
      <c r="BU276" s="327"/>
    </row>
    <row r="277" spans="1:73" ht="30" customHeight="1" x14ac:dyDescent="0.25">
      <c r="A277" s="65">
        <f t="shared" si="1"/>
        <v>263</v>
      </c>
      <c r="B277" s="639" t="s">
        <v>334</v>
      </c>
      <c r="C277" s="327"/>
      <c r="D277" s="640" t="s">
        <v>303</v>
      </c>
      <c r="E277" s="326"/>
      <c r="F277" s="326"/>
      <c r="G277" s="327"/>
      <c r="H277" s="641" t="s">
        <v>303</v>
      </c>
      <c r="I277" s="326"/>
      <c r="J277" s="326"/>
      <c r="K277" s="327"/>
      <c r="L277" s="438" t="s">
        <v>303</v>
      </c>
      <c r="M277" s="326"/>
      <c r="N277" s="327"/>
      <c r="O277" s="519" t="s">
        <v>303</v>
      </c>
      <c r="P277" s="326"/>
      <c r="Q277" s="327"/>
      <c r="R277" s="527"/>
      <c r="S277" s="326"/>
      <c r="T277" s="327"/>
      <c r="U277" s="497"/>
      <c r="V277" s="326"/>
      <c r="W277" s="327"/>
      <c r="X277" s="66"/>
      <c r="Y277" s="67"/>
      <c r="Z277" s="66"/>
      <c r="AA277" s="67"/>
      <c r="AB277" s="66"/>
      <c r="AC277" s="67"/>
      <c r="AD277" s="66"/>
      <c r="AE277" s="67"/>
      <c r="AF277" s="66"/>
      <c r="AG277" s="67"/>
      <c r="AH277" s="66"/>
      <c r="AI277" s="67"/>
      <c r="AJ277" s="50"/>
      <c r="AK277" s="69"/>
      <c r="AL277" s="50"/>
      <c r="AM277" s="69"/>
      <c r="AN277" s="50"/>
      <c r="AO277" s="69"/>
      <c r="AP277" s="50"/>
      <c r="AQ277" s="69"/>
      <c r="AR277" s="50"/>
      <c r="AS277" s="642" t="s">
        <v>303</v>
      </c>
      <c r="AT277" s="326"/>
      <c r="AU277" s="326"/>
      <c r="AV277" s="326"/>
      <c r="AW277" s="326"/>
      <c r="AX277" s="326"/>
      <c r="AY277" s="327"/>
      <c r="AZ277" s="70"/>
      <c r="BA277" s="70"/>
      <c r="BB277" s="643" t="s">
        <v>334</v>
      </c>
      <c r="BC277" s="327"/>
      <c r="BD277" s="645" t="s">
        <v>303</v>
      </c>
      <c r="BE277" s="326"/>
      <c r="BF277" s="327"/>
      <c r="BG277" s="646" t="s">
        <v>303</v>
      </c>
      <c r="BH277" s="326"/>
      <c r="BI277" s="326"/>
      <c r="BJ277" s="327"/>
      <c r="BK277" s="647"/>
      <c r="BL277" s="326"/>
      <c r="BM277" s="327"/>
      <c r="BN277" s="71"/>
      <c r="BO277" s="71"/>
      <c r="BP277" s="646"/>
      <c r="BQ277" s="326"/>
      <c r="BR277" s="327"/>
      <c r="BS277" s="645" t="s">
        <v>303</v>
      </c>
      <c r="BT277" s="326"/>
      <c r="BU277" s="327"/>
    </row>
    <row r="278" spans="1:73" ht="30" customHeight="1" x14ac:dyDescent="0.25">
      <c r="A278" s="65">
        <f t="shared" si="1"/>
        <v>264</v>
      </c>
      <c r="B278" s="639" t="s">
        <v>334</v>
      </c>
      <c r="C278" s="327"/>
      <c r="D278" s="640" t="s">
        <v>303</v>
      </c>
      <c r="E278" s="326"/>
      <c r="F278" s="326"/>
      <c r="G278" s="327"/>
      <c r="H278" s="641" t="s">
        <v>303</v>
      </c>
      <c r="I278" s="326"/>
      <c r="J278" s="326"/>
      <c r="K278" s="327"/>
      <c r="L278" s="438" t="s">
        <v>303</v>
      </c>
      <c r="M278" s="326"/>
      <c r="N278" s="327"/>
      <c r="O278" s="519" t="s">
        <v>303</v>
      </c>
      <c r="P278" s="326"/>
      <c r="Q278" s="327"/>
      <c r="R278" s="527"/>
      <c r="S278" s="326"/>
      <c r="T278" s="327"/>
      <c r="U278" s="497"/>
      <c r="V278" s="326"/>
      <c r="W278" s="327"/>
      <c r="X278" s="66"/>
      <c r="Y278" s="67"/>
      <c r="Z278" s="66"/>
      <c r="AA278" s="67"/>
      <c r="AB278" s="66"/>
      <c r="AC278" s="67"/>
      <c r="AD278" s="66"/>
      <c r="AE278" s="67"/>
      <c r="AF278" s="66"/>
      <c r="AG278" s="67"/>
      <c r="AH278" s="66"/>
      <c r="AI278" s="67"/>
      <c r="AJ278" s="50"/>
      <c r="AK278" s="69"/>
      <c r="AL278" s="50"/>
      <c r="AM278" s="69"/>
      <c r="AN278" s="50"/>
      <c r="AO278" s="69"/>
      <c r="AP278" s="50"/>
      <c r="AQ278" s="69"/>
      <c r="AR278" s="50"/>
      <c r="AS278" s="642" t="s">
        <v>303</v>
      </c>
      <c r="AT278" s="326"/>
      <c r="AU278" s="326"/>
      <c r="AV278" s="326"/>
      <c r="AW278" s="326"/>
      <c r="AX278" s="326"/>
      <c r="AY278" s="327"/>
      <c r="AZ278" s="70"/>
      <c r="BA278" s="70"/>
      <c r="BB278" s="643" t="s">
        <v>334</v>
      </c>
      <c r="BC278" s="327"/>
      <c r="BD278" s="645" t="s">
        <v>303</v>
      </c>
      <c r="BE278" s="326"/>
      <c r="BF278" s="327"/>
      <c r="BG278" s="646" t="s">
        <v>303</v>
      </c>
      <c r="BH278" s="326"/>
      <c r="BI278" s="326"/>
      <c r="BJ278" s="327"/>
      <c r="BK278" s="647"/>
      <c r="BL278" s="326"/>
      <c r="BM278" s="327"/>
      <c r="BN278" s="71"/>
      <c r="BO278" s="71"/>
      <c r="BP278" s="646"/>
      <c r="BQ278" s="326"/>
      <c r="BR278" s="327"/>
      <c r="BS278" s="645" t="s">
        <v>303</v>
      </c>
      <c r="BT278" s="326"/>
      <c r="BU278" s="327"/>
    </row>
    <row r="279" spans="1:73" ht="30" customHeight="1" x14ac:dyDescent="0.25">
      <c r="A279" s="65">
        <f t="shared" si="1"/>
        <v>265</v>
      </c>
      <c r="B279" s="639" t="s">
        <v>334</v>
      </c>
      <c r="C279" s="327"/>
      <c r="D279" s="640" t="s">
        <v>303</v>
      </c>
      <c r="E279" s="326"/>
      <c r="F279" s="326"/>
      <c r="G279" s="327"/>
      <c r="H279" s="641" t="s">
        <v>303</v>
      </c>
      <c r="I279" s="326"/>
      <c r="J279" s="326"/>
      <c r="K279" s="327"/>
      <c r="L279" s="438" t="s">
        <v>303</v>
      </c>
      <c r="M279" s="326"/>
      <c r="N279" s="327"/>
      <c r="O279" s="519" t="s">
        <v>303</v>
      </c>
      <c r="P279" s="326"/>
      <c r="Q279" s="327"/>
      <c r="R279" s="527"/>
      <c r="S279" s="326"/>
      <c r="T279" s="327"/>
      <c r="U279" s="497"/>
      <c r="V279" s="326"/>
      <c r="W279" s="327"/>
      <c r="X279" s="66"/>
      <c r="Y279" s="67"/>
      <c r="Z279" s="66"/>
      <c r="AA279" s="67"/>
      <c r="AB279" s="66"/>
      <c r="AC279" s="67"/>
      <c r="AD279" s="66"/>
      <c r="AE279" s="67"/>
      <c r="AF279" s="66"/>
      <c r="AG279" s="67"/>
      <c r="AH279" s="66"/>
      <c r="AI279" s="67"/>
      <c r="AJ279" s="50"/>
      <c r="AK279" s="69"/>
      <c r="AL279" s="50"/>
      <c r="AM279" s="69"/>
      <c r="AN279" s="50"/>
      <c r="AO279" s="69"/>
      <c r="AP279" s="50"/>
      <c r="AQ279" s="69"/>
      <c r="AR279" s="50"/>
      <c r="AS279" s="642" t="s">
        <v>303</v>
      </c>
      <c r="AT279" s="326"/>
      <c r="AU279" s="326"/>
      <c r="AV279" s="326"/>
      <c r="AW279" s="326"/>
      <c r="AX279" s="326"/>
      <c r="AY279" s="327"/>
      <c r="AZ279" s="70"/>
      <c r="BA279" s="70"/>
      <c r="BB279" s="643" t="s">
        <v>334</v>
      </c>
      <c r="BC279" s="327"/>
      <c r="BD279" s="645" t="s">
        <v>303</v>
      </c>
      <c r="BE279" s="326"/>
      <c r="BF279" s="327"/>
      <c r="BG279" s="646" t="s">
        <v>303</v>
      </c>
      <c r="BH279" s="326"/>
      <c r="BI279" s="326"/>
      <c r="BJ279" s="327"/>
      <c r="BK279" s="647"/>
      <c r="BL279" s="326"/>
      <c r="BM279" s="327"/>
      <c r="BN279" s="71"/>
      <c r="BO279" s="71"/>
      <c r="BP279" s="646"/>
      <c r="BQ279" s="326"/>
      <c r="BR279" s="327"/>
      <c r="BS279" s="645" t="s">
        <v>303</v>
      </c>
      <c r="BT279" s="326"/>
      <c r="BU279" s="327"/>
    </row>
    <row r="280" spans="1:73" ht="30" customHeight="1" x14ac:dyDescent="0.25">
      <c r="A280" s="65">
        <f t="shared" si="1"/>
        <v>266</v>
      </c>
      <c r="B280" s="639" t="s">
        <v>334</v>
      </c>
      <c r="C280" s="327"/>
      <c r="D280" s="640" t="s">
        <v>303</v>
      </c>
      <c r="E280" s="326"/>
      <c r="F280" s="326"/>
      <c r="G280" s="327"/>
      <c r="H280" s="641" t="s">
        <v>303</v>
      </c>
      <c r="I280" s="326"/>
      <c r="J280" s="326"/>
      <c r="K280" s="327"/>
      <c r="L280" s="438" t="s">
        <v>303</v>
      </c>
      <c r="M280" s="326"/>
      <c r="N280" s="327"/>
      <c r="O280" s="519" t="s">
        <v>303</v>
      </c>
      <c r="P280" s="326"/>
      <c r="Q280" s="327"/>
      <c r="R280" s="527"/>
      <c r="S280" s="326"/>
      <c r="T280" s="327"/>
      <c r="U280" s="497"/>
      <c r="V280" s="326"/>
      <c r="W280" s="327"/>
      <c r="X280" s="66"/>
      <c r="Y280" s="67"/>
      <c r="Z280" s="66"/>
      <c r="AA280" s="67"/>
      <c r="AB280" s="66"/>
      <c r="AC280" s="67"/>
      <c r="AD280" s="66"/>
      <c r="AE280" s="67"/>
      <c r="AF280" s="66"/>
      <c r="AG280" s="67"/>
      <c r="AH280" s="66"/>
      <c r="AI280" s="67"/>
      <c r="AJ280" s="50"/>
      <c r="AK280" s="69"/>
      <c r="AL280" s="50"/>
      <c r="AM280" s="69"/>
      <c r="AN280" s="50"/>
      <c r="AO280" s="69"/>
      <c r="AP280" s="50"/>
      <c r="AQ280" s="69"/>
      <c r="AR280" s="50"/>
      <c r="AS280" s="642" t="s">
        <v>303</v>
      </c>
      <c r="AT280" s="326"/>
      <c r="AU280" s="326"/>
      <c r="AV280" s="326"/>
      <c r="AW280" s="326"/>
      <c r="AX280" s="326"/>
      <c r="AY280" s="327"/>
      <c r="AZ280" s="70"/>
      <c r="BA280" s="70"/>
      <c r="BB280" s="643" t="s">
        <v>334</v>
      </c>
      <c r="BC280" s="327"/>
      <c r="BD280" s="645" t="s">
        <v>303</v>
      </c>
      <c r="BE280" s="326"/>
      <c r="BF280" s="327"/>
      <c r="BG280" s="646" t="s">
        <v>303</v>
      </c>
      <c r="BH280" s="326"/>
      <c r="BI280" s="326"/>
      <c r="BJ280" s="327"/>
      <c r="BK280" s="647"/>
      <c r="BL280" s="326"/>
      <c r="BM280" s="327"/>
      <c r="BN280" s="71"/>
      <c r="BO280" s="71"/>
      <c r="BP280" s="646"/>
      <c r="BQ280" s="326"/>
      <c r="BR280" s="327"/>
      <c r="BS280" s="645" t="s">
        <v>303</v>
      </c>
      <c r="BT280" s="326"/>
      <c r="BU280" s="327"/>
    </row>
    <row r="281" spans="1:73" ht="30" customHeight="1" x14ac:dyDescent="0.25">
      <c r="A281" s="65">
        <f t="shared" si="1"/>
        <v>267</v>
      </c>
      <c r="B281" s="639" t="s">
        <v>334</v>
      </c>
      <c r="C281" s="327"/>
      <c r="D281" s="640" t="s">
        <v>303</v>
      </c>
      <c r="E281" s="326"/>
      <c r="F281" s="326"/>
      <c r="G281" s="327"/>
      <c r="H281" s="641" t="s">
        <v>303</v>
      </c>
      <c r="I281" s="326"/>
      <c r="J281" s="326"/>
      <c r="K281" s="327"/>
      <c r="L281" s="438" t="s">
        <v>303</v>
      </c>
      <c r="M281" s="326"/>
      <c r="N281" s="327"/>
      <c r="O281" s="519" t="s">
        <v>303</v>
      </c>
      <c r="P281" s="326"/>
      <c r="Q281" s="327"/>
      <c r="R281" s="527"/>
      <c r="S281" s="326"/>
      <c r="T281" s="327"/>
      <c r="U281" s="497"/>
      <c r="V281" s="326"/>
      <c r="W281" s="327"/>
      <c r="X281" s="66"/>
      <c r="Y281" s="67"/>
      <c r="Z281" s="66"/>
      <c r="AA281" s="67"/>
      <c r="AB281" s="66"/>
      <c r="AC281" s="67"/>
      <c r="AD281" s="66"/>
      <c r="AE281" s="67"/>
      <c r="AF281" s="66"/>
      <c r="AG281" s="67"/>
      <c r="AH281" s="66"/>
      <c r="AI281" s="67"/>
      <c r="AJ281" s="50"/>
      <c r="AK281" s="69"/>
      <c r="AL281" s="50"/>
      <c r="AM281" s="69"/>
      <c r="AN281" s="50"/>
      <c r="AO281" s="69"/>
      <c r="AP281" s="50"/>
      <c r="AQ281" s="69"/>
      <c r="AR281" s="50"/>
      <c r="AS281" s="642" t="s">
        <v>303</v>
      </c>
      <c r="AT281" s="326"/>
      <c r="AU281" s="326"/>
      <c r="AV281" s="326"/>
      <c r="AW281" s="326"/>
      <c r="AX281" s="326"/>
      <c r="AY281" s="327"/>
      <c r="AZ281" s="70"/>
      <c r="BA281" s="70"/>
      <c r="BB281" s="644" t="s">
        <v>334</v>
      </c>
      <c r="BC281" s="327"/>
      <c r="BD281" s="645" t="s">
        <v>303</v>
      </c>
      <c r="BE281" s="326"/>
      <c r="BF281" s="327"/>
      <c r="BG281" s="646" t="s">
        <v>303</v>
      </c>
      <c r="BH281" s="326"/>
      <c r="BI281" s="326"/>
      <c r="BJ281" s="327"/>
      <c r="BK281" s="647"/>
      <c r="BL281" s="326"/>
      <c r="BM281" s="327"/>
      <c r="BN281" s="71"/>
      <c r="BO281" s="71"/>
      <c r="BP281" s="646"/>
      <c r="BQ281" s="326"/>
      <c r="BR281" s="327"/>
      <c r="BS281" s="645" t="s">
        <v>303</v>
      </c>
      <c r="BT281" s="326"/>
      <c r="BU281" s="327"/>
    </row>
    <row r="282" spans="1:73" ht="30" customHeight="1" x14ac:dyDescent="0.25">
      <c r="A282" s="65">
        <f t="shared" si="1"/>
        <v>268</v>
      </c>
      <c r="B282" s="639" t="s">
        <v>334</v>
      </c>
      <c r="C282" s="327"/>
      <c r="D282" s="640" t="s">
        <v>303</v>
      </c>
      <c r="E282" s="326"/>
      <c r="F282" s="326"/>
      <c r="G282" s="327"/>
      <c r="H282" s="641" t="s">
        <v>303</v>
      </c>
      <c r="I282" s="326"/>
      <c r="J282" s="326"/>
      <c r="K282" s="327"/>
      <c r="L282" s="438" t="s">
        <v>303</v>
      </c>
      <c r="M282" s="326"/>
      <c r="N282" s="327"/>
      <c r="O282" s="519" t="s">
        <v>303</v>
      </c>
      <c r="P282" s="326"/>
      <c r="Q282" s="327"/>
      <c r="R282" s="527"/>
      <c r="S282" s="326"/>
      <c r="T282" s="327"/>
      <c r="U282" s="497"/>
      <c r="V282" s="326"/>
      <c r="W282" s="327"/>
      <c r="X282" s="66"/>
      <c r="Y282" s="67"/>
      <c r="Z282" s="66"/>
      <c r="AA282" s="67"/>
      <c r="AB282" s="66"/>
      <c r="AC282" s="67"/>
      <c r="AD282" s="66"/>
      <c r="AE282" s="67"/>
      <c r="AF282" s="66"/>
      <c r="AG282" s="67"/>
      <c r="AH282" s="66"/>
      <c r="AI282" s="67"/>
      <c r="AJ282" s="50"/>
      <c r="AK282" s="69"/>
      <c r="AL282" s="50"/>
      <c r="AM282" s="69"/>
      <c r="AN282" s="50"/>
      <c r="AO282" s="69"/>
      <c r="AP282" s="50"/>
      <c r="AQ282" s="69"/>
      <c r="AR282" s="50"/>
      <c r="AS282" s="642" t="s">
        <v>303</v>
      </c>
      <c r="AT282" s="326"/>
      <c r="AU282" s="326"/>
      <c r="AV282" s="326"/>
      <c r="AW282" s="326"/>
      <c r="AX282" s="326"/>
      <c r="AY282" s="327"/>
      <c r="AZ282" s="70"/>
      <c r="BA282" s="70"/>
      <c r="BB282" s="643" t="s">
        <v>334</v>
      </c>
      <c r="BC282" s="327"/>
      <c r="BD282" s="645" t="s">
        <v>303</v>
      </c>
      <c r="BE282" s="326"/>
      <c r="BF282" s="327"/>
      <c r="BG282" s="646" t="s">
        <v>303</v>
      </c>
      <c r="BH282" s="326"/>
      <c r="BI282" s="326"/>
      <c r="BJ282" s="327"/>
      <c r="BK282" s="647"/>
      <c r="BL282" s="326"/>
      <c r="BM282" s="327"/>
      <c r="BN282" s="71"/>
      <c r="BO282" s="71"/>
      <c r="BP282" s="646"/>
      <c r="BQ282" s="326"/>
      <c r="BR282" s="327"/>
      <c r="BS282" s="645" t="s">
        <v>303</v>
      </c>
      <c r="BT282" s="326"/>
      <c r="BU282" s="327"/>
    </row>
    <row r="283" spans="1:73" ht="30" customHeight="1" x14ac:dyDescent="0.25">
      <c r="A283" s="65">
        <f t="shared" si="1"/>
        <v>269</v>
      </c>
      <c r="B283" s="639" t="s">
        <v>334</v>
      </c>
      <c r="C283" s="327"/>
      <c r="D283" s="640" t="s">
        <v>303</v>
      </c>
      <c r="E283" s="326"/>
      <c r="F283" s="326"/>
      <c r="G283" s="327"/>
      <c r="H283" s="641" t="s">
        <v>303</v>
      </c>
      <c r="I283" s="326"/>
      <c r="J283" s="326"/>
      <c r="K283" s="327"/>
      <c r="L283" s="438" t="s">
        <v>303</v>
      </c>
      <c r="M283" s="326"/>
      <c r="N283" s="327"/>
      <c r="O283" s="519" t="s">
        <v>303</v>
      </c>
      <c r="P283" s="326"/>
      <c r="Q283" s="327"/>
      <c r="R283" s="527"/>
      <c r="S283" s="326"/>
      <c r="T283" s="327"/>
      <c r="U283" s="497"/>
      <c r="V283" s="326"/>
      <c r="W283" s="327"/>
      <c r="X283" s="66"/>
      <c r="Y283" s="67"/>
      <c r="Z283" s="66"/>
      <c r="AA283" s="67"/>
      <c r="AB283" s="66"/>
      <c r="AC283" s="67"/>
      <c r="AD283" s="66"/>
      <c r="AE283" s="67"/>
      <c r="AF283" s="66"/>
      <c r="AG283" s="67"/>
      <c r="AH283" s="66"/>
      <c r="AI283" s="67"/>
      <c r="AJ283" s="50"/>
      <c r="AK283" s="69"/>
      <c r="AL283" s="50"/>
      <c r="AM283" s="69"/>
      <c r="AN283" s="50"/>
      <c r="AO283" s="69"/>
      <c r="AP283" s="50"/>
      <c r="AQ283" s="69"/>
      <c r="AR283" s="50"/>
      <c r="AS283" s="642" t="s">
        <v>303</v>
      </c>
      <c r="AT283" s="326"/>
      <c r="AU283" s="326"/>
      <c r="AV283" s="326"/>
      <c r="AW283" s="326"/>
      <c r="AX283" s="326"/>
      <c r="AY283" s="327"/>
      <c r="AZ283" s="70"/>
      <c r="BA283" s="70"/>
      <c r="BB283" s="643" t="s">
        <v>334</v>
      </c>
      <c r="BC283" s="327"/>
      <c r="BD283" s="645" t="s">
        <v>303</v>
      </c>
      <c r="BE283" s="326"/>
      <c r="BF283" s="327"/>
      <c r="BG283" s="646" t="s">
        <v>303</v>
      </c>
      <c r="BH283" s="326"/>
      <c r="BI283" s="326"/>
      <c r="BJ283" s="327"/>
      <c r="BK283" s="647"/>
      <c r="BL283" s="326"/>
      <c r="BM283" s="327"/>
      <c r="BN283" s="71"/>
      <c r="BO283" s="71"/>
      <c r="BP283" s="646"/>
      <c r="BQ283" s="326"/>
      <c r="BR283" s="327"/>
      <c r="BS283" s="645" t="s">
        <v>303</v>
      </c>
      <c r="BT283" s="326"/>
      <c r="BU283" s="327"/>
    </row>
    <row r="284" spans="1:73" ht="30" customHeight="1" x14ac:dyDescent="0.25">
      <c r="A284" s="65">
        <f t="shared" si="1"/>
        <v>270</v>
      </c>
      <c r="B284" s="639" t="s">
        <v>334</v>
      </c>
      <c r="C284" s="327"/>
      <c r="D284" s="640" t="s">
        <v>303</v>
      </c>
      <c r="E284" s="326"/>
      <c r="F284" s="326"/>
      <c r="G284" s="327"/>
      <c r="H284" s="641" t="s">
        <v>303</v>
      </c>
      <c r="I284" s="326"/>
      <c r="J284" s="326"/>
      <c r="K284" s="327"/>
      <c r="L284" s="438" t="s">
        <v>303</v>
      </c>
      <c r="M284" s="326"/>
      <c r="N284" s="327"/>
      <c r="O284" s="519" t="s">
        <v>303</v>
      </c>
      <c r="P284" s="326"/>
      <c r="Q284" s="327"/>
      <c r="R284" s="527"/>
      <c r="S284" s="326"/>
      <c r="T284" s="327"/>
      <c r="U284" s="497"/>
      <c r="V284" s="326"/>
      <c r="W284" s="327"/>
      <c r="X284" s="66"/>
      <c r="Y284" s="67"/>
      <c r="Z284" s="66"/>
      <c r="AA284" s="67"/>
      <c r="AB284" s="66"/>
      <c r="AC284" s="67"/>
      <c r="AD284" s="66"/>
      <c r="AE284" s="67"/>
      <c r="AF284" s="66"/>
      <c r="AG284" s="67"/>
      <c r="AH284" s="66"/>
      <c r="AI284" s="67"/>
      <c r="AJ284" s="50"/>
      <c r="AK284" s="69"/>
      <c r="AL284" s="50"/>
      <c r="AM284" s="69"/>
      <c r="AN284" s="50"/>
      <c r="AO284" s="69"/>
      <c r="AP284" s="50"/>
      <c r="AQ284" s="69"/>
      <c r="AR284" s="50"/>
      <c r="AS284" s="642" t="s">
        <v>303</v>
      </c>
      <c r="AT284" s="326"/>
      <c r="AU284" s="326"/>
      <c r="AV284" s="326"/>
      <c r="AW284" s="326"/>
      <c r="AX284" s="326"/>
      <c r="AY284" s="327"/>
      <c r="AZ284" s="70"/>
      <c r="BA284" s="70"/>
      <c r="BB284" s="643" t="s">
        <v>334</v>
      </c>
      <c r="BC284" s="327"/>
      <c r="BD284" s="645" t="s">
        <v>303</v>
      </c>
      <c r="BE284" s="326"/>
      <c r="BF284" s="327"/>
      <c r="BG284" s="646" t="s">
        <v>303</v>
      </c>
      <c r="BH284" s="326"/>
      <c r="BI284" s="326"/>
      <c r="BJ284" s="327"/>
      <c r="BK284" s="647"/>
      <c r="BL284" s="326"/>
      <c r="BM284" s="327"/>
      <c r="BN284" s="71"/>
      <c r="BO284" s="71"/>
      <c r="BP284" s="646"/>
      <c r="BQ284" s="326"/>
      <c r="BR284" s="327"/>
      <c r="BS284" s="645" t="s">
        <v>303</v>
      </c>
      <c r="BT284" s="326"/>
      <c r="BU284" s="327"/>
    </row>
    <row r="285" spans="1:73" ht="30" customHeight="1" x14ac:dyDescent="0.25">
      <c r="A285" s="65">
        <f t="shared" si="1"/>
        <v>271</v>
      </c>
      <c r="B285" s="639" t="s">
        <v>334</v>
      </c>
      <c r="C285" s="327"/>
      <c r="D285" s="640" t="s">
        <v>303</v>
      </c>
      <c r="E285" s="326"/>
      <c r="F285" s="326"/>
      <c r="G285" s="327"/>
      <c r="H285" s="641" t="s">
        <v>303</v>
      </c>
      <c r="I285" s="326"/>
      <c r="J285" s="326"/>
      <c r="K285" s="327"/>
      <c r="L285" s="438" t="s">
        <v>303</v>
      </c>
      <c r="M285" s="326"/>
      <c r="N285" s="327"/>
      <c r="O285" s="519" t="s">
        <v>303</v>
      </c>
      <c r="P285" s="326"/>
      <c r="Q285" s="327"/>
      <c r="R285" s="527"/>
      <c r="S285" s="326"/>
      <c r="T285" s="327"/>
      <c r="U285" s="497"/>
      <c r="V285" s="326"/>
      <c r="W285" s="327"/>
      <c r="X285" s="66"/>
      <c r="Y285" s="67"/>
      <c r="Z285" s="66"/>
      <c r="AA285" s="67"/>
      <c r="AB285" s="66"/>
      <c r="AC285" s="67"/>
      <c r="AD285" s="66"/>
      <c r="AE285" s="67"/>
      <c r="AF285" s="66"/>
      <c r="AG285" s="67"/>
      <c r="AH285" s="66"/>
      <c r="AI285" s="67"/>
      <c r="AJ285" s="50"/>
      <c r="AK285" s="69"/>
      <c r="AL285" s="50"/>
      <c r="AM285" s="69"/>
      <c r="AN285" s="50"/>
      <c r="AO285" s="69"/>
      <c r="AP285" s="50"/>
      <c r="AQ285" s="69"/>
      <c r="AR285" s="50"/>
      <c r="AS285" s="642" t="s">
        <v>303</v>
      </c>
      <c r="AT285" s="326"/>
      <c r="AU285" s="326"/>
      <c r="AV285" s="326"/>
      <c r="AW285" s="326"/>
      <c r="AX285" s="326"/>
      <c r="AY285" s="327"/>
      <c r="AZ285" s="70"/>
      <c r="BA285" s="70"/>
      <c r="BB285" s="643" t="s">
        <v>334</v>
      </c>
      <c r="BC285" s="327"/>
      <c r="BD285" s="645" t="s">
        <v>303</v>
      </c>
      <c r="BE285" s="326"/>
      <c r="BF285" s="327"/>
      <c r="BG285" s="646" t="s">
        <v>303</v>
      </c>
      <c r="BH285" s="326"/>
      <c r="BI285" s="326"/>
      <c r="BJ285" s="327"/>
      <c r="BK285" s="647"/>
      <c r="BL285" s="326"/>
      <c r="BM285" s="327"/>
      <c r="BN285" s="71"/>
      <c r="BO285" s="71"/>
      <c r="BP285" s="646"/>
      <c r="BQ285" s="326"/>
      <c r="BR285" s="327"/>
      <c r="BS285" s="645" t="s">
        <v>303</v>
      </c>
      <c r="BT285" s="326"/>
      <c r="BU285" s="327"/>
    </row>
    <row r="286" spans="1:73" ht="30" customHeight="1" x14ac:dyDescent="0.25">
      <c r="A286" s="65">
        <f t="shared" si="1"/>
        <v>272</v>
      </c>
      <c r="B286" s="639" t="s">
        <v>334</v>
      </c>
      <c r="C286" s="327"/>
      <c r="D286" s="640" t="s">
        <v>303</v>
      </c>
      <c r="E286" s="326"/>
      <c r="F286" s="326"/>
      <c r="G286" s="327"/>
      <c r="H286" s="641" t="s">
        <v>303</v>
      </c>
      <c r="I286" s="326"/>
      <c r="J286" s="326"/>
      <c r="K286" s="327"/>
      <c r="L286" s="438" t="s">
        <v>303</v>
      </c>
      <c r="M286" s="326"/>
      <c r="N286" s="327"/>
      <c r="O286" s="519" t="s">
        <v>303</v>
      </c>
      <c r="P286" s="326"/>
      <c r="Q286" s="327"/>
      <c r="R286" s="527"/>
      <c r="S286" s="326"/>
      <c r="T286" s="327"/>
      <c r="U286" s="497"/>
      <c r="V286" s="326"/>
      <c r="W286" s="327"/>
      <c r="X286" s="66"/>
      <c r="Y286" s="67"/>
      <c r="Z286" s="66"/>
      <c r="AA286" s="67"/>
      <c r="AB286" s="66"/>
      <c r="AC286" s="67"/>
      <c r="AD286" s="66"/>
      <c r="AE286" s="67"/>
      <c r="AF286" s="66"/>
      <c r="AG286" s="67"/>
      <c r="AH286" s="66"/>
      <c r="AI286" s="67"/>
      <c r="AJ286" s="50"/>
      <c r="AK286" s="69"/>
      <c r="AL286" s="50"/>
      <c r="AM286" s="69"/>
      <c r="AN286" s="50"/>
      <c r="AO286" s="69"/>
      <c r="AP286" s="50"/>
      <c r="AQ286" s="69"/>
      <c r="AR286" s="50"/>
      <c r="AS286" s="642" t="s">
        <v>303</v>
      </c>
      <c r="AT286" s="326"/>
      <c r="AU286" s="326"/>
      <c r="AV286" s="326"/>
      <c r="AW286" s="326"/>
      <c r="AX286" s="326"/>
      <c r="AY286" s="327"/>
      <c r="AZ286" s="70"/>
      <c r="BA286" s="70"/>
      <c r="BB286" s="643" t="s">
        <v>334</v>
      </c>
      <c r="BC286" s="327"/>
      <c r="BD286" s="645" t="s">
        <v>303</v>
      </c>
      <c r="BE286" s="326"/>
      <c r="BF286" s="327"/>
      <c r="BG286" s="646" t="s">
        <v>303</v>
      </c>
      <c r="BH286" s="326"/>
      <c r="BI286" s="326"/>
      <c r="BJ286" s="327"/>
      <c r="BK286" s="647"/>
      <c r="BL286" s="326"/>
      <c r="BM286" s="327"/>
      <c r="BN286" s="71"/>
      <c r="BO286" s="71"/>
      <c r="BP286" s="646"/>
      <c r="BQ286" s="326"/>
      <c r="BR286" s="327"/>
      <c r="BS286" s="645" t="s">
        <v>303</v>
      </c>
      <c r="BT286" s="326"/>
      <c r="BU286" s="327"/>
    </row>
    <row r="287" spans="1:73" ht="30" customHeight="1" x14ac:dyDescent="0.25">
      <c r="A287" s="65">
        <f t="shared" si="1"/>
        <v>273</v>
      </c>
      <c r="B287" s="639" t="s">
        <v>334</v>
      </c>
      <c r="C287" s="327"/>
      <c r="D287" s="640" t="s">
        <v>303</v>
      </c>
      <c r="E287" s="326"/>
      <c r="F287" s="326"/>
      <c r="G287" s="327"/>
      <c r="H287" s="641" t="s">
        <v>303</v>
      </c>
      <c r="I287" s="326"/>
      <c r="J287" s="326"/>
      <c r="K287" s="327"/>
      <c r="L287" s="438" t="s">
        <v>303</v>
      </c>
      <c r="M287" s="326"/>
      <c r="N287" s="327"/>
      <c r="O287" s="519" t="s">
        <v>303</v>
      </c>
      <c r="P287" s="326"/>
      <c r="Q287" s="327"/>
      <c r="R287" s="527"/>
      <c r="S287" s="326"/>
      <c r="T287" s="327"/>
      <c r="U287" s="497"/>
      <c r="V287" s="326"/>
      <c r="W287" s="327"/>
      <c r="X287" s="66"/>
      <c r="Y287" s="67"/>
      <c r="Z287" s="66"/>
      <c r="AA287" s="67"/>
      <c r="AB287" s="66"/>
      <c r="AC287" s="67"/>
      <c r="AD287" s="66"/>
      <c r="AE287" s="67"/>
      <c r="AF287" s="66"/>
      <c r="AG287" s="67"/>
      <c r="AH287" s="66"/>
      <c r="AI287" s="67"/>
      <c r="AJ287" s="50"/>
      <c r="AK287" s="69"/>
      <c r="AL287" s="50"/>
      <c r="AM287" s="69"/>
      <c r="AN287" s="50"/>
      <c r="AO287" s="69"/>
      <c r="AP287" s="50"/>
      <c r="AQ287" s="69"/>
      <c r="AR287" s="50"/>
      <c r="AS287" s="642" t="s">
        <v>303</v>
      </c>
      <c r="AT287" s="326"/>
      <c r="AU287" s="326"/>
      <c r="AV287" s="326"/>
      <c r="AW287" s="326"/>
      <c r="AX287" s="326"/>
      <c r="AY287" s="327"/>
      <c r="AZ287" s="70"/>
      <c r="BA287" s="70"/>
      <c r="BB287" s="643" t="s">
        <v>334</v>
      </c>
      <c r="BC287" s="327"/>
      <c r="BD287" s="645" t="s">
        <v>303</v>
      </c>
      <c r="BE287" s="326"/>
      <c r="BF287" s="327"/>
      <c r="BG287" s="646" t="s">
        <v>303</v>
      </c>
      <c r="BH287" s="326"/>
      <c r="BI287" s="326"/>
      <c r="BJ287" s="327"/>
      <c r="BK287" s="647"/>
      <c r="BL287" s="326"/>
      <c r="BM287" s="327"/>
      <c r="BN287" s="71"/>
      <c r="BO287" s="71"/>
      <c r="BP287" s="646"/>
      <c r="BQ287" s="326"/>
      <c r="BR287" s="327"/>
      <c r="BS287" s="645" t="s">
        <v>303</v>
      </c>
      <c r="BT287" s="326"/>
      <c r="BU287" s="327"/>
    </row>
    <row r="288" spans="1:73" ht="30" customHeight="1" x14ac:dyDescent="0.25">
      <c r="A288" s="65">
        <f t="shared" si="1"/>
        <v>274</v>
      </c>
      <c r="B288" s="639" t="s">
        <v>334</v>
      </c>
      <c r="C288" s="327"/>
      <c r="D288" s="640" t="s">
        <v>303</v>
      </c>
      <c r="E288" s="326"/>
      <c r="F288" s="326"/>
      <c r="G288" s="327"/>
      <c r="H288" s="641" t="s">
        <v>303</v>
      </c>
      <c r="I288" s="326"/>
      <c r="J288" s="326"/>
      <c r="K288" s="327"/>
      <c r="L288" s="438" t="s">
        <v>303</v>
      </c>
      <c r="M288" s="326"/>
      <c r="N288" s="327"/>
      <c r="O288" s="519" t="s">
        <v>303</v>
      </c>
      <c r="P288" s="326"/>
      <c r="Q288" s="327"/>
      <c r="R288" s="527"/>
      <c r="S288" s="326"/>
      <c r="T288" s="327"/>
      <c r="U288" s="497"/>
      <c r="V288" s="326"/>
      <c r="W288" s="327"/>
      <c r="X288" s="66"/>
      <c r="Y288" s="67"/>
      <c r="Z288" s="66"/>
      <c r="AA288" s="67"/>
      <c r="AB288" s="66"/>
      <c r="AC288" s="67"/>
      <c r="AD288" s="66"/>
      <c r="AE288" s="67"/>
      <c r="AF288" s="66"/>
      <c r="AG288" s="67"/>
      <c r="AH288" s="66"/>
      <c r="AI288" s="67"/>
      <c r="AJ288" s="50"/>
      <c r="AK288" s="69"/>
      <c r="AL288" s="50"/>
      <c r="AM288" s="69"/>
      <c r="AN288" s="50"/>
      <c r="AO288" s="69"/>
      <c r="AP288" s="50"/>
      <c r="AQ288" s="69"/>
      <c r="AR288" s="50"/>
      <c r="AS288" s="642" t="s">
        <v>303</v>
      </c>
      <c r="AT288" s="326"/>
      <c r="AU288" s="326"/>
      <c r="AV288" s="326"/>
      <c r="AW288" s="326"/>
      <c r="AX288" s="326"/>
      <c r="AY288" s="327"/>
      <c r="AZ288" s="70"/>
      <c r="BA288" s="70"/>
      <c r="BB288" s="644" t="s">
        <v>334</v>
      </c>
      <c r="BC288" s="327"/>
      <c r="BD288" s="645" t="s">
        <v>303</v>
      </c>
      <c r="BE288" s="326"/>
      <c r="BF288" s="327"/>
      <c r="BG288" s="646" t="s">
        <v>303</v>
      </c>
      <c r="BH288" s="326"/>
      <c r="BI288" s="326"/>
      <c r="BJ288" s="327"/>
      <c r="BK288" s="647"/>
      <c r="BL288" s="326"/>
      <c r="BM288" s="327"/>
      <c r="BN288" s="71"/>
      <c r="BO288" s="71"/>
      <c r="BP288" s="646"/>
      <c r="BQ288" s="326"/>
      <c r="BR288" s="327"/>
      <c r="BS288" s="645" t="s">
        <v>303</v>
      </c>
      <c r="BT288" s="326"/>
      <c r="BU288" s="327"/>
    </row>
    <row r="289" spans="1:73" ht="30" customHeight="1" x14ac:dyDescent="0.25">
      <c r="A289" s="65">
        <f t="shared" si="1"/>
        <v>275</v>
      </c>
      <c r="B289" s="639" t="s">
        <v>334</v>
      </c>
      <c r="C289" s="327"/>
      <c r="D289" s="640" t="s">
        <v>303</v>
      </c>
      <c r="E289" s="326"/>
      <c r="F289" s="326"/>
      <c r="G289" s="327"/>
      <c r="H289" s="641" t="s">
        <v>303</v>
      </c>
      <c r="I289" s="326"/>
      <c r="J289" s="326"/>
      <c r="K289" s="327"/>
      <c r="L289" s="438" t="s">
        <v>303</v>
      </c>
      <c r="M289" s="326"/>
      <c r="N289" s="327"/>
      <c r="O289" s="519" t="s">
        <v>303</v>
      </c>
      <c r="P289" s="326"/>
      <c r="Q289" s="327"/>
      <c r="R289" s="527"/>
      <c r="S289" s="326"/>
      <c r="T289" s="327"/>
      <c r="U289" s="497"/>
      <c r="V289" s="326"/>
      <c r="W289" s="327"/>
      <c r="X289" s="66"/>
      <c r="Y289" s="67"/>
      <c r="Z289" s="66"/>
      <c r="AA289" s="67"/>
      <c r="AB289" s="66"/>
      <c r="AC289" s="67"/>
      <c r="AD289" s="66"/>
      <c r="AE289" s="67"/>
      <c r="AF289" s="66"/>
      <c r="AG289" s="67"/>
      <c r="AH289" s="66"/>
      <c r="AI289" s="67"/>
      <c r="AJ289" s="50"/>
      <c r="AK289" s="69"/>
      <c r="AL289" s="50"/>
      <c r="AM289" s="69"/>
      <c r="AN289" s="50"/>
      <c r="AO289" s="69"/>
      <c r="AP289" s="50"/>
      <c r="AQ289" s="69"/>
      <c r="AR289" s="50"/>
      <c r="AS289" s="642" t="s">
        <v>303</v>
      </c>
      <c r="AT289" s="326"/>
      <c r="AU289" s="326"/>
      <c r="AV289" s="326"/>
      <c r="AW289" s="326"/>
      <c r="AX289" s="326"/>
      <c r="AY289" s="327"/>
      <c r="AZ289" s="70"/>
      <c r="BA289" s="70"/>
      <c r="BB289" s="643" t="s">
        <v>334</v>
      </c>
      <c r="BC289" s="327"/>
      <c r="BD289" s="645" t="s">
        <v>303</v>
      </c>
      <c r="BE289" s="326"/>
      <c r="BF289" s="327"/>
      <c r="BG289" s="646" t="s">
        <v>303</v>
      </c>
      <c r="BH289" s="326"/>
      <c r="BI289" s="326"/>
      <c r="BJ289" s="327"/>
      <c r="BK289" s="647"/>
      <c r="BL289" s="326"/>
      <c r="BM289" s="327"/>
      <c r="BN289" s="71"/>
      <c r="BO289" s="71"/>
      <c r="BP289" s="646"/>
      <c r="BQ289" s="326"/>
      <c r="BR289" s="327"/>
      <c r="BS289" s="645" t="s">
        <v>303</v>
      </c>
      <c r="BT289" s="326"/>
      <c r="BU289" s="327"/>
    </row>
    <row r="290" spans="1:73" ht="30" customHeight="1" x14ac:dyDescent="0.25">
      <c r="A290" s="65">
        <f t="shared" si="1"/>
        <v>276</v>
      </c>
      <c r="B290" s="639" t="s">
        <v>334</v>
      </c>
      <c r="C290" s="327"/>
      <c r="D290" s="640" t="s">
        <v>303</v>
      </c>
      <c r="E290" s="326"/>
      <c r="F290" s="326"/>
      <c r="G290" s="327"/>
      <c r="H290" s="641" t="s">
        <v>303</v>
      </c>
      <c r="I290" s="326"/>
      <c r="J290" s="326"/>
      <c r="K290" s="327"/>
      <c r="L290" s="438" t="s">
        <v>303</v>
      </c>
      <c r="M290" s="326"/>
      <c r="N290" s="327"/>
      <c r="O290" s="519" t="s">
        <v>303</v>
      </c>
      <c r="P290" s="326"/>
      <c r="Q290" s="327"/>
      <c r="R290" s="527"/>
      <c r="S290" s="326"/>
      <c r="T290" s="327"/>
      <c r="U290" s="497"/>
      <c r="V290" s="326"/>
      <c r="W290" s="327"/>
      <c r="X290" s="66"/>
      <c r="Y290" s="67"/>
      <c r="Z290" s="66"/>
      <c r="AA290" s="67"/>
      <c r="AB290" s="66"/>
      <c r="AC290" s="67"/>
      <c r="AD290" s="66"/>
      <c r="AE290" s="67"/>
      <c r="AF290" s="66"/>
      <c r="AG290" s="67"/>
      <c r="AH290" s="66"/>
      <c r="AI290" s="67"/>
      <c r="AJ290" s="50"/>
      <c r="AK290" s="69"/>
      <c r="AL290" s="50"/>
      <c r="AM290" s="69"/>
      <c r="AN290" s="50"/>
      <c r="AO290" s="69"/>
      <c r="AP290" s="50"/>
      <c r="AQ290" s="69"/>
      <c r="AR290" s="50"/>
      <c r="AS290" s="642" t="s">
        <v>303</v>
      </c>
      <c r="AT290" s="326"/>
      <c r="AU290" s="326"/>
      <c r="AV290" s="326"/>
      <c r="AW290" s="326"/>
      <c r="AX290" s="326"/>
      <c r="AY290" s="327"/>
      <c r="AZ290" s="70"/>
      <c r="BA290" s="70"/>
      <c r="BB290" s="643" t="s">
        <v>334</v>
      </c>
      <c r="BC290" s="327"/>
      <c r="BD290" s="645" t="s">
        <v>303</v>
      </c>
      <c r="BE290" s="326"/>
      <c r="BF290" s="327"/>
      <c r="BG290" s="646" t="s">
        <v>303</v>
      </c>
      <c r="BH290" s="326"/>
      <c r="BI290" s="326"/>
      <c r="BJ290" s="327"/>
      <c r="BK290" s="647"/>
      <c r="BL290" s="326"/>
      <c r="BM290" s="327"/>
      <c r="BN290" s="71"/>
      <c r="BO290" s="71"/>
      <c r="BP290" s="646"/>
      <c r="BQ290" s="326"/>
      <c r="BR290" s="327"/>
      <c r="BS290" s="645" t="s">
        <v>303</v>
      </c>
      <c r="BT290" s="326"/>
      <c r="BU290" s="327"/>
    </row>
    <row r="291" spans="1:73" ht="30" customHeight="1" x14ac:dyDescent="0.25">
      <c r="A291" s="65">
        <f t="shared" si="1"/>
        <v>277</v>
      </c>
      <c r="B291" s="639" t="s">
        <v>334</v>
      </c>
      <c r="C291" s="327"/>
      <c r="D291" s="640" t="s">
        <v>303</v>
      </c>
      <c r="E291" s="326"/>
      <c r="F291" s="326"/>
      <c r="G291" s="327"/>
      <c r="H291" s="641" t="s">
        <v>303</v>
      </c>
      <c r="I291" s="326"/>
      <c r="J291" s="326"/>
      <c r="K291" s="327"/>
      <c r="L291" s="438" t="s">
        <v>303</v>
      </c>
      <c r="M291" s="326"/>
      <c r="N291" s="327"/>
      <c r="O291" s="519" t="s">
        <v>303</v>
      </c>
      <c r="P291" s="326"/>
      <c r="Q291" s="327"/>
      <c r="R291" s="527"/>
      <c r="S291" s="326"/>
      <c r="T291" s="327"/>
      <c r="U291" s="497"/>
      <c r="V291" s="326"/>
      <c r="W291" s="327"/>
      <c r="X291" s="66"/>
      <c r="Y291" s="67"/>
      <c r="Z291" s="66"/>
      <c r="AA291" s="67"/>
      <c r="AB291" s="66"/>
      <c r="AC291" s="67"/>
      <c r="AD291" s="66"/>
      <c r="AE291" s="67"/>
      <c r="AF291" s="66"/>
      <c r="AG291" s="67"/>
      <c r="AH291" s="66"/>
      <c r="AI291" s="67"/>
      <c r="AJ291" s="50"/>
      <c r="AK291" s="69"/>
      <c r="AL291" s="50"/>
      <c r="AM291" s="69"/>
      <c r="AN291" s="50"/>
      <c r="AO291" s="69"/>
      <c r="AP291" s="50"/>
      <c r="AQ291" s="69"/>
      <c r="AR291" s="50"/>
      <c r="AS291" s="642" t="s">
        <v>303</v>
      </c>
      <c r="AT291" s="326"/>
      <c r="AU291" s="326"/>
      <c r="AV291" s="326"/>
      <c r="AW291" s="326"/>
      <c r="AX291" s="326"/>
      <c r="AY291" s="327"/>
      <c r="AZ291" s="70"/>
      <c r="BA291" s="70"/>
      <c r="BB291" s="643" t="s">
        <v>334</v>
      </c>
      <c r="BC291" s="327"/>
      <c r="BD291" s="645" t="s">
        <v>303</v>
      </c>
      <c r="BE291" s="326"/>
      <c r="BF291" s="327"/>
      <c r="BG291" s="646" t="s">
        <v>303</v>
      </c>
      <c r="BH291" s="326"/>
      <c r="BI291" s="326"/>
      <c r="BJ291" s="327"/>
      <c r="BK291" s="647"/>
      <c r="BL291" s="326"/>
      <c r="BM291" s="327"/>
      <c r="BN291" s="71"/>
      <c r="BO291" s="71"/>
      <c r="BP291" s="646"/>
      <c r="BQ291" s="326"/>
      <c r="BR291" s="327"/>
      <c r="BS291" s="645" t="s">
        <v>303</v>
      </c>
      <c r="BT291" s="326"/>
      <c r="BU291" s="327"/>
    </row>
    <row r="292" spans="1:73" ht="30" customHeight="1" x14ac:dyDescent="0.25">
      <c r="A292" s="65">
        <f t="shared" si="1"/>
        <v>278</v>
      </c>
      <c r="B292" s="639" t="s">
        <v>334</v>
      </c>
      <c r="C292" s="327"/>
      <c r="D292" s="640" t="s">
        <v>303</v>
      </c>
      <c r="E292" s="326"/>
      <c r="F292" s="326"/>
      <c r="G292" s="327"/>
      <c r="H292" s="641" t="s">
        <v>303</v>
      </c>
      <c r="I292" s="326"/>
      <c r="J292" s="326"/>
      <c r="K292" s="327"/>
      <c r="L292" s="438" t="s">
        <v>303</v>
      </c>
      <c r="M292" s="326"/>
      <c r="N292" s="327"/>
      <c r="O292" s="519" t="s">
        <v>303</v>
      </c>
      <c r="P292" s="326"/>
      <c r="Q292" s="327"/>
      <c r="R292" s="527"/>
      <c r="S292" s="326"/>
      <c r="T292" s="327"/>
      <c r="U292" s="497"/>
      <c r="V292" s="326"/>
      <c r="W292" s="327"/>
      <c r="X292" s="66"/>
      <c r="Y292" s="67"/>
      <c r="Z292" s="66"/>
      <c r="AA292" s="67"/>
      <c r="AB292" s="66"/>
      <c r="AC292" s="67"/>
      <c r="AD292" s="66"/>
      <c r="AE292" s="67"/>
      <c r="AF292" s="66"/>
      <c r="AG292" s="67"/>
      <c r="AH292" s="66"/>
      <c r="AI292" s="67"/>
      <c r="AJ292" s="50"/>
      <c r="AK292" s="69"/>
      <c r="AL292" s="50"/>
      <c r="AM292" s="69"/>
      <c r="AN292" s="50"/>
      <c r="AO292" s="69"/>
      <c r="AP292" s="50"/>
      <c r="AQ292" s="69"/>
      <c r="AR292" s="50"/>
      <c r="AS292" s="642" t="s">
        <v>303</v>
      </c>
      <c r="AT292" s="326"/>
      <c r="AU292" s="326"/>
      <c r="AV292" s="326"/>
      <c r="AW292" s="326"/>
      <c r="AX292" s="326"/>
      <c r="AY292" s="327"/>
      <c r="AZ292" s="70"/>
      <c r="BA292" s="70"/>
      <c r="BB292" s="643" t="s">
        <v>334</v>
      </c>
      <c r="BC292" s="327"/>
      <c r="BD292" s="645" t="s">
        <v>303</v>
      </c>
      <c r="BE292" s="326"/>
      <c r="BF292" s="327"/>
      <c r="BG292" s="646" t="s">
        <v>303</v>
      </c>
      <c r="BH292" s="326"/>
      <c r="BI292" s="326"/>
      <c r="BJ292" s="327"/>
      <c r="BK292" s="647"/>
      <c r="BL292" s="326"/>
      <c r="BM292" s="327"/>
      <c r="BN292" s="71"/>
      <c r="BO292" s="71"/>
      <c r="BP292" s="646"/>
      <c r="BQ292" s="326"/>
      <c r="BR292" s="327"/>
      <c r="BS292" s="645" t="s">
        <v>303</v>
      </c>
      <c r="BT292" s="326"/>
      <c r="BU292" s="327"/>
    </row>
    <row r="293" spans="1:73" ht="30" customHeight="1" x14ac:dyDescent="0.25">
      <c r="A293" s="65">
        <f t="shared" si="1"/>
        <v>279</v>
      </c>
      <c r="B293" s="639" t="s">
        <v>334</v>
      </c>
      <c r="C293" s="327"/>
      <c r="D293" s="640" t="s">
        <v>303</v>
      </c>
      <c r="E293" s="326"/>
      <c r="F293" s="326"/>
      <c r="G293" s="327"/>
      <c r="H293" s="641" t="s">
        <v>303</v>
      </c>
      <c r="I293" s="326"/>
      <c r="J293" s="326"/>
      <c r="K293" s="327"/>
      <c r="L293" s="438" t="s">
        <v>303</v>
      </c>
      <c r="M293" s="326"/>
      <c r="N293" s="327"/>
      <c r="O293" s="519" t="s">
        <v>303</v>
      </c>
      <c r="P293" s="326"/>
      <c r="Q293" s="327"/>
      <c r="R293" s="527"/>
      <c r="S293" s="326"/>
      <c r="T293" s="327"/>
      <c r="U293" s="497"/>
      <c r="V293" s="326"/>
      <c r="W293" s="327"/>
      <c r="X293" s="66"/>
      <c r="Y293" s="67"/>
      <c r="Z293" s="66"/>
      <c r="AA293" s="67"/>
      <c r="AB293" s="66"/>
      <c r="AC293" s="67"/>
      <c r="AD293" s="66"/>
      <c r="AE293" s="67"/>
      <c r="AF293" s="66"/>
      <c r="AG293" s="67"/>
      <c r="AH293" s="66"/>
      <c r="AI293" s="67"/>
      <c r="AJ293" s="50"/>
      <c r="AK293" s="69"/>
      <c r="AL293" s="50"/>
      <c r="AM293" s="69"/>
      <c r="AN293" s="50"/>
      <c r="AO293" s="69"/>
      <c r="AP293" s="50"/>
      <c r="AQ293" s="69"/>
      <c r="AR293" s="50"/>
      <c r="AS293" s="642" t="s">
        <v>303</v>
      </c>
      <c r="AT293" s="326"/>
      <c r="AU293" s="326"/>
      <c r="AV293" s="326"/>
      <c r="AW293" s="326"/>
      <c r="AX293" s="326"/>
      <c r="AY293" s="327"/>
      <c r="AZ293" s="70"/>
      <c r="BA293" s="70"/>
      <c r="BB293" s="643" t="s">
        <v>334</v>
      </c>
      <c r="BC293" s="327"/>
      <c r="BD293" s="645" t="s">
        <v>303</v>
      </c>
      <c r="BE293" s="326"/>
      <c r="BF293" s="327"/>
      <c r="BG293" s="646" t="s">
        <v>303</v>
      </c>
      <c r="BH293" s="326"/>
      <c r="BI293" s="326"/>
      <c r="BJ293" s="327"/>
      <c r="BK293" s="647"/>
      <c r="BL293" s="326"/>
      <c r="BM293" s="327"/>
      <c r="BN293" s="71"/>
      <c r="BO293" s="71"/>
      <c r="BP293" s="646"/>
      <c r="BQ293" s="326"/>
      <c r="BR293" s="327"/>
      <c r="BS293" s="645" t="s">
        <v>303</v>
      </c>
      <c r="BT293" s="326"/>
      <c r="BU293" s="327"/>
    </row>
    <row r="294" spans="1:73" ht="30" customHeight="1" x14ac:dyDescent="0.25">
      <c r="A294" s="65">
        <f t="shared" si="1"/>
        <v>280</v>
      </c>
      <c r="B294" s="639" t="s">
        <v>334</v>
      </c>
      <c r="C294" s="327"/>
      <c r="D294" s="640" t="s">
        <v>303</v>
      </c>
      <c r="E294" s="326"/>
      <c r="F294" s="326"/>
      <c r="G294" s="327"/>
      <c r="H294" s="641" t="s">
        <v>303</v>
      </c>
      <c r="I294" s="326"/>
      <c r="J294" s="326"/>
      <c r="K294" s="327"/>
      <c r="L294" s="438" t="s">
        <v>303</v>
      </c>
      <c r="M294" s="326"/>
      <c r="N294" s="327"/>
      <c r="O294" s="519" t="s">
        <v>303</v>
      </c>
      <c r="P294" s="326"/>
      <c r="Q294" s="327"/>
      <c r="R294" s="527"/>
      <c r="S294" s="326"/>
      <c r="T294" s="327"/>
      <c r="U294" s="497"/>
      <c r="V294" s="326"/>
      <c r="W294" s="327"/>
      <c r="X294" s="66"/>
      <c r="Y294" s="67"/>
      <c r="Z294" s="66"/>
      <c r="AA294" s="67"/>
      <c r="AB294" s="66"/>
      <c r="AC294" s="67"/>
      <c r="AD294" s="66"/>
      <c r="AE294" s="67"/>
      <c r="AF294" s="66"/>
      <c r="AG294" s="67"/>
      <c r="AH294" s="66"/>
      <c r="AI294" s="67"/>
      <c r="AJ294" s="50"/>
      <c r="AK294" s="69"/>
      <c r="AL294" s="50"/>
      <c r="AM294" s="69"/>
      <c r="AN294" s="50"/>
      <c r="AO294" s="69"/>
      <c r="AP294" s="50"/>
      <c r="AQ294" s="69"/>
      <c r="AR294" s="50"/>
      <c r="AS294" s="642" t="s">
        <v>303</v>
      </c>
      <c r="AT294" s="326"/>
      <c r="AU294" s="326"/>
      <c r="AV294" s="326"/>
      <c r="AW294" s="326"/>
      <c r="AX294" s="326"/>
      <c r="AY294" s="327"/>
      <c r="AZ294" s="70"/>
      <c r="BA294" s="70"/>
      <c r="BB294" s="643" t="s">
        <v>334</v>
      </c>
      <c r="BC294" s="327"/>
      <c r="BD294" s="645" t="s">
        <v>303</v>
      </c>
      <c r="BE294" s="326"/>
      <c r="BF294" s="327"/>
      <c r="BG294" s="646" t="s">
        <v>303</v>
      </c>
      <c r="BH294" s="326"/>
      <c r="BI294" s="326"/>
      <c r="BJ294" s="327"/>
      <c r="BK294" s="647"/>
      <c r="BL294" s="326"/>
      <c r="BM294" s="327"/>
      <c r="BN294" s="71"/>
      <c r="BO294" s="71"/>
      <c r="BP294" s="646"/>
      <c r="BQ294" s="326"/>
      <c r="BR294" s="327"/>
      <c r="BS294" s="645" t="s">
        <v>303</v>
      </c>
      <c r="BT294" s="326"/>
      <c r="BU294" s="327"/>
    </row>
    <row r="295" spans="1:73" ht="30" customHeight="1" x14ac:dyDescent="0.25">
      <c r="A295" s="65">
        <f t="shared" si="1"/>
        <v>281</v>
      </c>
      <c r="B295" s="639" t="s">
        <v>334</v>
      </c>
      <c r="C295" s="327"/>
      <c r="D295" s="640" t="s">
        <v>303</v>
      </c>
      <c r="E295" s="326"/>
      <c r="F295" s="326"/>
      <c r="G295" s="327"/>
      <c r="H295" s="641" t="s">
        <v>303</v>
      </c>
      <c r="I295" s="326"/>
      <c r="J295" s="326"/>
      <c r="K295" s="327"/>
      <c r="L295" s="438" t="s">
        <v>303</v>
      </c>
      <c r="M295" s="326"/>
      <c r="N295" s="327"/>
      <c r="O295" s="519" t="s">
        <v>303</v>
      </c>
      <c r="P295" s="326"/>
      <c r="Q295" s="327"/>
      <c r="R295" s="527"/>
      <c r="S295" s="326"/>
      <c r="T295" s="327"/>
      <c r="U295" s="497"/>
      <c r="V295" s="326"/>
      <c r="W295" s="327"/>
      <c r="X295" s="66"/>
      <c r="Y295" s="67"/>
      <c r="Z295" s="66"/>
      <c r="AA295" s="67"/>
      <c r="AB295" s="66"/>
      <c r="AC295" s="67"/>
      <c r="AD295" s="66"/>
      <c r="AE295" s="67"/>
      <c r="AF295" s="66"/>
      <c r="AG295" s="67"/>
      <c r="AH295" s="66"/>
      <c r="AI295" s="67"/>
      <c r="AJ295" s="50"/>
      <c r="AK295" s="69"/>
      <c r="AL295" s="50"/>
      <c r="AM295" s="69"/>
      <c r="AN295" s="50"/>
      <c r="AO295" s="69"/>
      <c r="AP295" s="50"/>
      <c r="AQ295" s="69"/>
      <c r="AR295" s="50"/>
      <c r="AS295" s="642" t="s">
        <v>303</v>
      </c>
      <c r="AT295" s="326"/>
      <c r="AU295" s="326"/>
      <c r="AV295" s="326"/>
      <c r="AW295" s="326"/>
      <c r="AX295" s="326"/>
      <c r="AY295" s="327"/>
      <c r="AZ295" s="70"/>
      <c r="BA295" s="70"/>
      <c r="BB295" s="644" t="s">
        <v>334</v>
      </c>
      <c r="BC295" s="327"/>
      <c r="BD295" s="645" t="s">
        <v>303</v>
      </c>
      <c r="BE295" s="326"/>
      <c r="BF295" s="327"/>
      <c r="BG295" s="646" t="s">
        <v>303</v>
      </c>
      <c r="BH295" s="326"/>
      <c r="BI295" s="326"/>
      <c r="BJ295" s="327"/>
      <c r="BK295" s="647"/>
      <c r="BL295" s="326"/>
      <c r="BM295" s="327"/>
      <c r="BN295" s="71"/>
      <c r="BO295" s="71"/>
      <c r="BP295" s="646"/>
      <c r="BQ295" s="326"/>
      <c r="BR295" s="327"/>
      <c r="BS295" s="645" t="s">
        <v>303</v>
      </c>
      <c r="BT295" s="326"/>
      <c r="BU295" s="327"/>
    </row>
    <row r="296" spans="1:73" ht="30" customHeight="1" x14ac:dyDescent="0.25">
      <c r="A296" s="65">
        <f t="shared" si="1"/>
        <v>282</v>
      </c>
      <c r="B296" s="639" t="s">
        <v>334</v>
      </c>
      <c r="C296" s="327"/>
      <c r="D296" s="640" t="s">
        <v>303</v>
      </c>
      <c r="E296" s="326"/>
      <c r="F296" s="326"/>
      <c r="G296" s="327"/>
      <c r="H296" s="641" t="s">
        <v>303</v>
      </c>
      <c r="I296" s="326"/>
      <c r="J296" s="326"/>
      <c r="K296" s="327"/>
      <c r="L296" s="438" t="s">
        <v>303</v>
      </c>
      <c r="M296" s="326"/>
      <c r="N296" s="327"/>
      <c r="O296" s="519" t="s">
        <v>303</v>
      </c>
      <c r="P296" s="326"/>
      <c r="Q296" s="327"/>
      <c r="R296" s="527"/>
      <c r="S296" s="326"/>
      <c r="T296" s="327"/>
      <c r="U296" s="497"/>
      <c r="V296" s="326"/>
      <c r="W296" s="327"/>
      <c r="X296" s="66"/>
      <c r="Y296" s="67"/>
      <c r="Z296" s="66"/>
      <c r="AA296" s="67"/>
      <c r="AB296" s="66"/>
      <c r="AC296" s="67"/>
      <c r="AD296" s="66"/>
      <c r="AE296" s="67"/>
      <c r="AF296" s="66"/>
      <c r="AG296" s="67"/>
      <c r="AH296" s="66"/>
      <c r="AI296" s="67"/>
      <c r="AJ296" s="50"/>
      <c r="AK296" s="69"/>
      <c r="AL296" s="50"/>
      <c r="AM296" s="69"/>
      <c r="AN296" s="50"/>
      <c r="AO296" s="69"/>
      <c r="AP296" s="50"/>
      <c r="AQ296" s="69"/>
      <c r="AR296" s="50"/>
      <c r="AS296" s="642" t="s">
        <v>303</v>
      </c>
      <c r="AT296" s="326"/>
      <c r="AU296" s="326"/>
      <c r="AV296" s="326"/>
      <c r="AW296" s="326"/>
      <c r="AX296" s="326"/>
      <c r="AY296" s="327"/>
      <c r="AZ296" s="70"/>
      <c r="BA296" s="70"/>
      <c r="BB296" s="643" t="s">
        <v>334</v>
      </c>
      <c r="BC296" s="327"/>
      <c r="BD296" s="645" t="s">
        <v>303</v>
      </c>
      <c r="BE296" s="326"/>
      <c r="BF296" s="327"/>
      <c r="BG296" s="646" t="s">
        <v>303</v>
      </c>
      <c r="BH296" s="326"/>
      <c r="BI296" s="326"/>
      <c r="BJ296" s="327"/>
      <c r="BK296" s="647"/>
      <c r="BL296" s="326"/>
      <c r="BM296" s="327"/>
      <c r="BN296" s="71"/>
      <c r="BO296" s="71"/>
      <c r="BP296" s="646"/>
      <c r="BQ296" s="326"/>
      <c r="BR296" s="327"/>
      <c r="BS296" s="645" t="s">
        <v>303</v>
      </c>
      <c r="BT296" s="326"/>
      <c r="BU296" s="327"/>
    </row>
    <row r="297" spans="1:73" ht="30" customHeight="1" x14ac:dyDescent="0.25">
      <c r="A297" s="65">
        <f t="shared" si="1"/>
        <v>283</v>
      </c>
      <c r="B297" s="639" t="s">
        <v>334</v>
      </c>
      <c r="C297" s="327"/>
      <c r="D297" s="640" t="s">
        <v>303</v>
      </c>
      <c r="E297" s="326"/>
      <c r="F297" s="326"/>
      <c r="G297" s="327"/>
      <c r="H297" s="641" t="s">
        <v>303</v>
      </c>
      <c r="I297" s="326"/>
      <c r="J297" s="326"/>
      <c r="K297" s="327"/>
      <c r="L297" s="438" t="s">
        <v>303</v>
      </c>
      <c r="M297" s="326"/>
      <c r="N297" s="327"/>
      <c r="O297" s="519" t="s">
        <v>303</v>
      </c>
      <c r="P297" s="326"/>
      <c r="Q297" s="327"/>
      <c r="R297" s="527"/>
      <c r="S297" s="326"/>
      <c r="T297" s="327"/>
      <c r="U297" s="497"/>
      <c r="V297" s="326"/>
      <c r="W297" s="327"/>
      <c r="X297" s="66"/>
      <c r="Y297" s="67"/>
      <c r="Z297" s="66"/>
      <c r="AA297" s="67"/>
      <c r="AB297" s="66"/>
      <c r="AC297" s="67"/>
      <c r="AD297" s="66"/>
      <c r="AE297" s="67"/>
      <c r="AF297" s="66"/>
      <c r="AG297" s="67"/>
      <c r="AH297" s="66"/>
      <c r="AI297" s="67"/>
      <c r="AJ297" s="50"/>
      <c r="AK297" s="69"/>
      <c r="AL297" s="50"/>
      <c r="AM297" s="69"/>
      <c r="AN297" s="50"/>
      <c r="AO297" s="69"/>
      <c r="AP297" s="50"/>
      <c r="AQ297" s="69"/>
      <c r="AR297" s="50"/>
      <c r="AS297" s="642" t="s">
        <v>303</v>
      </c>
      <c r="AT297" s="326"/>
      <c r="AU297" s="326"/>
      <c r="AV297" s="326"/>
      <c r="AW297" s="326"/>
      <c r="AX297" s="326"/>
      <c r="AY297" s="327"/>
      <c r="AZ297" s="70"/>
      <c r="BA297" s="70"/>
      <c r="BB297" s="643" t="s">
        <v>334</v>
      </c>
      <c r="BC297" s="327"/>
      <c r="BD297" s="645" t="s">
        <v>303</v>
      </c>
      <c r="BE297" s="326"/>
      <c r="BF297" s="327"/>
      <c r="BG297" s="646" t="s">
        <v>303</v>
      </c>
      <c r="BH297" s="326"/>
      <c r="BI297" s="326"/>
      <c r="BJ297" s="327"/>
      <c r="BK297" s="647"/>
      <c r="BL297" s="326"/>
      <c r="BM297" s="327"/>
      <c r="BN297" s="71"/>
      <c r="BO297" s="71"/>
      <c r="BP297" s="646"/>
      <c r="BQ297" s="326"/>
      <c r="BR297" s="327"/>
      <c r="BS297" s="645" t="s">
        <v>303</v>
      </c>
      <c r="BT297" s="326"/>
      <c r="BU297" s="327"/>
    </row>
    <row r="298" spans="1:73" ht="30" customHeight="1" x14ac:dyDescent="0.25">
      <c r="A298" s="65">
        <f t="shared" si="1"/>
        <v>284</v>
      </c>
      <c r="B298" s="639" t="s">
        <v>334</v>
      </c>
      <c r="C298" s="327"/>
      <c r="D298" s="640" t="s">
        <v>303</v>
      </c>
      <c r="E298" s="326"/>
      <c r="F298" s="326"/>
      <c r="G298" s="327"/>
      <c r="H298" s="641" t="s">
        <v>303</v>
      </c>
      <c r="I298" s="326"/>
      <c r="J298" s="326"/>
      <c r="K298" s="327"/>
      <c r="L298" s="438" t="s">
        <v>303</v>
      </c>
      <c r="M298" s="326"/>
      <c r="N298" s="327"/>
      <c r="O298" s="519" t="s">
        <v>303</v>
      </c>
      <c r="P298" s="326"/>
      <c r="Q298" s="327"/>
      <c r="R298" s="527"/>
      <c r="S298" s="326"/>
      <c r="T298" s="327"/>
      <c r="U298" s="497"/>
      <c r="V298" s="326"/>
      <c r="W298" s="327"/>
      <c r="X298" s="66"/>
      <c r="Y298" s="67"/>
      <c r="Z298" s="66"/>
      <c r="AA298" s="67"/>
      <c r="AB298" s="66"/>
      <c r="AC298" s="67"/>
      <c r="AD298" s="66"/>
      <c r="AE298" s="67"/>
      <c r="AF298" s="66"/>
      <c r="AG298" s="67"/>
      <c r="AH298" s="66"/>
      <c r="AI298" s="67"/>
      <c r="AJ298" s="50"/>
      <c r="AK298" s="69"/>
      <c r="AL298" s="50"/>
      <c r="AM298" s="69"/>
      <c r="AN298" s="50"/>
      <c r="AO298" s="69"/>
      <c r="AP298" s="50"/>
      <c r="AQ298" s="69"/>
      <c r="AR298" s="50"/>
      <c r="AS298" s="642" t="s">
        <v>303</v>
      </c>
      <c r="AT298" s="326"/>
      <c r="AU298" s="326"/>
      <c r="AV298" s="326"/>
      <c r="AW298" s="326"/>
      <c r="AX298" s="326"/>
      <c r="AY298" s="327"/>
      <c r="AZ298" s="70"/>
      <c r="BA298" s="70"/>
      <c r="BB298" s="643" t="s">
        <v>334</v>
      </c>
      <c r="BC298" s="327"/>
      <c r="BD298" s="645" t="s">
        <v>303</v>
      </c>
      <c r="BE298" s="326"/>
      <c r="BF298" s="327"/>
      <c r="BG298" s="646" t="s">
        <v>303</v>
      </c>
      <c r="BH298" s="326"/>
      <c r="BI298" s="326"/>
      <c r="BJ298" s="327"/>
      <c r="BK298" s="647"/>
      <c r="BL298" s="326"/>
      <c r="BM298" s="327"/>
      <c r="BN298" s="71"/>
      <c r="BO298" s="71"/>
      <c r="BP298" s="646"/>
      <c r="BQ298" s="326"/>
      <c r="BR298" s="327"/>
      <c r="BS298" s="645" t="s">
        <v>303</v>
      </c>
      <c r="BT298" s="326"/>
      <c r="BU298" s="327"/>
    </row>
    <row r="299" spans="1:73" ht="30" customHeight="1" x14ac:dyDescent="0.25">
      <c r="A299" s="65">
        <f t="shared" si="1"/>
        <v>285</v>
      </c>
      <c r="B299" s="639" t="s">
        <v>334</v>
      </c>
      <c r="C299" s="327"/>
      <c r="D299" s="640" t="s">
        <v>303</v>
      </c>
      <c r="E299" s="326"/>
      <c r="F299" s="326"/>
      <c r="G299" s="327"/>
      <c r="H299" s="641" t="s">
        <v>303</v>
      </c>
      <c r="I299" s="326"/>
      <c r="J299" s="326"/>
      <c r="K299" s="327"/>
      <c r="L299" s="438" t="s">
        <v>303</v>
      </c>
      <c r="M299" s="326"/>
      <c r="N299" s="327"/>
      <c r="O299" s="519" t="s">
        <v>303</v>
      </c>
      <c r="P299" s="326"/>
      <c r="Q299" s="327"/>
      <c r="R299" s="527"/>
      <c r="S299" s="326"/>
      <c r="T299" s="327"/>
      <c r="U299" s="497"/>
      <c r="V299" s="326"/>
      <c r="W299" s="327"/>
      <c r="X299" s="66"/>
      <c r="Y299" s="67"/>
      <c r="Z299" s="66"/>
      <c r="AA299" s="67"/>
      <c r="AB299" s="66"/>
      <c r="AC299" s="67"/>
      <c r="AD299" s="66"/>
      <c r="AE299" s="67"/>
      <c r="AF299" s="66"/>
      <c r="AG299" s="67"/>
      <c r="AH299" s="66"/>
      <c r="AI299" s="67"/>
      <c r="AJ299" s="50"/>
      <c r="AK299" s="69"/>
      <c r="AL299" s="50"/>
      <c r="AM299" s="69"/>
      <c r="AN299" s="50"/>
      <c r="AO299" s="69"/>
      <c r="AP299" s="50"/>
      <c r="AQ299" s="69"/>
      <c r="AR299" s="50"/>
      <c r="AS299" s="642" t="s">
        <v>303</v>
      </c>
      <c r="AT299" s="326"/>
      <c r="AU299" s="326"/>
      <c r="AV299" s="326"/>
      <c r="AW299" s="326"/>
      <c r="AX299" s="326"/>
      <c r="AY299" s="327"/>
      <c r="AZ299" s="70"/>
      <c r="BA299" s="70"/>
      <c r="BB299" s="643" t="s">
        <v>334</v>
      </c>
      <c r="BC299" s="327"/>
      <c r="BD299" s="645" t="s">
        <v>303</v>
      </c>
      <c r="BE299" s="326"/>
      <c r="BF299" s="327"/>
      <c r="BG299" s="646" t="s">
        <v>303</v>
      </c>
      <c r="BH299" s="326"/>
      <c r="BI299" s="326"/>
      <c r="BJ299" s="327"/>
      <c r="BK299" s="647"/>
      <c r="BL299" s="326"/>
      <c r="BM299" s="327"/>
      <c r="BN299" s="71"/>
      <c r="BO299" s="71"/>
      <c r="BP299" s="646"/>
      <c r="BQ299" s="326"/>
      <c r="BR299" s="327"/>
      <c r="BS299" s="645" t="s">
        <v>303</v>
      </c>
      <c r="BT299" s="326"/>
      <c r="BU299" s="327"/>
    </row>
    <row r="300" spans="1:73" ht="30" customHeight="1" x14ac:dyDescent="0.25">
      <c r="A300" s="65">
        <f t="shared" si="1"/>
        <v>286</v>
      </c>
      <c r="B300" s="639" t="s">
        <v>334</v>
      </c>
      <c r="C300" s="327"/>
      <c r="D300" s="640" t="s">
        <v>303</v>
      </c>
      <c r="E300" s="326"/>
      <c r="F300" s="326"/>
      <c r="G300" s="327"/>
      <c r="H300" s="641" t="s">
        <v>303</v>
      </c>
      <c r="I300" s="326"/>
      <c r="J300" s="326"/>
      <c r="K300" s="327"/>
      <c r="L300" s="438" t="s">
        <v>303</v>
      </c>
      <c r="M300" s="326"/>
      <c r="N300" s="327"/>
      <c r="O300" s="519" t="s">
        <v>303</v>
      </c>
      <c r="P300" s="326"/>
      <c r="Q300" s="327"/>
      <c r="R300" s="527"/>
      <c r="S300" s="326"/>
      <c r="T300" s="327"/>
      <c r="U300" s="497"/>
      <c r="V300" s="326"/>
      <c r="W300" s="327"/>
      <c r="X300" s="66"/>
      <c r="Y300" s="67"/>
      <c r="Z300" s="66"/>
      <c r="AA300" s="67"/>
      <c r="AB300" s="66"/>
      <c r="AC300" s="67"/>
      <c r="AD300" s="66"/>
      <c r="AE300" s="67"/>
      <c r="AF300" s="66"/>
      <c r="AG300" s="67"/>
      <c r="AH300" s="66"/>
      <c r="AI300" s="67"/>
      <c r="AJ300" s="50"/>
      <c r="AK300" s="69"/>
      <c r="AL300" s="50"/>
      <c r="AM300" s="69"/>
      <c r="AN300" s="50"/>
      <c r="AO300" s="69"/>
      <c r="AP300" s="50"/>
      <c r="AQ300" s="69"/>
      <c r="AR300" s="50"/>
      <c r="AS300" s="642" t="s">
        <v>303</v>
      </c>
      <c r="AT300" s="326"/>
      <c r="AU300" s="326"/>
      <c r="AV300" s="326"/>
      <c r="AW300" s="326"/>
      <c r="AX300" s="326"/>
      <c r="AY300" s="327"/>
      <c r="AZ300" s="70"/>
      <c r="BA300" s="70"/>
      <c r="BB300" s="643" t="s">
        <v>334</v>
      </c>
      <c r="BC300" s="327"/>
      <c r="BD300" s="645" t="s">
        <v>303</v>
      </c>
      <c r="BE300" s="326"/>
      <c r="BF300" s="327"/>
      <c r="BG300" s="646" t="s">
        <v>303</v>
      </c>
      <c r="BH300" s="326"/>
      <c r="BI300" s="326"/>
      <c r="BJ300" s="327"/>
      <c r="BK300" s="647"/>
      <c r="BL300" s="326"/>
      <c r="BM300" s="327"/>
      <c r="BN300" s="71"/>
      <c r="BO300" s="71"/>
      <c r="BP300" s="646"/>
      <c r="BQ300" s="326"/>
      <c r="BR300" s="327"/>
      <c r="BS300" s="645" t="s">
        <v>303</v>
      </c>
      <c r="BT300" s="326"/>
      <c r="BU300" s="327"/>
    </row>
    <row r="301" spans="1:73" ht="30" customHeight="1" x14ac:dyDescent="0.25">
      <c r="A301" s="65">
        <f t="shared" si="1"/>
        <v>287</v>
      </c>
      <c r="B301" s="639" t="s">
        <v>334</v>
      </c>
      <c r="C301" s="327"/>
      <c r="D301" s="640" t="s">
        <v>303</v>
      </c>
      <c r="E301" s="326"/>
      <c r="F301" s="326"/>
      <c r="G301" s="327"/>
      <c r="H301" s="641" t="s">
        <v>303</v>
      </c>
      <c r="I301" s="326"/>
      <c r="J301" s="326"/>
      <c r="K301" s="327"/>
      <c r="L301" s="438" t="s">
        <v>303</v>
      </c>
      <c r="M301" s="326"/>
      <c r="N301" s="327"/>
      <c r="O301" s="519" t="s">
        <v>303</v>
      </c>
      <c r="P301" s="326"/>
      <c r="Q301" s="327"/>
      <c r="R301" s="527"/>
      <c r="S301" s="326"/>
      <c r="T301" s="327"/>
      <c r="U301" s="497"/>
      <c r="V301" s="326"/>
      <c r="W301" s="327"/>
      <c r="X301" s="66"/>
      <c r="Y301" s="67"/>
      <c r="Z301" s="66"/>
      <c r="AA301" s="67"/>
      <c r="AB301" s="66"/>
      <c r="AC301" s="67"/>
      <c r="AD301" s="66"/>
      <c r="AE301" s="67"/>
      <c r="AF301" s="66"/>
      <c r="AG301" s="67"/>
      <c r="AH301" s="66"/>
      <c r="AI301" s="67"/>
      <c r="AJ301" s="50"/>
      <c r="AK301" s="69"/>
      <c r="AL301" s="50"/>
      <c r="AM301" s="69"/>
      <c r="AN301" s="50"/>
      <c r="AO301" s="69"/>
      <c r="AP301" s="50"/>
      <c r="AQ301" s="69"/>
      <c r="AR301" s="50"/>
      <c r="AS301" s="642" t="s">
        <v>303</v>
      </c>
      <c r="AT301" s="326"/>
      <c r="AU301" s="326"/>
      <c r="AV301" s="326"/>
      <c r="AW301" s="326"/>
      <c r="AX301" s="326"/>
      <c r="AY301" s="327"/>
      <c r="AZ301" s="70"/>
      <c r="BA301" s="70"/>
      <c r="BB301" s="643" t="s">
        <v>334</v>
      </c>
      <c r="BC301" s="327"/>
      <c r="BD301" s="645" t="s">
        <v>303</v>
      </c>
      <c r="BE301" s="326"/>
      <c r="BF301" s="327"/>
      <c r="BG301" s="646" t="s">
        <v>303</v>
      </c>
      <c r="BH301" s="326"/>
      <c r="BI301" s="326"/>
      <c r="BJ301" s="327"/>
      <c r="BK301" s="647"/>
      <c r="BL301" s="326"/>
      <c r="BM301" s="327"/>
      <c r="BN301" s="71"/>
      <c r="BO301" s="71"/>
      <c r="BP301" s="646"/>
      <c r="BQ301" s="326"/>
      <c r="BR301" s="327"/>
      <c r="BS301" s="645" t="s">
        <v>303</v>
      </c>
      <c r="BT301" s="326"/>
      <c r="BU301" s="327"/>
    </row>
    <row r="302" spans="1:73" ht="30" customHeight="1" x14ac:dyDescent="0.25">
      <c r="A302" s="65">
        <f t="shared" si="1"/>
        <v>288</v>
      </c>
      <c r="B302" s="639" t="s">
        <v>334</v>
      </c>
      <c r="C302" s="327"/>
      <c r="D302" s="640" t="s">
        <v>303</v>
      </c>
      <c r="E302" s="326"/>
      <c r="F302" s="326"/>
      <c r="G302" s="327"/>
      <c r="H302" s="641" t="s">
        <v>303</v>
      </c>
      <c r="I302" s="326"/>
      <c r="J302" s="326"/>
      <c r="K302" s="327"/>
      <c r="L302" s="438" t="s">
        <v>303</v>
      </c>
      <c r="M302" s="326"/>
      <c r="N302" s="327"/>
      <c r="O302" s="519" t="s">
        <v>303</v>
      </c>
      <c r="P302" s="326"/>
      <c r="Q302" s="327"/>
      <c r="R302" s="527"/>
      <c r="S302" s="326"/>
      <c r="T302" s="327"/>
      <c r="U302" s="497"/>
      <c r="V302" s="326"/>
      <c r="W302" s="327"/>
      <c r="X302" s="66"/>
      <c r="Y302" s="67"/>
      <c r="Z302" s="66"/>
      <c r="AA302" s="67"/>
      <c r="AB302" s="66"/>
      <c r="AC302" s="67"/>
      <c r="AD302" s="66"/>
      <c r="AE302" s="67"/>
      <c r="AF302" s="66"/>
      <c r="AG302" s="67"/>
      <c r="AH302" s="66"/>
      <c r="AI302" s="67"/>
      <c r="AJ302" s="50"/>
      <c r="AK302" s="69"/>
      <c r="AL302" s="50"/>
      <c r="AM302" s="69"/>
      <c r="AN302" s="50"/>
      <c r="AO302" s="69"/>
      <c r="AP302" s="50"/>
      <c r="AQ302" s="69"/>
      <c r="AR302" s="50"/>
      <c r="AS302" s="642" t="s">
        <v>303</v>
      </c>
      <c r="AT302" s="326"/>
      <c r="AU302" s="326"/>
      <c r="AV302" s="326"/>
      <c r="AW302" s="326"/>
      <c r="AX302" s="326"/>
      <c r="AY302" s="327"/>
      <c r="AZ302" s="70"/>
      <c r="BA302" s="70"/>
      <c r="BB302" s="644" t="s">
        <v>334</v>
      </c>
      <c r="BC302" s="327"/>
      <c r="BD302" s="645" t="s">
        <v>303</v>
      </c>
      <c r="BE302" s="326"/>
      <c r="BF302" s="327"/>
      <c r="BG302" s="646" t="s">
        <v>303</v>
      </c>
      <c r="BH302" s="326"/>
      <c r="BI302" s="326"/>
      <c r="BJ302" s="327"/>
      <c r="BK302" s="647"/>
      <c r="BL302" s="326"/>
      <c r="BM302" s="327"/>
      <c r="BN302" s="71"/>
      <c r="BO302" s="71"/>
      <c r="BP302" s="646"/>
      <c r="BQ302" s="326"/>
      <c r="BR302" s="327"/>
      <c r="BS302" s="645" t="s">
        <v>303</v>
      </c>
      <c r="BT302" s="326"/>
      <c r="BU302" s="327"/>
    </row>
    <row r="303" spans="1:73" ht="30" customHeight="1" x14ac:dyDescent="0.25">
      <c r="A303" s="65">
        <f t="shared" si="1"/>
        <v>289</v>
      </c>
      <c r="B303" s="639" t="s">
        <v>334</v>
      </c>
      <c r="C303" s="327"/>
      <c r="D303" s="640" t="s">
        <v>303</v>
      </c>
      <c r="E303" s="326"/>
      <c r="F303" s="326"/>
      <c r="G303" s="327"/>
      <c r="H303" s="641" t="s">
        <v>303</v>
      </c>
      <c r="I303" s="326"/>
      <c r="J303" s="326"/>
      <c r="K303" s="327"/>
      <c r="L303" s="438" t="s">
        <v>303</v>
      </c>
      <c r="M303" s="326"/>
      <c r="N303" s="327"/>
      <c r="O303" s="519" t="s">
        <v>303</v>
      </c>
      <c r="P303" s="326"/>
      <c r="Q303" s="327"/>
      <c r="R303" s="527"/>
      <c r="S303" s="326"/>
      <c r="T303" s="327"/>
      <c r="U303" s="497"/>
      <c r="V303" s="326"/>
      <c r="W303" s="327"/>
      <c r="X303" s="66"/>
      <c r="Y303" s="67"/>
      <c r="Z303" s="66"/>
      <c r="AA303" s="67"/>
      <c r="AB303" s="66"/>
      <c r="AC303" s="67"/>
      <c r="AD303" s="66"/>
      <c r="AE303" s="67"/>
      <c r="AF303" s="66"/>
      <c r="AG303" s="67"/>
      <c r="AH303" s="66"/>
      <c r="AI303" s="67"/>
      <c r="AJ303" s="50"/>
      <c r="AK303" s="69"/>
      <c r="AL303" s="50"/>
      <c r="AM303" s="69"/>
      <c r="AN303" s="50"/>
      <c r="AO303" s="69"/>
      <c r="AP303" s="50"/>
      <c r="AQ303" s="69"/>
      <c r="AR303" s="50"/>
      <c r="AS303" s="642" t="s">
        <v>303</v>
      </c>
      <c r="AT303" s="326"/>
      <c r="AU303" s="326"/>
      <c r="AV303" s="326"/>
      <c r="AW303" s="326"/>
      <c r="AX303" s="326"/>
      <c r="AY303" s="327"/>
      <c r="AZ303" s="70"/>
      <c r="BA303" s="70"/>
      <c r="BB303" s="643" t="s">
        <v>334</v>
      </c>
      <c r="BC303" s="327"/>
      <c r="BD303" s="645" t="s">
        <v>303</v>
      </c>
      <c r="BE303" s="326"/>
      <c r="BF303" s="327"/>
      <c r="BG303" s="646" t="s">
        <v>303</v>
      </c>
      <c r="BH303" s="326"/>
      <c r="BI303" s="326"/>
      <c r="BJ303" s="327"/>
      <c r="BK303" s="647"/>
      <c r="BL303" s="326"/>
      <c r="BM303" s="327"/>
      <c r="BN303" s="71"/>
      <c r="BO303" s="71"/>
      <c r="BP303" s="646"/>
      <c r="BQ303" s="326"/>
      <c r="BR303" s="327"/>
      <c r="BS303" s="645" t="s">
        <v>303</v>
      </c>
      <c r="BT303" s="326"/>
      <c r="BU303" s="327"/>
    </row>
    <row r="304" spans="1:73" ht="30" customHeight="1" x14ac:dyDescent="0.25">
      <c r="A304" s="65">
        <f t="shared" si="1"/>
        <v>290</v>
      </c>
      <c r="B304" s="639" t="s">
        <v>334</v>
      </c>
      <c r="C304" s="327"/>
      <c r="D304" s="640" t="s">
        <v>303</v>
      </c>
      <c r="E304" s="326"/>
      <c r="F304" s="326"/>
      <c r="G304" s="327"/>
      <c r="H304" s="641" t="s">
        <v>303</v>
      </c>
      <c r="I304" s="326"/>
      <c r="J304" s="326"/>
      <c r="K304" s="327"/>
      <c r="L304" s="438" t="s">
        <v>303</v>
      </c>
      <c r="M304" s="326"/>
      <c r="N304" s="327"/>
      <c r="O304" s="519" t="s">
        <v>303</v>
      </c>
      <c r="P304" s="326"/>
      <c r="Q304" s="327"/>
      <c r="R304" s="527"/>
      <c r="S304" s="326"/>
      <c r="T304" s="327"/>
      <c r="U304" s="497"/>
      <c r="V304" s="326"/>
      <c r="W304" s="327"/>
      <c r="X304" s="66"/>
      <c r="Y304" s="67"/>
      <c r="Z304" s="66"/>
      <c r="AA304" s="67"/>
      <c r="AB304" s="66"/>
      <c r="AC304" s="67"/>
      <c r="AD304" s="66"/>
      <c r="AE304" s="67"/>
      <c r="AF304" s="66"/>
      <c r="AG304" s="67"/>
      <c r="AH304" s="66"/>
      <c r="AI304" s="67"/>
      <c r="AJ304" s="50"/>
      <c r="AK304" s="69"/>
      <c r="AL304" s="50"/>
      <c r="AM304" s="69"/>
      <c r="AN304" s="50"/>
      <c r="AO304" s="69"/>
      <c r="AP304" s="50"/>
      <c r="AQ304" s="69"/>
      <c r="AR304" s="50"/>
      <c r="AS304" s="642" t="s">
        <v>303</v>
      </c>
      <c r="AT304" s="326"/>
      <c r="AU304" s="326"/>
      <c r="AV304" s="326"/>
      <c r="AW304" s="326"/>
      <c r="AX304" s="326"/>
      <c r="AY304" s="327"/>
      <c r="AZ304" s="70"/>
      <c r="BA304" s="70"/>
      <c r="BB304" s="643" t="s">
        <v>334</v>
      </c>
      <c r="BC304" s="327"/>
      <c r="BD304" s="645" t="s">
        <v>303</v>
      </c>
      <c r="BE304" s="326"/>
      <c r="BF304" s="327"/>
      <c r="BG304" s="646" t="s">
        <v>303</v>
      </c>
      <c r="BH304" s="326"/>
      <c r="BI304" s="326"/>
      <c r="BJ304" s="327"/>
      <c r="BK304" s="647"/>
      <c r="BL304" s="326"/>
      <c r="BM304" s="327"/>
      <c r="BN304" s="71"/>
      <c r="BO304" s="71"/>
      <c r="BP304" s="646"/>
      <c r="BQ304" s="326"/>
      <c r="BR304" s="327"/>
      <c r="BS304" s="645" t="s">
        <v>303</v>
      </c>
      <c r="BT304" s="326"/>
      <c r="BU304" s="327"/>
    </row>
    <row r="305" spans="1:73" ht="30" customHeight="1" x14ac:dyDescent="0.25">
      <c r="A305" s="65">
        <f t="shared" si="1"/>
        <v>291</v>
      </c>
      <c r="B305" s="639" t="s">
        <v>334</v>
      </c>
      <c r="C305" s="327"/>
      <c r="D305" s="640" t="s">
        <v>303</v>
      </c>
      <c r="E305" s="326"/>
      <c r="F305" s="326"/>
      <c r="G305" s="327"/>
      <c r="H305" s="641" t="s">
        <v>303</v>
      </c>
      <c r="I305" s="326"/>
      <c r="J305" s="326"/>
      <c r="K305" s="327"/>
      <c r="L305" s="438" t="s">
        <v>303</v>
      </c>
      <c r="M305" s="326"/>
      <c r="N305" s="327"/>
      <c r="O305" s="519" t="s">
        <v>303</v>
      </c>
      <c r="P305" s="326"/>
      <c r="Q305" s="327"/>
      <c r="R305" s="527"/>
      <c r="S305" s="326"/>
      <c r="T305" s="327"/>
      <c r="U305" s="497"/>
      <c r="V305" s="326"/>
      <c r="W305" s="327"/>
      <c r="X305" s="66"/>
      <c r="Y305" s="67"/>
      <c r="Z305" s="66"/>
      <c r="AA305" s="67"/>
      <c r="AB305" s="66"/>
      <c r="AC305" s="67"/>
      <c r="AD305" s="66"/>
      <c r="AE305" s="67"/>
      <c r="AF305" s="66"/>
      <c r="AG305" s="67"/>
      <c r="AH305" s="66"/>
      <c r="AI305" s="67"/>
      <c r="AJ305" s="50"/>
      <c r="AK305" s="69"/>
      <c r="AL305" s="50"/>
      <c r="AM305" s="69"/>
      <c r="AN305" s="50"/>
      <c r="AO305" s="69"/>
      <c r="AP305" s="50"/>
      <c r="AQ305" s="69"/>
      <c r="AR305" s="50"/>
      <c r="AS305" s="642" t="s">
        <v>303</v>
      </c>
      <c r="AT305" s="326"/>
      <c r="AU305" s="326"/>
      <c r="AV305" s="326"/>
      <c r="AW305" s="326"/>
      <c r="AX305" s="326"/>
      <c r="AY305" s="327"/>
      <c r="AZ305" s="70"/>
      <c r="BA305" s="70"/>
      <c r="BB305" s="643" t="s">
        <v>334</v>
      </c>
      <c r="BC305" s="327"/>
      <c r="BD305" s="645" t="s">
        <v>303</v>
      </c>
      <c r="BE305" s="326"/>
      <c r="BF305" s="327"/>
      <c r="BG305" s="646" t="s">
        <v>303</v>
      </c>
      <c r="BH305" s="326"/>
      <c r="BI305" s="326"/>
      <c r="BJ305" s="327"/>
      <c r="BK305" s="647"/>
      <c r="BL305" s="326"/>
      <c r="BM305" s="327"/>
      <c r="BN305" s="71"/>
      <c r="BO305" s="71"/>
      <c r="BP305" s="646"/>
      <c r="BQ305" s="326"/>
      <c r="BR305" s="327"/>
      <c r="BS305" s="645" t="s">
        <v>303</v>
      </c>
      <c r="BT305" s="326"/>
      <c r="BU305" s="327"/>
    </row>
    <row r="306" spans="1:73" ht="30" customHeight="1" x14ac:dyDescent="0.25">
      <c r="A306" s="65">
        <f t="shared" si="1"/>
        <v>292</v>
      </c>
      <c r="B306" s="639" t="s">
        <v>334</v>
      </c>
      <c r="C306" s="327"/>
      <c r="D306" s="640" t="s">
        <v>303</v>
      </c>
      <c r="E306" s="326"/>
      <c r="F306" s="326"/>
      <c r="G306" s="327"/>
      <c r="H306" s="641" t="s">
        <v>303</v>
      </c>
      <c r="I306" s="326"/>
      <c r="J306" s="326"/>
      <c r="K306" s="327"/>
      <c r="L306" s="438" t="s">
        <v>303</v>
      </c>
      <c r="M306" s="326"/>
      <c r="N306" s="327"/>
      <c r="O306" s="519" t="s">
        <v>303</v>
      </c>
      <c r="P306" s="326"/>
      <c r="Q306" s="327"/>
      <c r="R306" s="527"/>
      <c r="S306" s="326"/>
      <c r="T306" s="327"/>
      <c r="U306" s="497"/>
      <c r="V306" s="326"/>
      <c r="W306" s="327"/>
      <c r="X306" s="66"/>
      <c r="Y306" s="67"/>
      <c r="Z306" s="66"/>
      <c r="AA306" s="67"/>
      <c r="AB306" s="66"/>
      <c r="AC306" s="67"/>
      <c r="AD306" s="66"/>
      <c r="AE306" s="67"/>
      <c r="AF306" s="66"/>
      <c r="AG306" s="67"/>
      <c r="AH306" s="66"/>
      <c r="AI306" s="67"/>
      <c r="AJ306" s="50"/>
      <c r="AK306" s="69"/>
      <c r="AL306" s="50"/>
      <c r="AM306" s="69"/>
      <c r="AN306" s="50"/>
      <c r="AO306" s="69"/>
      <c r="AP306" s="50"/>
      <c r="AQ306" s="69"/>
      <c r="AR306" s="50"/>
      <c r="AS306" s="642" t="s">
        <v>303</v>
      </c>
      <c r="AT306" s="326"/>
      <c r="AU306" s="326"/>
      <c r="AV306" s="326"/>
      <c r="AW306" s="326"/>
      <c r="AX306" s="326"/>
      <c r="AY306" s="327"/>
      <c r="AZ306" s="70"/>
      <c r="BA306" s="70"/>
      <c r="BB306" s="643" t="s">
        <v>334</v>
      </c>
      <c r="BC306" s="327"/>
      <c r="BD306" s="645" t="s">
        <v>303</v>
      </c>
      <c r="BE306" s="326"/>
      <c r="BF306" s="327"/>
      <c r="BG306" s="646" t="s">
        <v>303</v>
      </c>
      <c r="BH306" s="326"/>
      <c r="BI306" s="326"/>
      <c r="BJ306" s="327"/>
      <c r="BK306" s="647"/>
      <c r="BL306" s="326"/>
      <c r="BM306" s="327"/>
      <c r="BN306" s="71"/>
      <c r="BO306" s="71"/>
      <c r="BP306" s="646"/>
      <c r="BQ306" s="326"/>
      <c r="BR306" s="327"/>
      <c r="BS306" s="645" t="s">
        <v>303</v>
      </c>
      <c r="BT306" s="326"/>
      <c r="BU306" s="327"/>
    </row>
    <row r="307" spans="1:73" ht="30" customHeight="1" x14ac:dyDescent="0.25">
      <c r="A307" s="65">
        <f t="shared" si="1"/>
        <v>293</v>
      </c>
      <c r="B307" s="639" t="s">
        <v>334</v>
      </c>
      <c r="C307" s="327"/>
      <c r="D307" s="640" t="s">
        <v>303</v>
      </c>
      <c r="E307" s="326"/>
      <c r="F307" s="326"/>
      <c r="G307" s="327"/>
      <c r="H307" s="641" t="s">
        <v>303</v>
      </c>
      <c r="I307" s="326"/>
      <c r="J307" s="326"/>
      <c r="K307" s="327"/>
      <c r="L307" s="438" t="s">
        <v>303</v>
      </c>
      <c r="M307" s="326"/>
      <c r="N307" s="327"/>
      <c r="O307" s="519" t="s">
        <v>303</v>
      </c>
      <c r="P307" s="326"/>
      <c r="Q307" s="327"/>
      <c r="R307" s="527"/>
      <c r="S307" s="326"/>
      <c r="T307" s="327"/>
      <c r="U307" s="497"/>
      <c r="V307" s="326"/>
      <c r="W307" s="327"/>
      <c r="X307" s="66"/>
      <c r="Y307" s="67"/>
      <c r="Z307" s="66"/>
      <c r="AA307" s="67"/>
      <c r="AB307" s="66"/>
      <c r="AC307" s="67"/>
      <c r="AD307" s="66"/>
      <c r="AE307" s="67"/>
      <c r="AF307" s="66"/>
      <c r="AG307" s="67"/>
      <c r="AH307" s="66"/>
      <c r="AI307" s="67"/>
      <c r="AJ307" s="50"/>
      <c r="AK307" s="69"/>
      <c r="AL307" s="50"/>
      <c r="AM307" s="69"/>
      <c r="AN307" s="50"/>
      <c r="AO307" s="69"/>
      <c r="AP307" s="50"/>
      <c r="AQ307" s="69"/>
      <c r="AR307" s="50"/>
      <c r="AS307" s="642" t="s">
        <v>303</v>
      </c>
      <c r="AT307" s="326"/>
      <c r="AU307" s="326"/>
      <c r="AV307" s="326"/>
      <c r="AW307" s="326"/>
      <c r="AX307" s="326"/>
      <c r="AY307" s="327"/>
      <c r="AZ307" s="70"/>
      <c r="BA307" s="70"/>
      <c r="BB307" s="643" t="s">
        <v>334</v>
      </c>
      <c r="BC307" s="327"/>
      <c r="BD307" s="645" t="s">
        <v>303</v>
      </c>
      <c r="BE307" s="326"/>
      <c r="BF307" s="327"/>
      <c r="BG307" s="646" t="s">
        <v>303</v>
      </c>
      <c r="BH307" s="326"/>
      <c r="BI307" s="326"/>
      <c r="BJ307" s="327"/>
      <c r="BK307" s="647"/>
      <c r="BL307" s="326"/>
      <c r="BM307" s="327"/>
      <c r="BN307" s="71"/>
      <c r="BO307" s="71"/>
      <c r="BP307" s="646"/>
      <c r="BQ307" s="326"/>
      <c r="BR307" s="327"/>
      <c r="BS307" s="645" t="s">
        <v>303</v>
      </c>
      <c r="BT307" s="326"/>
      <c r="BU307" s="327"/>
    </row>
    <row r="308" spans="1:73" ht="30" customHeight="1" x14ac:dyDescent="0.25">
      <c r="A308" s="65">
        <f t="shared" si="1"/>
        <v>294</v>
      </c>
      <c r="B308" s="639" t="s">
        <v>334</v>
      </c>
      <c r="C308" s="327"/>
      <c r="D308" s="640" t="s">
        <v>303</v>
      </c>
      <c r="E308" s="326"/>
      <c r="F308" s="326"/>
      <c r="G308" s="327"/>
      <c r="H308" s="641" t="s">
        <v>303</v>
      </c>
      <c r="I308" s="326"/>
      <c r="J308" s="326"/>
      <c r="K308" s="327"/>
      <c r="L308" s="438" t="s">
        <v>303</v>
      </c>
      <c r="M308" s="326"/>
      <c r="N308" s="327"/>
      <c r="O308" s="519" t="s">
        <v>303</v>
      </c>
      <c r="P308" s="326"/>
      <c r="Q308" s="327"/>
      <c r="R308" s="527"/>
      <c r="S308" s="326"/>
      <c r="T308" s="327"/>
      <c r="U308" s="497"/>
      <c r="V308" s="326"/>
      <c r="W308" s="327"/>
      <c r="X308" s="66"/>
      <c r="Y308" s="67"/>
      <c r="Z308" s="66"/>
      <c r="AA308" s="67"/>
      <c r="AB308" s="66"/>
      <c r="AC308" s="67"/>
      <c r="AD308" s="66"/>
      <c r="AE308" s="67"/>
      <c r="AF308" s="66"/>
      <c r="AG308" s="67"/>
      <c r="AH308" s="66"/>
      <c r="AI308" s="67"/>
      <c r="AJ308" s="50"/>
      <c r="AK308" s="69"/>
      <c r="AL308" s="50"/>
      <c r="AM308" s="69"/>
      <c r="AN308" s="50"/>
      <c r="AO308" s="69"/>
      <c r="AP308" s="50"/>
      <c r="AQ308" s="69"/>
      <c r="AR308" s="50"/>
      <c r="AS308" s="642" t="s">
        <v>303</v>
      </c>
      <c r="AT308" s="326"/>
      <c r="AU308" s="326"/>
      <c r="AV308" s="326"/>
      <c r="AW308" s="326"/>
      <c r="AX308" s="326"/>
      <c r="AY308" s="327"/>
      <c r="AZ308" s="70"/>
      <c r="BA308" s="70"/>
      <c r="BB308" s="643" t="s">
        <v>334</v>
      </c>
      <c r="BC308" s="327"/>
      <c r="BD308" s="645" t="s">
        <v>303</v>
      </c>
      <c r="BE308" s="326"/>
      <c r="BF308" s="327"/>
      <c r="BG308" s="646" t="s">
        <v>303</v>
      </c>
      <c r="BH308" s="326"/>
      <c r="BI308" s="326"/>
      <c r="BJ308" s="327"/>
      <c r="BK308" s="647"/>
      <c r="BL308" s="326"/>
      <c r="BM308" s="327"/>
      <c r="BN308" s="71"/>
      <c r="BO308" s="71"/>
      <c r="BP308" s="646"/>
      <c r="BQ308" s="326"/>
      <c r="BR308" s="327"/>
      <c r="BS308" s="645" t="s">
        <v>303</v>
      </c>
      <c r="BT308" s="326"/>
      <c r="BU308" s="327"/>
    </row>
    <row r="309" spans="1:73" ht="30" customHeight="1" x14ac:dyDescent="0.25">
      <c r="A309" s="65">
        <f t="shared" si="1"/>
        <v>295</v>
      </c>
      <c r="B309" s="639" t="s">
        <v>334</v>
      </c>
      <c r="C309" s="327"/>
      <c r="D309" s="640" t="s">
        <v>303</v>
      </c>
      <c r="E309" s="326"/>
      <c r="F309" s="326"/>
      <c r="G309" s="327"/>
      <c r="H309" s="641" t="s">
        <v>303</v>
      </c>
      <c r="I309" s="326"/>
      <c r="J309" s="326"/>
      <c r="K309" s="327"/>
      <c r="L309" s="438" t="s">
        <v>303</v>
      </c>
      <c r="M309" s="326"/>
      <c r="N309" s="327"/>
      <c r="O309" s="519" t="s">
        <v>303</v>
      </c>
      <c r="P309" s="326"/>
      <c r="Q309" s="327"/>
      <c r="R309" s="527"/>
      <c r="S309" s="326"/>
      <c r="T309" s="327"/>
      <c r="U309" s="497"/>
      <c r="V309" s="326"/>
      <c r="W309" s="327"/>
      <c r="X309" s="66"/>
      <c r="Y309" s="67"/>
      <c r="Z309" s="66"/>
      <c r="AA309" s="67"/>
      <c r="AB309" s="66"/>
      <c r="AC309" s="67"/>
      <c r="AD309" s="66"/>
      <c r="AE309" s="67"/>
      <c r="AF309" s="66"/>
      <c r="AG309" s="67"/>
      <c r="AH309" s="66"/>
      <c r="AI309" s="67"/>
      <c r="AJ309" s="50"/>
      <c r="AK309" s="69"/>
      <c r="AL309" s="50"/>
      <c r="AM309" s="69"/>
      <c r="AN309" s="50"/>
      <c r="AO309" s="69"/>
      <c r="AP309" s="50"/>
      <c r="AQ309" s="69"/>
      <c r="AR309" s="50"/>
      <c r="AS309" s="642" t="s">
        <v>303</v>
      </c>
      <c r="AT309" s="326"/>
      <c r="AU309" s="326"/>
      <c r="AV309" s="326"/>
      <c r="AW309" s="326"/>
      <c r="AX309" s="326"/>
      <c r="AY309" s="327"/>
      <c r="AZ309" s="70"/>
      <c r="BA309" s="70"/>
      <c r="BB309" s="644" t="s">
        <v>334</v>
      </c>
      <c r="BC309" s="327"/>
      <c r="BD309" s="645" t="s">
        <v>303</v>
      </c>
      <c r="BE309" s="326"/>
      <c r="BF309" s="327"/>
      <c r="BG309" s="646" t="s">
        <v>303</v>
      </c>
      <c r="BH309" s="326"/>
      <c r="BI309" s="326"/>
      <c r="BJ309" s="327"/>
      <c r="BK309" s="647"/>
      <c r="BL309" s="326"/>
      <c r="BM309" s="327"/>
      <c r="BN309" s="71"/>
      <c r="BO309" s="71"/>
      <c r="BP309" s="646"/>
      <c r="BQ309" s="326"/>
      <c r="BR309" s="327"/>
      <c r="BS309" s="645" t="s">
        <v>303</v>
      </c>
      <c r="BT309" s="326"/>
      <c r="BU309" s="327"/>
    </row>
    <row r="310" spans="1:73" ht="30" customHeight="1" x14ac:dyDescent="0.25">
      <c r="A310" s="65">
        <f t="shared" si="1"/>
        <v>296</v>
      </c>
      <c r="B310" s="639" t="s">
        <v>334</v>
      </c>
      <c r="C310" s="327"/>
      <c r="D310" s="640" t="s">
        <v>303</v>
      </c>
      <c r="E310" s="326"/>
      <c r="F310" s="326"/>
      <c r="G310" s="327"/>
      <c r="H310" s="641" t="s">
        <v>303</v>
      </c>
      <c r="I310" s="326"/>
      <c r="J310" s="326"/>
      <c r="K310" s="327"/>
      <c r="L310" s="438" t="s">
        <v>303</v>
      </c>
      <c r="M310" s="326"/>
      <c r="N310" s="327"/>
      <c r="O310" s="519" t="s">
        <v>303</v>
      </c>
      <c r="P310" s="326"/>
      <c r="Q310" s="327"/>
      <c r="R310" s="527"/>
      <c r="S310" s="326"/>
      <c r="T310" s="327"/>
      <c r="U310" s="497"/>
      <c r="V310" s="326"/>
      <c r="W310" s="327"/>
      <c r="X310" s="66"/>
      <c r="Y310" s="67"/>
      <c r="Z310" s="66"/>
      <c r="AA310" s="67"/>
      <c r="AB310" s="66"/>
      <c r="AC310" s="67"/>
      <c r="AD310" s="66"/>
      <c r="AE310" s="67"/>
      <c r="AF310" s="66"/>
      <c r="AG310" s="67"/>
      <c r="AH310" s="66"/>
      <c r="AI310" s="67"/>
      <c r="AJ310" s="50"/>
      <c r="AK310" s="69"/>
      <c r="AL310" s="50"/>
      <c r="AM310" s="69"/>
      <c r="AN310" s="50"/>
      <c r="AO310" s="69"/>
      <c r="AP310" s="50"/>
      <c r="AQ310" s="69"/>
      <c r="AR310" s="50"/>
      <c r="AS310" s="642" t="s">
        <v>303</v>
      </c>
      <c r="AT310" s="326"/>
      <c r="AU310" s="326"/>
      <c r="AV310" s="326"/>
      <c r="AW310" s="326"/>
      <c r="AX310" s="326"/>
      <c r="AY310" s="327"/>
      <c r="AZ310" s="70"/>
      <c r="BA310" s="70"/>
      <c r="BB310" s="643" t="s">
        <v>334</v>
      </c>
      <c r="BC310" s="327"/>
      <c r="BD310" s="645" t="s">
        <v>303</v>
      </c>
      <c r="BE310" s="326"/>
      <c r="BF310" s="327"/>
      <c r="BG310" s="646" t="s">
        <v>303</v>
      </c>
      <c r="BH310" s="326"/>
      <c r="BI310" s="326"/>
      <c r="BJ310" s="327"/>
      <c r="BK310" s="647"/>
      <c r="BL310" s="326"/>
      <c r="BM310" s="327"/>
      <c r="BN310" s="71"/>
      <c r="BO310" s="71"/>
      <c r="BP310" s="646"/>
      <c r="BQ310" s="326"/>
      <c r="BR310" s="327"/>
      <c r="BS310" s="645" t="s">
        <v>303</v>
      </c>
      <c r="BT310" s="326"/>
      <c r="BU310" s="327"/>
    </row>
    <row r="311" spans="1:73" ht="30" customHeight="1" x14ac:dyDescent="0.25">
      <c r="A311" s="65">
        <f t="shared" si="1"/>
        <v>297</v>
      </c>
      <c r="B311" s="639" t="s">
        <v>334</v>
      </c>
      <c r="C311" s="327"/>
      <c r="D311" s="640" t="s">
        <v>303</v>
      </c>
      <c r="E311" s="326"/>
      <c r="F311" s="326"/>
      <c r="G311" s="327"/>
      <c r="H311" s="641" t="s">
        <v>303</v>
      </c>
      <c r="I311" s="326"/>
      <c r="J311" s="326"/>
      <c r="K311" s="327"/>
      <c r="L311" s="438" t="s">
        <v>303</v>
      </c>
      <c r="M311" s="326"/>
      <c r="N311" s="327"/>
      <c r="O311" s="519" t="s">
        <v>303</v>
      </c>
      <c r="P311" s="326"/>
      <c r="Q311" s="327"/>
      <c r="R311" s="527"/>
      <c r="S311" s="326"/>
      <c r="T311" s="327"/>
      <c r="U311" s="497"/>
      <c r="V311" s="326"/>
      <c r="W311" s="327"/>
      <c r="X311" s="66"/>
      <c r="Y311" s="67"/>
      <c r="Z311" s="66"/>
      <c r="AA311" s="67"/>
      <c r="AB311" s="66"/>
      <c r="AC311" s="67"/>
      <c r="AD311" s="66"/>
      <c r="AE311" s="67"/>
      <c r="AF311" s="66"/>
      <c r="AG311" s="67"/>
      <c r="AH311" s="66"/>
      <c r="AI311" s="67"/>
      <c r="AJ311" s="50"/>
      <c r="AK311" s="69"/>
      <c r="AL311" s="50"/>
      <c r="AM311" s="69"/>
      <c r="AN311" s="50"/>
      <c r="AO311" s="69"/>
      <c r="AP311" s="50"/>
      <c r="AQ311" s="69"/>
      <c r="AR311" s="50"/>
      <c r="AS311" s="642" t="s">
        <v>303</v>
      </c>
      <c r="AT311" s="326"/>
      <c r="AU311" s="326"/>
      <c r="AV311" s="326"/>
      <c r="AW311" s="326"/>
      <c r="AX311" s="326"/>
      <c r="AY311" s="327"/>
      <c r="AZ311" s="70"/>
      <c r="BA311" s="70"/>
      <c r="BB311" s="643" t="s">
        <v>334</v>
      </c>
      <c r="BC311" s="327"/>
      <c r="BD311" s="645" t="s">
        <v>303</v>
      </c>
      <c r="BE311" s="326"/>
      <c r="BF311" s="327"/>
      <c r="BG311" s="646" t="s">
        <v>303</v>
      </c>
      <c r="BH311" s="326"/>
      <c r="BI311" s="326"/>
      <c r="BJ311" s="327"/>
      <c r="BK311" s="647"/>
      <c r="BL311" s="326"/>
      <c r="BM311" s="327"/>
      <c r="BN311" s="71"/>
      <c r="BO311" s="71"/>
      <c r="BP311" s="646"/>
      <c r="BQ311" s="326"/>
      <c r="BR311" s="327"/>
      <c r="BS311" s="645" t="s">
        <v>303</v>
      </c>
      <c r="BT311" s="326"/>
      <c r="BU311" s="327"/>
    </row>
    <row r="312" spans="1:73" ht="30" customHeight="1" x14ac:dyDescent="0.25">
      <c r="A312" s="65">
        <f t="shared" si="1"/>
        <v>298</v>
      </c>
      <c r="B312" s="639" t="s">
        <v>334</v>
      </c>
      <c r="C312" s="327"/>
      <c r="D312" s="640" t="s">
        <v>303</v>
      </c>
      <c r="E312" s="326"/>
      <c r="F312" s="326"/>
      <c r="G312" s="327"/>
      <c r="H312" s="641" t="s">
        <v>303</v>
      </c>
      <c r="I312" s="326"/>
      <c r="J312" s="326"/>
      <c r="K312" s="327"/>
      <c r="L312" s="438" t="s">
        <v>303</v>
      </c>
      <c r="M312" s="326"/>
      <c r="N312" s="327"/>
      <c r="O312" s="519" t="s">
        <v>303</v>
      </c>
      <c r="P312" s="326"/>
      <c r="Q312" s="327"/>
      <c r="R312" s="527"/>
      <c r="S312" s="326"/>
      <c r="T312" s="327"/>
      <c r="U312" s="497"/>
      <c r="V312" s="326"/>
      <c r="W312" s="327"/>
      <c r="X312" s="66"/>
      <c r="Y312" s="67"/>
      <c r="Z312" s="66"/>
      <c r="AA312" s="67"/>
      <c r="AB312" s="66"/>
      <c r="AC312" s="67"/>
      <c r="AD312" s="66"/>
      <c r="AE312" s="67"/>
      <c r="AF312" s="66"/>
      <c r="AG312" s="67"/>
      <c r="AH312" s="66"/>
      <c r="AI312" s="67"/>
      <c r="AJ312" s="50"/>
      <c r="AK312" s="69"/>
      <c r="AL312" s="50"/>
      <c r="AM312" s="69"/>
      <c r="AN312" s="50"/>
      <c r="AO312" s="69"/>
      <c r="AP312" s="50"/>
      <c r="AQ312" s="69"/>
      <c r="AR312" s="50"/>
      <c r="AS312" s="642" t="s">
        <v>303</v>
      </c>
      <c r="AT312" s="326"/>
      <c r="AU312" s="326"/>
      <c r="AV312" s="326"/>
      <c r="AW312" s="326"/>
      <c r="AX312" s="326"/>
      <c r="AY312" s="327"/>
      <c r="AZ312" s="70"/>
      <c r="BA312" s="70"/>
      <c r="BB312" s="643" t="s">
        <v>334</v>
      </c>
      <c r="BC312" s="327"/>
      <c r="BD312" s="645" t="s">
        <v>303</v>
      </c>
      <c r="BE312" s="326"/>
      <c r="BF312" s="327"/>
      <c r="BG312" s="646" t="s">
        <v>303</v>
      </c>
      <c r="BH312" s="326"/>
      <c r="BI312" s="326"/>
      <c r="BJ312" s="327"/>
      <c r="BK312" s="647"/>
      <c r="BL312" s="326"/>
      <c r="BM312" s="327"/>
      <c r="BN312" s="71"/>
      <c r="BO312" s="71"/>
      <c r="BP312" s="646"/>
      <c r="BQ312" s="326"/>
      <c r="BR312" s="327"/>
      <c r="BS312" s="645" t="s">
        <v>303</v>
      </c>
      <c r="BT312" s="326"/>
      <c r="BU312" s="327"/>
    </row>
    <row r="313" spans="1:73" ht="30" customHeight="1" x14ac:dyDescent="0.25">
      <c r="A313" s="65">
        <f t="shared" si="1"/>
        <v>299</v>
      </c>
      <c r="B313" s="639" t="s">
        <v>334</v>
      </c>
      <c r="C313" s="327"/>
      <c r="D313" s="640" t="s">
        <v>303</v>
      </c>
      <c r="E313" s="326"/>
      <c r="F313" s="326"/>
      <c r="G313" s="327"/>
      <c r="H313" s="641" t="s">
        <v>303</v>
      </c>
      <c r="I313" s="326"/>
      <c r="J313" s="326"/>
      <c r="K313" s="327"/>
      <c r="L313" s="438" t="s">
        <v>303</v>
      </c>
      <c r="M313" s="326"/>
      <c r="N313" s="327"/>
      <c r="O313" s="519" t="s">
        <v>303</v>
      </c>
      <c r="P313" s="326"/>
      <c r="Q313" s="327"/>
      <c r="R313" s="527"/>
      <c r="S313" s="326"/>
      <c r="T313" s="327"/>
      <c r="U313" s="497"/>
      <c r="V313" s="326"/>
      <c r="W313" s="327"/>
      <c r="X313" s="66"/>
      <c r="Y313" s="67"/>
      <c r="Z313" s="66"/>
      <c r="AA313" s="67"/>
      <c r="AB313" s="66"/>
      <c r="AC313" s="67"/>
      <c r="AD313" s="66"/>
      <c r="AE313" s="67"/>
      <c r="AF313" s="66"/>
      <c r="AG313" s="67"/>
      <c r="AH313" s="66"/>
      <c r="AI313" s="67"/>
      <c r="AJ313" s="50"/>
      <c r="AK313" s="69"/>
      <c r="AL313" s="50"/>
      <c r="AM313" s="69"/>
      <c r="AN313" s="50"/>
      <c r="AO313" s="69"/>
      <c r="AP313" s="50"/>
      <c r="AQ313" s="69"/>
      <c r="AR313" s="50"/>
      <c r="AS313" s="642" t="s">
        <v>303</v>
      </c>
      <c r="AT313" s="326"/>
      <c r="AU313" s="326"/>
      <c r="AV313" s="326"/>
      <c r="AW313" s="326"/>
      <c r="AX313" s="326"/>
      <c r="AY313" s="327"/>
      <c r="AZ313" s="70"/>
      <c r="BA313" s="70"/>
      <c r="BB313" s="643" t="s">
        <v>334</v>
      </c>
      <c r="BC313" s="327"/>
      <c r="BD313" s="645" t="s">
        <v>303</v>
      </c>
      <c r="BE313" s="326"/>
      <c r="BF313" s="327"/>
      <c r="BG313" s="646" t="s">
        <v>303</v>
      </c>
      <c r="BH313" s="326"/>
      <c r="BI313" s="326"/>
      <c r="BJ313" s="327"/>
      <c r="BK313" s="647"/>
      <c r="BL313" s="326"/>
      <c r="BM313" s="327"/>
      <c r="BN313" s="71"/>
      <c r="BO313" s="71"/>
      <c r="BP313" s="646"/>
      <c r="BQ313" s="326"/>
      <c r="BR313" s="327"/>
      <c r="BS313" s="645" t="s">
        <v>303</v>
      </c>
      <c r="BT313" s="326"/>
      <c r="BU313" s="327"/>
    </row>
    <row r="314" spans="1:73" ht="30" customHeight="1" x14ac:dyDescent="0.25">
      <c r="A314" s="65">
        <f t="shared" si="1"/>
        <v>300</v>
      </c>
      <c r="B314" s="639" t="s">
        <v>334</v>
      </c>
      <c r="C314" s="327"/>
      <c r="D314" s="640" t="s">
        <v>303</v>
      </c>
      <c r="E314" s="326"/>
      <c r="F314" s="326"/>
      <c r="G314" s="327"/>
      <c r="H314" s="641" t="s">
        <v>303</v>
      </c>
      <c r="I314" s="326"/>
      <c r="J314" s="326"/>
      <c r="K314" s="327"/>
      <c r="L314" s="438" t="s">
        <v>303</v>
      </c>
      <c r="M314" s="326"/>
      <c r="N314" s="327"/>
      <c r="O314" s="519" t="s">
        <v>303</v>
      </c>
      <c r="P314" s="326"/>
      <c r="Q314" s="327"/>
      <c r="R314" s="527"/>
      <c r="S314" s="326"/>
      <c r="T314" s="327"/>
      <c r="U314" s="497"/>
      <c r="V314" s="326"/>
      <c r="W314" s="327"/>
      <c r="X314" s="66"/>
      <c r="Y314" s="67"/>
      <c r="Z314" s="66"/>
      <c r="AA314" s="67"/>
      <c r="AB314" s="66"/>
      <c r="AC314" s="67"/>
      <c r="AD314" s="66"/>
      <c r="AE314" s="67"/>
      <c r="AF314" s="66"/>
      <c r="AG314" s="67"/>
      <c r="AH314" s="66"/>
      <c r="AI314" s="67"/>
      <c r="AJ314" s="50"/>
      <c r="AK314" s="69"/>
      <c r="AL314" s="50"/>
      <c r="AM314" s="69"/>
      <c r="AN314" s="50"/>
      <c r="AO314" s="69"/>
      <c r="AP314" s="50"/>
      <c r="AQ314" s="69"/>
      <c r="AR314" s="50"/>
      <c r="AS314" s="642" t="s">
        <v>303</v>
      </c>
      <c r="AT314" s="326"/>
      <c r="AU314" s="326"/>
      <c r="AV314" s="326"/>
      <c r="AW314" s="326"/>
      <c r="AX314" s="326"/>
      <c r="AY314" s="327"/>
      <c r="AZ314" s="70"/>
      <c r="BA314" s="70"/>
      <c r="BB314" s="643" t="s">
        <v>334</v>
      </c>
      <c r="BC314" s="327"/>
      <c r="BD314" s="645" t="s">
        <v>303</v>
      </c>
      <c r="BE314" s="326"/>
      <c r="BF314" s="327"/>
      <c r="BG314" s="646" t="s">
        <v>303</v>
      </c>
      <c r="BH314" s="326"/>
      <c r="BI314" s="326"/>
      <c r="BJ314" s="327"/>
      <c r="BK314" s="647"/>
      <c r="BL314" s="326"/>
      <c r="BM314" s="327"/>
      <c r="BN314" s="71"/>
      <c r="BO314" s="71"/>
      <c r="BP314" s="646"/>
      <c r="BQ314" s="326"/>
      <c r="BR314" s="327"/>
      <c r="BS314" s="645" t="s">
        <v>303</v>
      </c>
      <c r="BT314" s="326"/>
      <c r="BU314" s="327"/>
    </row>
    <row r="315" spans="1:73" ht="30" customHeight="1" x14ac:dyDescent="0.25">
      <c r="A315" s="65">
        <f t="shared" si="1"/>
        <v>301</v>
      </c>
      <c r="B315" s="639" t="s">
        <v>334</v>
      </c>
      <c r="C315" s="327"/>
      <c r="D315" s="640" t="s">
        <v>303</v>
      </c>
      <c r="E315" s="326"/>
      <c r="F315" s="326"/>
      <c r="G315" s="327"/>
      <c r="H315" s="641" t="s">
        <v>303</v>
      </c>
      <c r="I315" s="326"/>
      <c r="J315" s="326"/>
      <c r="K315" s="327"/>
      <c r="L315" s="438" t="s">
        <v>303</v>
      </c>
      <c r="M315" s="326"/>
      <c r="N315" s="327"/>
      <c r="O315" s="519" t="s">
        <v>303</v>
      </c>
      <c r="P315" s="326"/>
      <c r="Q315" s="327"/>
      <c r="R315" s="527"/>
      <c r="S315" s="326"/>
      <c r="T315" s="327"/>
      <c r="U315" s="497"/>
      <c r="V315" s="326"/>
      <c r="W315" s="327"/>
      <c r="X315" s="66"/>
      <c r="Y315" s="67"/>
      <c r="Z315" s="66"/>
      <c r="AA315" s="67"/>
      <c r="AB315" s="66"/>
      <c r="AC315" s="67"/>
      <c r="AD315" s="66"/>
      <c r="AE315" s="67"/>
      <c r="AF315" s="66"/>
      <c r="AG315" s="67"/>
      <c r="AH315" s="66"/>
      <c r="AI315" s="67"/>
      <c r="AJ315" s="50"/>
      <c r="AK315" s="69"/>
      <c r="AL315" s="50"/>
      <c r="AM315" s="69"/>
      <c r="AN315" s="50"/>
      <c r="AO315" s="69"/>
      <c r="AP315" s="50"/>
      <c r="AQ315" s="69"/>
      <c r="AR315" s="50"/>
      <c r="AS315" s="642" t="s">
        <v>303</v>
      </c>
      <c r="AT315" s="326"/>
      <c r="AU315" s="326"/>
      <c r="AV315" s="326"/>
      <c r="AW315" s="326"/>
      <c r="AX315" s="326"/>
      <c r="AY315" s="327"/>
      <c r="AZ315" s="70"/>
      <c r="BA315" s="70"/>
      <c r="BB315" s="643" t="s">
        <v>334</v>
      </c>
      <c r="BC315" s="327"/>
      <c r="BD315" s="645" t="s">
        <v>303</v>
      </c>
      <c r="BE315" s="326"/>
      <c r="BF315" s="327"/>
      <c r="BG315" s="646" t="s">
        <v>303</v>
      </c>
      <c r="BH315" s="326"/>
      <c r="BI315" s="326"/>
      <c r="BJ315" s="327"/>
      <c r="BK315" s="647"/>
      <c r="BL315" s="326"/>
      <c r="BM315" s="327"/>
      <c r="BN315" s="71"/>
      <c r="BO315" s="71"/>
      <c r="BP315" s="646"/>
      <c r="BQ315" s="326"/>
      <c r="BR315" s="327"/>
      <c r="BS315" s="645" t="s">
        <v>303</v>
      </c>
      <c r="BT315" s="326"/>
      <c r="BU315" s="327"/>
    </row>
    <row r="316" spans="1:73" ht="30" customHeight="1" x14ac:dyDescent="0.25">
      <c r="A316" s="65">
        <f t="shared" si="1"/>
        <v>302</v>
      </c>
      <c r="B316" s="639" t="s">
        <v>334</v>
      </c>
      <c r="C316" s="327"/>
      <c r="D316" s="640" t="s">
        <v>303</v>
      </c>
      <c r="E316" s="326"/>
      <c r="F316" s="326"/>
      <c r="G316" s="327"/>
      <c r="H316" s="641" t="s">
        <v>303</v>
      </c>
      <c r="I316" s="326"/>
      <c r="J316" s="326"/>
      <c r="K316" s="327"/>
      <c r="L316" s="438" t="s">
        <v>303</v>
      </c>
      <c r="M316" s="326"/>
      <c r="N316" s="327"/>
      <c r="O316" s="519" t="s">
        <v>303</v>
      </c>
      <c r="P316" s="326"/>
      <c r="Q316" s="327"/>
      <c r="R316" s="527"/>
      <c r="S316" s="326"/>
      <c r="T316" s="327"/>
      <c r="U316" s="497"/>
      <c r="V316" s="326"/>
      <c r="W316" s="327"/>
      <c r="X316" s="66"/>
      <c r="Y316" s="67"/>
      <c r="Z316" s="66"/>
      <c r="AA316" s="67"/>
      <c r="AB316" s="66"/>
      <c r="AC316" s="67"/>
      <c r="AD316" s="66"/>
      <c r="AE316" s="67"/>
      <c r="AF316" s="66"/>
      <c r="AG316" s="67"/>
      <c r="AH316" s="66"/>
      <c r="AI316" s="67"/>
      <c r="AJ316" s="50"/>
      <c r="AK316" s="69"/>
      <c r="AL316" s="50"/>
      <c r="AM316" s="69"/>
      <c r="AN316" s="50"/>
      <c r="AO316" s="69"/>
      <c r="AP316" s="50"/>
      <c r="AQ316" s="69"/>
      <c r="AR316" s="50"/>
      <c r="AS316" s="642" t="s">
        <v>303</v>
      </c>
      <c r="AT316" s="326"/>
      <c r="AU316" s="326"/>
      <c r="AV316" s="326"/>
      <c r="AW316" s="326"/>
      <c r="AX316" s="326"/>
      <c r="AY316" s="327"/>
      <c r="AZ316" s="70"/>
      <c r="BA316" s="70"/>
      <c r="BB316" s="644" t="s">
        <v>334</v>
      </c>
      <c r="BC316" s="327"/>
      <c r="BD316" s="645" t="s">
        <v>303</v>
      </c>
      <c r="BE316" s="326"/>
      <c r="BF316" s="327"/>
      <c r="BG316" s="646" t="s">
        <v>303</v>
      </c>
      <c r="BH316" s="326"/>
      <c r="BI316" s="326"/>
      <c r="BJ316" s="327"/>
      <c r="BK316" s="647"/>
      <c r="BL316" s="326"/>
      <c r="BM316" s="327"/>
      <c r="BN316" s="71"/>
      <c r="BO316" s="71"/>
      <c r="BP316" s="646"/>
      <c r="BQ316" s="326"/>
      <c r="BR316" s="327"/>
      <c r="BS316" s="645" t="s">
        <v>303</v>
      </c>
      <c r="BT316" s="326"/>
      <c r="BU316" s="327"/>
    </row>
    <row r="317" spans="1:73" ht="30" customHeight="1" x14ac:dyDescent="0.25">
      <c r="A317" s="65">
        <f t="shared" si="1"/>
        <v>303</v>
      </c>
      <c r="B317" s="639" t="s">
        <v>334</v>
      </c>
      <c r="C317" s="327"/>
      <c r="D317" s="640" t="s">
        <v>303</v>
      </c>
      <c r="E317" s="326"/>
      <c r="F317" s="326"/>
      <c r="G317" s="327"/>
      <c r="H317" s="641" t="s">
        <v>303</v>
      </c>
      <c r="I317" s="326"/>
      <c r="J317" s="326"/>
      <c r="K317" s="327"/>
      <c r="L317" s="438" t="s">
        <v>303</v>
      </c>
      <c r="M317" s="326"/>
      <c r="N317" s="327"/>
      <c r="O317" s="519" t="s">
        <v>303</v>
      </c>
      <c r="P317" s="326"/>
      <c r="Q317" s="327"/>
      <c r="R317" s="527"/>
      <c r="S317" s="326"/>
      <c r="T317" s="327"/>
      <c r="U317" s="497"/>
      <c r="V317" s="326"/>
      <c r="W317" s="327"/>
      <c r="X317" s="66"/>
      <c r="Y317" s="67"/>
      <c r="Z317" s="66"/>
      <c r="AA317" s="67"/>
      <c r="AB317" s="66"/>
      <c r="AC317" s="67"/>
      <c r="AD317" s="66"/>
      <c r="AE317" s="67"/>
      <c r="AF317" s="66"/>
      <c r="AG317" s="67"/>
      <c r="AH317" s="66"/>
      <c r="AI317" s="67"/>
      <c r="AJ317" s="50"/>
      <c r="AK317" s="69"/>
      <c r="AL317" s="50"/>
      <c r="AM317" s="69"/>
      <c r="AN317" s="50"/>
      <c r="AO317" s="69"/>
      <c r="AP317" s="50"/>
      <c r="AQ317" s="69"/>
      <c r="AR317" s="50"/>
      <c r="AS317" s="642" t="s">
        <v>303</v>
      </c>
      <c r="AT317" s="326"/>
      <c r="AU317" s="326"/>
      <c r="AV317" s="326"/>
      <c r="AW317" s="326"/>
      <c r="AX317" s="326"/>
      <c r="AY317" s="327"/>
      <c r="AZ317" s="70"/>
      <c r="BA317" s="70"/>
      <c r="BB317" s="643" t="s">
        <v>334</v>
      </c>
      <c r="BC317" s="327"/>
      <c r="BD317" s="645" t="s">
        <v>303</v>
      </c>
      <c r="BE317" s="326"/>
      <c r="BF317" s="327"/>
      <c r="BG317" s="646" t="s">
        <v>303</v>
      </c>
      <c r="BH317" s="326"/>
      <c r="BI317" s="326"/>
      <c r="BJ317" s="327"/>
      <c r="BK317" s="647"/>
      <c r="BL317" s="326"/>
      <c r="BM317" s="327"/>
      <c r="BN317" s="71"/>
      <c r="BO317" s="71"/>
      <c r="BP317" s="646"/>
      <c r="BQ317" s="326"/>
      <c r="BR317" s="327"/>
      <c r="BS317" s="645" t="s">
        <v>303</v>
      </c>
      <c r="BT317" s="326"/>
      <c r="BU317" s="327"/>
    </row>
    <row r="318" spans="1:73" ht="30" customHeight="1" x14ac:dyDescent="0.25">
      <c r="A318" s="65">
        <f t="shared" si="1"/>
        <v>304</v>
      </c>
      <c r="B318" s="639" t="s">
        <v>334</v>
      </c>
      <c r="C318" s="327"/>
      <c r="D318" s="640" t="s">
        <v>303</v>
      </c>
      <c r="E318" s="326"/>
      <c r="F318" s="326"/>
      <c r="G318" s="327"/>
      <c r="H318" s="641" t="s">
        <v>303</v>
      </c>
      <c r="I318" s="326"/>
      <c r="J318" s="326"/>
      <c r="K318" s="327"/>
      <c r="L318" s="438" t="s">
        <v>303</v>
      </c>
      <c r="M318" s="326"/>
      <c r="N318" s="327"/>
      <c r="O318" s="519" t="s">
        <v>303</v>
      </c>
      <c r="P318" s="326"/>
      <c r="Q318" s="327"/>
      <c r="R318" s="527"/>
      <c r="S318" s="326"/>
      <c r="T318" s="327"/>
      <c r="U318" s="497"/>
      <c r="V318" s="326"/>
      <c r="W318" s="327"/>
      <c r="X318" s="66"/>
      <c r="Y318" s="67"/>
      <c r="Z318" s="66"/>
      <c r="AA318" s="67"/>
      <c r="AB318" s="66"/>
      <c r="AC318" s="67"/>
      <c r="AD318" s="66"/>
      <c r="AE318" s="67"/>
      <c r="AF318" s="66"/>
      <c r="AG318" s="67"/>
      <c r="AH318" s="66"/>
      <c r="AI318" s="67"/>
      <c r="AJ318" s="50"/>
      <c r="AK318" s="69"/>
      <c r="AL318" s="50"/>
      <c r="AM318" s="69"/>
      <c r="AN318" s="50"/>
      <c r="AO318" s="69"/>
      <c r="AP318" s="50"/>
      <c r="AQ318" s="69"/>
      <c r="AR318" s="50"/>
      <c r="AS318" s="642" t="s">
        <v>303</v>
      </c>
      <c r="AT318" s="326"/>
      <c r="AU318" s="326"/>
      <c r="AV318" s="326"/>
      <c r="AW318" s="326"/>
      <c r="AX318" s="326"/>
      <c r="AY318" s="327"/>
      <c r="AZ318" s="70"/>
      <c r="BA318" s="70"/>
      <c r="BB318" s="643" t="s">
        <v>334</v>
      </c>
      <c r="BC318" s="327"/>
      <c r="BD318" s="645" t="s">
        <v>303</v>
      </c>
      <c r="BE318" s="326"/>
      <c r="BF318" s="327"/>
      <c r="BG318" s="646" t="s">
        <v>303</v>
      </c>
      <c r="BH318" s="326"/>
      <c r="BI318" s="326"/>
      <c r="BJ318" s="327"/>
      <c r="BK318" s="647"/>
      <c r="BL318" s="326"/>
      <c r="BM318" s="327"/>
      <c r="BN318" s="71"/>
      <c r="BO318" s="71"/>
      <c r="BP318" s="646"/>
      <c r="BQ318" s="326"/>
      <c r="BR318" s="327"/>
      <c r="BS318" s="645" t="s">
        <v>303</v>
      </c>
      <c r="BT318" s="326"/>
      <c r="BU318" s="327"/>
    </row>
    <row r="319" spans="1:73" ht="30" customHeight="1" x14ac:dyDescent="0.25">
      <c r="A319" s="65">
        <f t="shared" si="1"/>
        <v>305</v>
      </c>
      <c r="B319" s="639" t="s">
        <v>334</v>
      </c>
      <c r="C319" s="327"/>
      <c r="D319" s="640" t="s">
        <v>303</v>
      </c>
      <c r="E319" s="326"/>
      <c r="F319" s="326"/>
      <c r="G319" s="327"/>
      <c r="H319" s="641" t="s">
        <v>303</v>
      </c>
      <c r="I319" s="326"/>
      <c r="J319" s="326"/>
      <c r="K319" s="327"/>
      <c r="L319" s="438" t="s">
        <v>303</v>
      </c>
      <c r="M319" s="326"/>
      <c r="N319" s="327"/>
      <c r="O319" s="519" t="s">
        <v>303</v>
      </c>
      <c r="P319" s="326"/>
      <c r="Q319" s="327"/>
      <c r="R319" s="527"/>
      <c r="S319" s="326"/>
      <c r="T319" s="327"/>
      <c r="U319" s="497"/>
      <c r="V319" s="326"/>
      <c r="W319" s="327"/>
      <c r="X319" s="66"/>
      <c r="Y319" s="67"/>
      <c r="Z319" s="66"/>
      <c r="AA319" s="67"/>
      <c r="AB319" s="66"/>
      <c r="AC319" s="67"/>
      <c r="AD319" s="66"/>
      <c r="AE319" s="67"/>
      <c r="AF319" s="66"/>
      <c r="AG319" s="67"/>
      <c r="AH319" s="66"/>
      <c r="AI319" s="67"/>
      <c r="AJ319" s="50"/>
      <c r="AK319" s="69"/>
      <c r="AL319" s="50"/>
      <c r="AM319" s="69"/>
      <c r="AN319" s="50"/>
      <c r="AO319" s="69"/>
      <c r="AP319" s="50"/>
      <c r="AQ319" s="69"/>
      <c r="AR319" s="50"/>
      <c r="AS319" s="642" t="s">
        <v>303</v>
      </c>
      <c r="AT319" s="326"/>
      <c r="AU319" s="326"/>
      <c r="AV319" s="326"/>
      <c r="AW319" s="326"/>
      <c r="AX319" s="326"/>
      <c r="AY319" s="327"/>
      <c r="AZ319" s="70"/>
      <c r="BA319" s="70"/>
      <c r="BB319" s="643" t="s">
        <v>334</v>
      </c>
      <c r="BC319" s="327"/>
      <c r="BD319" s="645" t="s">
        <v>303</v>
      </c>
      <c r="BE319" s="326"/>
      <c r="BF319" s="327"/>
      <c r="BG319" s="646" t="s">
        <v>303</v>
      </c>
      <c r="BH319" s="326"/>
      <c r="BI319" s="326"/>
      <c r="BJ319" s="327"/>
      <c r="BK319" s="647"/>
      <c r="BL319" s="326"/>
      <c r="BM319" s="327"/>
      <c r="BN319" s="71"/>
      <c r="BO319" s="71"/>
      <c r="BP319" s="646"/>
      <c r="BQ319" s="326"/>
      <c r="BR319" s="327"/>
      <c r="BS319" s="645" t="s">
        <v>303</v>
      </c>
      <c r="BT319" s="326"/>
      <c r="BU319" s="327"/>
    </row>
    <row r="320" spans="1:73" ht="30" customHeight="1" x14ac:dyDescent="0.25">
      <c r="A320" s="65">
        <f t="shared" si="1"/>
        <v>306</v>
      </c>
      <c r="B320" s="639" t="s">
        <v>334</v>
      </c>
      <c r="C320" s="327"/>
      <c r="D320" s="640" t="s">
        <v>303</v>
      </c>
      <c r="E320" s="326"/>
      <c r="F320" s="326"/>
      <c r="G320" s="327"/>
      <c r="H320" s="641" t="s">
        <v>303</v>
      </c>
      <c r="I320" s="326"/>
      <c r="J320" s="326"/>
      <c r="K320" s="327"/>
      <c r="L320" s="438" t="s">
        <v>303</v>
      </c>
      <c r="M320" s="326"/>
      <c r="N320" s="327"/>
      <c r="O320" s="519" t="s">
        <v>303</v>
      </c>
      <c r="P320" s="326"/>
      <c r="Q320" s="327"/>
      <c r="R320" s="527"/>
      <c r="S320" s="326"/>
      <c r="T320" s="327"/>
      <c r="U320" s="497"/>
      <c r="V320" s="326"/>
      <c r="W320" s="327"/>
      <c r="X320" s="66"/>
      <c r="Y320" s="67"/>
      <c r="Z320" s="66"/>
      <c r="AA320" s="67"/>
      <c r="AB320" s="66"/>
      <c r="AC320" s="67"/>
      <c r="AD320" s="66"/>
      <c r="AE320" s="67"/>
      <c r="AF320" s="66"/>
      <c r="AG320" s="67"/>
      <c r="AH320" s="66"/>
      <c r="AI320" s="67"/>
      <c r="AJ320" s="50"/>
      <c r="AK320" s="69"/>
      <c r="AL320" s="50"/>
      <c r="AM320" s="69"/>
      <c r="AN320" s="50"/>
      <c r="AO320" s="69"/>
      <c r="AP320" s="50"/>
      <c r="AQ320" s="69"/>
      <c r="AR320" s="50"/>
      <c r="AS320" s="642" t="s">
        <v>303</v>
      </c>
      <c r="AT320" s="326"/>
      <c r="AU320" s="326"/>
      <c r="AV320" s="326"/>
      <c r="AW320" s="326"/>
      <c r="AX320" s="326"/>
      <c r="AY320" s="327"/>
      <c r="AZ320" s="70"/>
      <c r="BA320" s="70"/>
      <c r="BB320" s="643" t="s">
        <v>334</v>
      </c>
      <c r="BC320" s="327"/>
      <c r="BD320" s="645" t="s">
        <v>303</v>
      </c>
      <c r="BE320" s="326"/>
      <c r="BF320" s="327"/>
      <c r="BG320" s="646" t="s">
        <v>303</v>
      </c>
      <c r="BH320" s="326"/>
      <c r="BI320" s="326"/>
      <c r="BJ320" s="327"/>
      <c r="BK320" s="647"/>
      <c r="BL320" s="326"/>
      <c r="BM320" s="327"/>
      <c r="BN320" s="71"/>
      <c r="BO320" s="71"/>
      <c r="BP320" s="646"/>
      <c r="BQ320" s="326"/>
      <c r="BR320" s="327"/>
      <c r="BS320" s="645" t="s">
        <v>303</v>
      </c>
      <c r="BT320" s="326"/>
      <c r="BU320" s="327"/>
    </row>
    <row r="321" spans="1:73" ht="30" customHeight="1" x14ac:dyDescent="0.25">
      <c r="A321" s="65">
        <f t="shared" si="1"/>
        <v>307</v>
      </c>
      <c r="B321" s="639" t="s">
        <v>334</v>
      </c>
      <c r="C321" s="327"/>
      <c r="D321" s="640" t="s">
        <v>303</v>
      </c>
      <c r="E321" s="326"/>
      <c r="F321" s="326"/>
      <c r="G321" s="327"/>
      <c r="H321" s="641" t="s">
        <v>303</v>
      </c>
      <c r="I321" s="326"/>
      <c r="J321" s="326"/>
      <c r="K321" s="327"/>
      <c r="L321" s="438" t="s">
        <v>303</v>
      </c>
      <c r="M321" s="326"/>
      <c r="N321" s="327"/>
      <c r="O321" s="519" t="s">
        <v>303</v>
      </c>
      <c r="P321" s="326"/>
      <c r="Q321" s="327"/>
      <c r="R321" s="527"/>
      <c r="S321" s="326"/>
      <c r="T321" s="327"/>
      <c r="U321" s="497"/>
      <c r="V321" s="326"/>
      <c r="W321" s="327"/>
      <c r="X321" s="66"/>
      <c r="Y321" s="67"/>
      <c r="Z321" s="66"/>
      <c r="AA321" s="67"/>
      <c r="AB321" s="66"/>
      <c r="AC321" s="67"/>
      <c r="AD321" s="66"/>
      <c r="AE321" s="67"/>
      <c r="AF321" s="66"/>
      <c r="AG321" s="67"/>
      <c r="AH321" s="66"/>
      <c r="AI321" s="67"/>
      <c r="AJ321" s="50"/>
      <c r="AK321" s="69"/>
      <c r="AL321" s="50"/>
      <c r="AM321" s="69"/>
      <c r="AN321" s="50"/>
      <c r="AO321" s="69"/>
      <c r="AP321" s="50"/>
      <c r="AQ321" s="69"/>
      <c r="AR321" s="50"/>
      <c r="AS321" s="642" t="s">
        <v>303</v>
      </c>
      <c r="AT321" s="326"/>
      <c r="AU321" s="326"/>
      <c r="AV321" s="326"/>
      <c r="AW321" s="326"/>
      <c r="AX321" s="326"/>
      <c r="AY321" s="327"/>
      <c r="AZ321" s="70"/>
      <c r="BA321" s="70"/>
      <c r="BB321" s="643" t="s">
        <v>334</v>
      </c>
      <c r="BC321" s="327"/>
      <c r="BD321" s="645" t="s">
        <v>303</v>
      </c>
      <c r="BE321" s="326"/>
      <c r="BF321" s="327"/>
      <c r="BG321" s="646" t="s">
        <v>303</v>
      </c>
      <c r="BH321" s="326"/>
      <c r="BI321" s="326"/>
      <c r="BJ321" s="327"/>
      <c r="BK321" s="647"/>
      <c r="BL321" s="326"/>
      <c r="BM321" s="327"/>
      <c r="BN321" s="71"/>
      <c r="BO321" s="71"/>
      <c r="BP321" s="646"/>
      <c r="BQ321" s="326"/>
      <c r="BR321" s="327"/>
      <c r="BS321" s="645" t="s">
        <v>303</v>
      </c>
      <c r="BT321" s="326"/>
      <c r="BU321" s="327"/>
    </row>
    <row r="322" spans="1:73" ht="30" customHeight="1" x14ac:dyDescent="0.25">
      <c r="A322" s="65">
        <f t="shared" si="1"/>
        <v>308</v>
      </c>
      <c r="B322" s="639" t="s">
        <v>334</v>
      </c>
      <c r="C322" s="327"/>
      <c r="D322" s="640" t="s">
        <v>303</v>
      </c>
      <c r="E322" s="326"/>
      <c r="F322" s="326"/>
      <c r="G322" s="327"/>
      <c r="H322" s="641" t="s">
        <v>303</v>
      </c>
      <c r="I322" s="326"/>
      <c r="J322" s="326"/>
      <c r="K322" s="327"/>
      <c r="L322" s="438" t="s">
        <v>303</v>
      </c>
      <c r="M322" s="326"/>
      <c r="N322" s="327"/>
      <c r="O322" s="519" t="s">
        <v>303</v>
      </c>
      <c r="P322" s="326"/>
      <c r="Q322" s="327"/>
      <c r="R322" s="527"/>
      <c r="S322" s="326"/>
      <c r="T322" s="327"/>
      <c r="U322" s="497"/>
      <c r="V322" s="326"/>
      <c r="W322" s="327"/>
      <c r="X322" s="66"/>
      <c r="Y322" s="67"/>
      <c r="Z322" s="66"/>
      <c r="AA322" s="67"/>
      <c r="AB322" s="66"/>
      <c r="AC322" s="67"/>
      <c r="AD322" s="66"/>
      <c r="AE322" s="67"/>
      <c r="AF322" s="66"/>
      <c r="AG322" s="67"/>
      <c r="AH322" s="66"/>
      <c r="AI322" s="67"/>
      <c r="AJ322" s="50"/>
      <c r="AK322" s="69"/>
      <c r="AL322" s="50"/>
      <c r="AM322" s="69"/>
      <c r="AN322" s="50"/>
      <c r="AO322" s="69"/>
      <c r="AP322" s="50"/>
      <c r="AQ322" s="69"/>
      <c r="AR322" s="50"/>
      <c r="AS322" s="642" t="s">
        <v>303</v>
      </c>
      <c r="AT322" s="326"/>
      <c r="AU322" s="326"/>
      <c r="AV322" s="326"/>
      <c r="AW322" s="326"/>
      <c r="AX322" s="326"/>
      <c r="AY322" s="327"/>
      <c r="AZ322" s="70"/>
      <c r="BA322" s="70"/>
      <c r="BB322" s="643" t="s">
        <v>334</v>
      </c>
      <c r="BC322" s="327"/>
      <c r="BD322" s="645" t="s">
        <v>303</v>
      </c>
      <c r="BE322" s="326"/>
      <c r="BF322" s="327"/>
      <c r="BG322" s="646" t="s">
        <v>303</v>
      </c>
      <c r="BH322" s="326"/>
      <c r="BI322" s="326"/>
      <c r="BJ322" s="327"/>
      <c r="BK322" s="647"/>
      <c r="BL322" s="326"/>
      <c r="BM322" s="327"/>
      <c r="BN322" s="71"/>
      <c r="BO322" s="71"/>
      <c r="BP322" s="646"/>
      <c r="BQ322" s="326"/>
      <c r="BR322" s="327"/>
      <c r="BS322" s="645" t="s">
        <v>303</v>
      </c>
      <c r="BT322" s="326"/>
      <c r="BU322" s="327"/>
    </row>
    <row r="323" spans="1:73" ht="30" customHeight="1" x14ac:dyDescent="0.25">
      <c r="A323" s="65">
        <f t="shared" si="1"/>
        <v>309</v>
      </c>
      <c r="B323" s="639" t="s">
        <v>334</v>
      </c>
      <c r="C323" s="327"/>
      <c r="D323" s="640" t="s">
        <v>303</v>
      </c>
      <c r="E323" s="326"/>
      <c r="F323" s="326"/>
      <c r="G323" s="327"/>
      <c r="H323" s="641" t="s">
        <v>303</v>
      </c>
      <c r="I323" s="326"/>
      <c r="J323" s="326"/>
      <c r="K323" s="327"/>
      <c r="L323" s="438" t="s">
        <v>303</v>
      </c>
      <c r="M323" s="326"/>
      <c r="N323" s="327"/>
      <c r="O323" s="519" t="s">
        <v>303</v>
      </c>
      <c r="P323" s="326"/>
      <c r="Q323" s="327"/>
      <c r="R323" s="527"/>
      <c r="S323" s="326"/>
      <c r="T323" s="327"/>
      <c r="U323" s="497"/>
      <c r="V323" s="326"/>
      <c r="W323" s="327"/>
      <c r="X323" s="66"/>
      <c r="Y323" s="67"/>
      <c r="Z323" s="66"/>
      <c r="AA323" s="67"/>
      <c r="AB323" s="66"/>
      <c r="AC323" s="67"/>
      <c r="AD323" s="66"/>
      <c r="AE323" s="67"/>
      <c r="AF323" s="66"/>
      <c r="AG323" s="67"/>
      <c r="AH323" s="66"/>
      <c r="AI323" s="67"/>
      <c r="AJ323" s="50"/>
      <c r="AK323" s="69"/>
      <c r="AL323" s="50"/>
      <c r="AM323" s="69"/>
      <c r="AN323" s="50"/>
      <c r="AO323" s="69"/>
      <c r="AP323" s="50"/>
      <c r="AQ323" s="69"/>
      <c r="AR323" s="50"/>
      <c r="AS323" s="642" t="s">
        <v>303</v>
      </c>
      <c r="AT323" s="326"/>
      <c r="AU323" s="326"/>
      <c r="AV323" s="326"/>
      <c r="AW323" s="326"/>
      <c r="AX323" s="326"/>
      <c r="AY323" s="327"/>
      <c r="AZ323" s="70"/>
      <c r="BA323" s="70"/>
      <c r="BB323" s="644" t="s">
        <v>334</v>
      </c>
      <c r="BC323" s="327"/>
      <c r="BD323" s="645" t="s">
        <v>303</v>
      </c>
      <c r="BE323" s="326"/>
      <c r="BF323" s="327"/>
      <c r="BG323" s="646" t="s">
        <v>303</v>
      </c>
      <c r="BH323" s="326"/>
      <c r="BI323" s="326"/>
      <c r="BJ323" s="327"/>
      <c r="BK323" s="647"/>
      <c r="BL323" s="326"/>
      <c r="BM323" s="327"/>
      <c r="BN323" s="71"/>
      <c r="BO323" s="71"/>
      <c r="BP323" s="646"/>
      <c r="BQ323" s="326"/>
      <c r="BR323" s="327"/>
      <c r="BS323" s="645" t="s">
        <v>303</v>
      </c>
      <c r="BT323" s="326"/>
      <c r="BU323" s="327"/>
    </row>
    <row r="324" spans="1:73" ht="30" customHeight="1" x14ac:dyDescent="0.25">
      <c r="A324" s="65">
        <f t="shared" si="1"/>
        <v>310</v>
      </c>
      <c r="B324" s="639" t="s">
        <v>334</v>
      </c>
      <c r="C324" s="327"/>
      <c r="D324" s="640" t="s">
        <v>303</v>
      </c>
      <c r="E324" s="326"/>
      <c r="F324" s="326"/>
      <c r="G324" s="327"/>
      <c r="H324" s="641" t="s">
        <v>303</v>
      </c>
      <c r="I324" s="326"/>
      <c r="J324" s="326"/>
      <c r="K324" s="327"/>
      <c r="L324" s="438" t="s">
        <v>303</v>
      </c>
      <c r="M324" s="326"/>
      <c r="N324" s="327"/>
      <c r="O324" s="519" t="s">
        <v>303</v>
      </c>
      <c r="P324" s="326"/>
      <c r="Q324" s="327"/>
      <c r="R324" s="527"/>
      <c r="S324" s="326"/>
      <c r="T324" s="327"/>
      <c r="U324" s="497"/>
      <c r="V324" s="326"/>
      <c r="W324" s="327"/>
      <c r="X324" s="66"/>
      <c r="Y324" s="67"/>
      <c r="Z324" s="66"/>
      <c r="AA324" s="67"/>
      <c r="AB324" s="66"/>
      <c r="AC324" s="67"/>
      <c r="AD324" s="66"/>
      <c r="AE324" s="67"/>
      <c r="AF324" s="66"/>
      <c r="AG324" s="67"/>
      <c r="AH324" s="66"/>
      <c r="AI324" s="67"/>
      <c r="AJ324" s="50"/>
      <c r="AK324" s="69"/>
      <c r="AL324" s="50"/>
      <c r="AM324" s="69"/>
      <c r="AN324" s="50"/>
      <c r="AO324" s="69"/>
      <c r="AP324" s="50"/>
      <c r="AQ324" s="69"/>
      <c r="AR324" s="50"/>
      <c r="AS324" s="642" t="s">
        <v>303</v>
      </c>
      <c r="AT324" s="326"/>
      <c r="AU324" s="326"/>
      <c r="AV324" s="326"/>
      <c r="AW324" s="326"/>
      <c r="AX324" s="326"/>
      <c r="AY324" s="327"/>
      <c r="AZ324" s="70"/>
      <c r="BA324" s="70"/>
      <c r="BB324" s="643" t="s">
        <v>334</v>
      </c>
      <c r="BC324" s="327"/>
      <c r="BD324" s="645" t="s">
        <v>303</v>
      </c>
      <c r="BE324" s="326"/>
      <c r="BF324" s="327"/>
      <c r="BG324" s="646" t="s">
        <v>303</v>
      </c>
      <c r="BH324" s="326"/>
      <c r="BI324" s="326"/>
      <c r="BJ324" s="327"/>
      <c r="BK324" s="647"/>
      <c r="BL324" s="326"/>
      <c r="BM324" s="327"/>
      <c r="BN324" s="71"/>
      <c r="BO324" s="71"/>
      <c r="BP324" s="646"/>
      <c r="BQ324" s="326"/>
      <c r="BR324" s="327"/>
      <c r="BS324" s="645" t="s">
        <v>303</v>
      </c>
      <c r="BT324" s="326"/>
      <c r="BU324" s="327"/>
    </row>
    <row r="325" spans="1:73" ht="30" customHeight="1" x14ac:dyDescent="0.25">
      <c r="A325" s="65">
        <f t="shared" si="1"/>
        <v>311</v>
      </c>
      <c r="B325" s="639" t="s">
        <v>334</v>
      </c>
      <c r="C325" s="327"/>
      <c r="D325" s="640" t="s">
        <v>303</v>
      </c>
      <c r="E325" s="326"/>
      <c r="F325" s="326"/>
      <c r="G325" s="327"/>
      <c r="H325" s="641" t="s">
        <v>303</v>
      </c>
      <c r="I325" s="326"/>
      <c r="J325" s="326"/>
      <c r="K325" s="327"/>
      <c r="L325" s="438" t="s">
        <v>303</v>
      </c>
      <c r="M325" s="326"/>
      <c r="N325" s="327"/>
      <c r="O325" s="519" t="s">
        <v>303</v>
      </c>
      <c r="P325" s="326"/>
      <c r="Q325" s="327"/>
      <c r="R325" s="527"/>
      <c r="S325" s="326"/>
      <c r="T325" s="327"/>
      <c r="U325" s="497"/>
      <c r="V325" s="326"/>
      <c r="W325" s="327"/>
      <c r="X325" s="66"/>
      <c r="Y325" s="67"/>
      <c r="Z325" s="66"/>
      <c r="AA325" s="67"/>
      <c r="AB325" s="66"/>
      <c r="AC325" s="67"/>
      <c r="AD325" s="66"/>
      <c r="AE325" s="67"/>
      <c r="AF325" s="66"/>
      <c r="AG325" s="67"/>
      <c r="AH325" s="66"/>
      <c r="AI325" s="67"/>
      <c r="AJ325" s="50"/>
      <c r="AK325" s="69"/>
      <c r="AL325" s="50"/>
      <c r="AM325" s="69"/>
      <c r="AN325" s="50"/>
      <c r="AO325" s="69"/>
      <c r="AP325" s="50"/>
      <c r="AQ325" s="69"/>
      <c r="AR325" s="50"/>
      <c r="AS325" s="642" t="s">
        <v>303</v>
      </c>
      <c r="AT325" s="326"/>
      <c r="AU325" s="326"/>
      <c r="AV325" s="326"/>
      <c r="AW325" s="326"/>
      <c r="AX325" s="326"/>
      <c r="AY325" s="327"/>
      <c r="AZ325" s="70"/>
      <c r="BA325" s="70"/>
      <c r="BB325" s="643" t="s">
        <v>334</v>
      </c>
      <c r="BC325" s="327"/>
      <c r="BD325" s="645" t="s">
        <v>303</v>
      </c>
      <c r="BE325" s="326"/>
      <c r="BF325" s="327"/>
      <c r="BG325" s="646" t="s">
        <v>303</v>
      </c>
      <c r="BH325" s="326"/>
      <c r="BI325" s="326"/>
      <c r="BJ325" s="327"/>
      <c r="BK325" s="647"/>
      <c r="BL325" s="326"/>
      <c r="BM325" s="327"/>
      <c r="BN325" s="71"/>
      <c r="BO325" s="71"/>
      <c r="BP325" s="646"/>
      <c r="BQ325" s="326"/>
      <c r="BR325" s="327"/>
      <c r="BS325" s="645" t="s">
        <v>303</v>
      </c>
      <c r="BT325" s="326"/>
      <c r="BU325" s="327"/>
    </row>
    <row r="326" spans="1:73" ht="30" customHeight="1" x14ac:dyDescent="0.25">
      <c r="A326" s="65">
        <f t="shared" si="1"/>
        <v>312</v>
      </c>
      <c r="B326" s="639" t="s">
        <v>334</v>
      </c>
      <c r="C326" s="327"/>
      <c r="D326" s="640" t="s">
        <v>303</v>
      </c>
      <c r="E326" s="326"/>
      <c r="F326" s="326"/>
      <c r="G326" s="327"/>
      <c r="H326" s="641" t="s">
        <v>303</v>
      </c>
      <c r="I326" s="326"/>
      <c r="J326" s="326"/>
      <c r="K326" s="327"/>
      <c r="L326" s="438" t="s">
        <v>303</v>
      </c>
      <c r="M326" s="326"/>
      <c r="N326" s="327"/>
      <c r="O326" s="519" t="s">
        <v>303</v>
      </c>
      <c r="P326" s="326"/>
      <c r="Q326" s="327"/>
      <c r="R326" s="527"/>
      <c r="S326" s="326"/>
      <c r="T326" s="327"/>
      <c r="U326" s="497"/>
      <c r="V326" s="326"/>
      <c r="W326" s="327"/>
      <c r="X326" s="66"/>
      <c r="Y326" s="67"/>
      <c r="Z326" s="66"/>
      <c r="AA326" s="67"/>
      <c r="AB326" s="66"/>
      <c r="AC326" s="67"/>
      <c r="AD326" s="66"/>
      <c r="AE326" s="67"/>
      <c r="AF326" s="66"/>
      <c r="AG326" s="67"/>
      <c r="AH326" s="66"/>
      <c r="AI326" s="67"/>
      <c r="AJ326" s="50"/>
      <c r="AK326" s="69"/>
      <c r="AL326" s="50"/>
      <c r="AM326" s="69"/>
      <c r="AN326" s="50"/>
      <c r="AO326" s="69"/>
      <c r="AP326" s="50"/>
      <c r="AQ326" s="69"/>
      <c r="AR326" s="50"/>
      <c r="AS326" s="642" t="s">
        <v>303</v>
      </c>
      <c r="AT326" s="326"/>
      <c r="AU326" s="326"/>
      <c r="AV326" s="326"/>
      <c r="AW326" s="326"/>
      <c r="AX326" s="326"/>
      <c r="AY326" s="327"/>
      <c r="AZ326" s="70"/>
      <c r="BA326" s="70"/>
      <c r="BB326" s="643" t="s">
        <v>334</v>
      </c>
      <c r="BC326" s="327"/>
      <c r="BD326" s="645" t="s">
        <v>303</v>
      </c>
      <c r="BE326" s="326"/>
      <c r="BF326" s="327"/>
      <c r="BG326" s="646" t="s">
        <v>303</v>
      </c>
      <c r="BH326" s="326"/>
      <c r="BI326" s="326"/>
      <c r="BJ326" s="327"/>
      <c r="BK326" s="647"/>
      <c r="BL326" s="326"/>
      <c r="BM326" s="327"/>
      <c r="BN326" s="71"/>
      <c r="BO326" s="71"/>
      <c r="BP326" s="646"/>
      <c r="BQ326" s="326"/>
      <c r="BR326" s="327"/>
      <c r="BS326" s="645" t="s">
        <v>303</v>
      </c>
      <c r="BT326" s="326"/>
      <c r="BU326" s="327"/>
    </row>
    <row r="327" spans="1:73" ht="30" customHeight="1" x14ac:dyDescent="0.25">
      <c r="A327" s="65">
        <f t="shared" si="1"/>
        <v>313</v>
      </c>
      <c r="B327" s="639" t="s">
        <v>334</v>
      </c>
      <c r="C327" s="327"/>
      <c r="D327" s="640" t="s">
        <v>303</v>
      </c>
      <c r="E327" s="326"/>
      <c r="F327" s="326"/>
      <c r="G327" s="327"/>
      <c r="H327" s="641" t="s">
        <v>303</v>
      </c>
      <c r="I327" s="326"/>
      <c r="J327" s="326"/>
      <c r="K327" s="327"/>
      <c r="L327" s="438" t="s">
        <v>303</v>
      </c>
      <c r="M327" s="326"/>
      <c r="N327" s="327"/>
      <c r="O327" s="519" t="s">
        <v>303</v>
      </c>
      <c r="P327" s="326"/>
      <c r="Q327" s="327"/>
      <c r="R327" s="527"/>
      <c r="S327" s="326"/>
      <c r="T327" s="327"/>
      <c r="U327" s="497"/>
      <c r="V327" s="326"/>
      <c r="W327" s="327"/>
      <c r="X327" s="66"/>
      <c r="Y327" s="67"/>
      <c r="Z327" s="66"/>
      <c r="AA327" s="67"/>
      <c r="AB327" s="66"/>
      <c r="AC327" s="67"/>
      <c r="AD327" s="66"/>
      <c r="AE327" s="67"/>
      <c r="AF327" s="66"/>
      <c r="AG327" s="67"/>
      <c r="AH327" s="66"/>
      <c r="AI327" s="67"/>
      <c r="AJ327" s="50"/>
      <c r="AK327" s="69"/>
      <c r="AL327" s="50"/>
      <c r="AM327" s="69"/>
      <c r="AN327" s="50"/>
      <c r="AO327" s="69"/>
      <c r="AP327" s="50"/>
      <c r="AQ327" s="69"/>
      <c r="AR327" s="50"/>
      <c r="AS327" s="642" t="s">
        <v>303</v>
      </c>
      <c r="AT327" s="326"/>
      <c r="AU327" s="326"/>
      <c r="AV327" s="326"/>
      <c r="AW327" s="326"/>
      <c r="AX327" s="326"/>
      <c r="AY327" s="327"/>
      <c r="AZ327" s="70"/>
      <c r="BA327" s="70"/>
      <c r="BB327" s="643" t="s">
        <v>334</v>
      </c>
      <c r="BC327" s="327"/>
      <c r="BD327" s="645" t="s">
        <v>303</v>
      </c>
      <c r="BE327" s="326"/>
      <c r="BF327" s="327"/>
      <c r="BG327" s="646" t="s">
        <v>303</v>
      </c>
      <c r="BH327" s="326"/>
      <c r="BI327" s="326"/>
      <c r="BJ327" s="327"/>
      <c r="BK327" s="647"/>
      <c r="BL327" s="326"/>
      <c r="BM327" s="327"/>
      <c r="BN327" s="71"/>
      <c r="BO327" s="71"/>
      <c r="BP327" s="646"/>
      <c r="BQ327" s="326"/>
      <c r="BR327" s="327"/>
      <c r="BS327" s="645" t="s">
        <v>303</v>
      </c>
      <c r="BT327" s="326"/>
      <c r="BU327" s="327"/>
    </row>
    <row r="328" spans="1:73" ht="30" customHeight="1" x14ac:dyDescent="0.25">
      <c r="A328" s="65">
        <f t="shared" si="1"/>
        <v>314</v>
      </c>
      <c r="B328" s="639" t="s">
        <v>334</v>
      </c>
      <c r="C328" s="327"/>
      <c r="D328" s="640" t="s">
        <v>303</v>
      </c>
      <c r="E328" s="326"/>
      <c r="F328" s="326"/>
      <c r="G328" s="327"/>
      <c r="H328" s="641" t="s">
        <v>303</v>
      </c>
      <c r="I328" s="326"/>
      <c r="J328" s="326"/>
      <c r="K328" s="327"/>
      <c r="L328" s="438" t="s">
        <v>303</v>
      </c>
      <c r="M328" s="326"/>
      <c r="N328" s="327"/>
      <c r="O328" s="519" t="s">
        <v>303</v>
      </c>
      <c r="P328" s="326"/>
      <c r="Q328" s="327"/>
      <c r="R328" s="527"/>
      <c r="S328" s="326"/>
      <c r="T328" s="327"/>
      <c r="U328" s="497"/>
      <c r="V328" s="326"/>
      <c r="W328" s="327"/>
      <c r="X328" s="66"/>
      <c r="Y328" s="67"/>
      <c r="Z328" s="66"/>
      <c r="AA328" s="67"/>
      <c r="AB328" s="66"/>
      <c r="AC328" s="67"/>
      <c r="AD328" s="66"/>
      <c r="AE328" s="67"/>
      <c r="AF328" s="66"/>
      <c r="AG328" s="67"/>
      <c r="AH328" s="66"/>
      <c r="AI328" s="67"/>
      <c r="AJ328" s="50"/>
      <c r="AK328" s="69"/>
      <c r="AL328" s="50"/>
      <c r="AM328" s="69"/>
      <c r="AN328" s="50"/>
      <c r="AO328" s="69"/>
      <c r="AP328" s="50"/>
      <c r="AQ328" s="69"/>
      <c r="AR328" s="50"/>
      <c r="AS328" s="642" t="s">
        <v>303</v>
      </c>
      <c r="AT328" s="326"/>
      <c r="AU328" s="326"/>
      <c r="AV328" s="326"/>
      <c r="AW328" s="326"/>
      <c r="AX328" s="326"/>
      <c r="AY328" s="327"/>
      <c r="AZ328" s="70"/>
      <c r="BA328" s="70"/>
      <c r="BB328" s="643" t="s">
        <v>334</v>
      </c>
      <c r="BC328" s="327"/>
      <c r="BD328" s="645" t="s">
        <v>303</v>
      </c>
      <c r="BE328" s="326"/>
      <c r="BF328" s="327"/>
      <c r="BG328" s="646" t="s">
        <v>303</v>
      </c>
      <c r="BH328" s="326"/>
      <c r="BI328" s="326"/>
      <c r="BJ328" s="327"/>
      <c r="BK328" s="647"/>
      <c r="BL328" s="326"/>
      <c r="BM328" s="327"/>
      <c r="BN328" s="71"/>
      <c r="BO328" s="71"/>
      <c r="BP328" s="646"/>
      <c r="BQ328" s="326"/>
      <c r="BR328" s="327"/>
      <c r="BS328" s="645" t="s">
        <v>303</v>
      </c>
      <c r="BT328" s="326"/>
      <c r="BU328" s="327"/>
    </row>
    <row r="329" spans="1:73" ht="30" customHeight="1" x14ac:dyDescent="0.25">
      <c r="A329" s="65">
        <f t="shared" si="1"/>
        <v>315</v>
      </c>
      <c r="B329" s="639" t="s">
        <v>334</v>
      </c>
      <c r="C329" s="327"/>
      <c r="D329" s="640" t="s">
        <v>303</v>
      </c>
      <c r="E329" s="326"/>
      <c r="F329" s="326"/>
      <c r="G329" s="327"/>
      <c r="H329" s="641" t="s">
        <v>303</v>
      </c>
      <c r="I329" s="326"/>
      <c r="J329" s="326"/>
      <c r="K329" s="327"/>
      <c r="L329" s="438" t="s">
        <v>303</v>
      </c>
      <c r="M329" s="326"/>
      <c r="N329" s="327"/>
      <c r="O329" s="519" t="s">
        <v>303</v>
      </c>
      <c r="P329" s="326"/>
      <c r="Q329" s="327"/>
      <c r="R329" s="527"/>
      <c r="S329" s="326"/>
      <c r="T329" s="327"/>
      <c r="U329" s="497"/>
      <c r="V329" s="326"/>
      <c r="W329" s="327"/>
      <c r="X329" s="66"/>
      <c r="Y329" s="67"/>
      <c r="Z329" s="66"/>
      <c r="AA329" s="67"/>
      <c r="AB329" s="66"/>
      <c r="AC329" s="67"/>
      <c r="AD329" s="66"/>
      <c r="AE329" s="67"/>
      <c r="AF329" s="66"/>
      <c r="AG329" s="67"/>
      <c r="AH329" s="66"/>
      <c r="AI329" s="67"/>
      <c r="AJ329" s="50"/>
      <c r="AK329" s="69"/>
      <c r="AL329" s="50"/>
      <c r="AM329" s="69"/>
      <c r="AN329" s="50"/>
      <c r="AO329" s="69"/>
      <c r="AP329" s="50"/>
      <c r="AQ329" s="69"/>
      <c r="AR329" s="50"/>
      <c r="AS329" s="642" t="s">
        <v>303</v>
      </c>
      <c r="AT329" s="326"/>
      <c r="AU329" s="326"/>
      <c r="AV329" s="326"/>
      <c r="AW329" s="326"/>
      <c r="AX329" s="326"/>
      <c r="AY329" s="327"/>
      <c r="AZ329" s="70"/>
      <c r="BA329" s="70"/>
      <c r="BB329" s="643" t="s">
        <v>334</v>
      </c>
      <c r="BC329" s="327"/>
      <c r="BD329" s="645" t="s">
        <v>303</v>
      </c>
      <c r="BE329" s="326"/>
      <c r="BF329" s="327"/>
      <c r="BG329" s="646" t="s">
        <v>303</v>
      </c>
      <c r="BH329" s="326"/>
      <c r="BI329" s="326"/>
      <c r="BJ329" s="327"/>
      <c r="BK329" s="647"/>
      <c r="BL329" s="326"/>
      <c r="BM329" s="327"/>
      <c r="BN329" s="71"/>
      <c r="BO329" s="71"/>
      <c r="BP329" s="646"/>
      <c r="BQ329" s="326"/>
      <c r="BR329" s="327"/>
      <c r="BS329" s="645" t="s">
        <v>303</v>
      </c>
      <c r="BT329" s="326"/>
      <c r="BU329" s="327"/>
    </row>
    <row r="330" spans="1:73" ht="30" customHeight="1" x14ac:dyDescent="0.25">
      <c r="A330" s="65">
        <f t="shared" si="1"/>
        <v>316</v>
      </c>
      <c r="B330" s="639" t="s">
        <v>334</v>
      </c>
      <c r="C330" s="327"/>
      <c r="D330" s="640" t="s">
        <v>303</v>
      </c>
      <c r="E330" s="326"/>
      <c r="F330" s="326"/>
      <c r="G330" s="327"/>
      <c r="H330" s="641" t="s">
        <v>303</v>
      </c>
      <c r="I330" s="326"/>
      <c r="J330" s="326"/>
      <c r="K330" s="327"/>
      <c r="L330" s="438" t="s">
        <v>303</v>
      </c>
      <c r="M330" s="326"/>
      <c r="N330" s="327"/>
      <c r="O330" s="519" t="s">
        <v>303</v>
      </c>
      <c r="P330" s="326"/>
      <c r="Q330" s="327"/>
      <c r="R330" s="527"/>
      <c r="S330" s="326"/>
      <c r="T330" s="327"/>
      <c r="U330" s="497"/>
      <c r="V330" s="326"/>
      <c r="W330" s="327"/>
      <c r="X330" s="66"/>
      <c r="Y330" s="67"/>
      <c r="Z330" s="66"/>
      <c r="AA330" s="67"/>
      <c r="AB330" s="66"/>
      <c r="AC330" s="67"/>
      <c r="AD330" s="66"/>
      <c r="AE330" s="67"/>
      <c r="AF330" s="66"/>
      <c r="AG330" s="67"/>
      <c r="AH330" s="66"/>
      <c r="AI330" s="67"/>
      <c r="AJ330" s="50"/>
      <c r="AK330" s="69"/>
      <c r="AL330" s="50"/>
      <c r="AM330" s="69"/>
      <c r="AN330" s="50"/>
      <c r="AO330" s="69"/>
      <c r="AP330" s="50"/>
      <c r="AQ330" s="69"/>
      <c r="AR330" s="50"/>
      <c r="AS330" s="642" t="s">
        <v>303</v>
      </c>
      <c r="AT330" s="326"/>
      <c r="AU330" s="326"/>
      <c r="AV330" s="326"/>
      <c r="AW330" s="326"/>
      <c r="AX330" s="326"/>
      <c r="AY330" s="327"/>
      <c r="AZ330" s="70"/>
      <c r="BA330" s="70"/>
      <c r="BB330" s="644" t="s">
        <v>334</v>
      </c>
      <c r="BC330" s="327"/>
      <c r="BD330" s="645" t="s">
        <v>303</v>
      </c>
      <c r="BE330" s="326"/>
      <c r="BF330" s="327"/>
      <c r="BG330" s="646" t="s">
        <v>303</v>
      </c>
      <c r="BH330" s="326"/>
      <c r="BI330" s="326"/>
      <c r="BJ330" s="327"/>
      <c r="BK330" s="647"/>
      <c r="BL330" s="326"/>
      <c r="BM330" s="327"/>
      <c r="BN330" s="71"/>
      <c r="BO330" s="71"/>
      <c r="BP330" s="646"/>
      <c r="BQ330" s="326"/>
      <c r="BR330" s="327"/>
      <c r="BS330" s="645" t="s">
        <v>303</v>
      </c>
      <c r="BT330" s="326"/>
      <c r="BU330" s="327"/>
    </row>
    <row r="331" spans="1:73" ht="30" customHeight="1" x14ac:dyDescent="0.25">
      <c r="A331" s="65">
        <f t="shared" si="1"/>
        <v>317</v>
      </c>
      <c r="B331" s="639" t="s">
        <v>334</v>
      </c>
      <c r="C331" s="327"/>
      <c r="D331" s="640" t="s">
        <v>303</v>
      </c>
      <c r="E331" s="326"/>
      <c r="F331" s="326"/>
      <c r="G331" s="327"/>
      <c r="H331" s="641" t="s">
        <v>303</v>
      </c>
      <c r="I331" s="326"/>
      <c r="J331" s="326"/>
      <c r="K331" s="327"/>
      <c r="L331" s="438" t="s">
        <v>303</v>
      </c>
      <c r="M331" s="326"/>
      <c r="N331" s="327"/>
      <c r="O331" s="519" t="s">
        <v>303</v>
      </c>
      <c r="P331" s="326"/>
      <c r="Q331" s="327"/>
      <c r="R331" s="527"/>
      <c r="S331" s="326"/>
      <c r="T331" s="327"/>
      <c r="U331" s="497"/>
      <c r="V331" s="326"/>
      <c r="W331" s="327"/>
      <c r="X331" s="66"/>
      <c r="Y331" s="67"/>
      <c r="Z331" s="66"/>
      <c r="AA331" s="67"/>
      <c r="AB331" s="66"/>
      <c r="AC331" s="67"/>
      <c r="AD331" s="66"/>
      <c r="AE331" s="67"/>
      <c r="AF331" s="66"/>
      <c r="AG331" s="67"/>
      <c r="AH331" s="66"/>
      <c r="AI331" s="67"/>
      <c r="AJ331" s="50"/>
      <c r="AK331" s="69"/>
      <c r="AL331" s="50"/>
      <c r="AM331" s="69"/>
      <c r="AN331" s="50"/>
      <c r="AO331" s="69"/>
      <c r="AP331" s="50"/>
      <c r="AQ331" s="69"/>
      <c r="AR331" s="50"/>
      <c r="AS331" s="642" t="s">
        <v>303</v>
      </c>
      <c r="AT331" s="326"/>
      <c r="AU331" s="326"/>
      <c r="AV331" s="326"/>
      <c r="AW331" s="326"/>
      <c r="AX331" s="326"/>
      <c r="AY331" s="327"/>
      <c r="AZ331" s="70"/>
      <c r="BA331" s="70"/>
      <c r="BB331" s="643" t="s">
        <v>334</v>
      </c>
      <c r="BC331" s="327"/>
      <c r="BD331" s="645" t="s">
        <v>303</v>
      </c>
      <c r="BE331" s="326"/>
      <c r="BF331" s="327"/>
      <c r="BG331" s="646" t="s">
        <v>303</v>
      </c>
      <c r="BH331" s="326"/>
      <c r="BI331" s="326"/>
      <c r="BJ331" s="327"/>
      <c r="BK331" s="647"/>
      <c r="BL331" s="326"/>
      <c r="BM331" s="327"/>
      <c r="BN331" s="71"/>
      <c r="BO331" s="71"/>
      <c r="BP331" s="646"/>
      <c r="BQ331" s="326"/>
      <c r="BR331" s="327"/>
      <c r="BS331" s="645" t="s">
        <v>303</v>
      </c>
      <c r="BT331" s="326"/>
      <c r="BU331" s="327"/>
    </row>
    <row r="332" spans="1:73" ht="30" customHeight="1" x14ac:dyDescent="0.25">
      <c r="A332" s="65">
        <f t="shared" si="1"/>
        <v>318</v>
      </c>
      <c r="B332" s="639" t="s">
        <v>334</v>
      </c>
      <c r="C332" s="327"/>
      <c r="D332" s="640" t="s">
        <v>303</v>
      </c>
      <c r="E332" s="326"/>
      <c r="F332" s="326"/>
      <c r="G332" s="327"/>
      <c r="H332" s="641" t="s">
        <v>303</v>
      </c>
      <c r="I332" s="326"/>
      <c r="J332" s="326"/>
      <c r="K332" s="327"/>
      <c r="L332" s="438" t="s">
        <v>303</v>
      </c>
      <c r="M332" s="326"/>
      <c r="N332" s="327"/>
      <c r="O332" s="519" t="s">
        <v>303</v>
      </c>
      <c r="P332" s="326"/>
      <c r="Q332" s="327"/>
      <c r="R332" s="527"/>
      <c r="S332" s="326"/>
      <c r="T332" s="327"/>
      <c r="U332" s="497"/>
      <c r="V332" s="326"/>
      <c r="W332" s="327"/>
      <c r="X332" s="66"/>
      <c r="Y332" s="67"/>
      <c r="Z332" s="66"/>
      <c r="AA332" s="67"/>
      <c r="AB332" s="66"/>
      <c r="AC332" s="67"/>
      <c r="AD332" s="66"/>
      <c r="AE332" s="67"/>
      <c r="AF332" s="66"/>
      <c r="AG332" s="67"/>
      <c r="AH332" s="66"/>
      <c r="AI332" s="67"/>
      <c r="AJ332" s="50"/>
      <c r="AK332" s="69"/>
      <c r="AL332" s="50"/>
      <c r="AM332" s="69"/>
      <c r="AN332" s="50"/>
      <c r="AO332" s="69"/>
      <c r="AP332" s="50"/>
      <c r="AQ332" s="69"/>
      <c r="AR332" s="50"/>
      <c r="AS332" s="642" t="s">
        <v>303</v>
      </c>
      <c r="AT332" s="326"/>
      <c r="AU332" s="326"/>
      <c r="AV332" s="326"/>
      <c r="AW332" s="326"/>
      <c r="AX332" s="326"/>
      <c r="AY332" s="327"/>
      <c r="AZ332" s="70"/>
      <c r="BA332" s="70"/>
      <c r="BB332" s="643" t="s">
        <v>334</v>
      </c>
      <c r="BC332" s="327"/>
      <c r="BD332" s="645" t="s">
        <v>303</v>
      </c>
      <c r="BE332" s="326"/>
      <c r="BF332" s="327"/>
      <c r="BG332" s="646" t="s">
        <v>303</v>
      </c>
      <c r="BH332" s="326"/>
      <c r="BI332" s="326"/>
      <c r="BJ332" s="327"/>
      <c r="BK332" s="647"/>
      <c r="BL332" s="326"/>
      <c r="BM332" s="327"/>
      <c r="BN332" s="71"/>
      <c r="BO332" s="71"/>
      <c r="BP332" s="646"/>
      <c r="BQ332" s="326"/>
      <c r="BR332" s="327"/>
      <c r="BS332" s="645" t="s">
        <v>303</v>
      </c>
      <c r="BT332" s="326"/>
      <c r="BU332" s="327"/>
    </row>
    <row r="333" spans="1:73" ht="30" customHeight="1" x14ac:dyDescent="0.25">
      <c r="A333" s="65">
        <f t="shared" si="1"/>
        <v>319</v>
      </c>
      <c r="B333" s="639" t="s">
        <v>334</v>
      </c>
      <c r="C333" s="327"/>
      <c r="D333" s="640" t="s">
        <v>303</v>
      </c>
      <c r="E333" s="326"/>
      <c r="F333" s="326"/>
      <c r="G333" s="327"/>
      <c r="H333" s="641" t="s">
        <v>303</v>
      </c>
      <c r="I333" s="326"/>
      <c r="J333" s="326"/>
      <c r="K333" s="327"/>
      <c r="L333" s="438" t="s">
        <v>303</v>
      </c>
      <c r="M333" s="326"/>
      <c r="N333" s="327"/>
      <c r="O333" s="519" t="s">
        <v>303</v>
      </c>
      <c r="P333" s="326"/>
      <c r="Q333" s="327"/>
      <c r="R333" s="527"/>
      <c r="S333" s="326"/>
      <c r="T333" s="327"/>
      <c r="U333" s="497"/>
      <c r="V333" s="326"/>
      <c r="W333" s="327"/>
      <c r="X333" s="66"/>
      <c r="Y333" s="67"/>
      <c r="Z333" s="66"/>
      <c r="AA333" s="67"/>
      <c r="AB333" s="66"/>
      <c r="AC333" s="67"/>
      <c r="AD333" s="66"/>
      <c r="AE333" s="67"/>
      <c r="AF333" s="66"/>
      <c r="AG333" s="67"/>
      <c r="AH333" s="66"/>
      <c r="AI333" s="67"/>
      <c r="AJ333" s="50"/>
      <c r="AK333" s="69"/>
      <c r="AL333" s="50"/>
      <c r="AM333" s="69"/>
      <c r="AN333" s="50"/>
      <c r="AO333" s="69"/>
      <c r="AP333" s="50"/>
      <c r="AQ333" s="69"/>
      <c r="AR333" s="50"/>
      <c r="AS333" s="642" t="s">
        <v>303</v>
      </c>
      <c r="AT333" s="326"/>
      <c r="AU333" s="326"/>
      <c r="AV333" s="326"/>
      <c r="AW333" s="326"/>
      <c r="AX333" s="326"/>
      <c r="AY333" s="327"/>
      <c r="AZ333" s="70"/>
      <c r="BA333" s="70"/>
      <c r="BB333" s="643" t="s">
        <v>334</v>
      </c>
      <c r="BC333" s="327"/>
      <c r="BD333" s="645" t="s">
        <v>303</v>
      </c>
      <c r="BE333" s="326"/>
      <c r="BF333" s="327"/>
      <c r="BG333" s="646" t="s">
        <v>303</v>
      </c>
      <c r="BH333" s="326"/>
      <c r="BI333" s="326"/>
      <c r="BJ333" s="327"/>
      <c r="BK333" s="647"/>
      <c r="BL333" s="326"/>
      <c r="BM333" s="327"/>
      <c r="BN333" s="71"/>
      <c r="BO333" s="71"/>
      <c r="BP333" s="646"/>
      <c r="BQ333" s="326"/>
      <c r="BR333" s="327"/>
      <c r="BS333" s="645" t="s">
        <v>303</v>
      </c>
      <c r="BT333" s="326"/>
      <c r="BU333" s="327"/>
    </row>
    <row r="334" spans="1:73" ht="30" customHeight="1" x14ac:dyDescent="0.25">
      <c r="A334" s="65">
        <f t="shared" si="1"/>
        <v>320</v>
      </c>
      <c r="B334" s="639" t="s">
        <v>334</v>
      </c>
      <c r="C334" s="327"/>
      <c r="D334" s="640" t="s">
        <v>303</v>
      </c>
      <c r="E334" s="326"/>
      <c r="F334" s="326"/>
      <c r="G334" s="327"/>
      <c r="H334" s="641" t="s">
        <v>303</v>
      </c>
      <c r="I334" s="326"/>
      <c r="J334" s="326"/>
      <c r="K334" s="327"/>
      <c r="L334" s="438" t="s">
        <v>303</v>
      </c>
      <c r="M334" s="326"/>
      <c r="N334" s="327"/>
      <c r="O334" s="519" t="s">
        <v>303</v>
      </c>
      <c r="P334" s="326"/>
      <c r="Q334" s="327"/>
      <c r="R334" s="527"/>
      <c r="S334" s="326"/>
      <c r="T334" s="327"/>
      <c r="U334" s="497"/>
      <c r="V334" s="326"/>
      <c r="W334" s="327"/>
      <c r="X334" s="66"/>
      <c r="Y334" s="67"/>
      <c r="Z334" s="66"/>
      <c r="AA334" s="67"/>
      <c r="AB334" s="66"/>
      <c r="AC334" s="67"/>
      <c r="AD334" s="66"/>
      <c r="AE334" s="67"/>
      <c r="AF334" s="66"/>
      <c r="AG334" s="67"/>
      <c r="AH334" s="66"/>
      <c r="AI334" s="67"/>
      <c r="AJ334" s="50"/>
      <c r="AK334" s="69"/>
      <c r="AL334" s="50"/>
      <c r="AM334" s="69"/>
      <c r="AN334" s="50"/>
      <c r="AO334" s="69"/>
      <c r="AP334" s="50"/>
      <c r="AQ334" s="69"/>
      <c r="AR334" s="50"/>
      <c r="AS334" s="642" t="s">
        <v>303</v>
      </c>
      <c r="AT334" s="326"/>
      <c r="AU334" s="326"/>
      <c r="AV334" s="326"/>
      <c r="AW334" s="326"/>
      <c r="AX334" s="326"/>
      <c r="AY334" s="327"/>
      <c r="AZ334" s="70"/>
      <c r="BA334" s="70"/>
      <c r="BB334" s="643" t="s">
        <v>334</v>
      </c>
      <c r="BC334" s="327"/>
      <c r="BD334" s="645" t="s">
        <v>303</v>
      </c>
      <c r="BE334" s="326"/>
      <c r="BF334" s="327"/>
      <c r="BG334" s="646" t="s">
        <v>303</v>
      </c>
      <c r="BH334" s="326"/>
      <c r="BI334" s="326"/>
      <c r="BJ334" s="327"/>
      <c r="BK334" s="647"/>
      <c r="BL334" s="326"/>
      <c r="BM334" s="327"/>
      <c r="BN334" s="71"/>
      <c r="BO334" s="71"/>
      <c r="BP334" s="646"/>
      <c r="BQ334" s="326"/>
      <c r="BR334" s="327"/>
      <c r="BS334" s="645" t="s">
        <v>303</v>
      </c>
      <c r="BT334" s="326"/>
      <c r="BU334" s="327"/>
    </row>
    <row r="335" spans="1:73" ht="30" customHeight="1" x14ac:dyDescent="0.25">
      <c r="A335" s="65">
        <f t="shared" si="1"/>
        <v>321</v>
      </c>
      <c r="B335" s="639" t="s">
        <v>334</v>
      </c>
      <c r="C335" s="327"/>
      <c r="D335" s="640" t="s">
        <v>303</v>
      </c>
      <c r="E335" s="326"/>
      <c r="F335" s="326"/>
      <c r="G335" s="327"/>
      <c r="H335" s="641" t="s">
        <v>303</v>
      </c>
      <c r="I335" s="326"/>
      <c r="J335" s="326"/>
      <c r="K335" s="327"/>
      <c r="L335" s="438" t="s">
        <v>303</v>
      </c>
      <c r="M335" s="326"/>
      <c r="N335" s="327"/>
      <c r="O335" s="519" t="s">
        <v>303</v>
      </c>
      <c r="P335" s="326"/>
      <c r="Q335" s="327"/>
      <c r="R335" s="527"/>
      <c r="S335" s="326"/>
      <c r="T335" s="327"/>
      <c r="U335" s="497"/>
      <c r="V335" s="326"/>
      <c r="W335" s="327"/>
      <c r="X335" s="66"/>
      <c r="Y335" s="67"/>
      <c r="Z335" s="66"/>
      <c r="AA335" s="67"/>
      <c r="AB335" s="66"/>
      <c r="AC335" s="67"/>
      <c r="AD335" s="66"/>
      <c r="AE335" s="67"/>
      <c r="AF335" s="66"/>
      <c r="AG335" s="67"/>
      <c r="AH335" s="66"/>
      <c r="AI335" s="67"/>
      <c r="AJ335" s="50"/>
      <c r="AK335" s="69"/>
      <c r="AL335" s="50"/>
      <c r="AM335" s="69"/>
      <c r="AN335" s="50"/>
      <c r="AO335" s="69"/>
      <c r="AP335" s="50"/>
      <c r="AQ335" s="69"/>
      <c r="AR335" s="50"/>
      <c r="AS335" s="642" t="s">
        <v>303</v>
      </c>
      <c r="AT335" s="326"/>
      <c r="AU335" s="326"/>
      <c r="AV335" s="326"/>
      <c r="AW335" s="326"/>
      <c r="AX335" s="326"/>
      <c r="AY335" s="327"/>
      <c r="AZ335" s="70"/>
      <c r="BA335" s="70"/>
      <c r="BB335" s="643" t="s">
        <v>334</v>
      </c>
      <c r="BC335" s="327"/>
      <c r="BD335" s="645" t="s">
        <v>303</v>
      </c>
      <c r="BE335" s="326"/>
      <c r="BF335" s="327"/>
      <c r="BG335" s="646" t="s">
        <v>303</v>
      </c>
      <c r="BH335" s="326"/>
      <c r="BI335" s="326"/>
      <c r="BJ335" s="327"/>
      <c r="BK335" s="647"/>
      <c r="BL335" s="326"/>
      <c r="BM335" s="327"/>
      <c r="BN335" s="71"/>
      <c r="BO335" s="71"/>
      <c r="BP335" s="646"/>
      <c r="BQ335" s="326"/>
      <c r="BR335" s="327"/>
      <c r="BS335" s="645" t="s">
        <v>303</v>
      </c>
      <c r="BT335" s="326"/>
      <c r="BU335" s="327"/>
    </row>
    <row r="336" spans="1:73" ht="30" customHeight="1" x14ac:dyDescent="0.25">
      <c r="A336" s="65">
        <f t="shared" si="1"/>
        <v>322</v>
      </c>
      <c r="B336" s="639" t="s">
        <v>334</v>
      </c>
      <c r="C336" s="327"/>
      <c r="D336" s="640" t="s">
        <v>303</v>
      </c>
      <c r="E336" s="326"/>
      <c r="F336" s="326"/>
      <c r="G336" s="327"/>
      <c r="H336" s="641" t="s">
        <v>303</v>
      </c>
      <c r="I336" s="326"/>
      <c r="J336" s="326"/>
      <c r="K336" s="327"/>
      <c r="L336" s="438" t="s">
        <v>303</v>
      </c>
      <c r="M336" s="326"/>
      <c r="N336" s="327"/>
      <c r="O336" s="519" t="s">
        <v>303</v>
      </c>
      <c r="P336" s="326"/>
      <c r="Q336" s="327"/>
      <c r="R336" s="527"/>
      <c r="S336" s="326"/>
      <c r="T336" s="327"/>
      <c r="U336" s="497"/>
      <c r="V336" s="326"/>
      <c r="W336" s="327"/>
      <c r="X336" s="66"/>
      <c r="Y336" s="67"/>
      <c r="Z336" s="66"/>
      <c r="AA336" s="67"/>
      <c r="AB336" s="66"/>
      <c r="AC336" s="67"/>
      <c r="AD336" s="66"/>
      <c r="AE336" s="67"/>
      <c r="AF336" s="66"/>
      <c r="AG336" s="67"/>
      <c r="AH336" s="66"/>
      <c r="AI336" s="67"/>
      <c r="AJ336" s="50"/>
      <c r="AK336" s="69"/>
      <c r="AL336" s="50"/>
      <c r="AM336" s="69"/>
      <c r="AN336" s="50"/>
      <c r="AO336" s="69"/>
      <c r="AP336" s="50"/>
      <c r="AQ336" s="69"/>
      <c r="AR336" s="50"/>
      <c r="AS336" s="642" t="s">
        <v>303</v>
      </c>
      <c r="AT336" s="326"/>
      <c r="AU336" s="326"/>
      <c r="AV336" s="326"/>
      <c r="AW336" s="326"/>
      <c r="AX336" s="326"/>
      <c r="AY336" s="327"/>
      <c r="AZ336" s="70"/>
      <c r="BA336" s="70"/>
      <c r="BB336" s="643" t="s">
        <v>334</v>
      </c>
      <c r="BC336" s="327"/>
      <c r="BD336" s="645" t="s">
        <v>303</v>
      </c>
      <c r="BE336" s="326"/>
      <c r="BF336" s="327"/>
      <c r="BG336" s="646" t="s">
        <v>303</v>
      </c>
      <c r="BH336" s="326"/>
      <c r="BI336" s="326"/>
      <c r="BJ336" s="327"/>
      <c r="BK336" s="647"/>
      <c r="BL336" s="326"/>
      <c r="BM336" s="327"/>
      <c r="BN336" s="71"/>
      <c r="BO336" s="71"/>
      <c r="BP336" s="646"/>
      <c r="BQ336" s="326"/>
      <c r="BR336" s="327"/>
      <c r="BS336" s="645" t="s">
        <v>303</v>
      </c>
      <c r="BT336" s="326"/>
      <c r="BU336" s="327"/>
    </row>
    <row r="337" spans="1:73" ht="30" customHeight="1" x14ac:dyDescent="0.25">
      <c r="A337" s="65">
        <f t="shared" si="1"/>
        <v>323</v>
      </c>
      <c r="B337" s="639" t="s">
        <v>334</v>
      </c>
      <c r="C337" s="327"/>
      <c r="D337" s="640" t="s">
        <v>303</v>
      </c>
      <c r="E337" s="326"/>
      <c r="F337" s="326"/>
      <c r="G337" s="327"/>
      <c r="H337" s="641" t="s">
        <v>303</v>
      </c>
      <c r="I337" s="326"/>
      <c r="J337" s="326"/>
      <c r="K337" s="327"/>
      <c r="L337" s="438" t="s">
        <v>303</v>
      </c>
      <c r="M337" s="326"/>
      <c r="N337" s="327"/>
      <c r="O337" s="519" t="s">
        <v>303</v>
      </c>
      <c r="P337" s="326"/>
      <c r="Q337" s="327"/>
      <c r="R337" s="527"/>
      <c r="S337" s="326"/>
      <c r="T337" s="327"/>
      <c r="U337" s="497"/>
      <c r="V337" s="326"/>
      <c r="W337" s="327"/>
      <c r="X337" s="66"/>
      <c r="Y337" s="67"/>
      <c r="Z337" s="66"/>
      <c r="AA337" s="67"/>
      <c r="AB337" s="66"/>
      <c r="AC337" s="67"/>
      <c r="AD337" s="66"/>
      <c r="AE337" s="67"/>
      <c r="AF337" s="66"/>
      <c r="AG337" s="67"/>
      <c r="AH337" s="66"/>
      <c r="AI337" s="67"/>
      <c r="AJ337" s="50"/>
      <c r="AK337" s="69"/>
      <c r="AL337" s="50"/>
      <c r="AM337" s="69"/>
      <c r="AN337" s="50"/>
      <c r="AO337" s="69"/>
      <c r="AP337" s="50"/>
      <c r="AQ337" s="69"/>
      <c r="AR337" s="50"/>
      <c r="AS337" s="642" t="s">
        <v>303</v>
      </c>
      <c r="AT337" s="326"/>
      <c r="AU337" s="326"/>
      <c r="AV337" s="326"/>
      <c r="AW337" s="326"/>
      <c r="AX337" s="326"/>
      <c r="AY337" s="327"/>
      <c r="AZ337" s="70"/>
      <c r="BA337" s="70"/>
      <c r="BB337" s="644" t="s">
        <v>334</v>
      </c>
      <c r="BC337" s="327"/>
      <c r="BD337" s="645" t="s">
        <v>303</v>
      </c>
      <c r="BE337" s="326"/>
      <c r="BF337" s="327"/>
      <c r="BG337" s="646" t="s">
        <v>303</v>
      </c>
      <c r="BH337" s="326"/>
      <c r="BI337" s="326"/>
      <c r="BJ337" s="327"/>
      <c r="BK337" s="647"/>
      <c r="BL337" s="326"/>
      <c r="BM337" s="327"/>
      <c r="BN337" s="71"/>
      <c r="BO337" s="71"/>
      <c r="BP337" s="646"/>
      <c r="BQ337" s="326"/>
      <c r="BR337" s="327"/>
      <c r="BS337" s="645" t="s">
        <v>303</v>
      </c>
      <c r="BT337" s="326"/>
      <c r="BU337" s="327"/>
    </row>
    <row r="338" spans="1:73" ht="30" customHeight="1" x14ac:dyDescent="0.25">
      <c r="A338" s="65">
        <f t="shared" si="1"/>
        <v>324</v>
      </c>
      <c r="B338" s="639" t="s">
        <v>334</v>
      </c>
      <c r="C338" s="327"/>
      <c r="D338" s="640" t="s">
        <v>303</v>
      </c>
      <c r="E338" s="326"/>
      <c r="F338" s="326"/>
      <c r="G338" s="327"/>
      <c r="H338" s="641" t="s">
        <v>303</v>
      </c>
      <c r="I338" s="326"/>
      <c r="J338" s="326"/>
      <c r="K338" s="327"/>
      <c r="L338" s="438" t="s">
        <v>303</v>
      </c>
      <c r="M338" s="326"/>
      <c r="N338" s="327"/>
      <c r="O338" s="519" t="s">
        <v>303</v>
      </c>
      <c r="P338" s="326"/>
      <c r="Q338" s="327"/>
      <c r="R338" s="527"/>
      <c r="S338" s="326"/>
      <c r="T338" s="327"/>
      <c r="U338" s="497"/>
      <c r="V338" s="326"/>
      <c r="W338" s="327"/>
      <c r="X338" s="66"/>
      <c r="Y338" s="67"/>
      <c r="Z338" s="66"/>
      <c r="AA338" s="67"/>
      <c r="AB338" s="66"/>
      <c r="AC338" s="67"/>
      <c r="AD338" s="66"/>
      <c r="AE338" s="67"/>
      <c r="AF338" s="66"/>
      <c r="AG338" s="67"/>
      <c r="AH338" s="66"/>
      <c r="AI338" s="67"/>
      <c r="AJ338" s="50"/>
      <c r="AK338" s="69"/>
      <c r="AL338" s="50"/>
      <c r="AM338" s="69"/>
      <c r="AN338" s="50"/>
      <c r="AO338" s="69"/>
      <c r="AP338" s="50"/>
      <c r="AQ338" s="69"/>
      <c r="AR338" s="50"/>
      <c r="AS338" s="642" t="s">
        <v>303</v>
      </c>
      <c r="AT338" s="326"/>
      <c r="AU338" s="326"/>
      <c r="AV338" s="326"/>
      <c r="AW338" s="326"/>
      <c r="AX338" s="326"/>
      <c r="AY338" s="327"/>
      <c r="AZ338" s="70"/>
      <c r="BA338" s="70"/>
      <c r="BB338" s="643" t="s">
        <v>334</v>
      </c>
      <c r="BC338" s="327"/>
      <c r="BD338" s="645" t="s">
        <v>303</v>
      </c>
      <c r="BE338" s="326"/>
      <c r="BF338" s="327"/>
      <c r="BG338" s="646" t="s">
        <v>303</v>
      </c>
      <c r="BH338" s="326"/>
      <c r="BI338" s="326"/>
      <c r="BJ338" s="327"/>
      <c r="BK338" s="647"/>
      <c r="BL338" s="326"/>
      <c r="BM338" s="327"/>
      <c r="BN338" s="71"/>
      <c r="BO338" s="71"/>
      <c r="BP338" s="646"/>
      <c r="BQ338" s="326"/>
      <c r="BR338" s="327"/>
      <c r="BS338" s="645" t="s">
        <v>303</v>
      </c>
      <c r="BT338" s="326"/>
      <c r="BU338" s="327"/>
    </row>
    <row r="339" spans="1:73" ht="30" customHeight="1" x14ac:dyDescent="0.25">
      <c r="A339" s="65">
        <f t="shared" si="1"/>
        <v>325</v>
      </c>
      <c r="B339" s="639" t="s">
        <v>334</v>
      </c>
      <c r="C339" s="327"/>
      <c r="D339" s="640" t="s">
        <v>303</v>
      </c>
      <c r="E339" s="326"/>
      <c r="F339" s="326"/>
      <c r="G339" s="327"/>
      <c r="H339" s="641" t="s">
        <v>303</v>
      </c>
      <c r="I339" s="326"/>
      <c r="J339" s="326"/>
      <c r="K339" s="327"/>
      <c r="L339" s="438" t="s">
        <v>303</v>
      </c>
      <c r="M339" s="326"/>
      <c r="N339" s="327"/>
      <c r="O339" s="519" t="s">
        <v>303</v>
      </c>
      <c r="P339" s="326"/>
      <c r="Q339" s="327"/>
      <c r="R339" s="527"/>
      <c r="S339" s="326"/>
      <c r="T339" s="327"/>
      <c r="U339" s="497"/>
      <c r="V339" s="326"/>
      <c r="W339" s="327"/>
      <c r="X339" s="66"/>
      <c r="Y339" s="67"/>
      <c r="Z339" s="66"/>
      <c r="AA339" s="67"/>
      <c r="AB339" s="66"/>
      <c r="AC339" s="67"/>
      <c r="AD339" s="66"/>
      <c r="AE339" s="67"/>
      <c r="AF339" s="66"/>
      <c r="AG339" s="67"/>
      <c r="AH339" s="66"/>
      <c r="AI339" s="67"/>
      <c r="AJ339" s="50"/>
      <c r="AK339" s="69"/>
      <c r="AL339" s="50"/>
      <c r="AM339" s="69"/>
      <c r="AN339" s="50"/>
      <c r="AO339" s="69"/>
      <c r="AP339" s="50"/>
      <c r="AQ339" s="69"/>
      <c r="AR339" s="50"/>
      <c r="AS339" s="642" t="s">
        <v>303</v>
      </c>
      <c r="AT339" s="326"/>
      <c r="AU339" s="326"/>
      <c r="AV339" s="326"/>
      <c r="AW339" s="326"/>
      <c r="AX339" s="326"/>
      <c r="AY339" s="327"/>
      <c r="AZ339" s="70"/>
      <c r="BA339" s="70"/>
      <c r="BB339" s="643" t="s">
        <v>334</v>
      </c>
      <c r="BC339" s="327"/>
      <c r="BD339" s="645" t="s">
        <v>303</v>
      </c>
      <c r="BE339" s="326"/>
      <c r="BF339" s="327"/>
      <c r="BG339" s="646" t="s">
        <v>303</v>
      </c>
      <c r="BH339" s="326"/>
      <c r="BI339" s="326"/>
      <c r="BJ339" s="327"/>
      <c r="BK339" s="647"/>
      <c r="BL339" s="326"/>
      <c r="BM339" s="327"/>
      <c r="BN339" s="71"/>
      <c r="BO339" s="71"/>
      <c r="BP339" s="646"/>
      <c r="BQ339" s="326"/>
      <c r="BR339" s="327"/>
      <c r="BS339" s="645" t="s">
        <v>303</v>
      </c>
      <c r="BT339" s="326"/>
      <c r="BU339" s="327"/>
    </row>
    <row r="340" spans="1:73" ht="30" customHeight="1" x14ac:dyDescent="0.25">
      <c r="A340" s="65">
        <f t="shared" si="1"/>
        <v>326</v>
      </c>
      <c r="B340" s="639" t="s">
        <v>334</v>
      </c>
      <c r="C340" s="327"/>
      <c r="D340" s="640" t="s">
        <v>303</v>
      </c>
      <c r="E340" s="326"/>
      <c r="F340" s="326"/>
      <c r="G340" s="327"/>
      <c r="H340" s="641" t="s">
        <v>303</v>
      </c>
      <c r="I340" s="326"/>
      <c r="J340" s="326"/>
      <c r="K340" s="327"/>
      <c r="L340" s="438" t="s">
        <v>303</v>
      </c>
      <c r="M340" s="326"/>
      <c r="N340" s="327"/>
      <c r="O340" s="519" t="s">
        <v>303</v>
      </c>
      <c r="P340" s="326"/>
      <c r="Q340" s="327"/>
      <c r="R340" s="527"/>
      <c r="S340" s="326"/>
      <c r="T340" s="327"/>
      <c r="U340" s="497"/>
      <c r="V340" s="326"/>
      <c r="W340" s="327"/>
      <c r="X340" s="66"/>
      <c r="Y340" s="67"/>
      <c r="Z340" s="66"/>
      <c r="AA340" s="67"/>
      <c r="AB340" s="66"/>
      <c r="AC340" s="67"/>
      <c r="AD340" s="66"/>
      <c r="AE340" s="67"/>
      <c r="AF340" s="66"/>
      <c r="AG340" s="67"/>
      <c r="AH340" s="66"/>
      <c r="AI340" s="67"/>
      <c r="AJ340" s="50"/>
      <c r="AK340" s="69"/>
      <c r="AL340" s="50"/>
      <c r="AM340" s="69"/>
      <c r="AN340" s="50"/>
      <c r="AO340" s="69"/>
      <c r="AP340" s="50"/>
      <c r="AQ340" s="69"/>
      <c r="AR340" s="50"/>
      <c r="AS340" s="642" t="s">
        <v>303</v>
      </c>
      <c r="AT340" s="326"/>
      <c r="AU340" s="326"/>
      <c r="AV340" s="326"/>
      <c r="AW340" s="326"/>
      <c r="AX340" s="326"/>
      <c r="AY340" s="327"/>
      <c r="AZ340" s="70"/>
      <c r="BA340" s="70"/>
      <c r="BB340" s="643" t="s">
        <v>334</v>
      </c>
      <c r="BC340" s="327"/>
      <c r="BD340" s="645" t="s">
        <v>303</v>
      </c>
      <c r="BE340" s="326"/>
      <c r="BF340" s="327"/>
      <c r="BG340" s="646" t="s">
        <v>303</v>
      </c>
      <c r="BH340" s="326"/>
      <c r="BI340" s="326"/>
      <c r="BJ340" s="327"/>
      <c r="BK340" s="647"/>
      <c r="BL340" s="326"/>
      <c r="BM340" s="327"/>
      <c r="BN340" s="71"/>
      <c r="BO340" s="71"/>
      <c r="BP340" s="646"/>
      <c r="BQ340" s="326"/>
      <c r="BR340" s="327"/>
      <c r="BS340" s="645" t="s">
        <v>303</v>
      </c>
      <c r="BT340" s="326"/>
      <c r="BU340" s="327"/>
    </row>
    <row r="341" spans="1:73" ht="30" customHeight="1" x14ac:dyDescent="0.25">
      <c r="A341" s="65">
        <f t="shared" si="1"/>
        <v>327</v>
      </c>
      <c r="B341" s="639" t="s">
        <v>334</v>
      </c>
      <c r="C341" s="327"/>
      <c r="D341" s="640" t="s">
        <v>303</v>
      </c>
      <c r="E341" s="326"/>
      <c r="F341" s="326"/>
      <c r="G341" s="327"/>
      <c r="H341" s="641" t="s">
        <v>303</v>
      </c>
      <c r="I341" s="326"/>
      <c r="J341" s="326"/>
      <c r="K341" s="327"/>
      <c r="L341" s="438" t="s">
        <v>303</v>
      </c>
      <c r="M341" s="326"/>
      <c r="N341" s="327"/>
      <c r="O341" s="519" t="s">
        <v>303</v>
      </c>
      <c r="P341" s="326"/>
      <c r="Q341" s="327"/>
      <c r="R341" s="527"/>
      <c r="S341" s="326"/>
      <c r="T341" s="327"/>
      <c r="U341" s="497"/>
      <c r="V341" s="326"/>
      <c r="W341" s="327"/>
      <c r="X341" s="66"/>
      <c r="Y341" s="67"/>
      <c r="Z341" s="66"/>
      <c r="AA341" s="67"/>
      <c r="AB341" s="66"/>
      <c r="AC341" s="67"/>
      <c r="AD341" s="66"/>
      <c r="AE341" s="67"/>
      <c r="AF341" s="66"/>
      <c r="AG341" s="67"/>
      <c r="AH341" s="66"/>
      <c r="AI341" s="67"/>
      <c r="AJ341" s="50"/>
      <c r="AK341" s="69"/>
      <c r="AL341" s="50"/>
      <c r="AM341" s="69"/>
      <c r="AN341" s="50"/>
      <c r="AO341" s="69"/>
      <c r="AP341" s="50"/>
      <c r="AQ341" s="69"/>
      <c r="AR341" s="50"/>
      <c r="AS341" s="642" t="s">
        <v>303</v>
      </c>
      <c r="AT341" s="326"/>
      <c r="AU341" s="326"/>
      <c r="AV341" s="326"/>
      <c r="AW341" s="326"/>
      <c r="AX341" s="326"/>
      <c r="AY341" s="327"/>
      <c r="AZ341" s="70"/>
      <c r="BA341" s="70"/>
      <c r="BB341" s="643" t="s">
        <v>334</v>
      </c>
      <c r="BC341" s="327"/>
      <c r="BD341" s="645" t="s">
        <v>303</v>
      </c>
      <c r="BE341" s="326"/>
      <c r="BF341" s="327"/>
      <c r="BG341" s="646" t="s">
        <v>303</v>
      </c>
      <c r="BH341" s="326"/>
      <c r="BI341" s="326"/>
      <c r="BJ341" s="327"/>
      <c r="BK341" s="647"/>
      <c r="BL341" s="326"/>
      <c r="BM341" s="327"/>
      <c r="BN341" s="71"/>
      <c r="BO341" s="71"/>
      <c r="BP341" s="646"/>
      <c r="BQ341" s="326"/>
      <c r="BR341" s="327"/>
      <c r="BS341" s="645" t="s">
        <v>303</v>
      </c>
      <c r="BT341" s="326"/>
      <c r="BU341" s="327"/>
    </row>
    <row r="342" spans="1:73" ht="30" customHeight="1" x14ac:dyDescent="0.25">
      <c r="A342" s="65">
        <f t="shared" si="1"/>
        <v>328</v>
      </c>
      <c r="B342" s="639" t="s">
        <v>334</v>
      </c>
      <c r="C342" s="327"/>
      <c r="D342" s="640" t="s">
        <v>303</v>
      </c>
      <c r="E342" s="326"/>
      <c r="F342" s="326"/>
      <c r="G342" s="327"/>
      <c r="H342" s="641" t="s">
        <v>303</v>
      </c>
      <c r="I342" s="326"/>
      <c r="J342" s="326"/>
      <c r="K342" s="327"/>
      <c r="L342" s="438" t="s">
        <v>303</v>
      </c>
      <c r="M342" s="326"/>
      <c r="N342" s="327"/>
      <c r="O342" s="519" t="s">
        <v>303</v>
      </c>
      <c r="P342" s="326"/>
      <c r="Q342" s="327"/>
      <c r="R342" s="527"/>
      <c r="S342" s="326"/>
      <c r="T342" s="327"/>
      <c r="U342" s="497"/>
      <c r="V342" s="326"/>
      <c r="W342" s="327"/>
      <c r="X342" s="66"/>
      <c r="Y342" s="67"/>
      <c r="Z342" s="66"/>
      <c r="AA342" s="67"/>
      <c r="AB342" s="66"/>
      <c r="AC342" s="67"/>
      <c r="AD342" s="66"/>
      <c r="AE342" s="67"/>
      <c r="AF342" s="66"/>
      <c r="AG342" s="67"/>
      <c r="AH342" s="66"/>
      <c r="AI342" s="67"/>
      <c r="AJ342" s="50"/>
      <c r="AK342" s="69"/>
      <c r="AL342" s="50"/>
      <c r="AM342" s="69"/>
      <c r="AN342" s="50"/>
      <c r="AO342" s="69"/>
      <c r="AP342" s="50"/>
      <c r="AQ342" s="69"/>
      <c r="AR342" s="50"/>
      <c r="AS342" s="642" t="s">
        <v>303</v>
      </c>
      <c r="AT342" s="326"/>
      <c r="AU342" s="326"/>
      <c r="AV342" s="326"/>
      <c r="AW342" s="326"/>
      <c r="AX342" s="326"/>
      <c r="AY342" s="327"/>
      <c r="AZ342" s="70"/>
      <c r="BA342" s="70"/>
      <c r="BB342" s="643" t="s">
        <v>334</v>
      </c>
      <c r="BC342" s="327"/>
      <c r="BD342" s="645" t="s">
        <v>303</v>
      </c>
      <c r="BE342" s="326"/>
      <c r="BF342" s="327"/>
      <c r="BG342" s="646" t="s">
        <v>303</v>
      </c>
      <c r="BH342" s="326"/>
      <c r="BI342" s="326"/>
      <c r="BJ342" s="327"/>
      <c r="BK342" s="647"/>
      <c r="BL342" s="326"/>
      <c r="BM342" s="327"/>
      <c r="BN342" s="71"/>
      <c r="BO342" s="71"/>
      <c r="BP342" s="646"/>
      <c r="BQ342" s="326"/>
      <c r="BR342" s="327"/>
      <c r="BS342" s="645" t="s">
        <v>303</v>
      </c>
      <c r="BT342" s="326"/>
      <c r="BU342" s="327"/>
    </row>
    <row r="343" spans="1:73" ht="30" customHeight="1" x14ac:dyDescent="0.25">
      <c r="A343" s="65">
        <f t="shared" si="1"/>
        <v>329</v>
      </c>
      <c r="B343" s="639" t="s">
        <v>334</v>
      </c>
      <c r="C343" s="327"/>
      <c r="D343" s="640" t="s">
        <v>303</v>
      </c>
      <c r="E343" s="326"/>
      <c r="F343" s="326"/>
      <c r="G343" s="327"/>
      <c r="H343" s="641" t="s">
        <v>303</v>
      </c>
      <c r="I343" s="326"/>
      <c r="J343" s="326"/>
      <c r="K343" s="327"/>
      <c r="L343" s="438" t="s">
        <v>303</v>
      </c>
      <c r="M343" s="326"/>
      <c r="N343" s="327"/>
      <c r="O343" s="519" t="s">
        <v>303</v>
      </c>
      <c r="P343" s="326"/>
      <c r="Q343" s="327"/>
      <c r="R343" s="527"/>
      <c r="S343" s="326"/>
      <c r="T343" s="327"/>
      <c r="U343" s="497"/>
      <c r="V343" s="326"/>
      <c r="W343" s="327"/>
      <c r="X343" s="66"/>
      <c r="Y343" s="67"/>
      <c r="Z343" s="66"/>
      <c r="AA343" s="67"/>
      <c r="AB343" s="66"/>
      <c r="AC343" s="67"/>
      <c r="AD343" s="66"/>
      <c r="AE343" s="67"/>
      <c r="AF343" s="66"/>
      <c r="AG343" s="67"/>
      <c r="AH343" s="66"/>
      <c r="AI343" s="67"/>
      <c r="AJ343" s="50"/>
      <c r="AK343" s="69"/>
      <c r="AL343" s="50"/>
      <c r="AM343" s="69"/>
      <c r="AN343" s="50"/>
      <c r="AO343" s="69"/>
      <c r="AP343" s="50"/>
      <c r="AQ343" s="69"/>
      <c r="AR343" s="50"/>
      <c r="AS343" s="642" t="s">
        <v>303</v>
      </c>
      <c r="AT343" s="326"/>
      <c r="AU343" s="326"/>
      <c r="AV343" s="326"/>
      <c r="AW343" s="326"/>
      <c r="AX343" s="326"/>
      <c r="AY343" s="327"/>
      <c r="AZ343" s="70"/>
      <c r="BA343" s="70"/>
      <c r="BB343" s="643" t="s">
        <v>334</v>
      </c>
      <c r="BC343" s="327"/>
      <c r="BD343" s="645" t="s">
        <v>303</v>
      </c>
      <c r="BE343" s="326"/>
      <c r="BF343" s="327"/>
      <c r="BG343" s="646" t="s">
        <v>303</v>
      </c>
      <c r="BH343" s="326"/>
      <c r="BI343" s="326"/>
      <c r="BJ343" s="327"/>
      <c r="BK343" s="647"/>
      <c r="BL343" s="326"/>
      <c r="BM343" s="327"/>
      <c r="BN343" s="71"/>
      <c r="BO343" s="71"/>
      <c r="BP343" s="646"/>
      <c r="BQ343" s="326"/>
      <c r="BR343" s="327"/>
      <c r="BS343" s="645" t="s">
        <v>303</v>
      </c>
      <c r="BT343" s="326"/>
      <c r="BU343" s="327"/>
    </row>
    <row r="344" spans="1:73" ht="30" customHeight="1" x14ac:dyDescent="0.25">
      <c r="A344" s="65">
        <f t="shared" si="1"/>
        <v>330</v>
      </c>
      <c r="B344" s="639" t="s">
        <v>334</v>
      </c>
      <c r="C344" s="327"/>
      <c r="D344" s="640" t="s">
        <v>303</v>
      </c>
      <c r="E344" s="326"/>
      <c r="F344" s="326"/>
      <c r="G344" s="327"/>
      <c r="H344" s="641" t="s">
        <v>303</v>
      </c>
      <c r="I344" s="326"/>
      <c r="J344" s="326"/>
      <c r="K344" s="327"/>
      <c r="L344" s="438" t="s">
        <v>303</v>
      </c>
      <c r="M344" s="326"/>
      <c r="N344" s="327"/>
      <c r="O344" s="519" t="s">
        <v>303</v>
      </c>
      <c r="P344" s="326"/>
      <c r="Q344" s="327"/>
      <c r="R344" s="527"/>
      <c r="S344" s="326"/>
      <c r="T344" s="327"/>
      <c r="U344" s="497"/>
      <c r="V344" s="326"/>
      <c r="W344" s="327"/>
      <c r="X344" s="66"/>
      <c r="Y344" s="67"/>
      <c r="Z344" s="66"/>
      <c r="AA344" s="67"/>
      <c r="AB344" s="66"/>
      <c r="AC344" s="67"/>
      <c r="AD344" s="66"/>
      <c r="AE344" s="67"/>
      <c r="AF344" s="66"/>
      <c r="AG344" s="67"/>
      <c r="AH344" s="66"/>
      <c r="AI344" s="67"/>
      <c r="AJ344" s="50"/>
      <c r="AK344" s="69"/>
      <c r="AL344" s="50"/>
      <c r="AM344" s="69"/>
      <c r="AN344" s="50"/>
      <c r="AO344" s="69"/>
      <c r="AP344" s="50"/>
      <c r="AQ344" s="69"/>
      <c r="AR344" s="50"/>
      <c r="AS344" s="642" t="s">
        <v>303</v>
      </c>
      <c r="AT344" s="326"/>
      <c r="AU344" s="326"/>
      <c r="AV344" s="326"/>
      <c r="AW344" s="326"/>
      <c r="AX344" s="326"/>
      <c r="AY344" s="327"/>
      <c r="AZ344" s="70"/>
      <c r="BA344" s="70"/>
      <c r="BB344" s="644" t="s">
        <v>334</v>
      </c>
      <c r="BC344" s="327"/>
      <c r="BD344" s="645" t="s">
        <v>303</v>
      </c>
      <c r="BE344" s="326"/>
      <c r="BF344" s="327"/>
      <c r="BG344" s="646" t="s">
        <v>303</v>
      </c>
      <c r="BH344" s="326"/>
      <c r="BI344" s="326"/>
      <c r="BJ344" s="327"/>
      <c r="BK344" s="647"/>
      <c r="BL344" s="326"/>
      <c r="BM344" s="327"/>
      <c r="BN344" s="71"/>
      <c r="BO344" s="71"/>
      <c r="BP344" s="646"/>
      <c r="BQ344" s="326"/>
      <c r="BR344" s="327"/>
      <c r="BS344" s="645" t="s">
        <v>303</v>
      </c>
      <c r="BT344" s="326"/>
      <c r="BU344" s="327"/>
    </row>
    <row r="345" spans="1:73" ht="30" customHeight="1" x14ac:dyDescent="0.25">
      <c r="A345" s="65">
        <f t="shared" si="1"/>
        <v>331</v>
      </c>
      <c r="B345" s="639" t="s">
        <v>334</v>
      </c>
      <c r="C345" s="327"/>
      <c r="D345" s="640" t="s">
        <v>303</v>
      </c>
      <c r="E345" s="326"/>
      <c r="F345" s="326"/>
      <c r="G345" s="327"/>
      <c r="H345" s="641" t="s">
        <v>303</v>
      </c>
      <c r="I345" s="326"/>
      <c r="J345" s="326"/>
      <c r="K345" s="327"/>
      <c r="L345" s="438" t="s">
        <v>303</v>
      </c>
      <c r="M345" s="326"/>
      <c r="N345" s="327"/>
      <c r="O345" s="519" t="s">
        <v>303</v>
      </c>
      <c r="P345" s="326"/>
      <c r="Q345" s="327"/>
      <c r="R345" s="527"/>
      <c r="S345" s="326"/>
      <c r="T345" s="327"/>
      <c r="U345" s="497"/>
      <c r="V345" s="326"/>
      <c r="W345" s="327"/>
      <c r="X345" s="66"/>
      <c r="Y345" s="67"/>
      <c r="Z345" s="66"/>
      <c r="AA345" s="67"/>
      <c r="AB345" s="66"/>
      <c r="AC345" s="67"/>
      <c r="AD345" s="66"/>
      <c r="AE345" s="67"/>
      <c r="AF345" s="66"/>
      <c r="AG345" s="67"/>
      <c r="AH345" s="66"/>
      <c r="AI345" s="67"/>
      <c r="AJ345" s="50"/>
      <c r="AK345" s="69"/>
      <c r="AL345" s="50"/>
      <c r="AM345" s="69"/>
      <c r="AN345" s="50"/>
      <c r="AO345" s="69"/>
      <c r="AP345" s="50"/>
      <c r="AQ345" s="69"/>
      <c r="AR345" s="50"/>
      <c r="AS345" s="642" t="s">
        <v>303</v>
      </c>
      <c r="AT345" s="326"/>
      <c r="AU345" s="326"/>
      <c r="AV345" s="326"/>
      <c r="AW345" s="326"/>
      <c r="AX345" s="326"/>
      <c r="AY345" s="327"/>
      <c r="AZ345" s="70"/>
      <c r="BA345" s="70"/>
      <c r="BB345" s="643" t="s">
        <v>334</v>
      </c>
      <c r="BC345" s="327"/>
      <c r="BD345" s="645" t="s">
        <v>303</v>
      </c>
      <c r="BE345" s="326"/>
      <c r="BF345" s="327"/>
      <c r="BG345" s="646" t="s">
        <v>303</v>
      </c>
      <c r="BH345" s="326"/>
      <c r="BI345" s="326"/>
      <c r="BJ345" s="327"/>
      <c r="BK345" s="647"/>
      <c r="BL345" s="326"/>
      <c r="BM345" s="327"/>
      <c r="BN345" s="71"/>
      <c r="BO345" s="71"/>
      <c r="BP345" s="646"/>
      <c r="BQ345" s="326"/>
      <c r="BR345" s="327"/>
      <c r="BS345" s="645" t="s">
        <v>303</v>
      </c>
      <c r="BT345" s="326"/>
      <c r="BU345" s="327"/>
    </row>
    <row r="346" spans="1:73" ht="30" customHeight="1" x14ac:dyDescent="0.25">
      <c r="A346" s="65">
        <f t="shared" si="1"/>
        <v>332</v>
      </c>
      <c r="B346" s="639" t="s">
        <v>334</v>
      </c>
      <c r="C346" s="327"/>
      <c r="D346" s="640" t="s">
        <v>303</v>
      </c>
      <c r="E346" s="326"/>
      <c r="F346" s="326"/>
      <c r="G346" s="327"/>
      <c r="H346" s="641" t="s">
        <v>303</v>
      </c>
      <c r="I346" s="326"/>
      <c r="J346" s="326"/>
      <c r="K346" s="327"/>
      <c r="L346" s="438" t="s">
        <v>303</v>
      </c>
      <c r="M346" s="326"/>
      <c r="N346" s="327"/>
      <c r="O346" s="519" t="s">
        <v>303</v>
      </c>
      <c r="P346" s="326"/>
      <c r="Q346" s="327"/>
      <c r="R346" s="527"/>
      <c r="S346" s="326"/>
      <c r="T346" s="327"/>
      <c r="U346" s="497"/>
      <c r="V346" s="326"/>
      <c r="W346" s="327"/>
      <c r="X346" s="66"/>
      <c r="Y346" s="67"/>
      <c r="Z346" s="66"/>
      <c r="AA346" s="67"/>
      <c r="AB346" s="66"/>
      <c r="AC346" s="67"/>
      <c r="AD346" s="66"/>
      <c r="AE346" s="67"/>
      <c r="AF346" s="66"/>
      <c r="AG346" s="67"/>
      <c r="AH346" s="66"/>
      <c r="AI346" s="67"/>
      <c r="AJ346" s="50"/>
      <c r="AK346" s="69"/>
      <c r="AL346" s="50"/>
      <c r="AM346" s="69"/>
      <c r="AN346" s="50"/>
      <c r="AO346" s="69"/>
      <c r="AP346" s="50"/>
      <c r="AQ346" s="69"/>
      <c r="AR346" s="50"/>
      <c r="AS346" s="642" t="s">
        <v>303</v>
      </c>
      <c r="AT346" s="326"/>
      <c r="AU346" s="326"/>
      <c r="AV346" s="326"/>
      <c r="AW346" s="326"/>
      <c r="AX346" s="326"/>
      <c r="AY346" s="327"/>
      <c r="AZ346" s="70"/>
      <c r="BA346" s="70"/>
      <c r="BB346" s="643" t="s">
        <v>334</v>
      </c>
      <c r="BC346" s="327"/>
      <c r="BD346" s="645" t="s">
        <v>303</v>
      </c>
      <c r="BE346" s="326"/>
      <c r="BF346" s="327"/>
      <c r="BG346" s="646" t="s">
        <v>303</v>
      </c>
      <c r="BH346" s="326"/>
      <c r="BI346" s="326"/>
      <c r="BJ346" s="327"/>
      <c r="BK346" s="647"/>
      <c r="BL346" s="326"/>
      <c r="BM346" s="327"/>
      <c r="BN346" s="71"/>
      <c r="BO346" s="71"/>
      <c r="BP346" s="646"/>
      <c r="BQ346" s="326"/>
      <c r="BR346" s="327"/>
      <c r="BS346" s="645" t="s">
        <v>303</v>
      </c>
      <c r="BT346" s="326"/>
      <c r="BU346" s="327"/>
    </row>
    <row r="347" spans="1:73" ht="30" customHeight="1" x14ac:dyDescent="0.25">
      <c r="A347" s="65">
        <f t="shared" si="1"/>
        <v>333</v>
      </c>
      <c r="B347" s="639" t="s">
        <v>334</v>
      </c>
      <c r="C347" s="327"/>
      <c r="D347" s="640" t="s">
        <v>303</v>
      </c>
      <c r="E347" s="326"/>
      <c r="F347" s="326"/>
      <c r="G347" s="327"/>
      <c r="H347" s="641" t="s">
        <v>303</v>
      </c>
      <c r="I347" s="326"/>
      <c r="J347" s="326"/>
      <c r="K347" s="327"/>
      <c r="L347" s="438" t="s">
        <v>303</v>
      </c>
      <c r="M347" s="326"/>
      <c r="N347" s="327"/>
      <c r="O347" s="519" t="s">
        <v>303</v>
      </c>
      <c r="P347" s="326"/>
      <c r="Q347" s="327"/>
      <c r="R347" s="527"/>
      <c r="S347" s="326"/>
      <c r="T347" s="327"/>
      <c r="U347" s="497"/>
      <c r="V347" s="326"/>
      <c r="W347" s="327"/>
      <c r="X347" s="66"/>
      <c r="Y347" s="67"/>
      <c r="Z347" s="66"/>
      <c r="AA347" s="67"/>
      <c r="AB347" s="66"/>
      <c r="AC347" s="67"/>
      <c r="AD347" s="66"/>
      <c r="AE347" s="67"/>
      <c r="AF347" s="66"/>
      <c r="AG347" s="67"/>
      <c r="AH347" s="66"/>
      <c r="AI347" s="67"/>
      <c r="AJ347" s="50"/>
      <c r="AK347" s="69"/>
      <c r="AL347" s="50"/>
      <c r="AM347" s="69"/>
      <c r="AN347" s="50"/>
      <c r="AO347" s="69"/>
      <c r="AP347" s="50"/>
      <c r="AQ347" s="69"/>
      <c r="AR347" s="50"/>
      <c r="AS347" s="642" t="s">
        <v>303</v>
      </c>
      <c r="AT347" s="326"/>
      <c r="AU347" s="326"/>
      <c r="AV347" s="326"/>
      <c r="AW347" s="326"/>
      <c r="AX347" s="326"/>
      <c r="AY347" s="327"/>
      <c r="AZ347" s="70"/>
      <c r="BA347" s="70"/>
      <c r="BB347" s="643" t="s">
        <v>334</v>
      </c>
      <c r="BC347" s="327"/>
      <c r="BD347" s="645" t="s">
        <v>303</v>
      </c>
      <c r="BE347" s="326"/>
      <c r="BF347" s="327"/>
      <c r="BG347" s="646" t="s">
        <v>303</v>
      </c>
      <c r="BH347" s="326"/>
      <c r="BI347" s="326"/>
      <c r="BJ347" s="327"/>
      <c r="BK347" s="647"/>
      <c r="BL347" s="326"/>
      <c r="BM347" s="327"/>
      <c r="BN347" s="71"/>
      <c r="BO347" s="71"/>
      <c r="BP347" s="646"/>
      <c r="BQ347" s="326"/>
      <c r="BR347" s="327"/>
      <c r="BS347" s="645" t="s">
        <v>303</v>
      </c>
      <c r="BT347" s="326"/>
      <c r="BU347" s="327"/>
    </row>
    <row r="348" spans="1:73" ht="30" customHeight="1" x14ac:dyDescent="0.25">
      <c r="A348" s="65">
        <f t="shared" si="1"/>
        <v>334</v>
      </c>
      <c r="B348" s="639" t="s">
        <v>334</v>
      </c>
      <c r="C348" s="327"/>
      <c r="D348" s="640" t="s">
        <v>303</v>
      </c>
      <c r="E348" s="326"/>
      <c r="F348" s="326"/>
      <c r="G348" s="327"/>
      <c r="H348" s="641" t="s">
        <v>303</v>
      </c>
      <c r="I348" s="326"/>
      <c r="J348" s="326"/>
      <c r="K348" s="327"/>
      <c r="L348" s="438" t="s">
        <v>303</v>
      </c>
      <c r="M348" s="326"/>
      <c r="N348" s="327"/>
      <c r="O348" s="519" t="s">
        <v>303</v>
      </c>
      <c r="P348" s="326"/>
      <c r="Q348" s="327"/>
      <c r="R348" s="527"/>
      <c r="S348" s="326"/>
      <c r="T348" s="327"/>
      <c r="U348" s="497"/>
      <c r="V348" s="326"/>
      <c r="W348" s="327"/>
      <c r="X348" s="66"/>
      <c r="Y348" s="67"/>
      <c r="Z348" s="66"/>
      <c r="AA348" s="67"/>
      <c r="AB348" s="66"/>
      <c r="AC348" s="67"/>
      <c r="AD348" s="66"/>
      <c r="AE348" s="67"/>
      <c r="AF348" s="66"/>
      <c r="AG348" s="67"/>
      <c r="AH348" s="66"/>
      <c r="AI348" s="67"/>
      <c r="AJ348" s="50"/>
      <c r="AK348" s="69"/>
      <c r="AL348" s="50"/>
      <c r="AM348" s="69"/>
      <c r="AN348" s="50"/>
      <c r="AO348" s="69"/>
      <c r="AP348" s="50"/>
      <c r="AQ348" s="69"/>
      <c r="AR348" s="50"/>
      <c r="AS348" s="642" t="s">
        <v>303</v>
      </c>
      <c r="AT348" s="326"/>
      <c r="AU348" s="326"/>
      <c r="AV348" s="326"/>
      <c r="AW348" s="326"/>
      <c r="AX348" s="326"/>
      <c r="AY348" s="327"/>
      <c r="AZ348" s="70"/>
      <c r="BA348" s="70"/>
      <c r="BB348" s="643" t="s">
        <v>334</v>
      </c>
      <c r="BC348" s="327"/>
      <c r="BD348" s="645" t="s">
        <v>303</v>
      </c>
      <c r="BE348" s="326"/>
      <c r="BF348" s="327"/>
      <c r="BG348" s="646" t="s">
        <v>303</v>
      </c>
      <c r="BH348" s="326"/>
      <c r="BI348" s="326"/>
      <c r="BJ348" s="327"/>
      <c r="BK348" s="647"/>
      <c r="BL348" s="326"/>
      <c r="BM348" s="327"/>
      <c r="BN348" s="71"/>
      <c r="BO348" s="71"/>
      <c r="BP348" s="646"/>
      <c r="BQ348" s="326"/>
      <c r="BR348" s="327"/>
      <c r="BS348" s="645" t="s">
        <v>303</v>
      </c>
      <c r="BT348" s="326"/>
      <c r="BU348" s="327"/>
    </row>
    <row r="349" spans="1:73" ht="30" customHeight="1" x14ac:dyDescent="0.25">
      <c r="A349" s="65">
        <f t="shared" si="1"/>
        <v>335</v>
      </c>
      <c r="B349" s="639" t="s">
        <v>334</v>
      </c>
      <c r="C349" s="327"/>
      <c r="D349" s="640" t="s">
        <v>303</v>
      </c>
      <c r="E349" s="326"/>
      <c r="F349" s="326"/>
      <c r="G349" s="327"/>
      <c r="H349" s="641" t="s">
        <v>303</v>
      </c>
      <c r="I349" s="326"/>
      <c r="J349" s="326"/>
      <c r="K349" s="327"/>
      <c r="L349" s="438" t="s">
        <v>303</v>
      </c>
      <c r="M349" s="326"/>
      <c r="N349" s="327"/>
      <c r="O349" s="519" t="s">
        <v>303</v>
      </c>
      <c r="P349" s="326"/>
      <c r="Q349" s="327"/>
      <c r="R349" s="527"/>
      <c r="S349" s="326"/>
      <c r="T349" s="327"/>
      <c r="U349" s="497"/>
      <c r="V349" s="326"/>
      <c r="W349" s="327"/>
      <c r="X349" s="66"/>
      <c r="Y349" s="67"/>
      <c r="Z349" s="66"/>
      <c r="AA349" s="67"/>
      <c r="AB349" s="66"/>
      <c r="AC349" s="67"/>
      <c r="AD349" s="66"/>
      <c r="AE349" s="67"/>
      <c r="AF349" s="66"/>
      <c r="AG349" s="67"/>
      <c r="AH349" s="66"/>
      <c r="AI349" s="67"/>
      <c r="AJ349" s="50"/>
      <c r="AK349" s="69"/>
      <c r="AL349" s="50"/>
      <c r="AM349" s="69"/>
      <c r="AN349" s="50"/>
      <c r="AO349" s="69"/>
      <c r="AP349" s="50"/>
      <c r="AQ349" s="69"/>
      <c r="AR349" s="50"/>
      <c r="AS349" s="642" t="s">
        <v>303</v>
      </c>
      <c r="AT349" s="326"/>
      <c r="AU349" s="326"/>
      <c r="AV349" s="326"/>
      <c r="AW349" s="326"/>
      <c r="AX349" s="326"/>
      <c r="AY349" s="327"/>
      <c r="AZ349" s="70"/>
      <c r="BA349" s="70"/>
      <c r="BB349" s="643" t="s">
        <v>334</v>
      </c>
      <c r="BC349" s="327"/>
      <c r="BD349" s="645" t="s">
        <v>303</v>
      </c>
      <c r="BE349" s="326"/>
      <c r="BF349" s="327"/>
      <c r="BG349" s="646" t="s">
        <v>303</v>
      </c>
      <c r="BH349" s="326"/>
      <c r="BI349" s="326"/>
      <c r="BJ349" s="327"/>
      <c r="BK349" s="647"/>
      <c r="BL349" s="326"/>
      <c r="BM349" s="327"/>
      <c r="BN349" s="71"/>
      <c r="BO349" s="71"/>
      <c r="BP349" s="646"/>
      <c r="BQ349" s="326"/>
      <c r="BR349" s="327"/>
      <c r="BS349" s="645" t="s">
        <v>303</v>
      </c>
      <c r="BT349" s="326"/>
      <c r="BU349" s="327"/>
    </row>
    <row r="350" spans="1:73" ht="30" customHeight="1" x14ac:dyDescent="0.25">
      <c r="A350" s="65">
        <f t="shared" si="1"/>
        <v>336</v>
      </c>
      <c r="B350" s="639" t="s">
        <v>334</v>
      </c>
      <c r="C350" s="327"/>
      <c r="D350" s="640" t="s">
        <v>303</v>
      </c>
      <c r="E350" s="326"/>
      <c r="F350" s="326"/>
      <c r="G350" s="327"/>
      <c r="H350" s="641" t="s">
        <v>303</v>
      </c>
      <c r="I350" s="326"/>
      <c r="J350" s="326"/>
      <c r="K350" s="327"/>
      <c r="L350" s="438" t="s">
        <v>303</v>
      </c>
      <c r="M350" s="326"/>
      <c r="N350" s="327"/>
      <c r="O350" s="519" t="s">
        <v>303</v>
      </c>
      <c r="P350" s="326"/>
      <c r="Q350" s="327"/>
      <c r="R350" s="527"/>
      <c r="S350" s="326"/>
      <c r="T350" s="327"/>
      <c r="U350" s="497"/>
      <c r="V350" s="326"/>
      <c r="W350" s="327"/>
      <c r="X350" s="66"/>
      <c r="Y350" s="67"/>
      <c r="Z350" s="66"/>
      <c r="AA350" s="67"/>
      <c r="AB350" s="66"/>
      <c r="AC350" s="67"/>
      <c r="AD350" s="66"/>
      <c r="AE350" s="67"/>
      <c r="AF350" s="66"/>
      <c r="AG350" s="67"/>
      <c r="AH350" s="66"/>
      <c r="AI350" s="67"/>
      <c r="AJ350" s="50"/>
      <c r="AK350" s="69"/>
      <c r="AL350" s="50"/>
      <c r="AM350" s="69"/>
      <c r="AN350" s="50"/>
      <c r="AO350" s="69"/>
      <c r="AP350" s="50"/>
      <c r="AQ350" s="69"/>
      <c r="AR350" s="50"/>
      <c r="AS350" s="642" t="s">
        <v>303</v>
      </c>
      <c r="AT350" s="326"/>
      <c r="AU350" s="326"/>
      <c r="AV350" s="326"/>
      <c r="AW350" s="326"/>
      <c r="AX350" s="326"/>
      <c r="AY350" s="327"/>
      <c r="AZ350" s="70"/>
      <c r="BA350" s="70"/>
      <c r="BB350" s="643" t="s">
        <v>334</v>
      </c>
      <c r="BC350" s="327"/>
      <c r="BD350" s="645" t="s">
        <v>303</v>
      </c>
      <c r="BE350" s="326"/>
      <c r="BF350" s="327"/>
      <c r="BG350" s="646" t="s">
        <v>303</v>
      </c>
      <c r="BH350" s="326"/>
      <c r="BI350" s="326"/>
      <c r="BJ350" s="327"/>
      <c r="BK350" s="647"/>
      <c r="BL350" s="326"/>
      <c r="BM350" s="327"/>
      <c r="BN350" s="71"/>
      <c r="BO350" s="71"/>
      <c r="BP350" s="646"/>
      <c r="BQ350" s="326"/>
      <c r="BR350" s="327"/>
      <c r="BS350" s="645" t="s">
        <v>303</v>
      </c>
      <c r="BT350" s="326"/>
      <c r="BU350" s="327"/>
    </row>
    <row r="351" spans="1:73" ht="30" customHeight="1" x14ac:dyDescent="0.25">
      <c r="A351" s="65">
        <f t="shared" si="1"/>
        <v>337</v>
      </c>
      <c r="B351" s="639" t="s">
        <v>334</v>
      </c>
      <c r="C351" s="327"/>
      <c r="D351" s="640" t="s">
        <v>303</v>
      </c>
      <c r="E351" s="326"/>
      <c r="F351" s="326"/>
      <c r="G351" s="327"/>
      <c r="H351" s="641" t="s">
        <v>303</v>
      </c>
      <c r="I351" s="326"/>
      <c r="J351" s="326"/>
      <c r="K351" s="327"/>
      <c r="L351" s="438" t="s">
        <v>303</v>
      </c>
      <c r="M351" s="326"/>
      <c r="N351" s="327"/>
      <c r="O351" s="519" t="s">
        <v>303</v>
      </c>
      <c r="P351" s="326"/>
      <c r="Q351" s="327"/>
      <c r="R351" s="527"/>
      <c r="S351" s="326"/>
      <c r="T351" s="327"/>
      <c r="U351" s="497"/>
      <c r="V351" s="326"/>
      <c r="W351" s="327"/>
      <c r="X351" s="66"/>
      <c r="Y351" s="67"/>
      <c r="Z351" s="66"/>
      <c r="AA351" s="67"/>
      <c r="AB351" s="66"/>
      <c r="AC351" s="67"/>
      <c r="AD351" s="66"/>
      <c r="AE351" s="67"/>
      <c r="AF351" s="66"/>
      <c r="AG351" s="67"/>
      <c r="AH351" s="66"/>
      <c r="AI351" s="67"/>
      <c r="AJ351" s="50"/>
      <c r="AK351" s="69"/>
      <c r="AL351" s="50"/>
      <c r="AM351" s="69"/>
      <c r="AN351" s="50"/>
      <c r="AO351" s="69"/>
      <c r="AP351" s="50"/>
      <c r="AQ351" s="69"/>
      <c r="AR351" s="50"/>
      <c r="AS351" s="642" t="s">
        <v>303</v>
      </c>
      <c r="AT351" s="326"/>
      <c r="AU351" s="326"/>
      <c r="AV351" s="326"/>
      <c r="AW351" s="326"/>
      <c r="AX351" s="326"/>
      <c r="AY351" s="327"/>
      <c r="AZ351" s="70"/>
      <c r="BA351" s="70"/>
      <c r="BB351" s="643" t="s">
        <v>334</v>
      </c>
      <c r="BC351" s="327"/>
      <c r="BD351" s="645" t="s">
        <v>303</v>
      </c>
      <c r="BE351" s="326"/>
      <c r="BF351" s="327"/>
      <c r="BG351" s="646" t="s">
        <v>303</v>
      </c>
      <c r="BH351" s="326"/>
      <c r="BI351" s="326"/>
      <c r="BJ351" s="327"/>
      <c r="BK351" s="647"/>
      <c r="BL351" s="326"/>
      <c r="BM351" s="327"/>
      <c r="BN351" s="71"/>
      <c r="BO351" s="71"/>
      <c r="BP351" s="646"/>
      <c r="BQ351" s="326"/>
      <c r="BR351" s="327"/>
      <c r="BS351" s="645" t="s">
        <v>303</v>
      </c>
      <c r="BT351" s="326"/>
      <c r="BU351" s="327"/>
    </row>
    <row r="352" spans="1:73" ht="30" customHeight="1" x14ac:dyDescent="0.25">
      <c r="A352" s="65">
        <f t="shared" si="1"/>
        <v>338</v>
      </c>
      <c r="B352" s="639" t="s">
        <v>334</v>
      </c>
      <c r="C352" s="327"/>
      <c r="D352" s="640" t="s">
        <v>303</v>
      </c>
      <c r="E352" s="326"/>
      <c r="F352" s="326"/>
      <c r="G352" s="327"/>
      <c r="H352" s="641" t="s">
        <v>303</v>
      </c>
      <c r="I352" s="326"/>
      <c r="J352" s="326"/>
      <c r="K352" s="327"/>
      <c r="L352" s="438" t="s">
        <v>303</v>
      </c>
      <c r="M352" s="326"/>
      <c r="N352" s="327"/>
      <c r="O352" s="519" t="s">
        <v>303</v>
      </c>
      <c r="P352" s="326"/>
      <c r="Q352" s="327"/>
      <c r="R352" s="527"/>
      <c r="S352" s="326"/>
      <c r="T352" s="327"/>
      <c r="U352" s="497"/>
      <c r="V352" s="326"/>
      <c r="W352" s="327"/>
      <c r="X352" s="66"/>
      <c r="Y352" s="67"/>
      <c r="Z352" s="66"/>
      <c r="AA352" s="67"/>
      <c r="AB352" s="66"/>
      <c r="AC352" s="67"/>
      <c r="AD352" s="66"/>
      <c r="AE352" s="67"/>
      <c r="AF352" s="66"/>
      <c r="AG352" s="67"/>
      <c r="AH352" s="66"/>
      <c r="AI352" s="67"/>
      <c r="AJ352" s="50"/>
      <c r="AK352" s="69"/>
      <c r="AL352" s="50"/>
      <c r="AM352" s="69"/>
      <c r="AN352" s="50"/>
      <c r="AO352" s="69"/>
      <c r="AP352" s="50"/>
      <c r="AQ352" s="69"/>
      <c r="AR352" s="50"/>
      <c r="AS352" s="642" t="s">
        <v>303</v>
      </c>
      <c r="AT352" s="326"/>
      <c r="AU352" s="326"/>
      <c r="AV352" s="326"/>
      <c r="AW352" s="326"/>
      <c r="AX352" s="326"/>
      <c r="AY352" s="327"/>
      <c r="AZ352" s="70"/>
      <c r="BA352" s="70"/>
      <c r="BB352" s="643" t="s">
        <v>334</v>
      </c>
      <c r="BC352" s="327"/>
      <c r="BD352" s="645" t="s">
        <v>303</v>
      </c>
      <c r="BE352" s="326"/>
      <c r="BF352" s="327"/>
      <c r="BG352" s="646" t="s">
        <v>303</v>
      </c>
      <c r="BH352" s="326"/>
      <c r="BI352" s="326"/>
      <c r="BJ352" s="327"/>
      <c r="BK352" s="647"/>
      <c r="BL352" s="326"/>
      <c r="BM352" s="327"/>
      <c r="BN352" s="71"/>
      <c r="BO352" s="71"/>
      <c r="BP352" s="646"/>
      <c r="BQ352" s="326"/>
      <c r="BR352" s="327"/>
      <c r="BS352" s="645" t="s">
        <v>303</v>
      </c>
      <c r="BT352" s="326"/>
      <c r="BU352" s="327"/>
    </row>
    <row r="353" spans="1:73" ht="30" customHeight="1" x14ac:dyDescent="0.25">
      <c r="A353" s="65">
        <f t="shared" si="1"/>
        <v>339</v>
      </c>
      <c r="B353" s="639" t="s">
        <v>334</v>
      </c>
      <c r="C353" s="327"/>
      <c r="D353" s="640" t="s">
        <v>303</v>
      </c>
      <c r="E353" s="326"/>
      <c r="F353" s="326"/>
      <c r="G353" s="327"/>
      <c r="H353" s="641" t="s">
        <v>303</v>
      </c>
      <c r="I353" s="326"/>
      <c r="J353" s="326"/>
      <c r="K353" s="327"/>
      <c r="L353" s="438" t="s">
        <v>303</v>
      </c>
      <c r="M353" s="326"/>
      <c r="N353" s="327"/>
      <c r="O353" s="519" t="s">
        <v>303</v>
      </c>
      <c r="P353" s="326"/>
      <c r="Q353" s="327"/>
      <c r="R353" s="527"/>
      <c r="S353" s="326"/>
      <c r="T353" s="327"/>
      <c r="U353" s="497"/>
      <c r="V353" s="326"/>
      <c r="W353" s="327"/>
      <c r="X353" s="66"/>
      <c r="Y353" s="67"/>
      <c r="Z353" s="66"/>
      <c r="AA353" s="67"/>
      <c r="AB353" s="66"/>
      <c r="AC353" s="67"/>
      <c r="AD353" s="66"/>
      <c r="AE353" s="67"/>
      <c r="AF353" s="66"/>
      <c r="AG353" s="67"/>
      <c r="AH353" s="66"/>
      <c r="AI353" s="67"/>
      <c r="AJ353" s="50"/>
      <c r="AK353" s="69"/>
      <c r="AL353" s="50"/>
      <c r="AM353" s="69"/>
      <c r="AN353" s="50"/>
      <c r="AO353" s="69"/>
      <c r="AP353" s="50"/>
      <c r="AQ353" s="69"/>
      <c r="AR353" s="50"/>
      <c r="AS353" s="642" t="s">
        <v>303</v>
      </c>
      <c r="AT353" s="326"/>
      <c r="AU353" s="326"/>
      <c r="AV353" s="326"/>
      <c r="AW353" s="326"/>
      <c r="AX353" s="326"/>
      <c r="AY353" s="327"/>
      <c r="AZ353" s="70"/>
      <c r="BA353" s="70"/>
      <c r="BB353" s="643" t="s">
        <v>334</v>
      </c>
      <c r="BC353" s="327"/>
      <c r="BD353" s="645" t="s">
        <v>303</v>
      </c>
      <c r="BE353" s="326"/>
      <c r="BF353" s="327"/>
      <c r="BG353" s="646" t="s">
        <v>303</v>
      </c>
      <c r="BH353" s="326"/>
      <c r="BI353" s="326"/>
      <c r="BJ353" s="327"/>
      <c r="BK353" s="647"/>
      <c r="BL353" s="326"/>
      <c r="BM353" s="327"/>
      <c r="BN353" s="71"/>
      <c r="BO353" s="71"/>
      <c r="BP353" s="646"/>
      <c r="BQ353" s="326"/>
      <c r="BR353" s="327"/>
      <c r="BS353" s="645" t="s">
        <v>303</v>
      </c>
      <c r="BT353" s="326"/>
      <c r="BU353" s="327"/>
    </row>
    <row r="354" spans="1:73" ht="30" customHeight="1" x14ac:dyDescent="0.25">
      <c r="A354" s="65">
        <f t="shared" si="1"/>
        <v>340</v>
      </c>
      <c r="B354" s="639" t="s">
        <v>334</v>
      </c>
      <c r="C354" s="327"/>
      <c r="D354" s="640" t="s">
        <v>303</v>
      </c>
      <c r="E354" s="326"/>
      <c r="F354" s="326"/>
      <c r="G354" s="327"/>
      <c r="H354" s="641" t="s">
        <v>303</v>
      </c>
      <c r="I354" s="326"/>
      <c r="J354" s="326"/>
      <c r="K354" s="327"/>
      <c r="L354" s="438" t="s">
        <v>303</v>
      </c>
      <c r="M354" s="326"/>
      <c r="N354" s="327"/>
      <c r="O354" s="519" t="s">
        <v>303</v>
      </c>
      <c r="P354" s="326"/>
      <c r="Q354" s="327"/>
      <c r="R354" s="527"/>
      <c r="S354" s="326"/>
      <c r="T354" s="327"/>
      <c r="U354" s="497"/>
      <c r="V354" s="326"/>
      <c r="W354" s="327"/>
      <c r="X354" s="66"/>
      <c r="Y354" s="67"/>
      <c r="Z354" s="66"/>
      <c r="AA354" s="67"/>
      <c r="AB354" s="66"/>
      <c r="AC354" s="67"/>
      <c r="AD354" s="66"/>
      <c r="AE354" s="67"/>
      <c r="AF354" s="66"/>
      <c r="AG354" s="67"/>
      <c r="AH354" s="66"/>
      <c r="AI354" s="67"/>
      <c r="AJ354" s="50"/>
      <c r="AK354" s="69"/>
      <c r="AL354" s="50"/>
      <c r="AM354" s="69"/>
      <c r="AN354" s="50"/>
      <c r="AO354" s="69"/>
      <c r="AP354" s="50"/>
      <c r="AQ354" s="69"/>
      <c r="AR354" s="50"/>
      <c r="AS354" s="642" t="s">
        <v>303</v>
      </c>
      <c r="AT354" s="326"/>
      <c r="AU354" s="326"/>
      <c r="AV354" s="326"/>
      <c r="AW354" s="326"/>
      <c r="AX354" s="326"/>
      <c r="AY354" s="327"/>
      <c r="AZ354" s="70"/>
      <c r="BA354" s="70"/>
      <c r="BB354" s="643" t="s">
        <v>334</v>
      </c>
      <c r="BC354" s="327"/>
      <c r="BD354" s="645" t="s">
        <v>303</v>
      </c>
      <c r="BE354" s="326"/>
      <c r="BF354" s="327"/>
      <c r="BG354" s="646" t="s">
        <v>303</v>
      </c>
      <c r="BH354" s="326"/>
      <c r="BI354" s="326"/>
      <c r="BJ354" s="327"/>
      <c r="BK354" s="647"/>
      <c r="BL354" s="326"/>
      <c r="BM354" s="327"/>
      <c r="BN354" s="71"/>
      <c r="BO354" s="71"/>
      <c r="BP354" s="646"/>
      <c r="BQ354" s="326"/>
      <c r="BR354" s="327"/>
      <c r="BS354" s="645" t="s">
        <v>303</v>
      </c>
      <c r="BT354" s="326"/>
      <c r="BU354" s="327"/>
    </row>
    <row r="355" spans="1:73" ht="30" customHeight="1" x14ac:dyDescent="0.25">
      <c r="A355" s="65">
        <f t="shared" si="1"/>
        <v>341</v>
      </c>
      <c r="B355" s="639" t="s">
        <v>334</v>
      </c>
      <c r="C355" s="327"/>
      <c r="D355" s="640" t="s">
        <v>303</v>
      </c>
      <c r="E355" s="326"/>
      <c r="F355" s="326"/>
      <c r="G355" s="327"/>
      <c r="H355" s="641" t="s">
        <v>303</v>
      </c>
      <c r="I355" s="326"/>
      <c r="J355" s="326"/>
      <c r="K355" s="327"/>
      <c r="L355" s="438" t="s">
        <v>303</v>
      </c>
      <c r="M355" s="326"/>
      <c r="N355" s="327"/>
      <c r="O355" s="519" t="s">
        <v>303</v>
      </c>
      <c r="P355" s="326"/>
      <c r="Q355" s="327"/>
      <c r="R355" s="527"/>
      <c r="S355" s="326"/>
      <c r="T355" s="327"/>
      <c r="U355" s="497"/>
      <c r="V355" s="326"/>
      <c r="W355" s="327"/>
      <c r="X355" s="66"/>
      <c r="Y355" s="67"/>
      <c r="Z355" s="66"/>
      <c r="AA355" s="67"/>
      <c r="AB355" s="66"/>
      <c r="AC355" s="67"/>
      <c r="AD355" s="66"/>
      <c r="AE355" s="67"/>
      <c r="AF355" s="66"/>
      <c r="AG355" s="67"/>
      <c r="AH355" s="66"/>
      <c r="AI355" s="67"/>
      <c r="AJ355" s="50"/>
      <c r="AK355" s="69"/>
      <c r="AL355" s="50"/>
      <c r="AM355" s="69"/>
      <c r="AN355" s="50"/>
      <c r="AO355" s="69"/>
      <c r="AP355" s="50"/>
      <c r="AQ355" s="69"/>
      <c r="AR355" s="50"/>
      <c r="AS355" s="642" t="s">
        <v>303</v>
      </c>
      <c r="AT355" s="326"/>
      <c r="AU355" s="326"/>
      <c r="AV355" s="326"/>
      <c r="AW355" s="326"/>
      <c r="AX355" s="326"/>
      <c r="AY355" s="327"/>
      <c r="AZ355" s="70"/>
      <c r="BA355" s="70"/>
      <c r="BB355" s="643" t="s">
        <v>334</v>
      </c>
      <c r="BC355" s="327"/>
      <c r="BD355" s="645" t="s">
        <v>303</v>
      </c>
      <c r="BE355" s="326"/>
      <c r="BF355" s="327"/>
      <c r="BG355" s="646" t="s">
        <v>303</v>
      </c>
      <c r="BH355" s="326"/>
      <c r="BI355" s="326"/>
      <c r="BJ355" s="327"/>
      <c r="BK355" s="647"/>
      <c r="BL355" s="326"/>
      <c r="BM355" s="327"/>
      <c r="BN355" s="71"/>
      <c r="BO355" s="71"/>
      <c r="BP355" s="646"/>
      <c r="BQ355" s="326"/>
      <c r="BR355" s="327"/>
      <c r="BS355" s="645" t="s">
        <v>303</v>
      </c>
      <c r="BT355" s="326"/>
      <c r="BU355" s="327"/>
    </row>
    <row r="356" spans="1:73" ht="30" customHeight="1" x14ac:dyDescent="0.25">
      <c r="A356" s="65">
        <f t="shared" si="1"/>
        <v>342</v>
      </c>
      <c r="B356" s="639" t="s">
        <v>334</v>
      </c>
      <c r="C356" s="327"/>
      <c r="D356" s="640" t="s">
        <v>303</v>
      </c>
      <c r="E356" s="326"/>
      <c r="F356" s="326"/>
      <c r="G356" s="327"/>
      <c r="H356" s="641" t="s">
        <v>303</v>
      </c>
      <c r="I356" s="326"/>
      <c r="J356" s="326"/>
      <c r="K356" s="327"/>
      <c r="L356" s="438" t="s">
        <v>303</v>
      </c>
      <c r="M356" s="326"/>
      <c r="N356" s="327"/>
      <c r="O356" s="519" t="s">
        <v>303</v>
      </c>
      <c r="P356" s="326"/>
      <c r="Q356" s="327"/>
      <c r="R356" s="527"/>
      <c r="S356" s="326"/>
      <c r="T356" s="327"/>
      <c r="U356" s="497"/>
      <c r="V356" s="326"/>
      <c r="W356" s="327"/>
      <c r="X356" s="66"/>
      <c r="Y356" s="67"/>
      <c r="Z356" s="66"/>
      <c r="AA356" s="67"/>
      <c r="AB356" s="66"/>
      <c r="AC356" s="67"/>
      <c r="AD356" s="66"/>
      <c r="AE356" s="67"/>
      <c r="AF356" s="66"/>
      <c r="AG356" s="67"/>
      <c r="AH356" s="66"/>
      <c r="AI356" s="67"/>
      <c r="AJ356" s="50"/>
      <c r="AK356" s="69"/>
      <c r="AL356" s="50"/>
      <c r="AM356" s="69"/>
      <c r="AN356" s="50"/>
      <c r="AO356" s="69"/>
      <c r="AP356" s="50"/>
      <c r="AQ356" s="69"/>
      <c r="AR356" s="50"/>
      <c r="AS356" s="642" t="s">
        <v>303</v>
      </c>
      <c r="AT356" s="326"/>
      <c r="AU356" s="326"/>
      <c r="AV356" s="326"/>
      <c r="AW356" s="326"/>
      <c r="AX356" s="326"/>
      <c r="AY356" s="327"/>
      <c r="AZ356" s="70"/>
      <c r="BA356" s="70"/>
      <c r="BB356" s="643" t="s">
        <v>334</v>
      </c>
      <c r="BC356" s="327"/>
      <c r="BD356" s="645" t="s">
        <v>303</v>
      </c>
      <c r="BE356" s="326"/>
      <c r="BF356" s="327"/>
      <c r="BG356" s="646" t="s">
        <v>303</v>
      </c>
      <c r="BH356" s="326"/>
      <c r="BI356" s="326"/>
      <c r="BJ356" s="327"/>
      <c r="BK356" s="647"/>
      <c r="BL356" s="326"/>
      <c r="BM356" s="327"/>
      <c r="BN356" s="71"/>
      <c r="BO356" s="71"/>
      <c r="BP356" s="646"/>
      <c r="BQ356" s="326"/>
      <c r="BR356" s="327"/>
      <c r="BS356" s="645" t="s">
        <v>303</v>
      </c>
      <c r="BT356" s="326"/>
      <c r="BU356" s="327"/>
    </row>
    <row r="357" spans="1:73" ht="30" customHeight="1" x14ac:dyDescent="0.25">
      <c r="A357" s="65">
        <f t="shared" si="1"/>
        <v>343</v>
      </c>
      <c r="B357" s="639" t="s">
        <v>334</v>
      </c>
      <c r="C357" s="327"/>
      <c r="D357" s="640" t="s">
        <v>303</v>
      </c>
      <c r="E357" s="326"/>
      <c r="F357" s="326"/>
      <c r="G357" s="327"/>
      <c r="H357" s="641" t="s">
        <v>303</v>
      </c>
      <c r="I357" s="326"/>
      <c r="J357" s="326"/>
      <c r="K357" s="327"/>
      <c r="L357" s="438" t="s">
        <v>303</v>
      </c>
      <c r="M357" s="326"/>
      <c r="N357" s="327"/>
      <c r="O357" s="519" t="s">
        <v>303</v>
      </c>
      <c r="P357" s="326"/>
      <c r="Q357" s="327"/>
      <c r="R357" s="527"/>
      <c r="S357" s="326"/>
      <c r="T357" s="327"/>
      <c r="U357" s="497"/>
      <c r="V357" s="326"/>
      <c r="W357" s="327"/>
      <c r="X357" s="66"/>
      <c r="Y357" s="67"/>
      <c r="Z357" s="66"/>
      <c r="AA357" s="67"/>
      <c r="AB357" s="66"/>
      <c r="AC357" s="67"/>
      <c r="AD357" s="66"/>
      <c r="AE357" s="67"/>
      <c r="AF357" s="66"/>
      <c r="AG357" s="67"/>
      <c r="AH357" s="66"/>
      <c r="AI357" s="67"/>
      <c r="AJ357" s="50"/>
      <c r="AK357" s="69"/>
      <c r="AL357" s="50"/>
      <c r="AM357" s="69"/>
      <c r="AN357" s="50"/>
      <c r="AO357" s="69"/>
      <c r="AP357" s="50"/>
      <c r="AQ357" s="69"/>
      <c r="AR357" s="50"/>
      <c r="AS357" s="642" t="s">
        <v>303</v>
      </c>
      <c r="AT357" s="326"/>
      <c r="AU357" s="326"/>
      <c r="AV357" s="326"/>
      <c r="AW357" s="326"/>
      <c r="AX357" s="326"/>
      <c r="AY357" s="327"/>
      <c r="AZ357" s="70"/>
      <c r="BA357" s="70"/>
      <c r="BB357" s="643" t="s">
        <v>334</v>
      </c>
      <c r="BC357" s="327"/>
      <c r="BD357" s="645" t="s">
        <v>303</v>
      </c>
      <c r="BE357" s="326"/>
      <c r="BF357" s="327"/>
      <c r="BG357" s="646" t="s">
        <v>303</v>
      </c>
      <c r="BH357" s="326"/>
      <c r="BI357" s="326"/>
      <c r="BJ357" s="327"/>
      <c r="BK357" s="647"/>
      <c r="BL357" s="326"/>
      <c r="BM357" s="327"/>
      <c r="BN357" s="71"/>
      <c r="BO357" s="71"/>
      <c r="BP357" s="646"/>
      <c r="BQ357" s="326"/>
      <c r="BR357" s="327"/>
      <c r="BS357" s="645" t="s">
        <v>303</v>
      </c>
      <c r="BT357" s="326"/>
      <c r="BU357" s="327"/>
    </row>
    <row r="358" spans="1:73" ht="30" customHeight="1" x14ac:dyDescent="0.25">
      <c r="A358" s="65">
        <f t="shared" si="1"/>
        <v>344</v>
      </c>
      <c r="B358" s="639" t="s">
        <v>334</v>
      </c>
      <c r="C358" s="327"/>
      <c r="D358" s="640" t="s">
        <v>303</v>
      </c>
      <c r="E358" s="326"/>
      <c r="F358" s="326"/>
      <c r="G358" s="327"/>
      <c r="H358" s="641" t="s">
        <v>303</v>
      </c>
      <c r="I358" s="326"/>
      <c r="J358" s="326"/>
      <c r="K358" s="327"/>
      <c r="L358" s="438" t="s">
        <v>303</v>
      </c>
      <c r="M358" s="326"/>
      <c r="N358" s="327"/>
      <c r="O358" s="519" t="s">
        <v>303</v>
      </c>
      <c r="P358" s="326"/>
      <c r="Q358" s="327"/>
      <c r="R358" s="527"/>
      <c r="S358" s="326"/>
      <c r="T358" s="327"/>
      <c r="U358" s="497"/>
      <c r="V358" s="326"/>
      <c r="W358" s="327"/>
      <c r="X358" s="66"/>
      <c r="Y358" s="67"/>
      <c r="Z358" s="66"/>
      <c r="AA358" s="67"/>
      <c r="AB358" s="66"/>
      <c r="AC358" s="67"/>
      <c r="AD358" s="66"/>
      <c r="AE358" s="67"/>
      <c r="AF358" s="66"/>
      <c r="AG358" s="67"/>
      <c r="AH358" s="66"/>
      <c r="AI358" s="67"/>
      <c r="AJ358" s="50"/>
      <c r="AK358" s="69"/>
      <c r="AL358" s="50"/>
      <c r="AM358" s="69"/>
      <c r="AN358" s="50"/>
      <c r="AO358" s="69"/>
      <c r="AP358" s="50"/>
      <c r="AQ358" s="69"/>
      <c r="AR358" s="50"/>
      <c r="AS358" s="642" t="s">
        <v>303</v>
      </c>
      <c r="AT358" s="326"/>
      <c r="AU358" s="326"/>
      <c r="AV358" s="326"/>
      <c r="AW358" s="326"/>
      <c r="AX358" s="326"/>
      <c r="AY358" s="327"/>
      <c r="AZ358" s="70"/>
      <c r="BA358" s="70"/>
      <c r="BB358" s="643" t="s">
        <v>334</v>
      </c>
      <c r="BC358" s="327"/>
      <c r="BD358" s="645" t="s">
        <v>303</v>
      </c>
      <c r="BE358" s="326"/>
      <c r="BF358" s="327"/>
      <c r="BG358" s="646" t="s">
        <v>303</v>
      </c>
      <c r="BH358" s="326"/>
      <c r="BI358" s="326"/>
      <c r="BJ358" s="327"/>
      <c r="BK358" s="647"/>
      <c r="BL358" s="326"/>
      <c r="BM358" s="327"/>
      <c r="BN358" s="71"/>
      <c r="BO358" s="71"/>
      <c r="BP358" s="646"/>
      <c r="BQ358" s="326"/>
      <c r="BR358" s="327"/>
      <c r="BS358" s="645" t="s">
        <v>303</v>
      </c>
      <c r="BT358" s="326"/>
      <c r="BU358" s="327"/>
    </row>
    <row r="359" spans="1:73" ht="30" customHeight="1" x14ac:dyDescent="0.25">
      <c r="A359" s="65">
        <f t="shared" si="1"/>
        <v>345</v>
      </c>
      <c r="B359" s="639" t="s">
        <v>334</v>
      </c>
      <c r="C359" s="327"/>
      <c r="D359" s="640" t="s">
        <v>303</v>
      </c>
      <c r="E359" s="326"/>
      <c r="F359" s="326"/>
      <c r="G359" s="327"/>
      <c r="H359" s="641" t="s">
        <v>303</v>
      </c>
      <c r="I359" s="326"/>
      <c r="J359" s="326"/>
      <c r="K359" s="327"/>
      <c r="L359" s="438" t="s">
        <v>303</v>
      </c>
      <c r="M359" s="326"/>
      <c r="N359" s="327"/>
      <c r="O359" s="519" t="s">
        <v>303</v>
      </c>
      <c r="P359" s="326"/>
      <c r="Q359" s="327"/>
      <c r="R359" s="527"/>
      <c r="S359" s="326"/>
      <c r="T359" s="327"/>
      <c r="U359" s="497"/>
      <c r="V359" s="326"/>
      <c r="W359" s="327"/>
      <c r="X359" s="66"/>
      <c r="Y359" s="67"/>
      <c r="Z359" s="66"/>
      <c r="AA359" s="67"/>
      <c r="AB359" s="66"/>
      <c r="AC359" s="67"/>
      <c r="AD359" s="66"/>
      <c r="AE359" s="67"/>
      <c r="AF359" s="66"/>
      <c r="AG359" s="67"/>
      <c r="AH359" s="66"/>
      <c r="AI359" s="67"/>
      <c r="AJ359" s="50"/>
      <c r="AK359" s="69"/>
      <c r="AL359" s="50"/>
      <c r="AM359" s="69"/>
      <c r="AN359" s="50"/>
      <c r="AO359" s="69"/>
      <c r="AP359" s="50"/>
      <c r="AQ359" s="69"/>
      <c r="AR359" s="50"/>
      <c r="AS359" s="642" t="s">
        <v>303</v>
      </c>
      <c r="AT359" s="326"/>
      <c r="AU359" s="326"/>
      <c r="AV359" s="326"/>
      <c r="AW359" s="326"/>
      <c r="AX359" s="326"/>
      <c r="AY359" s="327"/>
      <c r="AZ359" s="70"/>
      <c r="BA359" s="70"/>
      <c r="BB359" s="643" t="s">
        <v>334</v>
      </c>
      <c r="BC359" s="327"/>
      <c r="BD359" s="645" t="s">
        <v>303</v>
      </c>
      <c r="BE359" s="326"/>
      <c r="BF359" s="327"/>
      <c r="BG359" s="646" t="s">
        <v>303</v>
      </c>
      <c r="BH359" s="326"/>
      <c r="BI359" s="326"/>
      <c r="BJ359" s="327"/>
      <c r="BK359" s="647"/>
      <c r="BL359" s="326"/>
      <c r="BM359" s="327"/>
      <c r="BN359" s="71"/>
      <c r="BO359" s="71"/>
      <c r="BP359" s="646"/>
      <c r="BQ359" s="326"/>
      <c r="BR359" s="327"/>
      <c r="BS359" s="645" t="s">
        <v>303</v>
      </c>
      <c r="BT359" s="326"/>
      <c r="BU359" s="327"/>
    </row>
    <row r="360" spans="1:73" ht="30" customHeight="1" x14ac:dyDescent="0.25">
      <c r="A360" s="65">
        <f t="shared" si="1"/>
        <v>346</v>
      </c>
      <c r="B360" s="639" t="s">
        <v>334</v>
      </c>
      <c r="C360" s="327"/>
      <c r="D360" s="640" t="s">
        <v>303</v>
      </c>
      <c r="E360" s="326"/>
      <c r="F360" s="326"/>
      <c r="G360" s="327"/>
      <c r="H360" s="641" t="s">
        <v>303</v>
      </c>
      <c r="I360" s="326"/>
      <c r="J360" s="326"/>
      <c r="K360" s="327"/>
      <c r="L360" s="438" t="s">
        <v>303</v>
      </c>
      <c r="M360" s="326"/>
      <c r="N360" s="327"/>
      <c r="O360" s="519" t="s">
        <v>303</v>
      </c>
      <c r="P360" s="326"/>
      <c r="Q360" s="327"/>
      <c r="R360" s="527"/>
      <c r="S360" s="326"/>
      <c r="T360" s="327"/>
      <c r="U360" s="497"/>
      <c r="V360" s="326"/>
      <c r="W360" s="327"/>
      <c r="X360" s="66"/>
      <c r="Y360" s="67"/>
      <c r="Z360" s="66"/>
      <c r="AA360" s="67"/>
      <c r="AB360" s="66"/>
      <c r="AC360" s="67"/>
      <c r="AD360" s="66"/>
      <c r="AE360" s="67"/>
      <c r="AF360" s="66"/>
      <c r="AG360" s="67"/>
      <c r="AH360" s="66"/>
      <c r="AI360" s="67"/>
      <c r="AJ360" s="50"/>
      <c r="AK360" s="69"/>
      <c r="AL360" s="50"/>
      <c r="AM360" s="69"/>
      <c r="AN360" s="50"/>
      <c r="AO360" s="69"/>
      <c r="AP360" s="50"/>
      <c r="AQ360" s="69"/>
      <c r="AR360" s="50"/>
      <c r="AS360" s="642" t="s">
        <v>303</v>
      </c>
      <c r="AT360" s="326"/>
      <c r="AU360" s="326"/>
      <c r="AV360" s="326"/>
      <c r="AW360" s="326"/>
      <c r="AX360" s="326"/>
      <c r="AY360" s="327"/>
      <c r="AZ360" s="70"/>
      <c r="BA360" s="70"/>
      <c r="BB360" s="643" t="s">
        <v>334</v>
      </c>
      <c r="BC360" s="327"/>
      <c r="BD360" s="645" t="s">
        <v>303</v>
      </c>
      <c r="BE360" s="326"/>
      <c r="BF360" s="327"/>
      <c r="BG360" s="646" t="s">
        <v>303</v>
      </c>
      <c r="BH360" s="326"/>
      <c r="BI360" s="326"/>
      <c r="BJ360" s="327"/>
      <c r="BK360" s="647"/>
      <c r="BL360" s="326"/>
      <c r="BM360" s="327"/>
      <c r="BN360" s="71"/>
      <c r="BO360" s="71"/>
      <c r="BP360" s="646"/>
      <c r="BQ360" s="326"/>
      <c r="BR360" s="327"/>
      <c r="BS360" s="645" t="s">
        <v>303</v>
      </c>
      <c r="BT360" s="326"/>
      <c r="BU360" s="327"/>
    </row>
    <row r="361" spans="1:73" ht="30" customHeight="1" x14ac:dyDescent="0.25">
      <c r="A361" s="65">
        <f t="shared" si="1"/>
        <v>347</v>
      </c>
      <c r="B361" s="639" t="s">
        <v>334</v>
      </c>
      <c r="C361" s="327"/>
      <c r="D361" s="640" t="s">
        <v>303</v>
      </c>
      <c r="E361" s="326"/>
      <c r="F361" s="326"/>
      <c r="G361" s="327"/>
      <c r="H361" s="641" t="s">
        <v>303</v>
      </c>
      <c r="I361" s="326"/>
      <c r="J361" s="326"/>
      <c r="K361" s="327"/>
      <c r="L361" s="438" t="s">
        <v>303</v>
      </c>
      <c r="M361" s="326"/>
      <c r="N361" s="327"/>
      <c r="O361" s="519" t="s">
        <v>303</v>
      </c>
      <c r="P361" s="326"/>
      <c r="Q361" s="327"/>
      <c r="R361" s="527"/>
      <c r="S361" s="326"/>
      <c r="T361" s="327"/>
      <c r="U361" s="497"/>
      <c r="V361" s="326"/>
      <c r="W361" s="327"/>
      <c r="X361" s="66"/>
      <c r="Y361" s="67"/>
      <c r="Z361" s="66"/>
      <c r="AA361" s="67"/>
      <c r="AB361" s="66"/>
      <c r="AC361" s="67"/>
      <c r="AD361" s="66"/>
      <c r="AE361" s="67"/>
      <c r="AF361" s="66"/>
      <c r="AG361" s="67"/>
      <c r="AH361" s="66"/>
      <c r="AI361" s="67"/>
      <c r="AJ361" s="50"/>
      <c r="AK361" s="69"/>
      <c r="AL361" s="50"/>
      <c r="AM361" s="69"/>
      <c r="AN361" s="50"/>
      <c r="AO361" s="69"/>
      <c r="AP361" s="50"/>
      <c r="AQ361" s="69"/>
      <c r="AR361" s="50"/>
      <c r="AS361" s="642" t="s">
        <v>303</v>
      </c>
      <c r="AT361" s="326"/>
      <c r="AU361" s="326"/>
      <c r="AV361" s="326"/>
      <c r="AW361" s="326"/>
      <c r="AX361" s="326"/>
      <c r="AY361" s="327"/>
      <c r="AZ361" s="70"/>
      <c r="BA361" s="70"/>
      <c r="BB361" s="643" t="s">
        <v>334</v>
      </c>
      <c r="BC361" s="327"/>
      <c r="BD361" s="645" t="s">
        <v>303</v>
      </c>
      <c r="BE361" s="326"/>
      <c r="BF361" s="327"/>
      <c r="BG361" s="646" t="s">
        <v>303</v>
      </c>
      <c r="BH361" s="326"/>
      <c r="BI361" s="326"/>
      <c r="BJ361" s="327"/>
      <c r="BK361" s="647"/>
      <c r="BL361" s="326"/>
      <c r="BM361" s="327"/>
      <c r="BN361" s="71"/>
      <c r="BO361" s="71"/>
      <c r="BP361" s="646"/>
      <c r="BQ361" s="326"/>
      <c r="BR361" s="327"/>
      <c r="BS361" s="645" t="s">
        <v>303</v>
      </c>
      <c r="BT361" s="326"/>
      <c r="BU361" s="327"/>
    </row>
    <row r="362" spans="1:73" ht="30" customHeight="1" x14ac:dyDescent="0.25">
      <c r="A362" s="65">
        <f t="shared" si="1"/>
        <v>348</v>
      </c>
      <c r="B362" s="639" t="s">
        <v>334</v>
      </c>
      <c r="C362" s="327"/>
      <c r="D362" s="640" t="s">
        <v>303</v>
      </c>
      <c r="E362" s="326"/>
      <c r="F362" s="326"/>
      <c r="G362" s="327"/>
      <c r="H362" s="641" t="s">
        <v>303</v>
      </c>
      <c r="I362" s="326"/>
      <c r="J362" s="326"/>
      <c r="K362" s="327"/>
      <c r="L362" s="438" t="s">
        <v>303</v>
      </c>
      <c r="M362" s="326"/>
      <c r="N362" s="327"/>
      <c r="O362" s="519" t="s">
        <v>303</v>
      </c>
      <c r="P362" s="326"/>
      <c r="Q362" s="327"/>
      <c r="R362" s="527"/>
      <c r="S362" s="326"/>
      <c r="T362" s="327"/>
      <c r="U362" s="497"/>
      <c r="V362" s="326"/>
      <c r="W362" s="327"/>
      <c r="X362" s="66"/>
      <c r="Y362" s="67"/>
      <c r="Z362" s="66"/>
      <c r="AA362" s="67"/>
      <c r="AB362" s="66"/>
      <c r="AC362" s="67"/>
      <c r="AD362" s="66"/>
      <c r="AE362" s="67"/>
      <c r="AF362" s="66"/>
      <c r="AG362" s="67"/>
      <c r="AH362" s="66"/>
      <c r="AI362" s="67"/>
      <c r="AJ362" s="50"/>
      <c r="AK362" s="69"/>
      <c r="AL362" s="50"/>
      <c r="AM362" s="69"/>
      <c r="AN362" s="50"/>
      <c r="AO362" s="69"/>
      <c r="AP362" s="50"/>
      <c r="AQ362" s="69"/>
      <c r="AR362" s="50"/>
      <c r="AS362" s="642" t="s">
        <v>303</v>
      </c>
      <c r="AT362" s="326"/>
      <c r="AU362" s="326"/>
      <c r="AV362" s="326"/>
      <c r="AW362" s="326"/>
      <c r="AX362" s="326"/>
      <c r="AY362" s="327"/>
      <c r="AZ362" s="70"/>
      <c r="BA362" s="70"/>
      <c r="BB362" s="643" t="s">
        <v>334</v>
      </c>
      <c r="BC362" s="327"/>
      <c r="BD362" s="645" t="s">
        <v>303</v>
      </c>
      <c r="BE362" s="326"/>
      <c r="BF362" s="327"/>
      <c r="BG362" s="646" t="s">
        <v>303</v>
      </c>
      <c r="BH362" s="326"/>
      <c r="BI362" s="326"/>
      <c r="BJ362" s="327"/>
      <c r="BK362" s="647"/>
      <c r="BL362" s="326"/>
      <c r="BM362" s="327"/>
      <c r="BN362" s="71"/>
      <c r="BO362" s="71"/>
      <c r="BP362" s="646"/>
      <c r="BQ362" s="326"/>
      <c r="BR362" s="327"/>
      <c r="BS362" s="645" t="s">
        <v>303</v>
      </c>
      <c r="BT362" s="326"/>
      <c r="BU362" s="327"/>
    </row>
    <row r="363" spans="1:73" ht="30" customHeight="1" x14ac:dyDescent="0.25">
      <c r="A363" s="65">
        <f t="shared" si="1"/>
        <v>349</v>
      </c>
      <c r="B363" s="639" t="s">
        <v>334</v>
      </c>
      <c r="C363" s="327"/>
      <c r="D363" s="640" t="s">
        <v>303</v>
      </c>
      <c r="E363" s="326"/>
      <c r="F363" s="326"/>
      <c r="G363" s="327"/>
      <c r="H363" s="641" t="s">
        <v>303</v>
      </c>
      <c r="I363" s="326"/>
      <c r="J363" s="326"/>
      <c r="K363" s="327"/>
      <c r="L363" s="438" t="s">
        <v>303</v>
      </c>
      <c r="M363" s="326"/>
      <c r="N363" s="327"/>
      <c r="O363" s="519" t="s">
        <v>303</v>
      </c>
      <c r="P363" s="326"/>
      <c r="Q363" s="327"/>
      <c r="R363" s="527"/>
      <c r="S363" s="326"/>
      <c r="T363" s="327"/>
      <c r="U363" s="497"/>
      <c r="V363" s="326"/>
      <c r="W363" s="327"/>
      <c r="X363" s="66"/>
      <c r="Y363" s="67"/>
      <c r="Z363" s="66"/>
      <c r="AA363" s="67"/>
      <c r="AB363" s="66"/>
      <c r="AC363" s="67"/>
      <c r="AD363" s="66"/>
      <c r="AE363" s="67"/>
      <c r="AF363" s="66"/>
      <c r="AG363" s="67"/>
      <c r="AH363" s="66"/>
      <c r="AI363" s="67"/>
      <c r="AJ363" s="50"/>
      <c r="AK363" s="69"/>
      <c r="AL363" s="50"/>
      <c r="AM363" s="69"/>
      <c r="AN363" s="50"/>
      <c r="AO363" s="69"/>
      <c r="AP363" s="50"/>
      <c r="AQ363" s="69"/>
      <c r="AR363" s="50"/>
      <c r="AS363" s="642" t="s">
        <v>303</v>
      </c>
      <c r="AT363" s="326"/>
      <c r="AU363" s="326"/>
      <c r="AV363" s="326"/>
      <c r="AW363" s="326"/>
      <c r="AX363" s="326"/>
      <c r="AY363" s="327"/>
      <c r="AZ363" s="70"/>
      <c r="BA363" s="70"/>
      <c r="BB363" s="643" t="s">
        <v>334</v>
      </c>
      <c r="BC363" s="327"/>
      <c r="BD363" s="645" t="s">
        <v>303</v>
      </c>
      <c r="BE363" s="326"/>
      <c r="BF363" s="327"/>
      <c r="BG363" s="646" t="s">
        <v>303</v>
      </c>
      <c r="BH363" s="326"/>
      <c r="BI363" s="326"/>
      <c r="BJ363" s="327"/>
      <c r="BK363" s="647"/>
      <c r="BL363" s="326"/>
      <c r="BM363" s="327"/>
      <c r="BN363" s="71"/>
      <c r="BO363" s="71"/>
      <c r="BP363" s="646"/>
      <c r="BQ363" s="326"/>
      <c r="BR363" s="327"/>
      <c r="BS363" s="645" t="s">
        <v>303</v>
      </c>
      <c r="BT363" s="326"/>
      <c r="BU363" s="327"/>
    </row>
    <row r="364" spans="1:73" ht="30" customHeight="1" x14ac:dyDescent="0.25">
      <c r="A364" s="65">
        <f t="shared" si="1"/>
        <v>350</v>
      </c>
      <c r="B364" s="639" t="s">
        <v>334</v>
      </c>
      <c r="C364" s="327"/>
      <c r="D364" s="640" t="s">
        <v>303</v>
      </c>
      <c r="E364" s="326"/>
      <c r="F364" s="326"/>
      <c r="G364" s="327"/>
      <c r="H364" s="641" t="s">
        <v>303</v>
      </c>
      <c r="I364" s="326"/>
      <c r="J364" s="326"/>
      <c r="K364" s="327"/>
      <c r="L364" s="438" t="s">
        <v>303</v>
      </c>
      <c r="M364" s="326"/>
      <c r="N364" s="327"/>
      <c r="O364" s="519" t="s">
        <v>303</v>
      </c>
      <c r="P364" s="326"/>
      <c r="Q364" s="327"/>
      <c r="R364" s="527"/>
      <c r="S364" s="326"/>
      <c r="T364" s="327"/>
      <c r="U364" s="497"/>
      <c r="V364" s="326"/>
      <c r="W364" s="327"/>
      <c r="X364" s="66"/>
      <c r="Y364" s="67"/>
      <c r="Z364" s="66"/>
      <c r="AA364" s="67"/>
      <c r="AB364" s="66"/>
      <c r="AC364" s="67"/>
      <c r="AD364" s="66"/>
      <c r="AE364" s="67"/>
      <c r="AF364" s="66"/>
      <c r="AG364" s="67"/>
      <c r="AH364" s="66"/>
      <c r="AI364" s="67"/>
      <c r="AJ364" s="50"/>
      <c r="AK364" s="69"/>
      <c r="AL364" s="50"/>
      <c r="AM364" s="69"/>
      <c r="AN364" s="50"/>
      <c r="AO364" s="69"/>
      <c r="AP364" s="50"/>
      <c r="AQ364" s="69"/>
      <c r="AR364" s="50"/>
      <c r="AS364" s="642" t="s">
        <v>303</v>
      </c>
      <c r="AT364" s="326"/>
      <c r="AU364" s="326"/>
      <c r="AV364" s="326"/>
      <c r="AW364" s="326"/>
      <c r="AX364" s="326"/>
      <c r="AY364" s="327"/>
      <c r="AZ364" s="70"/>
      <c r="BA364" s="70"/>
      <c r="BB364" s="643" t="s">
        <v>334</v>
      </c>
      <c r="BC364" s="327"/>
      <c r="BD364" s="645" t="s">
        <v>303</v>
      </c>
      <c r="BE364" s="326"/>
      <c r="BF364" s="327"/>
      <c r="BG364" s="646" t="s">
        <v>303</v>
      </c>
      <c r="BH364" s="326"/>
      <c r="BI364" s="326"/>
      <c r="BJ364" s="327"/>
      <c r="BK364" s="647"/>
      <c r="BL364" s="326"/>
      <c r="BM364" s="327"/>
      <c r="BN364" s="71"/>
      <c r="BO364" s="71"/>
      <c r="BP364" s="646"/>
      <c r="BQ364" s="326"/>
      <c r="BR364" s="327"/>
      <c r="BS364" s="645" t="s">
        <v>303</v>
      </c>
      <c r="BT364" s="326"/>
      <c r="BU364" s="327"/>
    </row>
    <row r="365" spans="1:73" ht="30" customHeight="1" x14ac:dyDescent="0.25">
      <c r="A365" s="65">
        <f t="shared" si="1"/>
        <v>351</v>
      </c>
      <c r="B365" s="639" t="s">
        <v>334</v>
      </c>
      <c r="C365" s="327"/>
      <c r="D365" s="640" t="s">
        <v>303</v>
      </c>
      <c r="E365" s="326"/>
      <c r="F365" s="326"/>
      <c r="G365" s="327"/>
      <c r="H365" s="641" t="s">
        <v>303</v>
      </c>
      <c r="I365" s="326"/>
      <c r="J365" s="326"/>
      <c r="K365" s="327"/>
      <c r="L365" s="438" t="s">
        <v>303</v>
      </c>
      <c r="M365" s="326"/>
      <c r="N365" s="327"/>
      <c r="O365" s="519" t="s">
        <v>303</v>
      </c>
      <c r="P365" s="326"/>
      <c r="Q365" s="327"/>
      <c r="R365" s="527"/>
      <c r="S365" s="326"/>
      <c r="T365" s="327"/>
      <c r="U365" s="497"/>
      <c r="V365" s="326"/>
      <c r="W365" s="327"/>
      <c r="X365" s="66"/>
      <c r="Y365" s="67"/>
      <c r="Z365" s="66"/>
      <c r="AA365" s="67"/>
      <c r="AB365" s="66"/>
      <c r="AC365" s="67"/>
      <c r="AD365" s="66"/>
      <c r="AE365" s="67"/>
      <c r="AF365" s="66"/>
      <c r="AG365" s="67"/>
      <c r="AH365" s="66"/>
      <c r="AI365" s="67"/>
      <c r="AJ365" s="50"/>
      <c r="AK365" s="69"/>
      <c r="AL365" s="50"/>
      <c r="AM365" s="69"/>
      <c r="AN365" s="50"/>
      <c r="AO365" s="69"/>
      <c r="AP365" s="50"/>
      <c r="AQ365" s="69"/>
      <c r="AR365" s="50"/>
      <c r="AS365" s="642" t="s">
        <v>303</v>
      </c>
      <c r="AT365" s="326"/>
      <c r="AU365" s="326"/>
      <c r="AV365" s="326"/>
      <c r="AW365" s="326"/>
      <c r="AX365" s="326"/>
      <c r="AY365" s="327"/>
      <c r="AZ365" s="70"/>
      <c r="BA365" s="70"/>
      <c r="BB365" s="643" t="s">
        <v>334</v>
      </c>
      <c r="BC365" s="327"/>
      <c r="BD365" s="645" t="s">
        <v>303</v>
      </c>
      <c r="BE365" s="326"/>
      <c r="BF365" s="327"/>
      <c r="BG365" s="646" t="s">
        <v>303</v>
      </c>
      <c r="BH365" s="326"/>
      <c r="BI365" s="326"/>
      <c r="BJ365" s="327"/>
      <c r="BK365" s="647"/>
      <c r="BL365" s="326"/>
      <c r="BM365" s="327"/>
      <c r="BN365" s="71"/>
      <c r="BO365" s="71"/>
      <c r="BP365" s="646"/>
      <c r="BQ365" s="326"/>
      <c r="BR365" s="327"/>
      <c r="BS365" s="645" t="s">
        <v>303</v>
      </c>
      <c r="BT365" s="326"/>
      <c r="BU365" s="327"/>
    </row>
    <row r="366" spans="1:73" ht="30" customHeight="1" x14ac:dyDescent="0.25">
      <c r="A366" s="65">
        <f t="shared" si="1"/>
        <v>352</v>
      </c>
      <c r="B366" s="639" t="s">
        <v>334</v>
      </c>
      <c r="C366" s="327"/>
      <c r="D366" s="640" t="s">
        <v>303</v>
      </c>
      <c r="E366" s="326"/>
      <c r="F366" s="326"/>
      <c r="G366" s="327"/>
      <c r="H366" s="641" t="s">
        <v>303</v>
      </c>
      <c r="I366" s="326"/>
      <c r="J366" s="326"/>
      <c r="K366" s="327"/>
      <c r="L366" s="438" t="s">
        <v>303</v>
      </c>
      <c r="M366" s="326"/>
      <c r="N366" s="327"/>
      <c r="O366" s="519" t="s">
        <v>303</v>
      </c>
      <c r="P366" s="326"/>
      <c r="Q366" s="327"/>
      <c r="R366" s="527"/>
      <c r="S366" s="326"/>
      <c r="T366" s="327"/>
      <c r="U366" s="497"/>
      <c r="V366" s="326"/>
      <c r="W366" s="327"/>
      <c r="X366" s="66"/>
      <c r="Y366" s="67"/>
      <c r="Z366" s="66"/>
      <c r="AA366" s="67"/>
      <c r="AB366" s="66"/>
      <c r="AC366" s="67"/>
      <c r="AD366" s="66"/>
      <c r="AE366" s="67"/>
      <c r="AF366" s="66"/>
      <c r="AG366" s="67"/>
      <c r="AH366" s="66"/>
      <c r="AI366" s="67"/>
      <c r="AJ366" s="50"/>
      <c r="AK366" s="69"/>
      <c r="AL366" s="50"/>
      <c r="AM366" s="69"/>
      <c r="AN366" s="50"/>
      <c r="AO366" s="69"/>
      <c r="AP366" s="50"/>
      <c r="AQ366" s="69"/>
      <c r="AR366" s="50"/>
      <c r="AS366" s="642" t="s">
        <v>303</v>
      </c>
      <c r="AT366" s="326"/>
      <c r="AU366" s="326"/>
      <c r="AV366" s="326"/>
      <c r="AW366" s="326"/>
      <c r="AX366" s="326"/>
      <c r="AY366" s="327"/>
      <c r="AZ366" s="70"/>
      <c r="BA366" s="70"/>
      <c r="BB366" s="643" t="s">
        <v>334</v>
      </c>
      <c r="BC366" s="327"/>
      <c r="BD366" s="645" t="s">
        <v>303</v>
      </c>
      <c r="BE366" s="326"/>
      <c r="BF366" s="327"/>
      <c r="BG366" s="646" t="s">
        <v>303</v>
      </c>
      <c r="BH366" s="326"/>
      <c r="BI366" s="326"/>
      <c r="BJ366" s="327"/>
      <c r="BK366" s="647"/>
      <c r="BL366" s="326"/>
      <c r="BM366" s="327"/>
      <c r="BN366" s="71"/>
      <c r="BO366" s="71"/>
      <c r="BP366" s="646"/>
      <c r="BQ366" s="326"/>
      <c r="BR366" s="327"/>
      <c r="BS366" s="645" t="s">
        <v>303</v>
      </c>
      <c r="BT366" s="326"/>
      <c r="BU366" s="327"/>
    </row>
    <row r="367" spans="1:73" ht="30" customHeight="1" x14ac:dyDescent="0.25">
      <c r="A367" s="65">
        <f t="shared" si="1"/>
        <v>353</v>
      </c>
      <c r="B367" s="639" t="s">
        <v>334</v>
      </c>
      <c r="C367" s="327"/>
      <c r="D367" s="640" t="s">
        <v>303</v>
      </c>
      <c r="E367" s="326"/>
      <c r="F367" s="326"/>
      <c r="G367" s="327"/>
      <c r="H367" s="641" t="s">
        <v>303</v>
      </c>
      <c r="I367" s="326"/>
      <c r="J367" s="326"/>
      <c r="K367" s="327"/>
      <c r="L367" s="438" t="s">
        <v>303</v>
      </c>
      <c r="M367" s="326"/>
      <c r="N367" s="327"/>
      <c r="O367" s="519" t="s">
        <v>303</v>
      </c>
      <c r="P367" s="326"/>
      <c r="Q367" s="327"/>
      <c r="R367" s="527"/>
      <c r="S367" s="326"/>
      <c r="T367" s="327"/>
      <c r="U367" s="497"/>
      <c r="V367" s="326"/>
      <c r="W367" s="327"/>
      <c r="X367" s="66"/>
      <c r="Y367" s="67"/>
      <c r="Z367" s="66"/>
      <c r="AA367" s="67"/>
      <c r="AB367" s="66"/>
      <c r="AC367" s="67"/>
      <c r="AD367" s="66"/>
      <c r="AE367" s="67"/>
      <c r="AF367" s="66"/>
      <c r="AG367" s="67"/>
      <c r="AH367" s="66"/>
      <c r="AI367" s="67"/>
      <c r="AJ367" s="50"/>
      <c r="AK367" s="69"/>
      <c r="AL367" s="50"/>
      <c r="AM367" s="69"/>
      <c r="AN367" s="50"/>
      <c r="AO367" s="69"/>
      <c r="AP367" s="50"/>
      <c r="AQ367" s="69"/>
      <c r="AR367" s="50"/>
      <c r="AS367" s="642" t="s">
        <v>303</v>
      </c>
      <c r="AT367" s="326"/>
      <c r="AU367" s="326"/>
      <c r="AV367" s="326"/>
      <c r="AW367" s="326"/>
      <c r="AX367" s="326"/>
      <c r="AY367" s="327"/>
      <c r="AZ367" s="70"/>
      <c r="BA367" s="70"/>
      <c r="BB367" s="643" t="s">
        <v>334</v>
      </c>
      <c r="BC367" s="327"/>
      <c r="BD367" s="645" t="s">
        <v>303</v>
      </c>
      <c r="BE367" s="326"/>
      <c r="BF367" s="327"/>
      <c r="BG367" s="646" t="s">
        <v>303</v>
      </c>
      <c r="BH367" s="326"/>
      <c r="BI367" s="326"/>
      <c r="BJ367" s="327"/>
      <c r="BK367" s="647"/>
      <c r="BL367" s="326"/>
      <c r="BM367" s="327"/>
      <c r="BN367" s="71"/>
      <c r="BO367" s="71"/>
      <c r="BP367" s="646"/>
      <c r="BQ367" s="326"/>
      <c r="BR367" s="327"/>
      <c r="BS367" s="645" t="s">
        <v>303</v>
      </c>
      <c r="BT367" s="326"/>
      <c r="BU367" s="327"/>
    </row>
    <row r="368" spans="1:73" ht="30" customHeight="1" x14ac:dyDescent="0.25">
      <c r="A368" s="65">
        <f t="shared" si="1"/>
        <v>354</v>
      </c>
      <c r="B368" s="639" t="s">
        <v>334</v>
      </c>
      <c r="C368" s="327"/>
      <c r="D368" s="640" t="s">
        <v>303</v>
      </c>
      <c r="E368" s="326"/>
      <c r="F368" s="326"/>
      <c r="G368" s="327"/>
      <c r="H368" s="641" t="s">
        <v>303</v>
      </c>
      <c r="I368" s="326"/>
      <c r="J368" s="326"/>
      <c r="K368" s="327"/>
      <c r="L368" s="438" t="s">
        <v>303</v>
      </c>
      <c r="M368" s="326"/>
      <c r="N368" s="327"/>
      <c r="O368" s="519" t="s">
        <v>303</v>
      </c>
      <c r="P368" s="326"/>
      <c r="Q368" s="327"/>
      <c r="R368" s="527"/>
      <c r="S368" s="326"/>
      <c r="T368" s="327"/>
      <c r="U368" s="497"/>
      <c r="V368" s="326"/>
      <c r="W368" s="327"/>
      <c r="X368" s="66"/>
      <c r="Y368" s="67"/>
      <c r="Z368" s="66"/>
      <c r="AA368" s="67"/>
      <c r="AB368" s="66"/>
      <c r="AC368" s="67"/>
      <c r="AD368" s="66"/>
      <c r="AE368" s="67"/>
      <c r="AF368" s="66"/>
      <c r="AG368" s="67"/>
      <c r="AH368" s="66"/>
      <c r="AI368" s="67"/>
      <c r="AJ368" s="50"/>
      <c r="AK368" s="69"/>
      <c r="AL368" s="50"/>
      <c r="AM368" s="69"/>
      <c r="AN368" s="50"/>
      <c r="AO368" s="69"/>
      <c r="AP368" s="50"/>
      <c r="AQ368" s="69"/>
      <c r="AR368" s="50"/>
      <c r="AS368" s="642" t="s">
        <v>303</v>
      </c>
      <c r="AT368" s="326"/>
      <c r="AU368" s="326"/>
      <c r="AV368" s="326"/>
      <c r="AW368" s="326"/>
      <c r="AX368" s="326"/>
      <c r="AY368" s="327"/>
      <c r="AZ368" s="70"/>
      <c r="BA368" s="70"/>
      <c r="BB368" s="643" t="s">
        <v>334</v>
      </c>
      <c r="BC368" s="327"/>
      <c r="BD368" s="645" t="s">
        <v>303</v>
      </c>
      <c r="BE368" s="326"/>
      <c r="BF368" s="327"/>
      <c r="BG368" s="646" t="s">
        <v>303</v>
      </c>
      <c r="BH368" s="326"/>
      <c r="BI368" s="326"/>
      <c r="BJ368" s="327"/>
      <c r="BK368" s="647"/>
      <c r="BL368" s="326"/>
      <c r="BM368" s="327"/>
      <c r="BN368" s="71"/>
      <c r="BO368" s="71"/>
      <c r="BP368" s="646"/>
      <c r="BQ368" s="326"/>
      <c r="BR368" s="327"/>
      <c r="BS368" s="645" t="s">
        <v>303</v>
      </c>
      <c r="BT368" s="326"/>
      <c r="BU368" s="327"/>
    </row>
    <row r="369" spans="1:73" ht="30" customHeight="1" x14ac:dyDescent="0.25">
      <c r="A369" s="65">
        <f t="shared" si="1"/>
        <v>355</v>
      </c>
      <c r="B369" s="639" t="s">
        <v>334</v>
      </c>
      <c r="C369" s="327"/>
      <c r="D369" s="640" t="s">
        <v>303</v>
      </c>
      <c r="E369" s="326"/>
      <c r="F369" s="326"/>
      <c r="G369" s="327"/>
      <c r="H369" s="641" t="s">
        <v>303</v>
      </c>
      <c r="I369" s="326"/>
      <c r="J369" s="326"/>
      <c r="K369" s="327"/>
      <c r="L369" s="438" t="s">
        <v>303</v>
      </c>
      <c r="M369" s="326"/>
      <c r="N369" s="327"/>
      <c r="O369" s="519" t="s">
        <v>303</v>
      </c>
      <c r="P369" s="326"/>
      <c r="Q369" s="327"/>
      <c r="R369" s="527"/>
      <c r="S369" s="326"/>
      <c r="T369" s="327"/>
      <c r="U369" s="497"/>
      <c r="V369" s="326"/>
      <c r="W369" s="327"/>
      <c r="X369" s="66"/>
      <c r="Y369" s="67"/>
      <c r="Z369" s="66"/>
      <c r="AA369" s="67"/>
      <c r="AB369" s="66"/>
      <c r="AC369" s="67"/>
      <c r="AD369" s="66"/>
      <c r="AE369" s="67"/>
      <c r="AF369" s="66"/>
      <c r="AG369" s="67"/>
      <c r="AH369" s="66"/>
      <c r="AI369" s="67"/>
      <c r="AJ369" s="50"/>
      <c r="AK369" s="69"/>
      <c r="AL369" s="50"/>
      <c r="AM369" s="69"/>
      <c r="AN369" s="50"/>
      <c r="AO369" s="69"/>
      <c r="AP369" s="50"/>
      <c r="AQ369" s="69"/>
      <c r="AR369" s="50"/>
      <c r="AS369" s="642" t="s">
        <v>303</v>
      </c>
      <c r="AT369" s="326"/>
      <c r="AU369" s="326"/>
      <c r="AV369" s="326"/>
      <c r="AW369" s="326"/>
      <c r="AX369" s="326"/>
      <c r="AY369" s="327"/>
      <c r="AZ369" s="70"/>
      <c r="BA369" s="70"/>
      <c r="BB369" s="643" t="s">
        <v>334</v>
      </c>
      <c r="BC369" s="327"/>
      <c r="BD369" s="645" t="s">
        <v>303</v>
      </c>
      <c r="BE369" s="326"/>
      <c r="BF369" s="327"/>
      <c r="BG369" s="646" t="s">
        <v>303</v>
      </c>
      <c r="BH369" s="326"/>
      <c r="BI369" s="326"/>
      <c r="BJ369" s="327"/>
      <c r="BK369" s="647"/>
      <c r="BL369" s="326"/>
      <c r="BM369" s="327"/>
      <c r="BN369" s="71"/>
      <c r="BO369" s="71"/>
      <c r="BP369" s="646"/>
      <c r="BQ369" s="326"/>
      <c r="BR369" s="327"/>
      <c r="BS369" s="645" t="s">
        <v>303</v>
      </c>
      <c r="BT369" s="326"/>
      <c r="BU369" s="327"/>
    </row>
    <row r="370" spans="1:73" ht="30" customHeight="1" x14ac:dyDescent="0.25">
      <c r="A370" s="65">
        <f t="shared" si="1"/>
        <v>356</v>
      </c>
      <c r="B370" s="639" t="s">
        <v>334</v>
      </c>
      <c r="C370" s="327"/>
      <c r="D370" s="640" t="s">
        <v>303</v>
      </c>
      <c r="E370" s="326"/>
      <c r="F370" s="326"/>
      <c r="G370" s="327"/>
      <c r="H370" s="641" t="s">
        <v>303</v>
      </c>
      <c r="I370" s="326"/>
      <c r="J370" s="326"/>
      <c r="K370" s="327"/>
      <c r="L370" s="438" t="s">
        <v>303</v>
      </c>
      <c r="M370" s="326"/>
      <c r="N370" s="327"/>
      <c r="O370" s="519" t="s">
        <v>303</v>
      </c>
      <c r="P370" s="326"/>
      <c r="Q370" s="327"/>
      <c r="R370" s="527"/>
      <c r="S370" s="326"/>
      <c r="T370" s="327"/>
      <c r="U370" s="497"/>
      <c r="V370" s="326"/>
      <c r="W370" s="327"/>
      <c r="X370" s="66"/>
      <c r="Y370" s="67"/>
      <c r="Z370" s="66"/>
      <c r="AA370" s="67"/>
      <c r="AB370" s="66"/>
      <c r="AC370" s="67"/>
      <c r="AD370" s="66"/>
      <c r="AE370" s="67"/>
      <c r="AF370" s="66"/>
      <c r="AG370" s="67"/>
      <c r="AH370" s="66"/>
      <c r="AI370" s="67"/>
      <c r="AJ370" s="50"/>
      <c r="AK370" s="69"/>
      <c r="AL370" s="50"/>
      <c r="AM370" s="69"/>
      <c r="AN370" s="50"/>
      <c r="AO370" s="69"/>
      <c r="AP370" s="50"/>
      <c r="AQ370" s="69"/>
      <c r="AR370" s="50"/>
      <c r="AS370" s="642" t="s">
        <v>303</v>
      </c>
      <c r="AT370" s="326"/>
      <c r="AU370" s="326"/>
      <c r="AV370" s="326"/>
      <c r="AW370" s="326"/>
      <c r="AX370" s="326"/>
      <c r="AY370" s="327"/>
      <c r="AZ370" s="70"/>
      <c r="BA370" s="70"/>
      <c r="BB370" s="643" t="s">
        <v>334</v>
      </c>
      <c r="BC370" s="327"/>
      <c r="BD370" s="645" t="s">
        <v>303</v>
      </c>
      <c r="BE370" s="326"/>
      <c r="BF370" s="327"/>
      <c r="BG370" s="646" t="s">
        <v>303</v>
      </c>
      <c r="BH370" s="326"/>
      <c r="BI370" s="326"/>
      <c r="BJ370" s="327"/>
      <c r="BK370" s="647"/>
      <c r="BL370" s="326"/>
      <c r="BM370" s="327"/>
      <c r="BN370" s="71"/>
      <c r="BO370" s="71"/>
      <c r="BP370" s="646"/>
      <c r="BQ370" s="326"/>
      <c r="BR370" s="327"/>
      <c r="BS370" s="645" t="s">
        <v>303</v>
      </c>
      <c r="BT370" s="326"/>
      <c r="BU370" s="327"/>
    </row>
    <row r="371" spans="1:73" ht="30" customHeight="1" x14ac:dyDescent="0.25">
      <c r="A371" s="65">
        <f t="shared" si="1"/>
        <v>357</v>
      </c>
      <c r="B371" s="639" t="s">
        <v>334</v>
      </c>
      <c r="C371" s="327"/>
      <c r="D371" s="640" t="s">
        <v>303</v>
      </c>
      <c r="E371" s="326"/>
      <c r="F371" s="326"/>
      <c r="G371" s="327"/>
      <c r="H371" s="641" t="s">
        <v>303</v>
      </c>
      <c r="I371" s="326"/>
      <c r="J371" s="326"/>
      <c r="K371" s="327"/>
      <c r="L371" s="438" t="s">
        <v>303</v>
      </c>
      <c r="M371" s="326"/>
      <c r="N371" s="327"/>
      <c r="O371" s="519" t="s">
        <v>303</v>
      </c>
      <c r="P371" s="326"/>
      <c r="Q371" s="327"/>
      <c r="R371" s="527"/>
      <c r="S371" s="326"/>
      <c r="T371" s="327"/>
      <c r="U371" s="497"/>
      <c r="V371" s="326"/>
      <c r="W371" s="327"/>
      <c r="X371" s="66"/>
      <c r="Y371" s="67"/>
      <c r="Z371" s="66"/>
      <c r="AA371" s="67"/>
      <c r="AB371" s="66"/>
      <c r="AC371" s="67"/>
      <c r="AD371" s="66"/>
      <c r="AE371" s="67"/>
      <c r="AF371" s="66"/>
      <c r="AG371" s="67"/>
      <c r="AH371" s="66"/>
      <c r="AI371" s="67"/>
      <c r="AJ371" s="50"/>
      <c r="AK371" s="69"/>
      <c r="AL371" s="50"/>
      <c r="AM371" s="69"/>
      <c r="AN371" s="50"/>
      <c r="AO371" s="69"/>
      <c r="AP371" s="50"/>
      <c r="AQ371" s="69"/>
      <c r="AR371" s="50"/>
      <c r="AS371" s="642" t="s">
        <v>303</v>
      </c>
      <c r="AT371" s="326"/>
      <c r="AU371" s="326"/>
      <c r="AV371" s="326"/>
      <c r="AW371" s="326"/>
      <c r="AX371" s="326"/>
      <c r="AY371" s="327"/>
      <c r="AZ371" s="70"/>
      <c r="BA371" s="70"/>
      <c r="BB371" s="643" t="s">
        <v>334</v>
      </c>
      <c r="BC371" s="327"/>
      <c r="BD371" s="645" t="s">
        <v>303</v>
      </c>
      <c r="BE371" s="326"/>
      <c r="BF371" s="327"/>
      <c r="BG371" s="646" t="s">
        <v>303</v>
      </c>
      <c r="BH371" s="326"/>
      <c r="BI371" s="326"/>
      <c r="BJ371" s="327"/>
      <c r="BK371" s="647"/>
      <c r="BL371" s="326"/>
      <c r="BM371" s="327"/>
      <c r="BN371" s="71"/>
      <c r="BO371" s="71"/>
      <c r="BP371" s="646"/>
      <c r="BQ371" s="326"/>
      <c r="BR371" s="327"/>
      <c r="BS371" s="645" t="s">
        <v>303</v>
      </c>
      <c r="BT371" s="326"/>
      <c r="BU371" s="327"/>
    </row>
    <row r="372" spans="1:73" ht="30" customHeight="1" x14ac:dyDescent="0.25">
      <c r="A372" s="65">
        <f t="shared" si="1"/>
        <v>358</v>
      </c>
      <c r="B372" s="639" t="s">
        <v>334</v>
      </c>
      <c r="C372" s="327"/>
      <c r="D372" s="640" t="s">
        <v>303</v>
      </c>
      <c r="E372" s="326"/>
      <c r="F372" s="326"/>
      <c r="G372" s="327"/>
      <c r="H372" s="641" t="s">
        <v>303</v>
      </c>
      <c r="I372" s="326"/>
      <c r="J372" s="326"/>
      <c r="K372" s="327"/>
      <c r="L372" s="438" t="s">
        <v>303</v>
      </c>
      <c r="M372" s="326"/>
      <c r="N372" s="327"/>
      <c r="O372" s="519" t="s">
        <v>303</v>
      </c>
      <c r="P372" s="326"/>
      <c r="Q372" s="327"/>
      <c r="R372" s="527"/>
      <c r="S372" s="326"/>
      <c r="T372" s="327"/>
      <c r="U372" s="497"/>
      <c r="V372" s="326"/>
      <c r="W372" s="327"/>
      <c r="X372" s="66"/>
      <c r="Y372" s="67"/>
      <c r="Z372" s="66"/>
      <c r="AA372" s="67"/>
      <c r="AB372" s="66"/>
      <c r="AC372" s="67"/>
      <c r="AD372" s="66"/>
      <c r="AE372" s="67"/>
      <c r="AF372" s="66"/>
      <c r="AG372" s="67"/>
      <c r="AH372" s="66"/>
      <c r="AI372" s="67"/>
      <c r="AJ372" s="50"/>
      <c r="AK372" s="69"/>
      <c r="AL372" s="50"/>
      <c r="AM372" s="69"/>
      <c r="AN372" s="50"/>
      <c r="AO372" s="69"/>
      <c r="AP372" s="50"/>
      <c r="AQ372" s="69"/>
      <c r="AR372" s="50"/>
      <c r="AS372" s="642" t="s">
        <v>303</v>
      </c>
      <c r="AT372" s="326"/>
      <c r="AU372" s="326"/>
      <c r="AV372" s="326"/>
      <c r="AW372" s="326"/>
      <c r="AX372" s="326"/>
      <c r="AY372" s="327"/>
      <c r="AZ372" s="70"/>
      <c r="BA372" s="70"/>
      <c r="BB372" s="643" t="s">
        <v>334</v>
      </c>
      <c r="BC372" s="327"/>
      <c r="BD372" s="645" t="s">
        <v>303</v>
      </c>
      <c r="BE372" s="326"/>
      <c r="BF372" s="327"/>
      <c r="BG372" s="646" t="s">
        <v>303</v>
      </c>
      <c r="BH372" s="326"/>
      <c r="BI372" s="326"/>
      <c r="BJ372" s="327"/>
      <c r="BK372" s="647"/>
      <c r="BL372" s="326"/>
      <c r="BM372" s="327"/>
      <c r="BN372" s="71"/>
      <c r="BO372" s="71"/>
      <c r="BP372" s="646"/>
      <c r="BQ372" s="326"/>
      <c r="BR372" s="327"/>
      <c r="BS372" s="645" t="s">
        <v>303</v>
      </c>
      <c r="BT372" s="326"/>
      <c r="BU372" s="327"/>
    </row>
    <row r="373" spans="1:73" ht="30" customHeight="1" x14ac:dyDescent="0.25">
      <c r="A373" s="65">
        <f t="shared" si="1"/>
        <v>359</v>
      </c>
      <c r="B373" s="639" t="s">
        <v>334</v>
      </c>
      <c r="C373" s="327"/>
      <c r="D373" s="640" t="s">
        <v>303</v>
      </c>
      <c r="E373" s="326"/>
      <c r="F373" s="326"/>
      <c r="G373" s="327"/>
      <c r="H373" s="641" t="s">
        <v>303</v>
      </c>
      <c r="I373" s="326"/>
      <c r="J373" s="326"/>
      <c r="K373" s="327"/>
      <c r="L373" s="438" t="s">
        <v>303</v>
      </c>
      <c r="M373" s="326"/>
      <c r="N373" s="327"/>
      <c r="O373" s="519" t="s">
        <v>303</v>
      </c>
      <c r="P373" s="326"/>
      <c r="Q373" s="327"/>
      <c r="R373" s="527"/>
      <c r="S373" s="326"/>
      <c r="T373" s="327"/>
      <c r="U373" s="497"/>
      <c r="V373" s="326"/>
      <c r="W373" s="327"/>
      <c r="X373" s="66"/>
      <c r="Y373" s="67"/>
      <c r="Z373" s="66"/>
      <c r="AA373" s="67"/>
      <c r="AB373" s="66"/>
      <c r="AC373" s="67"/>
      <c r="AD373" s="66"/>
      <c r="AE373" s="67"/>
      <c r="AF373" s="66"/>
      <c r="AG373" s="67"/>
      <c r="AH373" s="66"/>
      <c r="AI373" s="67"/>
      <c r="AJ373" s="50"/>
      <c r="AK373" s="69"/>
      <c r="AL373" s="50"/>
      <c r="AM373" s="69"/>
      <c r="AN373" s="50"/>
      <c r="AO373" s="69"/>
      <c r="AP373" s="50"/>
      <c r="AQ373" s="69"/>
      <c r="AR373" s="50"/>
      <c r="AS373" s="642" t="s">
        <v>303</v>
      </c>
      <c r="AT373" s="326"/>
      <c r="AU373" s="326"/>
      <c r="AV373" s="326"/>
      <c r="AW373" s="326"/>
      <c r="AX373" s="326"/>
      <c r="AY373" s="327"/>
      <c r="AZ373" s="70"/>
      <c r="BA373" s="70"/>
      <c r="BB373" s="643" t="s">
        <v>334</v>
      </c>
      <c r="BC373" s="327"/>
      <c r="BD373" s="645" t="s">
        <v>303</v>
      </c>
      <c r="BE373" s="326"/>
      <c r="BF373" s="327"/>
      <c r="BG373" s="646" t="s">
        <v>303</v>
      </c>
      <c r="BH373" s="326"/>
      <c r="BI373" s="326"/>
      <c r="BJ373" s="327"/>
      <c r="BK373" s="647"/>
      <c r="BL373" s="326"/>
      <c r="BM373" s="327"/>
      <c r="BN373" s="71"/>
      <c r="BO373" s="71"/>
      <c r="BP373" s="646"/>
      <c r="BQ373" s="326"/>
      <c r="BR373" s="327"/>
      <c r="BS373" s="645" t="s">
        <v>303</v>
      </c>
      <c r="BT373" s="326"/>
      <c r="BU373" s="327"/>
    </row>
    <row r="374" spans="1:73" ht="30" customHeight="1" x14ac:dyDescent="0.25">
      <c r="A374" s="65">
        <f t="shared" si="1"/>
        <v>360</v>
      </c>
      <c r="B374" s="639" t="s">
        <v>334</v>
      </c>
      <c r="C374" s="327"/>
      <c r="D374" s="640" t="s">
        <v>303</v>
      </c>
      <c r="E374" s="326"/>
      <c r="F374" s="326"/>
      <c r="G374" s="327"/>
      <c r="H374" s="641" t="s">
        <v>303</v>
      </c>
      <c r="I374" s="326"/>
      <c r="J374" s="326"/>
      <c r="K374" s="327"/>
      <c r="L374" s="438" t="s">
        <v>303</v>
      </c>
      <c r="M374" s="326"/>
      <c r="N374" s="327"/>
      <c r="O374" s="519" t="s">
        <v>303</v>
      </c>
      <c r="P374" s="326"/>
      <c r="Q374" s="327"/>
      <c r="R374" s="527"/>
      <c r="S374" s="326"/>
      <c r="T374" s="327"/>
      <c r="U374" s="497"/>
      <c r="V374" s="326"/>
      <c r="W374" s="327"/>
      <c r="X374" s="66"/>
      <c r="Y374" s="67"/>
      <c r="Z374" s="66"/>
      <c r="AA374" s="67"/>
      <c r="AB374" s="66"/>
      <c r="AC374" s="67"/>
      <c r="AD374" s="66"/>
      <c r="AE374" s="67"/>
      <c r="AF374" s="66"/>
      <c r="AG374" s="67"/>
      <c r="AH374" s="66"/>
      <c r="AI374" s="67"/>
      <c r="AJ374" s="50"/>
      <c r="AK374" s="69"/>
      <c r="AL374" s="50"/>
      <c r="AM374" s="69"/>
      <c r="AN374" s="50"/>
      <c r="AO374" s="69"/>
      <c r="AP374" s="50"/>
      <c r="AQ374" s="69"/>
      <c r="AR374" s="50"/>
      <c r="AS374" s="642" t="s">
        <v>303</v>
      </c>
      <c r="AT374" s="326"/>
      <c r="AU374" s="326"/>
      <c r="AV374" s="326"/>
      <c r="AW374" s="326"/>
      <c r="AX374" s="326"/>
      <c r="AY374" s="327"/>
      <c r="AZ374" s="70"/>
      <c r="BA374" s="70"/>
      <c r="BB374" s="643" t="s">
        <v>334</v>
      </c>
      <c r="BC374" s="327"/>
      <c r="BD374" s="645" t="s">
        <v>303</v>
      </c>
      <c r="BE374" s="326"/>
      <c r="BF374" s="327"/>
      <c r="BG374" s="646" t="s">
        <v>303</v>
      </c>
      <c r="BH374" s="326"/>
      <c r="BI374" s="326"/>
      <c r="BJ374" s="327"/>
      <c r="BK374" s="647"/>
      <c r="BL374" s="326"/>
      <c r="BM374" s="327"/>
      <c r="BN374" s="71"/>
      <c r="BO374" s="71"/>
      <c r="BP374" s="646"/>
      <c r="BQ374" s="326"/>
      <c r="BR374" s="327"/>
      <c r="BS374" s="645" t="s">
        <v>303</v>
      </c>
      <c r="BT374" s="326"/>
      <c r="BU374" s="327"/>
    </row>
    <row r="375" spans="1:73" ht="30" customHeight="1" x14ac:dyDescent="0.25">
      <c r="A375" s="65">
        <f t="shared" si="1"/>
        <v>361</v>
      </c>
      <c r="B375" s="639" t="s">
        <v>334</v>
      </c>
      <c r="C375" s="327"/>
      <c r="D375" s="640" t="s">
        <v>303</v>
      </c>
      <c r="E375" s="326"/>
      <c r="F375" s="326"/>
      <c r="G375" s="327"/>
      <c r="H375" s="641" t="s">
        <v>303</v>
      </c>
      <c r="I375" s="326"/>
      <c r="J375" s="326"/>
      <c r="K375" s="327"/>
      <c r="L375" s="438" t="s">
        <v>303</v>
      </c>
      <c r="M375" s="326"/>
      <c r="N375" s="327"/>
      <c r="O375" s="519" t="s">
        <v>303</v>
      </c>
      <c r="P375" s="326"/>
      <c r="Q375" s="327"/>
      <c r="R375" s="527"/>
      <c r="S375" s="326"/>
      <c r="T375" s="327"/>
      <c r="U375" s="497"/>
      <c r="V375" s="326"/>
      <c r="W375" s="327"/>
      <c r="X375" s="66"/>
      <c r="Y375" s="67"/>
      <c r="Z375" s="66"/>
      <c r="AA375" s="67"/>
      <c r="AB375" s="66"/>
      <c r="AC375" s="67"/>
      <c r="AD375" s="66"/>
      <c r="AE375" s="67"/>
      <c r="AF375" s="66"/>
      <c r="AG375" s="67"/>
      <c r="AH375" s="66"/>
      <c r="AI375" s="67"/>
      <c r="AJ375" s="50"/>
      <c r="AK375" s="69"/>
      <c r="AL375" s="50"/>
      <c r="AM375" s="69"/>
      <c r="AN375" s="50"/>
      <c r="AO375" s="69"/>
      <c r="AP375" s="50"/>
      <c r="AQ375" s="69"/>
      <c r="AR375" s="50"/>
      <c r="AS375" s="642" t="s">
        <v>303</v>
      </c>
      <c r="AT375" s="326"/>
      <c r="AU375" s="326"/>
      <c r="AV375" s="326"/>
      <c r="AW375" s="326"/>
      <c r="AX375" s="326"/>
      <c r="AY375" s="327"/>
      <c r="AZ375" s="70"/>
      <c r="BA375" s="70"/>
      <c r="BB375" s="643" t="s">
        <v>334</v>
      </c>
      <c r="BC375" s="327"/>
      <c r="BD375" s="645" t="s">
        <v>303</v>
      </c>
      <c r="BE375" s="326"/>
      <c r="BF375" s="327"/>
      <c r="BG375" s="646" t="s">
        <v>303</v>
      </c>
      <c r="BH375" s="326"/>
      <c r="BI375" s="326"/>
      <c r="BJ375" s="327"/>
      <c r="BK375" s="647"/>
      <c r="BL375" s="326"/>
      <c r="BM375" s="327"/>
      <c r="BN375" s="71"/>
      <c r="BO375" s="71"/>
      <c r="BP375" s="646"/>
      <c r="BQ375" s="326"/>
      <c r="BR375" s="327"/>
      <c r="BS375" s="645" t="s">
        <v>303</v>
      </c>
      <c r="BT375" s="326"/>
      <c r="BU375" s="327"/>
    </row>
    <row r="376" spans="1:73" ht="30" customHeight="1" x14ac:dyDescent="0.25">
      <c r="A376" s="65">
        <f t="shared" si="1"/>
        <v>362</v>
      </c>
      <c r="B376" s="639" t="s">
        <v>334</v>
      </c>
      <c r="C376" s="327"/>
      <c r="D376" s="640" t="s">
        <v>303</v>
      </c>
      <c r="E376" s="326"/>
      <c r="F376" s="326"/>
      <c r="G376" s="327"/>
      <c r="H376" s="641" t="s">
        <v>303</v>
      </c>
      <c r="I376" s="326"/>
      <c r="J376" s="326"/>
      <c r="K376" s="327"/>
      <c r="L376" s="438" t="s">
        <v>303</v>
      </c>
      <c r="M376" s="326"/>
      <c r="N376" s="327"/>
      <c r="O376" s="519" t="s">
        <v>303</v>
      </c>
      <c r="P376" s="326"/>
      <c r="Q376" s="327"/>
      <c r="R376" s="527"/>
      <c r="S376" s="326"/>
      <c r="T376" s="327"/>
      <c r="U376" s="497"/>
      <c r="V376" s="326"/>
      <c r="W376" s="327"/>
      <c r="X376" s="66"/>
      <c r="Y376" s="67"/>
      <c r="Z376" s="66"/>
      <c r="AA376" s="67"/>
      <c r="AB376" s="66"/>
      <c r="AC376" s="67"/>
      <c r="AD376" s="66"/>
      <c r="AE376" s="67"/>
      <c r="AF376" s="66"/>
      <c r="AG376" s="67"/>
      <c r="AH376" s="66"/>
      <c r="AI376" s="67"/>
      <c r="AJ376" s="50"/>
      <c r="AK376" s="69"/>
      <c r="AL376" s="50"/>
      <c r="AM376" s="69"/>
      <c r="AN376" s="50"/>
      <c r="AO376" s="69"/>
      <c r="AP376" s="50"/>
      <c r="AQ376" s="69"/>
      <c r="AR376" s="50"/>
      <c r="AS376" s="642" t="s">
        <v>303</v>
      </c>
      <c r="AT376" s="326"/>
      <c r="AU376" s="326"/>
      <c r="AV376" s="326"/>
      <c r="AW376" s="326"/>
      <c r="AX376" s="326"/>
      <c r="AY376" s="327"/>
      <c r="AZ376" s="70"/>
      <c r="BA376" s="70"/>
      <c r="BB376" s="643" t="s">
        <v>334</v>
      </c>
      <c r="BC376" s="327"/>
      <c r="BD376" s="645" t="s">
        <v>303</v>
      </c>
      <c r="BE376" s="326"/>
      <c r="BF376" s="327"/>
      <c r="BG376" s="646" t="s">
        <v>303</v>
      </c>
      <c r="BH376" s="326"/>
      <c r="BI376" s="326"/>
      <c r="BJ376" s="327"/>
      <c r="BK376" s="647"/>
      <c r="BL376" s="326"/>
      <c r="BM376" s="327"/>
      <c r="BN376" s="71"/>
      <c r="BO376" s="71"/>
      <c r="BP376" s="646"/>
      <c r="BQ376" s="326"/>
      <c r="BR376" s="327"/>
      <c r="BS376" s="645" t="s">
        <v>303</v>
      </c>
      <c r="BT376" s="326"/>
      <c r="BU376" s="327"/>
    </row>
    <row r="377" spans="1:73" ht="30" customHeight="1" x14ac:dyDescent="0.25">
      <c r="A377" s="65">
        <f t="shared" si="1"/>
        <v>363</v>
      </c>
      <c r="B377" s="639" t="s">
        <v>334</v>
      </c>
      <c r="C377" s="327"/>
      <c r="D377" s="640" t="s">
        <v>303</v>
      </c>
      <c r="E377" s="326"/>
      <c r="F377" s="326"/>
      <c r="G377" s="327"/>
      <c r="H377" s="641" t="s">
        <v>303</v>
      </c>
      <c r="I377" s="326"/>
      <c r="J377" s="326"/>
      <c r="K377" s="327"/>
      <c r="L377" s="438" t="s">
        <v>303</v>
      </c>
      <c r="M377" s="326"/>
      <c r="N377" s="327"/>
      <c r="O377" s="519" t="s">
        <v>303</v>
      </c>
      <c r="P377" s="326"/>
      <c r="Q377" s="327"/>
      <c r="R377" s="527"/>
      <c r="S377" s="326"/>
      <c r="T377" s="327"/>
      <c r="U377" s="497"/>
      <c r="V377" s="326"/>
      <c r="W377" s="327"/>
      <c r="X377" s="66"/>
      <c r="Y377" s="67"/>
      <c r="Z377" s="66"/>
      <c r="AA377" s="67"/>
      <c r="AB377" s="66"/>
      <c r="AC377" s="67"/>
      <c r="AD377" s="66"/>
      <c r="AE377" s="67"/>
      <c r="AF377" s="66"/>
      <c r="AG377" s="67"/>
      <c r="AH377" s="66"/>
      <c r="AI377" s="67"/>
      <c r="AJ377" s="50"/>
      <c r="AK377" s="69"/>
      <c r="AL377" s="50"/>
      <c r="AM377" s="69"/>
      <c r="AN377" s="50"/>
      <c r="AO377" s="69"/>
      <c r="AP377" s="50"/>
      <c r="AQ377" s="69"/>
      <c r="AR377" s="50"/>
      <c r="AS377" s="642" t="s">
        <v>303</v>
      </c>
      <c r="AT377" s="326"/>
      <c r="AU377" s="326"/>
      <c r="AV377" s="326"/>
      <c r="AW377" s="326"/>
      <c r="AX377" s="326"/>
      <c r="AY377" s="327"/>
      <c r="AZ377" s="70"/>
      <c r="BA377" s="70"/>
      <c r="BB377" s="643" t="s">
        <v>334</v>
      </c>
      <c r="BC377" s="327"/>
      <c r="BD377" s="645" t="s">
        <v>303</v>
      </c>
      <c r="BE377" s="326"/>
      <c r="BF377" s="327"/>
      <c r="BG377" s="646" t="s">
        <v>303</v>
      </c>
      <c r="BH377" s="326"/>
      <c r="BI377" s="326"/>
      <c r="BJ377" s="327"/>
      <c r="BK377" s="647"/>
      <c r="BL377" s="326"/>
      <c r="BM377" s="327"/>
      <c r="BN377" s="71"/>
      <c r="BO377" s="71"/>
      <c r="BP377" s="646"/>
      <c r="BQ377" s="326"/>
      <c r="BR377" s="327"/>
      <c r="BS377" s="645" t="s">
        <v>303</v>
      </c>
      <c r="BT377" s="326"/>
      <c r="BU377" s="327"/>
    </row>
    <row r="378" spans="1:73" ht="30" customHeight="1" x14ac:dyDescent="0.25">
      <c r="A378" s="65">
        <f t="shared" si="1"/>
        <v>364</v>
      </c>
      <c r="B378" s="639" t="s">
        <v>334</v>
      </c>
      <c r="C378" s="327"/>
      <c r="D378" s="640" t="s">
        <v>303</v>
      </c>
      <c r="E378" s="326"/>
      <c r="F378" s="326"/>
      <c r="G378" s="327"/>
      <c r="H378" s="641" t="s">
        <v>303</v>
      </c>
      <c r="I378" s="326"/>
      <c r="J378" s="326"/>
      <c r="K378" s="327"/>
      <c r="L378" s="438" t="s">
        <v>303</v>
      </c>
      <c r="M378" s="326"/>
      <c r="N378" s="327"/>
      <c r="O378" s="519" t="s">
        <v>303</v>
      </c>
      <c r="P378" s="326"/>
      <c r="Q378" s="327"/>
      <c r="R378" s="527"/>
      <c r="S378" s="326"/>
      <c r="T378" s="327"/>
      <c r="U378" s="497"/>
      <c r="V378" s="326"/>
      <c r="W378" s="327"/>
      <c r="X378" s="66"/>
      <c r="Y378" s="67"/>
      <c r="Z378" s="66"/>
      <c r="AA378" s="67"/>
      <c r="AB378" s="66"/>
      <c r="AC378" s="67"/>
      <c r="AD378" s="66"/>
      <c r="AE378" s="67"/>
      <c r="AF378" s="66"/>
      <c r="AG378" s="67"/>
      <c r="AH378" s="66"/>
      <c r="AI378" s="67"/>
      <c r="AJ378" s="50"/>
      <c r="AK378" s="69"/>
      <c r="AL378" s="50"/>
      <c r="AM378" s="69"/>
      <c r="AN378" s="50"/>
      <c r="AO378" s="69"/>
      <c r="AP378" s="50"/>
      <c r="AQ378" s="69"/>
      <c r="AR378" s="50"/>
      <c r="AS378" s="642" t="s">
        <v>303</v>
      </c>
      <c r="AT378" s="326"/>
      <c r="AU378" s="326"/>
      <c r="AV378" s="326"/>
      <c r="AW378" s="326"/>
      <c r="AX378" s="326"/>
      <c r="AY378" s="327"/>
      <c r="AZ378" s="70"/>
      <c r="BA378" s="70"/>
      <c r="BB378" s="643" t="s">
        <v>334</v>
      </c>
      <c r="BC378" s="327"/>
      <c r="BD378" s="645" t="s">
        <v>303</v>
      </c>
      <c r="BE378" s="326"/>
      <c r="BF378" s="327"/>
      <c r="BG378" s="646" t="s">
        <v>303</v>
      </c>
      <c r="BH378" s="326"/>
      <c r="BI378" s="326"/>
      <c r="BJ378" s="327"/>
      <c r="BK378" s="647"/>
      <c r="BL378" s="326"/>
      <c r="BM378" s="327"/>
      <c r="BN378" s="71"/>
      <c r="BO378" s="71"/>
      <c r="BP378" s="646"/>
      <c r="BQ378" s="326"/>
      <c r="BR378" s="327"/>
      <c r="BS378" s="645" t="s">
        <v>303</v>
      </c>
      <c r="BT378" s="326"/>
      <c r="BU378" s="327"/>
    </row>
    <row r="379" spans="1:73" ht="30" customHeight="1" x14ac:dyDescent="0.25">
      <c r="A379" s="65">
        <f t="shared" si="1"/>
        <v>365</v>
      </c>
      <c r="B379" s="639" t="s">
        <v>334</v>
      </c>
      <c r="C379" s="327"/>
      <c r="D379" s="640" t="s">
        <v>303</v>
      </c>
      <c r="E379" s="326"/>
      <c r="F379" s="326"/>
      <c r="G379" s="327"/>
      <c r="H379" s="641" t="s">
        <v>303</v>
      </c>
      <c r="I379" s="326"/>
      <c r="J379" s="326"/>
      <c r="K379" s="327"/>
      <c r="L379" s="438" t="s">
        <v>303</v>
      </c>
      <c r="M379" s="326"/>
      <c r="N379" s="327"/>
      <c r="O379" s="519" t="s">
        <v>303</v>
      </c>
      <c r="P379" s="326"/>
      <c r="Q379" s="327"/>
      <c r="R379" s="527"/>
      <c r="S379" s="326"/>
      <c r="T379" s="327"/>
      <c r="U379" s="497"/>
      <c r="V379" s="326"/>
      <c r="W379" s="327"/>
      <c r="X379" s="66"/>
      <c r="Y379" s="67"/>
      <c r="Z379" s="66"/>
      <c r="AA379" s="67"/>
      <c r="AB379" s="66"/>
      <c r="AC379" s="67"/>
      <c r="AD379" s="66"/>
      <c r="AE379" s="67"/>
      <c r="AF379" s="66"/>
      <c r="AG379" s="67"/>
      <c r="AH379" s="66"/>
      <c r="AI379" s="67"/>
      <c r="AJ379" s="50"/>
      <c r="AK379" s="69"/>
      <c r="AL379" s="50"/>
      <c r="AM379" s="69"/>
      <c r="AN379" s="50"/>
      <c r="AO379" s="69"/>
      <c r="AP379" s="50"/>
      <c r="AQ379" s="69"/>
      <c r="AR379" s="50"/>
      <c r="AS379" s="642" t="s">
        <v>303</v>
      </c>
      <c r="AT379" s="326"/>
      <c r="AU379" s="326"/>
      <c r="AV379" s="326"/>
      <c r="AW379" s="326"/>
      <c r="AX379" s="326"/>
      <c r="AY379" s="327"/>
      <c r="AZ379" s="70"/>
      <c r="BA379" s="70"/>
      <c r="BB379" s="643" t="s">
        <v>334</v>
      </c>
      <c r="BC379" s="327"/>
      <c r="BD379" s="645" t="s">
        <v>303</v>
      </c>
      <c r="BE379" s="326"/>
      <c r="BF379" s="327"/>
      <c r="BG379" s="646" t="s">
        <v>303</v>
      </c>
      <c r="BH379" s="326"/>
      <c r="BI379" s="326"/>
      <c r="BJ379" s="327"/>
      <c r="BK379" s="647"/>
      <c r="BL379" s="326"/>
      <c r="BM379" s="327"/>
      <c r="BN379" s="71"/>
      <c r="BO379" s="71"/>
      <c r="BP379" s="646"/>
      <c r="BQ379" s="326"/>
      <c r="BR379" s="327"/>
      <c r="BS379" s="645" t="s">
        <v>303</v>
      </c>
      <c r="BT379" s="326"/>
      <c r="BU379" s="327"/>
    </row>
    <row r="380" spans="1:73" ht="30" customHeight="1" x14ac:dyDescent="0.25">
      <c r="A380" s="65">
        <f t="shared" si="1"/>
        <v>366</v>
      </c>
      <c r="B380" s="639" t="s">
        <v>334</v>
      </c>
      <c r="C380" s="327"/>
      <c r="D380" s="640" t="s">
        <v>303</v>
      </c>
      <c r="E380" s="326"/>
      <c r="F380" s="326"/>
      <c r="G380" s="327"/>
      <c r="H380" s="641" t="s">
        <v>303</v>
      </c>
      <c r="I380" s="326"/>
      <c r="J380" s="326"/>
      <c r="K380" s="327"/>
      <c r="L380" s="438" t="s">
        <v>303</v>
      </c>
      <c r="M380" s="326"/>
      <c r="N380" s="327"/>
      <c r="O380" s="519" t="s">
        <v>303</v>
      </c>
      <c r="P380" s="326"/>
      <c r="Q380" s="327"/>
      <c r="R380" s="527"/>
      <c r="S380" s="326"/>
      <c r="T380" s="327"/>
      <c r="U380" s="497"/>
      <c r="V380" s="326"/>
      <c r="W380" s="327"/>
      <c r="X380" s="66"/>
      <c r="Y380" s="67"/>
      <c r="Z380" s="66"/>
      <c r="AA380" s="67"/>
      <c r="AB380" s="66"/>
      <c r="AC380" s="67"/>
      <c r="AD380" s="66"/>
      <c r="AE380" s="67"/>
      <c r="AF380" s="66"/>
      <c r="AG380" s="67"/>
      <c r="AH380" s="66"/>
      <c r="AI380" s="67"/>
      <c r="AJ380" s="50"/>
      <c r="AK380" s="69"/>
      <c r="AL380" s="50"/>
      <c r="AM380" s="69"/>
      <c r="AN380" s="50"/>
      <c r="AO380" s="69"/>
      <c r="AP380" s="50"/>
      <c r="AQ380" s="69"/>
      <c r="AR380" s="50"/>
      <c r="AS380" s="642" t="s">
        <v>303</v>
      </c>
      <c r="AT380" s="326"/>
      <c r="AU380" s="326"/>
      <c r="AV380" s="326"/>
      <c r="AW380" s="326"/>
      <c r="AX380" s="326"/>
      <c r="AY380" s="327"/>
      <c r="AZ380" s="70"/>
      <c r="BA380" s="70"/>
      <c r="BB380" s="643" t="s">
        <v>334</v>
      </c>
      <c r="BC380" s="327"/>
      <c r="BD380" s="645" t="s">
        <v>303</v>
      </c>
      <c r="BE380" s="326"/>
      <c r="BF380" s="327"/>
      <c r="BG380" s="646" t="s">
        <v>303</v>
      </c>
      <c r="BH380" s="326"/>
      <c r="BI380" s="326"/>
      <c r="BJ380" s="327"/>
      <c r="BK380" s="647"/>
      <c r="BL380" s="326"/>
      <c r="BM380" s="327"/>
      <c r="BN380" s="71"/>
      <c r="BO380" s="71"/>
      <c r="BP380" s="646"/>
      <c r="BQ380" s="326"/>
      <c r="BR380" s="327"/>
      <c r="BS380" s="645" t="s">
        <v>303</v>
      </c>
      <c r="BT380" s="326"/>
      <c r="BU380" s="327"/>
    </row>
    <row r="381" spans="1:73" ht="30" customHeight="1" x14ac:dyDescent="0.25">
      <c r="A381" s="65">
        <f t="shared" si="1"/>
        <v>367</v>
      </c>
      <c r="B381" s="639" t="s">
        <v>334</v>
      </c>
      <c r="C381" s="327"/>
      <c r="D381" s="640" t="s">
        <v>303</v>
      </c>
      <c r="E381" s="326"/>
      <c r="F381" s="326"/>
      <c r="G381" s="327"/>
      <c r="H381" s="641" t="s">
        <v>303</v>
      </c>
      <c r="I381" s="326"/>
      <c r="J381" s="326"/>
      <c r="K381" s="327"/>
      <c r="L381" s="438" t="s">
        <v>303</v>
      </c>
      <c r="M381" s="326"/>
      <c r="N381" s="327"/>
      <c r="O381" s="519" t="s">
        <v>303</v>
      </c>
      <c r="P381" s="326"/>
      <c r="Q381" s="327"/>
      <c r="R381" s="527"/>
      <c r="S381" s="326"/>
      <c r="T381" s="327"/>
      <c r="U381" s="497"/>
      <c r="V381" s="326"/>
      <c r="W381" s="327"/>
      <c r="X381" s="66"/>
      <c r="Y381" s="67"/>
      <c r="Z381" s="66"/>
      <c r="AA381" s="67"/>
      <c r="AB381" s="66"/>
      <c r="AC381" s="67"/>
      <c r="AD381" s="66"/>
      <c r="AE381" s="67"/>
      <c r="AF381" s="66"/>
      <c r="AG381" s="67"/>
      <c r="AH381" s="66"/>
      <c r="AI381" s="67"/>
      <c r="AJ381" s="50"/>
      <c r="AK381" s="69"/>
      <c r="AL381" s="50"/>
      <c r="AM381" s="69"/>
      <c r="AN381" s="50"/>
      <c r="AO381" s="69"/>
      <c r="AP381" s="50"/>
      <c r="AQ381" s="69"/>
      <c r="AR381" s="50"/>
      <c r="AS381" s="642" t="s">
        <v>303</v>
      </c>
      <c r="AT381" s="326"/>
      <c r="AU381" s="326"/>
      <c r="AV381" s="326"/>
      <c r="AW381" s="326"/>
      <c r="AX381" s="326"/>
      <c r="AY381" s="327"/>
      <c r="AZ381" s="70"/>
      <c r="BA381" s="70"/>
      <c r="BB381" s="643" t="s">
        <v>334</v>
      </c>
      <c r="BC381" s="327"/>
      <c r="BD381" s="645" t="s">
        <v>303</v>
      </c>
      <c r="BE381" s="326"/>
      <c r="BF381" s="327"/>
      <c r="BG381" s="646" t="s">
        <v>303</v>
      </c>
      <c r="BH381" s="326"/>
      <c r="BI381" s="326"/>
      <c r="BJ381" s="327"/>
      <c r="BK381" s="647"/>
      <c r="BL381" s="326"/>
      <c r="BM381" s="327"/>
      <c r="BN381" s="71"/>
      <c r="BO381" s="71"/>
      <c r="BP381" s="646"/>
      <c r="BQ381" s="326"/>
      <c r="BR381" s="327"/>
      <c r="BS381" s="645" t="s">
        <v>303</v>
      </c>
      <c r="BT381" s="326"/>
      <c r="BU381" s="327"/>
    </row>
    <row r="382" spans="1:73" ht="30" customHeight="1" x14ac:dyDescent="0.25">
      <c r="A382" s="65">
        <f t="shared" si="1"/>
        <v>368</v>
      </c>
      <c r="B382" s="639" t="s">
        <v>334</v>
      </c>
      <c r="C382" s="327"/>
      <c r="D382" s="640" t="s">
        <v>303</v>
      </c>
      <c r="E382" s="326"/>
      <c r="F382" s="326"/>
      <c r="G382" s="327"/>
      <c r="H382" s="641" t="s">
        <v>303</v>
      </c>
      <c r="I382" s="326"/>
      <c r="J382" s="326"/>
      <c r="K382" s="327"/>
      <c r="L382" s="438" t="s">
        <v>303</v>
      </c>
      <c r="M382" s="326"/>
      <c r="N382" s="327"/>
      <c r="O382" s="519" t="s">
        <v>303</v>
      </c>
      <c r="P382" s="326"/>
      <c r="Q382" s="327"/>
      <c r="R382" s="527"/>
      <c r="S382" s="326"/>
      <c r="T382" s="327"/>
      <c r="U382" s="497"/>
      <c r="V382" s="326"/>
      <c r="W382" s="327"/>
      <c r="X382" s="66"/>
      <c r="Y382" s="67"/>
      <c r="Z382" s="66"/>
      <c r="AA382" s="67"/>
      <c r="AB382" s="66"/>
      <c r="AC382" s="67"/>
      <c r="AD382" s="66"/>
      <c r="AE382" s="67"/>
      <c r="AF382" s="66"/>
      <c r="AG382" s="67"/>
      <c r="AH382" s="66"/>
      <c r="AI382" s="67"/>
      <c r="AJ382" s="50"/>
      <c r="AK382" s="69"/>
      <c r="AL382" s="50"/>
      <c r="AM382" s="69"/>
      <c r="AN382" s="50"/>
      <c r="AO382" s="69"/>
      <c r="AP382" s="50"/>
      <c r="AQ382" s="69"/>
      <c r="AR382" s="50"/>
      <c r="AS382" s="642" t="s">
        <v>303</v>
      </c>
      <c r="AT382" s="326"/>
      <c r="AU382" s="326"/>
      <c r="AV382" s="326"/>
      <c r="AW382" s="326"/>
      <c r="AX382" s="326"/>
      <c r="AY382" s="327"/>
      <c r="AZ382" s="70"/>
      <c r="BA382" s="70"/>
      <c r="BB382" s="643" t="s">
        <v>334</v>
      </c>
      <c r="BC382" s="327"/>
      <c r="BD382" s="645" t="s">
        <v>303</v>
      </c>
      <c r="BE382" s="326"/>
      <c r="BF382" s="327"/>
      <c r="BG382" s="646" t="s">
        <v>303</v>
      </c>
      <c r="BH382" s="326"/>
      <c r="BI382" s="326"/>
      <c r="BJ382" s="327"/>
      <c r="BK382" s="647"/>
      <c r="BL382" s="326"/>
      <c r="BM382" s="327"/>
      <c r="BN382" s="71"/>
      <c r="BO382" s="71"/>
      <c r="BP382" s="646"/>
      <c r="BQ382" s="326"/>
      <c r="BR382" s="327"/>
      <c r="BS382" s="645" t="s">
        <v>303</v>
      </c>
      <c r="BT382" s="326"/>
      <c r="BU382" s="327"/>
    </row>
    <row r="383" spans="1:73" ht="30" customHeight="1" x14ac:dyDescent="0.25">
      <c r="A383" s="65">
        <f t="shared" si="1"/>
        <v>369</v>
      </c>
      <c r="B383" s="639" t="s">
        <v>334</v>
      </c>
      <c r="C383" s="327"/>
      <c r="D383" s="640" t="s">
        <v>303</v>
      </c>
      <c r="E383" s="326"/>
      <c r="F383" s="326"/>
      <c r="G383" s="327"/>
      <c r="H383" s="641" t="s">
        <v>303</v>
      </c>
      <c r="I383" s="326"/>
      <c r="J383" s="326"/>
      <c r="K383" s="327"/>
      <c r="L383" s="438" t="s">
        <v>303</v>
      </c>
      <c r="M383" s="326"/>
      <c r="N383" s="327"/>
      <c r="O383" s="519" t="s">
        <v>303</v>
      </c>
      <c r="P383" s="326"/>
      <c r="Q383" s="327"/>
      <c r="R383" s="527"/>
      <c r="S383" s="326"/>
      <c r="T383" s="327"/>
      <c r="U383" s="497"/>
      <c r="V383" s="326"/>
      <c r="W383" s="327"/>
      <c r="X383" s="66"/>
      <c r="Y383" s="67"/>
      <c r="Z383" s="66"/>
      <c r="AA383" s="67"/>
      <c r="AB383" s="66"/>
      <c r="AC383" s="67"/>
      <c r="AD383" s="66"/>
      <c r="AE383" s="67"/>
      <c r="AF383" s="66"/>
      <c r="AG383" s="67"/>
      <c r="AH383" s="66"/>
      <c r="AI383" s="67"/>
      <c r="AJ383" s="50"/>
      <c r="AK383" s="69"/>
      <c r="AL383" s="50"/>
      <c r="AM383" s="69"/>
      <c r="AN383" s="50"/>
      <c r="AO383" s="69"/>
      <c r="AP383" s="50"/>
      <c r="AQ383" s="69"/>
      <c r="AR383" s="50"/>
      <c r="AS383" s="642" t="s">
        <v>303</v>
      </c>
      <c r="AT383" s="326"/>
      <c r="AU383" s="326"/>
      <c r="AV383" s="326"/>
      <c r="AW383" s="326"/>
      <c r="AX383" s="326"/>
      <c r="AY383" s="327"/>
      <c r="AZ383" s="70"/>
      <c r="BA383" s="70"/>
      <c r="BB383" s="643" t="s">
        <v>334</v>
      </c>
      <c r="BC383" s="327"/>
      <c r="BD383" s="645" t="s">
        <v>303</v>
      </c>
      <c r="BE383" s="326"/>
      <c r="BF383" s="327"/>
      <c r="BG383" s="646" t="s">
        <v>303</v>
      </c>
      <c r="BH383" s="326"/>
      <c r="BI383" s="326"/>
      <c r="BJ383" s="327"/>
      <c r="BK383" s="647"/>
      <c r="BL383" s="326"/>
      <c r="BM383" s="327"/>
      <c r="BN383" s="71"/>
      <c r="BO383" s="71"/>
      <c r="BP383" s="646"/>
      <c r="BQ383" s="326"/>
      <c r="BR383" s="327"/>
      <c r="BS383" s="645" t="s">
        <v>303</v>
      </c>
      <c r="BT383" s="326"/>
      <c r="BU383" s="327"/>
    </row>
    <row r="384" spans="1:73" ht="30" customHeight="1" x14ac:dyDescent="0.25">
      <c r="A384" s="65">
        <f t="shared" si="1"/>
        <v>370</v>
      </c>
      <c r="B384" s="639" t="s">
        <v>334</v>
      </c>
      <c r="C384" s="327"/>
      <c r="D384" s="640" t="s">
        <v>303</v>
      </c>
      <c r="E384" s="326"/>
      <c r="F384" s="326"/>
      <c r="G384" s="327"/>
      <c r="H384" s="641" t="s">
        <v>303</v>
      </c>
      <c r="I384" s="326"/>
      <c r="J384" s="326"/>
      <c r="K384" s="327"/>
      <c r="L384" s="438" t="s">
        <v>303</v>
      </c>
      <c r="M384" s="326"/>
      <c r="N384" s="327"/>
      <c r="O384" s="519" t="s">
        <v>303</v>
      </c>
      <c r="P384" s="326"/>
      <c r="Q384" s="327"/>
      <c r="R384" s="527"/>
      <c r="S384" s="326"/>
      <c r="T384" s="327"/>
      <c r="U384" s="497"/>
      <c r="V384" s="326"/>
      <c r="W384" s="327"/>
      <c r="X384" s="66"/>
      <c r="Y384" s="67"/>
      <c r="Z384" s="66"/>
      <c r="AA384" s="67"/>
      <c r="AB384" s="66"/>
      <c r="AC384" s="67"/>
      <c r="AD384" s="66"/>
      <c r="AE384" s="67"/>
      <c r="AF384" s="66"/>
      <c r="AG384" s="67"/>
      <c r="AH384" s="66"/>
      <c r="AI384" s="67"/>
      <c r="AJ384" s="50"/>
      <c r="AK384" s="69"/>
      <c r="AL384" s="50"/>
      <c r="AM384" s="69"/>
      <c r="AN384" s="50"/>
      <c r="AO384" s="69"/>
      <c r="AP384" s="50"/>
      <c r="AQ384" s="69"/>
      <c r="AR384" s="50"/>
      <c r="AS384" s="642" t="s">
        <v>303</v>
      </c>
      <c r="AT384" s="326"/>
      <c r="AU384" s="326"/>
      <c r="AV384" s="326"/>
      <c r="AW384" s="326"/>
      <c r="AX384" s="326"/>
      <c r="AY384" s="327"/>
      <c r="AZ384" s="70"/>
      <c r="BA384" s="70"/>
      <c r="BB384" s="643" t="s">
        <v>334</v>
      </c>
      <c r="BC384" s="327"/>
      <c r="BD384" s="645" t="s">
        <v>303</v>
      </c>
      <c r="BE384" s="326"/>
      <c r="BF384" s="327"/>
      <c r="BG384" s="646" t="s">
        <v>303</v>
      </c>
      <c r="BH384" s="326"/>
      <c r="BI384" s="326"/>
      <c r="BJ384" s="327"/>
      <c r="BK384" s="647"/>
      <c r="BL384" s="326"/>
      <c r="BM384" s="327"/>
      <c r="BN384" s="71"/>
      <c r="BO384" s="71"/>
      <c r="BP384" s="646"/>
      <c r="BQ384" s="326"/>
      <c r="BR384" s="327"/>
      <c r="BS384" s="645" t="s">
        <v>303</v>
      </c>
      <c r="BT384" s="326"/>
      <c r="BU384" s="327"/>
    </row>
    <row r="385" spans="1:73" ht="30" customHeight="1" x14ac:dyDescent="0.25">
      <c r="A385" s="65">
        <f t="shared" si="1"/>
        <v>371</v>
      </c>
      <c r="B385" s="639" t="s">
        <v>334</v>
      </c>
      <c r="C385" s="327"/>
      <c r="D385" s="640" t="s">
        <v>303</v>
      </c>
      <c r="E385" s="326"/>
      <c r="F385" s="326"/>
      <c r="G385" s="327"/>
      <c r="H385" s="641" t="s">
        <v>303</v>
      </c>
      <c r="I385" s="326"/>
      <c r="J385" s="326"/>
      <c r="K385" s="327"/>
      <c r="L385" s="438" t="s">
        <v>303</v>
      </c>
      <c r="M385" s="326"/>
      <c r="N385" s="327"/>
      <c r="O385" s="519" t="s">
        <v>303</v>
      </c>
      <c r="P385" s="326"/>
      <c r="Q385" s="327"/>
      <c r="R385" s="527"/>
      <c r="S385" s="326"/>
      <c r="T385" s="327"/>
      <c r="U385" s="497"/>
      <c r="V385" s="326"/>
      <c r="W385" s="327"/>
      <c r="X385" s="66"/>
      <c r="Y385" s="67"/>
      <c r="Z385" s="66"/>
      <c r="AA385" s="67"/>
      <c r="AB385" s="66"/>
      <c r="AC385" s="67"/>
      <c r="AD385" s="66"/>
      <c r="AE385" s="67"/>
      <c r="AF385" s="66"/>
      <c r="AG385" s="67"/>
      <c r="AH385" s="66"/>
      <c r="AI385" s="67"/>
      <c r="AJ385" s="50"/>
      <c r="AK385" s="69"/>
      <c r="AL385" s="50"/>
      <c r="AM385" s="69"/>
      <c r="AN385" s="50"/>
      <c r="AO385" s="69"/>
      <c r="AP385" s="50"/>
      <c r="AQ385" s="69"/>
      <c r="AR385" s="50"/>
      <c r="AS385" s="642" t="s">
        <v>303</v>
      </c>
      <c r="AT385" s="326"/>
      <c r="AU385" s="326"/>
      <c r="AV385" s="326"/>
      <c r="AW385" s="326"/>
      <c r="AX385" s="326"/>
      <c r="AY385" s="327"/>
      <c r="AZ385" s="70"/>
      <c r="BA385" s="70"/>
      <c r="BB385" s="643" t="s">
        <v>334</v>
      </c>
      <c r="BC385" s="327"/>
      <c r="BD385" s="645" t="s">
        <v>303</v>
      </c>
      <c r="BE385" s="326"/>
      <c r="BF385" s="327"/>
      <c r="BG385" s="646" t="s">
        <v>303</v>
      </c>
      <c r="BH385" s="326"/>
      <c r="BI385" s="326"/>
      <c r="BJ385" s="327"/>
      <c r="BK385" s="647"/>
      <c r="BL385" s="326"/>
      <c r="BM385" s="327"/>
      <c r="BN385" s="71"/>
      <c r="BO385" s="71"/>
      <c r="BP385" s="646"/>
      <c r="BQ385" s="326"/>
      <c r="BR385" s="327"/>
      <c r="BS385" s="645" t="s">
        <v>303</v>
      </c>
      <c r="BT385" s="326"/>
      <c r="BU385" s="327"/>
    </row>
    <row r="386" spans="1:73" ht="30" customHeight="1" x14ac:dyDescent="0.25">
      <c r="A386" s="65">
        <f t="shared" si="1"/>
        <v>372</v>
      </c>
      <c r="B386" s="639" t="s">
        <v>334</v>
      </c>
      <c r="C386" s="327"/>
      <c r="D386" s="640" t="s">
        <v>303</v>
      </c>
      <c r="E386" s="326"/>
      <c r="F386" s="326"/>
      <c r="G386" s="327"/>
      <c r="H386" s="641" t="s">
        <v>303</v>
      </c>
      <c r="I386" s="326"/>
      <c r="J386" s="326"/>
      <c r="K386" s="327"/>
      <c r="L386" s="438" t="s">
        <v>303</v>
      </c>
      <c r="M386" s="326"/>
      <c r="N386" s="327"/>
      <c r="O386" s="519" t="s">
        <v>303</v>
      </c>
      <c r="P386" s="326"/>
      <c r="Q386" s="327"/>
      <c r="R386" s="527"/>
      <c r="S386" s="326"/>
      <c r="T386" s="327"/>
      <c r="U386" s="497"/>
      <c r="V386" s="326"/>
      <c r="W386" s="327"/>
      <c r="X386" s="66"/>
      <c r="Y386" s="67"/>
      <c r="Z386" s="66"/>
      <c r="AA386" s="67"/>
      <c r="AB386" s="66"/>
      <c r="AC386" s="67"/>
      <c r="AD386" s="66"/>
      <c r="AE386" s="67"/>
      <c r="AF386" s="66"/>
      <c r="AG386" s="67"/>
      <c r="AH386" s="66"/>
      <c r="AI386" s="67"/>
      <c r="AJ386" s="50"/>
      <c r="AK386" s="69"/>
      <c r="AL386" s="50"/>
      <c r="AM386" s="69"/>
      <c r="AN386" s="50"/>
      <c r="AO386" s="69"/>
      <c r="AP386" s="50"/>
      <c r="AQ386" s="69"/>
      <c r="AR386" s="50"/>
      <c r="AS386" s="642" t="s">
        <v>303</v>
      </c>
      <c r="AT386" s="326"/>
      <c r="AU386" s="326"/>
      <c r="AV386" s="326"/>
      <c r="AW386" s="326"/>
      <c r="AX386" s="326"/>
      <c r="AY386" s="327"/>
      <c r="AZ386" s="70"/>
      <c r="BA386" s="70"/>
      <c r="BB386" s="643" t="s">
        <v>334</v>
      </c>
      <c r="BC386" s="327"/>
      <c r="BD386" s="645" t="s">
        <v>303</v>
      </c>
      <c r="BE386" s="326"/>
      <c r="BF386" s="327"/>
      <c r="BG386" s="646" t="s">
        <v>303</v>
      </c>
      <c r="BH386" s="326"/>
      <c r="BI386" s="326"/>
      <c r="BJ386" s="327"/>
      <c r="BK386" s="647"/>
      <c r="BL386" s="326"/>
      <c r="BM386" s="327"/>
      <c r="BN386" s="71"/>
      <c r="BO386" s="71"/>
      <c r="BP386" s="646"/>
      <c r="BQ386" s="326"/>
      <c r="BR386" s="327"/>
      <c r="BS386" s="645" t="s">
        <v>303</v>
      </c>
      <c r="BT386" s="326"/>
      <c r="BU386" s="327"/>
    </row>
    <row r="387" spans="1:73" ht="30" customHeight="1" x14ac:dyDescent="0.25">
      <c r="A387" s="65">
        <f t="shared" si="1"/>
        <v>373</v>
      </c>
      <c r="B387" s="639" t="s">
        <v>334</v>
      </c>
      <c r="C387" s="327"/>
      <c r="D387" s="640" t="s">
        <v>303</v>
      </c>
      <c r="E387" s="326"/>
      <c r="F387" s="326"/>
      <c r="G387" s="327"/>
      <c r="H387" s="641" t="s">
        <v>303</v>
      </c>
      <c r="I387" s="326"/>
      <c r="J387" s="326"/>
      <c r="K387" s="327"/>
      <c r="L387" s="438" t="s">
        <v>303</v>
      </c>
      <c r="M387" s="326"/>
      <c r="N387" s="327"/>
      <c r="O387" s="519" t="s">
        <v>303</v>
      </c>
      <c r="P387" s="326"/>
      <c r="Q387" s="327"/>
      <c r="R387" s="527"/>
      <c r="S387" s="326"/>
      <c r="T387" s="327"/>
      <c r="U387" s="497"/>
      <c r="V387" s="326"/>
      <c r="W387" s="327"/>
      <c r="X387" s="66"/>
      <c r="Y387" s="67"/>
      <c r="Z387" s="66"/>
      <c r="AA387" s="67"/>
      <c r="AB387" s="66"/>
      <c r="AC387" s="67"/>
      <c r="AD387" s="66"/>
      <c r="AE387" s="67"/>
      <c r="AF387" s="66"/>
      <c r="AG387" s="67"/>
      <c r="AH387" s="66"/>
      <c r="AI387" s="67"/>
      <c r="AJ387" s="50"/>
      <c r="AK387" s="69"/>
      <c r="AL387" s="50"/>
      <c r="AM387" s="69"/>
      <c r="AN387" s="50"/>
      <c r="AO387" s="69"/>
      <c r="AP387" s="50"/>
      <c r="AQ387" s="69"/>
      <c r="AR387" s="50"/>
      <c r="AS387" s="642" t="s">
        <v>303</v>
      </c>
      <c r="AT387" s="326"/>
      <c r="AU387" s="326"/>
      <c r="AV387" s="326"/>
      <c r="AW387" s="326"/>
      <c r="AX387" s="326"/>
      <c r="AY387" s="327"/>
      <c r="AZ387" s="70"/>
      <c r="BA387" s="70"/>
      <c r="BB387" s="643" t="s">
        <v>334</v>
      </c>
      <c r="BC387" s="327"/>
      <c r="BD387" s="645" t="s">
        <v>303</v>
      </c>
      <c r="BE387" s="326"/>
      <c r="BF387" s="327"/>
      <c r="BG387" s="646" t="s">
        <v>303</v>
      </c>
      <c r="BH387" s="326"/>
      <c r="BI387" s="326"/>
      <c r="BJ387" s="327"/>
      <c r="BK387" s="647"/>
      <c r="BL387" s="326"/>
      <c r="BM387" s="327"/>
      <c r="BN387" s="71"/>
      <c r="BO387" s="71"/>
      <c r="BP387" s="646"/>
      <c r="BQ387" s="326"/>
      <c r="BR387" s="327"/>
      <c r="BS387" s="645" t="s">
        <v>303</v>
      </c>
      <c r="BT387" s="326"/>
      <c r="BU387" s="327"/>
    </row>
    <row r="388" spans="1:73" ht="30" customHeight="1" x14ac:dyDescent="0.25">
      <c r="A388" s="65">
        <f t="shared" si="1"/>
        <v>374</v>
      </c>
      <c r="B388" s="639" t="s">
        <v>334</v>
      </c>
      <c r="C388" s="327"/>
      <c r="D388" s="640" t="s">
        <v>303</v>
      </c>
      <c r="E388" s="326"/>
      <c r="F388" s="326"/>
      <c r="G388" s="327"/>
      <c r="H388" s="641" t="s">
        <v>303</v>
      </c>
      <c r="I388" s="326"/>
      <c r="J388" s="326"/>
      <c r="K388" s="327"/>
      <c r="L388" s="438" t="s">
        <v>303</v>
      </c>
      <c r="M388" s="326"/>
      <c r="N388" s="327"/>
      <c r="O388" s="519" t="s">
        <v>303</v>
      </c>
      <c r="P388" s="326"/>
      <c r="Q388" s="327"/>
      <c r="R388" s="527"/>
      <c r="S388" s="326"/>
      <c r="T388" s="327"/>
      <c r="U388" s="497"/>
      <c r="V388" s="326"/>
      <c r="W388" s="327"/>
      <c r="X388" s="66"/>
      <c r="Y388" s="67"/>
      <c r="Z388" s="66"/>
      <c r="AA388" s="67"/>
      <c r="AB388" s="66"/>
      <c r="AC388" s="67"/>
      <c r="AD388" s="66"/>
      <c r="AE388" s="67"/>
      <c r="AF388" s="66"/>
      <c r="AG388" s="67"/>
      <c r="AH388" s="66"/>
      <c r="AI388" s="67"/>
      <c r="AJ388" s="50"/>
      <c r="AK388" s="69"/>
      <c r="AL388" s="50"/>
      <c r="AM388" s="69"/>
      <c r="AN388" s="50"/>
      <c r="AO388" s="69"/>
      <c r="AP388" s="50"/>
      <c r="AQ388" s="69"/>
      <c r="AR388" s="50"/>
      <c r="AS388" s="642" t="s">
        <v>303</v>
      </c>
      <c r="AT388" s="326"/>
      <c r="AU388" s="326"/>
      <c r="AV388" s="326"/>
      <c r="AW388" s="326"/>
      <c r="AX388" s="326"/>
      <c r="AY388" s="327"/>
      <c r="AZ388" s="70"/>
      <c r="BA388" s="70"/>
      <c r="BB388" s="643" t="s">
        <v>334</v>
      </c>
      <c r="BC388" s="327"/>
      <c r="BD388" s="645" t="s">
        <v>303</v>
      </c>
      <c r="BE388" s="326"/>
      <c r="BF388" s="327"/>
      <c r="BG388" s="646" t="s">
        <v>303</v>
      </c>
      <c r="BH388" s="326"/>
      <c r="BI388" s="326"/>
      <c r="BJ388" s="327"/>
      <c r="BK388" s="647"/>
      <c r="BL388" s="326"/>
      <c r="BM388" s="327"/>
      <c r="BN388" s="71"/>
      <c r="BO388" s="71"/>
      <c r="BP388" s="646"/>
      <c r="BQ388" s="326"/>
      <c r="BR388" s="327"/>
      <c r="BS388" s="645" t="s">
        <v>303</v>
      </c>
      <c r="BT388" s="326"/>
      <c r="BU388" s="327"/>
    </row>
    <row r="389" spans="1:73" ht="30" customHeight="1" x14ac:dyDescent="0.25">
      <c r="A389" s="65">
        <f t="shared" si="1"/>
        <v>375</v>
      </c>
      <c r="B389" s="639" t="s">
        <v>334</v>
      </c>
      <c r="C389" s="327"/>
      <c r="D389" s="640" t="s">
        <v>303</v>
      </c>
      <c r="E389" s="326"/>
      <c r="F389" s="326"/>
      <c r="G389" s="327"/>
      <c r="H389" s="641" t="s">
        <v>303</v>
      </c>
      <c r="I389" s="326"/>
      <c r="J389" s="326"/>
      <c r="K389" s="327"/>
      <c r="L389" s="438" t="s">
        <v>303</v>
      </c>
      <c r="M389" s="326"/>
      <c r="N389" s="327"/>
      <c r="O389" s="519" t="s">
        <v>303</v>
      </c>
      <c r="P389" s="326"/>
      <c r="Q389" s="327"/>
      <c r="R389" s="527"/>
      <c r="S389" s="326"/>
      <c r="T389" s="327"/>
      <c r="U389" s="497"/>
      <c r="V389" s="326"/>
      <c r="W389" s="327"/>
      <c r="X389" s="66"/>
      <c r="Y389" s="67"/>
      <c r="Z389" s="66"/>
      <c r="AA389" s="67"/>
      <c r="AB389" s="66"/>
      <c r="AC389" s="67"/>
      <c r="AD389" s="66"/>
      <c r="AE389" s="67"/>
      <c r="AF389" s="66"/>
      <c r="AG389" s="67"/>
      <c r="AH389" s="66"/>
      <c r="AI389" s="67"/>
      <c r="AJ389" s="50"/>
      <c r="AK389" s="69"/>
      <c r="AL389" s="50"/>
      <c r="AM389" s="69"/>
      <c r="AN389" s="50"/>
      <c r="AO389" s="69"/>
      <c r="AP389" s="50"/>
      <c r="AQ389" s="69"/>
      <c r="AR389" s="50"/>
      <c r="AS389" s="642" t="s">
        <v>303</v>
      </c>
      <c r="AT389" s="326"/>
      <c r="AU389" s="326"/>
      <c r="AV389" s="326"/>
      <c r="AW389" s="326"/>
      <c r="AX389" s="326"/>
      <c r="AY389" s="327"/>
      <c r="AZ389" s="70"/>
      <c r="BA389" s="70"/>
      <c r="BB389" s="643" t="s">
        <v>334</v>
      </c>
      <c r="BC389" s="327"/>
      <c r="BD389" s="645" t="s">
        <v>303</v>
      </c>
      <c r="BE389" s="326"/>
      <c r="BF389" s="327"/>
      <c r="BG389" s="646" t="s">
        <v>303</v>
      </c>
      <c r="BH389" s="326"/>
      <c r="BI389" s="326"/>
      <c r="BJ389" s="327"/>
      <c r="BK389" s="647"/>
      <c r="BL389" s="326"/>
      <c r="BM389" s="327"/>
      <c r="BN389" s="71"/>
      <c r="BO389" s="71"/>
      <c r="BP389" s="646"/>
      <c r="BQ389" s="326"/>
      <c r="BR389" s="327"/>
      <c r="BS389" s="645" t="s">
        <v>303</v>
      </c>
      <c r="BT389" s="326"/>
      <c r="BU389" s="327"/>
    </row>
    <row r="390" spans="1:73" ht="30" customHeight="1" x14ac:dyDescent="0.25">
      <c r="A390" s="65">
        <f t="shared" si="1"/>
        <v>376</v>
      </c>
      <c r="B390" s="639" t="s">
        <v>334</v>
      </c>
      <c r="C390" s="327"/>
      <c r="D390" s="640" t="s">
        <v>303</v>
      </c>
      <c r="E390" s="326"/>
      <c r="F390" s="326"/>
      <c r="G390" s="327"/>
      <c r="H390" s="641" t="s">
        <v>303</v>
      </c>
      <c r="I390" s="326"/>
      <c r="J390" s="326"/>
      <c r="K390" s="327"/>
      <c r="L390" s="438" t="s">
        <v>303</v>
      </c>
      <c r="M390" s="326"/>
      <c r="N390" s="327"/>
      <c r="O390" s="519" t="s">
        <v>303</v>
      </c>
      <c r="P390" s="326"/>
      <c r="Q390" s="327"/>
      <c r="R390" s="527"/>
      <c r="S390" s="326"/>
      <c r="T390" s="327"/>
      <c r="U390" s="497"/>
      <c r="V390" s="326"/>
      <c r="W390" s="327"/>
      <c r="X390" s="66"/>
      <c r="Y390" s="67"/>
      <c r="Z390" s="66"/>
      <c r="AA390" s="67"/>
      <c r="AB390" s="66"/>
      <c r="AC390" s="67"/>
      <c r="AD390" s="66"/>
      <c r="AE390" s="67"/>
      <c r="AF390" s="66"/>
      <c r="AG390" s="67"/>
      <c r="AH390" s="66"/>
      <c r="AI390" s="67"/>
      <c r="AJ390" s="50"/>
      <c r="AK390" s="69"/>
      <c r="AL390" s="50"/>
      <c r="AM390" s="69"/>
      <c r="AN390" s="50"/>
      <c r="AO390" s="69"/>
      <c r="AP390" s="50"/>
      <c r="AQ390" s="69"/>
      <c r="AR390" s="50"/>
      <c r="AS390" s="642" t="s">
        <v>303</v>
      </c>
      <c r="AT390" s="326"/>
      <c r="AU390" s="326"/>
      <c r="AV390" s="326"/>
      <c r="AW390" s="326"/>
      <c r="AX390" s="326"/>
      <c r="AY390" s="327"/>
      <c r="AZ390" s="70"/>
      <c r="BA390" s="70"/>
      <c r="BB390" s="643" t="s">
        <v>334</v>
      </c>
      <c r="BC390" s="327"/>
      <c r="BD390" s="645" t="s">
        <v>303</v>
      </c>
      <c r="BE390" s="326"/>
      <c r="BF390" s="327"/>
      <c r="BG390" s="646" t="s">
        <v>303</v>
      </c>
      <c r="BH390" s="326"/>
      <c r="BI390" s="326"/>
      <c r="BJ390" s="327"/>
      <c r="BK390" s="647"/>
      <c r="BL390" s="326"/>
      <c r="BM390" s="327"/>
      <c r="BN390" s="71"/>
      <c r="BO390" s="71"/>
      <c r="BP390" s="646"/>
      <c r="BQ390" s="326"/>
      <c r="BR390" s="327"/>
      <c r="BS390" s="645" t="s">
        <v>303</v>
      </c>
      <c r="BT390" s="326"/>
      <c r="BU390" s="327"/>
    </row>
    <row r="391" spans="1:73" ht="30" customHeight="1" x14ac:dyDescent="0.25">
      <c r="A391" s="65">
        <f t="shared" si="1"/>
        <v>377</v>
      </c>
      <c r="B391" s="639" t="s">
        <v>334</v>
      </c>
      <c r="C391" s="327"/>
      <c r="D391" s="640" t="s">
        <v>303</v>
      </c>
      <c r="E391" s="326"/>
      <c r="F391" s="326"/>
      <c r="G391" s="327"/>
      <c r="H391" s="641" t="s">
        <v>303</v>
      </c>
      <c r="I391" s="326"/>
      <c r="J391" s="326"/>
      <c r="K391" s="327"/>
      <c r="L391" s="438" t="s">
        <v>303</v>
      </c>
      <c r="M391" s="326"/>
      <c r="N391" s="327"/>
      <c r="O391" s="519" t="s">
        <v>303</v>
      </c>
      <c r="P391" s="326"/>
      <c r="Q391" s="327"/>
      <c r="R391" s="527"/>
      <c r="S391" s="326"/>
      <c r="T391" s="327"/>
      <c r="U391" s="497"/>
      <c r="V391" s="326"/>
      <c r="W391" s="327"/>
      <c r="X391" s="66"/>
      <c r="Y391" s="67"/>
      <c r="Z391" s="66"/>
      <c r="AA391" s="67"/>
      <c r="AB391" s="66"/>
      <c r="AC391" s="67"/>
      <c r="AD391" s="66"/>
      <c r="AE391" s="67"/>
      <c r="AF391" s="66"/>
      <c r="AG391" s="67"/>
      <c r="AH391" s="66"/>
      <c r="AI391" s="67"/>
      <c r="AJ391" s="50"/>
      <c r="AK391" s="69"/>
      <c r="AL391" s="50"/>
      <c r="AM391" s="69"/>
      <c r="AN391" s="50"/>
      <c r="AO391" s="69"/>
      <c r="AP391" s="50"/>
      <c r="AQ391" s="69"/>
      <c r="AR391" s="50"/>
      <c r="AS391" s="642" t="s">
        <v>303</v>
      </c>
      <c r="AT391" s="326"/>
      <c r="AU391" s="326"/>
      <c r="AV391" s="326"/>
      <c r="AW391" s="326"/>
      <c r="AX391" s="326"/>
      <c r="AY391" s="327"/>
      <c r="AZ391" s="70"/>
      <c r="BA391" s="70"/>
      <c r="BB391" s="643" t="s">
        <v>334</v>
      </c>
      <c r="BC391" s="327"/>
      <c r="BD391" s="645" t="s">
        <v>303</v>
      </c>
      <c r="BE391" s="326"/>
      <c r="BF391" s="327"/>
      <c r="BG391" s="646" t="s">
        <v>303</v>
      </c>
      <c r="BH391" s="326"/>
      <c r="BI391" s="326"/>
      <c r="BJ391" s="327"/>
      <c r="BK391" s="647"/>
      <c r="BL391" s="326"/>
      <c r="BM391" s="327"/>
      <c r="BN391" s="71"/>
      <c r="BO391" s="71"/>
      <c r="BP391" s="646"/>
      <c r="BQ391" s="326"/>
      <c r="BR391" s="327"/>
      <c r="BS391" s="645" t="s">
        <v>303</v>
      </c>
      <c r="BT391" s="326"/>
      <c r="BU391" s="327"/>
    </row>
    <row r="392" spans="1:73" ht="30" customHeight="1" x14ac:dyDescent="0.25">
      <c r="A392" s="65">
        <f t="shared" si="1"/>
        <v>378</v>
      </c>
      <c r="B392" s="639" t="s">
        <v>334</v>
      </c>
      <c r="C392" s="327"/>
      <c r="D392" s="640" t="s">
        <v>303</v>
      </c>
      <c r="E392" s="326"/>
      <c r="F392" s="326"/>
      <c r="G392" s="327"/>
      <c r="H392" s="641" t="s">
        <v>303</v>
      </c>
      <c r="I392" s="326"/>
      <c r="J392" s="326"/>
      <c r="K392" s="327"/>
      <c r="L392" s="438" t="s">
        <v>303</v>
      </c>
      <c r="M392" s="326"/>
      <c r="N392" s="327"/>
      <c r="O392" s="519" t="s">
        <v>303</v>
      </c>
      <c r="P392" s="326"/>
      <c r="Q392" s="327"/>
      <c r="R392" s="527"/>
      <c r="S392" s="326"/>
      <c r="T392" s="327"/>
      <c r="U392" s="497"/>
      <c r="V392" s="326"/>
      <c r="W392" s="327"/>
      <c r="X392" s="66"/>
      <c r="Y392" s="67"/>
      <c r="Z392" s="66"/>
      <c r="AA392" s="67"/>
      <c r="AB392" s="66"/>
      <c r="AC392" s="67"/>
      <c r="AD392" s="66"/>
      <c r="AE392" s="67"/>
      <c r="AF392" s="66"/>
      <c r="AG392" s="67"/>
      <c r="AH392" s="66"/>
      <c r="AI392" s="67"/>
      <c r="AJ392" s="50"/>
      <c r="AK392" s="69"/>
      <c r="AL392" s="50"/>
      <c r="AM392" s="69"/>
      <c r="AN392" s="50"/>
      <c r="AO392" s="69"/>
      <c r="AP392" s="50"/>
      <c r="AQ392" s="69"/>
      <c r="AR392" s="50"/>
      <c r="AS392" s="642" t="s">
        <v>303</v>
      </c>
      <c r="AT392" s="326"/>
      <c r="AU392" s="326"/>
      <c r="AV392" s="326"/>
      <c r="AW392" s="326"/>
      <c r="AX392" s="326"/>
      <c r="AY392" s="327"/>
      <c r="AZ392" s="70"/>
      <c r="BA392" s="70"/>
      <c r="BB392" s="643" t="s">
        <v>334</v>
      </c>
      <c r="BC392" s="327"/>
      <c r="BD392" s="645" t="s">
        <v>303</v>
      </c>
      <c r="BE392" s="326"/>
      <c r="BF392" s="327"/>
      <c r="BG392" s="646" t="s">
        <v>303</v>
      </c>
      <c r="BH392" s="326"/>
      <c r="BI392" s="326"/>
      <c r="BJ392" s="327"/>
      <c r="BK392" s="647"/>
      <c r="BL392" s="326"/>
      <c r="BM392" s="327"/>
      <c r="BN392" s="71"/>
      <c r="BO392" s="71"/>
      <c r="BP392" s="646"/>
      <c r="BQ392" s="326"/>
      <c r="BR392" s="327"/>
      <c r="BS392" s="645" t="s">
        <v>303</v>
      </c>
      <c r="BT392" s="326"/>
      <c r="BU392" s="327"/>
    </row>
    <row r="393" spans="1:73" ht="30" customHeight="1" x14ac:dyDescent="0.25">
      <c r="A393" s="65">
        <f t="shared" si="1"/>
        <v>379</v>
      </c>
      <c r="B393" s="639" t="s">
        <v>334</v>
      </c>
      <c r="C393" s="327"/>
      <c r="D393" s="640" t="s">
        <v>303</v>
      </c>
      <c r="E393" s="326"/>
      <c r="F393" s="326"/>
      <c r="G393" s="327"/>
      <c r="H393" s="641" t="s">
        <v>303</v>
      </c>
      <c r="I393" s="326"/>
      <c r="J393" s="326"/>
      <c r="K393" s="327"/>
      <c r="L393" s="438" t="s">
        <v>303</v>
      </c>
      <c r="M393" s="326"/>
      <c r="N393" s="327"/>
      <c r="O393" s="519" t="s">
        <v>303</v>
      </c>
      <c r="P393" s="326"/>
      <c r="Q393" s="327"/>
      <c r="R393" s="527"/>
      <c r="S393" s="326"/>
      <c r="T393" s="327"/>
      <c r="U393" s="497"/>
      <c r="V393" s="326"/>
      <c r="W393" s="327"/>
      <c r="X393" s="66"/>
      <c r="Y393" s="67"/>
      <c r="Z393" s="66"/>
      <c r="AA393" s="67"/>
      <c r="AB393" s="66"/>
      <c r="AC393" s="67"/>
      <c r="AD393" s="66"/>
      <c r="AE393" s="67"/>
      <c r="AF393" s="66"/>
      <c r="AG393" s="67"/>
      <c r="AH393" s="66"/>
      <c r="AI393" s="67"/>
      <c r="AJ393" s="50"/>
      <c r="AK393" s="69"/>
      <c r="AL393" s="50"/>
      <c r="AM393" s="69"/>
      <c r="AN393" s="50"/>
      <c r="AO393" s="69"/>
      <c r="AP393" s="50"/>
      <c r="AQ393" s="69"/>
      <c r="AR393" s="50"/>
      <c r="AS393" s="642" t="s">
        <v>303</v>
      </c>
      <c r="AT393" s="326"/>
      <c r="AU393" s="326"/>
      <c r="AV393" s="326"/>
      <c r="AW393" s="326"/>
      <c r="AX393" s="326"/>
      <c r="AY393" s="327"/>
      <c r="AZ393" s="70"/>
      <c r="BA393" s="70"/>
      <c r="BB393" s="643" t="s">
        <v>334</v>
      </c>
      <c r="BC393" s="327"/>
      <c r="BD393" s="645" t="s">
        <v>303</v>
      </c>
      <c r="BE393" s="326"/>
      <c r="BF393" s="327"/>
      <c r="BG393" s="646" t="s">
        <v>303</v>
      </c>
      <c r="BH393" s="326"/>
      <c r="BI393" s="326"/>
      <c r="BJ393" s="327"/>
      <c r="BK393" s="647"/>
      <c r="BL393" s="326"/>
      <c r="BM393" s="327"/>
      <c r="BN393" s="71"/>
      <c r="BO393" s="71"/>
      <c r="BP393" s="646"/>
      <c r="BQ393" s="326"/>
      <c r="BR393" s="327"/>
      <c r="BS393" s="645" t="s">
        <v>303</v>
      </c>
      <c r="BT393" s="326"/>
      <c r="BU393" s="327"/>
    </row>
    <row r="394" spans="1:73" ht="30" customHeight="1" x14ac:dyDescent="0.25">
      <c r="A394" s="65">
        <f t="shared" si="1"/>
        <v>380</v>
      </c>
      <c r="B394" s="639" t="s">
        <v>334</v>
      </c>
      <c r="C394" s="327"/>
      <c r="D394" s="640" t="s">
        <v>303</v>
      </c>
      <c r="E394" s="326"/>
      <c r="F394" s="326"/>
      <c r="G394" s="327"/>
      <c r="H394" s="641" t="s">
        <v>303</v>
      </c>
      <c r="I394" s="326"/>
      <c r="J394" s="326"/>
      <c r="K394" s="327"/>
      <c r="L394" s="438" t="s">
        <v>303</v>
      </c>
      <c r="M394" s="326"/>
      <c r="N394" s="327"/>
      <c r="O394" s="519" t="s">
        <v>303</v>
      </c>
      <c r="P394" s="326"/>
      <c r="Q394" s="327"/>
      <c r="R394" s="527"/>
      <c r="S394" s="326"/>
      <c r="T394" s="327"/>
      <c r="U394" s="497"/>
      <c r="V394" s="326"/>
      <c r="W394" s="327"/>
      <c r="X394" s="66"/>
      <c r="Y394" s="67"/>
      <c r="Z394" s="66"/>
      <c r="AA394" s="67"/>
      <c r="AB394" s="66"/>
      <c r="AC394" s="67"/>
      <c r="AD394" s="66"/>
      <c r="AE394" s="67"/>
      <c r="AF394" s="66"/>
      <c r="AG394" s="67"/>
      <c r="AH394" s="66"/>
      <c r="AI394" s="67"/>
      <c r="AJ394" s="50"/>
      <c r="AK394" s="69"/>
      <c r="AL394" s="50"/>
      <c r="AM394" s="69"/>
      <c r="AN394" s="50"/>
      <c r="AO394" s="69"/>
      <c r="AP394" s="50"/>
      <c r="AQ394" s="69"/>
      <c r="AR394" s="50"/>
      <c r="AS394" s="642" t="s">
        <v>303</v>
      </c>
      <c r="AT394" s="326"/>
      <c r="AU394" s="326"/>
      <c r="AV394" s="326"/>
      <c r="AW394" s="326"/>
      <c r="AX394" s="326"/>
      <c r="AY394" s="327"/>
      <c r="AZ394" s="70"/>
      <c r="BA394" s="70"/>
      <c r="BB394" s="643" t="s">
        <v>334</v>
      </c>
      <c r="BC394" s="327"/>
      <c r="BD394" s="645" t="s">
        <v>303</v>
      </c>
      <c r="BE394" s="326"/>
      <c r="BF394" s="327"/>
      <c r="BG394" s="646" t="s">
        <v>303</v>
      </c>
      <c r="BH394" s="326"/>
      <c r="BI394" s="326"/>
      <c r="BJ394" s="327"/>
      <c r="BK394" s="647"/>
      <c r="BL394" s="326"/>
      <c r="BM394" s="327"/>
      <c r="BN394" s="71"/>
      <c r="BO394" s="71"/>
      <c r="BP394" s="646"/>
      <c r="BQ394" s="326"/>
      <c r="BR394" s="327"/>
      <c r="BS394" s="645" t="s">
        <v>303</v>
      </c>
      <c r="BT394" s="326"/>
      <c r="BU394" s="327"/>
    </row>
    <row r="395" spans="1:73" ht="30" customHeight="1" x14ac:dyDescent="0.25">
      <c r="A395" s="65">
        <f t="shared" si="1"/>
        <v>381</v>
      </c>
      <c r="B395" s="639" t="s">
        <v>334</v>
      </c>
      <c r="C395" s="327"/>
      <c r="D395" s="640" t="s">
        <v>303</v>
      </c>
      <c r="E395" s="326"/>
      <c r="F395" s="326"/>
      <c r="G395" s="327"/>
      <c r="H395" s="641" t="s">
        <v>303</v>
      </c>
      <c r="I395" s="326"/>
      <c r="J395" s="326"/>
      <c r="K395" s="327"/>
      <c r="L395" s="438" t="s">
        <v>303</v>
      </c>
      <c r="M395" s="326"/>
      <c r="N395" s="327"/>
      <c r="O395" s="519" t="s">
        <v>303</v>
      </c>
      <c r="P395" s="326"/>
      <c r="Q395" s="327"/>
      <c r="R395" s="527"/>
      <c r="S395" s="326"/>
      <c r="T395" s="327"/>
      <c r="U395" s="497"/>
      <c r="V395" s="326"/>
      <c r="W395" s="327"/>
      <c r="X395" s="66"/>
      <c r="Y395" s="67"/>
      <c r="Z395" s="66"/>
      <c r="AA395" s="67"/>
      <c r="AB395" s="66"/>
      <c r="AC395" s="67"/>
      <c r="AD395" s="66"/>
      <c r="AE395" s="67"/>
      <c r="AF395" s="66"/>
      <c r="AG395" s="67"/>
      <c r="AH395" s="66"/>
      <c r="AI395" s="67"/>
      <c r="AJ395" s="50"/>
      <c r="AK395" s="69"/>
      <c r="AL395" s="50"/>
      <c r="AM395" s="69"/>
      <c r="AN395" s="50"/>
      <c r="AO395" s="69"/>
      <c r="AP395" s="50"/>
      <c r="AQ395" s="69"/>
      <c r="AR395" s="50"/>
      <c r="AS395" s="642" t="s">
        <v>303</v>
      </c>
      <c r="AT395" s="326"/>
      <c r="AU395" s="326"/>
      <c r="AV395" s="326"/>
      <c r="AW395" s="326"/>
      <c r="AX395" s="326"/>
      <c r="AY395" s="327"/>
      <c r="AZ395" s="70"/>
      <c r="BA395" s="70"/>
      <c r="BB395" s="643" t="s">
        <v>334</v>
      </c>
      <c r="BC395" s="327"/>
      <c r="BD395" s="645" t="s">
        <v>303</v>
      </c>
      <c r="BE395" s="326"/>
      <c r="BF395" s="327"/>
      <c r="BG395" s="646" t="s">
        <v>303</v>
      </c>
      <c r="BH395" s="326"/>
      <c r="BI395" s="326"/>
      <c r="BJ395" s="327"/>
      <c r="BK395" s="647"/>
      <c r="BL395" s="326"/>
      <c r="BM395" s="327"/>
      <c r="BN395" s="71"/>
      <c r="BO395" s="71"/>
      <c r="BP395" s="646"/>
      <c r="BQ395" s="326"/>
      <c r="BR395" s="327"/>
      <c r="BS395" s="645" t="s">
        <v>303</v>
      </c>
      <c r="BT395" s="326"/>
      <c r="BU395" s="327"/>
    </row>
    <row r="396" spans="1:73" ht="30" customHeight="1" x14ac:dyDescent="0.25">
      <c r="A396" s="65">
        <f t="shared" si="1"/>
        <v>382</v>
      </c>
      <c r="B396" s="639" t="s">
        <v>334</v>
      </c>
      <c r="C396" s="327"/>
      <c r="D396" s="640" t="s">
        <v>303</v>
      </c>
      <c r="E396" s="326"/>
      <c r="F396" s="326"/>
      <c r="G396" s="327"/>
      <c r="H396" s="641" t="s">
        <v>303</v>
      </c>
      <c r="I396" s="326"/>
      <c r="J396" s="326"/>
      <c r="K396" s="327"/>
      <c r="L396" s="438" t="s">
        <v>303</v>
      </c>
      <c r="M396" s="326"/>
      <c r="N396" s="327"/>
      <c r="O396" s="519" t="s">
        <v>303</v>
      </c>
      <c r="P396" s="326"/>
      <c r="Q396" s="327"/>
      <c r="R396" s="527"/>
      <c r="S396" s="326"/>
      <c r="T396" s="327"/>
      <c r="U396" s="497"/>
      <c r="V396" s="326"/>
      <c r="W396" s="327"/>
      <c r="X396" s="66"/>
      <c r="Y396" s="67"/>
      <c r="Z396" s="66"/>
      <c r="AA396" s="67"/>
      <c r="AB396" s="66"/>
      <c r="AC396" s="67"/>
      <c r="AD396" s="66"/>
      <c r="AE396" s="67"/>
      <c r="AF396" s="66"/>
      <c r="AG396" s="67"/>
      <c r="AH396" s="66"/>
      <c r="AI396" s="67"/>
      <c r="AJ396" s="50"/>
      <c r="AK396" s="69"/>
      <c r="AL396" s="50"/>
      <c r="AM396" s="69"/>
      <c r="AN396" s="50"/>
      <c r="AO396" s="69"/>
      <c r="AP396" s="50"/>
      <c r="AQ396" s="69"/>
      <c r="AR396" s="50"/>
      <c r="AS396" s="642" t="s">
        <v>303</v>
      </c>
      <c r="AT396" s="326"/>
      <c r="AU396" s="326"/>
      <c r="AV396" s="326"/>
      <c r="AW396" s="326"/>
      <c r="AX396" s="326"/>
      <c r="AY396" s="327"/>
      <c r="AZ396" s="70"/>
      <c r="BA396" s="70"/>
      <c r="BB396" s="643" t="s">
        <v>334</v>
      </c>
      <c r="BC396" s="327"/>
      <c r="BD396" s="645" t="s">
        <v>303</v>
      </c>
      <c r="BE396" s="326"/>
      <c r="BF396" s="327"/>
      <c r="BG396" s="646" t="s">
        <v>303</v>
      </c>
      <c r="BH396" s="326"/>
      <c r="BI396" s="326"/>
      <c r="BJ396" s="327"/>
      <c r="BK396" s="647"/>
      <c r="BL396" s="326"/>
      <c r="BM396" s="327"/>
      <c r="BN396" s="71"/>
      <c r="BO396" s="71"/>
      <c r="BP396" s="646"/>
      <c r="BQ396" s="326"/>
      <c r="BR396" s="327"/>
      <c r="BS396" s="645" t="s">
        <v>303</v>
      </c>
      <c r="BT396" s="326"/>
      <c r="BU396" s="327"/>
    </row>
    <row r="397" spans="1:73" ht="30" customHeight="1" x14ac:dyDescent="0.25">
      <c r="A397" s="65">
        <f t="shared" si="1"/>
        <v>383</v>
      </c>
      <c r="B397" s="639" t="s">
        <v>334</v>
      </c>
      <c r="C397" s="327"/>
      <c r="D397" s="640" t="s">
        <v>303</v>
      </c>
      <c r="E397" s="326"/>
      <c r="F397" s="326"/>
      <c r="G397" s="327"/>
      <c r="H397" s="641" t="s">
        <v>303</v>
      </c>
      <c r="I397" s="326"/>
      <c r="J397" s="326"/>
      <c r="K397" s="327"/>
      <c r="L397" s="438" t="s">
        <v>303</v>
      </c>
      <c r="M397" s="326"/>
      <c r="N397" s="327"/>
      <c r="O397" s="519" t="s">
        <v>303</v>
      </c>
      <c r="P397" s="326"/>
      <c r="Q397" s="327"/>
      <c r="R397" s="527"/>
      <c r="S397" s="326"/>
      <c r="T397" s="327"/>
      <c r="U397" s="497"/>
      <c r="V397" s="326"/>
      <c r="W397" s="327"/>
      <c r="X397" s="66"/>
      <c r="Y397" s="67"/>
      <c r="Z397" s="66"/>
      <c r="AA397" s="67"/>
      <c r="AB397" s="66"/>
      <c r="AC397" s="67"/>
      <c r="AD397" s="66"/>
      <c r="AE397" s="67"/>
      <c r="AF397" s="66"/>
      <c r="AG397" s="67"/>
      <c r="AH397" s="66"/>
      <c r="AI397" s="67"/>
      <c r="AJ397" s="50"/>
      <c r="AK397" s="69"/>
      <c r="AL397" s="50"/>
      <c r="AM397" s="69"/>
      <c r="AN397" s="50"/>
      <c r="AO397" s="69"/>
      <c r="AP397" s="50"/>
      <c r="AQ397" s="69"/>
      <c r="AR397" s="50"/>
      <c r="AS397" s="642" t="s">
        <v>303</v>
      </c>
      <c r="AT397" s="326"/>
      <c r="AU397" s="326"/>
      <c r="AV397" s="326"/>
      <c r="AW397" s="326"/>
      <c r="AX397" s="326"/>
      <c r="AY397" s="327"/>
      <c r="AZ397" s="70"/>
      <c r="BA397" s="70"/>
      <c r="BB397" s="643" t="s">
        <v>334</v>
      </c>
      <c r="BC397" s="327"/>
      <c r="BD397" s="645" t="s">
        <v>303</v>
      </c>
      <c r="BE397" s="326"/>
      <c r="BF397" s="327"/>
      <c r="BG397" s="646" t="s">
        <v>303</v>
      </c>
      <c r="BH397" s="326"/>
      <c r="BI397" s="326"/>
      <c r="BJ397" s="327"/>
      <c r="BK397" s="647"/>
      <c r="BL397" s="326"/>
      <c r="BM397" s="327"/>
      <c r="BN397" s="71"/>
      <c r="BO397" s="71"/>
      <c r="BP397" s="646"/>
      <c r="BQ397" s="326"/>
      <c r="BR397" s="327"/>
      <c r="BS397" s="645" t="s">
        <v>303</v>
      </c>
      <c r="BT397" s="326"/>
      <c r="BU397" s="327"/>
    </row>
    <row r="398" spans="1:73" ht="30" customHeight="1" x14ac:dyDescent="0.25">
      <c r="A398" s="65">
        <f t="shared" si="1"/>
        <v>384</v>
      </c>
      <c r="B398" s="639" t="s">
        <v>334</v>
      </c>
      <c r="C398" s="327"/>
      <c r="D398" s="640" t="s">
        <v>303</v>
      </c>
      <c r="E398" s="326"/>
      <c r="F398" s="326"/>
      <c r="G398" s="327"/>
      <c r="H398" s="641" t="s">
        <v>303</v>
      </c>
      <c r="I398" s="326"/>
      <c r="J398" s="326"/>
      <c r="K398" s="327"/>
      <c r="L398" s="438" t="s">
        <v>303</v>
      </c>
      <c r="M398" s="326"/>
      <c r="N398" s="327"/>
      <c r="O398" s="519" t="s">
        <v>303</v>
      </c>
      <c r="P398" s="326"/>
      <c r="Q398" s="327"/>
      <c r="R398" s="527"/>
      <c r="S398" s="326"/>
      <c r="T398" s="327"/>
      <c r="U398" s="497"/>
      <c r="V398" s="326"/>
      <c r="W398" s="327"/>
      <c r="X398" s="66"/>
      <c r="Y398" s="67"/>
      <c r="Z398" s="66"/>
      <c r="AA398" s="67"/>
      <c r="AB398" s="66"/>
      <c r="AC398" s="67"/>
      <c r="AD398" s="66"/>
      <c r="AE398" s="67"/>
      <c r="AF398" s="66"/>
      <c r="AG398" s="67"/>
      <c r="AH398" s="66"/>
      <c r="AI398" s="67"/>
      <c r="AJ398" s="50"/>
      <c r="AK398" s="69"/>
      <c r="AL398" s="50"/>
      <c r="AM398" s="69"/>
      <c r="AN398" s="50"/>
      <c r="AO398" s="69"/>
      <c r="AP398" s="50"/>
      <c r="AQ398" s="69"/>
      <c r="AR398" s="50"/>
      <c r="AS398" s="642" t="s">
        <v>303</v>
      </c>
      <c r="AT398" s="326"/>
      <c r="AU398" s="326"/>
      <c r="AV398" s="326"/>
      <c r="AW398" s="326"/>
      <c r="AX398" s="326"/>
      <c r="AY398" s="327"/>
      <c r="AZ398" s="70"/>
      <c r="BA398" s="70"/>
      <c r="BB398" s="643" t="s">
        <v>334</v>
      </c>
      <c r="BC398" s="327"/>
      <c r="BD398" s="645" t="s">
        <v>303</v>
      </c>
      <c r="BE398" s="326"/>
      <c r="BF398" s="327"/>
      <c r="BG398" s="646" t="s">
        <v>303</v>
      </c>
      <c r="BH398" s="326"/>
      <c r="BI398" s="326"/>
      <c r="BJ398" s="327"/>
      <c r="BK398" s="647"/>
      <c r="BL398" s="326"/>
      <c r="BM398" s="327"/>
      <c r="BN398" s="71"/>
      <c r="BO398" s="71"/>
      <c r="BP398" s="646"/>
      <c r="BQ398" s="326"/>
      <c r="BR398" s="327"/>
      <c r="BS398" s="645" t="s">
        <v>303</v>
      </c>
      <c r="BT398" s="326"/>
      <c r="BU398" s="327"/>
    </row>
    <row r="399" spans="1:73" ht="30" customHeight="1" x14ac:dyDescent="0.25">
      <c r="A399" s="65">
        <f t="shared" si="1"/>
        <v>385</v>
      </c>
      <c r="B399" s="639" t="s">
        <v>334</v>
      </c>
      <c r="C399" s="327"/>
      <c r="D399" s="640" t="s">
        <v>303</v>
      </c>
      <c r="E399" s="326"/>
      <c r="F399" s="326"/>
      <c r="G399" s="327"/>
      <c r="H399" s="641" t="s">
        <v>303</v>
      </c>
      <c r="I399" s="326"/>
      <c r="J399" s="326"/>
      <c r="K399" s="327"/>
      <c r="L399" s="438" t="s">
        <v>303</v>
      </c>
      <c r="M399" s="326"/>
      <c r="N399" s="327"/>
      <c r="O399" s="519" t="s">
        <v>303</v>
      </c>
      <c r="P399" s="326"/>
      <c r="Q399" s="327"/>
      <c r="R399" s="527"/>
      <c r="S399" s="326"/>
      <c r="T399" s="327"/>
      <c r="U399" s="497"/>
      <c r="V399" s="326"/>
      <c r="W399" s="327"/>
      <c r="X399" s="66"/>
      <c r="Y399" s="67"/>
      <c r="Z399" s="66"/>
      <c r="AA399" s="67"/>
      <c r="AB399" s="66"/>
      <c r="AC399" s="67"/>
      <c r="AD399" s="66"/>
      <c r="AE399" s="67"/>
      <c r="AF399" s="66"/>
      <c r="AG399" s="67"/>
      <c r="AH399" s="66"/>
      <c r="AI399" s="67"/>
      <c r="AJ399" s="50"/>
      <c r="AK399" s="69"/>
      <c r="AL399" s="50"/>
      <c r="AM399" s="69"/>
      <c r="AN399" s="50"/>
      <c r="AO399" s="69"/>
      <c r="AP399" s="50"/>
      <c r="AQ399" s="69"/>
      <c r="AR399" s="50"/>
      <c r="AS399" s="642" t="s">
        <v>303</v>
      </c>
      <c r="AT399" s="326"/>
      <c r="AU399" s="326"/>
      <c r="AV399" s="326"/>
      <c r="AW399" s="326"/>
      <c r="AX399" s="326"/>
      <c r="AY399" s="327"/>
      <c r="AZ399" s="70"/>
      <c r="BA399" s="70"/>
      <c r="BB399" s="643" t="s">
        <v>334</v>
      </c>
      <c r="BC399" s="327"/>
      <c r="BD399" s="645" t="s">
        <v>303</v>
      </c>
      <c r="BE399" s="326"/>
      <c r="BF399" s="327"/>
      <c r="BG399" s="646" t="s">
        <v>303</v>
      </c>
      <c r="BH399" s="326"/>
      <c r="BI399" s="326"/>
      <c r="BJ399" s="327"/>
      <c r="BK399" s="647"/>
      <c r="BL399" s="326"/>
      <c r="BM399" s="327"/>
      <c r="BN399" s="71"/>
      <c r="BO399" s="71"/>
      <c r="BP399" s="646"/>
      <c r="BQ399" s="326"/>
      <c r="BR399" s="327"/>
      <c r="BS399" s="645" t="s">
        <v>303</v>
      </c>
      <c r="BT399" s="326"/>
      <c r="BU399" s="327"/>
    </row>
    <row r="400" spans="1:73" ht="30" customHeight="1" x14ac:dyDescent="0.25">
      <c r="A400" s="65">
        <f t="shared" si="1"/>
        <v>386</v>
      </c>
      <c r="B400" s="639" t="s">
        <v>334</v>
      </c>
      <c r="C400" s="327"/>
      <c r="D400" s="640" t="s">
        <v>303</v>
      </c>
      <c r="E400" s="326"/>
      <c r="F400" s="326"/>
      <c r="G400" s="327"/>
      <c r="H400" s="641" t="s">
        <v>303</v>
      </c>
      <c r="I400" s="326"/>
      <c r="J400" s="326"/>
      <c r="K400" s="327"/>
      <c r="L400" s="438" t="s">
        <v>303</v>
      </c>
      <c r="M400" s="326"/>
      <c r="N400" s="327"/>
      <c r="O400" s="519" t="s">
        <v>303</v>
      </c>
      <c r="P400" s="326"/>
      <c r="Q400" s="327"/>
      <c r="R400" s="527"/>
      <c r="S400" s="326"/>
      <c r="T400" s="327"/>
      <c r="U400" s="497"/>
      <c r="V400" s="326"/>
      <c r="W400" s="327"/>
      <c r="X400" s="66"/>
      <c r="Y400" s="67"/>
      <c r="Z400" s="66"/>
      <c r="AA400" s="67"/>
      <c r="AB400" s="66"/>
      <c r="AC400" s="67"/>
      <c r="AD400" s="66"/>
      <c r="AE400" s="67"/>
      <c r="AF400" s="66"/>
      <c r="AG400" s="67"/>
      <c r="AH400" s="66"/>
      <c r="AI400" s="67"/>
      <c r="AJ400" s="50"/>
      <c r="AK400" s="69"/>
      <c r="AL400" s="50"/>
      <c r="AM400" s="69"/>
      <c r="AN400" s="50"/>
      <c r="AO400" s="69"/>
      <c r="AP400" s="50"/>
      <c r="AQ400" s="69"/>
      <c r="AR400" s="50"/>
      <c r="AS400" s="642" t="s">
        <v>303</v>
      </c>
      <c r="AT400" s="326"/>
      <c r="AU400" s="326"/>
      <c r="AV400" s="326"/>
      <c r="AW400" s="326"/>
      <c r="AX400" s="326"/>
      <c r="AY400" s="327"/>
      <c r="AZ400" s="70"/>
      <c r="BA400" s="70"/>
      <c r="BB400" s="643" t="s">
        <v>334</v>
      </c>
      <c r="BC400" s="327"/>
      <c r="BD400" s="645" t="s">
        <v>303</v>
      </c>
      <c r="BE400" s="326"/>
      <c r="BF400" s="327"/>
      <c r="BG400" s="646" t="s">
        <v>303</v>
      </c>
      <c r="BH400" s="326"/>
      <c r="BI400" s="326"/>
      <c r="BJ400" s="327"/>
      <c r="BK400" s="647"/>
      <c r="BL400" s="326"/>
      <c r="BM400" s="327"/>
      <c r="BN400" s="71"/>
      <c r="BO400" s="71"/>
      <c r="BP400" s="646"/>
      <c r="BQ400" s="326"/>
      <c r="BR400" s="327"/>
      <c r="BS400" s="645" t="s">
        <v>303</v>
      </c>
      <c r="BT400" s="326"/>
      <c r="BU400" s="327"/>
    </row>
    <row r="401" spans="1:73" ht="30" customHeight="1" x14ac:dyDescent="0.25">
      <c r="A401" s="65">
        <f t="shared" si="1"/>
        <v>387</v>
      </c>
      <c r="B401" s="639" t="s">
        <v>334</v>
      </c>
      <c r="C401" s="327"/>
      <c r="D401" s="640" t="s">
        <v>303</v>
      </c>
      <c r="E401" s="326"/>
      <c r="F401" s="326"/>
      <c r="G401" s="327"/>
      <c r="H401" s="641" t="s">
        <v>303</v>
      </c>
      <c r="I401" s="326"/>
      <c r="J401" s="326"/>
      <c r="K401" s="327"/>
      <c r="L401" s="438" t="s">
        <v>303</v>
      </c>
      <c r="M401" s="326"/>
      <c r="N401" s="327"/>
      <c r="O401" s="519" t="s">
        <v>303</v>
      </c>
      <c r="P401" s="326"/>
      <c r="Q401" s="327"/>
      <c r="R401" s="527"/>
      <c r="S401" s="326"/>
      <c r="T401" s="327"/>
      <c r="U401" s="497"/>
      <c r="V401" s="326"/>
      <c r="W401" s="327"/>
      <c r="X401" s="66"/>
      <c r="Y401" s="67"/>
      <c r="Z401" s="66"/>
      <c r="AA401" s="67"/>
      <c r="AB401" s="66"/>
      <c r="AC401" s="67"/>
      <c r="AD401" s="66"/>
      <c r="AE401" s="67"/>
      <c r="AF401" s="66"/>
      <c r="AG401" s="67"/>
      <c r="AH401" s="66"/>
      <c r="AI401" s="67"/>
      <c r="AJ401" s="50"/>
      <c r="AK401" s="69"/>
      <c r="AL401" s="50"/>
      <c r="AM401" s="69"/>
      <c r="AN401" s="50"/>
      <c r="AO401" s="69"/>
      <c r="AP401" s="50"/>
      <c r="AQ401" s="69"/>
      <c r="AR401" s="50"/>
      <c r="AS401" s="642" t="s">
        <v>303</v>
      </c>
      <c r="AT401" s="326"/>
      <c r="AU401" s="326"/>
      <c r="AV401" s="326"/>
      <c r="AW401" s="326"/>
      <c r="AX401" s="326"/>
      <c r="AY401" s="327"/>
      <c r="AZ401" s="70"/>
      <c r="BA401" s="70"/>
      <c r="BB401" s="643" t="s">
        <v>334</v>
      </c>
      <c r="BC401" s="327"/>
      <c r="BD401" s="645" t="s">
        <v>303</v>
      </c>
      <c r="BE401" s="326"/>
      <c r="BF401" s="327"/>
      <c r="BG401" s="646" t="s">
        <v>303</v>
      </c>
      <c r="BH401" s="326"/>
      <c r="BI401" s="326"/>
      <c r="BJ401" s="327"/>
      <c r="BK401" s="647"/>
      <c r="BL401" s="326"/>
      <c r="BM401" s="327"/>
      <c r="BN401" s="71"/>
      <c r="BO401" s="71"/>
      <c r="BP401" s="646"/>
      <c r="BQ401" s="326"/>
      <c r="BR401" s="327"/>
      <c r="BS401" s="645" t="s">
        <v>303</v>
      </c>
      <c r="BT401" s="326"/>
      <c r="BU401" s="327"/>
    </row>
    <row r="402" spans="1:73" ht="30" customHeight="1" x14ac:dyDescent="0.25">
      <c r="A402" s="65">
        <f t="shared" si="1"/>
        <v>388</v>
      </c>
      <c r="B402" s="639" t="s">
        <v>334</v>
      </c>
      <c r="C402" s="327"/>
      <c r="D402" s="640" t="s">
        <v>303</v>
      </c>
      <c r="E402" s="326"/>
      <c r="F402" s="326"/>
      <c r="G402" s="327"/>
      <c r="H402" s="641" t="s">
        <v>303</v>
      </c>
      <c r="I402" s="326"/>
      <c r="J402" s="326"/>
      <c r="K402" s="327"/>
      <c r="L402" s="438" t="s">
        <v>303</v>
      </c>
      <c r="M402" s="326"/>
      <c r="N402" s="327"/>
      <c r="O402" s="519" t="s">
        <v>303</v>
      </c>
      <c r="P402" s="326"/>
      <c r="Q402" s="327"/>
      <c r="R402" s="527"/>
      <c r="S402" s="326"/>
      <c r="T402" s="327"/>
      <c r="U402" s="497"/>
      <c r="V402" s="326"/>
      <c r="W402" s="327"/>
      <c r="X402" s="66"/>
      <c r="Y402" s="67"/>
      <c r="Z402" s="66"/>
      <c r="AA402" s="67"/>
      <c r="AB402" s="66"/>
      <c r="AC402" s="67"/>
      <c r="AD402" s="66"/>
      <c r="AE402" s="67"/>
      <c r="AF402" s="66"/>
      <c r="AG402" s="67"/>
      <c r="AH402" s="66"/>
      <c r="AI402" s="67"/>
      <c r="AJ402" s="50"/>
      <c r="AK402" s="69"/>
      <c r="AL402" s="50"/>
      <c r="AM402" s="69"/>
      <c r="AN402" s="50"/>
      <c r="AO402" s="69"/>
      <c r="AP402" s="50"/>
      <c r="AQ402" s="69"/>
      <c r="AR402" s="50"/>
      <c r="AS402" s="642" t="s">
        <v>303</v>
      </c>
      <c r="AT402" s="326"/>
      <c r="AU402" s="326"/>
      <c r="AV402" s="326"/>
      <c r="AW402" s="326"/>
      <c r="AX402" s="326"/>
      <c r="AY402" s="327"/>
      <c r="AZ402" s="70"/>
      <c r="BA402" s="70"/>
      <c r="BB402" s="643" t="s">
        <v>334</v>
      </c>
      <c r="BC402" s="327"/>
      <c r="BD402" s="645" t="s">
        <v>303</v>
      </c>
      <c r="BE402" s="326"/>
      <c r="BF402" s="327"/>
      <c r="BG402" s="646" t="s">
        <v>303</v>
      </c>
      <c r="BH402" s="326"/>
      <c r="BI402" s="326"/>
      <c r="BJ402" s="327"/>
      <c r="BK402" s="647"/>
      <c r="BL402" s="326"/>
      <c r="BM402" s="327"/>
      <c r="BN402" s="71"/>
      <c r="BO402" s="71"/>
      <c r="BP402" s="646"/>
      <c r="BQ402" s="326"/>
      <c r="BR402" s="327"/>
      <c r="BS402" s="645" t="s">
        <v>303</v>
      </c>
      <c r="BT402" s="326"/>
      <c r="BU402" s="327"/>
    </row>
    <row r="403" spans="1:73" ht="30" customHeight="1" x14ac:dyDescent="0.25">
      <c r="A403" s="65">
        <f t="shared" si="1"/>
        <v>389</v>
      </c>
      <c r="B403" s="639" t="s">
        <v>334</v>
      </c>
      <c r="C403" s="327"/>
      <c r="D403" s="640" t="s">
        <v>303</v>
      </c>
      <c r="E403" s="326"/>
      <c r="F403" s="326"/>
      <c r="G403" s="327"/>
      <c r="H403" s="641" t="s">
        <v>303</v>
      </c>
      <c r="I403" s="326"/>
      <c r="J403" s="326"/>
      <c r="K403" s="327"/>
      <c r="L403" s="438" t="s">
        <v>303</v>
      </c>
      <c r="M403" s="326"/>
      <c r="N403" s="327"/>
      <c r="O403" s="519" t="s">
        <v>303</v>
      </c>
      <c r="P403" s="326"/>
      <c r="Q403" s="327"/>
      <c r="R403" s="527"/>
      <c r="S403" s="326"/>
      <c r="T403" s="327"/>
      <c r="U403" s="497"/>
      <c r="V403" s="326"/>
      <c r="W403" s="327"/>
      <c r="X403" s="66"/>
      <c r="Y403" s="67"/>
      <c r="Z403" s="66"/>
      <c r="AA403" s="67"/>
      <c r="AB403" s="66"/>
      <c r="AC403" s="67"/>
      <c r="AD403" s="66"/>
      <c r="AE403" s="67"/>
      <c r="AF403" s="66"/>
      <c r="AG403" s="67"/>
      <c r="AH403" s="66"/>
      <c r="AI403" s="67"/>
      <c r="AJ403" s="50"/>
      <c r="AK403" s="69"/>
      <c r="AL403" s="50"/>
      <c r="AM403" s="69"/>
      <c r="AN403" s="50"/>
      <c r="AO403" s="69"/>
      <c r="AP403" s="50"/>
      <c r="AQ403" s="69"/>
      <c r="AR403" s="50"/>
      <c r="AS403" s="642" t="s">
        <v>303</v>
      </c>
      <c r="AT403" s="326"/>
      <c r="AU403" s="326"/>
      <c r="AV403" s="326"/>
      <c r="AW403" s="326"/>
      <c r="AX403" s="326"/>
      <c r="AY403" s="327"/>
      <c r="AZ403" s="70"/>
      <c r="BA403" s="70"/>
      <c r="BB403" s="643" t="s">
        <v>334</v>
      </c>
      <c r="BC403" s="327"/>
      <c r="BD403" s="645" t="s">
        <v>303</v>
      </c>
      <c r="BE403" s="326"/>
      <c r="BF403" s="327"/>
      <c r="BG403" s="646" t="s">
        <v>303</v>
      </c>
      <c r="BH403" s="326"/>
      <c r="BI403" s="326"/>
      <c r="BJ403" s="327"/>
      <c r="BK403" s="647"/>
      <c r="BL403" s="326"/>
      <c r="BM403" s="327"/>
      <c r="BN403" s="71"/>
      <c r="BO403" s="71"/>
      <c r="BP403" s="646"/>
      <c r="BQ403" s="326"/>
      <c r="BR403" s="327"/>
      <c r="BS403" s="645" t="s">
        <v>303</v>
      </c>
      <c r="BT403" s="326"/>
      <c r="BU403" s="327"/>
    </row>
    <row r="404" spans="1:73" ht="30" customHeight="1" x14ac:dyDescent="0.25">
      <c r="A404" s="65">
        <f t="shared" si="1"/>
        <v>390</v>
      </c>
      <c r="B404" s="639" t="s">
        <v>334</v>
      </c>
      <c r="C404" s="327"/>
      <c r="D404" s="640" t="s">
        <v>303</v>
      </c>
      <c r="E404" s="326"/>
      <c r="F404" s="326"/>
      <c r="G404" s="327"/>
      <c r="H404" s="641" t="s">
        <v>303</v>
      </c>
      <c r="I404" s="326"/>
      <c r="J404" s="326"/>
      <c r="K404" s="327"/>
      <c r="L404" s="438" t="s">
        <v>303</v>
      </c>
      <c r="M404" s="326"/>
      <c r="N404" s="327"/>
      <c r="O404" s="519" t="s">
        <v>303</v>
      </c>
      <c r="P404" s="326"/>
      <c r="Q404" s="327"/>
      <c r="R404" s="527"/>
      <c r="S404" s="326"/>
      <c r="T404" s="327"/>
      <c r="U404" s="497"/>
      <c r="V404" s="326"/>
      <c r="W404" s="327"/>
      <c r="X404" s="66"/>
      <c r="Y404" s="67"/>
      <c r="Z404" s="66"/>
      <c r="AA404" s="67"/>
      <c r="AB404" s="66"/>
      <c r="AC404" s="67"/>
      <c r="AD404" s="66"/>
      <c r="AE404" s="67"/>
      <c r="AF404" s="66"/>
      <c r="AG404" s="67"/>
      <c r="AH404" s="66"/>
      <c r="AI404" s="67"/>
      <c r="AJ404" s="50"/>
      <c r="AK404" s="69"/>
      <c r="AL404" s="50"/>
      <c r="AM404" s="69"/>
      <c r="AN404" s="50"/>
      <c r="AO404" s="69"/>
      <c r="AP404" s="50"/>
      <c r="AQ404" s="69"/>
      <c r="AR404" s="50"/>
      <c r="AS404" s="642" t="s">
        <v>303</v>
      </c>
      <c r="AT404" s="326"/>
      <c r="AU404" s="326"/>
      <c r="AV404" s="326"/>
      <c r="AW404" s="326"/>
      <c r="AX404" s="326"/>
      <c r="AY404" s="327"/>
      <c r="AZ404" s="70"/>
      <c r="BA404" s="70"/>
      <c r="BB404" s="643" t="s">
        <v>334</v>
      </c>
      <c r="BC404" s="327"/>
      <c r="BD404" s="645" t="s">
        <v>303</v>
      </c>
      <c r="BE404" s="326"/>
      <c r="BF404" s="327"/>
      <c r="BG404" s="646" t="s">
        <v>303</v>
      </c>
      <c r="BH404" s="326"/>
      <c r="BI404" s="326"/>
      <c r="BJ404" s="327"/>
      <c r="BK404" s="647"/>
      <c r="BL404" s="326"/>
      <c r="BM404" s="327"/>
      <c r="BN404" s="71"/>
      <c r="BO404" s="71"/>
      <c r="BP404" s="646"/>
      <c r="BQ404" s="326"/>
      <c r="BR404" s="327"/>
      <c r="BS404" s="645" t="s">
        <v>303</v>
      </c>
      <c r="BT404" s="326"/>
      <c r="BU404" s="327"/>
    </row>
    <row r="405" spans="1:73" ht="30" customHeight="1" x14ac:dyDescent="0.25">
      <c r="A405" s="65">
        <f t="shared" si="1"/>
        <v>391</v>
      </c>
      <c r="B405" s="639" t="s">
        <v>334</v>
      </c>
      <c r="C405" s="327"/>
      <c r="D405" s="640" t="s">
        <v>303</v>
      </c>
      <c r="E405" s="326"/>
      <c r="F405" s="326"/>
      <c r="G405" s="327"/>
      <c r="H405" s="641" t="s">
        <v>303</v>
      </c>
      <c r="I405" s="326"/>
      <c r="J405" s="326"/>
      <c r="K405" s="327"/>
      <c r="L405" s="438" t="s">
        <v>303</v>
      </c>
      <c r="M405" s="326"/>
      <c r="N405" s="327"/>
      <c r="O405" s="519" t="s">
        <v>303</v>
      </c>
      <c r="P405" s="326"/>
      <c r="Q405" s="327"/>
      <c r="R405" s="527"/>
      <c r="S405" s="326"/>
      <c r="T405" s="327"/>
      <c r="U405" s="497"/>
      <c r="V405" s="326"/>
      <c r="W405" s="327"/>
      <c r="X405" s="66"/>
      <c r="Y405" s="67"/>
      <c r="Z405" s="66"/>
      <c r="AA405" s="67"/>
      <c r="AB405" s="66"/>
      <c r="AC405" s="67"/>
      <c r="AD405" s="66"/>
      <c r="AE405" s="67"/>
      <c r="AF405" s="66"/>
      <c r="AG405" s="67"/>
      <c r="AH405" s="66"/>
      <c r="AI405" s="67"/>
      <c r="AJ405" s="50"/>
      <c r="AK405" s="69"/>
      <c r="AL405" s="50"/>
      <c r="AM405" s="69"/>
      <c r="AN405" s="50"/>
      <c r="AO405" s="69"/>
      <c r="AP405" s="50"/>
      <c r="AQ405" s="69"/>
      <c r="AR405" s="50"/>
      <c r="AS405" s="642" t="s">
        <v>303</v>
      </c>
      <c r="AT405" s="326"/>
      <c r="AU405" s="326"/>
      <c r="AV405" s="326"/>
      <c r="AW405" s="326"/>
      <c r="AX405" s="326"/>
      <c r="AY405" s="327"/>
      <c r="AZ405" s="70"/>
      <c r="BA405" s="70"/>
      <c r="BB405" s="643" t="s">
        <v>334</v>
      </c>
      <c r="BC405" s="327"/>
      <c r="BD405" s="645" t="s">
        <v>303</v>
      </c>
      <c r="BE405" s="326"/>
      <c r="BF405" s="327"/>
      <c r="BG405" s="646" t="s">
        <v>303</v>
      </c>
      <c r="BH405" s="326"/>
      <c r="BI405" s="326"/>
      <c r="BJ405" s="327"/>
      <c r="BK405" s="647"/>
      <c r="BL405" s="326"/>
      <c r="BM405" s="327"/>
      <c r="BN405" s="71"/>
      <c r="BO405" s="71"/>
      <c r="BP405" s="646"/>
      <c r="BQ405" s="326"/>
      <c r="BR405" s="327"/>
      <c r="BS405" s="645" t="s">
        <v>303</v>
      </c>
      <c r="BT405" s="326"/>
      <c r="BU405" s="327"/>
    </row>
    <row r="406" spans="1:73" ht="30" customHeight="1" x14ac:dyDescent="0.25">
      <c r="A406" s="65">
        <f t="shared" si="1"/>
        <v>392</v>
      </c>
      <c r="B406" s="639" t="s">
        <v>334</v>
      </c>
      <c r="C406" s="327"/>
      <c r="D406" s="640" t="s">
        <v>303</v>
      </c>
      <c r="E406" s="326"/>
      <c r="F406" s="326"/>
      <c r="G406" s="327"/>
      <c r="H406" s="641" t="s">
        <v>303</v>
      </c>
      <c r="I406" s="326"/>
      <c r="J406" s="326"/>
      <c r="K406" s="327"/>
      <c r="L406" s="438" t="s">
        <v>303</v>
      </c>
      <c r="M406" s="326"/>
      <c r="N406" s="327"/>
      <c r="O406" s="519" t="s">
        <v>303</v>
      </c>
      <c r="P406" s="326"/>
      <c r="Q406" s="327"/>
      <c r="R406" s="527"/>
      <c r="S406" s="326"/>
      <c r="T406" s="327"/>
      <c r="U406" s="497"/>
      <c r="V406" s="326"/>
      <c r="W406" s="327"/>
      <c r="X406" s="66"/>
      <c r="Y406" s="67"/>
      <c r="Z406" s="66"/>
      <c r="AA406" s="67"/>
      <c r="AB406" s="66"/>
      <c r="AC406" s="67"/>
      <c r="AD406" s="66"/>
      <c r="AE406" s="67"/>
      <c r="AF406" s="66"/>
      <c r="AG406" s="67"/>
      <c r="AH406" s="66"/>
      <c r="AI406" s="67"/>
      <c r="AJ406" s="50"/>
      <c r="AK406" s="69"/>
      <c r="AL406" s="50"/>
      <c r="AM406" s="69"/>
      <c r="AN406" s="50"/>
      <c r="AO406" s="69"/>
      <c r="AP406" s="50"/>
      <c r="AQ406" s="69"/>
      <c r="AR406" s="50"/>
      <c r="AS406" s="642" t="s">
        <v>303</v>
      </c>
      <c r="AT406" s="326"/>
      <c r="AU406" s="326"/>
      <c r="AV406" s="326"/>
      <c r="AW406" s="326"/>
      <c r="AX406" s="326"/>
      <c r="AY406" s="327"/>
      <c r="AZ406" s="70"/>
      <c r="BA406" s="70"/>
      <c r="BB406" s="643" t="s">
        <v>334</v>
      </c>
      <c r="BC406" s="327"/>
      <c r="BD406" s="645" t="s">
        <v>303</v>
      </c>
      <c r="BE406" s="326"/>
      <c r="BF406" s="327"/>
      <c r="BG406" s="646" t="s">
        <v>303</v>
      </c>
      <c r="BH406" s="326"/>
      <c r="BI406" s="326"/>
      <c r="BJ406" s="327"/>
      <c r="BK406" s="647"/>
      <c r="BL406" s="326"/>
      <c r="BM406" s="327"/>
      <c r="BN406" s="71"/>
      <c r="BO406" s="71"/>
      <c r="BP406" s="646"/>
      <c r="BQ406" s="326"/>
      <c r="BR406" s="327"/>
      <c r="BS406" s="645" t="s">
        <v>303</v>
      </c>
      <c r="BT406" s="326"/>
      <c r="BU406" s="327"/>
    </row>
    <row r="407" spans="1:73" ht="30" customHeight="1" x14ac:dyDescent="0.25">
      <c r="A407" s="65">
        <f t="shared" si="1"/>
        <v>393</v>
      </c>
      <c r="B407" s="639" t="s">
        <v>334</v>
      </c>
      <c r="C407" s="327"/>
      <c r="D407" s="640" t="s">
        <v>303</v>
      </c>
      <c r="E407" s="326"/>
      <c r="F407" s="326"/>
      <c r="G407" s="327"/>
      <c r="H407" s="641" t="s">
        <v>303</v>
      </c>
      <c r="I407" s="326"/>
      <c r="J407" s="326"/>
      <c r="K407" s="327"/>
      <c r="L407" s="438" t="s">
        <v>303</v>
      </c>
      <c r="M407" s="326"/>
      <c r="N407" s="327"/>
      <c r="O407" s="519" t="s">
        <v>303</v>
      </c>
      <c r="P407" s="326"/>
      <c r="Q407" s="327"/>
      <c r="R407" s="527"/>
      <c r="S407" s="326"/>
      <c r="T407" s="327"/>
      <c r="U407" s="497"/>
      <c r="V407" s="326"/>
      <c r="W407" s="327"/>
      <c r="X407" s="66"/>
      <c r="Y407" s="67"/>
      <c r="Z407" s="66"/>
      <c r="AA407" s="67"/>
      <c r="AB407" s="66"/>
      <c r="AC407" s="67"/>
      <c r="AD407" s="66"/>
      <c r="AE407" s="67"/>
      <c r="AF407" s="66"/>
      <c r="AG407" s="67"/>
      <c r="AH407" s="66"/>
      <c r="AI407" s="67"/>
      <c r="AJ407" s="50"/>
      <c r="AK407" s="69"/>
      <c r="AL407" s="50"/>
      <c r="AM407" s="69"/>
      <c r="AN407" s="50"/>
      <c r="AO407" s="69"/>
      <c r="AP407" s="50"/>
      <c r="AQ407" s="69"/>
      <c r="AR407" s="50"/>
      <c r="AS407" s="642" t="s">
        <v>303</v>
      </c>
      <c r="AT407" s="326"/>
      <c r="AU407" s="326"/>
      <c r="AV407" s="326"/>
      <c r="AW407" s="326"/>
      <c r="AX407" s="326"/>
      <c r="AY407" s="327"/>
      <c r="AZ407" s="70"/>
      <c r="BA407" s="70"/>
      <c r="BB407" s="643" t="s">
        <v>334</v>
      </c>
      <c r="BC407" s="327"/>
      <c r="BD407" s="645" t="s">
        <v>303</v>
      </c>
      <c r="BE407" s="326"/>
      <c r="BF407" s="327"/>
      <c r="BG407" s="646" t="s">
        <v>303</v>
      </c>
      <c r="BH407" s="326"/>
      <c r="BI407" s="326"/>
      <c r="BJ407" s="327"/>
      <c r="BK407" s="647"/>
      <c r="BL407" s="326"/>
      <c r="BM407" s="327"/>
      <c r="BN407" s="71"/>
      <c r="BO407" s="71"/>
      <c r="BP407" s="646"/>
      <c r="BQ407" s="326"/>
      <c r="BR407" s="327"/>
      <c r="BS407" s="645" t="s">
        <v>303</v>
      </c>
      <c r="BT407" s="326"/>
      <c r="BU407" s="327"/>
    </row>
    <row r="408" spans="1:73" ht="30" customHeight="1" x14ac:dyDescent="0.25">
      <c r="A408" s="65">
        <f t="shared" si="1"/>
        <v>394</v>
      </c>
      <c r="B408" s="639" t="s">
        <v>334</v>
      </c>
      <c r="C408" s="327"/>
      <c r="D408" s="640" t="s">
        <v>303</v>
      </c>
      <c r="E408" s="326"/>
      <c r="F408" s="326"/>
      <c r="G408" s="327"/>
      <c r="H408" s="641" t="s">
        <v>303</v>
      </c>
      <c r="I408" s="326"/>
      <c r="J408" s="326"/>
      <c r="K408" s="327"/>
      <c r="L408" s="438" t="s">
        <v>303</v>
      </c>
      <c r="M408" s="326"/>
      <c r="N408" s="327"/>
      <c r="O408" s="519" t="s">
        <v>303</v>
      </c>
      <c r="P408" s="326"/>
      <c r="Q408" s="327"/>
      <c r="R408" s="527"/>
      <c r="S408" s="326"/>
      <c r="T408" s="327"/>
      <c r="U408" s="497"/>
      <c r="V408" s="326"/>
      <c r="W408" s="327"/>
      <c r="X408" s="66"/>
      <c r="Y408" s="67"/>
      <c r="Z408" s="66"/>
      <c r="AA408" s="67"/>
      <c r="AB408" s="66"/>
      <c r="AC408" s="67"/>
      <c r="AD408" s="66"/>
      <c r="AE408" s="67"/>
      <c r="AF408" s="66"/>
      <c r="AG408" s="67"/>
      <c r="AH408" s="66"/>
      <c r="AI408" s="67"/>
      <c r="AJ408" s="50"/>
      <c r="AK408" s="69"/>
      <c r="AL408" s="50"/>
      <c r="AM408" s="69"/>
      <c r="AN408" s="50"/>
      <c r="AO408" s="69"/>
      <c r="AP408" s="50"/>
      <c r="AQ408" s="69"/>
      <c r="AR408" s="50"/>
      <c r="AS408" s="642" t="s">
        <v>303</v>
      </c>
      <c r="AT408" s="326"/>
      <c r="AU408" s="326"/>
      <c r="AV408" s="326"/>
      <c r="AW408" s="326"/>
      <c r="AX408" s="326"/>
      <c r="AY408" s="327"/>
      <c r="AZ408" s="70"/>
      <c r="BA408" s="70"/>
      <c r="BB408" s="643" t="s">
        <v>334</v>
      </c>
      <c r="BC408" s="327"/>
      <c r="BD408" s="645" t="s">
        <v>303</v>
      </c>
      <c r="BE408" s="326"/>
      <c r="BF408" s="327"/>
      <c r="BG408" s="646" t="s">
        <v>303</v>
      </c>
      <c r="BH408" s="326"/>
      <c r="BI408" s="326"/>
      <c r="BJ408" s="327"/>
      <c r="BK408" s="647"/>
      <c r="BL408" s="326"/>
      <c r="BM408" s="327"/>
      <c r="BN408" s="71"/>
      <c r="BO408" s="71"/>
      <c r="BP408" s="646"/>
      <c r="BQ408" s="326"/>
      <c r="BR408" s="327"/>
      <c r="BS408" s="645" t="s">
        <v>303</v>
      </c>
      <c r="BT408" s="326"/>
      <c r="BU408" s="327"/>
    </row>
    <row r="409" spans="1:73" ht="30" customHeight="1" x14ac:dyDescent="0.25">
      <c r="A409" s="65">
        <f t="shared" si="1"/>
        <v>395</v>
      </c>
      <c r="B409" s="639" t="s">
        <v>334</v>
      </c>
      <c r="C409" s="327"/>
      <c r="D409" s="640" t="s">
        <v>303</v>
      </c>
      <c r="E409" s="326"/>
      <c r="F409" s="326"/>
      <c r="G409" s="327"/>
      <c r="H409" s="641" t="s">
        <v>303</v>
      </c>
      <c r="I409" s="326"/>
      <c r="J409" s="326"/>
      <c r="K409" s="327"/>
      <c r="L409" s="438" t="s">
        <v>303</v>
      </c>
      <c r="M409" s="326"/>
      <c r="N409" s="327"/>
      <c r="O409" s="519" t="s">
        <v>303</v>
      </c>
      <c r="P409" s="326"/>
      <c r="Q409" s="327"/>
      <c r="R409" s="527"/>
      <c r="S409" s="326"/>
      <c r="T409" s="327"/>
      <c r="U409" s="497"/>
      <c r="V409" s="326"/>
      <c r="W409" s="327"/>
      <c r="X409" s="66"/>
      <c r="Y409" s="67"/>
      <c r="Z409" s="66"/>
      <c r="AA409" s="67"/>
      <c r="AB409" s="66"/>
      <c r="AC409" s="67"/>
      <c r="AD409" s="66"/>
      <c r="AE409" s="67"/>
      <c r="AF409" s="66"/>
      <c r="AG409" s="67"/>
      <c r="AH409" s="66"/>
      <c r="AI409" s="67"/>
      <c r="AJ409" s="50"/>
      <c r="AK409" s="69"/>
      <c r="AL409" s="50"/>
      <c r="AM409" s="69"/>
      <c r="AN409" s="50"/>
      <c r="AO409" s="69"/>
      <c r="AP409" s="50"/>
      <c r="AQ409" s="69"/>
      <c r="AR409" s="50"/>
      <c r="AS409" s="642" t="s">
        <v>303</v>
      </c>
      <c r="AT409" s="326"/>
      <c r="AU409" s="326"/>
      <c r="AV409" s="326"/>
      <c r="AW409" s="326"/>
      <c r="AX409" s="326"/>
      <c r="AY409" s="327"/>
      <c r="AZ409" s="72"/>
      <c r="BA409" s="72"/>
      <c r="BB409" s="643" t="s">
        <v>334</v>
      </c>
      <c r="BC409" s="327"/>
      <c r="BD409" s="648" t="s">
        <v>303</v>
      </c>
      <c r="BE409" s="344"/>
      <c r="BF409" s="345"/>
      <c r="BG409" s="649" t="s">
        <v>303</v>
      </c>
      <c r="BH409" s="344"/>
      <c r="BI409" s="344"/>
      <c r="BJ409" s="345"/>
      <c r="BK409" s="650"/>
      <c r="BL409" s="344"/>
      <c r="BM409" s="345"/>
      <c r="BN409" s="73"/>
      <c r="BO409" s="73"/>
      <c r="BP409" s="649"/>
      <c r="BQ409" s="344"/>
      <c r="BR409" s="345"/>
      <c r="BS409" s="648" t="s">
        <v>303</v>
      </c>
      <c r="BT409" s="344"/>
      <c r="BU409" s="345"/>
    </row>
    <row r="410" spans="1:73" ht="30" customHeight="1" x14ac:dyDescent="0.25">
      <c r="A410" s="65">
        <f t="shared" si="1"/>
        <v>396</v>
      </c>
      <c r="B410" s="639" t="s">
        <v>334</v>
      </c>
      <c r="C410" s="327"/>
      <c r="D410" s="640" t="s">
        <v>303</v>
      </c>
      <c r="E410" s="326"/>
      <c r="F410" s="326"/>
      <c r="G410" s="327"/>
      <c r="H410" s="641" t="s">
        <v>303</v>
      </c>
      <c r="I410" s="326"/>
      <c r="J410" s="326"/>
      <c r="K410" s="327"/>
      <c r="L410" s="438" t="s">
        <v>303</v>
      </c>
      <c r="M410" s="326"/>
      <c r="N410" s="327"/>
      <c r="O410" s="519" t="s">
        <v>303</v>
      </c>
      <c r="P410" s="326"/>
      <c r="Q410" s="327"/>
      <c r="R410" s="527"/>
      <c r="S410" s="326"/>
      <c r="T410" s="327"/>
      <c r="U410" s="497"/>
      <c r="V410" s="326"/>
      <c r="W410" s="327"/>
      <c r="X410" s="66"/>
      <c r="Y410" s="67"/>
      <c r="Z410" s="66"/>
      <c r="AA410" s="67"/>
      <c r="AB410" s="66"/>
      <c r="AC410" s="67"/>
      <c r="AD410" s="66"/>
      <c r="AE410" s="67"/>
      <c r="AF410" s="66"/>
      <c r="AG410" s="67"/>
      <c r="AH410" s="66"/>
      <c r="AI410" s="67"/>
      <c r="AJ410" s="50"/>
      <c r="AK410" s="69"/>
      <c r="AL410" s="50"/>
      <c r="AM410" s="69"/>
      <c r="AN410" s="50"/>
      <c r="AO410" s="69"/>
      <c r="AP410" s="50"/>
      <c r="AQ410" s="69"/>
      <c r="AR410" s="50"/>
      <c r="AS410" s="642" t="s">
        <v>303</v>
      </c>
      <c r="AT410" s="326"/>
      <c r="AU410" s="326"/>
      <c r="AV410" s="326"/>
      <c r="AW410" s="326"/>
      <c r="AX410" s="326"/>
      <c r="AY410" s="327"/>
      <c r="AZ410" s="70"/>
      <c r="BA410" s="70"/>
      <c r="BB410" s="643" t="s">
        <v>334</v>
      </c>
      <c r="BC410" s="327"/>
      <c r="BD410" s="645" t="s">
        <v>303</v>
      </c>
      <c r="BE410" s="326"/>
      <c r="BF410" s="327"/>
      <c r="BG410" s="646" t="s">
        <v>303</v>
      </c>
      <c r="BH410" s="326"/>
      <c r="BI410" s="326"/>
      <c r="BJ410" s="327"/>
      <c r="BK410" s="647"/>
      <c r="BL410" s="326"/>
      <c r="BM410" s="327"/>
      <c r="BN410" s="71"/>
      <c r="BO410" s="71"/>
      <c r="BP410" s="646"/>
      <c r="BQ410" s="326"/>
      <c r="BR410" s="327"/>
      <c r="BS410" s="645" t="s">
        <v>303</v>
      </c>
      <c r="BT410" s="326"/>
      <c r="BU410" s="327"/>
    </row>
    <row r="411" spans="1:73" ht="30" customHeight="1" x14ac:dyDescent="0.25">
      <c r="A411" s="65">
        <f t="shared" si="1"/>
        <v>397</v>
      </c>
      <c r="B411" s="639" t="s">
        <v>334</v>
      </c>
      <c r="C411" s="327"/>
      <c r="D411" s="640" t="s">
        <v>303</v>
      </c>
      <c r="E411" s="326"/>
      <c r="F411" s="326"/>
      <c r="G411" s="327"/>
      <c r="H411" s="641" t="s">
        <v>303</v>
      </c>
      <c r="I411" s="326"/>
      <c r="J411" s="326"/>
      <c r="K411" s="327"/>
      <c r="L411" s="438" t="s">
        <v>303</v>
      </c>
      <c r="M411" s="326"/>
      <c r="N411" s="327"/>
      <c r="O411" s="519" t="s">
        <v>303</v>
      </c>
      <c r="P411" s="326"/>
      <c r="Q411" s="327"/>
      <c r="R411" s="527"/>
      <c r="S411" s="326"/>
      <c r="T411" s="327"/>
      <c r="U411" s="497"/>
      <c r="V411" s="326"/>
      <c r="W411" s="327"/>
      <c r="X411" s="66"/>
      <c r="Y411" s="67"/>
      <c r="Z411" s="66"/>
      <c r="AA411" s="67"/>
      <c r="AB411" s="66"/>
      <c r="AC411" s="67"/>
      <c r="AD411" s="66"/>
      <c r="AE411" s="67"/>
      <c r="AF411" s="66"/>
      <c r="AG411" s="67"/>
      <c r="AH411" s="66"/>
      <c r="AI411" s="67"/>
      <c r="AJ411" s="50"/>
      <c r="AK411" s="69"/>
      <c r="AL411" s="50"/>
      <c r="AM411" s="69"/>
      <c r="AN411" s="50"/>
      <c r="AO411" s="69"/>
      <c r="AP411" s="50"/>
      <c r="AQ411" s="69"/>
      <c r="AR411" s="50"/>
      <c r="AS411" s="642" t="s">
        <v>303</v>
      </c>
      <c r="AT411" s="326"/>
      <c r="AU411" s="326"/>
      <c r="AV411" s="326"/>
      <c r="AW411" s="326"/>
      <c r="AX411" s="326"/>
      <c r="AY411" s="327"/>
      <c r="AZ411" s="70"/>
      <c r="BA411" s="70"/>
      <c r="BB411" s="643" t="s">
        <v>334</v>
      </c>
      <c r="BC411" s="327"/>
      <c r="BD411" s="645" t="s">
        <v>303</v>
      </c>
      <c r="BE411" s="326"/>
      <c r="BF411" s="327"/>
      <c r="BG411" s="646" t="s">
        <v>303</v>
      </c>
      <c r="BH411" s="326"/>
      <c r="BI411" s="326"/>
      <c r="BJ411" s="327"/>
      <c r="BK411" s="647"/>
      <c r="BL411" s="326"/>
      <c r="BM411" s="327"/>
      <c r="BN411" s="71"/>
      <c r="BO411" s="71"/>
      <c r="BP411" s="646"/>
      <c r="BQ411" s="326"/>
      <c r="BR411" s="327"/>
      <c r="BS411" s="645" t="s">
        <v>303</v>
      </c>
      <c r="BT411" s="326"/>
      <c r="BU411" s="327"/>
    </row>
    <row r="412" spans="1:73" ht="30" customHeight="1" x14ac:dyDescent="0.25">
      <c r="A412" s="65">
        <f t="shared" si="1"/>
        <v>398</v>
      </c>
      <c r="B412" s="639" t="s">
        <v>334</v>
      </c>
      <c r="C412" s="327"/>
      <c r="D412" s="640" t="s">
        <v>303</v>
      </c>
      <c r="E412" s="326"/>
      <c r="F412" s="326"/>
      <c r="G412" s="327"/>
      <c r="H412" s="641" t="s">
        <v>303</v>
      </c>
      <c r="I412" s="326"/>
      <c r="J412" s="326"/>
      <c r="K412" s="327"/>
      <c r="L412" s="438" t="s">
        <v>303</v>
      </c>
      <c r="M412" s="326"/>
      <c r="N412" s="327"/>
      <c r="O412" s="519" t="s">
        <v>303</v>
      </c>
      <c r="P412" s="326"/>
      <c r="Q412" s="327"/>
      <c r="R412" s="527"/>
      <c r="S412" s="326"/>
      <c r="T412" s="327"/>
      <c r="U412" s="497"/>
      <c r="V412" s="326"/>
      <c r="W412" s="327"/>
      <c r="X412" s="66"/>
      <c r="Y412" s="67"/>
      <c r="Z412" s="66"/>
      <c r="AA412" s="67"/>
      <c r="AB412" s="66"/>
      <c r="AC412" s="67"/>
      <c r="AD412" s="66"/>
      <c r="AE412" s="67"/>
      <c r="AF412" s="66"/>
      <c r="AG412" s="67"/>
      <c r="AH412" s="66"/>
      <c r="AI412" s="67"/>
      <c r="AJ412" s="50"/>
      <c r="AK412" s="69"/>
      <c r="AL412" s="50"/>
      <c r="AM412" s="69"/>
      <c r="AN412" s="50"/>
      <c r="AO412" s="69"/>
      <c r="AP412" s="50"/>
      <c r="AQ412" s="69"/>
      <c r="AR412" s="50"/>
      <c r="AS412" s="642" t="s">
        <v>303</v>
      </c>
      <c r="AT412" s="326"/>
      <c r="AU412" s="326"/>
      <c r="AV412" s="326"/>
      <c r="AW412" s="326"/>
      <c r="AX412" s="326"/>
      <c r="AY412" s="327"/>
      <c r="AZ412" s="70"/>
      <c r="BA412" s="70"/>
      <c r="BB412" s="643" t="s">
        <v>334</v>
      </c>
      <c r="BC412" s="327"/>
      <c r="BD412" s="645" t="s">
        <v>303</v>
      </c>
      <c r="BE412" s="326"/>
      <c r="BF412" s="327"/>
      <c r="BG412" s="646" t="s">
        <v>303</v>
      </c>
      <c r="BH412" s="326"/>
      <c r="BI412" s="326"/>
      <c r="BJ412" s="327"/>
      <c r="BK412" s="647"/>
      <c r="BL412" s="326"/>
      <c r="BM412" s="327"/>
      <c r="BN412" s="71"/>
      <c r="BO412" s="71"/>
      <c r="BP412" s="646"/>
      <c r="BQ412" s="326"/>
      <c r="BR412" s="327"/>
      <c r="BS412" s="645" t="s">
        <v>303</v>
      </c>
      <c r="BT412" s="326"/>
      <c r="BU412" s="327"/>
    </row>
    <row r="413" spans="1:73" ht="30" customHeight="1" x14ac:dyDescent="0.25">
      <c r="A413" s="65">
        <f t="shared" si="1"/>
        <v>399</v>
      </c>
      <c r="B413" s="639" t="s">
        <v>334</v>
      </c>
      <c r="C413" s="327"/>
      <c r="D413" s="640" t="s">
        <v>303</v>
      </c>
      <c r="E413" s="326"/>
      <c r="F413" s="326"/>
      <c r="G413" s="327"/>
      <c r="H413" s="641" t="s">
        <v>303</v>
      </c>
      <c r="I413" s="326"/>
      <c r="J413" s="326"/>
      <c r="K413" s="327"/>
      <c r="L413" s="438" t="s">
        <v>303</v>
      </c>
      <c r="M413" s="326"/>
      <c r="N413" s="327"/>
      <c r="O413" s="519" t="s">
        <v>303</v>
      </c>
      <c r="P413" s="326"/>
      <c r="Q413" s="327"/>
      <c r="R413" s="527"/>
      <c r="S413" s="326"/>
      <c r="T413" s="327"/>
      <c r="U413" s="497"/>
      <c r="V413" s="326"/>
      <c r="W413" s="327"/>
      <c r="X413" s="66"/>
      <c r="Y413" s="67"/>
      <c r="Z413" s="66"/>
      <c r="AA413" s="67"/>
      <c r="AB413" s="66"/>
      <c r="AC413" s="67"/>
      <c r="AD413" s="66"/>
      <c r="AE413" s="67"/>
      <c r="AF413" s="66"/>
      <c r="AG413" s="67"/>
      <c r="AH413" s="66"/>
      <c r="AI413" s="67"/>
      <c r="AJ413" s="50"/>
      <c r="AK413" s="69"/>
      <c r="AL413" s="50"/>
      <c r="AM413" s="69"/>
      <c r="AN413" s="50"/>
      <c r="AO413" s="69"/>
      <c r="AP413" s="50"/>
      <c r="AQ413" s="69"/>
      <c r="AR413" s="50"/>
      <c r="AS413" s="642" t="s">
        <v>303</v>
      </c>
      <c r="AT413" s="326"/>
      <c r="AU413" s="326"/>
      <c r="AV413" s="326"/>
      <c r="AW413" s="326"/>
      <c r="AX413" s="326"/>
      <c r="AY413" s="327"/>
      <c r="AZ413" s="70"/>
      <c r="BA413" s="70"/>
      <c r="BB413" s="643" t="s">
        <v>334</v>
      </c>
      <c r="BC413" s="327"/>
      <c r="BD413" s="645" t="s">
        <v>303</v>
      </c>
      <c r="BE413" s="326"/>
      <c r="BF413" s="327"/>
      <c r="BG413" s="646" t="s">
        <v>303</v>
      </c>
      <c r="BH413" s="326"/>
      <c r="BI413" s="326"/>
      <c r="BJ413" s="327"/>
      <c r="BK413" s="647"/>
      <c r="BL413" s="326"/>
      <c r="BM413" s="327"/>
      <c r="BN413" s="71"/>
      <c r="BO413" s="71"/>
      <c r="BP413" s="646"/>
      <c r="BQ413" s="326"/>
      <c r="BR413" s="327"/>
      <c r="BS413" s="645" t="s">
        <v>303</v>
      </c>
      <c r="BT413" s="326"/>
      <c r="BU413" s="327"/>
    </row>
    <row r="414" spans="1:73" ht="30" customHeight="1" x14ac:dyDescent="0.25">
      <c r="A414" s="65">
        <f t="shared" si="1"/>
        <v>400</v>
      </c>
      <c r="B414" s="639" t="s">
        <v>334</v>
      </c>
      <c r="C414" s="327"/>
      <c r="D414" s="640" t="s">
        <v>303</v>
      </c>
      <c r="E414" s="326"/>
      <c r="F414" s="326"/>
      <c r="G414" s="327"/>
      <c r="H414" s="641" t="s">
        <v>303</v>
      </c>
      <c r="I414" s="326"/>
      <c r="J414" s="326"/>
      <c r="K414" s="327"/>
      <c r="L414" s="438" t="s">
        <v>303</v>
      </c>
      <c r="M414" s="326"/>
      <c r="N414" s="327"/>
      <c r="O414" s="519" t="s">
        <v>303</v>
      </c>
      <c r="P414" s="326"/>
      <c r="Q414" s="327"/>
      <c r="R414" s="527"/>
      <c r="S414" s="326"/>
      <c r="T414" s="327"/>
      <c r="U414" s="497"/>
      <c r="V414" s="326"/>
      <c r="W414" s="327"/>
      <c r="X414" s="66"/>
      <c r="Y414" s="67"/>
      <c r="Z414" s="66"/>
      <c r="AA414" s="67"/>
      <c r="AB414" s="66"/>
      <c r="AC414" s="67"/>
      <c r="AD414" s="66"/>
      <c r="AE414" s="67"/>
      <c r="AF414" s="66"/>
      <c r="AG414" s="67"/>
      <c r="AH414" s="66"/>
      <c r="AI414" s="67"/>
      <c r="AJ414" s="50"/>
      <c r="AK414" s="69"/>
      <c r="AL414" s="50"/>
      <c r="AM414" s="69"/>
      <c r="AN414" s="50"/>
      <c r="AO414" s="69"/>
      <c r="AP414" s="50"/>
      <c r="AQ414" s="69"/>
      <c r="AR414" s="50"/>
      <c r="AS414" s="642" t="s">
        <v>303</v>
      </c>
      <c r="AT414" s="326"/>
      <c r="AU414" s="326"/>
      <c r="AV414" s="326"/>
      <c r="AW414" s="326"/>
      <c r="AX414" s="326"/>
      <c r="AY414" s="327"/>
      <c r="AZ414" s="70"/>
      <c r="BA414" s="70"/>
      <c r="BB414" s="643" t="s">
        <v>334</v>
      </c>
      <c r="BC414" s="327"/>
      <c r="BD414" s="645" t="s">
        <v>303</v>
      </c>
      <c r="BE414" s="326"/>
      <c r="BF414" s="327"/>
      <c r="BG414" s="646" t="s">
        <v>303</v>
      </c>
      <c r="BH414" s="326"/>
      <c r="BI414" s="326"/>
      <c r="BJ414" s="327"/>
      <c r="BK414" s="647"/>
      <c r="BL414" s="326"/>
      <c r="BM414" s="327"/>
      <c r="BN414" s="71"/>
      <c r="BO414" s="71"/>
      <c r="BP414" s="646"/>
      <c r="BQ414" s="326"/>
      <c r="BR414" s="327"/>
      <c r="BS414" s="645" t="s">
        <v>303</v>
      </c>
      <c r="BT414" s="326"/>
      <c r="BU414" s="327"/>
    </row>
    <row r="415" spans="1:73" ht="30" customHeight="1" x14ac:dyDescent="0.25">
      <c r="A415" s="65">
        <f t="shared" si="1"/>
        <v>401</v>
      </c>
      <c r="B415" s="639" t="s">
        <v>334</v>
      </c>
      <c r="C415" s="327"/>
      <c r="D415" s="640" t="s">
        <v>303</v>
      </c>
      <c r="E415" s="326"/>
      <c r="F415" s="326"/>
      <c r="G415" s="327"/>
      <c r="H415" s="641" t="s">
        <v>303</v>
      </c>
      <c r="I415" s="326"/>
      <c r="J415" s="326"/>
      <c r="K415" s="327"/>
      <c r="L415" s="438" t="s">
        <v>303</v>
      </c>
      <c r="M415" s="326"/>
      <c r="N415" s="327"/>
      <c r="O415" s="519" t="s">
        <v>303</v>
      </c>
      <c r="P415" s="326"/>
      <c r="Q415" s="327"/>
      <c r="R415" s="527"/>
      <c r="S415" s="326"/>
      <c r="T415" s="327"/>
      <c r="U415" s="497"/>
      <c r="V415" s="326"/>
      <c r="W415" s="327"/>
      <c r="X415" s="66"/>
      <c r="Y415" s="67"/>
      <c r="Z415" s="66"/>
      <c r="AA415" s="67"/>
      <c r="AB415" s="66"/>
      <c r="AC415" s="67"/>
      <c r="AD415" s="66"/>
      <c r="AE415" s="67"/>
      <c r="AF415" s="66"/>
      <c r="AG415" s="67"/>
      <c r="AH415" s="66"/>
      <c r="AI415" s="67"/>
      <c r="AJ415" s="50"/>
      <c r="AK415" s="69"/>
      <c r="AL415" s="50"/>
      <c r="AM415" s="69"/>
      <c r="AN415" s="50"/>
      <c r="AO415" s="69"/>
      <c r="AP415" s="50"/>
      <c r="AQ415" s="69"/>
      <c r="AR415" s="50"/>
      <c r="AS415" s="642" t="s">
        <v>303</v>
      </c>
      <c r="AT415" s="326"/>
      <c r="AU415" s="326"/>
      <c r="AV415" s="326"/>
      <c r="AW415" s="326"/>
      <c r="AX415" s="326"/>
      <c r="AY415" s="327"/>
      <c r="AZ415" s="70"/>
      <c r="BA415" s="70"/>
      <c r="BB415" s="643" t="s">
        <v>334</v>
      </c>
      <c r="BC415" s="327"/>
      <c r="BD415" s="645" t="s">
        <v>303</v>
      </c>
      <c r="BE415" s="326"/>
      <c r="BF415" s="327"/>
      <c r="BG415" s="646" t="s">
        <v>303</v>
      </c>
      <c r="BH415" s="326"/>
      <c r="BI415" s="326"/>
      <c r="BJ415" s="327"/>
      <c r="BK415" s="647"/>
      <c r="BL415" s="326"/>
      <c r="BM415" s="327"/>
      <c r="BN415" s="71"/>
      <c r="BO415" s="71"/>
      <c r="BP415" s="646"/>
      <c r="BQ415" s="326"/>
      <c r="BR415" s="327"/>
      <c r="BS415" s="645" t="s">
        <v>303</v>
      </c>
      <c r="BT415" s="326"/>
      <c r="BU415" s="327"/>
    </row>
    <row r="416" spans="1:73" ht="30" customHeight="1" x14ac:dyDescent="0.25">
      <c r="A416" s="65">
        <f t="shared" si="1"/>
        <v>402</v>
      </c>
      <c r="B416" s="639" t="s">
        <v>334</v>
      </c>
      <c r="C416" s="327"/>
      <c r="D416" s="640" t="s">
        <v>303</v>
      </c>
      <c r="E416" s="326"/>
      <c r="F416" s="326"/>
      <c r="G416" s="327"/>
      <c r="H416" s="641" t="s">
        <v>303</v>
      </c>
      <c r="I416" s="326"/>
      <c r="J416" s="326"/>
      <c r="K416" s="327"/>
      <c r="L416" s="438" t="s">
        <v>303</v>
      </c>
      <c r="M416" s="326"/>
      <c r="N416" s="327"/>
      <c r="O416" s="519" t="s">
        <v>303</v>
      </c>
      <c r="P416" s="326"/>
      <c r="Q416" s="327"/>
      <c r="R416" s="527"/>
      <c r="S416" s="326"/>
      <c r="T416" s="327"/>
      <c r="U416" s="497"/>
      <c r="V416" s="326"/>
      <c r="W416" s="327"/>
      <c r="X416" s="66"/>
      <c r="Y416" s="67"/>
      <c r="Z416" s="66"/>
      <c r="AA416" s="67"/>
      <c r="AB416" s="66"/>
      <c r="AC416" s="67"/>
      <c r="AD416" s="66"/>
      <c r="AE416" s="67"/>
      <c r="AF416" s="66"/>
      <c r="AG416" s="67"/>
      <c r="AH416" s="66"/>
      <c r="AI416" s="67"/>
      <c r="AJ416" s="50"/>
      <c r="AK416" s="69"/>
      <c r="AL416" s="50"/>
      <c r="AM416" s="69"/>
      <c r="AN416" s="50"/>
      <c r="AO416" s="69"/>
      <c r="AP416" s="50"/>
      <c r="AQ416" s="69"/>
      <c r="AR416" s="50"/>
      <c r="AS416" s="642" t="s">
        <v>303</v>
      </c>
      <c r="AT416" s="326"/>
      <c r="AU416" s="326"/>
      <c r="AV416" s="326"/>
      <c r="AW416" s="326"/>
      <c r="AX416" s="326"/>
      <c r="AY416" s="327"/>
      <c r="AZ416" s="70"/>
      <c r="BA416" s="70"/>
      <c r="BB416" s="643" t="s">
        <v>334</v>
      </c>
      <c r="BC416" s="327"/>
      <c r="BD416" s="645" t="s">
        <v>303</v>
      </c>
      <c r="BE416" s="326"/>
      <c r="BF416" s="327"/>
      <c r="BG416" s="646" t="s">
        <v>303</v>
      </c>
      <c r="BH416" s="326"/>
      <c r="BI416" s="326"/>
      <c r="BJ416" s="327"/>
      <c r="BK416" s="647"/>
      <c r="BL416" s="326"/>
      <c r="BM416" s="327"/>
      <c r="BN416" s="71"/>
      <c r="BO416" s="71"/>
      <c r="BP416" s="646"/>
      <c r="BQ416" s="326"/>
      <c r="BR416" s="327"/>
      <c r="BS416" s="645" t="s">
        <v>303</v>
      </c>
      <c r="BT416" s="326"/>
      <c r="BU416" s="327"/>
    </row>
    <row r="417" spans="1:73" ht="30" customHeight="1" x14ac:dyDescent="0.25">
      <c r="A417" s="65">
        <f t="shared" si="1"/>
        <v>403</v>
      </c>
      <c r="B417" s="639" t="s">
        <v>334</v>
      </c>
      <c r="C417" s="327"/>
      <c r="D417" s="640" t="s">
        <v>303</v>
      </c>
      <c r="E417" s="326"/>
      <c r="F417" s="326"/>
      <c r="G417" s="327"/>
      <c r="H417" s="641" t="s">
        <v>303</v>
      </c>
      <c r="I417" s="326"/>
      <c r="J417" s="326"/>
      <c r="K417" s="327"/>
      <c r="L417" s="438" t="s">
        <v>303</v>
      </c>
      <c r="M417" s="326"/>
      <c r="N417" s="327"/>
      <c r="O417" s="519" t="s">
        <v>303</v>
      </c>
      <c r="P417" s="326"/>
      <c r="Q417" s="327"/>
      <c r="R417" s="527"/>
      <c r="S417" s="326"/>
      <c r="T417" s="327"/>
      <c r="U417" s="497"/>
      <c r="V417" s="326"/>
      <c r="W417" s="327"/>
      <c r="X417" s="66"/>
      <c r="Y417" s="67"/>
      <c r="Z417" s="66"/>
      <c r="AA417" s="67"/>
      <c r="AB417" s="66"/>
      <c r="AC417" s="67"/>
      <c r="AD417" s="66"/>
      <c r="AE417" s="67"/>
      <c r="AF417" s="66"/>
      <c r="AG417" s="67"/>
      <c r="AH417" s="66"/>
      <c r="AI417" s="67"/>
      <c r="AJ417" s="50"/>
      <c r="AK417" s="69"/>
      <c r="AL417" s="50"/>
      <c r="AM417" s="69"/>
      <c r="AN417" s="50"/>
      <c r="AO417" s="69"/>
      <c r="AP417" s="50"/>
      <c r="AQ417" s="69"/>
      <c r="AR417" s="50"/>
      <c r="AS417" s="642" t="s">
        <v>303</v>
      </c>
      <c r="AT417" s="326"/>
      <c r="AU417" s="326"/>
      <c r="AV417" s="326"/>
      <c r="AW417" s="326"/>
      <c r="AX417" s="326"/>
      <c r="AY417" s="327"/>
      <c r="AZ417" s="70"/>
      <c r="BA417" s="70"/>
      <c r="BB417" s="643" t="s">
        <v>334</v>
      </c>
      <c r="BC417" s="327"/>
      <c r="BD417" s="645" t="s">
        <v>303</v>
      </c>
      <c r="BE417" s="326"/>
      <c r="BF417" s="327"/>
      <c r="BG417" s="646" t="s">
        <v>303</v>
      </c>
      <c r="BH417" s="326"/>
      <c r="BI417" s="326"/>
      <c r="BJ417" s="327"/>
      <c r="BK417" s="647"/>
      <c r="BL417" s="326"/>
      <c r="BM417" s="327"/>
      <c r="BN417" s="71"/>
      <c r="BO417" s="71"/>
      <c r="BP417" s="646"/>
      <c r="BQ417" s="326"/>
      <c r="BR417" s="327"/>
      <c r="BS417" s="645" t="s">
        <v>303</v>
      </c>
      <c r="BT417" s="326"/>
      <c r="BU417" s="327"/>
    </row>
    <row r="418" spans="1:73" ht="30" customHeight="1" x14ac:dyDescent="0.25">
      <c r="A418" s="65">
        <f t="shared" si="1"/>
        <v>404</v>
      </c>
      <c r="B418" s="639" t="s">
        <v>334</v>
      </c>
      <c r="C418" s="327"/>
      <c r="D418" s="640" t="s">
        <v>303</v>
      </c>
      <c r="E418" s="326"/>
      <c r="F418" s="326"/>
      <c r="G418" s="327"/>
      <c r="H418" s="641" t="s">
        <v>303</v>
      </c>
      <c r="I418" s="326"/>
      <c r="J418" s="326"/>
      <c r="K418" s="327"/>
      <c r="L418" s="438" t="s">
        <v>303</v>
      </c>
      <c r="M418" s="326"/>
      <c r="N418" s="327"/>
      <c r="O418" s="519" t="s">
        <v>303</v>
      </c>
      <c r="P418" s="326"/>
      <c r="Q418" s="327"/>
      <c r="R418" s="527"/>
      <c r="S418" s="326"/>
      <c r="T418" s="327"/>
      <c r="U418" s="497"/>
      <c r="V418" s="326"/>
      <c r="W418" s="327"/>
      <c r="X418" s="66"/>
      <c r="Y418" s="67"/>
      <c r="Z418" s="66"/>
      <c r="AA418" s="67"/>
      <c r="AB418" s="66"/>
      <c r="AC418" s="67"/>
      <c r="AD418" s="66"/>
      <c r="AE418" s="67"/>
      <c r="AF418" s="66"/>
      <c r="AG418" s="67"/>
      <c r="AH418" s="66"/>
      <c r="AI418" s="67"/>
      <c r="AJ418" s="50"/>
      <c r="AK418" s="69"/>
      <c r="AL418" s="50"/>
      <c r="AM418" s="69"/>
      <c r="AN418" s="50"/>
      <c r="AO418" s="69"/>
      <c r="AP418" s="50"/>
      <c r="AQ418" s="69"/>
      <c r="AR418" s="50"/>
      <c r="AS418" s="642" t="s">
        <v>303</v>
      </c>
      <c r="AT418" s="326"/>
      <c r="AU418" s="326"/>
      <c r="AV418" s="326"/>
      <c r="AW418" s="326"/>
      <c r="AX418" s="326"/>
      <c r="AY418" s="327"/>
      <c r="AZ418" s="70"/>
      <c r="BA418" s="70"/>
      <c r="BB418" s="643" t="s">
        <v>334</v>
      </c>
      <c r="BC418" s="327"/>
      <c r="BD418" s="645" t="s">
        <v>303</v>
      </c>
      <c r="BE418" s="326"/>
      <c r="BF418" s="327"/>
      <c r="BG418" s="646" t="s">
        <v>303</v>
      </c>
      <c r="BH418" s="326"/>
      <c r="BI418" s="326"/>
      <c r="BJ418" s="327"/>
      <c r="BK418" s="647"/>
      <c r="BL418" s="326"/>
      <c r="BM418" s="327"/>
      <c r="BN418" s="71"/>
      <c r="BO418" s="71"/>
      <c r="BP418" s="646"/>
      <c r="BQ418" s="326"/>
      <c r="BR418" s="327"/>
      <c r="BS418" s="645" t="s">
        <v>303</v>
      </c>
      <c r="BT418" s="326"/>
      <c r="BU418" s="327"/>
    </row>
    <row r="419" spans="1:73" ht="30" customHeight="1" x14ac:dyDescent="0.25">
      <c r="A419" s="65">
        <f t="shared" si="1"/>
        <v>405</v>
      </c>
      <c r="B419" s="639" t="s">
        <v>334</v>
      </c>
      <c r="C419" s="327"/>
      <c r="D419" s="640" t="s">
        <v>303</v>
      </c>
      <c r="E419" s="326"/>
      <c r="F419" s="326"/>
      <c r="G419" s="327"/>
      <c r="H419" s="641" t="s">
        <v>303</v>
      </c>
      <c r="I419" s="326"/>
      <c r="J419" s="326"/>
      <c r="K419" s="327"/>
      <c r="L419" s="438" t="s">
        <v>303</v>
      </c>
      <c r="M419" s="326"/>
      <c r="N419" s="327"/>
      <c r="O419" s="519" t="s">
        <v>303</v>
      </c>
      <c r="P419" s="326"/>
      <c r="Q419" s="327"/>
      <c r="R419" s="527"/>
      <c r="S419" s="326"/>
      <c r="T419" s="327"/>
      <c r="U419" s="497"/>
      <c r="V419" s="326"/>
      <c r="W419" s="327"/>
      <c r="X419" s="66"/>
      <c r="Y419" s="67"/>
      <c r="Z419" s="66"/>
      <c r="AA419" s="67"/>
      <c r="AB419" s="66"/>
      <c r="AC419" s="67"/>
      <c r="AD419" s="66"/>
      <c r="AE419" s="67"/>
      <c r="AF419" s="66"/>
      <c r="AG419" s="67"/>
      <c r="AH419" s="66"/>
      <c r="AI419" s="67"/>
      <c r="AJ419" s="50"/>
      <c r="AK419" s="69"/>
      <c r="AL419" s="50"/>
      <c r="AM419" s="69"/>
      <c r="AN419" s="50"/>
      <c r="AO419" s="69"/>
      <c r="AP419" s="50"/>
      <c r="AQ419" s="69"/>
      <c r="AR419" s="50"/>
      <c r="AS419" s="642" t="s">
        <v>303</v>
      </c>
      <c r="AT419" s="326"/>
      <c r="AU419" s="326"/>
      <c r="AV419" s="326"/>
      <c r="AW419" s="326"/>
      <c r="AX419" s="326"/>
      <c r="AY419" s="327"/>
      <c r="AZ419" s="70"/>
      <c r="BA419" s="70"/>
      <c r="BB419" s="643" t="s">
        <v>334</v>
      </c>
      <c r="BC419" s="327"/>
      <c r="BD419" s="645" t="s">
        <v>303</v>
      </c>
      <c r="BE419" s="326"/>
      <c r="BF419" s="327"/>
      <c r="BG419" s="646" t="s">
        <v>303</v>
      </c>
      <c r="BH419" s="326"/>
      <c r="BI419" s="326"/>
      <c r="BJ419" s="327"/>
      <c r="BK419" s="647"/>
      <c r="BL419" s="326"/>
      <c r="BM419" s="327"/>
      <c r="BN419" s="71"/>
      <c r="BO419" s="71"/>
      <c r="BP419" s="646"/>
      <c r="BQ419" s="326"/>
      <c r="BR419" s="327"/>
      <c r="BS419" s="645" t="s">
        <v>303</v>
      </c>
      <c r="BT419" s="326"/>
      <c r="BU419" s="327"/>
    </row>
    <row r="420" spans="1:73" ht="30" customHeight="1" x14ac:dyDescent="0.25">
      <c r="A420" s="65">
        <f t="shared" si="1"/>
        <v>406</v>
      </c>
      <c r="B420" s="639" t="s">
        <v>334</v>
      </c>
      <c r="C420" s="327"/>
      <c r="D420" s="640" t="s">
        <v>303</v>
      </c>
      <c r="E420" s="326"/>
      <c r="F420" s="326"/>
      <c r="G420" s="327"/>
      <c r="H420" s="641" t="s">
        <v>303</v>
      </c>
      <c r="I420" s="326"/>
      <c r="J420" s="326"/>
      <c r="K420" s="327"/>
      <c r="L420" s="438" t="s">
        <v>303</v>
      </c>
      <c r="M420" s="326"/>
      <c r="N420" s="327"/>
      <c r="O420" s="519" t="s">
        <v>303</v>
      </c>
      <c r="P420" s="326"/>
      <c r="Q420" s="327"/>
      <c r="R420" s="527"/>
      <c r="S420" s="326"/>
      <c r="T420" s="327"/>
      <c r="U420" s="497"/>
      <c r="V420" s="326"/>
      <c r="W420" s="327"/>
      <c r="X420" s="66"/>
      <c r="Y420" s="67"/>
      <c r="Z420" s="66"/>
      <c r="AA420" s="67"/>
      <c r="AB420" s="66"/>
      <c r="AC420" s="67"/>
      <c r="AD420" s="66"/>
      <c r="AE420" s="67"/>
      <c r="AF420" s="66"/>
      <c r="AG420" s="67"/>
      <c r="AH420" s="66"/>
      <c r="AI420" s="67"/>
      <c r="AJ420" s="50"/>
      <c r="AK420" s="69"/>
      <c r="AL420" s="50"/>
      <c r="AM420" s="69"/>
      <c r="AN420" s="50"/>
      <c r="AO420" s="69"/>
      <c r="AP420" s="50"/>
      <c r="AQ420" s="69"/>
      <c r="AR420" s="50"/>
      <c r="AS420" s="642" t="s">
        <v>303</v>
      </c>
      <c r="AT420" s="326"/>
      <c r="AU420" s="326"/>
      <c r="AV420" s="326"/>
      <c r="AW420" s="326"/>
      <c r="AX420" s="326"/>
      <c r="AY420" s="327"/>
      <c r="AZ420" s="70"/>
      <c r="BA420" s="70"/>
      <c r="BB420" s="643" t="s">
        <v>334</v>
      </c>
      <c r="BC420" s="327"/>
      <c r="BD420" s="645" t="s">
        <v>303</v>
      </c>
      <c r="BE420" s="326"/>
      <c r="BF420" s="327"/>
      <c r="BG420" s="646" t="s">
        <v>303</v>
      </c>
      <c r="BH420" s="326"/>
      <c r="BI420" s="326"/>
      <c r="BJ420" s="327"/>
      <c r="BK420" s="647"/>
      <c r="BL420" s="326"/>
      <c r="BM420" s="327"/>
      <c r="BN420" s="71"/>
      <c r="BO420" s="71"/>
      <c r="BP420" s="646"/>
      <c r="BQ420" s="326"/>
      <c r="BR420" s="327"/>
      <c r="BS420" s="645" t="s">
        <v>303</v>
      </c>
      <c r="BT420" s="326"/>
      <c r="BU420" s="327"/>
    </row>
    <row r="421" spans="1:73" ht="30" customHeight="1" x14ac:dyDescent="0.25">
      <c r="A421" s="65">
        <f t="shared" si="1"/>
        <v>407</v>
      </c>
      <c r="B421" s="639" t="s">
        <v>334</v>
      </c>
      <c r="C421" s="327"/>
      <c r="D421" s="640" t="s">
        <v>303</v>
      </c>
      <c r="E421" s="326"/>
      <c r="F421" s="326"/>
      <c r="G421" s="327"/>
      <c r="H421" s="641" t="s">
        <v>303</v>
      </c>
      <c r="I421" s="326"/>
      <c r="J421" s="326"/>
      <c r="K421" s="327"/>
      <c r="L421" s="438" t="s">
        <v>303</v>
      </c>
      <c r="M421" s="326"/>
      <c r="N421" s="327"/>
      <c r="O421" s="519" t="s">
        <v>303</v>
      </c>
      <c r="P421" s="326"/>
      <c r="Q421" s="327"/>
      <c r="R421" s="527"/>
      <c r="S421" s="326"/>
      <c r="T421" s="327"/>
      <c r="U421" s="497"/>
      <c r="V421" s="326"/>
      <c r="W421" s="327"/>
      <c r="X421" s="66"/>
      <c r="Y421" s="67"/>
      <c r="Z421" s="66"/>
      <c r="AA421" s="67"/>
      <c r="AB421" s="66"/>
      <c r="AC421" s="67"/>
      <c r="AD421" s="66"/>
      <c r="AE421" s="67"/>
      <c r="AF421" s="66"/>
      <c r="AG421" s="67"/>
      <c r="AH421" s="66"/>
      <c r="AI421" s="67"/>
      <c r="AJ421" s="50"/>
      <c r="AK421" s="69"/>
      <c r="AL421" s="50"/>
      <c r="AM421" s="69"/>
      <c r="AN421" s="50"/>
      <c r="AO421" s="69"/>
      <c r="AP421" s="50"/>
      <c r="AQ421" s="69"/>
      <c r="AR421" s="50"/>
      <c r="AS421" s="642" t="s">
        <v>303</v>
      </c>
      <c r="AT421" s="326"/>
      <c r="AU421" s="326"/>
      <c r="AV421" s="326"/>
      <c r="AW421" s="326"/>
      <c r="AX421" s="326"/>
      <c r="AY421" s="327"/>
      <c r="AZ421" s="70"/>
      <c r="BA421" s="70"/>
      <c r="BB421" s="643" t="s">
        <v>334</v>
      </c>
      <c r="BC421" s="327"/>
      <c r="BD421" s="645" t="s">
        <v>303</v>
      </c>
      <c r="BE421" s="326"/>
      <c r="BF421" s="327"/>
      <c r="BG421" s="646" t="s">
        <v>303</v>
      </c>
      <c r="BH421" s="326"/>
      <c r="BI421" s="326"/>
      <c r="BJ421" s="327"/>
      <c r="BK421" s="647"/>
      <c r="BL421" s="326"/>
      <c r="BM421" s="327"/>
      <c r="BN421" s="71"/>
      <c r="BO421" s="71"/>
      <c r="BP421" s="646"/>
      <c r="BQ421" s="326"/>
      <c r="BR421" s="327"/>
      <c r="BS421" s="645" t="s">
        <v>303</v>
      </c>
      <c r="BT421" s="326"/>
      <c r="BU421" s="327"/>
    </row>
    <row r="422" spans="1:73" ht="30" customHeight="1" x14ac:dyDescent="0.25">
      <c r="A422" s="65">
        <f t="shared" si="1"/>
        <v>408</v>
      </c>
      <c r="B422" s="639" t="s">
        <v>334</v>
      </c>
      <c r="C422" s="327"/>
      <c r="D422" s="640" t="s">
        <v>303</v>
      </c>
      <c r="E422" s="326"/>
      <c r="F422" s="326"/>
      <c r="G422" s="327"/>
      <c r="H422" s="641" t="s">
        <v>303</v>
      </c>
      <c r="I422" s="326"/>
      <c r="J422" s="326"/>
      <c r="K422" s="327"/>
      <c r="L422" s="438" t="s">
        <v>303</v>
      </c>
      <c r="M422" s="326"/>
      <c r="N422" s="327"/>
      <c r="O422" s="519" t="s">
        <v>303</v>
      </c>
      <c r="P422" s="326"/>
      <c r="Q422" s="327"/>
      <c r="R422" s="527"/>
      <c r="S422" s="326"/>
      <c r="T422" s="327"/>
      <c r="U422" s="497"/>
      <c r="V422" s="326"/>
      <c r="W422" s="327"/>
      <c r="X422" s="66"/>
      <c r="Y422" s="67"/>
      <c r="Z422" s="66"/>
      <c r="AA422" s="67"/>
      <c r="AB422" s="66"/>
      <c r="AC422" s="67"/>
      <c r="AD422" s="66"/>
      <c r="AE422" s="67"/>
      <c r="AF422" s="66"/>
      <c r="AG422" s="67"/>
      <c r="AH422" s="66"/>
      <c r="AI422" s="67"/>
      <c r="AJ422" s="50"/>
      <c r="AK422" s="69"/>
      <c r="AL422" s="50"/>
      <c r="AM422" s="69"/>
      <c r="AN422" s="50"/>
      <c r="AO422" s="69"/>
      <c r="AP422" s="50"/>
      <c r="AQ422" s="69"/>
      <c r="AR422" s="50"/>
      <c r="AS422" s="642" t="s">
        <v>303</v>
      </c>
      <c r="AT422" s="326"/>
      <c r="AU422" s="326"/>
      <c r="AV422" s="326"/>
      <c r="AW422" s="326"/>
      <c r="AX422" s="326"/>
      <c r="AY422" s="327"/>
      <c r="AZ422" s="70"/>
      <c r="BA422" s="70"/>
      <c r="BB422" s="643" t="s">
        <v>334</v>
      </c>
      <c r="BC422" s="327"/>
      <c r="BD422" s="645" t="s">
        <v>303</v>
      </c>
      <c r="BE422" s="326"/>
      <c r="BF422" s="327"/>
      <c r="BG422" s="646" t="s">
        <v>303</v>
      </c>
      <c r="BH422" s="326"/>
      <c r="BI422" s="326"/>
      <c r="BJ422" s="327"/>
      <c r="BK422" s="647"/>
      <c r="BL422" s="326"/>
      <c r="BM422" s="327"/>
      <c r="BN422" s="71"/>
      <c r="BO422" s="71"/>
      <c r="BP422" s="646"/>
      <c r="BQ422" s="326"/>
      <c r="BR422" s="327"/>
      <c r="BS422" s="645" t="s">
        <v>303</v>
      </c>
      <c r="BT422" s="326"/>
      <c r="BU422" s="327"/>
    </row>
    <row r="423" spans="1:73" ht="30" customHeight="1" x14ac:dyDescent="0.25">
      <c r="A423" s="65">
        <f t="shared" si="1"/>
        <v>409</v>
      </c>
      <c r="B423" s="639" t="s">
        <v>334</v>
      </c>
      <c r="C423" s="327"/>
      <c r="D423" s="640" t="s">
        <v>303</v>
      </c>
      <c r="E423" s="326"/>
      <c r="F423" s="326"/>
      <c r="G423" s="327"/>
      <c r="H423" s="641" t="s">
        <v>303</v>
      </c>
      <c r="I423" s="326"/>
      <c r="J423" s="326"/>
      <c r="K423" s="327"/>
      <c r="L423" s="438" t="s">
        <v>303</v>
      </c>
      <c r="M423" s="326"/>
      <c r="N423" s="327"/>
      <c r="O423" s="519" t="s">
        <v>303</v>
      </c>
      <c r="P423" s="326"/>
      <c r="Q423" s="327"/>
      <c r="R423" s="527"/>
      <c r="S423" s="326"/>
      <c r="T423" s="327"/>
      <c r="U423" s="497"/>
      <c r="V423" s="326"/>
      <c r="W423" s="327"/>
      <c r="X423" s="66"/>
      <c r="Y423" s="67"/>
      <c r="Z423" s="66"/>
      <c r="AA423" s="67"/>
      <c r="AB423" s="66"/>
      <c r="AC423" s="67"/>
      <c r="AD423" s="66"/>
      <c r="AE423" s="67"/>
      <c r="AF423" s="66"/>
      <c r="AG423" s="67"/>
      <c r="AH423" s="66"/>
      <c r="AI423" s="67"/>
      <c r="AJ423" s="50"/>
      <c r="AK423" s="69"/>
      <c r="AL423" s="50"/>
      <c r="AM423" s="69"/>
      <c r="AN423" s="50"/>
      <c r="AO423" s="69"/>
      <c r="AP423" s="50"/>
      <c r="AQ423" s="69"/>
      <c r="AR423" s="50"/>
      <c r="AS423" s="642" t="s">
        <v>303</v>
      </c>
      <c r="AT423" s="326"/>
      <c r="AU423" s="326"/>
      <c r="AV423" s="326"/>
      <c r="AW423" s="326"/>
      <c r="AX423" s="326"/>
      <c r="AY423" s="327"/>
      <c r="AZ423" s="70"/>
      <c r="BA423" s="70"/>
      <c r="BB423" s="643" t="s">
        <v>334</v>
      </c>
      <c r="BC423" s="327"/>
      <c r="BD423" s="645" t="s">
        <v>303</v>
      </c>
      <c r="BE423" s="326"/>
      <c r="BF423" s="327"/>
      <c r="BG423" s="646" t="s">
        <v>303</v>
      </c>
      <c r="BH423" s="326"/>
      <c r="BI423" s="326"/>
      <c r="BJ423" s="327"/>
      <c r="BK423" s="647"/>
      <c r="BL423" s="326"/>
      <c r="BM423" s="327"/>
      <c r="BN423" s="71"/>
      <c r="BO423" s="71"/>
      <c r="BP423" s="646"/>
      <c r="BQ423" s="326"/>
      <c r="BR423" s="327"/>
      <c r="BS423" s="645" t="s">
        <v>303</v>
      </c>
      <c r="BT423" s="326"/>
      <c r="BU423" s="327"/>
    </row>
    <row r="424" spans="1:73" ht="30" customHeight="1" x14ac:dyDescent="0.25">
      <c r="A424" s="65">
        <f t="shared" si="1"/>
        <v>410</v>
      </c>
      <c r="B424" s="639" t="s">
        <v>334</v>
      </c>
      <c r="C424" s="327"/>
      <c r="D424" s="640" t="s">
        <v>303</v>
      </c>
      <c r="E424" s="326"/>
      <c r="F424" s="326"/>
      <c r="G424" s="327"/>
      <c r="H424" s="641" t="s">
        <v>303</v>
      </c>
      <c r="I424" s="326"/>
      <c r="J424" s="326"/>
      <c r="K424" s="327"/>
      <c r="L424" s="438" t="s">
        <v>303</v>
      </c>
      <c r="M424" s="326"/>
      <c r="N424" s="327"/>
      <c r="O424" s="519" t="s">
        <v>303</v>
      </c>
      <c r="P424" s="326"/>
      <c r="Q424" s="327"/>
      <c r="R424" s="527"/>
      <c r="S424" s="326"/>
      <c r="T424" s="327"/>
      <c r="U424" s="497"/>
      <c r="V424" s="326"/>
      <c r="W424" s="327"/>
      <c r="X424" s="66"/>
      <c r="Y424" s="67"/>
      <c r="Z424" s="66"/>
      <c r="AA424" s="67"/>
      <c r="AB424" s="66"/>
      <c r="AC424" s="67"/>
      <c r="AD424" s="66"/>
      <c r="AE424" s="67"/>
      <c r="AF424" s="66"/>
      <c r="AG424" s="67"/>
      <c r="AH424" s="66"/>
      <c r="AI424" s="67"/>
      <c r="AJ424" s="50"/>
      <c r="AK424" s="69"/>
      <c r="AL424" s="50"/>
      <c r="AM424" s="69"/>
      <c r="AN424" s="50"/>
      <c r="AO424" s="69"/>
      <c r="AP424" s="50"/>
      <c r="AQ424" s="69"/>
      <c r="AR424" s="50"/>
      <c r="AS424" s="642" t="s">
        <v>303</v>
      </c>
      <c r="AT424" s="326"/>
      <c r="AU424" s="326"/>
      <c r="AV424" s="326"/>
      <c r="AW424" s="326"/>
      <c r="AX424" s="326"/>
      <c r="AY424" s="327"/>
      <c r="AZ424" s="70"/>
      <c r="BA424" s="70"/>
      <c r="BB424" s="643" t="s">
        <v>334</v>
      </c>
      <c r="BC424" s="327"/>
      <c r="BD424" s="645" t="s">
        <v>303</v>
      </c>
      <c r="BE424" s="326"/>
      <c r="BF424" s="327"/>
      <c r="BG424" s="646" t="s">
        <v>303</v>
      </c>
      <c r="BH424" s="326"/>
      <c r="BI424" s="326"/>
      <c r="BJ424" s="327"/>
      <c r="BK424" s="647"/>
      <c r="BL424" s="326"/>
      <c r="BM424" s="327"/>
      <c r="BN424" s="71"/>
      <c r="BO424" s="71"/>
      <c r="BP424" s="646"/>
      <c r="BQ424" s="326"/>
      <c r="BR424" s="327"/>
      <c r="BS424" s="645" t="s">
        <v>303</v>
      </c>
      <c r="BT424" s="326"/>
      <c r="BU424" s="327"/>
    </row>
    <row r="425" spans="1:73" ht="30" customHeight="1" x14ac:dyDescent="0.25">
      <c r="A425" s="65">
        <f t="shared" si="1"/>
        <v>411</v>
      </c>
      <c r="B425" s="639" t="s">
        <v>334</v>
      </c>
      <c r="C425" s="327"/>
      <c r="D425" s="640" t="s">
        <v>303</v>
      </c>
      <c r="E425" s="326"/>
      <c r="F425" s="326"/>
      <c r="G425" s="327"/>
      <c r="H425" s="641" t="s">
        <v>303</v>
      </c>
      <c r="I425" s="326"/>
      <c r="J425" s="326"/>
      <c r="K425" s="327"/>
      <c r="L425" s="438" t="s">
        <v>303</v>
      </c>
      <c r="M425" s="326"/>
      <c r="N425" s="327"/>
      <c r="O425" s="519" t="s">
        <v>303</v>
      </c>
      <c r="P425" s="326"/>
      <c r="Q425" s="327"/>
      <c r="R425" s="527"/>
      <c r="S425" s="326"/>
      <c r="T425" s="327"/>
      <c r="U425" s="497"/>
      <c r="V425" s="326"/>
      <c r="W425" s="327"/>
      <c r="X425" s="66"/>
      <c r="Y425" s="67"/>
      <c r="Z425" s="66"/>
      <c r="AA425" s="67"/>
      <c r="AB425" s="66"/>
      <c r="AC425" s="67"/>
      <c r="AD425" s="66"/>
      <c r="AE425" s="67"/>
      <c r="AF425" s="66"/>
      <c r="AG425" s="67"/>
      <c r="AH425" s="66"/>
      <c r="AI425" s="67"/>
      <c r="AJ425" s="50"/>
      <c r="AK425" s="69"/>
      <c r="AL425" s="50"/>
      <c r="AM425" s="69"/>
      <c r="AN425" s="50"/>
      <c r="AO425" s="69"/>
      <c r="AP425" s="50"/>
      <c r="AQ425" s="69"/>
      <c r="AR425" s="50"/>
      <c r="AS425" s="642" t="s">
        <v>303</v>
      </c>
      <c r="AT425" s="326"/>
      <c r="AU425" s="326"/>
      <c r="AV425" s="326"/>
      <c r="AW425" s="326"/>
      <c r="AX425" s="326"/>
      <c r="AY425" s="327"/>
      <c r="AZ425" s="70"/>
      <c r="BA425" s="70"/>
      <c r="BB425" s="643" t="s">
        <v>334</v>
      </c>
      <c r="BC425" s="327"/>
      <c r="BD425" s="645" t="s">
        <v>303</v>
      </c>
      <c r="BE425" s="326"/>
      <c r="BF425" s="327"/>
      <c r="BG425" s="646" t="s">
        <v>303</v>
      </c>
      <c r="BH425" s="326"/>
      <c r="BI425" s="326"/>
      <c r="BJ425" s="327"/>
      <c r="BK425" s="647"/>
      <c r="BL425" s="326"/>
      <c r="BM425" s="327"/>
      <c r="BN425" s="71"/>
      <c r="BO425" s="71"/>
      <c r="BP425" s="646"/>
      <c r="BQ425" s="326"/>
      <c r="BR425" s="327"/>
      <c r="BS425" s="645" t="s">
        <v>303</v>
      </c>
      <c r="BT425" s="326"/>
      <c r="BU425" s="327"/>
    </row>
    <row r="426" spans="1:73" ht="30" customHeight="1" x14ac:dyDescent="0.25">
      <c r="A426" s="65">
        <f t="shared" si="1"/>
        <v>412</v>
      </c>
      <c r="B426" s="639" t="s">
        <v>334</v>
      </c>
      <c r="C426" s="327"/>
      <c r="D426" s="640" t="s">
        <v>303</v>
      </c>
      <c r="E426" s="326"/>
      <c r="F426" s="326"/>
      <c r="G426" s="327"/>
      <c r="H426" s="641" t="s">
        <v>303</v>
      </c>
      <c r="I426" s="326"/>
      <c r="J426" s="326"/>
      <c r="K426" s="327"/>
      <c r="L426" s="438" t="s">
        <v>303</v>
      </c>
      <c r="M426" s="326"/>
      <c r="N426" s="327"/>
      <c r="O426" s="519" t="s">
        <v>303</v>
      </c>
      <c r="P426" s="326"/>
      <c r="Q426" s="327"/>
      <c r="R426" s="527"/>
      <c r="S426" s="326"/>
      <c r="T426" s="327"/>
      <c r="U426" s="497"/>
      <c r="V426" s="326"/>
      <c r="W426" s="327"/>
      <c r="X426" s="66"/>
      <c r="Y426" s="67"/>
      <c r="Z426" s="66"/>
      <c r="AA426" s="67"/>
      <c r="AB426" s="66"/>
      <c r="AC426" s="67"/>
      <c r="AD426" s="66"/>
      <c r="AE426" s="67"/>
      <c r="AF426" s="66"/>
      <c r="AG426" s="67"/>
      <c r="AH426" s="66"/>
      <c r="AI426" s="67"/>
      <c r="AJ426" s="50"/>
      <c r="AK426" s="69"/>
      <c r="AL426" s="50"/>
      <c r="AM426" s="69"/>
      <c r="AN426" s="50"/>
      <c r="AO426" s="69"/>
      <c r="AP426" s="50"/>
      <c r="AQ426" s="69"/>
      <c r="AR426" s="50"/>
      <c r="AS426" s="642" t="s">
        <v>303</v>
      </c>
      <c r="AT426" s="326"/>
      <c r="AU426" s="326"/>
      <c r="AV426" s="326"/>
      <c r="AW426" s="326"/>
      <c r="AX426" s="326"/>
      <c r="AY426" s="327"/>
      <c r="AZ426" s="70"/>
      <c r="BA426" s="70"/>
      <c r="BB426" s="643" t="s">
        <v>334</v>
      </c>
      <c r="BC426" s="327"/>
      <c r="BD426" s="645" t="s">
        <v>303</v>
      </c>
      <c r="BE426" s="326"/>
      <c r="BF426" s="327"/>
      <c r="BG426" s="646" t="s">
        <v>303</v>
      </c>
      <c r="BH426" s="326"/>
      <c r="BI426" s="326"/>
      <c r="BJ426" s="327"/>
      <c r="BK426" s="647"/>
      <c r="BL426" s="326"/>
      <c r="BM426" s="327"/>
      <c r="BN426" s="71"/>
      <c r="BO426" s="71"/>
      <c r="BP426" s="646"/>
      <c r="BQ426" s="326"/>
      <c r="BR426" s="327"/>
      <c r="BS426" s="645" t="s">
        <v>303</v>
      </c>
      <c r="BT426" s="326"/>
      <c r="BU426" s="327"/>
    </row>
    <row r="427" spans="1:73" ht="30" customHeight="1" x14ac:dyDescent="0.25">
      <c r="A427" s="65">
        <f t="shared" si="1"/>
        <v>413</v>
      </c>
      <c r="B427" s="639" t="s">
        <v>334</v>
      </c>
      <c r="C427" s="327"/>
      <c r="D427" s="640" t="s">
        <v>303</v>
      </c>
      <c r="E427" s="326"/>
      <c r="F427" s="326"/>
      <c r="G427" s="327"/>
      <c r="H427" s="641" t="s">
        <v>303</v>
      </c>
      <c r="I427" s="326"/>
      <c r="J427" s="326"/>
      <c r="K427" s="327"/>
      <c r="L427" s="438" t="s">
        <v>303</v>
      </c>
      <c r="M427" s="326"/>
      <c r="N427" s="327"/>
      <c r="O427" s="519" t="s">
        <v>303</v>
      </c>
      <c r="P427" s="326"/>
      <c r="Q427" s="327"/>
      <c r="R427" s="527"/>
      <c r="S427" s="326"/>
      <c r="T427" s="327"/>
      <c r="U427" s="497"/>
      <c r="V427" s="326"/>
      <c r="W427" s="327"/>
      <c r="X427" s="66"/>
      <c r="Y427" s="67"/>
      <c r="Z427" s="66"/>
      <c r="AA427" s="67"/>
      <c r="AB427" s="66"/>
      <c r="AC427" s="67"/>
      <c r="AD427" s="66"/>
      <c r="AE427" s="67"/>
      <c r="AF427" s="66"/>
      <c r="AG427" s="67"/>
      <c r="AH427" s="66"/>
      <c r="AI427" s="67"/>
      <c r="AJ427" s="50"/>
      <c r="AK427" s="69"/>
      <c r="AL427" s="50"/>
      <c r="AM427" s="69"/>
      <c r="AN427" s="50"/>
      <c r="AO427" s="69"/>
      <c r="AP427" s="50"/>
      <c r="AQ427" s="69"/>
      <c r="AR427" s="50"/>
      <c r="AS427" s="642" t="s">
        <v>303</v>
      </c>
      <c r="AT427" s="326"/>
      <c r="AU427" s="326"/>
      <c r="AV427" s="326"/>
      <c r="AW427" s="326"/>
      <c r="AX427" s="326"/>
      <c r="AY427" s="327"/>
      <c r="AZ427" s="70"/>
      <c r="BA427" s="70"/>
      <c r="BB427" s="643" t="s">
        <v>334</v>
      </c>
      <c r="BC427" s="327"/>
      <c r="BD427" s="645" t="s">
        <v>303</v>
      </c>
      <c r="BE427" s="326"/>
      <c r="BF427" s="327"/>
      <c r="BG427" s="646" t="s">
        <v>303</v>
      </c>
      <c r="BH427" s="326"/>
      <c r="BI427" s="326"/>
      <c r="BJ427" s="327"/>
      <c r="BK427" s="647"/>
      <c r="BL427" s="326"/>
      <c r="BM427" s="327"/>
      <c r="BN427" s="71"/>
      <c r="BO427" s="71"/>
      <c r="BP427" s="646"/>
      <c r="BQ427" s="326"/>
      <c r="BR427" s="327"/>
      <c r="BS427" s="645" t="s">
        <v>303</v>
      </c>
      <c r="BT427" s="326"/>
      <c r="BU427" s="327"/>
    </row>
    <row r="428" spans="1:73" ht="30" customHeight="1" x14ac:dyDescent="0.25">
      <c r="A428" s="65">
        <f t="shared" si="1"/>
        <v>414</v>
      </c>
      <c r="B428" s="639" t="s">
        <v>334</v>
      </c>
      <c r="C428" s="327"/>
      <c r="D428" s="640" t="s">
        <v>303</v>
      </c>
      <c r="E428" s="326"/>
      <c r="F428" s="326"/>
      <c r="G428" s="327"/>
      <c r="H428" s="641" t="s">
        <v>303</v>
      </c>
      <c r="I428" s="326"/>
      <c r="J428" s="326"/>
      <c r="K428" s="327"/>
      <c r="L428" s="438" t="s">
        <v>303</v>
      </c>
      <c r="M428" s="326"/>
      <c r="N428" s="327"/>
      <c r="O428" s="519" t="s">
        <v>303</v>
      </c>
      <c r="P428" s="326"/>
      <c r="Q428" s="327"/>
      <c r="R428" s="527"/>
      <c r="S428" s="326"/>
      <c r="T428" s="327"/>
      <c r="U428" s="497"/>
      <c r="V428" s="326"/>
      <c r="W428" s="327"/>
      <c r="X428" s="66"/>
      <c r="Y428" s="67"/>
      <c r="Z428" s="66"/>
      <c r="AA428" s="67"/>
      <c r="AB428" s="66"/>
      <c r="AC428" s="67"/>
      <c r="AD428" s="66"/>
      <c r="AE428" s="67"/>
      <c r="AF428" s="66"/>
      <c r="AG428" s="67"/>
      <c r="AH428" s="66"/>
      <c r="AI428" s="67"/>
      <c r="AJ428" s="50"/>
      <c r="AK428" s="69"/>
      <c r="AL428" s="50"/>
      <c r="AM428" s="69"/>
      <c r="AN428" s="50"/>
      <c r="AO428" s="69"/>
      <c r="AP428" s="50"/>
      <c r="AQ428" s="69"/>
      <c r="AR428" s="50"/>
      <c r="AS428" s="642" t="s">
        <v>303</v>
      </c>
      <c r="AT428" s="326"/>
      <c r="AU428" s="326"/>
      <c r="AV428" s="326"/>
      <c r="AW428" s="326"/>
      <c r="AX428" s="326"/>
      <c r="AY428" s="327"/>
      <c r="AZ428" s="70"/>
      <c r="BA428" s="70"/>
      <c r="BB428" s="643" t="s">
        <v>334</v>
      </c>
      <c r="BC428" s="327"/>
      <c r="BD428" s="645" t="s">
        <v>303</v>
      </c>
      <c r="BE428" s="326"/>
      <c r="BF428" s="327"/>
      <c r="BG428" s="646" t="s">
        <v>303</v>
      </c>
      <c r="BH428" s="326"/>
      <c r="BI428" s="326"/>
      <c r="BJ428" s="327"/>
      <c r="BK428" s="647"/>
      <c r="BL428" s="326"/>
      <c r="BM428" s="327"/>
      <c r="BN428" s="71"/>
      <c r="BO428" s="71"/>
      <c r="BP428" s="646"/>
      <c r="BQ428" s="326"/>
      <c r="BR428" s="327"/>
      <c r="BS428" s="645" t="s">
        <v>303</v>
      </c>
      <c r="BT428" s="326"/>
      <c r="BU428" s="327"/>
    </row>
    <row r="429" spans="1:73" ht="30" customHeight="1" x14ac:dyDescent="0.25">
      <c r="A429" s="65">
        <f t="shared" si="1"/>
        <v>415</v>
      </c>
      <c r="B429" s="639" t="s">
        <v>334</v>
      </c>
      <c r="C429" s="327"/>
      <c r="D429" s="640" t="s">
        <v>303</v>
      </c>
      <c r="E429" s="326"/>
      <c r="F429" s="326"/>
      <c r="G429" s="327"/>
      <c r="H429" s="641" t="s">
        <v>303</v>
      </c>
      <c r="I429" s="326"/>
      <c r="J429" s="326"/>
      <c r="K429" s="327"/>
      <c r="L429" s="438" t="s">
        <v>303</v>
      </c>
      <c r="M429" s="326"/>
      <c r="N429" s="327"/>
      <c r="O429" s="519" t="s">
        <v>303</v>
      </c>
      <c r="P429" s="326"/>
      <c r="Q429" s="327"/>
      <c r="R429" s="527"/>
      <c r="S429" s="326"/>
      <c r="T429" s="327"/>
      <c r="U429" s="497"/>
      <c r="V429" s="326"/>
      <c r="W429" s="327"/>
      <c r="X429" s="66"/>
      <c r="Y429" s="67"/>
      <c r="Z429" s="66"/>
      <c r="AA429" s="67"/>
      <c r="AB429" s="66"/>
      <c r="AC429" s="67"/>
      <c r="AD429" s="66"/>
      <c r="AE429" s="67"/>
      <c r="AF429" s="66"/>
      <c r="AG429" s="67"/>
      <c r="AH429" s="66"/>
      <c r="AI429" s="67"/>
      <c r="AJ429" s="50"/>
      <c r="AK429" s="69"/>
      <c r="AL429" s="50"/>
      <c r="AM429" s="69"/>
      <c r="AN429" s="50"/>
      <c r="AO429" s="69"/>
      <c r="AP429" s="50"/>
      <c r="AQ429" s="69"/>
      <c r="AR429" s="50"/>
      <c r="AS429" s="642" t="s">
        <v>303</v>
      </c>
      <c r="AT429" s="326"/>
      <c r="AU429" s="326"/>
      <c r="AV429" s="326"/>
      <c r="AW429" s="326"/>
      <c r="AX429" s="326"/>
      <c r="AY429" s="327"/>
      <c r="AZ429" s="70"/>
      <c r="BA429" s="70"/>
      <c r="BB429" s="643" t="s">
        <v>334</v>
      </c>
      <c r="BC429" s="327"/>
      <c r="BD429" s="645" t="s">
        <v>303</v>
      </c>
      <c r="BE429" s="326"/>
      <c r="BF429" s="327"/>
      <c r="BG429" s="646" t="s">
        <v>303</v>
      </c>
      <c r="BH429" s="326"/>
      <c r="BI429" s="326"/>
      <c r="BJ429" s="327"/>
      <c r="BK429" s="647"/>
      <c r="BL429" s="326"/>
      <c r="BM429" s="327"/>
      <c r="BN429" s="71"/>
      <c r="BO429" s="71"/>
      <c r="BP429" s="646"/>
      <c r="BQ429" s="326"/>
      <c r="BR429" s="327"/>
      <c r="BS429" s="645" t="s">
        <v>303</v>
      </c>
      <c r="BT429" s="326"/>
      <c r="BU429" s="327"/>
    </row>
    <row r="430" spans="1:73" ht="30" customHeight="1" x14ac:dyDescent="0.25">
      <c r="A430" s="65">
        <f t="shared" si="1"/>
        <v>416</v>
      </c>
      <c r="B430" s="639" t="s">
        <v>334</v>
      </c>
      <c r="C430" s="327"/>
      <c r="D430" s="640" t="s">
        <v>303</v>
      </c>
      <c r="E430" s="326"/>
      <c r="F430" s="326"/>
      <c r="G430" s="327"/>
      <c r="H430" s="641" t="s">
        <v>303</v>
      </c>
      <c r="I430" s="326"/>
      <c r="J430" s="326"/>
      <c r="K430" s="327"/>
      <c r="L430" s="438" t="s">
        <v>303</v>
      </c>
      <c r="M430" s="326"/>
      <c r="N430" s="327"/>
      <c r="O430" s="519" t="s">
        <v>303</v>
      </c>
      <c r="P430" s="326"/>
      <c r="Q430" s="327"/>
      <c r="R430" s="527"/>
      <c r="S430" s="326"/>
      <c r="T430" s="327"/>
      <c r="U430" s="497"/>
      <c r="V430" s="326"/>
      <c r="W430" s="327"/>
      <c r="X430" s="66"/>
      <c r="Y430" s="67"/>
      <c r="Z430" s="66"/>
      <c r="AA430" s="67"/>
      <c r="AB430" s="66"/>
      <c r="AC430" s="67"/>
      <c r="AD430" s="66"/>
      <c r="AE430" s="67"/>
      <c r="AF430" s="66"/>
      <c r="AG430" s="67"/>
      <c r="AH430" s="66"/>
      <c r="AI430" s="67"/>
      <c r="AJ430" s="50"/>
      <c r="AK430" s="69"/>
      <c r="AL430" s="50"/>
      <c r="AM430" s="69"/>
      <c r="AN430" s="50"/>
      <c r="AO430" s="69"/>
      <c r="AP430" s="50"/>
      <c r="AQ430" s="69"/>
      <c r="AR430" s="50"/>
      <c r="AS430" s="642" t="s">
        <v>303</v>
      </c>
      <c r="AT430" s="326"/>
      <c r="AU430" s="326"/>
      <c r="AV430" s="326"/>
      <c r="AW430" s="326"/>
      <c r="AX430" s="326"/>
      <c r="AY430" s="327"/>
      <c r="AZ430" s="70"/>
      <c r="BA430" s="70"/>
      <c r="BB430" s="643" t="s">
        <v>334</v>
      </c>
      <c r="BC430" s="327"/>
      <c r="BD430" s="645" t="s">
        <v>303</v>
      </c>
      <c r="BE430" s="326"/>
      <c r="BF430" s="327"/>
      <c r="BG430" s="646" t="s">
        <v>303</v>
      </c>
      <c r="BH430" s="326"/>
      <c r="BI430" s="326"/>
      <c r="BJ430" s="327"/>
      <c r="BK430" s="647"/>
      <c r="BL430" s="326"/>
      <c r="BM430" s="327"/>
      <c r="BN430" s="71"/>
      <c r="BO430" s="71"/>
      <c r="BP430" s="646"/>
      <c r="BQ430" s="326"/>
      <c r="BR430" s="327"/>
      <c r="BS430" s="645" t="s">
        <v>303</v>
      </c>
      <c r="BT430" s="326"/>
      <c r="BU430" s="327"/>
    </row>
    <row r="431" spans="1:73" ht="30" customHeight="1" x14ac:dyDescent="0.25">
      <c r="A431" s="65">
        <f t="shared" si="1"/>
        <v>417</v>
      </c>
      <c r="B431" s="639" t="s">
        <v>334</v>
      </c>
      <c r="C431" s="327"/>
      <c r="D431" s="640" t="s">
        <v>303</v>
      </c>
      <c r="E431" s="326"/>
      <c r="F431" s="326"/>
      <c r="G431" s="327"/>
      <c r="H431" s="641" t="s">
        <v>303</v>
      </c>
      <c r="I431" s="326"/>
      <c r="J431" s="326"/>
      <c r="K431" s="327"/>
      <c r="L431" s="438" t="s">
        <v>303</v>
      </c>
      <c r="M431" s="326"/>
      <c r="N431" s="327"/>
      <c r="O431" s="519" t="s">
        <v>303</v>
      </c>
      <c r="P431" s="326"/>
      <c r="Q431" s="327"/>
      <c r="R431" s="527"/>
      <c r="S431" s="326"/>
      <c r="T431" s="327"/>
      <c r="U431" s="497"/>
      <c r="V431" s="326"/>
      <c r="W431" s="327"/>
      <c r="X431" s="66"/>
      <c r="Y431" s="67"/>
      <c r="Z431" s="66"/>
      <c r="AA431" s="67"/>
      <c r="AB431" s="66"/>
      <c r="AC431" s="67"/>
      <c r="AD431" s="66"/>
      <c r="AE431" s="67"/>
      <c r="AF431" s="66"/>
      <c r="AG431" s="67"/>
      <c r="AH431" s="66"/>
      <c r="AI431" s="67"/>
      <c r="AJ431" s="50"/>
      <c r="AK431" s="69"/>
      <c r="AL431" s="50"/>
      <c r="AM431" s="69"/>
      <c r="AN431" s="50"/>
      <c r="AO431" s="69"/>
      <c r="AP431" s="50"/>
      <c r="AQ431" s="69"/>
      <c r="AR431" s="50"/>
      <c r="AS431" s="642" t="s">
        <v>303</v>
      </c>
      <c r="AT431" s="326"/>
      <c r="AU431" s="326"/>
      <c r="AV431" s="326"/>
      <c r="AW431" s="326"/>
      <c r="AX431" s="326"/>
      <c r="AY431" s="327"/>
      <c r="AZ431" s="70"/>
      <c r="BA431" s="70"/>
      <c r="BB431" s="643" t="s">
        <v>334</v>
      </c>
      <c r="BC431" s="327"/>
      <c r="BD431" s="645" t="s">
        <v>303</v>
      </c>
      <c r="BE431" s="326"/>
      <c r="BF431" s="327"/>
      <c r="BG431" s="646" t="s">
        <v>303</v>
      </c>
      <c r="BH431" s="326"/>
      <c r="BI431" s="326"/>
      <c r="BJ431" s="327"/>
      <c r="BK431" s="647"/>
      <c r="BL431" s="326"/>
      <c r="BM431" s="327"/>
      <c r="BN431" s="71"/>
      <c r="BO431" s="71"/>
      <c r="BP431" s="646"/>
      <c r="BQ431" s="326"/>
      <c r="BR431" s="327"/>
      <c r="BS431" s="645" t="s">
        <v>303</v>
      </c>
      <c r="BT431" s="326"/>
      <c r="BU431" s="327"/>
    </row>
    <row r="432" spans="1:73" ht="30" customHeight="1" x14ac:dyDescent="0.25">
      <c r="A432" s="65">
        <f t="shared" si="1"/>
        <v>418</v>
      </c>
      <c r="B432" s="639" t="s">
        <v>334</v>
      </c>
      <c r="C432" s="327"/>
      <c r="D432" s="640" t="s">
        <v>303</v>
      </c>
      <c r="E432" s="326"/>
      <c r="F432" s="326"/>
      <c r="G432" s="327"/>
      <c r="H432" s="641" t="s">
        <v>303</v>
      </c>
      <c r="I432" s="326"/>
      <c r="J432" s="326"/>
      <c r="K432" s="327"/>
      <c r="L432" s="438" t="s">
        <v>303</v>
      </c>
      <c r="M432" s="326"/>
      <c r="N432" s="327"/>
      <c r="O432" s="519" t="s">
        <v>303</v>
      </c>
      <c r="P432" s="326"/>
      <c r="Q432" s="327"/>
      <c r="R432" s="527"/>
      <c r="S432" s="326"/>
      <c r="T432" s="327"/>
      <c r="U432" s="497"/>
      <c r="V432" s="326"/>
      <c r="W432" s="327"/>
      <c r="X432" s="66"/>
      <c r="Y432" s="67"/>
      <c r="Z432" s="66"/>
      <c r="AA432" s="67"/>
      <c r="AB432" s="66"/>
      <c r="AC432" s="67"/>
      <c r="AD432" s="66"/>
      <c r="AE432" s="67"/>
      <c r="AF432" s="66"/>
      <c r="AG432" s="67"/>
      <c r="AH432" s="66"/>
      <c r="AI432" s="67"/>
      <c r="AJ432" s="50"/>
      <c r="AK432" s="69"/>
      <c r="AL432" s="50"/>
      <c r="AM432" s="69"/>
      <c r="AN432" s="50"/>
      <c r="AO432" s="69"/>
      <c r="AP432" s="50"/>
      <c r="AQ432" s="69"/>
      <c r="AR432" s="50"/>
      <c r="AS432" s="642" t="s">
        <v>303</v>
      </c>
      <c r="AT432" s="326"/>
      <c r="AU432" s="326"/>
      <c r="AV432" s="326"/>
      <c r="AW432" s="326"/>
      <c r="AX432" s="326"/>
      <c r="AY432" s="327"/>
      <c r="AZ432" s="70"/>
      <c r="BA432" s="70"/>
      <c r="BB432" s="643" t="s">
        <v>334</v>
      </c>
      <c r="BC432" s="327"/>
      <c r="BD432" s="645" t="s">
        <v>303</v>
      </c>
      <c r="BE432" s="326"/>
      <c r="BF432" s="327"/>
      <c r="BG432" s="646" t="s">
        <v>303</v>
      </c>
      <c r="BH432" s="326"/>
      <c r="BI432" s="326"/>
      <c r="BJ432" s="327"/>
      <c r="BK432" s="647"/>
      <c r="BL432" s="326"/>
      <c r="BM432" s="327"/>
      <c r="BN432" s="71"/>
      <c r="BO432" s="71"/>
      <c r="BP432" s="646"/>
      <c r="BQ432" s="326"/>
      <c r="BR432" s="327"/>
      <c r="BS432" s="645" t="s">
        <v>303</v>
      </c>
      <c r="BT432" s="326"/>
      <c r="BU432" s="327"/>
    </row>
    <row r="433" spans="1:73" ht="30" customHeight="1" x14ac:dyDescent="0.25">
      <c r="A433" s="65">
        <f t="shared" si="1"/>
        <v>419</v>
      </c>
      <c r="B433" s="639" t="s">
        <v>334</v>
      </c>
      <c r="C433" s="327"/>
      <c r="D433" s="640" t="s">
        <v>303</v>
      </c>
      <c r="E433" s="326"/>
      <c r="F433" s="326"/>
      <c r="G433" s="327"/>
      <c r="H433" s="641" t="s">
        <v>303</v>
      </c>
      <c r="I433" s="326"/>
      <c r="J433" s="326"/>
      <c r="K433" s="327"/>
      <c r="L433" s="438" t="s">
        <v>303</v>
      </c>
      <c r="M433" s="326"/>
      <c r="N433" s="327"/>
      <c r="O433" s="519" t="s">
        <v>303</v>
      </c>
      <c r="P433" s="326"/>
      <c r="Q433" s="327"/>
      <c r="R433" s="527"/>
      <c r="S433" s="326"/>
      <c r="T433" s="327"/>
      <c r="U433" s="497"/>
      <c r="V433" s="326"/>
      <c r="W433" s="327"/>
      <c r="X433" s="66"/>
      <c r="Y433" s="67"/>
      <c r="Z433" s="66"/>
      <c r="AA433" s="67"/>
      <c r="AB433" s="66"/>
      <c r="AC433" s="67"/>
      <c r="AD433" s="66"/>
      <c r="AE433" s="67"/>
      <c r="AF433" s="66"/>
      <c r="AG433" s="67"/>
      <c r="AH433" s="66"/>
      <c r="AI433" s="67"/>
      <c r="AJ433" s="50"/>
      <c r="AK433" s="69"/>
      <c r="AL433" s="50"/>
      <c r="AM433" s="69"/>
      <c r="AN433" s="50"/>
      <c r="AO433" s="69"/>
      <c r="AP433" s="50"/>
      <c r="AQ433" s="69"/>
      <c r="AR433" s="50"/>
      <c r="AS433" s="642" t="s">
        <v>303</v>
      </c>
      <c r="AT433" s="326"/>
      <c r="AU433" s="326"/>
      <c r="AV433" s="326"/>
      <c r="AW433" s="326"/>
      <c r="AX433" s="326"/>
      <c r="AY433" s="327"/>
      <c r="AZ433" s="70"/>
      <c r="BA433" s="70"/>
      <c r="BB433" s="643" t="s">
        <v>334</v>
      </c>
      <c r="BC433" s="327"/>
      <c r="BD433" s="645" t="s">
        <v>303</v>
      </c>
      <c r="BE433" s="326"/>
      <c r="BF433" s="327"/>
      <c r="BG433" s="646" t="s">
        <v>303</v>
      </c>
      <c r="BH433" s="326"/>
      <c r="BI433" s="326"/>
      <c r="BJ433" s="327"/>
      <c r="BK433" s="647"/>
      <c r="BL433" s="326"/>
      <c r="BM433" s="327"/>
      <c r="BN433" s="71"/>
      <c r="BO433" s="71"/>
      <c r="BP433" s="646"/>
      <c r="BQ433" s="326"/>
      <c r="BR433" s="327"/>
      <c r="BS433" s="645" t="s">
        <v>303</v>
      </c>
      <c r="BT433" s="326"/>
      <c r="BU433" s="327"/>
    </row>
    <row r="434" spans="1:73" ht="30" customHeight="1" x14ac:dyDescent="0.25">
      <c r="A434" s="65">
        <f t="shared" si="1"/>
        <v>420</v>
      </c>
      <c r="B434" s="639" t="s">
        <v>334</v>
      </c>
      <c r="C434" s="327"/>
      <c r="D434" s="640" t="s">
        <v>303</v>
      </c>
      <c r="E434" s="326"/>
      <c r="F434" s="326"/>
      <c r="G434" s="327"/>
      <c r="H434" s="641" t="s">
        <v>303</v>
      </c>
      <c r="I434" s="326"/>
      <c r="J434" s="326"/>
      <c r="K434" s="327"/>
      <c r="L434" s="438" t="s">
        <v>303</v>
      </c>
      <c r="M434" s="326"/>
      <c r="N434" s="327"/>
      <c r="O434" s="519" t="s">
        <v>303</v>
      </c>
      <c r="P434" s="326"/>
      <c r="Q434" s="327"/>
      <c r="R434" s="527"/>
      <c r="S434" s="326"/>
      <c r="T434" s="327"/>
      <c r="U434" s="497"/>
      <c r="V434" s="326"/>
      <c r="W434" s="327"/>
      <c r="X434" s="66"/>
      <c r="Y434" s="67"/>
      <c r="Z434" s="66"/>
      <c r="AA434" s="67"/>
      <c r="AB434" s="66"/>
      <c r="AC434" s="67"/>
      <c r="AD434" s="66"/>
      <c r="AE434" s="67"/>
      <c r="AF434" s="66"/>
      <c r="AG434" s="67"/>
      <c r="AH434" s="66"/>
      <c r="AI434" s="67"/>
      <c r="AJ434" s="50"/>
      <c r="AK434" s="69"/>
      <c r="AL434" s="50"/>
      <c r="AM434" s="69"/>
      <c r="AN434" s="50"/>
      <c r="AO434" s="69"/>
      <c r="AP434" s="50"/>
      <c r="AQ434" s="69"/>
      <c r="AR434" s="50"/>
      <c r="AS434" s="642" t="s">
        <v>303</v>
      </c>
      <c r="AT434" s="326"/>
      <c r="AU434" s="326"/>
      <c r="AV434" s="326"/>
      <c r="AW434" s="326"/>
      <c r="AX434" s="326"/>
      <c r="AY434" s="327"/>
      <c r="AZ434" s="70"/>
      <c r="BA434" s="70"/>
      <c r="BB434" s="643" t="s">
        <v>334</v>
      </c>
      <c r="BC434" s="327"/>
      <c r="BD434" s="645" t="s">
        <v>303</v>
      </c>
      <c r="BE434" s="326"/>
      <c r="BF434" s="327"/>
      <c r="BG434" s="646" t="s">
        <v>303</v>
      </c>
      <c r="BH434" s="326"/>
      <c r="BI434" s="326"/>
      <c r="BJ434" s="327"/>
      <c r="BK434" s="647"/>
      <c r="BL434" s="326"/>
      <c r="BM434" s="327"/>
      <c r="BN434" s="71"/>
      <c r="BO434" s="71"/>
      <c r="BP434" s="646"/>
      <c r="BQ434" s="326"/>
      <c r="BR434" s="327"/>
      <c r="BS434" s="645" t="s">
        <v>303</v>
      </c>
      <c r="BT434" s="326"/>
      <c r="BU434" s="327"/>
    </row>
    <row r="435" spans="1:73" ht="30" customHeight="1" x14ac:dyDescent="0.25">
      <c r="A435" s="65">
        <f t="shared" si="1"/>
        <v>421</v>
      </c>
      <c r="B435" s="639" t="s">
        <v>334</v>
      </c>
      <c r="C435" s="327"/>
      <c r="D435" s="640" t="s">
        <v>303</v>
      </c>
      <c r="E435" s="326"/>
      <c r="F435" s="326"/>
      <c r="G435" s="327"/>
      <c r="H435" s="641" t="s">
        <v>303</v>
      </c>
      <c r="I435" s="326"/>
      <c r="J435" s="326"/>
      <c r="K435" s="327"/>
      <c r="L435" s="438" t="s">
        <v>303</v>
      </c>
      <c r="M435" s="326"/>
      <c r="N435" s="327"/>
      <c r="O435" s="519" t="s">
        <v>303</v>
      </c>
      <c r="P435" s="326"/>
      <c r="Q435" s="327"/>
      <c r="R435" s="527"/>
      <c r="S435" s="326"/>
      <c r="T435" s="327"/>
      <c r="U435" s="497"/>
      <c r="V435" s="326"/>
      <c r="W435" s="327"/>
      <c r="X435" s="66"/>
      <c r="Y435" s="67"/>
      <c r="Z435" s="66"/>
      <c r="AA435" s="67"/>
      <c r="AB435" s="66"/>
      <c r="AC435" s="67"/>
      <c r="AD435" s="66"/>
      <c r="AE435" s="67"/>
      <c r="AF435" s="66"/>
      <c r="AG435" s="67"/>
      <c r="AH435" s="66"/>
      <c r="AI435" s="67"/>
      <c r="AJ435" s="50"/>
      <c r="AK435" s="69"/>
      <c r="AL435" s="50"/>
      <c r="AM435" s="69"/>
      <c r="AN435" s="50"/>
      <c r="AO435" s="69"/>
      <c r="AP435" s="50"/>
      <c r="AQ435" s="69"/>
      <c r="AR435" s="50"/>
      <c r="AS435" s="642" t="s">
        <v>303</v>
      </c>
      <c r="AT435" s="326"/>
      <c r="AU435" s="326"/>
      <c r="AV435" s="326"/>
      <c r="AW435" s="326"/>
      <c r="AX435" s="326"/>
      <c r="AY435" s="327"/>
      <c r="AZ435" s="70"/>
      <c r="BA435" s="70"/>
      <c r="BB435" s="643" t="s">
        <v>334</v>
      </c>
      <c r="BC435" s="327"/>
      <c r="BD435" s="645" t="s">
        <v>303</v>
      </c>
      <c r="BE435" s="326"/>
      <c r="BF435" s="327"/>
      <c r="BG435" s="646" t="s">
        <v>303</v>
      </c>
      <c r="BH435" s="326"/>
      <c r="BI435" s="326"/>
      <c r="BJ435" s="327"/>
      <c r="BK435" s="647"/>
      <c r="BL435" s="326"/>
      <c r="BM435" s="327"/>
      <c r="BN435" s="71"/>
      <c r="BO435" s="71"/>
      <c r="BP435" s="646"/>
      <c r="BQ435" s="326"/>
      <c r="BR435" s="327"/>
      <c r="BS435" s="645" t="s">
        <v>303</v>
      </c>
      <c r="BT435" s="326"/>
      <c r="BU435" s="327"/>
    </row>
    <row r="436" spans="1:73" ht="30" customHeight="1" x14ac:dyDescent="0.25">
      <c r="A436" s="65">
        <f t="shared" si="1"/>
        <v>422</v>
      </c>
      <c r="B436" s="639" t="s">
        <v>334</v>
      </c>
      <c r="C436" s="327"/>
      <c r="D436" s="640" t="s">
        <v>303</v>
      </c>
      <c r="E436" s="326"/>
      <c r="F436" s="326"/>
      <c r="G436" s="327"/>
      <c r="H436" s="641" t="s">
        <v>303</v>
      </c>
      <c r="I436" s="326"/>
      <c r="J436" s="326"/>
      <c r="K436" s="327"/>
      <c r="L436" s="438" t="s">
        <v>303</v>
      </c>
      <c r="M436" s="326"/>
      <c r="N436" s="327"/>
      <c r="O436" s="519" t="s">
        <v>303</v>
      </c>
      <c r="P436" s="326"/>
      <c r="Q436" s="327"/>
      <c r="R436" s="527"/>
      <c r="S436" s="326"/>
      <c r="T436" s="327"/>
      <c r="U436" s="497"/>
      <c r="V436" s="326"/>
      <c r="W436" s="327"/>
      <c r="X436" s="66"/>
      <c r="Y436" s="67"/>
      <c r="Z436" s="66"/>
      <c r="AA436" s="67"/>
      <c r="AB436" s="66"/>
      <c r="AC436" s="67"/>
      <c r="AD436" s="66"/>
      <c r="AE436" s="67"/>
      <c r="AF436" s="66"/>
      <c r="AG436" s="67"/>
      <c r="AH436" s="66"/>
      <c r="AI436" s="67"/>
      <c r="AJ436" s="50"/>
      <c r="AK436" s="69"/>
      <c r="AL436" s="50"/>
      <c r="AM436" s="69"/>
      <c r="AN436" s="50"/>
      <c r="AO436" s="69"/>
      <c r="AP436" s="50"/>
      <c r="AQ436" s="69"/>
      <c r="AR436" s="50"/>
      <c r="AS436" s="642" t="s">
        <v>303</v>
      </c>
      <c r="AT436" s="326"/>
      <c r="AU436" s="326"/>
      <c r="AV436" s="326"/>
      <c r="AW436" s="326"/>
      <c r="AX436" s="326"/>
      <c r="AY436" s="327"/>
      <c r="AZ436" s="70"/>
      <c r="BA436" s="70"/>
      <c r="BB436" s="643" t="s">
        <v>334</v>
      </c>
      <c r="BC436" s="327"/>
      <c r="BD436" s="645" t="s">
        <v>303</v>
      </c>
      <c r="BE436" s="326"/>
      <c r="BF436" s="327"/>
      <c r="BG436" s="646" t="s">
        <v>303</v>
      </c>
      <c r="BH436" s="326"/>
      <c r="BI436" s="326"/>
      <c r="BJ436" s="327"/>
      <c r="BK436" s="647"/>
      <c r="BL436" s="326"/>
      <c r="BM436" s="327"/>
      <c r="BN436" s="71"/>
      <c r="BO436" s="71"/>
      <c r="BP436" s="646"/>
      <c r="BQ436" s="326"/>
      <c r="BR436" s="327"/>
      <c r="BS436" s="645" t="s">
        <v>303</v>
      </c>
      <c r="BT436" s="326"/>
      <c r="BU436" s="327"/>
    </row>
    <row r="437" spans="1:73" ht="30" customHeight="1" x14ac:dyDescent="0.25">
      <c r="A437" s="65">
        <f t="shared" si="1"/>
        <v>423</v>
      </c>
      <c r="B437" s="639" t="s">
        <v>334</v>
      </c>
      <c r="C437" s="327"/>
      <c r="D437" s="640" t="s">
        <v>303</v>
      </c>
      <c r="E437" s="326"/>
      <c r="F437" s="326"/>
      <c r="G437" s="327"/>
      <c r="H437" s="641" t="s">
        <v>303</v>
      </c>
      <c r="I437" s="326"/>
      <c r="J437" s="326"/>
      <c r="K437" s="327"/>
      <c r="L437" s="438" t="s">
        <v>303</v>
      </c>
      <c r="M437" s="326"/>
      <c r="N437" s="327"/>
      <c r="O437" s="519" t="s">
        <v>303</v>
      </c>
      <c r="P437" s="326"/>
      <c r="Q437" s="327"/>
      <c r="R437" s="527"/>
      <c r="S437" s="326"/>
      <c r="T437" s="327"/>
      <c r="U437" s="497"/>
      <c r="V437" s="326"/>
      <c r="W437" s="327"/>
      <c r="X437" s="66"/>
      <c r="Y437" s="67"/>
      <c r="Z437" s="66"/>
      <c r="AA437" s="67"/>
      <c r="AB437" s="66"/>
      <c r="AC437" s="67"/>
      <c r="AD437" s="66"/>
      <c r="AE437" s="67"/>
      <c r="AF437" s="66"/>
      <c r="AG437" s="67"/>
      <c r="AH437" s="66"/>
      <c r="AI437" s="67"/>
      <c r="AJ437" s="50"/>
      <c r="AK437" s="69"/>
      <c r="AL437" s="50"/>
      <c r="AM437" s="69"/>
      <c r="AN437" s="50"/>
      <c r="AO437" s="69"/>
      <c r="AP437" s="50"/>
      <c r="AQ437" s="69"/>
      <c r="AR437" s="50"/>
      <c r="AS437" s="642" t="s">
        <v>303</v>
      </c>
      <c r="AT437" s="326"/>
      <c r="AU437" s="326"/>
      <c r="AV437" s="326"/>
      <c r="AW437" s="326"/>
      <c r="AX437" s="326"/>
      <c r="AY437" s="327"/>
      <c r="AZ437" s="70"/>
      <c r="BA437" s="70"/>
      <c r="BB437" s="643" t="s">
        <v>334</v>
      </c>
      <c r="BC437" s="327"/>
      <c r="BD437" s="645" t="s">
        <v>303</v>
      </c>
      <c r="BE437" s="326"/>
      <c r="BF437" s="327"/>
      <c r="BG437" s="646" t="s">
        <v>303</v>
      </c>
      <c r="BH437" s="326"/>
      <c r="BI437" s="326"/>
      <c r="BJ437" s="327"/>
      <c r="BK437" s="647"/>
      <c r="BL437" s="326"/>
      <c r="BM437" s="327"/>
      <c r="BN437" s="71"/>
      <c r="BO437" s="71"/>
      <c r="BP437" s="646"/>
      <c r="BQ437" s="326"/>
      <c r="BR437" s="327"/>
      <c r="BS437" s="645" t="s">
        <v>303</v>
      </c>
      <c r="BT437" s="326"/>
      <c r="BU437" s="327"/>
    </row>
    <row r="438" spans="1:73" ht="30" customHeight="1" x14ac:dyDescent="0.25">
      <c r="A438" s="65">
        <f t="shared" si="1"/>
        <v>424</v>
      </c>
      <c r="B438" s="639" t="s">
        <v>334</v>
      </c>
      <c r="C438" s="327"/>
      <c r="D438" s="640" t="s">
        <v>303</v>
      </c>
      <c r="E438" s="326"/>
      <c r="F438" s="326"/>
      <c r="G438" s="327"/>
      <c r="H438" s="641" t="s">
        <v>303</v>
      </c>
      <c r="I438" s="326"/>
      <c r="J438" s="326"/>
      <c r="K438" s="327"/>
      <c r="L438" s="438" t="s">
        <v>303</v>
      </c>
      <c r="M438" s="326"/>
      <c r="N438" s="327"/>
      <c r="O438" s="519" t="s">
        <v>303</v>
      </c>
      <c r="P438" s="326"/>
      <c r="Q438" s="327"/>
      <c r="R438" s="527"/>
      <c r="S438" s="326"/>
      <c r="T438" s="327"/>
      <c r="U438" s="497"/>
      <c r="V438" s="326"/>
      <c r="W438" s="327"/>
      <c r="X438" s="66"/>
      <c r="Y438" s="67"/>
      <c r="Z438" s="66"/>
      <c r="AA438" s="67"/>
      <c r="AB438" s="66"/>
      <c r="AC438" s="67"/>
      <c r="AD438" s="66"/>
      <c r="AE438" s="67"/>
      <c r="AF438" s="66"/>
      <c r="AG438" s="67"/>
      <c r="AH438" s="66"/>
      <c r="AI438" s="67"/>
      <c r="AJ438" s="50"/>
      <c r="AK438" s="69"/>
      <c r="AL438" s="50"/>
      <c r="AM438" s="69"/>
      <c r="AN438" s="50"/>
      <c r="AO438" s="69"/>
      <c r="AP438" s="50"/>
      <c r="AQ438" s="69"/>
      <c r="AR438" s="50"/>
      <c r="AS438" s="642" t="s">
        <v>303</v>
      </c>
      <c r="AT438" s="326"/>
      <c r="AU438" s="326"/>
      <c r="AV438" s="326"/>
      <c r="AW438" s="326"/>
      <c r="AX438" s="326"/>
      <c r="AY438" s="327"/>
      <c r="AZ438" s="70"/>
      <c r="BA438" s="70"/>
      <c r="BB438" s="643" t="s">
        <v>334</v>
      </c>
      <c r="BC438" s="327"/>
      <c r="BD438" s="645" t="s">
        <v>303</v>
      </c>
      <c r="BE438" s="326"/>
      <c r="BF438" s="327"/>
      <c r="BG438" s="646" t="s">
        <v>303</v>
      </c>
      <c r="BH438" s="326"/>
      <c r="BI438" s="326"/>
      <c r="BJ438" s="327"/>
      <c r="BK438" s="647"/>
      <c r="BL438" s="326"/>
      <c r="BM438" s="327"/>
      <c r="BN438" s="71"/>
      <c r="BO438" s="71"/>
      <c r="BP438" s="646"/>
      <c r="BQ438" s="326"/>
      <c r="BR438" s="327"/>
      <c r="BS438" s="645" t="s">
        <v>303</v>
      </c>
      <c r="BT438" s="326"/>
      <c r="BU438" s="327"/>
    </row>
    <row r="439" spans="1:73" ht="30" customHeight="1" x14ac:dyDescent="0.25">
      <c r="A439" s="65">
        <f t="shared" si="1"/>
        <v>425</v>
      </c>
      <c r="B439" s="639" t="s">
        <v>334</v>
      </c>
      <c r="C439" s="327"/>
      <c r="D439" s="640" t="s">
        <v>303</v>
      </c>
      <c r="E439" s="326"/>
      <c r="F439" s="326"/>
      <c r="G439" s="327"/>
      <c r="H439" s="641" t="s">
        <v>303</v>
      </c>
      <c r="I439" s="326"/>
      <c r="J439" s="326"/>
      <c r="K439" s="327"/>
      <c r="L439" s="438" t="s">
        <v>303</v>
      </c>
      <c r="M439" s="326"/>
      <c r="N439" s="327"/>
      <c r="O439" s="519" t="s">
        <v>303</v>
      </c>
      <c r="P439" s="326"/>
      <c r="Q439" s="327"/>
      <c r="R439" s="527"/>
      <c r="S439" s="326"/>
      <c r="T439" s="327"/>
      <c r="U439" s="497"/>
      <c r="V439" s="326"/>
      <c r="W439" s="327"/>
      <c r="X439" s="66"/>
      <c r="Y439" s="67"/>
      <c r="Z439" s="66"/>
      <c r="AA439" s="67"/>
      <c r="AB439" s="66"/>
      <c r="AC439" s="67"/>
      <c r="AD439" s="66"/>
      <c r="AE439" s="67"/>
      <c r="AF439" s="66"/>
      <c r="AG439" s="67"/>
      <c r="AH439" s="66"/>
      <c r="AI439" s="67"/>
      <c r="AJ439" s="50"/>
      <c r="AK439" s="69"/>
      <c r="AL439" s="50"/>
      <c r="AM439" s="69"/>
      <c r="AN439" s="50"/>
      <c r="AO439" s="69"/>
      <c r="AP439" s="50"/>
      <c r="AQ439" s="69"/>
      <c r="AR439" s="50"/>
      <c r="AS439" s="642" t="s">
        <v>303</v>
      </c>
      <c r="AT439" s="326"/>
      <c r="AU439" s="326"/>
      <c r="AV439" s="326"/>
      <c r="AW439" s="326"/>
      <c r="AX439" s="326"/>
      <c r="AY439" s="327"/>
      <c r="AZ439" s="70"/>
      <c r="BA439" s="70"/>
      <c r="BB439" s="643" t="s">
        <v>334</v>
      </c>
      <c r="BC439" s="327"/>
      <c r="BD439" s="645" t="s">
        <v>303</v>
      </c>
      <c r="BE439" s="326"/>
      <c r="BF439" s="327"/>
      <c r="BG439" s="646" t="s">
        <v>303</v>
      </c>
      <c r="BH439" s="326"/>
      <c r="BI439" s="326"/>
      <c r="BJ439" s="327"/>
      <c r="BK439" s="647"/>
      <c r="BL439" s="326"/>
      <c r="BM439" s="327"/>
      <c r="BN439" s="71"/>
      <c r="BO439" s="71"/>
      <c r="BP439" s="646"/>
      <c r="BQ439" s="326"/>
      <c r="BR439" s="327"/>
      <c r="BS439" s="645" t="s">
        <v>303</v>
      </c>
      <c r="BT439" s="326"/>
      <c r="BU439" s="327"/>
    </row>
    <row r="440" spans="1:73" ht="30" customHeight="1" x14ac:dyDescent="0.25">
      <c r="A440" s="65">
        <f t="shared" si="1"/>
        <v>426</v>
      </c>
      <c r="B440" s="639" t="s">
        <v>334</v>
      </c>
      <c r="C440" s="327"/>
      <c r="D440" s="640" t="s">
        <v>303</v>
      </c>
      <c r="E440" s="326"/>
      <c r="F440" s="326"/>
      <c r="G440" s="327"/>
      <c r="H440" s="641" t="s">
        <v>303</v>
      </c>
      <c r="I440" s="326"/>
      <c r="J440" s="326"/>
      <c r="K440" s="327"/>
      <c r="L440" s="438" t="s">
        <v>303</v>
      </c>
      <c r="M440" s="326"/>
      <c r="N440" s="327"/>
      <c r="O440" s="519" t="s">
        <v>303</v>
      </c>
      <c r="P440" s="326"/>
      <c r="Q440" s="327"/>
      <c r="R440" s="527"/>
      <c r="S440" s="326"/>
      <c r="T440" s="327"/>
      <c r="U440" s="497"/>
      <c r="V440" s="326"/>
      <c r="W440" s="327"/>
      <c r="X440" s="66"/>
      <c r="Y440" s="67"/>
      <c r="Z440" s="66"/>
      <c r="AA440" s="67"/>
      <c r="AB440" s="66"/>
      <c r="AC440" s="67"/>
      <c r="AD440" s="66"/>
      <c r="AE440" s="67"/>
      <c r="AF440" s="66"/>
      <c r="AG440" s="67"/>
      <c r="AH440" s="66"/>
      <c r="AI440" s="67"/>
      <c r="AJ440" s="50"/>
      <c r="AK440" s="69"/>
      <c r="AL440" s="50"/>
      <c r="AM440" s="69"/>
      <c r="AN440" s="50"/>
      <c r="AO440" s="69"/>
      <c r="AP440" s="50"/>
      <c r="AQ440" s="69"/>
      <c r="AR440" s="50"/>
      <c r="AS440" s="642" t="s">
        <v>303</v>
      </c>
      <c r="AT440" s="326"/>
      <c r="AU440" s="326"/>
      <c r="AV440" s="326"/>
      <c r="AW440" s="326"/>
      <c r="AX440" s="326"/>
      <c r="AY440" s="327"/>
      <c r="AZ440" s="70"/>
      <c r="BA440" s="70"/>
      <c r="BB440" s="643" t="s">
        <v>334</v>
      </c>
      <c r="BC440" s="327"/>
      <c r="BD440" s="645" t="s">
        <v>303</v>
      </c>
      <c r="BE440" s="326"/>
      <c r="BF440" s="327"/>
      <c r="BG440" s="646" t="s">
        <v>303</v>
      </c>
      <c r="BH440" s="326"/>
      <c r="BI440" s="326"/>
      <c r="BJ440" s="327"/>
      <c r="BK440" s="647"/>
      <c r="BL440" s="326"/>
      <c r="BM440" s="327"/>
      <c r="BN440" s="71"/>
      <c r="BO440" s="71"/>
      <c r="BP440" s="646"/>
      <c r="BQ440" s="326"/>
      <c r="BR440" s="327"/>
      <c r="BS440" s="645" t="s">
        <v>303</v>
      </c>
      <c r="BT440" s="326"/>
      <c r="BU440" s="327"/>
    </row>
    <row r="441" spans="1:73" ht="30" customHeight="1" x14ac:dyDescent="0.25">
      <c r="A441" s="65">
        <f t="shared" si="1"/>
        <v>427</v>
      </c>
      <c r="B441" s="639" t="s">
        <v>334</v>
      </c>
      <c r="C441" s="327"/>
      <c r="D441" s="640" t="s">
        <v>303</v>
      </c>
      <c r="E441" s="326"/>
      <c r="F441" s="326"/>
      <c r="G441" s="327"/>
      <c r="H441" s="641" t="s">
        <v>303</v>
      </c>
      <c r="I441" s="326"/>
      <c r="J441" s="326"/>
      <c r="K441" s="327"/>
      <c r="L441" s="438" t="s">
        <v>303</v>
      </c>
      <c r="M441" s="326"/>
      <c r="N441" s="327"/>
      <c r="O441" s="519" t="s">
        <v>303</v>
      </c>
      <c r="P441" s="326"/>
      <c r="Q441" s="327"/>
      <c r="R441" s="527"/>
      <c r="S441" s="326"/>
      <c r="T441" s="327"/>
      <c r="U441" s="497"/>
      <c r="V441" s="326"/>
      <c r="W441" s="327"/>
      <c r="X441" s="66"/>
      <c r="Y441" s="67"/>
      <c r="Z441" s="66"/>
      <c r="AA441" s="67"/>
      <c r="AB441" s="66"/>
      <c r="AC441" s="67"/>
      <c r="AD441" s="66"/>
      <c r="AE441" s="67"/>
      <c r="AF441" s="66"/>
      <c r="AG441" s="67"/>
      <c r="AH441" s="66"/>
      <c r="AI441" s="67"/>
      <c r="AJ441" s="50"/>
      <c r="AK441" s="69"/>
      <c r="AL441" s="50"/>
      <c r="AM441" s="69"/>
      <c r="AN441" s="50"/>
      <c r="AO441" s="69"/>
      <c r="AP441" s="50"/>
      <c r="AQ441" s="69"/>
      <c r="AR441" s="50"/>
      <c r="AS441" s="642" t="s">
        <v>303</v>
      </c>
      <c r="AT441" s="326"/>
      <c r="AU441" s="326"/>
      <c r="AV441" s="326"/>
      <c r="AW441" s="326"/>
      <c r="AX441" s="326"/>
      <c r="AY441" s="327"/>
      <c r="AZ441" s="70"/>
      <c r="BA441" s="70"/>
      <c r="BB441" s="643" t="s">
        <v>334</v>
      </c>
      <c r="BC441" s="327"/>
      <c r="BD441" s="645" t="s">
        <v>303</v>
      </c>
      <c r="BE441" s="326"/>
      <c r="BF441" s="327"/>
      <c r="BG441" s="646" t="s">
        <v>303</v>
      </c>
      <c r="BH441" s="326"/>
      <c r="BI441" s="326"/>
      <c r="BJ441" s="327"/>
      <c r="BK441" s="647"/>
      <c r="BL441" s="326"/>
      <c r="BM441" s="327"/>
      <c r="BN441" s="71"/>
      <c r="BO441" s="71"/>
      <c r="BP441" s="646"/>
      <c r="BQ441" s="326"/>
      <c r="BR441" s="327"/>
      <c r="BS441" s="645" t="s">
        <v>303</v>
      </c>
      <c r="BT441" s="326"/>
      <c r="BU441" s="327"/>
    </row>
    <row r="442" spans="1:73" ht="30" customHeight="1" x14ac:dyDescent="0.25">
      <c r="A442" s="65">
        <f t="shared" si="1"/>
        <v>428</v>
      </c>
      <c r="B442" s="639" t="s">
        <v>334</v>
      </c>
      <c r="C442" s="327"/>
      <c r="D442" s="640" t="s">
        <v>303</v>
      </c>
      <c r="E442" s="326"/>
      <c r="F442" s="326"/>
      <c r="G442" s="327"/>
      <c r="H442" s="641" t="s">
        <v>303</v>
      </c>
      <c r="I442" s="326"/>
      <c r="J442" s="326"/>
      <c r="K442" s="327"/>
      <c r="L442" s="438" t="s">
        <v>303</v>
      </c>
      <c r="M442" s="326"/>
      <c r="N442" s="327"/>
      <c r="O442" s="519" t="s">
        <v>303</v>
      </c>
      <c r="P442" s="326"/>
      <c r="Q442" s="327"/>
      <c r="R442" s="527"/>
      <c r="S442" s="326"/>
      <c r="T442" s="327"/>
      <c r="U442" s="497"/>
      <c r="V442" s="326"/>
      <c r="W442" s="327"/>
      <c r="X442" s="66"/>
      <c r="Y442" s="67"/>
      <c r="Z442" s="66"/>
      <c r="AA442" s="67"/>
      <c r="AB442" s="66"/>
      <c r="AC442" s="67"/>
      <c r="AD442" s="66"/>
      <c r="AE442" s="67"/>
      <c r="AF442" s="66"/>
      <c r="AG442" s="67"/>
      <c r="AH442" s="66"/>
      <c r="AI442" s="67"/>
      <c r="AJ442" s="50"/>
      <c r="AK442" s="69"/>
      <c r="AL442" s="50"/>
      <c r="AM442" s="69"/>
      <c r="AN442" s="50"/>
      <c r="AO442" s="69"/>
      <c r="AP442" s="50"/>
      <c r="AQ442" s="69"/>
      <c r="AR442" s="50"/>
      <c r="AS442" s="642" t="s">
        <v>303</v>
      </c>
      <c r="AT442" s="326"/>
      <c r="AU442" s="326"/>
      <c r="AV442" s="326"/>
      <c r="AW442" s="326"/>
      <c r="AX442" s="326"/>
      <c r="AY442" s="327"/>
      <c r="AZ442" s="70"/>
      <c r="BA442" s="70"/>
      <c r="BB442" s="643" t="s">
        <v>334</v>
      </c>
      <c r="BC442" s="327"/>
      <c r="BD442" s="645" t="s">
        <v>303</v>
      </c>
      <c r="BE442" s="326"/>
      <c r="BF442" s="327"/>
      <c r="BG442" s="646" t="s">
        <v>303</v>
      </c>
      <c r="BH442" s="326"/>
      <c r="BI442" s="326"/>
      <c r="BJ442" s="327"/>
      <c r="BK442" s="647"/>
      <c r="BL442" s="326"/>
      <c r="BM442" s="327"/>
      <c r="BN442" s="71"/>
      <c r="BO442" s="71"/>
      <c r="BP442" s="646"/>
      <c r="BQ442" s="326"/>
      <c r="BR442" s="327"/>
      <c r="BS442" s="645" t="s">
        <v>303</v>
      </c>
      <c r="BT442" s="326"/>
      <c r="BU442" s="327"/>
    </row>
    <row r="443" spans="1:73" ht="30" customHeight="1" x14ac:dyDescent="0.25">
      <c r="A443" s="65">
        <f t="shared" si="1"/>
        <v>429</v>
      </c>
      <c r="B443" s="639" t="s">
        <v>334</v>
      </c>
      <c r="C443" s="327"/>
      <c r="D443" s="640" t="s">
        <v>303</v>
      </c>
      <c r="E443" s="326"/>
      <c r="F443" s="326"/>
      <c r="G443" s="327"/>
      <c r="H443" s="641" t="s">
        <v>303</v>
      </c>
      <c r="I443" s="326"/>
      <c r="J443" s="326"/>
      <c r="K443" s="327"/>
      <c r="L443" s="438" t="s">
        <v>303</v>
      </c>
      <c r="M443" s="326"/>
      <c r="N443" s="327"/>
      <c r="O443" s="519" t="s">
        <v>303</v>
      </c>
      <c r="P443" s="326"/>
      <c r="Q443" s="327"/>
      <c r="R443" s="527"/>
      <c r="S443" s="326"/>
      <c r="T443" s="327"/>
      <c r="U443" s="497"/>
      <c r="V443" s="326"/>
      <c r="W443" s="327"/>
      <c r="X443" s="66"/>
      <c r="Y443" s="67"/>
      <c r="Z443" s="66"/>
      <c r="AA443" s="67"/>
      <c r="AB443" s="66"/>
      <c r="AC443" s="67"/>
      <c r="AD443" s="66"/>
      <c r="AE443" s="67"/>
      <c r="AF443" s="66"/>
      <c r="AG443" s="67"/>
      <c r="AH443" s="66"/>
      <c r="AI443" s="67"/>
      <c r="AJ443" s="50"/>
      <c r="AK443" s="69"/>
      <c r="AL443" s="50"/>
      <c r="AM443" s="69"/>
      <c r="AN443" s="50"/>
      <c r="AO443" s="69"/>
      <c r="AP443" s="50"/>
      <c r="AQ443" s="69"/>
      <c r="AR443" s="50"/>
      <c r="AS443" s="642" t="s">
        <v>303</v>
      </c>
      <c r="AT443" s="326"/>
      <c r="AU443" s="326"/>
      <c r="AV443" s="326"/>
      <c r="AW443" s="326"/>
      <c r="AX443" s="326"/>
      <c r="AY443" s="327"/>
      <c r="AZ443" s="70"/>
      <c r="BA443" s="70"/>
      <c r="BB443" s="643" t="s">
        <v>334</v>
      </c>
      <c r="BC443" s="327"/>
      <c r="BD443" s="645" t="s">
        <v>303</v>
      </c>
      <c r="BE443" s="326"/>
      <c r="BF443" s="327"/>
      <c r="BG443" s="646" t="s">
        <v>303</v>
      </c>
      <c r="BH443" s="326"/>
      <c r="BI443" s="326"/>
      <c r="BJ443" s="327"/>
      <c r="BK443" s="647"/>
      <c r="BL443" s="326"/>
      <c r="BM443" s="327"/>
      <c r="BN443" s="71"/>
      <c r="BO443" s="71"/>
      <c r="BP443" s="646"/>
      <c r="BQ443" s="326"/>
      <c r="BR443" s="327"/>
      <c r="BS443" s="645" t="s">
        <v>303</v>
      </c>
      <c r="BT443" s="326"/>
      <c r="BU443" s="327"/>
    </row>
    <row r="444" spans="1:73" ht="30" customHeight="1" x14ac:dyDescent="0.25">
      <c r="A444" s="65">
        <f t="shared" si="1"/>
        <v>430</v>
      </c>
      <c r="B444" s="639" t="s">
        <v>334</v>
      </c>
      <c r="C444" s="327"/>
      <c r="D444" s="640" t="s">
        <v>303</v>
      </c>
      <c r="E444" s="326"/>
      <c r="F444" s="326"/>
      <c r="G444" s="327"/>
      <c r="H444" s="641" t="s">
        <v>303</v>
      </c>
      <c r="I444" s="326"/>
      <c r="J444" s="326"/>
      <c r="K444" s="327"/>
      <c r="L444" s="438" t="s">
        <v>303</v>
      </c>
      <c r="M444" s="326"/>
      <c r="N444" s="327"/>
      <c r="O444" s="519" t="s">
        <v>303</v>
      </c>
      <c r="P444" s="326"/>
      <c r="Q444" s="327"/>
      <c r="R444" s="527"/>
      <c r="S444" s="326"/>
      <c r="T444" s="327"/>
      <c r="U444" s="497"/>
      <c r="V444" s="326"/>
      <c r="W444" s="327"/>
      <c r="X444" s="66"/>
      <c r="Y444" s="67"/>
      <c r="Z444" s="66"/>
      <c r="AA444" s="67"/>
      <c r="AB444" s="66"/>
      <c r="AC444" s="67"/>
      <c r="AD444" s="66"/>
      <c r="AE444" s="67"/>
      <c r="AF444" s="66"/>
      <c r="AG444" s="67"/>
      <c r="AH444" s="66"/>
      <c r="AI444" s="67"/>
      <c r="AJ444" s="50"/>
      <c r="AK444" s="69"/>
      <c r="AL444" s="50"/>
      <c r="AM444" s="69"/>
      <c r="AN444" s="50"/>
      <c r="AO444" s="69"/>
      <c r="AP444" s="50"/>
      <c r="AQ444" s="69"/>
      <c r="AR444" s="50"/>
      <c r="AS444" s="642" t="s">
        <v>303</v>
      </c>
      <c r="AT444" s="326"/>
      <c r="AU444" s="326"/>
      <c r="AV444" s="326"/>
      <c r="AW444" s="326"/>
      <c r="AX444" s="326"/>
      <c r="AY444" s="327"/>
      <c r="AZ444" s="70"/>
      <c r="BA444" s="70"/>
      <c r="BB444" s="643" t="s">
        <v>334</v>
      </c>
      <c r="BC444" s="327"/>
      <c r="BD444" s="645" t="s">
        <v>303</v>
      </c>
      <c r="BE444" s="326"/>
      <c r="BF444" s="327"/>
      <c r="BG444" s="646" t="s">
        <v>303</v>
      </c>
      <c r="BH444" s="326"/>
      <c r="BI444" s="326"/>
      <c r="BJ444" s="327"/>
      <c r="BK444" s="647"/>
      <c r="BL444" s="326"/>
      <c r="BM444" s="327"/>
      <c r="BN444" s="71"/>
      <c r="BO444" s="71"/>
      <c r="BP444" s="646"/>
      <c r="BQ444" s="326"/>
      <c r="BR444" s="327"/>
      <c r="BS444" s="645" t="s">
        <v>303</v>
      </c>
      <c r="BT444" s="326"/>
      <c r="BU444" s="327"/>
    </row>
    <row r="445" spans="1:73" ht="30" customHeight="1" x14ac:dyDescent="0.25">
      <c r="A445" s="65">
        <f t="shared" si="1"/>
        <v>431</v>
      </c>
      <c r="B445" s="639" t="s">
        <v>334</v>
      </c>
      <c r="C445" s="327"/>
      <c r="D445" s="640" t="s">
        <v>303</v>
      </c>
      <c r="E445" s="326"/>
      <c r="F445" s="326"/>
      <c r="G445" s="327"/>
      <c r="H445" s="641" t="s">
        <v>303</v>
      </c>
      <c r="I445" s="326"/>
      <c r="J445" s="326"/>
      <c r="K445" s="327"/>
      <c r="L445" s="438" t="s">
        <v>303</v>
      </c>
      <c r="M445" s="326"/>
      <c r="N445" s="327"/>
      <c r="O445" s="519" t="s">
        <v>303</v>
      </c>
      <c r="P445" s="326"/>
      <c r="Q445" s="327"/>
      <c r="R445" s="527"/>
      <c r="S445" s="326"/>
      <c r="T445" s="327"/>
      <c r="U445" s="497"/>
      <c r="V445" s="326"/>
      <c r="W445" s="327"/>
      <c r="X445" s="66"/>
      <c r="Y445" s="67"/>
      <c r="Z445" s="66"/>
      <c r="AA445" s="67"/>
      <c r="AB445" s="66"/>
      <c r="AC445" s="67"/>
      <c r="AD445" s="66"/>
      <c r="AE445" s="67"/>
      <c r="AF445" s="66"/>
      <c r="AG445" s="67"/>
      <c r="AH445" s="66"/>
      <c r="AI445" s="67"/>
      <c r="AJ445" s="50"/>
      <c r="AK445" s="69"/>
      <c r="AL445" s="50"/>
      <c r="AM445" s="69"/>
      <c r="AN445" s="50"/>
      <c r="AO445" s="69"/>
      <c r="AP445" s="50"/>
      <c r="AQ445" s="69"/>
      <c r="AR445" s="50"/>
      <c r="AS445" s="642" t="s">
        <v>303</v>
      </c>
      <c r="AT445" s="326"/>
      <c r="AU445" s="326"/>
      <c r="AV445" s="326"/>
      <c r="AW445" s="326"/>
      <c r="AX445" s="326"/>
      <c r="AY445" s="327"/>
      <c r="AZ445" s="70"/>
      <c r="BA445" s="70"/>
      <c r="BB445" s="643" t="s">
        <v>334</v>
      </c>
      <c r="BC445" s="327"/>
      <c r="BD445" s="645" t="s">
        <v>303</v>
      </c>
      <c r="BE445" s="326"/>
      <c r="BF445" s="327"/>
      <c r="BG445" s="646" t="s">
        <v>303</v>
      </c>
      <c r="BH445" s="326"/>
      <c r="BI445" s="326"/>
      <c r="BJ445" s="327"/>
      <c r="BK445" s="647"/>
      <c r="BL445" s="326"/>
      <c r="BM445" s="327"/>
      <c r="BN445" s="71"/>
      <c r="BO445" s="71"/>
      <c r="BP445" s="646"/>
      <c r="BQ445" s="326"/>
      <c r="BR445" s="327"/>
      <c r="BS445" s="645" t="s">
        <v>303</v>
      </c>
      <c r="BT445" s="326"/>
      <c r="BU445" s="327"/>
    </row>
    <row r="446" spans="1:73" ht="30" customHeight="1" x14ac:dyDescent="0.25">
      <c r="A446" s="65">
        <f t="shared" si="1"/>
        <v>432</v>
      </c>
      <c r="B446" s="639" t="s">
        <v>334</v>
      </c>
      <c r="C446" s="327"/>
      <c r="D446" s="640" t="s">
        <v>303</v>
      </c>
      <c r="E446" s="326"/>
      <c r="F446" s="326"/>
      <c r="G446" s="327"/>
      <c r="H446" s="641" t="s">
        <v>303</v>
      </c>
      <c r="I446" s="326"/>
      <c r="J446" s="326"/>
      <c r="K446" s="327"/>
      <c r="L446" s="438" t="s">
        <v>303</v>
      </c>
      <c r="M446" s="326"/>
      <c r="N446" s="327"/>
      <c r="O446" s="519" t="s">
        <v>303</v>
      </c>
      <c r="P446" s="326"/>
      <c r="Q446" s="327"/>
      <c r="R446" s="527"/>
      <c r="S446" s="326"/>
      <c r="T446" s="327"/>
      <c r="U446" s="497"/>
      <c r="V446" s="326"/>
      <c r="W446" s="327"/>
      <c r="X446" s="66"/>
      <c r="Y446" s="67"/>
      <c r="Z446" s="66"/>
      <c r="AA446" s="67"/>
      <c r="AB446" s="66"/>
      <c r="AC446" s="67"/>
      <c r="AD446" s="66"/>
      <c r="AE446" s="67"/>
      <c r="AF446" s="66"/>
      <c r="AG446" s="67"/>
      <c r="AH446" s="66"/>
      <c r="AI446" s="67"/>
      <c r="AJ446" s="50"/>
      <c r="AK446" s="69"/>
      <c r="AL446" s="50"/>
      <c r="AM446" s="69"/>
      <c r="AN446" s="50"/>
      <c r="AO446" s="69"/>
      <c r="AP446" s="50"/>
      <c r="AQ446" s="69"/>
      <c r="AR446" s="50"/>
      <c r="AS446" s="642" t="s">
        <v>303</v>
      </c>
      <c r="AT446" s="326"/>
      <c r="AU446" s="326"/>
      <c r="AV446" s="326"/>
      <c r="AW446" s="326"/>
      <c r="AX446" s="326"/>
      <c r="AY446" s="327"/>
      <c r="AZ446" s="70"/>
      <c r="BA446" s="70"/>
      <c r="BB446" s="643" t="s">
        <v>334</v>
      </c>
      <c r="BC446" s="327"/>
      <c r="BD446" s="645" t="s">
        <v>303</v>
      </c>
      <c r="BE446" s="326"/>
      <c r="BF446" s="327"/>
      <c r="BG446" s="646" t="s">
        <v>303</v>
      </c>
      <c r="BH446" s="326"/>
      <c r="BI446" s="326"/>
      <c r="BJ446" s="327"/>
      <c r="BK446" s="647"/>
      <c r="BL446" s="326"/>
      <c r="BM446" s="327"/>
      <c r="BN446" s="71"/>
      <c r="BO446" s="71"/>
      <c r="BP446" s="646"/>
      <c r="BQ446" s="326"/>
      <c r="BR446" s="327"/>
      <c r="BS446" s="645" t="s">
        <v>303</v>
      </c>
      <c r="BT446" s="326"/>
      <c r="BU446" s="327"/>
    </row>
    <row r="447" spans="1:73" ht="30" customHeight="1" x14ac:dyDescent="0.25">
      <c r="A447" s="65">
        <f t="shared" si="1"/>
        <v>433</v>
      </c>
      <c r="B447" s="639" t="s">
        <v>334</v>
      </c>
      <c r="C447" s="327"/>
      <c r="D447" s="640" t="s">
        <v>303</v>
      </c>
      <c r="E447" s="326"/>
      <c r="F447" s="326"/>
      <c r="G447" s="327"/>
      <c r="H447" s="641" t="s">
        <v>303</v>
      </c>
      <c r="I447" s="326"/>
      <c r="J447" s="326"/>
      <c r="K447" s="327"/>
      <c r="L447" s="438" t="s">
        <v>303</v>
      </c>
      <c r="M447" s="326"/>
      <c r="N447" s="327"/>
      <c r="O447" s="519" t="s">
        <v>303</v>
      </c>
      <c r="P447" s="326"/>
      <c r="Q447" s="327"/>
      <c r="R447" s="527"/>
      <c r="S447" s="326"/>
      <c r="T447" s="327"/>
      <c r="U447" s="497"/>
      <c r="V447" s="326"/>
      <c r="W447" s="327"/>
      <c r="X447" s="66"/>
      <c r="Y447" s="67"/>
      <c r="Z447" s="66"/>
      <c r="AA447" s="67"/>
      <c r="AB447" s="66"/>
      <c r="AC447" s="67"/>
      <c r="AD447" s="66"/>
      <c r="AE447" s="67"/>
      <c r="AF447" s="66"/>
      <c r="AG447" s="67"/>
      <c r="AH447" s="66"/>
      <c r="AI447" s="67"/>
      <c r="AJ447" s="50"/>
      <c r="AK447" s="69"/>
      <c r="AL447" s="50"/>
      <c r="AM447" s="69"/>
      <c r="AN447" s="50"/>
      <c r="AO447" s="69"/>
      <c r="AP447" s="50"/>
      <c r="AQ447" s="69"/>
      <c r="AR447" s="50"/>
      <c r="AS447" s="642" t="s">
        <v>303</v>
      </c>
      <c r="AT447" s="326"/>
      <c r="AU447" s="326"/>
      <c r="AV447" s="326"/>
      <c r="AW447" s="326"/>
      <c r="AX447" s="326"/>
      <c r="AY447" s="327"/>
      <c r="AZ447" s="70"/>
      <c r="BA447" s="70"/>
      <c r="BB447" s="643" t="s">
        <v>334</v>
      </c>
      <c r="BC447" s="327"/>
      <c r="BD447" s="645" t="s">
        <v>303</v>
      </c>
      <c r="BE447" s="326"/>
      <c r="BF447" s="327"/>
      <c r="BG447" s="646" t="s">
        <v>303</v>
      </c>
      <c r="BH447" s="326"/>
      <c r="BI447" s="326"/>
      <c r="BJ447" s="327"/>
      <c r="BK447" s="647"/>
      <c r="BL447" s="326"/>
      <c r="BM447" s="327"/>
      <c r="BN447" s="71"/>
      <c r="BO447" s="71"/>
      <c r="BP447" s="646"/>
      <c r="BQ447" s="326"/>
      <c r="BR447" s="327"/>
      <c r="BS447" s="645" t="s">
        <v>303</v>
      </c>
      <c r="BT447" s="326"/>
      <c r="BU447" s="327"/>
    </row>
    <row r="448" spans="1:73" ht="30" customHeight="1" x14ac:dyDescent="0.25">
      <c r="A448" s="65">
        <f t="shared" si="1"/>
        <v>434</v>
      </c>
      <c r="B448" s="639" t="s">
        <v>334</v>
      </c>
      <c r="C448" s="327"/>
      <c r="D448" s="640" t="s">
        <v>303</v>
      </c>
      <c r="E448" s="326"/>
      <c r="F448" s="326"/>
      <c r="G448" s="327"/>
      <c r="H448" s="641" t="s">
        <v>303</v>
      </c>
      <c r="I448" s="326"/>
      <c r="J448" s="326"/>
      <c r="K448" s="327"/>
      <c r="L448" s="438" t="s">
        <v>303</v>
      </c>
      <c r="M448" s="326"/>
      <c r="N448" s="327"/>
      <c r="O448" s="519" t="s">
        <v>303</v>
      </c>
      <c r="P448" s="326"/>
      <c r="Q448" s="327"/>
      <c r="R448" s="527"/>
      <c r="S448" s="326"/>
      <c r="T448" s="327"/>
      <c r="U448" s="497"/>
      <c r="V448" s="326"/>
      <c r="W448" s="327"/>
      <c r="X448" s="66"/>
      <c r="Y448" s="67"/>
      <c r="Z448" s="66"/>
      <c r="AA448" s="67"/>
      <c r="AB448" s="66"/>
      <c r="AC448" s="67"/>
      <c r="AD448" s="66"/>
      <c r="AE448" s="67"/>
      <c r="AF448" s="66"/>
      <c r="AG448" s="67"/>
      <c r="AH448" s="66"/>
      <c r="AI448" s="67"/>
      <c r="AJ448" s="50"/>
      <c r="AK448" s="69"/>
      <c r="AL448" s="50"/>
      <c r="AM448" s="69"/>
      <c r="AN448" s="50"/>
      <c r="AO448" s="69"/>
      <c r="AP448" s="50"/>
      <c r="AQ448" s="69"/>
      <c r="AR448" s="50"/>
      <c r="AS448" s="642" t="s">
        <v>303</v>
      </c>
      <c r="AT448" s="326"/>
      <c r="AU448" s="326"/>
      <c r="AV448" s="326"/>
      <c r="AW448" s="326"/>
      <c r="AX448" s="326"/>
      <c r="AY448" s="327"/>
      <c r="AZ448" s="70"/>
      <c r="BA448" s="70"/>
      <c r="BB448" s="643" t="s">
        <v>334</v>
      </c>
      <c r="BC448" s="327"/>
      <c r="BD448" s="645" t="s">
        <v>303</v>
      </c>
      <c r="BE448" s="326"/>
      <c r="BF448" s="327"/>
      <c r="BG448" s="646" t="s">
        <v>303</v>
      </c>
      <c r="BH448" s="326"/>
      <c r="BI448" s="326"/>
      <c r="BJ448" s="327"/>
      <c r="BK448" s="647"/>
      <c r="BL448" s="326"/>
      <c r="BM448" s="327"/>
      <c r="BN448" s="71"/>
      <c r="BO448" s="71"/>
      <c r="BP448" s="646"/>
      <c r="BQ448" s="326"/>
      <c r="BR448" s="327"/>
      <c r="BS448" s="645" t="s">
        <v>303</v>
      </c>
      <c r="BT448" s="326"/>
      <c r="BU448" s="327"/>
    </row>
    <row r="449" spans="1:73" ht="30" customHeight="1" x14ac:dyDescent="0.25">
      <c r="A449" s="65">
        <f t="shared" si="1"/>
        <v>435</v>
      </c>
      <c r="B449" s="639" t="s">
        <v>334</v>
      </c>
      <c r="C449" s="327"/>
      <c r="D449" s="640" t="s">
        <v>303</v>
      </c>
      <c r="E449" s="326"/>
      <c r="F449" s="326"/>
      <c r="G449" s="327"/>
      <c r="H449" s="641" t="s">
        <v>303</v>
      </c>
      <c r="I449" s="326"/>
      <c r="J449" s="326"/>
      <c r="K449" s="327"/>
      <c r="L449" s="438" t="s">
        <v>303</v>
      </c>
      <c r="M449" s="326"/>
      <c r="N449" s="327"/>
      <c r="O449" s="519" t="s">
        <v>303</v>
      </c>
      <c r="P449" s="326"/>
      <c r="Q449" s="327"/>
      <c r="R449" s="527"/>
      <c r="S449" s="326"/>
      <c r="T449" s="327"/>
      <c r="U449" s="497"/>
      <c r="V449" s="326"/>
      <c r="W449" s="327"/>
      <c r="X449" s="66"/>
      <c r="Y449" s="67"/>
      <c r="Z449" s="66"/>
      <c r="AA449" s="67"/>
      <c r="AB449" s="66"/>
      <c r="AC449" s="67"/>
      <c r="AD449" s="66"/>
      <c r="AE449" s="67"/>
      <c r="AF449" s="66"/>
      <c r="AG449" s="67"/>
      <c r="AH449" s="66"/>
      <c r="AI449" s="67"/>
      <c r="AJ449" s="50"/>
      <c r="AK449" s="69"/>
      <c r="AL449" s="50"/>
      <c r="AM449" s="69"/>
      <c r="AN449" s="50"/>
      <c r="AO449" s="69"/>
      <c r="AP449" s="50"/>
      <c r="AQ449" s="69"/>
      <c r="AR449" s="50"/>
      <c r="AS449" s="642" t="s">
        <v>303</v>
      </c>
      <c r="AT449" s="326"/>
      <c r="AU449" s="326"/>
      <c r="AV449" s="326"/>
      <c r="AW449" s="326"/>
      <c r="AX449" s="326"/>
      <c r="AY449" s="327"/>
      <c r="AZ449" s="70"/>
      <c r="BA449" s="70"/>
      <c r="BB449" s="643" t="s">
        <v>334</v>
      </c>
      <c r="BC449" s="327"/>
      <c r="BD449" s="645" t="s">
        <v>303</v>
      </c>
      <c r="BE449" s="326"/>
      <c r="BF449" s="327"/>
      <c r="BG449" s="646" t="s">
        <v>303</v>
      </c>
      <c r="BH449" s="326"/>
      <c r="BI449" s="326"/>
      <c r="BJ449" s="327"/>
      <c r="BK449" s="647"/>
      <c r="BL449" s="326"/>
      <c r="BM449" s="327"/>
      <c r="BN449" s="71"/>
      <c r="BO449" s="71"/>
      <c r="BP449" s="646"/>
      <c r="BQ449" s="326"/>
      <c r="BR449" s="327"/>
      <c r="BS449" s="645" t="s">
        <v>303</v>
      </c>
      <c r="BT449" s="326"/>
      <c r="BU449" s="327"/>
    </row>
    <row r="450" spans="1:73" ht="30" customHeight="1" x14ac:dyDescent="0.25">
      <c r="A450" s="65">
        <f t="shared" si="1"/>
        <v>436</v>
      </c>
      <c r="B450" s="639" t="s">
        <v>334</v>
      </c>
      <c r="C450" s="327"/>
      <c r="D450" s="640" t="s">
        <v>303</v>
      </c>
      <c r="E450" s="326"/>
      <c r="F450" s="326"/>
      <c r="G450" s="327"/>
      <c r="H450" s="641" t="s">
        <v>303</v>
      </c>
      <c r="I450" s="326"/>
      <c r="J450" s="326"/>
      <c r="K450" s="327"/>
      <c r="L450" s="438" t="s">
        <v>303</v>
      </c>
      <c r="M450" s="326"/>
      <c r="N450" s="327"/>
      <c r="O450" s="519" t="s">
        <v>303</v>
      </c>
      <c r="P450" s="326"/>
      <c r="Q450" s="327"/>
      <c r="R450" s="527"/>
      <c r="S450" s="326"/>
      <c r="T450" s="327"/>
      <c r="U450" s="497"/>
      <c r="V450" s="326"/>
      <c r="W450" s="327"/>
      <c r="X450" s="66"/>
      <c r="Y450" s="67"/>
      <c r="Z450" s="66"/>
      <c r="AA450" s="67"/>
      <c r="AB450" s="66"/>
      <c r="AC450" s="67"/>
      <c r="AD450" s="66"/>
      <c r="AE450" s="67"/>
      <c r="AF450" s="66"/>
      <c r="AG450" s="67"/>
      <c r="AH450" s="66"/>
      <c r="AI450" s="67"/>
      <c r="AJ450" s="50"/>
      <c r="AK450" s="69"/>
      <c r="AL450" s="50"/>
      <c r="AM450" s="69"/>
      <c r="AN450" s="50"/>
      <c r="AO450" s="69"/>
      <c r="AP450" s="50"/>
      <c r="AQ450" s="69"/>
      <c r="AR450" s="50"/>
      <c r="AS450" s="642" t="s">
        <v>303</v>
      </c>
      <c r="AT450" s="326"/>
      <c r="AU450" s="326"/>
      <c r="AV450" s="326"/>
      <c r="AW450" s="326"/>
      <c r="AX450" s="326"/>
      <c r="AY450" s="327"/>
      <c r="AZ450" s="70"/>
      <c r="BA450" s="70"/>
      <c r="BB450" s="643" t="s">
        <v>334</v>
      </c>
      <c r="BC450" s="327"/>
      <c r="BD450" s="645" t="s">
        <v>303</v>
      </c>
      <c r="BE450" s="326"/>
      <c r="BF450" s="327"/>
      <c r="BG450" s="646" t="s">
        <v>303</v>
      </c>
      <c r="BH450" s="326"/>
      <c r="BI450" s="326"/>
      <c r="BJ450" s="327"/>
      <c r="BK450" s="647"/>
      <c r="BL450" s="326"/>
      <c r="BM450" s="327"/>
      <c r="BN450" s="71"/>
      <c r="BO450" s="71"/>
      <c r="BP450" s="646"/>
      <c r="BQ450" s="326"/>
      <c r="BR450" s="327"/>
      <c r="BS450" s="645" t="s">
        <v>303</v>
      </c>
      <c r="BT450" s="326"/>
      <c r="BU450" s="327"/>
    </row>
    <row r="451" spans="1:73" ht="30" customHeight="1" x14ac:dyDescent="0.25">
      <c r="A451" s="65">
        <f t="shared" si="1"/>
        <v>437</v>
      </c>
      <c r="B451" s="639" t="s">
        <v>334</v>
      </c>
      <c r="C451" s="327"/>
      <c r="D451" s="640" t="s">
        <v>303</v>
      </c>
      <c r="E451" s="326"/>
      <c r="F451" s="326"/>
      <c r="G451" s="327"/>
      <c r="H451" s="641" t="s">
        <v>303</v>
      </c>
      <c r="I451" s="326"/>
      <c r="J451" s="326"/>
      <c r="K451" s="327"/>
      <c r="L451" s="438" t="s">
        <v>303</v>
      </c>
      <c r="M451" s="326"/>
      <c r="N451" s="327"/>
      <c r="O451" s="519" t="s">
        <v>303</v>
      </c>
      <c r="P451" s="326"/>
      <c r="Q451" s="327"/>
      <c r="R451" s="527"/>
      <c r="S451" s="326"/>
      <c r="T451" s="327"/>
      <c r="U451" s="497"/>
      <c r="V451" s="326"/>
      <c r="W451" s="327"/>
      <c r="X451" s="66"/>
      <c r="Y451" s="67"/>
      <c r="Z451" s="66"/>
      <c r="AA451" s="67"/>
      <c r="AB451" s="66"/>
      <c r="AC451" s="67"/>
      <c r="AD451" s="66"/>
      <c r="AE451" s="67"/>
      <c r="AF451" s="66"/>
      <c r="AG451" s="67"/>
      <c r="AH451" s="66"/>
      <c r="AI451" s="67"/>
      <c r="AJ451" s="50"/>
      <c r="AK451" s="69"/>
      <c r="AL451" s="50"/>
      <c r="AM451" s="69"/>
      <c r="AN451" s="50"/>
      <c r="AO451" s="69"/>
      <c r="AP451" s="50"/>
      <c r="AQ451" s="69"/>
      <c r="AR451" s="50"/>
      <c r="AS451" s="642" t="s">
        <v>303</v>
      </c>
      <c r="AT451" s="326"/>
      <c r="AU451" s="326"/>
      <c r="AV451" s="326"/>
      <c r="AW451" s="326"/>
      <c r="AX451" s="326"/>
      <c r="AY451" s="327"/>
      <c r="AZ451" s="70"/>
      <c r="BA451" s="70"/>
      <c r="BB451" s="643" t="s">
        <v>334</v>
      </c>
      <c r="BC451" s="327"/>
      <c r="BD451" s="645" t="s">
        <v>303</v>
      </c>
      <c r="BE451" s="326"/>
      <c r="BF451" s="327"/>
      <c r="BG451" s="646" t="s">
        <v>303</v>
      </c>
      <c r="BH451" s="326"/>
      <c r="BI451" s="326"/>
      <c r="BJ451" s="327"/>
      <c r="BK451" s="647"/>
      <c r="BL451" s="326"/>
      <c r="BM451" s="327"/>
      <c r="BN451" s="71"/>
      <c r="BO451" s="71"/>
      <c r="BP451" s="646"/>
      <c r="BQ451" s="326"/>
      <c r="BR451" s="327"/>
      <c r="BS451" s="645" t="s">
        <v>303</v>
      </c>
      <c r="BT451" s="326"/>
      <c r="BU451" s="327"/>
    </row>
    <row r="452" spans="1:73" ht="30" customHeight="1" x14ac:dyDescent="0.25">
      <c r="A452" s="65">
        <f t="shared" si="1"/>
        <v>438</v>
      </c>
      <c r="B452" s="639" t="s">
        <v>334</v>
      </c>
      <c r="C452" s="327"/>
      <c r="D452" s="640" t="s">
        <v>303</v>
      </c>
      <c r="E452" s="326"/>
      <c r="F452" s="326"/>
      <c r="G452" s="327"/>
      <c r="H452" s="641" t="s">
        <v>303</v>
      </c>
      <c r="I452" s="326"/>
      <c r="J452" s="326"/>
      <c r="K452" s="327"/>
      <c r="L452" s="438" t="s">
        <v>303</v>
      </c>
      <c r="M452" s="326"/>
      <c r="N452" s="327"/>
      <c r="O452" s="519" t="s">
        <v>303</v>
      </c>
      <c r="P452" s="326"/>
      <c r="Q452" s="327"/>
      <c r="R452" s="527"/>
      <c r="S452" s="326"/>
      <c r="T452" s="327"/>
      <c r="U452" s="497"/>
      <c r="V452" s="326"/>
      <c r="W452" s="327"/>
      <c r="X452" s="66"/>
      <c r="Y452" s="67"/>
      <c r="Z452" s="66"/>
      <c r="AA452" s="67"/>
      <c r="AB452" s="66"/>
      <c r="AC452" s="67"/>
      <c r="AD452" s="66"/>
      <c r="AE452" s="67"/>
      <c r="AF452" s="66"/>
      <c r="AG452" s="67"/>
      <c r="AH452" s="66"/>
      <c r="AI452" s="67"/>
      <c r="AJ452" s="50"/>
      <c r="AK452" s="69"/>
      <c r="AL452" s="50"/>
      <c r="AM452" s="69"/>
      <c r="AN452" s="50"/>
      <c r="AO452" s="69"/>
      <c r="AP452" s="50"/>
      <c r="AQ452" s="69"/>
      <c r="AR452" s="50"/>
      <c r="AS452" s="642" t="s">
        <v>303</v>
      </c>
      <c r="AT452" s="326"/>
      <c r="AU452" s="326"/>
      <c r="AV452" s="326"/>
      <c r="AW452" s="326"/>
      <c r="AX452" s="326"/>
      <c r="AY452" s="327"/>
      <c r="AZ452" s="70"/>
      <c r="BA452" s="70"/>
      <c r="BB452" s="643" t="s">
        <v>334</v>
      </c>
      <c r="BC452" s="327"/>
      <c r="BD452" s="645" t="s">
        <v>303</v>
      </c>
      <c r="BE452" s="326"/>
      <c r="BF452" s="327"/>
      <c r="BG452" s="646" t="s">
        <v>303</v>
      </c>
      <c r="BH452" s="326"/>
      <c r="BI452" s="326"/>
      <c r="BJ452" s="327"/>
      <c r="BK452" s="647"/>
      <c r="BL452" s="326"/>
      <c r="BM452" s="327"/>
      <c r="BN452" s="71"/>
      <c r="BO452" s="71"/>
      <c r="BP452" s="646"/>
      <c r="BQ452" s="326"/>
      <c r="BR452" s="327"/>
      <c r="BS452" s="645" t="s">
        <v>303</v>
      </c>
      <c r="BT452" s="326"/>
      <c r="BU452" s="327"/>
    </row>
    <row r="453" spans="1:73" ht="30" customHeight="1" x14ac:dyDescent="0.25">
      <c r="A453" s="65">
        <f t="shared" si="1"/>
        <v>439</v>
      </c>
      <c r="B453" s="639" t="s">
        <v>334</v>
      </c>
      <c r="C453" s="327"/>
      <c r="D453" s="640" t="s">
        <v>303</v>
      </c>
      <c r="E453" s="326"/>
      <c r="F453" s="326"/>
      <c r="G453" s="327"/>
      <c r="H453" s="641" t="s">
        <v>303</v>
      </c>
      <c r="I453" s="326"/>
      <c r="J453" s="326"/>
      <c r="K453" s="327"/>
      <c r="L453" s="438" t="s">
        <v>303</v>
      </c>
      <c r="M453" s="326"/>
      <c r="N453" s="327"/>
      <c r="O453" s="519" t="s">
        <v>303</v>
      </c>
      <c r="P453" s="326"/>
      <c r="Q453" s="327"/>
      <c r="R453" s="527"/>
      <c r="S453" s="326"/>
      <c r="T453" s="327"/>
      <c r="U453" s="497"/>
      <c r="V453" s="326"/>
      <c r="W453" s="327"/>
      <c r="X453" s="66"/>
      <c r="Y453" s="67"/>
      <c r="Z453" s="66"/>
      <c r="AA453" s="67"/>
      <c r="AB453" s="66"/>
      <c r="AC453" s="67"/>
      <c r="AD453" s="66"/>
      <c r="AE453" s="67"/>
      <c r="AF453" s="66"/>
      <c r="AG453" s="67"/>
      <c r="AH453" s="66"/>
      <c r="AI453" s="67"/>
      <c r="AJ453" s="50"/>
      <c r="AK453" s="69"/>
      <c r="AL453" s="50"/>
      <c r="AM453" s="69"/>
      <c r="AN453" s="50"/>
      <c r="AO453" s="69"/>
      <c r="AP453" s="50"/>
      <c r="AQ453" s="69"/>
      <c r="AR453" s="50"/>
      <c r="AS453" s="642" t="s">
        <v>303</v>
      </c>
      <c r="AT453" s="326"/>
      <c r="AU453" s="326"/>
      <c r="AV453" s="326"/>
      <c r="AW453" s="326"/>
      <c r="AX453" s="326"/>
      <c r="AY453" s="327"/>
      <c r="AZ453" s="70"/>
      <c r="BA453" s="70"/>
      <c r="BB453" s="643" t="s">
        <v>334</v>
      </c>
      <c r="BC453" s="327"/>
      <c r="BD453" s="645" t="s">
        <v>303</v>
      </c>
      <c r="BE453" s="326"/>
      <c r="BF453" s="327"/>
      <c r="BG453" s="646" t="s">
        <v>303</v>
      </c>
      <c r="BH453" s="326"/>
      <c r="BI453" s="326"/>
      <c r="BJ453" s="327"/>
      <c r="BK453" s="647"/>
      <c r="BL453" s="326"/>
      <c r="BM453" s="327"/>
      <c r="BN453" s="71"/>
      <c r="BO453" s="71"/>
      <c r="BP453" s="646"/>
      <c r="BQ453" s="326"/>
      <c r="BR453" s="327"/>
      <c r="BS453" s="645" t="s">
        <v>303</v>
      </c>
      <c r="BT453" s="326"/>
      <c r="BU453" s="327"/>
    </row>
    <row r="454" spans="1:73" ht="30" customHeight="1" x14ac:dyDescent="0.25">
      <c r="A454" s="65">
        <f t="shared" si="1"/>
        <v>440</v>
      </c>
      <c r="B454" s="639" t="s">
        <v>334</v>
      </c>
      <c r="C454" s="327"/>
      <c r="D454" s="640" t="s">
        <v>303</v>
      </c>
      <c r="E454" s="326"/>
      <c r="F454" s="326"/>
      <c r="G454" s="327"/>
      <c r="H454" s="641" t="s">
        <v>303</v>
      </c>
      <c r="I454" s="326"/>
      <c r="J454" s="326"/>
      <c r="K454" s="327"/>
      <c r="L454" s="438" t="s">
        <v>303</v>
      </c>
      <c r="M454" s="326"/>
      <c r="N454" s="327"/>
      <c r="O454" s="519" t="s">
        <v>303</v>
      </c>
      <c r="P454" s="326"/>
      <c r="Q454" s="327"/>
      <c r="R454" s="527"/>
      <c r="S454" s="326"/>
      <c r="T454" s="327"/>
      <c r="U454" s="497"/>
      <c r="V454" s="326"/>
      <c r="W454" s="327"/>
      <c r="X454" s="66"/>
      <c r="Y454" s="67"/>
      <c r="Z454" s="66"/>
      <c r="AA454" s="67"/>
      <c r="AB454" s="66"/>
      <c r="AC454" s="67"/>
      <c r="AD454" s="66"/>
      <c r="AE454" s="67"/>
      <c r="AF454" s="66"/>
      <c r="AG454" s="67"/>
      <c r="AH454" s="66"/>
      <c r="AI454" s="67"/>
      <c r="AJ454" s="50"/>
      <c r="AK454" s="69"/>
      <c r="AL454" s="50"/>
      <c r="AM454" s="69"/>
      <c r="AN454" s="50"/>
      <c r="AO454" s="69"/>
      <c r="AP454" s="50"/>
      <c r="AQ454" s="69"/>
      <c r="AR454" s="50"/>
      <c r="AS454" s="642" t="s">
        <v>303</v>
      </c>
      <c r="AT454" s="326"/>
      <c r="AU454" s="326"/>
      <c r="AV454" s="326"/>
      <c r="AW454" s="326"/>
      <c r="AX454" s="326"/>
      <c r="AY454" s="327"/>
      <c r="AZ454" s="70"/>
      <c r="BA454" s="70"/>
      <c r="BB454" s="643" t="s">
        <v>334</v>
      </c>
      <c r="BC454" s="327"/>
      <c r="BD454" s="645" t="s">
        <v>303</v>
      </c>
      <c r="BE454" s="326"/>
      <c r="BF454" s="327"/>
      <c r="BG454" s="646" t="s">
        <v>303</v>
      </c>
      <c r="BH454" s="326"/>
      <c r="BI454" s="326"/>
      <c r="BJ454" s="327"/>
      <c r="BK454" s="647"/>
      <c r="BL454" s="326"/>
      <c r="BM454" s="327"/>
      <c r="BN454" s="71"/>
      <c r="BO454" s="71"/>
      <c r="BP454" s="646"/>
      <c r="BQ454" s="326"/>
      <c r="BR454" s="327"/>
      <c r="BS454" s="645" t="s">
        <v>303</v>
      </c>
      <c r="BT454" s="326"/>
      <c r="BU454" s="327"/>
    </row>
    <row r="455" spans="1:73" ht="30" customHeight="1" x14ac:dyDescent="0.25">
      <c r="A455" s="65">
        <f t="shared" si="1"/>
        <v>441</v>
      </c>
      <c r="B455" s="639" t="s">
        <v>334</v>
      </c>
      <c r="C455" s="327"/>
      <c r="D455" s="640" t="s">
        <v>303</v>
      </c>
      <c r="E455" s="326"/>
      <c r="F455" s="326"/>
      <c r="G455" s="327"/>
      <c r="H455" s="641" t="s">
        <v>303</v>
      </c>
      <c r="I455" s="326"/>
      <c r="J455" s="326"/>
      <c r="K455" s="327"/>
      <c r="L455" s="438" t="s">
        <v>303</v>
      </c>
      <c r="M455" s="326"/>
      <c r="N455" s="327"/>
      <c r="O455" s="519" t="s">
        <v>303</v>
      </c>
      <c r="P455" s="326"/>
      <c r="Q455" s="327"/>
      <c r="R455" s="527"/>
      <c r="S455" s="326"/>
      <c r="T455" s="327"/>
      <c r="U455" s="497"/>
      <c r="V455" s="326"/>
      <c r="W455" s="327"/>
      <c r="X455" s="66"/>
      <c r="Y455" s="67"/>
      <c r="Z455" s="66"/>
      <c r="AA455" s="67"/>
      <c r="AB455" s="66"/>
      <c r="AC455" s="67"/>
      <c r="AD455" s="66"/>
      <c r="AE455" s="67"/>
      <c r="AF455" s="66"/>
      <c r="AG455" s="67"/>
      <c r="AH455" s="66"/>
      <c r="AI455" s="67"/>
      <c r="AJ455" s="50"/>
      <c r="AK455" s="69"/>
      <c r="AL455" s="50"/>
      <c r="AM455" s="69"/>
      <c r="AN455" s="50"/>
      <c r="AO455" s="69"/>
      <c r="AP455" s="50"/>
      <c r="AQ455" s="69"/>
      <c r="AR455" s="50"/>
      <c r="AS455" s="642" t="s">
        <v>303</v>
      </c>
      <c r="AT455" s="326"/>
      <c r="AU455" s="326"/>
      <c r="AV455" s="326"/>
      <c r="AW455" s="326"/>
      <c r="AX455" s="326"/>
      <c r="AY455" s="327"/>
      <c r="AZ455" s="70"/>
      <c r="BA455" s="70"/>
      <c r="BB455" s="643" t="s">
        <v>334</v>
      </c>
      <c r="BC455" s="327"/>
      <c r="BD455" s="645" t="s">
        <v>303</v>
      </c>
      <c r="BE455" s="326"/>
      <c r="BF455" s="327"/>
      <c r="BG455" s="646" t="s">
        <v>303</v>
      </c>
      <c r="BH455" s="326"/>
      <c r="BI455" s="326"/>
      <c r="BJ455" s="327"/>
      <c r="BK455" s="647"/>
      <c r="BL455" s="326"/>
      <c r="BM455" s="327"/>
      <c r="BN455" s="71"/>
      <c r="BO455" s="71"/>
      <c r="BP455" s="646"/>
      <c r="BQ455" s="326"/>
      <c r="BR455" s="327"/>
      <c r="BS455" s="645" t="s">
        <v>303</v>
      </c>
      <c r="BT455" s="326"/>
      <c r="BU455" s="327"/>
    </row>
    <row r="456" spans="1:73" ht="30" customHeight="1" x14ac:dyDescent="0.25">
      <c r="A456" s="65">
        <f t="shared" si="1"/>
        <v>442</v>
      </c>
      <c r="B456" s="639" t="s">
        <v>334</v>
      </c>
      <c r="C456" s="327"/>
      <c r="D456" s="640" t="s">
        <v>303</v>
      </c>
      <c r="E456" s="326"/>
      <c r="F456" s="326"/>
      <c r="G456" s="327"/>
      <c r="H456" s="641" t="s">
        <v>303</v>
      </c>
      <c r="I456" s="326"/>
      <c r="J456" s="326"/>
      <c r="K456" s="327"/>
      <c r="L456" s="438" t="s">
        <v>303</v>
      </c>
      <c r="M456" s="326"/>
      <c r="N456" s="327"/>
      <c r="O456" s="519" t="s">
        <v>303</v>
      </c>
      <c r="P456" s="326"/>
      <c r="Q456" s="327"/>
      <c r="R456" s="527"/>
      <c r="S456" s="326"/>
      <c r="T456" s="327"/>
      <c r="U456" s="497"/>
      <c r="V456" s="326"/>
      <c r="W456" s="327"/>
      <c r="X456" s="66"/>
      <c r="Y456" s="67"/>
      <c r="Z456" s="66"/>
      <c r="AA456" s="67"/>
      <c r="AB456" s="66"/>
      <c r="AC456" s="67"/>
      <c r="AD456" s="66"/>
      <c r="AE456" s="67"/>
      <c r="AF456" s="66"/>
      <c r="AG456" s="67"/>
      <c r="AH456" s="66"/>
      <c r="AI456" s="67"/>
      <c r="AJ456" s="50"/>
      <c r="AK456" s="69"/>
      <c r="AL456" s="50"/>
      <c r="AM456" s="69"/>
      <c r="AN456" s="50"/>
      <c r="AO456" s="69"/>
      <c r="AP456" s="50"/>
      <c r="AQ456" s="69"/>
      <c r="AR456" s="50"/>
      <c r="AS456" s="642" t="s">
        <v>303</v>
      </c>
      <c r="AT456" s="326"/>
      <c r="AU456" s="326"/>
      <c r="AV456" s="326"/>
      <c r="AW456" s="326"/>
      <c r="AX456" s="326"/>
      <c r="AY456" s="327"/>
      <c r="AZ456" s="70"/>
      <c r="BA456" s="70"/>
      <c r="BB456" s="643" t="s">
        <v>334</v>
      </c>
      <c r="BC456" s="327"/>
      <c r="BD456" s="645" t="s">
        <v>303</v>
      </c>
      <c r="BE456" s="326"/>
      <c r="BF456" s="327"/>
      <c r="BG456" s="646" t="s">
        <v>303</v>
      </c>
      <c r="BH456" s="326"/>
      <c r="BI456" s="326"/>
      <c r="BJ456" s="327"/>
      <c r="BK456" s="647"/>
      <c r="BL456" s="326"/>
      <c r="BM456" s="327"/>
      <c r="BN456" s="71"/>
      <c r="BO456" s="71"/>
      <c r="BP456" s="646"/>
      <c r="BQ456" s="326"/>
      <c r="BR456" s="327"/>
      <c r="BS456" s="645" t="s">
        <v>303</v>
      </c>
      <c r="BT456" s="326"/>
      <c r="BU456" s="327"/>
    </row>
    <row r="457" spans="1:73" ht="30" customHeight="1" x14ac:dyDescent="0.25">
      <c r="A457" s="65">
        <f t="shared" si="1"/>
        <v>443</v>
      </c>
      <c r="B457" s="639" t="s">
        <v>334</v>
      </c>
      <c r="C457" s="327"/>
      <c r="D457" s="640" t="s">
        <v>303</v>
      </c>
      <c r="E457" s="326"/>
      <c r="F457" s="326"/>
      <c r="G457" s="327"/>
      <c r="H457" s="641" t="s">
        <v>303</v>
      </c>
      <c r="I457" s="326"/>
      <c r="J457" s="326"/>
      <c r="K457" s="327"/>
      <c r="L457" s="438" t="s">
        <v>303</v>
      </c>
      <c r="M457" s="326"/>
      <c r="N457" s="327"/>
      <c r="O457" s="519" t="s">
        <v>303</v>
      </c>
      <c r="P457" s="326"/>
      <c r="Q457" s="327"/>
      <c r="R457" s="527"/>
      <c r="S457" s="326"/>
      <c r="T457" s="327"/>
      <c r="U457" s="497"/>
      <c r="V457" s="326"/>
      <c r="W457" s="327"/>
      <c r="X457" s="66"/>
      <c r="Y457" s="67"/>
      <c r="Z457" s="66"/>
      <c r="AA457" s="67"/>
      <c r="AB457" s="66"/>
      <c r="AC457" s="67"/>
      <c r="AD457" s="66"/>
      <c r="AE457" s="67"/>
      <c r="AF457" s="66"/>
      <c r="AG457" s="67"/>
      <c r="AH457" s="66"/>
      <c r="AI457" s="67"/>
      <c r="AJ457" s="50"/>
      <c r="AK457" s="69"/>
      <c r="AL457" s="50"/>
      <c r="AM457" s="69"/>
      <c r="AN457" s="50"/>
      <c r="AO457" s="69"/>
      <c r="AP457" s="50"/>
      <c r="AQ457" s="69"/>
      <c r="AR457" s="50"/>
      <c r="AS457" s="642" t="s">
        <v>303</v>
      </c>
      <c r="AT457" s="326"/>
      <c r="AU457" s="326"/>
      <c r="AV457" s="326"/>
      <c r="AW457" s="326"/>
      <c r="AX457" s="326"/>
      <c r="AY457" s="327"/>
      <c r="AZ457" s="70"/>
      <c r="BA457" s="70"/>
      <c r="BB457" s="643" t="s">
        <v>334</v>
      </c>
      <c r="BC457" s="327"/>
      <c r="BD457" s="645" t="s">
        <v>303</v>
      </c>
      <c r="BE457" s="326"/>
      <c r="BF457" s="327"/>
      <c r="BG457" s="646" t="s">
        <v>303</v>
      </c>
      <c r="BH457" s="326"/>
      <c r="BI457" s="326"/>
      <c r="BJ457" s="327"/>
      <c r="BK457" s="647"/>
      <c r="BL457" s="326"/>
      <c r="BM457" s="327"/>
      <c r="BN457" s="71"/>
      <c r="BO457" s="71"/>
      <c r="BP457" s="646"/>
      <c r="BQ457" s="326"/>
      <c r="BR457" s="327"/>
      <c r="BS457" s="645" t="s">
        <v>303</v>
      </c>
      <c r="BT457" s="326"/>
      <c r="BU457" s="327"/>
    </row>
    <row r="458" spans="1:73" ht="30" customHeight="1" x14ac:dyDescent="0.25">
      <c r="A458" s="65">
        <f t="shared" si="1"/>
        <v>444</v>
      </c>
      <c r="B458" s="639" t="s">
        <v>334</v>
      </c>
      <c r="C458" s="327"/>
      <c r="D458" s="640" t="s">
        <v>303</v>
      </c>
      <c r="E458" s="326"/>
      <c r="F458" s="326"/>
      <c r="G458" s="327"/>
      <c r="H458" s="641" t="s">
        <v>303</v>
      </c>
      <c r="I458" s="326"/>
      <c r="J458" s="326"/>
      <c r="K458" s="327"/>
      <c r="L458" s="438" t="s">
        <v>303</v>
      </c>
      <c r="M458" s="326"/>
      <c r="N458" s="327"/>
      <c r="O458" s="519" t="s">
        <v>303</v>
      </c>
      <c r="P458" s="326"/>
      <c r="Q458" s="327"/>
      <c r="R458" s="527"/>
      <c r="S458" s="326"/>
      <c r="T458" s="327"/>
      <c r="U458" s="497"/>
      <c r="V458" s="326"/>
      <c r="W458" s="327"/>
      <c r="X458" s="66"/>
      <c r="Y458" s="67"/>
      <c r="Z458" s="66"/>
      <c r="AA458" s="67"/>
      <c r="AB458" s="66"/>
      <c r="AC458" s="67"/>
      <c r="AD458" s="66"/>
      <c r="AE458" s="67"/>
      <c r="AF458" s="66"/>
      <c r="AG458" s="67"/>
      <c r="AH458" s="66"/>
      <c r="AI458" s="67"/>
      <c r="AJ458" s="50"/>
      <c r="AK458" s="69"/>
      <c r="AL458" s="50"/>
      <c r="AM458" s="69"/>
      <c r="AN458" s="50"/>
      <c r="AO458" s="69"/>
      <c r="AP458" s="50"/>
      <c r="AQ458" s="69"/>
      <c r="AR458" s="50"/>
      <c r="AS458" s="642" t="s">
        <v>303</v>
      </c>
      <c r="AT458" s="326"/>
      <c r="AU458" s="326"/>
      <c r="AV458" s="326"/>
      <c r="AW458" s="326"/>
      <c r="AX458" s="326"/>
      <c r="AY458" s="327"/>
      <c r="AZ458" s="70"/>
      <c r="BA458" s="70"/>
      <c r="BB458" s="643" t="s">
        <v>334</v>
      </c>
      <c r="BC458" s="327"/>
      <c r="BD458" s="645" t="s">
        <v>303</v>
      </c>
      <c r="BE458" s="326"/>
      <c r="BF458" s="327"/>
      <c r="BG458" s="646" t="s">
        <v>303</v>
      </c>
      <c r="BH458" s="326"/>
      <c r="BI458" s="326"/>
      <c r="BJ458" s="327"/>
      <c r="BK458" s="647"/>
      <c r="BL458" s="326"/>
      <c r="BM458" s="327"/>
      <c r="BN458" s="71"/>
      <c r="BO458" s="71"/>
      <c r="BP458" s="646"/>
      <c r="BQ458" s="326"/>
      <c r="BR458" s="327"/>
      <c r="BS458" s="645" t="s">
        <v>303</v>
      </c>
      <c r="BT458" s="326"/>
      <c r="BU458" s="327"/>
    </row>
    <row r="459" spans="1:73" ht="30" customHeight="1" x14ac:dyDescent="0.25">
      <c r="A459" s="65">
        <f t="shared" si="1"/>
        <v>445</v>
      </c>
      <c r="B459" s="639" t="s">
        <v>334</v>
      </c>
      <c r="C459" s="327"/>
      <c r="D459" s="640" t="s">
        <v>303</v>
      </c>
      <c r="E459" s="326"/>
      <c r="F459" s="326"/>
      <c r="G459" s="327"/>
      <c r="H459" s="641" t="s">
        <v>303</v>
      </c>
      <c r="I459" s="326"/>
      <c r="J459" s="326"/>
      <c r="K459" s="327"/>
      <c r="L459" s="438" t="s">
        <v>303</v>
      </c>
      <c r="M459" s="326"/>
      <c r="N459" s="327"/>
      <c r="O459" s="519" t="s">
        <v>303</v>
      </c>
      <c r="P459" s="326"/>
      <c r="Q459" s="327"/>
      <c r="R459" s="527"/>
      <c r="S459" s="326"/>
      <c r="T459" s="327"/>
      <c r="U459" s="497"/>
      <c r="V459" s="326"/>
      <c r="W459" s="327"/>
      <c r="X459" s="66"/>
      <c r="Y459" s="67"/>
      <c r="Z459" s="66"/>
      <c r="AA459" s="67"/>
      <c r="AB459" s="66"/>
      <c r="AC459" s="67"/>
      <c r="AD459" s="66"/>
      <c r="AE459" s="67"/>
      <c r="AF459" s="66"/>
      <c r="AG459" s="67"/>
      <c r="AH459" s="66"/>
      <c r="AI459" s="67"/>
      <c r="AJ459" s="50"/>
      <c r="AK459" s="69"/>
      <c r="AL459" s="50"/>
      <c r="AM459" s="69"/>
      <c r="AN459" s="50"/>
      <c r="AO459" s="69"/>
      <c r="AP459" s="50"/>
      <c r="AQ459" s="69"/>
      <c r="AR459" s="50"/>
      <c r="AS459" s="642" t="s">
        <v>303</v>
      </c>
      <c r="AT459" s="326"/>
      <c r="AU459" s="326"/>
      <c r="AV459" s="326"/>
      <c r="AW459" s="326"/>
      <c r="AX459" s="326"/>
      <c r="AY459" s="327"/>
      <c r="AZ459" s="70"/>
      <c r="BA459" s="70"/>
      <c r="BB459" s="643" t="s">
        <v>334</v>
      </c>
      <c r="BC459" s="327"/>
      <c r="BD459" s="645" t="s">
        <v>303</v>
      </c>
      <c r="BE459" s="326"/>
      <c r="BF459" s="327"/>
      <c r="BG459" s="646" t="s">
        <v>303</v>
      </c>
      <c r="BH459" s="326"/>
      <c r="BI459" s="326"/>
      <c r="BJ459" s="327"/>
      <c r="BK459" s="647"/>
      <c r="BL459" s="326"/>
      <c r="BM459" s="327"/>
      <c r="BN459" s="71"/>
      <c r="BO459" s="71"/>
      <c r="BP459" s="646"/>
      <c r="BQ459" s="326"/>
      <c r="BR459" s="327"/>
      <c r="BS459" s="645" t="s">
        <v>303</v>
      </c>
      <c r="BT459" s="326"/>
      <c r="BU459" s="327"/>
    </row>
    <row r="460" spans="1:73" ht="30" customHeight="1" x14ac:dyDescent="0.25">
      <c r="A460" s="65">
        <f t="shared" si="1"/>
        <v>446</v>
      </c>
      <c r="B460" s="639" t="s">
        <v>334</v>
      </c>
      <c r="C460" s="327"/>
      <c r="D460" s="640" t="s">
        <v>303</v>
      </c>
      <c r="E460" s="326"/>
      <c r="F460" s="326"/>
      <c r="G460" s="327"/>
      <c r="H460" s="641" t="s">
        <v>303</v>
      </c>
      <c r="I460" s="326"/>
      <c r="J460" s="326"/>
      <c r="K460" s="327"/>
      <c r="L460" s="438" t="s">
        <v>303</v>
      </c>
      <c r="M460" s="326"/>
      <c r="N460" s="327"/>
      <c r="O460" s="519" t="s">
        <v>303</v>
      </c>
      <c r="P460" s="326"/>
      <c r="Q460" s="327"/>
      <c r="R460" s="527"/>
      <c r="S460" s="326"/>
      <c r="T460" s="327"/>
      <c r="U460" s="497"/>
      <c r="V460" s="326"/>
      <c r="W460" s="327"/>
      <c r="X460" s="66"/>
      <c r="Y460" s="67"/>
      <c r="Z460" s="66"/>
      <c r="AA460" s="67"/>
      <c r="AB460" s="66"/>
      <c r="AC460" s="67"/>
      <c r="AD460" s="66"/>
      <c r="AE460" s="67"/>
      <c r="AF460" s="66"/>
      <c r="AG460" s="67"/>
      <c r="AH460" s="66"/>
      <c r="AI460" s="67"/>
      <c r="AJ460" s="50"/>
      <c r="AK460" s="69"/>
      <c r="AL460" s="50"/>
      <c r="AM460" s="69"/>
      <c r="AN460" s="50"/>
      <c r="AO460" s="69"/>
      <c r="AP460" s="50"/>
      <c r="AQ460" s="69"/>
      <c r="AR460" s="50"/>
      <c r="AS460" s="642" t="s">
        <v>303</v>
      </c>
      <c r="AT460" s="326"/>
      <c r="AU460" s="326"/>
      <c r="AV460" s="326"/>
      <c r="AW460" s="326"/>
      <c r="AX460" s="326"/>
      <c r="AY460" s="327"/>
      <c r="AZ460" s="70"/>
      <c r="BA460" s="70"/>
      <c r="BB460" s="643" t="s">
        <v>334</v>
      </c>
      <c r="BC460" s="327"/>
      <c r="BD460" s="645" t="s">
        <v>303</v>
      </c>
      <c r="BE460" s="326"/>
      <c r="BF460" s="327"/>
      <c r="BG460" s="646" t="s">
        <v>303</v>
      </c>
      <c r="BH460" s="326"/>
      <c r="BI460" s="326"/>
      <c r="BJ460" s="327"/>
      <c r="BK460" s="647"/>
      <c r="BL460" s="326"/>
      <c r="BM460" s="327"/>
      <c r="BN460" s="71"/>
      <c r="BO460" s="71"/>
      <c r="BP460" s="646"/>
      <c r="BQ460" s="326"/>
      <c r="BR460" s="327"/>
      <c r="BS460" s="645" t="s">
        <v>303</v>
      </c>
      <c r="BT460" s="326"/>
      <c r="BU460" s="327"/>
    </row>
    <row r="461" spans="1:73" ht="30" customHeight="1" x14ac:dyDescent="0.25">
      <c r="A461" s="65">
        <f t="shared" si="1"/>
        <v>447</v>
      </c>
      <c r="B461" s="639" t="s">
        <v>334</v>
      </c>
      <c r="C461" s="327"/>
      <c r="D461" s="640" t="s">
        <v>303</v>
      </c>
      <c r="E461" s="326"/>
      <c r="F461" s="326"/>
      <c r="G461" s="327"/>
      <c r="H461" s="641" t="s">
        <v>303</v>
      </c>
      <c r="I461" s="326"/>
      <c r="J461" s="326"/>
      <c r="K461" s="327"/>
      <c r="L461" s="438" t="s">
        <v>303</v>
      </c>
      <c r="M461" s="326"/>
      <c r="N461" s="327"/>
      <c r="O461" s="519" t="s">
        <v>303</v>
      </c>
      <c r="P461" s="326"/>
      <c r="Q461" s="327"/>
      <c r="R461" s="527"/>
      <c r="S461" s="326"/>
      <c r="T461" s="327"/>
      <c r="U461" s="497"/>
      <c r="V461" s="326"/>
      <c r="W461" s="327"/>
      <c r="X461" s="66"/>
      <c r="Y461" s="67"/>
      <c r="Z461" s="66"/>
      <c r="AA461" s="67"/>
      <c r="AB461" s="66"/>
      <c r="AC461" s="67"/>
      <c r="AD461" s="66"/>
      <c r="AE461" s="67"/>
      <c r="AF461" s="66"/>
      <c r="AG461" s="67"/>
      <c r="AH461" s="66"/>
      <c r="AI461" s="67"/>
      <c r="AJ461" s="50"/>
      <c r="AK461" s="69"/>
      <c r="AL461" s="50"/>
      <c r="AM461" s="69"/>
      <c r="AN461" s="50"/>
      <c r="AO461" s="69"/>
      <c r="AP461" s="50"/>
      <c r="AQ461" s="69"/>
      <c r="AR461" s="50"/>
      <c r="AS461" s="642" t="s">
        <v>303</v>
      </c>
      <c r="AT461" s="326"/>
      <c r="AU461" s="326"/>
      <c r="AV461" s="326"/>
      <c r="AW461" s="326"/>
      <c r="AX461" s="326"/>
      <c r="AY461" s="327"/>
      <c r="AZ461" s="70"/>
      <c r="BA461" s="70"/>
      <c r="BB461" s="643" t="s">
        <v>334</v>
      </c>
      <c r="BC461" s="327"/>
      <c r="BD461" s="645" t="s">
        <v>303</v>
      </c>
      <c r="BE461" s="326"/>
      <c r="BF461" s="327"/>
      <c r="BG461" s="646" t="s">
        <v>303</v>
      </c>
      <c r="BH461" s="326"/>
      <c r="BI461" s="326"/>
      <c r="BJ461" s="327"/>
      <c r="BK461" s="647"/>
      <c r="BL461" s="326"/>
      <c r="BM461" s="327"/>
      <c r="BN461" s="71"/>
      <c r="BO461" s="71"/>
      <c r="BP461" s="646"/>
      <c r="BQ461" s="326"/>
      <c r="BR461" s="327"/>
      <c r="BS461" s="645" t="s">
        <v>303</v>
      </c>
      <c r="BT461" s="326"/>
      <c r="BU461" s="327"/>
    </row>
    <row r="462" spans="1:73" ht="30" customHeight="1" x14ac:dyDescent="0.25">
      <c r="A462" s="65">
        <f t="shared" si="1"/>
        <v>448</v>
      </c>
      <c r="B462" s="639" t="s">
        <v>334</v>
      </c>
      <c r="C462" s="327"/>
      <c r="D462" s="640" t="s">
        <v>303</v>
      </c>
      <c r="E462" s="326"/>
      <c r="F462" s="326"/>
      <c r="G462" s="327"/>
      <c r="H462" s="641" t="s">
        <v>303</v>
      </c>
      <c r="I462" s="326"/>
      <c r="J462" s="326"/>
      <c r="K462" s="327"/>
      <c r="L462" s="438" t="s">
        <v>303</v>
      </c>
      <c r="M462" s="326"/>
      <c r="N462" s="327"/>
      <c r="O462" s="519" t="s">
        <v>303</v>
      </c>
      <c r="P462" s="326"/>
      <c r="Q462" s="327"/>
      <c r="R462" s="527"/>
      <c r="S462" s="326"/>
      <c r="T462" s="327"/>
      <c r="U462" s="497"/>
      <c r="V462" s="326"/>
      <c r="W462" s="327"/>
      <c r="X462" s="66"/>
      <c r="Y462" s="67"/>
      <c r="Z462" s="66"/>
      <c r="AA462" s="67"/>
      <c r="AB462" s="66"/>
      <c r="AC462" s="67"/>
      <c r="AD462" s="66"/>
      <c r="AE462" s="67"/>
      <c r="AF462" s="66"/>
      <c r="AG462" s="67"/>
      <c r="AH462" s="66"/>
      <c r="AI462" s="67"/>
      <c r="AJ462" s="50"/>
      <c r="AK462" s="69"/>
      <c r="AL462" s="50"/>
      <c r="AM462" s="69"/>
      <c r="AN462" s="50"/>
      <c r="AO462" s="69"/>
      <c r="AP462" s="50"/>
      <c r="AQ462" s="69"/>
      <c r="AR462" s="50"/>
      <c r="AS462" s="642" t="s">
        <v>303</v>
      </c>
      <c r="AT462" s="326"/>
      <c r="AU462" s="326"/>
      <c r="AV462" s="326"/>
      <c r="AW462" s="326"/>
      <c r="AX462" s="326"/>
      <c r="AY462" s="327"/>
      <c r="AZ462" s="70"/>
      <c r="BA462" s="70"/>
      <c r="BB462" s="643" t="s">
        <v>334</v>
      </c>
      <c r="BC462" s="327"/>
      <c r="BD462" s="645" t="s">
        <v>303</v>
      </c>
      <c r="BE462" s="326"/>
      <c r="BF462" s="327"/>
      <c r="BG462" s="646" t="s">
        <v>303</v>
      </c>
      <c r="BH462" s="326"/>
      <c r="BI462" s="326"/>
      <c r="BJ462" s="327"/>
      <c r="BK462" s="647"/>
      <c r="BL462" s="326"/>
      <c r="BM462" s="327"/>
      <c r="BN462" s="71"/>
      <c r="BO462" s="71"/>
      <c r="BP462" s="646"/>
      <c r="BQ462" s="326"/>
      <c r="BR462" s="327"/>
      <c r="BS462" s="645" t="s">
        <v>303</v>
      </c>
      <c r="BT462" s="326"/>
      <c r="BU462" s="327"/>
    </row>
    <row r="463" spans="1:73" ht="30" customHeight="1" x14ac:dyDescent="0.25">
      <c r="A463" s="65">
        <f t="shared" si="1"/>
        <v>449</v>
      </c>
      <c r="B463" s="639" t="s">
        <v>334</v>
      </c>
      <c r="C463" s="327"/>
      <c r="D463" s="640" t="s">
        <v>303</v>
      </c>
      <c r="E463" s="326"/>
      <c r="F463" s="326"/>
      <c r="G463" s="327"/>
      <c r="H463" s="641" t="s">
        <v>303</v>
      </c>
      <c r="I463" s="326"/>
      <c r="J463" s="326"/>
      <c r="K463" s="327"/>
      <c r="L463" s="438" t="s">
        <v>303</v>
      </c>
      <c r="M463" s="326"/>
      <c r="N463" s="327"/>
      <c r="O463" s="519" t="s">
        <v>303</v>
      </c>
      <c r="P463" s="326"/>
      <c r="Q463" s="327"/>
      <c r="R463" s="527"/>
      <c r="S463" s="326"/>
      <c r="T463" s="327"/>
      <c r="U463" s="497"/>
      <c r="V463" s="326"/>
      <c r="W463" s="327"/>
      <c r="X463" s="66"/>
      <c r="Y463" s="67"/>
      <c r="Z463" s="66"/>
      <c r="AA463" s="67"/>
      <c r="AB463" s="66"/>
      <c r="AC463" s="67"/>
      <c r="AD463" s="66"/>
      <c r="AE463" s="67"/>
      <c r="AF463" s="66"/>
      <c r="AG463" s="67"/>
      <c r="AH463" s="66"/>
      <c r="AI463" s="67"/>
      <c r="AJ463" s="50"/>
      <c r="AK463" s="69"/>
      <c r="AL463" s="50"/>
      <c r="AM463" s="69"/>
      <c r="AN463" s="50"/>
      <c r="AO463" s="69"/>
      <c r="AP463" s="50"/>
      <c r="AQ463" s="69"/>
      <c r="AR463" s="50"/>
      <c r="AS463" s="642" t="s">
        <v>303</v>
      </c>
      <c r="AT463" s="326"/>
      <c r="AU463" s="326"/>
      <c r="AV463" s="326"/>
      <c r="AW463" s="326"/>
      <c r="AX463" s="326"/>
      <c r="AY463" s="327"/>
      <c r="AZ463" s="70"/>
      <c r="BA463" s="70"/>
      <c r="BB463" s="643" t="s">
        <v>334</v>
      </c>
      <c r="BC463" s="327"/>
      <c r="BD463" s="645" t="s">
        <v>303</v>
      </c>
      <c r="BE463" s="326"/>
      <c r="BF463" s="327"/>
      <c r="BG463" s="646" t="s">
        <v>303</v>
      </c>
      <c r="BH463" s="326"/>
      <c r="BI463" s="326"/>
      <c r="BJ463" s="327"/>
      <c r="BK463" s="647"/>
      <c r="BL463" s="326"/>
      <c r="BM463" s="327"/>
      <c r="BN463" s="71"/>
      <c r="BO463" s="71"/>
      <c r="BP463" s="646"/>
      <c r="BQ463" s="326"/>
      <c r="BR463" s="327"/>
      <c r="BS463" s="645" t="s">
        <v>303</v>
      </c>
      <c r="BT463" s="326"/>
      <c r="BU463" s="327"/>
    </row>
    <row r="464" spans="1:73" ht="30" customHeight="1" x14ac:dyDescent="0.25">
      <c r="A464" s="65">
        <f t="shared" si="1"/>
        <v>450</v>
      </c>
      <c r="B464" s="639" t="s">
        <v>334</v>
      </c>
      <c r="C464" s="327"/>
      <c r="D464" s="640" t="s">
        <v>303</v>
      </c>
      <c r="E464" s="326"/>
      <c r="F464" s="326"/>
      <c r="G464" s="327"/>
      <c r="H464" s="641" t="s">
        <v>303</v>
      </c>
      <c r="I464" s="326"/>
      <c r="J464" s="326"/>
      <c r="K464" s="327"/>
      <c r="L464" s="438" t="s">
        <v>303</v>
      </c>
      <c r="M464" s="326"/>
      <c r="N464" s="327"/>
      <c r="O464" s="519" t="s">
        <v>303</v>
      </c>
      <c r="P464" s="326"/>
      <c r="Q464" s="327"/>
      <c r="R464" s="527"/>
      <c r="S464" s="326"/>
      <c r="T464" s="327"/>
      <c r="U464" s="497"/>
      <c r="V464" s="326"/>
      <c r="W464" s="327"/>
      <c r="X464" s="66"/>
      <c r="Y464" s="67"/>
      <c r="Z464" s="66"/>
      <c r="AA464" s="67"/>
      <c r="AB464" s="66"/>
      <c r="AC464" s="67"/>
      <c r="AD464" s="66"/>
      <c r="AE464" s="67"/>
      <c r="AF464" s="66"/>
      <c r="AG464" s="67"/>
      <c r="AH464" s="66"/>
      <c r="AI464" s="67"/>
      <c r="AJ464" s="50"/>
      <c r="AK464" s="69"/>
      <c r="AL464" s="50"/>
      <c r="AM464" s="69"/>
      <c r="AN464" s="50"/>
      <c r="AO464" s="69"/>
      <c r="AP464" s="50"/>
      <c r="AQ464" s="69"/>
      <c r="AR464" s="50"/>
      <c r="AS464" s="642" t="s">
        <v>303</v>
      </c>
      <c r="AT464" s="326"/>
      <c r="AU464" s="326"/>
      <c r="AV464" s="326"/>
      <c r="AW464" s="326"/>
      <c r="AX464" s="326"/>
      <c r="AY464" s="327"/>
      <c r="AZ464" s="70"/>
      <c r="BA464" s="70"/>
      <c r="BB464" s="643" t="s">
        <v>334</v>
      </c>
      <c r="BC464" s="327"/>
      <c r="BD464" s="645" t="s">
        <v>303</v>
      </c>
      <c r="BE464" s="326"/>
      <c r="BF464" s="327"/>
      <c r="BG464" s="646" t="s">
        <v>303</v>
      </c>
      <c r="BH464" s="326"/>
      <c r="BI464" s="326"/>
      <c r="BJ464" s="327"/>
      <c r="BK464" s="647"/>
      <c r="BL464" s="326"/>
      <c r="BM464" s="327"/>
      <c r="BN464" s="71"/>
      <c r="BO464" s="71"/>
      <c r="BP464" s="646"/>
      <c r="BQ464" s="326"/>
      <c r="BR464" s="327"/>
      <c r="BS464" s="645" t="s">
        <v>303</v>
      </c>
      <c r="BT464" s="326"/>
      <c r="BU464" s="327"/>
    </row>
    <row r="465" spans="1:73" ht="30" customHeight="1" x14ac:dyDescent="0.25">
      <c r="A465" s="65">
        <f t="shared" si="1"/>
        <v>451</v>
      </c>
      <c r="B465" s="639" t="s">
        <v>334</v>
      </c>
      <c r="C465" s="327"/>
      <c r="D465" s="640" t="s">
        <v>303</v>
      </c>
      <c r="E465" s="326"/>
      <c r="F465" s="326"/>
      <c r="G465" s="327"/>
      <c r="H465" s="641" t="s">
        <v>303</v>
      </c>
      <c r="I465" s="326"/>
      <c r="J465" s="326"/>
      <c r="K465" s="327"/>
      <c r="L465" s="438" t="s">
        <v>303</v>
      </c>
      <c r="M465" s="326"/>
      <c r="N465" s="327"/>
      <c r="O465" s="519" t="s">
        <v>303</v>
      </c>
      <c r="P465" s="326"/>
      <c r="Q465" s="327"/>
      <c r="R465" s="527"/>
      <c r="S465" s="326"/>
      <c r="T465" s="327"/>
      <c r="U465" s="497"/>
      <c r="V465" s="326"/>
      <c r="W465" s="327"/>
      <c r="X465" s="66"/>
      <c r="Y465" s="67"/>
      <c r="Z465" s="66"/>
      <c r="AA465" s="67"/>
      <c r="AB465" s="66"/>
      <c r="AC465" s="67"/>
      <c r="AD465" s="66"/>
      <c r="AE465" s="67"/>
      <c r="AF465" s="66"/>
      <c r="AG465" s="67"/>
      <c r="AH465" s="66"/>
      <c r="AI465" s="67"/>
      <c r="AJ465" s="50"/>
      <c r="AK465" s="69"/>
      <c r="AL465" s="50"/>
      <c r="AM465" s="69"/>
      <c r="AN465" s="50"/>
      <c r="AO465" s="69"/>
      <c r="AP465" s="50"/>
      <c r="AQ465" s="69"/>
      <c r="AR465" s="50"/>
      <c r="AS465" s="642" t="s">
        <v>303</v>
      </c>
      <c r="AT465" s="326"/>
      <c r="AU465" s="326"/>
      <c r="AV465" s="326"/>
      <c r="AW465" s="326"/>
      <c r="AX465" s="326"/>
      <c r="AY465" s="327"/>
      <c r="AZ465" s="70"/>
      <c r="BA465" s="70"/>
      <c r="BB465" s="643" t="s">
        <v>334</v>
      </c>
      <c r="BC465" s="327"/>
      <c r="BD465" s="645" t="s">
        <v>303</v>
      </c>
      <c r="BE465" s="326"/>
      <c r="BF465" s="327"/>
      <c r="BG465" s="646" t="s">
        <v>303</v>
      </c>
      <c r="BH465" s="326"/>
      <c r="BI465" s="326"/>
      <c r="BJ465" s="327"/>
      <c r="BK465" s="647"/>
      <c r="BL465" s="326"/>
      <c r="BM465" s="327"/>
      <c r="BN465" s="71"/>
      <c r="BO465" s="71"/>
      <c r="BP465" s="646"/>
      <c r="BQ465" s="326"/>
      <c r="BR465" s="327"/>
      <c r="BS465" s="645" t="s">
        <v>303</v>
      </c>
      <c r="BT465" s="326"/>
      <c r="BU465" s="327"/>
    </row>
    <row r="466" spans="1:73" ht="30" customHeight="1" x14ac:dyDescent="0.25">
      <c r="A466" s="65">
        <f t="shared" si="1"/>
        <v>452</v>
      </c>
      <c r="B466" s="639" t="s">
        <v>334</v>
      </c>
      <c r="C466" s="327"/>
      <c r="D466" s="640" t="s">
        <v>303</v>
      </c>
      <c r="E466" s="326"/>
      <c r="F466" s="326"/>
      <c r="G466" s="327"/>
      <c r="H466" s="641" t="s">
        <v>303</v>
      </c>
      <c r="I466" s="326"/>
      <c r="J466" s="326"/>
      <c r="K466" s="327"/>
      <c r="L466" s="438" t="s">
        <v>303</v>
      </c>
      <c r="M466" s="326"/>
      <c r="N466" s="327"/>
      <c r="O466" s="519" t="s">
        <v>303</v>
      </c>
      <c r="P466" s="326"/>
      <c r="Q466" s="327"/>
      <c r="R466" s="527"/>
      <c r="S466" s="326"/>
      <c r="T466" s="327"/>
      <c r="U466" s="497"/>
      <c r="V466" s="326"/>
      <c r="W466" s="327"/>
      <c r="X466" s="66"/>
      <c r="Y466" s="67"/>
      <c r="Z466" s="66"/>
      <c r="AA466" s="67"/>
      <c r="AB466" s="66"/>
      <c r="AC466" s="67"/>
      <c r="AD466" s="66"/>
      <c r="AE466" s="67"/>
      <c r="AF466" s="66"/>
      <c r="AG466" s="67"/>
      <c r="AH466" s="66"/>
      <c r="AI466" s="67"/>
      <c r="AJ466" s="50"/>
      <c r="AK466" s="69"/>
      <c r="AL466" s="50"/>
      <c r="AM466" s="69"/>
      <c r="AN466" s="50"/>
      <c r="AO466" s="69"/>
      <c r="AP466" s="50"/>
      <c r="AQ466" s="69"/>
      <c r="AR466" s="50"/>
      <c r="AS466" s="642" t="s">
        <v>303</v>
      </c>
      <c r="AT466" s="326"/>
      <c r="AU466" s="326"/>
      <c r="AV466" s="326"/>
      <c r="AW466" s="326"/>
      <c r="AX466" s="326"/>
      <c r="AY466" s="327"/>
      <c r="AZ466" s="72"/>
      <c r="BA466" s="72"/>
      <c r="BB466" s="643" t="s">
        <v>334</v>
      </c>
      <c r="BC466" s="327"/>
      <c r="BD466" s="648" t="s">
        <v>303</v>
      </c>
      <c r="BE466" s="344"/>
      <c r="BF466" s="345"/>
      <c r="BG466" s="649" t="s">
        <v>303</v>
      </c>
      <c r="BH466" s="344"/>
      <c r="BI466" s="344"/>
      <c r="BJ466" s="345"/>
      <c r="BK466" s="650"/>
      <c r="BL466" s="344"/>
      <c r="BM466" s="345"/>
      <c r="BN466" s="73"/>
      <c r="BO466" s="73"/>
      <c r="BP466" s="649"/>
      <c r="BQ466" s="344"/>
      <c r="BR466" s="345"/>
      <c r="BS466" s="648" t="s">
        <v>303</v>
      </c>
      <c r="BT466" s="344"/>
      <c r="BU466" s="345"/>
    </row>
    <row r="467" spans="1:73" ht="30" customHeight="1" x14ac:dyDescent="0.25">
      <c r="A467" s="65">
        <f t="shared" si="1"/>
        <v>453</v>
      </c>
      <c r="B467" s="639" t="s">
        <v>334</v>
      </c>
      <c r="C467" s="327"/>
      <c r="D467" s="640" t="s">
        <v>303</v>
      </c>
      <c r="E467" s="326"/>
      <c r="F467" s="326"/>
      <c r="G467" s="327"/>
      <c r="H467" s="641" t="s">
        <v>303</v>
      </c>
      <c r="I467" s="326"/>
      <c r="J467" s="326"/>
      <c r="K467" s="327"/>
      <c r="L467" s="438" t="s">
        <v>303</v>
      </c>
      <c r="M467" s="326"/>
      <c r="N467" s="327"/>
      <c r="O467" s="519" t="s">
        <v>303</v>
      </c>
      <c r="P467" s="326"/>
      <c r="Q467" s="327"/>
      <c r="R467" s="527"/>
      <c r="S467" s="326"/>
      <c r="T467" s="327"/>
      <c r="U467" s="497"/>
      <c r="V467" s="326"/>
      <c r="W467" s="327"/>
      <c r="X467" s="66"/>
      <c r="Y467" s="67"/>
      <c r="Z467" s="66"/>
      <c r="AA467" s="67"/>
      <c r="AB467" s="66"/>
      <c r="AC467" s="67"/>
      <c r="AD467" s="66"/>
      <c r="AE467" s="67"/>
      <c r="AF467" s="66"/>
      <c r="AG467" s="67"/>
      <c r="AH467" s="66"/>
      <c r="AI467" s="67"/>
      <c r="AJ467" s="50"/>
      <c r="AK467" s="69"/>
      <c r="AL467" s="50"/>
      <c r="AM467" s="69"/>
      <c r="AN467" s="50"/>
      <c r="AO467" s="69"/>
      <c r="AP467" s="50"/>
      <c r="AQ467" s="69"/>
      <c r="AR467" s="50"/>
      <c r="AS467" s="642" t="s">
        <v>303</v>
      </c>
      <c r="AT467" s="326"/>
      <c r="AU467" s="326"/>
      <c r="AV467" s="326"/>
      <c r="AW467" s="326"/>
      <c r="AX467" s="326"/>
      <c r="AY467" s="327"/>
      <c r="AZ467" s="70"/>
      <c r="BA467" s="70"/>
      <c r="BB467" s="643" t="s">
        <v>334</v>
      </c>
      <c r="BC467" s="327"/>
      <c r="BD467" s="645" t="s">
        <v>303</v>
      </c>
      <c r="BE467" s="326"/>
      <c r="BF467" s="327"/>
      <c r="BG467" s="646" t="s">
        <v>303</v>
      </c>
      <c r="BH467" s="326"/>
      <c r="BI467" s="326"/>
      <c r="BJ467" s="327"/>
      <c r="BK467" s="647"/>
      <c r="BL467" s="326"/>
      <c r="BM467" s="327"/>
      <c r="BN467" s="71"/>
      <c r="BO467" s="71"/>
      <c r="BP467" s="646"/>
      <c r="BQ467" s="326"/>
      <c r="BR467" s="327"/>
      <c r="BS467" s="645" t="s">
        <v>303</v>
      </c>
      <c r="BT467" s="326"/>
      <c r="BU467" s="327"/>
    </row>
    <row r="468" spans="1:73" ht="30" customHeight="1" x14ac:dyDescent="0.25">
      <c r="A468" s="65">
        <f t="shared" si="1"/>
        <v>454</v>
      </c>
      <c r="B468" s="639" t="s">
        <v>334</v>
      </c>
      <c r="C468" s="327"/>
      <c r="D468" s="640" t="s">
        <v>303</v>
      </c>
      <c r="E468" s="326"/>
      <c r="F468" s="326"/>
      <c r="G468" s="327"/>
      <c r="H468" s="641" t="s">
        <v>303</v>
      </c>
      <c r="I468" s="326"/>
      <c r="J468" s="326"/>
      <c r="K468" s="327"/>
      <c r="L468" s="438" t="s">
        <v>303</v>
      </c>
      <c r="M468" s="326"/>
      <c r="N468" s="327"/>
      <c r="O468" s="519" t="s">
        <v>303</v>
      </c>
      <c r="P468" s="326"/>
      <c r="Q468" s="327"/>
      <c r="R468" s="527"/>
      <c r="S468" s="326"/>
      <c r="T468" s="327"/>
      <c r="U468" s="497"/>
      <c r="V468" s="326"/>
      <c r="W468" s="327"/>
      <c r="X468" s="66"/>
      <c r="Y468" s="67"/>
      <c r="Z468" s="66"/>
      <c r="AA468" s="67"/>
      <c r="AB468" s="66"/>
      <c r="AC468" s="67"/>
      <c r="AD468" s="66"/>
      <c r="AE468" s="67"/>
      <c r="AF468" s="66"/>
      <c r="AG468" s="67"/>
      <c r="AH468" s="66"/>
      <c r="AI468" s="67"/>
      <c r="AJ468" s="50"/>
      <c r="AK468" s="69"/>
      <c r="AL468" s="50"/>
      <c r="AM468" s="69"/>
      <c r="AN468" s="50"/>
      <c r="AO468" s="69"/>
      <c r="AP468" s="50"/>
      <c r="AQ468" s="69"/>
      <c r="AR468" s="50"/>
      <c r="AS468" s="642" t="s">
        <v>303</v>
      </c>
      <c r="AT468" s="326"/>
      <c r="AU468" s="326"/>
      <c r="AV468" s="326"/>
      <c r="AW468" s="326"/>
      <c r="AX468" s="326"/>
      <c r="AY468" s="327"/>
      <c r="AZ468" s="70"/>
      <c r="BA468" s="70"/>
      <c r="BB468" s="643" t="s">
        <v>334</v>
      </c>
      <c r="BC468" s="327"/>
      <c r="BD468" s="645" t="s">
        <v>303</v>
      </c>
      <c r="BE468" s="326"/>
      <c r="BF468" s="327"/>
      <c r="BG468" s="646" t="s">
        <v>303</v>
      </c>
      <c r="BH468" s="326"/>
      <c r="BI468" s="326"/>
      <c r="BJ468" s="327"/>
      <c r="BK468" s="647"/>
      <c r="BL468" s="326"/>
      <c r="BM468" s="327"/>
      <c r="BN468" s="71"/>
      <c r="BO468" s="71"/>
      <c r="BP468" s="646"/>
      <c r="BQ468" s="326"/>
      <c r="BR468" s="327"/>
      <c r="BS468" s="645" t="s">
        <v>303</v>
      </c>
      <c r="BT468" s="326"/>
      <c r="BU468" s="327"/>
    </row>
    <row r="469" spans="1:73" ht="30" customHeight="1" x14ac:dyDescent="0.25">
      <c r="A469" s="65">
        <f t="shared" si="1"/>
        <v>455</v>
      </c>
      <c r="B469" s="639" t="s">
        <v>334</v>
      </c>
      <c r="C469" s="327"/>
      <c r="D469" s="640" t="s">
        <v>303</v>
      </c>
      <c r="E469" s="326"/>
      <c r="F469" s="326"/>
      <c r="G469" s="327"/>
      <c r="H469" s="641" t="s">
        <v>303</v>
      </c>
      <c r="I469" s="326"/>
      <c r="J469" s="326"/>
      <c r="K469" s="327"/>
      <c r="L469" s="438" t="s">
        <v>303</v>
      </c>
      <c r="M469" s="326"/>
      <c r="N469" s="327"/>
      <c r="O469" s="519" t="s">
        <v>303</v>
      </c>
      <c r="P469" s="326"/>
      <c r="Q469" s="327"/>
      <c r="R469" s="527"/>
      <c r="S469" s="326"/>
      <c r="T469" s="327"/>
      <c r="U469" s="497"/>
      <c r="V469" s="326"/>
      <c r="W469" s="327"/>
      <c r="X469" s="66"/>
      <c r="Y469" s="67"/>
      <c r="Z469" s="66"/>
      <c r="AA469" s="67"/>
      <c r="AB469" s="66"/>
      <c r="AC469" s="67"/>
      <c r="AD469" s="66"/>
      <c r="AE469" s="67"/>
      <c r="AF469" s="66"/>
      <c r="AG469" s="67"/>
      <c r="AH469" s="66"/>
      <c r="AI469" s="67"/>
      <c r="AJ469" s="50"/>
      <c r="AK469" s="69"/>
      <c r="AL469" s="50"/>
      <c r="AM469" s="69"/>
      <c r="AN469" s="50"/>
      <c r="AO469" s="69"/>
      <c r="AP469" s="50"/>
      <c r="AQ469" s="69"/>
      <c r="AR469" s="50"/>
      <c r="AS469" s="642" t="s">
        <v>303</v>
      </c>
      <c r="AT469" s="326"/>
      <c r="AU469" s="326"/>
      <c r="AV469" s="326"/>
      <c r="AW469" s="326"/>
      <c r="AX469" s="326"/>
      <c r="AY469" s="327"/>
      <c r="AZ469" s="70"/>
      <c r="BA469" s="70"/>
      <c r="BB469" s="643" t="s">
        <v>334</v>
      </c>
      <c r="BC469" s="327"/>
      <c r="BD469" s="645" t="s">
        <v>303</v>
      </c>
      <c r="BE469" s="326"/>
      <c r="BF469" s="327"/>
      <c r="BG469" s="646" t="s">
        <v>303</v>
      </c>
      <c r="BH469" s="326"/>
      <c r="BI469" s="326"/>
      <c r="BJ469" s="327"/>
      <c r="BK469" s="647"/>
      <c r="BL469" s="326"/>
      <c r="BM469" s="327"/>
      <c r="BN469" s="71"/>
      <c r="BO469" s="71"/>
      <c r="BP469" s="646"/>
      <c r="BQ469" s="326"/>
      <c r="BR469" s="327"/>
      <c r="BS469" s="645" t="s">
        <v>303</v>
      </c>
      <c r="BT469" s="326"/>
      <c r="BU469" s="327"/>
    </row>
    <row r="470" spans="1:73" ht="30" customHeight="1" x14ac:dyDescent="0.25">
      <c r="A470" s="65">
        <f t="shared" si="1"/>
        <v>456</v>
      </c>
      <c r="B470" s="639" t="s">
        <v>334</v>
      </c>
      <c r="C470" s="327"/>
      <c r="D470" s="640" t="s">
        <v>303</v>
      </c>
      <c r="E470" s="326"/>
      <c r="F470" s="326"/>
      <c r="G470" s="327"/>
      <c r="H470" s="641" t="s">
        <v>303</v>
      </c>
      <c r="I470" s="326"/>
      <c r="J470" s="326"/>
      <c r="K470" s="327"/>
      <c r="L470" s="438" t="s">
        <v>303</v>
      </c>
      <c r="M470" s="326"/>
      <c r="N470" s="327"/>
      <c r="O470" s="519" t="s">
        <v>303</v>
      </c>
      <c r="P470" s="326"/>
      <c r="Q470" s="327"/>
      <c r="R470" s="527"/>
      <c r="S470" s="326"/>
      <c r="T470" s="327"/>
      <c r="U470" s="497"/>
      <c r="V470" s="326"/>
      <c r="W470" s="327"/>
      <c r="X470" s="66"/>
      <c r="Y470" s="67"/>
      <c r="Z470" s="66"/>
      <c r="AA470" s="67"/>
      <c r="AB470" s="66"/>
      <c r="AC470" s="67"/>
      <c r="AD470" s="66"/>
      <c r="AE470" s="67"/>
      <c r="AF470" s="66"/>
      <c r="AG470" s="67"/>
      <c r="AH470" s="66"/>
      <c r="AI470" s="67"/>
      <c r="AJ470" s="50"/>
      <c r="AK470" s="69"/>
      <c r="AL470" s="50"/>
      <c r="AM470" s="69"/>
      <c r="AN470" s="50"/>
      <c r="AO470" s="69"/>
      <c r="AP470" s="50"/>
      <c r="AQ470" s="69"/>
      <c r="AR470" s="50"/>
      <c r="AS470" s="642" t="s">
        <v>303</v>
      </c>
      <c r="AT470" s="326"/>
      <c r="AU470" s="326"/>
      <c r="AV470" s="326"/>
      <c r="AW470" s="326"/>
      <c r="AX470" s="326"/>
      <c r="AY470" s="327"/>
      <c r="AZ470" s="70"/>
      <c r="BA470" s="70"/>
      <c r="BB470" s="643" t="s">
        <v>334</v>
      </c>
      <c r="BC470" s="327"/>
      <c r="BD470" s="645" t="s">
        <v>303</v>
      </c>
      <c r="BE470" s="326"/>
      <c r="BF470" s="327"/>
      <c r="BG470" s="646" t="s">
        <v>303</v>
      </c>
      <c r="BH470" s="326"/>
      <c r="BI470" s="326"/>
      <c r="BJ470" s="327"/>
      <c r="BK470" s="647"/>
      <c r="BL470" s="326"/>
      <c r="BM470" s="327"/>
      <c r="BN470" s="71"/>
      <c r="BO470" s="71"/>
      <c r="BP470" s="646"/>
      <c r="BQ470" s="326"/>
      <c r="BR470" s="327"/>
      <c r="BS470" s="645" t="s">
        <v>303</v>
      </c>
      <c r="BT470" s="326"/>
      <c r="BU470" s="327"/>
    </row>
    <row r="471" spans="1:73" ht="30" customHeight="1" x14ac:dyDescent="0.25">
      <c r="A471" s="65">
        <f t="shared" si="1"/>
        <v>457</v>
      </c>
      <c r="B471" s="639" t="s">
        <v>334</v>
      </c>
      <c r="C471" s="327"/>
      <c r="D471" s="640" t="s">
        <v>303</v>
      </c>
      <c r="E471" s="326"/>
      <c r="F471" s="326"/>
      <c r="G471" s="327"/>
      <c r="H471" s="641" t="s">
        <v>303</v>
      </c>
      <c r="I471" s="326"/>
      <c r="J471" s="326"/>
      <c r="K471" s="327"/>
      <c r="L471" s="438" t="s">
        <v>303</v>
      </c>
      <c r="M471" s="326"/>
      <c r="N471" s="327"/>
      <c r="O471" s="519" t="s">
        <v>303</v>
      </c>
      <c r="P471" s="326"/>
      <c r="Q471" s="327"/>
      <c r="R471" s="527"/>
      <c r="S471" s="326"/>
      <c r="T471" s="327"/>
      <c r="U471" s="497"/>
      <c r="V471" s="326"/>
      <c r="W471" s="327"/>
      <c r="X471" s="66"/>
      <c r="Y471" s="67"/>
      <c r="Z471" s="66"/>
      <c r="AA471" s="67"/>
      <c r="AB471" s="66"/>
      <c r="AC471" s="67"/>
      <c r="AD471" s="66"/>
      <c r="AE471" s="67"/>
      <c r="AF471" s="66"/>
      <c r="AG471" s="67"/>
      <c r="AH471" s="66"/>
      <c r="AI471" s="67"/>
      <c r="AJ471" s="50"/>
      <c r="AK471" s="69"/>
      <c r="AL471" s="50"/>
      <c r="AM471" s="69"/>
      <c r="AN471" s="50"/>
      <c r="AO471" s="69"/>
      <c r="AP471" s="50"/>
      <c r="AQ471" s="69"/>
      <c r="AR471" s="50"/>
      <c r="AS471" s="642" t="s">
        <v>303</v>
      </c>
      <c r="AT471" s="326"/>
      <c r="AU471" s="326"/>
      <c r="AV471" s="326"/>
      <c r="AW471" s="326"/>
      <c r="AX471" s="326"/>
      <c r="AY471" s="327"/>
      <c r="AZ471" s="70"/>
      <c r="BA471" s="70"/>
      <c r="BB471" s="643" t="s">
        <v>334</v>
      </c>
      <c r="BC471" s="327"/>
      <c r="BD471" s="645" t="s">
        <v>303</v>
      </c>
      <c r="BE471" s="326"/>
      <c r="BF471" s="327"/>
      <c r="BG471" s="646" t="s">
        <v>303</v>
      </c>
      <c r="BH471" s="326"/>
      <c r="BI471" s="326"/>
      <c r="BJ471" s="327"/>
      <c r="BK471" s="647"/>
      <c r="BL471" s="326"/>
      <c r="BM471" s="327"/>
      <c r="BN471" s="71"/>
      <c r="BO471" s="71"/>
      <c r="BP471" s="646"/>
      <c r="BQ471" s="326"/>
      <c r="BR471" s="327"/>
      <c r="BS471" s="645" t="s">
        <v>303</v>
      </c>
      <c r="BT471" s="326"/>
      <c r="BU471" s="327"/>
    </row>
    <row r="472" spans="1:73" ht="30" customHeight="1" x14ac:dyDescent="0.25">
      <c r="A472" s="65">
        <f t="shared" si="1"/>
        <v>458</v>
      </c>
      <c r="B472" s="639" t="s">
        <v>334</v>
      </c>
      <c r="C472" s="327"/>
      <c r="D472" s="640" t="s">
        <v>303</v>
      </c>
      <c r="E472" s="326"/>
      <c r="F472" s="326"/>
      <c r="G472" s="327"/>
      <c r="H472" s="641" t="s">
        <v>303</v>
      </c>
      <c r="I472" s="326"/>
      <c r="J472" s="326"/>
      <c r="K472" s="327"/>
      <c r="L472" s="438" t="s">
        <v>303</v>
      </c>
      <c r="M472" s="326"/>
      <c r="N472" s="327"/>
      <c r="O472" s="519" t="s">
        <v>303</v>
      </c>
      <c r="P472" s="326"/>
      <c r="Q472" s="327"/>
      <c r="R472" s="527"/>
      <c r="S472" s="326"/>
      <c r="T472" s="327"/>
      <c r="U472" s="497"/>
      <c r="V472" s="326"/>
      <c r="W472" s="327"/>
      <c r="X472" s="66"/>
      <c r="Y472" s="67"/>
      <c r="Z472" s="66"/>
      <c r="AA472" s="67"/>
      <c r="AB472" s="66"/>
      <c r="AC472" s="67"/>
      <c r="AD472" s="66"/>
      <c r="AE472" s="67"/>
      <c r="AF472" s="66"/>
      <c r="AG472" s="67"/>
      <c r="AH472" s="66"/>
      <c r="AI472" s="67"/>
      <c r="AJ472" s="50"/>
      <c r="AK472" s="69"/>
      <c r="AL472" s="50"/>
      <c r="AM472" s="69"/>
      <c r="AN472" s="50"/>
      <c r="AO472" s="69"/>
      <c r="AP472" s="50"/>
      <c r="AQ472" s="69"/>
      <c r="AR472" s="50"/>
      <c r="AS472" s="642" t="s">
        <v>303</v>
      </c>
      <c r="AT472" s="326"/>
      <c r="AU472" s="326"/>
      <c r="AV472" s="326"/>
      <c r="AW472" s="326"/>
      <c r="AX472" s="326"/>
      <c r="AY472" s="327"/>
      <c r="AZ472" s="70"/>
      <c r="BA472" s="70"/>
      <c r="BB472" s="643" t="s">
        <v>334</v>
      </c>
      <c r="BC472" s="327"/>
      <c r="BD472" s="645" t="s">
        <v>303</v>
      </c>
      <c r="BE472" s="326"/>
      <c r="BF472" s="327"/>
      <c r="BG472" s="646" t="s">
        <v>303</v>
      </c>
      <c r="BH472" s="326"/>
      <c r="BI472" s="326"/>
      <c r="BJ472" s="327"/>
      <c r="BK472" s="647"/>
      <c r="BL472" s="326"/>
      <c r="BM472" s="327"/>
      <c r="BN472" s="71"/>
      <c r="BO472" s="71"/>
      <c r="BP472" s="646"/>
      <c r="BQ472" s="326"/>
      <c r="BR472" s="327"/>
      <c r="BS472" s="645" t="s">
        <v>303</v>
      </c>
      <c r="BT472" s="326"/>
      <c r="BU472" s="327"/>
    </row>
    <row r="473" spans="1:73" ht="30" customHeight="1" x14ac:dyDescent="0.25">
      <c r="A473" s="65">
        <f t="shared" si="1"/>
        <v>459</v>
      </c>
      <c r="B473" s="639" t="s">
        <v>334</v>
      </c>
      <c r="C473" s="327"/>
      <c r="D473" s="640" t="s">
        <v>303</v>
      </c>
      <c r="E473" s="326"/>
      <c r="F473" s="326"/>
      <c r="G473" s="327"/>
      <c r="H473" s="641" t="s">
        <v>303</v>
      </c>
      <c r="I473" s="326"/>
      <c r="J473" s="326"/>
      <c r="K473" s="327"/>
      <c r="L473" s="438" t="s">
        <v>303</v>
      </c>
      <c r="M473" s="326"/>
      <c r="N473" s="327"/>
      <c r="O473" s="519" t="s">
        <v>303</v>
      </c>
      <c r="P473" s="326"/>
      <c r="Q473" s="327"/>
      <c r="R473" s="527"/>
      <c r="S473" s="326"/>
      <c r="T473" s="327"/>
      <c r="U473" s="497"/>
      <c r="V473" s="326"/>
      <c r="W473" s="327"/>
      <c r="X473" s="66"/>
      <c r="Y473" s="67"/>
      <c r="Z473" s="66"/>
      <c r="AA473" s="67"/>
      <c r="AB473" s="66"/>
      <c r="AC473" s="67"/>
      <c r="AD473" s="66"/>
      <c r="AE473" s="67"/>
      <c r="AF473" s="66"/>
      <c r="AG473" s="67"/>
      <c r="AH473" s="66"/>
      <c r="AI473" s="67"/>
      <c r="AJ473" s="50"/>
      <c r="AK473" s="69"/>
      <c r="AL473" s="50"/>
      <c r="AM473" s="69"/>
      <c r="AN473" s="50"/>
      <c r="AO473" s="69"/>
      <c r="AP473" s="50"/>
      <c r="AQ473" s="69"/>
      <c r="AR473" s="50"/>
      <c r="AS473" s="642" t="s">
        <v>303</v>
      </c>
      <c r="AT473" s="326"/>
      <c r="AU473" s="326"/>
      <c r="AV473" s="326"/>
      <c r="AW473" s="326"/>
      <c r="AX473" s="326"/>
      <c r="AY473" s="327"/>
      <c r="AZ473" s="70"/>
      <c r="BA473" s="70"/>
      <c r="BB473" s="643" t="s">
        <v>334</v>
      </c>
      <c r="BC473" s="327"/>
      <c r="BD473" s="645" t="s">
        <v>303</v>
      </c>
      <c r="BE473" s="326"/>
      <c r="BF473" s="327"/>
      <c r="BG473" s="646" t="s">
        <v>303</v>
      </c>
      <c r="BH473" s="326"/>
      <c r="BI473" s="326"/>
      <c r="BJ473" s="327"/>
      <c r="BK473" s="647"/>
      <c r="BL473" s="326"/>
      <c r="BM473" s="327"/>
      <c r="BN473" s="71"/>
      <c r="BO473" s="71"/>
      <c r="BP473" s="646"/>
      <c r="BQ473" s="326"/>
      <c r="BR473" s="327"/>
      <c r="BS473" s="645" t="s">
        <v>303</v>
      </c>
      <c r="BT473" s="326"/>
      <c r="BU473" s="327"/>
    </row>
    <row r="474" spans="1:73" ht="30" customHeight="1" x14ac:dyDescent="0.25">
      <c r="A474" s="65">
        <f t="shared" si="1"/>
        <v>460</v>
      </c>
      <c r="B474" s="639" t="s">
        <v>334</v>
      </c>
      <c r="C474" s="327"/>
      <c r="D474" s="640" t="s">
        <v>303</v>
      </c>
      <c r="E474" s="326"/>
      <c r="F474" s="326"/>
      <c r="G474" s="327"/>
      <c r="H474" s="641" t="s">
        <v>303</v>
      </c>
      <c r="I474" s="326"/>
      <c r="J474" s="326"/>
      <c r="K474" s="327"/>
      <c r="L474" s="438" t="s">
        <v>303</v>
      </c>
      <c r="M474" s="326"/>
      <c r="N474" s="327"/>
      <c r="O474" s="519" t="s">
        <v>303</v>
      </c>
      <c r="P474" s="326"/>
      <c r="Q474" s="327"/>
      <c r="R474" s="527"/>
      <c r="S474" s="326"/>
      <c r="T474" s="327"/>
      <c r="U474" s="497"/>
      <c r="V474" s="326"/>
      <c r="W474" s="327"/>
      <c r="X474" s="66"/>
      <c r="Y474" s="67"/>
      <c r="Z474" s="66"/>
      <c r="AA474" s="67"/>
      <c r="AB474" s="66"/>
      <c r="AC474" s="67"/>
      <c r="AD474" s="66"/>
      <c r="AE474" s="67"/>
      <c r="AF474" s="66"/>
      <c r="AG474" s="67"/>
      <c r="AH474" s="66"/>
      <c r="AI474" s="67"/>
      <c r="AJ474" s="50"/>
      <c r="AK474" s="69"/>
      <c r="AL474" s="50"/>
      <c r="AM474" s="69"/>
      <c r="AN474" s="50"/>
      <c r="AO474" s="69"/>
      <c r="AP474" s="50"/>
      <c r="AQ474" s="69"/>
      <c r="AR474" s="50"/>
      <c r="AS474" s="642" t="s">
        <v>303</v>
      </c>
      <c r="AT474" s="326"/>
      <c r="AU474" s="326"/>
      <c r="AV474" s="326"/>
      <c r="AW474" s="326"/>
      <c r="AX474" s="326"/>
      <c r="AY474" s="327"/>
      <c r="AZ474" s="70"/>
      <c r="BA474" s="70"/>
      <c r="BB474" s="643" t="s">
        <v>334</v>
      </c>
      <c r="BC474" s="327"/>
      <c r="BD474" s="645" t="s">
        <v>303</v>
      </c>
      <c r="BE474" s="326"/>
      <c r="BF474" s="327"/>
      <c r="BG474" s="646" t="s">
        <v>303</v>
      </c>
      <c r="BH474" s="326"/>
      <c r="BI474" s="326"/>
      <c r="BJ474" s="327"/>
      <c r="BK474" s="647"/>
      <c r="BL474" s="326"/>
      <c r="BM474" s="327"/>
      <c r="BN474" s="71"/>
      <c r="BO474" s="71"/>
      <c r="BP474" s="646"/>
      <c r="BQ474" s="326"/>
      <c r="BR474" s="327"/>
      <c r="BS474" s="645" t="s">
        <v>303</v>
      </c>
      <c r="BT474" s="326"/>
      <c r="BU474" s="327"/>
    </row>
    <row r="475" spans="1:73" ht="30" customHeight="1" x14ac:dyDescent="0.25">
      <c r="A475" s="65">
        <f t="shared" si="1"/>
        <v>461</v>
      </c>
      <c r="B475" s="639" t="s">
        <v>334</v>
      </c>
      <c r="C475" s="327"/>
      <c r="D475" s="640" t="s">
        <v>303</v>
      </c>
      <c r="E475" s="326"/>
      <c r="F475" s="326"/>
      <c r="G475" s="327"/>
      <c r="H475" s="641" t="s">
        <v>303</v>
      </c>
      <c r="I475" s="326"/>
      <c r="J475" s="326"/>
      <c r="K475" s="327"/>
      <c r="L475" s="438" t="s">
        <v>303</v>
      </c>
      <c r="M475" s="326"/>
      <c r="N475" s="327"/>
      <c r="O475" s="519" t="s">
        <v>303</v>
      </c>
      <c r="P475" s="326"/>
      <c r="Q475" s="327"/>
      <c r="R475" s="527"/>
      <c r="S475" s="326"/>
      <c r="T475" s="327"/>
      <c r="U475" s="497"/>
      <c r="V475" s="326"/>
      <c r="W475" s="327"/>
      <c r="X475" s="66"/>
      <c r="Y475" s="67"/>
      <c r="Z475" s="66"/>
      <c r="AA475" s="67"/>
      <c r="AB475" s="66"/>
      <c r="AC475" s="67"/>
      <c r="AD475" s="66"/>
      <c r="AE475" s="67"/>
      <c r="AF475" s="66"/>
      <c r="AG475" s="67"/>
      <c r="AH475" s="66"/>
      <c r="AI475" s="67"/>
      <c r="AJ475" s="50"/>
      <c r="AK475" s="69"/>
      <c r="AL475" s="50"/>
      <c r="AM475" s="69"/>
      <c r="AN475" s="50"/>
      <c r="AO475" s="69"/>
      <c r="AP475" s="50"/>
      <c r="AQ475" s="69"/>
      <c r="AR475" s="50"/>
      <c r="AS475" s="642" t="s">
        <v>303</v>
      </c>
      <c r="AT475" s="326"/>
      <c r="AU475" s="326"/>
      <c r="AV475" s="326"/>
      <c r="AW475" s="326"/>
      <c r="AX475" s="326"/>
      <c r="AY475" s="327"/>
      <c r="AZ475" s="70"/>
      <c r="BA475" s="70"/>
      <c r="BB475" s="643" t="s">
        <v>334</v>
      </c>
      <c r="BC475" s="327"/>
      <c r="BD475" s="645" t="s">
        <v>303</v>
      </c>
      <c r="BE475" s="326"/>
      <c r="BF475" s="327"/>
      <c r="BG475" s="646" t="s">
        <v>303</v>
      </c>
      <c r="BH475" s="326"/>
      <c r="BI475" s="326"/>
      <c r="BJ475" s="327"/>
      <c r="BK475" s="647"/>
      <c r="BL475" s="326"/>
      <c r="BM475" s="327"/>
      <c r="BN475" s="71"/>
      <c r="BO475" s="71"/>
      <c r="BP475" s="646"/>
      <c r="BQ475" s="326"/>
      <c r="BR475" s="327"/>
      <c r="BS475" s="645" t="s">
        <v>303</v>
      </c>
      <c r="BT475" s="326"/>
      <c r="BU475" s="327"/>
    </row>
    <row r="476" spans="1:73" ht="30" customHeight="1" x14ac:dyDescent="0.25">
      <c r="A476" s="65">
        <f t="shared" si="1"/>
        <v>462</v>
      </c>
      <c r="B476" s="639" t="s">
        <v>334</v>
      </c>
      <c r="C476" s="327"/>
      <c r="D476" s="640" t="s">
        <v>303</v>
      </c>
      <c r="E476" s="326"/>
      <c r="F476" s="326"/>
      <c r="G476" s="327"/>
      <c r="H476" s="641" t="s">
        <v>303</v>
      </c>
      <c r="I476" s="326"/>
      <c r="J476" s="326"/>
      <c r="K476" s="327"/>
      <c r="L476" s="438" t="s">
        <v>303</v>
      </c>
      <c r="M476" s="326"/>
      <c r="N476" s="327"/>
      <c r="O476" s="519" t="s">
        <v>303</v>
      </c>
      <c r="P476" s="326"/>
      <c r="Q476" s="327"/>
      <c r="R476" s="527"/>
      <c r="S476" s="326"/>
      <c r="T476" s="327"/>
      <c r="U476" s="497"/>
      <c r="V476" s="326"/>
      <c r="W476" s="327"/>
      <c r="X476" s="66"/>
      <c r="Y476" s="67"/>
      <c r="Z476" s="66"/>
      <c r="AA476" s="67"/>
      <c r="AB476" s="66"/>
      <c r="AC476" s="67"/>
      <c r="AD476" s="66"/>
      <c r="AE476" s="67"/>
      <c r="AF476" s="66"/>
      <c r="AG476" s="67"/>
      <c r="AH476" s="66"/>
      <c r="AI476" s="67"/>
      <c r="AJ476" s="50"/>
      <c r="AK476" s="69"/>
      <c r="AL476" s="50"/>
      <c r="AM476" s="69"/>
      <c r="AN476" s="50"/>
      <c r="AO476" s="69"/>
      <c r="AP476" s="50"/>
      <c r="AQ476" s="69"/>
      <c r="AR476" s="50"/>
      <c r="AS476" s="642" t="s">
        <v>303</v>
      </c>
      <c r="AT476" s="326"/>
      <c r="AU476" s="326"/>
      <c r="AV476" s="326"/>
      <c r="AW476" s="326"/>
      <c r="AX476" s="326"/>
      <c r="AY476" s="327"/>
      <c r="AZ476" s="70"/>
      <c r="BA476" s="70"/>
      <c r="BB476" s="643" t="s">
        <v>334</v>
      </c>
      <c r="BC476" s="327"/>
      <c r="BD476" s="645" t="s">
        <v>303</v>
      </c>
      <c r="BE476" s="326"/>
      <c r="BF476" s="327"/>
      <c r="BG476" s="646" t="s">
        <v>303</v>
      </c>
      <c r="BH476" s="326"/>
      <c r="BI476" s="326"/>
      <c r="BJ476" s="327"/>
      <c r="BK476" s="647"/>
      <c r="BL476" s="326"/>
      <c r="BM476" s="327"/>
      <c r="BN476" s="71"/>
      <c r="BO476" s="71"/>
      <c r="BP476" s="646"/>
      <c r="BQ476" s="326"/>
      <c r="BR476" s="327"/>
      <c r="BS476" s="645" t="s">
        <v>303</v>
      </c>
      <c r="BT476" s="326"/>
      <c r="BU476" s="327"/>
    </row>
    <row r="477" spans="1:73" ht="30" customHeight="1" x14ac:dyDescent="0.25">
      <c r="A477" s="65">
        <f t="shared" si="1"/>
        <v>463</v>
      </c>
      <c r="B477" s="639" t="s">
        <v>334</v>
      </c>
      <c r="C477" s="327"/>
      <c r="D477" s="640" t="s">
        <v>303</v>
      </c>
      <c r="E477" s="326"/>
      <c r="F477" s="326"/>
      <c r="G477" s="327"/>
      <c r="H477" s="641" t="s">
        <v>303</v>
      </c>
      <c r="I477" s="326"/>
      <c r="J477" s="326"/>
      <c r="K477" s="327"/>
      <c r="L477" s="438" t="s">
        <v>303</v>
      </c>
      <c r="M477" s="326"/>
      <c r="N477" s="327"/>
      <c r="O477" s="519" t="s">
        <v>303</v>
      </c>
      <c r="P477" s="326"/>
      <c r="Q477" s="327"/>
      <c r="R477" s="527"/>
      <c r="S477" s="326"/>
      <c r="T477" s="327"/>
      <c r="U477" s="497"/>
      <c r="V477" s="326"/>
      <c r="W477" s="327"/>
      <c r="X477" s="66"/>
      <c r="Y477" s="67"/>
      <c r="Z477" s="66"/>
      <c r="AA477" s="67"/>
      <c r="AB477" s="66"/>
      <c r="AC477" s="67"/>
      <c r="AD477" s="66"/>
      <c r="AE477" s="67"/>
      <c r="AF477" s="66"/>
      <c r="AG477" s="67"/>
      <c r="AH477" s="66"/>
      <c r="AI477" s="67"/>
      <c r="AJ477" s="50"/>
      <c r="AK477" s="69"/>
      <c r="AL477" s="50"/>
      <c r="AM477" s="69"/>
      <c r="AN477" s="50"/>
      <c r="AO477" s="69"/>
      <c r="AP477" s="50"/>
      <c r="AQ477" s="69"/>
      <c r="AR477" s="50"/>
      <c r="AS477" s="642" t="s">
        <v>303</v>
      </c>
      <c r="AT477" s="326"/>
      <c r="AU477" s="326"/>
      <c r="AV477" s="326"/>
      <c r="AW477" s="326"/>
      <c r="AX477" s="326"/>
      <c r="AY477" s="327"/>
      <c r="AZ477" s="70"/>
      <c r="BA477" s="70"/>
      <c r="BB477" s="643" t="s">
        <v>334</v>
      </c>
      <c r="BC477" s="327"/>
      <c r="BD477" s="645" t="s">
        <v>303</v>
      </c>
      <c r="BE477" s="326"/>
      <c r="BF477" s="327"/>
      <c r="BG477" s="646" t="s">
        <v>303</v>
      </c>
      <c r="BH477" s="326"/>
      <c r="BI477" s="326"/>
      <c r="BJ477" s="327"/>
      <c r="BK477" s="647"/>
      <c r="BL477" s="326"/>
      <c r="BM477" s="327"/>
      <c r="BN477" s="71"/>
      <c r="BO477" s="71"/>
      <c r="BP477" s="646"/>
      <c r="BQ477" s="326"/>
      <c r="BR477" s="327"/>
      <c r="BS477" s="645" t="s">
        <v>303</v>
      </c>
      <c r="BT477" s="326"/>
      <c r="BU477" s="327"/>
    </row>
    <row r="478" spans="1:73" ht="30" customHeight="1" x14ac:dyDescent="0.25">
      <c r="A478" s="65">
        <f t="shared" si="1"/>
        <v>464</v>
      </c>
      <c r="B478" s="639" t="s">
        <v>334</v>
      </c>
      <c r="C478" s="327"/>
      <c r="D478" s="640" t="s">
        <v>303</v>
      </c>
      <c r="E478" s="326"/>
      <c r="F478" s="326"/>
      <c r="G478" s="327"/>
      <c r="H478" s="641" t="s">
        <v>303</v>
      </c>
      <c r="I478" s="326"/>
      <c r="J478" s="326"/>
      <c r="K478" s="327"/>
      <c r="L478" s="438" t="s">
        <v>303</v>
      </c>
      <c r="M478" s="326"/>
      <c r="N478" s="327"/>
      <c r="O478" s="519" t="s">
        <v>303</v>
      </c>
      <c r="P478" s="326"/>
      <c r="Q478" s="327"/>
      <c r="R478" s="527"/>
      <c r="S478" s="326"/>
      <c r="T478" s="327"/>
      <c r="U478" s="497"/>
      <c r="V478" s="326"/>
      <c r="W478" s="327"/>
      <c r="X478" s="66"/>
      <c r="Y478" s="67"/>
      <c r="Z478" s="66"/>
      <c r="AA478" s="67"/>
      <c r="AB478" s="66"/>
      <c r="AC478" s="67"/>
      <c r="AD478" s="66"/>
      <c r="AE478" s="67"/>
      <c r="AF478" s="66"/>
      <c r="AG478" s="67"/>
      <c r="AH478" s="66"/>
      <c r="AI478" s="67"/>
      <c r="AJ478" s="50"/>
      <c r="AK478" s="69"/>
      <c r="AL478" s="50"/>
      <c r="AM478" s="69"/>
      <c r="AN478" s="50"/>
      <c r="AO478" s="69"/>
      <c r="AP478" s="50"/>
      <c r="AQ478" s="69"/>
      <c r="AR478" s="50"/>
      <c r="AS478" s="642" t="s">
        <v>303</v>
      </c>
      <c r="AT478" s="326"/>
      <c r="AU478" s="326"/>
      <c r="AV478" s="326"/>
      <c r="AW478" s="326"/>
      <c r="AX478" s="326"/>
      <c r="AY478" s="327"/>
      <c r="AZ478" s="70"/>
      <c r="BA478" s="70"/>
      <c r="BB478" s="643" t="s">
        <v>334</v>
      </c>
      <c r="BC478" s="327"/>
      <c r="BD478" s="645" t="s">
        <v>303</v>
      </c>
      <c r="BE478" s="326"/>
      <c r="BF478" s="327"/>
      <c r="BG478" s="646" t="s">
        <v>303</v>
      </c>
      <c r="BH478" s="326"/>
      <c r="BI478" s="326"/>
      <c r="BJ478" s="327"/>
      <c r="BK478" s="647"/>
      <c r="BL478" s="326"/>
      <c r="BM478" s="327"/>
      <c r="BN478" s="71"/>
      <c r="BO478" s="71"/>
      <c r="BP478" s="646"/>
      <c r="BQ478" s="326"/>
      <c r="BR478" s="327"/>
      <c r="BS478" s="645" t="s">
        <v>303</v>
      </c>
      <c r="BT478" s="326"/>
      <c r="BU478" s="327"/>
    </row>
    <row r="479" spans="1:73" ht="30" customHeight="1" x14ac:dyDescent="0.25">
      <c r="A479" s="65">
        <f t="shared" si="1"/>
        <v>465</v>
      </c>
      <c r="B479" s="639" t="s">
        <v>334</v>
      </c>
      <c r="C479" s="327"/>
      <c r="D479" s="640" t="s">
        <v>303</v>
      </c>
      <c r="E479" s="326"/>
      <c r="F479" s="326"/>
      <c r="G479" s="327"/>
      <c r="H479" s="641" t="s">
        <v>303</v>
      </c>
      <c r="I479" s="326"/>
      <c r="J479" s="326"/>
      <c r="K479" s="327"/>
      <c r="L479" s="438" t="s">
        <v>303</v>
      </c>
      <c r="M479" s="326"/>
      <c r="N479" s="327"/>
      <c r="O479" s="519" t="s">
        <v>303</v>
      </c>
      <c r="P479" s="326"/>
      <c r="Q479" s="327"/>
      <c r="R479" s="527"/>
      <c r="S479" s="326"/>
      <c r="T479" s="327"/>
      <c r="U479" s="497"/>
      <c r="V479" s="326"/>
      <c r="W479" s="327"/>
      <c r="X479" s="66"/>
      <c r="Y479" s="67"/>
      <c r="Z479" s="66"/>
      <c r="AA479" s="67"/>
      <c r="AB479" s="66"/>
      <c r="AC479" s="67"/>
      <c r="AD479" s="66"/>
      <c r="AE479" s="67"/>
      <c r="AF479" s="66"/>
      <c r="AG479" s="67"/>
      <c r="AH479" s="66"/>
      <c r="AI479" s="67"/>
      <c r="AJ479" s="50"/>
      <c r="AK479" s="69"/>
      <c r="AL479" s="50"/>
      <c r="AM479" s="69"/>
      <c r="AN479" s="50"/>
      <c r="AO479" s="69"/>
      <c r="AP479" s="50"/>
      <c r="AQ479" s="69"/>
      <c r="AR479" s="50"/>
      <c r="AS479" s="642" t="s">
        <v>303</v>
      </c>
      <c r="AT479" s="326"/>
      <c r="AU479" s="326"/>
      <c r="AV479" s="326"/>
      <c r="AW479" s="326"/>
      <c r="AX479" s="326"/>
      <c r="AY479" s="327"/>
      <c r="AZ479" s="70"/>
      <c r="BA479" s="70"/>
      <c r="BB479" s="643" t="s">
        <v>334</v>
      </c>
      <c r="BC479" s="327"/>
      <c r="BD479" s="645" t="s">
        <v>303</v>
      </c>
      <c r="BE479" s="326"/>
      <c r="BF479" s="327"/>
      <c r="BG479" s="646" t="s">
        <v>303</v>
      </c>
      <c r="BH479" s="326"/>
      <c r="BI479" s="326"/>
      <c r="BJ479" s="327"/>
      <c r="BK479" s="647"/>
      <c r="BL479" s="326"/>
      <c r="BM479" s="327"/>
      <c r="BN479" s="71"/>
      <c r="BO479" s="71"/>
      <c r="BP479" s="646"/>
      <c r="BQ479" s="326"/>
      <c r="BR479" s="327"/>
      <c r="BS479" s="645" t="s">
        <v>303</v>
      </c>
      <c r="BT479" s="326"/>
      <c r="BU479" s="327"/>
    </row>
    <row r="480" spans="1:73" ht="30" customHeight="1" x14ac:dyDescent="0.25">
      <c r="A480" s="65">
        <f t="shared" si="1"/>
        <v>466</v>
      </c>
      <c r="B480" s="639" t="s">
        <v>334</v>
      </c>
      <c r="C480" s="327"/>
      <c r="D480" s="640" t="s">
        <v>303</v>
      </c>
      <c r="E480" s="326"/>
      <c r="F480" s="326"/>
      <c r="G480" s="327"/>
      <c r="H480" s="641" t="s">
        <v>303</v>
      </c>
      <c r="I480" s="326"/>
      <c r="J480" s="326"/>
      <c r="K480" s="327"/>
      <c r="L480" s="438" t="s">
        <v>303</v>
      </c>
      <c r="M480" s="326"/>
      <c r="N480" s="327"/>
      <c r="O480" s="519" t="s">
        <v>303</v>
      </c>
      <c r="P480" s="326"/>
      <c r="Q480" s="327"/>
      <c r="R480" s="527"/>
      <c r="S480" s="326"/>
      <c r="T480" s="327"/>
      <c r="U480" s="497"/>
      <c r="V480" s="326"/>
      <c r="W480" s="327"/>
      <c r="X480" s="66"/>
      <c r="Y480" s="67"/>
      <c r="Z480" s="66"/>
      <c r="AA480" s="67"/>
      <c r="AB480" s="66"/>
      <c r="AC480" s="67"/>
      <c r="AD480" s="66"/>
      <c r="AE480" s="67"/>
      <c r="AF480" s="66"/>
      <c r="AG480" s="67"/>
      <c r="AH480" s="66"/>
      <c r="AI480" s="67"/>
      <c r="AJ480" s="50"/>
      <c r="AK480" s="69"/>
      <c r="AL480" s="50"/>
      <c r="AM480" s="69"/>
      <c r="AN480" s="50"/>
      <c r="AO480" s="69"/>
      <c r="AP480" s="50"/>
      <c r="AQ480" s="69"/>
      <c r="AR480" s="50"/>
      <c r="AS480" s="642" t="s">
        <v>303</v>
      </c>
      <c r="AT480" s="326"/>
      <c r="AU480" s="326"/>
      <c r="AV480" s="326"/>
      <c r="AW480" s="326"/>
      <c r="AX480" s="326"/>
      <c r="AY480" s="327"/>
      <c r="AZ480" s="70"/>
      <c r="BA480" s="70"/>
      <c r="BB480" s="643" t="s">
        <v>334</v>
      </c>
      <c r="BC480" s="327"/>
      <c r="BD480" s="645" t="s">
        <v>303</v>
      </c>
      <c r="BE480" s="326"/>
      <c r="BF480" s="327"/>
      <c r="BG480" s="646" t="s">
        <v>303</v>
      </c>
      <c r="BH480" s="326"/>
      <c r="BI480" s="326"/>
      <c r="BJ480" s="327"/>
      <c r="BK480" s="647"/>
      <c r="BL480" s="326"/>
      <c r="BM480" s="327"/>
      <c r="BN480" s="71"/>
      <c r="BO480" s="71"/>
      <c r="BP480" s="646"/>
      <c r="BQ480" s="326"/>
      <c r="BR480" s="327"/>
      <c r="BS480" s="645" t="s">
        <v>303</v>
      </c>
      <c r="BT480" s="326"/>
      <c r="BU480" s="327"/>
    </row>
    <row r="481" spans="1:73" ht="30" customHeight="1" x14ac:dyDescent="0.25">
      <c r="A481" s="65">
        <f t="shared" si="1"/>
        <v>467</v>
      </c>
      <c r="B481" s="639" t="s">
        <v>334</v>
      </c>
      <c r="C481" s="327"/>
      <c r="D481" s="640" t="s">
        <v>303</v>
      </c>
      <c r="E481" s="326"/>
      <c r="F481" s="326"/>
      <c r="G481" s="327"/>
      <c r="H481" s="641" t="s">
        <v>303</v>
      </c>
      <c r="I481" s="326"/>
      <c r="J481" s="326"/>
      <c r="K481" s="327"/>
      <c r="L481" s="438" t="s">
        <v>303</v>
      </c>
      <c r="M481" s="326"/>
      <c r="N481" s="327"/>
      <c r="O481" s="519" t="s">
        <v>303</v>
      </c>
      <c r="P481" s="326"/>
      <c r="Q481" s="327"/>
      <c r="R481" s="527"/>
      <c r="S481" s="326"/>
      <c r="T481" s="327"/>
      <c r="U481" s="497"/>
      <c r="V481" s="326"/>
      <c r="W481" s="327"/>
      <c r="X481" s="66"/>
      <c r="Y481" s="67"/>
      <c r="Z481" s="66"/>
      <c r="AA481" s="67"/>
      <c r="AB481" s="66"/>
      <c r="AC481" s="67"/>
      <c r="AD481" s="66"/>
      <c r="AE481" s="67"/>
      <c r="AF481" s="66"/>
      <c r="AG481" s="67"/>
      <c r="AH481" s="66"/>
      <c r="AI481" s="67"/>
      <c r="AJ481" s="50"/>
      <c r="AK481" s="69"/>
      <c r="AL481" s="50"/>
      <c r="AM481" s="69"/>
      <c r="AN481" s="50"/>
      <c r="AO481" s="69"/>
      <c r="AP481" s="50"/>
      <c r="AQ481" s="69"/>
      <c r="AR481" s="50"/>
      <c r="AS481" s="642" t="s">
        <v>303</v>
      </c>
      <c r="AT481" s="326"/>
      <c r="AU481" s="326"/>
      <c r="AV481" s="326"/>
      <c r="AW481" s="326"/>
      <c r="AX481" s="326"/>
      <c r="AY481" s="327"/>
      <c r="AZ481" s="70"/>
      <c r="BA481" s="70"/>
      <c r="BB481" s="643" t="s">
        <v>334</v>
      </c>
      <c r="BC481" s="327"/>
      <c r="BD481" s="645" t="s">
        <v>303</v>
      </c>
      <c r="BE481" s="326"/>
      <c r="BF481" s="327"/>
      <c r="BG481" s="646" t="s">
        <v>303</v>
      </c>
      <c r="BH481" s="326"/>
      <c r="BI481" s="326"/>
      <c r="BJ481" s="327"/>
      <c r="BK481" s="647"/>
      <c r="BL481" s="326"/>
      <c r="BM481" s="327"/>
      <c r="BN481" s="71"/>
      <c r="BO481" s="71"/>
      <c r="BP481" s="646"/>
      <c r="BQ481" s="326"/>
      <c r="BR481" s="327"/>
      <c r="BS481" s="645" t="s">
        <v>303</v>
      </c>
      <c r="BT481" s="326"/>
      <c r="BU481" s="327"/>
    </row>
    <row r="482" spans="1:73" ht="30" customHeight="1" x14ac:dyDescent="0.25">
      <c r="A482" s="65">
        <f t="shared" si="1"/>
        <v>468</v>
      </c>
      <c r="B482" s="639" t="s">
        <v>334</v>
      </c>
      <c r="C482" s="327"/>
      <c r="D482" s="640" t="s">
        <v>303</v>
      </c>
      <c r="E482" s="326"/>
      <c r="F482" s="326"/>
      <c r="G482" s="327"/>
      <c r="H482" s="641" t="s">
        <v>303</v>
      </c>
      <c r="I482" s="326"/>
      <c r="J482" s="326"/>
      <c r="K482" s="327"/>
      <c r="L482" s="438" t="s">
        <v>303</v>
      </c>
      <c r="M482" s="326"/>
      <c r="N482" s="327"/>
      <c r="O482" s="519" t="s">
        <v>303</v>
      </c>
      <c r="P482" s="326"/>
      <c r="Q482" s="327"/>
      <c r="R482" s="527"/>
      <c r="S482" s="326"/>
      <c r="T482" s="327"/>
      <c r="U482" s="497"/>
      <c r="V482" s="326"/>
      <c r="W482" s="327"/>
      <c r="X482" s="66"/>
      <c r="Y482" s="67"/>
      <c r="Z482" s="66"/>
      <c r="AA482" s="67"/>
      <c r="AB482" s="66"/>
      <c r="AC482" s="67"/>
      <c r="AD482" s="66"/>
      <c r="AE482" s="67"/>
      <c r="AF482" s="66"/>
      <c r="AG482" s="67"/>
      <c r="AH482" s="66"/>
      <c r="AI482" s="67"/>
      <c r="AJ482" s="50"/>
      <c r="AK482" s="69"/>
      <c r="AL482" s="50"/>
      <c r="AM482" s="69"/>
      <c r="AN482" s="50"/>
      <c r="AO482" s="69"/>
      <c r="AP482" s="50"/>
      <c r="AQ482" s="69"/>
      <c r="AR482" s="50"/>
      <c r="AS482" s="642" t="s">
        <v>303</v>
      </c>
      <c r="AT482" s="326"/>
      <c r="AU482" s="326"/>
      <c r="AV482" s="326"/>
      <c r="AW482" s="326"/>
      <c r="AX482" s="326"/>
      <c r="AY482" s="327"/>
      <c r="AZ482" s="70"/>
      <c r="BA482" s="70"/>
      <c r="BB482" s="643" t="s">
        <v>334</v>
      </c>
      <c r="BC482" s="327"/>
      <c r="BD482" s="645" t="s">
        <v>303</v>
      </c>
      <c r="BE482" s="326"/>
      <c r="BF482" s="327"/>
      <c r="BG482" s="646" t="s">
        <v>303</v>
      </c>
      <c r="BH482" s="326"/>
      <c r="BI482" s="326"/>
      <c r="BJ482" s="327"/>
      <c r="BK482" s="647"/>
      <c r="BL482" s="326"/>
      <c r="BM482" s="327"/>
      <c r="BN482" s="71"/>
      <c r="BO482" s="71"/>
      <c r="BP482" s="646"/>
      <c r="BQ482" s="326"/>
      <c r="BR482" s="327"/>
      <c r="BS482" s="645" t="s">
        <v>303</v>
      </c>
      <c r="BT482" s="326"/>
      <c r="BU482" s="327"/>
    </row>
    <row r="483" spans="1:73" ht="30" customHeight="1" x14ac:dyDescent="0.25">
      <c r="A483" s="65">
        <f t="shared" si="1"/>
        <v>469</v>
      </c>
      <c r="B483" s="639" t="s">
        <v>334</v>
      </c>
      <c r="C483" s="327"/>
      <c r="D483" s="640" t="s">
        <v>303</v>
      </c>
      <c r="E483" s="326"/>
      <c r="F483" s="326"/>
      <c r="G483" s="327"/>
      <c r="H483" s="641" t="s">
        <v>303</v>
      </c>
      <c r="I483" s="326"/>
      <c r="J483" s="326"/>
      <c r="K483" s="327"/>
      <c r="L483" s="438" t="s">
        <v>303</v>
      </c>
      <c r="M483" s="326"/>
      <c r="N483" s="327"/>
      <c r="O483" s="519" t="s">
        <v>303</v>
      </c>
      <c r="P483" s="326"/>
      <c r="Q483" s="327"/>
      <c r="R483" s="527"/>
      <c r="S483" s="326"/>
      <c r="T483" s="327"/>
      <c r="U483" s="497"/>
      <c r="V483" s="326"/>
      <c r="W483" s="327"/>
      <c r="X483" s="66"/>
      <c r="Y483" s="67"/>
      <c r="Z483" s="66"/>
      <c r="AA483" s="67"/>
      <c r="AB483" s="66"/>
      <c r="AC483" s="67"/>
      <c r="AD483" s="66"/>
      <c r="AE483" s="67"/>
      <c r="AF483" s="66"/>
      <c r="AG483" s="67"/>
      <c r="AH483" s="66"/>
      <c r="AI483" s="67"/>
      <c r="AJ483" s="50"/>
      <c r="AK483" s="69"/>
      <c r="AL483" s="50"/>
      <c r="AM483" s="69"/>
      <c r="AN483" s="50"/>
      <c r="AO483" s="69"/>
      <c r="AP483" s="50"/>
      <c r="AQ483" s="69"/>
      <c r="AR483" s="50"/>
      <c r="AS483" s="642" t="s">
        <v>303</v>
      </c>
      <c r="AT483" s="326"/>
      <c r="AU483" s="326"/>
      <c r="AV483" s="326"/>
      <c r="AW483" s="326"/>
      <c r="AX483" s="326"/>
      <c r="AY483" s="327"/>
      <c r="AZ483" s="70"/>
      <c r="BA483" s="70"/>
      <c r="BB483" s="643" t="s">
        <v>334</v>
      </c>
      <c r="BC483" s="327"/>
      <c r="BD483" s="645" t="s">
        <v>303</v>
      </c>
      <c r="BE483" s="326"/>
      <c r="BF483" s="327"/>
      <c r="BG483" s="646" t="s">
        <v>303</v>
      </c>
      <c r="BH483" s="326"/>
      <c r="BI483" s="326"/>
      <c r="BJ483" s="327"/>
      <c r="BK483" s="647"/>
      <c r="BL483" s="326"/>
      <c r="BM483" s="327"/>
      <c r="BN483" s="71"/>
      <c r="BO483" s="71"/>
      <c r="BP483" s="646"/>
      <c r="BQ483" s="326"/>
      <c r="BR483" s="327"/>
      <c r="BS483" s="645" t="s">
        <v>303</v>
      </c>
      <c r="BT483" s="326"/>
      <c r="BU483" s="327"/>
    </row>
    <row r="484" spans="1:73" ht="30" customHeight="1" x14ac:dyDescent="0.25">
      <c r="A484" s="65">
        <f t="shared" si="1"/>
        <v>470</v>
      </c>
      <c r="B484" s="639" t="s">
        <v>334</v>
      </c>
      <c r="C484" s="327"/>
      <c r="D484" s="640" t="s">
        <v>303</v>
      </c>
      <c r="E484" s="326"/>
      <c r="F484" s="326"/>
      <c r="G484" s="327"/>
      <c r="H484" s="641" t="s">
        <v>303</v>
      </c>
      <c r="I484" s="326"/>
      <c r="J484" s="326"/>
      <c r="K484" s="327"/>
      <c r="L484" s="438" t="s">
        <v>303</v>
      </c>
      <c r="M484" s="326"/>
      <c r="N484" s="327"/>
      <c r="O484" s="519" t="s">
        <v>303</v>
      </c>
      <c r="P484" s="326"/>
      <c r="Q484" s="327"/>
      <c r="R484" s="527"/>
      <c r="S484" s="326"/>
      <c r="T484" s="327"/>
      <c r="U484" s="497"/>
      <c r="V484" s="326"/>
      <c r="W484" s="327"/>
      <c r="X484" s="66"/>
      <c r="Y484" s="67"/>
      <c r="Z484" s="66"/>
      <c r="AA484" s="67"/>
      <c r="AB484" s="66"/>
      <c r="AC484" s="67"/>
      <c r="AD484" s="66"/>
      <c r="AE484" s="67"/>
      <c r="AF484" s="66"/>
      <c r="AG484" s="67"/>
      <c r="AH484" s="66"/>
      <c r="AI484" s="67"/>
      <c r="AJ484" s="50"/>
      <c r="AK484" s="69"/>
      <c r="AL484" s="50"/>
      <c r="AM484" s="69"/>
      <c r="AN484" s="50"/>
      <c r="AO484" s="69"/>
      <c r="AP484" s="50"/>
      <c r="AQ484" s="69"/>
      <c r="AR484" s="50"/>
      <c r="AS484" s="642" t="s">
        <v>303</v>
      </c>
      <c r="AT484" s="326"/>
      <c r="AU484" s="326"/>
      <c r="AV484" s="326"/>
      <c r="AW484" s="326"/>
      <c r="AX484" s="326"/>
      <c r="AY484" s="327"/>
      <c r="AZ484" s="70"/>
      <c r="BA484" s="70"/>
      <c r="BB484" s="643" t="s">
        <v>334</v>
      </c>
      <c r="BC484" s="327"/>
      <c r="BD484" s="645" t="s">
        <v>303</v>
      </c>
      <c r="BE484" s="326"/>
      <c r="BF484" s="327"/>
      <c r="BG484" s="646" t="s">
        <v>303</v>
      </c>
      <c r="BH484" s="326"/>
      <c r="BI484" s="326"/>
      <c r="BJ484" s="327"/>
      <c r="BK484" s="647"/>
      <c r="BL484" s="326"/>
      <c r="BM484" s="327"/>
      <c r="BN484" s="71"/>
      <c r="BO484" s="71"/>
      <c r="BP484" s="646"/>
      <c r="BQ484" s="326"/>
      <c r="BR484" s="327"/>
      <c r="BS484" s="645" t="s">
        <v>303</v>
      </c>
      <c r="BT484" s="326"/>
      <c r="BU484" s="327"/>
    </row>
    <row r="485" spans="1:73" ht="30" customHeight="1" x14ac:dyDescent="0.25">
      <c r="A485" s="65">
        <f t="shared" si="1"/>
        <v>471</v>
      </c>
      <c r="B485" s="639" t="s">
        <v>334</v>
      </c>
      <c r="C485" s="327"/>
      <c r="D485" s="640" t="s">
        <v>303</v>
      </c>
      <c r="E485" s="326"/>
      <c r="F485" s="326"/>
      <c r="G485" s="327"/>
      <c r="H485" s="641" t="s">
        <v>303</v>
      </c>
      <c r="I485" s="326"/>
      <c r="J485" s="326"/>
      <c r="K485" s="327"/>
      <c r="L485" s="438" t="s">
        <v>303</v>
      </c>
      <c r="M485" s="326"/>
      <c r="N485" s="327"/>
      <c r="O485" s="519" t="s">
        <v>303</v>
      </c>
      <c r="P485" s="326"/>
      <c r="Q485" s="327"/>
      <c r="R485" s="527"/>
      <c r="S485" s="326"/>
      <c r="T485" s="327"/>
      <c r="U485" s="497"/>
      <c r="V485" s="326"/>
      <c r="W485" s="327"/>
      <c r="X485" s="66"/>
      <c r="Y485" s="67"/>
      <c r="Z485" s="66"/>
      <c r="AA485" s="67"/>
      <c r="AB485" s="66"/>
      <c r="AC485" s="67"/>
      <c r="AD485" s="66"/>
      <c r="AE485" s="67"/>
      <c r="AF485" s="66"/>
      <c r="AG485" s="67"/>
      <c r="AH485" s="66"/>
      <c r="AI485" s="67"/>
      <c r="AJ485" s="50"/>
      <c r="AK485" s="69"/>
      <c r="AL485" s="50"/>
      <c r="AM485" s="69"/>
      <c r="AN485" s="50"/>
      <c r="AO485" s="69"/>
      <c r="AP485" s="50"/>
      <c r="AQ485" s="69"/>
      <c r="AR485" s="50"/>
      <c r="AS485" s="642" t="s">
        <v>303</v>
      </c>
      <c r="AT485" s="326"/>
      <c r="AU485" s="326"/>
      <c r="AV485" s="326"/>
      <c r="AW485" s="326"/>
      <c r="AX485" s="326"/>
      <c r="AY485" s="327"/>
      <c r="AZ485" s="70"/>
      <c r="BA485" s="70"/>
      <c r="BB485" s="643" t="s">
        <v>334</v>
      </c>
      <c r="BC485" s="327"/>
      <c r="BD485" s="645" t="s">
        <v>303</v>
      </c>
      <c r="BE485" s="326"/>
      <c r="BF485" s="327"/>
      <c r="BG485" s="646" t="s">
        <v>303</v>
      </c>
      <c r="BH485" s="326"/>
      <c r="BI485" s="326"/>
      <c r="BJ485" s="327"/>
      <c r="BK485" s="647"/>
      <c r="BL485" s="326"/>
      <c r="BM485" s="327"/>
      <c r="BN485" s="71"/>
      <c r="BO485" s="71"/>
      <c r="BP485" s="646"/>
      <c r="BQ485" s="326"/>
      <c r="BR485" s="327"/>
      <c r="BS485" s="645" t="s">
        <v>303</v>
      </c>
      <c r="BT485" s="326"/>
      <c r="BU485" s="327"/>
    </row>
    <row r="486" spans="1:73" ht="30" customHeight="1" x14ac:dyDescent="0.25">
      <c r="A486" s="65">
        <f t="shared" si="1"/>
        <v>472</v>
      </c>
      <c r="B486" s="639" t="s">
        <v>334</v>
      </c>
      <c r="C486" s="327"/>
      <c r="D486" s="640" t="s">
        <v>303</v>
      </c>
      <c r="E486" s="326"/>
      <c r="F486" s="326"/>
      <c r="G486" s="327"/>
      <c r="H486" s="641" t="s">
        <v>303</v>
      </c>
      <c r="I486" s="326"/>
      <c r="J486" s="326"/>
      <c r="K486" s="327"/>
      <c r="L486" s="438" t="s">
        <v>303</v>
      </c>
      <c r="M486" s="326"/>
      <c r="N486" s="327"/>
      <c r="O486" s="519" t="s">
        <v>303</v>
      </c>
      <c r="P486" s="326"/>
      <c r="Q486" s="327"/>
      <c r="R486" s="527"/>
      <c r="S486" s="326"/>
      <c r="T486" s="327"/>
      <c r="U486" s="497"/>
      <c r="V486" s="326"/>
      <c r="W486" s="327"/>
      <c r="X486" s="66"/>
      <c r="Y486" s="67"/>
      <c r="Z486" s="66"/>
      <c r="AA486" s="67"/>
      <c r="AB486" s="66"/>
      <c r="AC486" s="67"/>
      <c r="AD486" s="66"/>
      <c r="AE486" s="67"/>
      <c r="AF486" s="66"/>
      <c r="AG486" s="67"/>
      <c r="AH486" s="66"/>
      <c r="AI486" s="67"/>
      <c r="AJ486" s="50"/>
      <c r="AK486" s="69"/>
      <c r="AL486" s="50"/>
      <c r="AM486" s="69"/>
      <c r="AN486" s="50"/>
      <c r="AO486" s="69"/>
      <c r="AP486" s="50"/>
      <c r="AQ486" s="69"/>
      <c r="AR486" s="50"/>
      <c r="AS486" s="642" t="s">
        <v>303</v>
      </c>
      <c r="AT486" s="326"/>
      <c r="AU486" s="326"/>
      <c r="AV486" s="326"/>
      <c r="AW486" s="326"/>
      <c r="AX486" s="326"/>
      <c r="AY486" s="327"/>
      <c r="AZ486" s="70"/>
      <c r="BA486" s="70"/>
      <c r="BB486" s="643" t="s">
        <v>334</v>
      </c>
      <c r="BC486" s="327"/>
      <c r="BD486" s="645" t="s">
        <v>303</v>
      </c>
      <c r="BE486" s="326"/>
      <c r="BF486" s="327"/>
      <c r="BG486" s="646" t="s">
        <v>303</v>
      </c>
      <c r="BH486" s="326"/>
      <c r="BI486" s="326"/>
      <c r="BJ486" s="327"/>
      <c r="BK486" s="647"/>
      <c r="BL486" s="326"/>
      <c r="BM486" s="327"/>
      <c r="BN486" s="71"/>
      <c r="BO486" s="71"/>
      <c r="BP486" s="646"/>
      <c r="BQ486" s="326"/>
      <c r="BR486" s="327"/>
      <c r="BS486" s="645" t="s">
        <v>303</v>
      </c>
      <c r="BT486" s="326"/>
      <c r="BU486" s="327"/>
    </row>
    <row r="487" spans="1:73" ht="30" customHeight="1" x14ac:dyDescent="0.25">
      <c r="A487" s="65">
        <f t="shared" si="1"/>
        <v>473</v>
      </c>
      <c r="B487" s="639" t="s">
        <v>334</v>
      </c>
      <c r="C487" s="327"/>
      <c r="D487" s="640" t="s">
        <v>303</v>
      </c>
      <c r="E487" s="326"/>
      <c r="F487" s="326"/>
      <c r="G487" s="327"/>
      <c r="H487" s="641" t="s">
        <v>303</v>
      </c>
      <c r="I487" s="326"/>
      <c r="J487" s="326"/>
      <c r="K487" s="327"/>
      <c r="L487" s="438" t="s">
        <v>303</v>
      </c>
      <c r="M487" s="326"/>
      <c r="N487" s="327"/>
      <c r="O487" s="519" t="s">
        <v>303</v>
      </c>
      <c r="P487" s="326"/>
      <c r="Q487" s="327"/>
      <c r="R487" s="527"/>
      <c r="S487" s="326"/>
      <c r="T487" s="327"/>
      <c r="U487" s="497"/>
      <c r="V487" s="326"/>
      <c r="W487" s="327"/>
      <c r="X487" s="66"/>
      <c r="Y487" s="67"/>
      <c r="Z487" s="66"/>
      <c r="AA487" s="67"/>
      <c r="AB487" s="66"/>
      <c r="AC487" s="67"/>
      <c r="AD487" s="66"/>
      <c r="AE487" s="67"/>
      <c r="AF487" s="66"/>
      <c r="AG487" s="67"/>
      <c r="AH487" s="66"/>
      <c r="AI487" s="67"/>
      <c r="AJ487" s="50"/>
      <c r="AK487" s="69"/>
      <c r="AL487" s="50"/>
      <c r="AM487" s="69"/>
      <c r="AN487" s="50"/>
      <c r="AO487" s="69"/>
      <c r="AP487" s="50"/>
      <c r="AQ487" s="69"/>
      <c r="AR487" s="50"/>
      <c r="AS487" s="642" t="s">
        <v>303</v>
      </c>
      <c r="AT487" s="326"/>
      <c r="AU487" s="326"/>
      <c r="AV487" s="326"/>
      <c r="AW487" s="326"/>
      <c r="AX487" s="326"/>
      <c r="AY487" s="327"/>
      <c r="AZ487" s="70"/>
      <c r="BA487" s="70"/>
      <c r="BB487" s="643" t="s">
        <v>334</v>
      </c>
      <c r="BC487" s="327"/>
      <c r="BD487" s="645" t="s">
        <v>303</v>
      </c>
      <c r="BE487" s="326"/>
      <c r="BF487" s="327"/>
      <c r="BG487" s="646" t="s">
        <v>303</v>
      </c>
      <c r="BH487" s="326"/>
      <c r="BI487" s="326"/>
      <c r="BJ487" s="327"/>
      <c r="BK487" s="647"/>
      <c r="BL487" s="326"/>
      <c r="BM487" s="327"/>
      <c r="BN487" s="71"/>
      <c r="BO487" s="71"/>
      <c r="BP487" s="646"/>
      <c r="BQ487" s="326"/>
      <c r="BR487" s="327"/>
      <c r="BS487" s="645" t="s">
        <v>303</v>
      </c>
      <c r="BT487" s="326"/>
      <c r="BU487" s="327"/>
    </row>
    <row r="488" spans="1:73" ht="30" customHeight="1" x14ac:dyDescent="0.25">
      <c r="A488" s="65">
        <f t="shared" si="1"/>
        <v>474</v>
      </c>
      <c r="B488" s="639" t="s">
        <v>334</v>
      </c>
      <c r="C488" s="327"/>
      <c r="D488" s="640" t="s">
        <v>303</v>
      </c>
      <c r="E488" s="326"/>
      <c r="F488" s="326"/>
      <c r="G488" s="327"/>
      <c r="H488" s="641" t="s">
        <v>303</v>
      </c>
      <c r="I488" s="326"/>
      <c r="J488" s="326"/>
      <c r="K488" s="327"/>
      <c r="L488" s="438" t="s">
        <v>303</v>
      </c>
      <c r="M488" s="326"/>
      <c r="N488" s="327"/>
      <c r="O488" s="519" t="s">
        <v>303</v>
      </c>
      <c r="P488" s="326"/>
      <c r="Q488" s="327"/>
      <c r="R488" s="527"/>
      <c r="S488" s="326"/>
      <c r="T488" s="327"/>
      <c r="U488" s="497"/>
      <c r="V488" s="326"/>
      <c r="W488" s="327"/>
      <c r="X488" s="66"/>
      <c r="Y488" s="67"/>
      <c r="Z488" s="66"/>
      <c r="AA488" s="67"/>
      <c r="AB488" s="66"/>
      <c r="AC488" s="67"/>
      <c r="AD488" s="66"/>
      <c r="AE488" s="67"/>
      <c r="AF488" s="66"/>
      <c r="AG488" s="67"/>
      <c r="AH488" s="66"/>
      <c r="AI488" s="67"/>
      <c r="AJ488" s="50"/>
      <c r="AK488" s="69"/>
      <c r="AL488" s="50"/>
      <c r="AM488" s="69"/>
      <c r="AN488" s="50"/>
      <c r="AO488" s="69"/>
      <c r="AP488" s="50"/>
      <c r="AQ488" s="69"/>
      <c r="AR488" s="50"/>
      <c r="AS488" s="642" t="s">
        <v>303</v>
      </c>
      <c r="AT488" s="326"/>
      <c r="AU488" s="326"/>
      <c r="AV488" s="326"/>
      <c r="AW488" s="326"/>
      <c r="AX488" s="326"/>
      <c r="AY488" s="327"/>
      <c r="AZ488" s="70"/>
      <c r="BA488" s="70"/>
      <c r="BB488" s="643" t="s">
        <v>334</v>
      </c>
      <c r="BC488" s="327"/>
      <c r="BD488" s="645" t="s">
        <v>303</v>
      </c>
      <c r="BE488" s="326"/>
      <c r="BF488" s="327"/>
      <c r="BG488" s="646" t="s">
        <v>303</v>
      </c>
      <c r="BH488" s="326"/>
      <c r="BI488" s="326"/>
      <c r="BJ488" s="327"/>
      <c r="BK488" s="647"/>
      <c r="BL488" s="326"/>
      <c r="BM488" s="327"/>
      <c r="BN488" s="71"/>
      <c r="BO488" s="71"/>
      <c r="BP488" s="646"/>
      <c r="BQ488" s="326"/>
      <c r="BR488" s="327"/>
      <c r="BS488" s="645" t="s">
        <v>303</v>
      </c>
      <c r="BT488" s="326"/>
      <c r="BU488" s="327"/>
    </row>
    <row r="489" spans="1:73" ht="30" customHeight="1" x14ac:dyDescent="0.25">
      <c r="A489" s="65">
        <f t="shared" si="1"/>
        <v>475</v>
      </c>
      <c r="B489" s="639" t="s">
        <v>334</v>
      </c>
      <c r="C489" s="327"/>
      <c r="D489" s="640" t="s">
        <v>303</v>
      </c>
      <c r="E489" s="326"/>
      <c r="F489" s="326"/>
      <c r="G489" s="327"/>
      <c r="H489" s="641" t="s">
        <v>303</v>
      </c>
      <c r="I489" s="326"/>
      <c r="J489" s="326"/>
      <c r="K489" s="327"/>
      <c r="L489" s="438" t="s">
        <v>303</v>
      </c>
      <c r="M489" s="326"/>
      <c r="N489" s="327"/>
      <c r="O489" s="519" t="s">
        <v>303</v>
      </c>
      <c r="P489" s="326"/>
      <c r="Q489" s="327"/>
      <c r="R489" s="527"/>
      <c r="S489" s="326"/>
      <c r="T489" s="327"/>
      <c r="U489" s="497"/>
      <c r="V489" s="326"/>
      <c r="W489" s="327"/>
      <c r="X489" s="66"/>
      <c r="Y489" s="67"/>
      <c r="Z489" s="66"/>
      <c r="AA489" s="67"/>
      <c r="AB489" s="66"/>
      <c r="AC489" s="67"/>
      <c r="AD489" s="66"/>
      <c r="AE489" s="67"/>
      <c r="AF489" s="66"/>
      <c r="AG489" s="67"/>
      <c r="AH489" s="66"/>
      <c r="AI489" s="67"/>
      <c r="AJ489" s="50"/>
      <c r="AK489" s="69"/>
      <c r="AL489" s="50"/>
      <c r="AM489" s="69"/>
      <c r="AN489" s="50"/>
      <c r="AO489" s="69"/>
      <c r="AP489" s="50"/>
      <c r="AQ489" s="69"/>
      <c r="AR489" s="50"/>
      <c r="AS489" s="642" t="s">
        <v>303</v>
      </c>
      <c r="AT489" s="326"/>
      <c r="AU489" s="326"/>
      <c r="AV489" s="326"/>
      <c r="AW489" s="326"/>
      <c r="AX489" s="326"/>
      <c r="AY489" s="327"/>
      <c r="AZ489" s="70"/>
      <c r="BA489" s="70"/>
      <c r="BB489" s="643" t="s">
        <v>334</v>
      </c>
      <c r="BC489" s="327"/>
      <c r="BD489" s="645" t="s">
        <v>303</v>
      </c>
      <c r="BE489" s="326"/>
      <c r="BF489" s="327"/>
      <c r="BG489" s="646" t="s">
        <v>303</v>
      </c>
      <c r="BH489" s="326"/>
      <c r="BI489" s="326"/>
      <c r="BJ489" s="327"/>
      <c r="BK489" s="647"/>
      <c r="BL489" s="326"/>
      <c r="BM489" s="327"/>
      <c r="BN489" s="71"/>
      <c r="BO489" s="71"/>
      <c r="BP489" s="646"/>
      <c r="BQ489" s="326"/>
      <c r="BR489" s="327"/>
      <c r="BS489" s="645" t="s">
        <v>303</v>
      </c>
      <c r="BT489" s="326"/>
      <c r="BU489" s="327"/>
    </row>
    <row r="490" spans="1:73" ht="30" customHeight="1" x14ac:dyDescent="0.25">
      <c r="A490" s="65">
        <f t="shared" si="1"/>
        <v>476</v>
      </c>
      <c r="B490" s="639" t="s">
        <v>334</v>
      </c>
      <c r="C490" s="327"/>
      <c r="D490" s="640" t="s">
        <v>303</v>
      </c>
      <c r="E490" s="326"/>
      <c r="F490" s="326"/>
      <c r="G490" s="327"/>
      <c r="H490" s="641" t="s">
        <v>303</v>
      </c>
      <c r="I490" s="326"/>
      <c r="J490" s="326"/>
      <c r="K490" s="327"/>
      <c r="L490" s="438" t="s">
        <v>303</v>
      </c>
      <c r="M490" s="326"/>
      <c r="N490" s="327"/>
      <c r="O490" s="519" t="s">
        <v>303</v>
      </c>
      <c r="P490" s="326"/>
      <c r="Q490" s="327"/>
      <c r="R490" s="527"/>
      <c r="S490" s="326"/>
      <c r="T490" s="327"/>
      <c r="U490" s="497"/>
      <c r="V490" s="326"/>
      <c r="W490" s="327"/>
      <c r="X490" s="66"/>
      <c r="Y490" s="67"/>
      <c r="Z490" s="66"/>
      <c r="AA490" s="67"/>
      <c r="AB490" s="66"/>
      <c r="AC490" s="67"/>
      <c r="AD490" s="66"/>
      <c r="AE490" s="67"/>
      <c r="AF490" s="66"/>
      <c r="AG490" s="67"/>
      <c r="AH490" s="66"/>
      <c r="AI490" s="67"/>
      <c r="AJ490" s="50"/>
      <c r="AK490" s="69"/>
      <c r="AL490" s="50"/>
      <c r="AM490" s="69"/>
      <c r="AN490" s="50"/>
      <c r="AO490" s="69"/>
      <c r="AP490" s="50"/>
      <c r="AQ490" s="69"/>
      <c r="AR490" s="50"/>
      <c r="AS490" s="642" t="s">
        <v>303</v>
      </c>
      <c r="AT490" s="326"/>
      <c r="AU490" s="326"/>
      <c r="AV490" s="326"/>
      <c r="AW490" s="326"/>
      <c r="AX490" s="326"/>
      <c r="AY490" s="327"/>
      <c r="AZ490" s="70"/>
      <c r="BA490" s="70"/>
      <c r="BB490" s="643" t="s">
        <v>334</v>
      </c>
      <c r="BC490" s="327"/>
      <c r="BD490" s="645" t="s">
        <v>303</v>
      </c>
      <c r="BE490" s="326"/>
      <c r="BF490" s="327"/>
      <c r="BG490" s="646" t="s">
        <v>303</v>
      </c>
      <c r="BH490" s="326"/>
      <c r="BI490" s="326"/>
      <c r="BJ490" s="327"/>
      <c r="BK490" s="647"/>
      <c r="BL490" s="326"/>
      <c r="BM490" s="327"/>
      <c r="BN490" s="71"/>
      <c r="BO490" s="71"/>
      <c r="BP490" s="646"/>
      <c r="BQ490" s="326"/>
      <c r="BR490" s="327"/>
      <c r="BS490" s="645" t="s">
        <v>303</v>
      </c>
      <c r="BT490" s="326"/>
      <c r="BU490" s="327"/>
    </row>
    <row r="491" spans="1:73" ht="30" customHeight="1" x14ac:dyDescent="0.25">
      <c r="A491" s="65">
        <f t="shared" si="1"/>
        <v>477</v>
      </c>
      <c r="B491" s="639" t="s">
        <v>334</v>
      </c>
      <c r="C491" s="327"/>
      <c r="D491" s="640" t="s">
        <v>303</v>
      </c>
      <c r="E491" s="326"/>
      <c r="F491" s="326"/>
      <c r="G491" s="327"/>
      <c r="H491" s="641" t="s">
        <v>303</v>
      </c>
      <c r="I491" s="326"/>
      <c r="J491" s="326"/>
      <c r="K491" s="327"/>
      <c r="L491" s="438" t="s">
        <v>303</v>
      </c>
      <c r="M491" s="326"/>
      <c r="N491" s="327"/>
      <c r="O491" s="519" t="s">
        <v>303</v>
      </c>
      <c r="P491" s="326"/>
      <c r="Q491" s="327"/>
      <c r="R491" s="527"/>
      <c r="S491" s="326"/>
      <c r="T491" s="327"/>
      <c r="U491" s="497"/>
      <c r="V491" s="326"/>
      <c r="W491" s="327"/>
      <c r="X491" s="66"/>
      <c r="Y491" s="67"/>
      <c r="Z491" s="66"/>
      <c r="AA491" s="67"/>
      <c r="AB491" s="66"/>
      <c r="AC491" s="67"/>
      <c r="AD491" s="66"/>
      <c r="AE491" s="67"/>
      <c r="AF491" s="66"/>
      <c r="AG491" s="67"/>
      <c r="AH491" s="66"/>
      <c r="AI491" s="67"/>
      <c r="AJ491" s="50"/>
      <c r="AK491" s="69"/>
      <c r="AL491" s="50"/>
      <c r="AM491" s="69"/>
      <c r="AN491" s="50"/>
      <c r="AO491" s="69"/>
      <c r="AP491" s="50"/>
      <c r="AQ491" s="69"/>
      <c r="AR491" s="50"/>
      <c r="AS491" s="642" t="s">
        <v>303</v>
      </c>
      <c r="AT491" s="326"/>
      <c r="AU491" s="326"/>
      <c r="AV491" s="326"/>
      <c r="AW491" s="326"/>
      <c r="AX491" s="326"/>
      <c r="AY491" s="327"/>
      <c r="AZ491" s="70"/>
      <c r="BA491" s="70"/>
      <c r="BB491" s="643" t="s">
        <v>334</v>
      </c>
      <c r="BC491" s="327"/>
      <c r="BD491" s="645" t="s">
        <v>303</v>
      </c>
      <c r="BE491" s="326"/>
      <c r="BF491" s="327"/>
      <c r="BG491" s="646" t="s">
        <v>303</v>
      </c>
      <c r="BH491" s="326"/>
      <c r="BI491" s="326"/>
      <c r="BJ491" s="327"/>
      <c r="BK491" s="647"/>
      <c r="BL491" s="326"/>
      <c r="BM491" s="327"/>
      <c r="BN491" s="71"/>
      <c r="BO491" s="71"/>
      <c r="BP491" s="646"/>
      <c r="BQ491" s="326"/>
      <c r="BR491" s="327"/>
      <c r="BS491" s="645" t="s">
        <v>303</v>
      </c>
      <c r="BT491" s="326"/>
      <c r="BU491" s="327"/>
    </row>
    <row r="492" spans="1:73" ht="30" customHeight="1" x14ac:dyDescent="0.25">
      <c r="A492" s="65">
        <f t="shared" si="1"/>
        <v>478</v>
      </c>
      <c r="B492" s="639" t="s">
        <v>334</v>
      </c>
      <c r="C492" s="327"/>
      <c r="D492" s="640" t="s">
        <v>303</v>
      </c>
      <c r="E492" s="326"/>
      <c r="F492" s="326"/>
      <c r="G492" s="327"/>
      <c r="H492" s="641" t="s">
        <v>303</v>
      </c>
      <c r="I492" s="326"/>
      <c r="J492" s="326"/>
      <c r="K492" s="327"/>
      <c r="L492" s="438" t="s">
        <v>303</v>
      </c>
      <c r="M492" s="326"/>
      <c r="N492" s="327"/>
      <c r="O492" s="519" t="s">
        <v>303</v>
      </c>
      <c r="P492" s="326"/>
      <c r="Q492" s="327"/>
      <c r="R492" s="527"/>
      <c r="S492" s="326"/>
      <c r="T492" s="327"/>
      <c r="U492" s="497"/>
      <c r="V492" s="326"/>
      <c r="W492" s="327"/>
      <c r="X492" s="66"/>
      <c r="Y492" s="67"/>
      <c r="Z492" s="66"/>
      <c r="AA492" s="67"/>
      <c r="AB492" s="66"/>
      <c r="AC492" s="67"/>
      <c r="AD492" s="66"/>
      <c r="AE492" s="67"/>
      <c r="AF492" s="66"/>
      <c r="AG492" s="67"/>
      <c r="AH492" s="66"/>
      <c r="AI492" s="67"/>
      <c r="AJ492" s="50"/>
      <c r="AK492" s="69"/>
      <c r="AL492" s="50"/>
      <c r="AM492" s="69"/>
      <c r="AN492" s="50"/>
      <c r="AO492" s="69"/>
      <c r="AP492" s="50"/>
      <c r="AQ492" s="69"/>
      <c r="AR492" s="50"/>
      <c r="AS492" s="642" t="s">
        <v>303</v>
      </c>
      <c r="AT492" s="326"/>
      <c r="AU492" s="326"/>
      <c r="AV492" s="326"/>
      <c r="AW492" s="326"/>
      <c r="AX492" s="326"/>
      <c r="AY492" s="327"/>
      <c r="AZ492" s="70"/>
      <c r="BA492" s="70"/>
      <c r="BB492" s="643" t="s">
        <v>334</v>
      </c>
      <c r="BC492" s="327"/>
      <c r="BD492" s="645" t="s">
        <v>303</v>
      </c>
      <c r="BE492" s="326"/>
      <c r="BF492" s="327"/>
      <c r="BG492" s="646" t="s">
        <v>303</v>
      </c>
      <c r="BH492" s="326"/>
      <c r="BI492" s="326"/>
      <c r="BJ492" s="327"/>
      <c r="BK492" s="647"/>
      <c r="BL492" s="326"/>
      <c r="BM492" s="327"/>
      <c r="BN492" s="71"/>
      <c r="BO492" s="71"/>
      <c r="BP492" s="646"/>
      <c r="BQ492" s="326"/>
      <c r="BR492" s="327"/>
      <c r="BS492" s="645" t="s">
        <v>303</v>
      </c>
      <c r="BT492" s="326"/>
      <c r="BU492" s="327"/>
    </row>
    <row r="493" spans="1:73" ht="30" customHeight="1" x14ac:dyDescent="0.25">
      <c r="A493" s="65">
        <f t="shared" si="1"/>
        <v>479</v>
      </c>
      <c r="B493" s="639" t="s">
        <v>334</v>
      </c>
      <c r="C493" s="327"/>
      <c r="D493" s="640" t="s">
        <v>303</v>
      </c>
      <c r="E493" s="326"/>
      <c r="F493" s="326"/>
      <c r="G493" s="327"/>
      <c r="H493" s="641" t="s">
        <v>303</v>
      </c>
      <c r="I493" s="326"/>
      <c r="J493" s="326"/>
      <c r="K493" s="327"/>
      <c r="L493" s="438" t="s">
        <v>303</v>
      </c>
      <c r="M493" s="326"/>
      <c r="N493" s="327"/>
      <c r="O493" s="519" t="s">
        <v>303</v>
      </c>
      <c r="P493" s="326"/>
      <c r="Q493" s="327"/>
      <c r="R493" s="527"/>
      <c r="S493" s="326"/>
      <c r="T493" s="327"/>
      <c r="U493" s="497"/>
      <c r="V493" s="326"/>
      <c r="W493" s="327"/>
      <c r="X493" s="66"/>
      <c r="Y493" s="67"/>
      <c r="Z493" s="66"/>
      <c r="AA493" s="67"/>
      <c r="AB493" s="66"/>
      <c r="AC493" s="67"/>
      <c r="AD493" s="66"/>
      <c r="AE493" s="67"/>
      <c r="AF493" s="66"/>
      <c r="AG493" s="67"/>
      <c r="AH493" s="66"/>
      <c r="AI493" s="67"/>
      <c r="AJ493" s="50"/>
      <c r="AK493" s="69"/>
      <c r="AL493" s="50"/>
      <c r="AM493" s="69"/>
      <c r="AN493" s="50"/>
      <c r="AO493" s="69"/>
      <c r="AP493" s="50"/>
      <c r="AQ493" s="69"/>
      <c r="AR493" s="50"/>
      <c r="AS493" s="642" t="s">
        <v>303</v>
      </c>
      <c r="AT493" s="326"/>
      <c r="AU493" s="326"/>
      <c r="AV493" s="326"/>
      <c r="AW493" s="326"/>
      <c r="AX493" s="326"/>
      <c r="AY493" s="327"/>
      <c r="AZ493" s="70"/>
      <c r="BA493" s="70"/>
      <c r="BB493" s="643" t="s">
        <v>334</v>
      </c>
      <c r="BC493" s="327"/>
      <c r="BD493" s="645" t="s">
        <v>303</v>
      </c>
      <c r="BE493" s="326"/>
      <c r="BF493" s="327"/>
      <c r="BG493" s="646" t="s">
        <v>303</v>
      </c>
      <c r="BH493" s="326"/>
      <c r="BI493" s="326"/>
      <c r="BJ493" s="327"/>
      <c r="BK493" s="647"/>
      <c r="BL493" s="326"/>
      <c r="BM493" s="327"/>
      <c r="BN493" s="71"/>
      <c r="BO493" s="71"/>
      <c r="BP493" s="646"/>
      <c r="BQ493" s="326"/>
      <c r="BR493" s="327"/>
      <c r="BS493" s="645" t="s">
        <v>303</v>
      </c>
      <c r="BT493" s="326"/>
      <c r="BU493" s="327"/>
    </row>
    <row r="494" spans="1:73" ht="30" customHeight="1" x14ac:dyDescent="0.25">
      <c r="A494" s="65">
        <f t="shared" si="1"/>
        <v>480</v>
      </c>
      <c r="B494" s="639" t="s">
        <v>334</v>
      </c>
      <c r="C494" s="327"/>
      <c r="D494" s="640" t="s">
        <v>303</v>
      </c>
      <c r="E494" s="326"/>
      <c r="F494" s="326"/>
      <c r="G494" s="327"/>
      <c r="H494" s="641" t="s">
        <v>303</v>
      </c>
      <c r="I494" s="326"/>
      <c r="J494" s="326"/>
      <c r="K494" s="327"/>
      <c r="L494" s="438" t="s">
        <v>303</v>
      </c>
      <c r="M494" s="326"/>
      <c r="N494" s="327"/>
      <c r="O494" s="519" t="s">
        <v>303</v>
      </c>
      <c r="P494" s="326"/>
      <c r="Q494" s="327"/>
      <c r="R494" s="527"/>
      <c r="S494" s="326"/>
      <c r="T494" s="327"/>
      <c r="U494" s="497"/>
      <c r="V494" s="326"/>
      <c r="W494" s="327"/>
      <c r="X494" s="66"/>
      <c r="Y494" s="67"/>
      <c r="Z494" s="66"/>
      <c r="AA494" s="67"/>
      <c r="AB494" s="66"/>
      <c r="AC494" s="67"/>
      <c r="AD494" s="66"/>
      <c r="AE494" s="67"/>
      <c r="AF494" s="66"/>
      <c r="AG494" s="67"/>
      <c r="AH494" s="66"/>
      <c r="AI494" s="67"/>
      <c r="AJ494" s="50"/>
      <c r="AK494" s="69"/>
      <c r="AL494" s="50"/>
      <c r="AM494" s="69"/>
      <c r="AN494" s="50"/>
      <c r="AO494" s="69"/>
      <c r="AP494" s="50"/>
      <c r="AQ494" s="69"/>
      <c r="AR494" s="50"/>
      <c r="AS494" s="642" t="s">
        <v>303</v>
      </c>
      <c r="AT494" s="326"/>
      <c r="AU494" s="326"/>
      <c r="AV494" s="326"/>
      <c r="AW494" s="326"/>
      <c r="AX494" s="326"/>
      <c r="AY494" s="327"/>
      <c r="AZ494" s="70"/>
      <c r="BA494" s="70"/>
      <c r="BB494" s="643" t="s">
        <v>334</v>
      </c>
      <c r="BC494" s="327"/>
      <c r="BD494" s="645" t="s">
        <v>303</v>
      </c>
      <c r="BE494" s="326"/>
      <c r="BF494" s="327"/>
      <c r="BG494" s="646" t="s">
        <v>303</v>
      </c>
      <c r="BH494" s="326"/>
      <c r="BI494" s="326"/>
      <c r="BJ494" s="327"/>
      <c r="BK494" s="647"/>
      <c r="BL494" s="326"/>
      <c r="BM494" s="327"/>
      <c r="BN494" s="71"/>
      <c r="BO494" s="71"/>
      <c r="BP494" s="646"/>
      <c r="BQ494" s="326"/>
      <c r="BR494" s="327"/>
      <c r="BS494" s="645" t="s">
        <v>303</v>
      </c>
      <c r="BT494" s="326"/>
      <c r="BU494" s="327"/>
    </row>
    <row r="495" spans="1:73" ht="30" customHeight="1" x14ac:dyDescent="0.25">
      <c r="A495" s="65">
        <f t="shared" si="1"/>
        <v>481</v>
      </c>
      <c r="B495" s="639" t="s">
        <v>334</v>
      </c>
      <c r="C495" s="327"/>
      <c r="D495" s="640" t="s">
        <v>303</v>
      </c>
      <c r="E495" s="326"/>
      <c r="F495" s="326"/>
      <c r="G495" s="327"/>
      <c r="H495" s="641" t="s">
        <v>303</v>
      </c>
      <c r="I495" s="326"/>
      <c r="J495" s="326"/>
      <c r="K495" s="327"/>
      <c r="L495" s="438" t="s">
        <v>303</v>
      </c>
      <c r="M495" s="326"/>
      <c r="N495" s="327"/>
      <c r="O495" s="519" t="s">
        <v>303</v>
      </c>
      <c r="P495" s="326"/>
      <c r="Q495" s="327"/>
      <c r="R495" s="527"/>
      <c r="S495" s="326"/>
      <c r="T495" s="327"/>
      <c r="U495" s="497"/>
      <c r="V495" s="326"/>
      <c r="W495" s="327"/>
      <c r="X495" s="66"/>
      <c r="Y495" s="67"/>
      <c r="Z495" s="66"/>
      <c r="AA495" s="67"/>
      <c r="AB495" s="66"/>
      <c r="AC495" s="67"/>
      <c r="AD495" s="66"/>
      <c r="AE495" s="67"/>
      <c r="AF495" s="66"/>
      <c r="AG495" s="67"/>
      <c r="AH495" s="66"/>
      <c r="AI495" s="67"/>
      <c r="AJ495" s="50"/>
      <c r="AK495" s="69"/>
      <c r="AL495" s="50"/>
      <c r="AM495" s="69"/>
      <c r="AN495" s="50"/>
      <c r="AO495" s="69"/>
      <c r="AP495" s="50"/>
      <c r="AQ495" s="69"/>
      <c r="AR495" s="50"/>
      <c r="AS495" s="642" t="s">
        <v>303</v>
      </c>
      <c r="AT495" s="326"/>
      <c r="AU495" s="326"/>
      <c r="AV495" s="326"/>
      <c r="AW495" s="326"/>
      <c r="AX495" s="326"/>
      <c r="AY495" s="327"/>
      <c r="AZ495" s="70"/>
      <c r="BA495" s="70"/>
      <c r="BB495" s="643" t="s">
        <v>334</v>
      </c>
      <c r="BC495" s="327"/>
      <c r="BD495" s="645" t="s">
        <v>303</v>
      </c>
      <c r="BE495" s="326"/>
      <c r="BF495" s="327"/>
      <c r="BG495" s="646" t="s">
        <v>303</v>
      </c>
      <c r="BH495" s="326"/>
      <c r="BI495" s="326"/>
      <c r="BJ495" s="327"/>
      <c r="BK495" s="647"/>
      <c r="BL495" s="326"/>
      <c r="BM495" s="327"/>
      <c r="BN495" s="71"/>
      <c r="BO495" s="71"/>
      <c r="BP495" s="646"/>
      <c r="BQ495" s="326"/>
      <c r="BR495" s="327"/>
      <c r="BS495" s="645" t="s">
        <v>303</v>
      </c>
      <c r="BT495" s="326"/>
      <c r="BU495" s="327"/>
    </row>
    <row r="496" spans="1:73" ht="30" customHeight="1" x14ac:dyDescent="0.25">
      <c r="A496" s="65">
        <f t="shared" si="1"/>
        <v>482</v>
      </c>
      <c r="B496" s="639" t="s">
        <v>334</v>
      </c>
      <c r="C496" s="327"/>
      <c r="D496" s="640" t="s">
        <v>303</v>
      </c>
      <c r="E496" s="326"/>
      <c r="F496" s="326"/>
      <c r="G496" s="327"/>
      <c r="H496" s="641" t="s">
        <v>303</v>
      </c>
      <c r="I496" s="326"/>
      <c r="J496" s="326"/>
      <c r="K496" s="327"/>
      <c r="L496" s="438" t="s">
        <v>303</v>
      </c>
      <c r="M496" s="326"/>
      <c r="N496" s="327"/>
      <c r="O496" s="519" t="s">
        <v>303</v>
      </c>
      <c r="P496" s="326"/>
      <c r="Q496" s="327"/>
      <c r="R496" s="527"/>
      <c r="S496" s="326"/>
      <c r="T496" s="327"/>
      <c r="U496" s="497"/>
      <c r="V496" s="326"/>
      <c r="W496" s="327"/>
      <c r="X496" s="66"/>
      <c r="Y496" s="67"/>
      <c r="Z496" s="66"/>
      <c r="AA496" s="67"/>
      <c r="AB496" s="66"/>
      <c r="AC496" s="67"/>
      <c r="AD496" s="66"/>
      <c r="AE496" s="67"/>
      <c r="AF496" s="66"/>
      <c r="AG496" s="67"/>
      <c r="AH496" s="66"/>
      <c r="AI496" s="67"/>
      <c r="AJ496" s="50"/>
      <c r="AK496" s="69"/>
      <c r="AL496" s="50"/>
      <c r="AM496" s="69"/>
      <c r="AN496" s="50"/>
      <c r="AO496" s="69"/>
      <c r="AP496" s="50"/>
      <c r="AQ496" s="69"/>
      <c r="AR496" s="50"/>
      <c r="AS496" s="642" t="s">
        <v>303</v>
      </c>
      <c r="AT496" s="326"/>
      <c r="AU496" s="326"/>
      <c r="AV496" s="326"/>
      <c r="AW496" s="326"/>
      <c r="AX496" s="326"/>
      <c r="AY496" s="327"/>
      <c r="AZ496" s="70"/>
      <c r="BA496" s="70"/>
      <c r="BB496" s="643" t="s">
        <v>334</v>
      </c>
      <c r="BC496" s="327"/>
      <c r="BD496" s="645" t="s">
        <v>303</v>
      </c>
      <c r="BE496" s="326"/>
      <c r="BF496" s="327"/>
      <c r="BG496" s="646" t="s">
        <v>303</v>
      </c>
      <c r="BH496" s="326"/>
      <c r="BI496" s="326"/>
      <c r="BJ496" s="327"/>
      <c r="BK496" s="647"/>
      <c r="BL496" s="326"/>
      <c r="BM496" s="327"/>
      <c r="BN496" s="71"/>
      <c r="BO496" s="71"/>
      <c r="BP496" s="646"/>
      <c r="BQ496" s="326"/>
      <c r="BR496" s="327"/>
      <c r="BS496" s="645" t="s">
        <v>303</v>
      </c>
      <c r="BT496" s="326"/>
      <c r="BU496" s="327"/>
    </row>
    <row r="497" spans="1:73" ht="30" customHeight="1" x14ac:dyDescent="0.25">
      <c r="A497" s="65">
        <f t="shared" si="1"/>
        <v>483</v>
      </c>
      <c r="B497" s="639" t="s">
        <v>334</v>
      </c>
      <c r="C497" s="327"/>
      <c r="D497" s="640" t="s">
        <v>303</v>
      </c>
      <c r="E497" s="326"/>
      <c r="F497" s="326"/>
      <c r="G497" s="327"/>
      <c r="H497" s="641" t="s">
        <v>303</v>
      </c>
      <c r="I497" s="326"/>
      <c r="J497" s="326"/>
      <c r="K497" s="327"/>
      <c r="L497" s="438" t="s">
        <v>303</v>
      </c>
      <c r="M497" s="326"/>
      <c r="N497" s="327"/>
      <c r="O497" s="519" t="s">
        <v>303</v>
      </c>
      <c r="P497" s="326"/>
      <c r="Q497" s="327"/>
      <c r="R497" s="527"/>
      <c r="S497" s="326"/>
      <c r="T497" s="327"/>
      <c r="U497" s="497"/>
      <c r="V497" s="326"/>
      <c r="W497" s="327"/>
      <c r="X497" s="66"/>
      <c r="Y497" s="67"/>
      <c r="Z497" s="66"/>
      <c r="AA497" s="67"/>
      <c r="AB497" s="66"/>
      <c r="AC497" s="67"/>
      <c r="AD497" s="66"/>
      <c r="AE497" s="67"/>
      <c r="AF497" s="66"/>
      <c r="AG497" s="67"/>
      <c r="AH497" s="66"/>
      <c r="AI497" s="67"/>
      <c r="AJ497" s="50"/>
      <c r="AK497" s="69"/>
      <c r="AL497" s="50"/>
      <c r="AM497" s="69"/>
      <c r="AN497" s="50"/>
      <c r="AO497" s="69"/>
      <c r="AP497" s="50"/>
      <c r="AQ497" s="69"/>
      <c r="AR497" s="50"/>
      <c r="AS497" s="642" t="s">
        <v>303</v>
      </c>
      <c r="AT497" s="326"/>
      <c r="AU497" s="326"/>
      <c r="AV497" s="326"/>
      <c r="AW497" s="326"/>
      <c r="AX497" s="326"/>
      <c r="AY497" s="327"/>
      <c r="AZ497" s="70"/>
      <c r="BA497" s="70"/>
      <c r="BB497" s="643" t="s">
        <v>334</v>
      </c>
      <c r="BC497" s="327"/>
      <c r="BD497" s="645" t="s">
        <v>303</v>
      </c>
      <c r="BE497" s="326"/>
      <c r="BF497" s="327"/>
      <c r="BG497" s="646" t="s">
        <v>303</v>
      </c>
      <c r="BH497" s="326"/>
      <c r="BI497" s="326"/>
      <c r="BJ497" s="327"/>
      <c r="BK497" s="647"/>
      <c r="BL497" s="326"/>
      <c r="BM497" s="327"/>
      <c r="BN497" s="71"/>
      <c r="BO497" s="71"/>
      <c r="BP497" s="646"/>
      <c r="BQ497" s="326"/>
      <c r="BR497" s="327"/>
      <c r="BS497" s="645" t="s">
        <v>303</v>
      </c>
      <c r="BT497" s="326"/>
      <c r="BU497" s="327"/>
    </row>
    <row r="498" spans="1:73" ht="30" customHeight="1" x14ac:dyDescent="0.25">
      <c r="A498" s="65">
        <f t="shared" si="1"/>
        <v>484</v>
      </c>
      <c r="B498" s="639" t="s">
        <v>334</v>
      </c>
      <c r="C498" s="327"/>
      <c r="D498" s="640" t="s">
        <v>303</v>
      </c>
      <c r="E498" s="326"/>
      <c r="F498" s="326"/>
      <c r="G498" s="327"/>
      <c r="H498" s="641" t="s">
        <v>303</v>
      </c>
      <c r="I498" s="326"/>
      <c r="J498" s="326"/>
      <c r="K498" s="327"/>
      <c r="L498" s="438" t="s">
        <v>303</v>
      </c>
      <c r="M498" s="326"/>
      <c r="N498" s="327"/>
      <c r="O498" s="519" t="s">
        <v>303</v>
      </c>
      <c r="P498" s="326"/>
      <c r="Q498" s="327"/>
      <c r="R498" s="527"/>
      <c r="S498" s="326"/>
      <c r="T498" s="327"/>
      <c r="U498" s="497"/>
      <c r="V498" s="326"/>
      <c r="W498" s="327"/>
      <c r="X498" s="66"/>
      <c r="Y498" s="67"/>
      <c r="Z498" s="66"/>
      <c r="AA498" s="67"/>
      <c r="AB498" s="66"/>
      <c r="AC498" s="67"/>
      <c r="AD498" s="66"/>
      <c r="AE498" s="67"/>
      <c r="AF498" s="66"/>
      <c r="AG498" s="67"/>
      <c r="AH498" s="66"/>
      <c r="AI498" s="67"/>
      <c r="AJ498" s="50"/>
      <c r="AK498" s="69"/>
      <c r="AL498" s="50"/>
      <c r="AM498" s="69"/>
      <c r="AN498" s="50"/>
      <c r="AO498" s="69"/>
      <c r="AP498" s="50"/>
      <c r="AQ498" s="69"/>
      <c r="AR498" s="50"/>
      <c r="AS498" s="642" t="s">
        <v>303</v>
      </c>
      <c r="AT498" s="326"/>
      <c r="AU498" s="326"/>
      <c r="AV498" s="326"/>
      <c r="AW498" s="326"/>
      <c r="AX498" s="326"/>
      <c r="AY498" s="327"/>
      <c r="AZ498" s="70"/>
      <c r="BA498" s="70"/>
      <c r="BB498" s="643" t="s">
        <v>334</v>
      </c>
      <c r="BC498" s="327"/>
      <c r="BD498" s="645" t="s">
        <v>303</v>
      </c>
      <c r="BE498" s="326"/>
      <c r="BF498" s="327"/>
      <c r="BG498" s="646" t="s">
        <v>303</v>
      </c>
      <c r="BH498" s="326"/>
      <c r="BI498" s="326"/>
      <c r="BJ498" s="327"/>
      <c r="BK498" s="647"/>
      <c r="BL498" s="326"/>
      <c r="BM498" s="327"/>
      <c r="BN498" s="71"/>
      <c r="BO498" s="71"/>
      <c r="BP498" s="646"/>
      <c r="BQ498" s="326"/>
      <c r="BR498" s="327"/>
      <c r="BS498" s="645" t="s">
        <v>303</v>
      </c>
      <c r="BT498" s="326"/>
      <c r="BU498" s="327"/>
    </row>
    <row r="499" spans="1:73" ht="30" customHeight="1" x14ac:dyDescent="0.25">
      <c r="A499" s="65">
        <f t="shared" si="1"/>
        <v>485</v>
      </c>
      <c r="B499" s="639" t="s">
        <v>334</v>
      </c>
      <c r="C499" s="327"/>
      <c r="D499" s="640" t="s">
        <v>303</v>
      </c>
      <c r="E499" s="326"/>
      <c r="F499" s="326"/>
      <c r="G499" s="327"/>
      <c r="H499" s="641" t="s">
        <v>303</v>
      </c>
      <c r="I499" s="326"/>
      <c r="J499" s="326"/>
      <c r="K499" s="327"/>
      <c r="L499" s="438" t="s">
        <v>303</v>
      </c>
      <c r="M499" s="326"/>
      <c r="N499" s="327"/>
      <c r="O499" s="519" t="s">
        <v>303</v>
      </c>
      <c r="P499" s="326"/>
      <c r="Q499" s="327"/>
      <c r="R499" s="527"/>
      <c r="S499" s="326"/>
      <c r="T499" s="327"/>
      <c r="U499" s="497"/>
      <c r="V499" s="326"/>
      <c r="W499" s="327"/>
      <c r="X499" s="66"/>
      <c r="Y499" s="67"/>
      <c r="Z499" s="66"/>
      <c r="AA499" s="67"/>
      <c r="AB499" s="66"/>
      <c r="AC499" s="67"/>
      <c r="AD499" s="66"/>
      <c r="AE499" s="67"/>
      <c r="AF499" s="66"/>
      <c r="AG499" s="67"/>
      <c r="AH499" s="66"/>
      <c r="AI499" s="67"/>
      <c r="AJ499" s="50"/>
      <c r="AK499" s="69"/>
      <c r="AL499" s="50"/>
      <c r="AM499" s="69"/>
      <c r="AN499" s="50"/>
      <c r="AO499" s="69"/>
      <c r="AP499" s="50"/>
      <c r="AQ499" s="69"/>
      <c r="AR499" s="50"/>
      <c r="AS499" s="642" t="s">
        <v>303</v>
      </c>
      <c r="AT499" s="326"/>
      <c r="AU499" s="326"/>
      <c r="AV499" s="326"/>
      <c r="AW499" s="326"/>
      <c r="AX499" s="326"/>
      <c r="AY499" s="327"/>
      <c r="AZ499" s="70"/>
      <c r="BA499" s="70"/>
      <c r="BB499" s="643" t="s">
        <v>334</v>
      </c>
      <c r="BC499" s="327"/>
      <c r="BD499" s="645" t="s">
        <v>303</v>
      </c>
      <c r="BE499" s="326"/>
      <c r="BF499" s="327"/>
      <c r="BG499" s="646" t="s">
        <v>303</v>
      </c>
      <c r="BH499" s="326"/>
      <c r="BI499" s="326"/>
      <c r="BJ499" s="327"/>
      <c r="BK499" s="647"/>
      <c r="BL499" s="326"/>
      <c r="BM499" s="327"/>
      <c r="BN499" s="71"/>
      <c r="BO499" s="71"/>
      <c r="BP499" s="646"/>
      <c r="BQ499" s="326"/>
      <c r="BR499" s="327"/>
      <c r="BS499" s="645" t="s">
        <v>303</v>
      </c>
      <c r="BT499" s="326"/>
      <c r="BU499" s="327"/>
    </row>
    <row r="500" spans="1:73" ht="30" customHeight="1" x14ac:dyDescent="0.25">
      <c r="A500" s="65">
        <f t="shared" si="1"/>
        <v>486</v>
      </c>
      <c r="B500" s="639" t="s">
        <v>334</v>
      </c>
      <c r="C500" s="327"/>
      <c r="D500" s="640" t="s">
        <v>303</v>
      </c>
      <c r="E500" s="326"/>
      <c r="F500" s="326"/>
      <c r="G500" s="327"/>
      <c r="H500" s="641" t="s">
        <v>303</v>
      </c>
      <c r="I500" s="326"/>
      <c r="J500" s="326"/>
      <c r="K500" s="327"/>
      <c r="L500" s="438" t="s">
        <v>303</v>
      </c>
      <c r="M500" s="326"/>
      <c r="N500" s="327"/>
      <c r="O500" s="519" t="s">
        <v>303</v>
      </c>
      <c r="P500" s="326"/>
      <c r="Q500" s="327"/>
      <c r="R500" s="527"/>
      <c r="S500" s="326"/>
      <c r="T500" s="327"/>
      <c r="U500" s="497"/>
      <c r="V500" s="326"/>
      <c r="W500" s="327"/>
      <c r="X500" s="66"/>
      <c r="Y500" s="67"/>
      <c r="Z500" s="66"/>
      <c r="AA500" s="67"/>
      <c r="AB500" s="66"/>
      <c r="AC500" s="67"/>
      <c r="AD500" s="66"/>
      <c r="AE500" s="67"/>
      <c r="AF500" s="66"/>
      <c r="AG500" s="67"/>
      <c r="AH500" s="66"/>
      <c r="AI500" s="67"/>
      <c r="AJ500" s="50"/>
      <c r="AK500" s="69"/>
      <c r="AL500" s="50"/>
      <c r="AM500" s="69"/>
      <c r="AN500" s="50"/>
      <c r="AO500" s="69"/>
      <c r="AP500" s="50"/>
      <c r="AQ500" s="69"/>
      <c r="AR500" s="50"/>
      <c r="AS500" s="642" t="s">
        <v>303</v>
      </c>
      <c r="AT500" s="326"/>
      <c r="AU500" s="326"/>
      <c r="AV500" s="326"/>
      <c r="AW500" s="326"/>
      <c r="AX500" s="326"/>
      <c r="AY500" s="327"/>
      <c r="AZ500" s="70"/>
      <c r="BA500" s="70"/>
      <c r="BB500" s="643" t="s">
        <v>334</v>
      </c>
      <c r="BC500" s="327"/>
      <c r="BD500" s="645" t="s">
        <v>303</v>
      </c>
      <c r="BE500" s="326"/>
      <c r="BF500" s="327"/>
      <c r="BG500" s="646" t="s">
        <v>303</v>
      </c>
      <c r="BH500" s="326"/>
      <c r="BI500" s="326"/>
      <c r="BJ500" s="327"/>
      <c r="BK500" s="647"/>
      <c r="BL500" s="326"/>
      <c r="BM500" s="327"/>
      <c r="BN500" s="71"/>
      <c r="BO500" s="71"/>
      <c r="BP500" s="646"/>
      <c r="BQ500" s="326"/>
      <c r="BR500" s="327"/>
      <c r="BS500" s="645" t="s">
        <v>303</v>
      </c>
      <c r="BT500" s="326"/>
      <c r="BU500" s="327"/>
    </row>
    <row r="501" spans="1:73" ht="30" customHeight="1" x14ac:dyDescent="0.25">
      <c r="A501" s="65">
        <f t="shared" si="1"/>
        <v>487</v>
      </c>
      <c r="B501" s="639" t="s">
        <v>334</v>
      </c>
      <c r="C501" s="327"/>
      <c r="D501" s="640" t="s">
        <v>303</v>
      </c>
      <c r="E501" s="326"/>
      <c r="F501" s="326"/>
      <c r="G501" s="327"/>
      <c r="H501" s="641" t="s">
        <v>303</v>
      </c>
      <c r="I501" s="326"/>
      <c r="J501" s="326"/>
      <c r="K501" s="327"/>
      <c r="L501" s="438" t="s">
        <v>303</v>
      </c>
      <c r="M501" s="326"/>
      <c r="N501" s="327"/>
      <c r="O501" s="519" t="s">
        <v>303</v>
      </c>
      <c r="P501" s="326"/>
      <c r="Q501" s="327"/>
      <c r="R501" s="527"/>
      <c r="S501" s="326"/>
      <c r="T501" s="327"/>
      <c r="U501" s="497"/>
      <c r="V501" s="326"/>
      <c r="W501" s="327"/>
      <c r="X501" s="66"/>
      <c r="Y501" s="67"/>
      <c r="Z501" s="66"/>
      <c r="AA501" s="67"/>
      <c r="AB501" s="66"/>
      <c r="AC501" s="67"/>
      <c r="AD501" s="66"/>
      <c r="AE501" s="67"/>
      <c r="AF501" s="66"/>
      <c r="AG501" s="67"/>
      <c r="AH501" s="66"/>
      <c r="AI501" s="67"/>
      <c r="AJ501" s="50"/>
      <c r="AK501" s="69"/>
      <c r="AL501" s="50"/>
      <c r="AM501" s="69"/>
      <c r="AN501" s="50"/>
      <c r="AO501" s="69"/>
      <c r="AP501" s="50"/>
      <c r="AQ501" s="69"/>
      <c r="AR501" s="50"/>
      <c r="AS501" s="642" t="s">
        <v>303</v>
      </c>
      <c r="AT501" s="326"/>
      <c r="AU501" s="326"/>
      <c r="AV501" s="326"/>
      <c r="AW501" s="326"/>
      <c r="AX501" s="326"/>
      <c r="AY501" s="327"/>
      <c r="AZ501" s="70"/>
      <c r="BA501" s="70"/>
      <c r="BB501" s="643" t="s">
        <v>334</v>
      </c>
      <c r="BC501" s="327"/>
      <c r="BD501" s="645" t="s">
        <v>303</v>
      </c>
      <c r="BE501" s="326"/>
      <c r="BF501" s="327"/>
      <c r="BG501" s="646" t="s">
        <v>303</v>
      </c>
      <c r="BH501" s="326"/>
      <c r="BI501" s="326"/>
      <c r="BJ501" s="327"/>
      <c r="BK501" s="647"/>
      <c r="BL501" s="326"/>
      <c r="BM501" s="327"/>
      <c r="BN501" s="71"/>
      <c r="BO501" s="71"/>
      <c r="BP501" s="646"/>
      <c r="BQ501" s="326"/>
      <c r="BR501" s="327"/>
      <c r="BS501" s="645" t="s">
        <v>303</v>
      </c>
      <c r="BT501" s="326"/>
      <c r="BU501" s="327"/>
    </row>
    <row r="502" spans="1:73" ht="30" customHeight="1" x14ac:dyDescent="0.25">
      <c r="A502" s="65">
        <f t="shared" si="1"/>
        <v>488</v>
      </c>
      <c r="B502" s="639" t="s">
        <v>334</v>
      </c>
      <c r="C502" s="327"/>
      <c r="D502" s="640" t="s">
        <v>303</v>
      </c>
      <c r="E502" s="326"/>
      <c r="F502" s="326"/>
      <c r="G502" s="327"/>
      <c r="H502" s="641" t="s">
        <v>303</v>
      </c>
      <c r="I502" s="326"/>
      <c r="J502" s="326"/>
      <c r="K502" s="327"/>
      <c r="L502" s="438" t="s">
        <v>303</v>
      </c>
      <c r="M502" s="326"/>
      <c r="N502" s="327"/>
      <c r="O502" s="519" t="s">
        <v>303</v>
      </c>
      <c r="P502" s="326"/>
      <c r="Q502" s="327"/>
      <c r="R502" s="527"/>
      <c r="S502" s="326"/>
      <c r="T502" s="327"/>
      <c r="U502" s="497"/>
      <c r="V502" s="326"/>
      <c r="W502" s="327"/>
      <c r="X502" s="66"/>
      <c r="Y502" s="67"/>
      <c r="Z502" s="66"/>
      <c r="AA502" s="67"/>
      <c r="AB502" s="66"/>
      <c r="AC502" s="67"/>
      <c r="AD502" s="66"/>
      <c r="AE502" s="67"/>
      <c r="AF502" s="66"/>
      <c r="AG502" s="67"/>
      <c r="AH502" s="66"/>
      <c r="AI502" s="67"/>
      <c r="AJ502" s="50"/>
      <c r="AK502" s="69"/>
      <c r="AL502" s="50"/>
      <c r="AM502" s="69"/>
      <c r="AN502" s="50"/>
      <c r="AO502" s="69"/>
      <c r="AP502" s="50"/>
      <c r="AQ502" s="69"/>
      <c r="AR502" s="50"/>
      <c r="AS502" s="642" t="s">
        <v>303</v>
      </c>
      <c r="AT502" s="326"/>
      <c r="AU502" s="326"/>
      <c r="AV502" s="326"/>
      <c r="AW502" s="326"/>
      <c r="AX502" s="326"/>
      <c r="AY502" s="327"/>
      <c r="AZ502" s="70"/>
      <c r="BA502" s="70"/>
      <c r="BB502" s="643" t="s">
        <v>334</v>
      </c>
      <c r="BC502" s="327"/>
      <c r="BD502" s="645" t="s">
        <v>303</v>
      </c>
      <c r="BE502" s="326"/>
      <c r="BF502" s="327"/>
      <c r="BG502" s="646" t="s">
        <v>303</v>
      </c>
      <c r="BH502" s="326"/>
      <c r="BI502" s="326"/>
      <c r="BJ502" s="327"/>
      <c r="BK502" s="647"/>
      <c r="BL502" s="326"/>
      <c r="BM502" s="327"/>
      <c r="BN502" s="71"/>
      <c r="BO502" s="71"/>
      <c r="BP502" s="646"/>
      <c r="BQ502" s="326"/>
      <c r="BR502" s="327"/>
      <c r="BS502" s="645" t="s">
        <v>303</v>
      </c>
      <c r="BT502" s="326"/>
      <c r="BU502" s="327"/>
    </row>
    <row r="503" spans="1:73" ht="30" customHeight="1" x14ac:dyDescent="0.25">
      <c r="A503" s="65">
        <f t="shared" si="1"/>
        <v>489</v>
      </c>
      <c r="B503" s="639" t="s">
        <v>334</v>
      </c>
      <c r="C503" s="327"/>
      <c r="D503" s="640" t="s">
        <v>303</v>
      </c>
      <c r="E503" s="326"/>
      <c r="F503" s="326"/>
      <c r="G503" s="327"/>
      <c r="H503" s="641" t="s">
        <v>303</v>
      </c>
      <c r="I503" s="326"/>
      <c r="J503" s="326"/>
      <c r="K503" s="327"/>
      <c r="L503" s="438" t="s">
        <v>303</v>
      </c>
      <c r="M503" s="326"/>
      <c r="N503" s="327"/>
      <c r="O503" s="519" t="s">
        <v>303</v>
      </c>
      <c r="P503" s="326"/>
      <c r="Q503" s="327"/>
      <c r="R503" s="527"/>
      <c r="S503" s="326"/>
      <c r="T503" s="327"/>
      <c r="U503" s="497"/>
      <c r="V503" s="326"/>
      <c r="W503" s="327"/>
      <c r="X503" s="66"/>
      <c r="Y503" s="67"/>
      <c r="Z503" s="66"/>
      <c r="AA503" s="67"/>
      <c r="AB503" s="66"/>
      <c r="AC503" s="67"/>
      <c r="AD503" s="66"/>
      <c r="AE503" s="67"/>
      <c r="AF503" s="66"/>
      <c r="AG503" s="67"/>
      <c r="AH503" s="66"/>
      <c r="AI503" s="67"/>
      <c r="AJ503" s="50"/>
      <c r="AK503" s="69"/>
      <c r="AL503" s="50"/>
      <c r="AM503" s="69"/>
      <c r="AN503" s="50"/>
      <c r="AO503" s="69"/>
      <c r="AP503" s="50"/>
      <c r="AQ503" s="69"/>
      <c r="AR503" s="50"/>
      <c r="AS503" s="642" t="s">
        <v>303</v>
      </c>
      <c r="AT503" s="326"/>
      <c r="AU503" s="326"/>
      <c r="AV503" s="326"/>
      <c r="AW503" s="326"/>
      <c r="AX503" s="326"/>
      <c r="AY503" s="327"/>
      <c r="AZ503" s="70"/>
      <c r="BA503" s="70"/>
      <c r="BB503" s="643" t="s">
        <v>334</v>
      </c>
      <c r="BC503" s="327"/>
      <c r="BD503" s="645" t="s">
        <v>303</v>
      </c>
      <c r="BE503" s="326"/>
      <c r="BF503" s="327"/>
      <c r="BG503" s="646" t="s">
        <v>303</v>
      </c>
      <c r="BH503" s="326"/>
      <c r="BI503" s="326"/>
      <c r="BJ503" s="327"/>
      <c r="BK503" s="647"/>
      <c r="BL503" s="326"/>
      <c r="BM503" s="327"/>
      <c r="BN503" s="71"/>
      <c r="BO503" s="71"/>
      <c r="BP503" s="646"/>
      <c r="BQ503" s="326"/>
      <c r="BR503" s="327"/>
      <c r="BS503" s="645" t="s">
        <v>303</v>
      </c>
      <c r="BT503" s="326"/>
      <c r="BU503" s="327"/>
    </row>
    <row r="504" spans="1:73" ht="30" customHeight="1" x14ac:dyDescent="0.25">
      <c r="A504" s="65">
        <f t="shared" si="1"/>
        <v>490</v>
      </c>
      <c r="B504" s="639" t="s">
        <v>334</v>
      </c>
      <c r="C504" s="327"/>
      <c r="D504" s="640" t="s">
        <v>303</v>
      </c>
      <c r="E504" s="326"/>
      <c r="F504" s="326"/>
      <c r="G504" s="327"/>
      <c r="H504" s="641" t="s">
        <v>303</v>
      </c>
      <c r="I504" s="326"/>
      <c r="J504" s="326"/>
      <c r="K504" s="327"/>
      <c r="L504" s="438" t="s">
        <v>303</v>
      </c>
      <c r="M504" s="326"/>
      <c r="N504" s="327"/>
      <c r="O504" s="519" t="s">
        <v>303</v>
      </c>
      <c r="P504" s="326"/>
      <c r="Q504" s="327"/>
      <c r="R504" s="527"/>
      <c r="S504" s="326"/>
      <c r="T504" s="327"/>
      <c r="U504" s="497"/>
      <c r="V504" s="326"/>
      <c r="W504" s="327"/>
      <c r="X504" s="66"/>
      <c r="Y504" s="67"/>
      <c r="Z504" s="66"/>
      <c r="AA504" s="67"/>
      <c r="AB504" s="66"/>
      <c r="AC504" s="67"/>
      <c r="AD504" s="66"/>
      <c r="AE504" s="67"/>
      <c r="AF504" s="66"/>
      <c r="AG504" s="67"/>
      <c r="AH504" s="66"/>
      <c r="AI504" s="67"/>
      <c r="AJ504" s="50"/>
      <c r="AK504" s="69"/>
      <c r="AL504" s="50"/>
      <c r="AM504" s="69"/>
      <c r="AN504" s="50"/>
      <c r="AO504" s="69"/>
      <c r="AP504" s="50"/>
      <c r="AQ504" s="69"/>
      <c r="AR504" s="50"/>
      <c r="AS504" s="642" t="s">
        <v>303</v>
      </c>
      <c r="AT504" s="326"/>
      <c r="AU504" s="326"/>
      <c r="AV504" s="326"/>
      <c r="AW504" s="326"/>
      <c r="AX504" s="326"/>
      <c r="AY504" s="327"/>
      <c r="AZ504" s="70"/>
      <c r="BA504" s="70"/>
      <c r="BB504" s="643" t="s">
        <v>334</v>
      </c>
      <c r="BC504" s="327"/>
      <c r="BD504" s="645" t="s">
        <v>303</v>
      </c>
      <c r="BE504" s="326"/>
      <c r="BF504" s="327"/>
      <c r="BG504" s="646" t="s">
        <v>303</v>
      </c>
      <c r="BH504" s="326"/>
      <c r="BI504" s="326"/>
      <c r="BJ504" s="327"/>
      <c r="BK504" s="647"/>
      <c r="BL504" s="326"/>
      <c r="BM504" s="327"/>
      <c r="BN504" s="71"/>
      <c r="BO504" s="71"/>
      <c r="BP504" s="646"/>
      <c r="BQ504" s="326"/>
      <c r="BR504" s="327"/>
      <c r="BS504" s="645" t="s">
        <v>303</v>
      </c>
      <c r="BT504" s="326"/>
      <c r="BU504" s="327"/>
    </row>
    <row r="505" spans="1:73" ht="30" customHeight="1" x14ac:dyDescent="0.25">
      <c r="A505" s="65">
        <f t="shared" si="1"/>
        <v>491</v>
      </c>
      <c r="B505" s="639" t="s">
        <v>334</v>
      </c>
      <c r="C505" s="327"/>
      <c r="D505" s="640" t="s">
        <v>303</v>
      </c>
      <c r="E505" s="326"/>
      <c r="F505" s="326"/>
      <c r="G505" s="327"/>
      <c r="H505" s="641" t="s">
        <v>303</v>
      </c>
      <c r="I505" s="326"/>
      <c r="J505" s="326"/>
      <c r="K505" s="327"/>
      <c r="L505" s="438" t="s">
        <v>303</v>
      </c>
      <c r="M505" s="326"/>
      <c r="N505" s="327"/>
      <c r="O505" s="519" t="s">
        <v>303</v>
      </c>
      <c r="P505" s="326"/>
      <c r="Q505" s="327"/>
      <c r="R505" s="527"/>
      <c r="S505" s="326"/>
      <c r="T505" s="327"/>
      <c r="U505" s="497"/>
      <c r="V505" s="326"/>
      <c r="W505" s="327"/>
      <c r="X505" s="66"/>
      <c r="Y505" s="67"/>
      <c r="Z505" s="66"/>
      <c r="AA505" s="67"/>
      <c r="AB505" s="66"/>
      <c r="AC505" s="67"/>
      <c r="AD505" s="66"/>
      <c r="AE505" s="67"/>
      <c r="AF505" s="66"/>
      <c r="AG505" s="67"/>
      <c r="AH505" s="66"/>
      <c r="AI505" s="67"/>
      <c r="AJ505" s="50"/>
      <c r="AK505" s="69"/>
      <c r="AL505" s="50"/>
      <c r="AM505" s="69"/>
      <c r="AN505" s="50"/>
      <c r="AO505" s="69"/>
      <c r="AP505" s="50"/>
      <c r="AQ505" s="69"/>
      <c r="AR505" s="50"/>
      <c r="AS505" s="642" t="s">
        <v>303</v>
      </c>
      <c r="AT505" s="326"/>
      <c r="AU505" s="326"/>
      <c r="AV505" s="326"/>
      <c r="AW505" s="326"/>
      <c r="AX505" s="326"/>
      <c r="AY505" s="327"/>
      <c r="AZ505" s="70"/>
      <c r="BA505" s="70"/>
      <c r="BB505" s="643" t="s">
        <v>334</v>
      </c>
      <c r="BC505" s="327"/>
      <c r="BD505" s="645" t="s">
        <v>303</v>
      </c>
      <c r="BE505" s="326"/>
      <c r="BF505" s="327"/>
      <c r="BG505" s="646" t="s">
        <v>303</v>
      </c>
      <c r="BH505" s="326"/>
      <c r="BI505" s="326"/>
      <c r="BJ505" s="327"/>
      <c r="BK505" s="647"/>
      <c r="BL505" s="326"/>
      <c r="BM505" s="327"/>
      <c r="BN505" s="71"/>
      <c r="BO505" s="71"/>
      <c r="BP505" s="646"/>
      <c r="BQ505" s="326"/>
      <c r="BR505" s="327"/>
      <c r="BS505" s="645" t="s">
        <v>303</v>
      </c>
      <c r="BT505" s="326"/>
      <c r="BU505" s="327"/>
    </row>
    <row r="506" spans="1:73" ht="30" customHeight="1" x14ac:dyDescent="0.25">
      <c r="A506" s="65">
        <f t="shared" si="1"/>
        <v>492</v>
      </c>
      <c r="B506" s="639" t="s">
        <v>334</v>
      </c>
      <c r="C506" s="327"/>
      <c r="D506" s="640" t="s">
        <v>303</v>
      </c>
      <c r="E506" s="326"/>
      <c r="F506" s="326"/>
      <c r="G506" s="327"/>
      <c r="H506" s="641" t="s">
        <v>303</v>
      </c>
      <c r="I506" s="326"/>
      <c r="J506" s="326"/>
      <c r="K506" s="327"/>
      <c r="L506" s="438" t="s">
        <v>303</v>
      </c>
      <c r="M506" s="326"/>
      <c r="N506" s="327"/>
      <c r="O506" s="519" t="s">
        <v>303</v>
      </c>
      <c r="P506" s="326"/>
      <c r="Q506" s="327"/>
      <c r="R506" s="527"/>
      <c r="S506" s="326"/>
      <c r="T506" s="327"/>
      <c r="U506" s="497"/>
      <c r="V506" s="326"/>
      <c r="W506" s="327"/>
      <c r="X506" s="66"/>
      <c r="Y506" s="67"/>
      <c r="Z506" s="66"/>
      <c r="AA506" s="67"/>
      <c r="AB506" s="66"/>
      <c r="AC506" s="67"/>
      <c r="AD506" s="66"/>
      <c r="AE506" s="67"/>
      <c r="AF506" s="66"/>
      <c r="AG506" s="67"/>
      <c r="AH506" s="66"/>
      <c r="AI506" s="67"/>
      <c r="AJ506" s="50"/>
      <c r="AK506" s="69"/>
      <c r="AL506" s="50"/>
      <c r="AM506" s="69"/>
      <c r="AN506" s="50"/>
      <c r="AO506" s="69"/>
      <c r="AP506" s="50"/>
      <c r="AQ506" s="69"/>
      <c r="AR506" s="50"/>
      <c r="AS506" s="642" t="s">
        <v>303</v>
      </c>
      <c r="AT506" s="326"/>
      <c r="AU506" s="326"/>
      <c r="AV506" s="326"/>
      <c r="AW506" s="326"/>
      <c r="AX506" s="326"/>
      <c r="AY506" s="327"/>
      <c r="AZ506" s="70"/>
      <c r="BA506" s="70"/>
      <c r="BB506" s="643" t="s">
        <v>334</v>
      </c>
      <c r="BC506" s="327"/>
      <c r="BD506" s="645" t="s">
        <v>303</v>
      </c>
      <c r="BE506" s="326"/>
      <c r="BF506" s="327"/>
      <c r="BG506" s="646" t="s">
        <v>303</v>
      </c>
      <c r="BH506" s="326"/>
      <c r="BI506" s="326"/>
      <c r="BJ506" s="327"/>
      <c r="BK506" s="647"/>
      <c r="BL506" s="326"/>
      <c r="BM506" s="327"/>
      <c r="BN506" s="71"/>
      <c r="BO506" s="71"/>
      <c r="BP506" s="646"/>
      <c r="BQ506" s="326"/>
      <c r="BR506" s="327"/>
      <c r="BS506" s="645" t="s">
        <v>303</v>
      </c>
      <c r="BT506" s="326"/>
      <c r="BU506" s="327"/>
    </row>
    <row r="507" spans="1:73" ht="30" customHeight="1" x14ac:dyDescent="0.25">
      <c r="A507" s="65">
        <f t="shared" si="1"/>
        <v>493</v>
      </c>
      <c r="B507" s="639" t="s">
        <v>334</v>
      </c>
      <c r="C507" s="327"/>
      <c r="D507" s="640" t="s">
        <v>303</v>
      </c>
      <c r="E507" s="326"/>
      <c r="F507" s="326"/>
      <c r="G507" s="327"/>
      <c r="H507" s="641" t="s">
        <v>303</v>
      </c>
      <c r="I507" s="326"/>
      <c r="J507" s="326"/>
      <c r="K507" s="327"/>
      <c r="L507" s="438" t="s">
        <v>303</v>
      </c>
      <c r="M507" s="326"/>
      <c r="N507" s="327"/>
      <c r="O507" s="519" t="s">
        <v>303</v>
      </c>
      <c r="P507" s="326"/>
      <c r="Q507" s="327"/>
      <c r="R507" s="527"/>
      <c r="S507" s="326"/>
      <c r="T507" s="327"/>
      <c r="U507" s="497"/>
      <c r="V507" s="326"/>
      <c r="W507" s="327"/>
      <c r="X507" s="66"/>
      <c r="Y507" s="67"/>
      <c r="Z507" s="66"/>
      <c r="AA507" s="67"/>
      <c r="AB507" s="66"/>
      <c r="AC507" s="67"/>
      <c r="AD507" s="66"/>
      <c r="AE507" s="67"/>
      <c r="AF507" s="66"/>
      <c r="AG507" s="67"/>
      <c r="AH507" s="66"/>
      <c r="AI507" s="67"/>
      <c r="AJ507" s="50"/>
      <c r="AK507" s="69"/>
      <c r="AL507" s="50"/>
      <c r="AM507" s="69"/>
      <c r="AN507" s="50"/>
      <c r="AO507" s="69"/>
      <c r="AP507" s="50"/>
      <c r="AQ507" s="69"/>
      <c r="AR507" s="50"/>
      <c r="AS507" s="642" t="s">
        <v>303</v>
      </c>
      <c r="AT507" s="326"/>
      <c r="AU507" s="326"/>
      <c r="AV507" s="326"/>
      <c r="AW507" s="326"/>
      <c r="AX507" s="326"/>
      <c r="AY507" s="327"/>
      <c r="AZ507" s="70"/>
      <c r="BA507" s="70"/>
      <c r="BB507" s="643" t="s">
        <v>334</v>
      </c>
      <c r="BC507" s="327"/>
      <c r="BD507" s="645" t="s">
        <v>303</v>
      </c>
      <c r="BE507" s="326"/>
      <c r="BF507" s="327"/>
      <c r="BG507" s="646" t="s">
        <v>303</v>
      </c>
      <c r="BH507" s="326"/>
      <c r="BI507" s="326"/>
      <c r="BJ507" s="327"/>
      <c r="BK507" s="647"/>
      <c r="BL507" s="326"/>
      <c r="BM507" s="327"/>
      <c r="BN507" s="71"/>
      <c r="BO507" s="71"/>
      <c r="BP507" s="646"/>
      <c r="BQ507" s="326"/>
      <c r="BR507" s="327"/>
      <c r="BS507" s="645" t="s">
        <v>303</v>
      </c>
      <c r="BT507" s="326"/>
      <c r="BU507" s="327"/>
    </row>
    <row r="508" spans="1:73" ht="30" customHeight="1" x14ac:dyDescent="0.25">
      <c r="A508" s="65">
        <f t="shared" si="1"/>
        <v>494</v>
      </c>
      <c r="B508" s="639" t="s">
        <v>334</v>
      </c>
      <c r="C508" s="327"/>
      <c r="D508" s="640" t="s">
        <v>303</v>
      </c>
      <c r="E508" s="326"/>
      <c r="F508" s="326"/>
      <c r="G508" s="327"/>
      <c r="H508" s="641" t="s">
        <v>303</v>
      </c>
      <c r="I508" s="326"/>
      <c r="J508" s="326"/>
      <c r="K508" s="327"/>
      <c r="L508" s="438" t="s">
        <v>303</v>
      </c>
      <c r="M508" s="326"/>
      <c r="N508" s="327"/>
      <c r="O508" s="519" t="s">
        <v>303</v>
      </c>
      <c r="P508" s="326"/>
      <c r="Q508" s="327"/>
      <c r="R508" s="527"/>
      <c r="S508" s="326"/>
      <c r="T508" s="327"/>
      <c r="U508" s="497"/>
      <c r="V508" s="326"/>
      <c r="W508" s="327"/>
      <c r="X508" s="66"/>
      <c r="Y508" s="67"/>
      <c r="Z508" s="66"/>
      <c r="AA508" s="67"/>
      <c r="AB508" s="66"/>
      <c r="AC508" s="67"/>
      <c r="AD508" s="66"/>
      <c r="AE508" s="67"/>
      <c r="AF508" s="66"/>
      <c r="AG508" s="67"/>
      <c r="AH508" s="66"/>
      <c r="AI508" s="67"/>
      <c r="AJ508" s="50"/>
      <c r="AK508" s="69"/>
      <c r="AL508" s="50"/>
      <c r="AM508" s="69"/>
      <c r="AN508" s="50"/>
      <c r="AO508" s="69"/>
      <c r="AP508" s="50"/>
      <c r="AQ508" s="69"/>
      <c r="AR508" s="50"/>
      <c r="AS508" s="642" t="s">
        <v>303</v>
      </c>
      <c r="AT508" s="326"/>
      <c r="AU508" s="326"/>
      <c r="AV508" s="326"/>
      <c r="AW508" s="326"/>
      <c r="AX508" s="326"/>
      <c r="AY508" s="327"/>
      <c r="AZ508" s="70"/>
      <c r="BA508" s="70"/>
      <c r="BB508" s="643" t="s">
        <v>334</v>
      </c>
      <c r="BC508" s="327"/>
      <c r="BD508" s="645" t="s">
        <v>303</v>
      </c>
      <c r="BE508" s="326"/>
      <c r="BF508" s="327"/>
      <c r="BG508" s="646" t="s">
        <v>303</v>
      </c>
      <c r="BH508" s="326"/>
      <c r="BI508" s="326"/>
      <c r="BJ508" s="327"/>
      <c r="BK508" s="647"/>
      <c r="BL508" s="326"/>
      <c r="BM508" s="327"/>
      <c r="BN508" s="71"/>
      <c r="BO508" s="71"/>
      <c r="BP508" s="646"/>
      <c r="BQ508" s="326"/>
      <c r="BR508" s="327"/>
      <c r="BS508" s="645" t="s">
        <v>303</v>
      </c>
      <c r="BT508" s="326"/>
      <c r="BU508" s="327"/>
    </row>
    <row r="509" spans="1:73" ht="30" customHeight="1" x14ac:dyDescent="0.25">
      <c r="A509" s="65">
        <f t="shared" si="1"/>
        <v>495</v>
      </c>
      <c r="B509" s="639" t="s">
        <v>334</v>
      </c>
      <c r="C509" s="327"/>
      <c r="D509" s="640" t="s">
        <v>303</v>
      </c>
      <c r="E509" s="326"/>
      <c r="F509" s="326"/>
      <c r="G509" s="327"/>
      <c r="H509" s="641" t="s">
        <v>303</v>
      </c>
      <c r="I509" s="326"/>
      <c r="J509" s="326"/>
      <c r="K509" s="327"/>
      <c r="L509" s="438" t="s">
        <v>303</v>
      </c>
      <c r="M509" s="326"/>
      <c r="N509" s="327"/>
      <c r="O509" s="519" t="s">
        <v>303</v>
      </c>
      <c r="P509" s="326"/>
      <c r="Q509" s="327"/>
      <c r="R509" s="527"/>
      <c r="S509" s="326"/>
      <c r="T509" s="327"/>
      <c r="U509" s="497"/>
      <c r="V509" s="326"/>
      <c r="W509" s="327"/>
      <c r="X509" s="66"/>
      <c r="Y509" s="67"/>
      <c r="Z509" s="66"/>
      <c r="AA509" s="67"/>
      <c r="AB509" s="66"/>
      <c r="AC509" s="67"/>
      <c r="AD509" s="66"/>
      <c r="AE509" s="67"/>
      <c r="AF509" s="66"/>
      <c r="AG509" s="67"/>
      <c r="AH509" s="66"/>
      <c r="AI509" s="67"/>
      <c r="AJ509" s="50"/>
      <c r="AK509" s="69"/>
      <c r="AL509" s="50"/>
      <c r="AM509" s="69"/>
      <c r="AN509" s="50"/>
      <c r="AO509" s="69"/>
      <c r="AP509" s="50"/>
      <c r="AQ509" s="69"/>
      <c r="AR509" s="50"/>
      <c r="AS509" s="642" t="s">
        <v>303</v>
      </c>
      <c r="AT509" s="326"/>
      <c r="AU509" s="326"/>
      <c r="AV509" s="326"/>
      <c r="AW509" s="326"/>
      <c r="AX509" s="326"/>
      <c r="AY509" s="327"/>
      <c r="AZ509" s="70"/>
      <c r="BA509" s="70"/>
      <c r="BB509" s="643" t="s">
        <v>334</v>
      </c>
      <c r="BC509" s="327"/>
      <c r="BD509" s="645" t="s">
        <v>303</v>
      </c>
      <c r="BE509" s="326"/>
      <c r="BF509" s="327"/>
      <c r="BG509" s="646" t="s">
        <v>303</v>
      </c>
      <c r="BH509" s="326"/>
      <c r="BI509" s="326"/>
      <c r="BJ509" s="327"/>
      <c r="BK509" s="647"/>
      <c r="BL509" s="326"/>
      <c r="BM509" s="327"/>
      <c r="BN509" s="71"/>
      <c r="BO509" s="71"/>
      <c r="BP509" s="646"/>
      <c r="BQ509" s="326"/>
      <c r="BR509" s="327"/>
      <c r="BS509" s="645" t="s">
        <v>303</v>
      </c>
      <c r="BT509" s="326"/>
      <c r="BU509" s="327"/>
    </row>
    <row r="510" spans="1:73" ht="30" customHeight="1" x14ac:dyDescent="0.25">
      <c r="A510" s="65">
        <f t="shared" si="1"/>
        <v>496</v>
      </c>
      <c r="B510" s="639" t="s">
        <v>334</v>
      </c>
      <c r="C510" s="327"/>
      <c r="D510" s="640" t="s">
        <v>303</v>
      </c>
      <c r="E510" s="326"/>
      <c r="F510" s="326"/>
      <c r="G510" s="327"/>
      <c r="H510" s="641" t="s">
        <v>303</v>
      </c>
      <c r="I510" s="326"/>
      <c r="J510" s="326"/>
      <c r="K510" s="327"/>
      <c r="L510" s="438" t="s">
        <v>303</v>
      </c>
      <c r="M510" s="326"/>
      <c r="N510" s="327"/>
      <c r="O510" s="519" t="s">
        <v>303</v>
      </c>
      <c r="P510" s="326"/>
      <c r="Q510" s="327"/>
      <c r="R510" s="527"/>
      <c r="S510" s="326"/>
      <c r="T510" s="327"/>
      <c r="U510" s="497"/>
      <c r="V510" s="326"/>
      <c r="W510" s="327"/>
      <c r="X510" s="66"/>
      <c r="Y510" s="67"/>
      <c r="Z510" s="66"/>
      <c r="AA510" s="67"/>
      <c r="AB510" s="66"/>
      <c r="AC510" s="67"/>
      <c r="AD510" s="66"/>
      <c r="AE510" s="67"/>
      <c r="AF510" s="66"/>
      <c r="AG510" s="67"/>
      <c r="AH510" s="66"/>
      <c r="AI510" s="67"/>
      <c r="AJ510" s="50"/>
      <c r="AK510" s="69"/>
      <c r="AL510" s="50"/>
      <c r="AM510" s="69"/>
      <c r="AN510" s="50"/>
      <c r="AO510" s="69"/>
      <c r="AP510" s="50"/>
      <c r="AQ510" s="69"/>
      <c r="AR510" s="50"/>
      <c r="AS510" s="642" t="s">
        <v>303</v>
      </c>
      <c r="AT510" s="326"/>
      <c r="AU510" s="326"/>
      <c r="AV510" s="326"/>
      <c r="AW510" s="326"/>
      <c r="AX510" s="326"/>
      <c r="AY510" s="327"/>
      <c r="AZ510" s="70"/>
      <c r="BA510" s="70"/>
      <c r="BB510" s="643" t="s">
        <v>334</v>
      </c>
      <c r="BC510" s="327"/>
      <c r="BD510" s="645" t="s">
        <v>303</v>
      </c>
      <c r="BE510" s="326"/>
      <c r="BF510" s="327"/>
      <c r="BG510" s="646" t="s">
        <v>303</v>
      </c>
      <c r="BH510" s="326"/>
      <c r="BI510" s="326"/>
      <c r="BJ510" s="327"/>
      <c r="BK510" s="647"/>
      <c r="BL510" s="326"/>
      <c r="BM510" s="327"/>
      <c r="BN510" s="71"/>
      <c r="BO510" s="71"/>
      <c r="BP510" s="646"/>
      <c r="BQ510" s="326"/>
      <c r="BR510" s="327"/>
      <c r="BS510" s="645" t="s">
        <v>303</v>
      </c>
      <c r="BT510" s="326"/>
      <c r="BU510" s="327"/>
    </row>
    <row r="511" spans="1:73" ht="30" customHeight="1" x14ac:dyDescent="0.25">
      <c r="A511" s="65">
        <f t="shared" si="1"/>
        <v>497</v>
      </c>
      <c r="B511" s="639" t="s">
        <v>334</v>
      </c>
      <c r="C511" s="327"/>
      <c r="D511" s="640" t="s">
        <v>303</v>
      </c>
      <c r="E511" s="326"/>
      <c r="F511" s="326"/>
      <c r="G511" s="327"/>
      <c r="H511" s="641" t="s">
        <v>303</v>
      </c>
      <c r="I511" s="326"/>
      <c r="J511" s="326"/>
      <c r="K511" s="327"/>
      <c r="L511" s="438" t="s">
        <v>303</v>
      </c>
      <c r="M511" s="326"/>
      <c r="N511" s="327"/>
      <c r="O511" s="519" t="s">
        <v>303</v>
      </c>
      <c r="P511" s="326"/>
      <c r="Q511" s="327"/>
      <c r="R511" s="527"/>
      <c r="S511" s="326"/>
      <c r="T511" s="327"/>
      <c r="U511" s="497"/>
      <c r="V511" s="326"/>
      <c r="W511" s="327"/>
      <c r="X511" s="66"/>
      <c r="Y511" s="67"/>
      <c r="Z511" s="66"/>
      <c r="AA511" s="67"/>
      <c r="AB511" s="66"/>
      <c r="AC511" s="67"/>
      <c r="AD511" s="66"/>
      <c r="AE511" s="67"/>
      <c r="AF511" s="66"/>
      <c r="AG511" s="67"/>
      <c r="AH511" s="66"/>
      <c r="AI511" s="67"/>
      <c r="AJ511" s="50"/>
      <c r="AK511" s="69"/>
      <c r="AL511" s="50"/>
      <c r="AM511" s="69"/>
      <c r="AN511" s="50"/>
      <c r="AO511" s="69"/>
      <c r="AP511" s="50"/>
      <c r="AQ511" s="69"/>
      <c r="AR511" s="50"/>
      <c r="AS511" s="642" t="s">
        <v>303</v>
      </c>
      <c r="AT511" s="326"/>
      <c r="AU511" s="326"/>
      <c r="AV511" s="326"/>
      <c r="AW511" s="326"/>
      <c r="AX511" s="326"/>
      <c r="AY511" s="327"/>
      <c r="AZ511" s="70"/>
      <c r="BA511" s="70"/>
      <c r="BB511" s="643" t="s">
        <v>334</v>
      </c>
      <c r="BC511" s="327"/>
      <c r="BD511" s="645" t="s">
        <v>303</v>
      </c>
      <c r="BE511" s="326"/>
      <c r="BF511" s="327"/>
      <c r="BG511" s="646" t="s">
        <v>303</v>
      </c>
      <c r="BH511" s="326"/>
      <c r="BI511" s="326"/>
      <c r="BJ511" s="327"/>
      <c r="BK511" s="647"/>
      <c r="BL511" s="326"/>
      <c r="BM511" s="327"/>
      <c r="BN511" s="71"/>
      <c r="BO511" s="71"/>
      <c r="BP511" s="646"/>
      <c r="BQ511" s="326"/>
      <c r="BR511" s="327"/>
      <c r="BS511" s="645" t="s">
        <v>303</v>
      </c>
      <c r="BT511" s="326"/>
      <c r="BU511" s="327"/>
    </row>
    <row r="512" spans="1:73" ht="30" customHeight="1" x14ac:dyDescent="0.25">
      <c r="A512" s="65">
        <f t="shared" si="1"/>
        <v>498</v>
      </c>
      <c r="B512" s="639" t="s">
        <v>334</v>
      </c>
      <c r="C512" s="327"/>
      <c r="D512" s="640" t="s">
        <v>303</v>
      </c>
      <c r="E512" s="326"/>
      <c r="F512" s="326"/>
      <c r="G512" s="327"/>
      <c r="H512" s="641" t="s">
        <v>303</v>
      </c>
      <c r="I512" s="326"/>
      <c r="J512" s="326"/>
      <c r="K512" s="327"/>
      <c r="L512" s="438" t="s">
        <v>303</v>
      </c>
      <c r="M512" s="326"/>
      <c r="N512" s="327"/>
      <c r="O512" s="519" t="s">
        <v>303</v>
      </c>
      <c r="P512" s="326"/>
      <c r="Q512" s="327"/>
      <c r="R512" s="527"/>
      <c r="S512" s="326"/>
      <c r="T512" s="327"/>
      <c r="U512" s="497"/>
      <c r="V512" s="326"/>
      <c r="W512" s="327"/>
      <c r="X512" s="66"/>
      <c r="Y512" s="67"/>
      <c r="Z512" s="66"/>
      <c r="AA512" s="67"/>
      <c r="AB512" s="66"/>
      <c r="AC512" s="67"/>
      <c r="AD512" s="66"/>
      <c r="AE512" s="67"/>
      <c r="AF512" s="66"/>
      <c r="AG512" s="67"/>
      <c r="AH512" s="66"/>
      <c r="AI512" s="67"/>
      <c r="AJ512" s="50"/>
      <c r="AK512" s="69"/>
      <c r="AL512" s="50"/>
      <c r="AM512" s="69"/>
      <c r="AN512" s="50"/>
      <c r="AO512" s="69"/>
      <c r="AP512" s="50"/>
      <c r="AQ512" s="69"/>
      <c r="AR512" s="50"/>
      <c r="AS512" s="642" t="s">
        <v>303</v>
      </c>
      <c r="AT512" s="326"/>
      <c r="AU512" s="326"/>
      <c r="AV512" s="326"/>
      <c r="AW512" s="326"/>
      <c r="AX512" s="326"/>
      <c r="AY512" s="327"/>
      <c r="AZ512" s="70"/>
      <c r="BA512" s="70"/>
      <c r="BB512" s="643" t="s">
        <v>334</v>
      </c>
      <c r="BC512" s="327"/>
      <c r="BD512" s="645" t="s">
        <v>303</v>
      </c>
      <c r="BE512" s="326"/>
      <c r="BF512" s="327"/>
      <c r="BG512" s="646" t="s">
        <v>303</v>
      </c>
      <c r="BH512" s="326"/>
      <c r="BI512" s="326"/>
      <c r="BJ512" s="327"/>
      <c r="BK512" s="647"/>
      <c r="BL512" s="326"/>
      <c r="BM512" s="327"/>
      <c r="BN512" s="71"/>
      <c r="BO512" s="71"/>
      <c r="BP512" s="646"/>
      <c r="BQ512" s="326"/>
      <c r="BR512" s="327"/>
      <c r="BS512" s="645" t="s">
        <v>303</v>
      </c>
      <c r="BT512" s="326"/>
      <c r="BU512" s="327"/>
    </row>
    <row r="513" spans="1:73" ht="30" customHeight="1" x14ac:dyDescent="0.25">
      <c r="A513" s="65">
        <f t="shared" si="1"/>
        <v>499</v>
      </c>
      <c r="B513" s="639" t="s">
        <v>334</v>
      </c>
      <c r="C513" s="327"/>
      <c r="D513" s="640" t="s">
        <v>303</v>
      </c>
      <c r="E513" s="326"/>
      <c r="F513" s="326"/>
      <c r="G513" s="327"/>
      <c r="H513" s="641" t="s">
        <v>303</v>
      </c>
      <c r="I513" s="326"/>
      <c r="J513" s="326"/>
      <c r="K513" s="327"/>
      <c r="L513" s="438" t="s">
        <v>303</v>
      </c>
      <c r="M513" s="326"/>
      <c r="N513" s="327"/>
      <c r="O513" s="519" t="s">
        <v>303</v>
      </c>
      <c r="P513" s="326"/>
      <c r="Q513" s="327"/>
      <c r="R513" s="527"/>
      <c r="S513" s="326"/>
      <c r="T513" s="327"/>
      <c r="U513" s="497"/>
      <c r="V513" s="326"/>
      <c r="W513" s="327"/>
      <c r="X513" s="66"/>
      <c r="Y513" s="67"/>
      <c r="Z513" s="66"/>
      <c r="AA513" s="67"/>
      <c r="AB513" s="66"/>
      <c r="AC513" s="67"/>
      <c r="AD513" s="66"/>
      <c r="AE513" s="67"/>
      <c r="AF513" s="66"/>
      <c r="AG513" s="67"/>
      <c r="AH513" s="66"/>
      <c r="AI513" s="67"/>
      <c r="AJ513" s="50"/>
      <c r="AK513" s="69"/>
      <c r="AL513" s="50"/>
      <c r="AM513" s="69"/>
      <c r="AN513" s="50"/>
      <c r="AO513" s="69"/>
      <c r="AP513" s="50"/>
      <c r="AQ513" s="69"/>
      <c r="AR513" s="50"/>
      <c r="AS513" s="642" t="s">
        <v>303</v>
      </c>
      <c r="AT513" s="326"/>
      <c r="AU513" s="326"/>
      <c r="AV513" s="326"/>
      <c r="AW513" s="326"/>
      <c r="AX513" s="326"/>
      <c r="AY513" s="327"/>
      <c r="AZ513" s="70"/>
      <c r="BA513" s="70"/>
      <c r="BB513" s="643" t="s">
        <v>334</v>
      </c>
      <c r="BC513" s="327"/>
      <c r="BD513" s="645" t="s">
        <v>303</v>
      </c>
      <c r="BE513" s="326"/>
      <c r="BF513" s="327"/>
      <c r="BG513" s="646" t="s">
        <v>303</v>
      </c>
      <c r="BH513" s="326"/>
      <c r="BI513" s="326"/>
      <c r="BJ513" s="327"/>
      <c r="BK513" s="647"/>
      <c r="BL513" s="326"/>
      <c r="BM513" s="327"/>
      <c r="BN513" s="71"/>
      <c r="BO513" s="71"/>
      <c r="BP513" s="646"/>
      <c r="BQ513" s="326"/>
      <c r="BR513" s="327"/>
      <c r="BS513" s="645" t="s">
        <v>303</v>
      </c>
      <c r="BT513" s="326"/>
      <c r="BU513" s="327"/>
    </row>
    <row r="514" spans="1:73" ht="30" customHeight="1" x14ac:dyDescent="0.25">
      <c r="A514" s="65">
        <f t="shared" si="1"/>
        <v>500</v>
      </c>
      <c r="B514" s="639" t="s">
        <v>334</v>
      </c>
      <c r="C514" s="327"/>
      <c r="D514" s="640" t="s">
        <v>303</v>
      </c>
      <c r="E514" s="326"/>
      <c r="F514" s="326"/>
      <c r="G514" s="327"/>
      <c r="H514" s="641" t="s">
        <v>303</v>
      </c>
      <c r="I514" s="326"/>
      <c r="J514" s="326"/>
      <c r="K514" s="327"/>
      <c r="L514" s="438" t="s">
        <v>303</v>
      </c>
      <c r="M514" s="326"/>
      <c r="N514" s="327"/>
      <c r="O514" s="519" t="s">
        <v>303</v>
      </c>
      <c r="P514" s="326"/>
      <c r="Q514" s="327"/>
      <c r="R514" s="527"/>
      <c r="S514" s="326"/>
      <c r="T514" s="327"/>
      <c r="U514" s="497"/>
      <c r="V514" s="326"/>
      <c r="W514" s="327"/>
      <c r="X514" s="66"/>
      <c r="Y514" s="67"/>
      <c r="Z514" s="66"/>
      <c r="AA514" s="67"/>
      <c r="AB514" s="66"/>
      <c r="AC514" s="67"/>
      <c r="AD514" s="66"/>
      <c r="AE514" s="67"/>
      <c r="AF514" s="66"/>
      <c r="AG514" s="67"/>
      <c r="AH514" s="66"/>
      <c r="AI514" s="67"/>
      <c r="AJ514" s="50"/>
      <c r="AK514" s="69"/>
      <c r="AL514" s="50"/>
      <c r="AM514" s="69"/>
      <c r="AN514" s="50"/>
      <c r="AO514" s="69"/>
      <c r="AP514" s="50"/>
      <c r="AQ514" s="69"/>
      <c r="AR514" s="50"/>
      <c r="AS514" s="651" t="s">
        <v>303</v>
      </c>
      <c r="AT514" s="344"/>
      <c r="AU514" s="344"/>
      <c r="AV514" s="344"/>
      <c r="AW514" s="344"/>
      <c r="AX514" s="344"/>
      <c r="AY514" s="345"/>
      <c r="AZ514" s="72"/>
      <c r="BA514" s="72"/>
      <c r="BB514" s="643" t="s">
        <v>334</v>
      </c>
      <c r="BC514" s="327"/>
      <c r="BD514" s="648" t="s">
        <v>303</v>
      </c>
      <c r="BE514" s="344"/>
      <c r="BF514" s="345"/>
      <c r="BG514" s="649" t="s">
        <v>303</v>
      </c>
      <c r="BH514" s="344"/>
      <c r="BI514" s="344"/>
      <c r="BJ514" s="345"/>
      <c r="BK514" s="650"/>
      <c r="BL514" s="344"/>
      <c r="BM514" s="345"/>
      <c r="BN514" s="73"/>
      <c r="BO514" s="73"/>
      <c r="BP514" s="649"/>
      <c r="BQ514" s="344"/>
      <c r="BR514" s="345"/>
      <c r="BS514" s="648" t="s">
        <v>303</v>
      </c>
      <c r="BT514" s="344"/>
      <c r="BU514" s="345"/>
    </row>
    <row r="515" spans="1:73" ht="15.75" customHeight="1" x14ac:dyDescent="0.25">
      <c r="AV515" s="74"/>
      <c r="AW515" s="74"/>
      <c r="AX515" s="74"/>
      <c r="AY515" s="74"/>
      <c r="AZ515" s="75"/>
      <c r="BA515" s="75"/>
      <c r="BB515" s="76"/>
      <c r="BC515" s="77"/>
      <c r="BD515" s="74"/>
      <c r="BE515" s="74"/>
      <c r="BF515" s="74"/>
      <c r="BG515" s="74"/>
      <c r="BH515" s="74"/>
      <c r="BI515" s="74"/>
      <c r="BJ515" s="74"/>
      <c r="BK515" s="78"/>
      <c r="BL515" s="78"/>
      <c r="BM515" s="78"/>
      <c r="BN515" s="78"/>
      <c r="BO515" s="78"/>
      <c r="BP515" s="74"/>
      <c r="BQ515" s="74"/>
      <c r="BR515" s="74"/>
      <c r="BS515" s="74"/>
      <c r="BT515" s="74"/>
      <c r="BU515" s="74"/>
    </row>
    <row r="516" spans="1:73" ht="15.75" customHeight="1" x14ac:dyDescent="0.25">
      <c r="AZ516" s="79"/>
      <c r="BA516" s="79"/>
      <c r="BB516" s="80"/>
      <c r="BC516" s="81"/>
      <c r="BK516" s="82"/>
      <c r="BL516" s="82"/>
      <c r="BM516" s="82"/>
      <c r="BN516" s="82"/>
      <c r="BO516" s="82"/>
    </row>
    <row r="517" spans="1:73" ht="15.75" customHeight="1" x14ac:dyDescent="0.25">
      <c r="AZ517" s="79"/>
      <c r="BA517" s="79"/>
      <c r="BB517" s="83"/>
      <c r="BC517" s="28"/>
      <c r="BK517" s="82"/>
      <c r="BL517" s="82"/>
      <c r="BM517" s="82"/>
      <c r="BN517" s="82"/>
      <c r="BO517" s="82"/>
    </row>
    <row r="518" spans="1:73" ht="15.75" customHeight="1" x14ac:dyDescent="0.25">
      <c r="AZ518" s="79"/>
      <c r="BA518" s="79"/>
      <c r="BB518" s="83"/>
      <c r="BC518" s="28"/>
      <c r="BK518" s="82"/>
      <c r="BL518" s="82"/>
      <c r="BM518" s="82"/>
      <c r="BN518" s="82"/>
      <c r="BO518" s="82"/>
    </row>
    <row r="519" spans="1:73" ht="15.75" customHeight="1" x14ac:dyDescent="0.25">
      <c r="AZ519" s="79"/>
      <c r="BA519" s="79"/>
      <c r="BB519" s="83"/>
      <c r="BC519" s="28"/>
      <c r="BK519" s="82"/>
      <c r="BL519" s="82"/>
      <c r="BM519" s="82"/>
      <c r="BN519" s="82"/>
      <c r="BO519" s="82"/>
    </row>
    <row r="520" spans="1:73" ht="15.75" customHeight="1" x14ac:dyDescent="0.25">
      <c r="AZ520" s="79"/>
      <c r="BA520" s="79"/>
      <c r="BB520" s="83"/>
      <c r="BC520" s="28"/>
      <c r="BK520" s="82"/>
      <c r="BL520" s="82"/>
      <c r="BM520" s="82"/>
      <c r="BN520" s="82"/>
      <c r="BO520" s="82"/>
    </row>
    <row r="521" spans="1:73" ht="15.75" customHeight="1" x14ac:dyDescent="0.25">
      <c r="AZ521" s="79"/>
      <c r="BA521" s="79"/>
      <c r="BB521" s="83"/>
      <c r="BC521" s="28"/>
      <c r="BK521" s="82"/>
      <c r="BL521" s="82"/>
      <c r="BM521" s="82"/>
      <c r="BN521" s="82"/>
      <c r="BO521" s="82"/>
    </row>
    <row r="522" spans="1:73" ht="15.75" customHeight="1" x14ac:dyDescent="0.25">
      <c r="AZ522" s="79"/>
      <c r="BA522" s="79"/>
      <c r="BB522" s="83"/>
      <c r="BC522" s="28"/>
      <c r="BK522" s="82"/>
      <c r="BL522" s="82"/>
      <c r="BM522" s="82"/>
      <c r="BN522" s="82"/>
      <c r="BO522" s="82"/>
    </row>
  </sheetData>
  <mergeCells count="7068">
    <mergeCell ref="BB381:BC381"/>
    <mergeCell ref="BB382:BC382"/>
    <mergeCell ref="BB383:BC383"/>
    <mergeCell ref="BB384:BC384"/>
    <mergeCell ref="BB385:BC385"/>
    <mergeCell ref="BB386:BC386"/>
    <mergeCell ref="BB387:BC387"/>
    <mergeCell ref="BD381:BF381"/>
    <mergeCell ref="BG381:BJ381"/>
    <mergeCell ref="BK381:BM381"/>
    <mergeCell ref="BK382:BM382"/>
    <mergeCell ref="BD382:BF382"/>
    <mergeCell ref="BG382:BJ382"/>
    <mergeCell ref="BD383:BF383"/>
    <mergeCell ref="BG383:BJ383"/>
    <mergeCell ref="BK383:BM383"/>
    <mergeCell ref="BG384:BJ384"/>
    <mergeCell ref="BK384:BM384"/>
    <mergeCell ref="BD387:BF387"/>
    <mergeCell ref="BG387:BJ387"/>
    <mergeCell ref="BG173:BJ173"/>
    <mergeCell ref="BK173:BM173"/>
    <mergeCell ref="AS174:AY174"/>
    <mergeCell ref="BK174:BM174"/>
    <mergeCell ref="BD176:BF176"/>
    <mergeCell ref="BG176:BJ176"/>
    <mergeCell ref="BB173:BC173"/>
    <mergeCell ref="BB174:BC174"/>
    <mergeCell ref="AS175:AY175"/>
    <mergeCell ref="BD175:BF175"/>
    <mergeCell ref="BG175:BJ175"/>
    <mergeCell ref="BK175:BM175"/>
    <mergeCell ref="AS176:AY176"/>
    <mergeCell ref="BK176:BM176"/>
    <mergeCell ref="BD178:BF178"/>
    <mergeCell ref="BG178:BJ178"/>
    <mergeCell ref="BB175:BC175"/>
    <mergeCell ref="BB176:BC176"/>
    <mergeCell ref="AS177:AY177"/>
    <mergeCell ref="BD177:BF177"/>
    <mergeCell ref="BG177:BJ177"/>
    <mergeCell ref="BK177:BM177"/>
    <mergeCell ref="AS178:AY178"/>
    <mergeCell ref="BK178:BM178"/>
    <mergeCell ref="BS393:BU393"/>
    <mergeCell ref="BB390:BC390"/>
    <mergeCell ref="BB391:BC391"/>
    <mergeCell ref="BD391:BF391"/>
    <mergeCell ref="BG391:BJ391"/>
    <mergeCell ref="BK391:BM391"/>
    <mergeCell ref="BG392:BJ392"/>
    <mergeCell ref="BK392:BM392"/>
    <mergeCell ref="BG168:BJ168"/>
    <mergeCell ref="BK168:BM168"/>
    <mergeCell ref="AS166:AY166"/>
    <mergeCell ref="AS167:AY167"/>
    <mergeCell ref="BB167:BC167"/>
    <mergeCell ref="BD167:BF167"/>
    <mergeCell ref="BG167:BJ167"/>
    <mergeCell ref="BK167:BM167"/>
    <mergeCell ref="AS168:AY168"/>
    <mergeCell ref="BD170:BF170"/>
    <mergeCell ref="BG170:BJ170"/>
    <mergeCell ref="BB168:BC168"/>
    <mergeCell ref="BD168:BF168"/>
    <mergeCell ref="AS169:AY169"/>
    <mergeCell ref="BD169:BF169"/>
    <mergeCell ref="BG169:BJ169"/>
    <mergeCell ref="BK169:BM169"/>
    <mergeCell ref="AS170:AY170"/>
    <mergeCell ref="BK170:BM170"/>
    <mergeCell ref="BD172:BF172"/>
    <mergeCell ref="BG172:BJ172"/>
    <mergeCell ref="BB169:BC169"/>
    <mergeCell ref="BB170:BC170"/>
    <mergeCell ref="AS171:AY171"/>
    <mergeCell ref="BK388:BM388"/>
    <mergeCell ref="BD384:BF384"/>
    <mergeCell ref="BD385:BF385"/>
    <mergeCell ref="BG385:BJ385"/>
    <mergeCell ref="BK385:BM385"/>
    <mergeCell ref="BD386:BF386"/>
    <mergeCell ref="BG386:BJ386"/>
    <mergeCell ref="BK386:BM386"/>
    <mergeCell ref="AS389:AY389"/>
    <mergeCell ref="AS390:AY390"/>
    <mergeCell ref="AS391:AY391"/>
    <mergeCell ref="AS392:AY392"/>
    <mergeCell ref="AS393:AY393"/>
    <mergeCell ref="AS382:AY382"/>
    <mergeCell ref="AS383:AY383"/>
    <mergeCell ref="AS384:AY384"/>
    <mergeCell ref="AS385:AY385"/>
    <mergeCell ref="AS386:AY386"/>
    <mergeCell ref="AS387:AY387"/>
    <mergeCell ref="AS388:AY388"/>
    <mergeCell ref="BB392:BC392"/>
    <mergeCell ref="BB393:BC393"/>
    <mergeCell ref="BB368:BC368"/>
    <mergeCell ref="BB369:BC369"/>
    <mergeCell ref="BB370:BC370"/>
    <mergeCell ref="BB371:BC371"/>
    <mergeCell ref="BB372:BC372"/>
    <mergeCell ref="BB373:BC373"/>
    <mergeCell ref="BB374:BC374"/>
    <mergeCell ref="BB379:BC379"/>
    <mergeCell ref="BB380:BC380"/>
    <mergeCell ref="AS381:AY381"/>
    <mergeCell ref="BB388:BC388"/>
    <mergeCell ref="BB389:BC389"/>
    <mergeCell ref="BK281:BM281"/>
    <mergeCell ref="BD282:BF282"/>
    <mergeCell ref="BG282:BJ282"/>
    <mergeCell ref="BK282:BM282"/>
    <mergeCell ref="BB284:BC284"/>
    <mergeCell ref="BB285:BC285"/>
    <mergeCell ref="BD285:BF285"/>
    <mergeCell ref="BG285:BJ285"/>
    <mergeCell ref="BK285:BM285"/>
    <mergeCell ref="BD286:BF286"/>
    <mergeCell ref="BG286:BJ286"/>
    <mergeCell ref="BK286:BM286"/>
    <mergeCell ref="BD288:BF288"/>
    <mergeCell ref="BD289:BF289"/>
    <mergeCell ref="BG289:BJ289"/>
    <mergeCell ref="BK289:BM289"/>
    <mergeCell ref="BB286:BC286"/>
    <mergeCell ref="BB287:BC287"/>
    <mergeCell ref="BD287:BF287"/>
    <mergeCell ref="BG287:BJ287"/>
    <mergeCell ref="BB274:BC274"/>
    <mergeCell ref="BD274:BF274"/>
    <mergeCell ref="BG274:BJ274"/>
    <mergeCell ref="BK274:BM274"/>
    <mergeCell ref="BG275:BJ275"/>
    <mergeCell ref="BK275:BM275"/>
    <mergeCell ref="BB277:BC277"/>
    <mergeCell ref="BB278:BC278"/>
    <mergeCell ref="BB279:BC279"/>
    <mergeCell ref="BB280:BC280"/>
    <mergeCell ref="BB281:BC281"/>
    <mergeCell ref="BK287:BM287"/>
    <mergeCell ref="BG288:BJ288"/>
    <mergeCell ref="BK288:BM288"/>
    <mergeCell ref="AS283:AY283"/>
    <mergeCell ref="AS284:AY284"/>
    <mergeCell ref="BB264:BC264"/>
    <mergeCell ref="BB265:BC265"/>
    <mergeCell ref="BB266:BC266"/>
    <mergeCell ref="BB267:BC267"/>
    <mergeCell ref="BB268:BC268"/>
    <mergeCell ref="BB269:BC269"/>
    <mergeCell ref="BB270:BC270"/>
    <mergeCell ref="BB275:BC275"/>
    <mergeCell ref="BB276:BC276"/>
    <mergeCell ref="AS277:AY277"/>
    <mergeCell ref="BD277:BF277"/>
    <mergeCell ref="BG277:BJ277"/>
    <mergeCell ref="BK277:BM277"/>
    <mergeCell ref="BK278:BM278"/>
    <mergeCell ref="BD278:BF278"/>
    <mergeCell ref="BG278:BJ278"/>
    <mergeCell ref="BG271:BJ271"/>
    <mergeCell ref="BK271:BM271"/>
    <mergeCell ref="BD267:BF267"/>
    <mergeCell ref="BD268:BF268"/>
    <mergeCell ref="BG268:BJ268"/>
    <mergeCell ref="BK268:BM268"/>
    <mergeCell ref="BD269:BF269"/>
    <mergeCell ref="BG269:BJ269"/>
    <mergeCell ref="BK269:BM269"/>
    <mergeCell ref="BD280:BF280"/>
    <mergeCell ref="BD281:BF281"/>
    <mergeCell ref="BG281:BJ281"/>
    <mergeCell ref="BD272:BF272"/>
    <mergeCell ref="BG272:BJ272"/>
    <mergeCell ref="BK272:BM272"/>
    <mergeCell ref="BD273:BF273"/>
    <mergeCell ref="BG273:BJ273"/>
    <mergeCell ref="BK273:BM273"/>
    <mergeCell ref="BD275:BF275"/>
    <mergeCell ref="BD276:BF276"/>
    <mergeCell ref="BG276:BJ276"/>
    <mergeCell ref="BK276:BM276"/>
    <mergeCell ref="BD279:BF279"/>
    <mergeCell ref="BG279:BJ279"/>
    <mergeCell ref="BK279:BM279"/>
    <mergeCell ref="BG280:BJ280"/>
    <mergeCell ref="BK280:BM280"/>
    <mergeCell ref="AS273:AY273"/>
    <mergeCell ref="AS274:AY274"/>
    <mergeCell ref="AS275:AY275"/>
    <mergeCell ref="AS276:AY276"/>
    <mergeCell ref="AS265:AY265"/>
    <mergeCell ref="AS266:AY266"/>
    <mergeCell ref="AS267:AY267"/>
    <mergeCell ref="AS268:AY268"/>
    <mergeCell ref="AS269:AY269"/>
    <mergeCell ref="AS270:AY270"/>
    <mergeCell ref="AS271:AY271"/>
    <mergeCell ref="BB251:BC251"/>
    <mergeCell ref="BB252:BC252"/>
    <mergeCell ref="BB253:BC253"/>
    <mergeCell ref="BB254:BC254"/>
    <mergeCell ref="BB255:BC255"/>
    <mergeCell ref="BB256:BC256"/>
    <mergeCell ref="BB257:BC257"/>
    <mergeCell ref="BB262:BC262"/>
    <mergeCell ref="BB263:BC263"/>
    <mergeCell ref="AS264:AY264"/>
    <mergeCell ref="BB271:BC271"/>
    <mergeCell ref="BB272:BC272"/>
    <mergeCell ref="AS259:AY259"/>
    <mergeCell ref="AS260:AY260"/>
    <mergeCell ref="AS261:AY261"/>
    <mergeCell ref="AS262:AY262"/>
    <mergeCell ref="AS263:AY263"/>
    <mergeCell ref="AS252:AY252"/>
    <mergeCell ref="AS253:AY253"/>
    <mergeCell ref="AS254:AY254"/>
    <mergeCell ref="BB273:BC273"/>
    <mergeCell ref="BG259:BJ259"/>
    <mergeCell ref="BK259:BM259"/>
    <mergeCell ref="BD260:BF260"/>
    <mergeCell ref="BG260:BJ260"/>
    <mergeCell ref="BK260:BM260"/>
    <mergeCell ref="BD262:BF262"/>
    <mergeCell ref="BD263:BF263"/>
    <mergeCell ref="BG263:BJ263"/>
    <mergeCell ref="BK263:BM263"/>
    <mergeCell ref="BB260:BC260"/>
    <mergeCell ref="BB261:BC261"/>
    <mergeCell ref="BD261:BF261"/>
    <mergeCell ref="BG261:BJ261"/>
    <mergeCell ref="BK261:BM261"/>
    <mergeCell ref="BG262:BJ262"/>
    <mergeCell ref="BK262:BM262"/>
    <mergeCell ref="AS272:AY272"/>
    <mergeCell ref="BD264:BF264"/>
    <mergeCell ref="BG264:BJ264"/>
    <mergeCell ref="BK264:BM264"/>
    <mergeCell ref="BK265:BM265"/>
    <mergeCell ref="BD265:BF265"/>
    <mergeCell ref="BG265:BJ265"/>
    <mergeCell ref="BD266:BF266"/>
    <mergeCell ref="BG266:BJ266"/>
    <mergeCell ref="BK266:BM266"/>
    <mergeCell ref="BG267:BJ267"/>
    <mergeCell ref="BK267:BM267"/>
    <mergeCell ref="BD270:BF270"/>
    <mergeCell ref="BG270:BJ270"/>
    <mergeCell ref="BK270:BM270"/>
    <mergeCell ref="BD271:BF271"/>
    <mergeCell ref="BG251:BJ251"/>
    <mergeCell ref="BK251:BM251"/>
    <mergeCell ref="BK252:BM252"/>
    <mergeCell ref="BD252:BF252"/>
    <mergeCell ref="BG252:BJ252"/>
    <mergeCell ref="BD253:BF253"/>
    <mergeCell ref="BG253:BJ253"/>
    <mergeCell ref="BK253:BM253"/>
    <mergeCell ref="BG254:BJ254"/>
    <mergeCell ref="BK254:BM254"/>
    <mergeCell ref="BD257:BF257"/>
    <mergeCell ref="BG257:BJ257"/>
    <mergeCell ref="BK257:BM257"/>
    <mergeCell ref="BD258:BF258"/>
    <mergeCell ref="BG258:BJ258"/>
    <mergeCell ref="BK258:BM258"/>
    <mergeCell ref="BD254:BF254"/>
    <mergeCell ref="BD255:BF255"/>
    <mergeCell ref="BG255:BJ255"/>
    <mergeCell ref="BK255:BM255"/>
    <mergeCell ref="BD256:BF256"/>
    <mergeCell ref="BG256:BJ256"/>
    <mergeCell ref="BK256:BM256"/>
    <mergeCell ref="AS255:AY255"/>
    <mergeCell ref="AS256:AY256"/>
    <mergeCell ref="AS257:AY257"/>
    <mergeCell ref="AS258:AY258"/>
    <mergeCell ref="BB238:BC238"/>
    <mergeCell ref="BB239:BC239"/>
    <mergeCell ref="BB240:BC240"/>
    <mergeCell ref="BB241:BC241"/>
    <mergeCell ref="BB242:BC242"/>
    <mergeCell ref="BB243:BC243"/>
    <mergeCell ref="BB244:BC244"/>
    <mergeCell ref="BB249:BC249"/>
    <mergeCell ref="BB250:BC250"/>
    <mergeCell ref="AS251:AY251"/>
    <mergeCell ref="BB258:BC258"/>
    <mergeCell ref="BB259:BC259"/>
    <mergeCell ref="BD246:BF246"/>
    <mergeCell ref="BD251:BF251"/>
    <mergeCell ref="BD259:BF259"/>
    <mergeCell ref="BB247:BC247"/>
    <mergeCell ref="BB248:BC248"/>
    <mergeCell ref="BD248:BF248"/>
    <mergeCell ref="BG248:BJ248"/>
    <mergeCell ref="BK248:BM248"/>
    <mergeCell ref="BG249:BJ249"/>
    <mergeCell ref="BK249:BM249"/>
    <mergeCell ref="BD238:BF238"/>
    <mergeCell ref="BG238:BJ238"/>
    <mergeCell ref="BK238:BM238"/>
    <mergeCell ref="BK239:BM239"/>
    <mergeCell ref="BD239:BF239"/>
    <mergeCell ref="BG239:BJ239"/>
    <mergeCell ref="BD240:BF240"/>
    <mergeCell ref="BG240:BJ240"/>
    <mergeCell ref="BK240:BM240"/>
    <mergeCell ref="BG241:BJ241"/>
    <mergeCell ref="BK241:BM241"/>
    <mergeCell ref="BD244:BF244"/>
    <mergeCell ref="BG244:BJ244"/>
    <mergeCell ref="BK244:BM244"/>
    <mergeCell ref="BD245:BF245"/>
    <mergeCell ref="BG245:BJ245"/>
    <mergeCell ref="BD225:BF225"/>
    <mergeCell ref="BG225:BJ225"/>
    <mergeCell ref="BK225:BM225"/>
    <mergeCell ref="BK245:BM245"/>
    <mergeCell ref="BD241:BF241"/>
    <mergeCell ref="BD242:BF242"/>
    <mergeCell ref="BG242:BJ242"/>
    <mergeCell ref="BK242:BM242"/>
    <mergeCell ref="BD243:BF243"/>
    <mergeCell ref="BG243:BJ243"/>
    <mergeCell ref="BK243:BM243"/>
    <mergeCell ref="AS246:AY246"/>
    <mergeCell ref="AS247:AY247"/>
    <mergeCell ref="AS248:AY248"/>
    <mergeCell ref="AS249:AY249"/>
    <mergeCell ref="AS250:AY250"/>
    <mergeCell ref="AS239:AY239"/>
    <mergeCell ref="AS240:AY240"/>
    <mergeCell ref="AS241:AY241"/>
    <mergeCell ref="AS242:AY242"/>
    <mergeCell ref="AS243:AY243"/>
    <mergeCell ref="AS244:AY244"/>
    <mergeCell ref="AS245:AY245"/>
    <mergeCell ref="BG246:BJ246"/>
    <mergeCell ref="BK246:BM246"/>
    <mergeCell ref="BD247:BF247"/>
    <mergeCell ref="BG247:BJ247"/>
    <mergeCell ref="BK247:BM247"/>
    <mergeCell ref="BD249:BF249"/>
    <mergeCell ref="BD250:BF250"/>
    <mergeCell ref="BG250:BJ250"/>
    <mergeCell ref="BK250:BM250"/>
    <mergeCell ref="BB231:BC231"/>
    <mergeCell ref="BB236:BC236"/>
    <mergeCell ref="BB237:BC237"/>
    <mergeCell ref="AS238:AY238"/>
    <mergeCell ref="BB245:BC245"/>
    <mergeCell ref="BB246:BC246"/>
    <mergeCell ref="BD233:BF233"/>
    <mergeCell ref="BG233:BJ233"/>
    <mergeCell ref="BK233:BM233"/>
    <mergeCell ref="BD234:BF234"/>
    <mergeCell ref="BG234:BJ234"/>
    <mergeCell ref="BK234:BM234"/>
    <mergeCell ref="BD236:BF236"/>
    <mergeCell ref="BD237:BF237"/>
    <mergeCell ref="BG237:BJ237"/>
    <mergeCell ref="BK237:BM237"/>
    <mergeCell ref="BB234:BC234"/>
    <mergeCell ref="BB235:BC235"/>
    <mergeCell ref="BD235:BF235"/>
    <mergeCell ref="BG235:BJ235"/>
    <mergeCell ref="BK235:BM235"/>
    <mergeCell ref="BG236:BJ236"/>
    <mergeCell ref="BK236:BM236"/>
    <mergeCell ref="BK226:BM226"/>
    <mergeCell ref="BD226:BF226"/>
    <mergeCell ref="BG226:BJ226"/>
    <mergeCell ref="BD227:BF227"/>
    <mergeCell ref="BG227:BJ227"/>
    <mergeCell ref="BK227:BM227"/>
    <mergeCell ref="BG228:BJ228"/>
    <mergeCell ref="BK228:BM228"/>
    <mergeCell ref="BD231:BF231"/>
    <mergeCell ref="BG231:BJ231"/>
    <mergeCell ref="BK231:BM231"/>
    <mergeCell ref="BD232:BF232"/>
    <mergeCell ref="BG232:BJ232"/>
    <mergeCell ref="BK232:BM232"/>
    <mergeCell ref="BD228:BF228"/>
    <mergeCell ref="BD229:BF229"/>
    <mergeCell ref="BG229:BJ229"/>
    <mergeCell ref="BK229:BM229"/>
    <mergeCell ref="BD230:BF230"/>
    <mergeCell ref="BG230:BJ230"/>
    <mergeCell ref="BK230:BM230"/>
    <mergeCell ref="AS233:AY233"/>
    <mergeCell ref="AS234:AY234"/>
    <mergeCell ref="AS235:AY235"/>
    <mergeCell ref="AS236:AY236"/>
    <mergeCell ref="AS237:AY237"/>
    <mergeCell ref="AS226:AY226"/>
    <mergeCell ref="AS227:AY227"/>
    <mergeCell ref="AS228:AY228"/>
    <mergeCell ref="AS229:AY229"/>
    <mergeCell ref="AS230:AY230"/>
    <mergeCell ref="AS231:AY231"/>
    <mergeCell ref="AS232:AY232"/>
    <mergeCell ref="BB212:BC212"/>
    <mergeCell ref="BB213:BC213"/>
    <mergeCell ref="BB214:BC214"/>
    <mergeCell ref="BB215:BC215"/>
    <mergeCell ref="BB216:BC216"/>
    <mergeCell ref="BB217:BC217"/>
    <mergeCell ref="BB218:BC218"/>
    <mergeCell ref="BB223:BC223"/>
    <mergeCell ref="BB224:BC224"/>
    <mergeCell ref="AS225:AY225"/>
    <mergeCell ref="BB232:BC232"/>
    <mergeCell ref="BB233:BC233"/>
    <mergeCell ref="BB219:BC219"/>
    <mergeCell ref="BB220:BC220"/>
    <mergeCell ref="BB225:BC225"/>
    <mergeCell ref="BB226:BC226"/>
    <mergeCell ref="BB227:BC227"/>
    <mergeCell ref="BB228:BC228"/>
    <mergeCell ref="BB229:BC229"/>
    <mergeCell ref="BB230:BC230"/>
    <mergeCell ref="BD220:BF220"/>
    <mergeCell ref="BG220:BJ220"/>
    <mergeCell ref="BK220:BM220"/>
    <mergeCell ref="BD221:BF221"/>
    <mergeCell ref="BG221:BJ221"/>
    <mergeCell ref="BK221:BM221"/>
    <mergeCell ref="BD223:BF223"/>
    <mergeCell ref="BD224:BF224"/>
    <mergeCell ref="BG224:BJ224"/>
    <mergeCell ref="BK224:BM224"/>
    <mergeCell ref="BB221:BC221"/>
    <mergeCell ref="BB222:BC222"/>
    <mergeCell ref="BD222:BF222"/>
    <mergeCell ref="BG222:BJ222"/>
    <mergeCell ref="BK222:BM222"/>
    <mergeCell ref="BG223:BJ223"/>
    <mergeCell ref="BK223:BM223"/>
    <mergeCell ref="BD214:BF214"/>
    <mergeCell ref="BG214:BJ214"/>
    <mergeCell ref="BK214:BM214"/>
    <mergeCell ref="BG215:BJ215"/>
    <mergeCell ref="BK215:BM215"/>
    <mergeCell ref="BD218:BF218"/>
    <mergeCell ref="BG218:BJ218"/>
    <mergeCell ref="BK218:BM218"/>
    <mergeCell ref="BD219:BF219"/>
    <mergeCell ref="BG219:BJ219"/>
    <mergeCell ref="BK219:BM219"/>
    <mergeCell ref="BD215:BF215"/>
    <mergeCell ref="BD216:BF216"/>
    <mergeCell ref="BG216:BJ216"/>
    <mergeCell ref="BK216:BM216"/>
    <mergeCell ref="BD217:BF217"/>
    <mergeCell ref="BG217:BJ217"/>
    <mergeCell ref="BK217:BM217"/>
    <mergeCell ref="BD210:BF210"/>
    <mergeCell ref="BD211:BF211"/>
    <mergeCell ref="BG211:BJ211"/>
    <mergeCell ref="BK211:BM211"/>
    <mergeCell ref="BB208:BC208"/>
    <mergeCell ref="BB209:BC209"/>
    <mergeCell ref="BD209:BF209"/>
    <mergeCell ref="BG209:BJ209"/>
    <mergeCell ref="BK209:BM209"/>
    <mergeCell ref="BG210:BJ210"/>
    <mergeCell ref="BK210:BM210"/>
    <mergeCell ref="AS220:AY220"/>
    <mergeCell ref="AS221:AY221"/>
    <mergeCell ref="AS222:AY222"/>
    <mergeCell ref="AS223:AY223"/>
    <mergeCell ref="AS224:AY224"/>
    <mergeCell ref="AS213:AY213"/>
    <mergeCell ref="AS214:AY214"/>
    <mergeCell ref="AS215:AY215"/>
    <mergeCell ref="AS216:AY216"/>
    <mergeCell ref="AS217:AY217"/>
    <mergeCell ref="AS218:AY218"/>
    <mergeCell ref="AS219:AY219"/>
    <mergeCell ref="BB210:BC210"/>
    <mergeCell ref="BB211:BC211"/>
    <mergeCell ref="AS212:AY212"/>
    <mergeCell ref="BD212:BF212"/>
    <mergeCell ref="BG212:BJ212"/>
    <mergeCell ref="BK212:BM212"/>
    <mergeCell ref="BK213:BM213"/>
    <mergeCell ref="BD213:BF213"/>
    <mergeCell ref="BG213:BJ213"/>
    <mergeCell ref="BG206:BJ206"/>
    <mergeCell ref="BK206:BM206"/>
    <mergeCell ref="BD202:BF202"/>
    <mergeCell ref="BD203:BF203"/>
    <mergeCell ref="BG203:BJ203"/>
    <mergeCell ref="BK203:BM203"/>
    <mergeCell ref="BD204:BF204"/>
    <mergeCell ref="BG204:BJ204"/>
    <mergeCell ref="BK204:BM204"/>
    <mergeCell ref="BB206:BC206"/>
    <mergeCell ref="BB207:BC207"/>
    <mergeCell ref="BD207:BF207"/>
    <mergeCell ref="BG207:BJ207"/>
    <mergeCell ref="BK207:BM207"/>
    <mergeCell ref="BD208:BF208"/>
    <mergeCell ref="BG208:BJ208"/>
    <mergeCell ref="BK208:BM208"/>
    <mergeCell ref="BB202:BC202"/>
    <mergeCell ref="BB203:BC203"/>
    <mergeCell ref="BB204:BC204"/>
    <mergeCell ref="BB205:BC205"/>
    <mergeCell ref="AS210:AY210"/>
    <mergeCell ref="AS211:AY211"/>
    <mergeCell ref="AS200:AY200"/>
    <mergeCell ref="AS201:AY201"/>
    <mergeCell ref="AS202:AY202"/>
    <mergeCell ref="AS203:AY203"/>
    <mergeCell ref="AS204:AY204"/>
    <mergeCell ref="AS205:AY205"/>
    <mergeCell ref="AS206:AY206"/>
    <mergeCell ref="BB186:BC186"/>
    <mergeCell ref="BB187:BC187"/>
    <mergeCell ref="BB188:BC188"/>
    <mergeCell ref="BB189:BC189"/>
    <mergeCell ref="BB190:BC190"/>
    <mergeCell ref="BB191:BC191"/>
    <mergeCell ref="BB192:BC192"/>
    <mergeCell ref="BB197:BC197"/>
    <mergeCell ref="BB198:BC198"/>
    <mergeCell ref="AS199:AY199"/>
    <mergeCell ref="BB199:BC199"/>
    <mergeCell ref="BB200:BC200"/>
    <mergeCell ref="BB201:BC201"/>
    <mergeCell ref="B176:C176"/>
    <mergeCell ref="D176:G176"/>
    <mergeCell ref="H176:K176"/>
    <mergeCell ref="L176:N176"/>
    <mergeCell ref="O176:Q176"/>
    <mergeCell ref="R176:T176"/>
    <mergeCell ref="U176:W176"/>
    <mergeCell ref="B177:C177"/>
    <mergeCell ref="D177:G177"/>
    <mergeCell ref="H177:K177"/>
    <mergeCell ref="L177:N177"/>
    <mergeCell ref="O177:Q177"/>
    <mergeCell ref="R177:T177"/>
    <mergeCell ref="U177:W177"/>
    <mergeCell ref="AS207:AY207"/>
    <mergeCell ref="AS208:AY208"/>
    <mergeCell ref="AS209:AY209"/>
    <mergeCell ref="AS185:AY185"/>
    <mergeCell ref="AS198:AY198"/>
    <mergeCell ref="AS187:AY187"/>
    <mergeCell ref="AS188:AY188"/>
    <mergeCell ref="AS189:AY189"/>
    <mergeCell ref="AS190:AY190"/>
    <mergeCell ref="AS191:AY191"/>
    <mergeCell ref="AS192:AY192"/>
    <mergeCell ref="AS193:AY193"/>
    <mergeCell ref="AS196:AY196"/>
    <mergeCell ref="AS197:AY197"/>
    <mergeCell ref="B208:C208"/>
    <mergeCell ref="D208:G208"/>
    <mergeCell ref="H208:K208"/>
    <mergeCell ref="L208:N208"/>
    <mergeCell ref="B173:C173"/>
    <mergeCell ref="D173:G173"/>
    <mergeCell ref="H173:K173"/>
    <mergeCell ref="L173:N173"/>
    <mergeCell ref="O173:Q173"/>
    <mergeCell ref="R173:T173"/>
    <mergeCell ref="U173:W173"/>
    <mergeCell ref="B174:C174"/>
    <mergeCell ref="D174:G174"/>
    <mergeCell ref="H174:K174"/>
    <mergeCell ref="L174:N174"/>
    <mergeCell ref="O174:Q174"/>
    <mergeCell ref="R174:T174"/>
    <mergeCell ref="U174:W174"/>
    <mergeCell ref="B175:C175"/>
    <mergeCell ref="D175:G175"/>
    <mergeCell ref="H175:K175"/>
    <mergeCell ref="L175:N175"/>
    <mergeCell ref="O175:Q175"/>
    <mergeCell ref="R175:T175"/>
    <mergeCell ref="U175:W175"/>
    <mergeCell ref="B170:C170"/>
    <mergeCell ref="D170:G170"/>
    <mergeCell ref="H170:K170"/>
    <mergeCell ref="L170:N170"/>
    <mergeCell ref="O170:Q170"/>
    <mergeCell ref="R170:T170"/>
    <mergeCell ref="U170:W170"/>
    <mergeCell ref="B171:C171"/>
    <mergeCell ref="D171:G171"/>
    <mergeCell ref="H171:K171"/>
    <mergeCell ref="L171:N171"/>
    <mergeCell ref="O171:Q171"/>
    <mergeCell ref="R171:T171"/>
    <mergeCell ref="U171:W171"/>
    <mergeCell ref="B172:C172"/>
    <mergeCell ref="D172:G172"/>
    <mergeCell ref="H172:K172"/>
    <mergeCell ref="L172:N172"/>
    <mergeCell ref="O172:Q172"/>
    <mergeCell ref="R172:T172"/>
    <mergeCell ref="U172:W172"/>
    <mergeCell ref="B167:C167"/>
    <mergeCell ref="D167:G167"/>
    <mergeCell ref="H167:K167"/>
    <mergeCell ref="L167:N167"/>
    <mergeCell ref="O167:Q167"/>
    <mergeCell ref="R167:T167"/>
    <mergeCell ref="U167:W167"/>
    <mergeCell ref="B168:C168"/>
    <mergeCell ref="D168:G168"/>
    <mergeCell ref="H168:K168"/>
    <mergeCell ref="L168:N168"/>
    <mergeCell ref="O168:Q168"/>
    <mergeCell ref="R168:T168"/>
    <mergeCell ref="U168:W168"/>
    <mergeCell ref="B169:C169"/>
    <mergeCell ref="D169:G169"/>
    <mergeCell ref="H169:K169"/>
    <mergeCell ref="L169:N169"/>
    <mergeCell ref="O169:Q169"/>
    <mergeCell ref="R169:T169"/>
    <mergeCell ref="U169:W169"/>
    <mergeCell ref="B164:C164"/>
    <mergeCell ref="D164:G164"/>
    <mergeCell ref="H164:K164"/>
    <mergeCell ref="L164:N164"/>
    <mergeCell ref="O164:Q164"/>
    <mergeCell ref="R164:T164"/>
    <mergeCell ref="U164:W164"/>
    <mergeCell ref="B165:C165"/>
    <mergeCell ref="D165:G165"/>
    <mergeCell ref="H165:K165"/>
    <mergeCell ref="L165:N165"/>
    <mergeCell ref="O165:Q165"/>
    <mergeCell ref="R165:T165"/>
    <mergeCell ref="U165:W165"/>
    <mergeCell ref="B166:C166"/>
    <mergeCell ref="D166:G166"/>
    <mergeCell ref="H166:K166"/>
    <mergeCell ref="L166:N166"/>
    <mergeCell ref="O166:Q166"/>
    <mergeCell ref="R166:T166"/>
    <mergeCell ref="U166:W166"/>
    <mergeCell ref="B161:C161"/>
    <mergeCell ref="D161:G161"/>
    <mergeCell ref="H161:K161"/>
    <mergeCell ref="L161:N161"/>
    <mergeCell ref="O161:Q161"/>
    <mergeCell ref="R161:T161"/>
    <mergeCell ref="U161:W161"/>
    <mergeCell ref="B162:C162"/>
    <mergeCell ref="D162:G162"/>
    <mergeCell ref="H162:K162"/>
    <mergeCell ref="L162:N162"/>
    <mergeCell ref="O162:Q162"/>
    <mergeCell ref="R162:T162"/>
    <mergeCell ref="U162:W162"/>
    <mergeCell ref="B163:C163"/>
    <mergeCell ref="D163:G163"/>
    <mergeCell ref="H163:K163"/>
    <mergeCell ref="L163:N163"/>
    <mergeCell ref="O163:Q163"/>
    <mergeCell ref="R163:T163"/>
    <mergeCell ref="U163:W163"/>
    <mergeCell ref="B158:C158"/>
    <mergeCell ref="D158:G158"/>
    <mergeCell ref="H158:K158"/>
    <mergeCell ref="L158:N158"/>
    <mergeCell ref="O158:Q158"/>
    <mergeCell ref="R158:T158"/>
    <mergeCell ref="U158:W158"/>
    <mergeCell ref="B159:C159"/>
    <mergeCell ref="D159:G159"/>
    <mergeCell ref="H159:K159"/>
    <mergeCell ref="L159:N159"/>
    <mergeCell ref="O159:Q159"/>
    <mergeCell ref="R159:T159"/>
    <mergeCell ref="U159:W159"/>
    <mergeCell ref="B160:C160"/>
    <mergeCell ref="D160:G160"/>
    <mergeCell ref="H160:K160"/>
    <mergeCell ref="L160:N160"/>
    <mergeCell ref="O160:Q160"/>
    <mergeCell ref="R160:T160"/>
    <mergeCell ref="U160:W160"/>
    <mergeCell ref="B155:C155"/>
    <mergeCell ref="D155:G155"/>
    <mergeCell ref="H155:K155"/>
    <mergeCell ref="L155:N155"/>
    <mergeCell ref="O155:Q155"/>
    <mergeCell ref="R155:T155"/>
    <mergeCell ref="U155:W155"/>
    <mergeCell ref="B156:C156"/>
    <mergeCell ref="D156:G156"/>
    <mergeCell ref="H156:K156"/>
    <mergeCell ref="L156:N156"/>
    <mergeCell ref="O156:Q156"/>
    <mergeCell ref="R156:T156"/>
    <mergeCell ref="U156:W156"/>
    <mergeCell ref="B157:C157"/>
    <mergeCell ref="D157:G157"/>
    <mergeCell ref="H157:K157"/>
    <mergeCell ref="L157:N157"/>
    <mergeCell ref="O157:Q157"/>
    <mergeCell ref="R157:T157"/>
    <mergeCell ref="U157:W157"/>
    <mergeCell ref="B152:C152"/>
    <mergeCell ref="D152:G152"/>
    <mergeCell ref="H152:K152"/>
    <mergeCell ref="L152:N152"/>
    <mergeCell ref="O152:Q152"/>
    <mergeCell ref="R152:T152"/>
    <mergeCell ref="U152:W152"/>
    <mergeCell ref="B153:C153"/>
    <mergeCell ref="D153:G153"/>
    <mergeCell ref="H153:K153"/>
    <mergeCell ref="L153:N153"/>
    <mergeCell ref="O153:Q153"/>
    <mergeCell ref="R153:T153"/>
    <mergeCell ref="U153:W153"/>
    <mergeCell ref="B154:C154"/>
    <mergeCell ref="D154:G154"/>
    <mergeCell ref="H154:K154"/>
    <mergeCell ref="L154:N154"/>
    <mergeCell ref="O154:Q154"/>
    <mergeCell ref="R154:T154"/>
    <mergeCell ref="U154:W154"/>
    <mergeCell ref="B149:C149"/>
    <mergeCell ref="D149:G149"/>
    <mergeCell ref="H149:K149"/>
    <mergeCell ref="L149:N149"/>
    <mergeCell ref="O149:Q149"/>
    <mergeCell ref="R149:T149"/>
    <mergeCell ref="U149:W149"/>
    <mergeCell ref="B150:C150"/>
    <mergeCell ref="D150:G150"/>
    <mergeCell ref="H150:K150"/>
    <mergeCell ref="L150:N150"/>
    <mergeCell ref="O150:Q150"/>
    <mergeCell ref="R150:T150"/>
    <mergeCell ref="U150:W150"/>
    <mergeCell ref="B151:C151"/>
    <mergeCell ref="D151:G151"/>
    <mergeCell ref="H151:K151"/>
    <mergeCell ref="L151:N151"/>
    <mergeCell ref="O151:Q151"/>
    <mergeCell ref="R151:T151"/>
    <mergeCell ref="U151:W151"/>
    <mergeCell ref="B146:C146"/>
    <mergeCell ref="D146:G146"/>
    <mergeCell ref="H146:K146"/>
    <mergeCell ref="L146:N146"/>
    <mergeCell ref="O146:Q146"/>
    <mergeCell ref="R146:T146"/>
    <mergeCell ref="U146:W146"/>
    <mergeCell ref="B147:C147"/>
    <mergeCell ref="D147:G147"/>
    <mergeCell ref="H147:K147"/>
    <mergeCell ref="L147:N147"/>
    <mergeCell ref="O147:Q147"/>
    <mergeCell ref="R147:T147"/>
    <mergeCell ref="U147:W147"/>
    <mergeCell ref="B148:C148"/>
    <mergeCell ref="D148:G148"/>
    <mergeCell ref="H148:K148"/>
    <mergeCell ref="L148:N148"/>
    <mergeCell ref="O148:Q148"/>
    <mergeCell ref="R148:T148"/>
    <mergeCell ref="U148:W148"/>
    <mergeCell ref="B143:C143"/>
    <mergeCell ref="D143:G143"/>
    <mergeCell ref="H143:K143"/>
    <mergeCell ref="L143:N143"/>
    <mergeCell ref="O143:Q143"/>
    <mergeCell ref="R143:T143"/>
    <mergeCell ref="U143:W143"/>
    <mergeCell ref="B144:C144"/>
    <mergeCell ref="D144:G144"/>
    <mergeCell ref="H144:K144"/>
    <mergeCell ref="L144:N144"/>
    <mergeCell ref="O144:Q144"/>
    <mergeCell ref="R144:T144"/>
    <mergeCell ref="U144:W144"/>
    <mergeCell ref="B145:C145"/>
    <mergeCell ref="D145:G145"/>
    <mergeCell ref="H145:K145"/>
    <mergeCell ref="L145:N145"/>
    <mergeCell ref="O145:Q145"/>
    <mergeCell ref="R145:T145"/>
    <mergeCell ref="U145:W145"/>
    <mergeCell ref="B140:C140"/>
    <mergeCell ref="D140:G140"/>
    <mergeCell ref="H140:K140"/>
    <mergeCell ref="L140:N140"/>
    <mergeCell ref="O140:Q140"/>
    <mergeCell ref="R140:T140"/>
    <mergeCell ref="U140:W140"/>
    <mergeCell ref="B141:C141"/>
    <mergeCell ref="D141:G141"/>
    <mergeCell ref="H141:K141"/>
    <mergeCell ref="L141:N141"/>
    <mergeCell ref="O141:Q141"/>
    <mergeCell ref="R141:T141"/>
    <mergeCell ref="U141:W141"/>
    <mergeCell ref="B142:C142"/>
    <mergeCell ref="D142:G142"/>
    <mergeCell ref="H142:K142"/>
    <mergeCell ref="L142:N142"/>
    <mergeCell ref="O142:Q142"/>
    <mergeCell ref="R142:T142"/>
    <mergeCell ref="U142:W142"/>
    <mergeCell ref="B137:C137"/>
    <mergeCell ref="D137:G137"/>
    <mergeCell ref="H137:K137"/>
    <mergeCell ref="L137:N137"/>
    <mergeCell ref="O137:Q137"/>
    <mergeCell ref="R137:T137"/>
    <mergeCell ref="U137:W137"/>
    <mergeCell ref="B138:C138"/>
    <mergeCell ref="D138:G138"/>
    <mergeCell ref="H138:K138"/>
    <mergeCell ref="L138:N138"/>
    <mergeCell ref="O138:Q138"/>
    <mergeCell ref="R138:T138"/>
    <mergeCell ref="U138:W138"/>
    <mergeCell ref="B139:C139"/>
    <mergeCell ref="D139:G139"/>
    <mergeCell ref="H139:K139"/>
    <mergeCell ref="L139:N139"/>
    <mergeCell ref="O139:Q139"/>
    <mergeCell ref="R139:T139"/>
    <mergeCell ref="U139:W139"/>
    <mergeCell ref="B134:C134"/>
    <mergeCell ref="D134:G134"/>
    <mergeCell ref="H134:K134"/>
    <mergeCell ref="L134:N134"/>
    <mergeCell ref="O134:Q134"/>
    <mergeCell ref="R134:T134"/>
    <mergeCell ref="U134:W134"/>
    <mergeCell ref="B135:C135"/>
    <mergeCell ref="D135:G135"/>
    <mergeCell ref="H135:K135"/>
    <mergeCell ref="L135:N135"/>
    <mergeCell ref="O135:Q135"/>
    <mergeCell ref="R135:T135"/>
    <mergeCell ref="U135:W135"/>
    <mergeCell ref="B136:C136"/>
    <mergeCell ref="D136:G136"/>
    <mergeCell ref="H136:K136"/>
    <mergeCell ref="L136:N136"/>
    <mergeCell ref="O136:Q136"/>
    <mergeCell ref="R136:T136"/>
    <mergeCell ref="U136:W136"/>
    <mergeCell ref="B131:C131"/>
    <mergeCell ref="D131:G131"/>
    <mergeCell ref="H131:K131"/>
    <mergeCell ref="L131:N131"/>
    <mergeCell ref="O131:Q131"/>
    <mergeCell ref="R131:T131"/>
    <mergeCell ref="U131:W131"/>
    <mergeCell ref="B132:C132"/>
    <mergeCell ref="D132:G132"/>
    <mergeCell ref="H132:K132"/>
    <mergeCell ref="L132:N132"/>
    <mergeCell ref="O132:Q132"/>
    <mergeCell ref="R132:T132"/>
    <mergeCell ref="U132:W132"/>
    <mergeCell ref="B133:C133"/>
    <mergeCell ref="D133:G133"/>
    <mergeCell ref="H133:K133"/>
    <mergeCell ref="L133:N133"/>
    <mergeCell ref="O133:Q133"/>
    <mergeCell ref="R133:T133"/>
    <mergeCell ref="U133:W133"/>
    <mergeCell ref="B128:C128"/>
    <mergeCell ref="D128:G128"/>
    <mergeCell ref="H128:K128"/>
    <mergeCell ref="L128:N128"/>
    <mergeCell ref="O128:Q128"/>
    <mergeCell ref="R128:T128"/>
    <mergeCell ref="U128:W128"/>
    <mergeCell ref="B129:C129"/>
    <mergeCell ref="D129:G129"/>
    <mergeCell ref="H129:K129"/>
    <mergeCell ref="L129:N129"/>
    <mergeCell ref="O129:Q129"/>
    <mergeCell ref="R129:T129"/>
    <mergeCell ref="U129:W129"/>
    <mergeCell ref="B130:C130"/>
    <mergeCell ref="D130:G130"/>
    <mergeCell ref="H130:K130"/>
    <mergeCell ref="L130:N130"/>
    <mergeCell ref="O130:Q130"/>
    <mergeCell ref="R130:T130"/>
    <mergeCell ref="U130:W130"/>
    <mergeCell ref="B125:C125"/>
    <mergeCell ref="D125:G125"/>
    <mergeCell ref="H125:K125"/>
    <mergeCell ref="L125:N125"/>
    <mergeCell ref="O125:Q125"/>
    <mergeCell ref="R125:T125"/>
    <mergeCell ref="U125:W125"/>
    <mergeCell ref="B126:C126"/>
    <mergeCell ref="D126:G126"/>
    <mergeCell ref="H126:K126"/>
    <mergeCell ref="L126:N126"/>
    <mergeCell ref="O126:Q126"/>
    <mergeCell ref="R126:T126"/>
    <mergeCell ref="U126:W126"/>
    <mergeCell ref="B127:C127"/>
    <mergeCell ref="D127:G127"/>
    <mergeCell ref="H127:K127"/>
    <mergeCell ref="L127:N127"/>
    <mergeCell ref="O127:Q127"/>
    <mergeCell ref="R127:T127"/>
    <mergeCell ref="U127:W127"/>
    <mergeCell ref="B122:C122"/>
    <mergeCell ref="D122:G122"/>
    <mergeCell ref="H122:K122"/>
    <mergeCell ref="L122:N122"/>
    <mergeCell ref="O122:Q122"/>
    <mergeCell ref="R122:T122"/>
    <mergeCell ref="U122:W122"/>
    <mergeCell ref="B123:C123"/>
    <mergeCell ref="D123:G123"/>
    <mergeCell ref="H123:K123"/>
    <mergeCell ref="L123:N123"/>
    <mergeCell ref="O123:Q123"/>
    <mergeCell ref="R123:T123"/>
    <mergeCell ref="U123:W123"/>
    <mergeCell ref="B124:C124"/>
    <mergeCell ref="D124:G124"/>
    <mergeCell ref="H124:K124"/>
    <mergeCell ref="L124:N124"/>
    <mergeCell ref="O124:Q124"/>
    <mergeCell ref="R124:T124"/>
    <mergeCell ref="U124:W124"/>
    <mergeCell ref="B119:C119"/>
    <mergeCell ref="D119:G119"/>
    <mergeCell ref="H119:K119"/>
    <mergeCell ref="L119:N119"/>
    <mergeCell ref="O119:Q119"/>
    <mergeCell ref="R119:T119"/>
    <mergeCell ref="U119:W119"/>
    <mergeCell ref="B120:C120"/>
    <mergeCell ref="D120:G120"/>
    <mergeCell ref="H120:K120"/>
    <mergeCell ref="L120:N120"/>
    <mergeCell ref="O120:Q120"/>
    <mergeCell ref="R120:T120"/>
    <mergeCell ref="U120:W120"/>
    <mergeCell ref="B121:C121"/>
    <mergeCell ref="D121:G121"/>
    <mergeCell ref="H121:K121"/>
    <mergeCell ref="L121:N121"/>
    <mergeCell ref="O121:Q121"/>
    <mergeCell ref="R121:T121"/>
    <mergeCell ref="U121:W121"/>
    <mergeCell ref="B116:C116"/>
    <mergeCell ref="D116:G116"/>
    <mergeCell ref="H116:K116"/>
    <mergeCell ref="L116:N116"/>
    <mergeCell ref="O116:Q116"/>
    <mergeCell ref="R116:T116"/>
    <mergeCell ref="U116:W116"/>
    <mergeCell ref="B117:C117"/>
    <mergeCell ref="D117:G117"/>
    <mergeCell ref="H117:K117"/>
    <mergeCell ref="L117:N117"/>
    <mergeCell ref="O117:Q117"/>
    <mergeCell ref="R117:T117"/>
    <mergeCell ref="U117:W117"/>
    <mergeCell ref="B118:C118"/>
    <mergeCell ref="D118:G118"/>
    <mergeCell ref="H118:K118"/>
    <mergeCell ref="L118:N118"/>
    <mergeCell ref="O118:Q118"/>
    <mergeCell ref="R118:T118"/>
    <mergeCell ref="U118:W118"/>
    <mergeCell ref="B113:C113"/>
    <mergeCell ref="D113:G113"/>
    <mergeCell ref="H113:K113"/>
    <mergeCell ref="L113:N113"/>
    <mergeCell ref="O113:Q113"/>
    <mergeCell ref="R113:T113"/>
    <mergeCell ref="U113:W113"/>
    <mergeCell ref="B114:C114"/>
    <mergeCell ref="D114:G114"/>
    <mergeCell ref="H114:K114"/>
    <mergeCell ref="L114:N114"/>
    <mergeCell ref="O114:Q114"/>
    <mergeCell ref="R114:T114"/>
    <mergeCell ref="U114:W114"/>
    <mergeCell ref="B115:C115"/>
    <mergeCell ref="D115:G115"/>
    <mergeCell ref="H115:K115"/>
    <mergeCell ref="L115:N115"/>
    <mergeCell ref="O115:Q115"/>
    <mergeCell ref="R115:T115"/>
    <mergeCell ref="U115:W115"/>
    <mergeCell ref="B110:C110"/>
    <mergeCell ref="D110:G110"/>
    <mergeCell ref="H110:K110"/>
    <mergeCell ref="L110:N110"/>
    <mergeCell ref="O110:Q110"/>
    <mergeCell ref="R110:T110"/>
    <mergeCell ref="U110:W110"/>
    <mergeCell ref="B111:C111"/>
    <mergeCell ref="D111:G111"/>
    <mergeCell ref="H111:K111"/>
    <mergeCell ref="L111:N111"/>
    <mergeCell ref="O111:Q111"/>
    <mergeCell ref="R111:T111"/>
    <mergeCell ref="U111:W111"/>
    <mergeCell ref="B112:C112"/>
    <mergeCell ref="D112:G112"/>
    <mergeCell ref="H112:K112"/>
    <mergeCell ref="L112:N112"/>
    <mergeCell ref="O112:Q112"/>
    <mergeCell ref="R112:T112"/>
    <mergeCell ref="U112:W112"/>
    <mergeCell ref="B107:C107"/>
    <mergeCell ref="D107:G107"/>
    <mergeCell ref="H107:K107"/>
    <mergeCell ref="L107:N107"/>
    <mergeCell ref="O107:Q107"/>
    <mergeCell ref="R107:T107"/>
    <mergeCell ref="U107:W107"/>
    <mergeCell ref="B108:C108"/>
    <mergeCell ref="D108:G108"/>
    <mergeCell ref="H108:K108"/>
    <mergeCell ref="L108:N108"/>
    <mergeCell ref="O108:Q108"/>
    <mergeCell ref="R108:T108"/>
    <mergeCell ref="U108:W108"/>
    <mergeCell ref="B109:C109"/>
    <mergeCell ref="D109:G109"/>
    <mergeCell ref="H109:K109"/>
    <mergeCell ref="L109:N109"/>
    <mergeCell ref="O109:Q109"/>
    <mergeCell ref="R109:T109"/>
    <mergeCell ref="U109:W109"/>
    <mergeCell ref="B104:C104"/>
    <mergeCell ref="D104:G104"/>
    <mergeCell ref="H104:K104"/>
    <mergeCell ref="L104:N104"/>
    <mergeCell ref="O104:Q104"/>
    <mergeCell ref="R104:T104"/>
    <mergeCell ref="U104:W104"/>
    <mergeCell ref="B105:C105"/>
    <mergeCell ref="D105:G105"/>
    <mergeCell ref="H105:K105"/>
    <mergeCell ref="L105:N105"/>
    <mergeCell ref="O105:Q105"/>
    <mergeCell ref="R105:T105"/>
    <mergeCell ref="U105:W105"/>
    <mergeCell ref="B106:C106"/>
    <mergeCell ref="D106:G106"/>
    <mergeCell ref="H106:K106"/>
    <mergeCell ref="L106:N106"/>
    <mergeCell ref="O106:Q106"/>
    <mergeCell ref="R106:T106"/>
    <mergeCell ref="U106:W106"/>
    <mergeCell ref="B101:C101"/>
    <mergeCell ref="D101:G101"/>
    <mergeCell ref="H101:K101"/>
    <mergeCell ref="L101:N101"/>
    <mergeCell ref="O101:Q101"/>
    <mergeCell ref="R101:T101"/>
    <mergeCell ref="U101:W101"/>
    <mergeCell ref="B102:C102"/>
    <mergeCell ref="D102:G102"/>
    <mergeCell ref="H102:K102"/>
    <mergeCell ref="L102:N102"/>
    <mergeCell ref="O102:Q102"/>
    <mergeCell ref="R102:T102"/>
    <mergeCell ref="U102:W102"/>
    <mergeCell ref="B103:C103"/>
    <mergeCell ref="D103:G103"/>
    <mergeCell ref="H103:K103"/>
    <mergeCell ref="L103:N103"/>
    <mergeCell ref="O103:Q103"/>
    <mergeCell ref="R103:T103"/>
    <mergeCell ref="U103:W103"/>
    <mergeCell ref="B98:C98"/>
    <mergeCell ref="D98:G98"/>
    <mergeCell ref="H98:K98"/>
    <mergeCell ref="L98:N98"/>
    <mergeCell ref="O98:Q98"/>
    <mergeCell ref="R98:T98"/>
    <mergeCell ref="U98:W98"/>
    <mergeCell ref="B99:C99"/>
    <mergeCell ref="D99:G99"/>
    <mergeCell ref="H99:K99"/>
    <mergeCell ref="L99:N99"/>
    <mergeCell ref="O99:Q99"/>
    <mergeCell ref="R99:T99"/>
    <mergeCell ref="U99:W99"/>
    <mergeCell ref="B100:C100"/>
    <mergeCell ref="D100:G100"/>
    <mergeCell ref="H100:K100"/>
    <mergeCell ref="L100:N100"/>
    <mergeCell ref="O100:Q100"/>
    <mergeCell ref="R100:T100"/>
    <mergeCell ref="U100:W100"/>
    <mergeCell ref="B95:C95"/>
    <mergeCell ref="D95:G95"/>
    <mergeCell ref="H95:K95"/>
    <mergeCell ref="L95:N95"/>
    <mergeCell ref="O95:Q95"/>
    <mergeCell ref="R95:T95"/>
    <mergeCell ref="U95:W95"/>
    <mergeCell ref="B96:C96"/>
    <mergeCell ref="D96:G96"/>
    <mergeCell ref="H96:K96"/>
    <mergeCell ref="L96:N96"/>
    <mergeCell ref="O96:Q96"/>
    <mergeCell ref="R96:T96"/>
    <mergeCell ref="U96:W96"/>
    <mergeCell ref="B97:C97"/>
    <mergeCell ref="D97:G97"/>
    <mergeCell ref="H97:K97"/>
    <mergeCell ref="L97:N97"/>
    <mergeCell ref="O97:Q97"/>
    <mergeCell ref="R97:T97"/>
    <mergeCell ref="U97:W97"/>
    <mergeCell ref="B92:C92"/>
    <mergeCell ref="D92:G92"/>
    <mergeCell ref="H92:K92"/>
    <mergeCell ref="L92:N92"/>
    <mergeCell ref="O92:Q92"/>
    <mergeCell ref="R92:T92"/>
    <mergeCell ref="U92:W92"/>
    <mergeCell ref="B93:C93"/>
    <mergeCell ref="D93:G93"/>
    <mergeCell ref="H93:K93"/>
    <mergeCell ref="L93:N93"/>
    <mergeCell ref="O93:Q93"/>
    <mergeCell ref="R93:T93"/>
    <mergeCell ref="U93:W93"/>
    <mergeCell ref="B94:C94"/>
    <mergeCell ref="D94:G94"/>
    <mergeCell ref="H94:K94"/>
    <mergeCell ref="L94:N94"/>
    <mergeCell ref="O94:Q94"/>
    <mergeCell ref="R94:T94"/>
    <mergeCell ref="U94:W94"/>
    <mergeCell ref="B89:C89"/>
    <mergeCell ref="D89:G89"/>
    <mergeCell ref="H89:K89"/>
    <mergeCell ref="L89:N89"/>
    <mergeCell ref="O89:Q89"/>
    <mergeCell ref="R89:T89"/>
    <mergeCell ref="U89:W89"/>
    <mergeCell ref="B90:C90"/>
    <mergeCell ref="D90:G90"/>
    <mergeCell ref="H90:K90"/>
    <mergeCell ref="L90:N90"/>
    <mergeCell ref="O90:Q90"/>
    <mergeCell ref="R90:T90"/>
    <mergeCell ref="U90:W90"/>
    <mergeCell ref="B91:C91"/>
    <mergeCell ref="D91:G91"/>
    <mergeCell ref="H91:K91"/>
    <mergeCell ref="L91:N91"/>
    <mergeCell ref="O91:Q91"/>
    <mergeCell ref="R91:T91"/>
    <mergeCell ref="U91:W91"/>
    <mergeCell ref="B86:C86"/>
    <mergeCell ref="D86:G86"/>
    <mergeCell ref="H86:K86"/>
    <mergeCell ref="L86:N86"/>
    <mergeCell ref="O86:Q86"/>
    <mergeCell ref="R86:T86"/>
    <mergeCell ref="U86:W86"/>
    <mergeCell ref="B87:C87"/>
    <mergeCell ref="D87:G87"/>
    <mergeCell ref="H87:K87"/>
    <mergeCell ref="L87:N87"/>
    <mergeCell ref="O87:Q87"/>
    <mergeCell ref="R87:T87"/>
    <mergeCell ref="U87:W87"/>
    <mergeCell ref="B88:C88"/>
    <mergeCell ref="D88:G88"/>
    <mergeCell ref="H88:K88"/>
    <mergeCell ref="L88:N88"/>
    <mergeCell ref="O88:Q88"/>
    <mergeCell ref="R88:T88"/>
    <mergeCell ref="U88:W88"/>
    <mergeCell ref="B83:C83"/>
    <mergeCell ref="D83:G83"/>
    <mergeCell ref="H83:K83"/>
    <mergeCell ref="L83:N83"/>
    <mergeCell ref="O83:Q83"/>
    <mergeCell ref="R83:T83"/>
    <mergeCell ref="U83:W83"/>
    <mergeCell ref="B84:C84"/>
    <mergeCell ref="D84:G84"/>
    <mergeCell ref="H84:K84"/>
    <mergeCell ref="L84:N84"/>
    <mergeCell ref="O84:Q84"/>
    <mergeCell ref="R84:T84"/>
    <mergeCell ref="U84:W84"/>
    <mergeCell ref="B85:C85"/>
    <mergeCell ref="D85:G85"/>
    <mergeCell ref="H85:K85"/>
    <mergeCell ref="L85:N85"/>
    <mergeCell ref="O85:Q85"/>
    <mergeCell ref="R85:T85"/>
    <mergeCell ref="U85:W85"/>
    <mergeCell ref="B80:C80"/>
    <mergeCell ref="D80:G80"/>
    <mergeCell ref="H80:K80"/>
    <mergeCell ref="L80:N80"/>
    <mergeCell ref="O80:Q80"/>
    <mergeCell ref="R80:T80"/>
    <mergeCell ref="U80:W80"/>
    <mergeCell ref="B81:C81"/>
    <mergeCell ref="D81:G81"/>
    <mergeCell ref="H81:K81"/>
    <mergeCell ref="L81:N81"/>
    <mergeCell ref="O81:Q81"/>
    <mergeCell ref="R81:T81"/>
    <mergeCell ref="U81:W81"/>
    <mergeCell ref="B82:C82"/>
    <mergeCell ref="D82:G82"/>
    <mergeCell ref="H82:K82"/>
    <mergeCell ref="L82:N82"/>
    <mergeCell ref="O82:Q82"/>
    <mergeCell ref="R82:T82"/>
    <mergeCell ref="U82:W82"/>
    <mergeCell ref="BP150:BR150"/>
    <mergeCell ref="BS150:BU150"/>
    <mergeCell ref="BP151:BR151"/>
    <mergeCell ref="BS151:BU151"/>
    <mergeCell ref="BB152:BC152"/>
    <mergeCell ref="BD152:BF152"/>
    <mergeCell ref="BG152:BJ152"/>
    <mergeCell ref="BK152:BM152"/>
    <mergeCell ref="BP152:BR152"/>
    <mergeCell ref="BS152:BU152"/>
    <mergeCell ref="BB144:BC144"/>
    <mergeCell ref="BB145:BC145"/>
    <mergeCell ref="BB146:BC146"/>
    <mergeCell ref="BB147:BC147"/>
    <mergeCell ref="BB148:BC148"/>
    <mergeCell ref="BD149:BF149"/>
    <mergeCell ref="BG149:BJ149"/>
    <mergeCell ref="BB139:BC139"/>
    <mergeCell ref="BB140:BC140"/>
    <mergeCell ref="AS141:AY141"/>
    <mergeCell ref="BD141:BF141"/>
    <mergeCell ref="BG141:BJ141"/>
    <mergeCell ref="BK141:BM141"/>
    <mergeCell ref="BK142:BM142"/>
    <mergeCell ref="AS142:AY142"/>
    <mergeCell ref="AS143:AY143"/>
    <mergeCell ref="AS144:AY144"/>
    <mergeCell ref="BD144:BF144"/>
    <mergeCell ref="BG144:BJ144"/>
    <mergeCell ref="BK144:BM144"/>
    <mergeCell ref="BK145:BM145"/>
    <mergeCell ref="BP147:BR147"/>
    <mergeCell ref="BP148:BR148"/>
    <mergeCell ref="BK149:BM149"/>
    <mergeCell ref="BP149:BR149"/>
    <mergeCell ref="BP141:BR141"/>
    <mergeCell ref="AS145:AY145"/>
    <mergeCell ref="AS146:AY146"/>
    <mergeCell ref="AS147:AY147"/>
    <mergeCell ref="AS148:AY148"/>
    <mergeCell ref="AS149:AY149"/>
    <mergeCell ref="BS141:BU141"/>
    <mergeCell ref="BD147:BF147"/>
    <mergeCell ref="BD148:BF148"/>
    <mergeCell ref="BG148:BJ148"/>
    <mergeCell ref="BK148:BM148"/>
    <mergeCell ref="BD145:BF145"/>
    <mergeCell ref="BG145:BJ145"/>
    <mergeCell ref="BD146:BF146"/>
    <mergeCell ref="BG146:BJ146"/>
    <mergeCell ref="BK146:BM146"/>
    <mergeCell ref="BG147:BJ147"/>
    <mergeCell ref="BK147:BM147"/>
    <mergeCell ref="BB141:BC141"/>
    <mergeCell ref="BB142:BC142"/>
    <mergeCell ref="BB143:BC143"/>
    <mergeCell ref="BD143:BF143"/>
    <mergeCell ref="BG143:BJ143"/>
    <mergeCell ref="BK143:BM143"/>
    <mergeCell ref="BP143:BR143"/>
    <mergeCell ref="BS143:BU143"/>
    <mergeCell ref="BD142:BF142"/>
    <mergeCell ref="BG142:BJ142"/>
    <mergeCell ref="BP142:BR142"/>
    <mergeCell ref="BS142:BU142"/>
    <mergeCell ref="BB137:BC137"/>
    <mergeCell ref="BG137:BJ137"/>
    <mergeCell ref="BK137:BM137"/>
    <mergeCell ref="BP137:BR137"/>
    <mergeCell ref="BS137:BU137"/>
    <mergeCell ref="AS137:AY137"/>
    <mergeCell ref="AS138:AY138"/>
    <mergeCell ref="BB138:BC138"/>
    <mergeCell ref="BD138:BF138"/>
    <mergeCell ref="BG138:BJ138"/>
    <mergeCell ref="BK138:BM138"/>
    <mergeCell ref="BP138:BR138"/>
    <mergeCell ref="BS138:BU138"/>
    <mergeCell ref="AS134:AY134"/>
    <mergeCell ref="AS135:AY135"/>
    <mergeCell ref="BB135:BC135"/>
    <mergeCell ref="BD135:BF135"/>
    <mergeCell ref="AS136:AY136"/>
    <mergeCell ref="BD136:BF136"/>
    <mergeCell ref="BD137:BF137"/>
    <mergeCell ref="BP134:BR134"/>
    <mergeCell ref="BS134:BU134"/>
    <mergeCell ref="BB133:BC133"/>
    <mergeCell ref="BB134:BC134"/>
    <mergeCell ref="BD140:BF140"/>
    <mergeCell ref="BG140:BJ140"/>
    <mergeCell ref="BP139:BR139"/>
    <mergeCell ref="BP140:BR140"/>
    <mergeCell ref="AS139:AY139"/>
    <mergeCell ref="BD139:BF139"/>
    <mergeCell ref="BG139:BJ139"/>
    <mergeCell ref="BK139:BM139"/>
    <mergeCell ref="BS139:BU139"/>
    <mergeCell ref="AS140:AY140"/>
    <mergeCell ref="BK140:BM140"/>
    <mergeCell ref="BS140:BU140"/>
    <mergeCell ref="BD134:BF134"/>
    <mergeCell ref="BG134:BJ134"/>
    <mergeCell ref="BG135:BJ135"/>
    <mergeCell ref="BK135:BM135"/>
    <mergeCell ref="BP135:BR135"/>
    <mergeCell ref="BS135:BU135"/>
    <mergeCell ref="AS133:AY133"/>
    <mergeCell ref="BD133:BF133"/>
    <mergeCell ref="BG133:BJ133"/>
    <mergeCell ref="BK133:BM133"/>
    <mergeCell ref="BK134:BM134"/>
    <mergeCell ref="BG136:BJ136"/>
    <mergeCell ref="BK136:BM136"/>
    <mergeCell ref="BP136:BR136"/>
    <mergeCell ref="BS136:BU136"/>
    <mergeCell ref="BB136:BC136"/>
    <mergeCell ref="BD185:BF185"/>
    <mergeCell ref="BG185:BJ185"/>
    <mergeCell ref="BK185:BM185"/>
    <mergeCell ref="AS119:AY119"/>
    <mergeCell ref="AS120:AY120"/>
    <mergeCell ref="AS121:AY121"/>
    <mergeCell ref="AS122:AY122"/>
    <mergeCell ref="AS123:AY123"/>
    <mergeCell ref="AS124:AY124"/>
    <mergeCell ref="AS125:AY125"/>
    <mergeCell ref="BK129:BM129"/>
    <mergeCell ref="BP129:BR129"/>
    <mergeCell ref="BS129:BU129"/>
    <mergeCell ref="BB129:BC129"/>
    <mergeCell ref="BB130:BC130"/>
    <mergeCell ref="BD130:BF130"/>
    <mergeCell ref="BG130:BJ130"/>
    <mergeCell ref="BK130:BM130"/>
    <mergeCell ref="BP130:BR130"/>
    <mergeCell ref="BS130:BU130"/>
    <mergeCell ref="AS126:AY126"/>
    <mergeCell ref="AS127:AY127"/>
    <mergeCell ref="AS128:AY128"/>
    <mergeCell ref="AS129:AY129"/>
    <mergeCell ref="BD129:BF129"/>
    <mergeCell ref="BG129:BJ129"/>
    <mergeCell ref="AS130:AY130"/>
    <mergeCell ref="BP131:BR131"/>
    <mergeCell ref="BP132:BR132"/>
    <mergeCell ref="BP133:BR133"/>
    <mergeCell ref="BB162:BC162"/>
    <mergeCell ref="BS133:BU133"/>
    <mergeCell ref="BG162:BJ162"/>
    <mergeCell ref="BK162:BM162"/>
    <mergeCell ref="BB164:BC164"/>
    <mergeCell ref="BD164:BF164"/>
    <mergeCell ref="BG164:BJ164"/>
    <mergeCell ref="BK164:BM164"/>
    <mergeCell ref="AS162:AY162"/>
    <mergeCell ref="AS163:AY163"/>
    <mergeCell ref="BB163:BC163"/>
    <mergeCell ref="BD163:BF163"/>
    <mergeCell ref="BG163:BJ163"/>
    <mergeCell ref="BK163:BM163"/>
    <mergeCell ref="AS164:AY164"/>
    <mergeCell ref="BB183:BC183"/>
    <mergeCell ref="BB184:BC184"/>
    <mergeCell ref="BD166:BF166"/>
    <mergeCell ref="BG166:BJ166"/>
    <mergeCell ref="AS165:AY165"/>
    <mergeCell ref="BB165:BC165"/>
    <mergeCell ref="BD165:BF165"/>
    <mergeCell ref="BG165:BJ165"/>
    <mergeCell ref="BK165:BM165"/>
    <mergeCell ref="BB166:BC166"/>
    <mergeCell ref="BK166:BM166"/>
    <mergeCell ref="BD171:BF171"/>
    <mergeCell ref="BG171:BJ171"/>
    <mergeCell ref="BK171:BM171"/>
    <mergeCell ref="AS172:AY172"/>
    <mergeCell ref="BK172:BM172"/>
    <mergeCell ref="BD174:BF174"/>
    <mergeCell ref="BK181:BM181"/>
    <mergeCell ref="BG174:BJ174"/>
    <mergeCell ref="BB177:BC177"/>
    <mergeCell ref="BB178:BC178"/>
    <mergeCell ref="AS179:AY179"/>
    <mergeCell ref="BD179:BF179"/>
    <mergeCell ref="AS150:AY150"/>
    <mergeCell ref="AS151:AY151"/>
    <mergeCell ref="AS152:AY152"/>
    <mergeCell ref="AS153:AY153"/>
    <mergeCell ref="AS154:AY154"/>
    <mergeCell ref="AS155:AY155"/>
    <mergeCell ref="AS156:AY156"/>
    <mergeCell ref="AS157:AY157"/>
    <mergeCell ref="AS158:AY158"/>
    <mergeCell ref="AS159:AY159"/>
    <mergeCell ref="AS160:AY160"/>
    <mergeCell ref="AS161:AY161"/>
    <mergeCell ref="BD182:BF182"/>
    <mergeCell ref="BB179:BC179"/>
    <mergeCell ref="BB180:BC180"/>
    <mergeCell ref="AS181:AY181"/>
    <mergeCell ref="BD181:BF181"/>
    <mergeCell ref="AS182:AY182"/>
    <mergeCell ref="BB157:BC157"/>
    <mergeCell ref="BD157:BF157"/>
    <mergeCell ref="BD162:BF162"/>
    <mergeCell ref="BB171:BC171"/>
    <mergeCell ref="BB172:BC172"/>
    <mergeCell ref="AS173:AY173"/>
    <mergeCell ref="BD173:BF173"/>
    <mergeCell ref="BB99:BC99"/>
    <mergeCell ref="BB100:BC100"/>
    <mergeCell ref="BB101:BC101"/>
    <mergeCell ref="BD101:BF101"/>
    <mergeCell ref="BB102:BC102"/>
    <mergeCell ref="BD102:BF102"/>
    <mergeCell ref="BD103:BF103"/>
    <mergeCell ref="BB110:BC110"/>
    <mergeCell ref="BB111:BC111"/>
    <mergeCell ref="BB112:BC112"/>
    <mergeCell ref="BB103:BC103"/>
    <mergeCell ref="BB104:BC104"/>
    <mergeCell ref="BB105:BC105"/>
    <mergeCell ref="BB106:BC106"/>
    <mergeCell ref="BB107:BC107"/>
    <mergeCell ref="BB108:BC108"/>
    <mergeCell ref="BB109:BC109"/>
    <mergeCell ref="BB78:BC78"/>
    <mergeCell ref="BB79:BC79"/>
    <mergeCell ref="BB80:BC80"/>
    <mergeCell ref="BB81:BC81"/>
    <mergeCell ref="BB82:BC82"/>
    <mergeCell ref="BB83:BC83"/>
    <mergeCell ref="BB84:BC84"/>
    <mergeCell ref="BB85:BC85"/>
    <mergeCell ref="BB86:BC86"/>
    <mergeCell ref="BB87:BC87"/>
    <mergeCell ref="BB88:BC88"/>
    <mergeCell ref="BB89:BC89"/>
    <mergeCell ref="BB90:BC90"/>
    <mergeCell ref="BB91:BC91"/>
    <mergeCell ref="BB92:BC92"/>
    <mergeCell ref="BB93:BC93"/>
    <mergeCell ref="BB94:BC94"/>
    <mergeCell ref="B77:C77"/>
    <mergeCell ref="D77:G77"/>
    <mergeCell ref="H77:K77"/>
    <mergeCell ref="L77:N77"/>
    <mergeCell ref="O77:Q77"/>
    <mergeCell ref="R77:T77"/>
    <mergeCell ref="U77:W77"/>
    <mergeCell ref="B78:C78"/>
    <mergeCell ref="D78:G78"/>
    <mergeCell ref="H78:K78"/>
    <mergeCell ref="L78:N78"/>
    <mergeCell ref="O78:Q78"/>
    <mergeCell ref="R78:T78"/>
    <mergeCell ref="U78:W78"/>
    <mergeCell ref="B79:C79"/>
    <mergeCell ref="D79:G79"/>
    <mergeCell ref="H79:K79"/>
    <mergeCell ref="L79:N79"/>
    <mergeCell ref="O79:Q79"/>
    <mergeCell ref="R79:T79"/>
    <mergeCell ref="U79:W79"/>
    <mergeCell ref="B74:C74"/>
    <mergeCell ref="D74:G74"/>
    <mergeCell ref="H74:K74"/>
    <mergeCell ref="L74:N74"/>
    <mergeCell ref="O74:Q74"/>
    <mergeCell ref="R74:T74"/>
    <mergeCell ref="U74:W74"/>
    <mergeCell ref="B75:C75"/>
    <mergeCell ref="D75:G75"/>
    <mergeCell ref="H75:K75"/>
    <mergeCell ref="L75:N75"/>
    <mergeCell ref="O75:Q75"/>
    <mergeCell ref="R75:T75"/>
    <mergeCell ref="U75:W75"/>
    <mergeCell ref="B76:C76"/>
    <mergeCell ref="D76:G76"/>
    <mergeCell ref="H76:K76"/>
    <mergeCell ref="L76:N76"/>
    <mergeCell ref="O76:Q76"/>
    <mergeCell ref="R76:T76"/>
    <mergeCell ref="U76:W76"/>
    <mergeCell ref="B71:C71"/>
    <mergeCell ref="D71:G71"/>
    <mergeCell ref="H71:K71"/>
    <mergeCell ref="L71:N71"/>
    <mergeCell ref="O71:Q71"/>
    <mergeCell ref="R71:T71"/>
    <mergeCell ref="U71:W71"/>
    <mergeCell ref="B72:C72"/>
    <mergeCell ref="D72:G72"/>
    <mergeCell ref="H72:K72"/>
    <mergeCell ref="L72:N72"/>
    <mergeCell ref="O72:Q72"/>
    <mergeCell ref="R72:T72"/>
    <mergeCell ref="U72:W72"/>
    <mergeCell ref="B73:C73"/>
    <mergeCell ref="D73:G73"/>
    <mergeCell ref="H73:K73"/>
    <mergeCell ref="L73:N73"/>
    <mergeCell ref="O73:Q73"/>
    <mergeCell ref="R73:T73"/>
    <mergeCell ref="U73:W73"/>
    <mergeCell ref="B68:C68"/>
    <mergeCell ref="D68:G68"/>
    <mergeCell ref="H68:K68"/>
    <mergeCell ref="L68:N68"/>
    <mergeCell ref="O68:Q68"/>
    <mergeCell ref="R68:T68"/>
    <mergeCell ref="U68:W68"/>
    <mergeCell ref="B69:C69"/>
    <mergeCell ref="D69:G69"/>
    <mergeCell ref="H69:K69"/>
    <mergeCell ref="L69:N69"/>
    <mergeCell ref="O69:Q69"/>
    <mergeCell ref="R69:T69"/>
    <mergeCell ref="U69:W69"/>
    <mergeCell ref="B70:C70"/>
    <mergeCell ref="D70:G70"/>
    <mergeCell ref="H70:K70"/>
    <mergeCell ref="L70:N70"/>
    <mergeCell ref="O70:Q70"/>
    <mergeCell ref="R70:T70"/>
    <mergeCell ref="U70:W70"/>
    <mergeCell ref="B65:C65"/>
    <mergeCell ref="D65:G65"/>
    <mergeCell ref="H65:K65"/>
    <mergeCell ref="L65:N65"/>
    <mergeCell ref="O65:Q65"/>
    <mergeCell ref="R65:T65"/>
    <mergeCell ref="U65:W65"/>
    <mergeCell ref="B66:C66"/>
    <mergeCell ref="D66:G66"/>
    <mergeCell ref="H66:K66"/>
    <mergeCell ref="L66:N66"/>
    <mergeCell ref="O66:Q66"/>
    <mergeCell ref="R66:T66"/>
    <mergeCell ref="U66:W66"/>
    <mergeCell ref="B67:C67"/>
    <mergeCell ref="D67:G67"/>
    <mergeCell ref="H67:K67"/>
    <mergeCell ref="L67:N67"/>
    <mergeCell ref="O67:Q67"/>
    <mergeCell ref="R67:T67"/>
    <mergeCell ref="U67:W67"/>
    <mergeCell ref="B62:C62"/>
    <mergeCell ref="D62:G62"/>
    <mergeCell ref="H62:K62"/>
    <mergeCell ref="L62:N62"/>
    <mergeCell ref="O62:Q62"/>
    <mergeCell ref="R62:T62"/>
    <mergeCell ref="U62:W62"/>
    <mergeCell ref="B63:C63"/>
    <mergeCell ref="D63:G63"/>
    <mergeCell ref="H63:K63"/>
    <mergeCell ref="L63:N63"/>
    <mergeCell ref="O63:Q63"/>
    <mergeCell ref="R63:T63"/>
    <mergeCell ref="U63:W63"/>
    <mergeCell ref="B64:C64"/>
    <mergeCell ref="D64:G64"/>
    <mergeCell ref="H64:K64"/>
    <mergeCell ref="L64:N64"/>
    <mergeCell ref="O64:Q64"/>
    <mergeCell ref="R64:T64"/>
    <mergeCell ref="U64:W64"/>
    <mergeCell ref="B59:C59"/>
    <mergeCell ref="D59:G59"/>
    <mergeCell ref="H59:K59"/>
    <mergeCell ref="L59:N59"/>
    <mergeCell ref="O59:Q59"/>
    <mergeCell ref="R59:T59"/>
    <mergeCell ref="U59:W59"/>
    <mergeCell ref="B60:C60"/>
    <mergeCell ref="D60:G60"/>
    <mergeCell ref="H60:K60"/>
    <mergeCell ref="L60:N60"/>
    <mergeCell ref="O60:Q60"/>
    <mergeCell ref="R60:T60"/>
    <mergeCell ref="U60:W60"/>
    <mergeCell ref="B61:C61"/>
    <mergeCell ref="D61:G61"/>
    <mergeCell ref="H61:K61"/>
    <mergeCell ref="L61:N61"/>
    <mergeCell ref="O61:Q61"/>
    <mergeCell ref="R61:T61"/>
    <mergeCell ref="U61:W61"/>
    <mergeCell ref="B56:C56"/>
    <mergeCell ref="D56:G56"/>
    <mergeCell ref="H56:K56"/>
    <mergeCell ref="L56:N56"/>
    <mergeCell ref="O56:Q56"/>
    <mergeCell ref="R56:T56"/>
    <mergeCell ref="U56:W56"/>
    <mergeCell ref="B57:C57"/>
    <mergeCell ref="D57:G57"/>
    <mergeCell ref="H57:K57"/>
    <mergeCell ref="L57:N57"/>
    <mergeCell ref="O57:Q57"/>
    <mergeCell ref="R57:T57"/>
    <mergeCell ref="U57:W57"/>
    <mergeCell ref="B58:C58"/>
    <mergeCell ref="D58:G58"/>
    <mergeCell ref="H58:K58"/>
    <mergeCell ref="L58:N58"/>
    <mergeCell ref="O58:Q58"/>
    <mergeCell ref="R58:T58"/>
    <mergeCell ref="U58:W58"/>
    <mergeCell ref="B53:C53"/>
    <mergeCell ref="D53:G53"/>
    <mergeCell ref="H53:K53"/>
    <mergeCell ref="L53:N53"/>
    <mergeCell ref="O53:Q53"/>
    <mergeCell ref="R53:T53"/>
    <mergeCell ref="U53:W53"/>
    <mergeCell ref="B54:C54"/>
    <mergeCell ref="D54:G54"/>
    <mergeCell ref="H54:K54"/>
    <mergeCell ref="L54:N54"/>
    <mergeCell ref="O54:Q54"/>
    <mergeCell ref="R54:T54"/>
    <mergeCell ref="U54:W54"/>
    <mergeCell ref="B55:C55"/>
    <mergeCell ref="D55:G55"/>
    <mergeCell ref="H55:K55"/>
    <mergeCell ref="L55:N55"/>
    <mergeCell ref="O55:Q55"/>
    <mergeCell ref="R55:T55"/>
    <mergeCell ref="U55:W55"/>
    <mergeCell ref="B50:C50"/>
    <mergeCell ref="D50:G50"/>
    <mergeCell ref="H50:K50"/>
    <mergeCell ref="L50:N50"/>
    <mergeCell ref="O50:Q50"/>
    <mergeCell ref="R50:T50"/>
    <mergeCell ref="U50:W50"/>
    <mergeCell ref="B51:C51"/>
    <mergeCell ref="D51:G51"/>
    <mergeCell ref="H51:K51"/>
    <mergeCell ref="L51:N51"/>
    <mergeCell ref="O51:Q51"/>
    <mergeCell ref="R51:T51"/>
    <mergeCell ref="U51:W51"/>
    <mergeCell ref="B52:C52"/>
    <mergeCell ref="D52:G52"/>
    <mergeCell ref="H52:K52"/>
    <mergeCell ref="L52:N52"/>
    <mergeCell ref="O52:Q52"/>
    <mergeCell ref="R52:T52"/>
    <mergeCell ref="U52:W52"/>
    <mergeCell ref="B47:C47"/>
    <mergeCell ref="D47:G47"/>
    <mergeCell ref="H47:K47"/>
    <mergeCell ref="L47:N47"/>
    <mergeCell ref="O47:Q47"/>
    <mergeCell ref="R47:T47"/>
    <mergeCell ref="U47:W47"/>
    <mergeCell ref="B48:C48"/>
    <mergeCell ref="D48:G48"/>
    <mergeCell ref="H48:K48"/>
    <mergeCell ref="L48:N48"/>
    <mergeCell ref="O48:Q48"/>
    <mergeCell ref="R48:T48"/>
    <mergeCell ref="U48:W48"/>
    <mergeCell ref="B49:C49"/>
    <mergeCell ref="D49:G49"/>
    <mergeCell ref="H49:K49"/>
    <mergeCell ref="L49:N49"/>
    <mergeCell ref="O49:Q49"/>
    <mergeCell ref="R49:T49"/>
    <mergeCell ref="U49:W49"/>
    <mergeCell ref="B44:C44"/>
    <mergeCell ref="D44:G44"/>
    <mergeCell ref="H44:K44"/>
    <mergeCell ref="L44:N44"/>
    <mergeCell ref="O44:Q44"/>
    <mergeCell ref="R44:T44"/>
    <mergeCell ref="U44:W44"/>
    <mergeCell ref="B45:C45"/>
    <mergeCell ref="D45:G45"/>
    <mergeCell ref="H45:K45"/>
    <mergeCell ref="L45:N45"/>
    <mergeCell ref="O45:Q45"/>
    <mergeCell ref="R45:T45"/>
    <mergeCell ref="U45:W45"/>
    <mergeCell ref="B46:C46"/>
    <mergeCell ref="D46:G46"/>
    <mergeCell ref="H46:K46"/>
    <mergeCell ref="L46:N46"/>
    <mergeCell ref="O46:Q46"/>
    <mergeCell ref="R46:T46"/>
    <mergeCell ref="U46:W46"/>
    <mergeCell ref="B41:C41"/>
    <mergeCell ref="D41:G41"/>
    <mergeCell ref="H41:K41"/>
    <mergeCell ref="L41:N41"/>
    <mergeCell ref="O41:Q41"/>
    <mergeCell ref="R41:T41"/>
    <mergeCell ref="U41:W41"/>
    <mergeCell ref="B42:C42"/>
    <mergeCell ref="D42:G42"/>
    <mergeCell ref="H42:K42"/>
    <mergeCell ref="L42:N42"/>
    <mergeCell ref="O42:Q42"/>
    <mergeCell ref="R42:T42"/>
    <mergeCell ref="U42:W42"/>
    <mergeCell ref="B43:C43"/>
    <mergeCell ref="D43:G43"/>
    <mergeCell ref="H43:K43"/>
    <mergeCell ref="L43:N43"/>
    <mergeCell ref="O43:Q43"/>
    <mergeCell ref="R43:T43"/>
    <mergeCell ref="U43:W43"/>
    <mergeCell ref="B38:C38"/>
    <mergeCell ref="D38:G38"/>
    <mergeCell ref="H38:K38"/>
    <mergeCell ref="L38:N38"/>
    <mergeCell ref="O38:Q38"/>
    <mergeCell ref="R38:T38"/>
    <mergeCell ref="U38:W38"/>
    <mergeCell ref="B39:C39"/>
    <mergeCell ref="D39:G39"/>
    <mergeCell ref="H39:K39"/>
    <mergeCell ref="L39:N39"/>
    <mergeCell ref="O39:Q39"/>
    <mergeCell ref="R39:T39"/>
    <mergeCell ref="U39:W39"/>
    <mergeCell ref="B40:C40"/>
    <mergeCell ref="D40:G40"/>
    <mergeCell ref="H40:K40"/>
    <mergeCell ref="L40:N40"/>
    <mergeCell ref="O40:Q40"/>
    <mergeCell ref="R40:T40"/>
    <mergeCell ref="U40:W40"/>
    <mergeCell ref="BG40:BJ40"/>
    <mergeCell ref="BK40:BM40"/>
    <mergeCell ref="BP40:BR40"/>
    <mergeCell ref="BS40:BU40"/>
    <mergeCell ref="BK41:BM41"/>
    <mergeCell ref="BP41:BR41"/>
    <mergeCell ref="BS41:BU41"/>
    <mergeCell ref="BG41:BJ41"/>
    <mergeCell ref="BG42:BJ42"/>
    <mergeCell ref="BK42:BM42"/>
    <mergeCell ref="BP42:BR42"/>
    <mergeCell ref="BS42:BU42"/>
    <mergeCell ref="BG43:BJ43"/>
    <mergeCell ref="BK43:BM43"/>
    <mergeCell ref="BP48:BR48"/>
    <mergeCell ref="BP49:BR49"/>
    <mergeCell ref="BP47:BR47"/>
    <mergeCell ref="BS47:BU47"/>
    <mergeCell ref="BG48:BJ48"/>
    <mergeCell ref="BK48:BM48"/>
    <mergeCell ref="BS48:BU48"/>
    <mergeCell ref="BK49:BM49"/>
    <mergeCell ref="BS49:BU49"/>
    <mergeCell ref="BB40:BC40"/>
    <mergeCell ref="BD40:BF40"/>
    <mergeCell ref="AS38:AY38"/>
    <mergeCell ref="BB38:BC38"/>
    <mergeCell ref="BD38:BF38"/>
    <mergeCell ref="AS39:AY39"/>
    <mergeCell ref="BB39:BC39"/>
    <mergeCell ref="BD39:BF39"/>
    <mergeCell ref="AS40:AY40"/>
    <mergeCell ref="BB43:BC43"/>
    <mergeCell ref="BD43:BF43"/>
    <mergeCell ref="AS41:AY41"/>
    <mergeCell ref="BB41:BC41"/>
    <mergeCell ref="BD41:BF41"/>
    <mergeCell ref="AS42:AY42"/>
    <mergeCell ref="BB42:BC42"/>
    <mergeCell ref="BD42:BF42"/>
    <mergeCell ref="AS43:AY43"/>
    <mergeCell ref="BB22:BC22"/>
    <mergeCell ref="BD22:BF22"/>
    <mergeCell ref="BB23:BC23"/>
    <mergeCell ref="BD23:BF23"/>
    <mergeCell ref="BD24:BF24"/>
    <mergeCell ref="BD28:BF28"/>
    <mergeCell ref="BG28:BJ28"/>
    <mergeCell ref="BK28:BM28"/>
    <mergeCell ref="BP28:BR28"/>
    <mergeCell ref="BS28:BU28"/>
    <mergeCell ref="BD25:BF25"/>
    <mergeCell ref="BD26:BF26"/>
    <mergeCell ref="BG26:BJ26"/>
    <mergeCell ref="BK26:BM26"/>
    <mergeCell ref="BD27:BF27"/>
    <mergeCell ref="BG27:BJ27"/>
    <mergeCell ref="BK27:BM27"/>
    <mergeCell ref="BK25:BM25"/>
    <mergeCell ref="BS18:BU18"/>
    <mergeCell ref="AS18:AY18"/>
    <mergeCell ref="AS19:AY19"/>
    <mergeCell ref="BB19:BC19"/>
    <mergeCell ref="BD19:BF19"/>
    <mergeCell ref="AS20:AY20"/>
    <mergeCell ref="BD20:BF20"/>
    <mergeCell ref="BD21:BF21"/>
    <mergeCell ref="BD18:BF18"/>
    <mergeCell ref="BG18:BJ18"/>
    <mergeCell ref="BG19:BJ19"/>
    <mergeCell ref="BK19:BM19"/>
    <mergeCell ref="BG20:BJ20"/>
    <mergeCell ref="BK20:BM20"/>
    <mergeCell ref="BK21:BM21"/>
    <mergeCell ref="BB20:BC20"/>
    <mergeCell ref="BB21:BC21"/>
    <mergeCell ref="B37:C37"/>
    <mergeCell ref="D37:G37"/>
    <mergeCell ref="H37:K37"/>
    <mergeCell ref="L37:N37"/>
    <mergeCell ref="O37:Q37"/>
    <mergeCell ref="R37:T37"/>
    <mergeCell ref="U37:W37"/>
    <mergeCell ref="BP21:BR21"/>
    <mergeCell ref="BP22:BR22"/>
    <mergeCell ref="BP23:BR23"/>
    <mergeCell ref="BP17:BR17"/>
    <mergeCell ref="BP18:BR18"/>
    <mergeCell ref="BP19:BR19"/>
    <mergeCell ref="BS19:BU19"/>
    <mergeCell ref="BP20:BR20"/>
    <mergeCell ref="BS20:BU20"/>
    <mergeCell ref="BS21:BU21"/>
    <mergeCell ref="BP31:BR31"/>
    <mergeCell ref="BS31:BU31"/>
    <mergeCell ref="BD30:BF30"/>
    <mergeCell ref="BG30:BJ30"/>
    <mergeCell ref="BK30:BM30"/>
    <mergeCell ref="BP30:BR30"/>
    <mergeCell ref="BS30:BU30"/>
    <mergeCell ref="BG31:BJ31"/>
    <mergeCell ref="BK31:BM31"/>
    <mergeCell ref="AS17:AY17"/>
    <mergeCell ref="BD17:BF17"/>
    <mergeCell ref="BG17:BJ17"/>
    <mergeCell ref="BK17:BM17"/>
    <mergeCell ref="BS17:BU17"/>
    <mergeCell ref="BK18:BM18"/>
    <mergeCell ref="B34:C34"/>
    <mergeCell ref="D34:G34"/>
    <mergeCell ref="H34:K34"/>
    <mergeCell ref="L34:N34"/>
    <mergeCell ref="O34:Q34"/>
    <mergeCell ref="R34:T34"/>
    <mergeCell ref="U34:W34"/>
    <mergeCell ref="B35:C35"/>
    <mergeCell ref="D35:G35"/>
    <mergeCell ref="H35:K35"/>
    <mergeCell ref="L35:N35"/>
    <mergeCell ref="O35:Q35"/>
    <mergeCell ref="R35:T35"/>
    <mergeCell ref="U35:W35"/>
    <mergeCell ref="B36:C36"/>
    <mergeCell ref="D36:G36"/>
    <mergeCell ref="H36:K36"/>
    <mergeCell ref="L36:N36"/>
    <mergeCell ref="O36:Q36"/>
    <mergeCell ref="R36:T36"/>
    <mergeCell ref="U36:W36"/>
    <mergeCell ref="B31:C31"/>
    <mergeCell ref="D31:G31"/>
    <mergeCell ref="H31:K31"/>
    <mergeCell ref="L31:N31"/>
    <mergeCell ref="O31:Q31"/>
    <mergeCell ref="R31:T31"/>
    <mergeCell ref="U31:W31"/>
    <mergeCell ref="B32:C32"/>
    <mergeCell ref="D32:G32"/>
    <mergeCell ref="H32:K32"/>
    <mergeCell ref="L32:N32"/>
    <mergeCell ref="O32:Q32"/>
    <mergeCell ref="R32:T32"/>
    <mergeCell ref="U32:W32"/>
    <mergeCell ref="B33:C33"/>
    <mergeCell ref="D33:G33"/>
    <mergeCell ref="H33:K33"/>
    <mergeCell ref="L33:N33"/>
    <mergeCell ref="O33:Q33"/>
    <mergeCell ref="R33:T33"/>
    <mergeCell ref="U33:W33"/>
    <mergeCell ref="B28:C28"/>
    <mergeCell ref="D28:G28"/>
    <mergeCell ref="H28:K28"/>
    <mergeCell ref="L28:N28"/>
    <mergeCell ref="O28:Q28"/>
    <mergeCell ref="R28:T28"/>
    <mergeCell ref="U28:W28"/>
    <mergeCell ref="B29:C29"/>
    <mergeCell ref="D29:G29"/>
    <mergeCell ref="H29:K29"/>
    <mergeCell ref="L29:N29"/>
    <mergeCell ref="O29:Q29"/>
    <mergeCell ref="R29:T29"/>
    <mergeCell ref="U29:W29"/>
    <mergeCell ref="B30:C30"/>
    <mergeCell ref="D30:G30"/>
    <mergeCell ref="H30:K30"/>
    <mergeCell ref="L30:N30"/>
    <mergeCell ref="O30:Q30"/>
    <mergeCell ref="R30:T30"/>
    <mergeCell ref="U30:W30"/>
    <mergeCell ref="L25:N25"/>
    <mergeCell ref="O25:Q25"/>
    <mergeCell ref="R25:T25"/>
    <mergeCell ref="U25:W25"/>
    <mergeCell ref="B26:C26"/>
    <mergeCell ref="D26:G26"/>
    <mergeCell ref="H26:K26"/>
    <mergeCell ref="L26:N26"/>
    <mergeCell ref="O26:Q26"/>
    <mergeCell ref="R26:T26"/>
    <mergeCell ref="U26:W26"/>
    <mergeCell ref="B27:C27"/>
    <mergeCell ref="D27:G27"/>
    <mergeCell ref="H27:K27"/>
    <mergeCell ref="L27:N27"/>
    <mergeCell ref="O27:Q27"/>
    <mergeCell ref="R27:T27"/>
    <mergeCell ref="U27:W27"/>
    <mergeCell ref="BG29:BJ29"/>
    <mergeCell ref="BK29:BM29"/>
    <mergeCell ref="BG21:BJ21"/>
    <mergeCell ref="BG22:BJ22"/>
    <mergeCell ref="BK22:BM22"/>
    <mergeCell ref="BG23:BJ23"/>
    <mergeCell ref="BK23:BM23"/>
    <mergeCell ref="BG24:BJ24"/>
    <mergeCell ref="BK24:BM24"/>
    <mergeCell ref="BP26:BR26"/>
    <mergeCell ref="BP27:BR27"/>
    <mergeCell ref="BP29:BR29"/>
    <mergeCell ref="BS27:BU27"/>
    <mergeCell ref="BS29:BU29"/>
    <mergeCell ref="BS22:BU22"/>
    <mergeCell ref="BS23:BU23"/>
    <mergeCell ref="BP24:BR24"/>
    <mergeCell ref="BS24:BU24"/>
    <mergeCell ref="BP25:BR25"/>
    <mergeCell ref="BS25:BU25"/>
    <mergeCell ref="BS26:BU26"/>
    <mergeCell ref="BB17:BC17"/>
    <mergeCell ref="BB18:BC18"/>
    <mergeCell ref="B22:C22"/>
    <mergeCell ref="D22:G22"/>
    <mergeCell ref="H22:K22"/>
    <mergeCell ref="L22:N22"/>
    <mergeCell ref="O22:Q22"/>
    <mergeCell ref="R22:T22"/>
    <mergeCell ref="U22:W22"/>
    <mergeCell ref="B23:C23"/>
    <mergeCell ref="D23:G23"/>
    <mergeCell ref="H23:K23"/>
    <mergeCell ref="L23:N23"/>
    <mergeCell ref="O23:Q23"/>
    <mergeCell ref="R23:T23"/>
    <mergeCell ref="U23:W23"/>
    <mergeCell ref="BG25:BJ25"/>
    <mergeCell ref="AS21:AY21"/>
    <mergeCell ref="AS22:AY22"/>
    <mergeCell ref="AS23:AY23"/>
    <mergeCell ref="AS24:AY24"/>
    <mergeCell ref="AS25:AY25"/>
    <mergeCell ref="B24:C24"/>
    <mergeCell ref="D24:G24"/>
    <mergeCell ref="H24:K24"/>
    <mergeCell ref="L24:N24"/>
    <mergeCell ref="O24:Q24"/>
    <mergeCell ref="R24:T24"/>
    <mergeCell ref="U24:W24"/>
    <mergeCell ref="B25:C25"/>
    <mergeCell ref="D25:G25"/>
    <mergeCell ref="H25:K25"/>
    <mergeCell ref="BK16:BM16"/>
    <mergeCell ref="BP16:BR16"/>
    <mergeCell ref="BS16:BU16"/>
    <mergeCell ref="BB13:BC14"/>
    <mergeCell ref="BB15:BC15"/>
    <mergeCell ref="BD15:BF15"/>
    <mergeCell ref="BG15:BJ15"/>
    <mergeCell ref="BK15:BM15"/>
    <mergeCell ref="BP15:BR15"/>
    <mergeCell ref="BS15:BU15"/>
    <mergeCell ref="AN13:AN14"/>
    <mergeCell ref="AO13:AO14"/>
    <mergeCell ref="AP13:AP14"/>
    <mergeCell ref="AQ13:AQ14"/>
    <mergeCell ref="AR13:AR14"/>
    <mergeCell ref="AS13:AY14"/>
    <mergeCell ref="AS15:AY15"/>
    <mergeCell ref="Z9:AL9"/>
    <mergeCell ref="A10:AI10"/>
    <mergeCell ref="A11:AI11"/>
    <mergeCell ref="A13:A14"/>
    <mergeCell ref="B13:C14"/>
    <mergeCell ref="D13:G14"/>
    <mergeCell ref="B15:C15"/>
    <mergeCell ref="D15:G15"/>
    <mergeCell ref="H15:K15"/>
    <mergeCell ref="L15:N15"/>
    <mergeCell ref="O15:Q15"/>
    <mergeCell ref="R15:T15"/>
    <mergeCell ref="U15:W15"/>
    <mergeCell ref="AS16:AY16"/>
    <mergeCell ref="BB16:BC16"/>
    <mergeCell ref="BD16:BF16"/>
    <mergeCell ref="BG16:BJ16"/>
    <mergeCell ref="H13:K14"/>
    <mergeCell ref="U1:W1"/>
    <mergeCell ref="AS1:AY1"/>
    <mergeCell ref="BB1:BC1"/>
    <mergeCell ref="L13:N14"/>
    <mergeCell ref="O13:Q14"/>
    <mergeCell ref="R13:T14"/>
    <mergeCell ref="U13:W14"/>
    <mergeCell ref="AJ13:AJ14"/>
    <mergeCell ref="AK13:AK14"/>
    <mergeCell ref="AL13:AL14"/>
    <mergeCell ref="AM13:AM14"/>
    <mergeCell ref="BD13:BF14"/>
    <mergeCell ref="BG13:BJ14"/>
    <mergeCell ref="BK13:BM14"/>
    <mergeCell ref="BP13:BR14"/>
    <mergeCell ref="BS13:BU14"/>
    <mergeCell ref="A5:G5"/>
    <mergeCell ref="H5:S5"/>
    <mergeCell ref="U5:Y5"/>
    <mergeCell ref="Z5:AL5"/>
    <mergeCell ref="U7:Y7"/>
    <mergeCell ref="U8:Y8"/>
    <mergeCell ref="U9:Y9"/>
    <mergeCell ref="A6:G6"/>
    <mergeCell ref="H6:S6"/>
    <mergeCell ref="U6:Y6"/>
    <mergeCell ref="Z6:AL6"/>
    <mergeCell ref="H7:S8"/>
    <mergeCell ref="Z7:AL7"/>
    <mergeCell ref="Z8:AL8"/>
    <mergeCell ref="BB12:BM12"/>
    <mergeCell ref="BP12:BU12"/>
    <mergeCell ref="BP64:BR64"/>
    <mergeCell ref="BP65:BR65"/>
    <mergeCell ref="BP63:BR63"/>
    <mergeCell ref="BS63:BU63"/>
    <mergeCell ref="BG64:BJ64"/>
    <mergeCell ref="BK64:BM64"/>
    <mergeCell ref="BS64:BU64"/>
    <mergeCell ref="BK65:BM65"/>
    <mergeCell ref="BS65:BU65"/>
    <mergeCell ref="BG59:BJ59"/>
    <mergeCell ref="BK59:BM59"/>
    <mergeCell ref="BP51:BR51"/>
    <mergeCell ref="BS51:BU51"/>
    <mergeCell ref="BG49:BJ49"/>
    <mergeCell ref="BG50:BJ50"/>
    <mergeCell ref="BK50:BM50"/>
    <mergeCell ref="BP50:BR50"/>
    <mergeCell ref="BS50:BU50"/>
    <mergeCell ref="BG51:BJ51"/>
    <mergeCell ref="BK51:BM51"/>
    <mergeCell ref="BG52:BJ52"/>
    <mergeCell ref="BK52:BM52"/>
    <mergeCell ref="BP52:BR52"/>
    <mergeCell ref="BS52:BU52"/>
    <mergeCell ref="BS56:BU56"/>
    <mergeCell ref="BK57:BM57"/>
    <mergeCell ref="BS57:BU57"/>
    <mergeCell ref="BP59:BR59"/>
    <mergeCell ref="BS59:BU59"/>
    <mergeCell ref="BG57:BJ57"/>
    <mergeCell ref="BG58:BJ58"/>
    <mergeCell ref="BK58:BM58"/>
    <mergeCell ref="BP58:BR58"/>
    <mergeCell ref="BS58:BU58"/>
    <mergeCell ref="BD1:BF1"/>
    <mergeCell ref="BG1:BJ1"/>
    <mergeCell ref="BK1:BM1"/>
    <mergeCell ref="BP1:BR1"/>
    <mergeCell ref="BS1:BU1"/>
    <mergeCell ref="A2:BR2"/>
    <mergeCell ref="A3:BR3"/>
    <mergeCell ref="A4:AX4"/>
    <mergeCell ref="B12:W12"/>
    <mergeCell ref="X12:AI12"/>
    <mergeCell ref="AJ12:AR12"/>
    <mergeCell ref="AS12:AY12"/>
    <mergeCell ref="A7:G8"/>
    <mergeCell ref="A9:G9"/>
    <mergeCell ref="H9:O9"/>
    <mergeCell ref="P9:S9"/>
    <mergeCell ref="B1:C1"/>
    <mergeCell ref="D1:G1"/>
    <mergeCell ref="H1:K1"/>
    <mergeCell ref="L1:N1"/>
    <mergeCell ref="O1:Q1"/>
    <mergeCell ref="R1:T1"/>
    <mergeCell ref="BS53:BU53"/>
    <mergeCell ref="BG53:BJ53"/>
    <mergeCell ref="BK37:BM37"/>
    <mergeCell ref="BP37:BR37"/>
    <mergeCell ref="BS37:BU37"/>
    <mergeCell ref="BP39:BR39"/>
    <mergeCell ref="BS39:BU39"/>
    <mergeCell ref="BG37:BJ37"/>
    <mergeCell ref="BG38:BJ38"/>
    <mergeCell ref="BK38:BM38"/>
    <mergeCell ref="BP38:BR38"/>
    <mergeCell ref="BS38:BU38"/>
    <mergeCell ref="BG39:BJ39"/>
    <mergeCell ref="BK39:BM39"/>
    <mergeCell ref="BP43:BR43"/>
    <mergeCell ref="BS43:BU43"/>
    <mergeCell ref="BP75:BR75"/>
    <mergeCell ref="BG75:BJ75"/>
    <mergeCell ref="BK75:BM75"/>
    <mergeCell ref="BS75:BU75"/>
    <mergeCell ref="BG54:BJ54"/>
    <mergeCell ref="BK54:BM54"/>
    <mergeCell ref="BP54:BR54"/>
    <mergeCell ref="BS54:BU54"/>
    <mergeCell ref="BG55:BJ55"/>
    <mergeCell ref="BK55:BM55"/>
    <mergeCell ref="BP56:BR56"/>
    <mergeCell ref="BP57:BR57"/>
    <mergeCell ref="BP55:BR55"/>
    <mergeCell ref="BS55:BU55"/>
    <mergeCell ref="BG56:BJ56"/>
    <mergeCell ref="BK56:BM56"/>
    <mergeCell ref="BP68:BR68"/>
    <mergeCell ref="BS68:BU68"/>
    <mergeCell ref="BG44:BJ44"/>
    <mergeCell ref="BK44:BM44"/>
    <mergeCell ref="BP44:BR44"/>
    <mergeCell ref="BS44:BU44"/>
    <mergeCell ref="BK45:BM45"/>
    <mergeCell ref="BP45:BR45"/>
    <mergeCell ref="BS45:BU45"/>
    <mergeCell ref="BG45:BJ45"/>
    <mergeCell ref="BG46:BJ46"/>
    <mergeCell ref="BK46:BM46"/>
    <mergeCell ref="BP46:BR46"/>
    <mergeCell ref="BS46:BU46"/>
    <mergeCell ref="BG47:BJ47"/>
    <mergeCell ref="BK47:BM47"/>
    <mergeCell ref="BG60:BJ60"/>
    <mergeCell ref="BK60:BM60"/>
    <mergeCell ref="BP60:BR60"/>
    <mergeCell ref="BS60:BU60"/>
    <mergeCell ref="BK61:BM61"/>
    <mergeCell ref="BP61:BR61"/>
    <mergeCell ref="BS61:BU61"/>
    <mergeCell ref="BG61:BJ61"/>
    <mergeCell ref="BG62:BJ62"/>
    <mergeCell ref="BK62:BM62"/>
    <mergeCell ref="BP62:BR62"/>
    <mergeCell ref="BS62:BU62"/>
    <mergeCell ref="BG63:BJ63"/>
    <mergeCell ref="BK63:BM63"/>
    <mergeCell ref="BK53:BM53"/>
    <mergeCell ref="BP53:BR53"/>
    <mergeCell ref="BG32:BJ32"/>
    <mergeCell ref="BK32:BM32"/>
    <mergeCell ref="BP32:BR32"/>
    <mergeCell ref="BS32:BU32"/>
    <mergeCell ref="BK33:BM33"/>
    <mergeCell ref="BP33:BR33"/>
    <mergeCell ref="BS33:BU33"/>
    <mergeCell ref="BG33:BJ33"/>
    <mergeCell ref="BG34:BJ34"/>
    <mergeCell ref="BK34:BM34"/>
    <mergeCell ref="BP34:BR34"/>
    <mergeCell ref="BS34:BU34"/>
    <mergeCell ref="BG35:BJ35"/>
    <mergeCell ref="BK35:BM35"/>
    <mergeCell ref="BG36:BJ36"/>
    <mergeCell ref="BK36:BM36"/>
    <mergeCell ref="BP36:BR36"/>
    <mergeCell ref="BS36:BU36"/>
    <mergeCell ref="BP35:BR35"/>
    <mergeCell ref="BS35:BU35"/>
    <mergeCell ref="BB61:BC61"/>
    <mergeCell ref="BD61:BF61"/>
    <mergeCell ref="AS59:AY59"/>
    <mergeCell ref="BB59:BC59"/>
    <mergeCell ref="BD59:BF59"/>
    <mergeCell ref="AS60:AY60"/>
    <mergeCell ref="BB60:BC60"/>
    <mergeCell ref="BD60:BF60"/>
    <mergeCell ref="AS61:AY61"/>
    <mergeCell ref="BB64:BC64"/>
    <mergeCell ref="BD64:BF64"/>
    <mergeCell ref="AS62:AY62"/>
    <mergeCell ref="BB62:BC62"/>
    <mergeCell ref="BD62:BF62"/>
    <mergeCell ref="AS63:AY63"/>
    <mergeCell ref="BB63:BC63"/>
    <mergeCell ref="BD63:BF63"/>
    <mergeCell ref="AS64:AY64"/>
    <mergeCell ref="AS50:AY50"/>
    <mergeCell ref="BB50:BC50"/>
    <mergeCell ref="BD50:BF50"/>
    <mergeCell ref="AS51:AY51"/>
    <mergeCell ref="BB51:BC51"/>
    <mergeCell ref="BD51:BF51"/>
    <mergeCell ref="AS52:AY52"/>
    <mergeCell ref="BB55:BC55"/>
    <mergeCell ref="BD55:BF55"/>
    <mergeCell ref="AS53:AY53"/>
    <mergeCell ref="BB53:BC53"/>
    <mergeCell ref="BD53:BF53"/>
    <mergeCell ref="AS54:AY54"/>
    <mergeCell ref="BB54:BC54"/>
    <mergeCell ref="BD54:BF54"/>
    <mergeCell ref="AS55:AY55"/>
    <mergeCell ref="BB58:BC58"/>
    <mergeCell ref="BD58:BF58"/>
    <mergeCell ref="AS56:AY56"/>
    <mergeCell ref="BB56:BC56"/>
    <mergeCell ref="BD56:BF56"/>
    <mergeCell ref="AS57:AY57"/>
    <mergeCell ref="BB57:BC57"/>
    <mergeCell ref="BD57:BF57"/>
    <mergeCell ref="AS58:AY58"/>
    <mergeCell ref="BB37:BC37"/>
    <mergeCell ref="BD37:BF37"/>
    <mergeCell ref="AS35:AY35"/>
    <mergeCell ref="BB35:BC35"/>
    <mergeCell ref="BD35:BF35"/>
    <mergeCell ref="AS36:AY36"/>
    <mergeCell ref="BB36:BC36"/>
    <mergeCell ref="BD36:BF36"/>
    <mergeCell ref="AS37:AY37"/>
    <mergeCell ref="AS68:AY68"/>
    <mergeCell ref="BB68:BC68"/>
    <mergeCell ref="BD68:BF68"/>
    <mergeCell ref="BB46:BC46"/>
    <mergeCell ref="BD46:BF46"/>
    <mergeCell ref="AS44:AY44"/>
    <mergeCell ref="BB44:BC44"/>
    <mergeCell ref="BD44:BF44"/>
    <mergeCell ref="AS45:AY45"/>
    <mergeCell ref="BB45:BC45"/>
    <mergeCell ref="BD45:BF45"/>
    <mergeCell ref="AS46:AY46"/>
    <mergeCell ref="BB49:BC49"/>
    <mergeCell ref="BD49:BF49"/>
    <mergeCell ref="AS47:AY47"/>
    <mergeCell ref="BB47:BC47"/>
    <mergeCell ref="BD47:BF47"/>
    <mergeCell ref="AS48:AY48"/>
    <mergeCell ref="BB48:BC48"/>
    <mergeCell ref="BD48:BF48"/>
    <mergeCell ref="AS49:AY49"/>
    <mergeCell ref="BB52:BC52"/>
    <mergeCell ref="BD52:BF52"/>
    <mergeCell ref="BB30:BC30"/>
    <mergeCell ref="BB31:BC31"/>
    <mergeCell ref="BD31:BF31"/>
    <mergeCell ref="BB24:BC24"/>
    <mergeCell ref="BB25:BC25"/>
    <mergeCell ref="BB26:BC26"/>
    <mergeCell ref="BB27:BC27"/>
    <mergeCell ref="BB28:BC28"/>
    <mergeCell ref="AS30:AY30"/>
    <mergeCell ref="AS31:AY31"/>
    <mergeCell ref="BB34:BC34"/>
    <mergeCell ref="BD34:BF34"/>
    <mergeCell ref="AS32:AY32"/>
    <mergeCell ref="BB32:BC32"/>
    <mergeCell ref="BD32:BF32"/>
    <mergeCell ref="AS33:AY33"/>
    <mergeCell ref="BB33:BC33"/>
    <mergeCell ref="BD33:BF33"/>
    <mergeCell ref="AS34:AY34"/>
    <mergeCell ref="AS28:AY28"/>
    <mergeCell ref="AS29:AY29"/>
    <mergeCell ref="BB29:BC29"/>
    <mergeCell ref="BD29:BF29"/>
    <mergeCell ref="AS26:AY26"/>
    <mergeCell ref="AS27:AY27"/>
    <mergeCell ref="BP512:BR512"/>
    <mergeCell ref="BS512:BU512"/>
    <mergeCell ref="BG513:BJ513"/>
    <mergeCell ref="BK513:BM513"/>
    <mergeCell ref="BP513:BR513"/>
    <mergeCell ref="BS513:BU513"/>
    <mergeCell ref="BG514:BJ514"/>
    <mergeCell ref="BK514:BM514"/>
    <mergeCell ref="BP514:BR514"/>
    <mergeCell ref="BS514:BU514"/>
    <mergeCell ref="BB67:BC67"/>
    <mergeCell ref="BD67:BF67"/>
    <mergeCell ref="AS65:AY65"/>
    <mergeCell ref="BB65:BC65"/>
    <mergeCell ref="BD65:BF65"/>
    <mergeCell ref="AS66:AY66"/>
    <mergeCell ref="BB66:BC66"/>
    <mergeCell ref="BD66:BF66"/>
    <mergeCell ref="AS67:AY67"/>
    <mergeCell ref="BD111:BF111"/>
    <mergeCell ref="BD112:BF112"/>
    <mergeCell ref="BD104:BF104"/>
    <mergeCell ref="BD105:BF105"/>
    <mergeCell ref="BD106:BF106"/>
    <mergeCell ref="BD107:BF107"/>
    <mergeCell ref="BD108:BF108"/>
    <mergeCell ref="BD109:BF109"/>
    <mergeCell ref="BD110:BF110"/>
    <mergeCell ref="BB69:BC69"/>
    <mergeCell ref="BB70:BC70"/>
    <mergeCell ref="BB71:BC71"/>
    <mergeCell ref="BB72:BC72"/>
    <mergeCell ref="BG512:BJ512"/>
    <mergeCell ref="BK512:BM512"/>
    <mergeCell ref="BB496:BC496"/>
    <mergeCell ref="BB497:BC497"/>
    <mergeCell ref="BD497:BF497"/>
    <mergeCell ref="BB498:BC498"/>
    <mergeCell ref="BD498:BF498"/>
    <mergeCell ref="BB499:BC499"/>
    <mergeCell ref="BD499:BF499"/>
    <mergeCell ref="BB500:BC500"/>
    <mergeCell ref="BD500:BF500"/>
    <mergeCell ref="BB501:BC501"/>
    <mergeCell ref="BD501:BF501"/>
    <mergeCell ref="BB502:BC502"/>
    <mergeCell ref="BD502:BF502"/>
    <mergeCell ref="BD503:BF503"/>
    <mergeCell ref="BG505:BJ505"/>
    <mergeCell ref="BK505:BM505"/>
    <mergeCell ref="BK506:BM506"/>
    <mergeCell ref="BG506:BJ506"/>
    <mergeCell ref="BG507:BJ507"/>
    <mergeCell ref="BK507:BM507"/>
    <mergeCell ref="BG508:BJ508"/>
    <mergeCell ref="BK508:BM508"/>
    <mergeCell ref="BB506:BC506"/>
    <mergeCell ref="BD506:BF506"/>
    <mergeCell ref="BB507:BC507"/>
    <mergeCell ref="BD507:BF507"/>
    <mergeCell ref="BB508:BC508"/>
    <mergeCell ref="BD508:BF508"/>
    <mergeCell ref="BB509:BC509"/>
    <mergeCell ref="BD509:BF509"/>
    <mergeCell ref="BB493:BC493"/>
    <mergeCell ref="BD493:BF493"/>
    <mergeCell ref="BB494:BC494"/>
    <mergeCell ref="BD494:BF494"/>
    <mergeCell ref="BB495:BC495"/>
    <mergeCell ref="BD495:BF495"/>
    <mergeCell ref="BD496:BF496"/>
    <mergeCell ref="BG509:BJ509"/>
    <mergeCell ref="BK509:BM509"/>
    <mergeCell ref="BP509:BR509"/>
    <mergeCell ref="BS509:BU509"/>
    <mergeCell ref="BK510:BM510"/>
    <mergeCell ref="BP510:BR510"/>
    <mergeCell ref="BS510:BU510"/>
    <mergeCell ref="BG510:BJ510"/>
    <mergeCell ref="BG511:BJ511"/>
    <mergeCell ref="BK511:BM511"/>
    <mergeCell ref="BP511:BR511"/>
    <mergeCell ref="BS511:BU511"/>
    <mergeCell ref="BP505:BR505"/>
    <mergeCell ref="BS505:BU505"/>
    <mergeCell ref="BP506:BR506"/>
    <mergeCell ref="BS506:BU506"/>
    <mergeCell ref="BP508:BR508"/>
    <mergeCell ref="BS508:BU508"/>
    <mergeCell ref="BP507:BR507"/>
    <mergeCell ref="BS507:BU507"/>
    <mergeCell ref="BB503:BC503"/>
    <mergeCell ref="BB504:BC504"/>
    <mergeCell ref="BD504:BF504"/>
    <mergeCell ref="BB505:BC505"/>
    <mergeCell ref="BD505:BF505"/>
    <mergeCell ref="BB484:BC484"/>
    <mergeCell ref="BD484:BF484"/>
    <mergeCell ref="BB485:BC485"/>
    <mergeCell ref="BD485:BF485"/>
    <mergeCell ref="BB486:BC486"/>
    <mergeCell ref="BD486:BF486"/>
    <mergeCell ref="BB487:BC487"/>
    <mergeCell ref="BD487:BF487"/>
    <mergeCell ref="BB488:BC488"/>
    <mergeCell ref="BD488:BF488"/>
    <mergeCell ref="BD489:BF489"/>
    <mergeCell ref="BB489:BC489"/>
    <mergeCell ref="BB490:BC490"/>
    <mergeCell ref="BD490:BF490"/>
    <mergeCell ref="BB491:BC491"/>
    <mergeCell ref="BD491:BF491"/>
    <mergeCell ref="BB492:BC492"/>
    <mergeCell ref="BD492:BF492"/>
    <mergeCell ref="BD475:BF475"/>
    <mergeCell ref="BB475:BC475"/>
    <mergeCell ref="BB476:BC476"/>
    <mergeCell ref="BD476:BF476"/>
    <mergeCell ref="BB477:BC477"/>
    <mergeCell ref="BD477:BF477"/>
    <mergeCell ref="BB478:BC478"/>
    <mergeCell ref="BD478:BF478"/>
    <mergeCell ref="BB479:BC479"/>
    <mergeCell ref="BD479:BF479"/>
    <mergeCell ref="BB480:BC480"/>
    <mergeCell ref="BD480:BF480"/>
    <mergeCell ref="BB481:BC481"/>
    <mergeCell ref="BD481:BF481"/>
    <mergeCell ref="BD482:BF482"/>
    <mergeCell ref="BB482:BC482"/>
    <mergeCell ref="BB483:BC483"/>
    <mergeCell ref="BD483:BF483"/>
    <mergeCell ref="BB466:BC466"/>
    <mergeCell ref="BD466:BF466"/>
    <mergeCell ref="BB467:BC467"/>
    <mergeCell ref="BD467:BF467"/>
    <mergeCell ref="BD468:BF468"/>
    <mergeCell ref="BB468:BC468"/>
    <mergeCell ref="BB469:BC469"/>
    <mergeCell ref="BD469:BF469"/>
    <mergeCell ref="BB470:BC470"/>
    <mergeCell ref="BD470:BF470"/>
    <mergeCell ref="BB471:BC471"/>
    <mergeCell ref="BD471:BF471"/>
    <mergeCell ref="BB472:BC472"/>
    <mergeCell ref="BD472:BF472"/>
    <mergeCell ref="BB473:BC473"/>
    <mergeCell ref="BD473:BF473"/>
    <mergeCell ref="BB474:BC474"/>
    <mergeCell ref="BD474:BF474"/>
    <mergeCell ref="BB514:BC514"/>
    <mergeCell ref="BD514:BF514"/>
    <mergeCell ref="BB510:BC510"/>
    <mergeCell ref="BB511:BC511"/>
    <mergeCell ref="BD511:BF511"/>
    <mergeCell ref="BB512:BC512"/>
    <mergeCell ref="BD512:BF512"/>
    <mergeCell ref="BB513:BC513"/>
    <mergeCell ref="BD513:BF513"/>
    <mergeCell ref="BB454:BC454"/>
    <mergeCell ref="BB455:BC455"/>
    <mergeCell ref="BD455:BF455"/>
    <mergeCell ref="BB456:BC456"/>
    <mergeCell ref="BD456:BF456"/>
    <mergeCell ref="BB457:BC457"/>
    <mergeCell ref="BD457:BF457"/>
    <mergeCell ref="BB458:BC458"/>
    <mergeCell ref="BD458:BF458"/>
    <mergeCell ref="BB459:BC459"/>
    <mergeCell ref="BD459:BF459"/>
    <mergeCell ref="BB460:BC460"/>
    <mergeCell ref="BD460:BF460"/>
    <mergeCell ref="BD461:BF461"/>
    <mergeCell ref="BB461:BC461"/>
    <mergeCell ref="BB462:BC462"/>
    <mergeCell ref="BD462:BF462"/>
    <mergeCell ref="BB463:BC463"/>
    <mergeCell ref="BD463:BF463"/>
    <mergeCell ref="BB464:BC464"/>
    <mergeCell ref="BD464:BF464"/>
    <mergeCell ref="BB465:BC465"/>
    <mergeCell ref="BD465:BF465"/>
    <mergeCell ref="BB423:BC423"/>
    <mergeCell ref="BB424:BC424"/>
    <mergeCell ref="BB425:BC425"/>
    <mergeCell ref="BD420:BF420"/>
    <mergeCell ref="BD421:BF421"/>
    <mergeCell ref="BD422:BF422"/>
    <mergeCell ref="BD423:BF423"/>
    <mergeCell ref="BD424:BF424"/>
    <mergeCell ref="BD425:BF425"/>
    <mergeCell ref="BD426:BF426"/>
    <mergeCell ref="BB426:BC426"/>
    <mergeCell ref="BB427:BC427"/>
    <mergeCell ref="BB428:BC428"/>
    <mergeCell ref="BB429:BC429"/>
    <mergeCell ref="BB430:BC430"/>
    <mergeCell ref="BB431:BC431"/>
    <mergeCell ref="BB432:BC432"/>
    <mergeCell ref="BD427:BF427"/>
    <mergeCell ref="BD428:BF428"/>
    <mergeCell ref="BD429:BF429"/>
    <mergeCell ref="BD430:BF430"/>
    <mergeCell ref="BD431:BF431"/>
    <mergeCell ref="BD432:BF432"/>
    <mergeCell ref="BD510:BF510"/>
    <mergeCell ref="BB409:BC409"/>
    <mergeCell ref="BB413:BC413"/>
    <mergeCell ref="BD413:BF413"/>
    <mergeCell ref="BB414:BC414"/>
    <mergeCell ref="BD414:BF414"/>
    <mergeCell ref="BB415:BC415"/>
    <mergeCell ref="BD415:BF415"/>
    <mergeCell ref="BB416:BC416"/>
    <mergeCell ref="BD416:BF416"/>
    <mergeCell ref="BB417:BC417"/>
    <mergeCell ref="BD417:BF417"/>
    <mergeCell ref="BB418:BC418"/>
    <mergeCell ref="BD418:BF418"/>
    <mergeCell ref="BD419:BF419"/>
    <mergeCell ref="BB419:BC419"/>
    <mergeCell ref="BB420:BC420"/>
    <mergeCell ref="BB421:BC421"/>
    <mergeCell ref="BB422:BC422"/>
    <mergeCell ref="BD454:BF454"/>
    <mergeCell ref="BB433:BC433"/>
    <mergeCell ref="BB434:BC434"/>
    <mergeCell ref="BB435:BC435"/>
    <mergeCell ref="BB436:BC436"/>
    <mergeCell ref="BB437:BC437"/>
    <mergeCell ref="BB438:BC438"/>
    <mergeCell ref="BB439:BC439"/>
    <mergeCell ref="BB440:BC440"/>
    <mergeCell ref="BB441:BC441"/>
    <mergeCell ref="BB442:BC442"/>
    <mergeCell ref="BB443:BC443"/>
    <mergeCell ref="BB444:BC444"/>
    <mergeCell ref="BG476:BJ476"/>
    <mergeCell ref="BK476:BM476"/>
    <mergeCell ref="BP476:BR476"/>
    <mergeCell ref="BS476:BU476"/>
    <mergeCell ref="BG477:BJ477"/>
    <mergeCell ref="BK477:BM477"/>
    <mergeCell ref="BP478:BR478"/>
    <mergeCell ref="BP479:BR479"/>
    <mergeCell ref="BP477:BR477"/>
    <mergeCell ref="BS477:BU477"/>
    <mergeCell ref="BG478:BJ478"/>
    <mergeCell ref="BK478:BM478"/>
    <mergeCell ref="BS478:BU478"/>
    <mergeCell ref="BK479:BM479"/>
    <mergeCell ref="BS479:BU479"/>
    <mergeCell ref="BP481:BR481"/>
    <mergeCell ref="BS481:BU481"/>
    <mergeCell ref="BG479:BJ479"/>
    <mergeCell ref="BG480:BJ480"/>
    <mergeCell ref="BK480:BM480"/>
    <mergeCell ref="BP480:BR480"/>
    <mergeCell ref="BS480:BU480"/>
    <mergeCell ref="BG481:BJ481"/>
    <mergeCell ref="BK481:BM481"/>
    <mergeCell ref="BP473:BR473"/>
    <mergeCell ref="BS473:BU473"/>
    <mergeCell ref="BG471:BJ471"/>
    <mergeCell ref="BG472:BJ472"/>
    <mergeCell ref="BK472:BM472"/>
    <mergeCell ref="BP472:BR472"/>
    <mergeCell ref="BS472:BU472"/>
    <mergeCell ref="BG473:BJ473"/>
    <mergeCell ref="BK473:BM473"/>
    <mergeCell ref="BG474:BJ474"/>
    <mergeCell ref="BK474:BM474"/>
    <mergeCell ref="BP474:BR474"/>
    <mergeCell ref="BS474:BU474"/>
    <mergeCell ref="BK475:BM475"/>
    <mergeCell ref="BP475:BR475"/>
    <mergeCell ref="BS475:BU475"/>
    <mergeCell ref="BG475:BJ475"/>
    <mergeCell ref="BG466:BJ466"/>
    <mergeCell ref="BK466:BM466"/>
    <mergeCell ref="BP466:BR466"/>
    <mergeCell ref="BS466:BU466"/>
    <mergeCell ref="BK467:BM467"/>
    <mergeCell ref="BP467:BR467"/>
    <mergeCell ref="BS467:BU467"/>
    <mergeCell ref="BG467:BJ467"/>
    <mergeCell ref="BG468:BJ468"/>
    <mergeCell ref="BK468:BM468"/>
    <mergeCell ref="BP468:BR468"/>
    <mergeCell ref="BS468:BU468"/>
    <mergeCell ref="BG469:BJ469"/>
    <mergeCell ref="BK469:BM469"/>
    <mergeCell ref="BP470:BR470"/>
    <mergeCell ref="BP471:BR471"/>
    <mergeCell ref="BP469:BR469"/>
    <mergeCell ref="BS469:BU469"/>
    <mergeCell ref="BG470:BJ470"/>
    <mergeCell ref="BK470:BM470"/>
    <mergeCell ref="BS470:BU470"/>
    <mergeCell ref="BK471:BM471"/>
    <mergeCell ref="BS471:BU471"/>
    <mergeCell ref="BP453:BR453"/>
    <mergeCell ref="BS453:BU453"/>
    <mergeCell ref="BP457:BR457"/>
    <mergeCell ref="BS457:BU457"/>
    <mergeCell ref="BG462:BJ462"/>
    <mergeCell ref="BK462:BM462"/>
    <mergeCell ref="BP462:BR462"/>
    <mergeCell ref="BS462:BU462"/>
    <mergeCell ref="BK463:BM463"/>
    <mergeCell ref="BP463:BR463"/>
    <mergeCell ref="BS463:BU463"/>
    <mergeCell ref="BG463:BJ463"/>
    <mergeCell ref="BG464:BJ464"/>
    <mergeCell ref="BK464:BM464"/>
    <mergeCell ref="BP464:BR464"/>
    <mergeCell ref="BS464:BU464"/>
    <mergeCell ref="BG465:BJ465"/>
    <mergeCell ref="BK465:BM465"/>
    <mergeCell ref="BB445:BC445"/>
    <mergeCell ref="BB446:BC446"/>
    <mergeCell ref="BG446:BJ446"/>
    <mergeCell ref="BK446:BM446"/>
    <mergeCell ref="BD434:BF434"/>
    <mergeCell ref="BD435:BF435"/>
    <mergeCell ref="BD436:BF436"/>
    <mergeCell ref="BD437:BF437"/>
    <mergeCell ref="BD438:BF438"/>
    <mergeCell ref="BD439:BF439"/>
    <mergeCell ref="BD440:BF440"/>
    <mergeCell ref="BD441:BF441"/>
    <mergeCell ref="BD442:BF442"/>
    <mergeCell ref="BD443:BF443"/>
    <mergeCell ref="BD444:BF444"/>
    <mergeCell ref="BD445:BF445"/>
    <mergeCell ref="BD446:BF446"/>
    <mergeCell ref="BG441:BJ441"/>
    <mergeCell ref="BK441:BM441"/>
    <mergeCell ref="BK451:BM451"/>
    <mergeCell ref="BP451:BR451"/>
    <mergeCell ref="BS451:BU451"/>
    <mergeCell ref="BG451:BJ451"/>
    <mergeCell ref="BG452:BJ452"/>
    <mergeCell ref="BK452:BM452"/>
    <mergeCell ref="BP452:BR452"/>
    <mergeCell ref="BS452:BU452"/>
    <mergeCell ref="BG453:BJ453"/>
    <mergeCell ref="BK453:BM453"/>
    <mergeCell ref="BB447:BC447"/>
    <mergeCell ref="BB448:BC448"/>
    <mergeCell ref="BD448:BF448"/>
    <mergeCell ref="BB449:BC449"/>
    <mergeCell ref="BD449:BF449"/>
    <mergeCell ref="BB450:BC450"/>
    <mergeCell ref="BD450:BF450"/>
    <mergeCell ref="BB451:BC451"/>
    <mergeCell ref="BD451:BF451"/>
    <mergeCell ref="BB452:BC452"/>
    <mergeCell ref="BD452:BF452"/>
    <mergeCell ref="BB453:BC453"/>
    <mergeCell ref="BD453:BF453"/>
    <mergeCell ref="BK447:BM447"/>
    <mergeCell ref="BP447:BR447"/>
    <mergeCell ref="BS447:BU447"/>
    <mergeCell ref="BP449:BR449"/>
    <mergeCell ref="BS449:BU449"/>
    <mergeCell ref="BG447:BJ447"/>
    <mergeCell ref="BG448:BJ448"/>
    <mergeCell ref="BK448:BM448"/>
    <mergeCell ref="BP448:BR448"/>
    <mergeCell ref="BK427:BM427"/>
    <mergeCell ref="BP427:BR427"/>
    <mergeCell ref="BS427:BU427"/>
    <mergeCell ref="BG428:BJ428"/>
    <mergeCell ref="BK428:BM428"/>
    <mergeCell ref="BP429:BR429"/>
    <mergeCell ref="BP430:BR430"/>
    <mergeCell ref="BP428:BR428"/>
    <mergeCell ref="BS428:BU428"/>
    <mergeCell ref="BG429:BJ429"/>
    <mergeCell ref="BK429:BM429"/>
    <mergeCell ref="BS429:BU429"/>
    <mergeCell ref="BK430:BM430"/>
    <mergeCell ref="BS430:BU430"/>
    <mergeCell ref="BD447:BF447"/>
    <mergeCell ref="BD433:BF433"/>
    <mergeCell ref="BG450:BJ450"/>
    <mergeCell ref="BK450:BM450"/>
    <mergeCell ref="BP450:BR450"/>
    <mergeCell ref="BS450:BU450"/>
    <mergeCell ref="BG445:BJ445"/>
    <mergeCell ref="BK445:BM445"/>
    <mergeCell ref="BP445:BR445"/>
    <mergeCell ref="BP446:BR446"/>
    <mergeCell ref="BS446:BU446"/>
    <mergeCell ref="BS448:BU448"/>
    <mergeCell ref="BG449:BJ449"/>
    <mergeCell ref="BK449:BM449"/>
    <mergeCell ref="BB400:BC400"/>
    <mergeCell ref="BB401:BC401"/>
    <mergeCell ref="BB402:BC402"/>
    <mergeCell ref="BB403:BC403"/>
    <mergeCell ref="BB404:BC404"/>
    <mergeCell ref="BB405:BC405"/>
    <mergeCell ref="BB406:BC406"/>
    <mergeCell ref="BG415:BJ415"/>
    <mergeCell ref="BK415:BM415"/>
    <mergeCell ref="BP415:BR415"/>
    <mergeCell ref="BG421:BJ421"/>
    <mergeCell ref="BK421:BM421"/>
    <mergeCell ref="BP421:BR421"/>
    <mergeCell ref="BS421:BU421"/>
    <mergeCell ref="BK422:BM422"/>
    <mergeCell ref="BP422:BR422"/>
    <mergeCell ref="BS422:BU422"/>
    <mergeCell ref="BG422:BJ422"/>
    <mergeCell ref="BG412:BJ412"/>
    <mergeCell ref="BK412:BM412"/>
    <mergeCell ref="BP412:BR412"/>
    <mergeCell ref="BS412:BU412"/>
    <mergeCell ref="BK413:BM413"/>
    <mergeCell ref="BP413:BR413"/>
    <mergeCell ref="BS413:BU413"/>
    <mergeCell ref="BK416:BM416"/>
    <mergeCell ref="BP416:BR416"/>
    <mergeCell ref="BP417:BR417"/>
    <mergeCell ref="BS417:BU417"/>
    <mergeCell ref="BP418:BR418"/>
    <mergeCell ref="BS418:BU418"/>
    <mergeCell ref="BP419:BR419"/>
    <mergeCell ref="AS488:AY488"/>
    <mergeCell ref="AS489:AY489"/>
    <mergeCell ref="AS490:AY490"/>
    <mergeCell ref="AS491:AY491"/>
    <mergeCell ref="AS492:AY492"/>
    <mergeCell ref="AS493:AY493"/>
    <mergeCell ref="AS494:AY494"/>
    <mergeCell ref="BP387:BR387"/>
    <mergeCell ref="BP388:BR388"/>
    <mergeCell ref="BP389:BR389"/>
    <mergeCell ref="BP390:BR390"/>
    <mergeCell ref="BP391:BR391"/>
    <mergeCell ref="BP392:BR392"/>
    <mergeCell ref="BP394:BR394"/>
    <mergeCell ref="AS394:AY394"/>
    <mergeCell ref="AS395:AY395"/>
    <mergeCell ref="BB395:BC395"/>
    <mergeCell ref="BD395:BF395"/>
    <mergeCell ref="AS396:AY396"/>
    <mergeCell ref="BD396:BF396"/>
    <mergeCell ref="BD397:BF397"/>
    <mergeCell ref="BB396:BC396"/>
    <mergeCell ref="BB397:BC397"/>
    <mergeCell ref="BB398:BC398"/>
    <mergeCell ref="BD398:BF398"/>
    <mergeCell ref="BB399:BC399"/>
    <mergeCell ref="BD399:BF399"/>
    <mergeCell ref="BD400:BF400"/>
    <mergeCell ref="BK404:BM404"/>
    <mergeCell ref="BP404:BR404"/>
    <mergeCell ref="BG401:BJ401"/>
    <mergeCell ref="BK401:BM401"/>
    <mergeCell ref="AS471:AY471"/>
    <mergeCell ref="AS472:AY472"/>
    <mergeCell ref="AS473:AY473"/>
    <mergeCell ref="AS474:AY474"/>
    <mergeCell ref="AS475:AY475"/>
    <mergeCell ref="AS476:AY476"/>
    <mergeCell ref="AS477:AY477"/>
    <mergeCell ref="AS478:AY478"/>
    <mergeCell ref="AS479:AY479"/>
    <mergeCell ref="AS480:AY480"/>
    <mergeCell ref="AS481:AY481"/>
    <mergeCell ref="AS482:AY482"/>
    <mergeCell ref="AS483:AY483"/>
    <mergeCell ref="AS484:AY484"/>
    <mergeCell ref="AS485:AY485"/>
    <mergeCell ref="AS486:AY486"/>
    <mergeCell ref="AS487:AY487"/>
    <mergeCell ref="AS454:AY454"/>
    <mergeCell ref="AS455:AY455"/>
    <mergeCell ref="AS456:AY456"/>
    <mergeCell ref="AS457:AY457"/>
    <mergeCell ref="AS458:AY458"/>
    <mergeCell ref="AS459:AY459"/>
    <mergeCell ref="AS460:AY460"/>
    <mergeCell ref="AS461:AY461"/>
    <mergeCell ref="AS462:AY462"/>
    <mergeCell ref="AS463:AY463"/>
    <mergeCell ref="AS464:AY464"/>
    <mergeCell ref="AS465:AY465"/>
    <mergeCell ref="AS466:AY466"/>
    <mergeCell ref="AS467:AY467"/>
    <mergeCell ref="AS468:AY468"/>
    <mergeCell ref="AS469:AY469"/>
    <mergeCell ref="AS470:AY470"/>
    <mergeCell ref="AS442:AY442"/>
    <mergeCell ref="AS443:AY443"/>
    <mergeCell ref="AS444:AY444"/>
    <mergeCell ref="AS445:AY445"/>
    <mergeCell ref="AS495:AY495"/>
    <mergeCell ref="AS496:AY496"/>
    <mergeCell ref="AS497:AY497"/>
    <mergeCell ref="AS498:AY498"/>
    <mergeCell ref="AS499:AY499"/>
    <mergeCell ref="AS500:AY500"/>
    <mergeCell ref="AS501:AY501"/>
    <mergeCell ref="AS509:AY509"/>
    <mergeCell ref="AS510:AY510"/>
    <mergeCell ref="AS511:AY511"/>
    <mergeCell ref="AS512:AY512"/>
    <mergeCell ref="AS513:AY513"/>
    <mergeCell ref="AS514:AY514"/>
    <mergeCell ref="AS502:AY502"/>
    <mergeCell ref="AS503:AY503"/>
    <mergeCell ref="AS504:AY504"/>
    <mergeCell ref="AS505:AY505"/>
    <mergeCell ref="AS506:AY506"/>
    <mergeCell ref="AS507:AY507"/>
    <mergeCell ref="AS508:AY508"/>
    <mergeCell ref="AS446:AY446"/>
    <mergeCell ref="AS447:AY447"/>
    <mergeCell ref="AS448:AY448"/>
    <mergeCell ref="AS449:AY449"/>
    <mergeCell ref="AS450:AY450"/>
    <mergeCell ref="AS451:AY451"/>
    <mergeCell ref="AS452:AY452"/>
    <mergeCell ref="AS453:AY453"/>
    <mergeCell ref="AS425:AY425"/>
    <mergeCell ref="AS426:AY426"/>
    <mergeCell ref="AS427:AY427"/>
    <mergeCell ref="AS428:AY428"/>
    <mergeCell ref="AS429:AY429"/>
    <mergeCell ref="AS430:AY430"/>
    <mergeCell ref="AS431:AY431"/>
    <mergeCell ref="AS432:AY432"/>
    <mergeCell ref="AS433:AY433"/>
    <mergeCell ref="AS434:AY434"/>
    <mergeCell ref="AS435:AY435"/>
    <mergeCell ref="AS436:AY436"/>
    <mergeCell ref="AS437:AY437"/>
    <mergeCell ref="AS438:AY438"/>
    <mergeCell ref="AS439:AY439"/>
    <mergeCell ref="AS440:AY440"/>
    <mergeCell ref="AS441:AY441"/>
    <mergeCell ref="BS445:BU445"/>
    <mergeCell ref="AS397:AY397"/>
    <mergeCell ref="AS398:AY398"/>
    <mergeCell ref="AS399:AY399"/>
    <mergeCell ref="AS400:AY400"/>
    <mergeCell ref="AS401:AY401"/>
    <mergeCell ref="AS402:AY402"/>
    <mergeCell ref="AS403:AY403"/>
    <mergeCell ref="AS404:AY404"/>
    <mergeCell ref="AS405:AY405"/>
    <mergeCell ref="AS406:AY406"/>
    <mergeCell ref="AS407:AY407"/>
    <mergeCell ref="AS408:AY408"/>
    <mergeCell ref="AS409:AY409"/>
    <mergeCell ref="AS410:AY410"/>
    <mergeCell ref="AS411:AY411"/>
    <mergeCell ref="AS412:AY412"/>
    <mergeCell ref="AS413:AY413"/>
    <mergeCell ref="AS414:AY414"/>
    <mergeCell ref="AS415:AY415"/>
    <mergeCell ref="AS416:AY416"/>
    <mergeCell ref="AS417:AY417"/>
    <mergeCell ref="AS418:AY418"/>
    <mergeCell ref="AS419:AY419"/>
    <mergeCell ref="AS420:AY420"/>
    <mergeCell ref="AS421:AY421"/>
    <mergeCell ref="AS422:AY422"/>
    <mergeCell ref="AS423:AY423"/>
    <mergeCell ref="AS424:AY424"/>
    <mergeCell ref="BG430:BJ430"/>
    <mergeCell ref="BG431:BJ431"/>
    <mergeCell ref="BK431:BM431"/>
    <mergeCell ref="BG437:BJ437"/>
    <mergeCell ref="BK437:BM437"/>
    <mergeCell ref="BP437:BR437"/>
    <mergeCell ref="BS437:BU437"/>
    <mergeCell ref="BK438:BM438"/>
    <mergeCell ref="BP438:BR438"/>
    <mergeCell ref="BS438:BU438"/>
    <mergeCell ref="BP440:BR440"/>
    <mergeCell ref="BS440:BU440"/>
    <mergeCell ref="BG438:BJ438"/>
    <mergeCell ref="BG439:BJ439"/>
    <mergeCell ref="BK439:BM439"/>
    <mergeCell ref="BP439:BR439"/>
    <mergeCell ref="BS439:BU439"/>
    <mergeCell ref="BG440:BJ440"/>
    <mergeCell ref="BK440:BM440"/>
    <mergeCell ref="BP436:BR436"/>
    <mergeCell ref="BS436:BU436"/>
    <mergeCell ref="BG436:BJ436"/>
    <mergeCell ref="BK436:BM436"/>
    <mergeCell ref="BP441:BR441"/>
    <mergeCell ref="BS441:BU441"/>
    <mergeCell ref="BK442:BM442"/>
    <mergeCell ref="BP442:BR442"/>
    <mergeCell ref="BS442:BU442"/>
    <mergeCell ref="BG442:BJ442"/>
    <mergeCell ref="BG443:BJ443"/>
    <mergeCell ref="BK443:BM443"/>
    <mergeCell ref="BP443:BR443"/>
    <mergeCell ref="BS443:BU443"/>
    <mergeCell ref="BG444:BJ444"/>
    <mergeCell ref="BK444:BM444"/>
    <mergeCell ref="BP432:BR432"/>
    <mergeCell ref="BS432:BU432"/>
    <mergeCell ref="BP444:BR444"/>
    <mergeCell ref="BS444:BU444"/>
    <mergeCell ref="BP414:BR414"/>
    <mergeCell ref="BS414:BU414"/>
    <mergeCell ref="BS415:BU415"/>
    <mergeCell ref="BS416:BU416"/>
    <mergeCell ref="BG420:BJ420"/>
    <mergeCell ref="BK420:BM420"/>
    <mergeCell ref="BP420:BR420"/>
    <mergeCell ref="BS420:BU420"/>
    <mergeCell ref="BG416:BJ416"/>
    <mergeCell ref="BG417:BJ417"/>
    <mergeCell ref="BK417:BM417"/>
    <mergeCell ref="BG418:BJ418"/>
    <mergeCell ref="BK418:BM418"/>
    <mergeCell ref="BG419:BJ419"/>
    <mergeCell ref="BK419:BM419"/>
    <mergeCell ref="BP424:BR424"/>
    <mergeCell ref="BS424:BU424"/>
    <mergeCell ref="BG423:BJ423"/>
    <mergeCell ref="BK423:BM423"/>
    <mergeCell ref="BP423:BR423"/>
    <mergeCell ref="BS423:BU423"/>
    <mergeCell ref="BG424:BJ424"/>
    <mergeCell ref="BK424:BM424"/>
    <mergeCell ref="BG433:BJ433"/>
    <mergeCell ref="BK433:BM433"/>
    <mergeCell ref="BP433:BR433"/>
    <mergeCell ref="BS433:BU433"/>
    <mergeCell ref="BK434:BM434"/>
    <mergeCell ref="BP434:BR434"/>
    <mergeCell ref="BS434:BU434"/>
    <mergeCell ref="BG434:BJ434"/>
    <mergeCell ref="BG435:BJ435"/>
    <mergeCell ref="BK435:BM435"/>
    <mergeCell ref="BP435:BR435"/>
    <mergeCell ref="BS435:BU435"/>
    <mergeCell ref="BP431:BR431"/>
    <mergeCell ref="BS431:BU431"/>
    <mergeCell ref="BG432:BJ432"/>
    <mergeCell ref="BK432:BM432"/>
    <mergeCell ref="BG425:BJ425"/>
    <mergeCell ref="BK425:BM425"/>
    <mergeCell ref="BP425:BR425"/>
    <mergeCell ref="BS425:BU425"/>
    <mergeCell ref="BK426:BM426"/>
    <mergeCell ref="BP426:BR426"/>
    <mergeCell ref="BS426:BU426"/>
    <mergeCell ref="BG426:BJ426"/>
    <mergeCell ref="BG427:BJ427"/>
    <mergeCell ref="BS419:BU419"/>
    <mergeCell ref="BG413:BJ413"/>
    <mergeCell ref="BG414:BJ414"/>
    <mergeCell ref="BK414:BM414"/>
    <mergeCell ref="BP497:BR497"/>
    <mergeCell ref="BS497:BU497"/>
    <mergeCell ref="BG495:BJ495"/>
    <mergeCell ref="BG496:BJ496"/>
    <mergeCell ref="BK496:BM496"/>
    <mergeCell ref="BP496:BR496"/>
    <mergeCell ref="BS496:BU496"/>
    <mergeCell ref="BG497:BJ497"/>
    <mergeCell ref="BK497:BM497"/>
    <mergeCell ref="BP502:BR502"/>
    <mergeCell ref="BP503:BR503"/>
    <mergeCell ref="BP501:BR501"/>
    <mergeCell ref="BS501:BU501"/>
    <mergeCell ref="BG502:BJ502"/>
    <mergeCell ref="BK502:BM502"/>
    <mergeCell ref="BS502:BU502"/>
    <mergeCell ref="BK503:BM503"/>
    <mergeCell ref="BS503:BU503"/>
    <mergeCell ref="BK490:BM490"/>
    <mergeCell ref="BP490:BR490"/>
    <mergeCell ref="BS490:BU490"/>
    <mergeCell ref="BK491:BM491"/>
    <mergeCell ref="BP491:BR491"/>
    <mergeCell ref="BS491:BU491"/>
    <mergeCell ref="BG491:BJ491"/>
    <mergeCell ref="BG492:BJ492"/>
    <mergeCell ref="BK492:BM492"/>
    <mergeCell ref="BP492:BR492"/>
    <mergeCell ref="BS492:BU492"/>
    <mergeCell ref="BG493:BJ493"/>
    <mergeCell ref="BK493:BM493"/>
    <mergeCell ref="BP494:BR494"/>
    <mergeCell ref="BP495:BR495"/>
    <mergeCell ref="BP493:BR493"/>
    <mergeCell ref="BS493:BU493"/>
    <mergeCell ref="BG494:BJ494"/>
    <mergeCell ref="BK494:BM494"/>
    <mergeCell ref="BS494:BU494"/>
    <mergeCell ref="BK495:BM495"/>
    <mergeCell ref="BS495:BU495"/>
    <mergeCell ref="BG503:BJ503"/>
    <mergeCell ref="BG504:BJ504"/>
    <mergeCell ref="BK504:BM504"/>
    <mergeCell ref="BP504:BR504"/>
    <mergeCell ref="BS504:BU504"/>
    <mergeCell ref="BK499:BM499"/>
    <mergeCell ref="BP499:BR499"/>
    <mergeCell ref="BS499:BU499"/>
    <mergeCell ref="BG499:BJ499"/>
    <mergeCell ref="BG482:BJ482"/>
    <mergeCell ref="BK482:BM482"/>
    <mergeCell ref="BP482:BR482"/>
    <mergeCell ref="BS482:BU482"/>
    <mergeCell ref="BK483:BM483"/>
    <mergeCell ref="BP483:BR483"/>
    <mergeCell ref="BS483:BU483"/>
    <mergeCell ref="BG483:BJ483"/>
    <mergeCell ref="BG484:BJ484"/>
    <mergeCell ref="BK484:BM484"/>
    <mergeCell ref="BP484:BR484"/>
    <mergeCell ref="BS484:BU484"/>
    <mergeCell ref="BG485:BJ485"/>
    <mergeCell ref="BK485:BM485"/>
    <mergeCell ref="BP486:BR486"/>
    <mergeCell ref="BP487:BR487"/>
    <mergeCell ref="BP485:BR485"/>
    <mergeCell ref="BS485:BU485"/>
    <mergeCell ref="BG486:BJ486"/>
    <mergeCell ref="BK486:BM486"/>
    <mergeCell ref="BS486:BU486"/>
    <mergeCell ref="BK487:BM487"/>
    <mergeCell ref="BS487:BU487"/>
    <mergeCell ref="BP489:BR489"/>
    <mergeCell ref="BS489:BU489"/>
    <mergeCell ref="BG487:BJ487"/>
    <mergeCell ref="BG488:BJ488"/>
    <mergeCell ref="BG500:BJ500"/>
    <mergeCell ref="BK500:BM500"/>
    <mergeCell ref="BP500:BR500"/>
    <mergeCell ref="BS500:BU500"/>
    <mergeCell ref="BG501:BJ501"/>
    <mergeCell ref="BK501:BM501"/>
    <mergeCell ref="BG454:BJ454"/>
    <mergeCell ref="BK454:BM454"/>
    <mergeCell ref="BP454:BR454"/>
    <mergeCell ref="BS454:BU454"/>
    <mergeCell ref="BK455:BM455"/>
    <mergeCell ref="BP455:BR455"/>
    <mergeCell ref="BS455:BU455"/>
    <mergeCell ref="BG455:BJ455"/>
    <mergeCell ref="BG456:BJ456"/>
    <mergeCell ref="BK456:BM456"/>
    <mergeCell ref="BP456:BR456"/>
    <mergeCell ref="BS456:BU456"/>
    <mergeCell ref="BG457:BJ457"/>
    <mergeCell ref="BK457:BM457"/>
    <mergeCell ref="BG458:BJ458"/>
    <mergeCell ref="BK458:BM458"/>
    <mergeCell ref="BP458:BR458"/>
    <mergeCell ref="BS458:BU458"/>
    <mergeCell ref="BK459:BM459"/>
    <mergeCell ref="BP459:BR459"/>
    <mergeCell ref="BS459:BU459"/>
    <mergeCell ref="BP461:BR461"/>
    <mergeCell ref="BS461:BU461"/>
    <mergeCell ref="BG459:BJ459"/>
    <mergeCell ref="BG460:BJ460"/>
    <mergeCell ref="BK460:BM460"/>
    <mergeCell ref="BG408:BJ408"/>
    <mergeCell ref="BK408:BM408"/>
    <mergeCell ref="BP408:BR408"/>
    <mergeCell ref="BK409:BM409"/>
    <mergeCell ref="BP409:BR409"/>
    <mergeCell ref="BG409:BJ409"/>
    <mergeCell ref="BG410:BJ410"/>
    <mergeCell ref="BK410:BM410"/>
    <mergeCell ref="BP410:BR410"/>
    <mergeCell ref="BG411:BJ411"/>
    <mergeCell ref="BK411:BM411"/>
    <mergeCell ref="BP411:BR411"/>
    <mergeCell ref="BG498:BJ498"/>
    <mergeCell ref="BK498:BM498"/>
    <mergeCell ref="BP498:BR498"/>
    <mergeCell ref="BS498:BU498"/>
    <mergeCell ref="BP460:BR460"/>
    <mergeCell ref="BS460:BU460"/>
    <mergeCell ref="BG461:BJ461"/>
    <mergeCell ref="BK461:BM461"/>
    <mergeCell ref="BP465:BR465"/>
    <mergeCell ref="BS465:BU465"/>
    <mergeCell ref="BK488:BM488"/>
    <mergeCell ref="BP488:BR488"/>
    <mergeCell ref="BS488:BU488"/>
    <mergeCell ref="BG489:BJ489"/>
    <mergeCell ref="BK489:BM489"/>
    <mergeCell ref="BG490:BJ490"/>
    <mergeCell ref="BD408:BF408"/>
    <mergeCell ref="BD409:BF409"/>
    <mergeCell ref="BB410:BC410"/>
    <mergeCell ref="BD410:BF410"/>
    <mergeCell ref="BB411:BC411"/>
    <mergeCell ref="BD411:BF411"/>
    <mergeCell ref="BB412:BC412"/>
    <mergeCell ref="BD412:BF412"/>
    <mergeCell ref="BD401:BF401"/>
    <mergeCell ref="BD402:BF402"/>
    <mergeCell ref="BD403:BF403"/>
    <mergeCell ref="BD404:BF404"/>
    <mergeCell ref="BD405:BF405"/>
    <mergeCell ref="BD406:BF406"/>
    <mergeCell ref="BD407:BF407"/>
    <mergeCell ref="BB407:BC407"/>
    <mergeCell ref="BB408:BC408"/>
    <mergeCell ref="BG400:BJ400"/>
    <mergeCell ref="BK400:BM400"/>
    <mergeCell ref="BP402:BR402"/>
    <mergeCell ref="BP403:BR403"/>
    <mergeCell ref="BP395:BR395"/>
    <mergeCell ref="BP396:BR396"/>
    <mergeCell ref="BP397:BR397"/>
    <mergeCell ref="BP398:BR398"/>
    <mergeCell ref="BP399:BR399"/>
    <mergeCell ref="BP400:BR400"/>
    <mergeCell ref="BP401:BR401"/>
    <mergeCell ref="BP406:BR406"/>
    <mergeCell ref="BP407:BR407"/>
    <mergeCell ref="BG405:BJ405"/>
    <mergeCell ref="BK405:BM405"/>
    <mergeCell ref="BP405:BR405"/>
    <mergeCell ref="BG406:BJ406"/>
    <mergeCell ref="BK406:BM406"/>
    <mergeCell ref="BG407:BJ407"/>
    <mergeCell ref="BK407:BM407"/>
    <mergeCell ref="BG402:BJ402"/>
    <mergeCell ref="BK402:BM402"/>
    <mergeCell ref="BG403:BJ403"/>
    <mergeCell ref="BK403:BM403"/>
    <mergeCell ref="BG404:BJ404"/>
    <mergeCell ref="BP383:BR383"/>
    <mergeCell ref="BP384:BR384"/>
    <mergeCell ref="BP385:BR385"/>
    <mergeCell ref="BP386:BR386"/>
    <mergeCell ref="BB394:BC394"/>
    <mergeCell ref="BD394:BF394"/>
    <mergeCell ref="BG394:BJ394"/>
    <mergeCell ref="BK394:BM394"/>
    <mergeCell ref="BG395:BJ395"/>
    <mergeCell ref="BK395:BM395"/>
    <mergeCell ref="BG396:BJ396"/>
    <mergeCell ref="BK396:BM396"/>
    <mergeCell ref="BK397:BM397"/>
    <mergeCell ref="BG397:BJ397"/>
    <mergeCell ref="BG398:BJ398"/>
    <mergeCell ref="BK398:BM398"/>
    <mergeCell ref="BG399:BJ399"/>
    <mergeCell ref="BK399:BM399"/>
    <mergeCell ref="BD389:BF389"/>
    <mergeCell ref="BG389:BJ389"/>
    <mergeCell ref="BK389:BM389"/>
    <mergeCell ref="BD390:BF390"/>
    <mergeCell ref="BG390:BJ390"/>
    <mergeCell ref="BK390:BM390"/>
    <mergeCell ref="BD392:BF392"/>
    <mergeCell ref="BD393:BF393"/>
    <mergeCell ref="BG393:BJ393"/>
    <mergeCell ref="BK393:BM393"/>
    <mergeCell ref="BP393:BR393"/>
    <mergeCell ref="BK387:BM387"/>
    <mergeCell ref="BD388:BF388"/>
    <mergeCell ref="BG388:BJ388"/>
    <mergeCell ref="BP366:BR366"/>
    <mergeCell ref="BP367:BR367"/>
    <mergeCell ref="BP368:BR368"/>
    <mergeCell ref="BP369:BR369"/>
    <mergeCell ref="BP370:BR370"/>
    <mergeCell ref="BP371:BR371"/>
    <mergeCell ref="BP372:BR372"/>
    <mergeCell ref="BP373:BR373"/>
    <mergeCell ref="BP374:BR374"/>
    <mergeCell ref="BP375:BR375"/>
    <mergeCell ref="BP376:BR376"/>
    <mergeCell ref="BP377:BR377"/>
    <mergeCell ref="BP378:BR378"/>
    <mergeCell ref="BP379:BR379"/>
    <mergeCell ref="BP380:BR380"/>
    <mergeCell ref="BP381:BR381"/>
    <mergeCell ref="BP382:BR382"/>
    <mergeCell ref="BP349:BR349"/>
    <mergeCell ref="BP350:BR350"/>
    <mergeCell ref="BP351:BR351"/>
    <mergeCell ref="BP352:BR352"/>
    <mergeCell ref="BP353:BR353"/>
    <mergeCell ref="BP354:BR354"/>
    <mergeCell ref="BP355:BR355"/>
    <mergeCell ref="BP356:BR356"/>
    <mergeCell ref="BP357:BR357"/>
    <mergeCell ref="BP358:BR358"/>
    <mergeCell ref="BP359:BR359"/>
    <mergeCell ref="BP360:BR360"/>
    <mergeCell ref="BP361:BR361"/>
    <mergeCell ref="BP362:BR362"/>
    <mergeCell ref="BP363:BR363"/>
    <mergeCell ref="BP364:BR364"/>
    <mergeCell ref="BP365:BR365"/>
    <mergeCell ref="BP332:BR332"/>
    <mergeCell ref="BP333:BR333"/>
    <mergeCell ref="BP334:BR334"/>
    <mergeCell ref="BP335:BR335"/>
    <mergeCell ref="BP336:BR336"/>
    <mergeCell ref="BP337:BR337"/>
    <mergeCell ref="BP338:BR338"/>
    <mergeCell ref="BP339:BR339"/>
    <mergeCell ref="BP340:BR340"/>
    <mergeCell ref="BP341:BR341"/>
    <mergeCell ref="BP342:BR342"/>
    <mergeCell ref="BP343:BR343"/>
    <mergeCell ref="BP344:BR344"/>
    <mergeCell ref="BP345:BR345"/>
    <mergeCell ref="BP346:BR346"/>
    <mergeCell ref="BP347:BR347"/>
    <mergeCell ref="BP348:BR348"/>
    <mergeCell ref="BP315:BR315"/>
    <mergeCell ref="BP316:BR316"/>
    <mergeCell ref="BP317:BR317"/>
    <mergeCell ref="BP318:BR318"/>
    <mergeCell ref="BP319:BR319"/>
    <mergeCell ref="BP320:BR320"/>
    <mergeCell ref="BP321:BR321"/>
    <mergeCell ref="BP322:BR322"/>
    <mergeCell ref="BP323:BR323"/>
    <mergeCell ref="BP324:BR324"/>
    <mergeCell ref="BP325:BR325"/>
    <mergeCell ref="BP326:BR326"/>
    <mergeCell ref="BP327:BR327"/>
    <mergeCell ref="BP328:BR328"/>
    <mergeCell ref="BP329:BR329"/>
    <mergeCell ref="BP330:BR330"/>
    <mergeCell ref="BP331:BR331"/>
    <mergeCell ref="BP298:BR298"/>
    <mergeCell ref="BP299:BR299"/>
    <mergeCell ref="BP300:BR300"/>
    <mergeCell ref="BP301:BR301"/>
    <mergeCell ref="BP302:BR302"/>
    <mergeCell ref="BP303:BR303"/>
    <mergeCell ref="BP304:BR304"/>
    <mergeCell ref="BP305:BR305"/>
    <mergeCell ref="BP306:BR306"/>
    <mergeCell ref="BP307:BR307"/>
    <mergeCell ref="BP308:BR308"/>
    <mergeCell ref="BP309:BR309"/>
    <mergeCell ref="BP310:BR310"/>
    <mergeCell ref="BP311:BR311"/>
    <mergeCell ref="BP312:BR312"/>
    <mergeCell ref="BP313:BR313"/>
    <mergeCell ref="BP314:BR314"/>
    <mergeCell ref="BK194:BM194"/>
    <mergeCell ref="BD195:BF195"/>
    <mergeCell ref="BG195:BJ195"/>
    <mergeCell ref="BK195:BM195"/>
    <mergeCell ref="BD197:BF197"/>
    <mergeCell ref="BD198:BF198"/>
    <mergeCell ref="BG198:BJ198"/>
    <mergeCell ref="BK198:BM198"/>
    <mergeCell ref="BB195:BC195"/>
    <mergeCell ref="BB196:BC196"/>
    <mergeCell ref="BD196:BF196"/>
    <mergeCell ref="BG196:BJ196"/>
    <mergeCell ref="BK196:BM196"/>
    <mergeCell ref="BG197:BJ197"/>
    <mergeCell ref="BK197:BM197"/>
    <mergeCell ref="BP296:BR296"/>
    <mergeCell ref="BP297:BR297"/>
    <mergeCell ref="BD199:BF199"/>
    <mergeCell ref="BG199:BJ199"/>
    <mergeCell ref="BK199:BM199"/>
    <mergeCell ref="BK200:BM200"/>
    <mergeCell ref="BD200:BF200"/>
    <mergeCell ref="BG200:BJ200"/>
    <mergeCell ref="BD201:BF201"/>
    <mergeCell ref="BG201:BJ201"/>
    <mergeCell ref="BK201:BM201"/>
    <mergeCell ref="BG202:BJ202"/>
    <mergeCell ref="BK202:BM202"/>
    <mergeCell ref="BD205:BF205"/>
    <mergeCell ref="BG205:BJ205"/>
    <mergeCell ref="BK205:BM205"/>
    <mergeCell ref="BD206:BF206"/>
    <mergeCell ref="BK179:BM179"/>
    <mergeCell ref="AS180:AY180"/>
    <mergeCell ref="BK180:BM180"/>
    <mergeCell ref="BD180:BF180"/>
    <mergeCell ref="BG180:BJ180"/>
    <mergeCell ref="AS186:AY186"/>
    <mergeCell ref="BD186:BF186"/>
    <mergeCell ref="BG186:BJ186"/>
    <mergeCell ref="BK186:BM186"/>
    <mergeCell ref="BK187:BM187"/>
    <mergeCell ref="BD187:BF187"/>
    <mergeCell ref="BG187:BJ187"/>
    <mergeCell ref="BD188:BF188"/>
    <mergeCell ref="BG188:BJ188"/>
    <mergeCell ref="BK188:BM188"/>
    <mergeCell ref="BG189:BJ189"/>
    <mergeCell ref="BK189:BM189"/>
    <mergeCell ref="BK182:BM182"/>
    <mergeCell ref="BD184:BF184"/>
    <mergeCell ref="BG184:BJ184"/>
    <mergeCell ref="BB181:BC181"/>
    <mergeCell ref="BB182:BC182"/>
    <mergeCell ref="AS183:AY183"/>
    <mergeCell ref="BD183:BF183"/>
    <mergeCell ref="BG183:BJ183"/>
    <mergeCell ref="BK183:BM183"/>
    <mergeCell ref="AS184:AY184"/>
    <mergeCell ref="BK184:BM184"/>
    <mergeCell ref="BG182:BJ182"/>
    <mergeCell ref="BG181:BJ181"/>
    <mergeCell ref="BG179:BJ179"/>
    <mergeCell ref="BB185:BC185"/>
    <mergeCell ref="BD192:BF192"/>
    <mergeCell ref="BG192:BJ192"/>
    <mergeCell ref="BB154:BC154"/>
    <mergeCell ref="BB155:BC155"/>
    <mergeCell ref="BD155:BF155"/>
    <mergeCell ref="BG155:BJ155"/>
    <mergeCell ref="BK155:BM155"/>
    <mergeCell ref="BB156:BC156"/>
    <mergeCell ref="BD156:BF156"/>
    <mergeCell ref="BG160:BJ160"/>
    <mergeCell ref="BK160:BM160"/>
    <mergeCell ref="BB161:BC161"/>
    <mergeCell ref="BD161:BF161"/>
    <mergeCell ref="BG161:BJ161"/>
    <mergeCell ref="BK161:BM161"/>
    <mergeCell ref="AS194:AY194"/>
    <mergeCell ref="AS195:AY195"/>
    <mergeCell ref="BK192:BM192"/>
    <mergeCell ref="BD193:BF193"/>
    <mergeCell ref="BG193:BJ193"/>
    <mergeCell ref="BK193:BM193"/>
    <mergeCell ref="BD189:BF189"/>
    <mergeCell ref="BD190:BF190"/>
    <mergeCell ref="BG190:BJ190"/>
    <mergeCell ref="BK190:BM190"/>
    <mergeCell ref="BD191:BF191"/>
    <mergeCell ref="BG191:BJ191"/>
    <mergeCell ref="BK191:BM191"/>
    <mergeCell ref="BB193:BC193"/>
    <mergeCell ref="BB194:BC194"/>
    <mergeCell ref="BD194:BF194"/>
    <mergeCell ref="BG194:BJ194"/>
    <mergeCell ref="BK157:BM157"/>
    <mergeCell ref="BD158:BF158"/>
    <mergeCell ref="BG158:BJ158"/>
    <mergeCell ref="BK158:BM158"/>
    <mergeCell ref="BB158:BC158"/>
    <mergeCell ref="BB159:BC159"/>
    <mergeCell ref="BD159:BF159"/>
    <mergeCell ref="BG159:BJ159"/>
    <mergeCell ref="BK159:BM159"/>
    <mergeCell ref="BB160:BC160"/>
    <mergeCell ref="BD160:BF160"/>
    <mergeCell ref="BG151:BJ151"/>
    <mergeCell ref="BK151:BM151"/>
    <mergeCell ref="BB149:BC149"/>
    <mergeCell ref="BB150:BC150"/>
    <mergeCell ref="BD150:BF150"/>
    <mergeCell ref="BG150:BJ150"/>
    <mergeCell ref="BK150:BM150"/>
    <mergeCell ref="BB151:BC151"/>
    <mergeCell ref="BD151:BF151"/>
    <mergeCell ref="BB153:BC153"/>
    <mergeCell ref="BD153:BF153"/>
    <mergeCell ref="BG153:BJ153"/>
    <mergeCell ref="BK153:BM153"/>
    <mergeCell ref="BD154:BF154"/>
    <mergeCell ref="BG154:BJ154"/>
    <mergeCell ref="BK154:BM154"/>
    <mergeCell ref="BG156:BJ156"/>
    <mergeCell ref="BK156:BM156"/>
    <mergeCell ref="BG157:BJ157"/>
    <mergeCell ref="AS118:AY118"/>
    <mergeCell ref="BD132:BF132"/>
    <mergeCell ref="BG132:BJ132"/>
    <mergeCell ref="AS131:AY131"/>
    <mergeCell ref="BD131:BF131"/>
    <mergeCell ref="BG131:BJ131"/>
    <mergeCell ref="BK131:BM131"/>
    <mergeCell ref="BS131:BU131"/>
    <mergeCell ref="AS132:AY132"/>
    <mergeCell ref="BK132:BM132"/>
    <mergeCell ref="BS132:BU132"/>
    <mergeCell ref="BB131:BC131"/>
    <mergeCell ref="BB132:BC132"/>
    <mergeCell ref="BS110:BU110"/>
    <mergeCell ref="BG111:BJ111"/>
    <mergeCell ref="BK111:BM111"/>
    <mergeCell ref="BP111:BR111"/>
    <mergeCell ref="BS111:BU111"/>
    <mergeCell ref="BG112:BJ112"/>
    <mergeCell ref="BK112:BM112"/>
    <mergeCell ref="BP112:BR112"/>
    <mergeCell ref="BS112:BU112"/>
    <mergeCell ref="BB126:BC126"/>
    <mergeCell ref="BK126:BM126"/>
    <mergeCell ref="AS101:AY101"/>
    <mergeCell ref="AS102:AY102"/>
    <mergeCell ref="AS103:AY103"/>
    <mergeCell ref="AS104:AY104"/>
    <mergeCell ref="AS105:AY105"/>
    <mergeCell ref="AS106:AY106"/>
    <mergeCell ref="AS107:AY107"/>
    <mergeCell ref="AS108:AY108"/>
    <mergeCell ref="AS109:AY109"/>
    <mergeCell ref="AS110:AY110"/>
    <mergeCell ref="AS111:AY111"/>
    <mergeCell ref="AS112:AY112"/>
    <mergeCell ref="AS113:AY113"/>
    <mergeCell ref="AS114:AY114"/>
    <mergeCell ref="AS115:AY115"/>
    <mergeCell ref="AS116:AY116"/>
    <mergeCell ref="AS117:AY117"/>
    <mergeCell ref="AS78:AY78"/>
    <mergeCell ref="AS79:AY79"/>
    <mergeCell ref="AS80:AY80"/>
    <mergeCell ref="AS81:AY81"/>
    <mergeCell ref="AS82:AY82"/>
    <mergeCell ref="AS83:AY83"/>
    <mergeCell ref="AS84:AY84"/>
    <mergeCell ref="AS85:AY85"/>
    <mergeCell ref="AS86:AY86"/>
    <mergeCell ref="AS93:AY93"/>
    <mergeCell ref="AS94:AY94"/>
    <mergeCell ref="AS95:AY95"/>
    <mergeCell ref="AS96:AY96"/>
    <mergeCell ref="AS97:AY97"/>
    <mergeCell ref="AS98:AY98"/>
    <mergeCell ref="AS99:AY99"/>
    <mergeCell ref="AS100:AY100"/>
    <mergeCell ref="AS87:AY87"/>
    <mergeCell ref="AS88:AY88"/>
    <mergeCell ref="AS89:AY89"/>
    <mergeCell ref="AS90:AY90"/>
    <mergeCell ref="AS91:AY91"/>
    <mergeCell ref="AS92:AY92"/>
    <mergeCell ref="BS105:BU105"/>
    <mergeCell ref="BS99:BU99"/>
    <mergeCell ref="BS100:BU100"/>
    <mergeCell ref="BG101:BJ101"/>
    <mergeCell ref="BK101:BM101"/>
    <mergeCell ref="BS101:BU101"/>
    <mergeCell ref="BK102:BM102"/>
    <mergeCell ref="BS102:BU102"/>
    <mergeCell ref="BG106:BJ106"/>
    <mergeCell ref="BK106:BM106"/>
    <mergeCell ref="BP106:BR106"/>
    <mergeCell ref="BS106:BU106"/>
    <mergeCell ref="BG102:BJ102"/>
    <mergeCell ref="BG103:BJ103"/>
    <mergeCell ref="BK103:BM103"/>
    <mergeCell ref="BG104:BJ104"/>
    <mergeCell ref="BK104:BM104"/>
    <mergeCell ref="BG105:BJ105"/>
    <mergeCell ref="BK105:BM105"/>
    <mergeCell ref="BP89:BR89"/>
    <mergeCell ref="BS89:BU89"/>
    <mergeCell ref="BP90:BR90"/>
    <mergeCell ref="BS90:BU90"/>
    <mergeCell ref="BS91:BU91"/>
    <mergeCell ref="BS92:BU92"/>
    <mergeCell ref="BS93:BU93"/>
    <mergeCell ref="AS69:AY69"/>
    <mergeCell ref="BD69:BF69"/>
    <mergeCell ref="BG69:BJ69"/>
    <mergeCell ref="BK69:BM69"/>
    <mergeCell ref="BS70:BU70"/>
    <mergeCell ref="BD70:BF70"/>
    <mergeCell ref="BG70:BJ70"/>
    <mergeCell ref="BD71:BF71"/>
    <mergeCell ref="BG71:BJ71"/>
    <mergeCell ref="BK71:BM71"/>
    <mergeCell ref="BG72:BJ72"/>
    <mergeCell ref="BK72:BM72"/>
    <mergeCell ref="BB76:BC76"/>
    <mergeCell ref="BB77:BC77"/>
    <mergeCell ref="BD77:BF77"/>
    <mergeCell ref="BG77:BJ77"/>
    <mergeCell ref="BK77:BM77"/>
    <mergeCell ref="BP77:BR77"/>
    <mergeCell ref="BS77:BU77"/>
    <mergeCell ref="BB73:BC73"/>
    <mergeCell ref="BB74:BC74"/>
    <mergeCell ref="AS70:AY70"/>
    <mergeCell ref="AS71:AY71"/>
    <mergeCell ref="AS72:AY72"/>
    <mergeCell ref="AS73:AY73"/>
    <mergeCell ref="AS74:AY74"/>
    <mergeCell ref="AS75:AY75"/>
    <mergeCell ref="AS76:AY76"/>
    <mergeCell ref="AS77:AY77"/>
    <mergeCell ref="BP76:BR76"/>
    <mergeCell ref="BD75:BF75"/>
    <mergeCell ref="BD76:BF76"/>
    <mergeCell ref="BP116:BR116"/>
    <mergeCell ref="BB75:BC75"/>
    <mergeCell ref="BG65:BJ65"/>
    <mergeCell ref="BG66:BJ66"/>
    <mergeCell ref="BK66:BM66"/>
    <mergeCell ref="BP66:BR66"/>
    <mergeCell ref="BS66:BU66"/>
    <mergeCell ref="BG67:BJ67"/>
    <mergeCell ref="BK67:BM67"/>
    <mergeCell ref="BP69:BR69"/>
    <mergeCell ref="BS69:BU69"/>
    <mergeCell ref="BK70:BM70"/>
    <mergeCell ref="BP70:BR70"/>
    <mergeCell ref="BP71:BR71"/>
    <mergeCell ref="BS71:BU71"/>
    <mergeCell ref="BP72:BR72"/>
    <mergeCell ref="BS72:BU72"/>
    <mergeCell ref="BP67:BR67"/>
    <mergeCell ref="BS67:BU67"/>
    <mergeCell ref="BS94:BU94"/>
    <mergeCell ref="BS95:BU95"/>
    <mergeCell ref="BS96:BU96"/>
    <mergeCell ref="BS97:BU97"/>
    <mergeCell ref="BS98:BU98"/>
    <mergeCell ref="BP101:BR101"/>
    <mergeCell ref="BP102:BR102"/>
    <mergeCell ref="BP103:BR103"/>
    <mergeCell ref="BS103:BU103"/>
    <mergeCell ref="BP104:BR104"/>
    <mergeCell ref="BS104:BU104"/>
    <mergeCell ref="BG68:BJ68"/>
    <mergeCell ref="BK68:BM68"/>
    <mergeCell ref="BG74:BJ74"/>
    <mergeCell ref="BK74:BM74"/>
    <mergeCell ref="BP74:BR74"/>
    <mergeCell ref="BS74:BU74"/>
    <mergeCell ref="BD72:BF72"/>
    <mergeCell ref="BD73:BF73"/>
    <mergeCell ref="BG73:BJ73"/>
    <mergeCell ref="BK73:BM73"/>
    <mergeCell ref="BP73:BR73"/>
    <mergeCell ref="BS73:BU73"/>
    <mergeCell ref="BD74:BF74"/>
    <mergeCell ref="BP78:BR78"/>
    <mergeCell ref="BP79:BR79"/>
    <mergeCell ref="BD78:BF78"/>
    <mergeCell ref="BG78:BJ78"/>
    <mergeCell ref="BK78:BM78"/>
    <mergeCell ref="BS78:BU78"/>
    <mergeCell ref="BG79:BJ79"/>
    <mergeCell ref="BK79:BM79"/>
    <mergeCell ref="BS79:BU79"/>
    <mergeCell ref="BG76:BJ76"/>
    <mergeCell ref="BK76:BM76"/>
    <mergeCell ref="BS76:BU76"/>
    <mergeCell ref="BP122:BR122"/>
    <mergeCell ref="BS122:BU122"/>
    <mergeCell ref="BP117:BR117"/>
    <mergeCell ref="BP118:BR118"/>
    <mergeCell ref="BP119:BR119"/>
    <mergeCell ref="BB122:BC122"/>
    <mergeCell ref="BD122:BF122"/>
    <mergeCell ref="BG122:BJ122"/>
    <mergeCell ref="BK122:BM122"/>
    <mergeCell ref="BB123:BC123"/>
    <mergeCell ref="BD123:BF123"/>
    <mergeCell ref="BG123:BJ123"/>
    <mergeCell ref="BK123:BM123"/>
    <mergeCell ref="BS123:BU123"/>
    <mergeCell ref="BS118:BU118"/>
    <mergeCell ref="BS119:BU119"/>
    <mergeCell ref="BD120:BF120"/>
    <mergeCell ref="BG120:BJ120"/>
    <mergeCell ref="BP120:BR120"/>
    <mergeCell ref="BS120:BU120"/>
    <mergeCell ref="BB120:BC120"/>
    <mergeCell ref="BB121:BC121"/>
    <mergeCell ref="BD121:BF121"/>
    <mergeCell ref="BG121:BJ121"/>
    <mergeCell ref="BK121:BM121"/>
    <mergeCell ref="BP121:BR121"/>
    <mergeCell ref="BS121:BU121"/>
    <mergeCell ref="BB119:BC119"/>
    <mergeCell ref="BD119:BF119"/>
    <mergeCell ref="BG119:BJ119"/>
    <mergeCell ref="BP127:BR127"/>
    <mergeCell ref="BP128:BR128"/>
    <mergeCell ref="BP123:BR123"/>
    <mergeCell ref="BP124:BR124"/>
    <mergeCell ref="BP125:BR125"/>
    <mergeCell ref="BS125:BU125"/>
    <mergeCell ref="BP126:BR126"/>
    <mergeCell ref="BS126:BU126"/>
    <mergeCell ref="BS127:BU127"/>
    <mergeCell ref="BS128:BU128"/>
    <mergeCell ref="BB124:BC124"/>
    <mergeCell ref="BK124:BM124"/>
    <mergeCell ref="BS124:BU124"/>
    <mergeCell ref="BD124:BF124"/>
    <mergeCell ref="BG124:BJ124"/>
    <mergeCell ref="BB125:BC125"/>
    <mergeCell ref="BD125:BF125"/>
    <mergeCell ref="BG125:BJ125"/>
    <mergeCell ref="BK125:BM125"/>
    <mergeCell ref="BD128:BF128"/>
    <mergeCell ref="BG128:BJ128"/>
    <mergeCell ref="BD126:BF126"/>
    <mergeCell ref="BG126:BJ126"/>
    <mergeCell ref="BB127:BC127"/>
    <mergeCell ref="BD127:BF127"/>
    <mergeCell ref="BG127:BJ127"/>
    <mergeCell ref="BK127:BM127"/>
    <mergeCell ref="BB128:BC128"/>
    <mergeCell ref="BK128:BM128"/>
    <mergeCell ref="BK119:BM119"/>
    <mergeCell ref="BK120:BM120"/>
    <mergeCell ref="BG107:BJ107"/>
    <mergeCell ref="BK107:BM107"/>
    <mergeCell ref="BP107:BR107"/>
    <mergeCell ref="BS107:BU107"/>
    <mergeCell ref="BK108:BM108"/>
    <mergeCell ref="BP108:BR108"/>
    <mergeCell ref="BS108:BU108"/>
    <mergeCell ref="BG108:BJ108"/>
    <mergeCell ref="BG109:BJ109"/>
    <mergeCell ref="BK109:BM109"/>
    <mergeCell ref="BP109:BR109"/>
    <mergeCell ref="BS109:BU109"/>
    <mergeCell ref="BG110:BJ110"/>
    <mergeCell ref="BK110:BM110"/>
    <mergeCell ref="BB113:BC113"/>
    <mergeCell ref="BD113:BF113"/>
    <mergeCell ref="BG113:BJ113"/>
    <mergeCell ref="BK113:BM113"/>
    <mergeCell ref="BS113:BU113"/>
    <mergeCell ref="BB114:BC114"/>
    <mergeCell ref="BK114:BM114"/>
    <mergeCell ref="BS114:BU114"/>
    <mergeCell ref="BD114:BF114"/>
    <mergeCell ref="BG114:BJ114"/>
    <mergeCell ref="BB115:BC115"/>
    <mergeCell ref="BD115:BF115"/>
    <mergeCell ref="BG115:BJ115"/>
    <mergeCell ref="BS116:BU116"/>
    <mergeCell ref="BS117:BU117"/>
    <mergeCell ref="BS115:BU115"/>
    <mergeCell ref="BP98:BR98"/>
    <mergeCell ref="BP99:BR99"/>
    <mergeCell ref="BP100:BR100"/>
    <mergeCell ref="BP91:BR91"/>
    <mergeCell ref="BP92:BR92"/>
    <mergeCell ref="BP93:BR93"/>
    <mergeCell ref="BP94:BR94"/>
    <mergeCell ref="BP95:BR95"/>
    <mergeCell ref="BP96:BR96"/>
    <mergeCell ref="BP97:BR97"/>
    <mergeCell ref="BD116:BF116"/>
    <mergeCell ref="BG116:BJ116"/>
    <mergeCell ref="BB117:BC117"/>
    <mergeCell ref="BD117:BF117"/>
    <mergeCell ref="BG117:BJ117"/>
    <mergeCell ref="BK117:BM117"/>
    <mergeCell ref="BB118:BC118"/>
    <mergeCell ref="BK118:BM118"/>
    <mergeCell ref="BD118:BF118"/>
    <mergeCell ref="BG118:BJ118"/>
    <mergeCell ref="BK115:BM115"/>
    <mergeCell ref="BB116:BC116"/>
    <mergeCell ref="BK116:BM116"/>
    <mergeCell ref="BP113:BR113"/>
    <mergeCell ref="BP114:BR114"/>
    <mergeCell ref="BP115:BR115"/>
    <mergeCell ref="BP105:BR105"/>
    <mergeCell ref="BP110:BR110"/>
    <mergeCell ref="BB95:BC95"/>
    <mergeCell ref="BB96:BC96"/>
    <mergeCell ref="BB97:BC97"/>
    <mergeCell ref="BB98:BC98"/>
    <mergeCell ref="BD84:BF84"/>
    <mergeCell ref="BD85:BF85"/>
    <mergeCell ref="BG85:BJ85"/>
    <mergeCell ref="BK85:BM85"/>
    <mergeCell ref="BD86:BF86"/>
    <mergeCell ref="BG86:BJ86"/>
    <mergeCell ref="BK86:BM86"/>
    <mergeCell ref="BD87:BF87"/>
    <mergeCell ref="BG87:BJ87"/>
    <mergeCell ref="BK87:BM87"/>
    <mergeCell ref="BS87:BU87"/>
    <mergeCell ref="BG88:BJ88"/>
    <mergeCell ref="BK88:BM88"/>
    <mergeCell ref="BS88:BU88"/>
    <mergeCell ref="BP84:BR84"/>
    <mergeCell ref="BP85:BR85"/>
    <mergeCell ref="BS85:BU85"/>
    <mergeCell ref="BP86:BR86"/>
    <mergeCell ref="BS86:BU86"/>
    <mergeCell ref="BP87:BR87"/>
    <mergeCell ref="BP88:BR88"/>
    <mergeCell ref="BK100:BM100"/>
    <mergeCell ref="BD97:BF97"/>
    <mergeCell ref="BG97:BJ97"/>
    <mergeCell ref="BK97:BM97"/>
    <mergeCell ref="BD98:BF98"/>
    <mergeCell ref="BG98:BJ98"/>
    <mergeCell ref="BK98:BM98"/>
    <mergeCell ref="BD99:BF99"/>
    <mergeCell ref="BD79:BF79"/>
    <mergeCell ref="BD80:BF80"/>
    <mergeCell ref="BG80:BJ80"/>
    <mergeCell ref="BK80:BM80"/>
    <mergeCell ref="BP80:BR80"/>
    <mergeCell ref="BS80:BU80"/>
    <mergeCell ref="BD81:BF81"/>
    <mergeCell ref="BG81:BJ81"/>
    <mergeCell ref="BK81:BM81"/>
    <mergeCell ref="BD82:BF82"/>
    <mergeCell ref="BG82:BJ82"/>
    <mergeCell ref="BK82:BM82"/>
    <mergeCell ref="BP82:BR82"/>
    <mergeCell ref="BS82:BU82"/>
    <mergeCell ref="BD83:BF83"/>
    <mergeCell ref="BG83:BJ83"/>
    <mergeCell ref="BK83:BM83"/>
    <mergeCell ref="BS83:BU83"/>
    <mergeCell ref="BP81:BR81"/>
    <mergeCell ref="BS81:BU81"/>
    <mergeCell ref="BP83:BR83"/>
    <mergeCell ref="BG84:BJ84"/>
    <mergeCell ref="BK84:BM84"/>
    <mergeCell ref="BS84:BU84"/>
    <mergeCell ref="BS350:BU350"/>
    <mergeCell ref="BS351:BU351"/>
    <mergeCell ref="BS352:BU352"/>
    <mergeCell ref="BD88:BF88"/>
    <mergeCell ref="BD89:BF89"/>
    <mergeCell ref="BG89:BJ89"/>
    <mergeCell ref="BK89:BM89"/>
    <mergeCell ref="BD90:BF90"/>
    <mergeCell ref="BG90:BJ90"/>
    <mergeCell ref="BK90:BM90"/>
    <mergeCell ref="BG93:BJ93"/>
    <mergeCell ref="BK93:BM93"/>
    <mergeCell ref="BD91:BF91"/>
    <mergeCell ref="BG91:BJ91"/>
    <mergeCell ref="BK91:BM91"/>
    <mergeCell ref="BD92:BF92"/>
    <mergeCell ref="BG92:BJ92"/>
    <mergeCell ref="BK92:BM92"/>
    <mergeCell ref="BD93:BF93"/>
    <mergeCell ref="BG96:BJ96"/>
    <mergeCell ref="BK96:BM96"/>
    <mergeCell ref="BD94:BF94"/>
    <mergeCell ref="BG94:BJ94"/>
    <mergeCell ref="BK94:BM94"/>
    <mergeCell ref="BD95:BF95"/>
    <mergeCell ref="BG95:BJ95"/>
    <mergeCell ref="BK95:BM95"/>
    <mergeCell ref="BD96:BF96"/>
    <mergeCell ref="BG99:BJ99"/>
    <mergeCell ref="BK99:BM99"/>
    <mergeCell ref="BD100:BF100"/>
    <mergeCell ref="BG100:BJ100"/>
    <mergeCell ref="BS333:BU333"/>
    <mergeCell ref="BS334:BU334"/>
    <mergeCell ref="BS335:BU335"/>
    <mergeCell ref="BS336:BU336"/>
    <mergeCell ref="BS337:BU337"/>
    <mergeCell ref="BS338:BU338"/>
    <mergeCell ref="BS339:BU339"/>
    <mergeCell ref="BS340:BU340"/>
    <mergeCell ref="BS341:BU341"/>
    <mergeCell ref="BS342:BU342"/>
    <mergeCell ref="BS343:BU343"/>
    <mergeCell ref="BS344:BU344"/>
    <mergeCell ref="BS345:BU345"/>
    <mergeCell ref="BS346:BU346"/>
    <mergeCell ref="BS347:BU347"/>
    <mergeCell ref="BS348:BU348"/>
    <mergeCell ref="BS349:BU349"/>
    <mergeCell ref="BS316:BU316"/>
    <mergeCell ref="BS317:BU317"/>
    <mergeCell ref="BS318:BU318"/>
    <mergeCell ref="BS319:BU319"/>
    <mergeCell ref="BS320:BU320"/>
    <mergeCell ref="BS321:BU321"/>
    <mergeCell ref="BS322:BU322"/>
    <mergeCell ref="BS323:BU323"/>
    <mergeCell ref="BS324:BU324"/>
    <mergeCell ref="BS325:BU325"/>
    <mergeCell ref="BS326:BU326"/>
    <mergeCell ref="BS327:BU327"/>
    <mergeCell ref="BS328:BU328"/>
    <mergeCell ref="BS329:BU329"/>
    <mergeCell ref="BS330:BU330"/>
    <mergeCell ref="BS331:BU331"/>
    <mergeCell ref="BS332:BU332"/>
    <mergeCell ref="BS299:BU299"/>
    <mergeCell ref="BS300:BU300"/>
    <mergeCell ref="BS301:BU301"/>
    <mergeCell ref="BS302:BU302"/>
    <mergeCell ref="BS303:BU303"/>
    <mergeCell ref="BS304:BU304"/>
    <mergeCell ref="BS305:BU305"/>
    <mergeCell ref="BS306:BU306"/>
    <mergeCell ref="BS307:BU307"/>
    <mergeCell ref="BS308:BU308"/>
    <mergeCell ref="BS309:BU309"/>
    <mergeCell ref="BS310:BU310"/>
    <mergeCell ref="BS311:BU311"/>
    <mergeCell ref="BS312:BU312"/>
    <mergeCell ref="BS313:BU313"/>
    <mergeCell ref="BS314:BU314"/>
    <mergeCell ref="BS315:BU315"/>
    <mergeCell ref="BS282:BU282"/>
    <mergeCell ref="BS283:BU283"/>
    <mergeCell ref="BS284:BU284"/>
    <mergeCell ref="BS285:BU285"/>
    <mergeCell ref="BS286:BU286"/>
    <mergeCell ref="BS287:BU287"/>
    <mergeCell ref="BS288:BU288"/>
    <mergeCell ref="BS289:BU289"/>
    <mergeCell ref="BS290:BU290"/>
    <mergeCell ref="BS291:BU291"/>
    <mergeCell ref="BS292:BU292"/>
    <mergeCell ref="BS293:BU293"/>
    <mergeCell ref="BS294:BU294"/>
    <mergeCell ref="BS295:BU295"/>
    <mergeCell ref="BS296:BU296"/>
    <mergeCell ref="BS297:BU297"/>
    <mergeCell ref="BS298:BU298"/>
    <mergeCell ref="BP291:BR291"/>
    <mergeCell ref="BP292:BR292"/>
    <mergeCell ref="BP293:BR293"/>
    <mergeCell ref="BP294:BR294"/>
    <mergeCell ref="BP295:BR295"/>
    <mergeCell ref="BS255:BU255"/>
    <mergeCell ref="BS256:BU256"/>
    <mergeCell ref="BS257:BU257"/>
    <mergeCell ref="BS258:BU258"/>
    <mergeCell ref="BS259:BU259"/>
    <mergeCell ref="BS260:BU260"/>
    <mergeCell ref="BS261:BU261"/>
    <mergeCell ref="BS262:BU262"/>
    <mergeCell ref="BS263:BU263"/>
    <mergeCell ref="BS264:BU264"/>
    <mergeCell ref="BS265:BU265"/>
    <mergeCell ref="BS266:BU266"/>
    <mergeCell ref="BS267:BU267"/>
    <mergeCell ref="BS268:BU268"/>
    <mergeCell ref="BS269:BU269"/>
    <mergeCell ref="BS270:BU270"/>
    <mergeCell ref="BS271:BU271"/>
    <mergeCell ref="BS272:BU272"/>
    <mergeCell ref="BS273:BU273"/>
    <mergeCell ref="BS274:BU274"/>
    <mergeCell ref="BS275:BU275"/>
    <mergeCell ref="BS276:BU276"/>
    <mergeCell ref="BS277:BU277"/>
    <mergeCell ref="BS278:BU278"/>
    <mergeCell ref="BS279:BU279"/>
    <mergeCell ref="BS280:BU280"/>
    <mergeCell ref="BS281:BU281"/>
    <mergeCell ref="BP274:BR274"/>
    <mergeCell ref="BP275:BR275"/>
    <mergeCell ref="BP276:BR276"/>
    <mergeCell ref="BP277:BR277"/>
    <mergeCell ref="BP278:BR278"/>
    <mergeCell ref="BP279:BR279"/>
    <mergeCell ref="BP280:BR280"/>
    <mergeCell ref="BP281:BR281"/>
    <mergeCell ref="BP282:BR282"/>
    <mergeCell ref="BP283:BR283"/>
    <mergeCell ref="BP284:BR284"/>
    <mergeCell ref="BP285:BR285"/>
    <mergeCell ref="BP286:BR286"/>
    <mergeCell ref="BP287:BR287"/>
    <mergeCell ref="BP288:BR288"/>
    <mergeCell ref="BP289:BR289"/>
    <mergeCell ref="BP290:BR290"/>
    <mergeCell ref="BP257:BR257"/>
    <mergeCell ref="BP258:BR258"/>
    <mergeCell ref="BP259:BR259"/>
    <mergeCell ref="BP260:BR260"/>
    <mergeCell ref="BP261:BR261"/>
    <mergeCell ref="BP262:BR262"/>
    <mergeCell ref="BP263:BR263"/>
    <mergeCell ref="BP264:BR264"/>
    <mergeCell ref="BP265:BR265"/>
    <mergeCell ref="BP266:BR266"/>
    <mergeCell ref="BP267:BR267"/>
    <mergeCell ref="BP268:BR268"/>
    <mergeCell ref="BP269:BR269"/>
    <mergeCell ref="BP270:BR270"/>
    <mergeCell ref="BP271:BR271"/>
    <mergeCell ref="BP272:BR272"/>
    <mergeCell ref="BP273:BR273"/>
    <mergeCell ref="BS248:BU248"/>
    <mergeCell ref="BS249:BU249"/>
    <mergeCell ref="BS250:BU250"/>
    <mergeCell ref="BS251:BU251"/>
    <mergeCell ref="BS252:BU252"/>
    <mergeCell ref="BS253:BU253"/>
    <mergeCell ref="BS254:BU254"/>
    <mergeCell ref="BP247:BR247"/>
    <mergeCell ref="BP248:BR248"/>
    <mergeCell ref="BP249:BR249"/>
    <mergeCell ref="BP250:BR250"/>
    <mergeCell ref="BP251:BR251"/>
    <mergeCell ref="BP252:BR252"/>
    <mergeCell ref="BP253:BR253"/>
    <mergeCell ref="BP254:BR254"/>
    <mergeCell ref="BP255:BR255"/>
    <mergeCell ref="BP256:BR256"/>
    <mergeCell ref="BS231:BU231"/>
    <mergeCell ref="BS232:BU232"/>
    <mergeCell ref="BS233:BU233"/>
    <mergeCell ref="BS234:BU234"/>
    <mergeCell ref="BS235:BU235"/>
    <mergeCell ref="BS236:BU236"/>
    <mergeCell ref="BS237:BU237"/>
    <mergeCell ref="BS238:BU238"/>
    <mergeCell ref="BS239:BU239"/>
    <mergeCell ref="BS240:BU240"/>
    <mergeCell ref="BS241:BU241"/>
    <mergeCell ref="BS242:BU242"/>
    <mergeCell ref="BS243:BU243"/>
    <mergeCell ref="BS244:BU244"/>
    <mergeCell ref="BS245:BU245"/>
    <mergeCell ref="BS246:BU246"/>
    <mergeCell ref="BS247:BU247"/>
    <mergeCell ref="BP240:BR240"/>
    <mergeCell ref="BP241:BR241"/>
    <mergeCell ref="BP242:BR242"/>
    <mergeCell ref="BP243:BR243"/>
    <mergeCell ref="BP244:BR244"/>
    <mergeCell ref="BP245:BR245"/>
    <mergeCell ref="BP246:BR246"/>
    <mergeCell ref="BS206:BU206"/>
    <mergeCell ref="BS207:BU207"/>
    <mergeCell ref="BS208:BU208"/>
    <mergeCell ref="BS209:BU209"/>
    <mergeCell ref="BS210:BU210"/>
    <mergeCell ref="BS211:BU211"/>
    <mergeCell ref="BS212:BU212"/>
    <mergeCell ref="BS213:BU213"/>
    <mergeCell ref="BS214:BU214"/>
    <mergeCell ref="BS215:BU215"/>
    <mergeCell ref="BS216:BU216"/>
    <mergeCell ref="BS217:BU217"/>
    <mergeCell ref="BS218:BU218"/>
    <mergeCell ref="BS219:BU219"/>
    <mergeCell ref="BS220:BU220"/>
    <mergeCell ref="BS221:BU221"/>
    <mergeCell ref="BS222:BU222"/>
    <mergeCell ref="BS223:BU223"/>
    <mergeCell ref="BS224:BU224"/>
    <mergeCell ref="BS225:BU225"/>
    <mergeCell ref="BS226:BU226"/>
    <mergeCell ref="BS227:BU227"/>
    <mergeCell ref="BS228:BU228"/>
    <mergeCell ref="BS229:BU229"/>
    <mergeCell ref="BS230:BU230"/>
    <mergeCell ref="BP223:BR223"/>
    <mergeCell ref="BP224:BR224"/>
    <mergeCell ref="BP225:BR225"/>
    <mergeCell ref="BP226:BR226"/>
    <mergeCell ref="BP227:BR227"/>
    <mergeCell ref="BP228:BR228"/>
    <mergeCell ref="BP229:BR229"/>
    <mergeCell ref="BP230:BR230"/>
    <mergeCell ref="BP231:BR231"/>
    <mergeCell ref="BP232:BR232"/>
    <mergeCell ref="BP233:BR233"/>
    <mergeCell ref="BP234:BR234"/>
    <mergeCell ref="BP235:BR235"/>
    <mergeCell ref="BP236:BR236"/>
    <mergeCell ref="BP237:BR237"/>
    <mergeCell ref="BP238:BR238"/>
    <mergeCell ref="BP239:BR239"/>
    <mergeCell ref="BP206:BR206"/>
    <mergeCell ref="BP207:BR207"/>
    <mergeCell ref="BP208:BR208"/>
    <mergeCell ref="BP209:BR209"/>
    <mergeCell ref="BP210:BR210"/>
    <mergeCell ref="BP211:BR211"/>
    <mergeCell ref="BP212:BR212"/>
    <mergeCell ref="BP213:BR213"/>
    <mergeCell ref="BP214:BR214"/>
    <mergeCell ref="BP215:BR215"/>
    <mergeCell ref="BP216:BR216"/>
    <mergeCell ref="BP217:BR217"/>
    <mergeCell ref="BP218:BR218"/>
    <mergeCell ref="BP219:BR219"/>
    <mergeCell ref="BP220:BR220"/>
    <mergeCell ref="BP221:BR221"/>
    <mergeCell ref="BP222:BR222"/>
    <mergeCell ref="BP197:BR197"/>
    <mergeCell ref="BS192:BU192"/>
    <mergeCell ref="BS193:BU193"/>
    <mergeCell ref="BS194:BU194"/>
    <mergeCell ref="BS195:BU195"/>
    <mergeCell ref="BS196:BU196"/>
    <mergeCell ref="BS197:BU197"/>
    <mergeCell ref="BS198:BU198"/>
    <mergeCell ref="BS199:BU199"/>
    <mergeCell ref="BS200:BU200"/>
    <mergeCell ref="BS201:BU201"/>
    <mergeCell ref="BS202:BU202"/>
    <mergeCell ref="BS203:BU203"/>
    <mergeCell ref="BS204:BU204"/>
    <mergeCell ref="BS205:BU205"/>
    <mergeCell ref="BP198:BR198"/>
    <mergeCell ref="BP199:BR199"/>
    <mergeCell ref="BP200:BR200"/>
    <mergeCell ref="BP201:BR201"/>
    <mergeCell ref="BP202:BR202"/>
    <mergeCell ref="BP203:BR203"/>
    <mergeCell ref="BP204:BR204"/>
    <mergeCell ref="BP205:BR205"/>
    <mergeCell ref="BP190:BR190"/>
    <mergeCell ref="BS190:BU190"/>
    <mergeCell ref="BS184:BU184"/>
    <mergeCell ref="BS185:BU185"/>
    <mergeCell ref="BS178:BU178"/>
    <mergeCell ref="BS179:BU179"/>
    <mergeCell ref="BS180:BU180"/>
    <mergeCell ref="BS181:BU181"/>
    <mergeCell ref="BS182:BU182"/>
    <mergeCell ref="BS183:BU183"/>
    <mergeCell ref="BS191:BU191"/>
    <mergeCell ref="BP191:BR191"/>
    <mergeCell ref="BP192:BR192"/>
    <mergeCell ref="BP193:BR193"/>
    <mergeCell ref="BP194:BR194"/>
    <mergeCell ref="BP195:BR195"/>
    <mergeCell ref="BP196:BR196"/>
    <mergeCell ref="BP177:BR177"/>
    <mergeCell ref="BS177:BU177"/>
    <mergeCell ref="BP178:BR178"/>
    <mergeCell ref="BP179:BR179"/>
    <mergeCell ref="BP180:BR180"/>
    <mergeCell ref="BP181:BR181"/>
    <mergeCell ref="BP182:BR182"/>
    <mergeCell ref="BP183:BR183"/>
    <mergeCell ref="BP184:BR184"/>
    <mergeCell ref="BP185:BR185"/>
    <mergeCell ref="BP186:BR186"/>
    <mergeCell ref="BS186:BU186"/>
    <mergeCell ref="BP187:BR187"/>
    <mergeCell ref="BS187:BU187"/>
    <mergeCell ref="BP188:BR188"/>
    <mergeCell ref="BS188:BU188"/>
    <mergeCell ref="BP189:BR189"/>
    <mergeCell ref="BS189:BU189"/>
    <mergeCell ref="BP168:BR168"/>
    <mergeCell ref="BS163:BU163"/>
    <mergeCell ref="BS164:BU164"/>
    <mergeCell ref="BS165:BU165"/>
    <mergeCell ref="BS166:BU166"/>
    <mergeCell ref="BS167:BU167"/>
    <mergeCell ref="BS168:BU168"/>
    <mergeCell ref="BS169:BU169"/>
    <mergeCell ref="BS170:BU170"/>
    <mergeCell ref="BS171:BU171"/>
    <mergeCell ref="BS172:BU172"/>
    <mergeCell ref="BS173:BU173"/>
    <mergeCell ref="BS174:BU174"/>
    <mergeCell ref="BS175:BU175"/>
    <mergeCell ref="BS176:BU176"/>
    <mergeCell ref="BP169:BR169"/>
    <mergeCell ref="BP170:BR170"/>
    <mergeCell ref="BP171:BR171"/>
    <mergeCell ref="BP172:BR172"/>
    <mergeCell ref="BP173:BR173"/>
    <mergeCell ref="BP174:BR174"/>
    <mergeCell ref="BP175:BR175"/>
    <mergeCell ref="BP176:BR176"/>
    <mergeCell ref="BP158:BR158"/>
    <mergeCell ref="BP159:BR159"/>
    <mergeCell ref="BP160:BR160"/>
    <mergeCell ref="BP161:BR161"/>
    <mergeCell ref="BS156:BU156"/>
    <mergeCell ref="BS157:BU157"/>
    <mergeCell ref="BS158:BU158"/>
    <mergeCell ref="BS159:BU159"/>
    <mergeCell ref="BS160:BU160"/>
    <mergeCell ref="BS161:BU161"/>
    <mergeCell ref="BS162:BU162"/>
    <mergeCell ref="BP162:BR162"/>
    <mergeCell ref="BP163:BR163"/>
    <mergeCell ref="BP164:BR164"/>
    <mergeCell ref="BP165:BR165"/>
    <mergeCell ref="BP166:BR166"/>
    <mergeCell ref="BP167:BR167"/>
    <mergeCell ref="BS387:BU387"/>
    <mergeCell ref="BS388:BU388"/>
    <mergeCell ref="BS389:BU389"/>
    <mergeCell ref="BS390:BU390"/>
    <mergeCell ref="BS391:BU391"/>
    <mergeCell ref="BS392:BU392"/>
    <mergeCell ref="BS394:BU394"/>
    <mergeCell ref="BS395:BU395"/>
    <mergeCell ref="BS396:BU396"/>
    <mergeCell ref="BS397:BU397"/>
    <mergeCell ref="BS398:BU398"/>
    <mergeCell ref="BS399:BU399"/>
    <mergeCell ref="BS400:BU400"/>
    <mergeCell ref="BS401:BU401"/>
    <mergeCell ref="BS402:BU402"/>
    <mergeCell ref="BP144:BR144"/>
    <mergeCell ref="BS144:BU144"/>
    <mergeCell ref="BP145:BR145"/>
    <mergeCell ref="BS145:BU145"/>
    <mergeCell ref="BP146:BR146"/>
    <mergeCell ref="BS146:BU146"/>
    <mergeCell ref="BS147:BU147"/>
    <mergeCell ref="BS148:BU148"/>
    <mergeCell ref="BS149:BU149"/>
    <mergeCell ref="BP153:BR153"/>
    <mergeCell ref="BS153:BU153"/>
    <mergeCell ref="BP154:BR154"/>
    <mergeCell ref="BS154:BU154"/>
    <mergeCell ref="BS155:BU155"/>
    <mergeCell ref="BP155:BR155"/>
    <mergeCell ref="BP156:BR156"/>
    <mergeCell ref="BP157:BR157"/>
    <mergeCell ref="BS370:BU370"/>
    <mergeCell ref="BS371:BU371"/>
    <mergeCell ref="BS372:BU372"/>
    <mergeCell ref="BS373:BU373"/>
    <mergeCell ref="BS374:BU374"/>
    <mergeCell ref="BS375:BU375"/>
    <mergeCell ref="BS376:BU376"/>
    <mergeCell ref="BS377:BU377"/>
    <mergeCell ref="BS378:BU378"/>
    <mergeCell ref="BS379:BU379"/>
    <mergeCell ref="BS380:BU380"/>
    <mergeCell ref="BS381:BU381"/>
    <mergeCell ref="BS382:BU382"/>
    <mergeCell ref="BS383:BU383"/>
    <mergeCell ref="BS384:BU384"/>
    <mergeCell ref="BS385:BU385"/>
    <mergeCell ref="BS386:BU386"/>
    <mergeCell ref="BB378:BC378"/>
    <mergeCell ref="BD378:BF378"/>
    <mergeCell ref="BG378:BJ378"/>
    <mergeCell ref="BK378:BM378"/>
    <mergeCell ref="BG379:BJ379"/>
    <mergeCell ref="BK379:BM379"/>
    <mergeCell ref="BS410:BU410"/>
    <mergeCell ref="BS411:BU411"/>
    <mergeCell ref="BS403:BU403"/>
    <mergeCell ref="BS404:BU404"/>
    <mergeCell ref="BS405:BU405"/>
    <mergeCell ref="BS406:BU406"/>
    <mergeCell ref="BS407:BU407"/>
    <mergeCell ref="BS408:BU408"/>
    <mergeCell ref="BS409:BU409"/>
    <mergeCell ref="BS353:BU353"/>
    <mergeCell ref="BS354:BU354"/>
    <mergeCell ref="BS355:BU355"/>
    <mergeCell ref="BS356:BU356"/>
    <mergeCell ref="BS357:BU357"/>
    <mergeCell ref="BS358:BU358"/>
    <mergeCell ref="BS359:BU359"/>
    <mergeCell ref="BS360:BU360"/>
    <mergeCell ref="BS361:BU361"/>
    <mergeCell ref="BS362:BU362"/>
    <mergeCell ref="BS363:BU363"/>
    <mergeCell ref="BS364:BU364"/>
    <mergeCell ref="BS365:BU365"/>
    <mergeCell ref="BS366:BU366"/>
    <mergeCell ref="BS367:BU367"/>
    <mergeCell ref="BS368:BU368"/>
    <mergeCell ref="BS369:BU369"/>
    <mergeCell ref="BG375:BJ375"/>
    <mergeCell ref="BK375:BM375"/>
    <mergeCell ref="BD371:BF371"/>
    <mergeCell ref="BD372:BF372"/>
    <mergeCell ref="BG372:BJ372"/>
    <mergeCell ref="BK372:BM372"/>
    <mergeCell ref="BD373:BF373"/>
    <mergeCell ref="BG373:BJ373"/>
    <mergeCell ref="BK373:BM373"/>
    <mergeCell ref="BD376:BF376"/>
    <mergeCell ref="BG376:BJ376"/>
    <mergeCell ref="BK376:BM376"/>
    <mergeCell ref="BD377:BF377"/>
    <mergeCell ref="BG377:BJ377"/>
    <mergeCell ref="BK377:BM377"/>
    <mergeCell ref="BD379:BF379"/>
    <mergeCell ref="BD380:BF380"/>
    <mergeCell ref="BG380:BJ380"/>
    <mergeCell ref="BK380:BM380"/>
    <mergeCell ref="AS377:AY377"/>
    <mergeCell ref="AS378:AY378"/>
    <mergeCell ref="AS379:AY379"/>
    <mergeCell ref="AS380:AY380"/>
    <mergeCell ref="AS369:AY369"/>
    <mergeCell ref="AS370:AY370"/>
    <mergeCell ref="AS371:AY371"/>
    <mergeCell ref="AS372:AY372"/>
    <mergeCell ref="AS373:AY373"/>
    <mergeCell ref="AS374:AY374"/>
    <mergeCell ref="AS375:AY375"/>
    <mergeCell ref="BB355:BC355"/>
    <mergeCell ref="BB356:BC356"/>
    <mergeCell ref="BB357:BC357"/>
    <mergeCell ref="BB358:BC358"/>
    <mergeCell ref="BB359:BC359"/>
    <mergeCell ref="BB360:BC360"/>
    <mergeCell ref="BB361:BC361"/>
    <mergeCell ref="BB366:BC366"/>
    <mergeCell ref="BB367:BC367"/>
    <mergeCell ref="AS368:AY368"/>
    <mergeCell ref="BB375:BC375"/>
    <mergeCell ref="BB376:BC376"/>
    <mergeCell ref="AS363:AY363"/>
    <mergeCell ref="AS364:AY364"/>
    <mergeCell ref="AS365:AY365"/>
    <mergeCell ref="AS366:AY366"/>
    <mergeCell ref="AS367:AY367"/>
    <mergeCell ref="AS356:AY356"/>
    <mergeCell ref="AS357:AY357"/>
    <mergeCell ref="AS358:AY358"/>
    <mergeCell ref="BB377:BC377"/>
    <mergeCell ref="BG363:BJ363"/>
    <mergeCell ref="BK363:BM363"/>
    <mergeCell ref="BD364:BF364"/>
    <mergeCell ref="BG364:BJ364"/>
    <mergeCell ref="BK364:BM364"/>
    <mergeCell ref="BD366:BF366"/>
    <mergeCell ref="BD367:BF367"/>
    <mergeCell ref="BG367:BJ367"/>
    <mergeCell ref="BK367:BM367"/>
    <mergeCell ref="BB364:BC364"/>
    <mergeCell ref="BB365:BC365"/>
    <mergeCell ref="BD365:BF365"/>
    <mergeCell ref="BG365:BJ365"/>
    <mergeCell ref="BK365:BM365"/>
    <mergeCell ref="BG366:BJ366"/>
    <mergeCell ref="BK366:BM366"/>
    <mergeCell ref="AS376:AY376"/>
    <mergeCell ref="BD368:BF368"/>
    <mergeCell ref="BG368:BJ368"/>
    <mergeCell ref="BK368:BM368"/>
    <mergeCell ref="BK369:BM369"/>
    <mergeCell ref="BD369:BF369"/>
    <mergeCell ref="BG369:BJ369"/>
    <mergeCell ref="BD370:BF370"/>
    <mergeCell ref="BG370:BJ370"/>
    <mergeCell ref="BK370:BM370"/>
    <mergeCell ref="BG371:BJ371"/>
    <mergeCell ref="BK371:BM371"/>
    <mergeCell ref="BD374:BF374"/>
    <mergeCell ref="BG374:BJ374"/>
    <mergeCell ref="BK374:BM374"/>
    <mergeCell ref="BD375:BF375"/>
    <mergeCell ref="BG355:BJ355"/>
    <mergeCell ref="BK355:BM355"/>
    <mergeCell ref="BK356:BM356"/>
    <mergeCell ref="BD356:BF356"/>
    <mergeCell ref="BG356:BJ356"/>
    <mergeCell ref="BD357:BF357"/>
    <mergeCell ref="BG357:BJ357"/>
    <mergeCell ref="BK357:BM357"/>
    <mergeCell ref="BG358:BJ358"/>
    <mergeCell ref="BK358:BM358"/>
    <mergeCell ref="BD361:BF361"/>
    <mergeCell ref="BG361:BJ361"/>
    <mergeCell ref="BK361:BM361"/>
    <mergeCell ref="BD362:BF362"/>
    <mergeCell ref="BG362:BJ362"/>
    <mergeCell ref="BK362:BM362"/>
    <mergeCell ref="BD358:BF358"/>
    <mergeCell ref="BD359:BF359"/>
    <mergeCell ref="BG359:BJ359"/>
    <mergeCell ref="BK359:BM359"/>
    <mergeCell ref="BD360:BF360"/>
    <mergeCell ref="BG360:BJ360"/>
    <mergeCell ref="BK360:BM360"/>
    <mergeCell ref="AS359:AY359"/>
    <mergeCell ref="AS360:AY360"/>
    <mergeCell ref="AS361:AY361"/>
    <mergeCell ref="AS362:AY362"/>
    <mergeCell ref="BB342:BC342"/>
    <mergeCell ref="BB343:BC343"/>
    <mergeCell ref="BB344:BC344"/>
    <mergeCell ref="BB345:BC345"/>
    <mergeCell ref="BB346:BC346"/>
    <mergeCell ref="BB347:BC347"/>
    <mergeCell ref="BB348:BC348"/>
    <mergeCell ref="BB353:BC353"/>
    <mergeCell ref="BB354:BC354"/>
    <mergeCell ref="AS355:AY355"/>
    <mergeCell ref="BB362:BC362"/>
    <mergeCell ref="BB363:BC363"/>
    <mergeCell ref="BD350:BF350"/>
    <mergeCell ref="BD355:BF355"/>
    <mergeCell ref="BD363:BF363"/>
    <mergeCell ref="BB351:BC351"/>
    <mergeCell ref="BB352:BC352"/>
    <mergeCell ref="BD352:BF352"/>
    <mergeCell ref="BG352:BJ352"/>
    <mergeCell ref="BK352:BM352"/>
    <mergeCell ref="BG353:BJ353"/>
    <mergeCell ref="BK353:BM353"/>
    <mergeCell ref="BD342:BF342"/>
    <mergeCell ref="BG342:BJ342"/>
    <mergeCell ref="BK342:BM342"/>
    <mergeCell ref="BK343:BM343"/>
    <mergeCell ref="BD343:BF343"/>
    <mergeCell ref="BG343:BJ343"/>
    <mergeCell ref="BD344:BF344"/>
    <mergeCell ref="BG344:BJ344"/>
    <mergeCell ref="BK344:BM344"/>
    <mergeCell ref="BG345:BJ345"/>
    <mergeCell ref="BK345:BM345"/>
    <mergeCell ref="BD348:BF348"/>
    <mergeCell ref="BG348:BJ348"/>
    <mergeCell ref="BK348:BM348"/>
    <mergeCell ref="BD349:BF349"/>
    <mergeCell ref="BG349:BJ349"/>
    <mergeCell ref="BD329:BF329"/>
    <mergeCell ref="BG329:BJ329"/>
    <mergeCell ref="BK329:BM329"/>
    <mergeCell ref="BK349:BM349"/>
    <mergeCell ref="BD345:BF345"/>
    <mergeCell ref="BD346:BF346"/>
    <mergeCell ref="BG346:BJ346"/>
    <mergeCell ref="BK346:BM346"/>
    <mergeCell ref="BD347:BF347"/>
    <mergeCell ref="BG347:BJ347"/>
    <mergeCell ref="BK347:BM347"/>
    <mergeCell ref="AS350:AY350"/>
    <mergeCell ref="AS351:AY351"/>
    <mergeCell ref="AS352:AY352"/>
    <mergeCell ref="AS353:AY353"/>
    <mergeCell ref="AS354:AY354"/>
    <mergeCell ref="AS343:AY343"/>
    <mergeCell ref="AS344:AY344"/>
    <mergeCell ref="AS345:AY345"/>
    <mergeCell ref="AS346:AY346"/>
    <mergeCell ref="AS347:AY347"/>
    <mergeCell ref="AS348:AY348"/>
    <mergeCell ref="AS349:AY349"/>
    <mergeCell ref="BG350:BJ350"/>
    <mergeCell ref="BK350:BM350"/>
    <mergeCell ref="BD351:BF351"/>
    <mergeCell ref="BG351:BJ351"/>
    <mergeCell ref="BK351:BM351"/>
    <mergeCell ref="BD353:BF353"/>
    <mergeCell ref="BD354:BF354"/>
    <mergeCell ref="BG354:BJ354"/>
    <mergeCell ref="BK354:BM354"/>
    <mergeCell ref="BB331:BC331"/>
    <mergeCell ref="BB332:BC332"/>
    <mergeCell ref="BB333:BC333"/>
    <mergeCell ref="BB334:BC334"/>
    <mergeCell ref="BB335:BC335"/>
    <mergeCell ref="BB340:BC340"/>
    <mergeCell ref="BB341:BC341"/>
    <mergeCell ref="AS342:AY342"/>
    <mergeCell ref="BB349:BC349"/>
    <mergeCell ref="BB350:BC350"/>
    <mergeCell ref="BD337:BF337"/>
    <mergeCell ref="BG337:BJ337"/>
    <mergeCell ref="BK337:BM337"/>
    <mergeCell ref="BD338:BF338"/>
    <mergeCell ref="BG338:BJ338"/>
    <mergeCell ref="BK338:BM338"/>
    <mergeCell ref="BD340:BF340"/>
    <mergeCell ref="BD341:BF341"/>
    <mergeCell ref="BG341:BJ341"/>
    <mergeCell ref="BK341:BM341"/>
    <mergeCell ref="BB338:BC338"/>
    <mergeCell ref="BB339:BC339"/>
    <mergeCell ref="BD339:BF339"/>
    <mergeCell ref="BG339:BJ339"/>
    <mergeCell ref="BK339:BM339"/>
    <mergeCell ref="BG340:BJ340"/>
    <mergeCell ref="BK340:BM340"/>
    <mergeCell ref="BK330:BM330"/>
    <mergeCell ref="BD330:BF330"/>
    <mergeCell ref="BG330:BJ330"/>
    <mergeCell ref="BD331:BF331"/>
    <mergeCell ref="BG331:BJ331"/>
    <mergeCell ref="BK331:BM331"/>
    <mergeCell ref="BG332:BJ332"/>
    <mergeCell ref="BK332:BM332"/>
    <mergeCell ref="BD335:BF335"/>
    <mergeCell ref="BG335:BJ335"/>
    <mergeCell ref="BK335:BM335"/>
    <mergeCell ref="BD336:BF336"/>
    <mergeCell ref="BG336:BJ336"/>
    <mergeCell ref="BK336:BM336"/>
    <mergeCell ref="BD332:BF332"/>
    <mergeCell ref="BD333:BF333"/>
    <mergeCell ref="BG333:BJ333"/>
    <mergeCell ref="BK333:BM333"/>
    <mergeCell ref="BD334:BF334"/>
    <mergeCell ref="BG334:BJ334"/>
    <mergeCell ref="BK334:BM334"/>
    <mergeCell ref="AS337:AY337"/>
    <mergeCell ref="AS338:AY338"/>
    <mergeCell ref="AS339:AY339"/>
    <mergeCell ref="AS340:AY340"/>
    <mergeCell ref="AS341:AY341"/>
    <mergeCell ref="AS330:AY330"/>
    <mergeCell ref="AS331:AY331"/>
    <mergeCell ref="AS332:AY332"/>
    <mergeCell ref="AS333:AY333"/>
    <mergeCell ref="AS334:AY334"/>
    <mergeCell ref="AS335:AY335"/>
    <mergeCell ref="AS336:AY336"/>
    <mergeCell ref="BB316:BC316"/>
    <mergeCell ref="BB317:BC317"/>
    <mergeCell ref="BB318:BC318"/>
    <mergeCell ref="BB319:BC319"/>
    <mergeCell ref="BB320:BC320"/>
    <mergeCell ref="BB321:BC321"/>
    <mergeCell ref="BB322:BC322"/>
    <mergeCell ref="BB327:BC327"/>
    <mergeCell ref="BB328:BC328"/>
    <mergeCell ref="AS329:AY329"/>
    <mergeCell ref="BB336:BC336"/>
    <mergeCell ref="BB337:BC337"/>
    <mergeCell ref="AS323:AY323"/>
    <mergeCell ref="AS318:AY318"/>
    <mergeCell ref="AS319:AY319"/>
    <mergeCell ref="AS320:AY320"/>
    <mergeCell ref="AS321:AY321"/>
    <mergeCell ref="AS322:AY322"/>
    <mergeCell ref="BB329:BC329"/>
    <mergeCell ref="BB330:BC330"/>
    <mergeCell ref="BB323:BC323"/>
    <mergeCell ref="BB324:BC324"/>
    <mergeCell ref="BD324:BF324"/>
    <mergeCell ref="BG324:BJ324"/>
    <mergeCell ref="BK324:BM324"/>
    <mergeCell ref="BD325:BF325"/>
    <mergeCell ref="BG325:BJ325"/>
    <mergeCell ref="BK325:BM325"/>
    <mergeCell ref="BD327:BF327"/>
    <mergeCell ref="BD328:BF328"/>
    <mergeCell ref="BG328:BJ328"/>
    <mergeCell ref="BK328:BM328"/>
    <mergeCell ref="BB325:BC325"/>
    <mergeCell ref="BB326:BC326"/>
    <mergeCell ref="BD326:BF326"/>
    <mergeCell ref="BG326:BJ326"/>
    <mergeCell ref="BK326:BM326"/>
    <mergeCell ref="BG327:BJ327"/>
    <mergeCell ref="BK327:BM327"/>
    <mergeCell ref="AS316:AY316"/>
    <mergeCell ref="BD316:BF316"/>
    <mergeCell ref="BG316:BJ316"/>
    <mergeCell ref="BK316:BM316"/>
    <mergeCell ref="BK317:BM317"/>
    <mergeCell ref="BD317:BF317"/>
    <mergeCell ref="BG317:BJ317"/>
    <mergeCell ref="BD318:BF318"/>
    <mergeCell ref="BG318:BJ318"/>
    <mergeCell ref="BK318:BM318"/>
    <mergeCell ref="BG304:BJ304"/>
    <mergeCell ref="BD305:BF305"/>
    <mergeCell ref="BG305:BJ305"/>
    <mergeCell ref="BK305:BM305"/>
    <mergeCell ref="BG306:BJ306"/>
    <mergeCell ref="BK306:BM306"/>
    <mergeCell ref="BD309:BF309"/>
    <mergeCell ref="BG309:BJ309"/>
    <mergeCell ref="BK309:BM309"/>
    <mergeCell ref="BG310:BJ310"/>
    <mergeCell ref="BK310:BM310"/>
    <mergeCell ref="BD306:BF306"/>
    <mergeCell ref="BD307:BF307"/>
    <mergeCell ref="BD323:BF323"/>
    <mergeCell ref="BG323:BJ323"/>
    <mergeCell ref="BK323:BM323"/>
    <mergeCell ref="BD319:BF319"/>
    <mergeCell ref="BD320:BF320"/>
    <mergeCell ref="BG320:BJ320"/>
    <mergeCell ref="BK320:BM320"/>
    <mergeCell ref="BB310:BC310"/>
    <mergeCell ref="BB311:BC311"/>
    <mergeCell ref="BD311:BF311"/>
    <mergeCell ref="BG311:BJ311"/>
    <mergeCell ref="BK311:BM311"/>
    <mergeCell ref="BD312:BF312"/>
    <mergeCell ref="BG312:BJ312"/>
    <mergeCell ref="BK312:BM312"/>
    <mergeCell ref="BD314:BF314"/>
    <mergeCell ref="BD315:BF315"/>
    <mergeCell ref="BG315:BJ315"/>
    <mergeCell ref="BK315:BM315"/>
    <mergeCell ref="BB312:BC312"/>
    <mergeCell ref="BB313:BC313"/>
    <mergeCell ref="BD313:BF313"/>
    <mergeCell ref="BG313:BJ313"/>
    <mergeCell ref="BK313:BM313"/>
    <mergeCell ref="BG314:BJ314"/>
    <mergeCell ref="BK314:BM314"/>
    <mergeCell ref="BD310:BF310"/>
    <mergeCell ref="BB314:BC314"/>
    <mergeCell ref="BB315:BC315"/>
    <mergeCell ref="BD321:BF321"/>
    <mergeCell ref="BG321:BJ321"/>
    <mergeCell ref="BK321:BM321"/>
    <mergeCell ref="BD299:BF299"/>
    <mergeCell ref="BG299:BJ299"/>
    <mergeCell ref="BK299:BM299"/>
    <mergeCell ref="BD301:BF301"/>
    <mergeCell ref="BD302:BF302"/>
    <mergeCell ref="BG302:BJ302"/>
    <mergeCell ref="BK302:BM302"/>
    <mergeCell ref="BB299:BC299"/>
    <mergeCell ref="BB300:BC300"/>
    <mergeCell ref="BD300:BF300"/>
    <mergeCell ref="BG300:BJ300"/>
    <mergeCell ref="BK300:BM300"/>
    <mergeCell ref="BG301:BJ301"/>
    <mergeCell ref="BK301:BM301"/>
    <mergeCell ref="BG319:BJ319"/>
    <mergeCell ref="BK319:BM319"/>
    <mergeCell ref="BD322:BF322"/>
    <mergeCell ref="BG322:BJ322"/>
    <mergeCell ref="BK322:BM322"/>
    <mergeCell ref="BB303:BC303"/>
    <mergeCell ref="BB304:BC304"/>
    <mergeCell ref="BB305:BC305"/>
    <mergeCell ref="BB306:BC306"/>
    <mergeCell ref="BB307:BC307"/>
    <mergeCell ref="BB308:BC308"/>
    <mergeCell ref="BB309:BC309"/>
    <mergeCell ref="AS311:AY311"/>
    <mergeCell ref="AS312:AY312"/>
    <mergeCell ref="AS313:AY313"/>
    <mergeCell ref="AS304:AY304"/>
    <mergeCell ref="AS305:AY305"/>
    <mergeCell ref="AS306:AY306"/>
    <mergeCell ref="AS307:AY307"/>
    <mergeCell ref="AS308:AY308"/>
    <mergeCell ref="AS309:AY309"/>
    <mergeCell ref="AS310:AY310"/>
    <mergeCell ref="BB301:BC301"/>
    <mergeCell ref="BB302:BC302"/>
    <mergeCell ref="AS303:AY303"/>
    <mergeCell ref="BD303:BF303"/>
    <mergeCell ref="BG303:BJ303"/>
    <mergeCell ref="BK303:BM303"/>
    <mergeCell ref="BK304:BM304"/>
    <mergeCell ref="BD304:BF304"/>
    <mergeCell ref="BG307:BJ307"/>
    <mergeCell ref="BK307:BM307"/>
    <mergeCell ref="BD308:BF308"/>
    <mergeCell ref="BG308:BJ308"/>
    <mergeCell ref="BK308:BM308"/>
    <mergeCell ref="BG293:BJ293"/>
    <mergeCell ref="BK293:BM293"/>
    <mergeCell ref="BD296:BF296"/>
    <mergeCell ref="BG296:BJ296"/>
    <mergeCell ref="BK296:BM296"/>
    <mergeCell ref="BD297:BF297"/>
    <mergeCell ref="BG297:BJ297"/>
    <mergeCell ref="BK297:BM297"/>
    <mergeCell ref="BD293:BF293"/>
    <mergeCell ref="BD294:BF294"/>
    <mergeCell ref="BG294:BJ294"/>
    <mergeCell ref="BK294:BM294"/>
    <mergeCell ref="BD295:BF295"/>
    <mergeCell ref="BG295:BJ295"/>
    <mergeCell ref="BK295:BM295"/>
    <mergeCell ref="BB297:BC297"/>
    <mergeCell ref="BB298:BC298"/>
    <mergeCell ref="BD298:BF298"/>
    <mergeCell ref="BG298:BJ298"/>
    <mergeCell ref="BK298:BM298"/>
    <mergeCell ref="BB293:BC293"/>
    <mergeCell ref="BB294:BC294"/>
    <mergeCell ref="BB295:BC295"/>
    <mergeCell ref="BB296:BC296"/>
    <mergeCell ref="BB282:BC282"/>
    <mergeCell ref="BB283:BC283"/>
    <mergeCell ref="BB288:BC288"/>
    <mergeCell ref="BB289:BC289"/>
    <mergeCell ref="AS290:AY290"/>
    <mergeCell ref="BD290:BF290"/>
    <mergeCell ref="BG290:BJ290"/>
    <mergeCell ref="BK290:BM290"/>
    <mergeCell ref="BK291:BM291"/>
    <mergeCell ref="BD291:BF291"/>
    <mergeCell ref="BG291:BJ291"/>
    <mergeCell ref="BD292:BF292"/>
    <mergeCell ref="BG292:BJ292"/>
    <mergeCell ref="BK292:BM292"/>
    <mergeCell ref="BB290:BC290"/>
    <mergeCell ref="BB291:BC291"/>
    <mergeCell ref="BB292:BC292"/>
    <mergeCell ref="AS285:AY285"/>
    <mergeCell ref="AS286:AY286"/>
    <mergeCell ref="AS287:AY287"/>
    <mergeCell ref="AS288:AY288"/>
    <mergeCell ref="AS289:AY289"/>
    <mergeCell ref="BD283:BF283"/>
    <mergeCell ref="BG283:BJ283"/>
    <mergeCell ref="BK283:BM283"/>
    <mergeCell ref="BD284:BF284"/>
    <mergeCell ref="BG284:BJ284"/>
    <mergeCell ref="BK284:BM284"/>
    <mergeCell ref="AS278:AY278"/>
    <mergeCell ref="AS279:AY279"/>
    <mergeCell ref="AS280:AY280"/>
    <mergeCell ref="AS281:AY281"/>
    <mergeCell ref="AS282:AY282"/>
    <mergeCell ref="B471:C471"/>
    <mergeCell ref="D471:G471"/>
    <mergeCell ref="H471:K471"/>
    <mergeCell ref="L471:N471"/>
    <mergeCell ref="O471:Q471"/>
    <mergeCell ref="R471:T471"/>
    <mergeCell ref="U471:W471"/>
    <mergeCell ref="AS298:AY298"/>
    <mergeCell ref="AS299:AY299"/>
    <mergeCell ref="AS300:AY300"/>
    <mergeCell ref="AS301:AY301"/>
    <mergeCell ref="AS302:AY302"/>
    <mergeCell ref="AS291:AY291"/>
    <mergeCell ref="AS292:AY292"/>
    <mergeCell ref="AS293:AY293"/>
    <mergeCell ref="AS294:AY294"/>
    <mergeCell ref="AS295:AY295"/>
    <mergeCell ref="AS296:AY296"/>
    <mergeCell ref="AS297:AY297"/>
    <mergeCell ref="AS314:AY314"/>
    <mergeCell ref="AS315:AY315"/>
    <mergeCell ref="AS324:AY324"/>
    <mergeCell ref="AS325:AY325"/>
    <mergeCell ref="AS326:AY326"/>
    <mergeCell ref="AS327:AY327"/>
    <mergeCell ref="AS328:AY328"/>
    <mergeCell ref="AS317:AY317"/>
    <mergeCell ref="B468:C468"/>
    <mergeCell ref="D468:G468"/>
    <mergeCell ref="H468:K468"/>
    <mergeCell ref="L468:N468"/>
    <mergeCell ref="O468:Q468"/>
    <mergeCell ref="R468:T468"/>
    <mergeCell ref="U468:W468"/>
    <mergeCell ref="B469:C469"/>
    <mergeCell ref="D469:G469"/>
    <mergeCell ref="H469:K469"/>
    <mergeCell ref="L469:N469"/>
    <mergeCell ref="O469:Q469"/>
    <mergeCell ref="R469:T469"/>
    <mergeCell ref="U469:W469"/>
    <mergeCell ref="B470:C470"/>
    <mergeCell ref="D470:G470"/>
    <mergeCell ref="H470:K470"/>
    <mergeCell ref="L470:N470"/>
    <mergeCell ref="O470:Q470"/>
    <mergeCell ref="R470:T470"/>
    <mergeCell ref="U470:W470"/>
    <mergeCell ref="B465:C465"/>
    <mergeCell ref="D465:G465"/>
    <mergeCell ref="H465:K465"/>
    <mergeCell ref="L465:N465"/>
    <mergeCell ref="O465:Q465"/>
    <mergeCell ref="R465:T465"/>
    <mergeCell ref="U465:W465"/>
    <mergeCell ref="B466:C466"/>
    <mergeCell ref="D466:G466"/>
    <mergeCell ref="H466:K466"/>
    <mergeCell ref="L466:N466"/>
    <mergeCell ref="O466:Q466"/>
    <mergeCell ref="R466:T466"/>
    <mergeCell ref="U466:W466"/>
    <mergeCell ref="B467:C467"/>
    <mergeCell ref="D467:G467"/>
    <mergeCell ref="H467:K467"/>
    <mergeCell ref="L467:N467"/>
    <mergeCell ref="O467:Q467"/>
    <mergeCell ref="R467:T467"/>
    <mergeCell ref="U467:W467"/>
    <mergeCell ref="B462:C462"/>
    <mergeCell ref="D462:G462"/>
    <mergeCell ref="H462:K462"/>
    <mergeCell ref="L462:N462"/>
    <mergeCell ref="O462:Q462"/>
    <mergeCell ref="R462:T462"/>
    <mergeCell ref="U462:W462"/>
    <mergeCell ref="B463:C463"/>
    <mergeCell ref="D463:G463"/>
    <mergeCell ref="H463:K463"/>
    <mergeCell ref="L463:N463"/>
    <mergeCell ref="O463:Q463"/>
    <mergeCell ref="R463:T463"/>
    <mergeCell ref="U463:W463"/>
    <mergeCell ref="B464:C464"/>
    <mergeCell ref="D464:G464"/>
    <mergeCell ref="H464:K464"/>
    <mergeCell ref="L464:N464"/>
    <mergeCell ref="O464:Q464"/>
    <mergeCell ref="R464:T464"/>
    <mergeCell ref="U464:W464"/>
    <mergeCell ref="B459:C459"/>
    <mergeCell ref="D459:G459"/>
    <mergeCell ref="H459:K459"/>
    <mergeCell ref="L459:N459"/>
    <mergeCell ref="O459:Q459"/>
    <mergeCell ref="R459:T459"/>
    <mergeCell ref="U459:W459"/>
    <mergeCell ref="B460:C460"/>
    <mergeCell ref="D460:G460"/>
    <mergeCell ref="H460:K460"/>
    <mergeCell ref="L460:N460"/>
    <mergeCell ref="O460:Q460"/>
    <mergeCell ref="R460:T460"/>
    <mergeCell ref="U460:W460"/>
    <mergeCell ref="B461:C461"/>
    <mergeCell ref="D461:G461"/>
    <mergeCell ref="H461:K461"/>
    <mergeCell ref="L461:N461"/>
    <mergeCell ref="O461:Q461"/>
    <mergeCell ref="R461:T461"/>
    <mergeCell ref="U461:W461"/>
    <mergeCell ref="B456:C456"/>
    <mergeCell ref="D456:G456"/>
    <mergeCell ref="H456:K456"/>
    <mergeCell ref="L456:N456"/>
    <mergeCell ref="O456:Q456"/>
    <mergeCell ref="R456:T456"/>
    <mergeCell ref="U456:W456"/>
    <mergeCell ref="B457:C457"/>
    <mergeCell ref="D457:G457"/>
    <mergeCell ref="H457:K457"/>
    <mergeCell ref="L457:N457"/>
    <mergeCell ref="O457:Q457"/>
    <mergeCell ref="R457:T457"/>
    <mergeCell ref="U457:W457"/>
    <mergeCell ref="B458:C458"/>
    <mergeCell ref="D458:G458"/>
    <mergeCell ref="H458:K458"/>
    <mergeCell ref="L458:N458"/>
    <mergeCell ref="O458:Q458"/>
    <mergeCell ref="R458:T458"/>
    <mergeCell ref="U458:W458"/>
    <mergeCell ref="B453:C453"/>
    <mergeCell ref="D453:G453"/>
    <mergeCell ref="H453:K453"/>
    <mergeCell ref="L453:N453"/>
    <mergeCell ref="O453:Q453"/>
    <mergeCell ref="R453:T453"/>
    <mergeCell ref="U453:W453"/>
    <mergeCell ref="B454:C454"/>
    <mergeCell ref="D454:G454"/>
    <mergeCell ref="H454:K454"/>
    <mergeCell ref="L454:N454"/>
    <mergeCell ref="O454:Q454"/>
    <mergeCell ref="R454:T454"/>
    <mergeCell ref="U454:W454"/>
    <mergeCell ref="B455:C455"/>
    <mergeCell ref="D455:G455"/>
    <mergeCell ref="H455:K455"/>
    <mergeCell ref="L455:N455"/>
    <mergeCell ref="O455:Q455"/>
    <mergeCell ref="R455:T455"/>
    <mergeCell ref="U455:W455"/>
    <mergeCell ref="B450:C450"/>
    <mergeCell ref="D450:G450"/>
    <mergeCell ref="H450:K450"/>
    <mergeCell ref="L450:N450"/>
    <mergeCell ref="O450:Q450"/>
    <mergeCell ref="R450:T450"/>
    <mergeCell ref="U450:W450"/>
    <mergeCell ref="B451:C451"/>
    <mergeCell ref="D451:G451"/>
    <mergeCell ref="H451:K451"/>
    <mergeCell ref="L451:N451"/>
    <mergeCell ref="O451:Q451"/>
    <mergeCell ref="R451:T451"/>
    <mergeCell ref="U451:W451"/>
    <mergeCell ref="B452:C452"/>
    <mergeCell ref="D452:G452"/>
    <mergeCell ref="H452:K452"/>
    <mergeCell ref="L452:N452"/>
    <mergeCell ref="O452:Q452"/>
    <mergeCell ref="R452:T452"/>
    <mergeCell ref="U452:W452"/>
    <mergeCell ref="B447:C447"/>
    <mergeCell ref="D447:G447"/>
    <mergeCell ref="H447:K447"/>
    <mergeCell ref="L447:N447"/>
    <mergeCell ref="O447:Q447"/>
    <mergeCell ref="R447:T447"/>
    <mergeCell ref="U447:W447"/>
    <mergeCell ref="B448:C448"/>
    <mergeCell ref="D448:G448"/>
    <mergeCell ref="H448:K448"/>
    <mergeCell ref="L448:N448"/>
    <mergeCell ref="O448:Q448"/>
    <mergeCell ref="R448:T448"/>
    <mergeCell ref="U448:W448"/>
    <mergeCell ref="B449:C449"/>
    <mergeCell ref="D449:G449"/>
    <mergeCell ref="H449:K449"/>
    <mergeCell ref="L449:N449"/>
    <mergeCell ref="O449:Q449"/>
    <mergeCell ref="R449:T449"/>
    <mergeCell ref="U449:W449"/>
    <mergeCell ref="B444:C444"/>
    <mergeCell ref="D444:G444"/>
    <mergeCell ref="H444:K444"/>
    <mergeCell ref="L444:N444"/>
    <mergeCell ref="O444:Q444"/>
    <mergeCell ref="R444:T444"/>
    <mergeCell ref="U444:W444"/>
    <mergeCell ref="B445:C445"/>
    <mergeCell ref="D445:G445"/>
    <mergeCell ref="H445:K445"/>
    <mergeCell ref="L445:N445"/>
    <mergeCell ref="O445:Q445"/>
    <mergeCell ref="R445:T445"/>
    <mergeCell ref="U445:W445"/>
    <mergeCell ref="B446:C446"/>
    <mergeCell ref="D446:G446"/>
    <mergeCell ref="H446:K446"/>
    <mergeCell ref="L446:N446"/>
    <mergeCell ref="O446:Q446"/>
    <mergeCell ref="R446:T446"/>
    <mergeCell ref="U446:W446"/>
    <mergeCell ref="B441:C441"/>
    <mergeCell ref="D441:G441"/>
    <mergeCell ref="H441:K441"/>
    <mergeCell ref="L441:N441"/>
    <mergeCell ref="O441:Q441"/>
    <mergeCell ref="R441:T441"/>
    <mergeCell ref="U441:W441"/>
    <mergeCell ref="B442:C442"/>
    <mergeCell ref="D442:G442"/>
    <mergeCell ref="H442:K442"/>
    <mergeCell ref="L442:N442"/>
    <mergeCell ref="O442:Q442"/>
    <mergeCell ref="R442:T442"/>
    <mergeCell ref="U442:W442"/>
    <mergeCell ref="B443:C443"/>
    <mergeCell ref="D443:G443"/>
    <mergeCell ref="H443:K443"/>
    <mergeCell ref="L443:N443"/>
    <mergeCell ref="O443:Q443"/>
    <mergeCell ref="R443:T443"/>
    <mergeCell ref="U443:W443"/>
    <mergeCell ref="B438:C438"/>
    <mergeCell ref="D438:G438"/>
    <mergeCell ref="H438:K438"/>
    <mergeCell ref="L438:N438"/>
    <mergeCell ref="O438:Q438"/>
    <mergeCell ref="R438:T438"/>
    <mergeCell ref="U438:W438"/>
    <mergeCell ref="B439:C439"/>
    <mergeCell ref="D439:G439"/>
    <mergeCell ref="H439:K439"/>
    <mergeCell ref="L439:N439"/>
    <mergeCell ref="O439:Q439"/>
    <mergeCell ref="R439:T439"/>
    <mergeCell ref="U439:W439"/>
    <mergeCell ref="B440:C440"/>
    <mergeCell ref="D440:G440"/>
    <mergeCell ref="H440:K440"/>
    <mergeCell ref="L440:N440"/>
    <mergeCell ref="O440:Q440"/>
    <mergeCell ref="R440:T440"/>
    <mergeCell ref="U440:W440"/>
    <mergeCell ref="B435:C435"/>
    <mergeCell ref="D435:G435"/>
    <mergeCell ref="H435:K435"/>
    <mergeCell ref="L435:N435"/>
    <mergeCell ref="O435:Q435"/>
    <mergeCell ref="R435:T435"/>
    <mergeCell ref="U435:W435"/>
    <mergeCell ref="B436:C436"/>
    <mergeCell ref="D436:G436"/>
    <mergeCell ref="H436:K436"/>
    <mergeCell ref="L436:N436"/>
    <mergeCell ref="O436:Q436"/>
    <mergeCell ref="R436:T436"/>
    <mergeCell ref="U436:W436"/>
    <mergeCell ref="B437:C437"/>
    <mergeCell ref="D437:G437"/>
    <mergeCell ref="H437:K437"/>
    <mergeCell ref="L437:N437"/>
    <mergeCell ref="O437:Q437"/>
    <mergeCell ref="R437:T437"/>
    <mergeCell ref="U437:W437"/>
    <mergeCell ref="B432:C432"/>
    <mergeCell ref="D432:G432"/>
    <mergeCell ref="H432:K432"/>
    <mergeCell ref="L432:N432"/>
    <mergeCell ref="O432:Q432"/>
    <mergeCell ref="R432:T432"/>
    <mergeCell ref="U432:W432"/>
    <mergeCell ref="B433:C433"/>
    <mergeCell ref="D433:G433"/>
    <mergeCell ref="H433:K433"/>
    <mergeCell ref="L433:N433"/>
    <mergeCell ref="O433:Q433"/>
    <mergeCell ref="R433:T433"/>
    <mergeCell ref="U433:W433"/>
    <mergeCell ref="B434:C434"/>
    <mergeCell ref="D434:G434"/>
    <mergeCell ref="H434:K434"/>
    <mergeCell ref="L434:N434"/>
    <mergeCell ref="O434:Q434"/>
    <mergeCell ref="R434:T434"/>
    <mergeCell ref="U434:W434"/>
    <mergeCell ref="B429:C429"/>
    <mergeCell ref="D429:G429"/>
    <mergeCell ref="H429:K429"/>
    <mergeCell ref="L429:N429"/>
    <mergeCell ref="O429:Q429"/>
    <mergeCell ref="R429:T429"/>
    <mergeCell ref="U429:W429"/>
    <mergeCell ref="B430:C430"/>
    <mergeCell ref="D430:G430"/>
    <mergeCell ref="H430:K430"/>
    <mergeCell ref="L430:N430"/>
    <mergeCell ref="O430:Q430"/>
    <mergeCell ref="R430:T430"/>
    <mergeCell ref="U430:W430"/>
    <mergeCell ref="B431:C431"/>
    <mergeCell ref="D431:G431"/>
    <mergeCell ref="H431:K431"/>
    <mergeCell ref="L431:N431"/>
    <mergeCell ref="O431:Q431"/>
    <mergeCell ref="R431:T431"/>
    <mergeCell ref="U431:W431"/>
    <mergeCell ref="B426:C426"/>
    <mergeCell ref="D426:G426"/>
    <mergeCell ref="H426:K426"/>
    <mergeCell ref="L426:N426"/>
    <mergeCell ref="O426:Q426"/>
    <mergeCell ref="R426:T426"/>
    <mergeCell ref="U426:W426"/>
    <mergeCell ref="B427:C427"/>
    <mergeCell ref="D427:G427"/>
    <mergeCell ref="H427:K427"/>
    <mergeCell ref="L427:N427"/>
    <mergeCell ref="O427:Q427"/>
    <mergeCell ref="R427:T427"/>
    <mergeCell ref="U427:W427"/>
    <mergeCell ref="B428:C428"/>
    <mergeCell ref="D428:G428"/>
    <mergeCell ref="H428:K428"/>
    <mergeCell ref="L428:N428"/>
    <mergeCell ref="O428:Q428"/>
    <mergeCell ref="R428:T428"/>
    <mergeCell ref="U428:W428"/>
    <mergeCell ref="B423:C423"/>
    <mergeCell ref="D423:G423"/>
    <mergeCell ref="H423:K423"/>
    <mergeCell ref="L423:N423"/>
    <mergeCell ref="O423:Q423"/>
    <mergeCell ref="R423:T423"/>
    <mergeCell ref="U423:W423"/>
    <mergeCell ref="B424:C424"/>
    <mergeCell ref="D424:G424"/>
    <mergeCell ref="H424:K424"/>
    <mergeCell ref="L424:N424"/>
    <mergeCell ref="O424:Q424"/>
    <mergeCell ref="R424:T424"/>
    <mergeCell ref="U424:W424"/>
    <mergeCell ref="B425:C425"/>
    <mergeCell ref="D425:G425"/>
    <mergeCell ref="H425:K425"/>
    <mergeCell ref="L425:N425"/>
    <mergeCell ref="O425:Q425"/>
    <mergeCell ref="R425:T425"/>
    <mergeCell ref="U425:W425"/>
    <mergeCell ref="B420:C420"/>
    <mergeCell ref="D420:G420"/>
    <mergeCell ref="H420:K420"/>
    <mergeCell ref="L420:N420"/>
    <mergeCell ref="O420:Q420"/>
    <mergeCell ref="R420:T420"/>
    <mergeCell ref="U420:W420"/>
    <mergeCell ref="B421:C421"/>
    <mergeCell ref="D421:G421"/>
    <mergeCell ref="H421:K421"/>
    <mergeCell ref="L421:N421"/>
    <mergeCell ref="O421:Q421"/>
    <mergeCell ref="R421:T421"/>
    <mergeCell ref="U421:W421"/>
    <mergeCell ref="B422:C422"/>
    <mergeCell ref="D422:G422"/>
    <mergeCell ref="H422:K422"/>
    <mergeCell ref="L422:N422"/>
    <mergeCell ref="O422:Q422"/>
    <mergeCell ref="R422:T422"/>
    <mergeCell ref="U422:W422"/>
    <mergeCell ref="B417:C417"/>
    <mergeCell ref="D417:G417"/>
    <mergeCell ref="H417:K417"/>
    <mergeCell ref="L417:N417"/>
    <mergeCell ref="O417:Q417"/>
    <mergeCell ref="R417:T417"/>
    <mergeCell ref="U417:W417"/>
    <mergeCell ref="B418:C418"/>
    <mergeCell ref="D418:G418"/>
    <mergeCell ref="H418:K418"/>
    <mergeCell ref="L418:N418"/>
    <mergeCell ref="O418:Q418"/>
    <mergeCell ref="R418:T418"/>
    <mergeCell ref="U418:W418"/>
    <mergeCell ref="B419:C419"/>
    <mergeCell ref="D419:G419"/>
    <mergeCell ref="H419:K419"/>
    <mergeCell ref="L419:N419"/>
    <mergeCell ref="O419:Q419"/>
    <mergeCell ref="R419:T419"/>
    <mergeCell ref="U419:W419"/>
    <mergeCell ref="B414:C414"/>
    <mergeCell ref="D414:G414"/>
    <mergeCell ref="H414:K414"/>
    <mergeCell ref="L414:N414"/>
    <mergeCell ref="O414:Q414"/>
    <mergeCell ref="R414:T414"/>
    <mergeCell ref="U414:W414"/>
    <mergeCell ref="B415:C415"/>
    <mergeCell ref="D415:G415"/>
    <mergeCell ref="H415:K415"/>
    <mergeCell ref="L415:N415"/>
    <mergeCell ref="O415:Q415"/>
    <mergeCell ref="R415:T415"/>
    <mergeCell ref="U415:W415"/>
    <mergeCell ref="B416:C416"/>
    <mergeCell ref="D416:G416"/>
    <mergeCell ref="H416:K416"/>
    <mergeCell ref="L416:N416"/>
    <mergeCell ref="O416:Q416"/>
    <mergeCell ref="R416:T416"/>
    <mergeCell ref="U416:W416"/>
    <mergeCell ref="B411:C411"/>
    <mergeCell ref="D411:G411"/>
    <mergeCell ref="H411:K411"/>
    <mergeCell ref="L411:N411"/>
    <mergeCell ref="O411:Q411"/>
    <mergeCell ref="R411:T411"/>
    <mergeCell ref="U411:W411"/>
    <mergeCell ref="B412:C412"/>
    <mergeCell ref="D412:G412"/>
    <mergeCell ref="H412:K412"/>
    <mergeCell ref="L412:N412"/>
    <mergeCell ref="O412:Q412"/>
    <mergeCell ref="R412:T412"/>
    <mergeCell ref="U412:W412"/>
    <mergeCell ref="B413:C413"/>
    <mergeCell ref="D413:G413"/>
    <mergeCell ref="H413:K413"/>
    <mergeCell ref="L413:N413"/>
    <mergeCell ref="O413:Q413"/>
    <mergeCell ref="R413:T413"/>
    <mergeCell ref="U413:W413"/>
    <mergeCell ref="B408:C408"/>
    <mergeCell ref="D408:G408"/>
    <mergeCell ref="H408:K408"/>
    <mergeCell ref="L408:N408"/>
    <mergeCell ref="O408:Q408"/>
    <mergeCell ref="R408:T408"/>
    <mergeCell ref="U408:W408"/>
    <mergeCell ref="B409:C409"/>
    <mergeCell ref="D409:G409"/>
    <mergeCell ref="H409:K409"/>
    <mergeCell ref="L409:N409"/>
    <mergeCell ref="O409:Q409"/>
    <mergeCell ref="R409:T409"/>
    <mergeCell ref="U409:W409"/>
    <mergeCell ref="B410:C410"/>
    <mergeCell ref="D410:G410"/>
    <mergeCell ref="H410:K410"/>
    <mergeCell ref="L410:N410"/>
    <mergeCell ref="O410:Q410"/>
    <mergeCell ref="R410:T410"/>
    <mergeCell ref="U410:W410"/>
    <mergeCell ref="B405:C405"/>
    <mergeCell ref="D405:G405"/>
    <mergeCell ref="H405:K405"/>
    <mergeCell ref="L405:N405"/>
    <mergeCell ref="O405:Q405"/>
    <mergeCell ref="R405:T405"/>
    <mergeCell ref="U405:W405"/>
    <mergeCell ref="B406:C406"/>
    <mergeCell ref="D406:G406"/>
    <mergeCell ref="H406:K406"/>
    <mergeCell ref="L406:N406"/>
    <mergeCell ref="O406:Q406"/>
    <mergeCell ref="R406:T406"/>
    <mergeCell ref="U406:W406"/>
    <mergeCell ref="B407:C407"/>
    <mergeCell ref="D407:G407"/>
    <mergeCell ref="H407:K407"/>
    <mergeCell ref="L407:N407"/>
    <mergeCell ref="O407:Q407"/>
    <mergeCell ref="R407:T407"/>
    <mergeCell ref="U407:W407"/>
    <mergeCell ref="B402:C402"/>
    <mergeCell ref="D402:G402"/>
    <mergeCell ref="H402:K402"/>
    <mergeCell ref="L402:N402"/>
    <mergeCell ref="O402:Q402"/>
    <mergeCell ref="R402:T402"/>
    <mergeCell ref="U402:W402"/>
    <mergeCell ref="B403:C403"/>
    <mergeCell ref="D403:G403"/>
    <mergeCell ref="H403:K403"/>
    <mergeCell ref="L403:N403"/>
    <mergeCell ref="O403:Q403"/>
    <mergeCell ref="R403:T403"/>
    <mergeCell ref="U403:W403"/>
    <mergeCell ref="B404:C404"/>
    <mergeCell ref="D404:G404"/>
    <mergeCell ref="H404:K404"/>
    <mergeCell ref="L404:N404"/>
    <mergeCell ref="O404:Q404"/>
    <mergeCell ref="R404:T404"/>
    <mergeCell ref="U404:W404"/>
    <mergeCell ref="B399:C399"/>
    <mergeCell ref="D399:G399"/>
    <mergeCell ref="H399:K399"/>
    <mergeCell ref="L399:N399"/>
    <mergeCell ref="O399:Q399"/>
    <mergeCell ref="R399:T399"/>
    <mergeCell ref="U399:W399"/>
    <mergeCell ref="B400:C400"/>
    <mergeCell ref="D400:G400"/>
    <mergeCell ref="H400:K400"/>
    <mergeCell ref="L400:N400"/>
    <mergeCell ref="O400:Q400"/>
    <mergeCell ref="R400:T400"/>
    <mergeCell ref="U400:W400"/>
    <mergeCell ref="B401:C401"/>
    <mergeCell ref="D401:G401"/>
    <mergeCell ref="H401:K401"/>
    <mergeCell ref="L401:N401"/>
    <mergeCell ref="O401:Q401"/>
    <mergeCell ref="R401:T401"/>
    <mergeCell ref="U401:W401"/>
    <mergeCell ref="B396:C396"/>
    <mergeCell ref="D396:G396"/>
    <mergeCell ref="H396:K396"/>
    <mergeCell ref="L396:N396"/>
    <mergeCell ref="O396:Q396"/>
    <mergeCell ref="R396:T396"/>
    <mergeCell ref="U396:W396"/>
    <mergeCell ref="B397:C397"/>
    <mergeCell ref="D397:G397"/>
    <mergeCell ref="H397:K397"/>
    <mergeCell ref="L397:N397"/>
    <mergeCell ref="O397:Q397"/>
    <mergeCell ref="R397:T397"/>
    <mergeCell ref="U397:W397"/>
    <mergeCell ref="B398:C398"/>
    <mergeCell ref="D398:G398"/>
    <mergeCell ref="H398:K398"/>
    <mergeCell ref="L398:N398"/>
    <mergeCell ref="O398:Q398"/>
    <mergeCell ref="R398:T398"/>
    <mergeCell ref="U398:W398"/>
    <mergeCell ref="B393:C393"/>
    <mergeCell ref="D393:G393"/>
    <mergeCell ref="H393:K393"/>
    <mergeCell ref="L393:N393"/>
    <mergeCell ref="O393:Q393"/>
    <mergeCell ref="R393:T393"/>
    <mergeCell ref="U393:W393"/>
    <mergeCell ref="B394:C394"/>
    <mergeCell ref="D394:G394"/>
    <mergeCell ref="H394:K394"/>
    <mergeCell ref="L394:N394"/>
    <mergeCell ref="O394:Q394"/>
    <mergeCell ref="R394:T394"/>
    <mergeCell ref="U394:W394"/>
    <mergeCell ref="B395:C395"/>
    <mergeCell ref="D395:G395"/>
    <mergeCell ref="H395:K395"/>
    <mergeCell ref="L395:N395"/>
    <mergeCell ref="O395:Q395"/>
    <mergeCell ref="R395:T395"/>
    <mergeCell ref="U395:W395"/>
    <mergeCell ref="B390:C390"/>
    <mergeCell ref="D390:G390"/>
    <mergeCell ref="H390:K390"/>
    <mergeCell ref="L390:N390"/>
    <mergeCell ref="O390:Q390"/>
    <mergeCell ref="R390:T390"/>
    <mergeCell ref="U390:W390"/>
    <mergeCell ref="B391:C391"/>
    <mergeCell ref="D391:G391"/>
    <mergeCell ref="H391:K391"/>
    <mergeCell ref="L391:N391"/>
    <mergeCell ref="O391:Q391"/>
    <mergeCell ref="R391:T391"/>
    <mergeCell ref="U391:W391"/>
    <mergeCell ref="B392:C392"/>
    <mergeCell ref="D392:G392"/>
    <mergeCell ref="H392:K392"/>
    <mergeCell ref="L392:N392"/>
    <mergeCell ref="O392:Q392"/>
    <mergeCell ref="R392:T392"/>
    <mergeCell ref="U392:W392"/>
    <mergeCell ref="B387:C387"/>
    <mergeCell ref="D387:G387"/>
    <mergeCell ref="H387:K387"/>
    <mergeCell ref="L387:N387"/>
    <mergeCell ref="O387:Q387"/>
    <mergeCell ref="R387:T387"/>
    <mergeCell ref="U387:W387"/>
    <mergeCell ref="B388:C388"/>
    <mergeCell ref="D388:G388"/>
    <mergeCell ref="H388:K388"/>
    <mergeCell ref="L388:N388"/>
    <mergeCell ref="O388:Q388"/>
    <mergeCell ref="R388:T388"/>
    <mergeCell ref="U388:W388"/>
    <mergeCell ref="B389:C389"/>
    <mergeCell ref="D389:G389"/>
    <mergeCell ref="H389:K389"/>
    <mergeCell ref="L389:N389"/>
    <mergeCell ref="O389:Q389"/>
    <mergeCell ref="R389:T389"/>
    <mergeCell ref="U389:W389"/>
    <mergeCell ref="B384:C384"/>
    <mergeCell ref="D384:G384"/>
    <mergeCell ref="H384:K384"/>
    <mergeCell ref="L384:N384"/>
    <mergeCell ref="O384:Q384"/>
    <mergeCell ref="R384:T384"/>
    <mergeCell ref="U384:W384"/>
    <mergeCell ref="B385:C385"/>
    <mergeCell ref="D385:G385"/>
    <mergeCell ref="H385:K385"/>
    <mergeCell ref="L385:N385"/>
    <mergeCell ref="O385:Q385"/>
    <mergeCell ref="R385:T385"/>
    <mergeCell ref="U385:W385"/>
    <mergeCell ref="B386:C386"/>
    <mergeCell ref="D386:G386"/>
    <mergeCell ref="H386:K386"/>
    <mergeCell ref="L386:N386"/>
    <mergeCell ref="O386:Q386"/>
    <mergeCell ref="R386:T386"/>
    <mergeCell ref="U386:W386"/>
    <mergeCell ref="B381:C381"/>
    <mergeCell ref="D381:G381"/>
    <mergeCell ref="H381:K381"/>
    <mergeCell ref="L381:N381"/>
    <mergeCell ref="O381:Q381"/>
    <mergeCell ref="R381:T381"/>
    <mergeCell ref="U381:W381"/>
    <mergeCell ref="B382:C382"/>
    <mergeCell ref="D382:G382"/>
    <mergeCell ref="H382:K382"/>
    <mergeCell ref="L382:N382"/>
    <mergeCell ref="O382:Q382"/>
    <mergeCell ref="R382:T382"/>
    <mergeCell ref="U382:W382"/>
    <mergeCell ref="B383:C383"/>
    <mergeCell ref="D383:G383"/>
    <mergeCell ref="H383:K383"/>
    <mergeCell ref="L383:N383"/>
    <mergeCell ref="O383:Q383"/>
    <mergeCell ref="R383:T383"/>
    <mergeCell ref="U383:W383"/>
    <mergeCell ref="B378:C378"/>
    <mergeCell ref="D378:G378"/>
    <mergeCell ref="H378:K378"/>
    <mergeCell ref="L378:N378"/>
    <mergeCell ref="O378:Q378"/>
    <mergeCell ref="R378:T378"/>
    <mergeCell ref="U378:W378"/>
    <mergeCell ref="B379:C379"/>
    <mergeCell ref="D379:G379"/>
    <mergeCell ref="H379:K379"/>
    <mergeCell ref="L379:N379"/>
    <mergeCell ref="O379:Q379"/>
    <mergeCell ref="R379:T379"/>
    <mergeCell ref="U379:W379"/>
    <mergeCell ref="B380:C380"/>
    <mergeCell ref="D380:G380"/>
    <mergeCell ref="H380:K380"/>
    <mergeCell ref="L380:N380"/>
    <mergeCell ref="O380:Q380"/>
    <mergeCell ref="R380:T380"/>
    <mergeCell ref="U380:W380"/>
    <mergeCell ref="O375:Q375"/>
    <mergeCell ref="R375:T375"/>
    <mergeCell ref="U375:W375"/>
    <mergeCell ref="B376:C376"/>
    <mergeCell ref="D376:G376"/>
    <mergeCell ref="H376:K376"/>
    <mergeCell ref="L376:N376"/>
    <mergeCell ref="O376:Q376"/>
    <mergeCell ref="R376:T376"/>
    <mergeCell ref="U376:W376"/>
    <mergeCell ref="B377:C377"/>
    <mergeCell ref="D377:G377"/>
    <mergeCell ref="H377:K377"/>
    <mergeCell ref="L377:N377"/>
    <mergeCell ref="O377:Q377"/>
    <mergeCell ref="R377:T377"/>
    <mergeCell ref="U377:W377"/>
    <mergeCell ref="B497:C497"/>
    <mergeCell ref="D497:G497"/>
    <mergeCell ref="H497:K497"/>
    <mergeCell ref="L497:N497"/>
    <mergeCell ref="O497:Q497"/>
    <mergeCell ref="R497:T497"/>
    <mergeCell ref="U497:W497"/>
    <mergeCell ref="B498:C498"/>
    <mergeCell ref="D498:G498"/>
    <mergeCell ref="H498:K498"/>
    <mergeCell ref="L498:N498"/>
    <mergeCell ref="O498:Q498"/>
    <mergeCell ref="R498:T498"/>
    <mergeCell ref="U498:W498"/>
    <mergeCell ref="B499:C499"/>
    <mergeCell ref="D499:G499"/>
    <mergeCell ref="H499:K499"/>
    <mergeCell ref="L499:N499"/>
    <mergeCell ref="O499:Q499"/>
    <mergeCell ref="R499:T499"/>
    <mergeCell ref="U499:W499"/>
    <mergeCell ref="B494:C494"/>
    <mergeCell ref="D494:G494"/>
    <mergeCell ref="H494:K494"/>
    <mergeCell ref="L494:N494"/>
    <mergeCell ref="O494:Q494"/>
    <mergeCell ref="R494:T494"/>
    <mergeCell ref="U494:W494"/>
    <mergeCell ref="B495:C495"/>
    <mergeCell ref="D495:G495"/>
    <mergeCell ref="H495:K495"/>
    <mergeCell ref="L495:N495"/>
    <mergeCell ref="O495:Q495"/>
    <mergeCell ref="R495:T495"/>
    <mergeCell ref="U495:W495"/>
    <mergeCell ref="B496:C496"/>
    <mergeCell ref="D496:G496"/>
    <mergeCell ref="H496:K496"/>
    <mergeCell ref="L496:N496"/>
    <mergeCell ref="O496:Q496"/>
    <mergeCell ref="R496:T496"/>
    <mergeCell ref="U496:W496"/>
    <mergeCell ref="B491:C491"/>
    <mergeCell ref="D491:G491"/>
    <mergeCell ref="H491:K491"/>
    <mergeCell ref="L491:N491"/>
    <mergeCell ref="O491:Q491"/>
    <mergeCell ref="R491:T491"/>
    <mergeCell ref="U491:W491"/>
    <mergeCell ref="B492:C492"/>
    <mergeCell ref="D492:G492"/>
    <mergeCell ref="H492:K492"/>
    <mergeCell ref="L492:N492"/>
    <mergeCell ref="O492:Q492"/>
    <mergeCell ref="R492:T492"/>
    <mergeCell ref="U492:W492"/>
    <mergeCell ref="B493:C493"/>
    <mergeCell ref="D493:G493"/>
    <mergeCell ref="H493:K493"/>
    <mergeCell ref="L493:N493"/>
    <mergeCell ref="O493:Q493"/>
    <mergeCell ref="R493:T493"/>
    <mergeCell ref="U493:W493"/>
    <mergeCell ref="O488:Q488"/>
    <mergeCell ref="R488:T488"/>
    <mergeCell ref="U488:W488"/>
    <mergeCell ref="B489:C489"/>
    <mergeCell ref="D489:G489"/>
    <mergeCell ref="H489:K489"/>
    <mergeCell ref="L489:N489"/>
    <mergeCell ref="O489:Q489"/>
    <mergeCell ref="R489:T489"/>
    <mergeCell ref="U489:W489"/>
    <mergeCell ref="B490:C490"/>
    <mergeCell ref="D490:G490"/>
    <mergeCell ref="H490:K490"/>
    <mergeCell ref="L490:N490"/>
    <mergeCell ref="O490:Q490"/>
    <mergeCell ref="R490:T490"/>
    <mergeCell ref="U490:W490"/>
    <mergeCell ref="B21:C21"/>
    <mergeCell ref="D21:G21"/>
    <mergeCell ref="H21:K21"/>
    <mergeCell ref="L21:N21"/>
    <mergeCell ref="O21:Q21"/>
    <mergeCell ref="R21:T21"/>
    <mergeCell ref="U21:W21"/>
    <mergeCell ref="B514:C514"/>
    <mergeCell ref="D514:G514"/>
    <mergeCell ref="H514:K514"/>
    <mergeCell ref="L514:N514"/>
    <mergeCell ref="O514:Q514"/>
    <mergeCell ref="R514:T514"/>
    <mergeCell ref="U514:W514"/>
    <mergeCell ref="B486:C486"/>
    <mergeCell ref="D486:G486"/>
    <mergeCell ref="H486:K486"/>
    <mergeCell ref="L486:N486"/>
    <mergeCell ref="O486:Q486"/>
    <mergeCell ref="R486:T486"/>
    <mergeCell ref="U486:W486"/>
    <mergeCell ref="B487:C487"/>
    <mergeCell ref="D487:G487"/>
    <mergeCell ref="H487:K487"/>
    <mergeCell ref="L487:N487"/>
    <mergeCell ref="O487:Q487"/>
    <mergeCell ref="R487:T487"/>
    <mergeCell ref="U487:W487"/>
    <mergeCell ref="B488:C488"/>
    <mergeCell ref="D488:G488"/>
    <mergeCell ref="H488:K488"/>
    <mergeCell ref="L488:N488"/>
    <mergeCell ref="O18:Q18"/>
    <mergeCell ref="R18:T18"/>
    <mergeCell ref="U18:W18"/>
    <mergeCell ref="B19:C19"/>
    <mergeCell ref="D19:G19"/>
    <mergeCell ref="H19:K19"/>
    <mergeCell ref="L19:N19"/>
    <mergeCell ref="O19:Q19"/>
    <mergeCell ref="R19:T19"/>
    <mergeCell ref="U19:W19"/>
    <mergeCell ref="B20:C20"/>
    <mergeCell ref="D20:G20"/>
    <mergeCell ref="H20:K20"/>
    <mergeCell ref="L20:N20"/>
    <mergeCell ref="O20:Q20"/>
    <mergeCell ref="R20:T20"/>
    <mergeCell ref="U20:W20"/>
    <mergeCell ref="B512:C512"/>
    <mergeCell ref="D512:G512"/>
    <mergeCell ref="H512:K512"/>
    <mergeCell ref="L512:N512"/>
    <mergeCell ref="O512:Q512"/>
    <mergeCell ref="R512:T512"/>
    <mergeCell ref="U512:W512"/>
    <mergeCell ref="B513:C513"/>
    <mergeCell ref="D513:G513"/>
    <mergeCell ref="H513:K513"/>
    <mergeCell ref="L513:N513"/>
    <mergeCell ref="O513:Q513"/>
    <mergeCell ref="R513:T513"/>
    <mergeCell ref="U513:W513"/>
    <mergeCell ref="B16:C16"/>
    <mergeCell ref="D16:G16"/>
    <mergeCell ref="H16:K16"/>
    <mergeCell ref="L16:N16"/>
    <mergeCell ref="O16:Q16"/>
    <mergeCell ref="R16:T16"/>
    <mergeCell ref="U16:W16"/>
    <mergeCell ref="B17:C17"/>
    <mergeCell ref="D17:G17"/>
    <mergeCell ref="H17:K17"/>
    <mergeCell ref="L17:N17"/>
    <mergeCell ref="O17:Q17"/>
    <mergeCell ref="R17:T17"/>
    <mergeCell ref="U17:W17"/>
    <mergeCell ref="B18:C18"/>
    <mergeCell ref="D18:G18"/>
    <mergeCell ref="H18:K18"/>
    <mergeCell ref="L18:N18"/>
    <mergeCell ref="B509:C509"/>
    <mergeCell ref="D509:G509"/>
    <mergeCell ref="H509:K509"/>
    <mergeCell ref="L509:N509"/>
    <mergeCell ref="O509:Q509"/>
    <mergeCell ref="R509:T509"/>
    <mergeCell ref="U509:W509"/>
    <mergeCell ref="B510:C510"/>
    <mergeCell ref="D510:G510"/>
    <mergeCell ref="H510:K510"/>
    <mergeCell ref="L510:N510"/>
    <mergeCell ref="O510:Q510"/>
    <mergeCell ref="R510:T510"/>
    <mergeCell ref="U510:W510"/>
    <mergeCell ref="B511:C511"/>
    <mergeCell ref="D511:G511"/>
    <mergeCell ref="H511:K511"/>
    <mergeCell ref="L511:N511"/>
    <mergeCell ref="O511:Q511"/>
    <mergeCell ref="R511:T511"/>
    <mergeCell ref="U511:W511"/>
    <mergeCell ref="B506:C506"/>
    <mergeCell ref="D506:G506"/>
    <mergeCell ref="H506:K506"/>
    <mergeCell ref="L506:N506"/>
    <mergeCell ref="O506:Q506"/>
    <mergeCell ref="R506:T506"/>
    <mergeCell ref="U506:W506"/>
    <mergeCell ref="B507:C507"/>
    <mergeCell ref="D507:G507"/>
    <mergeCell ref="H507:K507"/>
    <mergeCell ref="L507:N507"/>
    <mergeCell ref="O507:Q507"/>
    <mergeCell ref="R507:T507"/>
    <mergeCell ref="U507:W507"/>
    <mergeCell ref="B508:C508"/>
    <mergeCell ref="D508:G508"/>
    <mergeCell ref="H508:K508"/>
    <mergeCell ref="L508:N508"/>
    <mergeCell ref="O508:Q508"/>
    <mergeCell ref="R508:T508"/>
    <mergeCell ref="U508:W508"/>
    <mergeCell ref="B503:C503"/>
    <mergeCell ref="D503:G503"/>
    <mergeCell ref="H503:K503"/>
    <mergeCell ref="L503:N503"/>
    <mergeCell ref="O503:Q503"/>
    <mergeCell ref="R503:T503"/>
    <mergeCell ref="U503:W503"/>
    <mergeCell ref="B504:C504"/>
    <mergeCell ref="D504:G504"/>
    <mergeCell ref="H504:K504"/>
    <mergeCell ref="L504:N504"/>
    <mergeCell ref="O504:Q504"/>
    <mergeCell ref="R504:T504"/>
    <mergeCell ref="U504:W504"/>
    <mergeCell ref="B505:C505"/>
    <mergeCell ref="D505:G505"/>
    <mergeCell ref="H505:K505"/>
    <mergeCell ref="L505:N505"/>
    <mergeCell ref="O505:Q505"/>
    <mergeCell ref="R505:T505"/>
    <mergeCell ref="U505:W505"/>
    <mergeCell ref="B500:C500"/>
    <mergeCell ref="D500:G500"/>
    <mergeCell ref="H500:K500"/>
    <mergeCell ref="L500:N500"/>
    <mergeCell ref="O500:Q500"/>
    <mergeCell ref="R500:T500"/>
    <mergeCell ref="U500:W500"/>
    <mergeCell ref="B501:C501"/>
    <mergeCell ref="D501:G501"/>
    <mergeCell ref="H501:K501"/>
    <mergeCell ref="L501:N501"/>
    <mergeCell ref="O501:Q501"/>
    <mergeCell ref="R501:T501"/>
    <mergeCell ref="U501:W501"/>
    <mergeCell ref="B502:C502"/>
    <mergeCell ref="D502:G502"/>
    <mergeCell ref="H502:K502"/>
    <mergeCell ref="L502:N502"/>
    <mergeCell ref="O502:Q502"/>
    <mergeCell ref="R502:T502"/>
    <mergeCell ref="U502:W502"/>
    <mergeCell ref="B483:C483"/>
    <mergeCell ref="D483:G483"/>
    <mergeCell ref="H483:K483"/>
    <mergeCell ref="L483:N483"/>
    <mergeCell ref="O483:Q483"/>
    <mergeCell ref="R483:T483"/>
    <mergeCell ref="U483:W483"/>
    <mergeCell ref="B484:C484"/>
    <mergeCell ref="D484:G484"/>
    <mergeCell ref="H484:K484"/>
    <mergeCell ref="L484:N484"/>
    <mergeCell ref="O484:Q484"/>
    <mergeCell ref="R484:T484"/>
    <mergeCell ref="U484:W484"/>
    <mergeCell ref="B485:C485"/>
    <mergeCell ref="D485:G485"/>
    <mergeCell ref="H485:K485"/>
    <mergeCell ref="L485:N485"/>
    <mergeCell ref="O485:Q485"/>
    <mergeCell ref="R485:T485"/>
    <mergeCell ref="U485:W485"/>
    <mergeCell ref="B480:C480"/>
    <mergeCell ref="D480:G480"/>
    <mergeCell ref="H480:K480"/>
    <mergeCell ref="L480:N480"/>
    <mergeCell ref="O480:Q480"/>
    <mergeCell ref="R480:T480"/>
    <mergeCell ref="U480:W480"/>
    <mergeCell ref="B481:C481"/>
    <mergeCell ref="D481:G481"/>
    <mergeCell ref="H481:K481"/>
    <mergeCell ref="L481:N481"/>
    <mergeCell ref="O481:Q481"/>
    <mergeCell ref="R481:T481"/>
    <mergeCell ref="U481:W481"/>
    <mergeCell ref="B482:C482"/>
    <mergeCell ref="D482:G482"/>
    <mergeCell ref="H482:K482"/>
    <mergeCell ref="L482:N482"/>
    <mergeCell ref="O482:Q482"/>
    <mergeCell ref="R482:T482"/>
    <mergeCell ref="U482:W482"/>
    <mergeCell ref="B477:C477"/>
    <mergeCell ref="D477:G477"/>
    <mergeCell ref="H477:K477"/>
    <mergeCell ref="L477:N477"/>
    <mergeCell ref="O477:Q477"/>
    <mergeCell ref="R477:T477"/>
    <mergeCell ref="U477:W477"/>
    <mergeCell ref="B478:C478"/>
    <mergeCell ref="D478:G478"/>
    <mergeCell ref="H478:K478"/>
    <mergeCell ref="L478:N478"/>
    <mergeCell ref="O478:Q478"/>
    <mergeCell ref="R478:T478"/>
    <mergeCell ref="U478:W478"/>
    <mergeCell ref="B479:C479"/>
    <mergeCell ref="D479:G479"/>
    <mergeCell ref="H479:K479"/>
    <mergeCell ref="L479:N479"/>
    <mergeCell ref="O479:Q479"/>
    <mergeCell ref="R479:T479"/>
    <mergeCell ref="U479:W479"/>
    <mergeCell ref="B474:C474"/>
    <mergeCell ref="D474:G474"/>
    <mergeCell ref="H474:K474"/>
    <mergeCell ref="L474:N474"/>
    <mergeCell ref="O474:Q474"/>
    <mergeCell ref="R474:T474"/>
    <mergeCell ref="U474:W474"/>
    <mergeCell ref="B475:C475"/>
    <mergeCell ref="D475:G475"/>
    <mergeCell ref="H475:K475"/>
    <mergeCell ref="L475:N475"/>
    <mergeCell ref="O475:Q475"/>
    <mergeCell ref="R475:T475"/>
    <mergeCell ref="U475:W475"/>
    <mergeCell ref="B476:C476"/>
    <mergeCell ref="D476:G476"/>
    <mergeCell ref="H476:K476"/>
    <mergeCell ref="L476:N476"/>
    <mergeCell ref="O476:Q476"/>
    <mergeCell ref="R476:T476"/>
    <mergeCell ref="U476:W476"/>
    <mergeCell ref="B373:C373"/>
    <mergeCell ref="D373:G373"/>
    <mergeCell ref="H373:K373"/>
    <mergeCell ref="L373:N373"/>
    <mergeCell ref="O373:Q373"/>
    <mergeCell ref="R373:T373"/>
    <mergeCell ref="U373:W373"/>
    <mergeCell ref="B472:C472"/>
    <mergeCell ref="D472:G472"/>
    <mergeCell ref="H472:K472"/>
    <mergeCell ref="L472:N472"/>
    <mergeCell ref="O472:Q472"/>
    <mergeCell ref="R472:T472"/>
    <mergeCell ref="U472:W472"/>
    <mergeCell ref="B473:C473"/>
    <mergeCell ref="D473:G473"/>
    <mergeCell ref="H473:K473"/>
    <mergeCell ref="L473:N473"/>
    <mergeCell ref="O473:Q473"/>
    <mergeCell ref="R473:T473"/>
    <mergeCell ref="U473:W473"/>
    <mergeCell ref="B374:C374"/>
    <mergeCell ref="D374:G374"/>
    <mergeCell ref="H374:K374"/>
    <mergeCell ref="L374:N374"/>
    <mergeCell ref="O374:Q374"/>
    <mergeCell ref="R374:T374"/>
    <mergeCell ref="U374:W374"/>
    <mergeCell ref="B375:C375"/>
    <mergeCell ref="D375:G375"/>
    <mergeCell ref="H375:K375"/>
    <mergeCell ref="L375:N375"/>
    <mergeCell ref="B370:C370"/>
    <mergeCell ref="D370:G370"/>
    <mergeCell ref="H370:K370"/>
    <mergeCell ref="L370:N370"/>
    <mergeCell ref="O370:Q370"/>
    <mergeCell ref="R370:T370"/>
    <mergeCell ref="U370:W370"/>
    <mergeCell ref="B371:C371"/>
    <mergeCell ref="D371:G371"/>
    <mergeCell ref="H371:K371"/>
    <mergeCell ref="L371:N371"/>
    <mergeCell ref="O371:Q371"/>
    <mergeCell ref="R371:T371"/>
    <mergeCell ref="U371:W371"/>
    <mergeCell ref="B372:C372"/>
    <mergeCell ref="D372:G372"/>
    <mergeCell ref="H372:K372"/>
    <mergeCell ref="L372:N372"/>
    <mergeCell ref="O372:Q372"/>
    <mergeCell ref="R372:T372"/>
    <mergeCell ref="U372:W372"/>
    <mergeCell ref="B367:C367"/>
    <mergeCell ref="D367:G367"/>
    <mergeCell ref="H367:K367"/>
    <mergeCell ref="L367:N367"/>
    <mergeCell ref="O367:Q367"/>
    <mergeCell ref="R367:T367"/>
    <mergeCell ref="U367:W367"/>
    <mergeCell ref="B368:C368"/>
    <mergeCell ref="D368:G368"/>
    <mergeCell ref="H368:K368"/>
    <mergeCell ref="L368:N368"/>
    <mergeCell ref="O368:Q368"/>
    <mergeCell ref="R368:T368"/>
    <mergeCell ref="U368:W368"/>
    <mergeCell ref="B369:C369"/>
    <mergeCell ref="D369:G369"/>
    <mergeCell ref="H369:K369"/>
    <mergeCell ref="L369:N369"/>
    <mergeCell ref="O369:Q369"/>
    <mergeCell ref="R369:T369"/>
    <mergeCell ref="U369:W369"/>
    <mergeCell ref="B364:C364"/>
    <mergeCell ref="D364:G364"/>
    <mergeCell ref="H364:K364"/>
    <mergeCell ref="L364:N364"/>
    <mergeCell ref="O364:Q364"/>
    <mergeCell ref="R364:T364"/>
    <mergeCell ref="U364:W364"/>
    <mergeCell ref="B365:C365"/>
    <mergeCell ref="D365:G365"/>
    <mergeCell ref="H365:K365"/>
    <mergeCell ref="L365:N365"/>
    <mergeCell ref="O365:Q365"/>
    <mergeCell ref="R365:T365"/>
    <mergeCell ref="U365:W365"/>
    <mergeCell ref="B366:C366"/>
    <mergeCell ref="D366:G366"/>
    <mergeCell ref="H366:K366"/>
    <mergeCell ref="L366:N366"/>
    <mergeCell ref="O366:Q366"/>
    <mergeCell ref="R366:T366"/>
    <mergeCell ref="U366:W366"/>
    <mergeCell ref="B361:C361"/>
    <mergeCell ref="D361:G361"/>
    <mergeCell ref="H361:K361"/>
    <mergeCell ref="L361:N361"/>
    <mergeCell ref="O361:Q361"/>
    <mergeCell ref="R361:T361"/>
    <mergeCell ref="U361:W361"/>
    <mergeCell ref="B362:C362"/>
    <mergeCell ref="D362:G362"/>
    <mergeCell ref="H362:K362"/>
    <mergeCell ref="L362:N362"/>
    <mergeCell ref="O362:Q362"/>
    <mergeCell ref="R362:T362"/>
    <mergeCell ref="U362:W362"/>
    <mergeCell ref="B363:C363"/>
    <mergeCell ref="D363:G363"/>
    <mergeCell ref="H363:K363"/>
    <mergeCell ref="L363:N363"/>
    <mergeCell ref="O363:Q363"/>
    <mergeCell ref="R363:T363"/>
    <mergeCell ref="U363:W363"/>
    <mergeCell ref="B358:C358"/>
    <mergeCell ref="D358:G358"/>
    <mergeCell ref="H358:K358"/>
    <mergeCell ref="L358:N358"/>
    <mergeCell ref="O358:Q358"/>
    <mergeCell ref="R358:T358"/>
    <mergeCell ref="U358:W358"/>
    <mergeCell ref="B359:C359"/>
    <mergeCell ref="D359:G359"/>
    <mergeCell ref="H359:K359"/>
    <mergeCell ref="L359:N359"/>
    <mergeCell ref="O359:Q359"/>
    <mergeCell ref="R359:T359"/>
    <mergeCell ref="U359:W359"/>
    <mergeCell ref="B360:C360"/>
    <mergeCell ref="D360:G360"/>
    <mergeCell ref="H360:K360"/>
    <mergeCell ref="L360:N360"/>
    <mergeCell ref="O360:Q360"/>
    <mergeCell ref="R360:T360"/>
    <mergeCell ref="U360:W360"/>
    <mergeCell ref="B355:C355"/>
    <mergeCell ref="D355:G355"/>
    <mergeCell ref="H355:K355"/>
    <mergeCell ref="L355:N355"/>
    <mergeCell ref="O355:Q355"/>
    <mergeCell ref="R355:T355"/>
    <mergeCell ref="U355:W355"/>
    <mergeCell ref="B356:C356"/>
    <mergeCell ref="D356:G356"/>
    <mergeCell ref="H356:K356"/>
    <mergeCell ref="L356:N356"/>
    <mergeCell ref="O356:Q356"/>
    <mergeCell ref="R356:T356"/>
    <mergeCell ref="U356:W356"/>
    <mergeCell ref="B357:C357"/>
    <mergeCell ref="D357:G357"/>
    <mergeCell ref="H357:K357"/>
    <mergeCell ref="L357:N357"/>
    <mergeCell ref="O357:Q357"/>
    <mergeCell ref="R357:T357"/>
    <mergeCell ref="U357:W357"/>
    <mergeCell ref="B352:C352"/>
    <mergeCell ref="D352:G352"/>
    <mergeCell ref="H352:K352"/>
    <mergeCell ref="L352:N352"/>
    <mergeCell ref="O352:Q352"/>
    <mergeCell ref="R352:T352"/>
    <mergeCell ref="U352:W352"/>
    <mergeCell ref="B353:C353"/>
    <mergeCell ref="D353:G353"/>
    <mergeCell ref="H353:K353"/>
    <mergeCell ref="L353:N353"/>
    <mergeCell ref="O353:Q353"/>
    <mergeCell ref="R353:T353"/>
    <mergeCell ref="U353:W353"/>
    <mergeCell ref="B354:C354"/>
    <mergeCell ref="D354:G354"/>
    <mergeCell ref="H354:K354"/>
    <mergeCell ref="L354:N354"/>
    <mergeCell ref="O354:Q354"/>
    <mergeCell ref="R354:T354"/>
    <mergeCell ref="U354:W354"/>
    <mergeCell ref="B349:C349"/>
    <mergeCell ref="D349:G349"/>
    <mergeCell ref="H349:K349"/>
    <mergeCell ref="L349:N349"/>
    <mergeCell ref="O349:Q349"/>
    <mergeCell ref="R349:T349"/>
    <mergeCell ref="U349:W349"/>
    <mergeCell ref="B350:C350"/>
    <mergeCell ref="D350:G350"/>
    <mergeCell ref="H350:K350"/>
    <mergeCell ref="L350:N350"/>
    <mergeCell ref="O350:Q350"/>
    <mergeCell ref="R350:T350"/>
    <mergeCell ref="U350:W350"/>
    <mergeCell ref="B351:C351"/>
    <mergeCell ref="D351:G351"/>
    <mergeCell ref="H351:K351"/>
    <mergeCell ref="L351:N351"/>
    <mergeCell ref="O351:Q351"/>
    <mergeCell ref="R351:T351"/>
    <mergeCell ref="U351:W351"/>
    <mergeCell ref="B346:C346"/>
    <mergeCell ref="D346:G346"/>
    <mergeCell ref="H346:K346"/>
    <mergeCell ref="L346:N346"/>
    <mergeCell ref="O346:Q346"/>
    <mergeCell ref="R346:T346"/>
    <mergeCell ref="U346:W346"/>
    <mergeCell ref="B347:C347"/>
    <mergeCell ref="D347:G347"/>
    <mergeCell ref="H347:K347"/>
    <mergeCell ref="L347:N347"/>
    <mergeCell ref="O347:Q347"/>
    <mergeCell ref="R347:T347"/>
    <mergeCell ref="U347:W347"/>
    <mergeCell ref="B348:C348"/>
    <mergeCell ref="D348:G348"/>
    <mergeCell ref="H348:K348"/>
    <mergeCell ref="L348:N348"/>
    <mergeCell ref="O348:Q348"/>
    <mergeCell ref="R348:T348"/>
    <mergeCell ref="U348:W348"/>
    <mergeCell ref="B343:C343"/>
    <mergeCell ref="D343:G343"/>
    <mergeCell ref="H343:K343"/>
    <mergeCell ref="L343:N343"/>
    <mergeCell ref="O343:Q343"/>
    <mergeCell ref="R343:T343"/>
    <mergeCell ref="U343:W343"/>
    <mergeCell ref="B344:C344"/>
    <mergeCell ref="D344:G344"/>
    <mergeCell ref="H344:K344"/>
    <mergeCell ref="L344:N344"/>
    <mergeCell ref="O344:Q344"/>
    <mergeCell ref="R344:T344"/>
    <mergeCell ref="U344:W344"/>
    <mergeCell ref="B345:C345"/>
    <mergeCell ref="D345:G345"/>
    <mergeCell ref="H345:K345"/>
    <mergeCell ref="L345:N345"/>
    <mergeCell ref="O345:Q345"/>
    <mergeCell ref="R345:T345"/>
    <mergeCell ref="U345:W345"/>
    <mergeCell ref="B340:C340"/>
    <mergeCell ref="D340:G340"/>
    <mergeCell ref="H340:K340"/>
    <mergeCell ref="L340:N340"/>
    <mergeCell ref="O340:Q340"/>
    <mergeCell ref="R340:T340"/>
    <mergeCell ref="U340:W340"/>
    <mergeCell ref="B341:C341"/>
    <mergeCell ref="D341:G341"/>
    <mergeCell ref="H341:K341"/>
    <mergeCell ref="L341:N341"/>
    <mergeCell ref="O341:Q341"/>
    <mergeCell ref="R341:T341"/>
    <mergeCell ref="U341:W341"/>
    <mergeCell ref="B342:C342"/>
    <mergeCell ref="D342:G342"/>
    <mergeCell ref="H342:K342"/>
    <mergeCell ref="L342:N342"/>
    <mergeCell ref="O342:Q342"/>
    <mergeCell ref="R342:T342"/>
    <mergeCell ref="U342:W342"/>
    <mergeCell ref="B337:C337"/>
    <mergeCell ref="D337:G337"/>
    <mergeCell ref="H337:K337"/>
    <mergeCell ref="L337:N337"/>
    <mergeCell ref="O337:Q337"/>
    <mergeCell ref="R337:T337"/>
    <mergeCell ref="U337:W337"/>
    <mergeCell ref="B338:C338"/>
    <mergeCell ref="D338:G338"/>
    <mergeCell ref="H338:K338"/>
    <mergeCell ref="L338:N338"/>
    <mergeCell ref="O338:Q338"/>
    <mergeCell ref="R338:T338"/>
    <mergeCell ref="U338:W338"/>
    <mergeCell ref="B339:C339"/>
    <mergeCell ref="D339:G339"/>
    <mergeCell ref="H339:K339"/>
    <mergeCell ref="L339:N339"/>
    <mergeCell ref="O339:Q339"/>
    <mergeCell ref="R339:T339"/>
    <mergeCell ref="U339:W339"/>
    <mergeCell ref="B334:C334"/>
    <mergeCell ref="D334:G334"/>
    <mergeCell ref="H334:K334"/>
    <mergeCell ref="L334:N334"/>
    <mergeCell ref="O334:Q334"/>
    <mergeCell ref="R334:T334"/>
    <mergeCell ref="U334:W334"/>
    <mergeCell ref="B335:C335"/>
    <mergeCell ref="D335:G335"/>
    <mergeCell ref="H335:K335"/>
    <mergeCell ref="L335:N335"/>
    <mergeCell ref="O335:Q335"/>
    <mergeCell ref="R335:T335"/>
    <mergeCell ref="U335:W335"/>
    <mergeCell ref="B336:C336"/>
    <mergeCell ref="D336:G336"/>
    <mergeCell ref="H336:K336"/>
    <mergeCell ref="L336:N336"/>
    <mergeCell ref="O336:Q336"/>
    <mergeCell ref="R336:T336"/>
    <mergeCell ref="U336:W336"/>
    <mergeCell ref="B331:C331"/>
    <mergeCell ref="D331:G331"/>
    <mergeCell ref="H331:K331"/>
    <mergeCell ref="L331:N331"/>
    <mergeCell ref="O331:Q331"/>
    <mergeCell ref="R331:T331"/>
    <mergeCell ref="U331:W331"/>
    <mergeCell ref="B332:C332"/>
    <mergeCell ref="D332:G332"/>
    <mergeCell ref="H332:K332"/>
    <mergeCell ref="L332:N332"/>
    <mergeCell ref="O332:Q332"/>
    <mergeCell ref="R332:T332"/>
    <mergeCell ref="U332:W332"/>
    <mergeCell ref="B333:C333"/>
    <mergeCell ref="D333:G333"/>
    <mergeCell ref="H333:K333"/>
    <mergeCell ref="L333:N333"/>
    <mergeCell ref="O333:Q333"/>
    <mergeCell ref="R333:T333"/>
    <mergeCell ref="U333:W333"/>
    <mergeCell ref="B328:C328"/>
    <mergeCell ref="D328:G328"/>
    <mergeCell ref="H328:K328"/>
    <mergeCell ref="L328:N328"/>
    <mergeCell ref="O328:Q328"/>
    <mergeCell ref="R328:T328"/>
    <mergeCell ref="U328:W328"/>
    <mergeCell ref="B329:C329"/>
    <mergeCell ref="D329:G329"/>
    <mergeCell ref="H329:K329"/>
    <mergeCell ref="L329:N329"/>
    <mergeCell ref="O329:Q329"/>
    <mergeCell ref="R329:T329"/>
    <mergeCell ref="U329:W329"/>
    <mergeCell ref="B330:C330"/>
    <mergeCell ref="D330:G330"/>
    <mergeCell ref="H330:K330"/>
    <mergeCell ref="L330:N330"/>
    <mergeCell ref="O330:Q330"/>
    <mergeCell ref="R330:T330"/>
    <mergeCell ref="U330:W330"/>
    <mergeCell ref="B325:C325"/>
    <mergeCell ref="D325:G325"/>
    <mergeCell ref="H325:K325"/>
    <mergeCell ref="L325:N325"/>
    <mergeCell ref="O325:Q325"/>
    <mergeCell ref="R325:T325"/>
    <mergeCell ref="U325:W325"/>
    <mergeCell ref="B326:C326"/>
    <mergeCell ref="D326:G326"/>
    <mergeCell ref="H326:K326"/>
    <mergeCell ref="L326:N326"/>
    <mergeCell ref="O326:Q326"/>
    <mergeCell ref="R326:T326"/>
    <mergeCell ref="U326:W326"/>
    <mergeCell ref="B327:C327"/>
    <mergeCell ref="D327:G327"/>
    <mergeCell ref="H327:K327"/>
    <mergeCell ref="L327:N327"/>
    <mergeCell ref="O327:Q327"/>
    <mergeCell ref="R327:T327"/>
    <mergeCell ref="U327:W327"/>
    <mergeCell ref="B322:C322"/>
    <mergeCell ref="D322:G322"/>
    <mergeCell ref="H322:K322"/>
    <mergeCell ref="L322:N322"/>
    <mergeCell ref="O322:Q322"/>
    <mergeCell ref="R322:T322"/>
    <mergeCell ref="U322:W322"/>
    <mergeCell ref="B323:C323"/>
    <mergeCell ref="D323:G323"/>
    <mergeCell ref="H323:K323"/>
    <mergeCell ref="L323:N323"/>
    <mergeCell ref="O323:Q323"/>
    <mergeCell ref="R323:T323"/>
    <mergeCell ref="U323:W323"/>
    <mergeCell ref="B324:C324"/>
    <mergeCell ref="D324:G324"/>
    <mergeCell ref="H324:K324"/>
    <mergeCell ref="L324:N324"/>
    <mergeCell ref="O324:Q324"/>
    <mergeCell ref="R324:T324"/>
    <mergeCell ref="U324:W324"/>
    <mergeCell ref="B319:C319"/>
    <mergeCell ref="D319:G319"/>
    <mergeCell ref="H319:K319"/>
    <mergeCell ref="L319:N319"/>
    <mergeCell ref="O319:Q319"/>
    <mergeCell ref="R319:T319"/>
    <mergeCell ref="U319:W319"/>
    <mergeCell ref="B320:C320"/>
    <mergeCell ref="D320:G320"/>
    <mergeCell ref="H320:K320"/>
    <mergeCell ref="L320:N320"/>
    <mergeCell ref="O320:Q320"/>
    <mergeCell ref="R320:T320"/>
    <mergeCell ref="U320:W320"/>
    <mergeCell ref="B321:C321"/>
    <mergeCell ref="D321:G321"/>
    <mergeCell ref="H321:K321"/>
    <mergeCell ref="L321:N321"/>
    <mergeCell ref="O321:Q321"/>
    <mergeCell ref="R321:T321"/>
    <mergeCell ref="U321:W321"/>
    <mergeCell ref="B316:C316"/>
    <mergeCell ref="D316:G316"/>
    <mergeCell ref="H316:K316"/>
    <mergeCell ref="L316:N316"/>
    <mergeCell ref="O316:Q316"/>
    <mergeCell ref="R316:T316"/>
    <mergeCell ref="U316:W316"/>
    <mergeCell ref="B317:C317"/>
    <mergeCell ref="D317:G317"/>
    <mergeCell ref="H317:K317"/>
    <mergeCell ref="L317:N317"/>
    <mergeCell ref="O317:Q317"/>
    <mergeCell ref="R317:T317"/>
    <mergeCell ref="U317:W317"/>
    <mergeCell ref="B318:C318"/>
    <mergeCell ref="D318:G318"/>
    <mergeCell ref="H318:K318"/>
    <mergeCell ref="L318:N318"/>
    <mergeCell ref="O318:Q318"/>
    <mergeCell ref="R318:T318"/>
    <mergeCell ref="U318:W318"/>
    <mergeCell ref="B313:C313"/>
    <mergeCell ref="D313:G313"/>
    <mergeCell ref="H313:K313"/>
    <mergeCell ref="L313:N313"/>
    <mergeCell ref="O313:Q313"/>
    <mergeCell ref="R313:T313"/>
    <mergeCell ref="U313:W313"/>
    <mergeCell ref="B314:C314"/>
    <mergeCell ref="D314:G314"/>
    <mergeCell ref="H314:K314"/>
    <mergeCell ref="L314:N314"/>
    <mergeCell ref="O314:Q314"/>
    <mergeCell ref="R314:T314"/>
    <mergeCell ref="U314:W314"/>
    <mergeCell ref="B315:C315"/>
    <mergeCell ref="D315:G315"/>
    <mergeCell ref="H315:K315"/>
    <mergeCell ref="L315:N315"/>
    <mergeCell ref="O315:Q315"/>
    <mergeCell ref="R315:T315"/>
    <mergeCell ref="U315:W315"/>
    <mergeCell ref="B310:C310"/>
    <mergeCell ref="D310:G310"/>
    <mergeCell ref="H310:K310"/>
    <mergeCell ref="L310:N310"/>
    <mergeCell ref="O310:Q310"/>
    <mergeCell ref="R310:T310"/>
    <mergeCell ref="U310:W310"/>
    <mergeCell ref="B311:C311"/>
    <mergeCell ref="D311:G311"/>
    <mergeCell ref="H311:K311"/>
    <mergeCell ref="L311:N311"/>
    <mergeCell ref="O311:Q311"/>
    <mergeCell ref="R311:T311"/>
    <mergeCell ref="U311:W311"/>
    <mergeCell ref="B312:C312"/>
    <mergeCell ref="D312:G312"/>
    <mergeCell ref="H312:K312"/>
    <mergeCell ref="L312:N312"/>
    <mergeCell ref="O312:Q312"/>
    <mergeCell ref="R312:T312"/>
    <mergeCell ref="U312:W312"/>
    <mergeCell ref="B307:C307"/>
    <mergeCell ref="D307:G307"/>
    <mergeCell ref="H307:K307"/>
    <mergeCell ref="L307:N307"/>
    <mergeCell ref="O307:Q307"/>
    <mergeCell ref="R307:T307"/>
    <mergeCell ref="U307:W307"/>
    <mergeCell ref="B308:C308"/>
    <mergeCell ref="D308:G308"/>
    <mergeCell ref="H308:K308"/>
    <mergeCell ref="L308:N308"/>
    <mergeCell ref="O308:Q308"/>
    <mergeCell ref="R308:T308"/>
    <mergeCell ref="U308:W308"/>
    <mergeCell ref="B309:C309"/>
    <mergeCell ref="D309:G309"/>
    <mergeCell ref="H309:K309"/>
    <mergeCell ref="L309:N309"/>
    <mergeCell ref="O309:Q309"/>
    <mergeCell ref="R309:T309"/>
    <mergeCell ref="U309:W309"/>
    <mergeCell ref="B304:C304"/>
    <mergeCell ref="D304:G304"/>
    <mergeCell ref="H304:K304"/>
    <mergeCell ref="L304:N304"/>
    <mergeCell ref="O304:Q304"/>
    <mergeCell ref="R304:T304"/>
    <mergeCell ref="U304:W304"/>
    <mergeCell ref="B305:C305"/>
    <mergeCell ref="D305:G305"/>
    <mergeCell ref="H305:K305"/>
    <mergeCell ref="L305:N305"/>
    <mergeCell ref="O305:Q305"/>
    <mergeCell ref="R305:T305"/>
    <mergeCell ref="U305:W305"/>
    <mergeCell ref="B306:C306"/>
    <mergeCell ref="D306:G306"/>
    <mergeCell ref="H306:K306"/>
    <mergeCell ref="L306:N306"/>
    <mergeCell ref="O306:Q306"/>
    <mergeCell ref="R306:T306"/>
    <mergeCell ref="U306:W306"/>
    <mergeCell ref="B301:C301"/>
    <mergeCell ref="D301:G301"/>
    <mergeCell ref="H301:K301"/>
    <mergeCell ref="L301:N301"/>
    <mergeCell ref="O301:Q301"/>
    <mergeCell ref="R301:T301"/>
    <mergeCell ref="U301:W301"/>
    <mergeCell ref="B302:C302"/>
    <mergeCell ref="D302:G302"/>
    <mergeCell ref="H302:K302"/>
    <mergeCell ref="L302:N302"/>
    <mergeCell ref="O302:Q302"/>
    <mergeCell ref="R302:T302"/>
    <mergeCell ref="U302:W302"/>
    <mergeCell ref="B303:C303"/>
    <mergeCell ref="D303:G303"/>
    <mergeCell ref="H303:K303"/>
    <mergeCell ref="L303:N303"/>
    <mergeCell ref="O303:Q303"/>
    <mergeCell ref="R303:T303"/>
    <mergeCell ref="U303:W303"/>
    <mergeCell ref="B298:C298"/>
    <mergeCell ref="D298:G298"/>
    <mergeCell ref="H298:K298"/>
    <mergeCell ref="L298:N298"/>
    <mergeCell ref="O298:Q298"/>
    <mergeCell ref="R298:T298"/>
    <mergeCell ref="U298:W298"/>
    <mergeCell ref="B299:C299"/>
    <mergeCell ref="D299:G299"/>
    <mergeCell ref="H299:K299"/>
    <mergeCell ref="L299:N299"/>
    <mergeCell ref="O299:Q299"/>
    <mergeCell ref="R299:T299"/>
    <mergeCell ref="U299:W299"/>
    <mergeCell ref="B300:C300"/>
    <mergeCell ref="D300:G300"/>
    <mergeCell ref="H300:K300"/>
    <mergeCell ref="L300:N300"/>
    <mergeCell ref="O300:Q300"/>
    <mergeCell ref="R300:T300"/>
    <mergeCell ref="U300:W300"/>
    <mergeCell ref="B295:C295"/>
    <mergeCell ref="D295:G295"/>
    <mergeCell ref="H295:K295"/>
    <mergeCell ref="L295:N295"/>
    <mergeCell ref="O295:Q295"/>
    <mergeCell ref="R295:T295"/>
    <mergeCell ref="U295:W295"/>
    <mergeCell ref="B296:C296"/>
    <mergeCell ref="D296:G296"/>
    <mergeCell ref="H296:K296"/>
    <mergeCell ref="L296:N296"/>
    <mergeCell ref="O296:Q296"/>
    <mergeCell ref="R296:T296"/>
    <mergeCell ref="U296:W296"/>
    <mergeCell ref="B297:C297"/>
    <mergeCell ref="D297:G297"/>
    <mergeCell ref="H297:K297"/>
    <mergeCell ref="L297:N297"/>
    <mergeCell ref="O297:Q297"/>
    <mergeCell ref="R297:T297"/>
    <mergeCell ref="U297:W297"/>
    <mergeCell ref="B292:C292"/>
    <mergeCell ref="D292:G292"/>
    <mergeCell ref="H292:K292"/>
    <mergeCell ref="L292:N292"/>
    <mergeCell ref="O292:Q292"/>
    <mergeCell ref="R292:T292"/>
    <mergeCell ref="U292:W292"/>
    <mergeCell ref="B293:C293"/>
    <mergeCell ref="D293:G293"/>
    <mergeCell ref="H293:K293"/>
    <mergeCell ref="L293:N293"/>
    <mergeCell ref="O293:Q293"/>
    <mergeCell ref="R293:T293"/>
    <mergeCell ref="U293:W293"/>
    <mergeCell ref="B294:C294"/>
    <mergeCell ref="D294:G294"/>
    <mergeCell ref="H294:K294"/>
    <mergeCell ref="L294:N294"/>
    <mergeCell ref="O294:Q294"/>
    <mergeCell ref="R294:T294"/>
    <mergeCell ref="U294:W294"/>
    <mergeCell ref="B289:C289"/>
    <mergeCell ref="D289:G289"/>
    <mergeCell ref="H289:K289"/>
    <mergeCell ref="L289:N289"/>
    <mergeCell ref="O289:Q289"/>
    <mergeCell ref="R289:T289"/>
    <mergeCell ref="U289:W289"/>
    <mergeCell ref="B290:C290"/>
    <mergeCell ref="D290:G290"/>
    <mergeCell ref="H290:K290"/>
    <mergeCell ref="L290:N290"/>
    <mergeCell ref="O290:Q290"/>
    <mergeCell ref="R290:T290"/>
    <mergeCell ref="U290:W290"/>
    <mergeCell ref="B291:C291"/>
    <mergeCell ref="D291:G291"/>
    <mergeCell ref="H291:K291"/>
    <mergeCell ref="L291:N291"/>
    <mergeCell ref="O291:Q291"/>
    <mergeCell ref="R291:T291"/>
    <mergeCell ref="U291:W291"/>
    <mergeCell ref="B286:C286"/>
    <mergeCell ref="D286:G286"/>
    <mergeCell ref="H286:K286"/>
    <mergeCell ref="L286:N286"/>
    <mergeCell ref="O286:Q286"/>
    <mergeCell ref="R286:T286"/>
    <mergeCell ref="U286:W286"/>
    <mergeCell ref="B287:C287"/>
    <mergeCell ref="D287:G287"/>
    <mergeCell ref="H287:K287"/>
    <mergeCell ref="L287:N287"/>
    <mergeCell ref="O287:Q287"/>
    <mergeCell ref="R287:T287"/>
    <mergeCell ref="U287:W287"/>
    <mergeCell ref="B288:C288"/>
    <mergeCell ref="D288:G288"/>
    <mergeCell ref="H288:K288"/>
    <mergeCell ref="L288:N288"/>
    <mergeCell ref="O288:Q288"/>
    <mergeCell ref="R288:T288"/>
    <mergeCell ref="U288:W288"/>
    <mergeCell ref="B283:C283"/>
    <mergeCell ref="D283:G283"/>
    <mergeCell ref="H283:K283"/>
    <mergeCell ref="L283:N283"/>
    <mergeCell ref="O283:Q283"/>
    <mergeCell ref="R283:T283"/>
    <mergeCell ref="U283:W283"/>
    <mergeCell ref="B284:C284"/>
    <mergeCell ref="D284:G284"/>
    <mergeCell ref="H284:K284"/>
    <mergeCell ref="L284:N284"/>
    <mergeCell ref="O284:Q284"/>
    <mergeCell ref="R284:T284"/>
    <mergeCell ref="U284:W284"/>
    <mergeCell ref="B285:C285"/>
    <mergeCell ref="D285:G285"/>
    <mergeCell ref="H285:K285"/>
    <mergeCell ref="L285:N285"/>
    <mergeCell ref="O285:Q285"/>
    <mergeCell ref="R285:T285"/>
    <mergeCell ref="U285:W285"/>
    <mergeCell ref="B280:C280"/>
    <mergeCell ref="D280:G280"/>
    <mergeCell ref="H280:K280"/>
    <mergeCell ref="L280:N280"/>
    <mergeCell ref="O280:Q280"/>
    <mergeCell ref="R280:T280"/>
    <mergeCell ref="U280:W280"/>
    <mergeCell ref="B281:C281"/>
    <mergeCell ref="D281:G281"/>
    <mergeCell ref="H281:K281"/>
    <mergeCell ref="L281:N281"/>
    <mergeCell ref="O281:Q281"/>
    <mergeCell ref="R281:T281"/>
    <mergeCell ref="U281:W281"/>
    <mergeCell ref="B282:C282"/>
    <mergeCell ref="D282:G282"/>
    <mergeCell ref="H282:K282"/>
    <mergeCell ref="L282:N282"/>
    <mergeCell ref="O282:Q282"/>
    <mergeCell ref="R282:T282"/>
    <mergeCell ref="U282:W282"/>
    <mergeCell ref="B277:C277"/>
    <mergeCell ref="D277:G277"/>
    <mergeCell ref="H277:K277"/>
    <mergeCell ref="L277:N277"/>
    <mergeCell ref="O277:Q277"/>
    <mergeCell ref="R277:T277"/>
    <mergeCell ref="U277:W277"/>
    <mergeCell ref="B278:C278"/>
    <mergeCell ref="D278:G278"/>
    <mergeCell ref="H278:K278"/>
    <mergeCell ref="L278:N278"/>
    <mergeCell ref="O278:Q278"/>
    <mergeCell ref="R278:T278"/>
    <mergeCell ref="U278:W278"/>
    <mergeCell ref="B279:C279"/>
    <mergeCell ref="D279:G279"/>
    <mergeCell ref="H279:K279"/>
    <mergeCell ref="L279:N279"/>
    <mergeCell ref="O279:Q279"/>
    <mergeCell ref="R279:T279"/>
    <mergeCell ref="U279:W279"/>
    <mergeCell ref="B274:C274"/>
    <mergeCell ref="D274:G274"/>
    <mergeCell ref="H274:K274"/>
    <mergeCell ref="L274:N274"/>
    <mergeCell ref="O274:Q274"/>
    <mergeCell ref="R274:T274"/>
    <mergeCell ref="U274:W274"/>
    <mergeCell ref="B275:C275"/>
    <mergeCell ref="D275:G275"/>
    <mergeCell ref="H275:K275"/>
    <mergeCell ref="L275:N275"/>
    <mergeCell ref="O275:Q275"/>
    <mergeCell ref="R275:T275"/>
    <mergeCell ref="U275:W275"/>
    <mergeCell ref="B276:C276"/>
    <mergeCell ref="D276:G276"/>
    <mergeCell ref="H276:K276"/>
    <mergeCell ref="L276:N276"/>
    <mergeCell ref="O276:Q276"/>
    <mergeCell ref="R276:T276"/>
    <mergeCell ref="U276:W276"/>
    <mergeCell ref="B271:C271"/>
    <mergeCell ref="D271:G271"/>
    <mergeCell ref="H271:K271"/>
    <mergeCell ref="L271:N271"/>
    <mergeCell ref="O271:Q271"/>
    <mergeCell ref="R271:T271"/>
    <mergeCell ref="U271:W271"/>
    <mergeCell ref="B272:C272"/>
    <mergeCell ref="D272:G272"/>
    <mergeCell ref="H272:K272"/>
    <mergeCell ref="L272:N272"/>
    <mergeCell ref="O272:Q272"/>
    <mergeCell ref="R272:T272"/>
    <mergeCell ref="U272:W272"/>
    <mergeCell ref="B273:C273"/>
    <mergeCell ref="D273:G273"/>
    <mergeCell ref="H273:K273"/>
    <mergeCell ref="L273:N273"/>
    <mergeCell ref="O273:Q273"/>
    <mergeCell ref="R273:T273"/>
    <mergeCell ref="U273:W273"/>
    <mergeCell ref="B268:C268"/>
    <mergeCell ref="D268:G268"/>
    <mergeCell ref="H268:K268"/>
    <mergeCell ref="L268:N268"/>
    <mergeCell ref="O268:Q268"/>
    <mergeCell ref="R268:T268"/>
    <mergeCell ref="U268:W268"/>
    <mergeCell ref="B269:C269"/>
    <mergeCell ref="D269:G269"/>
    <mergeCell ref="H269:K269"/>
    <mergeCell ref="L269:N269"/>
    <mergeCell ref="O269:Q269"/>
    <mergeCell ref="R269:T269"/>
    <mergeCell ref="U269:W269"/>
    <mergeCell ref="B270:C270"/>
    <mergeCell ref="D270:G270"/>
    <mergeCell ref="H270:K270"/>
    <mergeCell ref="L270:N270"/>
    <mergeCell ref="O270:Q270"/>
    <mergeCell ref="R270:T270"/>
    <mergeCell ref="U270:W270"/>
    <mergeCell ref="B265:C265"/>
    <mergeCell ref="D265:G265"/>
    <mergeCell ref="H265:K265"/>
    <mergeCell ref="L265:N265"/>
    <mergeCell ref="O265:Q265"/>
    <mergeCell ref="R265:T265"/>
    <mergeCell ref="U265:W265"/>
    <mergeCell ref="B266:C266"/>
    <mergeCell ref="D266:G266"/>
    <mergeCell ref="H266:K266"/>
    <mergeCell ref="L266:N266"/>
    <mergeCell ref="O266:Q266"/>
    <mergeCell ref="R266:T266"/>
    <mergeCell ref="U266:W266"/>
    <mergeCell ref="B267:C267"/>
    <mergeCell ref="D267:G267"/>
    <mergeCell ref="H267:K267"/>
    <mergeCell ref="L267:N267"/>
    <mergeCell ref="O267:Q267"/>
    <mergeCell ref="R267:T267"/>
    <mergeCell ref="U267:W267"/>
    <mergeCell ref="B262:C262"/>
    <mergeCell ref="D262:G262"/>
    <mergeCell ref="H262:K262"/>
    <mergeCell ref="L262:N262"/>
    <mergeCell ref="O262:Q262"/>
    <mergeCell ref="R262:T262"/>
    <mergeCell ref="U262:W262"/>
    <mergeCell ref="B263:C263"/>
    <mergeCell ref="D263:G263"/>
    <mergeCell ref="H263:K263"/>
    <mergeCell ref="L263:N263"/>
    <mergeCell ref="O263:Q263"/>
    <mergeCell ref="R263:T263"/>
    <mergeCell ref="U263:W263"/>
    <mergeCell ref="B264:C264"/>
    <mergeCell ref="D264:G264"/>
    <mergeCell ref="H264:K264"/>
    <mergeCell ref="L264:N264"/>
    <mergeCell ref="O264:Q264"/>
    <mergeCell ref="R264:T264"/>
    <mergeCell ref="U264:W264"/>
    <mergeCell ref="B259:C259"/>
    <mergeCell ref="D259:G259"/>
    <mergeCell ref="H259:K259"/>
    <mergeCell ref="L259:N259"/>
    <mergeCell ref="O259:Q259"/>
    <mergeCell ref="R259:T259"/>
    <mergeCell ref="U259:W259"/>
    <mergeCell ref="B260:C260"/>
    <mergeCell ref="D260:G260"/>
    <mergeCell ref="H260:K260"/>
    <mergeCell ref="L260:N260"/>
    <mergeCell ref="O260:Q260"/>
    <mergeCell ref="R260:T260"/>
    <mergeCell ref="U260:W260"/>
    <mergeCell ref="B261:C261"/>
    <mergeCell ref="D261:G261"/>
    <mergeCell ref="H261:K261"/>
    <mergeCell ref="L261:N261"/>
    <mergeCell ref="O261:Q261"/>
    <mergeCell ref="R261:T261"/>
    <mergeCell ref="U261:W261"/>
    <mergeCell ref="B256:C256"/>
    <mergeCell ref="D256:G256"/>
    <mergeCell ref="H256:K256"/>
    <mergeCell ref="L256:N256"/>
    <mergeCell ref="O256:Q256"/>
    <mergeCell ref="R256:T256"/>
    <mergeCell ref="U256:W256"/>
    <mergeCell ref="B257:C257"/>
    <mergeCell ref="D257:G257"/>
    <mergeCell ref="H257:K257"/>
    <mergeCell ref="L257:N257"/>
    <mergeCell ref="O257:Q257"/>
    <mergeCell ref="R257:T257"/>
    <mergeCell ref="U257:W257"/>
    <mergeCell ref="B258:C258"/>
    <mergeCell ref="D258:G258"/>
    <mergeCell ref="H258:K258"/>
    <mergeCell ref="L258:N258"/>
    <mergeCell ref="O258:Q258"/>
    <mergeCell ref="R258:T258"/>
    <mergeCell ref="U258:W258"/>
    <mergeCell ref="B253:C253"/>
    <mergeCell ref="D253:G253"/>
    <mergeCell ref="H253:K253"/>
    <mergeCell ref="L253:N253"/>
    <mergeCell ref="O253:Q253"/>
    <mergeCell ref="R253:T253"/>
    <mergeCell ref="U253:W253"/>
    <mergeCell ref="B254:C254"/>
    <mergeCell ref="D254:G254"/>
    <mergeCell ref="H254:K254"/>
    <mergeCell ref="L254:N254"/>
    <mergeCell ref="O254:Q254"/>
    <mergeCell ref="R254:T254"/>
    <mergeCell ref="U254:W254"/>
    <mergeCell ref="B255:C255"/>
    <mergeCell ref="D255:G255"/>
    <mergeCell ref="H255:K255"/>
    <mergeCell ref="L255:N255"/>
    <mergeCell ref="O255:Q255"/>
    <mergeCell ref="R255:T255"/>
    <mergeCell ref="U255:W255"/>
    <mergeCell ref="B250:C250"/>
    <mergeCell ref="D250:G250"/>
    <mergeCell ref="H250:K250"/>
    <mergeCell ref="L250:N250"/>
    <mergeCell ref="O250:Q250"/>
    <mergeCell ref="R250:T250"/>
    <mergeCell ref="U250:W250"/>
    <mergeCell ref="B251:C251"/>
    <mergeCell ref="D251:G251"/>
    <mergeCell ref="H251:K251"/>
    <mergeCell ref="L251:N251"/>
    <mergeCell ref="O251:Q251"/>
    <mergeCell ref="R251:T251"/>
    <mergeCell ref="U251:W251"/>
    <mergeCell ref="B252:C252"/>
    <mergeCell ref="D252:G252"/>
    <mergeCell ref="H252:K252"/>
    <mergeCell ref="L252:N252"/>
    <mergeCell ref="O252:Q252"/>
    <mergeCell ref="R252:T252"/>
    <mergeCell ref="U252:W252"/>
    <mergeCell ref="B247:C247"/>
    <mergeCell ref="D247:G247"/>
    <mergeCell ref="H247:K247"/>
    <mergeCell ref="L247:N247"/>
    <mergeCell ref="O247:Q247"/>
    <mergeCell ref="R247:T247"/>
    <mergeCell ref="U247:W247"/>
    <mergeCell ref="B248:C248"/>
    <mergeCell ref="D248:G248"/>
    <mergeCell ref="H248:K248"/>
    <mergeCell ref="L248:N248"/>
    <mergeCell ref="O248:Q248"/>
    <mergeCell ref="R248:T248"/>
    <mergeCell ref="U248:W248"/>
    <mergeCell ref="B249:C249"/>
    <mergeCell ref="D249:G249"/>
    <mergeCell ref="H249:K249"/>
    <mergeCell ref="L249:N249"/>
    <mergeCell ref="O249:Q249"/>
    <mergeCell ref="R249:T249"/>
    <mergeCell ref="U249:W249"/>
    <mergeCell ref="B244:C244"/>
    <mergeCell ref="D244:G244"/>
    <mergeCell ref="H244:K244"/>
    <mergeCell ref="L244:N244"/>
    <mergeCell ref="O244:Q244"/>
    <mergeCell ref="R244:T244"/>
    <mergeCell ref="U244:W244"/>
    <mergeCell ref="B245:C245"/>
    <mergeCell ref="D245:G245"/>
    <mergeCell ref="H245:K245"/>
    <mergeCell ref="L245:N245"/>
    <mergeCell ref="O245:Q245"/>
    <mergeCell ref="R245:T245"/>
    <mergeCell ref="U245:W245"/>
    <mergeCell ref="B246:C246"/>
    <mergeCell ref="D246:G246"/>
    <mergeCell ref="H246:K246"/>
    <mergeCell ref="L246:N246"/>
    <mergeCell ref="O246:Q246"/>
    <mergeCell ref="R246:T246"/>
    <mergeCell ref="U246:W246"/>
    <mergeCell ref="B241:C241"/>
    <mergeCell ref="D241:G241"/>
    <mergeCell ref="H241:K241"/>
    <mergeCell ref="L241:N241"/>
    <mergeCell ref="O241:Q241"/>
    <mergeCell ref="R241:T241"/>
    <mergeCell ref="U241:W241"/>
    <mergeCell ref="B242:C242"/>
    <mergeCell ref="D242:G242"/>
    <mergeCell ref="H242:K242"/>
    <mergeCell ref="L242:N242"/>
    <mergeCell ref="O242:Q242"/>
    <mergeCell ref="R242:T242"/>
    <mergeCell ref="U242:W242"/>
    <mergeCell ref="B243:C243"/>
    <mergeCell ref="D243:G243"/>
    <mergeCell ref="H243:K243"/>
    <mergeCell ref="L243:N243"/>
    <mergeCell ref="O243:Q243"/>
    <mergeCell ref="R243:T243"/>
    <mergeCell ref="U243:W243"/>
    <mergeCell ref="B238:C238"/>
    <mergeCell ref="D238:G238"/>
    <mergeCell ref="H238:K238"/>
    <mergeCell ref="L238:N238"/>
    <mergeCell ref="O238:Q238"/>
    <mergeCell ref="R238:T238"/>
    <mergeCell ref="U238:W238"/>
    <mergeCell ref="B239:C239"/>
    <mergeCell ref="D239:G239"/>
    <mergeCell ref="H239:K239"/>
    <mergeCell ref="L239:N239"/>
    <mergeCell ref="O239:Q239"/>
    <mergeCell ref="R239:T239"/>
    <mergeCell ref="U239:W239"/>
    <mergeCell ref="B240:C240"/>
    <mergeCell ref="D240:G240"/>
    <mergeCell ref="H240:K240"/>
    <mergeCell ref="L240:N240"/>
    <mergeCell ref="O240:Q240"/>
    <mergeCell ref="R240:T240"/>
    <mergeCell ref="U240:W240"/>
    <mergeCell ref="B235:C235"/>
    <mergeCell ref="D235:G235"/>
    <mergeCell ref="H235:K235"/>
    <mergeCell ref="L235:N235"/>
    <mergeCell ref="O235:Q235"/>
    <mergeCell ref="R235:T235"/>
    <mergeCell ref="U235:W235"/>
    <mergeCell ref="B236:C236"/>
    <mergeCell ref="D236:G236"/>
    <mergeCell ref="H236:K236"/>
    <mergeCell ref="L236:N236"/>
    <mergeCell ref="O236:Q236"/>
    <mergeCell ref="R236:T236"/>
    <mergeCell ref="U236:W236"/>
    <mergeCell ref="B237:C237"/>
    <mergeCell ref="D237:G237"/>
    <mergeCell ref="H237:K237"/>
    <mergeCell ref="L237:N237"/>
    <mergeCell ref="O237:Q237"/>
    <mergeCell ref="R237:T237"/>
    <mergeCell ref="U237:W237"/>
    <mergeCell ref="B232:C232"/>
    <mergeCell ref="D232:G232"/>
    <mergeCell ref="H232:K232"/>
    <mergeCell ref="L232:N232"/>
    <mergeCell ref="O232:Q232"/>
    <mergeCell ref="R232:T232"/>
    <mergeCell ref="U232:W232"/>
    <mergeCell ref="B233:C233"/>
    <mergeCell ref="D233:G233"/>
    <mergeCell ref="H233:K233"/>
    <mergeCell ref="L233:N233"/>
    <mergeCell ref="O233:Q233"/>
    <mergeCell ref="R233:T233"/>
    <mergeCell ref="U233:W233"/>
    <mergeCell ref="B234:C234"/>
    <mergeCell ref="D234:G234"/>
    <mergeCell ref="H234:K234"/>
    <mergeCell ref="L234:N234"/>
    <mergeCell ref="O234:Q234"/>
    <mergeCell ref="R234:T234"/>
    <mergeCell ref="U234:W234"/>
    <mergeCell ref="B229:C229"/>
    <mergeCell ref="D229:G229"/>
    <mergeCell ref="H229:K229"/>
    <mergeCell ref="L229:N229"/>
    <mergeCell ref="O229:Q229"/>
    <mergeCell ref="R229:T229"/>
    <mergeCell ref="U229:W229"/>
    <mergeCell ref="B230:C230"/>
    <mergeCell ref="D230:G230"/>
    <mergeCell ref="H230:K230"/>
    <mergeCell ref="L230:N230"/>
    <mergeCell ref="O230:Q230"/>
    <mergeCell ref="R230:T230"/>
    <mergeCell ref="U230:W230"/>
    <mergeCell ref="B231:C231"/>
    <mergeCell ref="D231:G231"/>
    <mergeCell ref="H231:K231"/>
    <mergeCell ref="L231:N231"/>
    <mergeCell ref="O231:Q231"/>
    <mergeCell ref="R231:T231"/>
    <mergeCell ref="U231:W231"/>
    <mergeCell ref="B226:C226"/>
    <mergeCell ref="D226:G226"/>
    <mergeCell ref="H226:K226"/>
    <mergeCell ref="L226:N226"/>
    <mergeCell ref="O226:Q226"/>
    <mergeCell ref="R226:T226"/>
    <mergeCell ref="U226:W226"/>
    <mergeCell ref="B227:C227"/>
    <mergeCell ref="D227:G227"/>
    <mergeCell ref="H227:K227"/>
    <mergeCell ref="L227:N227"/>
    <mergeCell ref="O227:Q227"/>
    <mergeCell ref="R227:T227"/>
    <mergeCell ref="U227:W227"/>
    <mergeCell ref="B228:C228"/>
    <mergeCell ref="D228:G228"/>
    <mergeCell ref="H228:K228"/>
    <mergeCell ref="L228:N228"/>
    <mergeCell ref="O228:Q228"/>
    <mergeCell ref="R228:T228"/>
    <mergeCell ref="U228:W228"/>
    <mergeCell ref="B223:C223"/>
    <mergeCell ref="D223:G223"/>
    <mergeCell ref="H223:K223"/>
    <mergeCell ref="L223:N223"/>
    <mergeCell ref="O223:Q223"/>
    <mergeCell ref="R223:T223"/>
    <mergeCell ref="U223:W223"/>
    <mergeCell ref="B224:C224"/>
    <mergeCell ref="D224:G224"/>
    <mergeCell ref="H224:K224"/>
    <mergeCell ref="L224:N224"/>
    <mergeCell ref="O224:Q224"/>
    <mergeCell ref="R224:T224"/>
    <mergeCell ref="U224:W224"/>
    <mergeCell ref="B225:C225"/>
    <mergeCell ref="D225:G225"/>
    <mergeCell ref="H225:K225"/>
    <mergeCell ref="L225:N225"/>
    <mergeCell ref="O225:Q225"/>
    <mergeCell ref="R225:T225"/>
    <mergeCell ref="U225:W225"/>
    <mergeCell ref="B220:C220"/>
    <mergeCell ref="D220:G220"/>
    <mergeCell ref="H220:K220"/>
    <mergeCell ref="L220:N220"/>
    <mergeCell ref="O220:Q220"/>
    <mergeCell ref="R220:T220"/>
    <mergeCell ref="U220:W220"/>
    <mergeCell ref="B221:C221"/>
    <mergeCell ref="D221:G221"/>
    <mergeCell ref="H221:K221"/>
    <mergeCell ref="L221:N221"/>
    <mergeCell ref="O221:Q221"/>
    <mergeCell ref="R221:T221"/>
    <mergeCell ref="U221:W221"/>
    <mergeCell ref="B222:C222"/>
    <mergeCell ref="D222:G222"/>
    <mergeCell ref="H222:K222"/>
    <mergeCell ref="L222:N222"/>
    <mergeCell ref="O222:Q222"/>
    <mergeCell ref="R222:T222"/>
    <mergeCell ref="U222:W222"/>
    <mergeCell ref="B217:C217"/>
    <mergeCell ref="D217:G217"/>
    <mergeCell ref="H217:K217"/>
    <mergeCell ref="L217:N217"/>
    <mergeCell ref="O217:Q217"/>
    <mergeCell ref="R217:T217"/>
    <mergeCell ref="U217:W217"/>
    <mergeCell ref="B218:C218"/>
    <mergeCell ref="D218:G218"/>
    <mergeCell ref="H218:K218"/>
    <mergeCell ref="L218:N218"/>
    <mergeCell ref="O218:Q218"/>
    <mergeCell ref="R218:T218"/>
    <mergeCell ref="U218:W218"/>
    <mergeCell ref="B219:C219"/>
    <mergeCell ref="D219:G219"/>
    <mergeCell ref="H219:K219"/>
    <mergeCell ref="L219:N219"/>
    <mergeCell ref="O219:Q219"/>
    <mergeCell ref="R219:T219"/>
    <mergeCell ref="U219:W219"/>
    <mergeCell ref="B214:C214"/>
    <mergeCell ref="D214:G214"/>
    <mergeCell ref="H214:K214"/>
    <mergeCell ref="L214:N214"/>
    <mergeCell ref="O214:Q214"/>
    <mergeCell ref="R214:T214"/>
    <mergeCell ref="U214:W214"/>
    <mergeCell ref="B215:C215"/>
    <mergeCell ref="D215:G215"/>
    <mergeCell ref="H215:K215"/>
    <mergeCell ref="L215:N215"/>
    <mergeCell ref="O215:Q215"/>
    <mergeCell ref="R215:T215"/>
    <mergeCell ref="U215:W215"/>
    <mergeCell ref="B216:C216"/>
    <mergeCell ref="D216:G216"/>
    <mergeCell ref="H216:K216"/>
    <mergeCell ref="L216:N216"/>
    <mergeCell ref="O216:Q216"/>
    <mergeCell ref="R216:T216"/>
    <mergeCell ref="U216:W216"/>
    <mergeCell ref="B211:C211"/>
    <mergeCell ref="D211:G211"/>
    <mergeCell ref="H211:K211"/>
    <mergeCell ref="L211:N211"/>
    <mergeCell ref="O211:Q211"/>
    <mergeCell ref="R211:T211"/>
    <mergeCell ref="U211:W211"/>
    <mergeCell ref="B212:C212"/>
    <mergeCell ref="D212:G212"/>
    <mergeCell ref="H212:K212"/>
    <mergeCell ref="L212:N212"/>
    <mergeCell ref="O212:Q212"/>
    <mergeCell ref="R212:T212"/>
    <mergeCell ref="U212:W212"/>
    <mergeCell ref="B213:C213"/>
    <mergeCell ref="D213:G213"/>
    <mergeCell ref="H213:K213"/>
    <mergeCell ref="L213:N213"/>
    <mergeCell ref="O213:Q213"/>
    <mergeCell ref="R213:T213"/>
    <mergeCell ref="U213:W213"/>
    <mergeCell ref="O208:Q208"/>
    <mergeCell ref="R208:T208"/>
    <mergeCell ref="U208:W208"/>
    <mergeCell ref="B209:C209"/>
    <mergeCell ref="D209:G209"/>
    <mergeCell ref="H209:K209"/>
    <mergeCell ref="L209:N209"/>
    <mergeCell ref="O209:Q209"/>
    <mergeCell ref="R209:T209"/>
    <mergeCell ref="U209:W209"/>
    <mergeCell ref="B210:C210"/>
    <mergeCell ref="D210:G210"/>
    <mergeCell ref="H210:K210"/>
    <mergeCell ref="L210:N210"/>
    <mergeCell ref="O210:Q210"/>
    <mergeCell ref="R210:T210"/>
    <mergeCell ref="U210:W210"/>
    <mergeCell ref="B205:C205"/>
    <mergeCell ref="D205:G205"/>
    <mergeCell ref="H205:K205"/>
    <mergeCell ref="L205:N205"/>
    <mergeCell ref="O205:Q205"/>
    <mergeCell ref="R205:T205"/>
    <mergeCell ref="U205:W205"/>
    <mergeCell ref="B206:C206"/>
    <mergeCell ref="D206:G206"/>
    <mergeCell ref="H206:K206"/>
    <mergeCell ref="L206:N206"/>
    <mergeCell ref="O206:Q206"/>
    <mergeCell ref="R206:T206"/>
    <mergeCell ref="U206:W206"/>
    <mergeCell ref="B207:C207"/>
    <mergeCell ref="D207:G207"/>
    <mergeCell ref="H207:K207"/>
    <mergeCell ref="L207:N207"/>
    <mergeCell ref="O207:Q207"/>
    <mergeCell ref="R207:T207"/>
    <mergeCell ref="U207:W207"/>
    <mergeCell ref="B202:C202"/>
    <mergeCell ref="D202:G202"/>
    <mergeCell ref="H202:K202"/>
    <mergeCell ref="L202:N202"/>
    <mergeCell ref="O202:Q202"/>
    <mergeCell ref="R202:T202"/>
    <mergeCell ref="U202:W202"/>
    <mergeCell ref="B203:C203"/>
    <mergeCell ref="D203:G203"/>
    <mergeCell ref="H203:K203"/>
    <mergeCell ref="L203:N203"/>
    <mergeCell ref="O203:Q203"/>
    <mergeCell ref="R203:T203"/>
    <mergeCell ref="U203:W203"/>
    <mergeCell ref="B204:C204"/>
    <mergeCell ref="D204:G204"/>
    <mergeCell ref="H204:K204"/>
    <mergeCell ref="L204:N204"/>
    <mergeCell ref="O204:Q204"/>
    <mergeCell ref="R204:T204"/>
    <mergeCell ref="U204:W204"/>
    <mergeCell ref="B199:C199"/>
    <mergeCell ref="D199:G199"/>
    <mergeCell ref="H199:K199"/>
    <mergeCell ref="L199:N199"/>
    <mergeCell ref="O199:Q199"/>
    <mergeCell ref="R199:T199"/>
    <mergeCell ref="U199:W199"/>
    <mergeCell ref="B200:C200"/>
    <mergeCell ref="D200:G200"/>
    <mergeCell ref="H200:K200"/>
    <mergeCell ref="L200:N200"/>
    <mergeCell ref="O200:Q200"/>
    <mergeCell ref="R200:T200"/>
    <mergeCell ref="U200:W200"/>
    <mergeCell ref="B201:C201"/>
    <mergeCell ref="D201:G201"/>
    <mergeCell ref="H201:K201"/>
    <mergeCell ref="L201:N201"/>
    <mergeCell ref="O201:Q201"/>
    <mergeCell ref="R201:T201"/>
    <mergeCell ref="U201:W201"/>
    <mergeCell ref="B196:C196"/>
    <mergeCell ref="D196:G196"/>
    <mergeCell ref="H196:K196"/>
    <mergeCell ref="L196:N196"/>
    <mergeCell ref="O196:Q196"/>
    <mergeCell ref="R196:T196"/>
    <mergeCell ref="U196:W196"/>
    <mergeCell ref="B197:C197"/>
    <mergeCell ref="D197:G197"/>
    <mergeCell ref="H197:K197"/>
    <mergeCell ref="L197:N197"/>
    <mergeCell ref="O197:Q197"/>
    <mergeCell ref="R197:T197"/>
    <mergeCell ref="U197:W197"/>
    <mergeCell ref="B198:C198"/>
    <mergeCell ref="D198:G198"/>
    <mergeCell ref="H198:K198"/>
    <mergeCell ref="L198:N198"/>
    <mergeCell ref="O198:Q198"/>
    <mergeCell ref="R198:T198"/>
    <mergeCell ref="U198:W198"/>
    <mergeCell ref="B193:C193"/>
    <mergeCell ref="D193:G193"/>
    <mergeCell ref="H193:K193"/>
    <mergeCell ref="L193:N193"/>
    <mergeCell ref="O193:Q193"/>
    <mergeCell ref="R193:T193"/>
    <mergeCell ref="U193:W193"/>
    <mergeCell ref="B194:C194"/>
    <mergeCell ref="D194:G194"/>
    <mergeCell ref="H194:K194"/>
    <mergeCell ref="L194:N194"/>
    <mergeCell ref="O194:Q194"/>
    <mergeCell ref="R194:T194"/>
    <mergeCell ref="U194:W194"/>
    <mergeCell ref="B195:C195"/>
    <mergeCell ref="D195:G195"/>
    <mergeCell ref="H195:K195"/>
    <mergeCell ref="L195:N195"/>
    <mergeCell ref="O195:Q195"/>
    <mergeCell ref="R195:T195"/>
    <mergeCell ref="U195:W195"/>
    <mergeCell ref="B190:C190"/>
    <mergeCell ref="D190:G190"/>
    <mergeCell ref="H190:K190"/>
    <mergeCell ref="L190:N190"/>
    <mergeCell ref="O190:Q190"/>
    <mergeCell ref="R190:T190"/>
    <mergeCell ref="U190:W190"/>
    <mergeCell ref="B191:C191"/>
    <mergeCell ref="D191:G191"/>
    <mergeCell ref="H191:K191"/>
    <mergeCell ref="L191:N191"/>
    <mergeCell ref="O191:Q191"/>
    <mergeCell ref="R191:T191"/>
    <mergeCell ref="U191:W191"/>
    <mergeCell ref="B192:C192"/>
    <mergeCell ref="D192:G192"/>
    <mergeCell ref="H192:K192"/>
    <mergeCell ref="L192:N192"/>
    <mergeCell ref="O192:Q192"/>
    <mergeCell ref="R192:T192"/>
    <mergeCell ref="U192:W192"/>
    <mergeCell ref="B187:C187"/>
    <mergeCell ref="D187:G187"/>
    <mergeCell ref="H187:K187"/>
    <mergeCell ref="L187:N187"/>
    <mergeCell ref="O187:Q187"/>
    <mergeCell ref="R187:T187"/>
    <mergeCell ref="U187:W187"/>
    <mergeCell ref="B188:C188"/>
    <mergeCell ref="D188:G188"/>
    <mergeCell ref="H188:K188"/>
    <mergeCell ref="L188:N188"/>
    <mergeCell ref="O188:Q188"/>
    <mergeCell ref="R188:T188"/>
    <mergeCell ref="U188:W188"/>
    <mergeCell ref="B189:C189"/>
    <mergeCell ref="D189:G189"/>
    <mergeCell ref="H189:K189"/>
    <mergeCell ref="L189:N189"/>
    <mergeCell ref="O189:Q189"/>
    <mergeCell ref="R189:T189"/>
    <mergeCell ref="U189:W189"/>
    <mergeCell ref="B184:C184"/>
    <mergeCell ref="D184:G184"/>
    <mergeCell ref="H184:K184"/>
    <mergeCell ref="L184:N184"/>
    <mergeCell ref="O184:Q184"/>
    <mergeCell ref="R184:T184"/>
    <mergeCell ref="U184:W184"/>
    <mergeCell ref="B185:C185"/>
    <mergeCell ref="D185:G185"/>
    <mergeCell ref="H185:K185"/>
    <mergeCell ref="L185:N185"/>
    <mergeCell ref="O185:Q185"/>
    <mergeCell ref="R185:T185"/>
    <mergeCell ref="U185:W185"/>
    <mergeCell ref="B186:C186"/>
    <mergeCell ref="D186:G186"/>
    <mergeCell ref="H186:K186"/>
    <mergeCell ref="L186:N186"/>
    <mergeCell ref="O186:Q186"/>
    <mergeCell ref="R186:T186"/>
    <mergeCell ref="U186:W186"/>
    <mergeCell ref="B181:C181"/>
    <mergeCell ref="D181:G181"/>
    <mergeCell ref="H181:K181"/>
    <mergeCell ref="L181:N181"/>
    <mergeCell ref="O181:Q181"/>
    <mergeCell ref="R181:T181"/>
    <mergeCell ref="U181:W181"/>
    <mergeCell ref="B182:C182"/>
    <mergeCell ref="D182:G182"/>
    <mergeCell ref="H182:K182"/>
    <mergeCell ref="L182:N182"/>
    <mergeCell ref="O182:Q182"/>
    <mergeCell ref="R182:T182"/>
    <mergeCell ref="U182:W182"/>
    <mergeCell ref="B183:C183"/>
    <mergeCell ref="D183:G183"/>
    <mergeCell ref="H183:K183"/>
    <mergeCell ref="L183:N183"/>
    <mergeCell ref="O183:Q183"/>
    <mergeCell ref="R183:T183"/>
    <mergeCell ref="U183:W183"/>
    <mergeCell ref="B178:C178"/>
    <mergeCell ref="D178:G178"/>
    <mergeCell ref="H178:K178"/>
    <mergeCell ref="L178:N178"/>
    <mergeCell ref="O178:Q178"/>
    <mergeCell ref="R178:T178"/>
    <mergeCell ref="U178:W178"/>
    <mergeCell ref="B179:C179"/>
    <mergeCell ref="D179:G179"/>
    <mergeCell ref="H179:K179"/>
    <mergeCell ref="L179:N179"/>
    <mergeCell ref="O179:Q179"/>
    <mergeCell ref="R179:T179"/>
    <mergeCell ref="U179:W179"/>
    <mergeCell ref="B180:C180"/>
    <mergeCell ref="D180:G180"/>
    <mergeCell ref="H180:K180"/>
    <mergeCell ref="L180:N180"/>
    <mergeCell ref="O180:Q180"/>
    <mergeCell ref="R180:T180"/>
    <mergeCell ref="U180:W180"/>
  </mergeCells>
  <pageMargins left="0.25" right="0.25" top="0.75" bottom="0.75" header="0" footer="0"/>
  <pageSetup paperSize="5" orientation="landscape"/>
  <extLst>
    <ext xmlns:x14="http://schemas.microsoft.com/office/spreadsheetml/2009/9/main" uri="{CCE6A557-97BC-4b89-ADB6-D9C93CAAB3DF}">
      <x14:dataValidations xmlns:xm="http://schemas.microsoft.com/office/excel/2006/main" count="4">
        <x14:dataValidation type="list" allowBlank="1" showErrorMessage="1" xr:uid="{00000000-0002-0000-0600-000000000000}">
          <x14:formula1>
            <xm:f>'Drop-Down Boxes '!$H$3:$H$11</xm:f>
          </x14:formula1>
          <xm:sqref>P9</xm:sqref>
        </x14:dataValidation>
        <x14:dataValidation type="list" allowBlank="1" showErrorMessage="1" xr:uid="{00000000-0002-0000-0600-000001000000}">
          <x14:formula1>
            <xm:f>'Drop-Down Boxes '!$A$79:$A$80</xm:f>
          </x14:formula1>
          <xm:sqref>R15:R514 U15:U514 BK15:BK514 BN15:BO514 BK515:BO522</xm:sqref>
        </x14:dataValidation>
        <x14:dataValidation type="list" allowBlank="1" showErrorMessage="1" xr:uid="{00000000-0002-0000-0600-000002000000}">
          <x14:formula1>
            <xm:f>'Drop-Down Boxes '!$D$3:$D$14</xm:f>
          </x14:formula1>
          <xm:sqref>H9</xm:sqref>
        </x14:dataValidation>
        <x14:dataValidation type="list" allowBlank="1" showErrorMessage="1" xr:uid="{00000000-0002-0000-0600-000003000000}">
          <x14:formula1>
            <xm:f>'Drop-Down Boxes '!$H$89:$H$90</xm:f>
          </x14:formula1>
          <xm:sqref>X15:AI514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66092"/>
  </sheetPr>
  <dimension ref="A1:BO512"/>
  <sheetViews>
    <sheetView workbookViewId="0">
      <pane ySplit="1" topLeftCell="A2" activePane="bottomLeft" state="frozen"/>
      <selection pane="bottomLeft" activeCell="A3" sqref="A3:BB3"/>
    </sheetView>
  </sheetViews>
  <sheetFormatPr defaultColWidth="14.42578125" defaultRowHeight="15" customHeight="1" x14ac:dyDescent="0.25"/>
  <cols>
    <col min="1" max="3" width="4.7109375" customWidth="1"/>
    <col min="4" max="4" width="5.42578125" customWidth="1"/>
    <col min="5" max="5" width="5" customWidth="1"/>
    <col min="6" max="6" width="5.5703125" customWidth="1"/>
    <col min="7" max="7" width="6" customWidth="1"/>
    <col min="8" max="8" width="7.28515625" customWidth="1"/>
    <col min="9" max="66" width="4.7109375" customWidth="1"/>
    <col min="67" max="67" width="8.85546875" customWidth="1"/>
  </cols>
  <sheetData>
    <row r="1" spans="1:67" ht="49.5" customHeight="1" x14ac:dyDescent="0.25">
      <c r="A1" s="10" t="s">
        <v>294</v>
      </c>
      <c r="B1" s="451" t="s">
        <v>506</v>
      </c>
      <c r="C1" s="327"/>
      <c r="D1" s="691" t="s">
        <v>507</v>
      </c>
      <c r="E1" s="326"/>
      <c r="F1" s="326"/>
      <c r="G1" s="326"/>
      <c r="H1" s="327"/>
      <c r="I1" s="451" t="s">
        <v>508</v>
      </c>
      <c r="J1" s="326"/>
      <c r="K1" s="326"/>
      <c r="L1" s="326"/>
      <c r="M1" s="326"/>
      <c r="N1" s="326"/>
      <c r="O1" s="326"/>
      <c r="P1" s="327"/>
      <c r="Q1" s="526" t="s">
        <v>509</v>
      </c>
      <c r="R1" s="326"/>
      <c r="S1" s="326"/>
      <c r="T1" s="326"/>
      <c r="U1" s="326"/>
      <c r="V1" s="326"/>
      <c r="W1" s="326"/>
      <c r="X1" s="327"/>
      <c r="Y1" s="451" t="s">
        <v>510</v>
      </c>
      <c r="Z1" s="327"/>
      <c r="AA1" s="526" t="s">
        <v>511</v>
      </c>
      <c r="AB1" s="326"/>
      <c r="AC1" s="326"/>
      <c r="AD1" s="327"/>
      <c r="AE1" s="451" t="s">
        <v>512</v>
      </c>
      <c r="AF1" s="326"/>
      <c r="AG1" s="327"/>
      <c r="AH1" s="526" t="s">
        <v>513</v>
      </c>
      <c r="AI1" s="326"/>
      <c r="AJ1" s="327"/>
      <c r="AK1" s="451" t="s">
        <v>514</v>
      </c>
      <c r="AL1" s="326"/>
      <c r="AM1" s="326"/>
      <c r="AN1" s="327"/>
      <c r="AO1" s="526" t="s">
        <v>515</v>
      </c>
      <c r="AP1" s="326"/>
      <c r="AQ1" s="326"/>
      <c r="AR1" s="326"/>
      <c r="AS1" s="326"/>
      <c r="AT1" s="326"/>
      <c r="AU1" s="326"/>
      <c r="AV1" s="327"/>
      <c r="AW1" s="689" t="s">
        <v>516</v>
      </c>
      <c r="AX1" s="326"/>
      <c r="AY1" s="327"/>
      <c r="AZ1" s="690" t="s">
        <v>324</v>
      </c>
      <c r="BA1" s="326"/>
      <c r="BB1" s="326"/>
      <c r="BC1" s="326"/>
      <c r="BD1" s="326"/>
      <c r="BE1" s="326"/>
      <c r="BF1" s="326"/>
      <c r="BG1" s="326"/>
      <c r="BH1" s="326"/>
      <c r="BI1" s="326"/>
      <c r="BJ1" s="326"/>
      <c r="BK1" s="326"/>
      <c r="BL1" s="326"/>
      <c r="BM1" s="326"/>
      <c r="BN1" s="326"/>
      <c r="BO1" s="327"/>
    </row>
    <row r="2" spans="1:67" ht="15.75" customHeight="1" x14ac:dyDescent="0.25">
      <c r="A2" s="432" t="str">
        <f>'GRANTEE SET UP INFO &amp; DATE '!A1</f>
        <v>WV Bureau for Behavioral Healh - Peer Recovery Support Services  V 20200110</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54"/>
      <c r="BC2" s="56"/>
      <c r="BD2" s="56"/>
      <c r="BE2" s="56"/>
      <c r="BF2" s="56"/>
      <c r="BG2" s="56"/>
      <c r="BH2" s="56"/>
      <c r="BI2" s="56"/>
      <c r="BJ2" s="56"/>
      <c r="BK2" s="56"/>
      <c r="BL2" s="56"/>
      <c r="BM2" s="56"/>
      <c r="BN2" s="56"/>
      <c r="BO2" s="56"/>
    </row>
    <row r="3" spans="1:67" ht="15" customHeight="1" x14ac:dyDescent="0.25">
      <c r="A3" s="433" t="str">
        <f>'GRANTEE SET UP INFO &amp; DATE '!A2</f>
        <v>Program reports need to be submitted electronically, via e-mail to BBHReporting@wv.gov within 25 calendar days of the end of each month.</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47"/>
      <c r="AV3" s="347"/>
      <c r="AW3" s="347"/>
      <c r="AX3" s="347"/>
      <c r="AY3" s="347"/>
      <c r="AZ3" s="347"/>
      <c r="BA3" s="347"/>
      <c r="BB3" s="354"/>
      <c r="BC3" s="56"/>
      <c r="BD3" s="56"/>
      <c r="BE3" s="56"/>
      <c r="BF3" s="56"/>
      <c r="BG3" s="56"/>
      <c r="BH3" s="56"/>
      <c r="BI3" s="56"/>
      <c r="BJ3" s="56"/>
      <c r="BK3" s="56"/>
      <c r="BL3" s="56"/>
      <c r="BM3" s="56"/>
      <c r="BN3" s="56"/>
      <c r="BO3" s="56"/>
    </row>
    <row r="4" spans="1:67" ht="19.5" customHeight="1" x14ac:dyDescent="0.25">
      <c r="A4" s="459" t="s">
        <v>517</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54"/>
      <c r="BC4" s="8"/>
      <c r="BD4" s="8"/>
      <c r="BE4" s="8"/>
      <c r="BF4" s="8"/>
      <c r="BG4" s="8"/>
      <c r="BH4" s="8"/>
      <c r="BI4" s="8"/>
      <c r="BJ4" s="8"/>
      <c r="BK4" s="8"/>
      <c r="BL4" s="8"/>
      <c r="BM4" s="8"/>
      <c r="BN4" s="8"/>
      <c r="BO4" s="8"/>
    </row>
    <row r="5" spans="1:67" ht="15" customHeight="1" x14ac:dyDescent="0.25">
      <c r="A5" s="674" t="s">
        <v>518</v>
      </c>
      <c r="B5" s="350"/>
      <c r="C5" s="350"/>
      <c r="D5" s="350"/>
      <c r="E5" s="350"/>
      <c r="F5" s="350"/>
      <c r="G5" s="351"/>
      <c r="H5" s="461" t="str">
        <f>'GRANTEE SET UP INFO &amp; DATE '!H4</f>
        <v xml:space="preserve">SA Peer Recovery Support Specialist </v>
      </c>
      <c r="I5" s="338"/>
      <c r="J5" s="338"/>
      <c r="K5" s="338"/>
      <c r="L5" s="338"/>
      <c r="M5" s="338"/>
      <c r="N5" s="338"/>
      <c r="O5" s="338"/>
      <c r="P5" s="338"/>
      <c r="Q5" s="338"/>
      <c r="R5" s="338"/>
      <c r="S5" s="339"/>
      <c r="T5" s="5"/>
      <c r="U5" s="409" t="s">
        <v>31</v>
      </c>
      <c r="V5" s="326"/>
      <c r="W5" s="326"/>
      <c r="X5" s="326"/>
      <c r="Y5" s="327"/>
      <c r="Z5" s="462" t="str">
        <f>'GRANTEE SET UP INFO &amp; DATE '!Z4</f>
        <v xml:space="preserve">Grantee formal Name (name on grant agreement) </v>
      </c>
      <c r="AA5" s="326"/>
      <c r="AB5" s="326"/>
      <c r="AC5" s="326"/>
      <c r="AD5" s="326"/>
      <c r="AE5" s="326"/>
      <c r="AF5" s="326"/>
      <c r="AG5" s="326"/>
      <c r="AH5" s="326"/>
      <c r="AI5" s="326"/>
      <c r="AJ5" s="84"/>
      <c r="AK5" s="84"/>
      <c r="AL5" s="84"/>
      <c r="AM5" s="84"/>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row>
    <row r="6" spans="1:67" ht="14.25" customHeight="1" x14ac:dyDescent="0.25">
      <c r="A6" s="407" t="s">
        <v>519</v>
      </c>
      <c r="B6" s="326"/>
      <c r="C6" s="326"/>
      <c r="D6" s="326"/>
      <c r="E6" s="326"/>
      <c r="F6" s="326"/>
      <c r="G6" s="327"/>
      <c r="H6" s="381" t="str">
        <f>'GRANTEE SET UP INFO &amp; DATE '!H5</f>
        <v xml:space="preserve"> SA Peer Recovery Support Specialist </v>
      </c>
      <c r="I6" s="326"/>
      <c r="J6" s="326"/>
      <c r="K6" s="326"/>
      <c r="L6" s="326"/>
      <c r="M6" s="326"/>
      <c r="N6" s="326"/>
      <c r="O6" s="326"/>
      <c r="P6" s="326"/>
      <c r="Q6" s="326"/>
      <c r="R6" s="326"/>
      <c r="S6" s="327"/>
      <c r="T6" s="5"/>
      <c r="U6" s="437" t="s">
        <v>35</v>
      </c>
      <c r="V6" s="326"/>
      <c r="W6" s="326"/>
      <c r="X6" s="326"/>
      <c r="Y6" s="327"/>
      <c r="Z6" s="382" t="str">
        <f>'GRANTEE SET UP INFO &amp; DATE '!Z5</f>
        <v>Names of Contact(s):</v>
      </c>
      <c r="AA6" s="326"/>
      <c r="AB6" s="326"/>
      <c r="AC6" s="326"/>
      <c r="AD6" s="326"/>
      <c r="AE6" s="326"/>
      <c r="AF6" s="326"/>
      <c r="AG6" s="326"/>
      <c r="AH6" s="326"/>
      <c r="AI6" s="326"/>
      <c r="AJ6" s="85"/>
      <c r="AK6" s="85"/>
      <c r="AL6" s="85"/>
      <c r="AM6" s="85"/>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row>
    <row r="7" spans="1:67" ht="15" customHeight="1" x14ac:dyDescent="0.25">
      <c r="A7" s="442" t="s">
        <v>37</v>
      </c>
      <c r="B7" s="332"/>
      <c r="C7" s="332"/>
      <c r="D7" s="332"/>
      <c r="E7" s="332"/>
      <c r="F7" s="332"/>
      <c r="G7" s="333"/>
      <c r="H7" s="464" t="str">
        <f>'GRANTEE SET UP INFO &amp; DATE '!H6</f>
        <v>123 Any Street, Any City, WV 12345</v>
      </c>
      <c r="I7" s="332"/>
      <c r="J7" s="332"/>
      <c r="K7" s="332"/>
      <c r="L7" s="332"/>
      <c r="M7" s="332"/>
      <c r="N7" s="332"/>
      <c r="O7" s="332"/>
      <c r="P7" s="332"/>
      <c r="Q7" s="332"/>
      <c r="R7" s="332"/>
      <c r="S7" s="333"/>
      <c r="T7" s="5"/>
      <c r="U7" s="407" t="s">
        <v>39</v>
      </c>
      <c r="V7" s="326"/>
      <c r="W7" s="326"/>
      <c r="X7" s="326"/>
      <c r="Y7" s="327"/>
      <c r="Z7" s="381" t="str">
        <f>'GRANTEE SET UP INFO &amp; DATE '!Z6</f>
        <v>Phone numbers for contacts</v>
      </c>
      <c r="AA7" s="326"/>
      <c r="AB7" s="326"/>
      <c r="AC7" s="326"/>
      <c r="AD7" s="326"/>
      <c r="AE7" s="326"/>
      <c r="AF7" s="326"/>
      <c r="AG7" s="326"/>
      <c r="AH7" s="326"/>
      <c r="AI7" s="326"/>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row>
    <row r="8" spans="1:67" ht="15" customHeight="1" x14ac:dyDescent="0.25">
      <c r="A8" s="337"/>
      <c r="B8" s="338"/>
      <c r="C8" s="338"/>
      <c r="D8" s="338"/>
      <c r="E8" s="338"/>
      <c r="F8" s="338"/>
      <c r="G8" s="339"/>
      <c r="H8" s="337"/>
      <c r="I8" s="338"/>
      <c r="J8" s="338"/>
      <c r="K8" s="338"/>
      <c r="L8" s="338"/>
      <c r="M8" s="338"/>
      <c r="N8" s="338"/>
      <c r="O8" s="338"/>
      <c r="P8" s="338"/>
      <c r="Q8" s="338"/>
      <c r="R8" s="338"/>
      <c r="S8" s="339"/>
      <c r="T8" s="5"/>
      <c r="U8" s="407" t="s">
        <v>41</v>
      </c>
      <c r="V8" s="326"/>
      <c r="W8" s="326"/>
      <c r="X8" s="326"/>
      <c r="Y8" s="327"/>
      <c r="Z8" s="381" t="str">
        <f>'GRANTEE SET UP INFO &amp; DATE '!Z7</f>
        <v xml:space="preserve">number on grant agreement or TFB </v>
      </c>
      <c r="AA8" s="326"/>
      <c r="AB8" s="326"/>
      <c r="AC8" s="326"/>
      <c r="AD8" s="326"/>
      <c r="AE8" s="326"/>
      <c r="AF8" s="326"/>
      <c r="AG8" s="326"/>
      <c r="AH8" s="326"/>
      <c r="AI8" s="326"/>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row>
    <row r="9" spans="1:67" ht="24.75" customHeight="1" x14ac:dyDescent="0.25">
      <c r="A9" s="466" t="s">
        <v>520</v>
      </c>
      <c r="B9" s="326"/>
      <c r="C9" s="326"/>
      <c r="D9" s="326"/>
      <c r="E9" s="326"/>
      <c r="F9" s="326"/>
      <c r="G9" s="327"/>
      <c r="H9" s="659" t="str">
        <f>'GRANTEE SET UP INFO &amp; DATE '!H8</f>
        <v>October 1 - 31</v>
      </c>
      <c r="I9" s="326"/>
      <c r="J9" s="326"/>
      <c r="K9" s="326"/>
      <c r="L9" s="326"/>
      <c r="M9" s="326"/>
      <c r="N9" s="326"/>
      <c r="O9" s="327"/>
      <c r="P9" s="659">
        <f>'GRANTEE SET UP INFO &amp; DATE '!P8</f>
        <v>2026</v>
      </c>
      <c r="Q9" s="326"/>
      <c r="R9" s="326"/>
      <c r="S9" s="327"/>
      <c r="T9" s="5"/>
      <c r="U9" s="675" t="s">
        <v>45</v>
      </c>
      <c r="V9" s="326"/>
      <c r="W9" s="326"/>
      <c r="X9" s="326"/>
      <c r="Y9" s="327"/>
      <c r="Z9" s="678" t="str">
        <f>'GRANTEE SET UP INFO &amp; DATE '!Z8</f>
        <v>program code can locate on SOW or  TFB</v>
      </c>
      <c r="AA9" s="326"/>
      <c r="AB9" s="326"/>
      <c r="AC9" s="326"/>
      <c r="AD9" s="326"/>
      <c r="AE9" s="326"/>
      <c r="AF9" s="326"/>
      <c r="AG9" s="326"/>
      <c r="AH9" s="326"/>
      <c r="AI9" s="326"/>
      <c r="AJ9" s="86"/>
      <c r="AK9" s="86"/>
      <c r="AL9" s="86"/>
      <c r="AM9" s="86"/>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row>
    <row r="10" spans="1:67" ht="39.75" customHeight="1" x14ac:dyDescent="0.25">
      <c r="A10" s="620" t="s">
        <v>521</v>
      </c>
      <c r="B10" s="347"/>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54"/>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row>
    <row r="11" spans="1:67" ht="15" customHeight="1" x14ac:dyDescent="0.25">
      <c r="A11" s="621" t="s">
        <v>522</v>
      </c>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54"/>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row>
    <row r="12" spans="1:67" ht="60" customHeight="1" x14ac:dyDescent="0.25">
      <c r="A12" s="11" t="s">
        <v>294</v>
      </c>
      <c r="B12" s="695" t="s">
        <v>523</v>
      </c>
      <c r="C12" s="327"/>
      <c r="D12" s="552" t="s">
        <v>524</v>
      </c>
      <c r="E12" s="326"/>
      <c r="F12" s="326"/>
      <c r="G12" s="326"/>
      <c r="H12" s="327"/>
      <c r="I12" s="477" t="s">
        <v>525</v>
      </c>
      <c r="J12" s="326"/>
      <c r="K12" s="326"/>
      <c r="L12" s="326"/>
      <c r="M12" s="326"/>
      <c r="N12" s="326"/>
      <c r="O12" s="326"/>
      <c r="P12" s="327"/>
      <c r="Q12" s="692" t="s">
        <v>509</v>
      </c>
      <c r="R12" s="326"/>
      <c r="S12" s="326"/>
      <c r="T12" s="326"/>
      <c r="U12" s="326"/>
      <c r="V12" s="326"/>
      <c r="W12" s="326"/>
      <c r="X12" s="327"/>
      <c r="Y12" s="696" t="s">
        <v>510</v>
      </c>
      <c r="Z12" s="327"/>
      <c r="AA12" s="692" t="s">
        <v>511</v>
      </c>
      <c r="AB12" s="326"/>
      <c r="AC12" s="326"/>
      <c r="AD12" s="327"/>
      <c r="AE12" s="467" t="s">
        <v>526</v>
      </c>
      <c r="AF12" s="326"/>
      <c r="AG12" s="327"/>
      <c r="AH12" s="513" t="s">
        <v>513</v>
      </c>
      <c r="AI12" s="326"/>
      <c r="AJ12" s="327"/>
      <c r="AK12" s="477" t="s">
        <v>527</v>
      </c>
      <c r="AL12" s="326"/>
      <c r="AM12" s="326"/>
      <c r="AN12" s="327"/>
      <c r="AO12" s="692" t="s">
        <v>528</v>
      </c>
      <c r="AP12" s="326"/>
      <c r="AQ12" s="326"/>
      <c r="AR12" s="326"/>
      <c r="AS12" s="326"/>
      <c r="AT12" s="326"/>
      <c r="AU12" s="326"/>
      <c r="AV12" s="327"/>
      <c r="AW12" s="693" t="s">
        <v>529</v>
      </c>
      <c r="AX12" s="326"/>
      <c r="AY12" s="327"/>
      <c r="AZ12" s="694" t="s">
        <v>324</v>
      </c>
      <c r="BA12" s="326"/>
      <c r="BB12" s="326"/>
      <c r="BC12" s="326"/>
      <c r="BD12" s="326"/>
      <c r="BE12" s="326"/>
      <c r="BF12" s="326"/>
      <c r="BG12" s="326"/>
      <c r="BH12" s="326"/>
      <c r="BI12" s="326"/>
      <c r="BJ12" s="326"/>
      <c r="BK12" s="326"/>
      <c r="BL12" s="326"/>
      <c r="BM12" s="326"/>
      <c r="BN12" s="326"/>
      <c r="BO12" s="327"/>
    </row>
    <row r="13" spans="1:67" ht="34.5" customHeight="1" x14ac:dyDescent="0.25">
      <c r="A13" s="87">
        <f t="shared" ref="A13:A267" si="0">+ROW(A1)</f>
        <v>1</v>
      </c>
      <c r="B13" s="386" t="s">
        <v>334</v>
      </c>
      <c r="C13" s="327"/>
      <c r="D13" s="687"/>
      <c r="E13" s="326"/>
      <c r="F13" s="326"/>
      <c r="G13" s="326"/>
      <c r="H13" s="327"/>
      <c r="I13" s="381"/>
      <c r="J13" s="326"/>
      <c r="K13" s="326"/>
      <c r="L13" s="326"/>
      <c r="M13" s="326"/>
      <c r="N13" s="326"/>
      <c r="O13" s="326"/>
      <c r="P13" s="327"/>
      <c r="Q13" s="381"/>
      <c r="R13" s="326"/>
      <c r="S13" s="326"/>
      <c r="T13" s="326"/>
      <c r="U13" s="326"/>
      <c r="V13" s="326"/>
      <c r="W13" s="326"/>
      <c r="X13" s="327"/>
      <c r="Y13" s="381"/>
      <c r="Z13" s="327"/>
      <c r="AA13" s="381"/>
      <c r="AB13" s="326"/>
      <c r="AC13" s="326"/>
      <c r="AD13" s="327"/>
      <c r="AE13" s="381"/>
      <c r="AF13" s="326"/>
      <c r="AG13" s="327"/>
      <c r="AH13" s="381"/>
      <c r="AI13" s="326"/>
      <c r="AJ13" s="327"/>
      <c r="AK13" s="381"/>
      <c r="AL13" s="326"/>
      <c r="AM13" s="326"/>
      <c r="AN13" s="327"/>
      <c r="AO13" s="381"/>
      <c r="AP13" s="326"/>
      <c r="AQ13" s="326"/>
      <c r="AR13" s="326"/>
      <c r="AS13" s="326"/>
      <c r="AT13" s="326"/>
      <c r="AU13" s="326"/>
      <c r="AV13" s="327"/>
      <c r="AW13" s="686"/>
      <c r="AX13" s="326"/>
      <c r="AY13" s="327"/>
      <c r="AZ13" s="381"/>
      <c r="BA13" s="326"/>
      <c r="BB13" s="326"/>
      <c r="BC13" s="326"/>
      <c r="BD13" s="326"/>
      <c r="BE13" s="326"/>
      <c r="BF13" s="326"/>
      <c r="BG13" s="326"/>
      <c r="BH13" s="326"/>
      <c r="BI13" s="326"/>
      <c r="BJ13" s="326"/>
      <c r="BK13" s="326"/>
      <c r="BL13" s="326"/>
      <c r="BM13" s="326"/>
      <c r="BN13" s="326"/>
      <c r="BO13" s="327"/>
    </row>
    <row r="14" spans="1:67" ht="34.5" customHeight="1" x14ac:dyDescent="0.25">
      <c r="A14" s="57">
        <f t="shared" si="0"/>
        <v>2</v>
      </c>
      <c r="B14" s="688" t="s">
        <v>334</v>
      </c>
      <c r="C14" s="327"/>
      <c r="D14" s="498"/>
      <c r="E14" s="326"/>
      <c r="F14" s="326"/>
      <c r="G14" s="326"/>
      <c r="H14" s="327"/>
      <c r="I14" s="407"/>
      <c r="J14" s="326"/>
      <c r="K14" s="326"/>
      <c r="L14" s="326"/>
      <c r="M14" s="326"/>
      <c r="N14" s="326"/>
      <c r="O14" s="326"/>
      <c r="P14" s="327"/>
      <c r="Q14" s="456"/>
      <c r="R14" s="326"/>
      <c r="S14" s="326"/>
      <c r="T14" s="326"/>
      <c r="U14" s="326"/>
      <c r="V14" s="326"/>
      <c r="W14" s="326"/>
      <c r="X14" s="327"/>
      <c r="Y14" s="407"/>
      <c r="Z14" s="327"/>
      <c r="AA14" s="456"/>
      <c r="AB14" s="326"/>
      <c r="AC14" s="326"/>
      <c r="AD14" s="327"/>
      <c r="AE14" s="407"/>
      <c r="AF14" s="326"/>
      <c r="AG14" s="327"/>
      <c r="AH14" s="456"/>
      <c r="AI14" s="326"/>
      <c r="AJ14" s="327"/>
      <c r="AK14" s="407"/>
      <c r="AL14" s="326"/>
      <c r="AM14" s="326"/>
      <c r="AN14" s="327"/>
      <c r="AO14" s="456"/>
      <c r="AP14" s="326"/>
      <c r="AQ14" s="326"/>
      <c r="AR14" s="326"/>
      <c r="AS14" s="326"/>
      <c r="AT14" s="326"/>
      <c r="AU14" s="326"/>
      <c r="AV14" s="327"/>
      <c r="AW14" s="685"/>
      <c r="AX14" s="326"/>
      <c r="AY14" s="327"/>
      <c r="AZ14" s="456"/>
      <c r="BA14" s="326"/>
      <c r="BB14" s="326"/>
      <c r="BC14" s="326"/>
      <c r="BD14" s="326"/>
      <c r="BE14" s="326"/>
      <c r="BF14" s="326"/>
      <c r="BG14" s="326"/>
      <c r="BH14" s="326"/>
      <c r="BI14" s="326"/>
      <c r="BJ14" s="326"/>
      <c r="BK14" s="326"/>
      <c r="BL14" s="326"/>
      <c r="BM14" s="326"/>
      <c r="BN14" s="326"/>
      <c r="BO14" s="327"/>
    </row>
    <row r="15" spans="1:67" ht="34.5" customHeight="1" x14ac:dyDescent="0.25">
      <c r="A15" s="87">
        <f t="shared" si="0"/>
        <v>3</v>
      </c>
      <c r="B15" s="386" t="s">
        <v>334</v>
      </c>
      <c r="C15" s="327"/>
      <c r="D15" s="687"/>
      <c r="E15" s="326"/>
      <c r="F15" s="326"/>
      <c r="G15" s="326"/>
      <c r="H15" s="327"/>
      <c r="I15" s="381"/>
      <c r="J15" s="326"/>
      <c r="K15" s="326"/>
      <c r="L15" s="326"/>
      <c r="M15" s="326"/>
      <c r="N15" s="326"/>
      <c r="O15" s="326"/>
      <c r="P15" s="327"/>
      <c r="Q15" s="381"/>
      <c r="R15" s="326"/>
      <c r="S15" s="326"/>
      <c r="T15" s="326"/>
      <c r="U15" s="326"/>
      <c r="V15" s="326"/>
      <c r="W15" s="326"/>
      <c r="X15" s="327"/>
      <c r="Y15" s="381"/>
      <c r="Z15" s="327"/>
      <c r="AA15" s="381"/>
      <c r="AB15" s="326"/>
      <c r="AC15" s="326"/>
      <c r="AD15" s="327"/>
      <c r="AE15" s="381"/>
      <c r="AF15" s="326"/>
      <c r="AG15" s="327"/>
      <c r="AH15" s="381"/>
      <c r="AI15" s="326"/>
      <c r="AJ15" s="327"/>
      <c r="AK15" s="381"/>
      <c r="AL15" s="326"/>
      <c r="AM15" s="326"/>
      <c r="AN15" s="327"/>
      <c r="AO15" s="381"/>
      <c r="AP15" s="326"/>
      <c r="AQ15" s="326"/>
      <c r="AR15" s="326"/>
      <c r="AS15" s="326"/>
      <c r="AT15" s="326"/>
      <c r="AU15" s="326"/>
      <c r="AV15" s="327"/>
      <c r="AW15" s="686"/>
      <c r="AX15" s="326"/>
      <c r="AY15" s="327"/>
      <c r="AZ15" s="381"/>
      <c r="BA15" s="326"/>
      <c r="BB15" s="326"/>
      <c r="BC15" s="326"/>
      <c r="BD15" s="326"/>
      <c r="BE15" s="326"/>
      <c r="BF15" s="326"/>
      <c r="BG15" s="326"/>
      <c r="BH15" s="326"/>
      <c r="BI15" s="326"/>
      <c r="BJ15" s="326"/>
      <c r="BK15" s="326"/>
      <c r="BL15" s="326"/>
      <c r="BM15" s="326"/>
      <c r="BN15" s="326"/>
      <c r="BO15" s="327"/>
    </row>
    <row r="16" spans="1:67" ht="34.5" customHeight="1" x14ac:dyDescent="0.25">
      <c r="A16" s="87">
        <f t="shared" si="0"/>
        <v>4</v>
      </c>
      <c r="B16" s="386" t="s">
        <v>334</v>
      </c>
      <c r="C16" s="327"/>
      <c r="D16" s="498"/>
      <c r="E16" s="326"/>
      <c r="F16" s="326"/>
      <c r="G16" s="326"/>
      <c r="H16" s="327"/>
      <c r="I16" s="407"/>
      <c r="J16" s="326"/>
      <c r="K16" s="326"/>
      <c r="L16" s="326"/>
      <c r="M16" s="326"/>
      <c r="N16" s="326"/>
      <c r="O16" s="326"/>
      <c r="P16" s="327"/>
      <c r="Q16" s="456"/>
      <c r="R16" s="326"/>
      <c r="S16" s="326"/>
      <c r="T16" s="326"/>
      <c r="U16" s="326"/>
      <c r="V16" s="326"/>
      <c r="W16" s="326"/>
      <c r="X16" s="327"/>
      <c r="Y16" s="407"/>
      <c r="Z16" s="327"/>
      <c r="AA16" s="456"/>
      <c r="AB16" s="326"/>
      <c r="AC16" s="326"/>
      <c r="AD16" s="327"/>
      <c r="AE16" s="407"/>
      <c r="AF16" s="326"/>
      <c r="AG16" s="327"/>
      <c r="AH16" s="456"/>
      <c r="AI16" s="326"/>
      <c r="AJ16" s="327"/>
      <c r="AK16" s="407"/>
      <c r="AL16" s="326"/>
      <c r="AM16" s="326"/>
      <c r="AN16" s="327"/>
      <c r="AO16" s="456"/>
      <c r="AP16" s="326"/>
      <c r="AQ16" s="326"/>
      <c r="AR16" s="326"/>
      <c r="AS16" s="326"/>
      <c r="AT16" s="326"/>
      <c r="AU16" s="326"/>
      <c r="AV16" s="327"/>
      <c r="AW16" s="685"/>
      <c r="AX16" s="326"/>
      <c r="AY16" s="327"/>
      <c r="AZ16" s="456"/>
      <c r="BA16" s="326"/>
      <c r="BB16" s="326"/>
      <c r="BC16" s="326"/>
      <c r="BD16" s="326"/>
      <c r="BE16" s="326"/>
      <c r="BF16" s="326"/>
      <c r="BG16" s="326"/>
      <c r="BH16" s="326"/>
      <c r="BI16" s="326"/>
      <c r="BJ16" s="326"/>
      <c r="BK16" s="326"/>
      <c r="BL16" s="326"/>
      <c r="BM16" s="326"/>
      <c r="BN16" s="326"/>
      <c r="BO16" s="327"/>
    </row>
    <row r="17" spans="1:67" ht="34.5" customHeight="1" x14ac:dyDescent="0.25">
      <c r="A17" s="87">
        <f t="shared" si="0"/>
        <v>5</v>
      </c>
      <c r="B17" s="386" t="s">
        <v>334</v>
      </c>
      <c r="C17" s="327"/>
      <c r="D17" s="687"/>
      <c r="E17" s="326"/>
      <c r="F17" s="326"/>
      <c r="G17" s="326"/>
      <c r="H17" s="327"/>
      <c r="I17" s="381"/>
      <c r="J17" s="326"/>
      <c r="K17" s="326"/>
      <c r="L17" s="326"/>
      <c r="M17" s="326"/>
      <c r="N17" s="326"/>
      <c r="O17" s="326"/>
      <c r="P17" s="327"/>
      <c r="Q17" s="381"/>
      <c r="R17" s="326"/>
      <c r="S17" s="326"/>
      <c r="T17" s="326"/>
      <c r="U17" s="326"/>
      <c r="V17" s="326"/>
      <c r="W17" s="326"/>
      <c r="X17" s="327"/>
      <c r="Y17" s="381"/>
      <c r="Z17" s="327"/>
      <c r="AA17" s="381"/>
      <c r="AB17" s="326"/>
      <c r="AC17" s="326"/>
      <c r="AD17" s="327"/>
      <c r="AE17" s="381"/>
      <c r="AF17" s="326"/>
      <c r="AG17" s="327"/>
      <c r="AH17" s="381"/>
      <c r="AI17" s="326"/>
      <c r="AJ17" s="327"/>
      <c r="AK17" s="381"/>
      <c r="AL17" s="326"/>
      <c r="AM17" s="326"/>
      <c r="AN17" s="327"/>
      <c r="AO17" s="381"/>
      <c r="AP17" s="326"/>
      <c r="AQ17" s="326"/>
      <c r="AR17" s="326"/>
      <c r="AS17" s="326"/>
      <c r="AT17" s="326"/>
      <c r="AU17" s="326"/>
      <c r="AV17" s="327"/>
      <c r="AW17" s="686"/>
      <c r="AX17" s="326"/>
      <c r="AY17" s="327"/>
      <c r="AZ17" s="381"/>
      <c r="BA17" s="326"/>
      <c r="BB17" s="326"/>
      <c r="BC17" s="326"/>
      <c r="BD17" s="326"/>
      <c r="BE17" s="326"/>
      <c r="BF17" s="326"/>
      <c r="BG17" s="326"/>
      <c r="BH17" s="326"/>
      <c r="BI17" s="326"/>
      <c r="BJ17" s="326"/>
      <c r="BK17" s="326"/>
      <c r="BL17" s="326"/>
      <c r="BM17" s="326"/>
      <c r="BN17" s="326"/>
      <c r="BO17" s="327"/>
    </row>
    <row r="18" spans="1:67" ht="34.5" customHeight="1" x14ac:dyDescent="0.25">
      <c r="A18" s="87">
        <f t="shared" si="0"/>
        <v>6</v>
      </c>
      <c r="B18" s="386" t="s">
        <v>334</v>
      </c>
      <c r="C18" s="327"/>
      <c r="D18" s="498"/>
      <c r="E18" s="326"/>
      <c r="F18" s="326"/>
      <c r="G18" s="326"/>
      <c r="H18" s="327"/>
      <c r="I18" s="407"/>
      <c r="J18" s="326"/>
      <c r="K18" s="326"/>
      <c r="L18" s="326"/>
      <c r="M18" s="326"/>
      <c r="N18" s="326"/>
      <c r="O18" s="326"/>
      <c r="P18" s="327"/>
      <c r="Q18" s="456"/>
      <c r="R18" s="326"/>
      <c r="S18" s="326"/>
      <c r="T18" s="326"/>
      <c r="U18" s="326"/>
      <c r="V18" s="326"/>
      <c r="W18" s="326"/>
      <c r="X18" s="327"/>
      <c r="Y18" s="407"/>
      <c r="Z18" s="327"/>
      <c r="AA18" s="456"/>
      <c r="AB18" s="326"/>
      <c r="AC18" s="326"/>
      <c r="AD18" s="327"/>
      <c r="AE18" s="407"/>
      <c r="AF18" s="326"/>
      <c r="AG18" s="327"/>
      <c r="AH18" s="456"/>
      <c r="AI18" s="326"/>
      <c r="AJ18" s="327"/>
      <c r="AK18" s="407"/>
      <c r="AL18" s="326"/>
      <c r="AM18" s="326"/>
      <c r="AN18" s="327"/>
      <c r="AO18" s="456"/>
      <c r="AP18" s="326"/>
      <c r="AQ18" s="326"/>
      <c r="AR18" s="326"/>
      <c r="AS18" s="326"/>
      <c r="AT18" s="326"/>
      <c r="AU18" s="326"/>
      <c r="AV18" s="327"/>
      <c r="AW18" s="685"/>
      <c r="AX18" s="326"/>
      <c r="AY18" s="327"/>
      <c r="AZ18" s="456"/>
      <c r="BA18" s="326"/>
      <c r="BB18" s="326"/>
      <c r="BC18" s="326"/>
      <c r="BD18" s="326"/>
      <c r="BE18" s="326"/>
      <c r="BF18" s="326"/>
      <c r="BG18" s="326"/>
      <c r="BH18" s="326"/>
      <c r="BI18" s="326"/>
      <c r="BJ18" s="326"/>
      <c r="BK18" s="326"/>
      <c r="BL18" s="326"/>
      <c r="BM18" s="326"/>
      <c r="BN18" s="326"/>
      <c r="BO18" s="327"/>
    </row>
    <row r="19" spans="1:67" ht="34.5" customHeight="1" x14ac:dyDescent="0.25">
      <c r="A19" s="87">
        <f t="shared" si="0"/>
        <v>7</v>
      </c>
      <c r="B19" s="386" t="s">
        <v>334</v>
      </c>
      <c r="C19" s="327"/>
      <c r="D19" s="687"/>
      <c r="E19" s="326"/>
      <c r="F19" s="326"/>
      <c r="G19" s="326"/>
      <c r="H19" s="327"/>
      <c r="I19" s="381"/>
      <c r="J19" s="326"/>
      <c r="K19" s="326"/>
      <c r="L19" s="326"/>
      <c r="M19" s="326"/>
      <c r="N19" s="326"/>
      <c r="O19" s="326"/>
      <c r="P19" s="327"/>
      <c r="Q19" s="381"/>
      <c r="R19" s="326"/>
      <c r="S19" s="326"/>
      <c r="T19" s="326"/>
      <c r="U19" s="326"/>
      <c r="V19" s="326"/>
      <c r="W19" s="326"/>
      <c r="X19" s="327"/>
      <c r="Y19" s="381"/>
      <c r="Z19" s="327"/>
      <c r="AA19" s="381"/>
      <c r="AB19" s="326"/>
      <c r="AC19" s="326"/>
      <c r="AD19" s="327"/>
      <c r="AE19" s="381"/>
      <c r="AF19" s="326"/>
      <c r="AG19" s="327"/>
      <c r="AH19" s="381"/>
      <c r="AI19" s="326"/>
      <c r="AJ19" s="327"/>
      <c r="AK19" s="381"/>
      <c r="AL19" s="326"/>
      <c r="AM19" s="326"/>
      <c r="AN19" s="327"/>
      <c r="AO19" s="381"/>
      <c r="AP19" s="326"/>
      <c r="AQ19" s="326"/>
      <c r="AR19" s="326"/>
      <c r="AS19" s="326"/>
      <c r="AT19" s="326"/>
      <c r="AU19" s="326"/>
      <c r="AV19" s="327"/>
      <c r="AW19" s="686"/>
      <c r="AX19" s="326"/>
      <c r="AY19" s="327"/>
      <c r="AZ19" s="381"/>
      <c r="BA19" s="326"/>
      <c r="BB19" s="326"/>
      <c r="BC19" s="326"/>
      <c r="BD19" s="326"/>
      <c r="BE19" s="326"/>
      <c r="BF19" s="326"/>
      <c r="BG19" s="326"/>
      <c r="BH19" s="326"/>
      <c r="BI19" s="326"/>
      <c r="BJ19" s="326"/>
      <c r="BK19" s="326"/>
      <c r="BL19" s="326"/>
      <c r="BM19" s="326"/>
      <c r="BN19" s="326"/>
      <c r="BO19" s="327"/>
    </row>
    <row r="20" spans="1:67" ht="34.5" customHeight="1" x14ac:dyDescent="0.25">
      <c r="A20" s="87">
        <f t="shared" si="0"/>
        <v>8</v>
      </c>
      <c r="B20" s="386" t="s">
        <v>334</v>
      </c>
      <c r="C20" s="327"/>
      <c r="D20" s="498"/>
      <c r="E20" s="326"/>
      <c r="F20" s="326"/>
      <c r="G20" s="326"/>
      <c r="H20" s="327"/>
      <c r="I20" s="407"/>
      <c r="J20" s="326"/>
      <c r="K20" s="326"/>
      <c r="L20" s="326"/>
      <c r="M20" s="326"/>
      <c r="N20" s="326"/>
      <c r="O20" s="326"/>
      <c r="P20" s="327"/>
      <c r="Q20" s="456"/>
      <c r="R20" s="326"/>
      <c r="S20" s="326"/>
      <c r="T20" s="326"/>
      <c r="U20" s="326"/>
      <c r="V20" s="326"/>
      <c r="W20" s="326"/>
      <c r="X20" s="327"/>
      <c r="Y20" s="407"/>
      <c r="Z20" s="327"/>
      <c r="AA20" s="456"/>
      <c r="AB20" s="326"/>
      <c r="AC20" s="326"/>
      <c r="AD20" s="327"/>
      <c r="AE20" s="407"/>
      <c r="AF20" s="326"/>
      <c r="AG20" s="327"/>
      <c r="AH20" s="456"/>
      <c r="AI20" s="326"/>
      <c r="AJ20" s="327"/>
      <c r="AK20" s="407"/>
      <c r="AL20" s="326"/>
      <c r="AM20" s="326"/>
      <c r="AN20" s="327"/>
      <c r="AO20" s="456"/>
      <c r="AP20" s="326"/>
      <c r="AQ20" s="326"/>
      <c r="AR20" s="326"/>
      <c r="AS20" s="326"/>
      <c r="AT20" s="326"/>
      <c r="AU20" s="326"/>
      <c r="AV20" s="327"/>
      <c r="AW20" s="685"/>
      <c r="AX20" s="326"/>
      <c r="AY20" s="327"/>
      <c r="AZ20" s="456"/>
      <c r="BA20" s="326"/>
      <c r="BB20" s="326"/>
      <c r="BC20" s="326"/>
      <c r="BD20" s="326"/>
      <c r="BE20" s="326"/>
      <c r="BF20" s="326"/>
      <c r="BG20" s="326"/>
      <c r="BH20" s="326"/>
      <c r="BI20" s="326"/>
      <c r="BJ20" s="326"/>
      <c r="BK20" s="326"/>
      <c r="BL20" s="326"/>
      <c r="BM20" s="326"/>
      <c r="BN20" s="326"/>
      <c r="BO20" s="327"/>
    </row>
    <row r="21" spans="1:67" ht="34.5" customHeight="1" x14ac:dyDescent="0.25">
      <c r="A21" s="87">
        <f t="shared" si="0"/>
        <v>9</v>
      </c>
      <c r="B21" s="386" t="s">
        <v>334</v>
      </c>
      <c r="C21" s="327"/>
      <c r="D21" s="687"/>
      <c r="E21" s="326"/>
      <c r="F21" s="326"/>
      <c r="G21" s="326"/>
      <c r="H21" s="327"/>
      <c r="I21" s="381"/>
      <c r="J21" s="326"/>
      <c r="K21" s="326"/>
      <c r="L21" s="326"/>
      <c r="M21" s="326"/>
      <c r="N21" s="326"/>
      <c r="O21" s="326"/>
      <c r="P21" s="327"/>
      <c r="Q21" s="381"/>
      <c r="R21" s="326"/>
      <c r="S21" s="326"/>
      <c r="T21" s="326"/>
      <c r="U21" s="326"/>
      <c r="V21" s="326"/>
      <c r="W21" s="326"/>
      <c r="X21" s="327"/>
      <c r="Y21" s="381"/>
      <c r="Z21" s="327"/>
      <c r="AA21" s="381"/>
      <c r="AB21" s="326"/>
      <c r="AC21" s="326"/>
      <c r="AD21" s="327"/>
      <c r="AE21" s="381"/>
      <c r="AF21" s="326"/>
      <c r="AG21" s="327"/>
      <c r="AH21" s="381"/>
      <c r="AI21" s="326"/>
      <c r="AJ21" s="327"/>
      <c r="AK21" s="381"/>
      <c r="AL21" s="326"/>
      <c r="AM21" s="326"/>
      <c r="AN21" s="327"/>
      <c r="AO21" s="381"/>
      <c r="AP21" s="326"/>
      <c r="AQ21" s="326"/>
      <c r="AR21" s="326"/>
      <c r="AS21" s="326"/>
      <c r="AT21" s="326"/>
      <c r="AU21" s="326"/>
      <c r="AV21" s="327"/>
      <c r="AW21" s="686"/>
      <c r="AX21" s="326"/>
      <c r="AY21" s="327"/>
      <c r="AZ21" s="381"/>
      <c r="BA21" s="326"/>
      <c r="BB21" s="326"/>
      <c r="BC21" s="326"/>
      <c r="BD21" s="326"/>
      <c r="BE21" s="326"/>
      <c r="BF21" s="326"/>
      <c r="BG21" s="326"/>
      <c r="BH21" s="326"/>
      <c r="BI21" s="326"/>
      <c r="BJ21" s="326"/>
      <c r="BK21" s="326"/>
      <c r="BL21" s="326"/>
      <c r="BM21" s="326"/>
      <c r="BN21" s="326"/>
      <c r="BO21" s="327"/>
    </row>
    <row r="22" spans="1:67" ht="34.5" customHeight="1" x14ac:dyDescent="0.25">
      <c r="A22" s="87">
        <f t="shared" si="0"/>
        <v>10</v>
      </c>
      <c r="B22" s="386" t="s">
        <v>334</v>
      </c>
      <c r="C22" s="327"/>
      <c r="D22" s="498"/>
      <c r="E22" s="326"/>
      <c r="F22" s="326"/>
      <c r="G22" s="326"/>
      <c r="H22" s="327"/>
      <c r="I22" s="407"/>
      <c r="J22" s="326"/>
      <c r="K22" s="326"/>
      <c r="L22" s="326"/>
      <c r="M22" s="326"/>
      <c r="N22" s="326"/>
      <c r="O22" s="326"/>
      <c r="P22" s="327"/>
      <c r="Q22" s="456"/>
      <c r="R22" s="326"/>
      <c r="S22" s="326"/>
      <c r="T22" s="326"/>
      <c r="U22" s="326"/>
      <c r="V22" s="326"/>
      <c r="W22" s="326"/>
      <c r="X22" s="327"/>
      <c r="Y22" s="407"/>
      <c r="Z22" s="327"/>
      <c r="AA22" s="456"/>
      <c r="AB22" s="326"/>
      <c r="AC22" s="326"/>
      <c r="AD22" s="327"/>
      <c r="AE22" s="407"/>
      <c r="AF22" s="326"/>
      <c r="AG22" s="327"/>
      <c r="AH22" s="456"/>
      <c r="AI22" s="326"/>
      <c r="AJ22" s="327"/>
      <c r="AK22" s="407"/>
      <c r="AL22" s="326"/>
      <c r="AM22" s="326"/>
      <c r="AN22" s="327"/>
      <c r="AO22" s="456"/>
      <c r="AP22" s="326"/>
      <c r="AQ22" s="326"/>
      <c r="AR22" s="326"/>
      <c r="AS22" s="326"/>
      <c r="AT22" s="326"/>
      <c r="AU22" s="326"/>
      <c r="AV22" s="327"/>
      <c r="AW22" s="685"/>
      <c r="AX22" s="326"/>
      <c r="AY22" s="327"/>
      <c r="AZ22" s="456"/>
      <c r="BA22" s="326"/>
      <c r="BB22" s="326"/>
      <c r="BC22" s="326"/>
      <c r="BD22" s="326"/>
      <c r="BE22" s="326"/>
      <c r="BF22" s="326"/>
      <c r="BG22" s="326"/>
      <c r="BH22" s="326"/>
      <c r="BI22" s="326"/>
      <c r="BJ22" s="326"/>
      <c r="BK22" s="326"/>
      <c r="BL22" s="326"/>
      <c r="BM22" s="326"/>
      <c r="BN22" s="326"/>
      <c r="BO22" s="327"/>
    </row>
    <row r="23" spans="1:67" ht="34.5" customHeight="1" x14ac:dyDescent="0.25">
      <c r="A23" s="87">
        <f t="shared" si="0"/>
        <v>11</v>
      </c>
      <c r="B23" s="386" t="s">
        <v>334</v>
      </c>
      <c r="C23" s="327"/>
      <c r="D23" s="687"/>
      <c r="E23" s="326"/>
      <c r="F23" s="326"/>
      <c r="G23" s="326"/>
      <c r="H23" s="327"/>
      <c r="I23" s="381"/>
      <c r="J23" s="326"/>
      <c r="K23" s="326"/>
      <c r="L23" s="326"/>
      <c r="M23" s="326"/>
      <c r="N23" s="326"/>
      <c r="O23" s="326"/>
      <c r="P23" s="327"/>
      <c r="Q23" s="381"/>
      <c r="R23" s="326"/>
      <c r="S23" s="326"/>
      <c r="T23" s="326"/>
      <c r="U23" s="326"/>
      <c r="V23" s="326"/>
      <c r="W23" s="326"/>
      <c r="X23" s="327"/>
      <c r="Y23" s="381"/>
      <c r="Z23" s="327"/>
      <c r="AA23" s="381"/>
      <c r="AB23" s="326"/>
      <c r="AC23" s="326"/>
      <c r="AD23" s="327"/>
      <c r="AE23" s="381"/>
      <c r="AF23" s="326"/>
      <c r="AG23" s="327"/>
      <c r="AH23" s="381"/>
      <c r="AI23" s="326"/>
      <c r="AJ23" s="327"/>
      <c r="AK23" s="381"/>
      <c r="AL23" s="326"/>
      <c r="AM23" s="326"/>
      <c r="AN23" s="327"/>
      <c r="AO23" s="381"/>
      <c r="AP23" s="326"/>
      <c r="AQ23" s="326"/>
      <c r="AR23" s="326"/>
      <c r="AS23" s="326"/>
      <c r="AT23" s="326"/>
      <c r="AU23" s="326"/>
      <c r="AV23" s="327"/>
      <c r="AW23" s="686"/>
      <c r="AX23" s="326"/>
      <c r="AY23" s="327"/>
      <c r="AZ23" s="381"/>
      <c r="BA23" s="326"/>
      <c r="BB23" s="326"/>
      <c r="BC23" s="326"/>
      <c r="BD23" s="326"/>
      <c r="BE23" s="326"/>
      <c r="BF23" s="326"/>
      <c r="BG23" s="326"/>
      <c r="BH23" s="326"/>
      <c r="BI23" s="326"/>
      <c r="BJ23" s="326"/>
      <c r="BK23" s="326"/>
      <c r="BL23" s="326"/>
      <c r="BM23" s="326"/>
      <c r="BN23" s="326"/>
      <c r="BO23" s="327"/>
    </row>
    <row r="24" spans="1:67" ht="34.5" customHeight="1" x14ac:dyDescent="0.25">
      <c r="A24" s="87">
        <f t="shared" si="0"/>
        <v>12</v>
      </c>
      <c r="B24" s="386" t="s">
        <v>334</v>
      </c>
      <c r="C24" s="327"/>
      <c r="D24" s="498"/>
      <c r="E24" s="326"/>
      <c r="F24" s="326"/>
      <c r="G24" s="326"/>
      <c r="H24" s="327"/>
      <c r="I24" s="407"/>
      <c r="J24" s="326"/>
      <c r="K24" s="326"/>
      <c r="L24" s="326"/>
      <c r="M24" s="326"/>
      <c r="N24" s="326"/>
      <c r="O24" s="326"/>
      <c r="P24" s="327"/>
      <c r="Q24" s="456"/>
      <c r="R24" s="326"/>
      <c r="S24" s="326"/>
      <c r="T24" s="326"/>
      <c r="U24" s="326"/>
      <c r="V24" s="326"/>
      <c r="W24" s="326"/>
      <c r="X24" s="327"/>
      <c r="Y24" s="407"/>
      <c r="Z24" s="327"/>
      <c r="AA24" s="456"/>
      <c r="AB24" s="326"/>
      <c r="AC24" s="326"/>
      <c r="AD24" s="327"/>
      <c r="AE24" s="407"/>
      <c r="AF24" s="326"/>
      <c r="AG24" s="327"/>
      <c r="AH24" s="456"/>
      <c r="AI24" s="326"/>
      <c r="AJ24" s="327"/>
      <c r="AK24" s="407"/>
      <c r="AL24" s="326"/>
      <c r="AM24" s="326"/>
      <c r="AN24" s="327"/>
      <c r="AO24" s="456"/>
      <c r="AP24" s="326"/>
      <c r="AQ24" s="326"/>
      <c r="AR24" s="326"/>
      <c r="AS24" s="326"/>
      <c r="AT24" s="326"/>
      <c r="AU24" s="326"/>
      <c r="AV24" s="327"/>
      <c r="AW24" s="685"/>
      <c r="AX24" s="326"/>
      <c r="AY24" s="327"/>
      <c r="AZ24" s="456"/>
      <c r="BA24" s="326"/>
      <c r="BB24" s="326"/>
      <c r="BC24" s="326"/>
      <c r="BD24" s="326"/>
      <c r="BE24" s="326"/>
      <c r="BF24" s="326"/>
      <c r="BG24" s="326"/>
      <c r="BH24" s="326"/>
      <c r="BI24" s="326"/>
      <c r="BJ24" s="326"/>
      <c r="BK24" s="326"/>
      <c r="BL24" s="326"/>
      <c r="BM24" s="326"/>
      <c r="BN24" s="326"/>
      <c r="BO24" s="327"/>
    </row>
    <row r="25" spans="1:67" ht="34.5" customHeight="1" x14ac:dyDescent="0.25">
      <c r="A25" s="87">
        <f t="shared" si="0"/>
        <v>13</v>
      </c>
      <c r="B25" s="386" t="s">
        <v>334</v>
      </c>
      <c r="C25" s="327"/>
      <c r="D25" s="687"/>
      <c r="E25" s="326"/>
      <c r="F25" s="326"/>
      <c r="G25" s="326"/>
      <c r="H25" s="327"/>
      <c r="I25" s="381"/>
      <c r="J25" s="326"/>
      <c r="K25" s="326"/>
      <c r="L25" s="326"/>
      <c r="M25" s="326"/>
      <c r="N25" s="326"/>
      <c r="O25" s="326"/>
      <c r="P25" s="327"/>
      <c r="Q25" s="381"/>
      <c r="R25" s="326"/>
      <c r="S25" s="326"/>
      <c r="T25" s="326"/>
      <c r="U25" s="326"/>
      <c r="V25" s="326"/>
      <c r="W25" s="326"/>
      <c r="X25" s="327"/>
      <c r="Y25" s="381"/>
      <c r="Z25" s="327"/>
      <c r="AA25" s="381"/>
      <c r="AB25" s="326"/>
      <c r="AC25" s="326"/>
      <c r="AD25" s="327"/>
      <c r="AE25" s="381"/>
      <c r="AF25" s="326"/>
      <c r="AG25" s="327"/>
      <c r="AH25" s="381"/>
      <c r="AI25" s="326"/>
      <c r="AJ25" s="327"/>
      <c r="AK25" s="381"/>
      <c r="AL25" s="326"/>
      <c r="AM25" s="326"/>
      <c r="AN25" s="327"/>
      <c r="AO25" s="381"/>
      <c r="AP25" s="326"/>
      <c r="AQ25" s="326"/>
      <c r="AR25" s="326"/>
      <c r="AS25" s="326"/>
      <c r="AT25" s="326"/>
      <c r="AU25" s="326"/>
      <c r="AV25" s="327"/>
      <c r="AW25" s="686"/>
      <c r="AX25" s="326"/>
      <c r="AY25" s="327"/>
      <c r="AZ25" s="381"/>
      <c r="BA25" s="326"/>
      <c r="BB25" s="326"/>
      <c r="BC25" s="326"/>
      <c r="BD25" s="326"/>
      <c r="BE25" s="326"/>
      <c r="BF25" s="326"/>
      <c r="BG25" s="326"/>
      <c r="BH25" s="326"/>
      <c r="BI25" s="326"/>
      <c r="BJ25" s="326"/>
      <c r="BK25" s="326"/>
      <c r="BL25" s="326"/>
      <c r="BM25" s="326"/>
      <c r="BN25" s="326"/>
      <c r="BO25" s="327"/>
    </row>
    <row r="26" spans="1:67" ht="34.5" customHeight="1" x14ac:dyDescent="0.25">
      <c r="A26" s="87">
        <f t="shared" si="0"/>
        <v>14</v>
      </c>
      <c r="B26" s="386" t="s">
        <v>334</v>
      </c>
      <c r="C26" s="327"/>
      <c r="D26" s="498"/>
      <c r="E26" s="326"/>
      <c r="F26" s="326"/>
      <c r="G26" s="326"/>
      <c r="H26" s="327"/>
      <c r="I26" s="407"/>
      <c r="J26" s="326"/>
      <c r="K26" s="326"/>
      <c r="L26" s="326"/>
      <c r="M26" s="326"/>
      <c r="N26" s="326"/>
      <c r="O26" s="326"/>
      <c r="P26" s="327"/>
      <c r="Q26" s="456"/>
      <c r="R26" s="326"/>
      <c r="S26" s="326"/>
      <c r="T26" s="326"/>
      <c r="U26" s="326"/>
      <c r="V26" s="326"/>
      <c r="W26" s="326"/>
      <c r="X26" s="327"/>
      <c r="Y26" s="407"/>
      <c r="Z26" s="327"/>
      <c r="AA26" s="456"/>
      <c r="AB26" s="326"/>
      <c r="AC26" s="326"/>
      <c r="AD26" s="327"/>
      <c r="AE26" s="407"/>
      <c r="AF26" s="326"/>
      <c r="AG26" s="327"/>
      <c r="AH26" s="456"/>
      <c r="AI26" s="326"/>
      <c r="AJ26" s="327"/>
      <c r="AK26" s="407"/>
      <c r="AL26" s="326"/>
      <c r="AM26" s="326"/>
      <c r="AN26" s="327"/>
      <c r="AO26" s="456"/>
      <c r="AP26" s="326"/>
      <c r="AQ26" s="326"/>
      <c r="AR26" s="326"/>
      <c r="AS26" s="326"/>
      <c r="AT26" s="326"/>
      <c r="AU26" s="326"/>
      <c r="AV26" s="327"/>
      <c r="AW26" s="685"/>
      <c r="AX26" s="326"/>
      <c r="AY26" s="327"/>
      <c r="AZ26" s="456"/>
      <c r="BA26" s="326"/>
      <c r="BB26" s="326"/>
      <c r="BC26" s="326"/>
      <c r="BD26" s="326"/>
      <c r="BE26" s="326"/>
      <c r="BF26" s="326"/>
      <c r="BG26" s="326"/>
      <c r="BH26" s="326"/>
      <c r="BI26" s="326"/>
      <c r="BJ26" s="326"/>
      <c r="BK26" s="326"/>
      <c r="BL26" s="326"/>
      <c r="BM26" s="326"/>
      <c r="BN26" s="326"/>
      <c r="BO26" s="327"/>
    </row>
    <row r="27" spans="1:67" ht="34.5" customHeight="1" x14ac:dyDescent="0.25">
      <c r="A27" s="87">
        <f t="shared" si="0"/>
        <v>15</v>
      </c>
      <c r="B27" s="386" t="s">
        <v>334</v>
      </c>
      <c r="C27" s="327"/>
      <c r="D27" s="687"/>
      <c r="E27" s="326"/>
      <c r="F27" s="326"/>
      <c r="G27" s="326"/>
      <c r="H27" s="327"/>
      <c r="I27" s="381"/>
      <c r="J27" s="326"/>
      <c r="K27" s="326"/>
      <c r="L27" s="326"/>
      <c r="M27" s="326"/>
      <c r="N27" s="326"/>
      <c r="O27" s="326"/>
      <c r="P27" s="327"/>
      <c r="Q27" s="381"/>
      <c r="R27" s="326"/>
      <c r="S27" s="326"/>
      <c r="T27" s="326"/>
      <c r="U27" s="326"/>
      <c r="V27" s="326"/>
      <c r="W27" s="326"/>
      <c r="X27" s="327"/>
      <c r="Y27" s="381"/>
      <c r="Z27" s="327"/>
      <c r="AA27" s="381"/>
      <c r="AB27" s="326"/>
      <c r="AC27" s="326"/>
      <c r="AD27" s="327"/>
      <c r="AE27" s="381"/>
      <c r="AF27" s="326"/>
      <c r="AG27" s="327"/>
      <c r="AH27" s="381"/>
      <c r="AI27" s="326"/>
      <c r="AJ27" s="327"/>
      <c r="AK27" s="381"/>
      <c r="AL27" s="326"/>
      <c r="AM27" s="326"/>
      <c r="AN27" s="327"/>
      <c r="AO27" s="381"/>
      <c r="AP27" s="326"/>
      <c r="AQ27" s="326"/>
      <c r="AR27" s="326"/>
      <c r="AS27" s="326"/>
      <c r="AT27" s="326"/>
      <c r="AU27" s="326"/>
      <c r="AV27" s="327"/>
      <c r="AW27" s="686"/>
      <c r="AX27" s="326"/>
      <c r="AY27" s="327"/>
      <c r="AZ27" s="381"/>
      <c r="BA27" s="326"/>
      <c r="BB27" s="326"/>
      <c r="BC27" s="326"/>
      <c r="BD27" s="326"/>
      <c r="BE27" s="326"/>
      <c r="BF27" s="326"/>
      <c r="BG27" s="326"/>
      <c r="BH27" s="326"/>
      <c r="BI27" s="326"/>
      <c r="BJ27" s="326"/>
      <c r="BK27" s="326"/>
      <c r="BL27" s="326"/>
      <c r="BM27" s="326"/>
      <c r="BN27" s="326"/>
      <c r="BO27" s="327"/>
    </row>
    <row r="28" spans="1:67" ht="34.5" customHeight="1" x14ac:dyDescent="0.25">
      <c r="A28" s="87">
        <f t="shared" si="0"/>
        <v>16</v>
      </c>
      <c r="B28" s="386" t="s">
        <v>334</v>
      </c>
      <c r="C28" s="327"/>
      <c r="D28" s="498"/>
      <c r="E28" s="326"/>
      <c r="F28" s="326"/>
      <c r="G28" s="326"/>
      <c r="H28" s="327"/>
      <c r="I28" s="407"/>
      <c r="J28" s="326"/>
      <c r="K28" s="326"/>
      <c r="L28" s="326"/>
      <c r="M28" s="326"/>
      <c r="N28" s="326"/>
      <c r="O28" s="326"/>
      <c r="P28" s="327"/>
      <c r="Q28" s="456"/>
      <c r="R28" s="326"/>
      <c r="S28" s="326"/>
      <c r="T28" s="326"/>
      <c r="U28" s="326"/>
      <c r="V28" s="326"/>
      <c r="W28" s="326"/>
      <c r="X28" s="327"/>
      <c r="Y28" s="407"/>
      <c r="Z28" s="327"/>
      <c r="AA28" s="456"/>
      <c r="AB28" s="326"/>
      <c r="AC28" s="326"/>
      <c r="AD28" s="327"/>
      <c r="AE28" s="407"/>
      <c r="AF28" s="326"/>
      <c r="AG28" s="327"/>
      <c r="AH28" s="456"/>
      <c r="AI28" s="326"/>
      <c r="AJ28" s="327"/>
      <c r="AK28" s="407"/>
      <c r="AL28" s="326"/>
      <c r="AM28" s="326"/>
      <c r="AN28" s="327"/>
      <c r="AO28" s="456"/>
      <c r="AP28" s="326"/>
      <c r="AQ28" s="326"/>
      <c r="AR28" s="326"/>
      <c r="AS28" s="326"/>
      <c r="AT28" s="326"/>
      <c r="AU28" s="326"/>
      <c r="AV28" s="327"/>
      <c r="AW28" s="685"/>
      <c r="AX28" s="326"/>
      <c r="AY28" s="327"/>
      <c r="AZ28" s="456"/>
      <c r="BA28" s="326"/>
      <c r="BB28" s="326"/>
      <c r="BC28" s="326"/>
      <c r="BD28" s="326"/>
      <c r="BE28" s="326"/>
      <c r="BF28" s="326"/>
      <c r="BG28" s="326"/>
      <c r="BH28" s="326"/>
      <c r="BI28" s="326"/>
      <c r="BJ28" s="326"/>
      <c r="BK28" s="326"/>
      <c r="BL28" s="326"/>
      <c r="BM28" s="326"/>
      <c r="BN28" s="326"/>
      <c r="BO28" s="327"/>
    </row>
    <row r="29" spans="1:67" ht="34.5" customHeight="1" x14ac:dyDescent="0.25">
      <c r="A29" s="87">
        <f t="shared" si="0"/>
        <v>17</v>
      </c>
      <c r="B29" s="386" t="s">
        <v>334</v>
      </c>
      <c r="C29" s="327"/>
      <c r="D29" s="687"/>
      <c r="E29" s="326"/>
      <c r="F29" s="326"/>
      <c r="G29" s="326"/>
      <c r="H29" s="327"/>
      <c r="I29" s="381"/>
      <c r="J29" s="326"/>
      <c r="K29" s="326"/>
      <c r="L29" s="326"/>
      <c r="M29" s="326"/>
      <c r="N29" s="326"/>
      <c r="O29" s="326"/>
      <c r="P29" s="327"/>
      <c r="Q29" s="381"/>
      <c r="R29" s="326"/>
      <c r="S29" s="326"/>
      <c r="T29" s="326"/>
      <c r="U29" s="326"/>
      <c r="V29" s="326"/>
      <c r="W29" s="326"/>
      <c r="X29" s="327"/>
      <c r="Y29" s="381"/>
      <c r="Z29" s="327"/>
      <c r="AA29" s="381"/>
      <c r="AB29" s="326"/>
      <c r="AC29" s="326"/>
      <c r="AD29" s="327"/>
      <c r="AE29" s="381"/>
      <c r="AF29" s="326"/>
      <c r="AG29" s="327"/>
      <c r="AH29" s="381"/>
      <c r="AI29" s="326"/>
      <c r="AJ29" s="327"/>
      <c r="AK29" s="381"/>
      <c r="AL29" s="326"/>
      <c r="AM29" s="326"/>
      <c r="AN29" s="327"/>
      <c r="AO29" s="381"/>
      <c r="AP29" s="326"/>
      <c r="AQ29" s="326"/>
      <c r="AR29" s="326"/>
      <c r="AS29" s="326"/>
      <c r="AT29" s="326"/>
      <c r="AU29" s="326"/>
      <c r="AV29" s="327"/>
      <c r="AW29" s="686"/>
      <c r="AX29" s="326"/>
      <c r="AY29" s="327"/>
      <c r="AZ29" s="381"/>
      <c r="BA29" s="326"/>
      <c r="BB29" s="326"/>
      <c r="BC29" s="326"/>
      <c r="BD29" s="326"/>
      <c r="BE29" s="326"/>
      <c r="BF29" s="326"/>
      <c r="BG29" s="326"/>
      <c r="BH29" s="326"/>
      <c r="BI29" s="326"/>
      <c r="BJ29" s="326"/>
      <c r="BK29" s="326"/>
      <c r="BL29" s="326"/>
      <c r="BM29" s="326"/>
      <c r="BN29" s="326"/>
      <c r="BO29" s="327"/>
    </row>
    <row r="30" spans="1:67" ht="34.5" customHeight="1" x14ac:dyDescent="0.25">
      <c r="A30" s="87">
        <f t="shared" si="0"/>
        <v>18</v>
      </c>
      <c r="B30" s="386" t="s">
        <v>334</v>
      </c>
      <c r="C30" s="327"/>
      <c r="D30" s="498"/>
      <c r="E30" s="326"/>
      <c r="F30" s="326"/>
      <c r="G30" s="326"/>
      <c r="H30" s="327"/>
      <c r="I30" s="407"/>
      <c r="J30" s="326"/>
      <c r="K30" s="326"/>
      <c r="L30" s="326"/>
      <c r="M30" s="326"/>
      <c r="N30" s="326"/>
      <c r="O30" s="326"/>
      <c r="P30" s="327"/>
      <c r="Q30" s="456"/>
      <c r="R30" s="326"/>
      <c r="S30" s="326"/>
      <c r="T30" s="326"/>
      <c r="U30" s="326"/>
      <c r="V30" s="326"/>
      <c r="W30" s="326"/>
      <c r="X30" s="327"/>
      <c r="Y30" s="407"/>
      <c r="Z30" s="327"/>
      <c r="AA30" s="456"/>
      <c r="AB30" s="326"/>
      <c r="AC30" s="326"/>
      <c r="AD30" s="327"/>
      <c r="AE30" s="407"/>
      <c r="AF30" s="326"/>
      <c r="AG30" s="327"/>
      <c r="AH30" s="456"/>
      <c r="AI30" s="326"/>
      <c r="AJ30" s="327"/>
      <c r="AK30" s="407"/>
      <c r="AL30" s="326"/>
      <c r="AM30" s="326"/>
      <c r="AN30" s="327"/>
      <c r="AO30" s="456"/>
      <c r="AP30" s="326"/>
      <c r="AQ30" s="326"/>
      <c r="AR30" s="326"/>
      <c r="AS30" s="326"/>
      <c r="AT30" s="326"/>
      <c r="AU30" s="326"/>
      <c r="AV30" s="327"/>
      <c r="AW30" s="685"/>
      <c r="AX30" s="326"/>
      <c r="AY30" s="327"/>
      <c r="AZ30" s="456"/>
      <c r="BA30" s="326"/>
      <c r="BB30" s="326"/>
      <c r="BC30" s="326"/>
      <c r="BD30" s="326"/>
      <c r="BE30" s="326"/>
      <c r="BF30" s="326"/>
      <c r="BG30" s="326"/>
      <c r="BH30" s="326"/>
      <c r="BI30" s="326"/>
      <c r="BJ30" s="326"/>
      <c r="BK30" s="326"/>
      <c r="BL30" s="326"/>
      <c r="BM30" s="326"/>
      <c r="BN30" s="326"/>
      <c r="BO30" s="327"/>
    </row>
    <row r="31" spans="1:67" ht="34.5" customHeight="1" x14ac:dyDescent="0.25">
      <c r="A31" s="87">
        <f t="shared" si="0"/>
        <v>19</v>
      </c>
      <c r="B31" s="386" t="s">
        <v>334</v>
      </c>
      <c r="C31" s="327"/>
      <c r="D31" s="687"/>
      <c r="E31" s="326"/>
      <c r="F31" s="326"/>
      <c r="G31" s="326"/>
      <c r="H31" s="327"/>
      <c r="I31" s="381"/>
      <c r="J31" s="326"/>
      <c r="K31" s="326"/>
      <c r="L31" s="326"/>
      <c r="M31" s="326"/>
      <c r="N31" s="326"/>
      <c r="O31" s="326"/>
      <c r="P31" s="327"/>
      <c r="Q31" s="381"/>
      <c r="R31" s="326"/>
      <c r="S31" s="326"/>
      <c r="T31" s="326"/>
      <c r="U31" s="326"/>
      <c r="V31" s="326"/>
      <c r="W31" s="326"/>
      <c r="X31" s="327"/>
      <c r="Y31" s="381"/>
      <c r="Z31" s="327"/>
      <c r="AA31" s="381"/>
      <c r="AB31" s="326"/>
      <c r="AC31" s="326"/>
      <c r="AD31" s="327"/>
      <c r="AE31" s="381"/>
      <c r="AF31" s="326"/>
      <c r="AG31" s="327"/>
      <c r="AH31" s="381"/>
      <c r="AI31" s="326"/>
      <c r="AJ31" s="327"/>
      <c r="AK31" s="381"/>
      <c r="AL31" s="326"/>
      <c r="AM31" s="326"/>
      <c r="AN31" s="327"/>
      <c r="AO31" s="381"/>
      <c r="AP31" s="326"/>
      <c r="AQ31" s="326"/>
      <c r="AR31" s="326"/>
      <c r="AS31" s="326"/>
      <c r="AT31" s="326"/>
      <c r="AU31" s="326"/>
      <c r="AV31" s="327"/>
      <c r="AW31" s="686"/>
      <c r="AX31" s="326"/>
      <c r="AY31" s="327"/>
      <c r="AZ31" s="381"/>
      <c r="BA31" s="326"/>
      <c r="BB31" s="326"/>
      <c r="BC31" s="326"/>
      <c r="BD31" s="326"/>
      <c r="BE31" s="326"/>
      <c r="BF31" s="326"/>
      <c r="BG31" s="326"/>
      <c r="BH31" s="326"/>
      <c r="BI31" s="326"/>
      <c r="BJ31" s="326"/>
      <c r="BK31" s="326"/>
      <c r="BL31" s="326"/>
      <c r="BM31" s="326"/>
      <c r="BN31" s="326"/>
      <c r="BO31" s="327"/>
    </row>
    <row r="32" spans="1:67" ht="34.5" customHeight="1" x14ac:dyDescent="0.25">
      <c r="A32" s="87">
        <f t="shared" si="0"/>
        <v>20</v>
      </c>
      <c r="B32" s="688" t="s">
        <v>334</v>
      </c>
      <c r="C32" s="327"/>
      <c r="D32" s="498"/>
      <c r="E32" s="326"/>
      <c r="F32" s="326"/>
      <c r="G32" s="326"/>
      <c r="H32" s="327"/>
      <c r="I32" s="407"/>
      <c r="J32" s="326"/>
      <c r="K32" s="326"/>
      <c r="L32" s="326"/>
      <c r="M32" s="326"/>
      <c r="N32" s="326"/>
      <c r="O32" s="326"/>
      <c r="P32" s="327"/>
      <c r="Q32" s="456"/>
      <c r="R32" s="326"/>
      <c r="S32" s="326"/>
      <c r="T32" s="326"/>
      <c r="U32" s="326"/>
      <c r="V32" s="326"/>
      <c r="W32" s="326"/>
      <c r="X32" s="327"/>
      <c r="Y32" s="407"/>
      <c r="Z32" s="327"/>
      <c r="AA32" s="456"/>
      <c r="AB32" s="326"/>
      <c r="AC32" s="326"/>
      <c r="AD32" s="327"/>
      <c r="AE32" s="407"/>
      <c r="AF32" s="326"/>
      <c r="AG32" s="327"/>
      <c r="AH32" s="456"/>
      <c r="AI32" s="326"/>
      <c r="AJ32" s="327"/>
      <c r="AK32" s="407"/>
      <c r="AL32" s="326"/>
      <c r="AM32" s="326"/>
      <c r="AN32" s="327"/>
      <c r="AO32" s="456"/>
      <c r="AP32" s="326"/>
      <c r="AQ32" s="326"/>
      <c r="AR32" s="326"/>
      <c r="AS32" s="326"/>
      <c r="AT32" s="326"/>
      <c r="AU32" s="326"/>
      <c r="AV32" s="327"/>
      <c r="AW32" s="685"/>
      <c r="AX32" s="326"/>
      <c r="AY32" s="327"/>
      <c r="AZ32" s="456"/>
      <c r="BA32" s="326"/>
      <c r="BB32" s="326"/>
      <c r="BC32" s="326"/>
      <c r="BD32" s="326"/>
      <c r="BE32" s="326"/>
      <c r="BF32" s="326"/>
      <c r="BG32" s="326"/>
      <c r="BH32" s="326"/>
      <c r="BI32" s="326"/>
      <c r="BJ32" s="326"/>
      <c r="BK32" s="326"/>
      <c r="BL32" s="326"/>
      <c r="BM32" s="326"/>
      <c r="BN32" s="326"/>
      <c r="BO32" s="327"/>
    </row>
    <row r="33" spans="1:67" ht="34.5" customHeight="1" x14ac:dyDescent="0.25">
      <c r="A33" s="87">
        <f t="shared" si="0"/>
        <v>21</v>
      </c>
      <c r="B33" s="386" t="s">
        <v>334</v>
      </c>
      <c r="C33" s="327"/>
      <c r="D33" s="687"/>
      <c r="E33" s="326"/>
      <c r="F33" s="326"/>
      <c r="G33" s="326"/>
      <c r="H33" s="327"/>
      <c r="I33" s="381"/>
      <c r="J33" s="326"/>
      <c r="K33" s="326"/>
      <c r="L33" s="326"/>
      <c r="M33" s="326"/>
      <c r="N33" s="326"/>
      <c r="O33" s="326"/>
      <c r="P33" s="327"/>
      <c r="Q33" s="381"/>
      <c r="R33" s="326"/>
      <c r="S33" s="326"/>
      <c r="T33" s="326"/>
      <c r="U33" s="326"/>
      <c r="V33" s="326"/>
      <c r="W33" s="326"/>
      <c r="X33" s="327"/>
      <c r="Y33" s="381"/>
      <c r="Z33" s="327"/>
      <c r="AA33" s="381"/>
      <c r="AB33" s="326"/>
      <c r="AC33" s="326"/>
      <c r="AD33" s="327"/>
      <c r="AE33" s="381"/>
      <c r="AF33" s="326"/>
      <c r="AG33" s="327"/>
      <c r="AH33" s="381"/>
      <c r="AI33" s="326"/>
      <c r="AJ33" s="327"/>
      <c r="AK33" s="381"/>
      <c r="AL33" s="326"/>
      <c r="AM33" s="326"/>
      <c r="AN33" s="327"/>
      <c r="AO33" s="381"/>
      <c r="AP33" s="326"/>
      <c r="AQ33" s="326"/>
      <c r="AR33" s="326"/>
      <c r="AS33" s="326"/>
      <c r="AT33" s="326"/>
      <c r="AU33" s="326"/>
      <c r="AV33" s="327"/>
      <c r="AW33" s="686"/>
      <c r="AX33" s="326"/>
      <c r="AY33" s="327"/>
      <c r="AZ33" s="381"/>
      <c r="BA33" s="326"/>
      <c r="BB33" s="326"/>
      <c r="BC33" s="326"/>
      <c r="BD33" s="326"/>
      <c r="BE33" s="326"/>
      <c r="BF33" s="326"/>
      <c r="BG33" s="326"/>
      <c r="BH33" s="326"/>
      <c r="BI33" s="326"/>
      <c r="BJ33" s="326"/>
      <c r="BK33" s="326"/>
      <c r="BL33" s="326"/>
      <c r="BM33" s="326"/>
      <c r="BN33" s="326"/>
      <c r="BO33" s="327"/>
    </row>
    <row r="34" spans="1:67" ht="34.5" customHeight="1" x14ac:dyDescent="0.25">
      <c r="A34" s="87">
        <f t="shared" si="0"/>
        <v>22</v>
      </c>
      <c r="B34" s="386" t="s">
        <v>334</v>
      </c>
      <c r="C34" s="327"/>
      <c r="D34" s="498"/>
      <c r="E34" s="326"/>
      <c r="F34" s="326"/>
      <c r="G34" s="326"/>
      <c r="H34" s="327"/>
      <c r="I34" s="407"/>
      <c r="J34" s="326"/>
      <c r="K34" s="326"/>
      <c r="L34" s="326"/>
      <c r="M34" s="326"/>
      <c r="N34" s="326"/>
      <c r="O34" s="326"/>
      <c r="P34" s="327"/>
      <c r="Q34" s="456"/>
      <c r="R34" s="326"/>
      <c r="S34" s="326"/>
      <c r="T34" s="326"/>
      <c r="U34" s="326"/>
      <c r="V34" s="326"/>
      <c r="W34" s="326"/>
      <c r="X34" s="327"/>
      <c r="Y34" s="407"/>
      <c r="Z34" s="327"/>
      <c r="AA34" s="456"/>
      <c r="AB34" s="326"/>
      <c r="AC34" s="326"/>
      <c r="AD34" s="327"/>
      <c r="AE34" s="407"/>
      <c r="AF34" s="326"/>
      <c r="AG34" s="327"/>
      <c r="AH34" s="456"/>
      <c r="AI34" s="326"/>
      <c r="AJ34" s="327"/>
      <c r="AK34" s="407"/>
      <c r="AL34" s="326"/>
      <c r="AM34" s="326"/>
      <c r="AN34" s="327"/>
      <c r="AO34" s="456"/>
      <c r="AP34" s="326"/>
      <c r="AQ34" s="326"/>
      <c r="AR34" s="326"/>
      <c r="AS34" s="326"/>
      <c r="AT34" s="326"/>
      <c r="AU34" s="326"/>
      <c r="AV34" s="327"/>
      <c r="AW34" s="685"/>
      <c r="AX34" s="326"/>
      <c r="AY34" s="327"/>
      <c r="AZ34" s="456"/>
      <c r="BA34" s="326"/>
      <c r="BB34" s="326"/>
      <c r="BC34" s="326"/>
      <c r="BD34" s="326"/>
      <c r="BE34" s="326"/>
      <c r="BF34" s="326"/>
      <c r="BG34" s="326"/>
      <c r="BH34" s="326"/>
      <c r="BI34" s="326"/>
      <c r="BJ34" s="326"/>
      <c r="BK34" s="326"/>
      <c r="BL34" s="326"/>
      <c r="BM34" s="326"/>
      <c r="BN34" s="326"/>
      <c r="BO34" s="327"/>
    </row>
    <row r="35" spans="1:67" ht="34.5" customHeight="1" x14ac:dyDescent="0.25">
      <c r="A35" s="87">
        <f t="shared" si="0"/>
        <v>23</v>
      </c>
      <c r="B35" s="386" t="s">
        <v>334</v>
      </c>
      <c r="C35" s="327"/>
      <c r="D35" s="687"/>
      <c r="E35" s="326"/>
      <c r="F35" s="326"/>
      <c r="G35" s="326"/>
      <c r="H35" s="327"/>
      <c r="I35" s="381"/>
      <c r="J35" s="326"/>
      <c r="K35" s="326"/>
      <c r="L35" s="326"/>
      <c r="M35" s="326"/>
      <c r="N35" s="326"/>
      <c r="O35" s="326"/>
      <c r="P35" s="327"/>
      <c r="Q35" s="381"/>
      <c r="R35" s="326"/>
      <c r="S35" s="326"/>
      <c r="T35" s="326"/>
      <c r="U35" s="326"/>
      <c r="V35" s="326"/>
      <c r="W35" s="326"/>
      <c r="X35" s="327"/>
      <c r="Y35" s="381"/>
      <c r="Z35" s="327"/>
      <c r="AA35" s="381"/>
      <c r="AB35" s="326"/>
      <c r="AC35" s="326"/>
      <c r="AD35" s="327"/>
      <c r="AE35" s="381"/>
      <c r="AF35" s="326"/>
      <c r="AG35" s="327"/>
      <c r="AH35" s="381"/>
      <c r="AI35" s="326"/>
      <c r="AJ35" s="327"/>
      <c r="AK35" s="381"/>
      <c r="AL35" s="326"/>
      <c r="AM35" s="326"/>
      <c r="AN35" s="327"/>
      <c r="AO35" s="381"/>
      <c r="AP35" s="326"/>
      <c r="AQ35" s="326"/>
      <c r="AR35" s="326"/>
      <c r="AS35" s="326"/>
      <c r="AT35" s="326"/>
      <c r="AU35" s="326"/>
      <c r="AV35" s="327"/>
      <c r="AW35" s="686"/>
      <c r="AX35" s="326"/>
      <c r="AY35" s="327"/>
      <c r="AZ35" s="381"/>
      <c r="BA35" s="326"/>
      <c r="BB35" s="326"/>
      <c r="BC35" s="326"/>
      <c r="BD35" s="326"/>
      <c r="BE35" s="326"/>
      <c r="BF35" s="326"/>
      <c r="BG35" s="326"/>
      <c r="BH35" s="326"/>
      <c r="BI35" s="326"/>
      <c r="BJ35" s="326"/>
      <c r="BK35" s="326"/>
      <c r="BL35" s="326"/>
      <c r="BM35" s="326"/>
      <c r="BN35" s="326"/>
      <c r="BO35" s="327"/>
    </row>
    <row r="36" spans="1:67" ht="34.5" customHeight="1" x14ac:dyDescent="0.25">
      <c r="A36" s="87">
        <f t="shared" si="0"/>
        <v>24</v>
      </c>
      <c r="B36" s="386" t="s">
        <v>334</v>
      </c>
      <c r="C36" s="327"/>
      <c r="D36" s="498"/>
      <c r="E36" s="326"/>
      <c r="F36" s="326"/>
      <c r="G36" s="326"/>
      <c r="H36" s="327"/>
      <c r="I36" s="407"/>
      <c r="J36" s="326"/>
      <c r="K36" s="326"/>
      <c r="L36" s="326"/>
      <c r="M36" s="326"/>
      <c r="N36" s="326"/>
      <c r="O36" s="326"/>
      <c r="P36" s="327"/>
      <c r="Q36" s="456"/>
      <c r="R36" s="326"/>
      <c r="S36" s="326"/>
      <c r="T36" s="326"/>
      <c r="U36" s="326"/>
      <c r="V36" s="326"/>
      <c r="W36" s="326"/>
      <c r="X36" s="327"/>
      <c r="Y36" s="407"/>
      <c r="Z36" s="327"/>
      <c r="AA36" s="456"/>
      <c r="AB36" s="326"/>
      <c r="AC36" s="326"/>
      <c r="AD36" s="327"/>
      <c r="AE36" s="407"/>
      <c r="AF36" s="326"/>
      <c r="AG36" s="327"/>
      <c r="AH36" s="456"/>
      <c r="AI36" s="326"/>
      <c r="AJ36" s="327"/>
      <c r="AK36" s="407"/>
      <c r="AL36" s="326"/>
      <c r="AM36" s="326"/>
      <c r="AN36" s="327"/>
      <c r="AO36" s="456"/>
      <c r="AP36" s="326"/>
      <c r="AQ36" s="326"/>
      <c r="AR36" s="326"/>
      <c r="AS36" s="326"/>
      <c r="AT36" s="326"/>
      <c r="AU36" s="326"/>
      <c r="AV36" s="327"/>
      <c r="AW36" s="685"/>
      <c r="AX36" s="326"/>
      <c r="AY36" s="327"/>
      <c r="AZ36" s="456"/>
      <c r="BA36" s="326"/>
      <c r="BB36" s="326"/>
      <c r="BC36" s="326"/>
      <c r="BD36" s="326"/>
      <c r="BE36" s="326"/>
      <c r="BF36" s="326"/>
      <c r="BG36" s="326"/>
      <c r="BH36" s="326"/>
      <c r="BI36" s="326"/>
      <c r="BJ36" s="326"/>
      <c r="BK36" s="326"/>
      <c r="BL36" s="326"/>
      <c r="BM36" s="326"/>
      <c r="BN36" s="326"/>
      <c r="BO36" s="327"/>
    </row>
    <row r="37" spans="1:67" ht="34.5" customHeight="1" x14ac:dyDescent="0.25">
      <c r="A37" s="87">
        <f t="shared" si="0"/>
        <v>25</v>
      </c>
      <c r="B37" s="386" t="s">
        <v>334</v>
      </c>
      <c r="C37" s="327"/>
      <c r="D37" s="687"/>
      <c r="E37" s="326"/>
      <c r="F37" s="326"/>
      <c r="G37" s="326"/>
      <c r="H37" s="327"/>
      <c r="I37" s="381"/>
      <c r="J37" s="326"/>
      <c r="K37" s="326"/>
      <c r="L37" s="326"/>
      <c r="M37" s="326"/>
      <c r="N37" s="326"/>
      <c r="O37" s="326"/>
      <c r="P37" s="327"/>
      <c r="Q37" s="381"/>
      <c r="R37" s="326"/>
      <c r="S37" s="326"/>
      <c r="T37" s="326"/>
      <c r="U37" s="326"/>
      <c r="V37" s="326"/>
      <c r="W37" s="326"/>
      <c r="X37" s="327"/>
      <c r="Y37" s="381"/>
      <c r="Z37" s="327"/>
      <c r="AA37" s="381"/>
      <c r="AB37" s="326"/>
      <c r="AC37" s="326"/>
      <c r="AD37" s="327"/>
      <c r="AE37" s="381"/>
      <c r="AF37" s="326"/>
      <c r="AG37" s="327"/>
      <c r="AH37" s="381"/>
      <c r="AI37" s="326"/>
      <c r="AJ37" s="327"/>
      <c r="AK37" s="381"/>
      <c r="AL37" s="326"/>
      <c r="AM37" s="326"/>
      <c r="AN37" s="327"/>
      <c r="AO37" s="381"/>
      <c r="AP37" s="326"/>
      <c r="AQ37" s="326"/>
      <c r="AR37" s="326"/>
      <c r="AS37" s="326"/>
      <c r="AT37" s="326"/>
      <c r="AU37" s="326"/>
      <c r="AV37" s="327"/>
      <c r="AW37" s="686"/>
      <c r="AX37" s="326"/>
      <c r="AY37" s="327"/>
      <c r="AZ37" s="381"/>
      <c r="BA37" s="326"/>
      <c r="BB37" s="326"/>
      <c r="BC37" s="326"/>
      <c r="BD37" s="326"/>
      <c r="BE37" s="326"/>
      <c r="BF37" s="326"/>
      <c r="BG37" s="326"/>
      <c r="BH37" s="326"/>
      <c r="BI37" s="326"/>
      <c r="BJ37" s="326"/>
      <c r="BK37" s="326"/>
      <c r="BL37" s="326"/>
      <c r="BM37" s="326"/>
      <c r="BN37" s="326"/>
      <c r="BO37" s="327"/>
    </row>
    <row r="38" spans="1:67" ht="34.5" customHeight="1" x14ac:dyDescent="0.25">
      <c r="A38" s="87">
        <f t="shared" si="0"/>
        <v>26</v>
      </c>
      <c r="B38" s="386" t="s">
        <v>334</v>
      </c>
      <c r="C38" s="327"/>
      <c r="D38" s="498"/>
      <c r="E38" s="326"/>
      <c r="F38" s="326"/>
      <c r="G38" s="326"/>
      <c r="H38" s="327"/>
      <c r="I38" s="407"/>
      <c r="J38" s="326"/>
      <c r="K38" s="326"/>
      <c r="L38" s="326"/>
      <c r="M38" s="326"/>
      <c r="N38" s="326"/>
      <c r="O38" s="326"/>
      <c r="P38" s="327"/>
      <c r="Q38" s="456"/>
      <c r="R38" s="326"/>
      <c r="S38" s="326"/>
      <c r="T38" s="326"/>
      <c r="U38" s="326"/>
      <c r="V38" s="326"/>
      <c r="W38" s="326"/>
      <c r="X38" s="327"/>
      <c r="Y38" s="407"/>
      <c r="Z38" s="327"/>
      <c r="AA38" s="456"/>
      <c r="AB38" s="326"/>
      <c r="AC38" s="326"/>
      <c r="AD38" s="327"/>
      <c r="AE38" s="407"/>
      <c r="AF38" s="326"/>
      <c r="AG38" s="327"/>
      <c r="AH38" s="456"/>
      <c r="AI38" s="326"/>
      <c r="AJ38" s="327"/>
      <c r="AK38" s="407"/>
      <c r="AL38" s="326"/>
      <c r="AM38" s="326"/>
      <c r="AN38" s="327"/>
      <c r="AO38" s="456"/>
      <c r="AP38" s="326"/>
      <c r="AQ38" s="326"/>
      <c r="AR38" s="326"/>
      <c r="AS38" s="326"/>
      <c r="AT38" s="326"/>
      <c r="AU38" s="326"/>
      <c r="AV38" s="327"/>
      <c r="AW38" s="685"/>
      <c r="AX38" s="326"/>
      <c r="AY38" s="327"/>
      <c r="AZ38" s="456"/>
      <c r="BA38" s="326"/>
      <c r="BB38" s="326"/>
      <c r="BC38" s="326"/>
      <c r="BD38" s="326"/>
      <c r="BE38" s="326"/>
      <c r="BF38" s="326"/>
      <c r="BG38" s="326"/>
      <c r="BH38" s="326"/>
      <c r="BI38" s="326"/>
      <c r="BJ38" s="326"/>
      <c r="BK38" s="326"/>
      <c r="BL38" s="326"/>
      <c r="BM38" s="326"/>
      <c r="BN38" s="326"/>
      <c r="BO38" s="327"/>
    </row>
    <row r="39" spans="1:67" ht="34.5" customHeight="1" x14ac:dyDescent="0.25">
      <c r="A39" s="87">
        <f t="shared" si="0"/>
        <v>27</v>
      </c>
      <c r="B39" s="386" t="s">
        <v>334</v>
      </c>
      <c r="C39" s="327"/>
      <c r="D39" s="687"/>
      <c r="E39" s="326"/>
      <c r="F39" s="326"/>
      <c r="G39" s="326"/>
      <c r="H39" s="327"/>
      <c r="I39" s="381"/>
      <c r="J39" s="326"/>
      <c r="K39" s="326"/>
      <c r="L39" s="326"/>
      <c r="M39" s="326"/>
      <c r="N39" s="326"/>
      <c r="O39" s="326"/>
      <c r="P39" s="327"/>
      <c r="Q39" s="381"/>
      <c r="R39" s="326"/>
      <c r="S39" s="326"/>
      <c r="T39" s="326"/>
      <c r="U39" s="326"/>
      <c r="V39" s="326"/>
      <c r="W39" s="326"/>
      <c r="X39" s="327"/>
      <c r="Y39" s="381"/>
      <c r="Z39" s="327"/>
      <c r="AA39" s="381"/>
      <c r="AB39" s="326"/>
      <c r="AC39" s="326"/>
      <c r="AD39" s="327"/>
      <c r="AE39" s="381"/>
      <c r="AF39" s="326"/>
      <c r="AG39" s="327"/>
      <c r="AH39" s="381"/>
      <c r="AI39" s="326"/>
      <c r="AJ39" s="327"/>
      <c r="AK39" s="381"/>
      <c r="AL39" s="326"/>
      <c r="AM39" s="326"/>
      <c r="AN39" s="327"/>
      <c r="AO39" s="381"/>
      <c r="AP39" s="326"/>
      <c r="AQ39" s="326"/>
      <c r="AR39" s="326"/>
      <c r="AS39" s="326"/>
      <c r="AT39" s="326"/>
      <c r="AU39" s="326"/>
      <c r="AV39" s="327"/>
      <c r="AW39" s="686"/>
      <c r="AX39" s="326"/>
      <c r="AY39" s="327"/>
      <c r="AZ39" s="381"/>
      <c r="BA39" s="326"/>
      <c r="BB39" s="326"/>
      <c r="BC39" s="326"/>
      <c r="BD39" s="326"/>
      <c r="BE39" s="326"/>
      <c r="BF39" s="326"/>
      <c r="BG39" s="326"/>
      <c r="BH39" s="326"/>
      <c r="BI39" s="326"/>
      <c r="BJ39" s="326"/>
      <c r="BK39" s="326"/>
      <c r="BL39" s="326"/>
      <c r="BM39" s="326"/>
      <c r="BN39" s="326"/>
      <c r="BO39" s="327"/>
    </row>
    <row r="40" spans="1:67" ht="34.5" customHeight="1" x14ac:dyDescent="0.25">
      <c r="A40" s="87">
        <f t="shared" si="0"/>
        <v>28</v>
      </c>
      <c r="B40" s="386" t="s">
        <v>334</v>
      </c>
      <c r="C40" s="327"/>
      <c r="D40" s="498"/>
      <c r="E40" s="326"/>
      <c r="F40" s="326"/>
      <c r="G40" s="326"/>
      <c r="H40" s="327"/>
      <c r="I40" s="407"/>
      <c r="J40" s="326"/>
      <c r="K40" s="326"/>
      <c r="L40" s="326"/>
      <c r="M40" s="326"/>
      <c r="N40" s="326"/>
      <c r="O40" s="326"/>
      <c r="P40" s="327"/>
      <c r="Q40" s="456"/>
      <c r="R40" s="326"/>
      <c r="S40" s="326"/>
      <c r="T40" s="326"/>
      <c r="U40" s="326"/>
      <c r="V40" s="326"/>
      <c r="W40" s="326"/>
      <c r="X40" s="327"/>
      <c r="Y40" s="407"/>
      <c r="Z40" s="327"/>
      <c r="AA40" s="456"/>
      <c r="AB40" s="326"/>
      <c r="AC40" s="326"/>
      <c r="AD40" s="327"/>
      <c r="AE40" s="407"/>
      <c r="AF40" s="326"/>
      <c r="AG40" s="327"/>
      <c r="AH40" s="456"/>
      <c r="AI40" s="326"/>
      <c r="AJ40" s="327"/>
      <c r="AK40" s="407"/>
      <c r="AL40" s="326"/>
      <c r="AM40" s="326"/>
      <c r="AN40" s="327"/>
      <c r="AO40" s="456"/>
      <c r="AP40" s="326"/>
      <c r="AQ40" s="326"/>
      <c r="AR40" s="326"/>
      <c r="AS40" s="326"/>
      <c r="AT40" s="326"/>
      <c r="AU40" s="326"/>
      <c r="AV40" s="327"/>
      <c r="AW40" s="685"/>
      <c r="AX40" s="326"/>
      <c r="AY40" s="327"/>
      <c r="AZ40" s="456"/>
      <c r="BA40" s="326"/>
      <c r="BB40" s="326"/>
      <c r="BC40" s="326"/>
      <c r="BD40" s="326"/>
      <c r="BE40" s="326"/>
      <c r="BF40" s="326"/>
      <c r="BG40" s="326"/>
      <c r="BH40" s="326"/>
      <c r="BI40" s="326"/>
      <c r="BJ40" s="326"/>
      <c r="BK40" s="326"/>
      <c r="BL40" s="326"/>
      <c r="BM40" s="326"/>
      <c r="BN40" s="326"/>
      <c r="BO40" s="327"/>
    </row>
    <row r="41" spans="1:67" ht="34.5" customHeight="1" x14ac:dyDescent="0.25">
      <c r="A41" s="87">
        <f t="shared" si="0"/>
        <v>29</v>
      </c>
      <c r="B41" s="386" t="s">
        <v>334</v>
      </c>
      <c r="C41" s="327"/>
      <c r="D41" s="687"/>
      <c r="E41" s="326"/>
      <c r="F41" s="326"/>
      <c r="G41" s="326"/>
      <c r="H41" s="327"/>
      <c r="I41" s="381"/>
      <c r="J41" s="326"/>
      <c r="K41" s="326"/>
      <c r="L41" s="326"/>
      <c r="M41" s="326"/>
      <c r="N41" s="326"/>
      <c r="O41" s="326"/>
      <c r="P41" s="327"/>
      <c r="Q41" s="381"/>
      <c r="R41" s="326"/>
      <c r="S41" s="326"/>
      <c r="T41" s="326"/>
      <c r="U41" s="326"/>
      <c r="V41" s="326"/>
      <c r="W41" s="326"/>
      <c r="X41" s="327"/>
      <c r="Y41" s="381"/>
      <c r="Z41" s="327"/>
      <c r="AA41" s="381"/>
      <c r="AB41" s="326"/>
      <c r="AC41" s="326"/>
      <c r="AD41" s="327"/>
      <c r="AE41" s="381"/>
      <c r="AF41" s="326"/>
      <c r="AG41" s="327"/>
      <c r="AH41" s="381"/>
      <c r="AI41" s="326"/>
      <c r="AJ41" s="327"/>
      <c r="AK41" s="381"/>
      <c r="AL41" s="326"/>
      <c r="AM41" s="326"/>
      <c r="AN41" s="327"/>
      <c r="AO41" s="381"/>
      <c r="AP41" s="326"/>
      <c r="AQ41" s="326"/>
      <c r="AR41" s="326"/>
      <c r="AS41" s="326"/>
      <c r="AT41" s="326"/>
      <c r="AU41" s="326"/>
      <c r="AV41" s="327"/>
      <c r="AW41" s="686"/>
      <c r="AX41" s="326"/>
      <c r="AY41" s="327"/>
      <c r="AZ41" s="381"/>
      <c r="BA41" s="326"/>
      <c r="BB41" s="326"/>
      <c r="BC41" s="326"/>
      <c r="BD41" s="326"/>
      <c r="BE41" s="326"/>
      <c r="BF41" s="326"/>
      <c r="BG41" s="326"/>
      <c r="BH41" s="326"/>
      <c r="BI41" s="326"/>
      <c r="BJ41" s="326"/>
      <c r="BK41" s="326"/>
      <c r="BL41" s="326"/>
      <c r="BM41" s="326"/>
      <c r="BN41" s="326"/>
      <c r="BO41" s="327"/>
    </row>
    <row r="42" spans="1:67" ht="34.5" customHeight="1" x14ac:dyDescent="0.25">
      <c r="A42" s="87">
        <f t="shared" si="0"/>
        <v>30</v>
      </c>
      <c r="B42" s="386" t="s">
        <v>334</v>
      </c>
      <c r="C42" s="327"/>
      <c r="D42" s="498"/>
      <c r="E42" s="326"/>
      <c r="F42" s="326"/>
      <c r="G42" s="326"/>
      <c r="H42" s="327"/>
      <c r="I42" s="407"/>
      <c r="J42" s="326"/>
      <c r="K42" s="326"/>
      <c r="L42" s="326"/>
      <c r="M42" s="326"/>
      <c r="N42" s="326"/>
      <c r="O42" s="326"/>
      <c r="P42" s="327"/>
      <c r="Q42" s="456"/>
      <c r="R42" s="326"/>
      <c r="S42" s="326"/>
      <c r="T42" s="326"/>
      <c r="U42" s="326"/>
      <c r="V42" s="326"/>
      <c r="W42" s="326"/>
      <c r="X42" s="327"/>
      <c r="Y42" s="407"/>
      <c r="Z42" s="327"/>
      <c r="AA42" s="456"/>
      <c r="AB42" s="326"/>
      <c r="AC42" s="326"/>
      <c r="AD42" s="327"/>
      <c r="AE42" s="407"/>
      <c r="AF42" s="326"/>
      <c r="AG42" s="327"/>
      <c r="AH42" s="456"/>
      <c r="AI42" s="326"/>
      <c r="AJ42" s="327"/>
      <c r="AK42" s="407"/>
      <c r="AL42" s="326"/>
      <c r="AM42" s="326"/>
      <c r="AN42" s="327"/>
      <c r="AO42" s="456"/>
      <c r="AP42" s="326"/>
      <c r="AQ42" s="326"/>
      <c r="AR42" s="326"/>
      <c r="AS42" s="326"/>
      <c r="AT42" s="326"/>
      <c r="AU42" s="326"/>
      <c r="AV42" s="327"/>
      <c r="AW42" s="685"/>
      <c r="AX42" s="326"/>
      <c r="AY42" s="327"/>
      <c r="AZ42" s="456"/>
      <c r="BA42" s="326"/>
      <c r="BB42" s="326"/>
      <c r="BC42" s="326"/>
      <c r="BD42" s="326"/>
      <c r="BE42" s="326"/>
      <c r="BF42" s="326"/>
      <c r="BG42" s="326"/>
      <c r="BH42" s="326"/>
      <c r="BI42" s="326"/>
      <c r="BJ42" s="326"/>
      <c r="BK42" s="326"/>
      <c r="BL42" s="326"/>
      <c r="BM42" s="326"/>
      <c r="BN42" s="326"/>
      <c r="BO42" s="327"/>
    </row>
    <row r="43" spans="1:67" ht="34.5" customHeight="1" x14ac:dyDescent="0.25">
      <c r="A43" s="87">
        <f t="shared" si="0"/>
        <v>31</v>
      </c>
      <c r="B43" s="386" t="s">
        <v>334</v>
      </c>
      <c r="C43" s="327"/>
      <c r="D43" s="687"/>
      <c r="E43" s="326"/>
      <c r="F43" s="326"/>
      <c r="G43" s="326"/>
      <c r="H43" s="327"/>
      <c r="I43" s="381"/>
      <c r="J43" s="326"/>
      <c r="K43" s="326"/>
      <c r="L43" s="326"/>
      <c r="M43" s="326"/>
      <c r="N43" s="326"/>
      <c r="O43" s="326"/>
      <c r="P43" s="327"/>
      <c r="Q43" s="381"/>
      <c r="R43" s="326"/>
      <c r="S43" s="326"/>
      <c r="T43" s="326"/>
      <c r="U43" s="326"/>
      <c r="V43" s="326"/>
      <c r="W43" s="326"/>
      <c r="X43" s="327"/>
      <c r="Y43" s="381"/>
      <c r="Z43" s="327"/>
      <c r="AA43" s="381"/>
      <c r="AB43" s="326"/>
      <c r="AC43" s="326"/>
      <c r="AD43" s="327"/>
      <c r="AE43" s="381"/>
      <c r="AF43" s="326"/>
      <c r="AG43" s="327"/>
      <c r="AH43" s="381"/>
      <c r="AI43" s="326"/>
      <c r="AJ43" s="327"/>
      <c r="AK43" s="381"/>
      <c r="AL43" s="326"/>
      <c r="AM43" s="326"/>
      <c r="AN43" s="327"/>
      <c r="AO43" s="381"/>
      <c r="AP43" s="326"/>
      <c r="AQ43" s="326"/>
      <c r="AR43" s="326"/>
      <c r="AS43" s="326"/>
      <c r="AT43" s="326"/>
      <c r="AU43" s="326"/>
      <c r="AV43" s="327"/>
      <c r="AW43" s="686"/>
      <c r="AX43" s="326"/>
      <c r="AY43" s="327"/>
      <c r="AZ43" s="381"/>
      <c r="BA43" s="326"/>
      <c r="BB43" s="326"/>
      <c r="BC43" s="326"/>
      <c r="BD43" s="326"/>
      <c r="BE43" s="326"/>
      <c r="BF43" s="326"/>
      <c r="BG43" s="326"/>
      <c r="BH43" s="326"/>
      <c r="BI43" s="326"/>
      <c r="BJ43" s="326"/>
      <c r="BK43" s="326"/>
      <c r="BL43" s="326"/>
      <c r="BM43" s="326"/>
      <c r="BN43" s="326"/>
      <c r="BO43" s="327"/>
    </row>
    <row r="44" spans="1:67" ht="34.5" customHeight="1" x14ac:dyDescent="0.25">
      <c r="A44" s="87">
        <f t="shared" si="0"/>
        <v>32</v>
      </c>
      <c r="B44" s="386" t="s">
        <v>334</v>
      </c>
      <c r="C44" s="327"/>
      <c r="D44" s="498"/>
      <c r="E44" s="326"/>
      <c r="F44" s="326"/>
      <c r="G44" s="326"/>
      <c r="H44" s="327"/>
      <c r="I44" s="407"/>
      <c r="J44" s="326"/>
      <c r="K44" s="326"/>
      <c r="L44" s="326"/>
      <c r="M44" s="326"/>
      <c r="N44" s="326"/>
      <c r="O44" s="326"/>
      <c r="P44" s="327"/>
      <c r="Q44" s="456"/>
      <c r="R44" s="326"/>
      <c r="S44" s="326"/>
      <c r="T44" s="326"/>
      <c r="U44" s="326"/>
      <c r="V44" s="326"/>
      <c r="W44" s="326"/>
      <c r="X44" s="327"/>
      <c r="Y44" s="407"/>
      <c r="Z44" s="327"/>
      <c r="AA44" s="456"/>
      <c r="AB44" s="326"/>
      <c r="AC44" s="326"/>
      <c r="AD44" s="327"/>
      <c r="AE44" s="407"/>
      <c r="AF44" s="326"/>
      <c r="AG44" s="327"/>
      <c r="AH44" s="456"/>
      <c r="AI44" s="326"/>
      <c r="AJ44" s="327"/>
      <c r="AK44" s="407"/>
      <c r="AL44" s="326"/>
      <c r="AM44" s="326"/>
      <c r="AN44" s="327"/>
      <c r="AO44" s="456"/>
      <c r="AP44" s="326"/>
      <c r="AQ44" s="326"/>
      <c r="AR44" s="326"/>
      <c r="AS44" s="326"/>
      <c r="AT44" s="326"/>
      <c r="AU44" s="326"/>
      <c r="AV44" s="327"/>
      <c r="AW44" s="685"/>
      <c r="AX44" s="326"/>
      <c r="AY44" s="327"/>
      <c r="AZ44" s="456"/>
      <c r="BA44" s="326"/>
      <c r="BB44" s="326"/>
      <c r="BC44" s="326"/>
      <c r="BD44" s="326"/>
      <c r="BE44" s="326"/>
      <c r="BF44" s="326"/>
      <c r="BG44" s="326"/>
      <c r="BH44" s="326"/>
      <c r="BI44" s="326"/>
      <c r="BJ44" s="326"/>
      <c r="BK44" s="326"/>
      <c r="BL44" s="326"/>
      <c r="BM44" s="326"/>
      <c r="BN44" s="326"/>
      <c r="BO44" s="327"/>
    </row>
    <row r="45" spans="1:67" ht="34.5" customHeight="1" x14ac:dyDescent="0.25">
      <c r="A45" s="87">
        <f t="shared" si="0"/>
        <v>33</v>
      </c>
      <c r="B45" s="386" t="s">
        <v>334</v>
      </c>
      <c r="C45" s="327"/>
      <c r="D45" s="687"/>
      <c r="E45" s="326"/>
      <c r="F45" s="326"/>
      <c r="G45" s="326"/>
      <c r="H45" s="327"/>
      <c r="I45" s="381"/>
      <c r="J45" s="326"/>
      <c r="K45" s="326"/>
      <c r="L45" s="326"/>
      <c r="M45" s="326"/>
      <c r="N45" s="326"/>
      <c r="O45" s="326"/>
      <c r="P45" s="327"/>
      <c r="Q45" s="381"/>
      <c r="R45" s="326"/>
      <c r="S45" s="326"/>
      <c r="T45" s="326"/>
      <c r="U45" s="326"/>
      <c r="V45" s="326"/>
      <c r="W45" s="326"/>
      <c r="X45" s="327"/>
      <c r="Y45" s="381"/>
      <c r="Z45" s="327"/>
      <c r="AA45" s="381"/>
      <c r="AB45" s="326"/>
      <c r="AC45" s="326"/>
      <c r="AD45" s="327"/>
      <c r="AE45" s="381"/>
      <c r="AF45" s="326"/>
      <c r="AG45" s="327"/>
      <c r="AH45" s="381"/>
      <c r="AI45" s="326"/>
      <c r="AJ45" s="327"/>
      <c r="AK45" s="381"/>
      <c r="AL45" s="326"/>
      <c r="AM45" s="326"/>
      <c r="AN45" s="327"/>
      <c r="AO45" s="381"/>
      <c r="AP45" s="326"/>
      <c r="AQ45" s="326"/>
      <c r="AR45" s="326"/>
      <c r="AS45" s="326"/>
      <c r="AT45" s="326"/>
      <c r="AU45" s="326"/>
      <c r="AV45" s="327"/>
      <c r="AW45" s="686"/>
      <c r="AX45" s="326"/>
      <c r="AY45" s="327"/>
      <c r="AZ45" s="381"/>
      <c r="BA45" s="326"/>
      <c r="BB45" s="326"/>
      <c r="BC45" s="326"/>
      <c r="BD45" s="326"/>
      <c r="BE45" s="326"/>
      <c r="BF45" s="326"/>
      <c r="BG45" s="326"/>
      <c r="BH45" s="326"/>
      <c r="BI45" s="326"/>
      <c r="BJ45" s="326"/>
      <c r="BK45" s="326"/>
      <c r="BL45" s="326"/>
      <c r="BM45" s="326"/>
      <c r="BN45" s="326"/>
      <c r="BO45" s="327"/>
    </row>
    <row r="46" spans="1:67" ht="34.5" customHeight="1" x14ac:dyDescent="0.25">
      <c r="A46" s="87">
        <f t="shared" si="0"/>
        <v>34</v>
      </c>
      <c r="B46" s="386" t="s">
        <v>334</v>
      </c>
      <c r="C46" s="327"/>
      <c r="D46" s="498"/>
      <c r="E46" s="326"/>
      <c r="F46" s="326"/>
      <c r="G46" s="326"/>
      <c r="H46" s="327"/>
      <c r="I46" s="407"/>
      <c r="J46" s="326"/>
      <c r="K46" s="326"/>
      <c r="L46" s="326"/>
      <c r="M46" s="326"/>
      <c r="N46" s="326"/>
      <c r="O46" s="326"/>
      <c r="P46" s="327"/>
      <c r="Q46" s="456"/>
      <c r="R46" s="326"/>
      <c r="S46" s="326"/>
      <c r="T46" s="326"/>
      <c r="U46" s="326"/>
      <c r="V46" s="326"/>
      <c r="W46" s="326"/>
      <c r="X46" s="327"/>
      <c r="Y46" s="407"/>
      <c r="Z46" s="327"/>
      <c r="AA46" s="456"/>
      <c r="AB46" s="326"/>
      <c r="AC46" s="326"/>
      <c r="AD46" s="327"/>
      <c r="AE46" s="407"/>
      <c r="AF46" s="326"/>
      <c r="AG46" s="327"/>
      <c r="AH46" s="456"/>
      <c r="AI46" s="326"/>
      <c r="AJ46" s="327"/>
      <c r="AK46" s="407"/>
      <c r="AL46" s="326"/>
      <c r="AM46" s="326"/>
      <c r="AN46" s="327"/>
      <c r="AO46" s="456"/>
      <c r="AP46" s="326"/>
      <c r="AQ46" s="326"/>
      <c r="AR46" s="326"/>
      <c r="AS46" s="326"/>
      <c r="AT46" s="326"/>
      <c r="AU46" s="326"/>
      <c r="AV46" s="327"/>
      <c r="AW46" s="685"/>
      <c r="AX46" s="326"/>
      <c r="AY46" s="327"/>
      <c r="AZ46" s="456"/>
      <c r="BA46" s="326"/>
      <c r="BB46" s="326"/>
      <c r="BC46" s="326"/>
      <c r="BD46" s="326"/>
      <c r="BE46" s="326"/>
      <c r="BF46" s="326"/>
      <c r="BG46" s="326"/>
      <c r="BH46" s="326"/>
      <c r="BI46" s="326"/>
      <c r="BJ46" s="326"/>
      <c r="BK46" s="326"/>
      <c r="BL46" s="326"/>
      <c r="BM46" s="326"/>
      <c r="BN46" s="326"/>
      <c r="BO46" s="327"/>
    </row>
    <row r="47" spans="1:67" ht="34.5" customHeight="1" x14ac:dyDescent="0.25">
      <c r="A47" s="87">
        <f t="shared" si="0"/>
        <v>35</v>
      </c>
      <c r="B47" s="386" t="s">
        <v>334</v>
      </c>
      <c r="C47" s="327"/>
      <c r="D47" s="687"/>
      <c r="E47" s="326"/>
      <c r="F47" s="326"/>
      <c r="G47" s="326"/>
      <c r="H47" s="327"/>
      <c r="I47" s="381"/>
      <c r="J47" s="326"/>
      <c r="K47" s="326"/>
      <c r="L47" s="326"/>
      <c r="M47" s="326"/>
      <c r="N47" s="326"/>
      <c r="O47" s="326"/>
      <c r="P47" s="327"/>
      <c r="Q47" s="381"/>
      <c r="R47" s="326"/>
      <c r="S47" s="326"/>
      <c r="T47" s="326"/>
      <c r="U47" s="326"/>
      <c r="V47" s="326"/>
      <c r="W47" s="326"/>
      <c r="X47" s="327"/>
      <c r="Y47" s="381"/>
      <c r="Z47" s="327"/>
      <c r="AA47" s="381"/>
      <c r="AB47" s="326"/>
      <c r="AC47" s="326"/>
      <c r="AD47" s="327"/>
      <c r="AE47" s="381"/>
      <c r="AF47" s="326"/>
      <c r="AG47" s="327"/>
      <c r="AH47" s="381"/>
      <c r="AI47" s="326"/>
      <c r="AJ47" s="327"/>
      <c r="AK47" s="381"/>
      <c r="AL47" s="326"/>
      <c r="AM47" s="326"/>
      <c r="AN47" s="327"/>
      <c r="AO47" s="381"/>
      <c r="AP47" s="326"/>
      <c r="AQ47" s="326"/>
      <c r="AR47" s="326"/>
      <c r="AS47" s="326"/>
      <c r="AT47" s="326"/>
      <c r="AU47" s="326"/>
      <c r="AV47" s="327"/>
      <c r="AW47" s="686"/>
      <c r="AX47" s="326"/>
      <c r="AY47" s="327"/>
      <c r="AZ47" s="381"/>
      <c r="BA47" s="326"/>
      <c r="BB47" s="326"/>
      <c r="BC47" s="326"/>
      <c r="BD47" s="326"/>
      <c r="BE47" s="326"/>
      <c r="BF47" s="326"/>
      <c r="BG47" s="326"/>
      <c r="BH47" s="326"/>
      <c r="BI47" s="326"/>
      <c r="BJ47" s="326"/>
      <c r="BK47" s="326"/>
      <c r="BL47" s="326"/>
      <c r="BM47" s="326"/>
      <c r="BN47" s="326"/>
      <c r="BO47" s="327"/>
    </row>
    <row r="48" spans="1:67" ht="34.5" customHeight="1" x14ac:dyDescent="0.25">
      <c r="A48" s="87">
        <f t="shared" si="0"/>
        <v>36</v>
      </c>
      <c r="B48" s="386" t="s">
        <v>334</v>
      </c>
      <c r="C48" s="327"/>
      <c r="D48" s="498"/>
      <c r="E48" s="326"/>
      <c r="F48" s="326"/>
      <c r="G48" s="326"/>
      <c r="H48" s="327"/>
      <c r="I48" s="407"/>
      <c r="J48" s="326"/>
      <c r="K48" s="326"/>
      <c r="L48" s="326"/>
      <c r="M48" s="326"/>
      <c r="N48" s="326"/>
      <c r="O48" s="326"/>
      <c r="P48" s="327"/>
      <c r="Q48" s="456"/>
      <c r="R48" s="326"/>
      <c r="S48" s="326"/>
      <c r="T48" s="326"/>
      <c r="U48" s="326"/>
      <c r="V48" s="326"/>
      <c r="W48" s="326"/>
      <c r="X48" s="327"/>
      <c r="Y48" s="407"/>
      <c r="Z48" s="327"/>
      <c r="AA48" s="456"/>
      <c r="AB48" s="326"/>
      <c r="AC48" s="326"/>
      <c r="AD48" s="327"/>
      <c r="AE48" s="407"/>
      <c r="AF48" s="326"/>
      <c r="AG48" s="327"/>
      <c r="AH48" s="456"/>
      <c r="AI48" s="326"/>
      <c r="AJ48" s="327"/>
      <c r="AK48" s="407"/>
      <c r="AL48" s="326"/>
      <c r="AM48" s="326"/>
      <c r="AN48" s="327"/>
      <c r="AO48" s="456"/>
      <c r="AP48" s="326"/>
      <c r="AQ48" s="326"/>
      <c r="AR48" s="326"/>
      <c r="AS48" s="326"/>
      <c r="AT48" s="326"/>
      <c r="AU48" s="326"/>
      <c r="AV48" s="327"/>
      <c r="AW48" s="685"/>
      <c r="AX48" s="326"/>
      <c r="AY48" s="327"/>
      <c r="AZ48" s="456"/>
      <c r="BA48" s="326"/>
      <c r="BB48" s="326"/>
      <c r="BC48" s="326"/>
      <c r="BD48" s="326"/>
      <c r="BE48" s="326"/>
      <c r="BF48" s="326"/>
      <c r="BG48" s="326"/>
      <c r="BH48" s="326"/>
      <c r="BI48" s="326"/>
      <c r="BJ48" s="326"/>
      <c r="BK48" s="326"/>
      <c r="BL48" s="326"/>
      <c r="BM48" s="326"/>
      <c r="BN48" s="326"/>
      <c r="BO48" s="327"/>
    </row>
    <row r="49" spans="1:67" ht="34.5" customHeight="1" x14ac:dyDescent="0.25">
      <c r="A49" s="87">
        <f t="shared" si="0"/>
        <v>37</v>
      </c>
      <c r="B49" s="386" t="s">
        <v>334</v>
      </c>
      <c r="C49" s="327"/>
      <c r="D49" s="687"/>
      <c r="E49" s="326"/>
      <c r="F49" s="326"/>
      <c r="G49" s="326"/>
      <c r="H49" s="327"/>
      <c r="I49" s="381"/>
      <c r="J49" s="326"/>
      <c r="K49" s="326"/>
      <c r="L49" s="326"/>
      <c r="M49" s="326"/>
      <c r="N49" s="326"/>
      <c r="O49" s="326"/>
      <c r="P49" s="327"/>
      <c r="Q49" s="381"/>
      <c r="R49" s="326"/>
      <c r="S49" s="326"/>
      <c r="T49" s="326"/>
      <c r="U49" s="326"/>
      <c r="V49" s="326"/>
      <c r="W49" s="326"/>
      <c r="X49" s="327"/>
      <c r="Y49" s="381"/>
      <c r="Z49" s="327"/>
      <c r="AA49" s="381"/>
      <c r="AB49" s="326"/>
      <c r="AC49" s="326"/>
      <c r="AD49" s="327"/>
      <c r="AE49" s="381"/>
      <c r="AF49" s="326"/>
      <c r="AG49" s="327"/>
      <c r="AH49" s="381"/>
      <c r="AI49" s="326"/>
      <c r="AJ49" s="327"/>
      <c r="AK49" s="381"/>
      <c r="AL49" s="326"/>
      <c r="AM49" s="326"/>
      <c r="AN49" s="327"/>
      <c r="AO49" s="381"/>
      <c r="AP49" s="326"/>
      <c r="AQ49" s="326"/>
      <c r="AR49" s="326"/>
      <c r="AS49" s="326"/>
      <c r="AT49" s="326"/>
      <c r="AU49" s="326"/>
      <c r="AV49" s="327"/>
      <c r="AW49" s="686"/>
      <c r="AX49" s="326"/>
      <c r="AY49" s="327"/>
      <c r="AZ49" s="381"/>
      <c r="BA49" s="326"/>
      <c r="BB49" s="326"/>
      <c r="BC49" s="326"/>
      <c r="BD49" s="326"/>
      <c r="BE49" s="326"/>
      <c r="BF49" s="326"/>
      <c r="BG49" s="326"/>
      <c r="BH49" s="326"/>
      <c r="BI49" s="326"/>
      <c r="BJ49" s="326"/>
      <c r="BK49" s="326"/>
      <c r="BL49" s="326"/>
      <c r="BM49" s="326"/>
      <c r="BN49" s="326"/>
      <c r="BO49" s="327"/>
    </row>
    <row r="50" spans="1:67" ht="34.5" customHeight="1" x14ac:dyDescent="0.25">
      <c r="A50" s="87">
        <f t="shared" si="0"/>
        <v>38</v>
      </c>
      <c r="B50" s="688" t="s">
        <v>334</v>
      </c>
      <c r="C50" s="327"/>
      <c r="D50" s="498"/>
      <c r="E50" s="326"/>
      <c r="F50" s="326"/>
      <c r="G50" s="326"/>
      <c r="H50" s="327"/>
      <c r="I50" s="407"/>
      <c r="J50" s="326"/>
      <c r="K50" s="326"/>
      <c r="L50" s="326"/>
      <c r="M50" s="326"/>
      <c r="N50" s="326"/>
      <c r="O50" s="326"/>
      <c r="P50" s="327"/>
      <c r="Q50" s="456"/>
      <c r="R50" s="326"/>
      <c r="S50" s="326"/>
      <c r="T50" s="326"/>
      <c r="U50" s="326"/>
      <c r="V50" s="326"/>
      <c r="W50" s="326"/>
      <c r="X50" s="327"/>
      <c r="Y50" s="407"/>
      <c r="Z50" s="327"/>
      <c r="AA50" s="456"/>
      <c r="AB50" s="326"/>
      <c r="AC50" s="326"/>
      <c r="AD50" s="327"/>
      <c r="AE50" s="407"/>
      <c r="AF50" s="326"/>
      <c r="AG50" s="327"/>
      <c r="AH50" s="456"/>
      <c r="AI50" s="326"/>
      <c r="AJ50" s="327"/>
      <c r="AK50" s="407"/>
      <c r="AL50" s="326"/>
      <c r="AM50" s="326"/>
      <c r="AN50" s="327"/>
      <c r="AO50" s="456"/>
      <c r="AP50" s="326"/>
      <c r="AQ50" s="326"/>
      <c r="AR50" s="326"/>
      <c r="AS50" s="326"/>
      <c r="AT50" s="326"/>
      <c r="AU50" s="326"/>
      <c r="AV50" s="327"/>
      <c r="AW50" s="685"/>
      <c r="AX50" s="326"/>
      <c r="AY50" s="327"/>
      <c r="AZ50" s="456"/>
      <c r="BA50" s="326"/>
      <c r="BB50" s="326"/>
      <c r="BC50" s="326"/>
      <c r="BD50" s="326"/>
      <c r="BE50" s="326"/>
      <c r="BF50" s="326"/>
      <c r="BG50" s="326"/>
      <c r="BH50" s="326"/>
      <c r="BI50" s="326"/>
      <c r="BJ50" s="326"/>
      <c r="BK50" s="326"/>
      <c r="BL50" s="326"/>
      <c r="BM50" s="326"/>
      <c r="BN50" s="326"/>
      <c r="BO50" s="327"/>
    </row>
    <row r="51" spans="1:67" ht="34.5" customHeight="1" x14ac:dyDescent="0.25">
      <c r="A51" s="87">
        <f t="shared" si="0"/>
        <v>39</v>
      </c>
      <c r="B51" s="386" t="s">
        <v>334</v>
      </c>
      <c r="C51" s="327"/>
      <c r="D51" s="687"/>
      <c r="E51" s="326"/>
      <c r="F51" s="326"/>
      <c r="G51" s="326"/>
      <c r="H51" s="327"/>
      <c r="I51" s="381"/>
      <c r="J51" s="326"/>
      <c r="K51" s="326"/>
      <c r="L51" s="326"/>
      <c r="M51" s="326"/>
      <c r="N51" s="326"/>
      <c r="O51" s="326"/>
      <c r="P51" s="327"/>
      <c r="Q51" s="381"/>
      <c r="R51" s="326"/>
      <c r="S51" s="326"/>
      <c r="T51" s="326"/>
      <c r="U51" s="326"/>
      <c r="V51" s="326"/>
      <c r="W51" s="326"/>
      <c r="X51" s="327"/>
      <c r="Y51" s="381"/>
      <c r="Z51" s="327"/>
      <c r="AA51" s="381"/>
      <c r="AB51" s="326"/>
      <c r="AC51" s="326"/>
      <c r="AD51" s="327"/>
      <c r="AE51" s="381"/>
      <c r="AF51" s="326"/>
      <c r="AG51" s="327"/>
      <c r="AH51" s="381"/>
      <c r="AI51" s="326"/>
      <c r="AJ51" s="327"/>
      <c r="AK51" s="381"/>
      <c r="AL51" s="326"/>
      <c r="AM51" s="326"/>
      <c r="AN51" s="327"/>
      <c r="AO51" s="381"/>
      <c r="AP51" s="326"/>
      <c r="AQ51" s="326"/>
      <c r="AR51" s="326"/>
      <c r="AS51" s="326"/>
      <c r="AT51" s="326"/>
      <c r="AU51" s="326"/>
      <c r="AV51" s="327"/>
      <c r="AW51" s="686"/>
      <c r="AX51" s="326"/>
      <c r="AY51" s="327"/>
      <c r="AZ51" s="381"/>
      <c r="BA51" s="326"/>
      <c r="BB51" s="326"/>
      <c r="BC51" s="326"/>
      <c r="BD51" s="326"/>
      <c r="BE51" s="326"/>
      <c r="BF51" s="326"/>
      <c r="BG51" s="326"/>
      <c r="BH51" s="326"/>
      <c r="BI51" s="326"/>
      <c r="BJ51" s="326"/>
      <c r="BK51" s="326"/>
      <c r="BL51" s="326"/>
      <c r="BM51" s="326"/>
      <c r="BN51" s="326"/>
      <c r="BO51" s="327"/>
    </row>
    <row r="52" spans="1:67" ht="34.5" customHeight="1" x14ac:dyDescent="0.25">
      <c r="A52" s="87">
        <f t="shared" si="0"/>
        <v>40</v>
      </c>
      <c r="B52" s="386" t="s">
        <v>334</v>
      </c>
      <c r="C52" s="327"/>
      <c r="D52" s="498"/>
      <c r="E52" s="326"/>
      <c r="F52" s="326"/>
      <c r="G52" s="326"/>
      <c r="H52" s="327"/>
      <c r="I52" s="407"/>
      <c r="J52" s="326"/>
      <c r="K52" s="326"/>
      <c r="L52" s="326"/>
      <c r="M52" s="326"/>
      <c r="N52" s="326"/>
      <c r="O52" s="326"/>
      <c r="P52" s="327"/>
      <c r="Q52" s="456"/>
      <c r="R52" s="326"/>
      <c r="S52" s="326"/>
      <c r="T52" s="326"/>
      <c r="U52" s="326"/>
      <c r="V52" s="326"/>
      <c r="W52" s="326"/>
      <c r="X52" s="327"/>
      <c r="Y52" s="407"/>
      <c r="Z52" s="327"/>
      <c r="AA52" s="456"/>
      <c r="AB52" s="326"/>
      <c r="AC52" s="326"/>
      <c r="AD52" s="327"/>
      <c r="AE52" s="407"/>
      <c r="AF52" s="326"/>
      <c r="AG52" s="327"/>
      <c r="AH52" s="456"/>
      <c r="AI52" s="326"/>
      <c r="AJ52" s="327"/>
      <c r="AK52" s="407"/>
      <c r="AL52" s="326"/>
      <c r="AM52" s="326"/>
      <c r="AN52" s="327"/>
      <c r="AO52" s="456"/>
      <c r="AP52" s="326"/>
      <c r="AQ52" s="326"/>
      <c r="AR52" s="326"/>
      <c r="AS52" s="326"/>
      <c r="AT52" s="326"/>
      <c r="AU52" s="326"/>
      <c r="AV52" s="327"/>
      <c r="AW52" s="685"/>
      <c r="AX52" s="326"/>
      <c r="AY52" s="327"/>
      <c r="AZ52" s="456"/>
      <c r="BA52" s="326"/>
      <c r="BB52" s="326"/>
      <c r="BC52" s="326"/>
      <c r="BD52" s="326"/>
      <c r="BE52" s="326"/>
      <c r="BF52" s="326"/>
      <c r="BG52" s="326"/>
      <c r="BH52" s="326"/>
      <c r="BI52" s="326"/>
      <c r="BJ52" s="326"/>
      <c r="BK52" s="326"/>
      <c r="BL52" s="326"/>
      <c r="BM52" s="326"/>
      <c r="BN52" s="326"/>
      <c r="BO52" s="327"/>
    </row>
    <row r="53" spans="1:67" ht="34.5" customHeight="1" x14ac:dyDescent="0.25">
      <c r="A53" s="87">
        <f t="shared" si="0"/>
        <v>41</v>
      </c>
      <c r="B53" s="386" t="s">
        <v>334</v>
      </c>
      <c r="C53" s="327"/>
      <c r="D53" s="687"/>
      <c r="E53" s="326"/>
      <c r="F53" s="326"/>
      <c r="G53" s="326"/>
      <c r="H53" s="327"/>
      <c r="I53" s="381"/>
      <c r="J53" s="326"/>
      <c r="K53" s="326"/>
      <c r="L53" s="326"/>
      <c r="M53" s="326"/>
      <c r="N53" s="326"/>
      <c r="O53" s="326"/>
      <c r="P53" s="327"/>
      <c r="Q53" s="381"/>
      <c r="R53" s="326"/>
      <c r="S53" s="326"/>
      <c r="T53" s="326"/>
      <c r="U53" s="326"/>
      <c r="V53" s="326"/>
      <c r="W53" s="326"/>
      <c r="X53" s="327"/>
      <c r="Y53" s="381"/>
      <c r="Z53" s="327"/>
      <c r="AA53" s="381"/>
      <c r="AB53" s="326"/>
      <c r="AC53" s="326"/>
      <c r="AD53" s="327"/>
      <c r="AE53" s="381"/>
      <c r="AF53" s="326"/>
      <c r="AG53" s="327"/>
      <c r="AH53" s="381"/>
      <c r="AI53" s="326"/>
      <c r="AJ53" s="327"/>
      <c r="AK53" s="381"/>
      <c r="AL53" s="326"/>
      <c r="AM53" s="326"/>
      <c r="AN53" s="327"/>
      <c r="AO53" s="381"/>
      <c r="AP53" s="326"/>
      <c r="AQ53" s="326"/>
      <c r="AR53" s="326"/>
      <c r="AS53" s="326"/>
      <c r="AT53" s="326"/>
      <c r="AU53" s="326"/>
      <c r="AV53" s="327"/>
      <c r="AW53" s="686"/>
      <c r="AX53" s="326"/>
      <c r="AY53" s="327"/>
      <c r="AZ53" s="381"/>
      <c r="BA53" s="326"/>
      <c r="BB53" s="326"/>
      <c r="BC53" s="326"/>
      <c r="BD53" s="326"/>
      <c r="BE53" s="326"/>
      <c r="BF53" s="326"/>
      <c r="BG53" s="326"/>
      <c r="BH53" s="326"/>
      <c r="BI53" s="326"/>
      <c r="BJ53" s="326"/>
      <c r="BK53" s="326"/>
      <c r="BL53" s="326"/>
      <c r="BM53" s="326"/>
      <c r="BN53" s="326"/>
      <c r="BO53" s="327"/>
    </row>
    <row r="54" spans="1:67" ht="34.5" customHeight="1" x14ac:dyDescent="0.25">
      <c r="A54" s="87">
        <f t="shared" si="0"/>
        <v>42</v>
      </c>
      <c r="B54" s="386" t="s">
        <v>334</v>
      </c>
      <c r="C54" s="327"/>
      <c r="D54" s="498"/>
      <c r="E54" s="326"/>
      <c r="F54" s="326"/>
      <c r="G54" s="326"/>
      <c r="H54" s="327"/>
      <c r="I54" s="407"/>
      <c r="J54" s="326"/>
      <c r="K54" s="326"/>
      <c r="L54" s="326"/>
      <c r="M54" s="326"/>
      <c r="N54" s="326"/>
      <c r="O54" s="326"/>
      <c r="P54" s="327"/>
      <c r="Q54" s="456"/>
      <c r="R54" s="326"/>
      <c r="S54" s="326"/>
      <c r="T54" s="326"/>
      <c r="U54" s="326"/>
      <c r="V54" s="326"/>
      <c r="W54" s="326"/>
      <c r="X54" s="327"/>
      <c r="Y54" s="407"/>
      <c r="Z54" s="327"/>
      <c r="AA54" s="456"/>
      <c r="AB54" s="326"/>
      <c r="AC54" s="326"/>
      <c r="AD54" s="327"/>
      <c r="AE54" s="407"/>
      <c r="AF54" s="326"/>
      <c r="AG54" s="327"/>
      <c r="AH54" s="456"/>
      <c r="AI54" s="326"/>
      <c r="AJ54" s="327"/>
      <c r="AK54" s="407"/>
      <c r="AL54" s="326"/>
      <c r="AM54" s="326"/>
      <c r="AN54" s="327"/>
      <c r="AO54" s="456"/>
      <c r="AP54" s="326"/>
      <c r="AQ54" s="326"/>
      <c r="AR54" s="326"/>
      <c r="AS54" s="326"/>
      <c r="AT54" s="326"/>
      <c r="AU54" s="326"/>
      <c r="AV54" s="327"/>
      <c r="AW54" s="685"/>
      <c r="AX54" s="326"/>
      <c r="AY54" s="327"/>
      <c r="AZ54" s="456"/>
      <c r="BA54" s="326"/>
      <c r="BB54" s="326"/>
      <c r="BC54" s="326"/>
      <c r="BD54" s="326"/>
      <c r="BE54" s="326"/>
      <c r="BF54" s="326"/>
      <c r="BG54" s="326"/>
      <c r="BH54" s="326"/>
      <c r="BI54" s="326"/>
      <c r="BJ54" s="326"/>
      <c r="BK54" s="326"/>
      <c r="BL54" s="326"/>
      <c r="BM54" s="326"/>
      <c r="BN54" s="326"/>
      <c r="BO54" s="327"/>
    </row>
    <row r="55" spans="1:67" ht="34.5" customHeight="1" x14ac:dyDescent="0.25">
      <c r="A55" s="87">
        <f t="shared" si="0"/>
        <v>43</v>
      </c>
      <c r="B55" s="386" t="s">
        <v>334</v>
      </c>
      <c r="C55" s="327"/>
      <c r="D55" s="687"/>
      <c r="E55" s="326"/>
      <c r="F55" s="326"/>
      <c r="G55" s="326"/>
      <c r="H55" s="327"/>
      <c r="I55" s="381"/>
      <c r="J55" s="326"/>
      <c r="K55" s="326"/>
      <c r="L55" s="326"/>
      <c r="M55" s="326"/>
      <c r="N55" s="326"/>
      <c r="O55" s="326"/>
      <c r="P55" s="327"/>
      <c r="Q55" s="381"/>
      <c r="R55" s="326"/>
      <c r="S55" s="326"/>
      <c r="T55" s="326"/>
      <c r="U55" s="326"/>
      <c r="V55" s="326"/>
      <c r="W55" s="326"/>
      <c r="X55" s="327"/>
      <c r="Y55" s="381"/>
      <c r="Z55" s="327"/>
      <c r="AA55" s="381"/>
      <c r="AB55" s="326"/>
      <c r="AC55" s="326"/>
      <c r="AD55" s="327"/>
      <c r="AE55" s="381"/>
      <c r="AF55" s="326"/>
      <c r="AG55" s="327"/>
      <c r="AH55" s="381"/>
      <c r="AI55" s="326"/>
      <c r="AJ55" s="327"/>
      <c r="AK55" s="381"/>
      <c r="AL55" s="326"/>
      <c r="AM55" s="326"/>
      <c r="AN55" s="327"/>
      <c r="AO55" s="381"/>
      <c r="AP55" s="326"/>
      <c r="AQ55" s="326"/>
      <c r="AR55" s="326"/>
      <c r="AS55" s="326"/>
      <c r="AT55" s="326"/>
      <c r="AU55" s="326"/>
      <c r="AV55" s="327"/>
      <c r="AW55" s="686"/>
      <c r="AX55" s="326"/>
      <c r="AY55" s="327"/>
      <c r="AZ55" s="381"/>
      <c r="BA55" s="326"/>
      <c r="BB55" s="326"/>
      <c r="BC55" s="326"/>
      <c r="BD55" s="326"/>
      <c r="BE55" s="326"/>
      <c r="BF55" s="326"/>
      <c r="BG55" s="326"/>
      <c r="BH55" s="326"/>
      <c r="BI55" s="326"/>
      <c r="BJ55" s="326"/>
      <c r="BK55" s="326"/>
      <c r="BL55" s="326"/>
      <c r="BM55" s="326"/>
      <c r="BN55" s="326"/>
      <c r="BO55" s="327"/>
    </row>
    <row r="56" spans="1:67" ht="34.5" customHeight="1" x14ac:dyDescent="0.25">
      <c r="A56" s="87">
        <f t="shared" si="0"/>
        <v>44</v>
      </c>
      <c r="B56" s="386" t="s">
        <v>334</v>
      </c>
      <c r="C56" s="327"/>
      <c r="D56" s="498"/>
      <c r="E56" s="326"/>
      <c r="F56" s="326"/>
      <c r="G56" s="326"/>
      <c r="H56" s="327"/>
      <c r="I56" s="407"/>
      <c r="J56" s="326"/>
      <c r="K56" s="326"/>
      <c r="L56" s="326"/>
      <c r="M56" s="326"/>
      <c r="N56" s="326"/>
      <c r="O56" s="326"/>
      <c r="P56" s="327"/>
      <c r="Q56" s="456"/>
      <c r="R56" s="326"/>
      <c r="S56" s="326"/>
      <c r="T56" s="326"/>
      <c r="U56" s="326"/>
      <c r="V56" s="326"/>
      <c r="W56" s="326"/>
      <c r="X56" s="327"/>
      <c r="Y56" s="407"/>
      <c r="Z56" s="327"/>
      <c r="AA56" s="456"/>
      <c r="AB56" s="326"/>
      <c r="AC56" s="326"/>
      <c r="AD56" s="327"/>
      <c r="AE56" s="407"/>
      <c r="AF56" s="326"/>
      <c r="AG56" s="327"/>
      <c r="AH56" s="456"/>
      <c r="AI56" s="326"/>
      <c r="AJ56" s="327"/>
      <c r="AK56" s="407"/>
      <c r="AL56" s="326"/>
      <c r="AM56" s="326"/>
      <c r="AN56" s="327"/>
      <c r="AO56" s="456"/>
      <c r="AP56" s="326"/>
      <c r="AQ56" s="326"/>
      <c r="AR56" s="326"/>
      <c r="AS56" s="326"/>
      <c r="AT56" s="326"/>
      <c r="AU56" s="326"/>
      <c r="AV56" s="327"/>
      <c r="AW56" s="685"/>
      <c r="AX56" s="326"/>
      <c r="AY56" s="327"/>
      <c r="AZ56" s="456"/>
      <c r="BA56" s="326"/>
      <c r="BB56" s="326"/>
      <c r="BC56" s="326"/>
      <c r="BD56" s="326"/>
      <c r="BE56" s="326"/>
      <c r="BF56" s="326"/>
      <c r="BG56" s="326"/>
      <c r="BH56" s="326"/>
      <c r="BI56" s="326"/>
      <c r="BJ56" s="326"/>
      <c r="BK56" s="326"/>
      <c r="BL56" s="326"/>
      <c r="BM56" s="326"/>
      <c r="BN56" s="326"/>
      <c r="BO56" s="327"/>
    </row>
    <row r="57" spans="1:67" ht="34.5" customHeight="1" x14ac:dyDescent="0.25">
      <c r="A57" s="87">
        <f t="shared" si="0"/>
        <v>45</v>
      </c>
      <c r="B57" s="386" t="s">
        <v>334</v>
      </c>
      <c r="C57" s="327"/>
      <c r="D57" s="687"/>
      <c r="E57" s="326"/>
      <c r="F57" s="326"/>
      <c r="G57" s="326"/>
      <c r="H57" s="327"/>
      <c r="I57" s="381"/>
      <c r="J57" s="326"/>
      <c r="K57" s="326"/>
      <c r="L57" s="326"/>
      <c r="M57" s="326"/>
      <c r="N57" s="326"/>
      <c r="O57" s="326"/>
      <c r="P57" s="327"/>
      <c r="Q57" s="381"/>
      <c r="R57" s="326"/>
      <c r="S57" s="326"/>
      <c r="T57" s="326"/>
      <c r="U57" s="326"/>
      <c r="V57" s="326"/>
      <c r="W57" s="326"/>
      <c r="X57" s="327"/>
      <c r="Y57" s="381"/>
      <c r="Z57" s="327"/>
      <c r="AA57" s="381"/>
      <c r="AB57" s="326"/>
      <c r="AC57" s="326"/>
      <c r="AD57" s="327"/>
      <c r="AE57" s="381"/>
      <c r="AF57" s="326"/>
      <c r="AG57" s="327"/>
      <c r="AH57" s="381"/>
      <c r="AI57" s="326"/>
      <c r="AJ57" s="327"/>
      <c r="AK57" s="381"/>
      <c r="AL57" s="326"/>
      <c r="AM57" s="326"/>
      <c r="AN57" s="327"/>
      <c r="AO57" s="381"/>
      <c r="AP57" s="326"/>
      <c r="AQ57" s="326"/>
      <c r="AR57" s="326"/>
      <c r="AS57" s="326"/>
      <c r="AT57" s="326"/>
      <c r="AU57" s="326"/>
      <c r="AV57" s="327"/>
      <c r="AW57" s="686"/>
      <c r="AX57" s="326"/>
      <c r="AY57" s="327"/>
      <c r="AZ57" s="381"/>
      <c r="BA57" s="326"/>
      <c r="BB57" s="326"/>
      <c r="BC57" s="326"/>
      <c r="BD57" s="326"/>
      <c r="BE57" s="326"/>
      <c r="BF57" s="326"/>
      <c r="BG57" s="326"/>
      <c r="BH57" s="326"/>
      <c r="BI57" s="326"/>
      <c r="BJ57" s="326"/>
      <c r="BK57" s="326"/>
      <c r="BL57" s="326"/>
      <c r="BM57" s="326"/>
      <c r="BN57" s="326"/>
      <c r="BO57" s="327"/>
    </row>
    <row r="58" spans="1:67" ht="34.5" customHeight="1" x14ac:dyDescent="0.25">
      <c r="A58" s="87">
        <f t="shared" si="0"/>
        <v>46</v>
      </c>
      <c r="B58" s="386" t="s">
        <v>334</v>
      </c>
      <c r="C58" s="327"/>
      <c r="D58" s="498"/>
      <c r="E58" s="326"/>
      <c r="F58" s="326"/>
      <c r="G58" s="326"/>
      <c r="H58" s="327"/>
      <c r="I58" s="407"/>
      <c r="J58" s="326"/>
      <c r="K58" s="326"/>
      <c r="L58" s="326"/>
      <c r="M58" s="326"/>
      <c r="N58" s="326"/>
      <c r="O58" s="326"/>
      <c r="P58" s="327"/>
      <c r="Q58" s="456"/>
      <c r="R58" s="326"/>
      <c r="S58" s="326"/>
      <c r="T58" s="326"/>
      <c r="U58" s="326"/>
      <c r="V58" s="326"/>
      <c r="W58" s="326"/>
      <c r="X58" s="327"/>
      <c r="Y58" s="407"/>
      <c r="Z58" s="327"/>
      <c r="AA58" s="456"/>
      <c r="AB58" s="326"/>
      <c r="AC58" s="326"/>
      <c r="AD58" s="327"/>
      <c r="AE58" s="407"/>
      <c r="AF58" s="326"/>
      <c r="AG58" s="327"/>
      <c r="AH58" s="456"/>
      <c r="AI58" s="326"/>
      <c r="AJ58" s="327"/>
      <c r="AK58" s="407"/>
      <c r="AL58" s="326"/>
      <c r="AM58" s="326"/>
      <c r="AN58" s="327"/>
      <c r="AO58" s="456"/>
      <c r="AP58" s="326"/>
      <c r="AQ58" s="326"/>
      <c r="AR58" s="326"/>
      <c r="AS58" s="326"/>
      <c r="AT58" s="326"/>
      <c r="AU58" s="326"/>
      <c r="AV58" s="327"/>
      <c r="AW58" s="685"/>
      <c r="AX58" s="326"/>
      <c r="AY58" s="327"/>
      <c r="AZ58" s="456"/>
      <c r="BA58" s="326"/>
      <c r="BB58" s="326"/>
      <c r="BC58" s="326"/>
      <c r="BD58" s="326"/>
      <c r="BE58" s="326"/>
      <c r="BF58" s="326"/>
      <c r="BG58" s="326"/>
      <c r="BH58" s="326"/>
      <c r="BI58" s="326"/>
      <c r="BJ58" s="326"/>
      <c r="BK58" s="326"/>
      <c r="BL58" s="326"/>
      <c r="BM58" s="326"/>
      <c r="BN58" s="326"/>
      <c r="BO58" s="327"/>
    </row>
    <row r="59" spans="1:67" ht="34.5" customHeight="1" x14ac:dyDescent="0.25">
      <c r="A59" s="87">
        <f t="shared" si="0"/>
        <v>47</v>
      </c>
      <c r="B59" s="386" t="s">
        <v>334</v>
      </c>
      <c r="C59" s="327"/>
      <c r="D59" s="687"/>
      <c r="E59" s="326"/>
      <c r="F59" s="326"/>
      <c r="G59" s="326"/>
      <c r="H59" s="327"/>
      <c r="I59" s="381"/>
      <c r="J59" s="326"/>
      <c r="K59" s="326"/>
      <c r="L59" s="326"/>
      <c r="M59" s="326"/>
      <c r="N59" s="326"/>
      <c r="O59" s="326"/>
      <c r="P59" s="327"/>
      <c r="Q59" s="381"/>
      <c r="R59" s="326"/>
      <c r="S59" s="326"/>
      <c r="T59" s="326"/>
      <c r="U59" s="326"/>
      <c r="V59" s="326"/>
      <c r="W59" s="326"/>
      <c r="X59" s="327"/>
      <c r="Y59" s="381"/>
      <c r="Z59" s="327"/>
      <c r="AA59" s="381"/>
      <c r="AB59" s="326"/>
      <c r="AC59" s="326"/>
      <c r="AD59" s="327"/>
      <c r="AE59" s="381"/>
      <c r="AF59" s="326"/>
      <c r="AG59" s="327"/>
      <c r="AH59" s="381"/>
      <c r="AI59" s="326"/>
      <c r="AJ59" s="327"/>
      <c r="AK59" s="381"/>
      <c r="AL59" s="326"/>
      <c r="AM59" s="326"/>
      <c r="AN59" s="327"/>
      <c r="AO59" s="381"/>
      <c r="AP59" s="326"/>
      <c r="AQ59" s="326"/>
      <c r="AR59" s="326"/>
      <c r="AS59" s="326"/>
      <c r="AT59" s="326"/>
      <c r="AU59" s="326"/>
      <c r="AV59" s="327"/>
      <c r="AW59" s="686"/>
      <c r="AX59" s="326"/>
      <c r="AY59" s="327"/>
      <c r="AZ59" s="381"/>
      <c r="BA59" s="326"/>
      <c r="BB59" s="326"/>
      <c r="BC59" s="326"/>
      <c r="BD59" s="326"/>
      <c r="BE59" s="326"/>
      <c r="BF59" s="326"/>
      <c r="BG59" s="326"/>
      <c r="BH59" s="326"/>
      <c r="BI59" s="326"/>
      <c r="BJ59" s="326"/>
      <c r="BK59" s="326"/>
      <c r="BL59" s="326"/>
      <c r="BM59" s="326"/>
      <c r="BN59" s="326"/>
      <c r="BO59" s="327"/>
    </row>
    <row r="60" spans="1:67" ht="34.5" customHeight="1" x14ac:dyDescent="0.25">
      <c r="A60" s="87">
        <f t="shared" si="0"/>
        <v>48</v>
      </c>
      <c r="B60" s="386" t="s">
        <v>334</v>
      </c>
      <c r="C60" s="327"/>
      <c r="D60" s="498"/>
      <c r="E60" s="326"/>
      <c r="F60" s="326"/>
      <c r="G60" s="326"/>
      <c r="H60" s="327"/>
      <c r="I60" s="407"/>
      <c r="J60" s="326"/>
      <c r="K60" s="326"/>
      <c r="L60" s="326"/>
      <c r="M60" s="326"/>
      <c r="N60" s="326"/>
      <c r="O60" s="326"/>
      <c r="P60" s="327"/>
      <c r="Q60" s="456"/>
      <c r="R60" s="326"/>
      <c r="S60" s="326"/>
      <c r="T60" s="326"/>
      <c r="U60" s="326"/>
      <c r="V60" s="326"/>
      <c r="W60" s="326"/>
      <c r="X60" s="327"/>
      <c r="Y60" s="407"/>
      <c r="Z60" s="327"/>
      <c r="AA60" s="456"/>
      <c r="AB60" s="326"/>
      <c r="AC60" s="326"/>
      <c r="AD60" s="327"/>
      <c r="AE60" s="407"/>
      <c r="AF60" s="326"/>
      <c r="AG60" s="327"/>
      <c r="AH60" s="456"/>
      <c r="AI60" s="326"/>
      <c r="AJ60" s="327"/>
      <c r="AK60" s="407"/>
      <c r="AL60" s="326"/>
      <c r="AM60" s="326"/>
      <c r="AN60" s="327"/>
      <c r="AO60" s="456"/>
      <c r="AP60" s="326"/>
      <c r="AQ60" s="326"/>
      <c r="AR60" s="326"/>
      <c r="AS60" s="326"/>
      <c r="AT60" s="326"/>
      <c r="AU60" s="326"/>
      <c r="AV60" s="327"/>
      <c r="AW60" s="685"/>
      <c r="AX60" s="326"/>
      <c r="AY60" s="327"/>
      <c r="AZ60" s="456"/>
      <c r="BA60" s="326"/>
      <c r="BB60" s="326"/>
      <c r="BC60" s="326"/>
      <c r="BD60" s="326"/>
      <c r="BE60" s="326"/>
      <c r="BF60" s="326"/>
      <c r="BG60" s="326"/>
      <c r="BH60" s="326"/>
      <c r="BI60" s="326"/>
      <c r="BJ60" s="326"/>
      <c r="BK60" s="326"/>
      <c r="BL60" s="326"/>
      <c r="BM60" s="326"/>
      <c r="BN60" s="326"/>
      <c r="BO60" s="327"/>
    </row>
    <row r="61" spans="1:67" ht="34.5" customHeight="1" x14ac:dyDescent="0.25">
      <c r="A61" s="87">
        <f t="shared" si="0"/>
        <v>49</v>
      </c>
      <c r="B61" s="386" t="s">
        <v>334</v>
      </c>
      <c r="C61" s="327"/>
      <c r="D61" s="687"/>
      <c r="E61" s="326"/>
      <c r="F61" s="326"/>
      <c r="G61" s="326"/>
      <c r="H61" s="327"/>
      <c r="I61" s="381"/>
      <c r="J61" s="326"/>
      <c r="K61" s="326"/>
      <c r="L61" s="326"/>
      <c r="M61" s="326"/>
      <c r="N61" s="326"/>
      <c r="O61" s="326"/>
      <c r="P61" s="327"/>
      <c r="Q61" s="381"/>
      <c r="R61" s="326"/>
      <c r="S61" s="326"/>
      <c r="T61" s="326"/>
      <c r="U61" s="326"/>
      <c r="V61" s="326"/>
      <c r="W61" s="326"/>
      <c r="X61" s="327"/>
      <c r="Y61" s="381"/>
      <c r="Z61" s="327"/>
      <c r="AA61" s="381"/>
      <c r="AB61" s="326"/>
      <c r="AC61" s="326"/>
      <c r="AD61" s="327"/>
      <c r="AE61" s="381"/>
      <c r="AF61" s="326"/>
      <c r="AG61" s="327"/>
      <c r="AH61" s="381"/>
      <c r="AI61" s="326"/>
      <c r="AJ61" s="327"/>
      <c r="AK61" s="381"/>
      <c r="AL61" s="326"/>
      <c r="AM61" s="326"/>
      <c r="AN61" s="327"/>
      <c r="AO61" s="381"/>
      <c r="AP61" s="326"/>
      <c r="AQ61" s="326"/>
      <c r="AR61" s="326"/>
      <c r="AS61" s="326"/>
      <c r="AT61" s="326"/>
      <c r="AU61" s="326"/>
      <c r="AV61" s="327"/>
      <c r="AW61" s="686"/>
      <c r="AX61" s="326"/>
      <c r="AY61" s="327"/>
      <c r="AZ61" s="381"/>
      <c r="BA61" s="326"/>
      <c r="BB61" s="326"/>
      <c r="BC61" s="326"/>
      <c r="BD61" s="326"/>
      <c r="BE61" s="326"/>
      <c r="BF61" s="326"/>
      <c r="BG61" s="326"/>
      <c r="BH61" s="326"/>
      <c r="BI61" s="326"/>
      <c r="BJ61" s="326"/>
      <c r="BK61" s="326"/>
      <c r="BL61" s="326"/>
      <c r="BM61" s="326"/>
      <c r="BN61" s="326"/>
      <c r="BO61" s="327"/>
    </row>
    <row r="62" spans="1:67" ht="34.5" customHeight="1" x14ac:dyDescent="0.25">
      <c r="A62" s="87">
        <f t="shared" si="0"/>
        <v>50</v>
      </c>
      <c r="B62" s="386" t="s">
        <v>334</v>
      </c>
      <c r="C62" s="327"/>
      <c r="D62" s="498"/>
      <c r="E62" s="326"/>
      <c r="F62" s="326"/>
      <c r="G62" s="326"/>
      <c r="H62" s="327"/>
      <c r="I62" s="407"/>
      <c r="J62" s="326"/>
      <c r="K62" s="326"/>
      <c r="L62" s="326"/>
      <c r="M62" s="326"/>
      <c r="N62" s="326"/>
      <c r="O62" s="326"/>
      <c r="P62" s="327"/>
      <c r="Q62" s="456"/>
      <c r="R62" s="326"/>
      <c r="S62" s="326"/>
      <c r="T62" s="326"/>
      <c r="U62" s="326"/>
      <c r="V62" s="326"/>
      <c r="W62" s="326"/>
      <c r="X62" s="327"/>
      <c r="Y62" s="407"/>
      <c r="Z62" s="327"/>
      <c r="AA62" s="456"/>
      <c r="AB62" s="326"/>
      <c r="AC62" s="326"/>
      <c r="AD62" s="327"/>
      <c r="AE62" s="407"/>
      <c r="AF62" s="326"/>
      <c r="AG62" s="327"/>
      <c r="AH62" s="456"/>
      <c r="AI62" s="326"/>
      <c r="AJ62" s="327"/>
      <c r="AK62" s="407"/>
      <c r="AL62" s="326"/>
      <c r="AM62" s="326"/>
      <c r="AN62" s="327"/>
      <c r="AO62" s="456"/>
      <c r="AP62" s="326"/>
      <c r="AQ62" s="326"/>
      <c r="AR62" s="326"/>
      <c r="AS62" s="326"/>
      <c r="AT62" s="326"/>
      <c r="AU62" s="326"/>
      <c r="AV62" s="327"/>
      <c r="AW62" s="685"/>
      <c r="AX62" s="326"/>
      <c r="AY62" s="327"/>
      <c r="AZ62" s="456"/>
      <c r="BA62" s="326"/>
      <c r="BB62" s="326"/>
      <c r="BC62" s="326"/>
      <c r="BD62" s="326"/>
      <c r="BE62" s="326"/>
      <c r="BF62" s="326"/>
      <c r="BG62" s="326"/>
      <c r="BH62" s="326"/>
      <c r="BI62" s="326"/>
      <c r="BJ62" s="326"/>
      <c r="BK62" s="326"/>
      <c r="BL62" s="326"/>
      <c r="BM62" s="326"/>
      <c r="BN62" s="326"/>
      <c r="BO62" s="327"/>
    </row>
    <row r="63" spans="1:67" ht="34.5" customHeight="1" x14ac:dyDescent="0.25">
      <c r="A63" s="87">
        <f t="shared" si="0"/>
        <v>51</v>
      </c>
      <c r="B63" s="386" t="s">
        <v>334</v>
      </c>
      <c r="C63" s="327"/>
      <c r="D63" s="687"/>
      <c r="E63" s="326"/>
      <c r="F63" s="326"/>
      <c r="G63" s="326"/>
      <c r="H63" s="327"/>
      <c r="I63" s="381"/>
      <c r="J63" s="326"/>
      <c r="K63" s="326"/>
      <c r="L63" s="326"/>
      <c r="M63" s="326"/>
      <c r="N63" s="326"/>
      <c r="O63" s="326"/>
      <c r="P63" s="327"/>
      <c r="Q63" s="381"/>
      <c r="R63" s="326"/>
      <c r="S63" s="326"/>
      <c r="T63" s="326"/>
      <c r="U63" s="326"/>
      <c r="V63" s="326"/>
      <c r="W63" s="326"/>
      <c r="X63" s="327"/>
      <c r="Y63" s="381"/>
      <c r="Z63" s="327"/>
      <c r="AA63" s="381"/>
      <c r="AB63" s="326"/>
      <c r="AC63" s="326"/>
      <c r="AD63" s="327"/>
      <c r="AE63" s="381"/>
      <c r="AF63" s="326"/>
      <c r="AG63" s="327"/>
      <c r="AH63" s="381"/>
      <c r="AI63" s="326"/>
      <c r="AJ63" s="327"/>
      <c r="AK63" s="381"/>
      <c r="AL63" s="326"/>
      <c r="AM63" s="326"/>
      <c r="AN63" s="327"/>
      <c r="AO63" s="381"/>
      <c r="AP63" s="326"/>
      <c r="AQ63" s="326"/>
      <c r="AR63" s="326"/>
      <c r="AS63" s="326"/>
      <c r="AT63" s="326"/>
      <c r="AU63" s="326"/>
      <c r="AV63" s="327"/>
      <c r="AW63" s="686"/>
      <c r="AX63" s="326"/>
      <c r="AY63" s="327"/>
      <c r="AZ63" s="381"/>
      <c r="BA63" s="326"/>
      <c r="BB63" s="326"/>
      <c r="BC63" s="326"/>
      <c r="BD63" s="326"/>
      <c r="BE63" s="326"/>
      <c r="BF63" s="326"/>
      <c r="BG63" s="326"/>
      <c r="BH63" s="326"/>
      <c r="BI63" s="326"/>
      <c r="BJ63" s="326"/>
      <c r="BK63" s="326"/>
      <c r="BL63" s="326"/>
      <c r="BM63" s="326"/>
      <c r="BN63" s="326"/>
      <c r="BO63" s="327"/>
    </row>
    <row r="64" spans="1:67" ht="34.5" customHeight="1" x14ac:dyDescent="0.25">
      <c r="A64" s="87">
        <f t="shared" si="0"/>
        <v>52</v>
      </c>
      <c r="B64" s="386" t="s">
        <v>334</v>
      </c>
      <c r="C64" s="327"/>
      <c r="D64" s="498"/>
      <c r="E64" s="326"/>
      <c r="F64" s="326"/>
      <c r="G64" s="326"/>
      <c r="H64" s="327"/>
      <c r="I64" s="407"/>
      <c r="J64" s="326"/>
      <c r="K64" s="326"/>
      <c r="L64" s="326"/>
      <c r="M64" s="326"/>
      <c r="N64" s="326"/>
      <c r="O64" s="326"/>
      <c r="P64" s="327"/>
      <c r="Q64" s="456"/>
      <c r="R64" s="326"/>
      <c r="S64" s="326"/>
      <c r="T64" s="326"/>
      <c r="U64" s="326"/>
      <c r="V64" s="326"/>
      <c r="W64" s="326"/>
      <c r="X64" s="327"/>
      <c r="Y64" s="407"/>
      <c r="Z64" s="327"/>
      <c r="AA64" s="456"/>
      <c r="AB64" s="326"/>
      <c r="AC64" s="326"/>
      <c r="AD64" s="327"/>
      <c r="AE64" s="407"/>
      <c r="AF64" s="326"/>
      <c r="AG64" s="327"/>
      <c r="AH64" s="456"/>
      <c r="AI64" s="326"/>
      <c r="AJ64" s="327"/>
      <c r="AK64" s="407"/>
      <c r="AL64" s="326"/>
      <c r="AM64" s="326"/>
      <c r="AN64" s="327"/>
      <c r="AO64" s="456"/>
      <c r="AP64" s="326"/>
      <c r="AQ64" s="326"/>
      <c r="AR64" s="326"/>
      <c r="AS64" s="326"/>
      <c r="AT64" s="326"/>
      <c r="AU64" s="326"/>
      <c r="AV64" s="327"/>
      <c r="AW64" s="685"/>
      <c r="AX64" s="326"/>
      <c r="AY64" s="327"/>
      <c r="AZ64" s="456"/>
      <c r="BA64" s="326"/>
      <c r="BB64" s="326"/>
      <c r="BC64" s="326"/>
      <c r="BD64" s="326"/>
      <c r="BE64" s="326"/>
      <c r="BF64" s="326"/>
      <c r="BG64" s="326"/>
      <c r="BH64" s="326"/>
      <c r="BI64" s="326"/>
      <c r="BJ64" s="326"/>
      <c r="BK64" s="326"/>
      <c r="BL64" s="326"/>
      <c r="BM64" s="326"/>
      <c r="BN64" s="326"/>
      <c r="BO64" s="327"/>
    </row>
    <row r="65" spans="1:67" ht="34.5" customHeight="1" x14ac:dyDescent="0.25">
      <c r="A65" s="87">
        <f t="shared" si="0"/>
        <v>53</v>
      </c>
      <c r="B65" s="386" t="s">
        <v>334</v>
      </c>
      <c r="C65" s="327"/>
      <c r="D65" s="687"/>
      <c r="E65" s="326"/>
      <c r="F65" s="326"/>
      <c r="G65" s="326"/>
      <c r="H65" s="327"/>
      <c r="I65" s="381"/>
      <c r="J65" s="326"/>
      <c r="K65" s="326"/>
      <c r="L65" s="326"/>
      <c r="M65" s="326"/>
      <c r="N65" s="326"/>
      <c r="O65" s="326"/>
      <c r="P65" s="327"/>
      <c r="Q65" s="381"/>
      <c r="R65" s="326"/>
      <c r="S65" s="326"/>
      <c r="T65" s="326"/>
      <c r="U65" s="326"/>
      <c r="V65" s="326"/>
      <c r="W65" s="326"/>
      <c r="X65" s="327"/>
      <c r="Y65" s="381"/>
      <c r="Z65" s="327"/>
      <c r="AA65" s="381"/>
      <c r="AB65" s="326"/>
      <c r="AC65" s="326"/>
      <c r="AD65" s="327"/>
      <c r="AE65" s="381"/>
      <c r="AF65" s="326"/>
      <c r="AG65" s="327"/>
      <c r="AH65" s="381"/>
      <c r="AI65" s="326"/>
      <c r="AJ65" s="327"/>
      <c r="AK65" s="381"/>
      <c r="AL65" s="326"/>
      <c r="AM65" s="326"/>
      <c r="AN65" s="327"/>
      <c r="AO65" s="381"/>
      <c r="AP65" s="326"/>
      <c r="AQ65" s="326"/>
      <c r="AR65" s="326"/>
      <c r="AS65" s="326"/>
      <c r="AT65" s="326"/>
      <c r="AU65" s="326"/>
      <c r="AV65" s="327"/>
      <c r="AW65" s="686"/>
      <c r="AX65" s="326"/>
      <c r="AY65" s="327"/>
      <c r="AZ65" s="381"/>
      <c r="BA65" s="326"/>
      <c r="BB65" s="326"/>
      <c r="BC65" s="326"/>
      <c r="BD65" s="326"/>
      <c r="BE65" s="326"/>
      <c r="BF65" s="326"/>
      <c r="BG65" s="326"/>
      <c r="BH65" s="326"/>
      <c r="BI65" s="326"/>
      <c r="BJ65" s="326"/>
      <c r="BK65" s="326"/>
      <c r="BL65" s="326"/>
      <c r="BM65" s="326"/>
      <c r="BN65" s="326"/>
      <c r="BO65" s="327"/>
    </row>
    <row r="66" spans="1:67" ht="34.5" customHeight="1" x14ac:dyDescent="0.25">
      <c r="A66" s="87">
        <f t="shared" si="0"/>
        <v>54</v>
      </c>
      <c r="B66" s="386" t="s">
        <v>334</v>
      </c>
      <c r="C66" s="327"/>
      <c r="D66" s="498"/>
      <c r="E66" s="326"/>
      <c r="F66" s="326"/>
      <c r="G66" s="326"/>
      <c r="H66" s="327"/>
      <c r="I66" s="407"/>
      <c r="J66" s="326"/>
      <c r="K66" s="326"/>
      <c r="L66" s="326"/>
      <c r="M66" s="326"/>
      <c r="N66" s="326"/>
      <c r="O66" s="326"/>
      <c r="P66" s="327"/>
      <c r="Q66" s="456"/>
      <c r="R66" s="326"/>
      <c r="S66" s="326"/>
      <c r="T66" s="326"/>
      <c r="U66" s="326"/>
      <c r="V66" s="326"/>
      <c r="W66" s="326"/>
      <c r="X66" s="327"/>
      <c r="Y66" s="407"/>
      <c r="Z66" s="327"/>
      <c r="AA66" s="456"/>
      <c r="AB66" s="326"/>
      <c r="AC66" s="326"/>
      <c r="AD66" s="327"/>
      <c r="AE66" s="407"/>
      <c r="AF66" s="326"/>
      <c r="AG66" s="327"/>
      <c r="AH66" s="456"/>
      <c r="AI66" s="326"/>
      <c r="AJ66" s="327"/>
      <c r="AK66" s="407"/>
      <c r="AL66" s="326"/>
      <c r="AM66" s="326"/>
      <c r="AN66" s="327"/>
      <c r="AO66" s="456"/>
      <c r="AP66" s="326"/>
      <c r="AQ66" s="326"/>
      <c r="AR66" s="326"/>
      <c r="AS66" s="326"/>
      <c r="AT66" s="326"/>
      <c r="AU66" s="326"/>
      <c r="AV66" s="327"/>
      <c r="AW66" s="685"/>
      <c r="AX66" s="326"/>
      <c r="AY66" s="327"/>
      <c r="AZ66" s="456"/>
      <c r="BA66" s="326"/>
      <c r="BB66" s="326"/>
      <c r="BC66" s="326"/>
      <c r="BD66" s="326"/>
      <c r="BE66" s="326"/>
      <c r="BF66" s="326"/>
      <c r="BG66" s="326"/>
      <c r="BH66" s="326"/>
      <c r="BI66" s="326"/>
      <c r="BJ66" s="326"/>
      <c r="BK66" s="326"/>
      <c r="BL66" s="326"/>
      <c r="BM66" s="326"/>
      <c r="BN66" s="326"/>
      <c r="BO66" s="327"/>
    </row>
    <row r="67" spans="1:67" ht="34.5" customHeight="1" x14ac:dyDescent="0.25">
      <c r="A67" s="87">
        <f t="shared" si="0"/>
        <v>55</v>
      </c>
      <c r="B67" s="386" t="s">
        <v>334</v>
      </c>
      <c r="C67" s="327"/>
      <c r="D67" s="687"/>
      <c r="E67" s="326"/>
      <c r="F67" s="326"/>
      <c r="G67" s="326"/>
      <c r="H67" s="327"/>
      <c r="I67" s="381"/>
      <c r="J67" s="326"/>
      <c r="K67" s="326"/>
      <c r="L67" s="326"/>
      <c r="M67" s="326"/>
      <c r="N67" s="326"/>
      <c r="O67" s="326"/>
      <c r="P67" s="327"/>
      <c r="Q67" s="381"/>
      <c r="R67" s="326"/>
      <c r="S67" s="326"/>
      <c r="T67" s="326"/>
      <c r="U67" s="326"/>
      <c r="V67" s="326"/>
      <c r="W67" s="326"/>
      <c r="X67" s="327"/>
      <c r="Y67" s="381"/>
      <c r="Z67" s="327"/>
      <c r="AA67" s="381"/>
      <c r="AB67" s="326"/>
      <c r="AC67" s="326"/>
      <c r="AD67" s="327"/>
      <c r="AE67" s="381"/>
      <c r="AF67" s="326"/>
      <c r="AG67" s="327"/>
      <c r="AH67" s="381"/>
      <c r="AI67" s="326"/>
      <c r="AJ67" s="327"/>
      <c r="AK67" s="381"/>
      <c r="AL67" s="326"/>
      <c r="AM67" s="326"/>
      <c r="AN67" s="327"/>
      <c r="AO67" s="381"/>
      <c r="AP67" s="326"/>
      <c r="AQ67" s="326"/>
      <c r="AR67" s="326"/>
      <c r="AS67" s="326"/>
      <c r="AT67" s="326"/>
      <c r="AU67" s="326"/>
      <c r="AV67" s="327"/>
      <c r="AW67" s="686"/>
      <c r="AX67" s="326"/>
      <c r="AY67" s="327"/>
      <c r="AZ67" s="381"/>
      <c r="BA67" s="326"/>
      <c r="BB67" s="326"/>
      <c r="BC67" s="326"/>
      <c r="BD67" s="326"/>
      <c r="BE67" s="326"/>
      <c r="BF67" s="326"/>
      <c r="BG67" s="326"/>
      <c r="BH67" s="326"/>
      <c r="BI67" s="326"/>
      <c r="BJ67" s="326"/>
      <c r="BK67" s="326"/>
      <c r="BL67" s="326"/>
      <c r="BM67" s="326"/>
      <c r="BN67" s="326"/>
      <c r="BO67" s="327"/>
    </row>
    <row r="68" spans="1:67" ht="34.5" customHeight="1" x14ac:dyDescent="0.25">
      <c r="A68" s="87">
        <f t="shared" si="0"/>
        <v>56</v>
      </c>
      <c r="B68" s="688" t="s">
        <v>334</v>
      </c>
      <c r="C68" s="327"/>
      <c r="D68" s="498"/>
      <c r="E68" s="326"/>
      <c r="F68" s="326"/>
      <c r="G68" s="326"/>
      <c r="H68" s="327"/>
      <c r="I68" s="407"/>
      <c r="J68" s="326"/>
      <c r="K68" s="326"/>
      <c r="L68" s="326"/>
      <c r="M68" s="326"/>
      <c r="N68" s="326"/>
      <c r="O68" s="326"/>
      <c r="P68" s="327"/>
      <c r="Q68" s="456"/>
      <c r="R68" s="326"/>
      <c r="S68" s="326"/>
      <c r="T68" s="326"/>
      <c r="U68" s="326"/>
      <c r="V68" s="326"/>
      <c r="W68" s="326"/>
      <c r="X68" s="327"/>
      <c r="Y68" s="407"/>
      <c r="Z68" s="327"/>
      <c r="AA68" s="456"/>
      <c r="AB68" s="326"/>
      <c r="AC68" s="326"/>
      <c r="AD68" s="327"/>
      <c r="AE68" s="407"/>
      <c r="AF68" s="326"/>
      <c r="AG68" s="327"/>
      <c r="AH68" s="456"/>
      <c r="AI68" s="326"/>
      <c r="AJ68" s="327"/>
      <c r="AK68" s="407"/>
      <c r="AL68" s="326"/>
      <c r="AM68" s="326"/>
      <c r="AN68" s="327"/>
      <c r="AO68" s="456"/>
      <c r="AP68" s="326"/>
      <c r="AQ68" s="326"/>
      <c r="AR68" s="326"/>
      <c r="AS68" s="326"/>
      <c r="AT68" s="326"/>
      <c r="AU68" s="326"/>
      <c r="AV68" s="327"/>
      <c r="AW68" s="685"/>
      <c r="AX68" s="326"/>
      <c r="AY68" s="327"/>
      <c r="AZ68" s="456"/>
      <c r="BA68" s="326"/>
      <c r="BB68" s="326"/>
      <c r="BC68" s="326"/>
      <c r="BD68" s="326"/>
      <c r="BE68" s="326"/>
      <c r="BF68" s="326"/>
      <c r="BG68" s="326"/>
      <c r="BH68" s="326"/>
      <c r="BI68" s="326"/>
      <c r="BJ68" s="326"/>
      <c r="BK68" s="326"/>
      <c r="BL68" s="326"/>
      <c r="BM68" s="326"/>
      <c r="BN68" s="326"/>
      <c r="BO68" s="327"/>
    </row>
    <row r="69" spans="1:67" ht="34.5" customHeight="1" x14ac:dyDescent="0.25">
      <c r="A69" s="87">
        <f t="shared" si="0"/>
        <v>57</v>
      </c>
      <c r="B69" s="386" t="s">
        <v>334</v>
      </c>
      <c r="C69" s="327"/>
      <c r="D69" s="687"/>
      <c r="E69" s="326"/>
      <c r="F69" s="326"/>
      <c r="G69" s="326"/>
      <c r="H69" s="327"/>
      <c r="I69" s="381"/>
      <c r="J69" s="326"/>
      <c r="K69" s="326"/>
      <c r="L69" s="326"/>
      <c r="M69" s="326"/>
      <c r="N69" s="326"/>
      <c r="O69" s="326"/>
      <c r="P69" s="327"/>
      <c r="Q69" s="381"/>
      <c r="R69" s="326"/>
      <c r="S69" s="326"/>
      <c r="T69" s="326"/>
      <c r="U69" s="326"/>
      <c r="V69" s="326"/>
      <c r="W69" s="326"/>
      <c r="X69" s="327"/>
      <c r="Y69" s="381"/>
      <c r="Z69" s="327"/>
      <c r="AA69" s="381"/>
      <c r="AB69" s="326"/>
      <c r="AC69" s="326"/>
      <c r="AD69" s="327"/>
      <c r="AE69" s="381"/>
      <c r="AF69" s="326"/>
      <c r="AG69" s="327"/>
      <c r="AH69" s="381"/>
      <c r="AI69" s="326"/>
      <c r="AJ69" s="327"/>
      <c r="AK69" s="381"/>
      <c r="AL69" s="326"/>
      <c r="AM69" s="326"/>
      <c r="AN69" s="327"/>
      <c r="AO69" s="381"/>
      <c r="AP69" s="326"/>
      <c r="AQ69" s="326"/>
      <c r="AR69" s="326"/>
      <c r="AS69" s="326"/>
      <c r="AT69" s="326"/>
      <c r="AU69" s="326"/>
      <c r="AV69" s="327"/>
      <c r="AW69" s="686"/>
      <c r="AX69" s="326"/>
      <c r="AY69" s="327"/>
      <c r="AZ69" s="381"/>
      <c r="BA69" s="326"/>
      <c r="BB69" s="326"/>
      <c r="BC69" s="326"/>
      <c r="BD69" s="326"/>
      <c r="BE69" s="326"/>
      <c r="BF69" s="326"/>
      <c r="BG69" s="326"/>
      <c r="BH69" s="326"/>
      <c r="BI69" s="326"/>
      <c r="BJ69" s="326"/>
      <c r="BK69" s="326"/>
      <c r="BL69" s="326"/>
      <c r="BM69" s="326"/>
      <c r="BN69" s="326"/>
      <c r="BO69" s="327"/>
    </row>
    <row r="70" spans="1:67" ht="34.5" customHeight="1" x14ac:dyDescent="0.25">
      <c r="A70" s="87">
        <f t="shared" si="0"/>
        <v>58</v>
      </c>
      <c r="B70" s="386" t="s">
        <v>334</v>
      </c>
      <c r="C70" s="327"/>
      <c r="D70" s="498"/>
      <c r="E70" s="326"/>
      <c r="F70" s="326"/>
      <c r="G70" s="326"/>
      <c r="H70" s="327"/>
      <c r="I70" s="407"/>
      <c r="J70" s="326"/>
      <c r="K70" s="326"/>
      <c r="L70" s="326"/>
      <c r="M70" s="326"/>
      <c r="N70" s="326"/>
      <c r="O70" s="326"/>
      <c r="P70" s="327"/>
      <c r="Q70" s="456"/>
      <c r="R70" s="326"/>
      <c r="S70" s="326"/>
      <c r="T70" s="326"/>
      <c r="U70" s="326"/>
      <c r="V70" s="326"/>
      <c r="W70" s="326"/>
      <c r="X70" s="327"/>
      <c r="Y70" s="407"/>
      <c r="Z70" s="327"/>
      <c r="AA70" s="456"/>
      <c r="AB70" s="326"/>
      <c r="AC70" s="326"/>
      <c r="AD70" s="327"/>
      <c r="AE70" s="407"/>
      <c r="AF70" s="326"/>
      <c r="AG70" s="327"/>
      <c r="AH70" s="456"/>
      <c r="AI70" s="326"/>
      <c r="AJ70" s="327"/>
      <c r="AK70" s="407"/>
      <c r="AL70" s="326"/>
      <c r="AM70" s="326"/>
      <c r="AN70" s="327"/>
      <c r="AO70" s="456"/>
      <c r="AP70" s="326"/>
      <c r="AQ70" s="326"/>
      <c r="AR70" s="326"/>
      <c r="AS70" s="326"/>
      <c r="AT70" s="326"/>
      <c r="AU70" s="326"/>
      <c r="AV70" s="327"/>
      <c r="AW70" s="685"/>
      <c r="AX70" s="326"/>
      <c r="AY70" s="327"/>
      <c r="AZ70" s="456"/>
      <c r="BA70" s="326"/>
      <c r="BB70" s="326"/>
      <c r="BC70" s="326"/>
      <c r="BD70" s="326"/>
      <c r="BE70" s="326"/>
      <c r="BF70" s="326"/>
      <c r="BG70" s="326"/>
      <c r="BH70" s="326"/>
      <c r="BI70" s="326"/>
      <c r="BJ70" s="326"/>
      <c r="BK70" s="326"/>
      <c r="BL70" s="326"/>
      <c r="BM70" s="326"/>
      <c r="BN70" s="326"/>
      <c r="BO70" s="327"/>
    </row>
    <row r="71" spans="1:67" ht="34.5" customHeight="1" x14ac:dyDescent="0.25">
      <c r="A71" s="87">
        <f t="shared" si="0"/>
        <v>59</v>
      </c>
      <c r="B71" s="386" t="s">
        <v>334</v>
      </c>
      <c r="C71" s="327"/>
      <c r="D71" s="687"/>
      <c r="E71" s="326"/>
      <c r="F71" s="326"/>
      <c r="G71" s="326"/>
      <c r="H71" s="327"/>
      <c r="I71" s="381"/>
      <c r="J71" s="326"/>
      <c r="K71" s="326"/>
      <c r="L71" s="326"/>
      <c r="M71" s="326"/>
      <c r="N71" s="326"/>
      <c r="O71" s="326"/>
      <c r="P71" s="327"/>
      <c r="Q71" s="381"/>
      <c r="R71" s="326"/>
      <c r="S71" s="326"/>
      <c r="T71" s="326"/>
      <c r="U71" s="326"/>
      <c r="V71" s="326"/>
      <c r="W71" s="326"/>
      <c r="X71" s="327"/>
      <c r="Y71" s="381"/>
      <c r="Z71" s="327"/>
      <c r="AA71" s="381"/>
      <c r="AB71" s="326"/>
      <c r="AC71" s="326"/>
      <c r="AD71" s="327"/>
      <c r="AE71" s="381"/>
      <c r="AF71" s="326"/>
      <c r="AG71" s="327"/>
      <c r="AH71" s="381"/>
      <c r="AI71" s="326"/>
      <c r="AJ71" s="327"/>
      <c r="AK71" s="381"/>
      <c r="AL71" s="326"/>
      <c r="AM71" s="326"/>
      <c r="AN71" s="327"/>
      <c r="AO71" s="381"/>
      <c r="AP71" s="326"/>
      <c r="AQ71" s="326"/>
      <c r="AR71" s="326"/>
      <c r="AS71" s="326"/>
      <c r="AT71" s="326"/>
      <c r="AU71" s="326"/>
      <c r="AV71" s="327"/>
      <c r="AW71" s="686"/>
      <c r="AX71" s="326"/>
      <c r="AY71" s="327"/>
      <c r="AZ71" s="381"/>
      <c r="BA71" s="326"/>
      <c r="BB71" s="326"/>
      <c r="BC71" s="326"/>
      <c r="BD71" s="326"/>
      <c r="BE71" s="326"/>
      <c r="BF71" s="326"/>
      <c r="BG71" s="326"/>
      <c r="BH71" s="326"/>
      <c r="BI71" s="326"/>
      <c r="BJ71" s="326"/>
      <c r="BK71" s="326"/>
      <c r="BL71" s="326"/>
      <c r="BM71" s="326"/>
      <c r="BN71" s="326"/>
      <c r="BO71" s="327"/>
    </row>
    <row r="72" spans="1:67" ht="34.5" customHeight="1" x14ac:dyDescent="0.25">
      <c r="A72" s="87">
        <f t="shared" si="0"/>
        <v>60</v>
      </c>
      <c r="B72" s="386" t="s">
        <v>334</v>
      </c>
      <c r="C72" s="327"/>
      <c r="D72" s="498"/>
      <c r="E72" s="326"/>
      <c r="F72" s="326"/>
      <c r="G72" s="326"/>
      <c r="H72" s="327"/>
      <c r="I72" s="407"/>
      <c r="J72" s="326"/>
      <c r="K72" s="326"/>
      <c r="L72" s="326"/>
      <c r="M72" s="326"/>
      <c r="N72" s="326"/>
      <c r="O72" s="326"/>
      <c r="P72" s="327"/>
      <c r="Q72" s="456"/>
      <c r="R72" s="326"/>
      <c r="S72" s="326"/>
      <c r="T72" s="326"/>
      <c r="U72" s="326"/>
      <c r="V72" s="326"/>
      <c r="W72" s="326"/>
      <c r="X72" s="327"/>
      <c r="Y72" s="407"/>
      <c r="Z72" s="327"/>
      <c r="AA72" s="456"/>
      <c r="AB72" s="326"/>
      <c r="AC72" s="326"/>
      <c r="AD72" s="327"/>
      <c r="AE72" s="407"/>
      <c r="AF72" s="326"/>
      <c r="AG72" s="327"/>
      <c r="AH72" s="456"/>
      <c r="AI72" s="326"/>
      <c r="AJ72" s="327"/>
      <c r="AK72" s="407"/>
      <c r="AL72" s="326"/>
      <c r="AM72" s="326"/>
      <c r="AN72" s="327"/>
      <c r="AO72" s="456"/>
      <c r="AP72" s="326"/>
      <c r="AQ72" s="326"/>
      <c r="AR72" s="326"/>
      <c r="AS72" s="326"/>
      <c r="AT72" s="326"/>
      <c r="AU72" s="326"/>
      <c r="AV72" s="327"/>
      <c r="AW72" s="685"/>
      <c r="AX72" s="326"/>
      <c r="AY72" s="327"/>
      <c r="AZ72" s="456"/>
      <c r="BA72" s="326"/>
      <c r="BB72" s="326"/>
      <c r="BC72" s="326"/>
      <c r="BD72" s="326"/>
      <c r="BE72" s="326"/>
      <c r="BF72" s="326"/>
      <c r="BG72" s="326"/>
      <c r="BH72" s="326"/>
      <c r="BI72" s="326"/>
      <c r="BJ72" s="326"/>
      <c r="BK72" s="326"/>
      <c r="BL72" s="326"/>
      <c r="BM72" s="326"/>
      <c r="BN72" s="326"/>
      <c r="BO72" s="327"/>
    </row>
    <row r="73" spans="1:67" ht="34.5" customHeight="1" x14ac:dyDescent="0.25">
      <c r="A73" s="87">
        <f t="shared" si="0"/>
        <v>61</v>
      </c>
      <c r="B73" s="386" t="s">
        <v>334</v>
      </c>
      <c r="C73" s="327"/>
      <c r="D73" s="687"/>
      <c r="E73" s="326"/>
      <c r="F73" s="326"/>
      <c r="G73" s="326"/>
      <c r="H73" s="327"/>
      <c r="I73" s="381"/>
      <c r="J73" s="326"/>
      <c r="K73" s="326"/>
      <c r="L73" s="326"/>
      <c r="M73" s="326"/>
      <c r="N73" s="326"/>
      <c r="O73" s="326"/>
      <c r="P73" s="327"/>
      <c r="Q73" s="381"/>
      <c r="R73" s="326"/>
      <c r="S73" s="326"/>
      <c r="T73" s="326"/>
      <c r="U73" s="326"/>
      <c r="V73" s="326"/>
      <c r="W73" s="326"/>
      <c r="X73" s="327"/>
      <c r="Y73" s="381"/>
      <c r="Z73" s="327"/>
      <c r="AA73" s="381"/>
      <c r="AB73" s="326"/>
      <c r="AC73" s="326"/>
      <c r="AD73" s="327"/>
      <c r="AE73" s="381"/>
      <c r="AF73" s="326"/>
      <c r="AG73" s="327"/>
      <c r="AH73" s="381"/>
      <c r="AI73" s="326"/>
      <c r="AJ73" s="327"/>
      <c r="AK73" s="381"/>
      <c r="AL73" s="326"/>
      <c r="AM73" s="326"/>
      <c r="AN73" s="327"/>
      <c r="AO73" s="381"/>
      <c r="AP73" s="326"/>
      <c r="AQ73" s="326"/>
      <c r="AR73" s="326"/>
      <c r="AS73" s="326"/>
      <c r="AT73" s="326"/>
      <c r="AU73" s="326"/>
      <c r="AV73" s="327"/>
      <c r="AW73" s="686"/>
      <c r="AX73" s="326"/>
      <c r="AY73" s="327"/>
      <c r="AZ73" s="381"/>
      <c r="BA73" s="326"/>
      <c r="BB73" s="326"/>
      <c r="BC73" s="326"/>
      <c r="BD73" s="326"/>
      <c r="BE73" s="326"/>
      <c r="BF73" s="326"/>
      <c r="BG73" s="326"/>
      <c r="BH73" s="326"/>
      <c r="BI73" s="326"/>
      <c r="BJ73" s="326"/>
      <c r="BK73" s="326"/>
      <c r="BL73" s="326"/>
      <c r="BM73" s="326"/>
      <c r="BN73" s="326"/>
      <c r="BO73" s="327"/>
    </row>
    <row r="74" spans="1:67" ht="34.5" customHeight="1" x14ac:dyDescent="0.25">
      <c r="A74" s="87">
        <f t="shared" si="0"/>
        <v>62</v>
      </c>
      <c r="B74" s="386" t="s">
        <v>334</v>
      </c>
      <c r="C74" s="327"/>
      <c r="D74" s="498"/>
      <c r="E74" s="326"/>
      <c r="F74" s="326"/>
      <c r="G74" s="326"/>
      <c r="H74" s="327"/>
      <c r="I74" s="407"/>
      <c r="J74" s="326"/>
      <c r="K74" s="326"/>
      <c r="L74" s="326"/>
      <c r="M74" s="326"/>
      <c r="N74" s="326"/>
      <c r="O74" s="326"/>
      <c r="P74" s="327"/>
      <c r="Q74" s="456"/>
      <c r="R74" s="326"/>
      <c r="S74" s="326"/>
      <c r="T74" s="326"/>
      <c r="U74" s="326"/>
      <c r="V74" s="326"/>
      <c r="W74" s="326"/>
      <c r="X74" s="327"/>
      <c r="Y74" s="407"/>
      <c r="Z74" s="327"/>
      <c r="AA74" s="456"/>
      <c r="AB74" s="326"/>
      <c r="AC74" s="326"/>
      <c r="AD74" s="327"/>
      <c r="AE74" s="407"/>
      <c r="AF74" s="326"/>
      <c r="AG74" s="327"/>
      <c r="AH74" s="456"/>
      <c r="AI74" s="326"/>
      <c r="AJ74" s="327"/>
      <c r="AK74" s="407"/>
      <c r="AL74" s="326"/>
      <c r="AM74" s="326"/>
      <c r="AN74" s="327"/>
      <c r="AO74" s="456"/>
      <c r="AP74" s="326"/>
      <c r="AQ74" s="326"/>
      <c r="AR74" s="326"/>
      <c r="AS74" s="326"/>
      <c r="AT74" s="326"/>
      <c r="AU74" s="326"/>
      <c r="AV74" s="327"/>
      <c r="AW74" s="685"/>
      <c r="AX74" s="326"/>
      <c r="AY74" s="327"/>
      <c r="AZ74" s="456"/>
      <c r="BA74" s="326"/>
      <c r="BB74" s="326"/>
      <c r="BC74" s="326"/>
      <c r="BD74" s="326"/>
      <c r="BE74" s="326"/>
      <c r="BF74" s="326"/>
      <c r="BG74" s="326"/>
      <c r="BH74" s="326"/>
      <c r="BI74" s="326"/>
      <c r="BJ74" s="326"/>
      <c r="BK74" s="326"/>
      <c r="BL74" s="326"/>
      <c r="BM74" s="326"/>
      <c r="BN74" s="326"/>
      <c r="BO74" s="327"/>
    </row>
    <row r="75" spans="1:67" ht="34.5" customHeight="1" x14ac:dyDescent="0.25">
      <c r="A75" s="87">
        <f t="shared" si="0"/>
        <v>63</v>
      </c>
      <c r="B75" s="386" t="s">
        <v>334</v>
      </c>
      <c r="C75" s="327"/>
      <c r="D75" s="687"/>
      <c r="E75" s="326"/>
      <c r="F75" s="326"/>
      <c r="G75" s="326"/>
      <c r="H75" s="327"/>
      <c r="I75" s="381"/>
      <c r="J75" s="326"/>
      <c r="K75" s="326"/>
      <c r="L75" s="326"/>
      <c r="M75" s="326"/>
      <c r="N75" s="326"/>
      <c r="O75" s="326"/>
      <c r="P75" s="327"/>
      <c r="Q75" s="381"/>
      <c r="R75" s="326"/>
      <c r="S75" s="326"/>
      <c r="T75" s="326"/>
      <c r="U75" s="326"/>
      <c r="V75" s="326"/>
      <c r="W75" s="326"/>
      <c r="X75" s="327"/>
      <c r="Y75" s="381"/>
      <c r="Z75" s="327"/>
      <c r="AA75" s="381"/>
      <c r="AB75" s="326"/>
      <c r="AC75" s="326"/>
      <c r="AD75" s="327"/>
      <c r="AE75" s="381"/>
      <c r="AF75" s="326"/>
      <c r="AG75" s="327"/>
      <c r="AH75" s="381"/>
      <c r="AI75" s="326"/>
      <c r="AJ75" s="327"/>
      <c r="AK75" s="381"/>
      <c r="AL75" s="326"/>
      <c r="AM75" s="326"/>
      <c r="AN75" s="327"/>
      <c r="AO75" s="381"/>
      <c r="AP75" s="326"/>
      <c r="AQ75" s="326"/>
      <c r="AR75" s="326"/>
      <c r="AS75" s="326"/>
      <c r="AT75" s="326"/>
      <c r="AU75" s="326"/>
      <c r="AV75" s="327"/>
      <c r="AW75" s="686"/>
      <c r="AX75" s="326"/>
      <c r="AY75" s="327"/>
      <c r="AZ75" s="381"/>
      <c r="BA75" s="326"/>
      <c r="BB75" s="326"/>
      <c r="BC75" s="326"/>
      <c r="BD75" s="326"/>
      <c r="BE75" s="326"/>
      <c r="BF75" s="326"/>
      <c r="BG75" s="326"/>
      <c r="BH75" s="326"/>
      <c r="BI75" s="326"/>
      <c r="BJ75" s="326"/>
      <c r="BK75" s="326"/>
      <c r="BL75" s="326"/>
      <c r="BM75" s="326"/>
      <c r="BN75" s="326"/>
      <c r="BO75" s="327"/>
    </row>
    <row r="76" spans="1:67" ht="34.5" customHeight="1" x14ac:dyDescent="0.25">
      <c r="A76" s="87">
        <f t="shared" si="0"/>
        <v>64</v>
      </c>
      <c r="B76" s="386" t="s">
        <v>334</v>
      </c>
      <c r="C76" s="327"/>
      <c r="D76" s="498"/>
      <c r="E76" s="326"/>
      <c r="F76" s="326"/>
      <c r="G76" s="326"/>
      <c r="H76" s="327"/>
      <c r="I76" s="407"/>
      <c r="J76" s="326"/>
      <c r="K76" s="326"/>
      <c r="L76" s="326"/>
      <c r="M76" s="326"/>
      <c r="N76" s="326"/>
      <c r="O76" s="326"/>
      <c r="P76" s="327"/>
      <c r="Q76" s="456"/>
      <c r="R76" s="326"/>
      <c r="S76" s="326"/>
      <c r="T76" s="326"/>
      <c r="U76" s="326"/>
      <c r="V76" s="326"/>
      <c r="W76" s="326"/>
      <c r="X76" s="327"/>
      <c r="Y76" s="407"/>
      <c r="Z76" s="327"/>
      <c r="AA76" s="456"/>
      <c r="AB76" s="326"/>
      <c r="AC76" s="326"/>
      <c r="AD76" s="327"/>
      <c r="AE76" s="407"/>
      <c r="AF76" s="326"/>
      <c r="AG76" s="327"/>
      <c r="AH76" s="456"/>
      <c r="AI76" s="326"/>
      <c r="AJ76" s="327"/>
      <c r="AK76" s="407"/>
      <c r="AL76" s="326"/>
      <c r="AM76" s="326"/>
      <c r="AN76" s="327"/>
      <c r="AO76" s="456"/>
      <c r="AP76" s="326"/>
      <c r="AQ76" s="326"/>
      <c r="AR76" s="326"/>
      <c r="AS76" s="326"/>
      <c r="AT76" s="326"/>
      <c r="AU76" s="326"/>
      <c r="AV76" s="327"/>
      <c r="AW76" s="685"/>
      <c r="AX76" s="326"/>
      <c r="AY76" s="327"/>
      <c r="AZ76" s="456"/>
      <c r="BA76" s="326"/>
      <c r="BB76" s="326"/>
      <c r="BC76" s="326"/>
      <c r="BD76" s="326"/>
      <c r="BE76" s="326"/>
      <c r="BF76" s="326"/>
      <c r="BG76" s="326"/>
      <c r="BH76" s="326"/>
      <c r="BI76" s="326"/>
      <c r="BJ76" s="326"/>
      <c r="BK76" s="326"/>
      <c r="BL76" s="326"/>
      <c r="BM76" s="326"/>
      <c r="BN76" s="326"/>
      <c r="BO76" s="327"/>
    </row>
    <row r="77" spans="1:67" ht="34.5" customHeight="1" x14ac:dyDescent="0.25">
      <c r="A77" s="87">
        <f t="shared" si="0"/>
        <v>65</v>
      </c>
      <c r="B77" s="386" t="s">
        <v>334</v>
      </c>
      <c r="C77" s="327"/>
      <c r="D77" s="687"/>
      <c r="E77" s="326"/>
      <c r="F77" s="326"/>
      <c r="G77" s="326"/>
      <c r="H77" s="327"/>
      <c r="I77" s="381"/>
      <c r="J77" s="326"/>
      <c r="K77" s="326"/>
      <c r="L77" s="326"/>
      <c r="M77" s="326"/>
      <c r="N77" s="326"/>
      <c r="O77" s="326"/>
      <c r="P77" s="327"/>
      <c r="Q77" s="381"/>
      <c r="R77" s="326"/>
      <c r="S77" s="326"/>
      <c r="T77" s="326"/>
      <c r="U77" s="326"/>
      <c r="V77" s="326"/>
      <c r="W77" s="326"/>
      <c r="X77" s="327"/>
      <c r="Y77" s="381"/>
      <c r="Z77" s="327"/>
      <c r="AA77" s="381"/>
      <c r="AB77" s="326"/>
      <c r="AC77" s="326"/>
      <c r="AD77" s="327"/>
      <c r="AE77" s="381"/>
      <c r="AF77" s="326"/>
      <c r="AG77" s="327"/>
      <c r="AH77" s="381"/>
      <c r="AI77" s="326"/>
      <c r="AJ77" s="327"/>
      <c r="AK77" s="381"/>
      <c r="AL77" s="326"/>
      <c r="AM77" s="326"/>
      <c r="AN77" s="327"/>
      <c r="AO77" s="381"/>
      <c r="AP77" s="326"/>
      <c r="AQ77" s="326"/>
      <c r="AR77" s="326"/>
      <c r="AS77" s="326"/>
      <c r="AT77" s="326"/>
      <c r="AU77" s="326"/>
      <c r="AV77" s="327"/>
      <c r="AW77" s="686"/>
      <c r="AX77" s="326"/>
      <c r="AY77" s="327"/>
      <c r="AZ77" s="381"/>
      <c r="BA77" s="326"/>
      <c r="BB77" s="326"/>
      <c r="BC77" s="326"/>
      <c r="BD77" s="326"/>
      <c r="BE77" s="326"/>
      <c r="BF77" s="326"/>
      <c r="BG77" s="326"/>
      <c r="BH77" s="326"/>
      <c r="BI77" s="326"/>
      <c r="BJ77" s="326"/>
      <c r="BK77" s="326"/>
      <c r="BL77" s="326"/>
      <c r="BM77" s="326"/>
      <c r="BN77" s="326"/>
      <c r="BO77" s="327"/>
    </row>
    <row r="78" spans="1:67" ht="34.5" customHeight="1" x14ac:dyDescent="0.25">
      <c r="A78" s="87">
        <f t="shared" si="0"/>
        <v>66</v>
      </c>
      <c r="B78" s="386" t="s">
        <v>334</v>
      </c>
      <c r="C78" s="327"/>
      <c r="D78" s="498"/>
      <c r="E78" s="326"/>
      <c r="F78" s="326"/>
      <c r="G78" s="326"/>
      <c r="H78" s="327"/>
      <c r="I78" s="407"/>
      <c r="J78" s="326"/>
      <c r="K78" s="326"/>
      <c r="L78" s="326"/>
      <c r="M78" s="326"/>
      <c r="N78" s="326"/>
      <c r="O78" s="326"/>
      <c r="P78" s="327"/>
      <c r="Q78" s="456"/>
      <c r="R78" s="326"/>
      <c r="S78" s="326"/>
      <c r="T78" s="326"/>
      <c r="U78" s="326"/>
      <c r="V78" s="326"/>
      <c r="W78" s="326"/>
      <c r="X78" s="327"/>
      <c r="Y78" s="407"/>
      <c r="Z78" s="327"/>
      <c r="AA78" s="456"/>
      <c r="AB78" s="326"/>
      <c r="AC78" s="326"/>
      <c r="AD78" s="327"/>
      <c r="AE78" s="407"/>
      <c r="AF78" s="326"/>
      <c r="AG78" s="327"/>
      <c r="AH78" s="456"/>
      <c r="AI78" s="326"/>
      <c r="AJ78" s="327"/>
      <c r="AK78" s="407"/>
      <c r="AL78" s="326"/>
      <c r="AM78" s="326"/>
      <c r="AN78" s="327"/>
      <c r="AO78" s="456"/>
      <c r="AP78" s="326"/>
      <c r="AQ78" s="326"/>
      <c r="AR78" s="326"/>
      <c r="AS78" s="326"/>
      <c r="AT78" s="326"/>
      <c r="AU78" s="326"/>
      <c r="AV78" s="327"/>
      <c r="AW78" s="685"/>
      <c r="AX78" s="326"/>
      <c r="AY78" s="327"/>
      <c r="AZ78" s="456"/>
      <c r="BA78" s="326"/>
      <c r="BB78" s="326"/>
      <c r="BC78" s="326"/>
      <c r="BD78" s="326"/>
      <c r="BE78" s="326"/>
      <c r="BF78" s="326"/>
      <c r="BG78" s="326"/>
      <c r="BH78" s="326"/>
      <c r="BI78" s="326"/>
      <c r="BJ78" s="326"/>
      <c r="BK78" s="326"/>
      <c r="BL78" s="326"/>
      <c r="BM78" s="326"/>
      <c r="BN78" s="326"/>
      <c r="BO78" s="327"/>
    </row>
    <row r="79" spans="1:67" ht="34.5" customHeight="1" x14ac:dyDescent="0.25">
      <c r="A79" s="87">
        <f t="shared" si="0"/>
        <v>67</v>
      </c>
      <c r="B79" s="386" t="s">
        <v>334</v>
      </c>
      <c r="C79" s="327"/>
      <c r="D79" s="687"/>
      <c r="E79" s="326"/>
      <c r="F79" s="326"/>
      <c r="G79" s="326"/>
      <c r="H79" s="327"/>
      <c r="I79" s="381"/>
      <c r="J79" s="326"/>
      <c r="K79" s="326"/>
      <c r="L79" s="326"/>
      <c r="M79" s="326"/>
      <c r="N79" s="326"/>
      <c r="O79" s="326"/>
      <c r="P79" s="327"/>
      <c r="Q79" s="381"/>
      <c r="R79" s="326"/>
      <c r="S79" s="326"/>
      <c r="T79" s="326"/>
      <c r="U79" s="326"/>
      <c r="V79" s="326"/>
      <c r="W79" s="326"/>
      <c r="X79" s="327"/>
      <c r="Y79" s="381"/>
      <c r="Z79" s="327"/>
      <c r="AA79" s="381"/>
      <c r="AB79" s="326"/>
      <c r="AC79" s="326"/>
      <c r="AD79" s="327"/>
      <c r="AE79" s="381"/>
      <c r="AF79" s="326"/>
      <c r="AG79" s="327"/>
      <c r="AH79" s="381"/>
      <c r="AI79" s="326"/>
      <c r="AJ79" s="327"/>
      <c r="AK79" s="381"/>
      <c r="AL79" s="326"/>
      <c r="AM79" s="326"/>
      <c r="AN79" s="327"/>
      <c r="AO79" s="381"/>
      <c r="AP79" s="326"/>
      <c r="AQ79" s="326"/>
      <c r="AR79" s="326"/>
      <c r="AS79" s="326"/>
      <c r="AT79" s="326"/>
      <c r="AU79" s="326"/>
      <c r="AV79" s="327"/>
      <c r="AW79" s="686"/>
      <c r="AX79" s="326"/>
      <c r="AY79" s="327"/>
      <c r="AZ79" s="381"/>
      <c r="BA79" s="326"/>
      <c r="BB79" s="326"/>
      <c r="BC79" s="326"/>
      <c r="BD79" s="326"/>
      <c r="BE79" s="326"/>
      <c r="BF79" s="326"/>
      <c r="BG79" s="326"/>
      <c r="BH79" s="326"/>
      <c r="BI79" s="326"/>
      <c r="BJ79" s="326"/>
      <c r="BK79" s="326"/>
      <c r="BL79" s="326"/>
      <c r="BM79" s="326"/>
      <c r="BN79" s="326"/>
      <c r="BO79" s="327"/>
    </row>
    <row r="80" spans="1:67" ht="34.5" customHeight="1" x14ac:dyDescent="0.25">
      <c r="A80" s="87">
        <f t="shared" si="0"/>
        <v>68</v>
      </c>
      <c r="B80" s="386" t="s">
        <v>334</v>
      </c>
      <c r="C80" s="327"/>
      <c r="D80" s="498"/>
      <c r="E80" s="326"/>
      <c r="F80" s="326"/>
      <c r="G80" s="326"/>
      <c r="H80" s="327"/>
      <c r="I80" s="407"/>
      <c r="J80" s="326"/>
      <c r="K80" s="326"/>
      <c r="L80" s="326"/>
      <c r="M80" s="326"/>
      <c r="N80" s="326"/>
      <c r="O80" s="326"/>
      <c r="P80" s="327"/>
      <c r="Q80" s="456"/>
      <c r="R80" s="326"/>
      <c r="S80" s="326"/>
      <c r="T80" s="326"/>
      <c r="U80" s="326"/>
      <c r="V80" s="326"/>
      <c r="W80" s="326"/>
      <c r="X80" s="327"/>
      <c r="Y80" s="407"/>
      <c r="Z80" s="327"/>
      <c r="AA80" s="456"/>
      <c r="AB80" s="326"/>
      <c r="AC80" s="326"/>
      <c r="AD80" s="327"/>
      <c r="AE80" s="407"/>
      <c r="AF80" s="326"/>
      <c r="AG80" s="327"/>
      <c r="AH80" s="456"/>
      <c r="AI80" s="326"/>
      <c r="AJ80" s="327"/>
      <c r="AK80" s="407"/>
      <c r="AL80" s="326"/>
      <c r="AM80" s="326"/>
      <c r="AN80" s="327"/>
      <c r="AO80" s="456"/>
      <c r="AP80" s="326"/>
      <c r="AQ80" s="326"/>
      <c r="AR80" s="326"/>
      <c r="AS80" s="326"/>
      <c r="AT80" s="326"/>
      <c r="AU80" s="326"/>
      <c r="AV80" s="327"/>
      <c r="AW80" s="685"/>
      <c r="AX80" s="326"/>
      <c r="AY80" s="327"/>
      <c r="AZ80" s="456"/>
      <c r="BA80" s="326"/>
      <c r="BB80" s="326"/>
      <c r="BC80" s="326"/>
      <c r="BD80" s="326"/>
      <c r="BE80" s="326"/>
      <c r="BF80" s="326"/>
      <c r="BG80" s="326"/>
      <c r="BH80" s="326"/>
      <c r="BI80" s="326"/>
      <c r="BJ80" s="326"/>
      <c r="BK80" s="326"/>
      <c r="BL80" s="326"/>
      <c r="BM80" s="326"/>
      <c r="BN80" s="326"/>
      <c r="BO80" s="327"/>
    </row>
    <row r="81" spans="1:67" ht="34.5" customHeight="1" x14ac:dyDescent="0.25">
      <c r="A81" s="87">
        <f t="shared" si="0"/>
        <v>69</v>
      </c>
      <c r="B81" s="386" t="s">
        <v>334</v>
      </c>
      <c r="C81" s="327"/>
      <c r="D81" s="687"/>
      <c r="E81" s="326"/>
      <c r="F81" s="326"/>
      <c r="G81" s="326"/>
      <c r="H81" s="327"/>
      <c r="I81" s="381"/>
      <c r="J81" s="326"/>
      <c r="K81" s="326"/>
      <c r="L81" s="326"/>
      <c r="M81" s="326"/>
      <c r="N81" s="326"/>
      <c r="O81" s="326"/>
      <c r="P81" s="327"/>
      <c r="Q81" s="381"/>
      <c r="R81" s="326"/>
      <c r="S81" s="326"/>
      <c r="T81" s="326"/>
      <c r="U81" s="326"/>
      <c r="V81" s="326"/>
      <c r="W81" s="326"/>
      <c r="X81" s="327"/>
      <c r="Y81" s="381"/>
      <c r="Z81" s="327"/>
      <c r="AA81" s="381"/>
      <c r="AB81" s="326"/>
      <c r="AC81" s="326"/>
      <c r="AD81" s="327"/>
      <c r="AE81" s="381"/>
      <c r="AF81" s="326"/>
      <c r="AG81" s="327"/>
      <c r="AH81" s="381"/>
      <c r="AI81" s="326"/>
      <c r="AJ81" s="327"/>
      <c r="AK81" s="381"/>
      <c r="AL81" s="326"/>
      <c r="AM81" s="326"/>
      <c r="AN81" s="327"/>
      <c r="AO81" s="381"/>
      <c r="AP81" s="326"/>
      <c r="AQ81" s="326"/>
      <c r="AR81" s="326"/>
      <c r="AS81" s="326"/>
      <c r="AT81" s="326"/>
      <c r="AU81" s="326"/>
      <c r="AV81" s="327"/>
      <c r="AW81" s="686"/>
      <c r="AX81" s="326"/>
      <c r="AY81" s="327"/>
      <c r="AZ81" s="381"/>
      <c r="BA81" s="326"/>
      <c r="BB81" s="326"/>
      <c r="BC81" s="326"/>
      <c r="BD81" s="326"/>
      <c r="BE81" s="326"/>
      <c r="BF81" s="326"/>
      <c r="BG81" s="326"/>
      <c r="BH81" s="326"/>
      <c r="BI81" s="326"/>
      <c r="BJ81" s="326"/>
      <c r="BK81" s="326"/>
      <c r="BL81" s="326"/>
      <c r="BM81" s="326"/>
      <c r="BN81" s="326"/>
      <c r="BO81" s="327"/>
    </row>
    <row r="82" spans="1:67" ht="34.5" customHeight="1" x14ac:dyDescent="0.25">
      <c r="A82" s="87">
        <f t="shared" si="0"/>
        <v>70</v>
      </c>
      <c r="B82" s="386" t="s">
        <v>334</v>
      </c>
      <c r="C82" s="327"/>
      <c r="D82" s="498"/>
      <c r="E82" s="326"/>
      <c r="F82" s="326"/>
      <c r="G82" s="326"/>
      <c r="H82" s="327"/>
      <c r="I82" s="407"/>
      <c r="J82" s="326"/>
      <c r="K82" s="326"/>
      <c r="L82" s="326"/>
      <c r="M82" s="326"/>
      <c r="N82" s="326"/>
      <c r="O82" s="326"/>
      <c r="P82" s="327"/>
      <c r="Q82" s="456"/>
      <c r="R82" s="326"/>
      <c r="S82" s="326"/>
      <c r="T82" s="326"/>
      <c r="U82" s="326"/>
      <c r="V82" s="326"/>
      <c r="W82" s="326"/>
      <c r="X82" s="327"/>
      <c r="Y82" s="407"/>
      <c r="Z82" s="327"/>
      <c r="AA82" s="456"/>
      <c r="AB82" s="326"/>
      <c r="AC82" s="326"/>
      <c r="AD82" s="327"/>
      <c r="AE82" s="407"/>
      <c r="AF82" s="326"/>
      <c r="AG82" s="327"/>
      <c r="AH82" s="456"/>
      <c r="AI82" s="326"/>
      <c r="AJ82" s="327"/>
      <c r="AK82" s="407"/>
      <c r="AL82" s="326"/>
      <c r="AM82" s="326"/>
      <c r="AN82" s="327"/>
      <c r="AO82" s="456"/>
      <c r="AP82" s="326"/>
      <c r="AQ82" s="326"/>
      <c r="AR82" s="326"/>
      <c r="AS82" s="326"/>
      <c r="AT82" s="326"/>
      <c r="AU82" s="326"/>
      <c r="AV82" s="327"/>
      <c r="AW82" s="685"/>
      <c r="AX82" s="326"/>
      <c r="AY82" s="327"/>
      <c r="AZ82" s="456"/>
      <c r="BA82" s="326"/>
      <c r="BB82" s="326"/>
      <c r="BC82" s="326"/>
      <c r="BD82" s="326"/>
      <c r="BE82" s="326"/>
      <c r="BF82" s="326"/>
      <c r="BG82" s="326"/>
      <c r="BH82" s="326"/>
      <c r="BI82" s="326"/>
      <c r="BJ82" s="326"/>
      <c r="BK82" s="326"/>
      <c r="BL82" s="326"/>
      <c r="BM82" s="326"/>
      <c r="BN82" s="326"/>
      <c r="BO82" s="327"/>
    </row>
    <row r="83" spans="1:67" ht="34.5" customHeight="1" x14ac:dyDescent="0.25">
      <c r="A83" s="87">
        <f t="shared" si="0"/>
        <v>71</v>
      </c>
      <c r="B83" s="386" t="s">
        <v>334</v>
      </c>
      <c r="C83" s="327"/>
      <c r="D83" s="687"/>
      <c r="E83" s="326"/>
      <c r="F83" s="326"/>
      <c r="G83" s="326"/>
      <c r="H83" s="327"/>
      <c r="I83" s="381"/>
      <c r="J83" s="326"/>
      <c r="K83" s="326"/>
      <c r="L83" s="326"/>
      <c r="M83" s="326"/>
      <c r="N83" s="326"/>
      <c r="O83" s="326"/>
      <c r="P83" s="327"/>
      <c r="Q83" s="381"/>
      <c r="R83" s="326"/>
      <c r="S83" s="326"/>
      <c r="T83" s="326"/>
      <c r="U83" s="326"/>
      <c r="V83" s="326"/>
      <c r="W83" s="326"/>
      <c r="X83" s="327"/>
      <c r="Y83" s="381"/>
      <c r="Z83" s="327"/>
      <c r="AA83" s="381"/>
      <c r="AB83" s="326"/>
      <c r="AC83" s="326"/>
      <c r="AD83" s="327"/>
      <c r="AE83" s="381"/>
      <c r="AF83" s="326"/>
      <c r="AG83" s="327"/>
      <c r="AH83" s="381"/>
      <c r="AI83" s="326"/>
      <c r="AJ83" s="327"/>
      <c r="AK83" s="381"/>
      <c r="AL83" s="326"/>
      <c r="AM83" s="326"/>
      <c r="AN83" s="327"/>
      <c r="AO83" s="381"/>
      <c r="AP83" s="326"/>
      <c r="AQ83" s="326"/>
      <c r="AR83" s="326"/>
      <c r="AS83" s="326"/>
      <c r="AT83" s="326"/>
      <c r="AU83" s="326"/>
      <c r="AV83" s="327"/>
      <c r="AW83" s="686"/>
      <c r="AX83" s="326"/>
      <c r="AY83" s="327"/>
      <c r="AZ83" s="381"/>
      <c r="BA83" s="326"/>
      <c r="BB83" s="326"/>
      <c r="BC83" s="326"/>
      <c r="BD83" s="326"/>
      <c r="BE83" s="326"/>
      <c r="BF83" s="326"/>
      <c r="BG83" s="326"/>
      <c r="BH83" s="326"/>
      <c r="BI83" s="326"/>
      <c r="BJ83" s="326"/>
      <c r="BK83" s="326"/>
      <c r="BL83" s="326"/>
      <c r="BM83" s="326"/>
      <c r="BN83" s="326"/>
      <c r="BO83" s="327"/>
    </row>
    <row r="84" spans="1:67" ht="34.5" customHeight="1" x14ac:dyDescent="0.25">
      <c r="A84" s="87">
        <f t="shared" si="0"/>
        <v>72</v>
      </c>
      <c r="B84" s="386" t="s">
        <v>334</v>
      </c>
      <c r="C84" s="327"/>
      <c r="D84" s="498"/>
      <c r="E84" s="326"/>
      <c r="F84" s="326"/>
      <c r="G84" s="326"/>
      <c r="H84" s="327"/>
      <c r="I84" s="407"/>
      <c r="J84" s="326"/>
      <c r="K84" s="326"/>
      <c r="L84" s="326"/>
      <c r="M84" s="326"/>
      <c r="N84" s="326"/>
      <c r="O84" s="326"/>
      <c r="P84" s="327"/>
      <c r="Q84" s="456"/>
      <c r="R84" s="326"/>
      <c r="S84" s="326"/>
      <c r="T84" s="326"/>
      <c r="U84" s="326"/>
      <c r="V84" s="326"/>
      <c r="W84" s="326"/>
      <c r="X84" s="327"/>
      <c r="Y84" s="407"/>
      <c r="Z84" s="327"/>
      <c r="AA84" s="456"/>
      <c r="AB84" s="326"/>
      <c r="AC84" s="326"/>
      <c r="AD84" s="327"/>
      <c r="AE84" s="407"/>
      <c r="AF84" s="326"/>
      <c r="AG84" s="327"/>
      <c r="AH84" s="456"/>
      <c r="AI84" s="326"/>
      <c r="AJ84" s="327"/>
      <c r="AK84" s="407"/>
      <c r="AL84" s="326"/>
      <c r="AM84" s="326"/>
      <c r="AN84" s="327"/>
      <c r="AO84" s="456"/>
      <c r="AP84" s="326"/>
      <c r="AQ84" s="326"/>
      <c r="AR84" s="326"/>
      <c r="AS84" s="326"/>
      <c r="AT84" s="326"/>
      <c r="AU84" s="326"/>
      <c r="AV84" s="327"/>
      <c r="AW84" s="685"/>
      <c r="AX84" s="326"/>
      <c r="AY84" s="327"/>
      <c r="AZ84" s="456"/>
      <c r="BA84" s="326"/>
      <c r="BB84" s="326"/>
      <c r="BC84" s="326"/>
      <c r="BD84" s="326"/>
      <c r="BE84" s="326"/>
      <c r="BF84" s="326"/>
      <c r="BG84" s="326"/>
      <c r="BH84" s="326"/>
      <c r="BI84" s="326"/>
      <c r="BJ84" s="326"/>
      <c r="BK84" s="326"/>
      <c r="BL84" s="326"/>
      <c r="BM84" s="326"/>
      <c r="BN84" s="326"/>
      <c r="BO84" s="327"/>
    </row>
    <row r="85" spans="1:67" ht="34.5" customHeight="1" x14ac:dyDescent="0.25">
      <c r="A85" s="87">
        <f t="shared" si="0"/>
        <v>73</v>
      </c>
      <c r="B85" s="386" t="s">
        <v>334</v>
      </c>
      <c r="C85" s="327"/>
      <c r="D85" s="687"/>
      <c r="E85" s="326"/>
      <c r="F85" s="326"/>
      <c r="G85" s="326"/>
      <c r="H85" s="327"/>
      <c r="I85" s="381"/>
      <c r="J85" s="326"/>
      <c r="K85" s="326"/>
      <c r="L85" s="326"/>
      <c r="M85" s="326"/>
      <c r="N85" s="326"/>
      <c r="O85" s="326"/>
      <c r="P85" s="327"/>
      <c r="Q85" s="381"/>
      <c r="R85" s="326"/>
      <c r="S85" s="326"/>
      <c r="T85" s="326"/>
      <c r="U85" s="326"/>
      <c r="V85" s="326"/>
      <c r="W85" s="326"/>
      <c r="X85" s="327"/>
      <c r="Y85" s="381"/>
      <c r="Z85" s="327"/>
      <c r="AA85" s="381"/>
      <c r="AB85" s="326"/>
      <c r="AC85" s="326"/>
      <c r="AD85" s="327"/>
      <c r="AE85" s="381"/>
      <c r="AF85" s="326"/>
      <c r="AG85" s="327"/>
      <c r="AH85" s="381"/>
      <c r="AI85" s="326"/>
      <c r="AJ85" s="327"/>
      <c r="AK85" s="381"/>
      <c r="AL85" s="326"/>
      <c r="AM85" s="326"/>
      <c r="AN85" s="327"/>
      <c r="AO85" s="381"/>
      <c r="AP85" s="326"/>
      <c r="AQ85" s="326"/>
      <c r="AR85" s="326"/>
      <c r="AS85" s="326"/>
      <c r="AT85" s="326"/>
      <c r="AU85" s="326"/>
      <c r="AV85" s="327"/>
      <c r="AW85" s="686"/>
      <c r="AX85" s="326"/>
      <c r="AY85" s="327"/>
      <c r="AZ85" s="381"/>
      <c r="BA85" s="326"/>
      <c r="BB85" s="326"/>
      <c r="BC85" s="326"/>
      <c r="BD85" s="326"/>
      <c r="BE85" s="326"/>
      <c r="BF85" s="326"/>
      <c r="BG85" s="326"/>
      <c r="BH85" s="326"/>
      <c r="BI85" s="326"/>
      <c r="BJ85" s="326"/>
      <c r="BK85" s="326"/>
      <c r="BL85" s="326"/>
      <c r="BM85" s="326"/>
      <c r="BN85" s="326"/>
      <c r="BO85" s="327"/>
    </row>
    <row r="86" spans="1:67" ht="34.5" customHeight="1" x14ac:dyDescent="0.25">
      <c r="A86" s="87">
        <f t="shared" si="0"/>
        <v>74</v>
      </c>
      <c r="B86" s="688" t="s">
        <v>334</v>
      </c>
      <c r="C86" s="327"/>
      <c r="D86" s="498"/>
      <c r="E86" s="326"/>
      <c r="F86" s="326"/>
      <c r="G86" s="326"/>
      <c r="H86" s="327"/>
      <c r="I86" s="407"/>
      <c r="J86" s="326"/>
      <c r="K86" s="326"/>
      <c r="L86" s="326"/>
      <c r="M86" s="326"/>
      <c r="N86" s="326"/>
      <c r="O86" s="326"/>
      <c r="P86" s="327"/>
      <c r="Q86" s="456"/>
      <c r="R86" s="326"/>
      <c r="S86" s="326"/>
      <c r="T86" s="326"/>
      <c r="U86" s="326"/>
      <c r="V86" s="326"/>
      <c r="W86" s="326"/>
      <c r="X86" s="327"/>
      <c r="Y86" s="407"/>
      <c r="Z86" s="327"/>
      <c r="AA86" s="456"/>
      <c r="AB86" s="326"/>
      <c r="AC86" s="326"/>
      <c r="AD86" s="327"/>
      <c r="AE86" s="407"/>
      <c r="AF86" s="326"/>
      <c r="AG86" s="327"/>
      <c r="AH86" s="456"/>
      <c r="AI86" s="326"/>
      <c r="AJ86" s="327"/>
      <c r="AK86" s="407"/>
      <c r="AL86" s="326"/>
      <c r="AM86" s="326"/>
      <c r="AN86" s="327"/>
      <c r="AO86" s="456"/>
      <c r="AP86" s="326"/>
      <c r="AQ86" s="326"/>
      <c r="AR86" s="326"/>
      <c r="AS86" s="326"/>
      <c r="AT86" s="326"/>
      <c r="AU86" s="326"/>
      <c r="AV86" s="327"/>
      <c r="AW86" s="685"/>
      <c r="AX86" s="326"/>
      <c r="AY86" s="327"/>
      <c r="AZ86" s="456"/>
      <c r="BA86" s="326"/>
      <c r="BB86" s="326"/>
      <c r="BC86" s="326"/>
      <c r="BD86" s="326"/>
      <c r="BE86" s="326"/>
      <c r="BF86" s="326"/>
      <c r="BG86" s="326"/>
      <c r="BH86" s="326"/>
      <c r="BI86" s="326"/>
      <c r="BJ86" s="326"/>
      <c r="BK86" s="326"/>
      <c r="BL86" s="326"/>
      <c r="BM86" s="326"/>
      <c r="BN86" s="326"/>
      <c r="BO86" s="327"/>
    </row>
    <row r="87" spans="1:67" ht="34.5" customHeight="1" x14ac:dyDescent="0.25">
      <c r="A87" s="87">
        <f t="shared" si="0"/>
        <v>75</v>
      </c>
      <c r="B87" s="386" t="s">
        <v>334</v>
      </c>
      <c r="C87" s="327"/>
      <c r="D87" s="687"/>
      <c r="E87" s="326"/>
      <c r="F87" s="326"/>
      <c r="G87" s="326"/>
      <c r="H87" s="327"/>
      <c r="I87" s="381"/>
      <c r="J87" s="326"/>
      <c r="K87" s="326"/>
      <c r="L87" s="326"/>
      <c r="M87" s="326"/>
      <c r="N87" s="326"/>
      <c r="O87" s="326"/>
      <c r="P87" s="327"/>
      <c r="Q87" s="381"/>
      <c r="R87" s="326"/>
      <c r="S87" s="326"/>
      <c r="T87" s="326"/>
      <c r="U87" s="326"/>
      <c r="V87" s="326"/>
      <c r="W87" s="326"/>
      <c r="X87" s="327"/>
      <c r="Y87" s="381"/>
      <c r="Z87" s="327"/>
      <c r="AA87" s="381"/>
      <c r="AB87" s="326"/>
      <c r="AC87" s="326"/>
      <c r="AD87" s="327"/>
      <c r="AE87" s="381"/>
      <c r="AF87" s="326"/>
      <c r="AG87" s="327"/>
      <c r="AH87" s="381"/>
      <c r="AI87" s="326"/>
      <c r="AJ87" s="327"/>
      <c r="AK87" s="381"/>
      <c r="AL87" s="326"/>
      <c r="AM87" s="326"/>
      <c r="AN87" s="327"/>
      <c r="AO87" s="381"/>
      <c r="AP87" s="326"/>
      <c r="AQ87" s="326"/>
      <c r="AR87" s="326"/>
      <c r="AS87" s="326"/>
      <c r="AT87" s="326"/>
      <c r="AU87" s="326"/>
      <c r="AV87" s="327"/>
      <c r="AW87" s="686"/>
      <c r="AX87" s="326"/>
      <c r="AY87" s="327"/>
      <c r="AZ87" s="381"/>
      <c r="BA87" s="326"/>
      <c r="BB87" s="326"/>
      <c r="BC87" s="326"/>
      <c r="BD87" s="326"/>
      <c r="BE87" s="326"/>
      <c r="BF87" s="326"/>
      <c r="BG87" s="326"/>
      <c r="BH87" s="326"/>
      <c r="BI87" s="326"/>
      <c r="BJ87" s="326"/>
      <c r="BK87" s="326"/>
      <c r="BL87" s="326"/>
      <c r="BM87" s="326"/>
      <c r="BN87" s="326"/>
      <c r="BO87" s="327"/>
    </row>
    <row r="88" spans="1:67" ht="34.5" customHeight="1" x14ac:dyDescent="0.25">
      <c r="A88" s="87">
        <f t="shared" si="0"/>
        <v>76</v>
      </c>
      <c r="B88" s="386" t="s">
        <v>334</v>
      </c>
      <c r="C88" s="327"/>
      <c r="D88" s="498"/>
      <c r="E88" s="326"/>
      <c r="F88" s="326"/>
      <c r="G88" s="326"/>
      <c r="H88" s="327"/>
      <c r="I88" s="407"/>
      <c r="J88" s="326"/>
      <c r="K88" s="326"/>
      <c r="L88" s="326"/>
      <c r="M88" s="326"/>
      <c r="N88" s="326"/>
      <c r="O88" s="326"/>
      <c r="P88" s="327"/>
      <c r="Q88" s="456"/>
      <c r="R88" s="326"/>
      <c r="S88" s="326"/>
      <c r="T88" s="326"/>
      <c r="U88" s="326"/>
      <c r="V88" s="326"/>
      <c r="W88" s="326"/>
      <c r="X88" s="327"/>
      <c r="Y88" s="407"/>
      <c r="Z88" s="327"/>
      <c r="AA88" s="456"/>
      <c r="AB88" s="326"/>
      <c r="AC88" s="326"/>
      <c r="AD88" s="327"/>
      <c r="AE88" s="407"/>
      <c r="AF88" s="326"/>
      <c r="AG88" s="327"/>
      <c r="AH88" s="456"/>
      <c r="AI88" s="326"/>
      <c r="AJ88" s="327"/>
      <c r="AK88" s="407"/>
      <c r="AL88" s="326"/>
      <c r="AM88" s="326"/>
      <c r="AN88" s="327"/>
      <c r="AO88" s="456"/>
      <c r="AP88" s="326"/>
      <c r="AQ88" s="326"/>
      <c r="AR88" s="326"/>
      <c r="AS88" s="326"/>
      <c r="AT88" s="326"/>
      <c r="AU88" s="326"/>
      <c r="AV88" s="327"/>
      <c r="AW88" s="685"/>
      <c r="AX88" s="326"/>
      <c r="AY88" s="327"/>
      <c r="AZ88" s="456"/>
      <c r="BA88" s="326"/>
      <c r="BB88" s="326"/>
      <c r="BC88" s="326"/>
      <c r="BD88" s="326"/>
      <c r="BE88" s="326"/>
      <c r="BF88" s="326"/>
      <c r="BG88" s="326"/>
      <c r="BH88" s="326"/>
      <c r="BI88" s="326"/>
      <c r="BJ88" s="326"/>
      <c r="BK88" s="326"/>
      <c r="BL88" s="326"/>
      <c r="BM88" s="326"/>
      <c r="BN88" s="326"/>
      <c r="BO88" s="327"/>
    </row>
    <row r="89" spans="1:67" ht="34.5" customHeight="1" x14ac:dyDescent="0.25">
      <c r="A89" s="87">
        <f t="shared" si="0"/>
        <v>77</v>
      </c>
      <c r="B89" s="386" t="s">
        <v>334</v>
      </c>
      <c r="C89" s="327"/>
      <c r="D89" s="687"/>
      <c r="E89" s="326"/>
      <c r="F89" s="326"/>
      <c r="G89" s="326"/>
      <c r="H89" s="327"/>
      <c r="I89" s="381"/>
      <c r="J89" s="326"/>
      <c r="K89" s="326"/>
      <c r="L89" s="326"/>
      <c r="M89" s="326"/>
      <c r="N89" s="326"/>
      <c r="O89" s="326"/>
      <c r="P89" s="327"/>
      <c r="Q89" s="381"/>
      <c r="R89" s="326"/>
      <c r="S89" s="326"/>
      <c r="T89" s="326"/>
      <c r="U89" s="326"/>
      <c r="V89" s="326"/>
      <c r="W89" s="326"/>
      <c r="X89" s="327"/>
      <c r="Y89" s="381"/>
      <c r="Z89" s="327"/>
      <c r="AA89" s="381"/>
      <c r="AB89" s="326"/>
      <c r="AC89" s="326"/>
      <c r="AD89" s="327"/>
      <c r="AE89" s="381"/>
      <c r="AF89" s="326"/>
      <c r="AG89" s="327"/>
      <c r="AH89" s="381"/>
      <c r="AI89" s="326"/>
      <c r="AJ89" s="327"/>
      <c r="AK89" s="381"/>
      <c r="AL89" s="326"/>
      <c r="AM89" s="326"/>
      <c r="AN89" s="327"/>
      <c r="AO89" s="381"/>
      <c r="AP89" s="326"/>
      <c r="AQ89" s="326"/>
      <c r="AR89" s="326"/>
      <c r="AS89" s="326"/>
      <c r="AT89" s="326"/>
      <c r="AU89" s="326"/>
      <c r="AV89" s="327"/>
      <c r="AW89" s="686"/>
      <c r="AX89" s="326"/>
      <c r="AY89" s="327"/>
      <c r="AZ89" s="381"/>
      <c r="BA89" s="326"/>
      <c r="BB89" s="326"/>
      <c r="BC89" s="326"/>
      <c r="BD89" s="326"/>
      <c r="BE89" s="326"/>
      <c r="BF89" s="326"/>
      <c r="BG89" s="326"/>
      <c r="BH89" s="326"/>
      <c r="BI89" s="326"/>
      <c r="BJ89" s="326"/>
      <c r="BK89" s="326"/>
      <c r="BL89" s="326"/>
      <c r="BM89" s="326"/>
      <c r="BN89" s="326"/>
      <c r="BO89" s="327"/>
    </row>
    <row r="90" spans="1:67" ht="34.5" customHeight="1" x14ac:dyDescent="0.25">
      <c r="A90" s="87">
        <f t="shared" si="0"/>
        <v>78</v>
      </c>
      <c r="B90" s="386" t="s">
        <v>334</v>
      </c>
      <c r="C90" s="327"/>
      <c r="D90" s="498"/>
      <c r="E90" s="326"/>
      <c r="F90" s="326"/>
      <c r="G90" s="326"/>
      <c r="H90" s="327"/>
      <c r="I90" s="407"/>
      <c r="J90" s="326"/>
      <c r="K90" s="326"/>
      <c r="L90" s="326"/>
      <c r="M90" s="326"/>
      <c r="N90" s="326"/>
      <c r="O90" s="326"/>
      <c r="P90" s="327"/>
      <c r="Q90" s="456"/>
      <c r="R90" s="326"/>
      <c r="S90" s="326"/>
      <c r="T90" s="326"/>
      <c r="U90" s="326"/>
      <c r="V90" s="326"/>
      <c r="W90" s="326"/>
      <c r="X90" s="327"/>
      <c r="Y90" s="407"/>
      <c r="Z90" s="327"/>
      <c r="AA90" s="456"/>
      <c r="AB90" s="326"/>
      <c r="AC90" s="326"/>
      <c r="AD90" s="327"/>
      <c r="AE90" s="407"/>
      <c r="AF90" s="326"/>
      <c r="AG90" s="327"/>
      <c r="AH90" s="456"/>
      <c r="AI90" s="326"/>
      <c r="AJ90" s="327"/>
      <c r="AK90" s="407"/>
      <c r="AL90" s="326"/>
      <c r="AM90" s="326"/>
      <c r="AN90" s="327"/>
      <c r="AO90" s="456"/>
      <c r="AP90" s="326"/>
      <c r="AQ90" s="326"/>
      <c r="AR90" s="326"/>
      <c r="AS90" s="326"/>
      <c r="AT90" s="326"/>
      <c r="AU90" s="326"/>
      <c r="AV90" s="327"/>
      <c r="AW90" s="685"/>
      <c r="AX90" s="326"/>
      <c r="AY90" s="327"/>
      <c r="AZ90" s="456"/>
      <c r="BA90" s="326"/>
      <c r="BB90" s="326"/>
      <c r="BC90" s="326"/>
      <c r="BD90" s="326"/>
      <c r="BE90" s="326"/>
      <c r="BF90" s="326"/>
      <c r="BG90" s="326"/>
      <c r="BH90" s="326"/>
      <c r="BI90" s="326"/>
      <c r="BJ90" s="326"/>
      <c r="BK90" s="326"/>
      <c r="BL90" s="326"/>
      <c r="BM90" s="326"/>
      <c r="BN90" s="326"/>
      <c r="BO90" s="327"/>
    </row>
    <row r="91" spans="1:67" ht="34.5" customHeight="1" x14ac:dyDescent="0.25">
      <c r="A91" s="87">
        <f t="shared" si="0"/>
        <v>79</v>
      </c>
      <c r="B91" s="386" t="s">
        <v>334</v>
      </c>
      <c r="C91" s="327"/>
      <c r="D91" s="687"/>
      <c r="E91" s="326"/>
      <c r="F91" s="326"/>
      <c r="G91" s="326"/>
      <c r="H91" s="327"/>
      <c r="I91" s="381"/>
      <c r="J91" s="326"/>
      <c r="K91" s="326"/>
      <c r="L91" s="326"/>
      <c r="M91" s="326"/>
      <c r="N91" s="326"/>
      <c r="O91" s="326"/>
      <c r="P91" s="327"/>
      <c r="Q91" s="381"/>
      <c r="R91" s="326"/>
      <c r="S91" s="326"/>
      <c r="T91" s="326"/>
      <c r="U91" s="326"/>
      <c r="V91" s="326"/>
      <c r="W91" s="326"/>
      <c r="X91" s="327"/>
      <c r="Y91" s="381"/>
      <c r="Z91" s="327"/>
      <c r="AA91" s="381"/>
      <c r="AB91" s="326"/>
      <c r="AC91" s="326"/>
      <c r="AD91" s="327"/>
      <c r="AE91" s="381"/>
      <c r="AF91" s="326"/>
      <c r="AG91" s="327"/>
      <c r="AH91" s="381"/>
      <c r="AI91" s="326"/>
      <c r="AJ91" s="327"/>
      <c r="AK91" s="381"/>
      <c r="AL91" s="326"/>
      <c r="AM91" s="326"/>
      <c r="AN91" s="327"/>
      <c r="AO91" s="381"/>
      <c r="AP91" s="326"/>
      <c r="AQ91" s="326"/>
      <c r="AR91" s="326"/>
      <c r="AS91" s="326"/>
      <c r="AT91" s="326"/>
      <c r="AU91" s="326"/>
      <c r="AV91" s="327"/>
      <c r="AW91" s="686"/>
      <c r="AX91" s="326"/>
      <c r="AY91" s="327"/>
      <c r="AZ91" s="381"/>
      <c r="BA91" s="326"/>
      <c r="BB91" s="326"/>
      <c r="BC91" s="326"/>
      <c r="BD91" s="326"/>
      <c r="BE91" s="326"/>
      <c r="BF91" s="326"/>
      <c r="BG91" s="326"/>
      <c r="BH91" s="326"/>
      <c r="BI91" s="326"/>
      <c r="BJ91" s="326"/>
      <c r="BK91" s="326"/>
      <c r="BL91" s="326"/>
      <c r="BM91" s="326"/>
      <c r="BN91" s="326"/>
      <c r="BO91" s="327"/>
    </row>
    <row r="92" spans="1:67" ht="34.5" customHeight="1" x14ac:dyDescent="0.25">
      <c r="A92" s="87">
        <f t="shared" si="0"/>
        <v>80</v>
      </c>
      <c r="B92" s="386" t="s">
        <v>334</v>
      </c>
      <c r="C92" s="327"/>
      <c r="D92" s="498"/>
      <c r="E92" s="326"/>
      <c r="F92" s="326"/>
      <c r="G92" s="326"/>
      <c r="H92" s="327"/>
      <c r="I92" s="407"/>
      <c r="J92" s="326"/>
      <c r="K92" s="326"/>
      <c r="L92" s="326"/>
      <c r="M92" s="326"/>
      <c r="N92" s="326"/>
      <c r="O92" s="326"/>
      <c r="P92" s="327"/>
      <c r="Q92" s="456"/>
      <c r="R92" s="326"/>
      <c r="S92" s="326"/>
      <c r="T92" s="326"/>
      <c r="U92" s="326"/>
      <c r="V92" s="326"/>
      <c r="W92" s="326"/>
      <c r="X92" s="327"/>
      <c r="Y92" s="407"/>
      <c r="Z92" s="327"/>
      <c r="AA92" s="456"/>
      <c r="AB92" s="326"/>
      <c r="AC92" s="326"/>
      <c r="AD92" s="327"/>
      <c r="AE92" s="407"/>
      <c r="AF92" s="326"/>
      <c r="AG92" s="327"/>
      <c r="AH92" s="456"/>
      <c r="AI92" s="326"/>
      <c r="AJ92" s="327"/>
      <c r="AK92" s="407"/>
      <c r="AL92" s="326"/>
      <c r="AM92" s="326"/>
      <c r="AN92" s="327"/>
      <c r="AO92" s="456"/>
      <c r="AP92" s="326"/>
      <c r="AQ92" s="326"/>
      <c r="AR92" s="326"/>
      <c r="AS92" s="326"/>
      <c r="AT92" s="326"/>
      <c r="AU92" s="326"/>
      <c r="AV92" s="327"/>
      <c r="AW92" s="685"/>
      <c r="AX92" s="326"/>
      <c r="AY92" s="327"/>
      <c r="AZ92" s="456"/>
      <c r="BA92" s="326"/>
      <c r="BB92" s="326"/>
      <c r="BC92" s="326"/>
      <c r="BD92" s="326"/>
      <c r="BE92" s="326"/>
      <c r="BF92" s="326"/>
      <c r="BG92" s="326"/>
      <c r="BH92" s="326"/>
      <c r="BI92" s="326"/>
      <c r="BJ92" s="326"/>
      <c r="BK92" s="326"/>
      <c r="BL92" s="326"/>
      <c r="BM92" s="326"/>
      <c r="BN92" s="326"/>
      <c r="BO92" s="327"/>
    </row>
    <row r="93" spans="1:67" ht="34.5" customHeight="1" x14ac:dyDescent="0.25">
      <c r="A93" s="87">
        <f t="shared" si="0"/>
        <v>81</v>
      </c>
      <c r="B93" s="386" t="s">
        <v>334</v>
      </c>
      <c r="C93" s="327"/>
      <c r="D93" s="687"/>
      <c r="E93" s="326"/>
      <c r="F93" s="326"/>
      <c r="G93" s="326"/>
      <c r="H93" s="327"/>
      <c r="I93" s="381"/>
      <c r="J93" s="326"/>
      <c r="K93" s="326"/>
      <c r="L93" s="326"/>
      <c r="M93" s="326"/>
      <c r="N93" s="326"/>
      <c r="O93" s="326"/>
      <c r="P93" s="327"/>
      <c r="Q93" s="381"/>
      <c r="R93" s="326"/>
      <c r="S93" s="326"/>
      <c r="T93" s="326"/>
      <c r="U93" s="326"/>
      <c r="V93" s="326"/>
      <c r="W93" s="326"/>
      <c r="X93" s="327"/>
      <c r="Y93" s="381"/>
      <c r="Z93" s="327"/>
      <c r="AA93" s="381"/>
      <c r="AB93" s="326"/>
      <c r="AC93" s="326"/>
      <c r="AD93" s="327"/>
      <c r="AE93" s="381"/>
      <c r="AF93" s="326"/>
      <c r="AG93" s="327"/>
      <c r="AH93" s="381"/>
      <c r="AI93" s="326"/>
      <c r="AJ93" s="327"/>
      <c r="AK93" s="381"/>
      <c r="AL93" s="326"/>
      <c r="AM93" s="326"/>
      <c r="AN93" s="327"/>
      <c r="AO93" s="381"/>
      <c r="AP93" s="326"/>
      <c r="AQ93" s="326"/>
      <c r="AR93" s="326"/>
      <c r="AS93" s="326"/>
      <c r="AT93" s="326"/>
      <c r="AU93" s="326"/>
      <c r="AV93" s="327"/>
      <c r="AW93" s="686"/>
      <c r="AX93" s="326"/>
      <c r="AY93" s="327"/>
      <c r="AZ93" s="381"/>
      <c r="BA93" s="326"/>
      <c r="BB93" s="326"/>
      <c r="BC93" s="326"/>
      <c r="BD93" s="326"/>
      <c r="BE93" s="326"/>
      <c r="BF93" s="326"/>
      <c r="BG93" s="326"/>
      <c r="BH93" s="326"/>
      <c r="BI93" s="326"/>
      <c r="BJ93" s="326"/>
      <c r="BK93" s="326"/>
      <c r="BL93" s="326"/>
      <c r="BM93" s="326"/>
      <c r="BN93" s="326"/>
      <c r="BO93" s="327"/>
    </row>
    <row r="94" spans="1:67" ht="34.5" customHeight="1" x14ac:dyDescent="0.25">
      <c r="A94" s="87">
        <f t="shared" si="0"/>
        <v>82</v>
      </c>
      <c r="B94" s="386" t="s">
        <v>334</v>
      </c>
      <c r="C94" s="327"/>
      <c r="D94" s="498"/>
      <c r="E94" s="326"/>
      <c r="F94" s="326"/>
      <c r="G94" s="326"/>
      <c r="H94" s="327"/>
      <c r="I94" s="407"/>
      <c r="J94" s="326"/>
      <c r="K94" s="326"/>
      <c r="L94" s="326"/>
      <c r="M94" s="326"/>
      <c r="N94" s="326"/>
      <c r="O94" s="326"/>
      <c r="P94" s="327"/>
      <c r="Q94" s="456"/>
      <c r="R94" s="326"/>
      <c r="S94" s="326"/>
      <c r="T94" s="326"/>
      <c r="U94" s="326"/>
      <c r="V94" s="326"/>
      <c r="W94" s="326"/>
      <c r="X94" s="327"/>
      <c r="Y94" s="407"/>
      <c r="Z94" s="327"/>
      <c r="AA94" s="456"/>
      <c r="AB94" s="326"/>
      <c r="AC94" s="326"/>
      <c r="AD94" s="327"/>
      <c r="AE94" s="407"/>
      <c r="AF94" s="326"/>
      <c r="AG94" s="327"/>
      <c r="AH94" s="456"/>
      <c r="AI94" s="326"/>
      <c r="AJ94" s="327"/>
      <c r="AK94" s="407"/>
      <c r="AL94" s="326"/>
      <c r="AM94" s="326"/>
      <c r="AN94" s="327"/>
      <c r="AO94" s="456"/>
      <c r="AP94" s="326"/>
      <c r="AQ94" s="326"/>
      <c r="AR94" s="326"/>
      <c r="AS94" s="326"/>
      <c r="AT94" s="326"/>
      <c r="AU94" s="326"/>
      <c r="AV94" s="327"/>
      <c r="AW94" s="685"/>
      <c r="AX94" s="326"/>
      <c r="AY94" s="327"/>
      <c r="AZ94" s="456"/>
      <c r="BA94" s="326"/>
      <c r="BB94" s="326"/>
      <c r="BC94" s="326"/>
      <c r="BD94" s="326"/>
      <c r="BE94" s="326"/>
      <c r="BF94" s="326"/>
      <c r="BG94" s="326"/>
      <c r="BH94" s="326"/>
      <c r="BI94" s="326"/>
      <c r="BJ94" s="326"/>
      <c r="BK94" s="326"/>
      <c r="BL94" s="326"/>
      <c r="BM94" s="326"/>
      <c r="BN94" s="326"/>
      <c r="BO94" s="327"/>
    </row>
    <row r="95" spans="1:67" ht="34.5" customHeight="1" x14ac:dyDescent="0.25">
      <c r="A95" s="87">
        <f t="shared" si="0"/>
        <v>83</v>
      </c>
      <c r="B95" s="386" t="s">
        <v>334</v>
      </c>
      <c r="C95" s="327"/>
      <c r="D95" s="687"/>
      <c r="E95" s="326"/>
      <c r="F95" s="326"/>
      <c r="G95" s="326"/>
      <c r="H95" s="327"/>
      <c r="I95" s="381"/>
      <c r="J95" s="326"/>
      <c r="K95" s="326"/>
      <c r="L95" s="326"/>
      <c r="M95" s="326"/>
      <c r="N95" s="326"/>
      <c r="O95" s="326"/>
      <c r="P95" s="327"/>
      <c r="Q95" s="381"/>
      <c r="R95" s="326"/>
      <c r="S95" s="326"/>
      <c r="T95" s="326"/>
      <c r="U95" s="326"/>
      <c r="V95" s="326"/>
      <c r="W95" s="326"/>
      <c r="X95" s="327"/>
      <c r="Y95" s="381"/>
      <c r="Z95" s="327"/>
      <c r="AA95" s="381"/>
      <c r="AB95" s="326"/>
      <c r="AC95" s="326"/>
      <c r="AD95" s="327"/>
      <c r="AE95" s="381"/>
      <c r="AF95" s="326"/>
      <c r="AG95" s="327"/>
      <c r="AH95" s="381"/>
      <c r="AI95" s="326"/>
      <c r="AJ95" s="327"/>
      <c r="AK95" s="381"/>
      <c r="AL95" s="326"/>
      <c r="AM95" s="326"/>
      <c r="AN95" s="327"/>
      <c r="AO95" s="381"/>
      <c r="AP95" s="326"/>
      <c r="AQ95" s="326"/>
      <c r="AR95" s="326"/>
      <c r="AS95" s="326"/>
      <c r="AT95" s="326"/>
      <c r="AU95" s="326"/>
      <c r="AV95" s="327"/>
      <c r="AW95" s="686"/>
      <c r="AX95" s="326"/>
      <c r="AY95" s="327"/>
      <c r="AZ95" s="381"/>
      <c r="BA95" s="326"/>
      <c r="BB95" s="326"/>
      <c r="BC95" s="326"/>
      <c r="BD95" s="326"/>
      <c r="BE95" s="326"/>
      <c r="BF95" s="326"/>
      <c r="BG95" s="326"/>
      <c r="BH95" s="326"/>
      <c r="BI95" s="326"/>
      <c r="BJ95" s="326"/>
      <c r="BK95" s="326"/>
      <c r="BL95" s="326"/>
      <c r="BM95" s="326"/>
      <c r="BN95" s="326"/>
      <c r="BO95" s="327"/>
    </row>
    <row r="96" spans="1:67" ht="34.5" customHeight="1" x14ac:dyDescent="0.25">
      <c r="A96" s="87">
        <f t="shared" si="0"/>
        <v>84</v>
      </c>
      <c r="B96" s="386" t="s">
        <v>334</v>
      </c>
      <c r="C96" s="327"/>
      <c r="D96" s="498"/>
      <c r="E96" s="326"/>
      <c r="F96" s="326"/>
      <c r="G96" s="326"/>
      <c r="H96" s="327"/>
      <c r="I96" s="407"/>
      <c r="J96" s="326"/>
      <c r="K96" s="326"/>
      <c r="L96" s="326"/>
      <c r="M96" s="326"/>
      <c r="N96" s="326"/>
      <c r="O96" s="326"/>
      <c r="P96" s="327"/>
      <c r="Q96" s="456"/>
      <c r="R96" s="326"/>
      <c r="S96" s="326"/>
      <c r="T96" s="326"/>
      <c r="U96" s="326"/>
      <c r="V96" s="326"/>
      <c r="W96" s="326"/>
      <c r="X96" s="327"/>
      <c r="Y96" s="407"/>
      <c r="Z96" s="327"/>
      <c r="AA96" s="456"/>
      <c r="AB96" s="326"/>
      <c r="AC96" s="326"/>
      <c r="AD96" s="327"/>
      <c r="AE96" s="407"/>
      <c r="AF96" s="326"/>
      <c r="AG96" s="327"/>
      <c r="AH96" s="456"/>
      <c r="AI96" s="326"/>
      <c r="AJ96" s="327"/>
      <c r="AK96" s="407"/>
      <c r="AL96" s="326"/>
      <c r="AM96" s="326"/>
      <c r="AN96" s="327"/>
      <c r="AO96" s="456"/>
      <c r="AP96" s="326"/>
      <c r="AQ96" s="326"/>
      <c r="AR96" s="326"/>
      <c r="AS96" s="326"/>
      <c r="AT96" s="326"/>
      <c r="AU96" s="326"/>
      <c r="AV96" s="327"/>
      <c r="AW96" s="685"/>
      <c r="AX96" s="326"/>
      <c r="AY96" s="327"/>
      <c r="AZ96" s="456"/>
      <c r="BA96" s="326"/>
      <c r="BB96" s="326"/>
      <c r="BC96" s="326"/>
      <c r="BD96" s="326"/>
      <c r="BE96" s="326"/>
      <c r="BF96" s="326"/>
      <c r="BG96" s="326"/>
      <c r="BH96" s="326"/>
      <c r="BI96" s="326"/>
      <c r="BJ96" s="326"/>
      <c r="BK96" s="326"/>
      <c r="BL96" s="326"/>
      <c r="BM96" s="326"/>
      <c r="BN96" s="326"/>
      <c r="BO96" s="327"/>
    </row>
    <row r="97" spans="1:67" ht="34.5" customHeight="1" x14ac:dyDescent="0.25">
      <c r="A97" s="87">
        <f t="shared" si="0"/>
        <v>85</v>
      </c>
      <c r="B97" s="386" t="s">
        <v>334</v>
      </c>
      <c r="C97" s="327"/>
      <c r="D97" s="687"/>
      <c r="E97" s="326"/>
      <c r="F97" s="326"/>
      <c r="G97" s="326"/>
      <c r="H97" s="327"/>
      <c r="I97" s="381"/>
      <c r="J97" s="326"/>
      <c r="K97" s="326"/>
      <c r="L97" s="326"/>
      <c r="M97" s="326"/>
      <c r="N97" s="326"/>
      <c r="O97" s="326"/>
      <c r="P97" s="327"/>
      <c r="Q97" s="381"/>
      <c r="R97" s="326"/>
      <c r="S97" s="326"/>
      <c r="T97" s="326"/>
      <c r="U97" s="326"/>
      <c r="V97" s="326"/>
      <c r="W97" s="326"/>
      <c r="X97" s="327"/>
      <c r="Y97" s="381"/>
      <c r="Z97" s="327"/>
      <c r="AA97" s="381"/>
      <c r="AB97" s="326"/>
      <c r="AC97" s="326"/>
      <c r="AD97" s="327"/>
      <c r="AE97" s="381"/>
      <c r="AF97" s="326"/>
      <c r="AG97" s="327"/>
      <c r="AH97" s="381"/>
      <c r="AI97" s="326"/>
      <c r="AJ97" s="327"/>
      <c r="AK97" s="381"/>
      <c r="AL97" s="326"/>
      <c r="AM97" s="326"/>
      <c r="AN97" s="327"/>
      <c r="AO97" s="381"/>
      <c r="AP97" s="326"/>
      <c r="AQ97" s="326"/>
      <c r="AR97" s="326"/>
      <c r="AS97" s="326"/>
      <c r="AT97" s="326"/>
      <c r="AU97" s="326"/>
      <c r="AV97" s="327"/>
      <c r="AW97" s="686"/>
      <c r="AX97" s="326"/>
      <c r="AY97" s="327"/>
      <c r="AZ97" s="381"/>
      <c r="BA97" s="326"/>
      <c r="BB97" s="326"/>
      <c r="BC97" s="326"/>
      <c r="BD97" s="326"/>
      <c r="BE97" s="326"/>
      <c r="BF97" s="326"/>
      <c r="BG97" s="326"/>
      <c r="BH97" s="326"/>
      <c r="BI97" s="326"/>
      <c r="BJ97" s="326"/>
      <c r="BK97" s="326"/>
      <c r="BL97" s="326"/>
      <c r="BM97" s="326"/>
      <c r="BN97" s="326"/>
      <c r="BO97" s="327"/>
    </row>
    <row r="98" spans="1:67" ht="34.5" customHeight="1" x14ac:dyDescent="0.25">
      <c r="A98" s="87">
        <f t="shared" si="0"/>
        <v>86</v>
      </c>
      <c r="B98" s="386" t="s">
        <v>334</v>
      </c>
      <c r="C98" s="327"/>
      <c r="D98" s="498"/>
      <c r="E98" s="326"/>
      <c r="F98" s="326"/>
      <c r="G98" s="326"/>
      <c r="H98" s="327"/>
      <c r="I98" s="407"/>
      <c r="J98" s="326"/>
      <c r="K98" s="326"/>
      <c r="L98" s="326"/>
      <c r="M98" s="326"/>
      <c r="N98" s="326"/>
      <c r="O98" s="326"/>
      <c r="P98" s="327"/>
      <c r="Q98" s="456"/>
      <c r="R98" s="326"/>
      <c r="S98" s="326"/>
      <c r="T98" s="326"/>
      <c r="U98" s="326"/>
      <c r="V98" s="326"/>
      <c r="W98" s="326"/>
      <c r="X98" s="327"/>
      <c r="Y98" s="407"/>
      <c r="Z98" s="327"/>
      <c r="AA98" s="456"/>
      <c r="AB98" s="326"/>
      <c r="AC98" s="326"/>
      <c r="AD98" s="327"/>
      <c r="AE98" s="407"/>
      <c r="AF98" s="326"/>
      <c r="AG98" s="327"/>
      <c r="AH98" s="456"/>
      <c r="AI98" s="326"/>
      <c r="AJ98" s="327"/>
      <c r="AK98" s="407"/>
      <c r="AL98" s="326"/>
      <c r="AM98" s="326"/>
      <c r="AN98" s="327"/>
      <c r="AO98" s="456"/>
      <c r="AP98" s="326"/>
      <c r="AQ98" s="326"/>
      <c r="AR98" s="326"/>
      <c r="AS98" s="326"/>
      <c r="AT98" s="326"/>
      <c r="AU98" s="326"/>
      <c r="AV98" s="327"/>
      <c r="AW98" s="685"/>
      <c r="AX98" s="326"/>
      <c r="AY98" s="327"/>
      <c r="AZ98" s="456"/>
      <c r="BA98" s="326"/>
      <c r="BB98" s="326"/>
      <c r="BC98" s="326"/>
      <c r="BD98" s="326"/>
      <c r="BE98" s="326"/>
      <c r="BF98" s="326"/>
      <c r="BG98" s="326"/>
      <c r="BH98" s="326"/>
      <c r="BI98" s="326"/>
      <c r="BJ98" s="326"/>
      <c r="BK98" s="326"/>
      <c r="BL98" s="326"/>
      <c r="BM98" s="326"/>
      <c r="BN98" s="326"/>
      <c r="BO98" s="327"/>
    </row>
    <row r="99" spans="1:67" ht="34.5" customHeight="1" x14ac:dyDescent="0.25">
      <c r="A99" s="87">
        <f t="shared" si="0"/>
        <v>87</v>
      </c>
      <c r="B99" s="386" t="s">
        <v>334</v>
      </c>
      <c r="C99" s="327"/>
      <c r="D99" s="687"/>
      <c r="E99" s="326"/>
      <c r="F99" s="326"/>
      <c r="G99" s="326"/>
      <c r="H99" s="327"/>
      <c r="I99" s="381"/>
      <c r="J99" s="326"/>
      <c r="K99" s="326"/>
      <c r="L99" s="326"/>
      <c r="M99" s="326"/>
      <c r="N99" s="326"/>
      <c r="O99" s="326"/>
      <c r="P99" s="327"/>
      <c r="Q99" s="381"/>
      <c r="R99" s="326"/>
      <c r="S99" s="326"/>
      <c r="T99" s="326"/>
      <c r="U99" s="326"/>
      <c r="V99" s="326"/>
      <c r="W99" s="326"/>
      <c r="X99" s="327"/>
      <c r="Y99" s="381"/>
      <c r="Z99" s="327"/>
      <c r="AA99" s="381"/>
      <c r="AB99" s="326"/>
      <c r="AC99" s="326"/>
      <c r="AD99" s="327"/>
      <c r="AE99" s="381"/>
      <c r="AF99" s="326"/>
      <c r="AG99" s="327"/>
      <c r="AH99" s="381"/>
      <c r="AI99" s="326"/>
      <c r="AJ99" s="327"/>
      <c r="AK99" s="381"/>
      <c r="AL99" s="326"/>
      <c r="AM99" s="326"/>
      <c r="AN99" s="327"/>
      <c r="AO99" s="381"/>
      <c r="AP99" s="326"/>
      <c r="AQ99" s="326"/>
      <c r="AR99" s="326"/>
      <c r="AS99" s="326"/>
      <c r="AT99" s="326"/>
      <c r="AU99" s="326"/>
      <c r="AV99" s="327"/>
      <c r="AW99" s="686"/>
      <c r="AX99" s="326"/>
      <c r="AY99" s="327"/>
      <c r="AZ99" s="381"/>
      <c r="BA99" s="326"/>
      <c r="BB99" s="326"/>
      <c r="BC99" s="326"/>
      <c r="BD99" s="326"/>
      <c r="BE99" s="326"/>
      <c r="BF99" s="326"/>
      <c r="BG99" s="326"/>
      <c r="BH99" s="326"/>
      <c r="BI99" s="326"/>
      <c r="BJ99" s="326"/>
      <c r="BK99" s="326"/>
      <c r="BL99" s="326"/>
      <c r="BM99" s="326"/>
      <c r="BN99" s="326"/>
      <c r="BO99" s="327"/>
    </row>
    <row r="100" spans="1:67" ht="34.5" customHeight="1" x14ac:dyDescent="0.25">
      <c r="A100" s="87">
        <f t="shared" si="0"/>
        <v>88</v>
      </c>
      <c r="B100" s="386" t="s">
        <v>334</v>
      </c>
      <c r="C100" s="327"/>
      <c r="D100" s="498"/>
      <c r="E100" s="326"/>
      <c r="F100" s="326"/>
      <c r="G100" s="326"/>
      <c r="H100" s="327"/>
      <c r="I100" s="407"/>
      <c r="J100" s="326"/>
      <c r="K100" s="326"/>
      <c r="L100" s="326"/>
      <c r="M100" s="326"/>
      <c r="N100" s="326"/>
      <c r="O100" s="326"/>
      <c r="P100" s="327"/>
      <c r="Q100" s="456"/>
      <c r="R100" s="326"/>
      <c r="S100" s="326"/>
      <c r="T100" s="326"/>
      <c r="U100" s="326"/>
      <c r="V100" s="326"/>
      <c r="W100" s="326"/>
      <c r="X100" s="327"/>
      <c r="Y100" s="407"/>
      <c r="Z100" s="327"/>
      <c r="AA100" s="456"/>
      <c r="AB100" s="326"/>
      <c r="AC100" s="326"/>
      <c r="AD100" s="327"/>
      <c r="AE100" s="407"/>
      <c r="AF100" s="326"/>
      <c r="AG100" s="327"/>
      <c r="AH100" s="456"/>
      <c r="AI100" s="326"/>
      <c r="AJ100" s="327"/>
      <c r="AK100" s="407"/>
      <c r="AL100" s="326"/>
      <c r="AM100" s="326"/>
      <c r="AN100" s="327"/>
      <c r="AO100" s="456"/>
      <c r="AP100" s="326"/>
      <c r="AQ100" s="326"/>
      <c r="AR100" s="326"/>
      <c r="AS100" s="326"/>
      <c r="AT100" s="326"/>
      <c r="AU100" s="326"/>
      <c r="AV100" s="327"/>
      <c r="AW100" s="685"/>
      <c r="AX100" s="326"/>
      <c r="AY100" s="327"/>
      <c r="AZ100" s="456"/>
      <c r="BA100" s="326"/>
      <c r="BB100" s="326"/>
      <c r="BC100" s="326"/>
      <c r="BD100" s="326"/>
      <c r="BE100" s="326"/>
      <c r="BF100" s="326"/>
      <c r="BG100" s="326"/>
      <c r="BH100" s="326"/>
      <c r="BI100" s="326"/>
      <c r="BJ100" s="326"/>
      <c r="BK100" s="326"/>
      <c r="BL100" s="326"/>
      <c r="BM100" s="326"/>
      <c r="BN100" s="326"/>
      <c r="BO100" s="327"/>
    </row>
    <row r="101" spans="1:67" ht="34.5" customHeight="1" x14ac:dyDescent="0.25">
      <c r="A101" s="87">
        <f t="shared" si="0"/>
        <v>89</v>
      </c>
      <c r="B101" s="386" t="s">
        <v>334</v>
      </c>
      <c r="C101" s="327"/>
      <c r="D101" s="687"/>
      <c r="E101" s="326"/>
      <c r="F101" s="326"/>
      <c r="G101" s="326"/>
      <c r="H101" s="327"/>
      <c r="I101" s="381"/>
      <c r="J101" s="326"/>
      <c r="K101" s="326"/>
      <c r="L101" s="326"/>
      <c r="M101" s="326"/>
      <c r="N101" s="326"/>
      <c r="O101" s="326"/>
      <c r="P101" s="327"/>
      <c r="Q101" s="381"/>
      <c r="R101" s="326"/>
      <c r="S101" s="326"/>
      <c r="T101" s="326"/>
      <c r="U101" s="326"/>
      <c r="V101" s="326"/>
      <c r="W101" s="326"/>
      <c r="X101" s="327"/>
      <c r="Y101" s="381"/>
      <c r="Z101" s="327"/>
      <c r="AA101" s="381"/>
      <c r="AB101" s="326"/>
      <c r="AC101" s="326"/>
      <c r="AD101" s="327"/>
      <c r="AE101" s="381"/>
      <c r="AF101" s="326"/>
      <c r="AG101" s="327"/>
      <c r="AH101" s="381"/>
      <c r="AI101" s="326"/>
      <c r="AJ101" s="327"/>
      <c r="AK101" s="381"/>
      <c r="AL101" s="326"/>
      <c r="AM101" s="326"/>
      <c r="AN101" s="327"/>
      <c r="AO101" s="381"/>
      <c r="AP101" s="326"/>
      <c r="AQ101" s="326"/>
      <c r="AR101" s="326"/>
      <c r="AS101" s="326"/>
      <c r="AT101" s="326"/>
      <c r="AU101" s="326"/>
      <c r="AV101" s="327"/>
      <c r="AW101" s="686"/>
      <c r="AX101" s="326"/>
      <c r="AY101" s="327"/>
      <c r="AZ101" s="381"/>
      <c r="BA101" s="326"/>
      <c r="BB101" s="326"/>
      <c r="BC101" s="326"/>
      <c r="BD101" s="326"/>
      <c r="BE101" s="326"/>
      <c r="BF101" s="326"/>
      <c r="BG101" s="326"/>
      <c r="BH101" s="326"/>
      <c r="BI101" s="326"/>
      <c r="BJ101" s="326"/>
      <c r="BK101" s="326"/>
      <c r="BL101" s="326"/>
      <c r="BM101" s="326"/>
      <c r="BN101" s="326"/>
      <c r="BO101" s="327"/>
    </row>
    <row r="102" spans="1:67" ht="34.5" customHeight="1" x14ac:dyDescent="0.25">
      <c r="A102" s="87">
        <f t="shared" si="0"/>
        <v>90</v>
      </c>
      <c r="B102" s="386" t="s">
        <v>334</v>
      </c>
      <c r="C102" s="327"/>
      <c r="D102" s="498"/>
      <c r="E102" s="326"/>
      <c r="F102" s="326"/>
      <c r="G102" s="326"/>
      <c r="H102" s="327"/>
      <c r="I102" s="407"/>
      <c r="J102" s="326"/>
      <c r="K102" s="326"/>
      <c r="L102" s="326"/>
      <c r="M102" s="326"/>
      <c r="N102" s="326"/>
      <c r="O102" s="326"/>
      <c r="P102" s="327"/>
      <c r="Q102" s="456"/>
      <c r="R102" s="326"/>
      <c r="S102" s="326"/>
      <c r="T102" s="326"/>
      <c r="U102" s="326"/>
      <c r="V102" s="326"/>
      <c r="W102" s="326"/>
      <c r="X102" s="327"/>
      <c r="Y102" s="407"/>
      <c r="Z102" s="327"/>
      <c r="AA102" s="456"/>
      <c r="AB102" s="326"/>
      <c r="AC102" s="326"/>
      <c r="AD102" s="327"/>
      <c r="AE102" s="407"/>
      <c r="AF102" s="326"/>
      <c r="AG102" s="327"/>
      <c r="AH102" s="456"/>
      <c r="AI102" s="326"/>
      <c r="AJ102" s="327"/>
      <c r="AK102" s="407"/>
      <c r="AL102" s="326"/>
      <c r="AM102" s="326"/>
      <c r="AN102" s="327"/>
      <c r="AO102" s="456"/>
      <c r="AP102" s="326"/>
      <c r="AQ102" s="326"/>
      <c r="AR102" s="326"/>
      <c r="AS102" s="326"/>
      <c r="AT102" s="326"/>
      <c r="AU102" s="326"/>
      <c r="AV102" s="327"/>
      <c r="AW102" s="685"/>
      <c r="AX102" s="326"/>
      <c r="AY102" s="327"/>
      <c r="AZ102" s="456"/>
      <c r="BA102" s="326"/>
      <c r="BB102" s="326"/>
      <c r="BC102" s="326"/>
      <c r="BD102" s="326"/>
      <c r="BE102" s="326"/>
      <c r="BF102" s="326"/>
      <c r="BG102" s="326"/>
      <c r="BH102" s="326"/>
      <c r="BI102" s="326"/>
      <c r="BJ102" s="326"/>
      <c r="BK102" s="326"/>
      <c r="BL102" s="326"/>
      <c r="BM102" s="326"/>
      <c r="BN102" s="326"/>
      <c r="BO102" s="327"/>
    </row>
    <row r="103" spans="1:67" ht="34.5" customHeight="1" x14ac:dyDescent="0.25">
      <c r="A103" s="87">
        <f t="shared" si="0"/>
        <v>91</v>
      </c>
      <c r="B103" s="386" t="s">
        <v>334</v>
      </c>
      <c r="C103" s="327"/>
      <c r="D103" s="687"/>
      <c r="E103" s="326"/>
      <c r="F103" s="326"/>
      <c r="G103" s="326"/>
      <c r="H103" s="327"/>
      <c r="I103" s="381"/>
      <c r="J103" s="326"/>
      <c r="K103" s="326"/>
      <c r="L103" s="326"/>
      <c r="M103" s="326"/>
      <c r="N103" s="326"/>
      <c r="O103" s="326"/>
      <c r="P103" s="327"/>
      <c r="Q103" s="381"/>
      <c r="R103" s="326"/>
      <c r="S103" s="326"/>
      <c r="T103" s="326"/>
      <c r="U103" s="326"/>
      <c r="V103" s="326"/>
      <c r="W103" s="326"/>
      <c r="X103" s="327"/>
      <c r="Y103" s="381"/>
      <c r="Z103" s="327"/>
      <c r="AA103" s="381"/>
      <c r="AB103" s="326"/>
      <c r="AC103" s="326"/>
      <c r="AD103" s="327"/>
      <c r="AE103" s="381"/>
      <c r="AF103" s="326"/>
      <c r="AG103" s="327"/>
      <c r="AH103" s="381"/>
      <c r="AI103" s="326"/>
      <c r="AJ103" s="327"/>
      <c r="AK103" s="381"/>
      <c r="AL103" s="326"/>
      <c r="AM103" s="326"/>
      <c r="AN103" s="327"/>
      <c r="AO103" s="381"/>
      <c r="AP103" s="326"/>
      <c r="AQ103" s="326"/>
      <c r="AR103" s="326"/>
      <c r="AS103" s="326"/>
      <c r="AT103" s="326"/>
      <c r="AU103" s="326"/>
      <c r="AV103" s="327"/>
      <c r="AW103" s="686"/>
      <c r="AX103" s="326"/>
      <c r="AY103" s="327"/>
      <c r="AZ103" s="381"/>
      <c r="BA103" s="326"/>
      <c r="BB103" s="326"/>
      <c r="BC103" s="326"/>
      <c r="BD103" s="326"/>
      <c r="BE103" s="326"/>
      <c r="BF103" s="326"/>
      <c r="BG103" s="326"/>
      <c r="BH103" s="326"/>
      <c r="BI103" s="326"/>
      <c r="BJ103" s="326"/>
      <c r="BK103" s="326"/>
      <c r="BL103" s="326"/>
      <c r="BM103" s="326"/>
      <c r="BN103" s="326"/>
      <c r="BO103" s="327"/>
    </row>
    <row r="104" spans="1:67" ht="34.5" customHeight="1" x14ac:dyDescent="0.25">
      <c r="A104" s="87">
        <f t="shared" si="0"/>
        <v>92</v>
      </c>
      <c r="B104" s="688" t="s">
        <v>334</v>
      </c>
      <c r="C104" s="327"/>
      <c r="D104" s="498"/>
      <c r="E104" s="326"/>
      <c r="F104" s="326"/>
      <c r="G104" s="326"/>
      <c r="H104" s="327"/>
      <c r="I104" s="407"/>
      <c r="J104" s="326"/>
      <c r="K104" s="326"/>
      <c r="L104" s="326"/>
      <c r="M104" s="326"/>
      <c r="N104" s="326"/>
      <c r="O104" s="326"/>
      <c r="P104" s="327"/>
      <c r="Q104" s="456"/>
      <c r="R104" s="326"/>
      <c r="S104" s="326"/>
      <c r="T104" s="326"/>
      <c r="U104" s="326"/>
      <c r="V104" s="326"/>
      <c r="W104" s="326"/>
      <c r="X104" s="327"/>
      <c r="Y104" s="407"/>
      <c r="Z104" s="327"/>
      <c r="AA104" s="456"/>
      <c r="AB104" s="326"/>
      <c r="AC104" s="326"/>
      <c r="AD104" s="327"/>
      <c r="AE104" s="407"/>
      <c r="AF104" s="326"/>
      <c r="AG104" s="327"/>
      <c r="AH104" s="456"/>
      <c r="AI104" s="326"/>
      <c r="AJ104" s="327"/>
      <c r="AK104" s="407"/>
      <c r="AL104" s="326"/>
      <c r="AM104" s="326"/>
      <c r="AN104" s="327"/>
      <c r="AO104" s="456"/>
      <c r="AP104" s="326"/>
      <c r="AQ104" s="326"/>
      <c r="AR104" s="326"/>
      <c r="AS104" s="326"/>
      <c r="AT104" s="326"/>
      <c r="AU104" s="326"/>
      <c r="AV104" s="327"/>
      <c r="AW104" s="685"/>
      <c r="AX104" s="326"/>
      <c r="AY104" s="327"/>
      <c r="AZ104" s="456"/>
      <c r="BA104" s="326"/>
      <c r="BB104" s="326"/>
      <c r="BC104" s="326"/>
      <c r="BD104" s="326"/>
      <c r="BE104" s="326"/>
      <c r="BF104" s="326"/>
      <c r="BG104" s="326"/>
      <c r="BH104" s="326"/>
      <c r="BI104" s="326"/>
      <c r="BJ104" s="326"/>
      <c r="BK104" s="326"/>
      <c r="BL104" s="326"/>
      <c r="BM104" s="326"/>
      <c r="BN104" s="326"/>
      <c r="BO104" s="327"/>
    </row>
    <row r="105" spans="1:67" ht="34.5" customHeight="1" x14ac:dyDescent="0.25">
      <c r="A105" s="87">
        <f t="shared" si="0"/>
        <v>93</v>
      </c>
      <c r="B105" s="386" t="s">
        <v>334</v>
      </c>
      <c r="C105" s="327"/>
      <c r="D105" s="687"/>
      <c r="E105" s="326"/>
      <c r="F105" s="326"/>
      <c r="G105" s="326"/>
      <c r="H105" s="327"/>
      <c r="I105" s="381"/>
      <c r="J105" s="326"/>
      <c r="K105" s="326"/>
      <c r="L105" s="326"/>
      <c r="M105" s="326"/>
      <c r="N105" s="326"/>
      <c r="O105" s="326"/>
      <c r="P105" s="327"/>
      <c r="Q105" s="381"/>
      <c r="R105" s="326"/>
      <c r="S105" s="326"/>
      <c r="T105" s="326"/>
      <c r="U105" s="326"/>
      <c r="V105" s="326"/>
      <c r="W105" s="326"/>
      <c r="X105" s="327"/>
      <c r="Y105" s="381"/>
      <c r="Z105" s="327"/>
      <c r="AA105" s="381"/>
      <c r="AB105" s="326"/>
      <c r="AC105" s="326"/>
      <c r="AD105" s="327"/>
      <c r="AE105" s="381"/>
      <c r="AF105" s="326"/>
      <c r="AG105" s="327"/>
      <c r="AH105" s="381"/>
      <c r="AI105" s="326"/>
      <c r="AJ105" s="327"/>
      <c r="AK105" s="381"/>
      <c r="AL105" s="326"/>
      <c r="AM105" s="326"/>
      <c r="AN105" s="327"/>
      <c r="AO105" s="381"/>
      <c r="AP105" s="326"/>
      <c r="AQ105" s="326"/>
      <c r="AR105" s="326"/>
      <c r="AS105" s="326"/>
      <c r="AT105" s="326"/>
      <c r="AU105" s="326"/>
      <c r="AV105" s="327"/>
      <c r="AW105" s="686"/>
      <c r="AX105" s="326"/>
      <c r="AY105" s="327"/>
      <c r="AZ105" s="381"/>
      <c r="BA105" s="326"/>
      <c r="BB105" s="326"/>
      <c r="BC105" s="326"/>
      <c r="BD105" s="326"/>
      <c r="BE105" s="326"/>
      <c r="BF105" s="326"/>
      <c r="BG105" s="326"/>
      <c r="BH105" s="326"/>
      <c r="BI105" s="326"/>
      <c r="BJ105" s="326"/>
      <c r="BK105" s="326"/>
      <c r="BL105" s="326"/>
      <c r="BM105" s="326"/>
      <c r="BN105" s="326"/>
      <c r="BO105" s="327"/>
    </row>
    <row r="106" spans="1:67" ht="34.5" customHeight="1" x14ac:dyDescent="0.25">
      <c r="A106" s="87">
        <f t="shared" si="0"/>
        <v>94</v>
      </c>
      <c r="B106" s="386" t="s">
        <v>334</v>
      </c>
      <c r="C106" s="327"/>
      <c r="D106" s="498"/>
      <c r="E106" s="326"/>
      <c r="F106" s="326"/>
      <c r="G106" s="326"/>
      <c r="H106" s="327"/>
      <c r="I106" s="407"/>
      <c r="J106" s="326"/>
      <c r="K106" s="326"/>
      <c r="L106" s="326"/>
      <c r="M106" s="326"/>
      <c r="N106" s="326"/>
      <c r="O106" s="326"/>
      <c r="P106" s="327"/>
      <c r="Q106" s="456"/>
      <c r="R106" s="326"/>
      <c r="S106" s="326"/>
      <c r="T106" s="326"/>
      <c r="U106" s="326"/>
      <c r="V106" s="326"/>
      <c r="W106" s="326"/>
      <c r="X106" s="327"/>
      <c r="Y106" s="407"/>
      <c r="Z106" s="327"/>
      <c r="AA106" s="456"/>
      <c r="AB106" s="326"/>
      <c r="AC106" s="326"/>
      <c r="AD106" s="327"/>
      <c r="AE106" s="407"/>
      <c r="AF106" s="326"/>
      <c r="AG106" s="327"/>
      <c r="AH106" s="456"/>
      <c r="AI106" s="326"/>
      <c r="AJ106" s="327"/>
      <c r="AK106" s="407"/>
      <c r="AL106" s="326"/>
      <c r="AM106" s="326"/>
      <c r="AN106" s="327"/>
      <c r="AO106" s="456"/>
      <c r="AP106" s="326"/>
      <c r="AQ106" s="326"/>
      <c r="AR106" s="326"/>
      <c r="AS106" s="326"/>
      <c r="AT106" s="326"/>
      <c r="AU106" s="326"/>
      <c r="AV106" s="327"/>
      <c r="AW106" s="685"/>
      <c r="AX106" s="326"/>
      <c r="AY106" s="327"/>
      <c r="AZ106" s="456"/>
      <c r="BA106" s="326"/>
      <c r="BB106" s="326"/>
      <c r="BC106" s="326"/>
      <c r="BD106" s="326"/>
      <c r="BE106" s="326"/>
      <c r="BF106" s="326"/>
      <c r="BG106" s="326"/>
      <c r="BH106" s="326"/>
      <c r="BI106" s="326"/>
      <c r="BJ106" s="326"/>
      <c r="BK106" s="326"/>
      <c r="BL106" s="326"/>
      <c r="BM106" s="326"/>
      <c r="BN106" s="326"/>
      <c r="BO106" s="327"/>
    </row>
    <row r="107" spans="1:67" ht="34.5" customHeight="1" x14ac:dyDescent="0.25">
      <c r="A107" s="87">
        <f t="shared" si="0"/>
        <v>95</v>
      </c>
      <c r="B107" s="386" t="s">
        <v>334</v>
      </c>
      <c r="C107" s="327"/>
      <c r="D107" s="687"/>
      <c r="E107" s="326"/>
      <c r="F107" s="326"/>
      <c r="G107" s="326"/>
      <c r="H107" s="327"/>
      <c r="I107" s="381"/>
      <c r="J107" s="326"/>
      <c r="K107" s="326"/>
      <c r="L107" s="326"/>
      <c r="M107" s="326"/>
      <c r="N107" s="326"/>
      <c r="O107" s="326"/>
      <c r="P107" s="327"/>
      <c r="Q107" s="381"/>
      <c r="R107" s="326"/>
      <c r="S107" s="326"/>
      <c r="T107" s="326"/>
      <c r="U107" s="326"/>
      <c r="V107" s="326"/>
      <c r="W107" s="326"/>
      <c r="X107" s="327"/>
      <c r="Y107" s="381"/>
      <c r="Z107" s="327"/>
      <c r="AA107" s="381"/>
      <c r="AB107" s="326"/>
      <c r="AC107" s="326"/>
      <c r="AD107" s="327"/>
      <c r="AE107" s="381"/>
      <c r="AF107" s="326"/>
      <c r="AG107" s="327"/>
      <c r="AH107" s="381"/>
      <c r="AI107" s="326"/>
      <c r="AJ107" s="327"/>
      <c r="AK107" s="381"/>
      <c r="AL107" s="326"/>
      <c r="AM107" s="326"/>
      <c r="AN107" s="327"/>
      <c r="AO107" s="381"/>
      <c r="AP107" s="326"/>
      <c r="AQ107" s="326"/>
      <c r="AR107" s="326"/>
      <c r="AS107" s="326"/>
      <c r="AT107" s="326"/>
      <c r="AU107" s="326"/>
      <c r="AV107" s="327"/>
      <c r="AW107" s="686"/>
      <c r="AX107" s="326"/>
      <c r="AY107" s="327"/>
      <c r="AZ107" s="381"/>
      <c r="BA107" s="326"/>
      <c r="BB107" s="326"/>
      <c r="BC107" s="326"/>
      <c r="BD107" s="326"/>
      <c r="BE107" s="326"/>
      <c r="BF107" s="326"/>
      <c r="BG107" s="326"/>
      <c r="BH107" s="326"/>
      <c r="BI107" s="326"/>
      <c r="BJ107" s="326"/>
      <c r="BK107" s="326"/>
      <c r="BL107" s="326"/>
      <c r="BM107" s="326"/>
      <c r="BN107" s="326"/>
      <c r="BO107" s="327"/>
    </row>
    <row r="108" spans="1:67" ht="34.5" customHeight="1" x14ac:dyDescent="0.25">
      <c r="A108" s="87">
        <f t="shared" si="0"/>
        <v>96</v>
      </c>
      <c r="B108" s="386" t="s">
        <v>334</v>
      </c>
      <c r="C108" s="327"/>
      <c r="D108" s="498"/>
      <c r="E108" s="326"/>
      <c r="F108" s="326"/>
      <c r="G108" s="326"/>
      <c r="H108" s="327"/>
      <c r="I108" s="407"/>
      <c r="J108" s="326"/>
      <c r="K108" s="326"/>
      <c r="L108" s="326"/>
      <c r="M108" s="326"/>
      <c r="N108" s="326"/>
      <c r="O108" s="326"/>
      <c r="P108" s="327"/>
      <c r="Q108" s="456"/>
      <c r="R108" s="326"/>
      <c r="S108" s="326"/>
      <c r="T108" s="326"/>
      <c r="U108" s="326"/>
      <c r="V108" s="326"/>
      <c r="W108" s="326"/>
      <c r="X108" s="327"/>
      <c r="Y108" s="407"/>
      <c r="Z108" s="327"/>
      <c r="AA108" s="456"/>
      <c r="AB108" s="326"/>
      <c r="AC108" s="326"/>
      <c r="AD108" s="327"/>
      <c r="AE108" s="407"/>
      <c r="AF108" s="326"/>
      <c r="AG108" s="327"/>
      <c r="AH108" s="456"/>
      <c r="AI108" s="326"/>
      <c r="AJ108" s="327"/>
      <c r="AK108" s="407"/>
      <c r="AL108" s="326"/>
      <c r="AM108" s="326"/>
      <c r="AN108" s="327"/>
      <c r="AO108" s="456"/>
      <c r="AP108" s="326"/>
      <c r="AQ108" s="326"/>
      <c r="AR108" s="326"/>
      <c r="AS108" s="326"/>
      <c r="AT108" s="326"/>
      <c r="AU108" s="326"/>
      <c r="AV108" s="327"/>
      <c r="AW108" s="685"/>
      <c r="AX108" s="326"/>
      <c r="AY108" s="327"/>
      <c r="AZ108" s="456"/>
      <c r="BA108" s="326"/>
      <c r="BB108" s="326"/>
      <c r="BC108" s="326"/>
      <c r="BD108" s="326"/>
      <c r="BE108" s="326"/>
      <c r="BF108" s="326"/>
      <c r="BG108" s="326"/>
      <c r="BH108" s="326"/>
      <c r="BI108" s="326"/>
      <c r="BJ108" s="326"/>
      <c r="BK108" s="326"/>
      <c r="BL108" s="326"/>
      <c r="BM108" s="326"/>
      <c r="BN108" s="326"/>
      <c r="BO108" s="327"/>
    </row>
    <row r="109" spans="1:67" ht="34.5" customHeight="1" x14ac:dyDescent="0.25">
      <c r="A109" s="87">
        <f t="shared" si="0"/>
        <v>97</v>
      </c>
      <c r="B109" s="386" t="s">
        <v>334</v>
      </c>
      <c r="C109" s="327"/>
      <c r="D109" s="687"/>
      <c r="E109" s="326"/>
      <c r="F109" s="326"/>
      <c r="G109" s="326"/>
      <c r="H109" s="327"/>
      <c r="I109" s="381"/>
      <c r="J109" s="326"/>
      <c r="K109" s="326"/>
      <c r="L109" s="326"/>
      <c r="M109" s="326"/>
      <c r="N109" s="326"/>
      <c r="O109" s="326"/>
      <c r="P109" s="327"/>
      <c r="Q109" s="381"/>
      <c r="R109" s="326"/>
      <c r="S109" s="326"/>
      <c r="T109" s="326"/>
      <c r="U109" s="326"/>
      <c r="V109" s="326"/>
      <c r="W109" s="326"/>
      <c r="X109" s="327"/>
      <c r="Y109" s="381"/>
      <c r="Z109" s="327"/>
      <c r="AA109" s="381"/>
      <c r="AB109" s="326"/>
      <c r="AC109" s="326"/>
      <c r="AD109" s="327"/>
      <c r="AE109" s="381"/>
      <c r="AF109" s="326"/>
      <c r="AG109" s="327"/>
      <c r="AH109" s="381"/>
      <c r="AI109" s="326"/>
      <c r="AJ109" s="327"/>
      <c r="AK109" s="381"/>
      <c r="AL109" s="326"/>
      <c r="AM109" s="326"/>
      <c r="AN109" s="327"/>
      <c r="AO109" s="381"/>
      <c r="AP109" s="326"/>
      <c r="AQ109" s="326"/>
      <c r="AR109" s="326"/>
      <c r="AS109" s="326"/>
      <c r="AT109" s="326"/>
      <c r="AU109" s="326"/>
      <c r="AV109" s="327"/>
      <c r="AW109" s="686"/>
      <c r="AX109" s="326"/>
      <c r="AY109" s="327"/>
      <c r="AZ109" s="381"/>
      <c r="BA109" s="326"/>
      <c r="BB109" s="326"/>
      <c r="BC109" s="326"/>
      <c r="BD109" s="326"/>
      <c r="BE109" s="326"/>
      <c r="BF109" s="326"/>
      <c r="BG109" s="326"/>
      <c r="BH109" s="326"/>
      <c r="BI109" s="326"/>
      <c r="BJ109" s="326"/>
      <c r="BK109" s="326"/>
      <c r="BL109" s="326"/>
      <c r="BM109" s="326"/>
      <c r="BN109" s="326"/>
      <c r="BO109" s="327"/>
    </row>
    <row r="110" spans="1:67" ht="34.5" customHeight="1" x14ac:dyDescent="0.25">
      <c r="A110" s="87">
        <f t="shared" si="0"/>
        <v>98</v>
      </c>
      <c r="B110" s="386" t="s">
        <v>334</v>
      </c>
      <c r="C110" s="327"/>
      <c r="D110" s="498"/>
      <c r="E110" s="326"/>
      <c r="F110" s="326"/>
      <c r="G110" s="326"/>
      <c r="H110" s="327"/>
      <c r="I110" s="407"/>
      <c r="J110" s="326"/>
      <c r="K110" s="326"/>
      <c r="L110" s="326"/>
      <c r="M110" s="326"/>
      <c r="N110" s="326"/>
      <c r="O110" s="326"/>
      <c r="P110" s="327"/>
      <c r="Q110" s="456"/>
      <c r="R110" s="326"/>
      <c r="S110" s="326"/>
      <c r="T110" s="326"/>
      <c r="U110" s="326"/>
      <c r="V110" s="326"/>
      <c r="W110" s="326"/>
      <c r="X110" s="327"/>
      <c r="Y110" s="407"/>
      <c r="Z110" s="327"/>
      <c r="AA110" s="456"/>
      <c r="AB110" s="326"/>
      <c r="AC110" s="326"/>
      <c r="AD110" s="327"/>
      <c r="AE110" s="407"/>
      <c r="AF110" s="326"/>
      <c r="AG110" s="327"/>
      <c r="AH110" s="456"/>
      <c r="AI110" s="326"/>
      <c r="AJ110" s="327"/>
      <c r="AK110" s="407"/>
      <c r="AL110" s="326"/>
      <c r="AM110" s="326"/>
      <c r="AN110" s="327"/>
      <c r="AO110" s="456"/>
      <c r="AP110" s="326"/>
      <c r="AQ110" s="326"/>
      <c r="AR110" s="326"/>
      <c r="AS110" s="326"/>
      <c r="AT110" s="326"/>
      <c r="AU110" s="326"/>
      <c r="AV110" s="327"/>
      <c r="AW110" s="685"/>
      <c r="AX110" s="326"/>
      <c r="AY110" s="327"/>
      <c r="AZ110" s="456"/>
      <c r="BA110" s="326"/>
      <c r="BB110" s="326"/>
      <c r="BC110" s="326"/>
      <c r="BD110" s="326"/>
      <c r="BE110" s="326"/>
      <c r="BF110" s="326"/>
      <c r="BG110" s="326"/>
      <c r="BH110" s="326"/>
      <c r="BI110" s="326"/>
      <c r="BJ110" s="326"/>
      <c r="BK110" s="326"/>
      <c r="BL110" s="326"/>
      <c r="BM110" s="326"/>
      <c r="BN110" s="326"/>
      <c r="BO110" s="327"/>
    </row>
    <row r="111" spans="1:67" ht="34.5" customHeight="1" x14ac:dyDescent="0.25">
      <c r="A111" s="87">
        <f t="shared" si="0"/>
        <v>99</v>
      </c>
      <c r="B111" s="386" t="s">
        <v>334</v>
      </c>
      <c r="C111" s="327"/>
      <c r="D111" s="687"/>
      <c r="E111" s="326"/>
      <c r="F111" s="326"/>
      <c r="G111" s="326"/>
      <c r="H111" s="327"/>
      <c r="I111" s="381"/>
      <c r="J111" s="326"/>
      <c r="K111" s="326"/>
      <c r="L111" s="326"/>
      <c r="M111" s="326"/>
      <c r="N111" s="326"/>
      <c r="O111" s="326"/>
      <c r="P111" s="327"/>
      <c r="Q111" s="381"/>
      <c r="R111" s="326"/>
      <c r="S111" s="326"/>
      <c r="T111" s="326"/>
      <c r="U111" s="326"/>
      <c r="V111" s="326"/>
      <c r="W111" s="326"/>
      <c r="X111" s="327"/>
      <c r="Y111" s="381"/>
      <c r="Z111" s="327"/>
      <c r="AA111" s="381"/>
      <c r="AB111" s="326"/>
      <c r="AC111" s="326"/>
      <c r="AD111" s="327"/>
      <c r="AE111" s="381"/>
      <c r="AF111" s="326"/>
      <c r="AG111" s="327"/>
      <c r="AH111" s="381"/>
      <c r="AI111" s="326"/>
      <c r="AJ111" s="327"/>
      <c r="AK111" s="381"/>
      <c r="AL111" s="326"/>
      <c r="AM111" s="326"/>
      <c r="AN111" s="327"/>
      <c r="AO111" s="381"/>
      <c r="AP111" s="326"/>
      <c r="AQ111" s="326"/>
      <c r="AR111" s="326"/>
      <c r="AS111" s="326"/>
      <c r="AT111" s="326"/>
      <c r="AU111" s="326"/>
      <c r="AV111" s="327"/>
      <c r="AW111" s="686"/>
      <c r="AX111" s="326"/>
      <c r="AY111" s="327"/>
      <c r="AZ111" s="381"/>
      <c r="BA111" s="326"/>
      <c r="BB111" s="326"/>
      <c r="BC111" s="326"/>
      <c r="BD111" s="326"/>
      <c r="BE111" s="326"/>
      <c r="BF111" s="326"/>
      <c r="BG111" s="326"/>
      <c r="BH111" s="326"/>
      <c r="BI111" s="326"/>
      <c r="BJ111" s="326"/>
      <c r="BK111" s="326"/>
      <c r="BL111" s="326"/>
      <c r="BM111" s="326"/>
      <c r="BN111" s="326"/>
      <c r="BO111" s="327"/>
    </row>
    <row r="112" spans="1:67" ht="34.5" customHeight="1" x14ac:dyDescent="0.25">
      <c r="A112" s="87">
        <f t="shared" si="0"/>
        <v>100</v>
      </c>
      <c r="B112" s="386" t="s">
        <v>334</v>
      </c>
      <c r="C112" s="327"/>
      <c r="D112" s="498"/>
      <c r="E112" s="326"/>
      <c r="F112" s="326"/>
      <c r="G112" s="326"/>
      <c r="H112" s="327"/>
      <c r="I112" s="407"/>
      <c r="J112" s="326"/>
      <c r="K112" s="326"/>
      <c r="L112" s="326"/>
      <c r="M112" s="326"/>
      <c r="N112" s="326"/>
      <c r="O112" s="326"/>
      <c r="P112" s="327"/>
      <c r="Q112" s="456"/>
      <c r="R112" s="326"/>
      <c r="S112" s="326"/>
      <c r="T112" s="326"/>
      <c r="U112" s="326"/>
      <c r="V112" s="326"/>
      <c r="W112" s="326"/>
      <c r="X112" s="327"/>
      <c r="Y112" s="407"/>
      <c r="Z112" s="327"/>
      <c r="AA112" s="456"/>
      <c r="AB112" s="326"/>
      <c r="AC112" s="326"/>
      <c r="AD112" s="327"/>
      <c r="AE112" s="407"/>
      <c r="AF112" s="326"/>
      <c r="AG112" s="327"/>
      <c r="AH112" s="456"/>
      <c r="AI112" s="326"/>
      <c r="AJ112" s="327"/>
      <c r="AK112" s="407"/>
      <c r="AL112" s="326"/>
      <c r="AM112" s="326"/>
      <c r="AN112" s="327"/>
      <c r="AO112" s="456"/>
      <c r="AP112" s="326"/>
      <c r="AQ112" s="326"/>
      <c r="AR112" s="326"/>
      <c r="AS112" s="326"/>
      <c r="AT112" s="326"/>
      <c r="AU112" s="326"/>
      <c r="AV112" s="327"/>
      <c r="AW112" s="685"/>
      <c r="AX112" s="326"/>
      <c r="AY112" s="327"/>
      <c r="AZ112" s="456"/>
      <c r="BA112" s="326"/>
      <c r="BB112" s="326"/>
      <c r="BC112" s="326"/>
      <c r="BD112" s="326"/>
      <c r="BE112" s="326"/>
      <c r="BF112" s="326"/>
      <c r="BG112" s="326"/>
      <c r="BH112" s="326"/>
      <c r="BI112" s="326"/>
      <c r="BJ112" s="326"/>
      <c r="BK112" s="326"/>
      <c r="BL112" s="326"/>
      <c r="BM112" s="326"/>
      <c r="BN112" s="326"/>
      <c r="BO112" s="327"/>
    </row>
    <row r="113" spans="1:67" ht="34.5" customHeight="1" x14ac:dyDescent="0.25">
      <c r="A113" s="87">
        <f t="shared" si="0"/>
        <v>101</v>
      </c>
      <c r="B113" s="386" t="s">
        <v>334</v>
      </c>
      <c r="C113" s="327"/>
      <c r="D113" s="687"/>
      <c r="E113" s="326"/>
      <c r="F113" s="326"/>
      <c r="G113" s="326"/>
      <c r="H113" s="327"/>
      <c r="I113" s="381"/>
      <c r="J113" s="326"/>
      <c r="K113" s="326"/>
      <c r="L113" s="326"/>
      <c r="M113" s="326"/>
      <c r="N113" s="326"/>
      <c r="O113" s="326"/>
      <c r="P113" s="327"/>
      <c r="Q113" s="381"/>
      <c r="R113" s="326"/>
      <c r="S113" s="326"/>
      <c r="T113" s="326"/>
      <c r="U113" s="326"/>
      <c r="V113" s="326"/>
      <c r="W113" s="326"/>
      <c r="X113" s="327"/>
      <c r="Y113" s="381"/>
      <c r="Z113" s="327"/>
      <c r="AA113" s="381"/>
      <c r="AB113" s="326"/>
      <c r="AC113" s="326"/>
      <c r="AD113" s="327"/>
      <c r="AE113" s="381"/>
      <c r="AF113" s="326"/>
      <c r="AG113" s="327"/>
      <c r="AH113" s="381"/>
      <c r="AI113" s="326"/>
      <c r="AJ113" s="327"/>
      <c r="AK113" s="381"/>
      <c r="AL113" s="326"/>
      <c r="AM113" s="326"/>
      <c r="AN113" s="327"/>
      <c r="AO113" s="381"/>
      <c r="AP113" s="326"/>
      <c r="AQ113" s="326"/>
      <c r="AR113" s="326"/>
      <c r="AS113" s="326"/>
      <c r="AT113" s="326"/>
      <c r="AU113" s="326"/>
      <c r="AV113" s="327"/>
      <c r="AW113" s="686"/>
      <c r="AX113" s="326"/>
      <c r="AY113" s="327"/>
      <c r="AZ113" s="381"/>
      <c r="BA113" s="326"/>
      <c r="BB113" s="326"/>
      <c r="BC113" s="326"/>
      <c r="BD113" s="326"/>
      <c r="BE113" s="326"/>
      <c r="BF113" s="326"/>
      <c r="BG113" s="326"/>
      <c r="BH113" s="326"/>
      <c r="BI113" s="326"/>
      <c r="BJ113" s="326"/>
      <c r="BK113" s="326"/>
      <c r="BL113" s="326"/>
      <c r="BM113" s="326"/>
      <c r="BN113" s="326"/>
      <c r="BO113" s="327"/>
    </row>
    <row r="114" spans="1:67" ht="34.5" customHeight="1" x14ac:dyDescent="0.25">
      <c r="A114" s="87">
        <f t="shared" si="0"/>
        <v>102</v>
      </c>
      <c r="B114" s="386" t="s">
        <v>334</v>
      </c>
      <c r="C114" s="327"/>
      <c r="D114" s="498"/>
      <c r="E114" s="326"/>
      <c r="F114" s="326"/>
      <c r="G114" s="326"/>
      <c r="H114" s="327"/>
      <c r="I114" s="407"/>
      <c r="J114" s="326"/>
      <c r="K114" s="326"/>
      <c r="L114" s="326"/>
      <c r="M114" s="326"/>
      <c r="N114" s="326"/>
      <c r="O114" s="326"/>
      <c r="P114" s="327"/>
      <c r="Q114" s="456"/>
      <c r="R114" s="326"/>
      <c r="S114" s="326"/>
      <c r="T114" s="326"/>
      <c r="U114" s="326"/>
      <c r="V114" s="326"/>
      <c r="W114" s="326"/>
      <c r="X114" s="327"/>
      <c r="Y114" s="407"/>
      <c r="Z114" s="327"/>
      <c r="AA114" s="456"/>
      <c r="AB114" s="326"/>
      <c r="AC114" s="326"/>
      <c r="AD114" s="327"/>
      <c r="AE114" s="407"/>
      <c r="AF114" s="326"/>
      <c r="AG114" s="327"/>
      <c r="AH114" s="456"/>
      <c r="AI114" s="326"/>
      <c r="AJ114" s="327"/>
      <c r="AK114" s="407"/>
      <c r="AL114" s="326"/>
      <c r="AM114" s="326"/>
      <c r="AN114" s="327"/>
      <c r="AO114" s="456"/>
      <c r="AP114" s="326"/>
      <c r="AQ114" s="326"/>
      <c r="AR114" s="326"/>
      <c r="AS114" s="326"/>
      <c r="AT114" s="326"/>
      <c r="AU114" s="326"/>
      <c r="AV114" s="327"/>
      <c r="AW114" s="685"/>
      <c r="AX114" s="326"/>
      <c r="AY114" s="327"/>
      <c r="AZ114" s="456"/>
      <c r="BA114" s="326"/>
      <c r="BB114" s="326"/>
      <c r="BC114" s="326"/>
      <c r="BD114" s="326"/>
      <c r="BE114" s="326"/>
      <c r="BF114" s="326"/>
      <c r="BG114" s="326"/>
      <c r="BH114" s="326"/>
      <c r="BI114" s="326"/>
      <c r="BJ114" s="326"/>
      <c r="BK114" s="326"/>
      <c r="BL114" s="326"/>
      <c r="BM114" s="326"/>
      <c r="BN114" s="326"/>
      <c r="BO114" s="327"/>
    </row>
    <row r="115" spans="1:67" ht="34.5" customHeight="1" x14ac:dyDescent="0.25">
      <c r="A115" s="87">
        <f t="shared" si="0"/>
        <v>103</v>
      </c>
      <c r="B115" s="386" t="s">
        <v>334</v>
      </c>
      <c r="C115" s="327"/>
      <c r="D115" s="687"/>
      <c r="E115" s="326"/>
      <c r="F115" s="326"/>
      <c r="G115" s="326"/>
      <c r="H115" s="327"/>
      <c r="I115" s="381"/>
      <c r="J115" s="326"/>
      <c r="K115" s="326"/>
      <c r="L115" s="326"/>
      <c r="M115" s="326"/>
      <c r="N115" s="326"/>
      <c r="O115" s="326"/>
      <c r="P115" s="327"/>
      <c r="Q115" s="381"/>
      <c r="R115" s="326"/>
      <c r="S115" s="326"/>
      <c r="T115" s="326"/>
      <c r="U115" s="326"/>
      <c r="V115" s="326"/>
      <c r="W115" s="326"/>
      <c r="X115" s="327"/>
      <c r="Y115" s="381"/>
      <c r="Z115" s="327"/>
      <c r="AA115" s="381"/>
      <c r="AB115" s="326"/>
      <c r="AC115" s="326"/>
      <c r="AD115" s="327"/>
      <c r="AE115" s="381"/>
      <c r="AF115" s="326"/>
      <c r="AG115" s="327"/>
      <c r="AH115" s="381"/>
      <c r="AI115" s="326"/>
      <c r="AJ115" s="327"/>
      <c r="AK115" s="381"/>
      <c r="AL115" s="326"/>
      <c r="AM115" s="326"/>
      <c r="AN115" s="327"/>
      <c r="AO115" s="381"/>
      <c r="AP115" s="326"/>
      <c r="AQ115" s="326"/>
      <c r="AR115" s="326"/>
      <c r="AS115" s="326"/>
      <c r="AT115" s="326"/>
      <c r="AU115" s="326"/>
      <c r="AV115" s="327"/>
      <c r="AW115" s="686"/>
      <c r="AX115" s="326"/>
      <c r="AY115" s="327"/>
      <c r="AZ115" s="381"/>
      <c r="BA115" s="326"/>
      <c r="BB115" s="326"/>
      <c r="BC115" s="326"/>
      <c r="BD115" s="326"/>
      <c r="BE115" s="326"/>
      <c r="BF115" s="326"/>
      <c r="BG115" s="326"/>
      <c r="BH115" s="326"/>
      <c r="BI115" s="326"/>
      <c r="BJ115" s="326"/>
      <c r="BK115" s="326"/>
      <c r="BL115" s="326"/>
      <c r="BM115" s="326"/>
      <c r="BN115" s="326"/>
      <c r="BO115" s="327"/>
    </row>
    <row r="116" spans="1:67" ht="34.5" customHeight="1" x14ac:dyDescent="0.25">
      <c r="A116" s="87">
        <f t="shared" si="0"/>
        <v>104</v>
      </c>
      <c r="B116" s="386" t="s">
        <v>334</v>
      </c>
      <c r="C116" s="327"/>
      <c r="D116" s="498"/>
      <c r="E116" s="326"/>
      <c r="F116" s="326"/>
      <c r="G116" s="326"/>
      <c r="H116" s="327"/>
      <c r="I116" s="407"/>
      <c r="J116" s="326"/>
      <c r="K116" s="326"/>
      <c r="L116" s="326"/>
      <c r="M116" s="326"/>
      <c r="N116" s="326"/>
      <c r="O116" s="326"/>
      <c r="P116" s="327"/>
      <c r="Q116" s="456"/>
      <c r="R116" s="326"/>
      <c r="S116" s="326"/>
      <c r="T116" s="326"/>
      <c r="U116" s="326"/>
      <c r="V116" s="326"/>
      <c r="W116" s="326"/>
      <c r="X116" s="327"/>
      <c r="Y116" s="407"/>
      <c r="Z116" s="327"/>
      <c r="AA116" s="456"/>
      <c r="AB116" s="326"/>
      <c r="AC116" s="326"/>
      <c r="AD116" s="327"/>
      <c r="AE116" s="407"/>
      <c r="AF116" s="326"/>
      <c r="AG116" s="327"/>
      <c r="AH116" s="456"/>
      <c r="AI116" s="326"/>
      <c r="AJ116" s="327"/>
      <c r="AK116" s="407"/>
      <c r="AL116" s="326"/>
      <c r="AM116" s="326"/>
      <c r="AN116" s="327"/>
      <c r="AO116" s="456"/>
      <c r="AP116" s="326"/>
      <c r="AQ116" s="326"/>
      <c r="AR116" s="326"/>
      <c r="AS116" s="326"/>
      <c r="AT116" s="326"/>
      <c r="AU116" s="326"/>
      <c r="AV116" s="327"/>
      <c r="AW116" s="685"/>
      <c r="AX116" s="326"/>
      <c r="AY116" s="327"/>
      <c r="AZ116" s="456"/>
      <c r="BA116" s="326"/>
      <c r="BB116" s="326"/>
      <c r="BC116" s="326"/>
      <c r="BD116" s="326"/>
      <c r="BE116" s="326"/>
      <c r="BF116" s="326"/>
      <c r="BG116" s="326"/>
      <c r="BH116" s="326"/>
      <c r="BI116" s="326"/>
      <c r="BJ116" s="326"/>
      <c r="BK116" s="326"/>
      <c r="BL116" s="326"/>
      <c r="BM116" s="326"/>
      <c r="BN116" s="326"/>
      <c r="BO116" s="327"/>
    </row>
    <row r="117" spans="1:67" ht="34.5" customHeight="1" x14ac:dyDescent="0.25">
      <c r="A117" s="87">
        <f t="shared" si="0"/>
        <v>105</v>
      </c>
      <c r="B117" s="386" t="s">
        <v>334</v>
      </c>
      <c r="C117" s="327"/>
      <c r="D117" s="687"/>
      <c r="E117" s="326"/>
      <c r="F117" s="326"/>
      <c r="G117" s="326"/>
      <c r="H117" s="327"/>
      <c r="I117" s="381"/>
      <c r="J117" s="326"/>
      <c r="K117" s="326"/>
      <c r="L117" s="326"/>
      <c r="M117" s="326"/>
      <c r="N117" s="326"/>
      <c r="O117" s="326"/>
      <c r="P117" s="327"/>
      <c r="Q117" s="381"/>
      <c r="R117" s="326"/>
      <c r="S117" s="326"/>
      <c r="T117" s="326"/>
      <c r="U117" s="326"/>
      <c r="V117" s="326"/>
      <c r="W117" s="326"/>
      <c r="X117" s="327"/>
      <c r="Y117" s="381"/>
      <c r="Z117" s="327"/>
      <c r="AA117" s="381"/>
      <c r="AB117" s="326"/>
      <c r="AC117" s="326"/>
      <c r="AD117" s="327"/>
      <c r="AE117" s="381"/>
      <c r="AF117" s="326"/>
      <c r="AG117" s="327"/>
      <c r="AH117" s="381"/>
      <c r="AI117" s="326"/>
      <c r="AJ117" s="327"/>
      <c r="AK117" s="381"/>
      <c r="AL117" s="326"/>
      <c r="AM117" s="326"/>
      <c r="AN117" s="327"/>
      <c r="AO117" s="381"/>
      <c r="AP117" s="326"/>
      <c r="AQ117" s="326"/>
      <c r="AR117" s="326"/>
      <c r="AS117" s="326"/>
      <c r="AT117" s="326"/>
      <c r="AU117" s="326"/>
      <c r="AV117" s="327"/>
      <c r="AW117" s="686"/>
      <c r="AX117" s="326"/>
      <c r="AY117" s="327"/>
      <c r="AZ117" s="381"/>
      <c r="BA117" s="326"/>
      <c r="BB117" s="326"/>
      <c r="BC117" s="326"/>
      <c r="BD117" s="326"/>
      <c r="BE117" s="326"/>
      <c r="BF117" s="326"/>
      <c r="BG117" s="326"/>
      <c r="BH117" s="326"/>
      <c r="BI117" s="326"/>
      <c r="BJ117" s="326"/>
      <c r="BK117" s="326"/>
      <c r="BL117" s="326"/>
      <c r="BM117" s="326"/>
      <c r="BN117" s="326"/>
      <c r="BO117" s="327"/>
    </row>
    <row r="118" spans="1:67" ht="34.5" customHeight="1" x14ac:dyDescent="0.25">
      <c r="A118" s="87">
        <f t="shared" si="0"/>
        <v>106</v>
      </c>
      <c r="B118" s="386" t="s">
        <v>334</v>
      </c>
      <c r="C118" s="327"/>
      <c r="D118" s="498"/>
      <c r="E118" s="326"/>
      <c r="F118" s="326"/>
      <c r="G118" s="326"/>
      <c r="H118" s="327"/>
      <c r="I118" s="407"/>
      <c r="J118" s="326"/>
      <c r="K118" s="326"/>
      <c r="L118" s="326"/>
      <c r="M118" s="326"/>
      <c r="N118" s="326"/>
      <c r="O118" s="326"/>
      <c r="P118" s="327"/>
      <c r="Q118" s="456"/>
      <c r="R118" s="326"/>
      <c r="S118" s="326"/>
      <c r="T118" s="326"/>
      <c r="U118" s="326"/>
      <c r="V118" s="326"/>
      <c r="W118" s="326"/>
      <c r="X118" s="327"/>
      <c r="Y118" s="407"/>
      <c r="Z118" s="327"/>
      <c r="AA118" s="456"/>
      <c r="AB118" s="326"/>
      <c r="AC118" s="326"/>
      <c r="AD118" s="327"/>
      <c r="AE118" s="407"/>
      <c r="AF118" s="326"/>
      <c r="AG118" s="327"/>
      <c r="AH118" s="456"/>
      <c r="AI118" s="326"/>
      <c r="AJ118" s="327"/>
      <c r="AK118" s="407"/>
      <c r="AL118" s="326"/>
      <c r="AM118" s="326"/>
      <c r="AN118" s="327"/>
      <c r="AO118" s="456"/>
      <c r="AP118" s="326"/>
      <c r="AQ118" s="326"/>
      <c r="AR118" s="326"/>
      <c r="AS118" s="326"/>
      <c r="AT118" s="326"/>
      <c r="AU118" s="326"/>
      <c r="AV118" s="327"/>
      <c r="AW118" s="685"/>
      <c r="AX118" s="326"/>
      <c r="AY118" s="327"/>
      <c r="AZ118" s="456"/>
      <c r="BA118" s="326"/>
      <c r="BB118" s="326"/>
      <c r="BC118" s="326"/>
      <c r="BD118" s="326"/>
      <c r="BE118" s="326"/>
      <c r="BF118" s="326"/>
      <c r="BG118" s="326"/>
      <c r="BH118" s="326"/>
      <c r="BI118" s="326"/>
      <c r="BJ118" s="326"/>
      <c r="BK118" s="326"/>
      <c r="BL118" s="326"/>
      <c r="BM118" s="326"/>
      <c r="BN118" s="326"/>
      <c r="BO118" s="327"/>
    </row>
    <row r="119" spans="1:67" ht="34.5" customHeight="1" x14ac:dyDescent="0.25">
      <c r="A119" s="87">
        <f t="shared" si="0"/>
        <v>107</v>
      </c>
      <c r="B119" s="386" t="s">
        <v>334</v>
      </c>
      <c r="C119" s="327"/>
      <c r="D119" s="687"/>
      <c r="E119" s="326"/>
      <c r="F119" s="326"/>
      <c r="G119" s="326"/>
      <c r="H119" s="327"/>
      <c r="I119" s="381"/>
      <c r="J119" s="326"/>
      <c r="K119" s="326"/>
      <c r="L119" s="326"/>
      <c r="M119" s="326"/>
      <c r="N119" s="326"/>
      <c r="O119" s="326"/>
      <c r="P119" s="327"/>
      <c r="Q119" s="381"/>
      <c r="R119" s="326"/>
      <c r="S119" s="326"/>
      <c r="T119" s="326"/>
      <c r="U119" s="326"/>
      <c r="V119" s="326"/>
      <c r="W119" s="326"/>
      <c r="X119" s="327"/>
      <c r="Y119" s="381"/>
      <c r="Z119" s="327"/>
      <c r="AA119" s="381"/>
      <c r="AB119" s="326"/>
      <c r="AC119" s="326"/>
      <c r="AD119" s="327"/>
      <c r="AE119" s="381"/>
      <c r="AF119" s="326"/>
      <c r="AG119" s="327"/>
      <c r="AH119" s="381"/>
      <c r="AI119" s="326"/>
      <c r="AJ119" s="327"/>
      <c r="AK119" s="381"/>
      <c r="AL119" s="326"/>
      <c r="AM119" s="326"/>
      <c r="AN119" s="327"/>
      <c r="AO119" s="381"/>
      <c r="AP119" s="326"/>
      <c r="AQ119" s="326"/>
      <c r="AR119" s="326"/>
      <c r="AS119" s="326"/>
      <c r="AT119" s="326"/>
      <c r="AU119" s="326"/>
      <c r="AV119" s="327"/>
      <c r="AW119" s="686"/>
      <c r="AX119" s="326"/>
      <c r="AY119" s="327"/>
      <c r="AZ119" s="381"/>
      <c r="BA119" s="326"/>
      <c r="BB119" s="326"/>
      <c r="BC119" s="326"/>
      <c r="BD119" s="326"/>
      <c r="BE119" s="326"/>
      <c r="BF119" s="326"/>
      <c r="BG119" s="326"/>
      <c r="BH119" s="326"/>
      <c r="BI119" s="326"/>
      <c r="BJ119" s="326"/>
      <c r="BK119" s="326"/>
      <c r="BL119" s="326"/>
      <c r="BM119" s="326"/>
      <c r="BN119" s="326"/>
      <c r="BO119" s="327"/>
    </row>
    <row r="120" spans="1:67" ht="34.5" customHeight="1" x14ac:dyDescent="0.25">
      <c r="A120" s="87">
        <f t="shared" si="0"/>
        <v>108</v>
      </c>
      <c r="B120" s="386" t="s">
        <v>334</v>
      </c>
      <c r="C120" s="327"/>
      <c r="D120" s="498"/>
      <c r="E120" s="326"/>
      <c r="F120" s="326"/>
      <c r="G120" s="326"/>
      <c r="H120" s="327"/>
      <c r="I120" s="407"/>
      <c r="J120" s="326"/>
      <c r="K120" s="326"/>
      <c r="L120" s="326"/>
      <c r="M120" s="326"/>
      <c r="N120" s="326"/>
      <c r="O120" s="326"/>
      <c r="P120" s="327"/>
      <c r="Q120" s="456"/>
      <c r="R120" s="326"/>
      <c r="S120" s="326"/>
      <c r="T120" s="326"/>
      <c r="U120" s="326"/>
      <c r="V120" s="326"/>
      <c r="W120" s="326"/>
      <c r="X120" s="327"/>
      <c r="Y120" s="407"/>
      <c r="Z120" s="327"/>
      <c r="AA120" s="456"/>
      <c r="AB120" s="326"/>
      <c r="AC120" s="326"/>
      <c r="AD120" s="327"/>
      <c r="AE120" s="407"/>
      <c r="AF120" s="326"/>
      <c r="AG120" s="327"/>
      <c r="AH120" s="456"/>
      <c r="AI120" s="326"/>
      <c r="AJ120" s="327"/>
      <c r="AK120" s="407"/>
      <c r="AL120" s="326"/>
      <c r="AM120" s="326"/>
      <c r="AN120" s="327"/>
      <c r="AO120" s="456"/>
      <c r="AP120" s="326"/>
      <c r="AQ120" s="326"/>
      <c r="AR120" s="326"/>
      <c r="AS120" s="326"/>
      <c r="AT120" s="326"/>
      <c r="AU120" s="326"/>
      <c r="AV120" s="327"/>
      <c r="AW120" s="685"/>
      <c r="AX120" s="326"/>
      <c r="AY120" s="327"/>
      <c r="AZ120" s="456"/>
      <c r="BA120" s="326"/>
      <c r="BB120" s="326"/>
      <c r="BC120" s="326"/>
      <c r="BD120" s="326"/>
      <c r="BE120" s="326"/>
      <c r="BF120" s="326"/>
      <c r="BG120" s="326"/>
      <c r="BH120" s="326"/>
      <c r="BI120" s="326"/>
      <c r="BJ120" s="326"/>
      <c r="BK120" s="326"/>
      <c r="BL120" s="326"/>
      <c r="BM120" s="326"/>
      <c r="BN120" s="326"/>
      <c r="BO120" s="327"/>
    </row>
    <row r="121" spans="1:67" ht="34.5" customHeight="1" x14ac:dyDescent="0.25">
      <c r="A121" s="87">
        <f t="shared" si="0"/>
        <v>109</v>
      </c>
      <c r="B121" s="386" t="s">
        <v>334</v>
      </c>
      <c r="C121" s="327"/>
      <c r="D121" s="687"/>
      <c r="E121" s="326"/>
      <c r="F121" s="326"/>
      <c r="G121" s="326"/>
      <c r="H121" s="327"/>
      <c r="I121" s="381"/>
      <c r="J121" s="326"/>
      <c r="K121" s="326"/>
      <c r="L121" s="326"/>
      <c r="M121" s="326"/>
      <c r="N121" s="326"/>
      <c r="O121" s="326"/>
      <c r="P121" s="327"/>
      <c r="Q121" s="381"/>
      <c r="R121" s="326"/>
      <c r="S121" s="326"/>
      <c r="T121" s="326"/>
      <c r="U121" s="326"/>
      <c r="V121" s="326"/>
      <c r="W121" s="326"/>
      <c r="X121" s="327"/>
      <c r="Y121" s="381"/>
      <c r="Z121" s="327"/>
      <c r="AA121" s="381"/>
      <c r="AB121" s="326"/>
      <c r="AC121" s="326"/>
      <c r="AD121" s="327"/>
      <c r="AE121" s="381"/>
      <c r="AF121" s="326"/>
      <c r="AG121" s="327"/>
      <c r="AH121" s="381"/>
      <c r="AI121" s="326"/>
      <c r="AJ121" s="327"/>
      <c r="AK121" s="381"/>
      <c r="AL121" s="326"/>
      <c r="AM121" s="326"/>
      <c r="AN121" s="327"/>
      <c r="AO121" s="381"/>
      <c r="AP121" s="326"/>
      <c r="AQ121" s="326"/>
      <c r="AR121" s="326"/>
      <c r="AS121" s="326"/>
      <c r="AT121" s="326"/>
      <c r="AU121" s="326"/>
      <c r="AV121" s="327"/>
      <c r="AW121" s="686"/>
      <c r="AX121" s="326"/>
      <c r="AY121" s="327"/>
      <c r="AZ121" s="381"/>
      <c r="BA121" s="326"/>
      <c r="BB121" s="326"/>
      <c r="BC121" s="326"/>
      <c r="BD121" s="326"/>
      <c r="BE121" s="326"/>
      <c r="BF121" s="326"/>
      <c r="BG121" s="326"/>
      <c r="BH121" s="326"/>
      <c r="BI121" s="326"/>
      <c r="BJ121" s="326"/>
      <c r="BK121" s="326"/>
      <c r="BL121" s="326"/>
      <c r="BM121" s="326"/>
      <c r="BN121" s="326"/>
      <c r="BO121" s="327"/>
    </row>
    <row r="122" spans="1:67" ht="34.5" customHeight="1" x14ac:dyDescent="0.25">
      <c r="A122" s="87">
        <f t="shared" si="0"/>
        <v>110</v>
      </c>
      <c r="B122" s="688" t="s">
        <v>334</v>
      </c>
      <c r="C122" s="327"/>
      <c r="D122" s="498"/>
      <c r="E122" s="326"/>
      <c r="F122" s="326"/>
      <c r="G122" s="326"/>
      <c r="H122" s="327"/>
      <c r="I122" s="407"/>
      <c r="J122" s="326"/>
      <c r="K122" s="326"/>
      <c r="L122" s="326"/>
      <c r="M122" s="326"/>
      <c r="N122" s="326"/>
      <c r="O122" s="326"/>
      <c r="P122" s="327"/>
      <c r="Q122" s="456"/>
      <c r="R122" s="326"/>
      <c r="S122" s="326"/>
      <c r="T122" s="326"/>
      <c r="U122" s="326"/>
      <c r="V122" s="326"/>
      <c r="W122" s="326"/>
      <c r="X122" s="327"/>
      <c r="Y122" s="407"/>
      <c r="Z122" s="327"/>
      <c r="AA122" s="456"/>
      <c r="AB122" s="326"/>
      <c r="AC122" s="326"/>
      <c r="AD122" s="327"/>
      <c r="AE122" s="407"/>
      <c r="AF122" s="326"/>
      <c r="AG122" s="327"/>
      <c r="AH122" s="456"/>
      <c r="AI122" s="326"/>
      <c r="AJ122" s="327"/>
      <c r="AK122" s="407"/>
      <c r="AL122" s="326"/>
      <c r="AM122" s="326"/>
      <c r="AN122" s="327"/>
      <c r="AO122" s="456"/>
      <c r="AP122" s="326"/>
      <c r="AQ122" s="326"/>
      <c r="AR122" s="326"/>
      <c r="AS122" s="326"/>
      <c r="AT122" s="326"/>
      <c r="AU122" s="326"/>
      <c r="AV122" s="327"/>
      <c r="AW122" s="685"/>
      <c r="AX122" s="326"/>
      <c r="AY122" s="327"/>
      <c r="AZ122" s="456"/>
      <c r="BA122" s="326"/>
      <c r="BB122" s="326"/>
      <c r="BC122" s="326"/>
      <c r="BD122" s="326"/>
      <c r="BE122" s="326"/>
      <c r="BF122" s="326"/>
      <c r="BG122" s="326"/>
      <c r="BH122" s="326"/>
      <c r="BI122" s="326"/>
      <c r="BJ122" s="326"/>
      <c r="BK122" s="326"/>
      <c r="BL122" s="326"/>
      <c r="BM122" s="326"/>
      <c r="BN122" s="326"/>
      <c r="BO122" s="327"/>
    </row>
    <row r="123" spans="1:67" ht="34.5" customHeight="1" x14ac:dyDescent="0.25">
      <c r="A123" s="87">
        <f t="shared" si="0"/>
        <v>111</v>
      </c>
      <c r="B123" s="386" t="s">
        <v>334</v>
      </c>
      <c r="C123" s="327"/>
      <c r="D123" s="687"/>
      <c r="E123" s="326"/>
      <c r="F123" s="326"/>
      <c r="G123" s="326"/>
      <c r="H123" s="327"/>
      <c r="I123" s="381"/>
      <c r="J123" s="326"/>
      <c r="K123" s="326"/>
      <c r="L123" s="326"/>
      <c r="M123" s="326"/>
      <c r="N123" s="326"/>
      <c r="O123" s="326"/>
      <c r="P123" s="327"/>
      <c r="Q123" s="381"/>
      <c r="R123" s="326"/>
      <c r="S123" s="326"/>
      <c r="T123" s="326"/>
      <c r="U123" s="326"/>
      <c r="V123" s="326"/>
      <c r="W123" s="326"/>
      <c r="X123" s="327"/>
      <c r="Y123" s="381"/>
      <c r="Z123" s="327"/>
      <c r="AA123" s="381"/>
      <c r="AB123" s="326"/>
      <c r="AC123" s="326"/>
      <c r="AD123" s="327"/>
      <c r="AE123" s="381"/>
      <c r="AF123" s="326"/>
      <c r="AG123" s="327"/>
      <c r="AH123" s="381"/>
      <c r="AI123" s="326"/>
      <c r="AJ123" s="327"/>
      <c r="AK123" s="381"/>
      <c r="AL123" s="326"/>
      <c r="AM123" s="326"/>
      <c r="AN123" s="327"/>
      <c r="AO123" s="381"/>
      <c r="AP123" s="326"/>
      <c r="AQ123" s="326"/>
      <c r="AR123" s="326"/>
      <c r="AS123" s="326"/>
      <c r="AT123" s="326"/>
      <c r="AU123" s="326"/>
      <c r="AV123" s="327"/>
      <c r="AW123" s="686"/>
      <c r="AX123" s="326"/>
      <c r="AY123" s="327"/>
      <c r="AZ123" s="381"/>
      <c r="BA123" s="326"/>
      <c r="BB123" s="326"/>
      <c r="BC123" s="326"/>
      <c r="BD123" s="326"/>
      <c r="BE123" s="326"/>
      <c r="BF123" s="326"/>
      <c r="BG123" s="326"/>
      <c r="BH123" s="326"/>
      <c r="BI123" s="326"/>
      <c r="BJ123" s="326"/>
      <c r="BK123" s="326"/>
      <c r="BL123" s="326"/>
      <c r="BM123" s="326"/>
      <c r="BN123" s="326"/>
      <c r="BO123" s="327"/>
    </row>
    <row r="124" spans="1:67" ht="34.5" customHeight="1" x14ac:dyDescent="0.25">
      <c r="A124" s="87">
        <f t="shared" si="0"/>
        <v>112</v>
      </c>
      <c r="B124" s="386" t="s">
        <v>334</v>
      </c>
      <c r="C124" s="327"/>
      <c r="D124" s="498"/>
      <c r="E124" s="326"/>
      <c r="F124" s="326"/>
      <c r="G124" s="326"/>
      <c r="H124" s="327"/>
      <c r="I124" s="407"/>
      <c r="J124" s="326"/>
      <c r="K124" s="326"/>
      <c r="L124" s="326"/>
      <c r="M124" s="326"/>
      <c r="N124" s="326"/>
      <c r="O124" s="326"/>
      <c r="P124" s="327"/>
      <c r="Q124" s="456"/>
      <c r="R124" s="326"/>
      <c r="S124" s="326"/>
      <c r="T124" s="326"/>
      <c r="U124" s="326"/>
      <c r="V124" s="326"/>
      <c r="W124" s="326"/>
      <c r="X124" s="327"/>
      <c r="Y124" s="407"/>
      <c r="Z124" s="327"/>
      <c r="AA124" s="456"/>
      <c r="AB124" s="326"/>
      <c r="AC124" s="326"/>
      <c r="AD124" s="327"/>
      <c r="AE124" s="407"/>
      <c r="AF124" s="326"/>
      <c r="AG124" s="327"/>
      <c r="AH124" s="456"/>
      <c r="AI124" s="326"/>
      <c r="AJ124" s="327"/>
      <c r="AK124" s="407"/>
      <c r="AL124" s="326"/>
      <c r="AM124" s="326"/>
      <c r="AN124" s="327"/>
      <c r="AO124" s="456"/>
      <c r="AP124" s="326"/>
      <c r="AQ124" s="326"/>
      <c r="AR124" s="326"/>
      <c r="AS124" s="326"/>
      <c r="AT124" s="326"/>
      <c r="AU124" s="326"/>
      <c r="AV124" s="327"/>
      <c r="AW124" s="685"/>
      <c r="AX124" s="326"/>
      <c r="AY124" s="327"/>
      <c r="AZ124" s="456"/>
      <c r="BA124" s="326"/>
      <c r="BB124" s="326"/>
      <c r="BC124" s="326"/>
      <c r="BD124" s="326"/>
      <c r="BE124" s="326"/>
      <c r="BF124" s="326"/>
      <c r="BG124" s="326"/>
      <c r="BH124" s="326"/>
      <c r="BI124" s="326"/>
      <c r="BJ124" s="326"/>
      <c r="BK124" s="326"/>
      <c r="BL124" s="326"/>
      <c r="BM124" s="326"/>
      <c r="BN124" s="326"/>
      <c r="BO124" s="327"/>
    </row>
    <row r="125" spans="1:67" ht="34.5" customHeight="1" x14ac:dyDescent="0.25">
      <c r="A125" s="87">
        <f t="shared" si="0"/>
        <v>113</v>
      </c>
      <c r="B125" s="386" t="s">
        <v>334</v>
      </c>
      <c r="C125" s="327"/>
      <c r="D125" s="687"/>
      <c r="E125" s="326"/>
      <c r="F125" s="326"/>
      <c r="G125" s="326"/>
      <c r="H125" s="327"/>
      <c r="I125" s="381"/>
      <c r="J125" s="326"/>
      <c r="K125" s="326"/>
      <c r="L125" s="326"/>
      <c r="M125" s="326"/>
      <c r="N125" s="326"/>
      <c r="O125" s="326"/>
      <c r="P125" s="327"/>
      <c r="Q125" s="381"/>
      <c r="R125" s="326"/>
      <c r="S125" s="326"/>
      <c r="T125" s="326"/>
      <c r="U125" s="326"/>
      <c r="V125" s="326"/>
      <c r="W125" s="326"/>
      <c r="X125" s="327"/>
      <c r="Y125" s="381"/>
      <c r="Z125" s="327"/>
      <c r="AA125" s="381"/>
      <c r="AB125" s="326"/>
      <c r="AC125" s="326"/>
      <c r="AD125" s="327"/>
      <c r="AE125" s="381"/>
      <c r="AF125" s="326"/>
      <c r="AG125" s="327"/>
      <c r="AH125" s="381"/>
      <c r="AI125" s="326"/>
      <c r="AJ125" s="327"/>
      <c r="AK125" s="381"/>
      <c r="AL125" s="326"/>
      <c r="AM125" s="326"/>
      <c r="AN125" s="327"/>
      <c r="AO125" s="381"/>
      <c r="AP125" s="326"/>
      <c r="AQ125" s="326"/>
      <c r="AR125" s="326"/>
      <c r="AS125" s="326"/>
      <c r="AT125" s="326"/>
      <c r="AU125" s="326"/>
      <c r="AV125" s="327"/>
      <c r="AW125" s="686"/>
      <c r="AX125" s="326"/>
      <c r="AY125" s="327"/>
      <c r="AZ125" s="381"/>
      <c r="BA125" s="326"/>
      <c r="BB125" s="326"/>
      <c r="BC125" s="326"/>
      <c r="BD125" s="326"/>
      <c r="BE125" s="326"/>
      <c r="BF125" s="326"/>
      <c r="BG125" s="326"/>
      <c r="BH125" s="326"/>
      <c r="BI125" s="326"/>
      <c r="BJ125" s="326"/>
      <c r="BK125" s="326"/>
      <c r="BL125" s="326"/>
      <c r="BM125" s="326"/>
      <c r="BN125" s="326"/>
      <c r="BO125" s="327"/>
    </row>
    <row r="126" spans="1:67" ht="34.5" customHeight="1" x14ac:dyDescent="0.25">
      <c r="A126" s="87">
        <f t="shared" si="0"/>
        <v>114</v>
      </c>
      <c r="B126" s="386" t="s">
        <v>334</v>
      </c>
      <c r="C126" s="327"/>
      <c r="D126" s="498"/>
      <c r="E126" s="326"/>
      <c r="F126" s="326"/>
      <c r="G126" s="326"/>
      <c r="H126" s="327"/>
      <c r="I126" s="407"/>
      <c r="J126" s="326"/>
      <c r="K126" s="326"/>
      <c r="L126" s="326"/>
      <c r="M126" s="326"/>
      <c r="N126" s="326"/>
      <c r="O126" s="326"/>
      <c r="P126" s="327"/>
      <c r="Q126" s="456"/>
      <c r="R126" s="326"/>
      <c r="S126" s="326"/>
      <c r="T126" s="326"/>
      <c r="U126" s="326"/>
      <c r="V126" s="326"/>
      <c r="W126" s="326"/>
      <c r="X126" s="327"/>
      <c r="Y126" s="407"/>
      <c r="Z126" s="327"/>
      <c r="AA126" s="456"/>
      <c r="AB126" s="326"/>
      <c r="AC126" s="326"/>
      <c r="AD126" s="327"/>
      <c r="AE126" s="407"/>
      <c r="AF126" s="326"/>
      <c r="AG126" s="327"/>
      <c r="AH126" s="456"/>
      <c r="AI126" s="326"/>
      <c r="AJ126" s="327"/>
      <c r="AK126" s="407"/>
      <c r="AL126" s="326"/>
      <c r="AM126" s="326"/>
      <c r="AN126" s="327"/>
      <c r="AO126" s="456"/>
      <c r="AP126" s="326"/>
      <c r="AQ126" s="326"/>
      <c r="AR126" s="326"/>
      <c r="AS126" s="326"/>
      <c r="AT126" s="326"/>
      <c r="AU126" s="326"/>
      <c r="AV126" s="327"/>
      <c r="AW126" s="685"/>
      <c r="AX126" s="326"/>
      <c r="AY126" s="327"/>
      <c r="AZ126" s="456"/>
      <c r="BA126" s="326"/>
      <c r="BB126" s="326"/>
      <c r="BC126" s="326"/>
      <c r="BD126" s="326"/>
      <c r="BE126" s="326"/>
      <c r="BF126" s="326"/>
      <c r="BG126" s="326"/>
      <c r="BH126" s="326"/>
      <c r="BI126" s="326"/>
      <c r="BJ126" s="326"/>
      <c r="BK126" s="326"/>
      <c r="BL126" s="326"/>
      <c r="BM126" s="326"/>
      <c r="BN126" s="326"/>
      <c r="BO126" s="327"/>
    </row>
    <row r="127" spans="1:67" ht="34.5" customHeight="1" x14ac:dyDescent="0.25">
      <c r="A127" s="87">
        <f t="shared" si="0"/>
        <v>115</v>
      </c>
      <c r="B127" s="386" t="s">
        <v>334</v>
      </c>
      <c r="C127" s="327"/>
      <c r="D127" s="687"/>
      <c r="E127" s="326"/>
      <c r="F127" s="326"/>
      <c r="G127" s="326"/>
      <c r="H127" s="327"/>
      <c r="I127" s="381"/>
      <c r="J127" s="326"/>
      <c r="K127" s="326"/>
      <c r="L127" s="326"/>
      <c r="M127" s="326"/>
      <c r="N127" s="326"/>
      <c r="O127" s="326"/>
      <c r="P127" s="327"/>
      <c r="Q127" s="381"/>
      <c r="R127" s="326"/>
      <c r="S127" s="326"/>
      <c r="T127" s="326"/>
      <c r="U127" s="326"/>
      <c r="V127" s="326"/>
      <c r="W127" s="326"/>
      <c r="X127" s="327"/>
      <c r="Y127" s="381"/>
      <c r="Z127" s="327"/>
      <c r="AA127" s="381"/>
      <c r="AB127" s="326"/>
      <c r="AC127" s="326"/>
      <c r="AD127" s="327"/>
      <c r="AE127" s="381"/>
      <c r="AF127" s="326"/>
      <c r="AG127" s="327"/>
      <c r="AH127" s="381"/>
      <c r="AI127" s="326"/>
      <c r="AJ127" s="327"/>
      <c r="AK127" s="381"/>
      <c r="AL127" s="326"/>
      <c r="AM127" s="326"/>
      <c r="AN127" s="327"/>
      <c r="AO127" s="381"/>
      <c r="AP127" s="326"/>
      <c r="AQ127" s="326"/>
      <c r="AR127" s="326"/>
      <c r="AS127" s="326"/>
      <c r="AT127" s="326"/>
      <c r="AU127" s="326"/>
      <c r="AV127" s="327"/>
      <c r="AW127" s="686"/>
      <c r="AX127" s="326"/>
      <c r="AY127" s="327"/>
      <c r="AZ127" s="381"/>
      <c r="BA127" s="326"/>
      <c r="BB127" s="326"/>
      <c r="BC127" s="326"/>
      <c r="BD127" s="326"/>
      <c r="BE127" s="326"/>
      <c r="BF127" s="326"/>
      <c r="BG127" s="326"/>
      <c r="BH127" s="326"/>
      <c r="BI127" s="326"/>
      <c r="BJ127" s="326"/>
      <c r="BK127" s="326"/>
      <c r="BL127" s="326"/>
      <c r="BM127" s="326"/>
      <c r="BN127" s="326"/>
      <c r="BO127" s="327"/>
    </row>
    <row r="128" spans="1:67" ht="34.5" customHeight="1" x14ac:dyDescent="0.25">
      <c r="A128" s="87">
        <f t="shared" si="0"/>
        <v>116</v>
      </c>
      <c r="B128" s="386" t="s">
        <v>334</v>
      </c>
      <c r="C128" s="327"/>
      <c r="D128" s="498"/>
      <c r="E128" s="326"/>
      <c r="F128" s="326"/>
      <c r="G128" s="326"/>
      <c r="H128" s="327"/>
      <c r="I128" s="407"/>
      <c r="J128" s="326"/>
      <c r="K128" s="326"/>
      <c r="L128" s="326"/>
      <c r="M128" s="326"/>
      <c r="N128" s="326"/>
      <c r="O128" s="326"/>
      <c r="P128" s="327"/>
      <c r="Q128" s="456"/>
      <c r="R128" s="326"/>
      <c r="S128" s="326"/>
      <c r="T128" s="326"/>
      <c r="U128" s="326"/>
      <c r="V128" s="326"/>
      <c r="W128" s="326"/>
      <c r="X128" s="327"/>
      <c r="Y128" s="407"/>
      <c r="Z128" s="327"/>
      <c r="AA128" s="456"/>
      <c r="AB128" s="326"/>
      <c r="AC128" s="326"/>
      <c r="AD128" s="327"/>
      <c r="AE128" s="407"/>
      <c r="AF128" s="326"/>
      <c r="AG128" s="327"/>
      <c r="AH128" s="456"/>
      <c r="AI128" s="326"/>
      <c r="AJ128" s="327"/>
      <c r="AK128" s="407"/>
      <c r="AL128" s="326"/>
      <c r="AM128" s="326"/>
      <c r="AN128" s="327"/>
      <c r="AO128" s="456"/>
      <c r="AP128" s="326"/>
      <c r="AQ128" s="326"/>
      <c r="AR128" s="326"/>
      <c r="AS128" s="326"/>
      <c r="AT128" s="326"/>
      <c r="AU128" s="326"/>
      <c r="AV128" s="327"/>
      <c r="AW128" s="685"/>
      <c r="AX128" s="326"/>
      <c r="AY128" s="327"/>
      <c r="AZ128" s="456"/>
      <c r="BA128" s="326"/>
      <c r="BB128" s="326"/>
      <c r="BC128" s="326"/>
      <c r="BD128" s="326"/>
      <c r="BE128" s="326"/>
      <c r="BF128" s="326"/>
      <c r="BG128" s="326"/>
      <c r="BH128" s="326"/>
      <c r="BI128" s="326"/>
      <c r="BJ128" s="326"/>
      <c r="BK128" s="326"/>
      <c r="BL128" s="326"/>
      <c r="BM128" s="326"/>
      <c r="BN128" s="326"/>
      <c r="BO128" s="327"/>
    </row>
    <row r="129" spans="1:67" ht="34.5" customHeight="1" x14ac:dyDescent="0.25">
      <c r="A129" s="87">
        <f t="shared" si="0"/>
        <v>117</v>
      </c>
      <c r="B129" s="386" t="s">
        <v>334</v>
      </c>
      <c r="C129" s="327"/>
      <c r="D129" s="687"/>
      <c r="E129" s="326"/>
      <c r="F129" s="326"/>
      <c r="G129" s="326"/>
      <c r="H129" s="327"/>
      <c r="I129" s="381"/>
      <c r="J129" s="326"/>
      <c r="K129" s="326"/>
      <c r="L129" s="326"/>
      <c r="M129" s="326"/>
      <c r="N129" s="326"/>
      <c r="O129" s="326"/>
      <c r="P129" s="327"/>
      <c r="Q129" s="381"/>
      <c r="R129" s="326"/>
      <c r="S129" s="326"/>
      <c r="T129" s="326"/>
      <c r="U129" s="326"/>
      <c r="V129" s="326"/>
      <c r="W129" s="326"/>
      <c r="X129" s="327"/>
      <c r="Y129" s="381"/>
      <c r="Z129" s="327"/>
      <c r="AA129" s="381"/>
      <c r="AB129" s="326"/>
      <c r="AC129" s="326"/>
      <c r="AD129" s="327"/>
      <c r="AE129" s="381"/>
      <c r="AF129" s="326"/>
      <c r="AG129" s="327"/>
      <c r="AH129" s="381"/>
      <c r="AI129" s="326"/>
      <c r="AJ129" s="327"/>
      <c r="AK129" s="381"/>
      <c r="AL129" s="326"/>
      <c r="AM129" s="326"/>
      <c r="AN129" s="327"/>
      <c r="AO129" s="381"/>
      <c r="AP129" s="326"/>
      <c r="AQ129" s="326"/>
      <c r="AR129" s="326"/>
      <c r="AS129" s="326"/>
      <c r="AT129" s="326"/>
      <c r="AU129" s="326"/>
      <c r="AV129" s="327"/>
      <c r="AW129" s="686"/>
      <c r="AX129" s="326"/>
      <c r="AY129" s="327"/>
      <c r="AZ129" s="381"/>
      <c r="BA129" s="326"/>
      <c r="BB129" s="326"/>
      <c r="BC129" s="326"/>
      <c r="BD129" s="326"/>
      <c r="BE129" s="326"/>
      <c r="BF129" s="326"/>
      <c r="BG129" s="326"/>
      <c r="BH129" s="326"/>
      <c r="BI129" s="326"/>
      <c r="BJ129" s="326"/>
      <c r="BK129" s="326"/>
      <c r="BL129" s="326"/>
      <c r="BM129" s="326"/>
      <c r="BN129" s="326"/>
      <c r="BO129" s="327"/>
    </row>
    <row r="130" spans="1:67" ht="34.5" customHeight="1" x14ac:dyDescent="0.25">
      <c r="A130" s="87">
        <f t="shared" si="0"/>
        <v>118</v>
      </c>
      <c r="B130" s="386" t="s">
        <v>334</v>
      </c>
      <c r="C130" s="327"/>
      <c r="D130" s="498"/>
      <c r="E130" s="326"/>
      <c r="F130" s="326"/>
      <c r="G130" s="326"/>
      <c r="H130" s="327"/>
      <c r="I130" s="407"/>
      <c r="J130" s="326"/>
      <c r="K130" s="326"/>
      <c r="L130" s="326"/>
      <c r="M130" s="326"/>
      <c r="N130" s="326"/>
      <c r="O130" s="326"/>
      <c r="P130" s="327"/>
      <c r="Q130" s="456"/>
      <c r="R130" s="326"/>
      <c r="S130" s="326"/>
      <c r="T130" s="326"/>
      <c r="U130" s="326"/>
      <c r="V130" s="326"/>
      <c r="W130" s="326"/>
      <c r="X130" s="327"/>
      <c r="Y130" s="407"/>
      <c r="Z130" s="327"/>
      <c r="AA130" s="456"/>
      <c r="AB130" s="326"/>
      <c r="AC130" s="326"/>
      <c r="AD130" s="327"/>
      <c r="AE130" s="407"/>
      <c r="AF130" s="326"/>
      <c r="AG130" s="327"/>
      <c r="AH130" s="456"/>
      <c r="AI130" s="326"/>
      <c r="AJ130" s="327"/>
      <c r="AK130" s="407"/>
      <c r="AL130" s="326"/>
      <c r="AM130" s="326"/>
      <c r="AN130" s="327"/>
      <c r="AO130" s="456"/>
      <c r="AP130" s="326"/>
      <c r="AQ130" s="326"/>
      <c r="AR130" s="326"/>
      <c r="AS130" s="326"/>
      <c r="AT130" s="326"/>
      <c r="AU130" s="326"/>
      <c r="AV130" s="327"/>
      <c r="AW130" s="685"/>
      <c r="AX130" s="326"/>
      <c r="AY130" s="327"/>
      <c r="AZ130" s="456"/>
      <c r="BA130" s="326"/>
      <c r="BB130" s="326"/>
      <c r="BC130" s="326"/>
      <c r="BD130" s="326"/>
      <c r="BE130" s="326"/>
      <c r="BF130" s="326"/>
      <c r="BG130" s="326"/>
      <c r="BH130" s="326"/>
      <c r="BI130" s="326"/>
      <c r="BJ130" s="326"/>
      <c r="BK130" s="326"/>
      <c r="BL130" s="326"/>
      <c r="BM130" s="326"/>
      <c r="BN130" s="326"/>
      <c r="BO130" s="327"/>
    </row>
    <row r="131" spans="1:67" ht="34.5" customHeight="1" x14ac:dyDescent="0.25">
      <c r="A131" s="87">
        <f t="shared" si="0"/>
        <v>119</v>
      </c>
      <c r="B131" s="386" t="s">
        <v>334</v>
      </c>
      <c r="C131" s="327"/>
      <c r="D131" s="687"/>
      <c r="E131" s="326"/>
      <c r="F131" s="326"/>
      <c r="G131" s="326"/>
      <c r="H131" s="327"/>
      <c r="I131" s="381"/>
      <c r="J131" s="326"/>
      <c r="K131" s="326"/>
      <c r="L131" s="326"/>
      <c r="M131" s="326"/>
      <c r="N131" s="326"/>
      <c r="O131" s="326"/>
      <c r="P131" s="327"/>
      <c r="Q131" s="381"/>
      <c r="R131" s="326"/>
      <c r="S131" s="326"/>
      <c r="T131" s="326"/>
      <c r="U131" s="326"/>
      <c r="V131" s="326"/>
      <c r="W131" s="326"/>
      <c r="X131" s="327"/>
      <c r="Y131" s="381"/>
      <c r="Z131" s="327"/>
      <c r="AA131" s="381"/>
      <c r="AB131" s="326"/>
      <c r="AC131" s="326"/>
      <c r="AD131" s="327"/>
      <c r="AE131" s="381"/>
      <c r="AF131" s="326"/>
      <c r="AG131" s="327"/>
      <c r="AH131" s="381"/>
      <c r="AI131" s="326"/>
      <c r="AJ131" s="327"/>
      <c r="AK131" s="381"/>
      <c r="AL131" s="326"/>
      <c r="AM131" s="326"/>
      <c r="AN131" s="327"/>
      <c r="AO131" s="381"/>
      <c r="AP131" s="326"/>
      <c r="AQ131" s="326"/>
      <c r="AR131" s="326"/>
      <c r="AS131" s="326"/>
      <c r="AT131" s="326"/>
      <c r="AU131" s="326"/>
      <c r="AV131" s="327"/>
      <c r="AW131" s="686"/>
      <c r="AX131" s="326"/>
      <c r="AY131" s="327"/>
      <c r="AZ131" s="381"/>
      <c r="BA131" s="326"/>
      <c r="BB131" s="326"/>
      <c r="BC131" s="326"/>
      <c r="BD131" s="326"/>
      <c r="BE131" s="326"/>
      <c r="BF131" s="326"/>
      <c r="BG131" s="326"/>
      <c r="BH131" s="326"/>
      <c r="BI131" s="326"/>
      <c r="BJ131" s="326"/>
      <c r="BK131" s="326"/>
      <c r="BL131" s="326"/>
      <c r="BM131" s="326"/>
      <c r="BN131" s="326"/>
      <c r="BO131" s="327"/>
    </row>
    <row r="132" spans="1:67" ht="34.5" customHeight="1" x14ac:dyDescent="0.25">
      <c r="A132" s="87">
        <f t="shared" si="0"/>
        <v>120</v>
      </c>
      <c r="B132" s="386" t="s">
        <v>334</v>
      </c>
      <c r="C132" s="327"/>
      <c r="D132" s="498"/>
      <c r="E132" s="326"/>
      <c r="F132" s="326"/>
      <c r="G132" s="326"/>
      <c r="H132" s="327"/>
      <c r="I132" s="407"/>
      <c r="J132" s="326"/>
      <c r="K132" s="326"/>
      <c r="L132" s="326"/>
      <c r="M132" s="326"/>
      <c r="N132" s="326"/>
      <c r="O132" s="326"/>
      <c r="P132" s="327"/>
      <c r="Q132" s="456"/>
      <c r="R132" s="326"/>
      <c r="S132" s="326"/>
      <c r="T132" s="326"/>
      <c r="U132" s="326"/>
      <c r="V132" s="326"/>
      <c r="W132" s="326"/>
      <c r="X132" s="327"/>
      <c r="Y132" s="407"/>
      <c r="Z132" s="327"/>
      <c r="AA132" s="456"/>
      <c r="AB132" s="326"/>
      <c r="AC132" s="326"/>
      <c r="AD132" s="327"/>
      <c r="AE132" s="407"/>
      <c r="AF132" s="326"/>
      <c r="AG132" s="327"/>
      <c r="AH132" s="456"/>
      <c r="AI132" s="326"/>
      <c r="AJ132" s="327"/>
      <c r="AK132" s="407"/>
      <c r="AL132" s="326"/>
      <c r="AM132" s="326"/>
      <c r="AN132" s="327"/>
      <c r="AO132" s="456"/>
      <c r="AP132" s="326"/>
      <c r="AQ132" s="326"/>
      <c r="AR132" s="326"/>
      <c r="AS132" s="326"/>
      <c r="AT132" s="326"/>
      <c r="AU132" s="326"/>
      <c r="AV132" s="327"/>
      <c r="AW132" s="685"/>
      <c r="AX132" s="326"/>
      <c r="AY132" s="327"/>
      <c r="AZ132" s="456"/>
      <c r="BA132" s="326"/>
      <c r="BB132" s="326"/>
      <c r="BC132" s="326"/>
      <c r="BD132" s="326"/>
      <c r="BE132" s="326"/>
      <c r="BF132" s="326"/>
      <c r="BG132" s="326"/>
      <c r="BH132" s="326"/>
      <c r="BI132" s="326"/>
      <c r="BJ132" s="326"/>
      <c r="BK132" s="326"/>
      <c r="BL132" s="326"/>
      <c r="BM132" s="326"/>
      <c r="BN132" s="326"/>
      <c r="BO132" s="327"/>
    </row>
    <row r="133" spans="1:67" ht="34.5" customHeight="1" x14ac:dyDescent="0.25">
      <c r="A133" s="87">
        <f t="shared" si="0"/>
        <v>121</v>
      </c>
      <c r="B133" s="386" t="s">
        <v>334</v>
      </c>
      <c r="C133" s="327"/>
      <c r="D133" s="687"/>
      <c r="E133" s="326"/>
      <c r="F133" s="326"/>
      <c r="G133" s="326"/>
      <c r="H133" s="327"/>
      <c r="I133" s="381"/>
      <c r="J133" s="326"/>
      <c r="K133" s="326"/>
      <c r="L133" s="326"/>
      <c r="M133" s="326"/>
      <c r="N133" s="326"/>
      <c r="O133" s="326"/>
      <c r="P133" s="327"/>
      <c r="Q133" s="381"/>
      <c r="R133" s="326"/>
      <c r="S133" s="326"/>
      <c r="T133" s="326"/>
      <c r="U133" s="326"/>
      <c r="V133" s="326"/>
      <c r="W133" s="326"/>
      <c r="X133" s="327"/>
      <c r="Y133" s="381"/>
      <c r="Z133" s="327"/>
      <c r="AA133" s="381"/>
      <c r="AB133" s="326"/>
      <c r="AC133" s="326"/>
      <c r="AD133" s="327"/>
      <c r="AE133" s="381"/>
      <c r="AF133" s="326"/>
      <c r="AG133" s="327"/>
      <c r="AH133" s="381"/>
      <c r="AI133" s="326"/>
      <c r="AJ133" s="327"/>
      <c r="AK133" s="381"/>
      <c r="AL133" s="326"/>
      <c r="AM133" s="326"/>
      <c r="AN133" s="327"/>
      <c r="AO133" s="381"/>
      <c r="AP133" s="326"/>
      <c r="AQ133" s="326"/>
      <c r="AR133" s="326"/>
      <c r="AS133" s="326"/>
      <c r="AT133" s="326"/>
      <c r="AU133" s="326"/>
      <c r="AV133" s="327"/>
      <c r="AW133" s="686"/>
      <c r="AX133" s="326"/>
      <c r="AY133" s="327"/>
      <c r="AZ133" s="381"/>
      <c r="BA133" s="326"/>
      <c r="BB133" s="326"/>
      <c r="BC133" s="326"/>
      <c r="BD133" s="326"/>
      <c r="BE133" s="326"/>
      <c r="BF133" s="326"/>
      <c r="BG133" s="326"/>
      <c r="BH133" s="326"/>
      <c r="BI133" s="326"/>
      <c r="BJ133" s="326"/>
      <c r="BK133" s="326"/>
      <c r="BL133" s="326"/>
      <c r="BM133" s="326"/>
      <c r="BN133" s="326"/>
      <c r="BO133" s="327"/>
    </row>
    <row r="134" spans="1:67" ht="34.5" customHeight="1" x14ac:dyDescent="0.25">
      <c r="A134" s="87">
        <f t="shared" si="0"/>
        <v>122</v>
      </c>
      <c r="B134" s="386" t="s">
        <v>334</v>
      </c>
      <c r="C134" s="327"/>
      <c r="D134" s="498"/>
      <c r="E134" s="326"/>
      <c r="F134" s="326"/>
      <c r="G134" s="326"/>
      <c r="H134" s="327"/>
      <c r="I134" s="407"/>
      <c r="J134" s="326"/>
      <c r="K134" s="326"/>
      <c r="L134" s="326"/>
      <c r="M134" s="326"/>
      <c r="N134" s="326"/>
      <c r="O134" s="326"/>
      <c r="P134" s="327"/>
      <c r="Q134" s="456"/>
      <c r="R134" s="326"/>
      <c r="S134" s="326"/>
      <c r="T134" s="326"/>
      <c r="U134" s="326"/>
      <c r="V134" s="326"/>
      <c r="W134" s="326"/>
      <c r="X134" s="327"/>
      <c r="Y134" s="407"/>
      <c r="Z134" s="327"/>
      <c r="AA134" s="456"/>
      <c r="AB134" s="326"/>
      <c r="AC134" s="326"/>
      <c r="AD134" s="327"/>
      <c r="AE134" s="407"/>
      <c r="AF134" s="326"/>
      <c r="AG134" s="327"/>
      <c r="AH134" s="456"/>
      <c r="AI134" s="326"/>
      <c r="AJ134" s="327"/>
      <c r="AK134" s="407"/>
      <c r="AL134" s="326"/>
      <c r="AM134" s="326"/>
      <c r="AN134" s="327"/>
      <c r="AO134" s="456"/>
      <c r="AP134" s="326"/>
      <c r="AQ134" s="326"/>
      <c r="AR134" s="326"/>
      <c r="AS134" s="326"/>
      <c r="AT134" s="326"/>
      <c r="AU134" s="326"/>
      <c r="AV134" s="327"/>
      <c r="AW134" s="685"/>
      <c r="AX134" s="326"/>
      <c r="AY134" s="327"/>
      <c r="AZ134" s="456"/>
      <c r="BA134" s="326"/>
      <c r="BB134" s="326"/>
      <c r="BC134" s="326"/>
      <c r="BD134" s="326"/>
      <c r="BE134" s="326"/>
      <c r="BF134" s="326"/>
      <c r="BG134" s="326"/>
      <c r="BH134" s="326"/>
      <c r="BI134" s="326"/>
      <c r="BJ134" s="326"/>
      <c r="BK134" s="326"/>
      <c r="BL134" s="326"/>
      <c r="BM134" s="326"/>
      <c r="BN134" s="326"/>
      <c r="BO134" s="327"/>
    </row>
    <row r="135" spans="1:67" ht="34.5" customHeight="1" x14ac:dyDescent="0.25">
      <c r="A135" s="87">
        <f t="shared" si="0"/>
        <v>123</v>
      </c>
      <c r="B135" s="386" t="s">
        <v>334</v>
      </c>
      <c r="C135" s="327"/>
      <c r="D135" s="687"/>
      <c r="E135" s="326"/>
      <c r="F135" s="326"/>
      <c r="G135" s="326"/>
      <c r="H135" s="327"/>
      <c r="I135" s="381"/>
      <c r="J135" s="326"/>
      <c r="K135" s="326"/>
      <c r="L135" s="326"/>
      <c r="M135" s="326"/>
      <c r="N135" s="326"/>
      <c r="O135" s="326"/>
      <c r="P135" s="327"/>
      <c r="Q135" s="381"/>
      <c r="R135" s="326"/>
      <c r="S135" s="326"/>
      <c r="T135" s="326"/>
      <c r="U135" s="326"/>
      <c r="V135" s="326"/>
      <c r="W135" s="326"/>
      <c r="X135" s="327"/>
      <c r="Y135" s="381"/>
      <c r="Z135" s="327"/>
      <c r="AA135" s="381"/>
      <c r="AB135" s="326"/>
      <c r="AC135" s="326"/>
      <c r="AD135" s="327"/>
      <c r="AE135" s="381"/>
      <c r="AF135" s="326"/>
      <c r="AG135" s="327"/>
      <c r="AH135" s="381"/>
      <c r="AI135" s="326"/>
      <c r="AJ135" s="327"/>
      <c r="AK135" s="381"/>
      <c r="AL135" s="326"/>
      <c r="AM135" s="326"/>
      <c r="AN135" s="327"/>
      <c r="AO135" s="381"/>
      <c r="AP135" s="326"/>
      <c r="AQ135" s="326"/>
      <c r="AR135" s="326"/>
      <c r="AS135" s="326"/>
      <c r="AT135" s="326"/>
      <c r="AU135" s="326"/>
      <c r="AV135" s="327"/>
      <c r="AW135" s="686"/>
      <c r="AX135" s="326"/>
      <c r="AY135" s="327"/>
      <c r="AZ135" s="381"/>
      <c r="BA135" s="326"/>
      <c r="BB135" s="326"/>
      <c r="BC135" s="326"/>
      <c r="BD135" s="326"/>
      <c r="BE135" s="326"/>
      <c r="BF135" s="326"/>
      <c r="BG135" s="326"/>
      <c r="BH135" s="326"/>
      <c r="BI135" s="326"/>
      <c r="BJ135" s="326"/>
      <c r="BK135" s="326"/>
      <c r="BL135" s="326"/>
      <c r="BM135" s="326"/>
      <c r="BN135" s="326"/>
      <c r="BO135" s="327"/>
    </row>
    <row r="136" spans="1:67" ht="34.5" customHeight="1" x14ac:dyDescent="0.25">
      <c r="A136" s="87">
        <f t="shared" si="0"/>
        <v>124</v>
      </c>
      <c r="B136" s="386" t="s">
        <v>334</v>
      </c>
      <c r="C136" s="327"/>
      <c r="D136" s="498"/>
      <c r="E136" s="326"/>
      <c r="F136" s="326"/>
      <c r="G136" s="326"/>
      <c r="H136" s="327"/>
      <c r="I136" s="407"/>
      <c r="J136" s="326"/>
      <c r="K136" s="326"/>
      <c r="L136" s="326"/>
      <c r="M136" s="326"/>
      <c r="N136" s="326"/>
      <c r="O136" s="326"/>
      <c r="P136" s="327"/>
      <c r="Q136" s="456"/>
      <c r="R136" s="326"/>
      <c r="S136" s="326"/>
      <c r="T136" s="326"/>
      <c r="U136" s="326"/>
      <c r="V136" s="326"/>
      <c r="W136" s="326"/>
      <c r="X136" s="327"/>
      <c r="Y136" s="407"/>
      <c r="Z136" s="327"/>
      <c r="AA136" s="456"/>
      <c r="AB136" s="326"/>
      <c r="AC136" s="326"/>
      <c r="AD136" s="327"/>
      <c r="AE136" s="407"/>
      <c r="AF136" s="326"/>
      <c r="AG136" s="327"/>
      <c r="AH136" s="456"/>
      <c r="AI136" s="326"/>
      <c r="AJ136" s="327"/>
      <c r="AK136" s="407"/>
      <c r="AL136" s="326"/>
      <c r="AM136" s="326"/>
      <c r="AN136" s="327"/>
      <c r="AO136" s="456"/>
      <c r="AP136" s="326"/>
      <c r="AQ136" s="326"/>
      <c r="AR136" s="326"/>
      <c r="AS136" s="326"/>
      <c r="AT136" s="326"/>
      <c r="AU136" s="326"/>
      <c r="AV136" s="327"/>
      <c r="AW136" s="685"/>
      <c r="AX136" s="326"/>
      <c r="AY136" s="327"/>
      <c r="AZ136" s="456"/>
      <c r="BA136" s="326"/>
      <c r="BB136" s="326"/>
      <c r="BC136" s="326"/>
      <c r="BD136" s="326"/>
      <c r="BE136" s="326"/>
      <c r="BF136" s="326"/>
      <c r="BG136" s="326"/>
      <c r="BH136" s="326"/>
      <c r="BI136" s="326"/>
      <c r="BJ136" s="326"/>
      <c r="BK136" s="326"/>
      <c r="BL136" s="326"/>
      <c r="BM136" s="326"/>
      <c r="BN136" s="326"/>
      <c r="BO136" s="327"/>
    </row>
    <row r="137" spans="1:67" ht="34.5" customHeight="1" x14ac:dyDescent="0.25">
      <c r="A137" s="87">
        <f t="shared" si="0"/>
        <v>125</v>
      </c>
      <c r="B137" s="386" t="s">
        <v>334</v>
      </c>
      <c r="C137" s="327"/>
      <c r="D137" s="687"/>
      <c r="E137" s="326"/>
      <c r="F137" s="326"/>
      <c r="G137" s="326"/>
      <c r="H137" s="327"/>
      <c r="I137" s="381"/>
      <c r="J137" s="326"/>
      <c r="K137" s="326"/>
      <c r="L137" s="326"/>
      <c r="M137" s="326"/>
      <c r="N137" s="326"/>
      <c r="O137" s="326"/>
      <c r="P137" s="327"/>
      <c r="Q137" s="381"/>
      <c r="R137" s="326"/>
      <c r="S137" s="326"/>
      <c r="T137" s="326"/>
      <c r="U137" s="326"/>
      <c r="V137" s="326"/>
      <c r="W137" s="326"/>
      <c r="X137" s="327"/>
      <c r="Y137" s="381"/>
      <c r="Z137" s="327"/>
      <c r="AA137" s="381"/>
      <c r="AB137" s="326"/>
      <c r="AC137" s="326"/>
      <c r="AD137" s="327"/>
      <c r="AE137" s="381"/>
      <c r="AF137" s="326"/>
      <c r="AG137" s="327"/>
      <c r="AH137" s="381"/>
      <c r="AI137" s="326"/>
      <c r="AJ137" s="327"/>
      <c r="AK137" s="381"/>
      <c r="AL137" s="326"/>
      <c r="AM137" s="326"/>
      <c r="AN137" s="327"/>
      <c r="AO137" s="381"/>
      <c r="AP137" s="326"/>
      <c r="AQ137" s="326"/>
      <c r="AR137" s="326"/>
      <c r="AS137" s="326"/>
      <c r="AT137" s="326"/>
      <c r="AU137" s="326"/>
      <c r="AV137" s="327"/>
      <c r="AW137" s="686"/>
      <c r="AX137" s="326"/>
      <c r="AY137" s="327"/>
      <c r="AZ137" s="381"/>
      <c r="BA137" s="326"/>
      <c r="BB137" s="326"/>
      <c r="BC137" s="326"/>
      <c r="BD137" s="326"/>
      <c r="BE137" s="326"/>
      <c r="BF137" s="326"/>
      <c r="BG137" s="326"/>
      <c r="BH137" s="326"/>
      <c r="BI137" s="326"/>
      <c r="BJ137" s="326"/>
      <c r="BK137" s="326"/>
      <c r="BL137" s="326"/>
      <c r="BM137" s="326"/>
      <c r="BN137" s="326"/>
      <c r="BO137" s="327"/>
    </row>
    <row r="138" spans="1:67" ht="34.5" customHeight="1" x14ac:dyDescent="0.25">
      <c r="A138" s="87">
        <f t="shared" si="0"/>
        <v>126</v>
      </c>
      <c r="B138" s="386" t="s">
        <v>334</v>
      </c>
      <c r="C138" s="327"/>
      <c r="D138" s="498"/>
      <c r="E138" s="326"/>
      <c r="F138" s="326"/>
      <c r="G138" s="326"/>
      <c r="H138" s="327"/>
      <c r="I138" s="407"/>
      <c r="J138" s="326"/>
      <c r="K138" s="326"/>
      <c r="L138" s="326"/>
      <c r="M138" s="326"/>
      <c r="N138" s="326"/>
      <c r="O138" s="326"/>
      <c r="P138" s="327"/>
      <c r="Q138" s="456"/>
      <c r="R138" s="326"/>
      <c r="S138" s="326"/>
      <c r="T138" s="326"/>
      <c r="U138" s="326"/>
      <c r="V138" s="326"/>
      <c r="W138" s="326"/>
      <c r="X138" s="327"/>
      <c r="Y138" s="407"/>
      <c r="Z138" s="327"/>
      <c r="AA138" s="456"/>
      <c r="AB138" s="326"/>
      <c r="AC138" s="326"/>
      <c r="AD138" s="327"/>
      <c r="AE138" s="407"/>
      <c r="AF138" s="326"/>
      <c r="AG138" s="327"/>
      <c r="AH138" s="456"/>
      <c r="AI138" s="326"/>
      <c r="AJ138" s="327"/>
      <c r="AK138" s="407"/>
      <c r="AL138" s="326"/>
      <c r="AM138" s="326"/>
      <c r="AN138" s="327"/>
      <c r="AO138" s="456"/>
      <c r="AP138" s="326"/>
      <c r="AQ138" s="326"/>
      <c r="AR138" s="326"/>
      <c r="AS138" s="326"/>
      <c r="AT138" s="326"/>
      <c r="AU138" s="326"/>
      <c r="AV138" s="327"/>
      <c r="AW138" s="685"/>
      <c r="AX138" s="326"/>
      <c r="AY138" s="327"/>
      <c r="AZ138" s="456"/>
      <c r="BA138" s="326"/>
      <c r="BB138" s="326"/>
      <c r="BC138" s="326"/>
      <c r="BD138" s="326"/>
      <c r="BE138" s="326"/>
      <c r="BF138" s="326"/>
      <c r="BG138" s="326"/>
      <c r="BH138" s="326"/>
      <c r="BI138" s="326"/>
      <c r="BJ138" s="326"/>
      <c r="BK138" s="326"/>
      <c r="BL138" s="326"/>
      <c r="BM138" s="326"/>
      <c r="BN138" s="326"/>
      <c r="BO138" s="327"/>
    </row>
    <row r="139" spans="1:67" ht="34.5" customHeight="1" x14ac:dyDescent="0.25">
      <c r="A139" s="87">
        <f t="shared" si="0"/>
        <v>127</v>
      </c>
      <c r="B139" s="386" t="s">
        <v>334</v>
      </c>
      <c r="C139" s="327"/>
      <c r="D139" s="687"/>
      <c r="E139" s="326"/>
      <c r="F139" s="326"/>
      <c r="G139" s="326"/>
      <c r="H139" s="327"/>
      <c r="I139" s="381"/>
      <c r="J139" s="326"/>
      <c r="K139" s="326"/>
      <c r="L139" s="326"/>
      <c r="M139" s="326"/>
      <c r="N139" s="326"/>
      <c r="O139" s="326"/>
      <c r="P139" s="327"/>
      <c r="Q139" s="381"/>
      <c r="R139" s="326"/>
      <c r="S139" s="326"/>
      <c r="T139" s="326"/>
      <c r="U139" s="326"/>
      <c r="V139" s="326"/>
      <c r="W139" s="326"/>
      <c r="X139" s="327"/>
      <c r="Y139" s="381"/>
      <c r="Z139" s="327"/>
      <c r="AA139" s="381"/>
      <c r="AB139" s="326"/>
      <c r="AC139" s="326"/>
      <c r="AD139" s="327"/>
      <c r="AE139" s="381"/>
      <c r="AF139" s="326"/>
      <c r="AG139" s="327"/>
      <c r="AH139" s="381"/>
      <c r="AI139" s="326"/>
      <c r="AJ139" s="327"/>
      <c r="AK139" s="381"/>
      <c r="AL139" s="326"/>
      <c r="AM139" s="326"/>
      <c r="AN139" s="327"/>
      <c r="AO139" s="381"/>
      <c r="AP139" s="326"/>
      <c r="AQ139" s="326"/>
      <c r="AR139" s="326"/>
      <c r="AS139" s="326"/>
      <c r="AT139" s="326"/>
      <c r="AU139" s="326"/>
      <c r="AV139" s="327"/>
      <c r="AW139" s="686"/>
      <c r="AX139" s="326"/>
      <c r="AY139" s="327"/>
      <c r="AZ139" s="381"/>
      <c r="BA139" s="326"/>
      <c r="BB139" s="326"/>
      <c r="BC139" s="326"/>
      <c r="BD139" s="326"/>
      <c r="BE139" s="326"/>
      <c r="BF139" s="326"/>
      <c r="BG139" s="326"/>
      <c r="BH139" s="326"/>
      <c r="BI139" s="326"/>
      <c r="BJ139" s="326"/>
      <c r="BK139" s="326"/>
      <c r="BL139" s="326"/>
      <c r="BM139" s="326"/>
      <c r="BN139" s="326"/>
      <c r="BO139" s="327"/>
    </row>
    <row r="140" spans="1:67" ht="34.5" customHeight="1" x14ac:dyDescent="0.25">
      <c r="A140" s="87">
        <f t="shared" si="0"/>
        <v>128</v>
      </c>
      <c r="B140" s="688" t="s">
        <v>334</v>
      </c>
      <c r="C140" s="327"/>
      <c r="D140" s="498"/>
      <c r="E140" s="326"/>
      <c r="F140" s="326"/>
      <c r="G140" s="326"/>
      <c r="H140" s="327"/>
      <c r="I140" s="407"/>
      <c r="J140" s="326"/>
      <c r="K140" s="326"/>
      <c r="L140" s="326"/>
      <c r="M140" s="326"/>
      <c r="N140" s="326"/>
      <c r="O140" s="326"/>
      <c r="P140" s="327"/>
      <c r="Q140" s="456"/>
      <c r="R140" s="326"/>
      <c r="S140" s="326"/>
      <c r="T140" s="326"/>
      <c r="U140" s="326"/>
      <c r="V140" s="326"/>
      <c r="W140" s="326"/>
      <c r="X140" s="327"/>
      <c r="Y140" s="407"/>
      <c r="Z140" s="327"/>
      <c r="AA140" s="456"/>
      <c r="AB140" s="326"/>
      <c r="AC140" s="326"/>
      <c r="AD140" s="327"/>
      <c r="AE140" s="407"/>
      <c r="AF140" s="326"/>
      <c r="AG140" s="327"/>
      <c r="AH140" s="456"/>
      <c r="AI140" s="326"/>
      <c r="AJ140" s="327"/>
      <c r="AK140" s="407"/>
      <c r="AL140" s="326"/>
      <c r="AM140" s="326"/>
      <c r="AN140" s="327"/>
      <c r="AO140" s="456"/>
      <c r="AP140" s="326"/>
      <c r="AQ140" s="326"/>
      <c r="AR140" s="326"/>
      <c r="AS140" s="326"/>
      <c r="AT140" s="326"/>
      <c r="AU140" s="326"/>
      <c r="AV140" s="327"/>
      <c r="AW140" s="685"/>
      <c r="AX140" s="326"/>
      <c r="AY140" s="327"/>
      <c r="AZ140" s="456"/>
      <c r="BA140" s="326"/>
      <c r="BB140" s="326"/>
      <c r="BC140" s="326"/>
      <c r="BD140" s="326"/>
      <c r="BE140" s="326"/>
      <c r="BF140" s="326"/>
      <c r="BG140" s="326"/>
      <c r="BH140" s="326"/>
      <c r="BI140" s="326"/>
      <c r="BJ140" s="326"/>
      <c r="BK140" s="326"/>
      <c r="BL140" s="326"/>
      <c r="BM140" s="326"/>
      <c r="BN140" s="326"/>
      <c r="BO140" s="327"/>
    </row>
    <row r="141" spans="1:67" ht="34.5" customHeight="1" x14ac:dyDescent="0.25">
      <c r="A141" s="87">
        <f t="shared" si="0"/>
        <v>129</v>
      </c>
      <c r="B141" s="386" t="s">
        <v>334</v>
      </c>
      <c r="C141" s="327"/>
      <c r="D141" s="687"/>
      <c r="E141" s="326"/>
      <c r="F141" s="326"/>
      <c r="G141" s="326"/>
      <c r="H141" s="327"/>
      <c r="I141" s="381"/>
      <c r="J141" s="326"/>
      <c r="K141" s="326"/>
      <c r="L141" s="326"/>
      <c r="M141" s="326"/>
      <c r="N141" s="326"/>
      <c r="O141" s="326"/>
      <c r="P141" s="327"/>
      <c r="Q141" s="381"/>
      <c r="R141" s="326"/>
      <c r="S141" s="326"/>
      <c r="T141" s="326"/>
      <c r="U141" s="326"/>
      <c r="V141" s="326"/>
      <c r="W141" s="326"/>
      <c r="X141" s="327"/>
      <c r="Y141" s="381"/>
      <c r="Z141" s="327"/>
      <c r="AA141" s="381"/>
      <c r="AB141" s="326"/>
      <c r="AC141" s="326"/>
      <c r="AD141" s="327"/>
      <c r="AE141" s="381"/>
      <c r="AF141" s="326"/>
      <c r="AG141" s="327"/>
      <c r="AH141" s="381"/>
      <c r="AI141" s="326"/>
      <c r="AJ141" s="327"/>
      <c r="AK141" s="381"/>
      <c r="AL141" s="326"/>
      <c r="AM141" s="326"/>
      <c r="AN141" s="327"/>
      <c r="AO141" s="381"/>
      <c r="AP141" s="326"/>
      <c r="AQ141" s="326"/>
      <c r="AR141" s="326"/>
      <c r="AS141" s="326"/>
      <c r="AT141" s="326"/>
      <c r="AU141" s="326"/>
      <c r="AV141" s="327"/>
      <c r="AW141" s="686"/>
      <c r="AX141" s="326"/>
      <c r="AY141" s="327"/>
      <c r="AZ141" s="381"/>
      <c r="BA141" s="326"/>
      <c r="BB141" s="326"/>
      <c r="BC141" s="326"/>
      <c r="BD141" s="326"/>
      <c r="BE141" s="326"/>
      <c r="BF141" s="326"/>
      <c r="BG141" s="326"/>
      <c r="BH141" s="326"/>
      <c r="BI141" s="326"/>
      <c r="BJ141" s="326"/>
      <c r="BK141" s="326"/>
      <c r="BL141" s="326"/>
      <c r="BM141" s="326"/>
      <c r="BN141" s="326"/>
      <c r="BO141" s="327"/>
    </row>
    <row r="142" spans="1:67" ht="34.5" customHeight="1" x14ac:dyDescent="0.25">
      <c r="A142" s="87">
        <f t="shared" si="0"/>
        <v>130</v>
      </c>
      <c r="B142" s="386" t="s">
        <v>334</v>
      </c>
      <c r="C142" s="327"/>
      <c r="D142" s="498"/>
      <c r="E142" s="326"/>
      <c r="F142" s="326"/>
      <c r="G142" s="326"/>
      <c r="H142" s="327"/>
      <c r="I142" s="407"/>
      <c r="J142" s="326"/>
      <c r="K142" s="326"/>
      <c r="L142" s="326"/>
      <c r="M142" s="326"/>
      <c r="N142" s="326"/>
      <c r="O142" s="326"/>
      <c r="P142" s="327"/>
      <c r="Q142" s="456"/>
      <c r="R142" s="326"/>
      <c r="S142" s="326"/>
      <c r="T142" s="326"/>
      <c r="U142" s="326"/>
      <c r="V142" s="326"/>
      <c r="W142" s="326"/>
      <c r="X142" s="327"/>
      <c r="Y142" s="407"/>
      <c r="Z142" s="327"/>
      <c r="AA142" s="456"/>
      <c r="AB142" s="326"/>
      <c r="AC142" s="326"/>
      <c r="AD142" s="327"/>
      <c r="AE142" s="407"/>
      <c r="AF142" s="326"/>
      <c r="AG142" s="327"/>
      <c r="AH142" s="456"/>
      <c r="AI142" s="326"/>
      <c r="AJ142" s="327"/>
      <c r="AK142" s="407"/>
      <c r="AL142" s="326"/>
      <c r="AM142" s="326"/>
      <c r="AN142" s="327"/>
      <c r="AO142" s="456"/>
      <c r="AP142" s="326"/>
      <c r="AQ142" s="326"/>
      <c r="AR142" s="326"/>
      <c r="AS142" s="326"/>
      <c r="AT142" s="326"/>
      <c r="AU142" s="326"/>
      <c r="AV142" s="327"/>
      <c r="AW142" s="685"/>
      <c r="AX142" s="326"/>
      <c r="AY142" s="327"/>
      <c r="AZ142" s="456"/>
      <c r="BA142" s="326"/>
      <c r="BB142" s="326"/>
      <c r="BC142" s="326"/>
      <c r="BD142" s="326"/>
      <c r="BE142" s="326"/>
      <c r="BF142" s="326"/>
      <c r="BG142" s="326"/>
      <c r="BH142" s="326"/>
      <c r="BI142" s="326"/>
      <c r="BJ142" s="326"/>
      <c r="BK142" s="326"/>
      <c r="BL142" s="326"/>
      <c r="BM142" s="326"/>
      <c r="BN142" s="326"/>
      <c r="BO142" s="327"/>
    </row>
    <row r="143" spans="1:67" ht="34.5" customHeight="1" x14ac:dyDescent="0.25">
      <c r="A143" s="87">
        <f t="shared" si="0"/>
        <v>131</v>
      </c>
      <c r="B143" s="386" t="s">
        <v>334</v>
      </c>
      <c r="C143" s="327"/>
      <c r="D143" s="687"/>
      <c r="E143" s="326"/>
      <c r="F143" s="326"/>
      <c r="G143" s="326"/>
      <c r="H143" s="327"/>
      <c r="I143" s="381"/>
      <c r="J143" s="326"/>
      <c r="K143" s="326"/>
      <c r="L143" s="326"/>
      <c r="M143" s="326"/>
      <c r="N143" s="326"/>
      <c r="O143" s="326"/>
      <c r="P143" s="327"/>
      <c r="Q143" s="381"/>
      <c r="R143" s="326"/>
      <c r="S143" s="326"/>
      <c r="T143" s="326"/>
      <c r="U143" s="326"/>
      <c r="V143" s="326"/>
      <c r="W143" s="326"/>
      <c r="X143" s="327"/>
      <c r="Y143" s="381"/>
      <c r="Z143" s="327"/>
      <c r="AA143" s="381"/>
      <c r="AB143" s="326"/>
      <c r="AC143" s="326"/>
      <c r="AD143" s="327"/>
      <c r="AE143" s="381"/>
      <c r="AF143" s="326"/>
      <c r="AG143" s="327"/>
      <c r="AH143" s="381"/>
      <c r="AI143" s="326"/>
      <c r="AJ143" s="327"/>
      <c r="AK143" s="381"/>
      <c r="AL143" s="326"/>
      <c r="AM143" s="326"/>
      <c r="AN143" s="327"/>
      <c r="AO143" s="381"/>
      <c r="AP143" s="326"/>
      <c r="AQ143" s="326"/>
      <c r="AR143" s="326"/>
      <c r="AS143" s="326"/>
      <c r="AT143" s="326"/>
      <c r="AU143" s="326"/>
      <c r="AV143" s="327"/>
      <c r="AW143" s="686"/>
      <c r="AX143" s="326"/>
      <c r="AY143" s="327"/>
      <c r="AZ143" s="381"/>
      <c r="BA143" s="326"/>
      <c r="BB143" s="326"/>
      <c r="BC143" s="326"/>
      <c r="BD143" s="326"/>
      <c r="BE143" s="326"/>
      <c r="BF143" s="326"/>
      <c r="BG143" s="326"/>
      <c r="BH143" s="326"/>
      <c r="BI143" s="326"/>
      <c r="BJ143" s="326"/>
      <c r="BK143" s="326"/>
      <c r="BL143" s="326"/>
      <c r="BM143" s="326"/>
      <c r="BN143" s="326"/>
      <c r="BO143" s="327"/>
    </row>
    <row r="144" spans="1:67" ht="34.5" customHeight="1" x14ac:dyDescent="0.25">
      <c r="A144" s="87">
        <f t="shared" si="0"/>
        <v>132</v>
      </c>
      <c r="B144" s="386" t="s">
        <v>334</v>
      </c>
      <c r="C144" s="327"/>
      <c r="D144" s="498"/>
      <c r="E144" s="326"/>
      <c r="F144" s="326"/>
      <c r="G144" s="326"/>
      <c r="H144" s="327"/>
      <c r="I144" s="407"/>
      <c r="J144" s="326"/>
      <c r="K144" s="326"/>
      <c r="L144" s="326"/>
      <c r="M144" s="326"/>
      <c r="N144" s="326"/>
      <c r="O144" s="326"/>
      <c r="P144" s="327"/>
      <c r="Q144" s="456"/>
      <c r="R144" s="326"/>
      <c r="S144" s="326"/>
      <c r="T144" s="326"/>
      <c r="U144" s="326"/>
      <c r="V144" s="326"/>
      <c r="W144" s="326"/>
      <c r="X144" s="327"/>
      <c r="Y144" s="407"/>
      <c r="Z144" s="327"/>
      <c r="AA144" s="456"/>
      <c r="AB144" s="326"/>
      <c r="AC144" s="326"/>
      <c r="AD144" s="327"/>
      <c r="AE144" s="407"/>
      <c r="AF144" s="326"/>
      <c r="AG144" s="327"/>
      <c r="AH144" s="456"/>
      <c r="AI144" s="326"/>
      <c r="AJ144" s="327"/>
      <c r="AK144" s="407"/>
      <c r="AL144" s="326"/>
      <c r="AM144" s="326"/>
      <c r="AN144" s="327"/>
      <c r="AO144" s="456"/>
      <c r="AP144" s="326"/>
      <c r="AQ144" s="326"/>
      <c r="AR144" s="326"/>
      <c r="AS144" s="326"/>
      <c r="AT144" s="326"/>
      <c r="AU144" s="326"/>
      <c r="AV144" s="327"/>
      <c r="AW144" s="685"/>
      <c r="AX144" s="326"/>
      <c r="AY144" s="327"/>
      <c r="AZ144" s="456"/>
      <c r="BA144" s="326"/>
      <c r="BB144" s="326"/>
      <c r="BC144" s="326"/>
      <c r="BD144" s="326"/>
      <c r="BE144" s="326"/>
      <c r="BF144" s="326"/>
      <c r="BG144" s="326"/>
      <c r="BH144" s="326"/>
      <c r="BI144" s="326"/>
      <c r="BJ144" s="326"/>
      <c r="BK144" s="326"/>
      <c r="BL144" s="326"/>
      <c r="BM144" s="326"/>
      <c r="BN144" s="326"/>
      <c r="BO144" s="327"/>
    </row>
    <row r="145" spans="1:67" ht="34.5" customHeight="1" x14ac:dyDescent="0.25">
      <c r="A145" s="87">
        <f t="shared" si="0"/>
        <v>133</v>
      </c>
      <c r="B145" s="386" t="s">
        <v>334</v>
      </c>
      <c r="C145" s="327"/>
      <c r="D145" s="687"/>
      <c r="E145" s="326"/>
      <c r="F145" s="326"/>
      <c r="G145" s="326"/>
      <c r="H145" s="327"/>
      <c r="I145" s="381"/>
      <c r="J145" s="326"/>
      <c r="K145" s="326"/>
      <c r="L145" s="326"/>
      <c r="M145" s="326"/>
      <c r="N145" s="326"/>
      <c r="O145" s="326"/>
      <c r="P145" s="327"/>
      <c r="Q145" s="381"/>
      <c r="R145" s="326"/>
      <c r="S145" s="326"/>
      <c r="T145" s="326"/>
      <c r="U145" s="326"/>
      <c r="V145" s="326"/>
      <c r="W145" s="326"/>
      <c r="X145" s="327"/>
      <c r="Y145" s="381"/>
      <c r="Z145" s="327"/>
      <c r="AA145" s="381"/>
      <c r="AB145" s="326"/>
      <c r="AC145" s="326"/>
      <c r="AD145" s="327"/>
      <c r="AE145" s="381"/>
      <c r="AF145" s="326"/>
      <c r="AG145" s="327"/>
      <c r="AH145" s="381"/>
      <c r="AI145" s="326"/>
      <c r="AJ145" s="327"/>
      <c r="AK145" s="381"/>
      <c r="AL145" s="326"/>
      <c r="AM145" s="326"/>
      <c r="AN145" s="327"/>
      <c r="AO145" s="381"/>
      <c r="AP145" s="326"/>
      <c r="AQ145" s="326"/>
      <c r="AR145" s="326"/>
      <c r="AS145" s="326"/>
      <c r="AT145" s="326"/>
      <c r="AU145" s="326"/>
      <c r="AV145" s="327"/>
      <c r="AW145" s="686"/>
      <c r="AX145" s="326"/>
      <c r="AY145" s="327"/>
      <c r="AZ145" s="381"/>
      <c r="BA145" s="326"/>
      <c r="BB145" s="326"/>
      <c r="BC145" s="326"/>
      <c r="BD145" s="326"/>
      <c r="BE145" s="326"/>
      <c r="BF145" s="326"/>
      <c r="BG145" s="326"/>
      <c r="BH145" s="326"/>
      <c r="BI145" s="326"/>
      <c r="BJ145" s="326"/>
      <c r="BK145" s="326"/>
      <c r="BL145" s="326"/>
      <c r="BM145" s="326"/>
      <c r="BN145" s="326"/>
      <c r="BO145" s="327"/>
    </row>
    <row r="146" spans="1:67" ht="34.5" customHeight="1" x14ac:dyDescent="0.25">
      <c r="A146" s="87">
        <f t="shared" si="0"/>
        <v>134</v>
      </c>
      <c r="B146" s="386" t="s">
        <v>334</v>
      </c>
      <c r="C146" s="327"/>
      <c r="D146" s="498"/>
      <c r="E146" s="326"/>
      <c r="F146" s="326"/>
      <c r="G146" s="326"/>
      <c r="H146" s="327"/>
      <c r="I146" s="407"/>
      <c r="J146" s="326"/>
      <c r="K146" s="326"/>
      <c r="L146" s="326"/>
      <c r="M146" s="326"/>
      <c r="N146" s="326"/>
      <c r="O146" s="326"/>
      <c r="P146" s="327"/>
      <c r="Q146" s="456"/>
      <c r="R146" s="326"/>
      <c r="S146" s="326"/>
      <c r="T146" s="326"/>
      <c r="U146" s="326"/>
      <c r="V146" s="326"/>
      <c r="W146" s="326"/>
      <c r="X146" s="327"/>
      <c r="Y146" s="407"/>
      <c r="Z146" s="327"/>
      <c r="AA146" s="456"/>
      <c r="AB146" s="326"/>
      <c r="AC146" s="326"/>
      <c r="AD146" s="327"/>
      <c r="AE146" s="407"/>
      <c r="AF146" s="326"/>
      <c r="AG146" s="327"/>
      <c r="AH146" s="456"/>
      <c r="AI146" s="326"/>
      <c r="AJ146" s="327"/>
      <c r="AK146" s="407"/>
      <c r="AL146" s="326"/>
      <c r="AM146" s="326"/>
      <c r="AN146" s="327"/>
      <c r="AO146" s="456"/>
      <c r="AP146" s="326"/>
      <c r="AQ146" s="326"/>
      <c r="AR146" s="326"/>
      <c r="AS146" s="326"/>
      <c r="AT146" s="326"/>
      <c r="AU146" s="326"/>
      <c r="AV146" s="327"/>
      <c r="AW146" s="685"/>
      <c r="AX146" s="326"/>
      <c r="AY146" s="327"/>
      <c r="AZ146" s="456"/>
      <c r="BA146" s="326"/>
      <c r="BB146" s="326"/>
      <c r="BC146" s="326"/>
      <c r="BD146" s="326"/>
      <c r="BE146" s="326"/>
      <c r="BF146" s="326"/>
      <c r="BG146" s="326"/>
      <c r="BH146" s="326"/>
      <c r="BI146" s="326"/>
      <c r="BJ146" s="326"/>
      <c r="BK146" s="326"/>
      <c r="BL146" s="326"/>
      <c r="BM146" s="326"/>
      <c r="BN146" s="326"/>
      <c r="BO146" s="327"/>
    </row>
    <row r="147" spans="1:67" ht="34.5" customHeight="1" x14ac:dyDescent="0.25">
      <c r="A147" s="87">
        <f t="shared" si="0"/>
        <v>135</v>
      </c>
      <c r="B147" s="386" t="s">
        <v>334</v>
      </c>
      <c r="C147" s="327"/>
      <c r="D147" s="687"/>
      <c r="E147" s="326"/>
      <c r="F147" s="326"/>
      <c r="G147" s="326"/>
      <c r="H147" s="327"/>
      <c r="I147" s="381"/>
      <c r="J147" s="326"/>
      <c r="K147" s="326"/>
      <c r="L147" s="326"/>
      <c r="M147" s="326"/>
      <c r="N147" s="326"/>
      <c r="O147" s="326"/>
      <c r="P147" s="327"/>
      <c r="Q147" s="381"/>
      <c r="R147" s="326"/>
      <c r="S147" s="326"/>
      <c r="T147" s="326"/>
      <c r="U147" s="326"/>
      <c r="V147" s="326"/>
      <c r="W147" s="326"/>
      <c r="X147" s="327"/>
      <c r="Y147" s="381"/>
      <c r="Z147" s="327"/>
      <c r="AA147" s="381"/>
      <c r="AB147" s="326"/>
      <c r="AC147" s="326"/>
      <c r="AD147" s="327"/>
      <c r="AE147" s="381"/>
      <c r="AF147" s="326"/>
      <c r="AG147" s="327"/>
      <c r="AH147" s="381"/>
      <c r="AI147" s="326"/>
      <c r="AJ147" s="327"/>
      <c r="AK147" s="381"/>
      <c r="AL147" s="326"/>
      <c r="AM147" s="326"/>
      <c r="AN147" s="327"/>
      <c r="AO147" s="381"/>
      <c r="AP147" s="326"/>
      <c r="AQ147" s="326"/>
      <c r="AR147" s="326"/>
      <c r="AS147" s="326"/>
      <c r="AT147" s="326"/>
      <c r="AU147" s="326"/>
      <c r="AV147" s="327"/>
      <c r="AW147" s="686"/>
      <c r="AX147" s="326"/>
      <c r="AY147" s="327"/>
      <c r="AZ147" s="381"/>
      <c r="BA147" s="326"/>
      <c r="BB147" s="326"/>
      <c r="BC147" s="326"/>
      <c r="BD147" s="326"/>
      <c r="BE147" s="326"/>
      <c r="BF147" s="326"/>
      <c r="BG147" s="326"/>
      <c r="BH147" s="326"/>
      <c r="BI147" s="326"/>
      <c r="BJ147" s="326"/>
      <c r="BK147" s="326"/>
      <c r="BL147" s="326"/>
      <c r="BM147" s="326"/>
      <c r="BN147" s="326"/>
      <c r="BO147" s="327"/>
    </row>
    <row r="148" spans="1:67" ht="34.5" customHeight="1" x14ac:dyDescent="0.25">
      <c r="A148" s="87">
        <f t="shared" si="0"/>
        <v>136</v>
      </c>
      <c r="B148" s="386" t="s">
        <v>334</v>
      </c>
      <c r="C148" s="327"/>
      <c r="D148" s="498"/>
      <c r="E148" s="326"/>
      <c r="F148" s="326"/>
      <c r="G148" s="326"/>
      <c r="H148" s="327"/>
      <c r="I148" s="407"/>
      <c r="J148" s="326"/>
      <c r="K148" s="326"/>
      <c r="L148" s="326"/>
      <c r="M148" s="326"/>
      <c r="N148" s="326"/>
      <c r="O148" s="326"/>
      <c r="P148" s="327"/>
      <c r="Q148" s="456"/>
      <c r="R148" s="326"/>
      <c r="S148" s="326"/>
      <c r="T148" s="326"/>
      <c r="U148" s="326"/>
      <c r="V148" s="326"/>
      <c r="W148" s="326"/>
      <c r="X148" s="327"/>
      <c r="Y148" s="407"/>
      <c r="Z148" s="327"/>
      <c r="AA148" s="456"/>
      <c r="AB148" s="326"/>
      <c r="AC148" s="326"/>
      <c r="AD148" s="327"/>
      <c r="AE148" s="407"/>
      <c r="AF148" s="326"/>
      <c r="AG148" s="327"/>
      <c r="AH148" s="456"/>
      <c r="AI148" s="326"/>
      <c r="AJ148" s="327"/>
      <c r="AK148" s="407"/>
      <c r="AL148" s="326"/>
      <c r="AM148" s="326"/>
      <c r="AN148" s="327"/>
      <c r="AO148" s="456"/>
      <c r="AP148" s="326"/>
      <c r="AQ148" s="326"/>
      <c r="AR148" s="326"/>
      <c r="AS148" s="326"/>
      <c r="AT148" s="326"/>
      <c r="AU148" s="326"/>
      <c r="AV148" s="327"/>
      <c r="AW148" s="685"/>
      <c r="AX148" s="326"/>
      <c r="AY148" s="327"/>
      <c r="AZ148" s="456"/>
      <c r="BA148" s="326"/>
      <c r="BB148" s="326"/>
      <c r="BC148" s="326"/>
      <c r="BD148" s="326"/>
      <c r="BE148" s="326"/>
      <c r="BF148" s="326"/>
      <c r="BG148" s="326"/>
      <c r="BH148" s="326"/>
      <c r="BI148" s="326"/>
      <c r="BJ148" s="326"/>
      <c r="BK148" s="326"/>
      <c r="BL148" s="326"/>
      <c r="BM148" s="326"/>
      <c r="BN148" s="326"/>
      <c r="BO148" s="327"/>
    </row>
    <row r="149" spans="1:67" ht="34.5" customHeight="1" x14ac:dyDescent="0.25">
      <c r="A149" s="87">
        <f t="shared" si="0"/>
        <v>137</v>
      </c>
      <c r="B149" s="386" t="s">
        <v>334</v>
      </c>
      <c r="C149" s="327"/>
      <c r="D149" s="687"/>
      <c r="E149" s="326"/>
      <c r="F149" s="326"/>
      <c r="G149" s="326"/>
      <c r="H149" s="327"/>
      <c r="I149" s="381"/>
      <c r="J149" s="326"/>
      <c r="K149" s="326"/>
      <c r="L149" s="326"/>
      <c r="M149" s="326"/>
      <c r="N149" s="326"/>
      <c r="O149" s="326"/>
      <c r="P149" s="327"/>
      <c r="Q149" s="381"/>
      <c r="R149" s="326"/>
      <c r="S149" s="326"/>
      <c r="T149" s="326"/>
      <c r="U149" s="326"/>
      <c r="V149" s="326"/>
      <c r="W149" s="326"/>
      <c r="X149" s="327"/>
      <c r="Y149" s="381"/>
      <c r="Z149" s="327"/>
      <c r="AA149" s="381"/>
      <c r="AB149" s="326"/>
      <c r="AC149" s="326"/>
      <c r="AD149" s="327"/>
      <c r="AE149" s="381"/>
      <c r="AF149" s="326"/>
      <c r="AG149" s="327"/>
      <c r="AH149" s="381"/>
      <c r="AI149" s="326"/>
      <c r="AJ149" s="327"/>
      <c r="AK149" s="381"/>
      <c r="AL149" s="326"/>
      <c r="AM149" s="326"/>
      <c r="AN149" s="327"/>
      <c r="AO149" s="381"/>
      <c r="AP149" s="326"/>
      <c r="AQ149" s="326"/>
      <c r="AR149" s="326"/>
      <c r="AS149" s="326"/>
      <c r="AT149" s="326"/>
      <c r="AU149" s="326"/>
      <c r="AV149" s="327"/>
      <c r="AW149" s="686"/>
      <c r="AX149" s="326"/>
      <c r="AY149" s="327"/>
      <c r="AZ149" s="381"/>
      <c r="BA149" s="326"/>
      <c r="BB149" s="326"/>
      <c r="BC149" s="326"/>
      <c r="BD149" s="326"/>
      <c r="BE149" s="326"/>
      <c r="BF149" s="326"/>
      <c r="BG149" s="326"/>
      <c r="BH149" s="326"/>
      <c r="BI149" s="326"/>
      <c r="BJ149" s="326"/>
      <c r="BK149" s="326"/>
      <c r="BL149" s="326"/>
      <c r="BM149" s="326"/>
      <c r="BN149" s="326"/>
      <c r="BO149" s="327"/>
    </row>
    <row r="150" spans="1:67" ht="34.5" customHeight="1" x14ac:dyDescent="0.25">
      <c r="A150" s="87">
        <f t="shared" si="0"/>
        <v>138</v>
      </c>
      <c r="B150" s="386" t="s">
        <v>334</v>
      </c>
      <c r="C150" s="327"/>
      <c r="D150" s="498"/>
      <c r="E150" s="326"/>
      <c r="F150" s="326"/>
      <c r="G150" s="326"/>
      <c r="H150" s="327"/>
      <c r="I150" s="407"/>
      <c r="J150" s="326"/>
      <c r="K150" s="326"/>
      <c r="L150" s="326"/>
      <c r="M150" s="326"/>
      <c r="N150" s="326"/>
      <c r="O150" s="326"/>
      <c r="P150" s="327"/>
      <c r="Q150" s="456"/>
      <c r="R150" s="326"/>
      <c r="S150" s="326"/>
      <c r="T150" s="326"/>
      <c r="U150" s="326"/>
      <c r="V150" s="326"/>
      <c r="W150" s="326"/>
      <c r="X150" s="327"/>
      <c r="Y150" s="407"/>
      <c r="Z150" s="327"/>
      <c r="AA150" s="456"/>
      <c r="AB150" s="326"/>
      <c r="AC150" s="326"/>
      <c r="AD150" s="327"/>
      <c r="AE150" s="407"/>
      <c r="AF150" s="326"/>
      <c r="AG150" s="327"/>
      <c r="AH150" s="456"/>
      <c r="AI150" s="326"/>
      <c r="AJ150" s="327"/>
      <c r="AK150" s="407"/>
      <c r="AL150" s="326"/>
      <c r="AM150" s="326"/>
      <c r="AN150" s="327"/>
      <c r="AO150" s="456"/>
      <c r="AP150" s="326"/>
      <c r="AQ150" s="326"/>
      <c r="AR150" s="326"/>
      <c r="AS150" s="326"/>
      <c r="AT150" s="326"/>
      <c r="AU150" s="326"/>
      <c r="AV150" s="327"/>
      <c r="AW150" s="685"/>
      <c r="AX150" s="326"/>
      <c r="AY150" s="327"/>
      <c r="AZ150" s="456"/>
      <c r="BA150" s="326"/>
      <c r="BB150" s="326"/>
      <c r="BC150" s="326"/>
      <c r="BD150" s="326"/>
      <c r="BE150" s="326"/>
      <c r="BF150" s="326"/>
      <c r="BG150" s="326"/>
      <c r="BH150" s="326"/>
      <c r="BI150" s="326"/>
      <c r="BJ150" s="326"/>
      <c r="BK150" s="326"/>
      <c r="BL150" s="326"/>
      <c r="BM150" s="326"/>
      <c r="BN150" s="326"/>
      <c r="BO150" s="327"/>
    </row>
    <row r="151" spans="1:67" ht="34.5" customHeight="1" x14ac:dyDescent="0.25">
      <c r="A151" s="87">
        <f t="shared" si="0"/>
        <v>139</v>
      </c>
      <c r="B151" s="386" t="s">
        <v>334</v>
      </c>
      <c r="C151" s="327"/>
      <c r="D151" s="687"/>
      <c r="E151" s="326"/>
      <c r="F151" s="326"/>
      <c r="G151" s="326"/>
      <c r="H151" s="327"/>
      <c r="I151" s="381"/>
      <c r="J151" s="326"/>
      <c r="K151" s="326"/>
      <c r="L151" s="326"/>
      <c r="M151" s="326"/>
      <c r="N151" s="326"/>
      <c r="O151" s="326"/>
      <c r="P151" s="327"/>
      <c r="Q151" s="381"/>
      <c r="R151" s="326"/>
      <c r="S151" s="326"/>
      <c r="T151" s="326"/>
      <c r="U151" s="326"/>
      <c r="V151" s="326"/>
      <c r="W151" s="326"/>
      <c r="X151" s="327"/>
      <c r="Y151" s="381"/>
      <c r="Z151" s="327"/>
      <c r="AA151" s="381"/>
      <c r="AB151" s="326"/>
      <c r="AC151" s="326"/>
      <c r="AD151" s="327"/>
      <c r="AE151" s="381"/>
      <c r="AF151" s="326"/>
      <c r="AG151" s="327"/>
      <c r="AH151" s="381"/>
      <c r="AI151" s="326"/>
      <c r="AJ151" s="327"/>
      <c r="AK151" s="381"/>
      <c r="AL151" s="326"/>
      <c r="AM151" s="326"/>
      <c r="AN151" s="327"/>
      <c r="AO151" s="381"/>
      <c r="AP151" s="326"/>
      <c r="AQ151" s="326"/>
      <c r="AR151" s="326"/>
      <c r="AS151" s="326"/>
      <c r="AT151" s="326"/>
      <c r="AU151" s="326"/>
      <c r="AV151" s="327"/>
      <c r="AW151" s="686"/>
      <c r="AX151" s="326"/>
      <c r="AY151" s="327"/>
      <c r="AZ151" s="381"/>
      <c r="BA151" s="326"/>
      <c r="BB151" s="326"/>
      <c r="BC151" s="326"/>
      <c r="BD151" s="326"/>
      <c r="BE151" s="326"/>
      <c r="BF151" s="326"/>
      <c r="BG151" s="326"/>
      <c r="BH151" s="326"/>
      <c r="BI151" s="326"/>
      <c r="BJ151" s="326"/>
      <c r="BK151" s="326"/>
      <c r="BL151" s="326"/>
      <c r="BM151" s="326"/>
      <c r="BN151" s="326"/>
      <c r="BO151" s="327"/>
    </row>
    <row r="152" spans="1:67" ht="34.5" customHeight="1" x14ac:dyDescent="0.25">
      <c r="A152" s="87">
        <f t="shared" si="0"/>
        <v>140</v>
      </c>
      <c r="B152" s="386" t="s">
        <v>334</v>
      </c>
      <c r="C152" s="327"/>
      <c r="D152" s="498"/>
      <c r="E152" s="326"/>
      <c r="F152" s="326"/>
      <c r="G152" s="326"/>
      <c r="H152" s="327"/>
      <c r="I152" s="407"/>
      <c r="J152" s="326"/>
      <c r="K152" s="326"/>
      <c r="L152" s="326"/>
      <c r="M152" s="326"/>
      <c r="N152" s="326"/>
      <c r="O152" s="326"/>
      <c r="P152" s="327"/>
      <c r="Q152" s="456"/>
      <c r="R152" s="326"/>
      <c r="S152" s="326"/>
      <c r="T152" s="326"/>
      <c r="U152" s="326"/>
      <c r="V152" s="326"/>
      <c r="W152" s="326"/>
      <c r="X152" s="327"/>
      <c r="Y152" s="407"/>
      <c r="Z152" s="327"/>
      <c r="AA152" s="456"/>
      <c r="AB152" s="326"/>
      <c r="AC152" s="326"/>
      <c r="AD152" s="327"/>
      <c r="AE152" s="407"/>
      <c r="AF152" s="326"/>
      <c r="AG152" s="327"/>
      <c r="AH152" s="456"/>
      <c r="AI152" s="326"/>
      <c r="AJ152" s="327"/>
      <c r="AK152" s="407"/>
      <c r="AL152" s="326"/>
      <c r="AM152" s="326"/>
      <c r="AN152" s="327"/>
      <c r="AO152" s="456"/>
      <c r="AP152" s="326"/>
      <c r="AQ152" s="326"/>
      <c r="AR152" s="326"/>
      <c r="AS152" s="326"/>
      <c r="AT152" s="326"/>
      <c r="AU152" s="326"/>
      <c r="AV152" s="327"/>
      <c r="AW152" s="685"/>
      <c r="AX152" s="326"/>
      <c r="AY152" s="327"/>
      <c r="AZ152" s="456"/>
      <c r="BA152" s="326"/>
      <c r="BB152" s="326"/>
      <c r="BC152" s="326"/>
      <c r="BD152" s="326"/>
      <c r="BE152" s="326"/>
      <c r="BF152" s="326"/>
      <c r="BG152" s="326"/>
      <c r="BH152" s="326"/>
      <c r="BI152" s="326"/>
      <c r="BJ152" s="326"/>
      <c r="BK152" s="326"/>
      <c r="BL152" s="326"/>
      <c r="BM152" s="326"/>
      <c r="BN152" s="326"/>
      <c r="BO152" s="327"/>
    </row>
    <row r="153" spans="1:67" ht="34.5" customHeight="1" x14ac:dyDescent="0.25">
      <c r="A153" s="87">
        <f t="shared" si="0"/>
        <v>141</v>
      </c>
      <c r="B153" s="386" t="s">
        <v>334</v>
      </c>
      <c r="C153" s="327"/>
      <c r="D153" s="687"/>
      <c r="E153" s="326"/>
      <c r="F153" s="326"/>
      <c r="G153" s="326"/>
      <c r="H153" s="327"/>
      <c r="I153" s="381"/>
      <c r="J153" s="326"/>
      <c r="K153" s="326"/>
      <c r="L153" s="326"/>
      <c r="M153" s="326"/>
      <c r="N153" s="326"/>
      <c r="O153" s="326"/>
      <c r="P153" s="327"/>
      <c r="Q153" s="381"/>
      <c r="R153" s="326"/>
      <c r="S153" s="326"/>
      <c r="T153" s="326"/>
      <c r="U153" s="326"/>
      <c r="V153" s="326"/>
      <c r="W153" s="326"/>
      <c r="X153" s="327"/>
      <c r="Y153" s="381"/>
      <c r="Z153" s="327"/>
      <c r="AA153" s="381"/>
      <c r="AB153" s="326"/>
      <c r="AC153" s="326"/>
      <c r="AD153" s="327"/>
      <c r="AE153" s="381"/>
      <c r="AF153" s="326"/>
      <c r="AG153" s="327"/>
      <c r="AH153" s="381"/>
      <c r="AI153" s="326"/>
      <c r="AJ153" s="327"/>
      <c r="AK153" s="381"/>
      <c r="AL153" s="326"/>
      <c r="AM153" s="326"/>
      <c r="AN153" s="327"/>
      <c r="AO153" s="381"/>
      <c r="AP153" s="326"/>
      <c r="AQ153" s="326"/>
      <c r="AR153" s="326"/>
      <c r="AS153" s="326"/>
      <c r="AT153" s="326"/>
      <c r="AU153" s="326"/>
      <c r="AV153" s="327"/>
      <c r="AW153" s="686"/>
      <c r="AX153" s="326"/>
      <c r="AY153" s="327"/>
      <c r="AZ153" s="381"/>
      <c r="BA153" s="326"/>
      <c r="BB153" s="326"/>
      <c r="BC153" s="326"/>
      <c r="BD153" s="326"/>
      <c r="BE153" s="326"/>
      <c r="BF153" s="326"/>
      <c r="BG153" s="326"/>
      <c r="BH153" s="326"/>
      <c r="BI153" s="326"/>
      <c r="BJ153" s="326"/>
      <c r="BK153" s="326"/>
      <c r="BL153" s="326"/>
      <c r="BM153" s="326"/>
      <c r="BN153" s="326"/>
      <c r="BO153" s="327"/>
    </row>
    <row r="154" spans="1:67" ht="34.5" customHeight="1" x14ac:dyDescent="0.25">
      <c r="A154" s="87">
        <f t="shared" si="0"/>
        <v>142</v>
      </c>
      <c r="B154" s="386" t="s">
        <v>334</v>
      </c>
      <c r="C154" s="327"/>
      <c r="D154" s="498"/>
      <c r="E154" s="326"/>
      <c r="F154" s="326"/>
      <c r="G154" s="326"/>
      <c r="H154" s="327"/>
      <c r="I154" s="407"/>
      <c r="J154" s="326"/>
      <c r="K154" s="326"/>
      <c r="L154" s="326"/>
      <c r="M154" s="326"/>
      <c r="N154" s="326"/>
      <c r="O154" s="326"/>
      <c r="P154" s="327"/>
      <c r="Q154" s="456"/>
      <c r="R154" s="326"/>
      <c r="S154" s="326"/>
      <c r="T154" s="326"/>
      <c r="U154" s="326"/>
      <c r="V154" s="326"/>
      <c r="W154" s="326"/>
      <c r="X154" s="327"/>
      <c r="Y154" s="407"/>
      <c r="Z154" s="327"/>
      <c r="AA154" s="456"/>
      <c r="AB154" s="326"/>
      <c r="AC154" s="326"/>
      <c r="AD154" s="327"/>
      <c r="AE154" s="407"/>
      <c r="AF154" s="326"/>
      <c r="AG154" s="327"/>
      <c r="AH154" s="456"/>
      <c r="AI154" s="326"/>
      <c r="AJ154" s="327"/>
      <c r="AK154" s="407"/>
      <c r="AL154" s="326"/>
      <c r="AM154" s="326"/>
      <c r="AN154" s="327"/>
      <c r="AO154" s="456"/>
      <c r="AP154" s="326"/>
      <c r="AQ154" s="326"/>
      <c r="AR154" s="326"/>
      <c r="AS154" s="326"/>
      <c r="AT154" s="326"/>
      <c r="AU154" s="326"/>
      <c r="AV154" s="327"/>
      <c r="AW154" s="685"/>
      <c r="AX154" s="326"/>
      <c r="AY154" s="327"/>
      <c r="AZ154" s="456"/>
      <c r="BA154" s="326"/>
      <c r="BB154" s="326"/>
      <c r="BC154" s="326"/>
      <c r="BD154" s="326"/>
      <c r="BE154" s="326"/>
      <c r="BF154" s="326"/>
      <c r="BG154" s="326"/>
      <c r="BH154" s="326"/>
      <c r="BI154" s="326"/>
      <c r="BJ154" s="326"/>
      <c r="BK154" s="326"/>
      <c r="BL154" s="326"/>
      <c r="BM154" s="326"/>
      <c r="BN154" s="326"/>
      <c r="BO154" s="327"/>
    </row>
    <row r="155" spans="1:67" ht="34.5" customHeight="1" x14ac:dyDescent="0.25">
      <c r="A155" s="87">
        <f t="shared" si="0"/>
        <v>143</v>
      </c>
      <c r="B155" s="386" t="s">
        <v>334</v>
      </c>
      <c r="C155" s="327"/>
      <c r="D155" s="687"/>
      <c r="E155" s="326"/>
      <c r="F155" s="326"/>
      <c r="G155" s="326"/>
      <c r="H155" s="327"/>
      <c r="I155" s="381"/>
      <c r="J155" s="326"/>
      <c r="K155" s="326"/>
      <c r="L155" s="326"/>
      <c r="M155" s="326"/>
      <c r="N155" s="326"/>
      <c r="O155" s="326"/>
      <c r="P155" s="327"/>
      <c r="Q155" s="381"/>
      <c r="R155" s="326"/>
      <c r="S155" s="326"/>
      <c r="T155" s="326"/>
      <c r="U155" s="326"/>
      <c r="V155" s="326"/>
      <c r="W155" s="326"/>
      <c r="X155" s="327"/>
      <c r="Y155" s="381"/>
      <c r="Z155" s="327"/>
      <c r="AA155" s="381"/>
      <c r="AB155" s="326"/>
      <c r="AC155" s="326"/>
      <c r="AD155" s="327"/>
      <c r="AE155" s="381"/>
      <c r="AF155" s="326"/>
      <c r="AG155" s="327"/>
      <c r="AH155" s="381"/>
      <c r="AI155" s="326"/>
      <c r="AJ155" s="327"/>
      <c r="AK155" s="381"/>
      <c r="AL155" s="326"/>
      <c r="AM155" s="326"/>
      <c r="AN155" s="327"/>
      <c r="AO155" s="381"/>
      <c r="AP155" s="326"/>
      <c r="AQ155" s="326"/>
      <c r="AR155" s="326"/>
      <c r="AS155" s="326"/>
      <c r="AT155" s="326"/>
      <c r="AU155" s="326"/>
      <c r="AV155" s="327"/>
      <c r="AW155" s="686"/>
      <c r="AX155" s="326"/>
      <c r="AY155" s="327"/>
      <c r="AZ155" s="381"/>
      <c r="BA155" s="326"/>
      <c r="BB155" s="326"/>
      <c r="BC155" s="326"/>
      <c r="BD155" s="326"/>
      <c r="BE155" s="326"/>
      <c r="BF155" s="326"/>
      <c r="BG155" s="326"/>
      <c r="BH155" s="326"/>
      <c r="BI155" s="326"/>
      <c r="BJ155" s="326"/>
      <c r="BK155" s="326"/>
      <c r="BL155" s="326"/>
      <c r="BM155" s="326"/>
      <c r="BN155" s="326"/>
      <c r="BO155" s="327"/>
    </row>
    <row r="156" spans="1:67" ht="34.5" customHeight="1" x14ac:dyDescent="0.25">
      <c r="A156" s="87">
        <f t="shared" si="0"/>
        <v>144</v>
      </c>
      <c r="B156" s="386" t="s">
        <v>334</v>
      </c>
      <c r="C156" s="327"/>
      <c r="D156" s="498"/>
      <c r="E156" s="326"/>
      <c r="F156" s="326"/>
      <c r="G156" s="326"/>
      <c r="H156" s="327"/>
      <c r="I156" s="407"/>
      <c r="J156" s="326"/>
      <c r="K156" s="326"/>
      <c r="L156" s="326"/>
      <c r="M156" s="326"/>
      <c r="N156" s="326"/>
      <c r="O156" s="326"/>
      <c r="P156" s="327"/>
      <c r="Q156" s="456"/>
      <c r="R156" s="326"/>
      <c r="S156" s="326"/>
      <c r="T156" s="326"/>
      <c r="U156" s="326"/>
      <c r="V156" s="326"/>
      <c r="W156" s="326"/>
      <c r="X156" s="327"/>
      <c r="Y156" s="407"/>
      <c r="Z156" s="327"/>
      <c r="AA156" s="456"/>
      <c r="AB156" s="326"/>
      <c r="AC156" s="326"/>
      <c r="AD156" s="327"/>
      <c r="AE156" s="407"/>
      <c r="AF156" s="326"/>
      <c r="AG156" s="327"/>
      <c r="AH156" s="456"/>
      <c r="AI156" s="326"/>
      <c r="AJ156" s="327"/>
      <c r="AK156" s="407"/>
      <c r="AL156" s="326"/>
      <c r="AM156" s="326"/>
      <c r="AN156" s="327"/>
      <c r="AO156" s="456"/>
      <c r="AP156" s="326"/>
      <c r="AQ156" s="326"/>
      <c r="AR156" s="326"/>
      <c r="AS156" s="326"/>
      <c r="AT156" s="326"/>
      <c r="AU156" s="326"/>
      <c r="AV156" s="327"/>
      <c r="AW156" s="685"/>
      <c r="AX156" s="326"/>
      <c r="AY156" s="327"/>
      <c r="AZ156" s="456"/>
      <c r="BA156" s="326"/>
      <c r="BB156" s="326"/>
      <c r="BC156" s="326"/>
      <c r="BD156" s="326"/>
      <c r="BE156" s="326"/>
      <c r="BF156" s="326"/>
      <c r="BG156" s="326"/>
      <c r="BH156" s="326"/>
      <c r="BI156" s="326"/>
      <c r="BJ156" s="326"/>
      <c r="BK156" s="326"/>
      <c r="BL156" s="326"/>
      <c r="BM156" s="326"/>
      <c r="BN156" s="326"/>
      <c r="BO156" s="327"/>
    </row>
    <row r="157" spans="1:67" ht="34.5" customHeight="1" x14ac:dyDescent="0.25">
      <c r="A157" s="87">
        <f t="shared" si="0"/>
        <v>145</v>
      </c>
      <c r="B157" s="386" t="s">
        <v>334</v>
      </c>
      <c r="C157" s="327"/>
      <c r="D157" s="687"/>
      <c r="E157" s="326"/>
      <c r="F157" s="326"/>
      <c r="G157" s="326"/>
      <c r="H157" s="327"/>
      <c r="I157" s="381"/>
      <c r="J157" s="326"/>
      <c r="K157" s="326"/>
      <c r="L157" s="326"/>
      <c r="M157" s="326"/>
      <c r="N157" s="326"/>
      <c r="O157" s="326"/>
      <c r="P157" s="327"/>
      <c r="Q157" s="381"/>
      <c r="R157" s="326"/>
      <c r="S157" s="326"/>
      <c r="T157" s="326"/>
      <c r="U157" s="326"/>
      <c r="V157" s="326"/>
      <c r="W157" s="326"/>
      <c r="X157" s="327"/>
      <c r="Y157" s="381"/>
      <c r="Z157" s="327"/>
      <c r="AA157" s="381"/>
      <c r="AB157" s="326"/>
      <c r="AC157" s="326"/>
      <c r="AD157" s="327"/>
      <c r="AE157" s="381"/>
      <c r="AF157" s="326"/>
      <c r="AG157" s="327"/>
      <c r="AH157" s="381"/>
      <c r="AI157" s="326"/>
      <c r="AJ157" s="327"/>
      <c r="AK157" s="381"/>
      <c r="AL157" s="326"/>
      <c r="AM157" s="326"/>
      <c r="AN157" s="327"/>
      <c r="AO157" s="381"/>
      <c r="AP157" s="326"/>
      <c r="AQ157" s="326"/>
      <c r="AR157" s="326"/>
      <c r="AS157" s="326"/>
      <c r="AT157" s="326"/>
      <c r="AU157" s="326"/>
      <c r="AV157" s="327"/>
      <c r="AW157" s="686"/>
      <c r="AX157" s="326"/>
      <c r="AY157" s="327"/>
      <c r="AZ157" s="381"/>
      <c r="BA157" s="326"/>
      <c r="BB157" s="326"/>
      <c r="BC157" s="326"/>
      <c r="BD157" s="326"/>
      <c r="BE157" s="326"/>
      <c r="BF157" s="326"/>
      <c r="BG157" s="326"/>
      <c r="BH157" s="326"/>
      <c r="BI157" s="326"/>
      <c r="BJ157" s="326"/>
      <c r="BK157" s="326"/>
      <c r="BL157" s="326"/>
      <c r="BM157" s="326"/>
      <c r="BN157" s="326"/>
      <c r="BO157" s="327"/>
    </row>
    <row r="158" spans="1:67" ht="34.5" customHeight="1" x14ac:dyDescent="0.25">
      <c r="A158" s="87">
        <f t="shared" si="0"/>
        <v>146</v>
      </c>
      <c r="B158" s="688" t="s">
        <v>334</v>
      </c>
      <c r="C158" s="327"/>
      <c r="D158" s="498"/>
      <c r="E158" s="326"/>
      <c r="F158" s="326"/>
      <c r="G158" s="326"/>
      <c r="H158" s="327"/>
      <c r="I158" s="407"/>
      <c r="J158" s="326"/>
      <c r="K158" s="326"/>
      <c r="L158" s="326"/>
      <c r="M158" s="326"/>
      <c r="N158" s="326"/>
      <c r="O158" s="326"/>
      <c r="P158" s="327"/>
      <c r="Q158" s="456"/>
      <c r="R158" s="326"/>
      <c r="S158" s="326"/>
      <c r="T158" s="326"/>
      <c r="U158" s="326"/>
      <c r="V158" s="326"/>
      <c r="W158" s="326"/>
      <c r="X158" s="327"/>
      <c r="Y158" s="407"/>
      <c r="Z158" s="327"/>
      <c r="AA158" s="456"/>
      <c r="AB158" s="326"/>
      <c r="AC158" s="326"/>
      <c r="AD158" s="327"/>
      <c r="AE158" s="407"/>
      <c r="AF158" s="326"/>
      <c r="AG158" s="327"/>
      <c r="AH158" s="456"/>
      <c r="AI158" s="326"/>
      <c r="AJ158" s="327"/>
      <c r="AK158" s="407"/>
      <c r="AL158" s="326"/>
      <c r="AM158" s="326"/>
      <c r="AN158" s="327"/>
      <c r="AO158" s="456"/>
      <c r="AP158" s="326"/>
      <c r="AQ158" s="326"/>
      <c r="AR158" s="326"/>
      <c r="AS158" s="326"/>
      <c r="AT158" s="326"/>
      <c r="AU158" s="326"/>
      <c r="AV158" s="327"/>
      <c r="AW158" s="685"/>
      <c r="AX158" s="326"/>
      <c r="AY158" s="327"/>
      <c r="AZ158" s="456"/>
      <c r="BA158" s="326"/>
      <c r="BB158" s="326"/>
      <c r="BC158" s="326"/>
      <c r="BD158" s="326"/>
      <c r="BE158" s="326"/>
      <c r="BF158" s="326"/>
      <c r="BG158" s="326"/>
      <c r="BH158" s="326"/>
      <c r="BI158" s="326"/>
      <c r="BJ158" s="326"/>
      <c r="BK158" s="326"/>
      <c r="BL158" s="326"/>
      <c r="BM158" s="326"/>
      <c r="BN158" s="326"/>
      <c r="BO158" s="327"/>
    </row>
    <row r="159" spans="1:67" ht="34.5" customHeight="1" x14ac:dyDescent="0.25">
      <c r="A159" s="87">
        <f t="shared" si="0"/>
        <v>147</v>
      </c>
      <c r="B159" s="386" t="s">
        <v>334</v>
      </c>
      <c r="C159" s="327"/>
      <c r="D159" s="687"/>
      <c r="E159" s="326"/>
      <c r="F159" s="326"/>
      <c r="G159" s="326"/>
      <c r="H159" s="327"/>
      <c r="I159" s="381"/>
      <c r="J159" s="326"/>
      <c r="K159" s="326"/>
      <c r="L159" s="326"/>
      <c r="M159" s="326"/>
      <c r="N159" s="326"/>
      <c r="O159" s="326"/>
      <c r="P159" s="327"/>
      <c r="Q159" s="381"/>
      <c r="R159" s="326"/>
      <c r="S159" s="326"/>
      <c r="T159" s="326"/>
      <c r="U159" s="326"/>
      <c r="V159" s="326"/>
      <c r="W159" s="326"/>
      <c r="X159" s="327"/>
      <c r="Y159" s="381"/>
      <c r="Z159" s="327"/>
      <c r="AA159" s="381"/>
      <c r="AB159" s="326"/>
      <c r="AC159" s="326"/>
      <c r="AD159" s="327"/>
      <c r="AE159" s="381"/>
      <c r="AF159" s="326"/>
      <c r="AG159" s="327"/>
      <c r="AH159" s="381"/>
      <c r="AI159" s="326"/>
      <c r="AJ159" s="327"/>
      <c r="AK159" s="381"/>
      <c r="AL159" s="326"/>
      <c r="AM159" s="326"/>
      <c r="AN159" s="327"/>
      <c r="AO159" s="381"/>
      <c r="AP159" s="326"/>
      <c r="AQ159" s="326"/>
      <c r="AR159" s="326"/>
      <c r="AS159" s="326"/>
      <c r="AT159" s="326"/>
      <c r="AU159" s="326"/>
      <c r="AV159" s="327"/>
      <c r="AW159" s="686"/>
      <c r="AX159" s="326"/>
      <c r="AY159" s="327"/>
      <c r="AZ159" s="381"/>
      <c r="BA159" s="326"/>
      <c r="BB159" s="326"/>
      <c r="BC159" s="326"/>
      <c r="BD159" s="326"/>
      <c r="BE159" s="326"/>
      <c r="BF159" s="326"/>
      <c r="BG159" s="326"/>
      <c r="BH159" s="326"/>
      <c r="BI159" s="326"/>
      <c r="BJ159" s="326"/>
      <c r="BK159" s="326"/>
      <c r="BL159" s="326"/>
      <c r="BM159" s="326"/>
      <c r="BN159" s="326"/>
      <c r="BO159" s="327"/>
    </row>
    <row r="160" spans="1:67" ht="34.5" customHeight="1" x14ac:dyDescent="0.25">
      <c r="A160" s="87">
        <f t="shared" si="0"/>
        <v>148</v>
      </c>
      <c r="B160" s="386" t="s">
        <v>334</v>
      </c>
      <c r="C160" s="327"/>
      <c r="D160" s="498"/>
      <c r="E160" s="326"/>
      <c r="F160" s="326"/>
      <c r="G160" s="326"/>
      <c r="H160" s="327"/>
      <c r="I160" s="407"/>
      <c r="J160" s="326"/>
      <c r="K160" s="326"/>
      <c r="L160" s="326"/>
      <c r="M160" s="326"/>
      <c r="N160" s="326"/>
      <c r="O160" s="326"/>
      <c r="P160" s="327"/>
      <c r="Q160" s="456"/>
      <c r="R160" s="326"/>
      <c r="S160" s="326"/>
      <c r="T160" s="326"/>
      <c r="U160" s="326"/>
      <c r="V160" s="326"/>
      <c r="W160" s="326"/>
      <c r="X160" s="327"/>
      <c r="Y160" s="407"/>
      <c r="Z160" s="327"/>
      <c r="AA160" s="456"/>
      <c r="AB160" s="326"/>
      <c r="AC160" s="326"/>
      <c r="AD160" s="327"/>
      <c r="AE160" s="407"/>
      <c r="AF160" s="326"/>
      <c r="AG160" s="327"/>
      <c r="AH160" s="456"/>
      <c r="AI160" s="326"/>
      <c r="AJ160" s="327"/>
      <c r="AK160" s="407"/>
      <c r="AL160" s="326"/>
      <c r="AM160" s="326"/>
      <c r="AN160" s="327"/>
      <c r="AO160" s="456"/>
      <c r="AP160" s="326"/>
      <c r="AQ160" s="326"/>
      <c r="AR160" s="326"/>
      <c r="AS160" s="326"/>
      <c r="AT160" s="326"/>
      <c r="AU160" s="326"/>
      <c r="AV160" s="327"/>
      <c r="AW160" s="685"/>
      <c r="AX160" s="326"/>
      <c r="AY160" s="327"/>
      <c r="AZ160" s="456"/>
      <c r="BA160" s="326"/>
      <c r="BB160" s="326"/>
      <c r="BC160" s="326"/>
      <c r="BD160" s="326"/>
      <c r="BE160" s="326"/>
      <c r="BF160" s="326"/>
      <c r="BG160" s="326"/>
      <c r="BH160" s="326"/>
      <c r="BI160" s="326"/>
      <c r="BJ160" s="326"/>
      <c r="BK160" s="326"/>
      <c r="BL160" s="326"/>
      <c r="BM160" s="326"/>
      <c r="BN160" s="326"/>
      <c r="BO160" s="327"/>
    </row>
    <row r="161" spans="1:67" ht="34.5" customHeight="1" x14ac:dyDescent="0.25">
      <c r="A161" s="87">
        <f t="shared" si="0"/>
        <v>149</v>
      </c>
      <c r="B161" s="386" t="s">
        <v>334</v>
      </c>
      <c r="C161" s="327"/>
      <c r="D161" s="687"/>
      <c r="E161" s="326"/>
      <c r="F161" s="326"/>
      <c r="G161" s="326"/>
      <c r="H161" s="327"/>
      <c r="I161" s="381"/>
      <c r="J161" s="326"/>
      <c r="K161" s="326"/>
      <c r="L161" s="326"/>
      <c r="M161" s="326"/>
      <c r="N161" s="326"/>
      <c r="O161" s="326"/>
      <c r="P161" s="327"/>
      <c r="Q161" s="381"/>
      <c r="R161" s="326"/>
      <c r="S161" s="326"/>
      <c r="T161" s="326"/>
      <c r="U161" s="326"/>
      <c r="V161" s="326"/>
      <c r="W161" s="326"/>
      <c r="X161" s="327"/>
      <c r="Y161" s="381"/>
      <c r="Z161" s="327"/>
      <c r="AA161" s="381"/>
      <c r="AB161" s="326"/>
      <c r="AC161" s="326"/>
      <c r="AD161" s="327"/>
      <c r="AE161" s="381"/>
      <c r="AF161" s="326"/>
      <c r="AG161" s="327"/>
      <c r="AH161" s="381"/>
      <c r="AI161" s="326"/>
      <c r="AJ161" s="327"/>
      <c r="AK161" s="381"/>
      <c r="AL161" s="326"/>
      <c r="AM161" s="326"/>
      <c r="AN161" s="327"/>
      <c r="AO161" s="381"/>
      <c r="AP161" s="326"/>
      <c r="AQ161" s="326"/>
      <c r="AR161" s="326"/>
      <c r="AS161" s="326"/>
      <c r="AT161" s="326"/>
      <c r="AU161" s="326"/>
      <c r="AV161" s="327"/>
      <c r="AW161" s="686"/>
      <c r="AX161" s="326"/>
      <c r="AY161" s="327"/>
      <c r="AZ161" s="381"/>
      <c r="BA161" s="326"/>
      <c r="BB161" s="326"/>
      <c r="BC161" s="326"/>
      <c r="BD161" s="326"/>
      <c r="BE161" s="326"/>
      <c r="BF161" s="326"/>
      <c r="BG161" s="326"/>
      <c r="BH161" s="326"/>
      <c r="BI161" s="326"/>
      <c r="BJ161" s="326"/>
      <c r="BK161" s="326"/>
      <c r="BL161" s="326"/>
      <c r="BM161" s="326"/>
      <c r="BN161" s="326"/>
      <c r="BO161" s="327"/>
    </row>
    <row r="162" spans="1:67" ht="34.5" customHeight="1" x14ac:dyDescent="0.25">
      <c r="A162" s="87">
        <f t="shared" si="0"/>
        <v>150</v>
      </c>
      <c r="B162" s="386" t="s">
        <v>334</v>
      </c>
      <c r="C162" s="327"/>
      <c r="D162" s="498"/>
      <c r="E162" s="326"/>
      <c r="F162" s="326"/>
      <c r="G162" s="326"/>
      <c r="H162" s="327"/>
      <c r="I162" s="407"/>
      <c r="J162" s="326"/>
      <c r="K162" s="326"/>
      <c r="L162" s="326"/>
      <c r="M162" s="326"/>
      <c r="N162" s="326"/>
      <c r="O162" s="326"/>
      <c r="P162" s="327"/>
      <c r="Q162" s="456"/>
      <c r="R162" s="326"/>
      <c r="S162" s="326"/>
      <c r="T162" s="326"/>
      <c r="U162" s="326"/>
      <c r="V162" s="326"/>
      <c r="W162" s="326"/>
      <c r="X162" s="327"/>
      <c r="Y162" s="407"/>
      <c r="Z162" s="327"/>
      <c r="AA162" s="456"/>
      <c r="AB162" s="326"/>
      <c r="AC162" s="326"/>
      <c r="AD162" s="327"/>
      <c r="AE162" s="407"/>
      <c r="AF162" s="326"/>
      <c r="AG162" s="327"/>
      <c r="AH162" s="456"/>
      <c r="AI162" s="326"/>
      <c r="AJ162" s="327"/>
      <c r="AK162" s="407"/>
      <c r="AL162" s="326"/>
      <c r="AM162" s="326"/>
      <c r="AN162" s="327"/>
      <c r="AO162" s="456"/>
      <c r="AP162" s="326"/>
      <c r="AQ162" s="326"/>
      <c r="AR162" s="326"/>
      <c r="AS162" s="326"/>
      <c r="AT162" s="326"/>
      <c r="AU162" s="326"/>
      <c r="AV162" s="327"/>
      <c r="AW162" s="685"/>
      <c r="AX162" s="326"/>
      <c r="AY162" s="327"/>
      <c r="AZ162" s="456"/>
      <c r="BA162" s="326"/>
      <c r="BB162" s="326"/>
      <c r="BC162" s="326"/>
      <c r="BD162" s="326"/>
      <c r="BE162" s="326"/>
      <c r="BF162" s="326"/>
      <c r="BG162" s="326"/>
      <c r="BH162" s="326"/>
      <c r="BI162" s="326"/>
      <c r="BJ162" s="326"/>
      <c r="BK162" s="326"/>
      <c r="BL162" s="326"/>
      <c r="BM162" s="326"/>
      <c r="BN162" s="326"/>
      <c r="BO162" s="327"/>
    </row>
    <row r="163" spans="1:67" ht="34.5" customHeight="1" x14ac:dyDescent="0.25">
      <c r="A163" s="87">
        <f t="shared" si="0"/>
        <v>151</v>
      </c>
      <c r="B163" s="386" t="s">
        <v>334</v>
      </c>
      <c r="C163" s="327"/>
      <c r="D163" s="687"/>
      <c r="E163" s="326"/>
      <c r="F163" s="326"/>
      <c r="G163" s="326"/>
      <c r="H163" s="327"/>
      <c r="I163" s="381"/>
      <c r="J163" s="326"/>
      <c r="K163" s="326"/>
      <c r="L163" s="326"/>
      <c r="M163" s="326"/>
      <c r="N163" s="326"/>
      <c r="O163" s="326"/>
      <c r="P163" s="327"/>
      <c r="Q163" s="381"/>
      <c r="R163" s="326"/>
      <c r="S163" s="326"/>
      <c r="T163" s="326"/>
      <c r="U163" s="326"/>
      <c r="V163" s="326"/>
      <c r="W163" s="326"/>
      <c r="X163" s="327"/>
      <c r="Y163" s="381"/>
      <c r="Z163" s="327"/>
      <c r="AA163" s="381"/>
      <c r="AB163" s="326"/>
      <c r="AC163" s="326"/>
      <c r="AD163" s="327"/>
      <c r="AE163" s="381"/>
      <c r="AF163" s="326"/>
      <c r="AG163" s="327"/>
      <c r="AH163" s="381"/>
      <c r="AI163" s="326"/>
      <c r="AJ163" s="327"/>
      <c r="AK163" s="381"/>
      <c r="AL163" s="326"/>
      <c r="AM163" s="326"/>
      <c r="AN163" s="327"/>
      <c r="AO163" s="381"/>
      <c r="AP163" s="326"/>
      <c r="AQ163" s="326"/>
      <c r="AR163" s="326"/>
      <c r="AS163" s="326"/>
      <c r="AT163" s="326"/>
      <c r="AU163" s="326"/>
      <c r="AV163" s="327"/>
      <c r="AW163" s="686"/>
      <c r="AX163" s="326"/>
      <c r="AY163" s="327"/>
      <c r="AZ163" s="381"/>
      <c r="BA163" s="326"/>
      <c r="BB163" s="326"/>
      <c r="BC163" s="326"/>
      <c r="BD163" s="326"/>
      <c r="BE163" s="326"/>
      <c r="BF163" s="326"/>
      <c r="BG163" s="326"/>
      <c r="BH163" s="326"/>
      <c r="BI163" s="326"/>
      <c r="BJ163" s="326"/>
      <c r="BK163" s="326"/>
      <c r="BL163" s="326"/>
      <c r="BM163" s="326"/>
      <c r="BN163" s="326"/>
      <c r="BO163" s="327"/>
    </row>
    <row r="164" spans="1:67" ht="34.5" customHeight="1" x14ac:dyDescent="0.25">
      <c r="A164" s="87">
        <f t="shared" si="0"/>
        <v>152</v>
      </c>
      <c r="B164" s="386" t="s">
        <v>334</v>
      </c>
      <c r="C164" s="327"/>
      <c r="D164" s="498"/>
      <c r="E164" s="326"/>
      <c r="F164" s="326"/>
      <c r="G164" s="326"/>
      <c r="H164" s="327"/>
      <c r="I164" s="407"/>
      <c r="J164" s="326"/>
      <c r="K164" s="326"/>
      <c r="L164" s="326"/>
      <c r="M164" s="326"/>
      <c r="N164" s="326"/>
      <c r="O164" s="326"/>
      <c r="P164" s="327"/>
      <c r="Q164" s="456"/>
      <c r="R164" s="326"/>
      <c r="S164" s="326"/>
      <c r="T164" s="326"/>
      <c r="U164" s="326"/>
      <c r="V164" s="326"/>
      <c r="W164" s="326"/>
      <c r="X164" s="327"/>
      <c r="Y164" s="407"/>
      <c r="Z164" s="327"/>
      <c r="AA164" s="456"/>
      <c r="AB164" s="326"/>
      <c r="AC164" s="326"/>
      <c r="AD164" s="327"/>
      <c r="AE164" s="407"/>
      <c r="AF164" s="326"/>
      <c r="AG164" s="327"/>
      <c r="AH164" s="456"/>
      <c r="AI164" s="326"/>
      <c r="AJ164" s="327"/>
      <c r="AK164" s="407"/>
      <c r="AL164" s="326"/>
      <c r="AM164" s="326"/>
      <c r="AN164" s="327"/>
      <c r="AO164" s="456"/>
      <c r="AP164" s="326"/>
      <c r="AQ164" s="326"/>
      <c r="AR164" s="326"/>
      <c r="AS164" s="326"/>
      <c r="AT164" s="326"/>
      <c r="AU164" s="326"/>
      <c r="AV164" s="327"/>
      <c r="AW164" s="685"/>
      <c r="AX164" s="326"/>
      <c r="AY164" s="327"/>
      <c r="AZ164" s="456"/>
      <c r="BA164" s="326"/>
      <c r="BB164" s="326"/>
      <c r="BC164" s="326"/>
      <c r="BD164" s="326"/>
      <c r="BE164" s="326"/>
      <c r="BF164" s="326"/>
      <c r="BG164" s="326"/>
      <c r="BH164" s="326"/>
      <c r="BI164" s="326"/>
      <c r="BJ164" s="326"/>
      <c r="BK164" s="326"/>
      <c r="BL164" s="326"/>
      <c r="BM164" s="326"/>
      <c r="BN164" s="326"/>
      <c r="BO164" s="327"/>
    </row>
    <row r="165" spans="1:67" ht="34.5" customHeight="1" x14ac:dyDescent="0.25">
      <c r="A165" s="87">
        <f t="shared" si="0"/>
        <v>153</v>
      </c>
      <c r="B165" s="386" t="s">
        <v>334</v>
      </c>
      <c r="C165" s="327"/>
      <c r="D165" s="687"/>
      <c r="E165" s="326"/>
      <c r="F165" s="326"/>
      <c r="G165" s="326"/>
      <c r="H165" s="327"/>
      <c r="I165" s="381"/>
      <c r="J165" s="326"/>
      <c r="K165" s="326"/>
      <c r="L165" s="326"/>
      <c r="M165" s="326"/>
      <c r="N165" s="326"/>
      <c r="O165" s="326"/>
      <c r="P165" s="327"/>
      <c r="Q165" s="381"/>
      <c r="R165" s="326"/>
      <c r="S165" s="326"/>
      <c r="T165" s="326"/>
      <c r="U165" s="326"/>
      <c r="V165" s="326"/>
      <c r="W165" s="326"/>
      <c r="X165" s="327"/>
      <c r="Y165" s="381"/>
      <c r="Z165" s="327"/>
      <c r="AA165" s="381"/>
      <c r="AB165" s="326"/>
      <c r="AC165" s="326"/>
      <c r="AD165" s="327"/>
      <c r="AE165" s="381"/>
      <c r="AF165" s="326"/>
      <c r="AG165" s="327"/>
      <c r="AH165" s="381"/>
      <c r="AI165" s="326"/>
      <c r="AJ165" s="327"/>
      <c r="AK165" s="381"/>
      <c r="AL165" s="326"/>
      <c r="AM165" s="326"/>
      <c r="AN165" s="327"/>
      <c r="AO165" s="381"/>
      <c r="AP165" s="326"/>
      <c r="AQ165" s="326"/>
      <c r="AR165" s="326"/>
      <c r="AS165" s="326"/>
      <c r="AT165" s="326"/>
      <c r="AU165" s="326"/>
      <c r="AV165" s="327"/>
      <c r="AW165" s="686"/>
      <c r="AX165" s="326"/>
      <c r="AY165" s="327"/>
      <c r="AZ165" s="381"/>
      <c r="BA165" s="326"/>
      <c r="BB165" s="326"/>
      <c r="BC165" s="326"/>
      <c r="BD165" s="326"/>
      <c r="BE165" s="326"/>
      <c r="BF165" s="326"/>
      <c r="BG165" s="326"/>
      <c r="BH165" s="326"/>
      <c r="BI165" s="326"/>
      <c r="BJ165" s="326"/>
      <c r="BK165" s="326"/>
      <c r="BL165" s="326"/>
      <c r="BM165" s="326"/>
      <c r="BN165" s="326"/>
      <c r="BO165" s="327"/>
    </row>
    <row r="166" spans="1:67" ht="34.5" customHeight="1" x14ac:dyDescent="0.25">
      <c r="A166" s="87">
        <f t="shared" si="0"/>
        <v>154</v>
      </c>
      <c r="B166" s="386" t="s">
        <v>334</v>
      </c>
      <c r="C166" s="327"/>
      <c r="D166" s="498"/>
      <c r="E166" s="326"/>
      <c r="F166" s="326"/>
      <c r="G166" s="326"/>
      <c r="H166" s="327"/>
      <c r="I166" s="407"/>
      <c r="J166" s="326"/>
      <c r="K166" s="326"/>
      <c r="L166" s="326"/>
      <c r="M166" s="326"/>
      <c r="N166" s="326"/>
      <c r="O166" s="326"/>
      <c r="P166" s="327"/>
      <c r="Q166" s="456"/>
      <c r="R166" s="326"/>
      <c r="S166" s="326"/>
      <c r="T166" s="326"/>
      <c r="U166" s="326"/>
      <c r="V166" s="326"/>
      <c r="W166" s="326"/>
      <c r="X166" s="327"/>
      <c r="Y166" s="407"/>
      <c r="Z166" s="327"/>
      <c r="AA166" s="456"/>
      <c r="AB166" s="326"/>
      <c r="AC166" s="326"/>
      <c r="AD166" s="327"/>
      <c r="AE166" s="407"/>
      <c r="AF166" s="326"/>
      <c r="AG166" s="327"/>
      <c r="AH166" s="456"/>
      <c r="AI166" s="326"/>
      <c r="AJ166" s="327"/>
      <c r="AK166" s="407"/>
      <c r="AL166" s="326"/>
      <c r="AM166" s="326"/>
      <c r="AN166" s="327"/>
      <c r="AO166" s="456"/>
      <c r="AP166" s="326"/>
      <c r="AQ166" s="326"/>
      <c r="AR166" s="326"/>
      <c r="AS166" s="326"/>
      <c r="AT166" s="326"/>
      <c r="AU166" s="326"/>
      <c r="AV166" s="327"/>
      <c r="AW166" s="685"/>
      <c r="AX166" s="326"/>
      <c r="AY166" s="327"/>
      <c r="AZ166" s="456"/>
      <c r="BA166" s="326"/>
      <c r="BB166" s="326"/>
      <c r="BC166" s="326"/>
      <c r="BD166" s="326"/>
      <c r="BE166" s="326"/>
      <c r="BF166" s="326"/>
      <c r="BG166" s="326"/>
      <c r="BH166" s="326"/>
      <c r="BI166" s="326"/>
      <c r="BJ166" s="326"/>
      <c r="BK166" s="326"/>
      <c r="BL166" s="326"/>
      <c r="BM166" s="326"/>
      <c r="BN166" s="326"/>
      <c r="BO166" s="327"/>
    </row>
    <row r="167" spans="1:67" ht="34.5" customHeight="1" x14ac:dyDescent="0.25">
      <c r="A167" s="87">
        <f t="shared" si="0"/>
        <v>155</v>
      </c>
      <c r="B167" s="386" t="s">
        <v>334</v>
      </c>
      <c r="C167" s="327"/>
      <c r="D167" s="687"/>
      <c r="E167" s="326"/>
      <c r="F167" s="326"/>
      <c r="G167" s="326"/>
      <c r="H167" s="327"/>
      <c r="I167" s="381"/>
      <c r="J167" s="326"/>
      <c r="K167" s="326"/>
      <c r="L167" s="326"/>
      <c r="M167" s="326"/>
      <c r="N167" s="326"/>
      <c r="O167" s="326"/>
      <c r="P167" s="327"/>
      <c r="Q167" s="381"/>
      <c r="R167" s="326"/>
      <c r="S167" s="326"/>
      <c r="T167" s="326"/>
      <c r="U167" s="326"/>
      <c r="V167" s="326"/>
      <c r="W167" s="326"/>
      <c r="X167" s="327"/>
      <c r="Y167" s="381"/>
      <c r="Z167" s="327"/>
      <c r="AA167" s="381"/>
      <c r="AB167" s="326"/>
      <c r="AC167" s="326"/>
      <c r="AD167" s="327"/>
      <c r="AE167" s="381"/>
      <c r="AF167" s="326"/>
      <c r="AG167" s="327"/>
      <c r="AH167" s="381"/>
      <c r="AI167" s="326"/>
      <c r="AJ167" s="327"/>
      <c r="AK167" s="381"/>
      <c r="AL167" s="326"/>
      <c r="AM167" s="326"/>
      <c r="AN167" s="327"/>
      <c r="AO167" s="381"/>
      <c r="AP167" s="326"/>
      <c r="AQ167" s="326"/>
      <c r="AR167" s="326"/>
      <c r="AS167" s="326"/>
      <c r="AT167" s="326"/>
      <c r="AU167" s="326"/>
      <c r="AV167" s="327"/>
      <c r="AW167" s="686"/>
      <c r="AX167" s="326"/>
      <c r="AY167" s="327"/>
      <c r="AZ167" s="381"/>
      <c r="BA167" s="326"/>
      <c r="BB167" s="326"/>
      <c r="BC167" s="326"/>
      <c r="BD167" s="326"/>
      <c r="BE167" s="326"/>
      <c r="BF167" s="326"/>
      <c r="BG167" s="326"/>
      <c r="BH167" s="326"/>
      <c r="BI167" s="326"/>
      <c r="BJ167" s="326"/>
      <c r="BK167" s="326"/>
      <c r="BL167" s="326"/>
      <c r="BM167" s="326"/>
      <c r="BN167" s="326"/>
      <c r="BO167" s="327"/>
    </row>
    <row r="168" spans="1:67" ht="34.5" customHeight="1" x14ac:dyDescent="0.25">
      <c r="A168" s="87">
        <f t="shared" si="0"/>
        <v>156</v>
      </c>
      <c r="B168" s="386" t="s">
        <v>334</v>
      </c>
      <c r="C168" s="327"/>
      <c r="D168" s="498"/>
      <c r="E168" s="326"/>
      <c r="F168" s="326"/>
      <c r="G168" s="326"/>
      <c r="H168" s="327"/>
      <c r="I168" s="407"/>
      <c r="J168" s="326"/>
      <c r="K168" s="326"/>
      <c r="L168" s="326"/>
      <c r="M168" s="326"/>
      <c r="N168" s="326"/>
      <c r="O168" s="326"/>
      <c r="P168" s="327"/>
      <c r="Q168" s="456"/>
      <c r="R168" s="326"/>
      <c r="S168" s="326"/>
      <c r="T168" s="326"/>
      <c r="U168" s="326"/>
      <c r="V168" s="326"/>
      <c r="W168" s="326"/>
      <c r="X168" s="327"/>
      <c r="Y168" s="407"/>
      <c r="Z168" s="327"/>
      <c r="AA168" s="456"/>
      <c r="AB168" s="326"/>
      <c r="AC168" s="326"/>
      <c r="AD168" s="327"/>
      <c r="AE168" s="407"/>
      <c r="AF168" s="326"/>
      <c r="AG168" s="327"/>
      <c r="AH168" s="456"/>
      <c r="AI168" s="326"/>
      <c r="AJ168" s="327"/>
      <c r="AK168" s="407"/>
      <c r="AL168" s="326"/>
      <c r="AM168" s="326"/>
      <c r="AN168" s="327"/>
      <c r="AO168" s="456"/>
      <c r="AP168" s="326"/>
      <c r="AQ168" s="326"/>
      <c r="AR168" s="326"/>
      <c r="AS168" s="326"/>
      <c r="AT168" s="326"/>
      <c r="AU168" s="326"/>
      <c r="AV168" s="327"/>
      <c r="AW168" s="685"/>
      <c r="AX168" s="326"/>
      <c r="AY168" s="327"/>
      <c r="AZ168" s="456"/>
      <c r="BA168" s="326"/>
      <c r="BB168" s="326"/>
      <c r="BC168" s="326"/>
      <c r="BD168" s="326"/>
      <c r="BE168" s="326"/>
      <c r="BF168" s="326"/>
      <c r="BG168" s="326"/>
      <c r="BH168" s="326"/>
      <c r="BI168" s="326"/>
      <c r="BJ168" s="326"/>
      <c r="BK168" s="326"/>
      <c r="BL168" s="326"/>
      <c r="BM168" s="326"/>
      <c r="BN168" s="326"/>
      <c r="BO168" s="327"/>
    </row>
    <row r="169" spans="1:67" ht="34.5" customHeight="1" x14ac:dyDescent="0.25">
      <c r="A169" s="87">
        <f t="shared" si="0"/>
        <v>157</v>
      </c>
      <c r="B169" s="386" t="s">
        <v>334</v>
      </c>
      <c r="C169" s="327"/>
      <c r="D169" s="687"/>
      <c r="E169" s="326"/>
      <c r="F169" s="326"/>
      <c r="G169" s="326"/>
      <c r="H169" s="327"/>
      <c r="I169" s="381"/>
      <c r="J169" s="326"/>
      <c r="K169" s="326"/>
      <c r="L169" s="326"/>
      <c r="M169" s="326"/>
      <c r="N169" s="326"/>
      <c r="O169" s="326"/>
      <c r="P169" s="327"/>
      <c r="Q169" s="381"/>
      <c r="R169" s="326"/>
      <c r="S169" s="326"/>
      <c r="T169" s="326"/>
      <c r="U169" s="326"/>
      <c r="V169" s="326"/>
      <c r="W169" s="326"/>
      <c r="X169" s="327"/>
      <c r="Y169" s="381"/>
      <c r="Z169" s="327"/>
      <c r="AA169" s="381"/>
      <c r="AB169" s="326"/>
      <c r="AC169" s="326"/>
      <c r="AD169" s="327"/>
      <c r="AE169" s="381"/>
      <c r="AF169" s="326"/>
      <c r="AG169" s="327"/>
      <c r="AH169" s="381"/>
      <c r="AI169" s="326"/>
      <c r="AJ169" s="327"/>
      <c r="AK169" s="381"/>
      <c r="AL169" s="326"/>
      <c r="AM169" s="326"/>
      <c r="AN169" s="327"/>
      <c r="AO169" s="381"/>
      <c r="AP169" s="326"/>
      <c r="AQ169" s="326"/>
      <c r="AR169" s="326"/>
      <c r="AS169" s="326"/>
      <c r="AT169" s="326"/>
      <c r="AU169" s="326"/>
      <c r="AV169" s="327"/>
      <c r="AW169" s="686"/>
      <c r="AX169" s="326"/>
      <c r="AY169" s="327"/>
      <c r="AZ169" s="381"/>
      <c r="BA169" s="326"/>
      <c r="BB169" s="326"/>
      <c r="BC169" s="326"/>
      <c r="BD169" s="326"/>
      <c r="BE169" s="326"/>
      <c r="BF169" s="326"/>
      <c r="BG169" s="326"/>
      <c r="BH169" s="326"/>
      <c r="BI169" s="326"/>
      <c r="BJ169" s="326"/>
      <c r="BK169" s="326"/>
      <c r="BL169" s="326"/>
      <c r="BM169" s="326"/>
      <c r="BN169" s="326"/>
      <c r="BO169" s="327"/>
    </row>
    <row r="170" spans="1:67" ht="34.5" customHeight="1" x14ac:dyDescent="0.25">
      <c r="A170" s="87">
        <f t="shared" si="0"/>
        <v>158</v>
      </c>
      <c r="B170" s="386" t="s">
        <v>334</v>
      </c>
      <c r="C170" s="327"/>
      <c r="D170" s="498"/>
      <c r="E170" s="326"/>
      <c r="F170" s="326"/>
      <c r="G170" s="326"/>
      <c r="H170" s="327"/>
      <c r="I170" s="407"/>
      <c r="J170" s="326"/>
      <c r="K170" s="326"/>
      <c r="L170" s="326"/>
      <c r="M170" s="326"/>
      <c r="N170" s="326"/>
      <c r="O170" s="326"/>
      <c r="P170" s="327"/>
      <c r="Q170" s="456"/>
      <c r="R170" s="326"/>
      <c r="S170" s="326"/>
      <c r="T170" s="326"/>
      <c r="U170" s="326"/>
      <c r="V170" s="326"/>
      <c r="W170" s="326"/>
      <c r="X170" s="327"/>
      <c r="Y170" s="407"/>
      <c r="Z170" s="327"/>
      <c r="AA170" s="456"/>
      <c r="AB170" s="326"/>
      <c r="AC170" s="326"/>
      <c r="AD170" s="327"/>
      <c r="AE170" s="407"/>
      <c r="AF170" s="326"/>
      <c r="AG170" s="327"/>
      <c r="AH170" s="456"/>
      <c r="AI170" s="326"/>
      <c r="AJ170" s="327"/>
      <c r="AK170" s="407"/>
      <c r="AL170" s="326"/>
      <c r="AM170" s="326"/>
      <c r="AN170" s="327"/>
      <c r="AO170" s="456"/>
      <c r="AP170" s="326"/>
      <c r="AQ170" s="326"/>
      <c r="AR170" s="326"/>
      <c r="AS170" s="326"/>
      <c r="AT170" s="326"/>
      <c r="AU170" s="326"/>
      <c r="AV170" s="327"/>
      <c r="AW170" s="685"/>
      <c r="AX170" s="326"/>
      <c r="AY170" s="327"/>
      <c r="AZ170" s="456"/>
      <c r="BA170" s="326"/>
      <c r="BB170" s="326"/>
      <c r="BC170" s="326"/>
      <c r="BD170" s="326"/>
      <c r="BE170" s="326"/>
      <c r="BF170" s="326"/>
      <c r="BG170" s="326"/>
      <c r="BH170" s="326"/>
      <c r="BI170" s="326"/>
      <c r="BJ170" s="326"/>
      <c r="BK170" s="326"/>
      <c r="BL170" s="326"/>
      <c r="BM170" s="326"/>
      <c r="BN170" s="326"/>
      <c r="BO170" s="327"/>
    </row>
    <row r="171" spans="1:67" ht="34.5" customHeight="1" x14ac:dyDescent="0.25">
      <c r="A171" s="87">
        <f t="shared" si="0"/>
        <v>159</v>
      </c>
      <c r="B171" s="386" t="s">
        <v>334</v>
      </c>
      <c r="C171" s="327"/>
      <c r="D171" s="687"/>
      <c r="E171" s="326"/>
      <c r="F171" s="326"/>
      <c r="G171" s="326"/>
      <c r="H171" s="327"/>
      <c r="I171" s="381"/>
      <c r="J171" s="326"/>
      <c r="K171" s="326"/>
      <c r="L171" s="326"/>
      <c r="M171" s="326"/>
      <c r="N171" s="326"/>
      <c r="O171" s="326"/>
      <c r="P171" s="327"/>
      <c r="Q171" s="381"/>
      <c r="R171" s="326"/>
      <c r="S171" s="326"/>
      <c r="T171" s="326"/>
      <c r="U171" s="326"/>
      <c r="V171" s="326"/>
      <c r="W171" s="326"/>
      <c r="X171" s="327"/>
      <c r="Y171" s="381"/>
      <c r="Z171" s="327"/>
      <c r="AA171" s="381"/>
      <c r="AB171" s="326"/>
      <c r="AC171" s="326"/>
      <c r="AD171" s="327"/>
      <c r="AE171" s="381"/>
      <c r="AF171" s="326"/>
      <c r="AG171" s="327"/>
      <c r="AH171" s="381"/>
      <c r="AI171" s="326"/>
      <c r="AJ171" s="327"/>
      <c r="AK171" s="381"/>
      <c r="AL171" s="326"/>
      <c r="AM171" s="326"/>
      <c r="AN171" s="327"/>
      <c r="AO171" s="381"/>
      <c r="AP171" s="326"/>
      <c r="AQ171" s="326"/>
      <c r="AR171" s="326"/>
      <c r="AS171" s="326"/>
      <c r="AT171" s="326"/>
      <c r="AU171" s="326"/>
      <c r="AV171" s="327"/>
      <c r="AW171" s="686"/>
      <c r="AX171" s="326"/>
      <c r="AY171" s="327"/>
      <c r="AZ171" s="381"/>
      <c r="BA171" s="326"/>
      <c r="BB171" s="326"/>
      <c r="BC171" s="326"/>
      <c r="BD171" s="326"/>
      <c r="BE171" s="326"/>
      <c r="BF171" s="326"/>
      <c r="BG171" s="326"/>
      <c r="BH171" s="326"/>
      <c r="BI171" s="326"/>
      <c r="BJ171" s="326"/>
      <c r="BK171" s="326"/>
      <c r="BL171" s="326"/>
      <c r="BM171" s="326"/>
      <c r="BN171" s="326"/>
      <c r="BO171" s="327"/>
    </row>
    <row r="172" spans="1:67" ht="34.5" customHeight="1" x14ac:dyDescent="0.25">
      <c r="A172" s="87">
        <f t="shared" si="0"/>
        <v>160</v>
      </c>
      <c r="B172" s="386" t="s">
        <v>334</v>
      </c>
      <c r="C172" s="327"/>
      <c r="D172" s="498"/>
      <c r="E172" s="326"/>
      <c r="F172" s="326"/>
      <c r="G172" s="326"/>
      <c r="H172" s="327"/>
      <c r="I172" s="407"/>
      <c r="J172" s="326"/>
      <c r="K172" s="326"/>
      <c r="L172" s="326"/>
      <c r="M172" s="326"/>
      <c r="N172" s="326"/>
      <c r="O172" s="326"/>
      <c r="P172" s="327"/>
      <c r="Q172" s="456"/>
      <c r="R172" s="326"/>
      <c r="S172" s="326"/>
      <c r="T172" s="326"/>
      <c r="U172" s="326"/>
      <c r="V172" s="326"/>
      <c r="W172" s="326"/>
      <c r="X172" s="327"/>
      <c r="Y172" s="407"/>
      <c r="Z172" s="327"/>
      <c r="AA172" s="456"/>
      <c r="AB172" s="326"/>
      <c r="AC172" s="326"/>
      <c r="AD172" s="327"/>
      <c r="AE172" s="407"/>
      <c r="AF172" s="326"/>
      <c r="AG172" s="327"/>
      <c r="AH172" s="456"/>
      <c r="AI172" s="326"/>
      <c r="AJ172" s="327"/>
      <c r="AK172" s="407"/>
      <c r="AL172" s="326"/>
      <c r="AM172" s="326"/>
      <c r="AN172" s="327"/>
      <c r="AO172" s="456"/>
      <c r="AP172" s="326"/>
      <c r="AQ172" s="326"/>
      <c r="AR172" s="326"/>
      <c r="AS172" s="326"/>
      <c r="AT172" s="326"/>
      <c r="AU172" s="326"/>
      <c r="AV172" s="327"/>
      <c r="AW172" s="685"/>
      <c r="AX172" s="326"/>
      <c r="AY172" s="327"/>
      <c r="AZ172" s="456"/>
      <c r="BA172" s="326"/>
      <c r="BB172" s="326"/>
      <c r="BC172" s="326"/>
      <c r="BD172" s="326"/>
      <c r="BE172" s="326"/>
      <c r="BF172" s="326"/>
      <c r="BG172" s="326"/>
      <c r="BH172" s="326"/>
      <c r="BI172" s="326"/>
      <c r="BJ172" s="326"/>
      <c r="BK172" s="326"/>
      <c r="BL172" s="326"/>
      <c r="BM172" s="326"/>
      <c r="BN172" s="326"/>
      <c r="BO172" s="327"/>
    </row>
    <row r="173" spans="1:67" ht="34.5" customHeight="1" x14ac:dyDescent="0.25">
      <c r="A173" s="87">
        <f t="shared" si="0"/>
        <v>161</v>
      </c>
      <c r="B173" s="386" t="s">
        <v>334</v>
      </c>
      <c r="C173" s="327"/>
      <c r="D173" s="687"/>
      <c r="E173" s="326"/>
      <c r="F173" s="326"/>
      <c r="G173" s="326"/>
      <c r="H173" s="327"/>
      <c r="I173" s="381"/>
      <c r="J173" s="326"/>
      <c r="K173" s="326"/>
      <c r="L173" s="326"/>
      <c r="M173" s="326"/>
      <c r="N173" s="326"/>
      <c r="O173" s="326"/>
      <c r="P173" s="327"/>
      <c r="Q173" s="381"/>
      <c r="R173" s="326"/>
      <c r="S173" s="326"/>
      <c r="T173" s="326"/>
      <c r="U173" s="326"/>
      <c r="V173" s="326"/>
      <c r="W173" s="326"/>
      <c r="X173" s="327"/>
      <c r="Y173" s="381"/>
      <c r="Z173" s="327"/>
      <c r="AA173" s="381"/>
      <c r="AB173" s="326"/>
      <c r="AC173" s="326"/>
      <c r="AD173" s="327"/>
      <c r="AE173" s="381"/>
      <c r="AF173" s="326"/>
      <c r="AG173" s="327"/>
      <c r="AH173" s="381"/>
      <c r="AI173" s="326"/>
      <c r="AJ173" s="327"/>
      <c r="AK173" s="381"/>
      <c r="AL173" s="326"/>
      <c r="AM173" s="326"/>
      <c r="AN173" s="327"/>
      <c r="AO173" s="381"/>
      <c r="AP173" s="326"/>
      <c r="AQ173" s="326"/>
      <c r="AR173" s="326"/>
      <c r="AS173" s="326"/>
      <c r="AT173" s="326"/>
      <c r="AU173" s="326"/>
      <c r="AV173" s="327"/>
      <c r="AW173" s="686"/>
      <c r="AX173" s="326"/>
      <c r="AY173" s="327"/>
      <c r="AZ173" s="381"/>
      <c r="BA173" s="326"/>
      <c r="BB173" s="326"/>
      <c r="BC173" s="326"/>
      <c r="BD173" s="326"/>
      <c r="BE173" s="326"/>
      <c r="BF173" s="326"/>
      <c r="BG173" s="326"/>
      <c r="BH173" s="326"/>
      <c r="BI173" s="326"/>
      <c r="BJ173" s="326"/>
      <c r="BK173" s="326"/>
      <c r="BL173" s="326"/>
      <c r="BM173" s="326"/>
      <c r="BN173" s="326"/>
      <c r="BO173" s="327"/>
    </row>
    <row r="174" spans="1:67" ht="34.5" customHeight="1" x14ac:dyDescent="0.25">
      <c r="A174" s="87">
        <f t="shared" si="0"/>
        <v>162</v>
      </c>
      <c r="B174" s="386" t="s">
        <v>334</v>
      </c>
      <c r="C174" s="327"/>
      <c r="D174" s="498"/>
      <c r="E174" s="326"/>
      <c r="F174" s="326"/>
      <c r="G174" s="326"/>
      <c r="H174" s="327"/>
      <c r="I174" s="407"/>
      <c r="J174" s="326"/>
      <c r="K174" s="326"/>
      <c r="L174" s="326"/>
      <c r="M174" s="326"/>
      <c r="N174" s="326"/>
      <c r="O174" s="326"/>
      <c r="P174" s="327"/>
      <c r="Q174" s="456"/>
      <c r="R174" s="326"/>
      <c r="S174" s="326"/>
      <c r="T174" s="326"/>
      <c r="U174" s="326"/>
      <c r="V174" s="326"/>
      <c r="W174" s="326"/>
      <c r="X174" s="327"/>
      <c r="Y174" s="407"/>
      <c r="Z174" s="327"/>
      <c r="AA174" s="456"/>
      <c r="AB174" s="326"/>
      <c r="AC174" s="326"/>
      <c r="AD174" s="327"/>
      <c r="AE174" s="407"/>
      <c r="AF174" s="326"/>
      <c r="AG174" s="327"/>
      <c r="AH174" s="456"/>
      <c r="AI174" s="326"/>
      <c r="AJ174" s="327"/>
      <c r="AK174" s="407"/>
      <c r="AL174" s="326"/>
      <c r="AM174" s="326"/>
      <c r="AN174" s="327"/>
      <c r="AO174" s="456"/>
      <c r="AP174" s="326"/>
      <c r="AQ174" s="326"/>
      <c r="AR174" s="326"/>
      <c r="AS174" s="326"/>
      <c r="AT174" s="326"/>
      <c r="AU174" s="326"/>
      <c r="AV174" s="327"/>
      <c r="AW174" s="685"/>
      <c r="AX174" s="326"/>
      <c r="AY174" s="327"/>
      <c r="AZ174" s="456"/>
      <c r="BA174" s="326"/>
      <c r="BB174" s="326"/>
      <c r="BC174" s="326"/>
      <c r="BD174" s="326"/>
      <c r="BE174" s="326"/>
      <c r="BF174" s="326"/>
      <c r="BG174" s="326"/>
      <c r="BH174" s="326"/>
      <c r="BI174" s="326"/>
      <c r="BJ174" s="326"/>
      <c r="BK174" s="326"/>
      <c r="BL174" s="326"/>
      <c r="BM174" s="326"/>
      <c r="BN174" s="326"/>
      <c r="BO174" s="327"/>
    </row>
    <row r="175" spans="1:67" ht="34.5" customHeight="1" x14ac:dyDescent="0.25">
      <c r="A175" s="87">
        <f t="shared" si="0"/>
        <v>163</v>
      </c>
      <c r="B175" s="386" t="s">
        <v>334</v>
      </c>
      <c r="C175" s="327"/>
      <c r="D175" s="687"/>
      <c r="E175" s="326"/>
      <c r="F175" s="326"/>
      <c r="G175" s="326"/>
      <c r="H175" s="327"/>
      <c r="I175" s="381"/>
      <c r="J175" s="326"/>
      <c r="K175" s="326"/>
      <c r="L175" s="326"/>
      <c r="M175" s="326"/>
      <c r="N175" s="326"/>
      <c r="O175" s="326"/>
      <c r="P175" s="327"/>
      <c r="Q175" s="381"/>
      <c r="R175" s="326"/>
      <c r="S175" s="326"/>
      <c r="T175" s="326"/>
      <c r="U175" s="326"/>
      <c r="V175" s="326"/>
      <c r="W175" s="326"/>
      <c r="X175" s="327"/>
      <c r="Y175" s="381"/>
      <c r="Z175" s="327"/>
      <c r="AA175" s="381"/>
      <c r="AB175" s="326"/>
      <c r="AC175" s="326"/>
      <c r="AD175" s="327"/>
      <c r="AE175" s="381"/>
      <c r="AF175" s="326"/>
      <c r="AG175" s="327"/>
      <c r="AH175" s="381"/>
      <c r="AI175" s="326"/>
      <c r="AJ175" s="327"/>
      <c r="AK175" s="381"/>
      <c r="AL175" s="326"/>
      <c r="AM175" s="326"/>
      <c r="AN175" s="327"/>
      <c r="AO175" s="381"/>
      <c r="AP175" s="326"/>
      <c r="AQ175" s="326"/>
      <c r="AR175" s="326"/>
      <c r="AS175" s="326"/>
      <c r="AT175" s="326"/>
      <c r="AU175" s="326"/>
      <c r="AV175" s="327"/>
      <c r="AW175" s="686"/>
      <c r="AX175" s="326"/>
      <c r="AY175" s="327"/>
      <c r="AZ175" s="381"/>
      <c r="BA175" s="326"/>
      <c r="BB175" s="326"/>
      <c r="BC175" s="326"/>
      <c r="BD175" s="326"/>
      <c r="BE175" s="326"/>
      <c r="BF175" s="326"/>
      <c r="BG175" s="326"/>
      <c r="BH175" s="326"/>
      <c r="BI175" s="326"/>
      <c r="BJ175" s="326"/>
      <c r="BK175" s="326"/>
      <c r="BL175" s="326"/>
      <c r="BM175" s="326"/>
      <c r="BN175" s="326"/>
      <c r="BO175" s="327"/>
    </row>
    <row r="176" spans="1:67" ht="34.5" customHeight="1" x14ac:dyDescent="0.25">
      <c r="A176" s="87">
        <f t="shared" si="0"/>
        <v>164</v>
      </c>
      <c r="B176" s="688" t="s">
        <v>334</v>
      </c>
      <c r="C176" s="327"/>
      <c r="D176" s="498"/>
      <c r="E176" s="326"/>
      <c r="F176" s="326"/>
      <c r="G176" s="326"/>
      <c r="H176" s="327"/>
      <c r="I176" s="407"/>
      <c r="J176" s="326"/>
      <c r="K176" s="326"/>
      <c r="L176" s="326"/>
      <c r="M176" s="326"/>
      <c r="N176" s="326"/>
      <c r="O176" s="326"/>
      <c r="P176" s="327"/>
      <c r="Q176" s="456"/>
      <c r="R176" s="326"/>
      <c r="S176" s="326"/>
      <c r="T176" s="326"/>
      <c r="U176" s="326"/>
      <c r="V176" s="326"/>
      <c r="W176" s="326"/>
      <c r="X176" s="327"/>
      <c r="Y176" s="407"/>
      <c r="Z176" s="327"/>
      <c r="AA176" s="456"/>
      <c r="AB176" s="326"/>
      <c r="AC176" s="326"/>
      <c r="AD176" s="327"/>
      <c r="AE176" s="407"/>
      <c r="AF176" s="326"/>
      <c r="AG176" s="327"/>
      <c r="AH176" s="456"/>
      <c r="AI176" s="326"/>
      <c r="AJ176" s="327"/>
      <c r="AK176" s="407"/>
      <c r="AL176" s="326"/>
      <c r="AM176" s="326"/>
      <c r="AN176" s="327"/>
      <c r="AO176" s="456"/>
      <c r="AP176" s="326"/>
      <c r="AQ176" s="326"/>
      <c r="AR176" s="326"/>
      <c r="AS176" s="326"/>
      <c r="AT176" s="326"/>
      <c r="AU176" s="326"/>
      <c r="AV176" s="327"/>
      <c r="AW176" s="685"/>
      <c r="AX176" s="326"/>
      <c r="AY176" s="327"/>
      <c r="AZ176" s="456"/>
      <c r="BA176" s="326"/>
      <c r="BB176" s="326"/>
      <c r="BC176" s="326"/>
      <c r="BD176" s="326"/>
      <c r="BE176" s="326"/>
      <c r="BF176" s="326"/>
      <c r="BG176" s="326"/>
      <c r="BH176" s="326"/>
      <c r="BI176" s="326"/>
      <c r="BJ176" s="326"/>
      <c r="BK176" s="326"/>
      <c r="BL176" s="326"/>
      <c r="BM176" s="326"/>
      <c r="BN176" s="326"/>
      <c r="BO176" s="327"/>
    </row>
    <row r="177" spans="1:67" ht="34.5" customHeight="1" x14ac:dyDescent="0.25">
      <c r="A177" s="87">
        <f t="shared" si="0"/>
        <v>165</v>
      </c>
      <c r="B177" s="386" t="s">
        <v>334</v>
      </c>
      <c r="C177" s="327"/>
      <c r="D177" s="687"/>
      <c r="E177" s="326"/>
      <c r="F177" s="326"/>
      <c r="G177" s="326"/>
      <c r="H177" s="327"/>
      <c r="I177" s="381"/>
      <c r="J177" s="326"/>
      <c r="K177" s="326"/>
      <c r="L177" s="326"/>
      <c r="M177" s="326"/>
      <c r="N177" s="326"/>
      <c r="O177" s="326"/>
      <c r="P177" s="327"/>
      <c r="Q177" s="381"/>
      <c r="R177" s="326"/>
      <c r="S177" s="326"/>
      <c r="T177" s="326"/>
      <c r="U177" s="326"/>
      <c r="V177" s="326"/>
      <c r="W177" s="326"/>
      <c r="X177" s="327"/>
      <c r="Y177" s="381"/>
      <c r="Z177" s="327"/>
      <c r="AA177" s="381"/>
      <c r="AB177" s="326"/>
      <c r="AC177" s="326"/>
      <c r="AD177" s="327"/>
      <c r="AE177" s="381"/>
      <c r="AF177" s="326"/>
      <c r="AG177" s="327"/>
      <c r="AH177" s="381"/>
      <c r="AI177" s="326"/>
      <c r="AJ177" s="327"/>
      <c r="AK177" s="381"/>
      <c r="AL177" s="326"/>
      <c r="AM177" s="326"/>
      <c r="AN177" s="327"/>
      <c r="AO177" s="381"/>
      <c r="AP177" s="326"/>
      <c r="AQ177" s="326"/>
      <c r="AR177" s="326"/>
      <c r="AS177" s="326"/>
      <c r="AT177" s="326"/>
      <c r="AU177" s="326"/>
      <c r="AV177" s="327"/>
      <c r="AW177" s="686"/>
      <c r="AX177" s="326"/>
      <c r="AY177" s="327"/>
      <c r="AZ177" s="381"/>
      <c r="BA177" s="326"/>
      <c r="BB177" s="326"/>
      <c r="BC177" s="326"/>
      <c r="BD177" s="326"/>
      <c r="BE177" s="326"/>
      <c r="BF177" s="326"/>
      <c r="BG177" s="326"/>
      <c r="BH177" s="326"/>
      <c r="BI177" s="326"/>
      <c r="BJ177" s="326"/>
      <c r="BK177" s="326"/>
      <c r="BL177" s="326"/>
      <c r="BM177" s="326"/>
      <c r="BN177" s="326"/>
      <c r="BO177" s="327"/>
    </row>
    <row r="178" spans="1:67" ht="34.5" customHeight="1" x14ac:dyDescent="0.25">
      <c r="A178" s="87">
        <f t="shared" si="0"/>
        <v>166</v>
      </c>
      <c r="B178" s="386" t="s">
        <v>334</v>
      </c>
      <c r="C178" s="327"/>
      <c r="D178" s="498"/>
      <c r="E178" s="326"/>
      <c r="F178" s="326"/>
      <c r="G178" s="326"/>
      <c r="H178" s="327"/>
      <c r="I178" s="407"/>
      <c r="J178" s="326"/>
      <c r="K178" s="326"/>
      <c r="L178" s="326"/>
      <c r="M178" s="326"/>
      <c r="N178" s="326"/>
      <c r="O178" s="326"/>
      <c r="P178" s="327"/>
      <c r="Q178" s="456"/>
      <c r="R178" s="326"/>
      <c r="S178" s="326"/>
      <c r="T178" s="326"/>
      <c r="U178" s="326"/>
      <c r="V178" s="326"/>
      <c r="W178" s="326"/>
      <c r="X178" s="327"/>
      <c r="Y178" s="407"/>
      <c r="Z178" s="327"/>
      <c r="AA178" s="456"/>
      <c r="AB178" s="326"/>
      <c r="AC178" s="326"/>
      <c r="AD178" s="327"/>
      <c r="AE178" s="407"/>
      <c r="AF178" s="326"/>
      <c r="AG178" s="327"/>
      <c r="AH178" s="456"/>
      <c r="AI178" s="326"/>
      <c r="AJ178" s="327"/>
      <c r="AK178" s="407"/>
      <c r="AL178" s="326"/>
      <c r="AM178" s="326"/>
      <c r="AN178" s="327"/>
      <c r="AO178" s="456"/>
      <c r="AP178" s="326"/>
      <c r="AQ178" s="326"/>
      <c r="AR178" s="326"/>
      <c r="AS178" s="326"/>
      <c r="AT178" s="326"/>
      <c r="AU178" s="326"/>
      <c r="AV178" s="327"/>
      <c r="AW178" s="685"/>
      <c r="AX178" s="326"/>
      <c r="AY178" s="327"/>
      <c r="AZ178" s="456"/>
      <c r="BA178" s="326"/>
      <c r="BB178" s="326"/>
      <c r="BC178" s="326"/>
      <c r="BD178" s="326"/>
      <c r="BE178" s="326"/>
      <c r="BF178" s="326"/>
      <c r="BG178" s="326"/>
      <c r="BH178" s="326"/>
      <c r="BI178" s="326"/>
      <c r="BJ178" s="326"/>
      <c r="BK178" s="326"/>
      <c r="BL178" s="326"/>
      <c r="BM178" s="326"/>
      <c r="BN178" s="326"/>
      <c r="BO178" s="327"/>
    </row>
    <row r="179" spans="1:67" ht="34.5" customHeight="1" x14ac:dyDescent="0.25">
      <c r="A179" s="87">
        <f t="shared" si="0"/>
        <v>167</v>
      </c>
      <c r="B179" s="386" t="s">
        <v>334</v>
      </c>
      <c r="C179" s="327"/>
      <c r="D179" s="687"/>
      <c r="E179" s="326"/>
      <c r="F179" s="326"/>
      <c r="G179" s="326"/>
      <c r="H179" s="327"/>
      <c r="I179" s="381"/>
      <c r="J179" s="326"/>
      <c r="K179" s="326"/>
      <c r="L179" s="326"/>
      <c r="M179" s="326"/>
      <c r="N179" s="326"/>
      <c r="O179" s="326"/>
      <c r="P179" s="327"/>
      <c r="Q179" s="381"/>
      <c r="R179" s="326"/>
      <c r="S179" s="326"/>
      <c r="T179" s="326"/>
      <c r="U179" s="326"/>
      <c r="V179" s="326"/>
      <c r="W179" s="326"/>
      <c r="X179" s="327"/>
      <c r="Y179" s="381"/>
      <c r="Z179" s="327"/>
      <c r="AA179" s="381"/>
      <c r="AB179" s="326"/>
      <c r="AC179" s="326"/>
      <c r="AD179" s="327"/>
      <c r="AE179" s="381"/>
      <c r="AF179" s="326"/>
      <c r="AG179" s="327"/>
      <c r="AH179" s="381"/>
      <c r="AI179" s="326"/>
      <c r="AJ179" s="327"/>
      <c r="AK179" s="381"/>
      <c r="AL179" s="326"/>
      <c r="AM179" s="326"/>
      <c r="AN179" s="327"/>
      <c r="AO179" s="381"/>
      <c r="AP179" s="326"/>
      <c r="AQ179" s="326"/>
      <c r="AR179" s="326"/>
      <c r="AS179" s="326"/>
      <c r="AT179" s="326"/>
      <c r="AU179" s="326"/>
      <c r="AV179" s="327"/>
      <c r="AW179" s="686"/>
      <c r="AX179" s="326"/>
      <c r="AY179" s="327"/>
      <c r="AZ179" s="381"/>
      <c r="BA179" s="326"/>
      <c r="BB179" s="326"/>
      <c r="BC179" s="326"/>
      <c r="BD179" s="326"/>
      <c r="BE179" s="326"/>
      <c r="BF179" s="326"/>
      <c r="BG179" s="326"/>
      <c r="BH179" s="326"/>
      <c r="BI179" s="326"/>
      <c r="BJ179" s="326"/>
      <c r="BK179" s="326"/>
      <c r="BL179" s="326"/>
      <c r="BM179" s="326"/>
      <c r="BN179" s="326"/>
      <c r="BO179" s="327"/>
    </row>
    <row r="180" spans="1:67" ht="34.5" customHeight="1" x14ac:dyDescent="0.25">
      <c r="A180" s="87">
        <f t="shared" si="0"/>
        <v>168</v>
      </c>
      <c r="B180" s="386" t="s">
        <v>334</v>
      </c>
      <c r="C180" s="327"/>
      <c r="D180" s="498"/>
      <c r="E180" s="326"/>
      <c r="F180" s="326"/>
      <c r="G180" s="326"/>
      <c r="H180" s="327"/>
      <c r="I180" s="407"/>
      <c r="J180" s="326"/>
      <c r="K180" s="326"/>
      <c r="L180" s="326"/>
      <c r="M180" s="326"/>
      <c r="N180" s="326"/>
      <c r="O180" s="326"/>
      <c r="P180" s="327"/>
      <c r="Q180" s="456"/>
      <c r="R180" s="326"/>
      <c r="S180" s="326"/>
      <c r="T180" s="326"/>
      <c r="U180" s="326"/>
      <c r="V180" s="326"/>
      <c r="W180" s="326"/>
      <c r="X180" s="327"/>
      <c r="Y180" s="407"/>
      <c r="Z180" s="327"/>
      <c r="AA180" s="456"/>
      <c r="AB180" s="326"/>
      <c r="AC180" s="326"/>
      <c r="AD180" s="327"/>
      <c r="AE180" s="407"/>
      <c r="AF180" s="326"/>
      <c r="AG180" s="327"/>
      <c r="AH180" s="456"/>
      <c r="AI180" s="326"/>
      <c r="AJ180" s="327"/>
      <c r="AK180" s="407"/>
      <c r="AL180" s="326"/>
      <c r="AM180" s="326"/>
      <c r="AN180" s="327"/>
      <c r="AO180" s="456"/>
      <c r="AP180" s="326"/>
      <c r="AQ180" s="326"/>
      <c r="AR180" s="326"/>
      <c r="AS180" s="326"/>
      <c r="AT180" s="326"/>
      <c r="AU180" s="326"/>
      <c r="AV180" s="327"/>
      <c r="AW180" s="685"/>
      <c r="AX180" s="326"/>
      <c r="AY180" s="327"/>
      <c r="AZ180" s="456"/>
      <c r="BA180" s="326"/>
      <c r="BB180" s="326"/>
      <c r="BC180" s="326"/>
      <c r="BD180" s="326"/>
      <c r="BE180" s="326"/>
      <c r="BF180" s="326"/>
      <c r="BG180" s="326"/>
      <c r="BH180" s="326"/>
      <c r="BI180" s="326"/>
      <c r="BJ180" s="326"/>
      <c r="BK180" s="326"/>
      <c r="BL180" s="326"/>
      <c r="BM180" s="326"/>
      <c r="BN180" s="326"/>
      <c r="BO180" s="327"/>
    </row>
    <row r="181" spans="1:67" ht="34.5" customHeight="1" x14ac:dyDescent="0.25">
      <c r="A181" s="87">
        <f t="shared" si="0"/>
        <v>169</v>
      </c>
      <c r="B181" s="386" t="s">
        <v>334</v>
      </c>
      <c r="C181" s="327"/>
      <c r="D181" s="687"/>
      <c r="E181" s="326"/>
      <c r="F181" s="326"/>
      <c r="G181" s="326"/>
      <c r="H181" s="327"/>
      <c r="I181" s="381"/>
      <c r="J181" s="326"/>
      <c r="K181" s="326"/>
      <c r="L181" s="326"/>
      <c r="M181" s="326"/>
      <c r="N181" s="326"/>
      <c r="O181" s="326"/>
      <c r="P181" s="327"/>
      <c r="Q181" s="381"/>
      <c r="R181" s="326"/>
      <c r="S181" s="326"/>
      <c r="T181" s="326"/>
      <c r="U181" s="326"/>
      <c r="V181" s="326"/>
      <c r="W181" s="326"/>
      <c r="X181" s="327"/>
      <c r="Y181" s="381"/>
      <c r="Z181" s="327"/>
      <c r="AA181" s="381"/>
      <c r="AB181" s="326"/>
      <c r="AC181" s="326"/>
      <c r="AD181" s="327"/>
      <c r="AE181" s="381"/>
      <c r="AF181" s="326"/>
      <c r="AG181" s="327"/>
      <c r="AH181" s="381"/>
      <c r="AI181" s="326"/>
      <c r="AJ181" s="327"/>
      <c r="AK181" s="381"/>
      <c r="AL181" s="326"/>
      <c r="AM181" s="326"/>
      <c r="AN181" s="327"/>
      <c r="AO181" s="381"/>
      <c r="AP181" s="326"/>
      <c r="AQ181" s="326"/>
      <c r="AR181" s="326"/>
      <c r="AS181" s="326"/>
      <c r="AT181" s="326"/>
      <c r="AU181" s="326"/>
      <c r="AV181" s="327"/>
      <c r="AW181" s="686"/>
      <c r="AX181" s="326"/>
      <c r="AY181" s="327"/>
      <c r="AZ181" s="381"/>
      <c r="BA181" s="326"/>
      <c r="BB181" s="326"/>
      <c r="BC181" s="326"/>
      <c r="BD181" s="326"/>
      <c r="BE181" s="326"/>
      <c r="BF181" s="326"/>
      <c r="BG181" s="326"/>
      <c r="BH181" s="326"/>
      <c r="BI181" s="326"/>
      <c r="BJ181" s="326"/>
      <c r="BK181" s="326"/>
      <c r="BL181" s="326"/>
      <c r="BM181" s="326"/>
      <c r="BN181" s="326"/>
      <c r="BO181" s="327"/>
    </row>
    <row r="182" spans="1:67" ht="34.5" customHeight="1" x14ac:dyDescent="0.25">
      <c r="A182" s="87">
        <f t="shared" si="0"/>
        <v>170</v>
      </c>
      <c r="B182" s="386" t="s">
        <v>334</v>
      </c>
      <c r="C182" s="327"/>
      <c r="D182" s="498"/>
      <c r="E182" s="326"/>
      <c r="F182" s="326"/>
      <c r="G182" s="326"/>
      <c r="H182" s="327"/>
      <c r="I182" s="407"/>
      <c r="J182" s="326"/>
      <c r="K182" s="326"/>
      <c r="L182" s="326"/>
      <c r="M182" s="326"/>
      <c r="N182" s="326"/>
      <c r="O182" s="326"/>
      <c r="P182" s="327"/>
      <c r="Q182" s="456"/>
      <c r="R182" s="326"/>
      <c r="S182" s="326"/>
      <c r="T182" s="326"/>
      <c r="U182" s="326"/>
      <c r="V182" s="326"/>
      <c r="W182" s="326"/>
      <c r="X182" s="327"/>
      <c r="Y182" s="407"/>
      <c r="Z182" s="327"/>
      <c r="AA182" s="456"/>
      <c r="AB182" s="326"/>
      <c r="AC182" s="326"/>
      <c r="AD182" s="327"/>
      <c r="AE182" s="407"/>
      <c r="AF182" s="326"/>
      <c r="AG182" s="327"/>
      <c r="AH182" s="456"/>
      <c r="AI182" s="326"/>
      <c r="AJ182" s="327"/>
      <c r="AK182" s="407"/>
      <c r="AL182" s="326"/>
      <c r="AM182" s="326"/>
      <c r="AN182" s="327"/>
      <c r="AO182" s="456"/>
      <c r="AP182" s="326"/>
      <c r="AQ182" s="326"/>
      <c r="AR182" s="326"/>
      <c r="AS182" s="326"/>
      <c r="AT182" s="326"/>
      <c r="AU182" s="326"/>
      <c r="AV182" s="327"/>
      <c r="AW182" s="685"/>
      <c r="AX182" s="326"/>
      <c r="AY182" s="327"/>
      <c r="AZ182" s="456"/>
      <c r="BA182" s="326"/>
      <c r="BB182" s="326"/>
      <c r="BC182" s="326"/>
      <c r="BD182" s="326"/>
      <c r="BE182" s="326"/>
      <c r="BF182" s="326"/>
      <c r="BG182" s="326"/>
      <c r="BH182" s="326"/>
      <c r="BI182" s="326"/>
      <c r="BJ182" s="326"/>
      <c r="BK182" s="326"/>
      <c r="BL182" s="326"/>
      <c r="BM182" s="326"/>
      <c r="BN182" s="326"/>
      <c r="BO182" s="327"/>
    </row>
    <row r="183" spans="1:67" ht="34.5" customHeight="1" x14ac:dyDescent="0.25">
      <c r="A183" s="87">
        <f t="shared" si="0"/>
        <v>171</v>
      </c>
      <c r="B183" s="386" t="s">
        <v>334</v>
      </c>
      <c r="C183" s="327"/>
      <c r="D183" s="687"/>
      <c r="E183" s="326"/>
      <c r="F183" s="326"/>
      <c r="G183" s="326"/>
      <c r="H183" s="327"/>
      <c r="I183" s="381"/>
      <c r="J183" s="326"/>
      <c r="K183" s="326"/>
      <c r="L183" s="326"/>
      <c r="M183" s="326"/>
      <c r="N183" s="326"/>
      <c r="O183" s="326"/>
      <c r="P183" s="327"/>
      <c r="Q183" s="381"/>
      <c r="R183" s="326"/>
      <c r="S183" s="326"/>
      <c r="T183" s="326"/>
      <c r="U183" s="326"/>
      <c r="V183" s="326"/>
      <c r="W183" s="326"/>
      <c r="X183" s="327"/>
      <c r="Y183" s="381"/>
      <c r="Z183" s="327"/>
      <c r="AA183" s="381"/>
      <c r="AB183" s="326"/>
      <c r="AC183" s="326"/>
      <c r="AD183" s="327"/>
      <c r="AE183" s="381"/>
      <c r="AF183" s="326"/>
      <c r="AG183" s="327"/>
      <c r="AH183" s="381"/>
      <c r="AI183" s="326"/>
      <c r="AJ183" s="327"/>
      <c r="AK183" s="381"/>
      <c r="AL183" s="326"/>
      <c r="AM183" s="326"/>
      <c r="AN183" s="327"/>
      <c r="AO183" s="381"/>
      <c r="AP183" s="326"/>
      <c r="AQ183" s="326"/>
      <c r="AR183" s="326"/>
      <c r="AS183" s="326"/>
      <c r="AT183" s="326"/>
      <c r="AU183" s="326"/>
      <c r="AV183" s="327"/>
      <c r="AW183" s="686"/>
      <c r="AX183" s="326"/>
      <c r="AY183" s="327"/>
      <c r="AZ183" s="381"/>
      <c r="BA183" s="326"/>
      <c r="BB183" s="326"/>
      <c r="BC183" s="326"/>
      <c r="BD183" s="326"/>
      <c r="BE183" s="326"/>
      <c r="BF183" s="326"/>
      <c r="BG183" s="326"/>
      <c r="BH183" s="326"/>
      <c r="BI183" s="326"/>
      <c r="BJ183" s="326"/>
      <c r="BK183" s="326"/>
      <c r="BL183" s="326"/>
      <c r="BM183" s="326"/>
      <c r="BN183" s="326"/>
      <c r="BO183" s="327"/>
    </row>
    <row r="184" spans="1:67" ht="34.5" customHeight="1" x14ac:dyDescent="0.25">
      <c r="A184" s="87">
        <f t="shared" si="0"/>
        <v>172</v>
      </c>
      <c r="B184" s="386" t="s">
        <v>334</v>
      </c>
      <c r="C184" s="327"/>
      <c r="D184" s="498"/>
      <c r="E184" s="326"/>
      <c r="F184" s="326"/>
      <c r="G184" s="326"/>
      <c r="H184" s="327"/>
      <c r="I184" s="407"/>
      <c r="J184" s="326"/>
      <c r="K184" s="326"/>
      <c r="L184" s="326"/>
      <c r="M184" s="326"/>
      <c r="N184" s="326"/>
      <c r="O184" s="326"/>
      <c r="P184" s="327"/>
      <c r="Q184" s="456"/>
      <c r="R184" s="326"/>
      <c r="S184" s="326"/>
      <c r="T184" s="326"/>
      <c r="U184" s="326"/>
      <c r="V184" s="326"/>
      <c r="W184" s="326"/>
      <c r="X184" s="327"/>
      <c r="Y184" s="407"/>
      <c r="Z184" s="327"/>
      <c r="AA184" s="456"/>
      <c r="AB184" s="326"/>
      <c r="AC184" s="326"/>
      <c r="AD184" s="327"/>
      <c r="AE184" s="407"/>
      <c r="AF184" s="326"/>
      <c r="AG184" s="327"/>
      <c r="AH184" s="456"/>
      <c r="AI184" s="326"/>
      <c r="AJ184" s="327"/>
      <c r="AK184" s="407"/>
      <c r="AL184" s="326"/>
      <c r="AM184" s="326"/>
      <c r="AN184" s="327"/>
      <c r="AO184" s="456"/>
      <c r="AP184" s="326"/>
      <c r="AQ184" s="326"/>
      <c r="AR184" s="326"/>
      <c r="AS184" s="326"/>
      <c r="AT184" s="326"/>
      <c r="AU184" s="326"/>
      <c r="AV184" s="327"/>
      <c r="AW184" s="685"/>
      <c r="AX184" s="326"/>
      <c r="AY184" s="327"/>
      <c r="AZ184" s="456"/>
      <c r="BA184" s="326"/>
      <c r="BB184" s="326"/>
      <c r="BC184" s="326"/>
      <c r="BD184" s="326"/>
      <c r="BE184" s="326"/>
      <c r="BF184" s="326"/>
      <c r="BG184" s="326"/>
      <c r="BH184" s="326"/>
      <c r="BI184" s="326"/>
      <c r="BJ184" s="326"/>
      <c r="BK184" s="326"/>
      <c r="BL184" s="326"/>
      <c r="BM184" s="326"/>
      <c r="BN184" s="326"/>
      <c r="BO184" s="327"/>
    </row>
    <row r="185" spans="1:67" ht="34.5" customHeight="1" x14ac:dyDescent="0.25">
      <c r="A185" s="87">
        <f t="shared" si="0"/>
        <v>173</v>
      </c>
      <c r="B185" s="386" t="s">
        <v>334</v>
      </c>
      <c r="C185" s="327"/>
      <c r="D185" s="687"/>
      <c r="E185" s="326"/>
      <c r="F185" s="326"/>
      <c r="G185" s="326"/>
      <c r="H185" s="327"/>
      <c r="I185" s="381"/>
      <c r="J185" s="326"/>
      <c r="K185" s="326"/>
      <c r="L185" s="326"/>
      <c r="M185" s="326"/>
      <c r="N185" s="326"/>
      <c r="O185" s="326"/>
      <c r="P185" s="327"/>
      <c r="Q185" s="381"/>
      <c r="R185" s="326"/>
      <c r="S185" s="326"/>
      <c r="T185" s="326"/>
      <c r="U185" s="326"/>
      <c r="V185" s="326"/>
      <c r="W185" s="326"/>
      <c r="X185" s="327"/>
      <c r="Y185" s="381"/>
      <c r="Z185" s="327"/>
      <c r="AA185" s="381"/>
      <c r="AB185" s="326"/>
      <c r="AC185" s="326"/>
      <c r="AD185" s="327"/>
      <c r="AE185" s="381"/>
      <c r="AF185" s="326"/>
      <c r="AG185" s="327"/>
      <c r="AH185" s="381"/>
      <c r="AI185" s="326"/>
      <c r="AJ185" s="327"/>
      <c r="AK185" s="381"/>
      <c r="AL185" s="326"/>
      <c r="AM185" s="326"/>
      <c r="AN185" s="327"/>
      <c r="AO185" s="381"/>
      <c r="AP185" s="326"/>
      <c r="AQ185" s="326"/>
      <c r="AR185" s="326"/>
      <c r="AS185" s="326"/>
      <c r="AT185" s="326"/>
      <c r="AU185" s="326"/>
      <c r="AV185" s="327"/>
      <c r="AW185" s="686"/>
      <c r="AX185" s="326"/>
      <c r="AY185" s="327"/>
      <c r="AZ185" s="381"/>
      <c r="BA185" s="326"/>
      <c r="BB185" s="326"/>
      <c r="BC185" s="326"/>
      <c r="BD185" s="326"/>
      <c r="BE185" s="326"/>
      <c r="BF185" s="326"/>
      <c r="BG185" s="326"/>
      <c r="BH185" s="326"/>
      <c r="BI185" s="326"/>
      <c r="BJ185" s="326"/>
      <c r="BK185" s="326"/>
      <c r="BL185" s="326"/>
      <c r="BM185" s="326"/>
      <c r="BN185" s="326"/>
      <c r="BO185" s="327"/>
    </row>
    <row r="186" spans="1:67" ht="34.5" customHeight="1" x14ac:dyDescent="0.25">
      <c r="A186" s="87">
        <f t="shared" si="0"/>
        <v>174</v>
      </c>
      <c r="B186" s="386" t="s">
        <v>334</v>
      </c>
      <c r="C186" s="327"/>
      <c r="D186" s="498"/>
      <c r="E186" s="326"/>
      <c r="F186" s="326"/>
      <c r="G186" s="326"/>
      <c r="H186" s="327"/>
      <c r="I186" s="407"/>
      <c r="J186" s="326"/>
      <c r="K186" s="326"/>
      <c r="L186" s="326"/>
      <c r="M186" s="326"/>
      <c r="N186" s="326"/>
      <c r="O186" s="326"/>
      <c r="P186" s="327"/>
      <c r="Q186" s="456"/>
      <c r="R186" s="326"/>
      <c r="S186" s="326"/>
      <c r="T186" s="326"/>
      <c r="U186" s="326"/>
      <c r="V186" s="326"/>
      <c r="W186" s="326"/>
      <c r="X186" s="327"/>
      <c r="Y186" s="407"/>
      <c r="Z186" s="327"/>
      <c r="AA186" s="456"/>
      <c r="AB186" s="326"/>
      <c r="AC186" s="326"/>
      <c r="AD186" s="327"/>
      <c r="AE186" s="407"/>
      <c r="AF186" s="326"/>
      <c r="AG186" s="327"/>
      <c r="AH186" s="456"/>
      <c r="AI186" s="326"/>
      <c r="AJ186" s="327"/>
      <c r="AK186" s="407"/>
      <c r="AL186" s="326"/>
      <c r="AM186" s="326"/>
      <c r="AN186" s="327"/>
      <c r="AO186" s="456"/>
      <c r="AP186" s="326"/>
      <c r="AQ186" s="326"/>
      <c r="AR186" s="326"/>
      <c r="AS186" s="326"/>
      <c r="AT186" s="326"/>
      <c r="AU186" s="326"/>
      <c r="AV186" s="327"/>
      <c r="AW186" s="685"/>
      <c r="AX186" s="326"/>
      <c r="AY186" s="327"/>
      <c r="AZ186" s="456"/>
      <c r="BA186" s="326"/>
      <c r="BB186" s="326"/>
      <c r="BC186" s="326"/>
      <c r="BD186" s="326"/>
      <c r="BE186" s="326"/>
      <c r="BF186" s="326"/>
      <c r="BG186" s="326"/>
      <c r="BH186" s="326"/>
      <c r="BI186" s="326"/>
      <c r="BJ186" s="326"/>
      <c r="BK186" s="326"/>
      <c r="BL186" s="326"/>
      <c r="BM186" s="326"/>
      <c r="BN186" s="326"/>
      <c r="BO186" s="327"/>
    </row>
    <row r="187" spans="1:67" ht="34.5" customHeight="1" x14ac:dyDescent="0.25">
      <c r="A187" s="87">
        <f t="shared" si="0"/>
        <v>175</v>
      </c>
      <c r="B187" s="386" t="s">
        <v>334</v>
      </c>
      <c r="C187" s="327"/>
      <c r="D187" s="687"/>
      <c r="E187" s="326"/>
      <c r="F187" s="326"/>
      <c r="G187" s="326"/>
      <c r="H187" s="327"/>
      <c r="I187" s="381"/>
      <c r="J187" s="326"/>
      <c r="K187" s="326"/>
      <c r="L187" s="326"/>
      <c r="M187" s="326"/>
      <c r="N187" s="326"/>
      <c r="O187" s="326"/>
      <c r="P187" s="327"/>
      <c r="Q187" s="381"/>
      <c r="R187" s="326"/>
      <c r="S187" s="326"/>
      <c r="T187" s="326"/>
      <c r="U187" s="326"/>
      <c r="V187" s="326"/>
      <c r="W187" s="326"/>
      <c r="X187" s="327"/>
      <c r="Y187" s="381"/>
      <c r="Z187" s="327"/>
      <c r="AA187" s="381"/>
      <c r="AB187" s="326"/>
      <c r="AC187" s="326"/>
      <c r="AD187" s="327"/>
      <c r="AE187" s="381"/>
      <c r="AF187" s="326"/>
      <c r="AG187" s="327"/>
      <c r="AH187" s="381"/>
      <c r="AI187" s="326"/>
      <c r="AJ187" s="327"/>
      <c r="AK187" s="381"/>
      <c r="AL187" s="326"/>
      <c r="AM187" s="326"/>
      <c r="AN187" s="327"/>
      <c r="AO187" s="381"/>
      <c r="AP187" s="326"/>
      <c r="AQ187" s="326"/>
      <c r="AR187" s="326"/>
      <c r="AS187" s="326"/>
      <c r="AT187" s="326"/>
      <c r="AU187" s="326"/>
      <c r="AV187" s="327"/>
      <c r="AW187" s="686"/>
      <c r="AX187" s="326"/>
      <c r="AY187" s="327"/>
      <c r="AZ187" s="381"/>
      <c r="BA187" s="326"/>
      <c r="BB187" s="326"/>
      <c r="BC187" s="326"/>
      <c r="BD187" s="326"/>
      <c r="BE187" s="326"/>
      <c r="BF187" s="326"/>
      <c r="BG187" s="326"/>
      <c r="BH187" s="326"/>
      <c r="BI187" s="326"/>
      <c r="BJ187" s="326"/>
      <c r="BK187" s="326"/>
      <c r="BL187" s="326"/>
      <c r="BM187" s="326"/>
      <c r="BN187" s="326"/>
      <c r="BO187" s="327"/>
    </row>
    <row r="188" spans="1:67" ht="34.5" customHeight="1" x14ac:dyDescent="0.25">
      <c r="A188" s="87">
        <f t="shared" si="0"/>
        <v>176</v>
      </c>
      <c r="B188" s="386" t="s">
        <v>334</v>
      </c>
      <c r="C188" s="327"/>
      <c r="D188" s="498"/>
      <c r="E188" s="326"/>
      <c r="F188" s="326"/>
      <c r="G188" s="326"/>
      <c r="H188" s="327"/>
      <c r="I188" s="407"/>
      <c r="J188" s="326"/>
      <c r="K188" s="326"/>
      <c r="L188" s="326"/>
      <c r="M188" s="326"/>
      <c r="N188" s="326"/>
      <c r="O188" s="326"/>
      <c r="P188" s="327"/>
      <c r="Q188" s="456"/>
      <c r="R188" s="326"/>
      <c r="S188" s="326"/>
      <c r="T188" s="326"/>
      <c r="U188" s="326"/>
      <c r="V188" s="326"/>
      <c r="W188" s="326"/>
      <c r="X188" s="327"/>
      <c r="Y188" s="407"/>
      <c r="Z188" s="327"/>
      <c r="AA188" s="456"/>
      <c r="AB188" s="326"/>
      <c r="AC188" s="326"/>
      <c r="AD188" s="327"/>
      <c r="AE188" s="407"/>
      <c r="AF188" s="326"/>
      <c r="AG188" s="327"/>
      <c r="AH188" s="456"/>
      <c r="AI188" s="326"/>
      <c r="AJ188" s="327"/>
      <c r="AK188" s="407"/>
      <c r="AL188" s="326"/>
      <c r="AM188" s="326"/>
      <c r="AN188" s="327"/>
      <c r="AO188" s="456"/>
      <c r="AP188" s="326"/>
      <c r="AQ188" s="326"/>
      <c r="AR188" s="326"/>
      <c r="AS188" s="326"/>
      <c r="AT188" s="326"/>
      <c r="AU188" s="326"/>
      <c r="AV188" s="327"/>
      <c r="AW188" s="685"/>
      <c r="AX188" s="326"/>
      <c r="AY188" s="327"/>
      <c r="AZ188" s="456"/>
      <c r="BA188" s="326"/>
      <c r="BB188" s="326"/>
      <c r="BC188" s="326"/>
      <c r="BD188" s="326"/>
      <c r="BE188" s="326"/>
      <c r="BF188" s="326"/>
      <c r="BG188" s="326"/>
      <c r="BH188" s="326"/>
      <c r="BI188" s="326"/>
      <c r="BJ188" s="326"/>
      <c r="BK188" s="326"/>
      <c r="BL188" s="326"/>
      <c r="BM188" s="326"/>
      <c r="BN188" s="326"/>
      <c r="BO188" s="327"/>
    </row>
    <row r="189" spans="1:67" ht="34.5" customHeight="1" x14ac:dyDescent="0.25">
      <c r="A189" s="87">
        <f t="shared" si="0"/>
        <v>177</v>
      </c>
      <c r="B189" s="386" t="s">
        <v>334</v>
      </c>
      <c r="C189" s="327"/>
      <c r="D189" s="687"/>
      <c r="E189" s="326"/>
      <c r="F189" s="326"/>
      <c r="G189" s="326"/>
      <c r="H189" s="327"/>
      <c r="I189" s="381"/>
      <c r="J189" s="326"/>
      <c r="K189" s="326"/>
      <c r="L189" s="326"/>
      <c r="M189" s="326"/>
      <c r="N189" s="326"/>
      <c r="O189" s="326"/>
      <c r="P189" s="327"/>
      <c r="Q189" s="381"/>
      <c r="R189" s="326"/>
      <c r="S189" s="326"/>
      <c r="T189" s="326"/>
      <c r="U189" s="326"/>
      <c r="V189" s="326"/>
      <c r="W189" s="326"/>
      <c r="X189" s="327"/>
      <c r="Y189" s="381"/>
      <c r="Z189" s="327"/>
      <c r="AA189" s="381"/>
      <c r="AB189" s="326"/>
      <c r="AC189" s="326"/>
      <c r="AD189" s="327"/>
      <c r="AE189" s="381"/>
      <c r="AF189" s="326"/>
      <c r="AG189" s="327"/>
      <c r="AH189" s="381"/>
      <c r="AI189" s="326"/>
      <c r="AJ189" s="327"/>
      <c r="AK189" s="381"/>
      <c r="AL189" s="326"/>
      <c r="AM189" s="326"/>
      <c r="AN189" s="327"/>
      <c r="AO189" s="381"/>
      <c r="AP189" s="326"/>
      <c r="AQ189" s="326"/>
      <c r="AR189" s="326"/>
      <c r="AS189" s="326"/>
      <c r="AT189" s="326"/>
      <c r="AU189" s="326"/>
      <c r="AV189" s="327"/>
      <c r="AW189" s="686"/>
      <c r="AX189" s="326"/>
      <c r="AY189" s="327"/>
      <c r="AZ189" s="381"/>
      <c r="BA189" s="326"/>
      <c r="BB189" s="326"/>
      <c r="BC189" s="326"/>
      <c r="BD189" s="326"/>
      <c r="BE189" s="326"/>
      <c r="BF189" s="326"/>
      <c r="BG189" s="326"/>
      <c r="BH189" s="326"/>
      <c r="BI189" s="326"/>
      <c r="BJ189" s="326"/>
      <c r="BK189" s="326"/>
      <c r="BL189" s="326"/>
      <c r="BM189" s="326"/>
      <c r="BN189" s="326"/>
      <c r="BO189" s="327"/>
    </row>
    <row r="190" spans="1:67" ht="34.5" customHeight="1" x14ac:dyDescent="0.25">
      <c r="A190" s="87">
        <f t="shared" si="0"/>
        <v>178</v>
      </c>
      <c r="B190" s="386" t="s">
        <v>334</v>
      </c>
      <c r="C190" s="327"/>
      <c r="D190" s="498"/>
      <c r="E190" s="326"/>
      <c r="F190" s="326"/>
      <c r="G190" s="326"/>
      <c r="H190" s="327"/>
      <c r="I190" s="407"/>
      <c r="J190" s="326"/>
      <c r="K190" s="326"/>
      <c r="L190" s="326"/>
      <c r="M190" s="326"/>
      <c r="N190" s="326"/>
      <c r="O190" s="326"/>
      <c r="P190" s="327"/>
      <c r="Q190" s="456"/>
      <c r="R190" s="326"/>
      <c r="S190" s="326"/>
      <c r="T190" s="326"/>
      <c r="U190" s="326"/>
      <c r="V190" s="326"/>
      <c r="W190" s="326"/>
      <c r="X190" s="327"/>
      <c r="Y190" s="407"/>
      <c r="Z190" s="327"/>
      <c r="AA190" s="456"/>
      <c r="AB190" s="326"/>
      <c r="AC190" s="326"/>
      <c r="AD190" s="327"/>
      <c r="AE190" s="407"/>
      <c r="AF190" s="326"/>
      <c r="AG190" s="327"/>
      <c r="AH190" s="456"/>
      <c r="AI190" s="326"/>
      <c r="AJ190" s="327"/>
      <c r="AK190" s="407"/>
      <c r="AL190" s="326"/>
      <c r="AM190" s="326"/>
      <c r="AN190" s="327"/>
      <c r="AO190" s="456"/>
      <c r="AP190" s="326"/>
      <c r="AQ190" s="326"/>
      <c r="AR190" s="326"/>
      <c r="AS190" s="326"/>
      <c r="AT190" s="326"/>
      <c r="AU190" s="326"/>
      <c r="AV190" s="327"/>
      <c r="AW190" s="685"/>
      <c r="AX190" s="326"/>
      <c r="AY190" s="327"/>
      <c r="AZ190" s="456"/>
      <c r="BA190" s="326"/>
      <c r="BB190" s="326"/>
      <c r="BC190" s="326"/>
      <c r="BD190" s="326"/>
      <c r="BE190" s="326"/>
      <c r="BF190" s="326"/>
      <c r="BG190" s="326"/>
      <c r="BH190" s="326"/>
      <c r="BI190" s="326"/>
      <c r="BJ190" s="326"/>
      <c r="BK190" s="326"/>
      <c r="BL190" s="326"/>
      <c r="BM190" s="326"/>
      <c r="BN190" s="326"/>
      <c r="BO190" s="327"/>
    </row>
    <row r="191" spans="1:67" ht="34.5" customHeight="1" x14ac:dyDescent="0.25">
      <c r="A191" s="87">
        <f t="shared" si="0"/>
        <v>179</v>
      </c>
      <c r="B191" s="386" t="s">
        <v>334</v>
      </c>
      <c r="C191" s="327"/>
      <c r="D191" s="687"/>
      <c r="E191" s="326"/>
      <c r="F191" s="326"/>
      <c r="G191" s="326"/>
      <c r="H191" s="327"/>
      <c r="I191" s="381"/>
      <c r="J191" s="326"/>
      <c r="K191" s="326"/>
      <c r="L191" s="326"/>
      <c r="M191" s="326"/>
      <c r="N191" s="326"/>
      <c r="O191" s="326"/>
      <c r="P191" s="327"/>
      <c r="Q191" s="381"/>
      <c r="R191" s="326"/>
      <c r="S191" s="326"/>
      <c r="T191" s="326"/>
      <c r="U191" s="326"/>
      <c r="V191" s="326"/>
      <c r="W191" s="326"/>
      <c r="X191" s="327"/>
      <c r="Y191" s="381"/>
      <c r="Z191" s="327"/>
      <c r="AA191" s="381"/>
      <c r="AB191" s="326"/>
      <c r="AC191" s="326"/>
      <c r="AD191" s="327"/>
      <c r="AE191" s="381"/>
      <c r="AF191" s="326"/>
      <c r="AG191" s="327"/>
      <c r="AH191" s="381"/>
      <c r="AI191" s="326"/>
      <c r="AJ191" s="327"/>
      <c r="AK191" s="381"/>
      <c r="AL191" s="326"/>
      <c r="AM191" s="326"/>
      <c r="AN191" s="327"/>
      <c r="AO191" s="381"/>
      <c r="AP191" s="326"/>
      <c r="AQ191" s="326"/>
      <c r="AR191" s="326"/>
      <c r="AS191" s="326"/>
      <c r="AT191" s="326"/>
      <c r="AU191" s="326"/>
      <c r="AV191" s="327"/>
      <c r="AW191" s="686"/>
      <c r="AX191" s="326"/>
      <c r="AY191" s="327"/>
      <c r="AZ191" s="381"/>
      <c r="BA191" s="326"/>
      <c r="BB191" s="326"/>
      <c r="BC191" s="326"/>
      <c r="BD191" s="326"/>
      <c r="BE191" s="326"/>
      <c r="BF191" s="326"/>
      <c r="BG191" s="326"/>
      <c r="BH191" s="326"/>
      <c r="BI191" s="326"/>
      <c r="BJ191" s="326"/>
      <c r="BK191" s="326"/>
      <c r="BL191" s="326"/>
      <c r="BM191" s="326"/>
      <c r="BN191" s="326"/>
      <c r="BO191" s="327"/>
    </row>
    <row r="192" spans="1:67" ht="34.5" customHeight="1" x14ac:dyDescent="0.25">
      <c r="A192" s="87">
        <f t="shared" si="0"/>
        <v>180</v>
      </c>
      <c r="B192" s="386" t="s">
        <v>334</v>
      </c>
      <c r="C192" s="327"/>
      <c r="D192" s="498"/>
      <c r="E192" s="326"/>
      <c r="F192" s="326"/>
      <c r="G192" s="326"/>
      <c r="H192" s="327"/>
      <c r="I192" s="407"/>
      <c r="J192" s="326"/>
      <c r="K192" s="326"/>
      <c r="L192" s="326"/>
      <c r="M192" s="326"/>
      <c r="N192" s="326"/>
      <c r="O192" s="326"/>
      <c r="P192" s="327"/>
      <c r="Q192" s="456"/>
      <c r="R192" s="326"/>
      <c r="S192" s="326"/>
      <c r="T192" s="326"/>
      <c r="U192" s="326"/>
      <c r="V192" s="326"/>
      <c r="W192" s="326"/>
      <c r="X192" s="327"/>
      <c r="Y192" s="407"/>
      <c r="Z192" s="327"/>
      <c r="AA192" s="456"/>
      <c r="AB192" s="326"/>
      <c r="AC192" s="326"/>
      <c r="AD192" s="327"/>
      <c r="AE192" s="407"/>
      <c r="AF192" s="326"/>
      <c r="AG192" s="327"/>
      <c r="AH192" s="456"/>
      <c r="AI192" s="326"/>
      <c r="AJ192" s="327"/>
      <c r="AK192" s="407"/>
      <c r="AL192" s="326"/>
      <c r="AM192" s="326"/>
      <c r="AN192" s="327"/>
      <c r="AO192" s="456"/>
      <c r="AP192" s="326"/>
      <c r="AQ192" s="326"/>
      <c r="AR192" s="326"/>
      <c r="AS192" s="326"/>
      <c r="AT192" s="326"/>
      <c r="AU192" s="326"/>
      <c r="AV192" s="327"/>
      <c r="AW192" s="685"/>
      <c r="AX192" s="326"/>
      <c r="AY192" s="327"/>
      <c r="AZ192" s="456"/>
      <c r="BA192" s="326"/>
      <c r="BB192" s="326"/>
      <c r="BC192" s="326"/>
      <c r="BD192" s="326"/>
      <c r="BE192" s="326"/>
      <c r="BF192" s="326"/>
      <c r="BG192" s="326"/>
      <c r="BH192" s="326"/>
      <c r="BI192" s="326"/>
      <c r="BJ192" s="326"/>
      <c r="BK192" s="326"/>
      <c r="BL192" s="326"/>
      <c r="BM192" s="326"/>
      <c r="BN192" s="326"/>
      <c r="BO192" s="327"/>
    </row>
    <row r="193" spans="1:67" ht="34.5" customHeight="1" x14ac:dyDescent="0.25">
      <c r="A193" s="87">
        <f t="shared" si="0"/>
        <v>181</v>
      </c>
      <c r="B193" s="386" t="s">
        <v>334</v>
      </c>
      <c r="C193" s="327"/>
      <c r="D193" s="687"/>
      <c r="E193" s="326"/>
      <c r="F193" s="326"/>
      <c r="G193" s="326"/>
      <c r="H193" s="327"/>
      <c r="I193" s="381"/>
      <c r="J193" s="326"/>
      <c r="K193" s="326"/>
      <c r="L193" s="326"/>
      <c r="M193" s="326"/>
      <c r="N193" s="326"/>
      <c r="O193" s="326"/>
      <c r="P193" s="327"/>
      <c r="Q193" s="381"/>
      <c r="R193" s="326"/>
      <c r="S193" s="326"/>
      <c r="T193" s="326"/>
      <c r="U193" s="326"/>
      <c r="V193" s="326"/>
      <c r="W193" s="326"/>
      <c r="X193" s="327"/>
      <c r="Y193" s="381"/>
      <c r="Z193" s="327"/>
      <c r="AA193" s="381"/>
      <c r="AB193" s="326"/>
      <c r="AC193" s="326"/>
      <c r="AD193" s="327"/>
      <c r="AE193" s="381"/>
      <c r="AF193" s="326"/>
      <c r="AG193" s="327"/>
      <c r="AH193" s="381"/>
      <c r="AI193" s="326"/>
      <c r="AJ193" s="327"/>
      <c r="AK193" s="381"/>
      <c r="AL193" s="326"/>
      <c r="AM193" s="326"/>
      <c r="AN193" s="327"/>
      <c r="AO193" s="381"/>
      <c r="AP193" s="326"/>
      <c r="AQ193" s="326"/>
      <c r="AR193" s="326"/>
      <c r="AS193" s="326"/>
      <c r="AT193" s="326"/>
      <c r="AU193" s="326"/>
      <c r="AV193" s="327"/>
      <c r="AW193" s="686"/>
      <c r="AX193" s="326"/>
      <c r="AY193" s="327"/>
      <c r="AZ193" s="381"/>
      <c r="BA193" s="326"/>
      <c r="BB193" s="326"/>
      <c r="BC193" s="326"/>
      <c r="BD193" s="326"/>
      <c r="BE193" s="326"/>
      <c r="BF193" s="326"/>
      <c r="BG193" s="326"/>
      <c r="BH193" s="326"/>
      <c r="BI193" s="326"/>
      <c r="BJ193" s="326"/>
      <c r="BK193" s="326"/>
      <c r="BL193" s="326"/>
      <c r="BM193" s="326"/>
      <c r="BN193" s="326"/>
      <c r="BO193" s="327"/>
    </row>
    <row r="194" spans="1:67" ht="34.5" customHeight="1" x14ac:dyDescent="0.25">
      <c r="A194" s="87">
        <f t="shared" si="0"/>
        <v>182</v>
      </c>
      <c r="B194" s="688" t="s">
        <v>334</v>
      </c>
      <c r="C194" s="327"/>
      <c r="D194" s="498"/>
      <c r="E194" s="326"/>
      <c r="F194" s="326"/>
      <c r="G194" s="326"/>
      <c r="H194" s="327"/>
      <c r="I194" s="407"/>
      <c r="J194" s="326"/>
      <c r="K194" s="326"/>
      <c r="L194" s="326"/>
      <c r="M194" s="326"/>
      <c r="N194" s="326"/>
      <c r="O194" s="326"/>
      <c r="P194" s="327"/>
      <c r="Q194" s="456"/>
      <c r="R194" s="326"/>
      <c r="S194" s="326"/>
      <c r="T194" s="326"/>
      <c r="U194" s="326"/>
      <c r="V194" s="326"/>
      <c r="W194" s="326"/>
      <c r="X194" s="327"/>
      <c r="Y194" s="407"/>
      <c r="Z194" s="327"/>
      <c r="AA194" s="456"/>
      <c r="AB194" s="326"/>
      <c r="AC194" s="326"/>
      <c r="AD194" s="327"/>
      <c r="AE194" s="407"/>
      <c r="AF194" s="326"/>
      <c r="AG194" s="327"/>
      <c r="AH194" s="456"/>
      <c r="AI194" s="326"/>
      <c r="AJ194" s="327"/>
      <c r="AK194" s="407"/>
      <c r="AL194" s="326"/>
      <c r="AM194" s="326"/>
      <c r="AN194" s="327"/>
      <c r="AO194" s="456"/>
      <c r="AP194" s="326"/>
      <c r="AQ194" s="326"/>
      <c r="AR194" s="326"/>
      <c r="AS194" s="326"/>
      <c r="AT194" s="326"/>
      <c r="AU194" s="326"/>
      <c r="AV194" s="327"/>
      <c r="AW194" s="685"/>
      <c r="AX194" s="326"/>
      <c r="AY194" s="327"/>
      <c r="AZ194" s="456"/>
      <c r="BA194" s="326"/>
      <c r="BB194" s="326"/>
      <c r="BC194" s="326"/>
      <c r="BD194" s="326"/>
      <c r="BE194" s="326"/>
      <c r="BF194" s="326"/>
      <c r="BG194" s="326"/>
      <c r="BH194" s="326"/>
      <c r="BI194" s="326"/>
      <c r="BJ194" s="326"/>
      <c r="BK194" s="326"/>
      <c r="BL194" s="326"/>
      <c r="BM194" s="326"/>
      <c r="BN194" s="326"/>
      <c r="BO194" s="327"/>
    </row>
    <row r="195" spans="1:67" ht="34.5" customHeight="1" x14ac:dyDescent="0.25">
      <c r="A195" s="87">
        <f t="shared" si="0"/>
        <v>183</v>
      </c>
      <c r="B195" s="386" t="s">
        <v>334</v>
      </c>
      <c r="C195" s="327"/>
      <c r="D195" s="687"/>
      <c r="E195" s="326"/>
      <c r="F195" s="326"/>
      <c r="G195" s="326"/>
      <c r="H195" s="327"/>
      <c r="I195" s="381"/>
      <c r="J195" s="326"/>
      <c r="K195" s="326"/>
      <c r="L195" s="326"/>
      <c r="M195" s="326"/>
      <c r="N195" s="326"/>
      <c r="O195" s="326"/>
      <c r="P195" s="327"/>
      <c r="Q195" s="381"/>
      <c r="R195" s="326"/>
      <c r="S195" s="326"/>
      <c r="T195" s="326"/>
      <c r="U195" s="326"/>
      <c r="V195" s="326"/>
      <c r="W195" s="326"/>
      <c r="X195" s="327"/>
      <c r="Y195" s="381"/>
      <c r="Z195" s="327"/>
      <c r="AA195" s="381"/>
      <c r="AB195" s="326"/>
      <c r="AC195" s="326"/>
      <c r="AD195" s="327"/>
      <c r="AE195" s="381"/>
      <c r="AF195" s="326"/>
      <c r="AG195" s="327"/>
      <c r="AH195" s="381"/>
      <c r="AI195" s="326"/>
      <c r="AJ195" s="327"/>
      <c r="AK195" s="381"/>
      <c r="AL195" s="326"/>
      <c r="AM195" s="326"/>
      <c r="AN195" s="327"/>
      <c r="AO195" s="381"/>
      <c r="AP195" s="326"/>
      <c r="AQ195" s="326"/>
      <c r="AR195" s="326"/>
      <c r="AS195" s="326"/>
      <c r="AT195" s="326"/>
      <c r="AU195" s="326"/>
      <c r="AV195" s="327"/>
      <c r="AW195" s="686"/>
      <c r="AX195" s="326"/>
      <c r="AY195" s="327"/>
      <c r="AZ195" s="381"/>
      <c r="BA195" s="326"/>
      <c r="BB195" s="326"/>
      <c r="BC195" s="326"/>
      <c r="BD195" s="326"/>
      <c r="BE195" s="326"/>
      <c r="BF195" s="326"/>
      <c r="BG195" s="326"/>
      <c r="BH195" s="326"/>
      <c r="BI195" s="326"/>
      <c r="BJ195" s="326"/>
      <c r="BK195" s="326"/>
      <c r="BL195" s="326"/>
      <c r="BM195" s="326"/>
      <c r="BN195" s="326"/>
      <c r="BO195" s="327"/>
    </row>
    <row r="196" spans="1:67" ht="34.5" customHeight="1" x14ac:dyDescent="0.25">
      <c r="A196" s="87">
        <f t="shared" si="0"/>
        <v>184</v>
      </c>
      <c r="B196" s="386" t="s">
        <v>334</v>
      </c>
      <c r="C196" s="327"/>
      <c r="D196" s="498"/>
      <c r="E196" s="326"/>
      <c r="F196" s="326"/>
      <c r="G196" s="326"/>
      <c r="H196" s="327"/>
      <c r="I196" s="407"/>
      <c r="J196" s="326"/>
      <c r="K196" s="326"/>
      <c r="L196" s="326"/>
      <c r="M196" s="326"/>
      <c r="N196" s="326"/>
      <c r="O196" s="326"/>
      <c r="P196" s="327"/>
      <c r="Q196" s="456"/>
      <c r="R196" s="326"/>
      <c r="S196" s="326"/>
      <c r="T196" s="326"/>
      <c r="U196" s="326"/>
      <c r="V196" s="326"/>
      <c r="W196" s="326"/>
      <c r="X196" s="327"/>
      <c r="Y196" s="407"/>
      <c r="Z196" s="327"/>
      <c r="AA196" s="456"/>
      <c r="AB196" s="326"/>
      <c r="AC196" s="326"/>
      <c r="AD196" s="327"/>
      <c r="AE196" s="407"/>
      <c r="AF196" s="326"/>
      <c r="AG196" s="327"/>
      <c r="AH196" s="456"/>
      <c r="AI196" s="326"/>
      <c r="AJ196" s="327"/>
      <c r="AK196" s="407"/>
      <c r="AL196" s="326"/>
      <c r="AM196" s="326"/>
      <c r="AN196" s="327"/>
      <c r="AO196" s="456"/>
      <c r="AP196" s="326"/>
      <c r="AQ196" s="326"/>
      <c r="AR196" s="326"/>
      <c r="AS196" s="326"/>
      <c r="AT196" s="326"/>
      <c r="AU196" s="326"/>
      <c r="AV196" s="327"/>
      <c r="AW196" s="685"/>
      <c r="AX196" s="326"/>
      <c r="AY196" s="327"/>
      <c r="AZ196" s="456"/>
      <c r="BA196" s="326"/>
      <c r="BB196" s="326"/>
      <c r="BC196" s="326"/>
      <c r="BD196" s="326"/>
      <c r="BE196" s="326"/>
      <c r="BF196" s="326"/>
      <c r="BG196" s="326"/>
      <c r="BH196" s="326"/>
      <c r="BI196" s="326"/>
      <c r="BJ196" s="326"/>
      <c r="BK196" s="326"/>
      <c r="BL196" s="326"/>
      <c r="BM196" s="326"/>
      <c r="BN196" s="326"/>
      <c r="BO196" s="327"/>
    </row>
    <row r="197" spans="1:67" ht="34.5" customHeight="1" x14ac:dyDescent="0.25">
      <c r="A197" s="87">
        <f t="shared" si="0"/>
        <v>185</v>
      </c>
      <c r="B197" s="386" t="s">
        <v>334</v>
      </c>
      <c r="C197" s="327"/>
      <c r="D197" s="687"/>
      <c r="E197" s="326"/>
      <c r="F197" s="326"/>
      <c r="G197" s="326"/>
      <c r="H197" s="327"/>
      <c r="I197" s="381"/>
      <c r="J197" s="326"/>
      <c r="K197" s="326"/>
      <c r="L197" s="326"/>
      <c r="M197" s="326"/>
      <c r="N197" s="326"/>
      <c r="O197" s="326"/>
      <c r="P197" s="327"/>
      <c r="Q197" s="381"/>
      <c r="R197" s="326"/>
      <c r="S197" s="326"/>
      <c r="T197" s="326"/>
      <c r="U197" s="326"/>
      <c r="V197" s="326"/>
      <c r="W197" s="326"/>
      <c r="X197" s="327"/>
      <c r="Y197" s="381"/>
      <c r="Z197" s="327"/>
      <c r="AA197" s="381"/>
      <c r="AB197" s="326"/>
      <c r="AC197" s="326"/>
      <c r="AD197" s="327"/>
      <c r="AE197" s="381"/>
      <c r="AF197" s="326"/>
      <c r="AG197" s="327"/>
      <c r="AH197" s="381"/>
      <c r="AI197" s="326"/>
      <c r="AJ197" s="327"/>
      <c r="AK197" s="381"/>
      <c r="AL197" s="326"/>
      <c r="AM197" s="326"/>
      <c r="AN197" s="327"/>
      <c r="AO197" s="381"/>
      <c r="AP197" s="326"/>
      <c r="AQ197" s="326"/>
      <c r="AR197" s="326"/>
      <c r="AS197" s="326"/>
      <c r="AT197" s="326"/>
      <c r="AU197" s="326"/>
      <c r="AV197" s="327"/>
      <c r="AW197" s="686"/>
      <c r="AX197" s="326"/>
      <c r="AY197" s="327"/>
      <c r="AZ197" s="381"/>
      <c r="BA197" s="326"/>
      <c r="BB197" s="326"/>
      <c r="BC197" s="326"/>
      <c r="BD197" s="326"/>
      <c r="BE197" s="326"/>
      <c r="BF197" s="326"/>
      <c r="BG197" s="326"/>
      <c r="BH197" s="326"/>
      <c r="BI197" s="326"/>
      <c r="BJ197" s="326"/>
      <c r="BK197" s="326"/>
      <c r="BL197" s="326"/>
      <c r="BM197" s="326"/>
      <c r="BN197" s="326"/>
      <c r="BO197" s="327"/>
    </row>
    <row r="198" spans="1:67" ht="34.5" customHeight="1" x14ac:dyDescent="0.25">
      <c r="A198" s="87">
        <f t="shared" si="0"/>
        <v>186</v>
      </c>
      <c r="B198" s="386" t="s">
        <v>334</v>
      </c>
      <c r="C198" s="327"/>
      <c r="D198" s="498"/>
      <c r="E198" s="326"/>
      <c r="F198" s="326"/>
      <c r="G198" s="326"/>
      <c r="H198" s="327"/>
      <c r="I198" s="407"/>
      <c r="J198" s="326"/>
      <c r="K198" s="326"/>
      <c r="L198" s="326"/>
      <c r="M198" s="326"/>
      <c r="N198" s="326"/>
      <c r="O198" s="326"/>
      <c r="P198" s="327"/>
      <c r="Q198" s="456"/>
      <c r="R198" s="326"/>
      <c r="S198" s="326"/>
      <c r="T198" s="326"/>
      <c r="U198" s="326"/>
      <c r="V198" s="326"/>
      <c r="W198" s="326"/>
      <c r="X198" s="327"/>
      <c r="Y198" s="407"/>
      <c r="Z198" s="327"/>
      <c r="AA198" s="456"/>
      <c r="AB198" s="326"/>
      <c r="AC198" s="326"/>
      <c r="AD198" s="327"/>
      <c r="AE198" s="407"/>
      <c r="AF198" s="326"/>
      <c r="AG198" s="327"/>
      <c r="AH198" s="456"/>
      <c r="AI198" s="326"/>
      <c r="AJ198" s="327"/>
      <c r="AK198" s="407"/>
      <c r="AL198" s="326"/>
      <c r="AM198" s="326"/>
      <c r="AN198" s="327"/>
      <c r="AO198" s="456"/>
      <c r="AP198" s="326"/>
      <c r="AQ198" s="326"/>
      <c r="AR198" s="326"/>
      <c r="AS198" s="326"/>
      <c r="AT198" s="326"/>
      <c r="AU198" s="326"/>
      <c r="AV198" s="327"/>
      <c r="AW198" s="685"/>
      <c r="AX198" s="326"/>
      <c r="AY198" s="327"/>
      <c r="AZ198" s="456"/>
      <c r="BA198" s="326"/>
      <c r="BB198" s="326"/>
      <c r="BC198" s="326"/>
      <c r="BD198" s="326"/>
      <c r="BE198" s="326"/>
      <c r="BF198" s="326"/>
      <c r="BG198" s="326"/>
      <c r="BH198" s="326"/>
      <c r="BI198" s="326"/>
      <c r="BJ198" s="326"/>
      <c r="BK198" s="326"/>
      <c r="BL198" s="326"/>
      <c r="BM198" s="326"/>
      <c r="BN198" s="326"/>
      <c r="BO198" s="327"/>
    </row>
    <row r="199" spans="1:67" ht="34.5" customHeight="1" x14ac:dyDescent="0.25">
      <c r="A199" s="87">
        <f t="shared" si="0"/>
        <v>187</v>
      </c>
      <c r="B199" s="386" t="s">
        <v>334</v>
      </c>
      <c r="C199" s="327"/>
      <c r="D199" s="687"/>
      <c r="E199" s="326"/>
      <c r="F199" s="326"/>
      <c r="G199" s="326"/>
      <c r="H199" s="327"/>
      <c r="I199" s="381"/>
      <c r="J199" s="326"/>
      <c r="K199" s="326"/>
      <c r="L199" s="326"/>
      <c r="M199" s="326"/>
      <c r="N199" s="326"/>
      <c r="O199" s="326"/>
      <c r="P199" s="327"/>
      <c r="Q199" s="381"/>
      <c r="R199" s="326"/>
      <c r="S199" s="326"/>
      <c r="T199" s="326"/>
      <c r="U199" s="326"/>
      <c r="V199" s="326"/>
      <c r="W199" s="326"/>
      <c r="X199" s="327"/>
      <c r="Y199" s="381"/>
      <c r="Z199" s="327"/>
      <c r="AA199" s="381"/>
      <c r="AB199" s="326"/>
      <c r="AC199" s="326"/>
      <c r="AD199" s="327"/>
      <c r="AE199" s="381"/>
      <c r="AF199" s="326"/>
      <c r="AG199" s="327"/>
      <c r="AH199" s="381"/>
      <c r="AI199" s="326"/>
      <c r="AJ199" s="327"/>
      <c r="AK199" s="381"/>
      <c r="AL199" s="326"/>
      <c r="AM199" s="326"/>
      <c r="AN199" s="327"/>
      <c r="AO199" s="381"/>
      <c r="AP199" s="326"/>
      <c r="AQ199" s="326"/>
      <c r="AR199" s="326"/>
      <c r="AS199" s="326"/>
      <c r="AT199" s="326"/>
      <c r="AU199" s="326"/>
      <c r="AV199" s="327"/>
      <c r="AW199" s="686"/>
      <c r="AX199" s="326"/>
      <c r="AY199" s="327"/>
      <c r="AZ199" s="381"/>
      <c r="BA199" s="326"/>
      <c r="BB199" s="326"/>
      <c r="BC199" s="326"/>
      <c r="BD199" s="326"/>
      <c r="BE199" s="326"/>
      <c r="BF199" s="326"/>
      <c r="BG199" s="326"/>
      <c r="BH199" s="326"/>
      <c r="BI199" s="326"/>
      <c r="BJ199" s="326"/>
      <c r="BK199" s="326"/>
      <c r="BL199" s="326"/>
      <c r="BM199" s="326"/>
      <c r="BN199" s="326"/>
      <c r="BO199" s="327"/>
    </row>
    <row r="200" spans="1:67" ht="34.5" customHeight="1" x14ac:dyDescent="0.25">
      <c r="A200" s="87">
        <f t="shared" si="0"/>
        <v>188</v>
      </c>
      <c r="B200" s="386" t="s">
        <v>334</v>
      </c>
      <c r="C200" s="327"/>
      <c r="D200" s="498"/>
      <c r="E200" s="326"/>
      <c r="F200" s="326"/>
      <c r="G200" s="326"/>
      <c r="H200" s="327"/>
      <c r="I200" s="407"/>
      <c r="J200" s="326"/>
      <c r="K200" s="326"/>
      <c r="L200" s="326"/>
      <c r="M200" s="326"/>
      <c r="N200" s="326"/>
      <c r="O200" s="326"/>
      <c r="P200" s="327"/>
      <c r="Q200" s="456"/>
      <c r="R200" s="326"/>
      <c r="S200" s="326"/>
      <c r="T200" s="326"/>
      <c r="U200" s="326"/>
      <c r="V200" s="326"/>
      <c r="W200" s="326"/>
      <c r="X200" s="327"/>
      <c r="Y200" s="407"/>
      <c r="Z200" s="327"/>
      <c r="AA200" s="456"/>
      <c r="AB200" s="326"/>
      <c r="AC200" s="326"/>
      <c r="AD200" s="327"/>
      <c r="AE200" s="407"/>
      <c r="AF200" s="326"/>
      <c r="AG200" s="327"/>
      <c r="AH200" s="456"/>
      <c r="AI200" s="326"/>
      <c r="AJ200" s="327"/>
      <c r="AK200" s="407"/>
      <c r="AL200" s="326"/>
      <c r="AM200" s="326"/>
      <c r="AN200" s="327"/>
      <c r="AO200" s="456"/>
      <c r="AP200" s="326"/>
      <c r="AQ200" s="326"/>
      <c r="AR200" s="326"/>
      <c r="AS200" s="326"/>
      <c r="AT200" s="326"/>
      <c r="AU200" s="326"/>
      <c r="AV200" s="327"/>
      <c r="AW200" s="685"/>
      <c r="AX200" s="326"/>
      <c r="AY200" s="327"/>
      <c r="AZ200" s="456"/>
      <c r="BA200" s="326"/>
      <c r="BB200" s="326"/>
      <c r="BC200" s="326"/>
      <c r="BD200" s="326"/>
      <c r="BE200" s="326"/>
      <c r="BF200" s="326"/>
      <c r="BG200" s="326"/>
      <c r="BH200" s="326"/>
      <c r="BI200" s="326"/>
      <c r="BJ200" s="326"/>
      <c r="BK200" s="326"/>
      <c r="BL200" s="326"/>
      <c r="BM200" s="326"/>
      <c r="BN200" s="326"/>
      <c r="BO200" s="327"/>
    </row>
    <row r="201" spans="1:67" ht="34.5" customHeight="1" x14ac:dyDescent="0.25">
      <c r="A201" s="87">
        <f t="shared" si="0"/>
        <v>189</v>
      </c>
      <c r="B201" s="386" t="s">
        <v>334</v>
      </c>
      <c r="C201" s="327"/>
      <c r="D201" s="687"/>
      <c r="E201" s="326"/>
      <c r="F201" s="326"/>
      <c r="G201" s="326"/>
      <c r="H201" s="327"/>
      <c r="I201" s="381"/>
      <c r="J201" s="326"/>
      <c r="K201" s="326"/>
      <c r="L201" s="326"/>
      <c r="M201" s="326"/>
      <c r="N201" s="326"/>
      <c r="O201" s="326"/>
      <c r="P201" s="327"/>
      <c r="Q201" s="381"/>
      <c r="R201" s="326"/>
      <c r="S201" s="326"/>
      <c r="T201" s="326"/>
      <c r="U201" s="326"/>
      <c r="V201" s="326"/>
      <c r="W201" s="326"/>
      <c r="X201" s="327"/>
      <c r="Y201" s="381"/>
      <c r="Z201" s="327"/>
      <c r="AA201" s="381"/>
      <c r="AB201" s="326"/>
      <c r="AC201" s="326"/>
      <c r="AD201" s="327"/>
      <c r="AE201" s="381"/>
      <c r="AF201" s="326"/>
      <c r="AG201" s="327"/>
      <c r="AH201" s="381"/>
      <c r="AI201" s="326"/>
      <c r="AJ201" s="327"/>
      <c r="AK201" s="381"/>
      <c r="AL201" s="326"/>
      <c r="AM201" s="326"/>
      <c r="AN201" s="327"/>
      <c r="AO201" s="381"/>
      <c r="AP201" s="326"/>
      <c r="AQ201" s="326"/>
      <c r="AR201" s="326"/>
      <c r="AS201" s="326"/>
      <c r="AT201" s="326"/>
      <c r="AU201" s="326"/>
      <c r="AV201" s="327"/>
      <c r="AW201" s="686"/>
      <c r="AX201" s="326"/>
      <c r="AY201" s="327"/>
      <c r="AZ201" s="381"/>
      <c r="BA201" s="326"/>
      <c r="BB201" s="326"/>
      <c r="BC201" s="326"/>
      <c r="BD201" s="326"/>
      <c r="BE201" s="326"/>
      <c r="BF201" s="326"/>
      <c r="BG201" s="326"/>
      <c r="BH201" s="326"/>
      <c r="BI201" s="326"/>
      <c r="BJ201" s="326"/>
      <c r="BK201" s="326"/>
      <c r="BL201" s="326"/>
      <c r="BM201" s="326"/>
      <c r="BN201" s="326"/>
      <c r="BO201" s="327"/>
    </row>
    <row r="202" spans="1:67" ht="34.5" customHeight="1" x14ac:dyDescent="0.25">
      <c r="A202" s="87">
        <f t="shared" si="0"/>
        <v>190</v>
      </c>
      <c r="B202" s="386" t="s">
        <v>334</v>
      </c>
      <c r="C202" s="327"/>
      <c r="D202" s="498"/>
      <c r="E202" s="326"/>
      <c r="F202" s="326"/>
      <c r="G202" s="326"/>
      <c r="H202" s="327"/>
      <c r="I202" s="407"/>
      <c r="J202" s="326"/>
      <c r="K202" s="326"/>
      <c r="L202" s="326"/>
      <c r="M202" s="326"/>
      <c r="N202" s="326"/>
      <c r="O202" s="326"/>
      <c r="P202" s="327"/>
      <c r="Q202" s="456"/>
      <c r="R202" s="326"/>
      <c r="S202" s="326"/>
      <c r="T202" s="326"/>
      <c r="U202" s="326"/>
      <c r="V202" s="326"/>
      <c r="W202" s="326"/>
      <c r="X202" s="327"/>
      <c r="Y202" s="407"/>
      <c r="Z202" s="327"/>
      <c r="AA202" s="456"/>
      <c r="AB202" s="326"/>
      <c r="AC202" s="326"/>
      <c r="AD202" s="327"/>
      <c r="AE202" s="407"/>
      <c r="AF202" s="326"/>
      <c r="AG202" s="327"/>
      <c r="AH202" s="456"/>
      <c r="AI202" s="326"/>
      <c r="AJ202" s="327"/>
      <c r="AK202" s="407"/>
      <c r="AL202" s="326"/>
      <c r="AM202" s="326"/>
      <c r="AN202" s="327"/>
      <c r="AO202" s="456"/>
      <c r="AP202" s="326"/>
      <c r="AQ202" s="326"/>
      <c r="AR202" s="326"/>
      <c r="AS202" s="326"/>
      <c r="AT202" s="326"/>
      <c r="AU202" s="326"/>
      <c r="AV202" s="327"/>
      <c r="AW202" s="685"/>
      <c r="AX202" s="326"/>
      <c r="AY202" s="327"/>
      <c r="AZ202" s="456"/>
      <c r="BA202" s="326"/>
      <c r="BB202" s="326"/>
      <c r="BC202" s="326"/>
      <c r="BD202" s="326"/>
      <c r="BE202" s="326"/>
      <c r="BF202" s="326"/>
      <c r="BG202" s="326"/>
      <c r="BH202" s="326"/>
      <c r="BI202" s="326"/>
      <c r="BJ202" s="326"/>
      <c r="BK202" s="326"/>
      <c r="BL202" s="326"/>
      <c r="BM202" s="326"/>
      <c r="BN202" s="326"/>
      <c r="BO202" s="327"/>
    </row>
    <row r="203" spans="1:67" ht="34.5" customHeight="1" x14ac:dyDescent="0.25">
      <c r="A203" s="87">
        <f t="shared" si="0"/>
        <v>191</v>
      </c>
      <c r="B203" s="386" t="s">
        <v>334</v>
      </c>
      <c r="C203" s="327"/>
      <c r="D203" s="687"/>
      <c r="E203" s="326"/>
      <c r="F203" s="326"/>
      <c r="G203" s="326"/>
      <c r="H203" s="327"/>
      <c r="I203" s="381"/>
      <c r="J203" s="326"/>
      <c r="K203" s="326"/>
      <c r="L203" s="326"/>
      <c r="M203" s="326"/>
      <c r="N203" s="326"/>
      <c r="O203" s="326"/>
      <c r="P203" s="327"/>
      <c r="Q203" s="381"/>
      <c r="R203" s="326"/>
      <c r="S203" s="326"/>
      <c r="T203" s="326"/>
      <c r="U203" s="326"/>
      <c r="V203" s="326"/>
      <c r="W203" s="326"/>
      <c r="X203" s="327"/>
      <c r="Y203" s="381"/>
      <c r="Z203" s="327"/>
      <c r="AA203" s="381"/>
      <c r="AB203" s="326"/>
      <c r="AC203" s="326"/>
      <c r="AD203" s="327"/>
      <c r="AE203" s="381"/>
      <c r="AF203" s="326"/>
      <c r="AG203" s="327"/>
      <c r="AH203" s="381"/>
      <c r="AI203" s="326"/>
      <c r="AJ203" s="327"/>
      <c r="AK203" s="381"/>
      <c r="AL203" s="326"/>
      <c r="AM203" s="326"/>
      <c r="AN203" s="327"/>
      <c r="AO203" s="381"/>
      <c r="AP203" s="326"/>
      <c r="AQ203" s="326"/>
      <c r="AR203" s="326"/>
      <c r="AS203" s="326"/>
      <c r="AT203" s="326"/>
      <c r="AU203" s="326"/>
      <c r="AV203" s="327"/>
      <c r="AW203" s="686"/>
      <c r="AX203" s="326"/>
      <c r="AY203" s="327"/>
      <c r="AZ203" s="381"/>
      <c r="BA203" s="326"/>
      <c r="BB203" s="326"/>
      <c r="BC203" s="326"/>
      <c r="BD203" s="326"/>
      <c r="BE203" s="326"/>
      <c r="BF203" s="326"/>
      <c r="BG203" s="326"/>
      <c r="BH203" s="326"/>
      <c r="BI203" s="326"/>
      <c r="BJ203" s="326"/>
      <c r="BK203" s="326"/>
      <c r="BL203" s="326"/>
      <c r="BM203" s="326"/>
      <c r="BN203" s="326"/>
      <c r="BO203" s="327"/>
    </row>
    <row r="204" spans="1:67" ht="34.5" customHeight="1" x14ac:dyDescent="0.25">
      <c r="A204" s="87">
        <f t="shared" si="0"/>
        <v>192</v>
      </c>
      <c r="B204" s="386" t="s">
        <v>334</v>
      </c>
      <c r="C204" s="327"/>
      <c r="D204" s="498"/>
      <c r="E204" s="326"/>
      <c r="F204" s="326"/>
      <c r="G204" s="326"/>
      <c r="H204" s="327"/>
      <c r="I204" s="407"/>
      <c r="J204" s="326"/>
      <c r="K204" s="326"/>
      <c r="L204" s="326"/>
      <c r="M204" s="326"/>
      <c r="N204" s="326"/>
      <c r="O204" s="326"/>
      <c r="P204" s="327"/>
      <c r="Q204" s="456"/>
      <c r="R204" s="326"/>
      <c r="S204" s="326"/>
      <c r="T204" s="326"/>
      <c r="U204" s="326"/>
      <c r="V204" s="326"/>
      <c r="W204" s="326"/>
      <c r="X204" s="327"/>
      <c r="Y204" s="407"/>
      <c r="Z204" s="327"/>
      <c r="AA204" s="456"/>
      <c r="AB204" s="326"/>
      <c r="AC204" s="326"/>
      <c r="AD204" s="327"/>
      <c r="AE204" s="407"/>
      <c r="AF204" s="326"/>
      <c r="AG204" s="327"/>
      <c r="AH204" s="456"/>
      <c r="AI204" s="326"/>
      <c r="AJ204" s="327"/>
      <c r="AK204" s="407"/>
      <c r="AL204" s="326"/>
      <c r="AM204" s="326"/>
      <c r="AN204" s="327"/>
      <c r="AO204" s="456"/>
      <c r="AP204" s="326"/>
      <c r="AQ204" s="326"/>
      <c r="AR204" s="326"/>
      <c r="AS204" s="326"/>
      <c r="AT204" s="326"/>
      <c r="AU204" s="326"/>
      <c r="AV204" s="327"/>
      <c r="AW204" s="685"/>
      <c r="AX204" s="326"/>
      <c r="AY204" s="327"/>
      <c r="AZ204" s="456"/>
      <c r="BA204" s="326"/>
      <c r="BB204" s="326"/>
      <c r="BC204" s="326"/>
      <c r="BD204" s="326"/>
      <c r="BE204" s="326"/>
      <c r="BF204" s="326"/>
      <c r="BG204" s="326"/>
      <c r="BH204" s="326"/>
      <c r="BI204" s="326"/>
      <c r="BJ204" s="326"/>
      <c r="BK204" s="326"/>
      <c r="BL204" s="326"/>
      <c r="BM204" s="326"/>
      <c r="BN204" s="326"/>
      <c r="BO204" s="327"/>
    </row>
    <row r="205" spans="1:67" ht="34.5" customHeight="1" x14ac:dyDescent="0.25">
      <c r="A205" s="87">
        <f t="shared" si="0"/>
        <v>193</v>
      </c>
      <c r="B205" s="386" t="s">
        <v>334</v>
      </c>
      <c r="C205" s="327"/>
      <c r="D205" s="687"/>
      <c r="E205" s="326"/>
      <c r="F205" s="326"/>
      <c r="G205" s="326"/>
      <c r="H205" s="327"/>
      <c r="I205" s="381"/>
      <c r="J205" s="326"/>
      <c r="K205" s="326"/>
      <c r="L205" s="326"/>
      <c r="M205" s="326"/>
      <c r="N205" s="326"/>
      <c r="O205" s="326"/>
      <c r="P205" s="327"/>
      <c r="Q205" s="381"/>
      <c r="R205" s="326"/>
      <c r="S205" s="326"/>
      <c r="T205" s="326"/>
      <c r="U205" s="326"/>
      <c r="V205" s="326"/>
      <c r="W205" s="326"/>
      <c r="X205" s="327"/>
      <c r="Y205" s="381"/>
      <c r="Z205" s="327"/>
      <c r="AA205" s="381"/>
      <c r="AB205" s="326"/>
      <c r="AC205" s="326"/>
      <c r="AD205" s="327"/>
      <c r="AE205" s="381"/>
      <c r="AF205" s="326"/>
      <c r="AG205" s="327"/>
      <c r="AH205" s="381"/>
      <c r="AI205" s="326"/>
      <c r="AJ205" s="327"/>
      <c r="AK205" s="381"/>
      <c r="AL205" s="326"/>
      <c r="AM205" s="326"/>
      <c r="AN205" s="327"/>
      <c r="AO205" s="381"/>
      <c r="AP205" s="326"/>
      <c r="AQ205" s="326"/>
      <c r="AR205" s="326"/>
      <c r="AS205" s="326"/>
      <c r="AT205" s="326"/>
      <c r="AU205" s="326"/>
      <c r="AV205" s="327"/>
      <c r="AW205" s="686"/>
      <c r="AX205" s="326"/>
      <c r="AY205" s="327"/>
      <c r="AZ205" s="381"/>
      <c r="BA205" s="326"/>
      <c r="BB205" s="326"/>
      <c r="BC205" s="326"/>
      <c r="BD205" s="326"/>
      <c r="BE205" s="326"/>
      <c r="BF205" s="326"/>
      <c r="BG205" s="326"/>
      <c r="BH205" s="326"/>
      <c r="BI205" s="326"/>
      <c r="BJ205" s="326"/>
      <c r="BK205" s="326"/>
      <c r="BL205" s="326"/>
      <c r="BM205" s="326"/>
      <c r="BN205" s="326"/>
      <c r="BO205" s="327"/>
    </row>
    <row r="206" spans="1:67" ht="34.5" customHeight="1" x14ac:dyDescent="0.25">
      <c r="A206" s="87">
        <f t="shared" si="0"/>
        <v>194</v>
      </c>
      <c r="B206" s="386" t="s">
        <v>334</v>
      </c>
      <c r="C206" s="327"/>
      <c r="D206" s="498"/>
      <c r="E206" s="326"/>
      <c r="F206" s="326"/>
      <c r="G206" s="326"/>
      <c r="H206" s="327"/>
      <c r="I206" s="407"/>
      <c r="J206" s="326"/>
      <c r="K206" s="326"/>
      <c r="L206" s="326"/>
      <c r="M206" s="326"/>
      <c r="N206" s="326"/>
      <c r="O206" s="326"/>
      <c r="P206" s="327"/>
      <c r="Q206" s="456"/>
      <c r="R206" s="326"/>
      <c r="S206" s="326"/>
      <c r="T206" s="326"/>
      <c r="U206" s="326"/>
      <c r="V206" s="326"/>
      <c r="W206" s="326"/>
      <c r="X206" s="327"/>
      <c r="Y206" s="407"/>
      <c r="Z206" s="327"/>
      <c r="AA206" s="456"/>
      <c r="AB206" s="326"/>
      <c r="AC206" s="326"/>
      <c r="AD206" s="327"/>
      <c r="AE206" s="407"/>
      <c r="AF206" s="326"/>
      <c r="AG206" s="327"/>
      <c r="AH206" s="456"/>
      <c r="AI206" s="326"/>
      <c r="AJ206" s="327"/>
      <c r="AK206" s="407"/>
      <c r="AL206" s="326"/>
      <c r="AM206" s="326"/>
      <c r="AN206" s="327"/>
      <c r="AO206" s="456"/>
      <c r="AP206" s="326"/>
      <c r="AQ206" s="326"/>
      <c r="AR206" s="326"/>
      <c r="AS206" s="326"/>
      <c r="AT206" s="326"/>
      <c r="AU206" s="326"/>
      <c r="AV206" s="327"/>
      <c r="AW206" s="685"/>
      <c r="AX206" s="326"/>
      <c r="AY206" s="327"/>
      <c r="AZ206" s="456"/>
      <c r="BA206" s="326"/>
      <c r="BB206" s="326"/>
      <c r="BC206" s="326"/>
      <c r="BD206" s="326"/>
      <c r="BE206" s="326"/>
      <c r="BF206" s="326"/>
      <c r="BG206" s="326"/>
      <c r="BH206" s="326"/>
      <c r="BI206" s="326"/>
      <c r="BJ206" s="326"/>
      <c r="BK206" s="326"/>
      <c r="BL206" s="326"/>
      <c r="BM206" s="326"/>
      <c r="BN206" s="326"/>
      <c r="BO206" s="327"/>
    </row>
    <row r="207" spans="1:67" ht="34.5" customHeight="1" x14ac:dyDescent="0.25">
      <c r="A207" s="87">
        <f t="shared" si="0"/>
        <v>195</v>
      </c>
      <c r="B207" s="386" t="s">
        <v>334</v>
      </c>
      <c r="C207" s="327"/>
      <c r="D207" s="687"/>
      <c r="E207" s="326"/>
      <c r="F207" s="326"/>
      <c r="G207" s="326"/>
      <c r="H207" s="327"/>
      <c r="I207" s="381"/>
      <c r="J207" s="326"/>
      <c r="K207" s="326"/>
      <c r="L207" s="326"/>
      <c r="M207" s="326"/>
      <c r="N207" s="326"/>
      <c r="O207" s="326"/>
      <c r="P207" s="327"/>
      <c r="Q207" s="381"/>
      <c r="R207" s="326"/>
      <c r="S207" s="326"/>
      <c r="T207" s="326"/>
      <c r="U207" s="326"/>
      <c r="V207" s="326"/>
      <c r="W207" s="326"/>
      <c r="X207" s="327"/>
      <c r="Y207" s="381"/>
      <c r="Z207" s="327"/>
      <c r="AA207" s="381"/>
      <c r="AB207" s="326"/>
      <c r="AC207" s="326"/>
      <c r="AD207" s="327"/>
      <c r="AE207" s="381"/>
      <c r="AF207" s="326"/>
      <c r="AG207" s="327"/>
      <c r="AH207" s="381"/>
      <c r="AI207" s="326"/>
      <c r="AJ207" s="327"/>
      <c r="AK207" s="381"/>
      <c r="AL207" s="326"/>
      <c r="AM207" s="326"/>
      <c r="AN207" s="327"/>
      <c r="AO207" s="381"/>
      <c r="AP207" s="326"/>
      <c r="AQ207" s="326"/>
      <c r="AR207" s="326"/>
      <c r="AS207" s="326"/>
      <c r="AT207" s="326"/>
      <c r="AU207" s="326"/>
      <c r="AV207" s="327"/>
      <c r="AW207" s="686"/>
      <c r="AX207" s="326"/>
      <c r="AY207" s="327"/>
      <c r="AZ207" s="381"/>
      <c r="BA207" s="326"/>
      <c r="BB207" s="326"/>
      <c r="BC207" s="326"/>
      <c r="BD207" s="326"/>
      <c r="BE207" s="326"/>
      <c r="BF207" s="326"/>
      <c r="BG207" s="326"/>
      <c r="BH207" s="326"/>
      <c r="BI207" s="326"/>
      <c r="BJ207" s="326"/>
      <c r="BK207" s="326"/>
      <c r="BL207" s="326"/>
      <c r="BM207" s="326"/>
      <c r="BN207" s="326"/>
      <c r="BO207" s="327"/>
    </row>
    <row r="208" spans="1:67" ht="34.5" customHeight="1" x14ac:dyDescent="0.25">
      <c r="A208" s="87">
        <f t="shared" si="0"/>
        <v>196</v>
      </c>
      <c r="B208" s="386" t="s">
        <v>334</v>
      </c>
      <c r="C208" s="327"/>
      <c r="D208" s="498"/>
      <c r="E208" s="326"/>
      <c r="F208" s="326"/>
      <c r="G208" s="326"/>
      <c r="H208" s="327"/>
      <c r="I208" s="407"/>
      <c r="J208" s="326"/>
      <c r="K208" s="326"/>
      <c r="L208" s="326"/>
      <c r="M208" s="326"/>
      <c r="N208" s="326"/>
      <c r="O208" s="326"/>
      <c r="P208" s="327"/>
      <c r="Q208" s="456"/>
      <c r="R208" s="326"/>
      <c r="S208" s="326"/>
      <c r="T208" s="326"/>
      <c r="U208" s="326"/>
      <c r="V208" s="326"/>
      <c r="W208" s="326"/>
      <c r="X208" s="327"/>
      <c r="Y208" s="407"/>
      <c r="Z208" s="327"/>
      <c r="AA208" s="456"/>
      <c r="AB208" s="326"/>
      <c r="AC208" s="326"/>
      <c r="AD208" s="327"/>
      <c r="AE208" s="407"/>
      <c r="AF208" s="326"/>
      <c r="AG208" s="327"/>
      <c r="AH208" s="456"/>
      <c r="AI208" s="326"/>
      <c r="AJ208" s="327"/>
      <c r="AK208" s="407"/>
      <c r="AL208" s="326"/>
      <c r="AM208" s="326"/>
      <c r="AN208" s="327"/>
      <c r="AO208" s="456"/>
      <c r="AP208" s="326"/>
      <c r="AQ208" s="326"/>
      <c r="AR208" s="326"/>
      <c r="AS208" s="326"/>
      <c r="AT208" s="326"/>
      <c r="AU208" s="326"/>
      <c r="AV208" s="327"/>
      <c r="AW208" s="685"/>
      <c r="AX208" s="326"/>
      <c r="AY208" s="327"/>
      <c r="AZ208" s="456"/>
      <c r="BA208" s="326"/>
      <c r="BB208" s="326"/>
      <c r="BC208" s="326"/>
      <c r="BD208" s="326"/>
      <c r="BE208" s="326"/>
      <c r="BF208" s="326"/>
      <c r="BG208" s="326"/>
      <c r="BH208" s="326"/>
      <c r="BI208" s="326"/>
      <c r="BJ208" s="326"/>
      <c r="BK208" s="326"/>
      <c r="BL208" s="326"/>
      <c r="BM208" s="326"/>
      <c r="BN208" s="326"/>
      <c r="BO208" s="327"/>
    </row>
    <row r="209" spans="1:67" ht="34.5" customHeight="1" x14ac:dyDescent="0.25">
      <c r="A209" s="87">
        <f t="shared" si="0"/>
        <v>197</v>
      </c>
      <c r="B209" s="386" t="s">
        <v>334</v>
      </c>
      <c r="C209" s="327"/>
      <c r="D209" s="687"/>
      <c r="E209" s="326"/>
      <c r="F209" s="326"/>
      <c r="G209" s="326"/>
      <c r="H209" s="327"/>
      <c r="I209" s="381"/>
      <c r="J209" s="326"/>
      <c r="K209" s="326"/>
      <c r="L209" s="326"/>
      <c r="M209" s="326"/>
      <c r="N209" s="326"/>
      <c r="O209" s="326"/>
      <c r="P209" s="327"/>
      <c r="Q209" s="381"/>
      <c r="R209" s="326"/>
      <c r="S209" s="326"/>
      <c r="T209" s="326"/>
      <c r="U209" s="326"/>
      <c r="V209" s="326"/>
      <c r="W209" s="326"/>
      <c r="X209" s="327"/>
      <c r="Y209" s="381"/>
      <c r="Z209" s="327"/>
      <c r="AA209" s="381"/>
      <c r="AB209" s="326"/>
      <c r="AC209" s="326"/>
      <c r="AD209" s="327"/>
      <c r="AE209" s="381"/>
      <c r="AF209" s="326"/>
      <c r="AG209" s="327"/>
      <c r="AH209" s="381"/>
      <c r="AI209" s="326"/>
      <c r="AJ209" s="327"/>
      <c r="AK209" s="381"/>
      <c r="AL209" s="326"/>
      <c r="AM209" s="326"/>
      <c r="AN209" s="327"/>
      <c r="AO209" s="381"/>
      <c r="AP209" s="326"/>
      <c r="AQ209" s="326"/>
      <c r="AR209" s="326"/>
      <c r="AS209" s="326"/>
      <c r="AT209" s="326"/>
      <c r="AU209" s="326"/>
      <c r="AV209" s="327"/>
      <c r="AW209" s="686"/>
      <c r="AX209" s="326"/>
      <c r="AY209" s="327"/>
      <c r="AZ209" s="381"/>
      <c r="BA209" s="326"/>
      <c r="BB209" s="326"/>
      <c r="BC209" s="326"/>
      <c r="BD209" s="326"/>
      <c r="BE209" s="326"/>
      <c r="BF209" s="326"/>
      <c r="BG209" s="326"/>
      <c r="BH209" s="326"/>
      <c r="BI209" s="326"/>
      <c r="BJ209" s="326"/>
      <c r="BK209" s="326"/>
      <c r="BL209" s="326"/>
      <c r="BM209" s="326"/>
      <c r="BN209" s="326"/>
      <c r="BO209" s="327"/>
    </row>
    <row r="210" spans="1:67" ht="34.5" customHeight="1" x14ac:dyDescent="0.25">
      <c r="A210" s="87">
        <f t="shared" si="0"/>
        <v>198</v>
      </c>
      <c r="B210" s="386" t="s">
        <v>334</v>
      </c>
      <c r="C210" s="327"/>
      <c r="D210" s="498"/>
      <c r="E210" s="326"/>
      <c r="F210" s="326"/>
      <c r="G210" s="326"/>
      <c r="H210" s="327"/>
      <c r="I210" s="407"/>
      <c r="J210" s="326"/>
      <c r="K210" s="326"/>
      <c r="L210" s="326"/>
      <c r="M210" s="326"/>
      <c r="N210" s="326"/>
      <c r="O210" s="326"/>
      <c r="P210" s="327"/>
      <c r="Q210" s="456"/>
      <c r="R210" s="326"/>
      <c r="S210" s="326"/>
      <c r="T210" s="326"/>
      <c r="U210" s="326"/>
      <c r="V210" s="326"/>
      <c r="W210" s="326"/>
      <c r="X210" s="327"/>
      <c r="Y210" s="407"/>
      <c r="Z210" s="327"/>
      <c r="AA210" s="456"/>
      <c r="AB210" s="326"/>
      <c r="AC210" s="326"/>
      <c r="AD210" s="327"/>
      <c r="AE210" s="407"/>
      <c r="AF210" s="326"/>
      <c r="AG210" s="327"/>
      <c r="AH210" s="456"/>
      <c r="AI210" s="326"/>
      <c r="AJ210" s="327"/>
      <c r="AK210" s="407"/>
      <c r="AL210" s="326"/>
      <c r="AM210" s="326"/>
      <c r="AN210" s="327"/>
      <c r="AO210" s="456"/>
      <c r="AP210" s="326"/>
      <c r="AQ210" s="326"/>
      <c r="AR210" s="326"/>
      <c r="AS210" s="326"/>
      <c r="AT210" s="326"/>
      <c r="AU210" s="326"/>
      <c r="AV210" s="327"/>
      <c r="AW210" s="685"/>
      <c r="AX210" s="326"/>
      <c r="AY210" s="327"/>
      <c r="AZ210" s="456"/>
      <c r="BA210" s="326"/>
      <c r="BB210" s="326"/>
      <c r="BC210" s="326"/>
      <c r="BD210" s="326"/>
      <c r="BE210" s="326"/>
      <c r="BF210" s="326"/>
      <c r="BG210" s="326"/>
      <c r="BH210" s="326"/>
      <c r="BI210" s="326"/>
      <c r="BJ210" s="326"/>
      <c r="BK210" s="326"/>
      <c r="BL210" s="326"/>
      <c r="BM210" s="326"/>
      <c r="BN210" s="326"/>
      <c r="BO210" s="327"/>
    </row>
    <row r="211" spans="1:67" ht="34.5" customHeight="1" x14ac:dyDescent="0.25">
      <c r="A211" s="87">
        <f t="shared" si="0"/>
        <v>199</v>
      </c>
      <c r="B211" s="386" t="s">
        <v>334</v>
      </c>
      <c r="C211" s="327"/>
      <c r="D211" s="687"/>
      <c r="E211" s="326"/>
      <c r="F211" s="326"/>
      <c r="G211" s="326"/>
      <c r="H211" s="327"/>
      <c r="I211" s="381"/>
      <c r="J211" s="326"/>
      <c r="K211" s="326"/>
      <c r="L211" s="326"/>
      <c r="M211" s="326"/>
      <c r="N211" s="326"/>
      <c r="O211" s="326"/>
      <c r="P211" s="327"/>
      <c r="Q211" s="381"/>
      <c r="R211" s="326"/>
      <c r="S211" s="326"/>
      <c r="T211" s="326"/>
      <c r="U211" s="326"/>
      <c r="V211" s="326"/>
      <c r="W211" s="326"/>
      <c r="X211" s="327"/>
      <c r="Y211" s="381"/>
      <c r="Z211" s="327"/>
      <c r="AA211" s="381"/>
      <c r="AB211" s="326"/>
      <c r="AC211" s="326"/>
      <c r="AD211" s="327"/>
      <c r="AE211" s="381"/>
      <c r="AF211" s="326"/>
      <c r="AG211" s="327"/>
      <c r="AH211" s="381"/>
      <c r="AI211" s="326"/>
      <c r="AJ211" s="327"/>
      <c r="AK211" s="381"/>
      <c r="AL211" s="326"/>
      <c r="AM211" s="326"/>
      <c r="AN211" s="327"/>
      <c r="AO211" s="381"/>
      <c r="AP211" s="326"/>
      <c r="AQ211" s="326"/>
      <c r="AR211" s="326"/>
      <c r="AS211" s="326"/>
      <c r="AT211" s="326"/>
      <c r="AU211" s="326"/>
      <c r="AV211" s="327"/>
      <c r="AW211" s="686"/>
      <c r="AX211" s="326"/>
      <c r="AY211" s="327"/>
      <c r="AZ211" s="381"/>
      <c r="BA211" s="326"/>
      <c r="BB211" s="326"/>
      <c r="BC211" s="326"/>
      <c r="BD211" s="326"/>
      <c r="BE211" s="326"/>
      <c r="BF211" s="326"/>
      <c r="BG211" s="326"/>
      <c r="BH211" s="326"/>
      <c r="BI211" s="326"/>
      <c r="BJ211" s="326"/>
      <c r="BK211" s="326"/>
      <c r="BL211" s="326"/>
      <c r="BM211" s="326"/>
      <c r="BN211" s="326"/>
      <c r="BO211" s="327"/>
    </row>
    <row r="212" spans="1:67" ht="34.5" customHeight="1" x14ac:dyDescent="0.25">
      <c r="A212" s="87">
        <f t="shared" si="0"/>
        <v>200</v>
      </c>
      <c r="B212" s="688" t="s">
        <v>334</v>
      </c>
      <c r="C212" s="327"/>
      <c r="D212" s="498"/>
      <c r="E212" s="326"/>
      <c r="F212" s="326"/>
      <c r="G212" s="326"/>
      <c r="H212" s="327"/>
      <c r="I212" s="407"/>
      <c r="J212" s="326"/>
      <c r="K212" s="326"/>
      <c r="L212" s="326"/>
      <c r="M212" s="326"/>
      <c r="N212" s="326"/>
      <c r="O212" s="326"/>
      <c r="P212" s="327"/>
      <c r="Q212" s="456"/>
      <c r="R212" s="326"/>
      <c r="S212" s="326"/>
      <c r="T212" s="326"/>
      <c r="U212" s="326"/>
      <c r="V212" s="326"/>
      <c r="W212" s="326"/>
      <c r="X212" s="327"/>
      <c r="Y212" s="407"/>
      <c r="Z212" s="327"/>
      <c r="AA212" s="456"/>
      <c r="AB212" s="326"/>
      <c r="AC212" s="326"/>
      <c r="AD212" s="327"/>
      <c r="AE212" s="407"/>
      <c r="AF212" s="326"/>
      <c r="AG212" s="327"/>
      <c r="AH212" s="456"/>
      <c r="AI212" s="326"/>
      <c r="AJ212" s="327"/>
      <c r="AK212" s="407"/>
      <c r="AL212" s="326"/>
      <c r="AM212" s="326"/>
      <c r="AN212" s="327"/>
      <c r="AO212" s="456"/>
      <c r="AP212" s="326"/>
      <c r="AQ212" s="326"/>
      <c r="AR212" s="326"/>
      <c r="AS212" s="326"/>
      <c r="AT212" s="326"/>
      <c r="AU212" s="326"/>
      <c r="AV212" s="327"/>
      <c r="AW212" s="685"/>
      <c r="AX212" s="326"/>
      <c r="AY212" s="327"/>
      <c r="AZ212" s="456"/>
      <c r="BA212" s="326"/>
      <c r="BB212" s="326"/>
      <c r="BC212" s="326"/>
      <c r="BD212" s="326"/>
      <c r="BE212" s="326"/>
      <c r="BF212" s="326"/>
      <c r="BG212" s="326"/>
      <c r="BH212" s="326"/>
      <c r="BI212" s="326"/>
      <c r="BJ212" s="326"/>
      <c r="BK212" s="326"/>
      <c r="BL212" s="326"/>
      <c r="BM212" s="326"/>
      <c r="BN212" s="326"/>
      <c r="BO212" s="327"/>
    </row>
    <row r="213" spans="1:67" ht="34.5" customHeight="1" x14ac:dyDescent="0.25">
      <c r="A213" s="87">
        <f t="shared" si="0"/>
        <v>201</v>
      </c>
      <c r="B213" s="386" t="s">
        <v>334</v>
      </c>
      <c r="C213" s="327"/>
      <c r="D213" s="687"/>
      <c r="E213" s="326"/>
      <c r="F213" s="326"/>
      <c r="G213" s="326"/>
      <c r="H213" s="327"/>
      <c r="I213" s="381"/>
      <c r="J213" s="326"/>
      <c r="K213" s="326"/>
      <c r="L213" s="326"/>
      <c r="M213" s="326"/>
      <c r="N213" s="326"/>
      <c r="O213" s="326"/>
      <c r="P213" s="327"/>
      <c r="Q213" s="381"/>
      <c r="R213" s="326"/>
      <c r="S213" s="326"/>
      <c r="T213" s="326"/>
      <c r="U213" s="326"/>
      <c r="V213" s="326"/>
      <c r="W213" s="326"/>
      <c r="X213" s="327"/>
      <c r="Y213" s="381"/>
      <c r="Z213" s="327"/>
      <c r="AA213" s="381"/>
      <c r="AB213" s="326"/>
      <c r="AC213" s="326"/>
      <c r="AD213" s="327"/>
      <c r="AE213" s="381"/>
      <c r="AF213" s="326"/>
      <c r="AG213" s="327"/>
      <c r="AH213" s="381"/>
      <c r="AI213" s="326"/>
      <c r="AJ213" s="327"/>
      <c r="AK213" s="381"/>
      <c r="AL213" s="326"/>
      <c r="AM213" s="326"/>
      <c r="AN213" s="327"/>
      <c r="AO213" s="381"/>
      <c r="AP213" s="326"/>
      <c r="AQ213" s="326"/>
      <c r="AR213" s="326"/>
      <c r="AS213" s="326"/>
      <c r="AT213" s="326"/>
      <c r="AU213" s="326"/>
      <c r="AV213" s="327"/>
      <c r="AW213" s="686"/>
      <c r="AX213" s="326"/>
      <c r="AY213" s="327"/>
      <c r="AZ213" s="381"/>
      <c r="BA213" s="326"/>
      <c r="BB213" s="326"/>
      <c r="BC213" s="326"/>
      <c r="BD213" s="326"/>
      <c r="BE213" s="326"/>
      <c r="BF213" s="326"/>
      <c r="BG213" s="326"/>
      <c r="BH213" s="326"/>
      <c r="BI213" s="326"/>
      <c r="BJ213" s="326"/>
      <c r="BK213" s="326"/>
      <c r="BL213" s="326"/>
      <c r="BM213" s="326"/>
      <c r="BN213" s="326"/>
      <c r="BO213" s="327"/>
    </row>
    <row r="214" spans="1:67" ht="34.5" customHeight="1" x14ac:dyDescent="0.25">
      <c r="A214" s="87">
        <f t="shared" si="0"/>
        <v>202</v>
      </c>
      <c r="B214" s="386" t="s">
        <v>334</v>
      </c>
      <c r="C214" s="327"/>
      <c r="D214" s="498"/>
      <c r="E214" s="326"/>
      <c r="F214" s="326"/>
      <c r="G214" s="326"/>
      <c r="H214" s="327"/>
      <c r="I214" s="407"/>
      <c r="J214" s="326"/>
      <c r="K214" s="326"/>
      <c r="L214" s="326"/>
      <c r="M214" s="326"/>
      <c r="N214" s="326"/>
      <c r="O214" s="326"/>
      <c r="P214" s="327"/>
      <c r="Q214" s="456"/>
      <c r="R214" s="326"/>
      <c r="S214" s="326"/>
      <c r="T214" s="326"/>
      <c r="U214" s="326"/>
      <c r="V214" s="326"/>
      <c r="W214" s="326"/>
      <c r="X214" s="327"/>
      <c r="Y214" s="407"/>
      <c r="Z214" s="327"/>
      <c r="AA214" s="456"/>
      <c r="AB214" s="326"/>
      <c r="AC214" s="326"/>
      <c r="AD214" s="327"/>
      <c r="AE214" s="407"/>
      <c r="AF214" s="326"/>
      <c r="AG214" s="327"/>
      <c r="AH214" s="456"/>
      <c r="AI214" s="326"/>
      <c r="AJ214" s="327"/>
      <c r="AK214" s="407"/>
      <c r="AL214" s="326"/>
      <c r="AM214" s="326"/>
      <c r="AN214" s="327"/>
      <c r="AO214" s="456"/>
      <c r="AP214" s="326"/>
      <c r="AQ214" s="326"/>
      <c r="AR214" s="326"/>
      <c r="AS214" s="326"/>
      <c r="AT214" s="326"/>
      <c r="AU214" s="326"/>
      <c r="AV214" s="327"/>
      <c r="AW214" s="685"/>
      <c r="AX214" s="326"/>
      <c r="AY214" s="327"/>
      <c r="AZ214" s="456"/>
      <c r="BA214" s="326"/>
      <c r="BB214" s="326"/>
      <c r="BC214" s="326"/>
      <c r="BD214" s="326"/>
      <c r="BE214" s="326"/>
      <c r="BF214" s="326"/>
      <c r="BG214" s="326"/>
      <c r="BH214" s="326"/>
      <c r="BI214" s="326"/>
      <c r="BJ214" s="326"/>
      <c r="BK214" s="326"/>
      <c r="BL214" s="326"/>
      <c r="BM214" s="326"/>
      <c r="BN214" s="326"/>
      <c r="BO214" s="327"/>
    </row>
    <row r="215" spans="1:67" ht="34.5" customHeight="1" x14ac:dyDescent="0.25">
      <c r="A215" s="87">
        <f t="shared" si="0"/>
        <v>203</v>
      </c>
      <c r="B215" s="386" t="s">
        <v>334</v>
      </c>
      <c r="C215" s="327"/>
      <c r="D215" s="687"/>
      <c r="E215" s="326"/>
      <c r="F215" s="326"/>
      <c r="G215" s="326"/>
      <c r="H215" s="327"/>
      <c r="I215" s="381"/>
      <c r="J215" s="326"/>
      <c r="K215" s="326"/>
      <c r="L215" s="326"/>
      <c r="M215" s="326"/>
      <c r="N215" s="326"/>
      <c r="O215" s="326"/>
      <c r="P215" s="327"/>
      <c r="Q215" s="381"/>
      <c r="R215" s="326"/>
      <c r="S215" s="326"/>
      <c r="T215" s="326"/>
      <c r="U215" s="326"/>
      <c r="V215" s="326"/>
      <c r="W215" s="326"/>
      <c r="X215" s="327"/>
      <c r="Y215" s="381"/>
      <c r="Z215" s="327"/>
      <c r="AA215" s="381"/>
      <c r="AB215" s="326"/>
      <c r="AC215" s="326"/>
      <c r="AD215" s="327"/>
      <c r="AE215" s="381"/>
      <c r="AF215" s="326"/>
      <c r="AG215" s="327"/>
      <c r="AH215" s="381"/>
      <c r="AI215" s="326"/>
      <c r="AJ215" s="327"/>
      <c r="AK215" s="381"/>
      <c r="AL215" s="326"/>
      <c r="AM215" s="326"/>
      <c r="AN215" s="327"/>
      <c r="AO215" s="381"/>
      <c r="AP215" s="326"/>
      <c r="AQ215" s="326"/>
      <c r="AR215" s="326"/>
      <c r="AS215" s="326"/>
      <c r="AT215" s="326"/>
      <c r="AU215" s="326"/>
      <c r="AV215" s="327"/>
      <c r="AW215" s="686"/>
      <c r="AX215" s="326"/>
      <c r="AY215" s="327"/>
      <c r="AZ215" s="381"/>
      <c r="BA215" s="326"/>
      <c r="BB215" s="326"/>
      <c r="BC215" s="326"/>
      <c r="BD215" s="326"/>
      <c r="BE215" s="326"/>
      <c r="BF215" s="326"/>
      <c r="BG215" s="326"/>
      <c r="BH215" s="326"/>
      <c r="BI215" s="326"/>
      <c r="BJ215" s="326"/>
      <c r="BK215" s="326"/>
      <c r="BL215" s="326"/>
      <c r="BM215" s="326"/>
      <c r="BN215" s="326"/>
      <c r="BO215" s="327"/>
    </row>
    <row r="216" spans="1:67" ht="34.5" customHeight="1" x14ac:dyDescent="0.25">
      <c r="A216" s="87">
        <f t="shared" si="0"/>
        <v>204</v>
      </c>
      <c r="B216" s="386" t="s">
        <v>334</v>
      </c>
      <c r="C216" s="327"/>
      <c r="D216" s="498"/>
      <c r="E216" s="326"/>
      <c r="F216" s="326"/>
      <c r="G216" s="326"/>
      <c r="H216" s="327"/>
      <c r="I216" s="407"/>
      <c r="J216" s="326"/>
      <c r="K216" s="326"/>
      <c r="L216" s="326"/>
      <c r="M216" s="326"/>
      <c r="N216" s="326"/>
      <c r="O216" s="326"/>
      <c r="P216" s="327"/>
      <c r="Q216" s="456"/>
      <c r="R216" s="326"/>
      <c r="S216" s="326"/>
      <c r="T216" s="326"/>
      <c r="U216" s="326"/>
      <c r="V216" s="326"/>
      <c r="W216" s="326"/>
      <c r="X216" s="327"/>
      <c r="Y216" s="407"/>
      <c r="Z216" s="327"/>
      <c r="AA216" s="456"/>
      <c r="AB216" s="326"/>
      <c r="AC216" s="326"/>
      <c r="AD216" s="327"/>
      <c r="AE216" s="407"/>
      <c r="AF216" s="326"/>
      <c r="AG216" s="327"/>
      <c r="AH216" s="456"/>
      <c r="AI216" s="326"/>
      <c r="AJ216" s="327"/>
      <c r="AK216" s="407"/>
      <c r="AL216" s="326"/>
      <c r="AM216" s="326"/>
      <c r="AN216" s="327"/>
      <c r="AO216" s="456"/>
      <c r="AP216" s="326"/>
      <c r="AQ216" s="326"/>
      <c r="AR216" s="326"/>
      <c r="AS216" s="326"/>
      <c r="AT216" s="326"/>
      <c r="AU216" s="326"/>
      <c r="AV216" s="327"/>
      <c r="AW216" s="685"/>
      <c r="AX216" s="326"/>
      <c r="AY216" s="327"/>
      <c r="AZ216" s="456"/>
      <c r="BA216" s="326"/>
      <c r="BB216" s="326"/>
      <c r="BC216" s="326"/>
      <c r="BD216" s="326"/>
      <c r="BE216" s="326"/>
      <c r="BF216" s="326"/>
      <c r="BG216" s="326"/>
      <c r="BH216" s="326"/>
      <c r="BI216" s="326"/>
      <c r="BJ216" s="326"/>
      <c r="BK216" s="326"/>
      <c r="BL216" s="326"/>
      <c r="BM216" s="326"/>
      <c r="BN216" s="326"/>
      <c r="BO216" s="327"/>
    </row>
    <row r="217" spans="1:67" ht="34.5" customHeight="1" x14ac:dyDescent="0.25">
      <c r="A217" s="87">
        <f t="shared" si="0"/>
        <v>205</v>
      </c>
      <c r="B217" s="386" t="s">
        <v>334</v>
      </c>
      <c r="C217" s="327"/>
      <c r="D217" s="687"/>
      <c r="E217" s="326"/>
      <c r="F217" s="326"/>
      <c r="G217" s="326"/>
      <c r="H217" s="327"/>
      <c r="I217" s="381"/>
      <c r="J217" s="326"/>
      <c r="K217" s="326"/>
      <c r="L217" s="326"/>
      <c r="M217" s="326"/>
      <c r="N217" s="326"/>
      <c r="O217" s="326"/>
      <c r="P217" s="327"/>
      <c r="Q217" s="381"/>
      <c r="R217" s="326"/>
      <c r="S217" s="326"/>
      <c r="T217" s="326"/>
      <c r="U217" s="326"/>
      <c r="V217" s="326"/>
      <c r="W217" s="326"/>
      <c r="X217" s="327"/>
      <c r="Y217" s="381"/>
      <c r="Z217" s="327"/>
      <c r="AA217" s="381"/>
      <c r="AB217" s="326"/>
      <c r="AC217" s="326"/>
      <c r="AD217" s="327"/>
      <c r="AE217" s="381"/>
      <c r="AF217" s="326"/>
      <c r="AG217" s="327"/>
      <c r="AH217" s="381"/>
      <c r="AI217" s="326"/>
      <c r="AJ217" s="327"/>
      <c r="AK217" s="381"/>
      <c r="AL217" s="326"/>
      <c r="AM217" s="326"/>
      <c r="AN217" s="327"/>
      <c r="AO217" s="381"/>
      <c r="AP217" s="326"/>
      <c r="AQ217" s="326"/>
      <c r="AR217" s="326"/>
      <c r="AS217" s="326"/>
      <c r="AT217" s="326"/>
      <c r="AU217" s="326"/>
      <c r="AV217" s="327"/>
      <c r="AW217" s="686"/>
      <c r="AX217" s="326"/>
      <c r="AY217" s="327"/>
      <c r="AZ217" s="381"/>
      <c r="BA217" s="326"/>
      <c r="BB217" s="326"/>
      <c r="BC217" s="326"/>
      <c r="BD217" s="326"/>
      <c r="BE217" s="326"/>
      <c r="BF217" s="326"/>
      <c r="BG217" s="326"/>
      <c r="BH217" s="326"/>
      <c r="BI217" s="326"/>
      <c r="BJ217" s="326"/>
      <c r="BK217" s="326"/>
      <c r="BL217" s="326"/>
      <c r="BM217" s="326"/>
      <c r="BN217" s="326"/>
      <c r="BO217" s="327"/>
    </row>
    <row r="218" spans="1:67" ht="34.5" customHeight="1" x14ac:dyDescent="0.25">
      <c r="A218" s="87">
        <f t="shared" si="0"/>
        <v>206</v>
      </c>
      <c r="B218" s="386" t="s">
        <v>334</v>
      </c>
      <c r="C218" s="327"/>
      <c r="D218" s="498"/>
      <c r="E218" s="326"/>
      <c r="F218" s="326"/>
      <c r="G218" s="326"/>
      <c r="H218" s="327"/>
      <c r="I218" s="407"/>
      <c r="J218" s="326"/>
      <c r="K218" s="326"/>
      <c r="L218" s="326"/>
      <c r="M218" s="326"/>
      <c r="N218" s="326"/>
      <c r="O218" s="326"/>
      <c r="P218" s="327"/>
      <c r="Q218" s="456"/>
      <c r="R218" s="326"/>
      <c r="S218" s="326"/>
      <c r="T218" s="326"/>
      <c r="U218" s="326"/>
      <c r="V218" s="326"/>
      <c r="W218" s="326"/>
      <c r="X218" s="327"/>
      <c r="Y218" s="407"/>
      <c r="Z218" s="327"/>
      <c r="AA218" s="456"/>
      <c r="AB218" s="326"/>
      <c r="AC218" s="326"/>
      <c r="AD218" s="327"/>
      <c r="AE218" s="407"/>
      <c r="AF218" s="326"/>
      <c r="AG218" s="327"/>
      <c r="AH218" s="456"/>
      <c r="AI218" s="326"/>
      <c r="AJ218" s="327"/>
      <c r="AK218" s="407"/>
      <c r="AL218" s="326"/>
      <c r="AM218" s="326"/>
      <c r="AN218" s="327"/>
      <c r="AO218" s="456"/>
      <c r="AP218" s="326"/>
      <c r="AQ218" s="326"/>
      <c r="AR218" s="326"/>
      <c r="AS218" s="326"/>
      <c r="AT218" s="326"/>
      <c r="AU218" s="326"/>
      <c r="AV218" s="327"/>
      <c r="AW218" s="685"/>
      <c r="AX218" s="326"/>
      <c r="AY218" s="327"/>
      <c r="AZ218" s="456"/>
      <c r="BA218" s="326"/>
      <c r="BB218" s="326"/>
      <c r="BC218" s="326"/>
      <c r="BD218" s="326"/>
      <c r="BE218" s="326"/>
      <c r="BF218" s="326"/>
      <c r="BG218" s="326"/>
      <c r="BH218" s="326"/>
      <c r="BI218" s="326"/>
      <c r="BJ218" s="326"/>
      <c r="BK218" s="326"/>
      <c r="BL218" s="326"/>
      <c r="BM218" s="326"/>
      <c r="BN218" s="326"/>
      <c r="BO218" s="327"/>
    </row>
    <row r="219" spans="1:67" ht="34.5" customHeight="1" x14ac:dyDescent="0.25">
      <c r="A219" s="87">
        <f t="shared" si="0"/>
        <v>207</v>
      </c>
      <c r="B219" s="386" t="s">
        <v>334</v>
      </c>
      <c r="C219" s="327"/>
      <c r="D219" s="687"/>
      <c r="E219" s="326"/>
      <c r="F219" s="326"/>
      <c r="G219" s="326"/>
      <c r="H219" s="327"/>
      <c r="I219" s="381"/>
      <c r="J219" s="326"/>
      <c r="K219" s="326"/>
      <c r="L219" s="326"/>
      <c r="M219" s="326"/>
      <c r="N219" s="326"/>
      <c r="O219" s="326"/>
      <c r="P219" s="327"/>
      <c r="Q219" s="381"/>
      <c r="R219" s="326"/>
      <c r="S219" s="326"/>
      <c r="T219" s="326"/>
      <c r="U219" s="326"/>
      <c r="V219" s="326"/>
      <c r="W219" s="326"/>
      <c r="X219" s="327"/>
      <c r="Y219" s="381"/>
      <c r="Z219" s="327"/>
      <c r="AA219" s="381"/>
      <c r="AB219" s="326"/>
      <c r="AC219" s="326"/>
      <c r="AD219" s="327"/>
      <c r="AE219" s="381"/>
      <c r="AF219" s="326"/>
      <c r="AG219" s="327"/>
      <c r="AH219" s="381"/>
      <c r="AI219" s="326"/>
      <c r="AJ219" s="327"/>
      <c r="AK219" s="381"/>
      <c r="AL219" s="326"/>
      <c r="AM219" s="326"/>
      <c r="AN219" s="327"/>
      <c r="AO219" s="381"/>
      <c r="AP219" s="326"/>
      <c r="AQ219" s="326"/>
      <c r="AR219" s="326"/>
      <c r="AS219" s="326"/>
      <c r="AT219" s="326"/>
      <c r="AU219" s="326"/>
      <c r="AV219" s="327"/>
      <c r="AW219" s="686"/>
      <c r="AX219" s="326"/>
      <c r="AY219" s="327"/>
      <c r="AZ219" s="381"/>
      <c r="BA219" s="326"/>
      <c r="BB219" s="326"/>
      <c r="BC219" s="326"/>
      <c r="BD219" s="326"/>
      <c r="BE219" s="326"/>
      <c r="BF219" s="326"/>
      <c r="BG219" s="326"/>
      <c r="BH219" s="326"/>
      <c r="BI219" s="326"/>
      <c r="BJ219" s="326"/>
      <c r="BK219" s="326"/>
      <c r="BL219" s="326"/>
      <c r="BM219" s="326"/>
      <c r="BN219" s="326"/>
      <c r="BO219" s="327"/>
    </row>
    <row r="220" spans="1:67" ht="34.5" customHeight="1" x14ac:dyDescent="0.25">
      <c r="A220" s="87">
        <f t="shared" si="0"/>
        <v>208</v>
      </c>
      <c r="B220" s="386" t="s">
        <v>334</v>
      </c>
      <c r="C220" s="327"/>
      <c r="D220" s="498"/>
      <c r="E220" s="326"/>
      <c r="F220" s="326"/>
      <c r="G220" s="326"/>
      <c r="H220" s="327"/>
      <c r="I220" s="407"/>
      <c r="J220" s="326"/>
      <c r="K220" s="326"/>
      <c r="L220" s="326"/>
      <c r="M220" s="326"/>
      <c r="N220" s="326"/>
      <c r="O220" s="326"/>
      <c r="P220" s="327"/>
      <c r="Q220" s="456"/>
      <c r="R220" s="326"/>
      <c r="S220" s="326"/>
      <c r="T220" s="326"/>
      <c r="U220" s="326"/>
      <c r="V220" s="326"/>
      <c r="W220" s="326"/>
      <c r="X220" s="327"/>
      <c r="Y220" s="407"/>
      <c r="Z220" s="327"/>
      <c r="AA220" s="456"/>
      <c r="AB220" s="326"/>
      <c r="AC220" s="326"/>
      <c r="AD220" s="327"/>
      <c r="AE220" s="407"/>
      <c r="AF220" s="326"/>
      <c r="AG220" s="327"/>
      <c r="AH220" s="456"/>
      <c r="AI220" s="326"/>
      <c r="AJ220" s="327"/>
      <c r="AK220" s="407"/>
      <c r="AL220" s="326"/>
      <c r="AM220" s="326"/>
      <c r="AN220" s="327"/>
      <c r="AO220" s="456"/>
      <c r="AP220" s="326"/>
      <c r="AQ220" s="326"/>
      <c r="AR220" s="326"/>
      <c r="AS220" s="326"/>
      <c r="AT220" s="326"/>
      <c r="AU220" s="326"/>
      <c r="AV220" s="327"/>
      <c r="AW220" s="685"/>
      <c r="AX220" s="326"/>
      <c r="AY220" s="327"/>
      <c r="AZ220" s="456"/>
      <c r="BA220" s="326"/>
      <c r="BB220" s="326"/>
      <c r="BC220" s="326"/>
      <c r="BD220" s="326"/>
      <c r="BE220" s="326"/>
      <c r="BF220" s="326"/>
      <c r="BG220" s="326"/>
      <c r="BH220" s="326"/>
      <c r="BI220" s="326"/>
      <c r="BJ220" s="326"/>
      <c r="BK220" s="326"/>
      <c r="BL220" s="326"/>
      <c r="BM220" s="326"/>
      <c r="BN220" s="326"/>
      <c r="BO220" s="327"/>
    </row>
    <row r="221" spans="1:67" ht="34.5" customHeight="1" x14ac:dyDescent="0.25">
      <c r="A221" s="87">
        <f t="shared" si="0"/>
        <v>209</v>
      </c>
      <c r="B221" s="386" t="s">
        <v>334</v>
      </c>
      <c r="C221" s="327"/>
      <c r="D221" s="687"/>
      <c r="E221" s="326"/>
      <c r="F221" s="326"/>
      <c r="G221" s="326"/>
      <c r="H221" s="327"/>
      <c r="I221" s="381"/>
      <c r="J221" s="326"/>
      <c r="K221" s="326"/>
      <c r="L221" s="326"/>
      <c r="M221" s="326"/>
      <c r="N221" s="326"/>
      <c r="O221" s="326"/>
      <c r="P221" s="327"/>
      <c r="Q221" s="381"/>
      <c r="R221" s="326"/>
      <c r="S221" s="326"/>
      <c r="T221" s="326"/>
      <c r="U221" s="326"/>
      <c r="V221" s="326"/>
      <c r="W221" s="326"/>
      <c r="X221" s="327"/>
      <c r="Y221" s="381"/>
      <c r="Z221" s="327"/>
      <c r="AA221" s="381"/>
      <c r="AB221" s="326"/>
      <c r="AC221" s="326"/>
      <c r="AD221" s="327"/>
      <c r="AE221" s="381"/>
      <c r="AF221" s="326"/>
      <c r="AG221" s="327"/>
      <c r="AH221" s="381"/>
      <c r="AI221" s="326"/>
      <c r="AJ221" s="327"/>
      <c r="AK221" s="381"/>
      <c r="AL221" s="326"/>
      <c r="AM221" s="326"/>
      <c r="AN221" s="327"/>
      <c r="AO221" s="381"/>
      <c r="AP221" s="326"/>
      <c r="AQ221" s="326"/>
      <c r="AR221" s="326"/>
      <c r="AS221" s="326"/>
      <c r="AT221" s="326"/>
      <c r="AU221" s="326"/>
      <c r="AV221" s="327"/>
      <c r="AW221" s="686"/>
      <c r="AX221" s="326"/>
      <c r="AY221" s="327"/>
      <c r="AZ221" s="381"/>
      <c r="BA221" s="326"/>
      <c r="BB221" s="326"/>
      <c r="BC221" s="326"/>
      <c r="BD221" s="326"/>
      <c r="BE221" s="326"/>
      <c r="BF221" s="326"/>
      <c r="BG221" s="326"/>
      <c r="BH221" s="326"/>
      <c r="BI221" s="326"/>
      <c r="BJ221" s="326"/>
      <c r="BK221" s="326"/>
      <c r="BL221" s="326"/>
      <c r="BM221" s="326"/>
      <c r="BN221" s="326"/>
      <c r="BO221" s="327"/>
    </row>
    <row r="222" spans="1:67" ht="34.5" customHeight="1" x14ac:dyDescent="0.25">
      <c r="A222" s="87">
        <f t="shared" si="0"/>
        <v>210</v>
      </c>
      <c r="B222" s="386" t="s">
        <v>334</v>
      </c>
      <c r="C222" s="327"/>
      <c r="D222" s="498"/>
      <c r="E222" s="326"/>
      <c r="F222" s="326"/>
      <c r="G222" s="326"/>
      <c r="H222" s="327"/>
      <c r="I222" s="407"/>
      <c r="J222" s="326"/>
      <c r="K222" s="326"/>
      <c r="L222" s="326"/>
      <c r="M222" s="326"/>
      <c r="N222" s="326"/>
      <c r="O222" s="326"/>
      <c r="P222" s="327"/>
      <c r="Q222" s="456"/>
      <c r="R222" s="326"/>
      <c r="S222" s="326"/>
      <c r="T222" s="326"/>
      <c r="U222" s="326"/>
      <c r="V222" s="326"/>
      <c r="W222" s="326"/>
      <c r="X222" s="327"/>
      <c r="Y222" s="407"/>
      <c r="Z222" s="327"/>
      <c r="AA222" s="456"/>
      <c r="AB222" s="326"/>
      <c r="AC222" s="326"/>
      <c r="AD222" s="327"/>
      <c r="AE222" s="407"/>
      <c r="AF222" s="326"/>
      <c r="AG222" s="327"/>
      <c r="AH222" s="456"/>
      <c r="AI222" s="326"/>
      <c r="AJ222" s="327"/>
      <c r="AK222" s="407"/>
      <c r="AL222" s="326"/>
      <c r="AM222" s="326"/>
      <c r="AN222" s="327"/>
      <c r="AO222" s="456"/>
      <c r="AP222" s="326"/>
      <c r="AQ222" s="326"/>
      <c r="AR222" s="326"/>
      <c r="AS222" s="326"/>
      <c r="AT222" s="326"/>
      <c r="AU222" s="326"/>
      <c r="AV222" s="327"/>
      <c r="AW222" s="685"/>
      <c r="AX222" s="326"/>
      <c r="AY222" s="327"/>
      <c r="AZ222" s="456"/>
      <c r="BA222" s="326"/>
      <c r="BB222" s="326"/>
      <c r="BC222" s="326"/>
      <c r="BD222" s="326"/>
      <c r="BE222" s="326"/>
      <c r="BF222" s="326"/>
      <c r="BG222" s="326"/>
      <c r="BH222" s="326"/>
      <c r="BI222" s="326"/>
      <c r="BJ222" s="326"/>
      <c r="BK222" s="326"/>
      <c r="BL222" s="326"/>
      <c r="BM222" s="326"/>
      <c r="BN222" s="326"/>
      <c r="BO222" s="327"/>
    </row>
    <row r="223" spans="1:67" ht="34.5" customHeight="1" x14ac:dyDescent="0.25">
      <c r="A223" s="87">
        <f t="shared" si="0"/>
        <v>211</v>
      </c>
      <c r="B223" s="386" t="s">
        <v>334</v>
      </c>
      <c r="C223" s="327"/>
      <c r="D223" s="687"/>
      <c r="E223" s="326"/>
      <c r="F223" s="326"/>
      <c r="G223" s="326"/>
      <c r="H223" s="327"/>
      <c r="I223" s="381"/>
      <c r="J223" s="326"/>
      <c r="K223" s="326"/>
      <c r="L223" s="326"/>
      <c r="M223" s="326"/>
      <c r="N223" s="326"/>
      <c r="O223" s="326"/>
      <c r="P223" s="327"/>
      <c r="Q223" s="381"/>
      <c r="R223" s="326"/>
      <c r="S223" s="326"/>
      <c r="T223" s="326"/>
      <c r="U223" s="326"/>
      <c r="V223" s="326"/>
      <c r="W223" s="326"/>
      <c r="X223" s="327"/>
      <c r="Y223" s="381"/>
      <c r="Z223" s="327"/>
      <c r="AA223" s="381"/>
      <c r="AB223" s="326"/>
      <c r="AC223" s="326"/>
      <c r="AD223" s="327"/>
      <c r="AE223" s="381"/>
      <c r="AF223" s="326"/>
      <c r="AG223" s="327"/>
      <c r="AH223" s="381"/>
      <c r="AI223" s="326"/>
      <c r="AJ223" s="327"/>
      <c r="AK223" s="381"/>
      <c r="AL223" s="326"/>
      <c r="AM223" s="326"/>
      <c r="AN223" s="327"/>
      <c r="AO223" s="381"/>
      <c r="AP223" s="326"/>
      <c r="AQ223" s="326"/>
      <c r="AR223" s="326"/>
      <c r="AS223" s="326"/>
      <c r="AT223" s="326"/>
      <c r="AU223" s="326"/>
      <c r="AV223" s="327"/>
      <c r="AW223" s="686"/>
      <c r="AX223" s="326"/>
      <c r="AY223" s="327"/>
      <c r="AZ223" s="381"/>
      <c r="BA223" s="326"/>
      <c r="BB223" s="326"/>
      <c r="BC223" s="326"/>
      <c r="BD223" s="326"/>
      <c r="BE223" s="326"/>
      <c r="BF223" s="326"/>
      <c r="BG223" s="326"/>
      <c r="BH223" s="326"/>
      <c r="BI223" s="326"/>
      <c r="BJ223" s="326"/>
      <c r="BK223" s="326"/>
      <c r="BL223" s="326"/>
      <c r="BM223" s="326"/>
      <c r="BN223" s="326"/>
      <c r="BO223" s="327"/>
    </row>
    <row r="224" spans="1:67" ht="34.5" customHeight="1" x14ac:dyDescent="0.25">
      <c r="A224" s="87">
        <f t="shared" si="0"/>
        <v>212</v>
      </c>
      <c r="B224" s="386" t="s">
        <v>334</v>
      </c>
      <c r="C224" s="327"/>
      <c r="D224" s="498"/>
      <c r="E224" s="326"/>
      <c r="F224" s="326"/>
      <c r="G224" s="326"/>
      <c r="H224" s="327"/>
      <c r="I224" s="407"/>
      <c r="J224" s="326"/>
      <c r="K224" s="326"/>
      <c r="L224" s="326"/>
      <c r="M224" s="326"/>
      <c r="N224" s="326"/>
      <c r="O224" s="326"/>
      <c r="P224" s="327"/>
      <c r="Q224" s="456"/>
      <c r="R224" s="326"/>
      <c r="S224" s="326"/>
      <c r="T224" s="326"/>
      <c r="U224" s="326"/>
      <c r="V224" s="326"/>
      <c r="W224" s="326"/>
      <c r="X224" s="327"/>
      <c r="Y224" s="407"/>
      <c r="Z224" s="327"/>
      <c r="AA224" s="456"/>
      <c r="AB224" s="326"/>
      <c r="AC224" s="326"/>
      <c r="AD224" s="327"/>
      <c r="AE224" s="407"/>
      <c r="AF224" s="326"/>
      <c r="AG224" s="327"/>
      <c r="AH224" s="456"/>
      <c r="AI224" s="326"/>
      <c r="AJ224" s="327"/>
      <c r="AK224" s="407"/>
      <c r="AL224" s="326"/>
      <c r="AM224" s="326"/>
      <c r="AN224" s="327"/>
      <c r="AO224" s="456"/>
      <c r="AP224" s="326"/>
      <c r="AQ224" s="326"/>
      <c r="AR224" s="326"/>
      <c r="AS224" s="326"/>
      <c r="AT224" s="326"/>
      <c r="AU224" s="326"/>
      <c r="AV224" s="327"/>
      <c r="AW224" s="685"/>
      <c r="AX224" s="326"/>
      <c r="AY224" s="327"/>
      <c r="AZ224" s="456"/>
      <c r="BA224" s="326"/>
      <c r="BB224" s="326"/>
      <c r="BC224" s="326"/>
      <c r="BD224" s="326"/>
      <c r="BE224" s="326"/>
      <c r="BF224" s="326"/>
      <c r="BG224" s="326"/>
      <c r="BH224" s="326"/>
      <c r="BI224" s="326"/>
      <c r="BJ224" s="326"/>
      <c r="BK224" s="326"/>
      <c r="BL224" s="326"/>
      <c r="BM224" s="326"/>
      <c r="BN224" s="326"/>
      <c r="BO224" s="327"/>
    </row>
    <row r="225" spans="1:67" ht="34.5" customHeight="1" x14ac:dyDescent="0.25">
      <c r="A225" s="87">
        <f t="shared" si="0"/>
        <v>213</v>
      </c>
      <c r="B225" s="386" t="s">
        <v>334</v>
      </c>
      <c r="C225" s="327"/>
      <c r="D225" s="687"/>
      <c r="E225" s="326"/>
      <c r="F225" s="326"/>
      <c r="G225" s="326"/>
      <c r="H225" s="327"/>
      <c r="I225" s="381"/>
      <c r="J225" s="326"/>
      <c r="K225" s="326"/>
      <c r="L225" s="326"/>
      <c r="M225" s="326"/>
      <c r="N225" s="326"/>
      <c r="O225" s="326"/>
      <c r="P225" s="327"/>
      <c r="Q225" s="381"/>
      <c r="R225" s="326"/>
      <c r="S225" s="326"/>
      <c r="T225" s="326"/>
      <c r="U225" s="326"/>
      <c r="V225" s="326"/>
      <c r="W225" s="326"/>
      <c r="X225" s="327"/>
      <c r="Y225" s="381"/>
      <c r="Z225" s="327"/>
      <c r="AA225" s="381"/>
      <c r="AB225" s="326"/>
      <c r="AC225" s="326"/>
      <c r="AD225" s="327"/>
      <c r="AE225" s="381"/>
      <c r="AF225" s="326"/>
      <c r="AG225" s="327"/>
      <c r="AH225" s="381"/>
      <c r="AI225" s="326"/>
      <c r="AJ225" s="327"/>
      <c r="AK225" s="381"/>
      <c r="AL225" s="326"/>
      <c r="AM225" s="326"/>
      <c r="AN225" s="327"/>
      <c r="AO225" s="381"/>
      <c r="AP225" s="326"/>
      <c r="AQ225" s="326"/>
      <c r="AR225" s="326"/>
      <c r="AS225" s="326"/>
      <c r="AT225" s="326"/>
      <c r="AU225" s="326"/>
      <c r="AV225" s="327"/>
      <c r="AW225" s="686"/>
      <c r="AX225" s="326"/>
      <c r="AY225" s="327"/>
      <c r="AZ225" s="381"/>
      <c r="BA225" s="326"/>
      <c r="BB225" s="326"/>
      <c r="BC225" s="326"/>
      <c r="BD225" s="326"/>
      <c r="BE225" s="326"/>
      <c r="BF225" s="326"/>
      <c r="BG225" s="326"/>
      <c r="BH225" s="326"/>
      <c r="BI225" s="326"/>
      <c r="BJ225" s="326"/>
      <c r="BK225" s="326"/>
      <c r="BL225" s="326"/>
      <c r="BM225" s="326"/>
      <c r="BN225" s="326"/>
      <c r="BO225" s="327"/>
    </row>
    <row r="226" spans="1:67" ht="34.5" customHeight="1" x14ac:dyDescent="0.25">
      <c r="A226" s="87">
        <f t="shared" si="0"/>
        <v>214</v>
      </c>
      <c r="B226" s="386" t="s">
        <v>334</v>
      </c>
      <c r="C226" s="327"/>
      <c r="D226" s="498"/>
      <c r="E226" s="326"/>
      <c r="F226" s="326"/>
      <c r="G226" s="326"/>
      <c r="H226" s="327"/>
      <c r="I226" s="407"/>
      <c r="J226" s="326"/>
      <c r="K226" s="326"/>
      <c r="L226" s="326"/>
      <c r="M226" s="326"/>
      <c r="N226" s="326"/>
      <c r="O226" s="326"/>
      <c r="P226" s="327"/>
      <c r="Q226" s="456"/>
      <c r="R226" s="326"/>
      <c r="S226" s="326"/>
      <c r="T226" s="326"/>
      <c r="U226" s="326"/>
      <c r="V226" s="326"/>
      <c r="W226" s="326"/>
      <c r="X226" s="327"/>
      <c r="Y226" s="407"/>
      <c r="Z226" s="327"/>
      <c r="AA226" s="456"/>
      <c r="AB226" s="326"/>
      <c r="AC226" s="326"/>
      <c r="AD226" s="327"/>
      <c r="AE226" s="407"/>
      <c r="AF226" s="326"/>
      <c r="AG226" s="327"/>
      <c r="AH226" s="456"/>
      <c r="AI226" s="326"/>
      <c r="AJ226" s="327"/>
      <c r="AK226" s="407"/>
      <c r="AL226" s="326"/>
      <c r="AM226" s="326"/>
      <c r="AN226" s="327"/>
      <c r="AO226" s="456"/>
      <c r="AP226" s="326"/>
      <c r="AQ226" s="326"/>
      <c r="AR226" s="326"/>
      <c r="AS226" s="326"/>
      <c r="AT226" s="326"/>
      <c r="AU226" s="326"/>
      <c r="AV226" s="327"/>
      <c r="AW226" s="685"/>
      <c r="AX226" s="326"/>
      <c r="AY226" s="327"/>
      <c r="AZ226" s="456"/>
      <c r="BA226" s="326"/>
      <c r="BB226" s="326"/>
      <c r="BC226" s="326"/>
      <c r="BD226" s="326"/>
      <c r="BE226" s="326"/>
      <c r="BF226" s="326"/>
      <c r="BG226" s="326"/>
      <c r="BH226" s="326"/>
      <c r="BI226" s="326"/>
      <c r="BJ226" s="326"/>
      <c r="BK226" s="326"/>
      <c r="BL226" s="326"/>
      <c r="BM226" s="326"/>
      <c r="BN226" s="326"/>
      <c r="BO226" s="327"/>
    </row>
    <row r="227" spans="1:67" ht="34.5" customHeight="1" x14ac:dyDescent="0.25">
      <c r="A227" s="87">
        <f t="shared" si="0"/>
        <v>215</v>
      </c>
      <c r="B227" s="386" t="s">
        <v>334</v>
      </c>
      <c r="C227" s="327"/>
      <c r="D227" s="687"/>
      <c r="E227" s="326"/>
      <c r="F227" s="326"/>
      <c r="G227" s="326"/>
      <c r="H227" s="327"/>
      <c r="I227" s="381"/>
      <c r="J227" s="326"/>
      <c r="K227" s="326"/>
      <c r="L227" s="326"/>
      <c r="M227" s="326"/>
      <c r="N227" s="326"/>
      <c r="O227" s="326"/>
      <c r="P227" s="327"/>
      <c r="Q227" s="381"/>
      <c r="R227" s="326"/>
      <c r="S227" s="326"/>
      <c r="T227" s="326"/>
      <c r="U227" s="326"/>
      <c r="V227" s="326"/>
      <c r="W227" s="326"/>
      <c r="X227" s="327"/>
      <c r="Y227" s="381"/>
      <c r="Z227" s="327"/>
      <c r="AA227" s="381"/>
      <c r="AB227" s="326"/>
      <c r="AC227" s="326"/>
      <c r="AD227" s="327"/>
      <c r="AE227" s="381"/>
      <c r="AF227" s="326"/>
      <c r="AG227" s="327"/>
      <c r="AH227" s="381"/>
      <c r="AI227" s="326"/>
      <c r="AJ227" s="327"/>
      <c r="AK227" s="381"/>
      <c r="AL227" s="326"/>
      <c r="AM227" s="326"/>
      <c r="AN227" s="327"/>
      <c r="AO227" s="381"/>
      <c r="AP227" s="326"/>
      <c r="AQ227" s="326"/>
      <c r="AR227" s="326"/>
      <c r="AS227" s="326"/>
      <c r="AT227" s="326"/>
      <c r="AU227" s="326"/>
      <c r="AV227" s="327"/>
      <c r="AW227" s="686"/>
      <c r="AX227" s="326"/>
      <c r="AY227" s="327"/>
      <c r="AZ227" s="381"/>
      <c r="BA227" s="326"/>
      <c r="BB227" s="326"/>
      <c r="BC227" s="326"/>
      <c r="BD227" s="326"/>
      <c r="BE227" s="326"/>
      <c r="BF227" s="326"/>
      <c r="BG227" s="326"/>
      <c r="BH227" s="326"/>
      <c r="BI227" s="326"/>
      <c r="BJ227" s="326"/>
      <c r="BK227" s="326"/>
      <c r="BL227" s="326"/>
      <c r="BM227" s="326"/>
      <c r="BN227" s="326"/>
      <c r="BO227" s="327"/>
    </row>
    <row r="228" spans="1:67" ht="34.5" customHeight="1" x14ac:dyDescent="0.25">
      <c r="A228" s="87">
        <f t="shared" si="0"/>
        <v>216</v>
      </c>
      <c r="B228" s="386" t="s">
        <v>334</v>
      </c>
      <c r="C228" s="327"/>
      <c r="D228" s="498"/>
      <c r="E228" s="326"/>
      <c r="F228" s="326"/>
      <c r="G228" s="326"/>
      <c r="H228" s="327"/>
      <c r="I228" s="407"/>
      <c r="J228" s="326"/>
      <c r="K228" s="326"/>
      <c r="L228" s="326"/>
      <c r="M228" s="326"/>
      <c r="N228" s="326"/>
      <c r="O228" s="326"/>
      <c r="P228" s="327"/>
      <c r="Q228" s="456"/>
      <c r="R228" s="326"/>
      <c r="S228" s="326"/>
      <c r="T228" s="326"/>
      <c r="U228" s="326"/>
      <c r="V228" s="326"/>
      <c r="W228" s="326"/>
      <c r="X228" s="327"/>
      <c r="Y228" s="407"/>
      <c r="Z228" s="327"/>
      <c r="AA228" s="456"/>
      <c r="AB228" s="326"/>
      <c r="AC228" s="326"/>
      <c r="AD228" s="327"/>
      <c r="AE228" s="407"/>
      <c r="AF228" s="326"/>
      <c r="AG228" s="327"/>
      <c r="AH228" s="456"/>
      <c r="AI228" s="326"/>
      <c r="AJ228" s="327"/>
      <c r="AK228" s="407"/>
      <c r="AL228" s="326"/>
      <c r="AM228" s="326"/>
      <c r="AN228" s="327"/>
      <c r="AO228" s="456"/>
      <c r="AP228" s="326"/>
      <c r="AQ228" s="326"/>
      <c r="AR228" s="326"/>
      <c r="AS228" s="326"/>
      <c r="AT228" s="326"/>
      <c r="AU228" s="326"/>
      <c r="AV228" s="327"/>
      <c r="AW228" s="685"/>
      <c r="AX228" s="326"/>
      <c r="AY228" s="327"/>
      <c r="AZ228" s="456"/>
      <c r="BA228" s="326"/>
      <c r="BB228" s="326"/>
      <c r="BC228" s="326"/>
      <c r="BD228" s="326"/>
      <c r="BE228" s="326"/>
      <c r="BF228" s="326"/>
      <c r="BG228" s="326"/>
      <c r="BH228" s="326"/>
      <c r="BI228" s="326"/>
      <c r="BJ228" s="326"/>
      <c r="BK228" s="326"/>
      <c r="BL228" s="326"/>
      <c r="BM228" s="326"/>
      <c r="BN228" s="326"/>
      <c r="BO228" s="327"/>
    </row>
    <row r="229" spans="1:67" ht="34.5" customHeight="1" x14ac:dyDescent="0.25">
      <c r="A229" s="87">
        <f t="shared" si="0"/>
        <v>217</v>
      </c>
      <c r="B229" s="386" t="s">
        <v>334</v>
      </c>
      <c r="C229" s="327"/>
      <c r="D229" s="687"/>
      <c r="E229" s="326"/>
      <c r="F229" s="326"/>
      <c r="G229" s="326"/>
      <c r="H229" s="327"/>
      <c r="I229" s="381"/>
      <c r="J229" s="326"/>
      <c r="K229" s="326"/>
      <c r="L229" s="326"/>
      <c r="M229" s="326"/>
      <c r="N229" s="326"/>
      <c r="O229" s="326"/>
      <c r="P229" s="327"/>
      <c r="Q229" s="381"/>
      <c r="R229" s="326"/>
      <c r="S229" s="326"/>
      <c r="T229" s="326"/>
      <c r="U229" s="326"/>
      <c r="V229" s="326"/>
      <c r="W229" s="326"/>
      <c r="X229" s="327"/>
      <c r="Y229" s="381"/>
      <c r="Z229" s="327"/>
      <c r="AA229" s="381"/>
      <c r="AB229" s="326"/>
      <c r="AC229" s="326"/>
      <c r="AD229" s="327"/>
      <c r="AE229" s="381"/>
      <c r="AF229" s="326"/>
      <c r="AG229" s="327"/>
      <c r="AH229" s="381"/>
      <c r="AI229" s="326"/>
      <c r="AJ229" s="327"/>
      <c r="AK229" s="381"/>
      <c r="AL229" s="326"/>
      <c r="AM229" s="326"/>
      <c r="AN229" s="327"/>
      <c r="AO229" s="381"/>
      <c r="AP229" s="326"/>
      <c r="AQ229" s="326"/>
      <c r="AR229" s="326"/>
      <c r="AS229" s="326"/>
      <c r="AT229" s="326"/>
      <c r="AU229" s="326"/>
      <c r="AV229" s="327"/>
      <c r="AW229" s="686"/>
      <c r="AX229" s="326"/>
      <c r="AY229" s="327"/>
      <c r="AZ229" s="381"/>
      <c r="BA229" s="326"/>
      <c r="BB229" s="326"/>
      <c r="BC229" s="326"/>
      <c r="BD229" s="326"/>
      <c r="BE229" s="326"/>
      <c r="BF229" s="326"/>
      <c r="BG229" s="326"/>
      <c r="BH229" s="326"/>
      <c r="BI229" s="326"/>
      <c r="BJ229" s="326"/>
      <c r="BK229" s="326"/>
      <c r="BL229" s="326"/>
      <c r="BM229" s="326"/>
      <c r="BN229" s="326"/>
      <c r="BO229" s="327"/>
    </row>
    <row r="230" spans="1:67" ht="34.5" customHeight="1" x14ac:dyDescent="0.25">
      <c r="A230" s="87">
        <f t="shared" si="0"/>
        <v>218</v>
      </c>
      <c r="B230" s="688" t="s">
        <v>334</v>
      </c>
      <c r="C230" s="327"/>
      <c r="D230" s="498"/>
      <c r="E230" s="326"/>
      <c r="F230" s="326"/>
      <c r="G230" s="326"/>
      <c r="H230" s="327"/>
      <c r="I230" s="407"/>
      <c r="J230" s="326"/>
      <c r="K230" s="326"/>
      <c r="L230" s="326"/>
      <c r="M230" s="326"/>
      <c r="N230" s="326"/>
      <c r="O230" s="326"/>
      <c r="P230" s="327"/>
      <c r="Q230" s="456"/>
      <c r="R230" s="326"/>
      <c r="S230" s="326"/>
      <c r="T230" s="326"/>
      <c r="U230" s="326"/>
      <c r="V230" s="326"/>
      <c r="W230" s="326"/>
      <c r="X230" s="327"/>
      <c r="Y230" s="407"/>
      <c r="Z230" s="327"/>
      <c r="AA230" s="456"/>
      <c r="AB230" s="326"/>
      <c r="AC230" s="326"/>
      <c r="AD230" s="327"/>
      <c r="AE230" s="407"/>
      <c r="AF230" s="326"/>
      <c r="AG230" s="327"/>
      <c r="AH230" s="456"/>
      <c r="AI230" s="326"/>
      <c r="AJ230" s="327"/>
      <c r="AK230" s="407"/>
      <c r="AL230" s="326"/>
      <c r="AM230" s="326"/>
      <c r="AN230" s="327"/>
      <c r="AO230" s="456"/>
      <c r="AP230" s="326"/>
      <c r="AQ230" s="326"/>
      <c r="AR230" s="326"/>
      <c r="AS230" s="326"/>
      <c r="AT230" s="326"/>
      <c r="AU230" s="326"/>
      <c r="AV230" s="327"/>
      <c r="AW230" s="685"/>
      <c r="AX230" s="326"/>
      <c r="AY230" s="327"/>
      <c r="AZ230" s="456"/>
      <c r="BA230" s="326"/>
      <c r="BB230" s="326"/>
      <c r="BC230" s="326"/>
      <c r="BD230" s="326"/>
      <c r="BE230" s="326"/>
      <c r="BF230" s="326"/>
      <c r="BG230" s="326"/>
      <c r="BH230" s="326"/>
      <c r="BI230" s="326"/>
      <c r="BJ230" s="326"/>
      <c r="BK230" s="326"/>
      <c r="BL230" s="326"/>
      <c r="BM230" s="326"/>
      <c r="BN230" s="326"/>
      <c r="BO230" s="327"/>
    </row>
    <row r="231" spans="1:67" ht="34.5" customHeight="1" x14ac:dyDescent="0.25">
      <c r="A231" s="87">
        <f t="shared" si="0"/>
        <v>219</v>
      </c>
      <c r="B231" s="386" t="s">
        <v>334</v>
      </c>
      <c r="C231" s="327"/>
      <c r="D231" s="687"/>
      <c r="E231" s="326"/>
      <c r="F231" s="326"/>
      <c r="G231" s="326"/>
      <c r="H231" s="327"/>
      <c r="I231" s="381"/>
      <c r="J231" s="326"/>
      <c r="K231" s="326"/>
      <c r="L231" s="326"/>
      <c r="M231" s="326"/>
      <c r="N231" s="326"/>
      <c r="O231" s="326"/>
      <c r="P231" s="327"/>
      <c r="Q231" s="381"/>
      <c r="R231" s="326"/>
      <c r="S231" s="326"/>
      <c r="T231" s="326"/>
      <c r="U231" s="326"/>
      <c r="V231" s="326"/>
      <c r="W231" s="326"/>
      <c r="X231" s="327"/>
      <c r="Y231" s="381"/>
      <c r="Z231" s="327"/>
      <c r="AA231" s="381"/>
      <c r="AB231" s="326"/>
      <c r="AC231" s="326"/>
      <c r="AD231" s="327"/>
      <c r="AE231" s="381"/>
      <c r="AF231" s="326"/>
      <c r="AG231" s="327"/>
      <c r="AH231" s="381"/>
      <c r="AI231" s="326"/>
      <c r="AJ231" s="327"/>
      <c r="AK231" s="381"/>
      <c r="AL231" s="326"/>
      <c r="AM231" s="326"/>
      <c r="AN231" s="327"/>
      <c r="AO231" s="381"/>
      <c r="AP231" s="326"/>
      <c r="AQ231" s="326"/>
      <c r="AR231" s="326"/>
      <c r="AS231" s="326"/>
      <c r="AT231" s="326"/>
      <c r="AU231" s="326"/>
      <c r="AV231" s="327"/>
      <c r="AW231" s="686"/>
      <c r="AX231" s="326"/>
      <c r="AY231" s="327"/>
      <c r="AZ231" s="381"/>
      <c r="BA231" s="326"/>
      <c r="BB231" s="326"/>
      <c r="BC231" s="326"/>
      <c r="BD231" s="326"/>
      <c r="BE231" s="326"/>
      <c r="BF231" s="326"/>
      <c r="BG231" s="326"/>
      <c r="BH231" s="326"/>
      <c r="BI231" s="326"/>
      <c r="BJ231" s="326"/>
      <c r="BK231" s="326"/>
      <c r="BL231" s="326"/>
      <c r="BM231" s="326"/>
      <c r="BN231" s="326"/>
      <c r="BO231" s="327"/>
    </row>
    <row r="232" spans="1:67" ht="34.5" customHeight="1" x14ac:dyDescent="0.25">
      <c r="A232" s="87">
        <f t="shared" si="0"/>
        <v>220</v>
      </c>
      <c r="B232" s="386" t="s">
        <v>334</v>
      </c>
      <c r="C232" s="327"/>
      <c r="D232" s="498"/>
      <c r="E232" s="326"/>
      <c r="F232" s="326"/>
      <c r="G232" s="326"/>
      <c r="H232" s="327"/>
      <c r="I232" s="407"/>
      <c r="J232" s="326"/>
      <c r="K232" s="326"/>
      <c r="L232" s="326"/>
      <c r="M232" s="326"/>
      <c r="N232" s="326"/>
      <c r="O232" s="326"/>
      <c r="P232" s="327"/>
      <c r="Q232" s="456"/>
      <c r="R232" s="326"/>
      <c r="S232" s="326"/>
      <c r="T232" s="326"/>
      <c r="U232" s="326"/>
      <c r="V232" s="326"/>
      <c r="W232" s="326"/>
      <c r="X232" s="327"/>
      <c r="Y232" s="407"/>
      <c r="Z232" s="327"/>
      <c r="AA232" s="456"/>
      <c r="AB232" s="326"/>
      <c r="AC232" s="326"/>
      <c r="AD232" s="327"/>
      <c r="AE232" s="407"/>
      <c r="AF232" s="326"/>
      <c r="AG232" s="327"/>
      <c r="AH232" s="456"/>
      <c r="AI232" s="326"/>
      <c r="AJ232" s="327"/>
      <c r="AK232" s="407"/>
      <c r="AL232" s="326"/>
      <c r="AM232" s="326"/>
      <c r="AN232" s="327"/>
      <c r="AO232" s="456"/>
      <c r="AP232" s="326"/>
      <c r="AQ232" s="326"/>
      <c r="AR232" s="326"/>
      <c r="AS232" s="326"/>
      <c r="AT232" s="326"/>
      <c r="AU232" s="326"/>
      <c r="AV232" s="327"/>
      <c r="AW232" s="685"/>
      <c r="AX232" s="326"/>
      <c r="AY232" s="327"/>
      <c r="AZ232" s="456"/>
      <c r="BA232" s="326"/>
      <c r="BB232" s="326"/>
      <c r="BC232" s="326"/>
      <c r="BD232" s="326"/>
      <c r="BE232" s="326"/>
      <c r="BF232" s="326"/>
      <c r="BG232" s="326"/>
      <c r="BH232" s="326"/>
      <c r="BI232" s="326"/>
      <c r="BJ232" s="326"/>
      <c r="BK232" s="326"/>
      <c r="BL232" s="326"/>
      <c r="BM232" s="326"/>
      <c r="BN232" s="326"/>
      <c r="BO232" s="327"/>
    </row>
    <row r="233" spans="1:67" ht="34.5" customHeight="1" x14ac:dyDescent="0.25">
      <c r="A233" s="87">
        <f t="shared" si="0"/>
        <v>221</v>
      </c>
      <c r="B233" s="386" t="s">
        <v>334</v>
      </c>
      <c r="C233" s="327"/>
      <c r="D233" s="687"/>
      <c r="E233" s="326"/>
      <c r="F233" s="326"/>
      <c r="G233" s="326"/>
      <c r="H233" s="327"/>
      <c r="I233" s="381"/>
      <c r="J233" s="326"/>
      <c r="K233" s="326"/>
      <c r="L233" s="326"/>
      <c r="M233" s="326"/>
      <c r="N233" s="326"/>
      <c r="O233" s="326"/>
      <c r="P233" s="327"/>
      <c r="Q233" s="381"/>
      <c r="R233" s="326"/>
      <c r="S233" s="326"/>
      <c r="T233" s="326"/>
      <c r="U233" s="326"/>
      <c r="V233" s="326"/>
      <c r="W233" s="326"/>
      <c r="X233" s="327"/>
      <c r="Y233" s="381"/>
      <c r="Z233" s="327"/>
      <c r="AA233" s="381"/>
      <c r="AB233" s="326"/>
      <c r="AC233" s="326"/>
      <c r="AD233" s="327"/>
      <c r="AE233" s="381"/>
      <c r="AF233" s="326"/>
      <c r="AG233" s="327"/>
      <c r="AH233" s="381"/>
      <c r="AI233" s="326"/>
      <c r="AJ233" s="327"/>
      <c r="AK233" s="381"/>
      <c r="AL233" s="326"/>
      <c r="AM233" s="326"/>
      <c r="AN233" s="327"/>
      <c r="AO233" s="381"/>
      <c r="AP233" s="326"/>
      <c r="AQ233" s="326"/>
      <c r="AR233" s="326"/>
      <c r="AS233" s="326"/>
      <c r="AT233" s="326"/>
      <c r="AU233" s="326"/>
      <c r="AV233" s="327"/>
      <c r="AW233" s="686"/>
      <c r="AX233" s="326"/>
      <c r="AY233" s="327"/>
      <c r="AZ233" s="381"/>
      <c r="BA233" s="326"/>
      <c r="BB233" s="326"/>
      <c r="BC233" s="326"/>
      <c r="BD233" s="326"/>
      <c r="BE233" s="326"/>
      <c r="BF233" s="326"/>
      <c r="BG233" s="326"/>
      <c r="BH233" s="326"/>
      <c r="BI233" s="326"/>
      <c r="BJ233" s="326"/>
      <c r="BK233" s="326"/>
      <c r="BL233" s="326"/>
      <c r="BM233" s="326"/>
      <c r="BN233" s="326"/>
      <c r="BO233" s="327"/>
    </row>
    <row r="234" spans="1:67" ht="34.5" customHeight="1" x14ac:dyDescent="0.25">
      <c r="A234" s="87">
        <f t="shared" si="0"/>
        <v>222</v>
      </c>
      <c r="B234" s="386" t="s">
        <v>334</v>
      </c>
      <c r="C234" s="327"/>
      <c r="D234" s="498"/>
      <c r="E234" s="326"/>
      <c r="F234" s="326"/>
      <c r="G234" s="326"/>
      <c r="H234" s="327"/>
      <c r="I234" s="407"/>
      <c r="J234" s="326"/>
      <c r="K234" s="326"/>
      <c r="L234" s="326"/>
      <c r="M234" s="326"/>
      <c r="N234" s="326"/>
      <c r="O234" s="326"/>
      <c r="P234" s="327"/>
      <c r="Q234" s="456"/>
      <c r="R234" s="326"/>
      <c r="S234" s="326"/>
      <c r="T234" s="326"/>
      <c r="U234" s="326"/>
      <c r="V234" s="326"/>
      <c r="W234" s="326"/>
      <c r="X234" s="327"/>
      <c r="Y234" s="407"/>
      <c r="Z234" s="327"/>
      <c r="AA234" s="456"/>
      <c r="AB234" s="326"/>
      <c r="AC234" s="326"/>
      <c r="AD234" s="327"/>
      <c r="AE234" s="407"/>
      <c r="AF234" s="326"/>
      <c r="AG234" s="327"/>
      <c r="AH234" s="456"/>
      <c r="AI234" s="326"/>
      <c r="AJ234" s="327"/>
      <c r="AK234" s="407"/>
      <c r="AL234" s="326"/>
      <c r="AM234" s="326"/>
      <c r="AN234" s="327"/>
      <c r="AO234" s="456"/>
      <c r="AP234" s="326"/>
      <c r="AQ234" s="326"/>
      <c r="AR234" s="326"/>
      <c r="AS234" s="326"/>
      <c r="AT234" s="326"/>
      <c r="AU234" s="326"/>
      <c r="AV234" s="327"/>
      <c r="AW234" s="685"/>
      <c r="AX234" s="326"/>
      <c r="AY234" s="327"/>
      <c r="AZ234" s="456"/>
      <c r="BA234" s="326"/>
      <c r="BB234" s="326"/>
      <c r="BC234" s="326"/>
      <c r="BD234" s="326"/>
      <c r="BE234" s="326"/>
      <c r="BF234" s="326"/>
      <c r="BG234" s="326"/>
      <c r="BH234" s="326"/>
      <c r="BI234" s="326"/>
      <c r="BJ234" s="326"/>
      <c r="BK234" s="326"/>
      <c r="BL234" s="326"/>
      <c r="BM234" s="326"/>
      <c r="BN234" s="326"/>
      <c r="BO234" s="327"/>
    </row>
    <row r="235" spans="1:67" ht="34.5" customHeight="1" x14ac:dyDescent="0.25">
      <c r="A235" s="87">
        <f t="shared" si="0"/>
        <v>223</v>
      </c>
      <c r="B235" s="386" t="s">
        <v>334</v>
      </c>
      <c r="C235" s="327"/>
      <c r="D235" s="687"/>
      <c r="E235" s="326"/>
      <c r="F235" s="326"/>
      <c r="G235" s="326"/>
      <c r="H235" s="327"/>
      <c r="I235" s="381"/>
      <c r="J235" s="326"/>
      <c r="K235" s="326"/>
      <c r="L235" s="326"/>
      <c r="M235" s="326"/>
      <c r="N235" s="326"/>
      <c r="O235" s="326"/>
      <c r="P235" s="327"/>
      <c r="Q235" s="381"/>
      <c r="R235" s="326"/>
      <c r="S235" s="326"/>
      <c r="T235" s="326"/>
      <c r="U235" s="326"/>
      <c r="V235" s="326"/>
      <c r="W235" s="326"/>
      <c r="X235" s="327"/>
      <c r="Y235" s="381"/>
      <c r="Z235" s="327"/>
      <c r="AA235" s="381"/>
      <c r="AB235" s="326"/>
      <c r="AC235" s="326"/>
      <c r="AD235" s="327"/>
      <c r="AE235" s="381"/>
      <c r="AF235" s="326"/>
      <c r="AG235" s="327"/>
      <c r="AH235" s="381"/>
      <c r="AI235" s="326"/>
      <c r="AJ235" s="327"/>
      <c r="AK235" s="381"/>
      <c r="AL235" s="326"/>
      <c r="AM235" s="326"/>
      <c r="AN235" s="327"/>
      <c r="AO235" s="381"/>
      <c r="AP235" s="326"/>
      <c r="AQ235" s="326"/>
      <c r="AR235" s="326"/>
      <c r="AS235" s="326"/>
      <c r="AT235" s="326"/>
      <c r="AU235" s="326"/>
      <c r="AV235" s="327"/>
      <c r="AW235" s="686"/>
      <c r="AX235" s="326"/>
      <c r="AY235" s="327"/>
      <c r="AZ235" s="381"/>
      <c r="BA235" s="326"/>
      <c r="BB235" s="326"/>
      <c r="BC235" s="326"/>
      <c r="BD235" s="326"/>
      <c r="BE235" s="326"/>
      <c r="BF235" s="326"/>
      <c r="BG235" s="326"/>
      <c r="BH235" s="326"/>
      <c r="BI235" s="326"/>
      <c r="BJ235" s="326"/>
      <c r="BK235" s="326"/>
      <c r="BL235" s="326"/>
      <c r="BM235" s="326"/>
      <c r="BN235" s="326"/>
      <c r="BO235" s="327"/>
    </row>
    <row r="236" spans="1:67" ht="34.5" customHeight="1" x14ac:dyDescent="0.25">
      <c r="A236" s="87">
        <f t="shared" si="0"/>
        <v>224</v>
      </c>
      <c r="B236" s="386" t="s">
        <v>334</v>
      </c>
      <c r="C236" s="327"/>
      <c r="D236" s="498"/>
      <c r="E236" s="326"/>
      <c r="F236" s="326"/>
      <c r="G236" s="326"/>
      <c r="H236" s="327"/>
      <c r="I236" s="407"/>
      <c r="J236" s="326"/>
      <c r="K236" s="326"/>
      <c r="L236" s="326"/>
      <c r="M236" s="326"/>
      <c r="N236" s="326"/>
      <c r="O236" s="326"/>
      <c r="P236" s="327"/>
      <c r="Q236" s="456"/>
      <c r="R236" s="326"/>
      <c r="S236" s="326"/>
      <c r="T236" s="326"/>
      <c r="U236" s="326"/>
      <c r="V236" s="326"/>
      <c r="W236" s="326"/>
      <c r="X236" s="327"/>
      <c r="Y236" s="407"/>
      <c r="Z236" s="327"/>
      <c r="AA236" s="456"/>
      <c r="AB236" s="326"/>
      <c r="AC236" s="326"/>
      <c r="AD236" s="327"/>
      <c r="AE236" s="407"/>
      <c r="AF236" s="326"/>
      <c r="AG236" s="327"/>
      <c r="AH236" s="456"/>
      <c r="AI236" s="326"/>
      <c r="AJ236" s="327"/>
      <c r="AK236" s="407"/>
      <c r="AL236" s="326"/>
      <c r="AM236" s="326"/>
      <c r="AN236" s="327"/>
      <c r="AO236" s="456"/>
      <c r="AP236" s="326"/>
      <c r="AQ236" s="326"/>
      <c r="AR236" s="326"/>
      <c r="AS236" s="326"/>
      <c r="AT236" s="326"/>
      <c r="AU236" s="326"/>
      <c r="AV236" s="327"/>
      <c r="AW236" s="685"/>
      <c r="AX236" s="326"/>
      <c r="AY236" s="327"/>
      <c r="AZ236" s="456"/>
      <c r="BA236" s="326"/>
      <c r="BB236" s="326"/>
      <c r="BC236" s="326"/>
      <c r="BD236" s="326"/>
      <c r="BE236" s="326"/>
      <c r="BF236" s="326"/>
      <c r="BG236" s="326"/>
      <c r="BH236" s="326"/>
      <c r="BI236" s="326"/>
      <c r="BJ236" s="326"/>
      <c r="BK236" s="326"/>
      <c r="BL236" s="326"/>
      <c r="BM236" s="326"/>
      <c r="BN236" s="326"/>
      <c r="BO236" s="327"/>
    </row>
    <row r="237" spans="1:67" ht="34.5" customHeight="1" x14ac:dyDescent="0.25">
      <c r="A237" s="87">
        <f t="shared" si="0"/>
        <v>225</v>
      </c>
      <c r="B237" s="386" t="s">
        <v>334</v>
      </c>
      <c r="C237" s="327"/>
      <c r="D237" s="687"/>
      <c r="E237" s="326"/>
      <c r="F237" s="326"/>
      <c r="G237" s="326"/>
      <c r="H237" s="327"/>
      <c r="I237" s="381"/>
      <c r="J237" s="326"/>
      <c r="K237" s="326"/>
      <c r="L237" s="326"/>
      <c r="M237" s="326"/>
      <c r="N237" s="326"/>
      <c r="O237" s="326"/>
      <c r="P237" s="327"/>
      <c r="Q237" s="381"/>
      <c r="R237" s="326"/>
      <c r="S237" s="326"/>
      <c r="T237" s="326"/>
      <c r="U237" s="326"/>
      <c r="V237" s="326"/>
      <c r="W237" s="326"/>
      <c r="X237" s="327"/>
      <c r="Y237" s="381"/>
      <c r="Z237" s="327"/>
      <c r="AA237" s="381"/>
      <c r="AB237" s="326"/>
      <c r="AC237" s="326"/>
      <c r="AD237" s="327"/>
      <c r="AE237" s="381"/>
      <c r="AF237" s="326"/>
      <c r="AG237" s="327"/>
      <c r="AH237" s="381"/>
      <c r="AI237" s="326"/>
      <c r="AJ237" s="327"/>
      <c r="AK237" s="381"/>
      <c r="AL237" s="326"/>
      <c r="AM237" s="326"/>
      <c r="AN237" s="327"/>
      <c r="AO237" s="381"/>
      <c r="AP237" s="326"/>
      <c r="AQ237" s="326"/>
      <c r="AR237" s="326"/>
      <c r="AS237" s="326"/>
      <c r="AT237" s="326"/>
      <c r="AU237" s="326"/>
      <c r="AV237" s="327"/>
      <c r="AW237" s="686"/>
      <c r="AX237" s="326"/>
      <c r="AY237" s="327"/>
      <c r="AZ237" s="381"/>
      <c r="BA237" s="326"/>
      <c r="BB237" s="326"/>
      <c r="BC237" s="326"/>
      <c r="BD237" s="326"/>
      <c r="BE237" s="326"/>
      <c r="BF237" s="326"/>
      <c r="BG237" s="326"/>
      <c r="BH237" s="326"/>
      <c r="BI237" s="326"/>
      <c r="BJ237" s="326"/>
      <c r="BK237" s="326"/>
      <c r="BL237" s="326"/>
      <c r="BM237" s="326"/>
      <c r="BN237" s="326"/>
      <c r="BO237" s="327"/>
    </row>
    <row r="238" spans="1:67" ht="34.5" customHeight="1" x14ac:dyDescent="0.25">
      <c r="A238" s="87">
        <f t="shared" si="0"/>
        <v>226</v>
      </c>
      <c r="B238" s="386" t="s">
        <v>334</v>
      </c>
      <c r="C238" s="327"/>
      <c r="D238" s="498"/>
      <c r="E238" s="326"/>
      <c r="F238" s="326"/>
      <c r="G238" s="326"/>
      <c r="H238" s="327"/>
      <c r="I238" s="407"/>
      <c r="J238" s="326"/>
      <c r="K238" s="326"/>
      <c r="L238" s="326"/>
      <c r="M238" s="326"/>
      <c r="N238" s="326"/>
      <c r="O238" s="326"/>
      <c r="P238" s="327"/>
      <c r="Q238" s="456"/>
      <c r="R238" s="326"/>
      <c r="S238" s="326"/>
      <c r="T238" s="326"/>
      <c r="U238" s="326"/>
      <c r="V238" s="326"/>
      <c r="W238" s="326"/>
      <c r="X238" s="327"/>
      <c r="Y238" s="407"/>
      <c r="Z238" s="327"/>
      <c r="AA238" s="456"/>
      <c r="AB238" s="326"/>
      <c r="AC238" s="326"/>
      <c r="AD238" s="327"/>
      <c r="AE238" s="407"/>
      <c r="AF238" s="326"/>
      <c r="AG238" s="327"/>
      <c r="AH238" s="456"/>
      <c r="AI238" s="326"/>
      <c r="AJ238" s="327"/>
      <c r="AK238" s="407"/>
      <c r="AL238" s="326"/>
      <c r="AM238" s="326"/>
      <c r="AN238" s="327"/>
      <c r="AO238" s="456"/>
      <c r="AP238" s="326"/>
      <c r="AQ238" s="326"/>
      <c r="AR238" s="326"/>
      <c r="AS238" s="326"/>
      <c r="AT238" s="326"/>
      <c r="AU238" s="326"/>
      <c r="AV238" s="327"/>
      <c r="AW238" s="685"/>
      <c r="AX238" s="326"/>
      <c r="AY238" s="327"/>
      <c r="AZ238" s="456"/>
      <c r="BA238" s="326"/>
      <c r="BB238" s="326"/>
      <c r="BC238" s="326"/>
      <c r="BD238" s="326"/>
      <c r="BE238" s="326"/>
      <c r="BF238" s="326"/>
      <c r="BG238" s="326"/>
      <c r="BH238" s="326"/>
      <c r="BI238" s="326"/>
      <c r="BJ238" s="326"/>
      <c r="BK238" s="326"/>
      <c r="BL238" s="326"/>
      <c r="BM238" s="326"/>
      <c r="BN238" s="326"/>
      <c r="BO238" s="327"/>
    </row>
    <row r="239" spans="1:67" ht="34.5" customHeight="1" x14ac:dyDescent="0.25">
      <c r="A239" s="87">
        <f t="shared" si="0"/>
        <v>227</v>
      </c>
      <c r="B239" s="386" t="s">
        <v>334</v>
      </c>
      <c r="C239" s="327"/>
      <c r="D239" s="687"/>
      <c r="E239" s="326"/>
      <c r="F239" s="326"/>
      <c r="G239" s="326"/>
      <c r="H239" s="327"/>
      <c r="I239" s="381"/>
      <c r="J239" s="326"/>
      <c r="K239" s="326"/>
      <c r="L239" s="326"/>
      <c r="M239" s="326"/>
      <c r="N239" s="326"/>
      <c r="O239" s="326"/>
      <c r="P239" s="327"/>
      <c r="Q239" s="381"/>
      <c r="R239" s="326"/>
      <c r="S239" s="326"/>
      <c r="T239" s="326"/>
      <c r="U239" s="326"/>
      <c r="V239" s="326"/>
      <c r="W239" s="326"/>
      <c r="X239" s="327"/>
      <c r="Y239" s="381"/>
      <c r="Z239" s="327"/>
      <c r="AA239" s="381"/>
      <c r="AB239" s="326"/>
      <c r="AC239" s="326"/>
      <c r="AD239" s="327"/>
      <c r="AE239" s="381"/>
      <c r="AF239" s="326"/>
      <c r="AG239" s="327"/>
      <c r="AH239" s="381"/>
      <c r="AI239" s="326"/>
      <c r="AJ239" s="327"/>
      <c r="AK239" s="381"/>
      <c r="AL239" s="326"/>
      <c r="AM239" s="326"/>
      <c r="AN239" s="327"/>
      <c r="AO239" s="381"/>
      <c r="AP239" s="326"/>
      <c r="AQ239" s="326"/>
      <c r="AR239" s="326"/>
      <c r="AS239" s="326"/>
      <c r="AT239" s="326"/>
      <c r="AU239" s="326"/>
      <c r="AV239" s="327"/>
      <c r="AW239" s="686"/>
      <c r="AX239" s="326"/>
      <c r="AY239" s="327"/>
      <c r="AZ239" s="381"/>
      <c r="BA239" s="326"/>
      <c r="BB239" s="326"/>
      <c r="BC239" s="326"/>
      <c r="BD239" s="326"/>
      <c r="BE239" s="326"/>
      <c r="BF239" s="326"/>
      <c r="BG239" s="326"/>
      <c r="BH239" s="326"/>
      <c r="BI239" s="326"/>
      <c r="BJ239" s="326"/>
      <c r="BK239" s="326"/>
      <c r="BL239" s="326"/>
      <c r="BM239" s="326"/>
      <c r="BN239" s="326"/>
      <c r="BO239" s="327"/>
    </row>
    <row r="240" spans="1:67" ht="34.5" customHeight="1" x14ac:dyDescent="0.25">
      <c r="A240" s="87">
        <f t="shared" si="0"/>
        <v>228</v>
      </c>
      <c r="B240" s="386" t="s">
        <v>334</v>
      </c>
      <c r="C240" s="327"/>
      <c r="D240" s="498"/>
      <c r="E240" s="326"/>
      <c r="F240" s="326"/>
      <c r="G240" s="326"/>
      <c r="H240" s="327"/>
      <c r="I240" s="407"/>
      <c r="J240" s="326"/>
      <c r="K240" s="326"/>
      <c r="L240" s="326"/>
      <c r="M240" s="326"/>
      <c r="N240" s="326"/>
      <c r="O240" s="326"/>
      <c r="P240" s="327"/>
      <c r="Q240" s="456"/>
      <c r="R240" s="326"/>
      <c r="S240" s="326"/>
      <c r="T240" s="326"/>
      <c r="U240" s="326"/>
      <c r="V240" s="326"/>
      <c r="W240" s="326"/>
      <c r="X240" s="327"/>
      <c r="Y240" s="407"/>
      <c r="Z240" s="327"/>
      <c r="AA240" s="456"/>
      <c r="AB240" s="326"/>
      <c r="AC240" s="326"/>
      <c r="AD240" s="327"/>
      <c r="AE240" s="407"/>
      <c r="AF240" s="326"/>
      <c r="AG240" s="327"/>
      <c r="AH240" s="456"/>
      <c r="AI240" s="326"/>
      <c r="AJ240" s="327"/>
      <c r="AK240" s="407"/>
      <c r="AL240" s="326"/>
      <c r="AM240" s="326"/>
      <c r="AN240" s="327"/>
      <c r="AO240" s="456"/>
      <c r="AP240" s="326"/>
      <c r="AQ240" s="326"/>
      <c r="AR240" s="326"/>
      <c r="AS240" s="326"/>
      <c r="AT240" s="326"/>
      <c r="AU240" s="326"/>
      <c r="AV240" s="327"/>
      <c r="AW240" s="685"/>
      <c r="AX240" s="326"/>
      <c r="AY240" s="327"/>
      <c r="AZ240" s="456"/>
      <c r="BA240" s="326"/>
      <c r="BB240" s="326"/>
      <c r="BC240" s="326"/>
      <c r="BD240" s="326"/>
      <c r="BE240" s="326"/>
      <c r="BF240" s="326"/>
      <c r="BG240" s="326"/>
      <c r="BH240" s="326"/>
      <c r="BI240" s="326"/>
      <c r="BJ240" s="326"/>
      <c r="BK240" s="326"/>
      <c r="BL240" s="326"/>
      <c r="BM240" s="326"/>
      <c r="BN240" s="326"/>
      <c r="BO240" s="327"/>
    </row>
    <row r="241" spans="1:67" ht="34.5" customHeight="1" x14ac:dyDescent="0.25">
      <c r="A241" s="87">
        <f t="shared" si="0"/>
        <v>229</v>
      </c>
      <c r="B241" s="386" t="s">
        <v>334</v>
      </c>
      <c r="C241" s="327"/>
      <c r="D241" s="687"/>
      <c r="E241" s="326"/>
      <c r="F241" s="326"/>
      <c r="G241" s="326"/>
      <c r="H241" s="327"/>
      <c r="I241" s="381"/>
      <c r="J241" s="326"/>
      <c r="K241" s="326"/>
      <c r="L241" s="326"/>
      <c r="M241" s="326"/>
      <c r="N241" s="326"/>
      <c r="O241" s="326"/>
      <c r="P241" s="327"/>
      <c r="Q241" s="381"/>
      <c r="R241" s="326"/>
      <c r="S241" s="326"/>
      <c r="T241" s="326"/>
      <c r="U241" s="326"/>
      <c r="V241" s="326"/>
      <c r="W241" s="326"/>
      <c r="X241" s="327"/>
      <c r="Y241" s="381"/>
      <c r="Z241" s="327"/>
      <c r="AA241" s="381"/>
      <c r="AB241" s="326"/>
      <c r="AC241" s="326"/>
      <c r="AD241" s="327"/>
      <c r="AE241" s="381"/>
      <c r="AF241" s="326"/>
      <c r="AG241" s="327"/>
      <c r="AH241" s="381"/>
      <c r="AI241" s="326"/>
      <c r="AJ241" s="327"/>
      <c r="AK241" s="381"/>
      <c r="AL241" s="326"/>
      <c r="AM241" s="326"/>
      <c r="AN241" s="327"/>
      <c r="AO241" s="381"/>
      <c r="AP241" s="326"/>
      <c r="AQ241" s="326"/>
      <c r="AR241" s="326"/>
      <c r="AS241" s="326"/>
      <c r="AT241" s="326"/>
      <c r="AU241" s="326"/>
      <c r="AV241" s="327"/>
      <c r="AW241" s="686"/>
      <c r="AX241" s="326"/>
      <c r="AY241" s="327"/>
      <c r="AZ241" s="381"/>
      <c r="BA241" s="326"/>
      <c r="BB241" s="326"/>
      <c r="BC241" s="326"/>
      <c r="BD241" s="326"/>
      <c r="BE241" s="326"/>
      <c r="BF241" s="326"/>
      <c r="BG241" s="326"/>
      <c r="BH241" s="326"/>
      <c r="BI241" s="326"/>
      <c r="BJ241" s="326"/>
      <c r="BK241" s="326"/>
      <c r="BL241" s="326"/>
      <c r="BM241" s="326"/>
      <c r="BN241" s="326"/>
      <c r="BO241" s="327"/>
    </row>
    <row r="242" spans="1:67" ht="34.5" customHeight="1" x14ac:dyDescent="0.25">
      <c r="A242" s="87">
        <f t="shared" si="0"/>
        <v>230</v>
      </c>
      <c r="B242" s="386" t="s">
        <v>334</v>
      </c>
      <c r="C242" s="327"/>
      <c r="D242" s="498"/>
      <c r="E242" s="326"/>
      <c r="F242" s="326"/>
      <c r="G242" s="326"/>
      <c r="H242" s="327"/>
      <c r="I242" s="407"/>
      <c r="J242" s="326"/>
      <c r="K242" s="326"/>
      <c r="L242" s="326"/>
      <c r="M242" s="326"/>
      <c r="N242" s="326"/>
      <c r="O242" s="326"/>
      <c r="P242" s="327"/>
      <c r="Q242" s="456"/>
      <c r="R242" s="326"/>
      <c r="S242" s="326"/>
      <c r="T242" s="326"/>
      <c r="U242" s="326"/>
      <c r="V242" s="326"/>
      <c r="W242" s="326"/>
      <c r="X242" s="327"/>
      <c r="Y242" s="407"/>
      <c r="Z242" s="327"/>
      <c r="AA242" s="456"/>
      <c r="AB242" s="326"/>
      <c r="AC242" s="326"/>
      <c r="AD242" s="327"/>
      <c r="AE242" s="407"/>
      <c r="AF242" s="326"/>
      <c r="AG242" s="327"/>
      <c r="AH242" s="456"/>
      <c r="AI242" s="326"/>
      <c r="AJ242" s="327"/>
      <c r="AK242" s="407"/>
      <c r="AL242" s="326"/>
      <c r="AM242" s="326"/>
      <c r="AN242" s="327"/>
      <c r="AO242" s="456"/>
      <c r="AP242" s="326"/>
      <c r="AQ242" s="326"/>
      <c r="AR242" s="326"/>
      <c r="AS242" s="326"/>
      <c r="AT242" s="326"/>
      <c r="AU242" s="326"/>
      <c r="AV242" s="327"/>
      <c r="AW242" s="685"/>
      <c r="AX242" s="326"/>
      <c r="AY242" s="327"/>
      <c r="AZ242" s="456"/>
      <c r="BA242" s="326"/>
      <c r="BB242" s="326"/>
      <c r="BC242" s="326"/>
      <c r="BD242" s="326"/>
      <c r="BE242" s="326"/>
      <c r="BF242" s="326"/>
      <c r="BG242" s="326"/>
      <c r="BH242" s="326"/>
      <c r="BI242" s="326"/>
      <c r="BJ242" s="326"/>
      <c r="BK242" s="326"/>
      <c r="BL242" s="326"/>
      <c r="BM242" s="326"/>
      <c r="BN242" s="326"/>
      <c r="BO242" s="327"/>
    </row>
    <row r="243" spans="1:67" ht="34.5" customHeight="1" x14ac:dyDescent="0.25">
      <c r="A243" s="87">
        <f t="shared" si="0"/>
        <v>231</v>
      </c>
      <c r="B243" s="386" t="s">
        <v>334</v>
      </c>
      <c r="C243" s="327"/>
      <c r="D243" s="687"/>
      <c r="E243" s="326"/>
      <c r="F243" s="326"/>
      <c r="G243" s="326"/>
      <c r="H243" s="327"/>
      <c r="I243" s="381"/>
      <c r="J243" s="326"/>
      <c r="K243" s="326"/>
      <c r="L243" s="326"/>
      <c r="M243" s="326"/>
      <c r="N243" s="326"/>
      <c r="O243" s="326"/>
      <c r="P243" s="327"/>
      <c r="Q243" s="381"/>
      <c r="R243" s="326"/>
      <c r="S243" s="326"/>
      <c r="T243" s="326"/>
      <c r="U243" s="326"/>
      <c r="V243" s="326"/>
      <c r="W243" s="326"/>
      <c r="X243" s="327"/>
      <c r="Y243" s="381"/>
      <c r="Z243" s="327"/>
      <c r="AA243" s="381"/>
      <c r="AB243" s="326"/>
      <c r="AC243" s="326"/>
      <c r="AD243" s="327"/>
      <c r="AE243" s="381"/>
      <c r="AF243" s="326"/>
      <c r="AG243" s="327"/>
      <c r="AH243" s="381"/>
      <c r="AI243" s="326"/>
      <c r="AJ243" s="327"/>
      <c r="AK243" s="381"/>
      <c r="AL243" s="326"/>
      <c r="AM243" s="326"/>
      <c r="AN243" s="327"/>
      <c r="AO243" s="381"/>
      <c r="AP243" s="326"/>
      <c r="AQ243" s="326"/>
      <c r="AR243" s="326"/>
      <c r="AS243" s="326"/>
      <c r="AT243" s="326"/>
      <c r="AU243" s="326"/>
      <c r="AV243" s="327"/>
      <c r="AW243" s="686"/>
      <c r="AX243" s="326"/>
      <c r="AY243" s="327"/>
      <c r="AZ243" s="381"/>
      <c r="BA243" s="326"/>
      <c r="BB243" s="326"/>
      <c r="BC243" s="326"/>
      <c r="BD243" s="326"/>
      <c r="BE243" s="326"/>
      <c r="BF243" s="326"/>
      <c r="BG243" s="326"/>
      <c r="BH243" s="326"/>
      <c r="BI243" s="326"/>
      <c r="BJ243" s="326"/>
      <c r="BK243" s="326"/>
      <c r="BL243" s="326"/>
      <c r="BM243" s="326"/>
      <c r="BN243" s="326"/>
      <c r="BO243" s="327"/>
    </row>
    <row r="244" spans="1:67" ht="34.5" customHeight="1" x14ac:dyDescent="0.25">
      <c r="A244" s="87">
        <f t="shared" si="0"/>
        <v>232</v>
      </c>
      <c r="B244" s="386" t="s">
        <v>334</v>
      </c>
      <c r="C244" s="327"/>
      <c r="D244" s="498"/>
      <c r="E244" s="326"/>
      <c r="F244" s="326"/>
      <c r="G244" s="326"/>
      <c r="H244" s="327"/>
      <c r="I244" s="407"/>
      <c r="J244" s="326"/>
      <c r="K244" s="326"/>
      <c r="L244" s="326"/>
      <c r="M244" s="326"/>
      <c r="N244" s="326"/>
      <c r="O244" s="326"/>
      <c r="P244" s="327"/>
      <c r="Q244" s="456"/>
      <c r="R244" s="326"/>
      <c r="S244" s="326"/>
      <c r="T244" s="326"/>
      <c r="U244" s="326"/>
      <c r="V244" s="326"/>
      <c r="W244" s="326"/>
      <c r="X244" s="327"/>
      <c r="Y244" s="407"/>
      <c r="Z244" s="327"/>
      <c r="AA244" s="456"/>
      <c r="AB244" s="326"/>
      <c r="AC244" s="326"/>
      <c r="AD244" s="327"/>
      <c r="AE244" s="407"/>
      <c r="AF244" s="326"/>
      <c r="AG244" s="327"/>
      <c r="AH244" s="456"/>
      <c r="AI244" s="326"/>
      <c r="AJ244" s="327"/>
      <c r="AK244" s="407"/>
      <c r="AL244" s="326"/>
      <c r="AM244" s="326"/>
      <c r="AN244" s="327"/>
      <c r="AO244" s="456"/>
      <c r="AP244" s="326"/>
      <c r="AQ244" s="326"/>
      <c r="AR244" s="326"/>
      <c r="AS244" s="326"/>
      <c r="AT244" s="326"/>
      <c r="AU244" s="326"/>
      <c r="AV244" s="327"/>
      <c r="AW244" s="685"/>
      <c r="AX244" s="326"/>
      <c r="AY244" s="327"/>
      <c r="AZ244" s="456"/>
      <c r="BA244" s="326"/>
      <c r="BB244" s="326"/>
      <c r="BC244" s="326"/>
      <c r="BD244" s="326"/>
      <c r="BE244" s="326"/>
      <c r="BF244" s="326"/>
      <c r="BG244" s="326"/>
      <c r="BH244" s="326"/>
      <c r="BI244" s="326"/>
      <c r="BJ244" s="326"/>
      <c r="BK244" s="326"/>
      <c r="BL244" s="326"/>
      <c r="BM244" s="326"/>
      <c r="BN244" s="326"/>
      <c r="BO244" s="327"/>
    </row>
    <row r="245" spans="1:67" ht="34.5" customHeight="1" x14ac:dyDescent="0.25">
      <c r="A245" s="87">
        <f t="shared" si="0"/>
        <v>233</v>
      </c>
      <c r="B245" s="386" t="s">
        <v>334</v>
      </c>
      <c r="C245" s="327"/>
      <c r="D245" s="687"/>
      <c r="E245" s="326"/>
      <c r="F245" s="326"/>
      <c r="G245" s="326"/>
      <c r="H245" s="327"/>
      <c r="I245" s="381"/>
      <c r="J245" s="326"/>
      <c r="K245" s="326"/>
      <c r="L245" s="326"/>
      <c r="M245" s="326"/>
      <c r="N245" s="326"/>
      <c r="O245" s="326"/>
      <c r="P245" s="327"/>
      <c r="Q245" s="381"/>
      <c r="R245" s="326"/>
      <c r="S245" s="326"/>
      <c r="T245" s="326"/>
      <c r="U245" s="326"/>
      <c r="V245" s="326"/>
      <c r="W245" s="326"/>
      <c r="X245" s="327"/>
      <c r="Y245" s="381"/>
      <c r="Z245" s="327"/>
      <c r="AA245" s="381"/>
      <c r="AB245" s="326"/>
      <c r="AC245" s="326"/>
      <c r="AD245" s="327"/>
      <c r="AE245" s="381"/>
      <c r="AF245" s="326"/>
      <c r="AG245" s="327"/>
      <c r="AH245" s="381"/>
      <c r="AI245" s="326"/>
      <c r="AJ245" s="327"/>
      <c r="AK245" s="381"/>
      <c r="AL245" s="326"/>
      <c r="AM245" s="326"/>
      <c r="AN245" s="327"/>
      <c r="AO245" s="381"/>
      <c r="AP245" s="326"/>
      <c r="AQ245" s="326"/>
      <c r="AR245" s="326"/>
      <c r="AS245" s="326"/>
      <c r="AT245" s="326"/>
      <c r="AU245" s="326"/>
      <c r="AV245" s="327"/>
      <c r="AW245" s="686"/>
      <c r="AX245" s="326"/>
      <c r="AY245" s="327"/>
      <c r="AZ245" s="381"/>
      <c r="BA245" s="326"/>
      <c r="BB245" s="326"/>
      <c r="BC245" s="326"/>
      <c r="BD245" s="326"/>
      <c r="BE245" s="326"/>
      <c r="BF245" s="326"/>
      <c r="BG245" s="326"/>
      <c r="BH245" s="326"/>
      <c r="BI245" s="326"/>
      <c r="BJ245" s="326"/>
      <c r="BK245" s="326"/>
      <c r="BL245" s="326"/>
      <c r="BM245" s="326"/>
      <c r="BN245" s="326"/>
      <c r="BO245" s="327"/>
    </row>
    <row r="246" spans="1:67" ht="34.5" customHeight="1" x14ac:dyDescent="0.25">
      <c r="A246" s="87">
        <f t="shared" si="0"/>
        <v>234</v>
      </c>
      <c r="B246" s="386" t="s">
        <v>334</v>
      </c>
      <c r="C246" s="327"/>
      <c r="D246" s="498"/>
      <c r="E246" s="326"/>
      <c r="F246" s="326"/>
      <c r="G246" s="326"/>
      <c r="H246" s="327"/>
      <c r="I246" s="407"/>
      <c r="J246" s="326"/>
      <c r="K246" s="326"/>
      <c r="L246" s="326"/>
      <c r="M246" s="326"/>
      <c r="N246" s="326"/>
      <c r="O246" s="326"/>
      <c r="P246" s="327"/>
      <c r="Q246" s="456"/>
      <c r="R246" s="326"/>
      <c r="S246" s="326"/>
      <c r="T246" s="326"/>
      <c r="U246" s="326"/>
      <c r="V246" s="326"/>
      <c r="W246" s="326"/>
      <c r="X246" s="327"/>
      <c r="Y246" s="407"/>
      <c r="Z246" s="327"/>
      <c r="AA246" s="456"/>
      <c r="AB246" s="326"/>
      <c r="AC246" s="326"/>
      <c r="AD246" s="327"/>
      <c r="AE246" s="407"/>
      <c r="AF246" s="326"/>
      <c r="AG246" s="327"/>
      <c r="AH246" s="456"/>
      <c r="AI246" s="326"/>
      <c r="AJ246" s="327"/>
      <c r="AK246" s="407"/>
      <c r="AL246" s="326"/>
      <c r="AM246" s="326"/>
      <c r="AN246" s="327"/>
      <c r="AO246" s="456"/>
      <c r="AP246" s="326"/>
      <c r="AQ246" s="326"/>
      <c r="AR246" s="326"/>
      <c r="AS246" s="326"/>
      <c r="AT246" s="326"/>
      <c r="AU246" s="326"/>
      <c r="AV246" s="327"/>
      <c r="AW246" s="685"/>
      <c r="AX246" s="326"/>
      <c r="AY246" s="327"/>
      <c r="AZ246" s="456"/>
      <c r="BA246" s="326"/>
      <c r="BB246" s="326"/>
      <c r="BC246" s="326"/>
      <c r="BD246" s="326"/>
      <c r="BE246" s="326"/>
      <c r="BF246" s="326"/>
      <c r="BG246" s="326"/>
      <c r="BH246" s="326"/>
      <c r="BI246" s="326"/>
      <c r="BJ246" s="326"/>
      <c r="BK246" s="326"/>
      <c r="BL246" s="326"/>
      <c r="BM246" s="326"/>
      <c r="BN246" s="326"/>
      <c r="BO246" s="327"/>
    </row>
    <row r="247" spans="1:67" ht="34.5" customHeight="1" x14ac:dyDescent="0.25">
      <c r="A247" s="87">
        <f t="shared" si="0"/>
        <v>235</v>
      </c>
      <c r="B247" s="386" t="s">
        <v>334</v>
      </c>
      <c r="C247" s="327"/>
      <c r="D247" s="687"/>
      <c r="E247" s="326"/>
      <c r="F247" s="326"/>
      <c r="G247" s="326"/>
      <c r="H247" s="327"/>
      <c r="I247" s="381"/>
      <c r="J247" s="326"/>
      <c r="K247" s="326"/>
      <c r="L247" s="326"/>
      <c r="M247" s="326"/>
      <c r="N247" s="326"/>
      <c r="O247" s="326"/>
      <c r="P247" s="327"/>
      <c r="Q247" s="381"/>
      <c r="R247" s="326"/>
      <c r="S247" s="326"/>
      <c r="T247" s="326"/>
      <c r="U247" s="326"/>
      <c r="V247" s="326"/>
      <c r="W247" s="326"/>
      <c r="X247" s="327"/>
      <c r="Y247" s="381"/>
      <c r="Z247" s="327"/>
      <c r="AA247" s="381"/>
      <c r="AB247" s="326"/>
      <c r="AC247" s="326"/>
      <c r="AD247" s="327"/>
      <c r="AE247" s="381"/>
      <c r="AF247" s="326"/>
      <c r="AG247" s="327"/>
      <c r="AH247" s="381"/>
      <c r="AI247" s="326"/>
      <c r="AJ247" s="327"/>
      <c r="AK247" s="381"/>
      <c r="AL247" s="326"/>
      <c r="AM247" s="326"/>
      <c r="AN247" s="327"/>
      <c r="AO247" s="381"/>
      <c r="AP247" s="326"/>
      <c r="AQ247" s="326"/>
      <c r="AR247" s="326"/>
      <c r="AS247" s="326"/>
      <c r="AT247" s="326"/>
      <c r="AU247" s="326"/>
      <c r="AV247" s="327"/>
      <c r="AW247" s="686"/>
      <c r="AX247" s="326"/>
      <c r="AY247" s="327"/>
      <c r="AZ247" s="381"/>
      <c r="BA247" s="326"/>
      <c r="BB247" s="326"/>
      <c r="BC247" s="326"/>
      <c r="BD247" s="326"/>
      <c r="BE247" s="326"/>
      <c r="BF247" s="326"/>
      <c r="BG247" s="326"/>
      <c r="BH247" s="326"/>
      <c r="BI247" s="326"/>
      <c r="BJ247" s="326"/>
      <c r="BK247" s="326"/>
      <c r="BL247" s="326"/>
      <c r="BM247" s="326"/>
      <c r="BN247" s="326"/>
      <c r="BO247" s="327"/>
    </row>
    <row r="248" spans="1:67" ht="34.5" customHeight="1" x14ac:dyDescent="0.25">
      <c r="A248" s="87">
        <f t="shared" si="0"/>
        <v>236</v>
      </c>
      <c r="B248" s="688" t="s">
        <v>334</v>
      </c>
      <c r="C248" s="327"/>
      <c r="D248" s="498"/>
      <c r="E248" s="326"/>
      <c r="F248" s="326"/>
      <c r="G248" s="326"/>
      <c r="H248" s="327"/>
      <c r="I248" s="407"/>
      <c r="J248" s="326"/>
      <c r="K248" s="326"/>
      <c r="L248" s="326"/>
      <c r="M248" s="326"/>
      <c r="N248" s="326"/>
      <c r="O248" s="326"/>
      <c r="P248" s="327"/>
      <c r="Q248" s="456"/>
      <c r="R248" s="326"/>
      <c r="S248" s="326"/>
      <c r="T248" s="326"/>
      <c r="U248" s="326"/>
      <c r="V248" s="326"/>
      <c r="W248" s="326"/>
      <c r="X248" s="327"/>
      <c r="Y248" s="407"/>
      <c r="Z248" s="327"/>
      <c r="AA248" s="456"/>
      <c r="AB248" s="326"/>
      <c r="AC248" s="326"/>
      <c r="AD248" s="327"/>
      <c r="AE248" s="407"/>
      <c r="AF248" s="326"/>
      <c r="AG248" s="327"/>
      <c r="AH248" s="456"/>
      <c r="AI248" s="326"/>
      <c r="AJ248" s="327"/>
      <c r="AK248" s="407"/>
      <c r="AL248" s="326"/>
      <c r="AM248" s="326"/>
      <c r="AN248" s="327"/>
      <c r="AO248" s="456"/>
      <c r="AP248" s="326"/>
      <c r="AQ248" s="326"/>
      <c r="AR248" s="326"/>
      <c r="AS248" s="326"/>
      <c r="AT248" s="326"/>
      <c r="AU248" s="326"/>
      <c r="AV248" s="327"/>
      <c r="AW248" s="685"/>
      <c r="AX248" s="326"/>
      <c r="AY248" s="327"/>
      <c r="AZ248" s="456"/>
      <c r="BA248" s="326"/>
      <c r="BB248" s="326"/>
      <c r="BC248" s="326"/>
      <c r="BD248" s="326"/>
      <c r="BE248" s="326"/>
      <c r="BF248" s="326"/>
      <c r="BG248" s="326"/>
      <c r="BH248" s="326"/>
      <c r="BI248" s="326"/>
      <c r="BJ248" s="326"/>
      <c r="BK248" s="326"/>
      <c r="BL248" s="326"/>
      <c r="BM248" s="326"/>
      <c r="BN248" s="326"/>
      <c r="BO248" s="327"/>
    </row>
    <row r="249" spans="1:67" ht="34.5" customHeight="1" x14ac:dyDescent="0.25">
      <c r="A249" s="87">
        <f t="shared" si="0"/>
        <v>237</v>
      </c>
      <c r="B249" s="386" t="s">
        <v>334</v>
      </c>
      <c r="C249" s="327"/>
      <c r="D249" s="687"/>
      <c r="E249" s="326"/>
      <c r="F249" s="326"/>
      <c r="G249" s="326"/>
      <c r="H249" s="327"/>
      <c r="I249" s="381"/>
      <c r="J249" s="326"/>
      <c r="K249" s="326"/>
      <c r="L249" s="326"/>
      <c r="M249" s="326"/>
      <c r="N249" s="326"/>
      <c r="O249" s="326"/>
      <c r="P249" s="327"/>
      <c r="Q249" s="381"/>
      <c r="R249" s="326"/>
      <c r="S249" s="326"/>
      <c r="T249" s="326"/>
      <c r="U249" s="326"/>
      <c r="V249" s="326"/>
      <c r="W249" s="326"/>
      <c r="X249" s="327"/>
      <c r="Y249" s="381"/>
      <c r="Z249" s="327"/>
      <c r="AA249" s="381"/>
      <c r="AB249" s="326"/>
      <c r="AC249" s="326"/>
      <c r="AD249" s="327"/>
      <c r="AE249" s="381"/>
      <c r="AF249" s="326"/>
      <c r="AG249" s="327"/>
      <c r="AH249" s="381"/>
      <c r="AI249" s="326"/>
      <c r="AJ249" s="327"/>
      <c r="AK249" s="381"/>
      <c r="AL249" s="326"/>
      <c r="AM249" s="326"/>
      <c r="AN249" s="327"/>
      <c r="AO249" s="381"/>
      <c r="AP249" s="326"/>
      <c r="AQ249" s="326"/>
      <c r="AR249" s="326"/>
      <c r="AS249" s="326"/>
      <c r="AT249" s="326"/>
      <c r="AU249" s="326"/>
      <c r="AV249" s="327"/>
      <c r="AW249" s="686"/>
      <c r="AX249" s="326"/>
      <c r="AY249" s="327"/>
      <c r="AZ249" s="381"/>
      <c r="BA249" s="326"/>
      <c r="BB249" s="326"/>
      <c r="BC249" s="326"/>
      <c r="BD249" s="326"/>
      <c r="BE249" s="326"/>
      <c r="BF249" s="326"/>
      <c r="BG249" s="326"/>
      <c r="BH249" s="326"/>
      <c r="BI249" s="326"/>
      <c r="BJ249" s="326"/>
      <c r="BK249" s="326"/>
      <c r="BL249" s="326"/>
      <c r="BM249" s="326"/>
      <c r="BN249" s="326"/>
      <c r="BO249" s="327"/>
    </row>
    <row r="250" spans="1:67" ht="34.5" customHeight="1" x14ac:dyDescent="0.25">
      <c r="A250" s="87">
        <f t="shared" si="0"/>
        <v>238</v>
      </c>
      <c r="B250" s="386" t="s">
        <v>334</v>
      </c>
      <c r="C250" s="327"/>
      <c r="D250" s="498"/>
      <c r="E250" s="326"/>
      <c r="F250" s="326"/>
      <c r="G250" s="326"/>
      <c r="H250" s="327"/>
      <c r="I250" s="407"/>
      <c r="J250" s="326"/>
      <c r="K250" s="326"/>
      <c r="L250" s="326"/>
      <c r="M250" s="326"/>
      <c r="N250" s="326"/>
      <c r="O250" s="326"/>
      <c r="P250" s="327"/>
      <c r="Q250" s="456"/>
      <c r="R250" s="326"/>
      <c r="S250" s="326"/>
      <c r="T250" s="326"/>
      <c r="U250" s="326"/>
      <c r="V250" s="326"/>
      <c r="W250" s="326"/>
      <c r="X250" s="327"/>
      <c r="Y250" s="407"/>
      <c r="Z250" s="327"/>
      <c r="AA250" s="456"/>
      <c r="AB250" s="326"/>
      <c r="AC250" s="326"/>
      <c r="AD250" s="327"/>
      <c r="AE250" s="407"/>
      <c r="AF250" s="326"/>
      <c r="AG250" s="327"/>
      <c r="AH250" s="456"/>
      <c r="AI250" s="326"/>
      <c r="AJ250" s="327"/>
      <c r="AK250" s="407"/>
      <c r="AL250" s="326"/>
      <c r="AM250" s="326"/>
      <c r="AN250" s="327"/>
      <c r="AO250" s="456"/>
      <c r="AP250" s="326"/>
      <c r="AQ250" s="326"/>
      <c r="AR250" s="326"/>
      <c r="AS250" s="326"/>
      <c r="AT250" s="326"/>
      <c r="AU250" s="326"/>
      <c r="AV250" s="327"/>
      <c r="AW250" s="685"/>
      <c r="AX250" s="326"/>
      <c r="AY250" s="327"/>
      <c r="AZ250" s="456"/>
      <c r="BA250" s="326"/>
      <c r="BB250" s="326"/>
      <c r="BC250" s="326"/>
      <c r="BD250" s="326"/>
      <c r="BE250" s="326"/>
      <c r="BF250" s="326"/>
      <c r="BG250" s="326"/>
      <c r="BH250" s="326"/>
      <c r="BI250" s="326"/>
      <c r="BJ250" s="326"/>
      <c r="BK250" s="326"/>
      <c r="BL250" s="326"/>
      <c r="BM250" s="326"/>
      <c r="BN250" s="326"/>
      <c r="BO250" s="327"/>
    </row>
    <row r="251" spans="1:67" ht="34.5" customHeight="1" x14ac:dyDescent="0.25">
      <c r="A251" s="87">
        <f t="shared" si="0"/>
        <v>239</v>
      </c>
      <c r="B251" s="386" t="s">
        <v>334</v>
      </c>
      <c r="C251" s="327"/>
      <c r="D251" s="687"/>
      <c r="E251" s="326"/>
      <c r="F251" s="326"/>
      <c r="G251" s="326"/>
      <c r="H251" s="327"/>
      <c r="I251" s="381"/>
      <c r="J251" s="326"/>
      <c r="K251" s="326"/>
      <c r="L251" s="326"/>
      <c r="M251" s="326"/>
      <c r="N251" s="326"/>
      <c r="O251" s="326"/>
      <c r="P251" s="327"/>
      <c r="Q251" s="381"/>
      <c r="R251" s="326"/>
      <c r="S251" s="326"/>
      <c r="T251" s="326"/>
      <c r="U251" s="326"/>
      <c r="V251" s="326"/>
      <c r="W251" s="326"/>
      <c r="X251" s="327"/>
      <c r="Y251" s="381"/>
      <c r="Z251" s="327"/>
      <c r="AA251" s="381"/>
      <c r="AB251" s="326"/>
      <c r="AC251" s="326"/>
      <c r="AD251" s="327"/>
      <c r="AE251" s="381"/>
      <c r="AF251" s="326"/>
      <c r="AG251" s="327"/>
      <c r="AH251" s="381"/>
      <c r="AI251" s="326"/>
      <c r="AJ251" s="327"/>
      <c r="AK251" s="381"/>
      <c r="AL251" s="326"/>
      <c r="AM251" s="326"/>
      <c r="AN251" s="327"/>
      <c r="AO251" s="381"/>
      <c r="AP251" s="326"/>
      <c r="AQ251" s="326"/>
      <c r="AR251" s="326"/>
      <c r="AS251" s="326"/>
      <c r="AT251" s="326"/>
      <c r="AU251" s="326"/>
      <c r="AV251" s="327"/>
      <c r="AW251" s="686"/>
      <c r="AX251" s="326"/>
      <c r="AY251" s="327"/>
      <c r="AZ251" s="381"/>
      <c r="BA251" s="326"/>
      <c r="BB251" s="326"/>
      <c r="BC251" s="326"/>
      <c r="BD251" s="326"/>
      <c r="BE251" s="326"/>
      <c r="BF251" s="326"/>
      <c r="BG251" s="326"/>
      <c r="BH251" s="326"/>
      <c r="BI251" s="326"/>
      <c r="BJ251" s="326"/>
      <c r="BK251" s="326"/>
      <c r="BL251" s="326"/>
      <c r="BM251" s="326"/>
      <c r="BN251" s="326"/>
      <c r="BO251" s="327"/>
    </row>
    <row r="252" spans="1:67" ht="34.5" customHeight="1" x14ac:dyDescent="0.25">
      <c r="A252" s="87">
        <f t="shared" si="0"/>
        <v>240</v>
      </c>
      <c r="B252" s="386" t="s">
        <v>334</v>
      </c>
      <c r="C252" s="327"/>
      <c r="D252" s="498"/>
      <c r="E252" s="326"/>
      <c r="F252" s="326"/>
      <c r="G252" s="326"/>
      <c r="H252" s="327"/>
      <c r="I252" s="407"/>
      <c r="J252" s="326"/>
      <c r="K252" s="326"/>
      <c r="L252" s="326"/>
      <c r="M252" s="326"/>
      <c r="N252" s="326"/>
      <c r="O252" s="326"/>
      <c r="P252" s="327"/>
      <c r="Q252" s="456"/>
      <c r="R252" s="326"/>
      <c r="S252" s="326"/>
      <c r="T252" s="326"/>
      <c r="U252" s="326"/>
      <c r="V252" s="326"/>
      <c r="W252" s="326"/>
      <c r="X252" s="327"/>
      <c r="Y252" s="407"/>
      <c r="Z252" s="327"/>
      <c r="AA252" s="456"/>
      <c r="AB252" s="326"/>
      <c r="AC252" s="326"/>
      <c r="AD252" s="327"/>
      <c r="AE252" s="407"/>
      <c r="AF252" s="326"/>
      <c r="AG252" s="327"/>
      <c r="AH252" s="456"/>
      <c r="AI252" s="326"/>
      <c r="AJ252" s="327"/>
      <c r="AK252" s="407"/>
      <c r="AL252" s="326"/>
      <c r="AM252" s="326"/>
      <c r="AN252" s="327"/>
      <c r="AO252" s="456"/>
      <c r="AP252" s="326"/>
      <c r="AQ252" s="326"/>
      <c r="AR252" s="326"/>
      <c r="AS252" s="326"/>
      <c r="AT252" s="326"/>
      <c r="AU252" s="326"/>
      <c r="AV252" s="327"/>
      <c r="AW252" s="685"/>
      <c r="AX252" s="326"/>
      <c r="AY252" s="327"/>
      <c r="AZ252" s="456"/>
      <c r="BA252" s="326"/>
      <c r="BB252" s="326"/>
      <c r="BC252" s="326"/>
      <c r="BD252" s="326"/>
      <c r="BE252" s="326"/>
      <c r="BF252" s="326"/>
      <c r="BG252" s="326"/>
      <c r="BH252" s="326"/>
      <c r="BI252" s="326"/>
      <c r="BJ252" s="326"/>
      <c r="BK252" s="326"/>
      <c r="BL252" s="326"/>
      <c r="BM252" s="326"/>
      <c r="BN252" s="326"/>
      <c r="BO252" s="327"/>
    </row>
    <row r="253" spans="1:67" ht="34.5" customHeight="1" x14ac:dyDescent="0.25">
      <c r="A253" s="87">
        <f t="shared" si="0"/>
        <v>241</v>
      </c>
      <c r="B253" s="386" t="s">
        <v>334</v>
      </c>
      <c r="C253" s="327"/>
      <c r="D253" s="687"/>
      <c r="E253" s="326"/>
      <c r="F253" s="326"/>
      <c r="G253" s="326"/>
      <c r="H253" s="327"/>
      <c r="I253" s="381"/>
      <c r="J253" s="326"/>
      <c r="K253" s="326"/>
      <c r="L253" s="326"/>
      <c r="M253" s="326"/>
      <c r="N253" s="326"/>
      <c r="O253" s="326"/>
      <c r="P253" s="327"/>
      <c r="Q253" s="381"/>
      <c r="R253" s="326"/>
      <c r="S253" s="326"/>
      <c r="T253" s="326"/>
      <c r="U253" s="326"/>
      <c r="V253" s="326"/>
      <c r="W253" s="326"/>
      <c r="X253" s="327"/>
      <c r="Y253" s="381"/>
      <c r="Z253" s="327"/>
      <c r="AA253" s="381"/>
      <c r="AB253" s="326"/>
      <c r="AC253" s="326"/>
      <c r="AD253" s="327"/>
      <c r="AE253" s="381"/>
      <c r="AF253" s="326"/>
      <c r="AG253" s="327"/>
      <c r="AH253" s="381"/>
      <c r="AI253" s="326"/>
      <c r="AJ253" s="327"/>
      <c r="AK253" s="381"/>
      <c r="AL253" s="326"/>
      <c r="AM253" s="326"/>
      <c r="AN253" s="327"/>
      <c r="AO253" s="381"/>
      <c r="AP253" s="326"/>
      <c r="AQ253" s="326"/>
      <c r="AR253" s="326"/>
      <c r="AS253" s="326"/>
      <c r="AT253" s="326"/>
      <c r="AU253" s="326"/>
      <c r="AV253" s="327"/>
      <c r="AW253" s="686"/>
      <c r="AX253" s="326"/>
      <c r="AY253" s="327"/>
      <c r="AZ253" s="381"/>
      <c r="BA253" s="326"/>
      <c r="BB253" s="326"/>
      <c r="BC253" s="326"/>
      <c r="BD253" s="326"/>
      <c r="BE253" s="326"/>
      <c r="BF253" s="326"/>
      <c r="BG253" s="326"/>
      <c r="BH253" s="326"/>
      <c r="BI253" s="326"/>
      <c r="BJ253" s="326"/>
      <c r="BK253" s="326"/>
      <c r="BL253" s="326"/>
      <c r="BM253" s="326"/>
      <c r="BN253" s="326"/>
      <c r="BO253" s="327"/>
    </row>
    <row r="254" spans="1:67" ht="34.5" customHeight="1" x14ac:dyDescent="0.25">
      <c r="A254" s="87">
        <f t="shared" si="0"/>
        <v>242</v>
      </c>
      <c r="B254" s="386" t="s">
        <v>334</v>
      </c>
      <c r="C254" s="327"/>
      <c r="D254" s="498"/>
      <c r="E254" s="326"/>
      <c r="F254" s="326"/>
      <c r="G254" s="326"/>
      <c r="H254" s="327"/>
      <c r="I254" s="407"/>
      <c r="J254" s="326"/>
      <c r="K254" s="326"/>
      <c r="L254" s="326"/>
      <c r="M254" s="326"/>
      <c r="N254" s="326"/>
      <c r="O254" s="326"/>
      <c r="P254" s="327"/>
      <c r="Q254" s="456"/>
      <c r="R254" s="326"/>
      <c r="S254" s="326"/>
      <c r="T254" s="326"/>
      <c r="U254" s="326"/>
      <c r="V254" s="326"/>
      <c r="W254" s="326"/>
      <c r="X254" s="327"/>
      <c r="Y254" s="407"/>
      <c r="Z254" s="327"/>
      <c r="AA254" s="456"/>
      <c r="AB254" s="326"/>
      <c r="AC254" s="326"/>
      <c r="AD254" s="327"/>
      <c r="AE254" s="407"/>
      <c r="AF254" s="326"/>
      <c r="AG254" s="327"/>
      <c r="AH254" s="456"/>
      <c r="AI254" s="326"/>
      <c r="AJ254" s="327"/>
      <c r="AK254" s="407"/>
      <c r="AL254" s="326"/>
      <c r="AM254" s="326"/>
      <c r="AN254" s="327"/>
      <c r="AO254" s="456"/>
      <c r="AP254" s="326"/>
      <c r="AQ254" s="326"/>
      <c r="AR254" s="326"/>
      <c r="AS254" s="326"/>
      <c r="AT254" s="326"/>
      <c r="AU254" s="326"/>
      <c r="AV254" s="327"/>
      <c r="AW254" s="685"/>
      <c r="AX254" s="326"/>
      <c r="AY254" s="327"/>
      <c r="AZ254" s="456"/>
      <c r="BA254" s="326"/>
      <c r="BB254" s="326"/>
      <c r="BC254" s="326"/>
      <c r="BD254" s="326"/>
      <c r="BE254" s="326"/>
      <c r="BF254" s="326"/>
      <c r="BG254" s="326"/>
      <c r="BH254" s="326"/>
      <c r="BI254" s="326"/>
      <c r="BJ254" s="326"/>
      <c r="BK254" s="326"/>
      <c r="BL254" s="326"/>
      <c r="BM254" s="326"/>
      <c r="BN254" s="326"/>
      <c r="BO254" s="327"/>
    </row>
    <row r="255" spans="1:67" ht="34.5" customHeight="1" x14ac:dyDescent="0.25">
      <c r="A255" s="87">
        <f t="shared" si="0"/>
        <v>243</v>
      </c>
      <c r="B255" s="386" t="s">
        <v>334</v>
      </c>
      <c r="C255" s="327"/>
      <c r="D255" s="687"/>
      <c r="E255" s="326"/>
      <c r="F255" s="326"/>
      <c r="G255" s="326"/>
      <c r="H255" s="327"/>
      <c r="I255" s="381"/>
      <c r="J255" s="326"/>
      <c r="K255" s="326"/>
      <c r="L255" s="326"/>
      <c r="M255" s="326"/>
      <c r="N255" s="326"/>
      <c r="O255" s="326"/>
      <c r="P255" s="327"/>
      <c r="Q255" s="381"/>
      <c r="R255" s="326"/>
      <c r="S255" s="326"/>
      <c r="T255" s="326"/>
      <c r="U255" s="326"/>
      <c r="V255" s="326"/>
      <c r="W255" s="326"/>
      <c r="X255" s="327"/>
      <c r="Y255" s="381"/>
      <c r="Z255" s="327"/>
      <c r="AA255" s="381"/>
      <c r="AB255" s="326"/>
      <c r="AC255" s="326"/>
      <c r="AD255" s="327"/>
      <c r="AE255" s="381"/>
      <c r="AF255" s="326"/>
      <c r="AG255" s="327"/>
      <c r="AH255" s="381"/>
      <c r="AI255" s="326"/>
      <c r="AJ255" s="327"/>
      <c r="AK255" s="381"/>
      <c r="AL255" s="326"/>
      <c r="AM255" s="326"/>
      <c r="AN255" s="327"/>
      <c r="AO255" s="381"/>
      <c r="AP255" s="326"/>
      <c r="AQ255" s="326"/>
      <c r="AR255" s="326"/>
      <c r="AS255" s="326"/>
      <c r="AT255" s="326"/>
      <c r="AU255" s="326"/>
      <c r="AV255" s="327"/>
      <c r="AW255" s="686"/>
      <c r="AX255" s="326"/>
      <c r="AY255" s="327"/>
      <c r="AZ255" s="381"/>
      <c r="BA255" s="326"/>
      <c r="BB255" s="326"/>
      <c r="BC255" s="326"/>
      <c r="BD255" s="326"/>
      <c r="BE255" s="326"/>
      <c r="BF255" s="326"/>
      <c r="BG255" s="326"/>
      <c r="BH255" s="326"/>
      <c r="BI255" s="326"/>
      <c r="BJ255" s="326"/>
      <c r="BK255" s="326"/>
      <c r="BL255" s="326"/>
      <c r="BM255" s="326"/>
      <c r="BN255" s="326"/>
      <c r="BO255" s="327"/>
    </row>
    <row r="256" spans="1:67" ht="34.5" customHeight="1" x14ac:dyDescent="0.25">
      <c r="A256" s="87">
        <f t="shared" si="0"/>
        <v>244</v>
      </c>
      <c r="B256" s="386" t="s">
        <v>334</v>
      </c>
      <c r="C256" s="327"/>
      <c r="D256" s="498"/>
      <c r="E256" s="326"/>
      <c r="F256" s="326"/>
      <c r="G256" s="326"/>
      <c r="H256" s="327"/>
      <c r="I256" s="407"/>
      <c r="J256" s="326"/>
      <c r="K256" s="326"/>
      <c r="L256" s="326"/>
      <c r="M256" s="326"/>
      <c r="N256" s="326"/>
      <c r="O256" s="326"/>
      <c r="P256" s="327"/>
      <c r="Q256" s="456"/>
      <c r="R256" s="326"/>
      <c r="S256" s="326"/>
      <c r="T256" s="326"/>
      <c r="U256" s="326"/>
      <c r="V256" s="326"/>
      <c r="W256" s="326"/>
      <c r="X256" s="327"/>
      <c r="Y256" s="407"/>
      <c r="Z256" s="327"/>
      <c r="AA256" s="456"/>
      <c r="AB256" s="326"/>
      <c r="AC256" s="326"/>
      <c r="AD256" s="327"/>
      <c r="AE256" s="407"/>
      <c r="AF256" s="326"/>
      <c r="AG256" s="327"/>
      <c r="AH256" s="456"/>
      <c r="AI256" s="326"/>
      <c r="AJ256" s="327"/>
      <c r="AK256" s="407"/>
      <c r="AL256" s="326"/>
      <c r="AM256" s="326"/>
      <c r="AN256" s="327"/>
      <c r="AO256" s="456"/>
      <c r="AP256" s="326"/>
      <c r="AQ256" s="326"/>
      <c r="AR256" s="326"/>
      <c r="AS256" s="326"/>
      <c r="AT256" s="326"/>
      <c r="AU256" s="326"/>
      <c r="AV256" s="327"/>
      <c r="AW256" s="685"/>
      <c r="AX256" s="326"/>
      <c r="AY256" s="327"/>
      <c r="AZ256" s="456"/>
      <c r="BA256" s="326"/>
      <c r="BB256" s="326"/>
      <c r="BC256" s="326"/>
      <c r="BD256" s="326"/>
      <c r="BE256" s="326"/>
      <c r="BF256" s="326"/>
      <c r="BG256" s="326"/>
      <c r="BH256" s="326"/>
      <c r="BI256" s="326"/>
      <c r="BJ256" s="326"/>
      <c r="BK256" s="326"/>
      <c r="BL256" s="326"/>
      <c r="BM256" s="326"/>
      <c r="BN256" s="326"/>
      <c r="BO256" s="327"/>
    </row>
    <row r="257" spans="1:67" ht="34.5" customHeight="1" x14ac:dyDescent="0.25">
      <c r="A257" s="87">
        <f t="shared" si="0"/>
        <v>245</v>
      </c>
      <c r="B257" s="386" t="s">
        <v>334</v>
      </c>
      <c r="C257" s="327"/>
      <c r="D257" s="687"/>
      <c r="E257" s="326"/>
      <c r="F257" s="326"/>
      <c r="G257" s="326"/>
      <c r="H257" s="327"/>
      <c r="I257" s="381"/>
      <c r="J257" s="326"/>
      <c r="K257" s="326"/>
      <c r="L257" s="326"/>
      <c r="M257" s="326"/>
      <c r="N257" s="326"/>
      <c r="O257" s="326"/>
      <c r="P257" s="327"/>
      <c r="Q257" s="381"/>
      <c r="R257" s="326"/>
      <c r="S257" s="326"/>
      <c r="T257" s="326"/>
      <c r="U257" s="326"/>
      <c r="V257" s="326"/>
      <c r="W257" s="326"/>
      <c r="X257" s="327"/>
      <c r="Y257" s="381"/>
      <c r="Z257" s="327"/>
      <c r="AA257" s="381"/>
      <c r="AB257" s="326"/>
      <c r="AC257" s="326"/>
      <c r="AD257" s="327"/>
      <c r="AE257" s="381"/>
      <c r="AF257" s="326"/>
      <c r="AG257" s="327"/>
      <c r="AH257" s="381"/>
      <c r="AI257" s="326"/>
      <c r="AJ257" s="327"/>
      <c r="AK257" s="381"/>
      <c r="AL257" s="326"/>
      <c r="AM257" s="326"/>
      <c r="AN257" s="327"/>
      <c r="AO257" s="381"/>
      <c r="AP257" s="326"/>
      <c r="AQ257" s="326"/>
      <c r="AR257" s="326"/>
      <c r="AS257" s="326"/>
      <c r="AT257" s="326"/>
      <c r="AU257" s="326"/>
      <c r="AV257" s="327"/>
      <c r="AW257" s="686"/>
      <c r="AX257" s="326"/>
      <c r="AY257" s="327"/>
      <c r="AZ257" s="381"/>
      <c r="BA257" s="326"/>
      <c r="BB257" s="326"/>
      <c r="BC257" s="326"/>
      <c r="BD257" s="326"/>
      <c r="BE257" s="326"/>
      <c r="BF257" s="326"/>
      <c r="BG257" s="326"/>
      <c r="BH257" s="326"/>
      <c r="BI257" s="326"/>
      <c r="BJ257" s="326"/>
      <c r="BK257" s="326"/>
      <c r="BL257" s="326"/>
      <c r="BM257" s="326"/>
      <c r="BN257" s="326"/>
      <c r="BO257" s="327"/>
    </row>
    <row r="258" spans="1:67" ht="34.5" customHeight="1" x14ac:dyDescent="0.25">
      <c r="A258" s="87">
        <f t="shared" si="0"/>
        <v>246</v>
      </c>
      <c r="B258" s="386" t="s">
        <v>334</v>
      </c>
      <c r="C258" s="327"/>
      <c r="D258" s="498"/>
      <c r="E258" s="326"/>
      <c r="F258" s="326"/>
      <c r="G258" s="326"/>
      <c r="H258" s="327"/>
      <c r="I258" s="407"/>
      <c r="J258" s="326"/>
      <c r="K258" s="326"/>
      <c r="L258" s="326"/>
      <c r="M258" s="326"/>
      <c r="N258" s="326"/>
      <c r="O258" s="326"/>
      <c r="P258" s="327"/>
      <c r="Q258" s="456"/>
      <c r="R258" s="326"/>
      <c r="S258" s="326"/>
      <c r="T258" s="326"/>
      <c r="U258" s="326"/>
      <c r="V258" s="326"/>
      <c r="W258" s="326"/>
      <c r="X258" s="327"/>
      <c r="Y258" s="407"/>
      <c r="Z258" s="327"/>
      <c r="AA258" s="456"/>
      <c r="AB258" s="326"/>
      <c r="AC258" s="326"/>
      <c r="AD258" s="327"/>
      <c r="AE258" s="407"/>
      <c r="AF258" s="326"/>
      <c r="AG258" s="327"/>
      <c r="AH258" s="456"/>
      <c r="AI258" s="326"/>
      <c r="AJ258" s="327"/>
      <c r="AK258" s="407"/>
      <c r="AL258" s="326"/>
      <c r="AM258" s="326"/>
      <c r="AN258" s="327"/>
      <c r="AO258" s="456"/>
      <c r="AP258" s="326"/>
      <c r="AQ258" s="326"/>
      <c r="AR258" s="326"/>
      <c r="AS258" s="326"/>
      <c r="AT258" s="326"/>
      <c r="AU258" s="326"/>
      <c r="AV258" s="327"/>
      <c r="AW258" s="685"/>
      <c r="AX258" s="326"/>
      <c r="AY258" s="327"/>
      <c r="AZ258" s="456"/>
      <c r="BA258" s="326"/>
      <c r="BB258" s="326"/>
      <c r="BC258" s="326"/>
      <c r="BD258" s="326"/>
      <c r="BE258" s="326"/>
      <c r="BF258" s="326"/>
      <c r="BG258" s="326"/>
      <c r="BH258" s="326"/>
      <c r="BI258" s="326"/>
      <c r="BJ258" s="326"/>
      <c r="BK258" s="326"/>
      <c r="BL258" s="326"/>
      <c r="BM258" s="326"/>
      <c r="BN258" s="326"/>
      <c r="BO258" s="327"/>
    </row>
    <row r="259" spans="1:67" ht="34.5" customHeight="1" x14ac:dyDescent="0.25">
      <c r="A259" s="87">
        <f t="shared" si="0"/>
        <v>247</v>
      </c>
      <c r="B259" s="386" t="s">
        <v>334</v>
      </c>
      <c r="C259" s="327"/>
      <c r="D259" s="687"/>
      <c r="E259" s="326"/>
      <c r="F259" s="326"/>
      <c r="G259" s="326"/>
      <c r="H259" s="327"/>
      <c r="I259" s="381"/>
      <c r="J259" s="326"/>
      <c r="K259" s="326"/>
      <c r="L259" s="326"/>
      <c r="M259" s="326"/>
      <c r="N259" s="326"/>
      <c r="O259" s="326"/>
      <c r="P259" s="327"/>
      <c r="Q259" s="381"/>
      <c r="R259" s="326"/>
      <c r="S259" s="326"/>
      <c r="T259" s="326"/>
      <c r="U259" s="326"/>
      <c r="V259" s="326"/>
      <c r="W259" s="326"/>
      <c r="X259" s="327"/>
      <c r="Y259" s="381"/>
      <c r="Z259" s="327"/>
      <c r="AA259" s="381"/>
      <c r="AB259" s="326"/>
      <c r="AC259" s="326"/>
      <c r="AD259" s="327"/>
      <c r="AE259" s="381"/>
      <c r="AF259" s="326"/>
      <c r="AG259" s="327"/>
      <c r="AH259" s="381"/>
      <c r="AI259" s="326"/>
      <c r="AJ259" s="327"/>
      <c r="AK259" s="381"/>
      <c r="AL259" s="326"/>
      <c r="AM259" s="326"/>
      <c r="AN259" s="327"/>
      <c r="AO259" s="381"/>
      <c r="AP259" s="326"/>
      <c r="AQ259" s="326"/>
      <c r="AR259" s="326"/>
      <c r="AS259" s="326"/>
      <c r="AT259" s="326"/>
      <c r="AU259" s="326"/>
      <c r="AV259" s="327"/>
      <c r="AW259" s="686"/>
      <c r="AX259" s="326"/>
      <c r="AY259" s="327"/>
      <c r="AZ259" s="381"/>
      <c r="BA259" s="326"/>
      <c r="BB259" s="326"/>
      <c r="BC259" s="326"/>
      <c r="BD259" s="326"/>
      <c r="BE259" s="326"/>
      <c r="BF259" s="326"/>
      <c r="BG259" s="326"/>
      <c r="BH259" s="326"/>
      <c r="BI259" s="326"/>
      <c r="BJ259" s="326"/>
      <c r="BK259" s="326"/>
      <c r="BL259" s="326"/>
      <c r="BM259" s="326"/>
      <c r="BN259" s="326"/>
      <c r="BO259" s="327"/>
    </row>
    <row r="260" spans="1:67" ht="34.5" customHeight="1" x14ac:dyDescent="0.25">
      <c r="A260" s="87">
        <f t="shared" si="0"/>
        <v>248</v>
      </c>
      <c r="B260" s="386" t="s">
        <v>334</v>
      </c>
      <c r="C260" s="327"/>
      <c r="D260" s="498"/>
      <c r="E260" s="326"/>
      <c r="F260" s="326"/>
      <c r="G260" s="326"/>
      <c r="H260" s="327"/>
      <c r="I260" s="407"/>
      <c r="J260" s="326"/>
      <c r="K260" s="326"/>
      <c r="L260" s="326"/>
      <c r="M260" s="326"/>
      <c r="N260" s="326"/>
      <c r="O260" s="326"/>
      <c r="P260" s="327"/>
      <c r="Q260" s="456"/>
      <c r="R260" s="326"/>
      <c r="S260" s="326"/>
      <c r="T260" s="326"/>
      <c r="U260" s="326"/>
      <c r="V260" s="326"/>
      <c r="W260" s="326"/>
      <c r="X260" s="327"/>
      <c r="Y260" s="407"/>
      <c r="Z260" s="327"/>
      <c r="AA260" s="456"/>
      <c r="AB260" s="326"/>
      <c r="AC260" s="326"/>
      <c r="AD260" s="327"/>
      <c r="AE260" s="407"/>
      <c r="AF260" s="326"/>
      <c r="AG260" s="327"/>
      <c r="AH260" s="456"/>
      <c r="AI260" s="326"/>
      <c r="AJ260" s="327"/>
      <c r="AK260" s="407"/>
      <c r="AL260" s="326"/>
      <c r="AM260" s="326"/>
      <c r="AN260" s="327"/>
      <c r="AO260" s="456"/>
      <c r="AP260" s="326"/>
      <c r="AQ260" s="326"/>
      <c r="AR260" s="326"/>
      <c r="AS260" s="326"/>
      <c r="AT260" s="326"/>
      <c r="AU260" s="326"/>
      <c r="AV260" s="327"/>
      <c r="AW260" s="685"/>
      <c r="AX260" s="326"/>
      <c r="AY260" s="327"/>
      <c r="AZ260" s="456"/>
      <c r="BA260" s="326"/>
      <c r="BB260" s="326"/>
      <c r="BC260" s="326"/>
      <c r="BD260" s="326"/>
      <c r="BE260" s="326"/>
      <c r="BF260" s="326"/>
      <c r="BG260" s="326"/>
      <c r="BH260" s="326"/>
      <c r="BI260" s="326"/>
      <c r="BJ260" s="326"/>
      <c r="BK260" s="326"/>
      <c r="BL260" s="326"/>
      <c r="BM260" s="326"/>
      <c r="BN260" s="326"/>
      <c r="BO260" s="327"/>
    </row>
    <row r="261" spans="1:67" ht="34.5" customHeight="1" x14ac:dyDescent="0.25">
      <c r="A261" s="87">
        <f t="shared" si="0"/>
        <v>249</v>
      </c>
      <c r="B261" s="386" t="s">
        <v>334</v>
      </c>
      <c r="C261" s="327"/>
      <c r="D261" s="687"/>
      <c r="E261" s="326"/>
      <c r="F261" s="326"/>
      <c r="G261" s="326"/>
      <c r="H261" s="327"/>
      <c r="I261" s="381"/>
      <c r="J261" s="326"/>
      <c r="K261" s="326"/>
      <c r="L261" s="326"/>
      <c r="M261" s="326"/>
      <c r="N261" s="326"/>
      <c r="O261" s="326"/>
      <c r="P261" s="327"/>
      <c r="Q261" s="381"/>
      <c r="R261" s="326"/>
      <c r="S261" s="326"/>
      <c r="T261" s="326"/>
      <c r="U261" s="326"/>
      <c r="V261" s="326"/>
      <c r="W261" s="326"/>
      <c r="X261" s="327"/>
      <c r="Y261" s="381"/>
      <c r="Z261" s="327"/>
      <c r="AA261" s="381"/>
      <c r="AB261" s="326"/>
      <c r="AC261" s="326"/>
      <c r="AD261" s="327"/>
      <c r="AE261" s="381"/>
      <c r="AF261" s="326"/>
      <c r="AG261" s="327"/>
      <c r="AH261" s="381"/>
      <c r="AI261" s="326"/>
      <c r="AJ261" s="327"/>
      <c r="AK261" s="381"/>
      <c r="AL261" s="326"/>
      <c r="AM261" s="326"/>
      <c r="AN261" s="327"/>
      <c r="AO261" s="381"/>
      <c r="AP261" s="326"/>
      <c r="AQ261" s="326"/>
      <c r="AR261" s="326"/>
      <c r="AS261" s="326"/>
      <c r="AT261" s="326"/>
      <c r="AU261" s="326"/>
      <c r="AV261" s="327"/>
      <c r="AW261" s="686"/>
      <c r="AX261" s="326"/>
      <c r="AY261" s="327"/>
      <c r="AZ261" s="381"/>
      <c r="BA261" s="326"/>
      <c r="BB261" s="326"/>
      <c r="BC261" s="326"/>
      <c r="BD261" s="326"/>
      <c r="BE261" s="326"/>
      <c r="BF261" s="326"/>
      <c r="BG261" s="326"/>
      <c r="BH261" s="326"/>
      <c r="BI261" s="326"/>
      <c r="BJ261" s="326"/>
      <c r="BK261" s="326"/>
      <c r="BL261" s="326"/>
      <c r="BM261" s="326"/>
      <c r="BN261" s="326"/>
      <c r="BO261" s="327"/>
    </row>
    <row r="262" spans="1:67" ht="34.5" customHeight="1" x14ac:dyDescent="0.25">
      <c r="A262" s="87">
        <f t="shared" si="0"/>
        <v>250</v>
      </c>
      <c r="B262" s="386" t="s">
        <v>334</v>
      </c>
      <c r="C262" s="327"/>
      <c r="D262" s="498"/>
      <c r="E262" s="326"/>
      <c r="F262" s="326"/>
      <c r="G262" s="326"/>
      <c r="H262" s="327"/>
      <c r="I262" s="407"/>
      <c r="J262" s="326"/>
      <c r="K262" s="326"/>
      <c r="L262" s="326"/>
      <c r="M262" s="326"/>
      <c r="N262" s="326"/>
      <c r="O262" s="326"/>
      <c r="P262" s="327"/>
      <c r="Q262" s="456"/>
      <c r="R262" s="326"/>
      <c r="S262" s="326"/>
      <c r="T262" s="326"/>
      <c r="U262" s="326"/>
      <c r="V262" s="326"/>
      <c r="W262" s="326"/>
      <c r="X262" s="327"/>
      <c r="Y262" s="407"/>
      <c r="Z262" s="327"/>
      <c r="AA262" s="456"/>
      <c r="AB262" s="326"/>
      <c r="AC262" s="326"/>
      <c r="AD262" s="327"/>
      <c r="AE262" s="407"/>
      <c r="AF262" s="326"/>
      <c r="AG262" s="327"/>
      <c r="AH262" s="456"/>
      <c r="AI262" s="326"/>
      <c r="AJ262" s="327"/>
      <c r="AK262" s="407"/>
      <c r="AL262" s="326"/>
      <c r="AM262" s="326"/>
      <c r="AN262" s="327"/>
      <c r="AO262" s="456"/>
      <c r="AP262" s="326"/>
      <c r="AQ262" s="326"/>
      <c r="AR262" s="326"/>
      <c r="AS262" s="326"/>
      <c r="AT262" s="326"/>
      <c r="AU262" s="326"/>
      <c r="AV262" s="327"/>
      <c r="AW262" s="685"/>
      <c r="AX262" s="326"/>
      <c r="AY262" s="327"/>
      <c r="AZ262" s="456"/>
      <c r="BA262" s="326"/>
      <c r="BB262" s="326"/>
      <c r="BC262" s="326"/>
      <c r="BD262" s="326"/>
      <c r="BE262" s="326"/>
      <c r="BF262" s="326"/>
      <c r="BG262" s="326"/>
      <c r="BH262" s="326"/>
      <c r="BI262" s="326"/>
      <c r="BJ262" s="326"/>
      <c r="BK262" s="326"/>
      <c r="BL262" s="326"/>
      <c r="BM262" s="326"/>
      <c r="BN262" s="326"/>
      <c r="BO262" s="327"/>
    </row>
    <row r="263" spans="1:67" ht="34.5" customHeight="1" x14ac:dyDescent="0.25">
      <c r="A263" s="87">
        <f t="shared" si="0"/>
        <v>251</v>
      </c>
      <c r="B263" s="386" t="s">
        <v>334</v>
      </c>
      <c r="C263" s="327"/>
      <c r="D263" s="687"/>
      <c r="E263" s="326"/>
      <c r="F263" s="326"/>
      <c r="G263" s="326"/>
      <c r="H263" s="327"/>
      <c r="I263" s="381"/>
      <c r="J263" s="326"/>
      <c r="K263" s="326"/>
      <c r="L263" s="326"/>
      <c r="M263" s="326"/>
      <c r="N263" s="326"/>
      <c r="O263" s="326"/>
      <c r="P263" s="327"/>
      <c r="Q263" s="381"/>
      <c r="R263" s="326"/>
      <c r="S263" s="326"/>
      <c r="T263" s="326"/>
      <c r="U263" s="326"/>
      <c r="V263" s="326"/>
      <c r="W263" s="326"/>
      <c r="X263" s="327"/>
      <c r="Y263" s="381"/>
      <c r="Z263" s="327"/>
      <c r="AA263" s="381"/>
      <c r="AB263" s="326"/>
      <c r="AC263" s="326"/>
      <c r="AD263" s="327"/>
      <c r="AE263" s="381"/>
      <c r="AF263" s="326"/>
      <c r="AG263" s="327"/>
      <c r="AH263" s="381"/>
      <c r="AI263" s="326"/>
      <c r="AJ263" s="327"/>
      <c r="AK263" s="381"/>
      <c r="AL263" s="326"/>
      <c r="AM263" s="326"/>
      <c r="AN263" s="327"/>
      <c r="AO263" s="381"/>
      <c r="AP263" s="326"/>
      <c r="AQ263" s="326"/>
      <c r="AR263" s="326"/>
      <c r="AS263" s="326"/>
      <c r="AT263" s="326"/>
      <c r="AU263" s="326"/>
      <c r="AV263" s="327"/>
      <c r="AW263" s="686"/>
      <c r="AX263" s="326"/>
      <c r="AY263" s="327"/>
      <c r="AZ263" s="381"/>
      <c r="BA263" s="326"/>
      <c r="BB263" s="326"/>
      <c r="BC263" s="326"/>
      <c r="BD263" s="326"/>
      <c r="BE263" s="326"/>
      <c r="BF263" s="326"/>
      <c r="BG263" s="326"/>
      <c r="BH263" s="326"/>
      <c r="BI263" s="326"/>
      <c r="BJ263" s="326"/>
      <c r="BK263" s="326"/>
      <c r="BL263" s="326"/>
      <c r="BM263" s="326"/>
      <c r="BN263" s="326"/>
      <c r="BO263" s="327"/>
    </row>
    <row r="264" spans="1:67" ht="34.5" customHeight="1" x14ac:dyDescent="0.25">
      <c r="A264" s="87">
        <f t="shared" si="0"/>
        <v>252</v>
      </c>
      <c r="B264" s="386" t="s">
        <v>334</v>
      </c>
      <c r="C264" s="327"/>
      <c r="D264" s="498"/>
      <c r="E264" s="326"/>
      <c r="F264" s="326"/>
      <c r="G264" s="326"/>
      <c r="H264" s="327"/>
      <c r="I264" s="407"/>
      <c r="J264" s="326"/>
      <c r="K264" s="326"/>
      <c r="L264" s="326"/>
      <c r="M264" s="326"/>
      <c r="N264" s="326"/>
      <c r="O264" s="326"/>
      <c r="P264" s="327"/>
      <c r="Q264" s="456"/>
      <c r="R264" s="326"/>
      <c r="S264" s="326"/>
      <c r="T264" s="326"/>
      <c r="U264" s="326"/>
      <c r="V264" s="326"/>
      <c r="W264" s="326"/>
      <c r="X264" s="327"/>
      <c r="Y264" s="407"/>
      <c r="Z264" s="327"/>
      <c r="AA264" s="456"/>
      <c r="AB264" s="326"/>
      <c r="AC264" s="326"/>
      <c r="AD264" s="327"/>
      <c r="AE264" s="407"/>
      <c r="AF264" s="326"/>
      <c r="AG264" s="327"/>
      <c r="AH264" s="456"/>
      <c r="AI264" s="326"/>
      <c r="AJ264" s="327"/>
      <c r="AK264" s="407"/>
      <c r="AL264" s="326"/>
      <c r="AM264" s="326"/>
      <c r="AN264" s="327"/>
      <c r="AO264" s="456"/>
      <c r="AP264" s="326"/>
      <c r="AQ264" s="326"/>
      <c r="AR264" s="326"/>
      <c r="AS264" s="326"/>
      <c r="AT264" s="326"/>
      <c r="AU264" s="326"/>
      <c r="AV264" s="327"/>
      <c r="AW264" s="685"/>
      <c r="AX264" s="326"/>
      <c r="AY264" s="327"/>
      <c r="AZ264" s="456"/>
      <c r="BA264" s="326"/>
      <c r="BB264" s="326"/>
      <c r="BC264" s="326"/>
      <c r="BD264" s="326"/>
      <c r="BE264" s="326"/>
      <c r="BF264" s="326"/>
      <c r="BG264" s="326"/>
      <c r="BH264" s="326"/>
      <c r="BI264" s="326"/>
      <c r="BJ264" s="326"/>
      <c r="BK264" s="326"/>
      <c r="BL264" s="326"/>
      <c r="BM264" s="326"/>
      <c r="BN264" s="326"/>
      <c r="BO264" s="327"/>
    </row>
    <row r="265" spans="1:67" ht="34.5" customHeight="1" x14ac:dyDescent="0.25">
      <c r="A265" s="87">
        <f t="shared" si="0"/>
        <v>253</v>
      </c>
      <c r="B265" s="386" t="s">
        <v>334</v>
      </c>
      <c r="C265" s="327"/>
      <c r="D265" s="687"/>
      <c r="E265" s="326"/>
      <c r="F265" s="326"/>
      <c r="G265" s="326"/>
      <c r="H265" s="327"/>
      <c r="I265" s="381"/>
      <c r="J265" s="326"/>
      <c r="K265" s="326"/>
      <c r="L265" s="326"/>
      <c r="M265" s="326"/>
      <c r="N265" s="326"/>
      <c r="O265" s="326"/>
      <c r="P265" s="327"/>
      <c r="Q265" s="381"/>
      <c r="R265" s="326"/>
      <c r="S265" s="326"/>
      <c r="T265" s="326"/>
      <c r="U265" s="326"/>
      <c r="V265" s="326"/>
      <c r="W265" s="326"/>
      <c r="X265" s="327"/>
      <c r="Y265" s="381"/>
      <c r="Z265" s="327"/>
      <c r="AA265" s="381"/>
      <c r="AB265" s="326"/>
      <c r="AC265" s="326"/>
      <c r="AD265" s="327"/>
      <c r="AE265" s="381"/>
      <c r="AF265" s="326"/>
      <c r="AG265" s="327"/>
      <c r="AH265" s="381"/>
      <c r="AI265" s="326"/>
      <c r="AJ265" s="327"/>
      <c r="AK265" s="381"/>
      <c r="AL265" s="326"/>
      <c r="AM265" s="326"/>
      <c r="AN265" s="327"/>
      <c r="AO265" s="381"/>
      <c r="AP265" s="326"/>
      <c r="AQ265" s="326"/>
      <c r="AR265" s="326"/>
      <c r="AS265" s="326"/>
      <c r="AT265" s="326"/>
      <c r="AU265" s="326"/>
      <c r="AV265" s="327"/>
      <c r="AW265" s="686"/>
      <c r="AX265" s="326"/>
      <c r="AY265" s="327"/>
      <c r="AZ265" s="381"/>
      <c r="BA265" s="326"/>
      <c r="BB265" s="326"/>
      <c r="BC265" s="326"/>
      <c r="BD265" s="326"/>
      <c r="BE265" s="326"/>
      <c r="BF265" s="326"/>
      <c r="BG265" s="326"/>
      <c r="BH265" s="326"/>
      <c r="BI265" s="326"/>
      <c r="BJ265" s="326"/>
      <c r="BK265" s="326"/>
      <c r="BL265" s="326"/>
      <c r="BM265" s="326"/>
      <c r="BN265" s="326"/>
      <c r="BO265" s="327"/>
    </row>
    <row r="266" spans="1:67" ht="34.5" customHeight="1" x14ac:dyDescent="0.25">
      <c r="A266" s="87">
        <f t="shared" si="0"/>
        <v>254</v>
      </c>
      <c r="B266" s="688" t="s">
        <v>334</v>
      </c>
      <c r="C266" s="327"/>
      <c r="D266" s="498"/>
      <c r="E266" s="326"/>
      <c r="F266" s="326"/>
      <c r="G266" s="326"/>
      <c r="H266" s="327"/>
      <c r="I266" s="407"/>
      <c r="J266" s="326"/>
      <c r="K266" s="326"/>
      <c r="L266" s="326"/>
      <c r="M266" s="326"/>
      <c r="N266" s="326"/>
      <c r="O266" s="326"/>
      <c r="P266" s="327"/>
      <c r="Q266" s="456"/>
      <c r="R266" s="326"/>
      <c r="S266" s="326"/>
      <c r="T266" s="326"/>
      <c r="U266" s="326"/>
      <c r="V266" s="326"/>
      <c r="W266" s="326"/>
      <c r="X266" s="327"/>
      <c r="Y266" s="407"/>
      <c r="Z266" s="327"/>
      <c r="AA266" s="456"/>
      <c r="AB266" s="326"/>
      <c r="AC266" s="326"/>
      <c r="AD266" s="327"/>
      <c r="AE266" s="407"/>
      <c r="AF266" s="326"/>
      <c r="AG266" s="327"/>
      <c r="AH266" s="456"/>
      <c r="AI266" s="326"/>
      <c r="AJ266" s="327"/>
      <c r="AK266" s="407"/>
      <c r="AL266" s="326"/>
      <c r="AM266" s="326"/>
      <c r="AN266" s="327"/>
      <c r="AO266" s="456"/>
      <c r="AP266" s="326"/>
      <c r="AQ266" s="326"/>
      <c r="AR266" s="326"/>
      <c r="AS266" s="326"/>
      <c r="AT266" s="326"/>
      <c r="AU266" s="326"/>
      <c r="AV266" s="327"/>
      <c r="AW266" s="685"/>
      <c r="AX266" s="326"/>
      <c r="AY266" s="327"/>
      <c r="AZ266" s="456"/>
      <c r="BA266" s="326"/>
      <c r="BB266" s="326"/>
      <c r="BC266" s="326"/>
      <c r="BD266" s="326"/>
      <c r="BE266" s="326"/>
      <c r="BF266" s="326"/>
      <c r="BG266" s="326"/>
      <c r="BH266" s="326"/>
      <c r="BI266" s="326"/>
      <c r="BJ266" s="326"/>
      <c r="BK266" s="326"/>
      <c r="BL266" s="326"/>
      <c r="BM266" s="326"/>
      <c r="BN266" s="326"/>
      <c r="BO266" s="327"/>
    </row>
    <row r="267" spans="1:67" ht="34.5" customHeight="1" x14ac:dyDescent="0.25">
      <c r="A267" s="87">
        <f t="shared" si="0"/>
        <v>255</v>
      </c>
      <c r="B267" s="386" t="s">
        <v>334</v>
      </c>
      <c r="C267" s="327"/>
      <c r="D267" s="687"/>
      <c r="E267" s="326"/>
      <c r="F267" s="326"/>
      <c r="G267" s="326"/>
      <c r="H267" s="327"/>
      <c r="I267" s="381"/>
      <c r="J267" s="326"/>
      <c r="K267" s="326"/>
      <c r="L267" s="326"/>
      <c r="M267" s="326"/>
      <c r="N267" s="326"/>
      <c r="O267" s="326"/>
      <c r="P267" s="327"/>
      <c r="Q267" s="381"/>
      <c r="R267" s="326"/>
      <c r="S267" s="326"/>
      <c r="T267" s="326"/>
      <c r="U267" s="326"/>
      <c r="V267" s="326"/>
      <c r="W267" s="326"/>
      <c r="X267" s="327"/>
      <c r="Y267" s="381"/>
      <c r="Z267" s="327"/>
      <c r="AA267" s="381"/>
      <c r="AB267" s="326"/>
      <c r="AC267" s="326"/>
      <c r="AD267" s="327"/>
      <c r="AE267" s="381"/>
      <c r="AF267" s="326"/>
      <c r="AG267" s="327"/>
      <c r="AH267" s="381"/>
      <c r="AI267" s="326"/>
      <c r="AJ267" s="327"/>
      <c r="AK267" s="381"/>
      <c r="AL267" s="326"/>
      <c r="AM267" s="326"/>
      <c r="AN267" s="327"/>
      <c r="AO267" s="381"/>
      <c r="AP267" s="326"/>
      <c r="AQ267" s="326"/>
      <c r="AR267" s="326"/>
      <c r="AS267" s="326"/>
      <c r="AT267" s="326"/>
      <c r="AU267" s="326"/>
      <c r="AV267" s="327"/>
      <c r="AW267" s="686"/>
      <c r="AX267" s="326"/>
      <c r="AY267" s="327"/>
      <c r="AZ267" s="381"/>
      <c r="BA267" s="326"/>
      <c r="BB267" s="326"/>
      <c r="BC267" s="326"/>
      <c r="BD267" s="326"/>
      <c r="BE267" s="326"/>
      <c r="BF267" s="326"/>
      <c r="BG267" s="326"/>
      <c r="BH267" s="326"/>
      <c r="BI267" s="326"/>
      <c r="BJ267" s="326"/>
      <c r="BK267" s="326"/>
      <c r="BL267" s="326"/>
      <c r="BM267" s="326"/>
      <c r="BN267" s="326"/>
      <c r="BO267" s="327"/>
    </row>
    <row r="268" spans="1:67" ht="34.5" customHeight="1" x14ac:dyDescent="0.25">
      <c r="A268" s="87">
        <f t="shared" ref="A268:A512" si="1">+ROW(A256)</f>
        <v>256</v>
      </c>
      <c r="B268" s="386" t="s">
        <v>334</v>
      </c>
      <c r="C268" s="327"/>
      <c r="D268" s="498"/>
      <c r="E268" s="326"/>
      <c r="F268" s="326"/>
      <c r="G268" s="326"/>
      <c r="H268" s="327"/>
      <c r="I268" s="407"/>
      <c r="J268" s="326"/>
      <c r="K268" s="326"/>
      <c r="L268" s="326"/>
      <c r="M268" s="326"/>
      <c r="N268" s="326"/>
      <c r="O268" s="326"/>
      <c r="P268" s="327"/>
      <c r="Q268" s="456"/>
      <c r="R268" s="326"/>
      <c r="S268" s="326"/>
      <c r="T268" s="326"/>
      <c r="U268" s="326"/>
      <c r="V268" s="326"/>
      <c r="W268" s="326"/>
      <c r="X268" s="327"/>
      <c r="Y268" s="407"/>
      <c r="Z268" s="327"/>
      <c r="AA268" s="456"/>
      <c r="AB268" s="326"/>
      <c r="AC268" s="326"/>
      <c r="AD268" s="327"/>
      <c r="AE268" s="407"/>
      <c r="AF268" s="326"/>
      <c r="AG268" s="327"/>
      <c r="AH268" s="456"/>
      <c r="AI268" s="326"/>
      <c r="AJ268" s="327"/>
      <c r="AK268" s="407"/>
      <c r="AL268" s="326"/>
      <c r="AM268" s="326"/>
      <c r="AN268" s="327"/>
      <c r="AO268" s="456"/>
      <c r="AP268" s="326"/>
      <c r="AQ268" s="326"/>
      <c r="AR268" s="326"/>
      <c r="AS268" s="326"/>
      <c r="AT268" s="326"/>
      <c r="AU268" s="326"/>
      <c r="AV268" s="327"/>
      <c r="AW268" s="685"/>
      <c r="AX268" s="326"/>
      <c r="AY268" s="327"/>
      <c r="AZ268" s="456"/>
      <c r="BA268" s="326"/>
      <c r="BB268" s="326"/>
      <c r="BC268" s="326"/>
      <c r="BD268" s="326"/>
      <c r="BE268" s="326"/>
      <c r="BF268" s="326"/>
      <c r="BG268" s="326"/>
      <c r="BH268" s="326"/>
      <c r="BI268" s="326"/>
      <c r="BJ268" s="326"/>
      <c r="BK268" s="326"/>
      <c r="BL268" s="326"/>
      <c r="BM268" s="326"/>
      <c r="BN268" s="326"/>
      <c r="BO268" s="327"/>
    </row>
    <row r="269" spans="1:67" ht="34.5" customHeight="1" x14ac:dyDescent="0.25">
      <c r="A269" s="87">
        <f t="shared" si="1"/>
        <v>257</v>
      </c>
      <c r="B269" s="386" t="s">
        <v>334</v>
      </c>
      <c r="C269" s="327"/>
      <c r="D269" s="687"/>
      <c r="E269" s="326"/>
      <c r="F269" s="326"/>
      <c r="G269" s="326"/>
      <c r="H269" s="327"/>
      <c r="I269" s="381"/>
      <c r="J269" s="326"/>
      <c r="K269" s="326"/>
      <c r="L269" s="326"/>
      <c r="M269" s="326"/>
      <c r="N269" s="326"/>
      <c r="O269" s="326"/>
      <c r="P269" s="327"/>
      <c r="Q269" s="381"/>
      <c r="R269" s="326"/>
      <c r="S269" s="326"/>
      <c r="T269" s="326"/>
      <c r="U269" s="326"/>
      <c r="V269" s="326"/>
      <c r="W269" s="326"/>
      <c r="X269" s="327"/>
      <c r="Y269" s="381"/>
      <c r="Z269" s="327"/>
      <c r="AA269" s="381"/>
      <c r="AB269" s="326"/>
      <c r="AC269" s="326"/>
      <c r="AD269" s="327"/>
      <c r="AE269" s="381"/>
      <c r="AF269" s="326"/>
      <c r="AG269" s="327"/>
      <c r="AH269" s="381"/>
      <c r="AI269" s="326"/>
      <c r="AJ269" s="327"/>
      <c r="AK269" s="381"/>
      <c r="AL269" s="326"/>
      <c r="AM269" s="326"/>
      <c r="AN269" s="327"/>
      <c r="AO269" s="381"/>
      <c r="AP269" s="326"/>
      <c r="AQ269" s="326"/>
      <c r="AR269" s="326"/>
      <c r="AS269" s="326"/>
      <c r="AT269" s="326"/>
      <c r="AU269" s="326"/>
      <c r="AV269" s="327"/>
      <c r="AW269" s="686"/>
      <c r="AX269" s="326"/>
      <c r="AY269" s="327"/>
      <c r="AZ269" s="381"/>
      <c r="BA269" s="326"/>
      <c r="BB269" s="326"/>
      <c r="BC269" s="326"/>
      <c r="BD269" s="326"/>
      <c r="BE269" s="326"/>
      <c r="BF269" s="326"/>
      <c r="BG269" s="326"/>
      <c r="BH269" s="326"/>
      <c r="BI269" s="326"/>
      <c r="BJ269" s="326"/>
      <c r="BK269" s="326"/>
      <c r="BL269" s="326"/>
      <c r="BM269" s="326"/>
      <c r="BN269" s="326"/>
      <c r="BO269" s="327"/>
    </row>
    <row r="270" spans="1:67" ht="34.5" customHeight="1" x14ac:dyDescent="0.25">
      <c r="A270" s="87">
        <f t="shared" si="1"/>
        <v>258</v>
      </c>
      <c r="B270" s="386" t="s">
        <v>334</v>
      </c>
      <c r="C270" s="327"/>
      <c r="D270" s="498"/>
      <c r="E270" s="326"/>
      <c r="F270" s="326"/>
      <c r="G270" s="326"/>
      <c r="H270" s="327"/>
      <c r="I270" s="407"/>
      <c r="J270" s="326"/>
      <c r="K270" s="326"/>
      <c r="L270" s="326"/>
      <c r="M270" s="326"/>
      <c r="N270" s="326"/>
      <c r="O270" s="326"/>
      <c r="P270" s="327"/>
      <c r="Q270" s="456"/>
      <c r="R270" s="326"/>
      <c r="S270" s="326"/>
      <c r="T270" s="326"/>
      <c r="U270" s="326"/>
      <c r="V270" s="326"/>
      <c r="W270" s="326"/>
      <c r="X270" s="327"/>
      <c r="Y270" s="407"/>
      <c r="Z270" s="327"/>
      <c r="AA270" s="456"/>
      <c r="AB270" s="326"/>
      <c r="AC270" s="326"/>
      <c r="AD270" s="327"/>
      <c r="AE270" s="407"/>
      <c r="AF270" s="326"/>
      <c r="AG270" s="327"/>
      <c r="AH270" s="456"/>
      <c r="AI270" s="326"/>
      <c r="AJ270" s="327"/>
      <c r="AK270" s="407"/>
      <c r="AL270" s="326"/>
      <c r="AM270" s="326"/>
      <c r="AN270" s="327"/>
      <c r="AO270" s="456"/>
      <c r="AP270" s="326"/>
      <c r="AQ270" s="326"/>
      <c r="AR270" s="326"/>
      <c r="AS270" s="326"/>
      <c r="AT270" s="326"/>
      <c r="AU270" s="326"/>
      <c r="AV270" s="327"/>
      <c r="AW270" s="685"/>
      <c r="AX270" s="326"/>
      <c r="AY270" s="327"/>
      <c r="AZ270" s="456"/>
      <c r="BA270" s="326"/>
      <c r="BB270" s="326"/>
      <c r="BC270" s="326"/>
      <c r="BD270" s="326"/>
      <c r="BE270" s="326"/>
      <c r="BF270" s="326"/>
      <c r="BG270" s="326"/>
      <c r="BH270" s="326"/>
      <c r="BI270" s="326"/>
      <c r="BJ270" s="326"/>
      <c r="BK270" s="326"/>
      <c r="BL270" s="326"/>
      <c r="BM270" s="326"/>
      <c r="BN270" s="326"/>
      <c r="BO270" s="327"/>
    </row>
    <row r="271" spans="1:67" ht="34.5" customHeight="1" x14ac:dyDescent="0.25">
      <c r="A271" s="87">
        <f t="shared" si="1"/>
        <v>259</v>
      </c>
      <c r="B271" s="386" t="s">
        <v>334</v>
      </c>
      <c r="C271" s="327"/>
      <c r="D271" s="687"/>
      <c r="E271" s="326"/>
      <c r="F271" s="326"/>
      <c r="G271" s="326"/>
      <c r="H271" s="327"/>
      <c r="I271" s="381"/>
      <c r="J271" s="326"/>
      <c r="K271" s="326"/>
      <c r="L271" s="326"/>
      <c r="M271" s="326"/>
      <c r="N271" s="326"/>
      <c r="O271" s="326"/>
      <c r="P271" s="327"/>
      <c r="Q271" s="381"/>
      <c r="R271" s="326"/>
      <c r="S271" s="326"/>
      <c r="T271" s="326"/>
      <c r="U271" s="326"/>
      <c r="V271" s="326"/>
      <c r="W271" s="326"/>
      <c r="X271" s="327"/>
      <c r="Y271" s="381"/>
      <c r="Z271" s="327"/>
      <c r="AA271" s="381"/>
      <c r="AB271" s="326"/>
      <c r="AC271" s="326"/>
      <c r="AD271" s="327"/>
      <c r="AE271" s="381"/>
      <c r="AF271" s="326"/>
      <c r="AG271" s="327"/>
      <c r="AH271" s="381"/>
      <c r="AI271" s="326"/>
      <c r="AJ271" s="327"/>
      <c r="AK271" s="381"/>
      <c r="AL271" s="326"/>
      <c r="AM271" s="326"/>
      <c r="AN271" s="327"/>
      <c r="AO271" s="381"/>
      <c r="AP271" s="326"/>
      <c r="AQ271" s="326"/>
      <c r="AR271" s="326"/>
      <c r="AS271" s="326"/>
      <c r="AT271" s="326"/>
      <c r="AU271" s="326"/>
      <c r="AV271" s="327"/>
      <c r="AW271" s="686"/>
      <c r="AX271" s="326"/>
      <c r="AY271" s="327"/>
      <c r="AZ271" s="381"/>
      <c r="BA271" s="326"/>
      <c r="BB271" s="326"/>
      <c r="BC271" s="326"/>
      <c r="BD271" s="326"/>
      <c r="BE271" s="326"/>
      <c r="BF271" s="326"/>
      <c r="BG271" s="326"/>
      <c r="BH271" s="326"/>
      <c r="BI271" s="326"/>
      <c r="BJ271" s="326"/>
      <c r="BK271" s="326"/>
      <c r="BL271" s="326"/>
      <c r="BM271" s="326"/>
      <c r="BN271" s="326"/>
      <c r="BO271" s="327"/>
    </row>
    <row r="272" spans="1:67" ht="34.5" customHeight="1" x14ac:dyDescent="0.25">
      <c r="A272" s="87">
        <f t="shared" si="1"/>
        <v>260</v>
      </c>
      <c r="B272" s="386" t="s">
        <v>334</v>
      </c>
      <c r="C272" s="327"/>
      <c r="D272" s="498"/>
      <c r="E272" s="326"/>
      <c r="F272" s="326"/>
      <c r="G272" s="326"/>
      <c r="H272" s="327"/>
      <c r="I272" s="407"/>
      <c r="J272" s="326"/>
      <c r="K272" s="326"/>
      <c r="L272" s="326"/>
      <c r="M272" s="326"/>
      <c r="N272" s="326"/>
      <c r="O272" s="326"/>
      <c r="P272" s="327"/>
      <c r="Q272" s="456"/>
      <c r="R272" s="326"/>
      <c r="S272" s="326"/>
      <c r="T272" s="326"/>
      <c r="U272" s="326"/>
      <c r="V272" s="326"/>
      <c r="W272" s="326"/>
      <c r="X272" s="327"/>
      <c r="Y272" s="407"/>
      <c r="Z272" s="327"/>
      <c r="AA272" s="456"/>
      <c r="AB272" s="326"/>
      <c r="AC272" s="326"/>
      <c r="AD272" s="327"/>
      <c r="AE272" s="407"/>
      <c r="AF272" s="326"/>
      <c r="AG272" s="327"/>
      <c r="AH272" s="456"/>
      <c r="AI272" s="326"/>
      <c r="AJ272" s="327"/>
      <c r="AK272" s="407"/>
      <c r="AL272" s="326"/>
      <c r="AM272" s="326"/>
      <c r="AN272" s="327"/>
      <c r="AO272" s="456"/>
      <c r="AP272" s="326"/>
      <c r="AQ272" s="326"/>
      <c r="AR272" s="326"/>
      <c r="AS272" s="326"/>
      <c r="AT272" s="326"/>
      <c r="AU272" s="326"/>
      <c r="AV272" s="327"/>
      <c r="AW272" s="685"/>
      <c r="AX272" s="326"/>
      <c r="AY272" s="327"/>
      <c r="AZ272" s="456"/>
      <c r="BA272" s="326"/>
      <c r="BB272" s="326"/>
      <c r="BC272" s="326"/>
      <c r="BD272" s="326"/>
      <c r="BE272" s="326"/>
      <c r="BF272" s="326"/>
      <c r="BG272" s="326"/>
      <c r="BH272" s="326"/>
      <c r="BI272" s="326"/>
      <c r="BJ272" s="326"/>
      <c r="BK272" s="326"/>
      <c r="BL272" s="326"/>
      <c r="BM272" s="326"/>
      <c r="BN272" s="326"/>
      <c r="BO272" s="327"/>
    </row>
    <row r="273" spans="1:67" ht="34.5" customHeight="1" x14ac:dyDescent="0.25">
      <c r="A273" s="87">
        <f t="shared" si="1"/>
        <v>261</v>
      </c>
      <c r="B273" s="386" t="s">
        <v>334</v>
      </c>
      <c r="C273" s="327"/>
      <c r="D273" s="687"/>
      <c r="E273" s="326"/>
      <c r="F273" s="326"/>
      <c r="G273" s="326"/>
      <c r="H273" s="327"/>
      <c r="I273" s="381"/>
      <c r="J273" s="326"/>
      <c r="K273" s="326"/>
      <c r="L273" s="326"/>
      <c r="M273" s="326"/>
      <c r="N273" s="326"/>
      <c r="O273" s="326"/>
      <c r="P273" s="327"/>
      <c r="Q273" s="381"/>
      <c r="R273" s="326"/>
      <c r="S273" s="326"/>
      <c r="T273" s="326"/>
      <c r="U273" s="326"/>
      <c r="V273" s="326"/>
      <c r="W273" s="326"/>
      <c r="X273" s="327"/>
      <c r="Y273" s="381"/>
      <c r="Z273" s="327"/>
      <c r="AA273" s="381"/>
      <c r="AB273" s="326"/>
      <c r="AC273" s="326"/>
      <c r="AD273" s="327"/>
      <c r="AE273" s="381"/>
      <c r="AF273" s="326"/>
      <c r="AG273" s="327"/>
      <c r="AH273" s="381"/>
      <c r="AI273" s="326"/>
      <c r="AJ273" s="327"/>
      <c r="AK273" s="381"/>
      <c r="AL273" s="326"/>
      <c r="AM273" s="326"/>
      <c r="AN273" s="327"/>
      <c r="AO273" s="381"/>
      <c r="AP273" s="326"/>
      <c r="AQ273" s="326"/>
      <c r="AR273" s="326"/>
      <c r="AS273" s="326"/>
      <c r="AT273" s="326"/>
      <c r="AU273" s="326"/>
      <c r="AV273" s="327"/>
      <c r="AW273" s="686"/>
      <c r="AX273" s="326"/>
      <c r="AY273" s="327"/>
      <c r="AZ273" s="381"/>
      <c r="BA273" s="326"/>
      <c r="BB273" s="326"/>
      <c r="BC273" s="326"/>
      <c r="BD273" s="326"/>
      <c r="BE273" s="326"/>
      <c r="BF273" s="326"/>
      <c r="BG273" s="326"/>
      <c r="BH273" s="326"/>
      <c r="BI273" s="326"/>
      <c r="BJ273" s="326"/>
      <c r="BK273" s="326"/>
      <c r="BL273" s="326"/>
      <c r="BM273" s="326"/>
      <c r="BN273" s="326"/>
      <c r="BO273" s="327"/>
    </row>
    <row r="274" spans="1:67" ht="34.5" customHeight="1" x14ac:dyDescent="0.25">
      <c r="A274" s="87">
        <f t="shared" si="1"/>
        <v>262</v>
      </c>
      <c r="B274" s="386" t="s">
        <v>334</v>
      </c>
      <c r="C274" s="327"/>
      <c r="D274" s="498"/>
      <c r="E274" s="326"/>
      <c r="F274" s="326"/>
      <c r="G274" s="326"/>
      <c r="H274" s="327"/>
      <c r="I274" s="407"/>
      <c r="J274" s="326"/>
      <c r="K274" s="326"/>
      <c r="L274" s="326"/>
      <c r="M274" s="326"/>
      <c r="N274" s="326"/>
      <c r="O274" s="326"/>
      <c r="P274" s="327"/>
      <c r="Q274" s="456"/>
      <c r="R274" s="326"/>
      <c r="S274" s="326"/>
      <c r="T274" s="326"/>
      <c r="U274" s="326"/>
      <c r="V274" s="326"/>
      <c r="W274" s="326"/>
      <c r="X274" s="327"/>
      <c r="Y274" s="407"/>
      <c r="Z274" s="327"/>
      <c r="AA274" s="456"/>
      <c r="AB274" s="326"/>
      <c r="AC274" s="326"/>
      <c r="AD274" s="327"/>
      <c r="AE274" s="407"/>
      <c r="AF274" s="326"/>
      <c r="AG274" s="327"/>
      <c r="AH274" s="456"/>
      <c r="AI274" s="326"/>
      <c r="AJ274" s="327"/>
      <c r="AK274" s="407"/>
      <c r="AL274" s="326"/>
      <c r="AM274" s="326"/>
      <c r="AN274" s="327"/>
      <c r="AO274" s="456"/>
      <c r="AP274" s="326"/>
      <c r="AQ274" s="326"/>
      <c r="AR274" s="326"/>
      <c r="AS274" s="326"/>
      <c r="AT274" s="326"/>
      <c r="AU274" s="326"/>
      <c r="AV274" s="327"/>
      <c r="AW274" s="685"/>
      <c r="AX274" s="326"/>
      <c r="AY274" s="327"/>
      <c r="AZ274" s="456"/>
      <c r="BA274" s="326"/>
      <c r="BB274" s="326"/>
      <c r="BC274" s="326"/>
      <c r="BD274" s="326"/>
      <c r="BE274" s="326"/>
      <c r="BF274" s="326"/>
      <c r="BG274" s="326"/>
      <c r="BH274" s="326"/>
      <c r="BI274" s="326"/>
      <c r="BJ274" s="326"/>
      <c r="BK274" s="326"/>
      <c r="BL274" s="326"/>
      <c r="BM274" s="326"/>
      <c r="BN274" s="326"/>
      <c r="BO274" s="327"/>
    </row>
    <row r="275" spans="1:67" ht="34.5" customHeight="1" x14ac:dyDescent="0.25">
      <c r="A275" s="87">
        <f t="shared" si="1"/>
        <v>263</v>
      </c>
      <c r="B275" s="386" t="s">
        <v>334</v>
      </c>
      <c r="C275" s="327"/>
      <c r="D275" s="687"/>
      <c r="E275" s="326"/>
      <c r="F275" s="326"/>
      <c r="G275" s="326"/>
      <c r="H275" s="327"/>
      <c r="I275" s="381"/>
      <c r="J275" s="326"/>
      <c r="K275" s="326"/>
      <c r="L275" s="326"/>
      <c r="M275" s="326"/>
      <c r="N275" s="326"/>
      <c r="O275" s="326"/>
      <c r="P275" s="327"/>
      <c r="Q275" s="381"/>
      <c r="R275" s="326"/>
      <c r="S275" s="326"/>
      <c r="T275" s="326"/>
      <c r="U275" s="326"/>
      <c r="V275" s="326"/>
      <c r="W275" s="326"/>
      <c r="X275" s="327"/>
      <c r="Y275" s="381"/>
      <c r="Z275" s="327"/>
      <c r="AA275" s="381"/>
      <c r="AB275" s="326"/>
      <c r="AC275" s="326"/>
      <c r="AD275" s="327"/>
      <c r="AE275" s="381"/>
      <c r="AF275" s="326"/>
      <c r="AG275" s="327"/>
      <c r="AH275" s="381"/>
      <c r="AI275" s="326"/>
      <c r="AJ275" s="327"/>
      <c r="AK275" s="381"/>
      <c r="AL275" s="326"/>
      <c r="AM275" s="326"/>
      <c r="AN275" s="327"/>
      <c r="AO275" s="381"/>
      <c r="AP275" s="326"/>
      <c r="AQ275" s="326"/>
      <c r="AR275" s="326"/>
      <c r="AS275" s="326"/>
      <c r="AT275" s="326"/>
      <c r="AU275" s="326"/>
      <c r="AV275" s="327"/>
      <c r="AW275" s="686"/>
      <c r="AX275" s="326"/>
      <c r="AY275" s="327"/>
      <c r="AZ275" s="381"/>
      <c r="BA275" s="326"/>
      <c r="BB275" s="326"/>
      <c r="BC275" s="326"/>
      <c r="BD275" s="326"/>
      <c r="BE275" s="326"/>
      <c r="BF275" s="326"/>
      <c r="BG275" s="326"/>
      <c r="BH275" s="326"/>
      <c r="BI275" s="326"/>
      <c r="BJ275" s="326"/>
      <c r="BK275" s="326"/>
      <c r="BL275" s="326"/>
      <c r="BM275" s="326"/>
      <c r="BN275" s="326"/>
      <c r="BO275" s="327"/>
    </row>
    <row r="276" spans="1:67" ht="34.5" customHeight="1" x14ac:dyDescent="0.25">
      <c r="A276" s="87">
        <f t="shared" si="1"/>
        <v>264</v>
      </c>
      <c r="B276" s="386" t="s">
        <v>334</v>
      </c>
      <c r="C276" s="327"/>
      <c r="D276" s="498"/>
      <c r="E276" s="326"/>
      <c r="F276" s="326"/>
      <c r="G276" s="326"/>
      <c r="H276" s="327"/>
      <c r="I276" s="407"/>
      <c r="J276" s="326"/>
      <c r="K276" s="326"/>
      <c r="L276" s="326"/>
      <c r="M276" s="326"/>
      <c r="N276" s="326"/>
      <c r="O276" s="326"/>
      <c r="P276" s="327"/>
      <c r="Q276" s="456"/>
      <c r="R276" s="326"/>
      <c r="S276" s="326"/>
      <c r="T276" s="326"/>
      <c r="U276" s="326"/>
      <c r="V276" s="326"/>
      <c r="W276" s="326"/>
      <c r="X276" s="327"/>
      <c r="Y276" s="407"/>
      <c r="Z276" s="327"/>
      <c r="AA276" s="456"/>
      <c r="AB276" s="326"/>
      <c r="AC276" s="326"/>
      <c r="AD276" s="327"/>
      <c r="AE276" s="407"/>
      <c r="AF276" s="326"/>
      <c r="AG276" s="327"/>
      <c r="AH276" s="456"/>
      <c r="AI276" s="326"/>
      <c r="AJ276" s="327"/>
      <c r="AK276" s="407"/>
      <c r="AL276" s="326"/>
      <c r="AM276" s="326"/>
      <c r="AN276" s="327"/>
      <c r="AO276" s="456"/>
      <c r="AP276" s="326"/>
      <c r="AQ276" s="326"/>
      <c r="AR276" s="326"/>
      <c r="AS276" s="326"/>
      <c r="AT276" s="326"/>
      <c r="AU276" s="326"/>
      <c r="AV276" s="327"/>
      <c r="AW276" s="685"/>
      <c r="AX276" s="326"/>
      <c r="AY276" s="327"/>
      <c r="AZ276" s="456"/>
      <c r="BA276" s="326"/>
      <c r="BB276" s="326"/>
      <c r="BC276" s="326"/>
      <c r="BD276" s="326"/>
      <c r="BE276" s="326"/>
      <c r="BF276" s="326"/>
      <c r="BG276" s="326"/>
      <c r="BH276" s="326"/>
      <c r="BI276" s="326"/>
      <c r="BJ276" s="326"/>
      <c r="BK276" s="326"/>
      <c r="BL276" s="326"/>
      <c r="BM276" s="326"/>
      <c r="BN276" s="326"/>
      <c r="BO276" s="327"/>
    </row>
    <row r="277" spans="1:67" ht="34.5" customHeight="1" x14ac:dyDescent="0.25">
      <c r="A277" s="87">
        <f t="shared" si="1"/>
        <v>265</v>
      </c>
      <c r="B277" s="386" t="s">
        <v>334</v>
      </c>
      <c r="C277" s="327"/>
      <c r="D277" s="687"/>
      <c r="E277" s="326"/>
      <c r="F277" s="326"/>
      <c r="G277" s="326"/>
      <c r="H277" s="327"/>
      <c r="I277" s="381"/>
      <c r="J277" s="326"/>
      <c r="K277" s="326"/>
      <c r="L277" s="326"/>
      <c r="M277" s="326"/>
      <c r="N277" s="326"/>
      <c r="O277" s="326"/>
      <c r="P277" s="327"/>
      <c r="Q277" s="381"/>
      <c r="R277" s="326"/>
      <c r="S277" s="326"/>
      <c r="T277" s="326"/>
      <c r="U277" s="326"/>
      <c r="V277" s="326"/>
      <c r="W277" s="326"/>
      <c r="X277" s="327"/>
      <c r="Y277" s="381"/>
      <c r="Z277" s="327"/>
      <c r="AA277" s="381"/>
      <c r="AB277" s="326"/>
      <c r="AC277" s="326"/>
      <c r="AD277" s="327"/>
      <c r="AE277" s="381"/>
      <c r="AF277" s="326"/>
      <c r="AG277" s="327"/>
      <c r="AH277" s="381"/>
      <c r="AI277" s="326"/>
      <c r="AJ277" s="327"/>
      <c r="AK277" s="381"/>
      <c r="AL277" s="326"/>
      <c r="AM277" s="326"/>
      <c r="AN277" s="327"/>
      <c r="AO277" s="381"/>
      <c r="AP277" s="326"/>
      <c r="AQ277" s="326"/>
      <c r="AR277" s="326"/>
      <c r="AS277" s="326"/>
      <c r="AT277" s="326"/>
      <c r="AU277" s="326"/>
      <c r="AV277" s="327"/>
      <c r="AW277" s="686"/>
      <c r="AX277" s="326"/>
      <c r="AY277" s="327"/>
      <c r="AZ277" s="381"/>
      <c r="BA277" s="326"/>
      <c r="BB277" s="326"/>
      <c r="BC277" s="326"/>
      <c r="BD277" s="326"/>
      <c r="BE277" s="326"/>
      <c r="BF277" s="326"/>
      <c r="BG277" s="326"/>
      <c r="BH277" s="326"/>
      <c r="BI277" s="326"/>
      <c r="BJ277" s="326"/>
      <c r="BK277" s="326"/>
      <c r="BL277" s="326"/>
      <c r="BM277" s="326"/>
      <c r="BN277" s="326"/>
      <c r="BO277" s="327"/>
    </row>
    <row r="278" spans="1:67" ht="34.5" customHeight="1" x14ac:dyDescent="0.25">
      <c r="A278" s="87">
        <f t="shared" si="1"/>
        <v>266</v>
      </c>
      <c r="B278" s="386" t="s">
        <v>334</v>
      </c>
      <c r="C278" s="327"/>
      <c r="D278" s="498"/>
      <c r="E278" s="326"/>
      <c r="F278" s="326"/>
      <c r="G278" s="326"/>
      <c r="H278" s="327"/>
      <c r="I278" s="407"/>
      <c r="J278" s="326"/>
      <c r="K278" s="326"/>
      <c r="L278" s="326"/>
      <c r="M278" s="326"/>
      <c r="N278" s="326"/>
      <c r="O278" s="326"/>
      <c r="P278" s="327"/>
      <c r="Q278" s="456"/>
      <c r="R278" s="326"/>
      <c r="S278" s="326"/>
      <c r="T278" s="326"/>
      <c r="U278" s="326"/>
      <c r="V278" s="326"/>
      <c r="W278" s="326"/>
      <c r="X278" s="327"/>
      <c r="Y278" s="407"/>
      <c r="Z278" s="327"/>
      <c r="AA278" s="456"/>
      <c r="AB278" s="326"/>
      <c r="AC278" s="326"/>
      <c r="AD278" s="327"/>
      <c r="AE278" s="407"/>
      <c r="AF278" s="326"/>
      <c r="AG278" s="327"/>
      <c r="AH278" s="456"/>
      <c r="AI278" s="326"/>
      <c r="AJ278" s="327"/>
      <c r="AK278" s="407"/>
      <c r="AL278" s="326"/>
      <c r="AM278" s="326"/>
      <c r="AN278" s="327"/>
      <c r="AO278" s="456"/>
      <c r="AP278" s="326"/>
      <c r="AQ278" s="326"/>
      <c r="AR278" s="326"/>
      <c r="AS278" s="326"/>
      <c r="AT278" s="326"/>
      <c r="AU278" s="326"/>
      <c r="AV278" s="327"/>
      <c r="AW278" s="685"/>
      <c r="AX278" s="326"/>
      <c r="AY278" s="327"/>
      <c r="AZ278" s="456"/>
      <c r="BA278" s="326"/>
      <c r="BB278" s="326"/>
      <c r="BC278" s="326"/>
      <c r="BD278" s="326"/>
      <c r="BE278" s="326"/>
      <c r="BF278" s="326"/>
      <c r="BG278" s="326"/>
      <c r="BH278" s="326"/>
      <c r="BI278" s="326"/>
      <c r="BJ278" s="326"/>
      <c r="BK278" s="326"/>
      <c r="BL278" s="326"/>
      <c r="BM278" s="326"/>
      <c r="BN278" s="326"/>
      <c r="BO278" s="327"/>
    </row>
    <row r="279" spans="1:67" ht="34.5" customHeight="1" x14ac:dyDescent="0.25">
      <c r="A279" s="87">
        <f t="shared" si="1"/>
        <v>267</v>
      </c>
      <c r="B279" s="386" t="s">
        <v>334</v>
      </c>
      <c r="C279" s="327"/>
      <c r="D279" s="687"/>
      <c r="E279" s="326"/>
      <c r="F279" s="326"/>
      <c r="G279" s="326"/>
      <c r="H279" s="327"/>
      <c r="I279" s="381"/>
      <c r="J279" s="326"/>
      <c r="K279" s="326"/>
      <c r="L279" s="326"/>
      <c r="M279" s="326"/>
      <c r="N279" s="326"/>
      <c r="O279" s="326"/>
      <c r="P279" s="327"/>
      <c r="Q279" s="381"/>
      <c r="R279" s="326"/>
      <c r="S279" s="326"/>
      <c r="T279" s="326"/>
      <c r="U279" s="326"/>
      <c r="V279" s="326"/>
      <c r="W279" s="326"/>
      <c r="X279" s="327"/>
      <c r="Y279" s="381"/>
      <c r="Z279" s="327"/>
      <c r="AA279" s="381"/>
      <c r="AB279" s="326"/>
      <c r="AC279" s="326"/>
      <c r="AD279" s="327"/>
      <c r="AE279" s="381"/>
      <c r="AF279" s="326"/>
      <c r="AG279" s="327"/>
      <c r="AH279" s="381"/>
      <c r="AI279" s="326"/>
      <c r="AJ279" s="327"/>
      <c r="AK279" s="381"/>
      <c r="AL279" s="326"/>
      <c r="AM279" s="326"/>
      <c r="AN279" s="327"/>
      <c r="AO279" s="381"/>
      <c r="AP279" s="326"/>
      <c r="AQ279" s="326"/>
      <c r="AR279" s="326"/>
      <c r="AS279" s="326"/>
      <c r="AT279" s="326"/>
      <c r="AU279" s="326"/>
      <c r="AV279" s="327"/>
      <c r="AW279" s="686"/>
      <c r="AX279" s="326"/>
      <c r="AY279" s="327"/>
      <c r="AZ279" s="381"/>
      <c r="BA279" s="326"/>
      <c r="BB279" s="326"/>
      <c r="BC279" s="326"/>
      <c r="BD279" s="326"/>
      <c r="BE279" s="326"/>
      <c r="BF279" s="326"/>
      <c r="BG279" s="326"/>
      <c r="BH279" s="326"/>
      <c r="BI279" s="326"/>
      <c r="BJ279" s="326"/>
      <c r="BK279" s="326"/>
      <c r="BL279" s="326"/>
      <c r="BM279" s="326"/>
      <c r="BN279" s="326"/>
      <c r="BO279" s="327"/>
    </row>
    <row r="280" spans="1:67" ht="34.5" customHeight="1" x14ac:dyDescent="0.25">
      <c r="A280" s="87">
        <f t="shared" si="1"/>
        <v>268</v>
      </c>
      <c r="B280" s="386" t="s">
        <v>334</v>
      </c>
      <c r="C280" s="327"/>
      <c r="D280" s="498"/>
      <c r="E280" s="326"/>
      <c r="F280" s="326"/>
      <c r="G280" s="326"/>
      <c r="H280" s="327"/>
      <c r="I280" s="407"/>
      <c r="J280" s="326"/>
      <c r="K280" s="326"/>
      <c r="L280" s="326"/>
      <c r="M280" s="326"/>
      <c r="N280" s="326"/>
      <c r="O280" s="326"/>
      <c r="P280" s="327"/>
      <c r="Q280" s="456"/>
      <c r="R280" s="326"/>
      <c r="S280" s="326"/>
      <c r="T280" s="326"/>
      <c r="U280" s="326"/>
      <c r="V280" s="326"/>
      <c r="W280" s="326"/>
      <c r="X280" s="327"/>
      <c r="Y280" s="407"/>
      <c r="Z280" s="327"/>
      <c r="AA280" s="456"/>
      <c r="AB280" s="326"/>
      <c r="AC280" s="326"/>
      <c r="AD280" s="327"/>
      <c r="AE280" s="407"/>
      <c r="AF280" s="326"/>
      <c r="AG280" s="327"/>
      <c r="AH280" s="456"/>
      <c r="AI280" s="326"/>
      <c r="AJ280" s="327"/>
      <c r="AK280" s="407"/>
      <c r="AL280" s="326"/>
      <c r="AM280" s="326"/>
      <c r="AN280" s="327"/>
      <c r="AO280" s="456"/>
      <c r="AP280" s="326"/>
      <c r="AQ280" s="326"/>
      <c r="AR280" s="326"/>
      <c r="AS280" s="326"/>
      <c r="AT280" s="326"/>
      <c r="AU280" s="326"/>
      <c r="AV280" s="327"/>
      <c r="AW280" s="685"/>
      <c r="AX280" s="326"/>
      <c r="AY280" s="327"/>
      <c r="AZ280" s="456"/>
      <c r="BA280" s="326"/>
      <c r="BB280" s="326"/>
      <c r="BC280" s="326"/>
      <c r="BD280" s="326"/>
      <c r="BE280" s="326"/>
      <c r="BF280" s="326"/>
      <c r="BG280" s="326"/>
      <c r="BH280" s="326"/>
      <c r="BI280" s="326"/>
      <c r="BJ280" s="326"/>
      <c r="BK280" s="326"/>
      <c r="BL280" s="326"/>
      <c r="BM280" s="326"/>
      <c r="BN280" s="326"/>
      <c r="BO280" s="327"/>
    </row>
    <row r="281" spans="1:67" ht="34.5" customHeight="1" x14ac:dyDescent="0.25">
      <c r="A281" s="87">
        <f t="shared" si="1"/>
        <v>269</v>
      </c>
      <c r="B281" s="386" t="s">
        <v>334</v>
      </c>
      <c r="C281" s="327"/>
      <c r="D281" s="687"/>
      <c r="E281" s="326"/>
      <c r="F281" s="326"/>
      <c r="G281" s="326"/>
      <c r="H281" s="327"/>
      <c r="I281" s="381"/>
      <c r="J281" s="326"/>
      <c r="K281" s="326"/>
      <c r="L281" s="326"/>
      <c r="M281" s="326"/>
      <c r="N281" s="326"/>
      <c r="O281" s="326"/>
      <c r="P281" s="327"/>
      <c r="Q281" s="381"/>
      <c r="R281" s="326"/>
      <c r="S281" s="326"/>
      <c r="T281" s="326"/>
      <c r="U281" s="326"/>
      <c r="V281" s="326"/>
      <c r="W281" s="326"/>
      <c r="X281" s="327"/>
      <c r="Y281" s="381"/>
      <c r="Z281" s="327"/>
      <c r="AA281" s="381"/>
      <c r="AB281" s="326"/>
      <c r="AC281" s="326"/>
      <c r="AD281" s="327"/>
      <c r="AE281" s="381"/>
      <c r="AF281" s="326"/>
      <c r="AG281" s="327"/>
      <c r="AH281" s="381"/>
      <c r="AI281" s="326"/>
      <c r="AJ281" s="327"/>
      <c r="AK281" s="381"/>
      <c r="AL281" s="326"/>
      <c r="AM281" s="326"/>
      <c r="AN281" s="327"/>
      <c r="AO281" s="381"/>
      <c r="AP281" s="326"/>
      <c r="AQ281" s="326"/>
      <c r="AR281" s="326"/>
      <c r="AS281" s="326"/>
      <c r="AT281" s="326"/>
      <c r="AU281" s="326"/>
      <c r="AV281" s="327"/>
      <c r="AW281" s="686"/>
      <c r="AX281" s="326"/>
      <c r="AY281" s="327"/>
      <c r="AZ281" s="381"/>
      <c r="BA281" s="326"/>
      <c r="BB281" s="326"/>
      <c r="BC281" s="326"/>
      <c r="BD281" s="326"/>
      <c r="BE281" s="326"/>
      <c r="BF281" s="326"/>
      <c r="BG281" s="326"/>
      <c r="BH281" s="326"/>
      <c r="BI281" s="326"/>
      <c r="BJ281" s="326"/>
      <c r="BK281" s="326"/>
      <c r="BL281" s="326"/>
      <c r="BM281" s="326"/>
      <c r="BN281" s="326"/>
      <c r="BO281" s="327"/>
    </row>
    <row r="282" spans="1:67" ht="34.5" customHeight="1" x14ac:dyDescent="0.25">
      <c r="A282" s="87">
        <f t="shared" si="1"/>
        <v>270</v>
      </c>
      <c r="B282" s="386" t="s">
        <v>334</v>
      </c>
      <c r="C282" s="327"/>
      <c r="D282" s="498"/>
      <c r="E282" s="326"/>
      <c r="F282" s="326"/>
      <c r="G282" s="326"/>
      <c r="H282" s="327"/>
      <c r="I282" s="407"/>
      <c r="J282" s="326"/>
      <c r="K282" s="326"/>
      <c r="L282" s="326"/>
      <c r="M282" s="326"/>
      <c r="N282" s="326"/>
      <c r="O282" s="326"/>
      <c r="P282" s="327"/>
      <c r="Q282" s="456"/>
      <c r="R282" s="326"/>
      <c r="S282" s="326"/>
      <c r="T282" s="326"/>
      <c r="U282" s="326"/>
      <c r="V282" s="326"/>
      <c r="W282" s="326"/>
      <c r="X282" s="327"/>
      <c r="Y282" s="407"/>
      <c r="Z282" s="327"/>
      <c r="AA282" s="456"/>
      <c r="AB282" s="326"/>
      <c r="AC282" s="326"/>
      <c r="AD282" s="327"/>
      <c r="AE282" s="407"/>
      <c r="AF282" s="326"/>
      <c r="AG282" s="327"/>
      <c r="AH282" s="456"/>
      <c r="AI282" s="326"/>
      <c r="AJ282" s="327"/>
      <c r="AK282" s="407"/>
      <c r="AL282" s="326"/>
      <c r="AM282" s="326"/>
      <c r="AN282" s="327"/>
      <c r="AO282" s="456"/>
      <c r="AP282" s="326"/>
      <c r="AQ282" s="326"/>
      <c r="AR282" s="326"/>
      <c r="AS282" s="326"/>
      <c r="AT282" s="326"/>
      <c r="AU282" s="326"/>
      <c r="AV282" s="327"/>
      <c r="AW282" s="685"/>
      <c r="AX282" s="326"/>
      <c r="AY282" s="327"/>
      <c r="AZ282" s="456"/>
      <c r="BA282" s="326"/>
      <c r="BB282" s="326"/>
      <c r="BC282" s="326"/>
      <c r="BD282" s="326"/>
      <c r="BE282" s="326"/>
      <c r="BF282" s="326"/>
      <c r="BG282" s="326"/>
      <c r="BH282" s="326"/>
      <c r="BI282" s="326"/>
      <c r="BJ282" s="326"/>
      <c r="BK282" s="326"/>
      <c r="BL282" s="326"/>
      <c r="BM282" s="326"/>
      <c r="BN282" s="326"/>
      <c r="BO282" s="327"/>
    </row>
    <row r="283" spans="1:67" ht="34.5" customHeight="1" x14ac:dyDescent="0.25">
      <c r="A283" s="87">
        <f t="shared" si="1"/>
        <v>271</v>
      </c>
      <c r="B283" s="386" t="s">
        <v>334</v>
      </c>
      <c r="C283" s="327"/>
      <c r="D283" s="687"/>
      <c r="E283" s="326"/>
      <c r="F283" s="326"/>
      <c r="G283" s="326"/>
      <c r="H283" s="327"/>
      <c r="I283" s="381"/>
      <c r="J283" s="326"/>
      <c r="K283" s="326"/>
      <c r="L283" s="326"/>
      <c r="M283" s="326"/>
      <c r="N283" s="326"/>
      <c r="O283" s="326"/>
      <c r="P283" s="327"/>
      <c r="Q283" s="381"/>
      <c r="R283" s="326"/>
      <c r="S283" s="326"/>
      <c r="T283" s="326"/>
      <c r="U283" s="326"/>
      <c r="V283" s="326"/>
      <c r="W283" s="326"/>
      <c r="X283" s="327"/>
      <c r="Y283" s="381"/>
      <c r="Z283" s="327"/>
      <c r="AA283" s="381"/>
      <c r="AB283" s="326"/>
      <c r="AC283" s="326"/>
      <c r="AD283" s="327"/>
      <c r="AE283" s="381"/>
      <c r="AF283" s="326"/>
      <c r="AG283" s="327"/>
      <c r="AH283" s="381"/>
      <c r="AI283" s="326"/>
      <c r="AJ283" s="327"/>
      <c r="AK283" s="381"/>
      <c r="AL283" s="326"/>
      <c r="AM283" s="326"/>
      <c r="AN283" s="327"/>
      <c r="AO283" s="381"/>
      <c r="AP283" s="326"/>
      <c r="AQ283" s="326"/>
      <c r="AR283" s="326"/>
      <c r="AS283" s="326"/>
      <c r="AT283" s="326"/>
      <c r="AU283" s="326"/>
      <c r="AV283" s="327"/>
      <c r="AW283" s="686"/>
      <c r="AX283" s="326"/>
      <c r="AY283" s="327"/>
      <c r="AZ283" s="381"/>
      <c r="BA283" s="326"/>
      <c r="BB283" s="326"/>
      <c r="BC283" s="326"/>
      <c r="BD283" s="326"/>
      <c r="BE283" s="326"/>
      <c r="BF283" s="326"/>
      <c r="BG283" s="326"/>
      <c r="BH283" s="326"/>
      <c r="BI283" s="326"/>
      <c r="BJ283" s="326"/>
      <c r="BK283" s="326"/>
      <c r="BL283" s="326"/>
      <c r="BM283" s="326"/>
      <c r="BN283" s="326"/>
      <c r="BO283" s="327"/>
    </row>
    <row r="284" spans="1:67" ht="34.5" customHeight="1" x14ac:dyDescent="0.25">
      <c r="A284" s="87">
        <f t="shared" si="1"/>
        <v>272</v>
      </c>
      <c r="B284" s="688" t="s">
        <v>334</v>
      </c>
      <c r="C284" s="327"/>
      <c r="D284" s="498"/>
      <c r="E284" s="326"/>
      <c r="F284" s="326"/>
      <c r="G284" s="326"/>
      <c r="H284" s="327"/>
      <c r="I284" s="407"/>
      <c r="J284" s="326"/>
      <c r="K284" s="326"/>
      <c r="L284" s="326"/>
      <c r="M284" s="326"/>
      <c r="N284" s="326"/>
      <c r="O284" s="326"/>
      <c r="P284" s="327"/>
      <c r="Q284" s="456"/>
      <c r="R284" s="326"/>
      <c r="S284" s="326"/>
      <c r="T284" s="326"/>
      <c r="U284" s="326"/>
      <c r="V284" s="326"/>
      <c r="W284" s="326"/>
      <c r="X284" s="327"/>
      <c r="Y284" s="407"/>
      <c r="Z284" s="327"/>
      <c r="AA284" s="456"/>
      <c r="AB284" s="326"/>
      <c r="AC284" s="326"/>
      <c r="AD284" s="327"/>
      <c r="AE284" s="407"/>
      <c r="AF284" s="326"/>
      <c r="AG284" s="327"/>
      <c r="AH284" s="456"/>
      <c r="AI284" s="326"/>
      <c r="AJ284" s="327"/>
      <c r="AK284" s="407"/>
      <c r="AL284" s="326"/>
      <c r="AM284" s="326"/>
      <c r="AN284" s="327"/>
      <c r="AO284" s="456"/>
      <c r="AP284" s="326"/>
      <c r="AQ284" s="326"/>
      <c r="AR284" s="326"/>
      <c r="AS284" s="326"/>
      <c r="AT284" s="326"/>
      <c r="AU284" s="326"/>
      <c r="AV284" s="327"/>
      <c r="AW284" s="685"/>
      <c r="AX284" s="326"/>
      <c r="AY284" s="327"/>
      <c r="AZ284" s="456"/>
      <c r="BA284" s="326"/>
      <c r="BB284" s="326"/>
      <c r="BC284" s="326"/>
      <c r="BD284" s="326"/>
      <c r="BE284" s="326"/>
      <c r="BF284" s="326"/>
      <c r="BG284" s="326"/>
      <c r="BH284" s="326"/>
      <c r="BI284" s="326"/>
      <c r="BJ284" s="326"/>
      <c r="BK284" s="326"/>
      <c r="BL284" s="326"/>
      <c r="BM284" s="326"/>
      <c r="BN284" s="326"/>
      <c r="BO284" s="327"/>
    </row>
    <row r="285" spans="1:67" ht="34.5" customHeight="1" x14ac:dyDescent="0.25">
      <c r="A285" s="87">
        <f t="shared" si="1"/>
        <v>273</v>
      </c>
      <c r="B285" s="386" t="s">
        <v>334</v>
      </c>
      <c r="C285" s="327"/>
      <c r="D285" s="687"/>
      <c r="E285" s="326"/>
      <c r="F285" s="326"/>
      <c r="G285" s="326"/>
      <c r="H285" s="327"/>
      <c r="I285" s="381"/>
      <c r="J285" s="326"/>
      <c r="K285" s="326"/>
      <c r="L285" s="326"/>
      <c r="M285" s="326"/>
      <c r="N285" s="326"/>
      <c r="O285" s="326"/>
      <c r="P285" s="327"/>
      <c r="Q285" s="381"/>
      <c r="R285" s="326"/>
      <c r="S285" s="326"/>
      <c r="T285" s="326"/>
      <c r="U285" s="326"/>
      <c r="V285" s="326"/>
      <c r="W285" s="326"/>
      <c r="X285" s="327"/>
      <c r="Y285" s="381"/>
      <c r="Z285" s="327"/>
      <c r="AA285" s="381"/>
      <c r="AB285" s="326"/>
      <c r="AC285" s="326"/>
      <c r="AD285" s="327"/>
      <c r="AE285" s="381"/>
      <c r="AF285" s="326"/>
      <c r="AG285" s="327"/>
      <c r="AH285" s="381"/>
      <c r="AI285" s="326"/>
      <c r="AJ285" s="327"/>
      <c r="AK285" s="381"/>
      <c r="AL285" s="326"/>
      <c r="AM285" s="326"/>
      <c r="AN285" s="327"/>
      <c r="AO285" s="381"/>
      <c r="AP285" s="326"/>
      <c r="AQ285" s="326"/>
      <c r="AR285" s="326"/>
      <c r="AS285" s="326"/>
      <c r="AT285" s="326"/>
      <c r="AU285" s="326"/>
      <c r="AV285" s="327"/>
      <c r="AW285" s="686"/>
      <c r="AX285" s="326"/>
      <c r="AY285" s="327"/>
      <c r="AZ285" s="381"/>
      <c r="BA285" s="326"/>
      <c r="BB285" s="326"/>
      <c r="BC285" s="326"/>
      <c r="BD285" s="326"/>
      <c r="BE285" s="326"/>
      <c r="BF285" s="326"/>
      <c r="BG285" s="326"/>
      <c r="BH285" s="326"/>
      <c r="BI285" s="326"/>
      <c r="BJ285" s="326"/>
      <c r="BK285" s="326"/>
      <c r="BL285" s="326"/>
      <c r="BM285" s="326"/>
      <c r="BN285" s="326"/>
      <c r="BO285" s="327"/>
    </row>
    <row r="286" spans="1:67" ht="34.5" customHeight="1" x14ac:dyDescent="0.25">
      <c r="A286" s="87">
        <f t="shared" si="1"/>
        <v>274</v>
      </c>
      <c r="B286" s="386" t="s">
        <v>334</v>
      </c>
      <c r="C286" s="327"/>
      <c r="D286" s="498"/>
      <c r="E286" s="326"/>
      <c r="F286" s="326"/>
      <c r="G286" s="326"/>
      <c r="H286" s="327"/>
      <c r="I286" s="407"/>
      <c r="J286" s="326"/>
      <c r="K286" s="326"/>
      <c r="L286" s="326"/>
      <c r="M286" s="326"/>
      <c r="N286" s="326"/>
      <c r="O286" s="326"/>
      <c r="P286" s="327"/>
      <c r="Q286" s="456"/>
      <c r="R286" s="326"/>
      <c r="S286" s="326"/>
      <c r="T286" s="326"/>
      <c r="U286" s="326"/>
      <c r="V286" s="326"/>
      <c r="W286" s="326"/>
      <c r="X286" s="327"/>
      <c r="Y286" s="407"/>
      <c r="Z286" s="327"/>
      <c r="AA286" s="456"/>
      <c r="AB286" s="326"/>
      <c r="AC286" s="326"/>
      <c r="AD286" s="327"/>
      <c r="AE286" s="407"/>
      <c r="AF286" s="326"/>
      <c r="AG286" s="327"/>
      <c r="AH286" s="456"/>
      <c r="AI286" s="326"/>
      <c r="AJ286" s="327"/>
      <c r="AK286" s="407"/>
      <c r="AL286" s="326"/>
      <c r="AM286" s="326"/>
      <c r="AN286" s="327"/>
      <c r="AO286" s="456"/>
      <c r="AP286" s="326"/>
      <c r="AQ286" s="326"/>
      <c r="AR286" s="326"/>
      <c r="AS286" s="326"/>
      <c r="AT286" s="326"/>
      <c r="AU286" s="326"/>
      <c r="AV286" s="327"/>
      <c r="AW286" s="685"/>
      <c r="AX286" s="326"/>
      <c r="AY286" s="327"/>
      <c r="AZ286" s="456"/>
      <c r="BA286" s="326"/>
      <c r="BB286" s="326"/>
      <c r="BC286" s="326"/>
      <c r="BD286" s="326"/>
      <c r="BE286" s="326"/>
      <c r="BF286" s="326"/>
      <c r="BG286" s="326"/>
      <c r="BH286" s="326"/>
      <c r="BI286" s="326"/>
      <c r="BJ286" s="326"/>
      <c r="BK286" s="326"/>
      <c r="BL286" s="326"/>
      <c r="BM286" s="326"/>
      <c r="BN286" s="326"/>
      <c r="BO286" s="327"/>
    </row>
    <row r="287" spans="1:67" ht="34.5" customHeight="1" x14ac:dyDescent="0.25">
      <c r="A287" s="87">
        <f t="shared" si="1"/>
        <v>275</v>
      </c>
      <c r="B287" s="386" t="s">
        <v>334</v>
      </c>
      <c r="C287" s="327"/>
      <c r="D287" s="687"/>
      <c r="E287" s="326"/>
      <c r="F287" s="326"/>
      <c r="G287" s="326"/>
      <c r="H287" s="327"/>
      <c r="I287" s="381"/>
      <c r="J287" s="326"/>
      <c r="K287" s="326"/>
      <c r="L287" s="326"/>
      <c r="M287" s="326"/>
      <c r="N287" s="326"/>
      <c r="O287" s="326"/>
      <c r="P287" s="327"/>
      <c r="Q287" s="381"/>
      <c r="R287" s="326"/>
      <c r="S287" s="326"/>
      <c r="T287" s="326"/>
      <c r="U287" s="326"/>
      <c r="V287" s="326"/>
      <c r="W287" s="326"/>
      <c r="X287" s="327"/>
      <c r="Y287" s="381"/>
      <c r="Z287" s="327"/>
      <c r="AA287" s="381"/>
      <c r="AB287" s="326"/>
      <c r="AC287" s="326"/>
      <c r="AD287" s="327"/>
      <c r="AE287" s="381"/>
      <c r="AF287" s="326"/>
      <c r="AG287" s="327"/>
      <c r="AH287" s="381"/>
      <c r="AI287" s="326"/>
      <c r="AJ287" s="327"/>
      <c r="AK287" s="381"/>
      <c r="AL287" s="326"/>
      <c r="AM287" s="326"/>
      <c r="AN287" s="327"/>
      <c r="AO287" s="381"/>
      <c r="AP287" s="326"/>
      <c r="AQ287" s="326"/>
      <c r="AR287" s="326"/>
      <c r="AS287" s="326"/>
      <c r="AT287" s="326"/>
      <c r="AU287" s="326"/>
      <c r="AV287" s="327"/>
      <c r="AW287" s="686"/>
      <c r="AX287" s="326"/>
      <c r="AY287" s="327"/>
      <c r="AZ287" s="381"/>
      <c r="BA287" s="326"/>
      <c r="BB287" s="326"/>
      <c r="BC287" s="326"/>
      <c r="BD287" s="326"/>
      <c r="BE287" s="326"/>
      <c r="BF287" s="326"/>
      <c r="BG287" s="326"/>
      <c r="BH287" s="326"/>
      <c r="BI287" s="326"/>
      <c r="BJ287" s="326"/>
      <c r="BK287" s="326"/>
      <c r="BL287" s="326"/>
      <c r="BM287" s="326"/>
      <c r="BN287" s="326"/>
      <c r="BO287" s="327"/>
    </row>
    <row r="288" spans="1:67" ht="34.5" customHeight="1" x14ac:dyDescent="0.25">
      <c r="A288" s="87">
        <f t="shared" si="1"/>
        <v>276</v>
      </c>
      <c r="B288" s="386" t="s">
        <v>334</v>
      </c>
      <c r="C288" s="327"/>
      <c r="D288" s="498"/>
      <c r="E288" s="326"/>
      <c r="F288" s="326"/>
      <c r="G288" s="326"/>
      <c r="H288" s="327"/>
      <c r="I288" s="407"/>
      <c r="J288" s="326"/>
      <c r="K288" s="326"/>
      <c r="L288" s="326"/>
      <c r="M288" s="326"/>
      <c r="N288" s="326"/>
      <c r="O288" s="326"/>
      <c r="P288" s="327"/>
      <c r="Q288" s="456"/>
      <c r="R288" s="326"/>
      <c r="S288" s="326"/>
      <c r="T288" s="326"/>
      <c r="U288" s="326"/>
      <c r="V288" s="326"/>
      <c r="W288" s="326"/>
      <c r="X288" s="327"/>
      <c r="Y288" s="407"/>
      <c r="Z288" s="327"/>
      <c r="AA288" s="456"/>
      <c r="AB288" s="326"/>
      <c r="AC288" s="326"/>
      <c r="AD288" s="327"/>
      <c r="AE288" s="407"/>
      <c r="AF288" s="326"/>
      <c r="AG288" s="327"/>
      <c r="AH288" s="456"/>
      <c r="AI288" s="326"/>
      <c r="AJ288" s="327"/>
      <c r="AK288" s="407"/>
      <c r="AL288" s="326"/>
      <c r="AM288" s="326"/>
      <c r="AN288" s="327"/>
      <c r="AO288" s="456"/>
      <c r="AP288" s="326"/>
      <c r="AQ288" s="326"/>
      <c r="AR288" s="326"/>
      <c r="AS288" s="326"/>
      <c r="AT288" s="326"/>
      <c r="AU288" s="326"/>
      <c r="AV288" s="327"/>
      <c r="AW288" s="685"/>
      <c r="AX288" s="326"/>
      <c r="AY288" s="327"/>
      <c r="AZ288" s="456"/>
      <c r="BA288" s="326"/>
      <c r="BB288" s="326"/>
      <c r="BC288" s="326"/>
      <c r="BD288" s="326"/>
      <c r="BE288" s="326"/>
      <c r="BF288" s="326"/>
      <c r="BG288" s="326"/>
      <c r="BH288" s="326"/>
      <c r="BI288" s="326"/>
      <c r="BJ288" s="326"/>
      <c r="BK288" s="326"/>
      <c r="BL288" s="326"/>
      <c r="BM288" s="326"/>
      <c r="BN288" s="326"/>
      <c r="BO288" s="327"/>
    </row>
    <row r="289" spans="1:67" ht="34.5" customHeight="1" x14ac:dyDescent="0.25">
      <c r="A289" s="87">
        <f t="shared" si="1"/>
        <v>277</v>
      </c>
      <c r="B289" s="386" t="s">
        <v>334</v>
      </c>
      <c r="C289" s="327"/>
      <c r="D289" s="687"/>
      <c r="E289" s="326"/>
      <c r="F289" s="326"/>
      <c r="G289" s="326"/>
      <c r="H289" s="327"/>
      <c r="I289" s="381"/>
      <c r="J289" s="326"/>
      <c r="K289" s="326"/>
      <c r="L289" s="326"/>
      <c r="M289" s="326"/>
      <c r="N289" s="326"/>
      <c r="O289" s="326"/>
      <c r="P289" s="327"/>
      <c r="Q289" s="381"/>
      <c r="R289" s="326"/>
      <c r="S289" s="326"/>
      <c r="T289" s="326"/>
      <c r="U289" s="326"/>
      <c r="V289" s="326"/>
      <c r="W289" s="326"/>
      <c r="X289" s="327"/>
      <c r="Y289" s="381"/>
      <c r="Z289" s="327"/>
      <c r="AA289" s="381"/>
      <c r="AB289" s="326"/>
      <c r="AC289" s="326"/>
      <c r="AD289" s="327"/>
      <c r="AE289" s="381"/>
      <c r="AF289" s="326"/>
      <c r="AG289" s="327"/>
      <c r="AH289" s="381"/>
      <c r="AI289" s="326"/>
      <c r="AJ289" s="327"/>
      <c r="AK289" s="381"/>
      <c r="AL289" s="326"/>
      <c r="AM289" s="326"/>
      <c r="AN289" s="327"/>
      <c r="AO289" s="381"/>
      <c r="AP289" s="326"/>
      <c r="AQ289" s="326"/>
      <c r="AR289" s="326"/>
      <c r="AS289" s="326"/>
      <c r="AT289" s="326"/>
      <c r="AU289" s="326"/>
      <c r="AV289" s="327"/>
      <c r="AW289" s="686"/>
      <c r="AX289" s="326"/>
      <c r="AY289" s="327"/>
      <c r="AZ289" s="381"/>
      <c r="BA289" s="326"/>
      <c r="BB289" s="326"/>
      <c r="BC289" s="326"/>
      <c r="BD289" s="326"/>
      <c r="BE289" s="326"/>
      <c r="BF289" s="326"/>
      <c r="BG289" s="326"/>
      <c r="BH289" s="326"/>
      <c r="BI289" s="326"/>
      <c r="BJ289" s="326"/>
      <c r="BK289" s="326"/>
      <c r="BL289" s="326"/>
      <c r="BM289" s="326"/>
      <c r="BN289" s="326"/>
      <c r="BO289" s="327"/>
    </row>
    <row r="290" spans="1:67" ht="34.5" customHeight="1" x14ac:dyDescent="0.25">
      <c r="A290" s="87">
        <f t="shared" si="1"/>
        <v>278</v>
      </c>
      <c r="B290" s="386" t="s">
        <v>334</v>
      </c>
      <c r="C290" s="327"/>
      <c r="D290" s="498"/>
      <c r="E290" s="326"/>
      <c r="F290" s="326"/>
      <c r="G290" s="326"/>
      <c r="H290" s="327"/>
      <c r="I290" s="407"/>
      <c r="J290" s="326"/>
      <c r="K290" s="326"/>
      <c r="L290" s="326"/>
      <c r="M290" s="326"/>
      <c r="N290" s="326"/>
      <c r="O290" s="326"/>
      <c r="P290" s="327"/>
      <c r="Q290" s="456"/>
      <c r="R290" s="326"/>
      <c r="S290" s="326"/>
      <c r="T290" s="326"/>
      <c r="U290" s="326"/>
      <c r="V290" s="326"/>
      <c r="W290" s="326"/>
      <c r="X290" s="327"/>
      <c r="Y290" s="407"/>
      <c r="Z290" s="327"/>
      <c r="AA290" s="456"/>
      <c r="AB290" s="326"/>
      <c r="AC290" s="326"/>
      <c r="AD290" s="327"/>
      <c r="AE290" s="407"/>
      <c r="AF290" s="326"/>
      <c r="AG290" s="327"/>
      <c r="AH290" s="456"/>
      <c r="AI290" s="326"/>
      <c r="AJ290" s="327"/>
      <c r="AK290" s="407"/>
      <c r="AL290" s="326"/>
      <c r="AM290" s="326"/>
      <c r="AN290" s="327"/>
      <c r="AO290" s="456"/>
      <c r="AP290" s="326"/>
      <c r="AQ290" s="326"/>
      <c r="AR290" s="326"/>
      <c r="AS290" s="326"/>
      <c r="AT290" s="326"/>
      <c r="AU290" s="326"/>
      <c r="AV290" s="327"/>
      <c r="AW290" s="685"/>
      <c r="AX290" s="326"/>
      <c r="AY290" s="327"/>
      <c r="AZ290" s="456"/>
      <c r="BA290" s="326"/>
      <c r="BB290" s="326"/>
      <c r="BC290" s="326"/>
      <c r="BD290" s="326"/>
      <c r="BE290" s="326"/>
      <c r="BF290" s="326"/>
      <c r="BG290" s="326"/>
      <c r="BH290" s="326"/>
      <c r="BI290" s="326"/>
      <c r="BJ290" s="326"/>
      <c r="BK290" s="326"/>
      <c r="BL290" s="326"/>
      <c r="BM290" s="326"/>
      <c r="BN290" s="326"/>
      <c r="BO290" s="327"/>
    </row>
    <row r="291" spans="1:67" ht="34.5" customHeight="1" x14ac:dyDescent="0.25">
      <c r="A291" s="87">
        <f t="shared" si="1"/>
        <v>279</v>
      </c>
      <c r="B291" s="386" t="s">
        <v>334</v>
      </c>
      <c r="C291" s="327"/>
      <c r="D291" s="687"/>
      <c r="E291" s="326"/>
      <c r="F291" s="326"/>
      <c r="G291" s="326"/>
      <c r="H291" s="327"/>
      <c r="I291" s="381"/>
      <c r="J291" s="326"/>
      <c r="K291" s="326"/>
      <c r="L291" s="326"/>
      <c r="M291" s="326"/>
      <c r="N291" s="326"/>
      <c r="O291" s="326"/>
      <c r="P291" s="327"/>
      <c r="Q291" s="381"/>
      <c r="R291" s="326"/>
      <c r="S291" s="326"/>
      <c r="T291" s="326"/>
      <c r="U291" s="326"/>
      <c r="V291" s="326"/>
      <c r="W291" s="326"/>
      <c r="X291" s="327"/>
      <c r="Y291" s="381"/>
      <c r="Z291" s="327"/>
      <c r="AA291" s="381"/>
      <c r="AB291" s="326"/>
      <c r="AC291" s="326"/>
      <c r="AD291" s="327"/>
      <c r="AE291" s="381"/>
      <c r="AF291" s="326"/>
      <c r="AG291" s="327"/>
      <c r="AH291" s="381"/>
      <c r="AI291" s="326"/>
      <c r="AJ291" s="327"/>
      <c r="AK291" s="381"/>
      <c r="AL291" s="326"/>
      <c r="AM291" s="326"/>
      <c r="AN291" s="327"/>
      <c r="AO291" s="381"/>
      <c r="AP291" s="326"/>
      <c r="AQ291" s="326"/>
      <c r="AR291" s="326"/>
      <c r="AS291" s="326"/>
      <c r="AT291" s="326"/>
      <c r="AU291" s="326"/>
      <c r="AV291" s="327"/>
      <c r="AW291" s="686"/>
      <c r="AX291" s="326"/>
      <c r="AY291" s="327"/>
      <c r="AZ291" s="381"/>
      <c r="BA291" s="326"/>
      <c r="BB291" s="326"/>
      <c r="BC291" s="326"/>
      <c r="BD291" s="326"/>
      <c r="BE291" s="326"/>
      <c r="BF291" s="326"/>
      <c r="BG291" s="326"/>
      <c r="BH291" s="326"/>
      <c r="BI291" s="326"/>
      <c r="BJ291" s="326"/>
      <c r="BK291" s="326"/>
      <c r="BL291" s="326"/>
      <c r="BM291" s="326"/>
      <c r="BN291" s="326"/>
      <c r="BO291" s="327"/>
    </row>
    <row r="292" spans="1:67" ht="34.5" customHeight="1" x14ac:dyDescent="0.25">
      <c r="A292" s="87">
        <f t="shared" si="1"/>
        <v>280</v>
      </c>
      <c r="B292" s="386" t="s">
        <v>334</v>
      </c>
      <c r="C292" s="327"/>
      <c r="D292" s="498"/>
      <c r="E292" s="326"/>
      <c r="F292" s="326"/>
      <c r="G292" s="326"/>
      <c r="H292" s="327"/>
      <c r="I292" s="407"/>
      <c r="J292" s="326"/>
      <c r="K292" s="326"/>
      <c r="L292" s="326"/>
      <c r="M292" s="326"/>
      <c r="N292" s="326"/>
      <c r="O292" s="326"/>
      <c r="P292" s="327"/>
      <c r="Q292" s="456"/>
      <c r="R292" s="326"/>
      <c r="S292" s="326"/>
      <c r="T292" s="326"/>
      <c r="U292" s="326"/>
      <c r="V292" s="326"/>
      <c r="W292" s="326"/>
      <c r="X292" s="327"/>
      <c r="Y292" s="407"/>
      <c r="Z292" s="327"/>
      <c r="AA292" s="456"/>
      <c r="AB292" s="326"/>
      <c r="AC292" s="326"/>
      <c r="AD292" s="327"/>
      <c r="AE292" s="407"/>
      <c r="AF292" s="326"/>
      <c r="AG292" s="327"/>
      <c r="AH292" s="456"/>
      <c r="AI292" s="326"/>
      <c r="AJ292" s="327"/>
      <c r="AK292" s="407"/>
      <c r="AL292" s="326"/>
      <c r="AM292" s="326"/>
      <c r="AN292" s="327"/>
      <c r="AO292" s="456"/>
      <c r="AP292" s="326"/>
      <c r="AQ292" s="326"/>
      <c r="AR292" s="326"/>
      <c r="AS292" s="326"/>
      <c r="AT292" s="326"/>
      <c r="AU292" s="326"/>
      <c r="AV292" s="327"/>
      <c r="AW292" s="685"/>
      <c r="AX292" s="326"/>
      <c r="AY292" s="327"/>
      <c r="AZ292" s="456"/>
      <c r="BA292" s="326"/>
      <c r="BB292" s="326"/>
      <c r="BC292" s="326"/>
      <c r="BD292" s="326"/>
      <c r="BE292" s="326"/>
      <c r="BF292" s="326"/>
      <c r="BG292" s="326"/>
      <c r="BH292" s="326"/>
      <c r="BI292" s="326"/>
      <c r="BJ292" s="326"/>
      <c r="BK292" s="326"/>
      <c r="BL292" s="326"/>
      <c r="BM292" s="326"/>
      <c r="BN292" s="326"/>
      <c r="BO292" s="327"/>
    </row>
    <row r="293" spans="1:67" ht="34.5" customHeight="1" x14ac:dyDescent="0.25">
      <c r="A293" s="87">
        <f t="shared" si="1"/>
        <v>281</v>
      </c>
      <c r="B293" s="386" t="s">
        <v>334</v>
      </c>
      <c r="C293" s="327"/>
      <c r="D293" s="687"/>
      <c r="E293" s="326"/>
      <c r="F293" s="326"/>
      <c r="G293" s="326"/>
      <c r="H293" s="327"/>
      <c r="I293" s="381"/>
      <c r="J293" s="326"/>
      <c r="K293" s="326"/>
      <c r="L293" s="326"/>
      <c r="M293" s="326"/>
      <c r="N293" s="326"/>
      <c r="O293" s="326"/>
      <c r="P293" s="327"/>
      <c r="Q293" s="381"/>
      <c r="R293" s="326"/>
      <c r="S293" s="326"/>
      <c r="T293" s="326"/>
      <c r="U293" s="326"/>
      <c r="V293" s="326"/>
      <c r="W293" s="326"/>
      <c r="X293" s="327"/>
      <c r="Y293" s="381"/>
      <c r="Z293" s="327"/>
      <c r="AA293" s="381"/>
      <c r="AB293" s="326"/>
      <c r="AC293" s="326"/>
      <c r="AD293" s="327"/>
      <c r="AE293" s="381"/>
      <c r="AF293" s="326"/>
      <c r="AG293" s="327"/>
      <c r="AH293" s="381"/>
      <c r="AI293" s="326"/>
      <c r="AJ293" s="327"/>
      <c r="AK293" s="381"/>
      <c r="AL293" s="326"/>
      <c r="AM293" s="326"/>
      <c r="AN293" s="327"/>
      <c r="AO293" s="381"/>
      <c r="AP293" s="326"/>
      <c r="AQ293" s="326"/>
      <c r="AR293" s="326"/>
      <c r="AS293" s="326"/>
      <c r="AT293" s="326"/>
      <c r="AU293" s="326"/>
      <c r="AV293" s="327"/>
      <c r="AW293" s="686"/>
      <c r="AX293" s="326"/>
      <c r="AY293" s="327"/>
      <c r="AZ293" s="381"/>
      <c r="BA293" s="326"/>
      <c r="BB293" s="326"/>
      <c r="BC293" s="326"/>
      <c r="BD293" s="326"/>
      <c r="BE293" s="326"/>
      <c r="BF293" s="326"/>
      <c r="BG293" s="326"/>
      <c r="BH293" s="326"/>
      <c r="BI293" s="326"/>
      <c r="BJ293" s="326"/>
      <c r="BK293" s="326"/>
      <c r="BL293" s="326"/>
      <c r="BM293" s="326"/>
      <c r="BN293" s="326"/>
      <c r="BO293" s="327"/>
    </row>
    <row r="294" spans="1:67" ht="34.5" customHeight="1" x14ac:dyDescent="0.25">
      <c r="A294" s="87">
        <f t="shared" si="1"/>
        <v>282</v>
      </c>
      <c r="B294" s="386" t="s">
        <v>334</v>
      </c>
      <c r="C294" s="327"/>
      <c r="D294" s="498"/>
      <c r="E294" s="326"/>
      <c r="F294" s="326"/>
      <c r="G294" s="326"/>
      <c r="H294" s="327"/>
      <c r="I294" s="407"/>
      <c r="J294" s="326"/>
      <c r="K294" s="326"/>
      <c r="L294" s="326"/>
      <c r="M294" s="326"/>
      <c r="N294" s="326"/>
      <c r="O294" s="326"/>
      <c r="P294" s="327"/>
      <c r="Q294" s="456"/>
      <c r="R294" s="326"/>
      <c r="S294" s="326"/>
      <c r="T294" s="326"/>
      <c r="U294" s="326"/>
      <c r="V294" s="326"/>
      <c r="W294" s="326"/>
      <c r="X294" s="327"/>
      <c r="Y294" s="407"/>
      <c r="Z294" s="327"/>
      <c r="AA294" s="456"/>
      <c r="AB294" s="326"/>
      <c r="AC294" s="326"/>
      <c r="AD294" s="327"/>
      <c r="AE294" s="407"/>
      <c r="AF294" s="326"/>
      <c r="AG294" s="327"/>
      <c r="AH294" s="456"/>
      <c r="AI294" s="326"/>
      <c r="AJ294" s="327"/>
      <c r="AK294" s="407"/>
      <c r="AL294" s="326"/>
      <c r="AM294" s="326"/>
      <c r="AN294" s="327"/>
      <c r="AO294" s="456"/>
      <c r="AP294" s="326"/>
      <c r="AQ294" s="326"/>
      <c r="AR294" s="326"/>
      <c r="AS294" s="326"/>
      <c r="AT294" s="326"/>
      <c r="AU294" s="326"/>
      <c r="AV294" s="327"/>
      <c r="AW294" s="685"/>
      <c r="AX294" s="326"/>
      <c r="AY294" s="327"/>
      <c r="AZ294" s="456"/>
      <c r="BA294" s="326"/>
      <c r="BB294" s="326"/>
      <c r="BC294" s="326"/>
      <c r="BD294" s="326"/>
      <c r="BE294" s="326"/>
      <c r="BF294" s="326"/>
      <c r="BG294" s="326"/>
      <c r="BH294" s="326"/>
      <c r="BI294" s="326"/>
      <c r="BJ294" s="326"/>
      <c r="BK294" s="326"/>
      <c r="BL294" s="326"/>
      <c r="BM294" s="326"/>
      <c r="BN294" s="326"/>
      <c r="BO294" s="327"/>
    </row>
    <row r="295" spans="1:67" ht="34.5" customHeight="1" x14ac:dyDescent="0.25">
      <c r="A295" s="87">
        <f t="shared" si="1"/>
        <v>283</v>
      </c>
      <c r="B295" s="386" t="s">
        <v>334</v>
      </c>
      <c r="C295" s="327"/>
      <c r="D295" s="687"/>
      <c r="E295" s="326"/>
      <c r="F295" s="326"/>
      <c r="G295" s="326"/>
      <c r="H295" s="327"/>
      <c r="I295" s="381"/>
      <c r="J295" s="326"/>
      <c r="K295" s="326"/>
      <c r="L295" s="326"/>
      <c r="M295" s="326"/>
      <c r="N295" s="326"/>
      <c r="O295" s="326"/>
      <c r="P295" s="327"/>
      <c r="Q295" s="381"/>
      <c r="R295" s="326"/>
      <c r="S295" s="326"/>
      <c r="T295" s="326"/>
      <c r="U295" s="326"/>
      <c r="V295" s="326"/>
      <c r="W295" s="326"/>
      <c r="X295" s="327"/>
      <c r="Y295" s="381"/>
      <c r="Z295" s="327"/>
      <c r="AA295" s="381"/>
      <c r="AB295" s="326"/>
      <c r="AC295" s="326"/>
      <c r="AD295" s="327"/>
      <c r="AE295" s="381"/>
      <c r="AF295" s="326"/>
      <c r="AG295" s="327"/>
      <c r="AH295" s="381"/>
      <c r="AI295" s="326"/>
      <c r="AJ295" s="327"/>
      <c r="AK295" s="381"/>
      <c r="AL295" s="326"/>
      <c r="AM295" s="326"/>
      <c r="AN295" s="327"/>
      <c r="AO295" s="381"/>
      <c r="AP295" s="326"/>
      <c r="AQ295" s="326"/>
      <c r="AR295" s="326"/>
      <c r="AS295" s="326"/>
      <c r="AT295" s="326"/>
      <c r="AU295" s="326"/>
      <c r="AV295" s="327"/>
      <c r="AW295" s="686"/>
      <c r="AX295" s="326"/>
      <c r="AY295" s="327"/>
      <c r="AZ295" s="381"/>
      <c r="BA295" s="326"/>
      <c r="BB295" s="326"/>
      <c r="BC295" s="326"/>
      <c r="BD295" s="326"/>
      <c r="BE295" s="326"/>
      <c r="BF295" s="326"/>
      <c r="BG295" s="326"/>
      <c r="BH295" s="326"/>
      <c r="BI295" s="326"/>
      <c r="BJ295" s="326"/>
      <c r="BK295" s="326"/>
      <c r="BL295" s="326"/>
      <c r="BM295" s="326"/>
      <c r="BN295" s="326"/>
      <c r="BO295" s="327"/>
    </row>
    <row r="296" spans="1:67" ht="34.5" customHeight="1" x14ac:dyDescent="0.25">
      <c r="A296" s="87">
        <f t="shared" si="1"/>
        <v>284</v>
      </c>
      <c r="B296" s="386" t="s">
        <v>334</v>
      </c>
      <c r="C296" s="327"/>
      <c r="D296" s="498"/>
      <c r="E296" s="326"/>
      <c r="F296" s="326"/>
      <c r="G296" s="326"/>
      <c r="H296" s="327"/>
      <c r="I296" s="407"/>
      <c r="J296" s="326"/>
      <c r="K296" s="326"/>
      <c r="L296" s="326"/>
      <c r="M296" s="326"/>
      <c r="N296" s="326"/>
      <c r="O296" s="326"/>
      <c r="P296" s="327"/>
      <c r="Q296" s="456"/>
      <c r="R296" s="326"/>
      <c r="S296" s="326"/>
      <c r="T296" s="326"/>
      <c r="U296" s="326"/>
      <c r="V296" s="326"/>
      <c r="W296" s="326"/>
      <c r="X296" s="327"/>
      <c r="Y296" s="407"/>
      <c r="Z296" s="327"/>
      <c r="AA296" s="456"/>
      <c r="AB296" s="326"/>
      <c r="AC296" s="326"/>
      <c r="AD296" s="327"/>
      <c r="AE296" s="407"/>
      <c r="AF296" s="326"/>
      <c r="AG296" s="327"/>
      <c r="AH296" s="456"/>
      <c r="AI296" s="326"/>
      <c r="AJ296" s="327"/>
      <c r="AK296" s="407"/>
      <c r="AL296" s="326"/>
      <c r="AM296" s="326"/>
      <c r="AN296" s="327"/>
      <c r="AO296" s="456"/>
      <c r="AP296" s="326"/>
      <c r="AQ296" s="326"/>
      <c r="AR296" s="326"/>
      <c r="AS296" s="326"/>
      <c r="AT296" s="326"/>
      <c r="AU296" s="326"/>
      <c r="AV296" s="327"/>
      <c r="AW296" s="685"/>
      <c r="AX296" s="326"/>
      <c r="AY296" s="327"/>
      <c r="AZ296" s="456"/>
      <c r="BA296" s="326"/>
      <c r="BB296" s="326"/>
      <c r="BC296" s="326"/>
      <c r="BD296" s="326"/>
      <c r="BE296" s="326"/>
      <c r="BF296" s="326"/>
      <c r="BG296" s="326"/>
      <c r="BH296" s="326"/>
      <c r="BI296" s="326"/>
      <c r="BJ296" s="326"/>
      <c r="BK296" s="326"/>
      <c r="BL296" s="326"/>
      <c r="BM296" s="326"/>
      <c r="BN296" s="326"/>
      <c r="BO296" s="327"/>
    </row>
    <row r="297" spans="1:67" ht="34.5" customHeight="1" x14ac:dyDescent="0.25">
      <c r="A297" s="87">
        <f t="shared" si="1"/>
        <v>285</v>
      </c>
      <c r="B297" s="386" t="s">
        <v>334</v>
      </c>
      <c r="C297" s="327"/>
      <c r="D297" s="687"/>
      <c r="E297" s="326"/>
      <c r="F297" s="326"/>
      <c r="G297" s="326"/>
      <c r="H297" s="327"/>
      <c r="I297" s="381"/>
      <c r="J297" s="326"/>
      <c r="K297" s="326"/>
      <c r="L297" s="326"/>
      <c r="M297" s="326"/>
      <c r="N297" s="326"/>
      <c r="O297" s="326"/>
      <c r="P297" s="327"/>
      <c r="Q297" s="381"/>
      <c r="R297" s="326"/>
      <c r="S297" s="326"/>
      <c r="T297" s="326"/>
      <c r="U297" s="326"/>
      <c r="V297" s="326"/>
      <c r="W297" s="326"/>
      <c r="X297" s="327"/>
      <c r="Y297" s="381"/>
      <c r="Z297" s="327"/>
      <c r="AA297" s="381"/>
      <c r="AB297" s="326"/>
      <c r="AC297" s="326"/>
      <c r="AD297" s="327"/>
      <c r="AE297" s="381"/>
      <c r="AF297" s="326"/>
      <c r="AG297" s="327"/>
      <c r="AH297" s="381"/>
      <c r="AI297" s="326"/>
      <c r="AJ297" s="327"/>
      <c r="AK297" s="381"/>
      <c r="AL297" s="326"/>
      <c r="AM297" s="326"/>
      <c r="AN297" s="327"/>
      <c r="AO297" s="381"/>
      <c r="AP297" s="326"/>
      <c r="AQ297" s="326"/>
      <c r="AR297" s="326"/>
      <c r="AS297" s="326"/>
      <c r="AT297" s="326"/>
      <c r="AU297" s="326"/>
      <c r="AV297" s="327"/>
      <c r="AW297" s="686"/>
      <c r="AX297" s="326"/>
      <c r="AY297" s="327"/>
      <c r="AZ297" s="381"/>
      <c r="BA297" s="326"/>
      <c r="BB297" s="326"/>
      <c r="BC297" s="326"/>
      <c r="BD297" s="326"/>
      <c r="BE297" s="326"/>
      <c r="BF297" s="326"/>
      <c r="BG297" s="326"/>
      <c r="BH297" s="326"/>
      <c r="BI297" s="326"/>
      <c r="BJ297" s="326"/>
      <c r="BK297" s="326"/>
      <c r="BL297" s="326"/>
      <c r="BM297" s="326"/>
      <c r="BN297" s="326"/>
      <c r="BO297" s="327"/>
    </row>
    <row r="298" spans="1:67" ht="34.5" customHeight="1" x14ac:dyDescent="0.25">
      <c r="A298" s="87">
        <f t="shared" si="1"/>
        <v>286</v>
      </c>
      <c r="B298" s="386" t="s">
        <v>334</v>
      </c>
      <c r="C298" s="327"/>
      <c r="D298" s="498"/>
      <c r="E298" s="326"/>
      <c r="F298" s="326"/>
      <c r="G298" s="326"/>
      <c r="H298" s="327"/>
      <c r="I298" s="407"/>
      <c r="J298" s="326"/>
      <c r="K298" s="326"/>
      <c r="L298" s="326"/>
      <c r="M298" s="326"/>
      <c r="N298" s="326"/>
      <c r="O298" s="326"/>
      <c r="P298" s="327"/>
      <c r="Q298" s="456"/>
      <c r="R298" s="326"/>
      <c r="S298" s="326"/>
      <c r="T298" s="326"/>
      <c r="U298" s="326"/>
      <c r="V298" s="326"/>
      <c r="W298" s="326"/>
      <c r="X298" s="327"/>
      <c r="Y298" s="407"/>
      <c r="Z298" s="327"/>
      <c r="AA298" s="456"/>
      <c r="AB298" s="326"/>
      <c r="AC298" s="326"/>
      <c r="AD298" s="327"/>
      <c r="AE298" s="407"/>
      <c r="AF298" s="326"/>
      <c r="AG298" s="327"/>
      <c r="AH298" s="456"/>
      <c r="AI298" s="326"/>
      <c r="AJ298" s="327"/>
      <c r="AK298" s="407"/>
      <c r="AL298" s="326"/>
      <c r="AM298" s="326"/>
      <c r="AN298" s="327"/>
      <c r="AO298" s="456"/>
      <c r="AP298" s="326"/>
      <c r="AQ298" s="326"/>
      <c r="AR298" s="326"/>
      <c r="AS298" s="326"/>
      <c r="AT298" s="326"/>
      <c r="AU298" s="326"/>
      <c r="AV298" s="327"/>
      <c r="AW298" s="685"/>
      <c r="AX298" s="326"/>
      <c r="AY298" s="327"/>
      <c r="AZ298" s="456"/>
      <c r="BA298" s="326"/>
      <c r="BB298" s="326"/>
      <c r="BC298" s="326"/>
      <c r="BD298" s="326"/>
      <c r="BE298" s="326"/>
      <c r="BF298" s="326"/>
      <c r="BG298" s="326"/>
      <c r="BH298" s="326"/>
      <c r="BI298" s="326"/>
      <c r="BJ298" s="326"/>
      <c r="BK298" s="326"/>
      <c r="BL298" s="326"/>
      <c r="BM298" s="326"/>
      <c r="BN298" s="326"/>
      <c r="BO298" s="327"/>
    </row>
    <row r="299" spans="1:67" ht="34.5" customHeight="1" x14ac:dyDescent="0.25">
      <c r="A299" s="87">
        <f t="shared" si="1"/>
        <v>287</v>
      </c>
      <c r="B299" s="386" t="s">
        <v>334</v>
      </c>
      <c r="C299" s="327"/>
      <c r="D299" s="687"/>
      <c r="E299" s="326"/>
      <c r="F299" s="326"/>
      <c r="G299" s="326"/>
      <c r="H299" s="327"/>
      <c r="I299" s="381"/>
      <c r="J299" s="326"/>
      <c r="K299" s="326"/>
      <c r="L299" s="326"/>
      <c r="M299" s="326"/>
      <c r="N299" s="326"/>
      <c r="O299" s="326"/>
      <c r="P299" s="327"/>
      <c r="Q299" s="381"/>
      <c r="R299" s="326"/>
      <c r="S299" s="326"/>
      <c r="T299" s="326"/>
      <c r="U299" s="326"/>
      <c r="V299" s="326"/>
      <c r="W299" s="326"/>
      <c r="X299" s="327"/>
      <c r="Y299" s="381"/>
      <c r="Z299" s="327"/>
      <c r="AA299" s="381"/>
      <c r="AB299" s="326"/>
      <c r="AC299" s="326"/>
      <c r="AD299" s="327"/>
      <c r="AE299" s="381"/>
      <c r="AF299" s="326"/>
      <c r="AG299" s="327"/>
      <c r="AH299" s="381"/>
      <c r="AI299" s="326"/>
      <c r="AJ299" s="327"/>
      <c r="AK299" s="381"/>
      <c r="AL299" s="326"/>
      <c r="AM299" s="326"/>
      <c r="AN299" s="327"/>
      <c r="AO299" s="381"/>
      <c r="AP299" s="326"/>
      <c r="AQ299" s="326"/>
      <c r="AR299" s="326"/>
      <c r="AS299" s="326"/>
      <c r="AT299" s="326"/>
      <c r="AU299" s="326"/>
      <c r="AV299" s="327"/>
      <c r="AW299" s="686"/>
      <c r="AX299" s="326"/>
      <c r="AY299" s="327"/>
      <c r="AZ299" s="381"/>
      <c r="BA299" s="326"/>
      <c r="BB299" s="326"/>
      <c r="BC299" s="326"/>
      <c r="BD299" s="326"/>
      <c r="BE299" s="326"/>
      <c r="BF299" s="326"/>
      <c r="BG299" s="326"/>
      <c r="BH299" s="326"/>
      <c r="BI299" s="326"/>
      <c r="BJ299" s="326"/>
      <c r="BK299" s="326"/>
      <c r="BL299" s="326"/>
      <c r="BM299" s="326"/>
      <c r="BN299" s="326"/>
      <c r="BO299" s="327"/>
    </row>
    <row r="300" spans="1:67" ht="34.5" customHeight="1" x14ac:dyDescent="0.25">
      <c r="A300" s="87">
        <f t="shared" si="1"/>
        <v>288</v>
      </c>
      <c r="B300" s="386" t="s">
        <v>334</v>
      </c>
      <c r="C300" s="327"/>
      <c r="D300" s="498"/>
      <c r="E300" s="326"/>
      <c r="F300" s="326"/>
      <c r="G300" s="326"/>
      <c r="H300" s="327"/>
      <c r="I300" s="407"/>
      <c r="J300" s="326"/>
      <c r="K300" s="326"/>
      <c r="L300" s="326"/>
      <c r="M300" s="326"/>
      <c r="N300" s="326"/>
      <c r="O300" s="326"/>
      <c r="P300" s="327"/>
      <c r="Q300" s="456"/>
      <c r="R300" s="326"/>
      <c r="S300" s="326"/>
      <c r="T300" s="326"/>
      <c r="U300" s="326"/>
      <c r="V300" s="326"/>
      <c r="W300" s="326"/>
      <c r="X300" s="327"/>
      <c r="Y300" s="407"/>
      <c r="Z300" s="327"/>
      <c r="AA300" s="456"/>
      <c r="AB300" s="326"/>
      <c r="AC300" s="326"/>
      <c r="AD300" s="327"/>
      <c r="AE300" s="407"/>
      <c r="AF300" s="326"/>
      <c r="AG300" s="327"/>
      <c r="AH300" s="456"/>
      <c r="AI300" s="326"/>
      <c r="AJ300" s="327"/>
      <c r="AK300" s="407"/>
      <c r="AL300" s="326"/>
      <c r="AM300" s="326"/>
      <c r="AN300" s="327"/>
      <c r="AO300" s="456"/>
      <c r="AP300" s="326"/>
      <c r="AQ300" s="326"/>
      <c r="AR300" s="326"/>
      <c r="AS300" s="326"/>
      <c r="AT300" s="326"/>
      <c r="AU300" s="326"/>
      <c r="AV300" s="327"/>
      <c r="AW300" s="685"/>
      <c r="AX300" s="326"/>
      <c r="AY300" s="327"/>
      <c r="AZ300" s="456"/>
      <c r="BA300" s="326"/>
      <c r="BB300" s="326"/>
      <c r="BC300" s="326"/>
      <c r="BD300" s="326"/>
      <c r="BE300" s="326"/>
      <c r="BF300" s="326"/>
      <c r="BG300" s="326"/>
      <c r="BH300" s="326"/>
      <c r="BI300" s="326"/>
      <c r="BJ300" s="326"/>
      <c r="BK300" s="326"/>
      <c r="BL300" s="326"/>
      <c r="BM300" s="326"/>
      <c r="BN300" s="326"/>
      <c r="BO300" s="327"/>
    </row>
    <row r="301" spans="1:67" ht="34.5" customHeight="1" x14ac:dyDescent="0.25">
      <c r="A301" s="87">
        <f t="shared" si="1"/>
        <v>289</v>
      </c>
      <c r="B301" s="386" t="s">
        <v>334</v>
      </c>
      <c r="C301" s="327"/>
      <c r="D301" s="687"/>
      <c r="E301" s="326"/>
      <c r="F301" s="326"/>
      <c r="G301" s="326"/>
      <c r="H301" s="327"/>
      <c r="I301" s="381"/>
      <c r="J301" s="326"/>
      <c r="K301" s="326"/>
      <c r="L301" s="326"/>
      <c r="M301" s="326"/>
      <c r="N301" s="326"/>
      <c r="O301" s="326"/>
      <c r="P301" s="327"/>
      <c r="Q301" s="381"/>
      <c r="R301" s="326"/>
      <c r="S301" s="326"/>
      <c r="T301" s="326"/>
      <c r="U301" s="326"/>
      <c r="V301" s="326"/>
      <c r="W301" s="326"/>
      <c r="X301" s="327"/>
      <c r="Y301" s="381"/>
      <c r="Z301" s="327"/>
      <c r="AA301" s="381"/>
      <c r="AB301" s="326"/>
      <c r="AC301" s="326"/>
      <c r="AD301" s="327"/>
      <c r="AE301" s="381"/>
      <c r="AF301" s="326"/>
      <c r="AG301" s="327"/>
      <c r="AH301" s="381"/>
      <c r="AI301" s="326"/>
      <c r="AJ301" s="327"/>
      <c r="AK301" s="381"/>
      <c r="AL301" s="326"/>
      <c r="AM301" s="326"/>
      <c r="AN301" s="327"/>
      <c r="AO301" s="381"/>
      <c r="AP301" s="326"/>
      <c r="AQ301" s="326"/>
      <c r="AR301" s="326"/>
      <c r="AS301" s="326"/>
      <c r="AT301" s="326"/>
      <c r="AU301" s="326"/>
      <c r="AV301" s="327"/>
      <c r="AW301" s="686"/>
      <c r="AX301" s="326"/>
      <c r="AY301" s="327"/>
      <c r="AZ301" s="381"/>
      <c r="BA301" s="326"/>
      <c r="BB301" s="326"/>
      <c r="BC301" s="326"/>
      <c r="BD301" s="326"/>
      <c r="BE301" s="326"/>
      <c r="BF301" s="326"/>
      <c r="BG301" s="326"/>
      <c r="BH301" s="326"/>
      <c r="BI301" s="326"/>
      <c r="BJ301" s="326"/>
      <c r="BK301" s="326"/>
      <c r="BL301" s="326"/>
      <c r="BM301" s="326"/>
      <c r="BN301" s="326"/>
      <c r="BO301" s="327"/>
    </row>
    <row r="302" spans="1:67" ht="34.5" customHeight="1" x14ac:dyDescent="0.25">
      <c r="A302" s="87">
        <f t="shared" si="1"/>
        <v>290</v>
      </c>
      <c r="B302" s="688" t="s">
        <v>334</v>
      </c>
      <c r="C302" s="327"/>
      <c r="D302" s="498"/>
      <c r="E302" s="326"/>
      <c r="F302" s="326"/>
      <c r="G302" s="326"/>
      <c r="H302" s="327"/>
      <c r="I302" s="407"/>
      <c r="J302" s="326"/>
      <c r="K302" s="326"/>
      <c r="L302" s="326"/>
      <c r="M302" s="326"/>
      <c r="N302" s="326"/>
      <c r="O302" s="326"/>
      <c r="P302" s="327"/>
      <c r="Q302" s="456"/>
      <c r="R302" s="326"/>
      <c r="S302" s="326"/>
      <c r="T302" s="326"/>
      <c r="U302" s="326"/>
      <c r="V302" s="326"/>
      <c r="W302" s="326"/>
      <c r="X302" s="327"/>
      <c r="Y302" s="407"/>
      <c r="Z302" s="327"/>
      <c r="AA302" s="456"/>
      <c r="AB302" s="326"/>
      <c r="AC302" s="326"/>
      <c r="AD302" s="327"/>
      <c r="AE302" s="407"/>
      <c r="AF302" s="326"/>
      <c r="AG302" s="327"/>
      <c r="AH302" s="456"/>
      <c r="AI302" s="326"/>
      <c r="AJ302" s="327"/>
      <c r="AK302" s="407"/>
      <c r="AL302" s="326"/>
      <c r="AM302" s="326"/>
      <c r="AN302" s="327"/>
      <c r="AO302" s="456"/>
      <c r="AP302" s="326"/>
      <c r="AQ302" s="326"/>
      <c r="AR302" s="326"/>
      <c r="AS302" s="326"/>
      <c r="AT302" s="326"/>
      <c r="AU302" s="326"/>
      <c r="AV302" s="327"/>
      <c r="AW302" s="685"/>
      <c r="AX302" s="326"/>
      <c r="AY302" s="327"/>
      <c r="AZ302" s="456"/>
      <c r="BA302" s="326"/>
      <c r="BB302" s="326"/>
      <c r="BC302" s="326"/>
      <c r="BD302" s="326"/>
      <c r="BE302" s="326"/>
      <c r="BF302" s="326"/>
      <c r="BG302" s="326"/>
      <c r="BH302" s="326"/>
      <c r="BI302" s="326"/>
      <c r="BJ302" s="326"/>
      <c r="BK302" s="326"/>
      <c r="BL302" s="326"/>
      <c r="BM302" s="326"/>
      <c r="BN302" s="326"/>
      <c r="BO302" s="327"/>
    </row>
    <row r="303" spans="1:67" ht="34.5" customHeight="1" x14ac:dyDescent="0.25">
      <c r="A303" s="87">
        <f t="shared" si="1"/>
        <v>291</v>
      </c>
      <c r="B303" s="386" t="s">
        <v>334</v>
      </c>
      <c r="C303" s="327"/>
      <c r="D303" s="687"/>
      <c r="E303" s="326"/>
      <c r="F303" s="326"/>
      <c r="G303" s="326"/>
      <c r="H303" s="327"/>
      <c r="I303" s="381"/>
      <c r="J303" s="326"/>
      <c r="K303" s="326"/>
      <c r="L303" s="326"/>
      <c r="M303" s="326"/>
      <c r="N303" s="326"/>
      <c r="O303" s="326"/>
      <c r="P303" s="327"/>
      <c r="Q303" s="381"/>
      <c r="R303" s="326"/>
      <c r="S303" s="326"/>
      <c r="T303" s="326"/>
      <c r="U303" s="326"/>
      <c r="V303" s="326"/>
      <c r="W303" s="326"/>
      <c r="X303" s="327"/>
      <c r="Y303" s="381"/>
      <c r="Z303" s="327"/>
      <c r="AA303" s="381"/>
      <c r="AB303" s="326"/>
      <c r="AC303" s="326"/>
      <c r="AD303" s="327"/>
      <c r="AE303" s="381"/>
      <c r="AF303" s="326"/>
      <c r="AG303" s="327"/>
      <c r="AH303" s="381"/>
      <c r="AI303" s="326"/>
      <c r="AJ303" s="327"/>
      <c r="AK303" s="381"/>
      <c r="AL303" s="326"/>
      <c r="AM303" s="326"/>
      <c r="AN303" s="327"/>
      <c r="AO303" s="381"/>
      <c r="AP303" s="326"/>
      <c r="AQ303" s="326"/>
      <c r="AR303" s="326"/>
      <c r="AS303" s="326"/>
      <c r="AT303" s="326"/>
      <c r="AU303" s="326"/>
      <c r="AV303" s="327"/>
      <c r="AW303" s="686"/>
      <c r="AX303" s="326"/>
      <c r="AY303" s="327"/>
      <c r="AZ303" s="381"/>
      <c r="BA303" s="326"/>
      <c r="BB303" s="326"/>
      <c r="BC303" s="326"/>
      <c r="BD303" s="326"/>
      <c r="BE303" s="326"/>
      <c r="BF303" s="326"/>
      <c r="BG303" s="326"/>
      <c r="BH303" s="326"/>
      <c r="BI303" s="326"/>
      <c r="BJ303" s="326"/>
      <c r="BK303" s="326"/>
      <c r="BL303" s="326"/>
      <c r="BM303" s="326"/>
      <c r="BN303" s="326"/>
      <c r="BO303" s="327"/>
    </row>
    <row r="304" spans="1:67" ht="34.5" customHeight="1" x14ac:dyDescent="0.25">
      <c r="A304" s="87">
        <f t="shared" si="1"/>
        <v>292</v>
      </c>
      <c r="B304" s="386" t="s">
        <v>334</v>
      </c>
      <c r="C304" s="327"/>
      <c r="D304" s="498"/>
      <c r="E304" s="326"/>
      <c r="F304" s="326"/>
      <c r="G304" s="326"/>
      <c r="H304" s="327"/>
      <c r="I304" s="407"/>
      <c r="J304" s="326"/>
      <c r="K304" s="326"/>
      <c r="L304" s="326"/>
      <c r="M304" s="326"/>
      <c r="N304" s="326"/>
      <c r="O304" s="326"/>
      <c r="P304" s="327"/>
      <c r="Q304" s="456"/>
      <c r="R304" s="326"/>
      <c r="S304" s="326"/>
      <c r="T304" s="326"/>
      <c r="U304" s="326"/>
      <c r="V304" s="326"/>
      <c r="W304" s="326"/>
      <c r="X304" s="327"/>
      <c r="Y304" s="407"/>
      <c r="Z304" s="327"/>
      <c r="AA304" s="456"/>
      <c r="AB304" s="326"/>
      <c r="AC304" s="326"/>
      <c r="AD304" s="327"/>
      <c r="AE304" s="407"/>
      <c r="AF304" s="326"/>
      <c r="AG304" s="327"/>
      <c r="AH304" s="456"/>
      <c r="AI304" s="326"/>
      <c r="AJ304" s="327"/>
      <c r="AK304" s="407"/>
      <c r="AL304" s="326"/>
      <c r="AM304" s="326"/>
      <c r="AN304" s="327"/>
      <c r="AO304" s="456"/>
      <c r="AP304" s="326"/>
      <c r="AQ304" s="326"/>
      <c r="AR304" s="326"/>
      <c r="AS304" s="326"/>
      <c r="AT304" s="326"/>
      <c r="AU304" s="326"/>
      <c r="AV304" s="327"/>
      <c r="AW304" s="685"/>
      <c r="AX304" s="326"/>
      <c r="AY304" s="327"/>
      <c r="AZ304" s="456"/>
      <c r="BA304" s="326"/>
      <c r="BB304" s="326"/>
      <c r="BC304" s="326"/>
      <c r="BD304" s="326"/>
      <c r="BE304" s="326"/>
      <c r="BF304" s="326"/>
      <c r="BG304" s="326"/>
      <c r="BH304" s="326"/>
      <c r="BI304" s="326"/>
      <c r="BJ304" s="326"/>
      <c r="BK304" s="326"/>
      <c r="BL304" s="326"/>
      <c r="BM304" s="326"/>
      <c r="BN304" s="326"/>
      <c r="BO304" s="327"/>
    </row>
    <row r="305" spans="1:67" ht="34.5" customHeight="1" x14ac:dyDescent="0.25">
      <c r="A305" s="87">
        <f t="shared" si="1"/>
        <v>293</v>
      </c>
      <c r="B305" s="386" t="s">
        <v>334</v>
      </c>
      <c r="C305" s="327"/>
      <c r="D305" s="687"/>
      <c r="E305" s="326"/>
      <c r="F305" s="326"/>
      <c r="G305" s="326"/>
      <c r="H305" s="327"/>
      <c r="I305" s="381"/>
      <c r="J305" s="326"/>
      <c r="K305" s="326"/>
      <c r="L305" s="326"/>
      <c r="M305" s="326"/>
      <c r="N305" s="326"/>
      <c r="O305" s="326"/>
      <c r="P305" s="327"/>
      <c r="Q305" s="381"/>
      <c r="R305" s="326"/>
      <c r="S305" s="326"/>
      <c r="T305" s="326"/>
      <c r="U305" s="326"/>
      <c r="V305" s="326"/>
      <c r="W305" s="326"/>
      <c r="X305" s="327"/>
      <c r="Y305" s="381"/>
      <c r="Z305" s="327"/>
      <c r="AA305" s="381"/>
      <c r="AB305" s="326"/>
      <c r="AC305" s="326"/>
      <c r="AD305" s="327"/>
      <c r="AE305" s="381"/>
      <c r="AF305" s="326"/>
      <c r="AG305" s="327"/>
      <c r="AH305" s="381"/>
      <c r="AI305" s="326"/>
      <c r="AJ305" s="327"/>
      <c r="AK305" s="381"/>
      <c r="AL305" s="326"/>
      <c r="AM305" s="326"/>
      <c r="AN305" s="327"/>
      <c r="AO305" s="381"/>
      <c r="AP305" s="326"/>
      <c r="AQ305" s="326"/>
      <c r="AR305" s="326"/>
      <c r="AS305" s="326"/>
      <c r="AT305" s="326"/>
      <c r="AU305" s="326"/>
      <c r="AV305" s="327"/>
      <c r="AW305" s="686"/>
      <c r="AX305" s="326"/>
      <c r="AY305" s="327"/>
      <c r="AZ305" s="381"/>
      <c r="BA305" s="326"/>
      <c r="BB305" s="326"/>
      <c r="BC305" s="326"/>
      <c r="BD305" s="326"/>
      <c r="BE305" s="326"/>
      <c r="BF305" s="326"/>
      <c r="BG305" s="326"/>
      <c r="BH305" s="326"/>
      <c r="BI305" s="326"/>
      <c r="BJ305" s="326"/>
      <c r="BK305" s="326"/>
      <c r="BL305" s="326"/>
      <c r="BM305" s="326"/>
      <c r="BN305" s="326"/>
      <c r="BO305" s="327"/>
    </row>
    <row r="306" spans="1:67" ht="34.5" customHeight="1" x14ac:dyDescent="0.25">
      <c r="A306" s="87">
        <f t="shared" si="1"/>
        <v>294</v>
      </c>
      <c r="B306" s="386" t="s">
        <v>334</v>
      </c>
      <c r="C306" s="327"/>
      <c r="D306" s="498"/>
      <c r="E306" s="326"/>
      <c r="F306" s="326"/>
      <c r="G306" s="326"/>
      <c r="H306" s="327"/>
      <c r="I306" s="407"/>
      <c r="J306" s="326"/>
      <c r="K306" s="326"/>
      <c r="L306" s="326"/>
      <c r="M306" s="326"/>
      <c r="N306" s="326"/>
      <c r="O306" s="326"/>
      <c r="P306" s="327"/>
      <c r="Q306" s="456"/>
      <c r="R306" s="326"/>
      <c r="S306" s="326"/>
      <c r="T306" s="326"/>
      <c r="U306" s="326"/>
      <c r="V306" s="326"/>
      <c r="W306" s="326"/>
      <c r="X306" s="327"/>
      <c r="Y306" s="407"/>
      <c r="Z306" s="327"/>
      <c r="AA306" s="456"/>
      <c r="AB306" s="326"/>
      <c r="AC306" s="326"/>
      <c r="AD306" s="327"/>
      <c r="AE306" s="407"/>
      <c r="AF306" s="326"/>
      <c r="AG306" s="327"/>
      <c r="AH306" s="456"/>
      <c r="AI306" s="326"/>
      <c r="AJ306" s="327"/>
      <c r="AK306" s="407"/>
      <c r="AL306" s="326"/>
      <c r="AM306" s="326"/>
      <c r="AN306" s="327"/>
      <c r="AO306" s="456"/>
      <c r="AP306" s="326"/>
      <c r="AQ306" s="326"/>
      <c r="AR306" s="326"/>
      <c r="AS306" s="326"/>
      <c r="AT306" s="326"/>
      <c r="AU306" s="326"/>
      <c r="AV306" s="327"/>
      <c r="AW306" s="685"/>
      <c r="AX306" s="326"/>
      <c r="AY306" s="327"/>
      <c r="AZ306" s="456"/>
      <c r="BA306" s="326"/>
      <c r="BB306" s="326"/>
      <c r="BC306" s="326"/>
      <c r="BD306" s="326"/>
      <c r="BE306" s="326"/>
      <c r="BF306" s="326"/>
      <c r="BG306" s="326"/>
      <c r="BH306" s="326"/>
      <c r="BI306" s="326"/>
      <c r="BJ306" s="326"/>
      <c r="BK306" s="326"/>
      <c r="BL306" s="326"/>
      <c r="BM306" s="326"/>
      <c r="BN306" s="326"/>
      <c r="BO306" s="327"/>
    </row>
    <row r="307" spans="1:67" ht="34.5" customHeight="1" x14ac:dyDescent="0.25">
      <c r="A307" s="87">
        <f t="shared" si="1"/>
        <v>295</v>
      </c>
      <c r="B307" s="386" t="s">
        <v>334</v>
      </c>
      <c r="C307" s="327"/>
      <c r="D307" s="687"/>
      <c r="E307" s="326"/>
      <c r="F307" s="326"/>
      <c r="G307" s="326"/>
      <c r="H307" s="327"/>
      <c r="I307" s="381"/>
      <c r="J307" s="326"/>
      <c r="K307" s="326"/>
      <c r="L307" s="326"/>
      <c r="M307" s="326"/>
      <c r="N307" s="326"/>
      <c r="O307" s="326"/>
      <c r="P307" s="327"/>
      <c r="Q307" s="381"/>
      <c r="R307" s="326"/>
      <c r="S307" s="326"/>
      <c r="T307" s="326"/>
      <c r="U307" s="326"/>
      <c r="V307" s="326"/>
      <c r="W307" s="326"/>
      <c r="X307" s="327"/>
      <c r="Y307" s="381"/>
      <c r="Z307" s="327"/>
      <c r="AA307" s="381"/>
      <c r="AB307" s="326"/>
      <c r="AC307" s="326"/>
      <c r="AD307" s="327"/>
      <c r="AE307" s="381"/>
      <c r="AF307" s="326"/>
      <c r="AG307" s="327"/>
      <c r="AH307" s="381"/>
      <c r="AI307" s="326"/>
      <c r="AJ307" s="327"/>
      <c r="AK307" s="381"/>
      <c r="AL307" s="326"/>
      <c r="AM307" s="326"/>
      <c r="AN307" s="327"/>
      <c r="AO307" s="381"/>
      <c r="AP307" s="326"/>
      <c r="AQ307" s="326"/>
      <c r="AR307" s="326"/>
      <c r="AS307" s="326"/>
      <c r="AT307" s="326"/>
      <c r="AU307" s="326"/>
      <c r="AV307" s="327"/>
      <c r="AW307" s="686"/>
      <c r="AX307" s="326"/>
      <c r="AY307" s="327"/>
      <c r="AZ307" s="381"/>
      <c r="BA307" s="326"/>
      <c r="BB307" s="326"/>
      <c r="BC307" s="326"/>
      <c r="BD307" s="326"/>
      <c r="BE307" s="326"/>
      <c r="BF307" s="326"/>
      <c r="BG307" s="326"/>
      <c r="BH307" s="326"/>
      <c r="BI307" s="326"/>
      <c r="BJ307" s="326"/>
      <c r="BK307" s="326"/>
      <c r="BL307" s="326"/>
      <c r="BM307" s="326"/>
      <c r="BN307" s="326"/>
      <c r="BO307" s="327"/>
    </row>
    <row r="308" spans="1:67" ht="34.5" customHeight="1" x14ac:dyDescent="0.25">
      <c r="A308" s="87">
        <f t="shared" si="1"/>
        <v>296</v>
      </c>
      <c r="B308" s="386" t="s">
        <v>334</v>
      </c>
      <c r="C308" s="327"/>
      <c r="D308" s="498"/>
      <c r="E308" s="326"/>
      <c r="F308" s="326"/>
      <c r="G308" s="326"/>
      <c r="H308" s="327"/>
      <c r="I308" s="407"/>
      <c r="J308" s="326"/>
      <c r="K308" s="326"/>
      <c r="L308" s="326"/>
      <c r="M308" s="326"/>
      <c r="N308" s="326"/>
      <c r="O308" s="326"/>
      <c r="P308" s="327"/>
      <c r="Q308" s="456"/>
      <c r="R308" s="326"/>
      <c r="S308" s="326"/>
      <c r="T308" s="326"/>
      <c r="U308" s="326"/>
      <c r="V308" s="326"/>
      <c r="W308" s="326"/>
      <c r="X308" s="327"/>
      <c r="Y308" s="407"/>
      <c r="Z308" s="327"/>
      <c r="AA308" s="456"/>
      <c r="AB308" s="326"/>
      <c r="AC308" s="326"/>
      <c r="AD308" s="327"/>
      <c r="AE308" s="407"/>
      <c r="AF308" s="326"/>
      <c r="AG308" s="327"/>
      <c r="AH308" s="456"/>
      <c r="AI308" s="326"/>
      <c r="AJ308" s="327"/>
      <c r="AK308" s="407"/>
      <c r="AL308" s="326"/>
      <c r="AM308" s="326"/>
      <c r="AN308" s="327"/>
      <c r="AO308" s="456"/>
      <c r="AP308" s="326"/>
      <c r="AQ308" s="326"/>
      <c r="AR308" s="326"/>
      <c r="AS308" s="326"/>
      <c r="AT308" s="326"/>
      <c r="AU308" s="326"/>
      <c r="AV308" s="327"/>
      <c r="AW308" s="685"/>
      <c r="AX308" s="326"/>
      <c r="AY308" s="327"/>
      <c r="AZ308" s="456"/>
      <c r="BA308" s="326"/>
      <c r="BB308" s="326"/>
      <c r="BC308" s="326"/>
      <c r="BD308" s="326"/>
      <c r="BE308" s="326"/>
      <c r="BF308" s="326"/>
      <c r="BG308" s="326"/>
      <c r="BH308" s="326"/>
      <c r="BI308" s="326"/>
      <c r="BJ308" s="326"/>
      <c r="BK308" s="326"/>
      <c r="BL308" s="326"/>
      <c r="BM308" s="326"/>
      <c r="BN308" s="326"/>
      <c r="BO308" s="327"/>
    </row>
    <row r="309" spans="1:67" ht="34.5" customHeight="1" x14ac:dyDescent="0.25">
      <c r="A309" s="87">
        <f t="shared" si="1"/>
        <v>297</v>
      </c>
      <c r="B309" s="386" t="s">
        <v>334</v>
      </c>
      <c r="C309" s="327"/>
      <c r="D309" s="687"/>
      <c r="E309" s="326"/>
      <c r="F309" s="326"/>
      <c r="G309" s="326"/>
      <c r="H309" s="327"/>
      <c r="I309" s="381"/>
      <c r="J309" s="326"/>
      <c r="K309" s="326"/>
      <c r="L309" s="326"/>
      <c r="M309" s="326"/>
      <c r="N309" s="326"/>
      <c r="O309" s="326"/>
      <c r="P309" s="327"/>
      <c r="Q309" s="381"/>
      <c r="R309" s="326"/>
      <c r="S309" s="326"/>
      <c r="T309" s="326"/>
      <c r="U309" s="326"/>
      <c r="V309" s="326"/>
      <c r="W309" s="326"/>
      <c r="X309" s="327"/>
      <c r="Y309" s="381"/>
      <c r="Z309" s="327"/>
      <c r="AA309" s="381"/>
      <c r="AB309" s="326"/>
      <c r="AC309" s="326"/>
      <c r="AD309" s="327"/>
      <c r="AE309" s="381"/>
      <c r="AF309" s="326"/>
      <c r="AG309" s="327"/>
      <c r="AH309" s="381"/>
      <c r="AI309" s="326"/>
      <c r="AJ309" s="327"/>
      <c r="AK309" s="381"/>
      <c r="AL309" s="326"/>
      <c r="AM309" s="326"/>
      <c r="AN309" s="327"/>
      <c r="AO309" s="381"/>
      <c r="AP309" s="326"/>
      <c r="AQ309" s="326"/>
      <c r="AR309" s="326"/>
      <c r="AS309" s="326"/>
      <c r="AT309" s="326"/>
      <c r="AU309" s="326"/>
      <c r="AV309" s="327"/>
      <c r="AW309" s="686"/>
      <c r="AX309" s="326"/>
      <c r="AY309" s="327"/>
      <c r="AZ309" s="381"/>
      <c r="BA309" s="326"/>
      <c r="BB309" s="326"/>
      <c r="BC309" s="326"/>
      <c r="BD309" s="326"/>
      <c r="BE309" s="326"/>
      <c r="BF309" s="326"/>
      <c r="BG309" s="326"/>
      <c r="BH309" s="326"/>
      <c r="BI309" s="326"/>
      <c r="BJ309" s="326"/>
      <c r="BK309" s="326"/>
      <c r="BL309" s="326"/>
      <c r="BM309" s="326"/>
      <c r="BN309" s="326"/>
      <c r="BO309" s="327"/>
    </row>
    <row r="310" spans="1:67" ht="34.5" customHeight="1" x14ac:dyDescent="0.25">
      <c r="A310" s="87">
        <f t="shared" si="1"/>
        <v>298</v>
      </c>
      <c r="B310" s="386" t="s">
        <v>334</v>
      </c>
      <c r="C310" s="327"/>
      <c r="D310" s="498"/>
      <c r="E310" s="326"/>
      <c r="F310" s="326"/>
      <c r="G310" s="326"/>
      <c r="H310" s="327"/>
      <c r="I310" s="407"/>
      <c r="J310" s="326"/>
      <c r="K310" s="326"/>
      <c r="L310" s="326"/>
      <c r="M310" s="326"/>
      <c r="N310" s="326"/>
      <c r="O310" s="326"/>
      <c r="P310" s="327"/>
      <c r="Q310" s="456"/>
      <c r="R310" s="326"/>
      <c r="S310" s="326"/>
      <c r="T310" s="326"/>
      <c r="U310" s="326"/>
      <c r="V310" s="326"/>
      <c r="W310" s="326"/>
      <c r="X310" s="327"/>
      <c r="Y310" s="407"/>
      <c r="Z310" s="327"/>
      <c r="AA310" s="456"/>
      <c r="AB310" s="326"/>
      <c r="AC310" s="326"/>
      <c r="AD310" s="327"/>
      <c r="AE310" s="407"/>
      <c r="AF310" s="326"/>
      <c r="AG310" s="327"/>
      <c r="AH310" s="456"/>
      <c r="AI310" s="326"/>
      <c r="AJ310" s="327"/>
      <c r="AK310" s="407"/>
      <c r="AL310" s="326"/>
      <c r="AM310" s="326"/>
      <c r="AN310" s="327"/>
      <c r="AO310" s="456"/>
      <c r="AP310" s="326"/>
      <c r="AQ310" s="326"/>
      <c r="AR310" s="326"/>
      <c r="AS310" s="326"/>
      <c r="AT310" s="326"/>
      <c r="AU310" s="326"/>
      <c r="AV310" s="327"/>
      <c r="AW310" s="685"/>
      <c r="AX310" s="326"/>
      <c r="AY310" s="327"/>
      <c r="AZ310" s="456"/>
      <c r="BA310" s="326"/>
      <c r="BB310" s="326"/>
      <c r="BC310" s="326"/>
      <c r="BD310" s="326"/>
      <c r="BE310" s="326"/>
      <c r="BF310" s="326"/>
      <c r="BG310" s="326"/>
      <c r="BH310" s="326"/>
      <c r="BI310" s="326"/>
      <c r="BJ310" s="326"/>
      <c r="BK310" s="326"/>
      <c r="BL310" s="326"/>
      <c r="BM310" s="326"/>
      <c r="BN310" s="326"/>
      <c r="BO310" s="327"/>
    </row>
    <row r="311" spans="1:67" ht="34.5" customHeight="1" x14ac:dyDescent="0.25">
      <c r="A311" s="87">
        <f t="shared" si="1"/>
        <v>299</v>
      </c>
      <c r="B311" s="386" t="s">
        <v>334</v>
      </c>
      <c r="C311" s="327"/>
      <c r="D311" s="687"/>
      <c r="E311" s="326"/>
      <c r="F311" s="326"/>
      <c r="G311" s="326"/>
      <c r="H311" s="327"/>
      <c r="I311" s="381"/>
      <c r="J311" s="326"/>
      <c r="K311" s="326"/>
      <c r="L311" s="326"/>
      <c r="M311" s="326"/>
      <c r="N311" s="326"/>
      <c r="O311" s="326"/>
      <c r="P311" s="327"/>
      <c r="Q311" s="381"/>
      <c r="R311" s="326"/>
      <c r="S311" s="326"/>
      <c r="T311" s="326"/>
      <c r="U311" s="326"/>
      <c r="V311" s="326"/>
      <c r="W311" s="326"/>
      <c r="X311" s="327"/>
      <c r="Y311" s="381"/>
      <c r="Z311" s="327"/>
      <c r="AA311" s="381"/>
      <c r="AB311" s="326"/>
      <c r="AC311" s="326"/>
      <c r="AD311" s="327"/>
      <c r="AE311" s="381"/>
      <c r="AF311" s="326"/>
      <c r="AG311" s="327"/>
      <c r="AH311" s="381"/>
      <c r="AI311" s="326"/>
      <c r="AJ311" s="327"/>
      <c r="AK311" s="381"/>
      <c r="AL311" s="326"/>
      <c r="AM311" s="326"/>
      <c r="AN311" s="327"/>
      <c r="AO311" s="381"/>
      <c r="AP311" s="326"/>
      <c r="AQ311" s="326"/>
      <c r="AR311" s="326"/>
      <c r="AS311" s="326"/>
      <c r="AT311" s="326"/>
      <c r="AU311" s="326"/>
      <c r="AV311" s="327"/>
      <c r="AW311" s="686"/>
      <c r="AX311" s="326"/>
      <c r="AY311" s="327"/>
      <c r="AZ311" s="381"/>
      <c r="BA311" s="326"/>
      <c r="BB311" s="326"/>
      <c r="BC311" s="326"/>
      <c r="BD311" s="326"/>
      <c r="BE311" s="326"/>
      <c r="BF311" s="326"/>
      <c r="BG311" s="326"/>
      <c r="BH311" s="326"/>
      <c r="BI311" s="326"/>
      <c r="BJ311" s="326"/>
      <c r="BK311" s="326"/>
      <c r="BL311" s="326"/>
      <c r="BM311" s="326"/>
      <c r="BN311" s="326"/>
      <c r="BO311" s="327"/>
    </row>
    <row r="312" spans="1:67" ht="34.5" customHeight="1" x14ac:dyDescent="0.25">
      <c r="A312" s="87">
        <f t="shared" si="1"/>
        <v>300</v>
      </c>
      <c r="B312" s="386" t="s">
        <v>334</v>
      </c>
      <c r="C312" s="327"/>
      <c r="D312" s="498"/>
      <c r="E312" s="326"/>
      <c r="F312" s="326"/>
      <c r="G312" s="326"/>
      <c r="H312" s="327"/>
      <c r="I312" s="407"/>
      <c r="J312" s="326"/>
      <c r="K312" s="326"/>
      <c r="L312" s="326"/>
      <c r="M312" s="326"/>
      <c r="N312" s="326"/>
      <c r="O312" s="326"/>
      <c r="P312" s="327"/>
      <c r="Q312" s="456"/>
      <c r="R312" s="326"/>
      <c r="S312" s="326"/>
      <c r="T312" s="326"/>
      <c r="U312" s="326"/>
      <c r="V312" s="326"/>
      <c r="W312" s="326"/>
      <c r="X312" s="327"/>
      <c r="Y312" s="407"/>
      <c r="Z312" s="327"/>
      <c r="AA312" s="456"/>
      <c r="AB312" s="326"/>
      <c r="AC312" s="326"/>
      <c r="AD312" s="327"/>
      <c r="AE312" s="407"/>
      <c r="AF312" s="326"/>
      <c r="AG312" s="327"/>
      <c r="AH312" s="456"/>
      <c r="AI312" s="326"/>
      <c r="AJ312" s="327"/>
      <c r="AK312" s="407"/>
      <c r="AL312" s="326"/>
      <c r="AM312" s="326"/>
      <c r="AN312" s="327"/>
      <c r="AO312" s="456"/>
      <c r="AP312" s="326"/>
      <c r="AQ312" s="326"/>
      <c r="AR312" s="326"/>
      <c r="AS312" s="326"/>
      <c r="AT312" s="326"/>
      <c r="AU312" s="326"/>
      <c r="AV312" s="327"/>
      <c r="AW312" s="685"/>
      <c r="AX312" s="326"/>
      <c r="AY312" s="327"/>
      <c r="AZ312" s="456"/>
      <c r="BA312" s="326"/>
      <c r="BB312" s="326"/>
      <c r="BC312" s="326"/>
      <c r="BD312" s="326"/>
      <c r="BE312" s="326"/>
      <c r="BF312" s="326"/>
      <c r="BG312" s="326"/>
      <c r="BH312" s="326"/>
      <c r="BI312" s="326"/>
      <c r="BJ312" s="326"/>
      <c r="BK312" s="326"/>
      <c r="BL312" s="326"/>
      <c r="BM312" s="326"/>
      <c r="BN312" s="326"/>
      <c r="BO312" s="327"/>
    </row>
    <row r="313" spans="1:67" ht="34.5" customHeight="1" x14ac:dyDescent="0.25">
      <c r="A313" s="87">
        <f t="shared" si="1"/>
        <v>301</v>
      </c>
      <c r="B313" s="386" t="s">
        <v>334</v>
      </c>
      <c r="C313" s="327"/>
      <c r="D313" s="687"/>
      <c r="E313" s="326"/>
      <c r="F313" s="326"/>
      <c r="G313" s="326"/>
      <c r="H313" s="327"/>
      <c r="I313" s="381"/>
      <c r="J313" s="326"/>
      <c r="K313" s="326"/>
      <c r="L313" s="326"/>
      <c r="M313" s="326"/>
      <c r="N313" s="326"/>
      <c r="O313" s="326"/>
      <c r="P313" s="327"/>
      <c r="Q313" s="381"/>
      <c r="R313" s="326"/>
      <c r="S313" s="326"/>
      <c r="T313" s="326"/>
      <c r="U313" s="326"/>
      <c r="V313" s="326"/>
      <c r="W313" s="326"/>
      <c r="X313" s="327"/>
      <c r="Y313" s="381"/>
      <c r="Z313" s="327"/>
      <c r="AA313" s="381"/>
      <c r="AB313" s="326"/>
      <c r="AC313" s="326"/>
      <c r="AD313" s="327"/>
      <c r="AE313" s="381"/>
      <c r="AF313" s="326"/>
      <c r="AG313" s="327"/>
      <c r="AH313" s="381"/>
      <c r="AI313" s="326"/>
      <c r="AJ313" s="327"/>
      <c r="AK313" s="381"/>
      <c r="AL313" s="326"/>
      <c r="AM313" s="326"/>
      <c r="AN313" s="327"/>
      <c r="AO313" s="381"/>
      <c r="AP313" s="326"/>
      <c r="AQ313" s="326"/>
      <c r="AR313" s="326"/>
      <c r="AS313" s="326"/>
      <c r="AT313" s="326"/>
      <c r="AU313" s="326"/>
      <c r="AV313" s="327"/>
      <c r="AW313" s="686"/>
      <c r="AX313" s="326"/>
      <c r="AY313" s="327"/>
      <c r="AZ313" s="381"/>
      <c r="BA313" s="326"/>
      <c r="BB313" s="326"/>
      <c r="BC313" s="326"/>
      <c r="BD313" s="326"/>
      <c r="BE313" s="326"/>
      <c r="BF313" s="326"/>
      <c r="BG313" s="326"/>
      <c r="BH313" s="326"/>
      <c r="BI313" s="326"/>
      <c r="BJ313" s="326"/>
      <c r="BK313" s="326"/>
      <c r="BL313" s="326"/>
      <c r="BM313" s="326"/>
      <c r="BN313" s="326"/>
      <c r="BO313" s="327"/>
    </row>
    <row r="314" spans="1:67" ht="34.5" customHeight="1" x14ac:dyDescent="0.25">
      <c r="A314" s="87">
        <f t="shared" si="1"/>
        <v>302</v>
      </c>
      <c r="B314" s="386" t="s">
        <v>334</v>
      </c>
      <c r="C314" s="327"/>
      <c r="D314" s="498"/>
      <c r="E314" s="326"/>
      <c r="F314" s="326"/>
      <c r="G314" s="326"/>
      <c r="H314" s="327"/>
      <c r="I314" s="407"/>
      <c r="J314" s="326"/>
      <c r="K314" s="326"/>
      <c r="L314" s="326"/>
      <c r="M314" s="326"/>
      <c r="N314" s="326"/>
      <c r="O314" s="326"/>
      <c r="P314" s="327"/>
      <c r="Q314" s="456"/>
      <c r="R314" s="326"/>
      <c r="S314" s="326"/>
      <c r="T314" s="326"/>
      <c r="U314" s="326"/>
      <c r="V314" s="326"/>
      <c r="W314" s="326"/>
      <c r="X314" s="327"/>
      <c r="Y314" s="407"/>
      <c r="Z314" s="327"/>
      <c r="AA314" s="456"/>
      <c r="AB314" s="326"/>
      <c r="AC314" s="326"/>
      <c r="AD314" s="327"/>
      <c r="AE314" s="407"/>
      <c r="AF314" s="326"/>
      <c r="AG314" s="327"/>
      <c r="AH314" s="456"/>
      <c r="AI314" s="326"/>
      <c r="AJ314" s="327"/>
      <c r="AK314" s="407"/>
      <c r="AL314" s="326"/>
      <c r="AM314" s="326"/>
      <c r="AN314" s="327"/>
      <c r="AO314" s="456"/>
      <c r="AP314" s="326"/>
      <c r="AQ314" s="326"/>
      <c r="AR314" s="326"/>
      <c r="AS314" s="326"/>
      <c r="AT314" s="326"/>
      <c r="AU314" s="326"/>
      <c r="AV314" s="327"/>
      <c r="AW314" s="685"/>
      <c r="AX314" s="326"/>
      <c r="AY314" s="327"/>
      <c r="AZ314" s="456"/>
      <c r="BA314" s="326"/>
      <c r="BB314" s="326"/>
      <c r="BC314" s="326"/>
      <c r="BD314" s="326"/>
      <c r="BE314" s="326"/>
      <c r="BF314" s="326"/>
      <c r="BG314" s="326"/>
      <c r="BH314" s="326"/>
      <c r="BI314" s="326"/>
      <c r="BJ314" s="326"/>
      <c r="BK314" s="326"/>
      <c r="BL314" s="326"/>
      <c r="BM314" s="326"/>
      <c r="BN314" s="326"/>
      <c r="BO314" s="327"/>
    </row>
    <row r="315" spans="1:67" ht="34.5" customHeight="1" x14ac:dyDescent="0.25">
      <c r="A315" s="87">
        <f t="shared" si="1"/>
        <v>303</v>
      </c>
      <c r="B315" s="386" t="s">
        <v>334</v>
      </c>
      <c r="C315" s="327"/>
      <c r="D315" s="687"/>
      <c r="E315" s="326"/>
      <c r="F315" s="326"/>
      <c r="G315" s="326"/>
      <c r="H315" s="327"/>
      <c r="I315" s="381"/>
      <c r="J315" s="326"/>
      <c r="K315" s="326"/>
      <c r="L315" s="326"/>
      <c r="M315" s="326"/>
      <c r="N315" s="326"/>
      <c r="O315" s="326"/>
      <c r="P315" s="327"/>
      <c r="Q315" s="381"/>
      <c r="R315" s="326"/>
      <c r="S315" s="326"/>
      <c r="T315" s="326"/>
      <c r="U315" s="326"/>
      <c r="V315" s="326"/>
      <c r="W315" s="326"/>
      <c r="X315" s="327"/>
      <c r="Y315" s="381"/>
      <c r="Z315" s="327"/>
      <c r="AA315" s="381"/>
      <c r="AB315" s="326"/>
      <c r="AC315" s="326"/>
      <c r="AD315" s="327"/>
      <c r="AE315" s="381"/>
      <c r="AF315" s="326"/>
      <c r="AG315" s="327"/>
      <c r="AH315" s="381"/>
      <c r="AI315" s="326"/>
      <c r="AJ315" s="327"/>
      <c r="AK315" s="381"/>
      <c r="AL315" s="326"/>
      <c r="AM315" s="326"/>
      <c r="AN315" s="327"/>
      <c r="AO315" s="381"/>
      <c r="AP315" s="326"/>
      <c r="AQ315" s="326"/>
      <c r="AR315" s="326"/>
      <c r="AS315" s="326"/>
      <c r="AT315" s="326"/>
      <c r="AU315" s="326"/>
      <c r="AV315" s="327"/>
      <c r="AW315" s="686"/>
      <c r="AX315" s="326"/>
      <c r="AY315" s="327"/>
      <c r="AZ315" s="381"/>
      <c r="BA315" s="326"/>
      <c r="BB315" s="326"/>
      <c r="BC315" s="326"/>
      <c r="BD315" s="326"/>
      <c r="BE315" s="326"/>
      <c r="BF315" s="326"/>
      <c r="BG315" s="326"/>
      <c r="BH315" s="326"/>
      <c r="BI315" s="326"/>
      <c r="BJ315" s="326"/>
      <c r="BK315" s="326"/>
      <c r="BL315" s="326"/>
      <c r="BM315" s="326"/>
      <c r="BN315" s="326"/>
      <c r="BO315" s="327"/>
    </row>
    <row r="316" spans="1:67" ht="34.5" customHeight="1" x14ac:dyDescent="0.25">
      <c r="A316" s="87">
        <f t="shared" si="1"/>
        <v>304</v>
      </c>
      <c r="B316" s="386" t="s">
        <v>334</v>
      </c>
      <c r="C316" s="327"/>
      <c r="D316" s="498"/>
      <c r="E316" s="326"/>
      <c r="F316" s="326"/>
      <c r="G316" s="326"/>
      <c r="H316" s="327"/>
      <c r="I316" s="407"/>
      <c r="J316" s="326"/>
      <c r="K316" s="326"/>
      <c r="L316" s="326"/>
      <c r="M316" s="326"/>
      <c r="N316" s="326"/>
      <c r="O316" s="326"/>
      <c r="P316" s="327"/>
      <c r="Q316" s="456"/>
      <c r="R316" s="326"/>
      <c r="S316" s="326"/>
      <c r="T316" s="326"/>
      <c r="U316" s="326"/>
      <c r="V316" s="326"/>
      <c r="W316" s="326"/>
      <c r="X316" s="327"/>
      <c r="Y316" s="407"/>
      <c r="Z316" s="327"/>
      <c r="AA316" s="456"/>
      <c r="AB316" s="326"/>
      <c r="AC316" s="326"/>
      <c r="AD316" s="327"/>
      <c r="AE316" s="407"/>
      <c r="AF316" s="326"/>
      <c r="AG316" s="327"/>
      <c r="AH316" s="456"/>
      <c r="AI316" s="326"/>
      <c r="AJ316" s="327"/>
      <c r="AK316" s="407"/>
      <c r="AL316" s="326"/>
      <c r="AM316" s="326"/>
      <c r="AN316" s="327"/>
      <c r="AO316" s="456"/>
      <c r="AP316" s="326"/>
      <c r="AQ316" s="326"/>
      <c r="AR316" s="326"/>
      <c r="AS316" s="326"/>
      <c r="AT316" s="326"/>
      <c r="AU316" s="326"/>
      <c r="AV316" s="327"/>
      <c r="AW316" s="685"/>
      <c r="AX316" s="326"/>
      <c r="AY316" s="327"/>
      <c r="AZ316" s="456"/>
      <c r="BA316" s="326"/>
      <c r="BB316" s="326"/>
      <c r="BC316" s="326"/>
      <c r="BD316" s="326"/>
      <c r="BE316" s="326"/>
      <c r="BF316" s="326"/>
      <c r="BG316" s="326"/>
      <c r="BH316" s="326"/>
      <c r="BI316" s="326"/>
      <c r="BJ316" s="326"/>
      <c r="BK316" s="326"/>
      <c r="BL316" s="326"/>
      <c r="BM316" s="326"/>
      <c r="BN316" s="326"/>
      <c r="BO316" s="327"/>
    </row>
    <row r="317" spans="1:67" ht="34.5" customHeight="1" x14ac:dyDescent="0.25">
      <c r="A317" s="87">
        <f t="shared" si="1"/>
        <v>305</v>
      </c>
      <c r="B317" s="386" t="s">
        <v>334</v>
      </c>
      <c r="C317" s="327"/>
      <c r="D317" s="687"/>
      <c r="E317" s="326"/>
      <c r="F317" s="326"/>
      <c r="G317" s="326"/>
      <c r="H317" s="327"/>
      <c r="I317" s="381"/>
      <c r="J317" s="326"/>
      <c r="K317" s="326"/>
      <c r="L317" s="326"/>
      <c r="M317" s="326"/>
      <c r="N317" s="326"/>
      <c r="O317" s="326"/>
      <c r="P317" s="327"/>
      <c r="Q317" s="381"/>
      <c r="R317" s="326"/>
      <c r="S317" s="326"/>
      <c r="T317" s="326"/>
      <c r="U317" s="326"/>
      <c r="V317" s="326"/>
      <c r="W317" s="326"/>
      <c r="X317" s="327"/>
      <c r="Y317" s="381"/>
      <c r="Z317" s="327"/>
      <c r="AA317" s="381"/>
      <c r="AB317" s="326"/>
      <c r="AC317" s="326"/>
      <c r="AD317" s="327"/>
      <c r="AE317" s="381"/>
      <c r="AF317" s="326"/>
      <c r="AG317" s="327"/>
      <c r="AH317" s="381"/>
      <c r="AI317" s="326"/>
      <c r="AJ317" s="327"/>
      <c r="AK317" s="381"/>
      <c r="AL317" s="326"/>
      <c r="AM317" s="326"/>
      <c r="AN317" s="327"/>
      <c r="AO317" s="381"/>
      <c r="AP317" s="326"/>
      <c r="AQ317" s="326"/>
      <c r="AR317" s="326"/>
      <c r="AS317" s="326"/>
      <c r="AT317" s="326"/>
      <c r="AU317" s="326"/>
      <c r="AV317" s="327"/>
      <c r="AW317" s="686"/>
      <c r="AX317" s="326"/>
      <c r="AY317" s="327"/>
      <c r="AZ317" s="381"/>
      <c r="BA317" s="326"/>
      <c r="BB317" s="326"/>
      <c r="BC317" s="326"/>
      <c r="BD317" s="326"/>
      <c r="BE317" s="326"/>
      <c r="BF317" s="326"/>
      <c r="BG317" s="326"/>
      <c r="BH317" s="326"/>
      <c r="BI317" s="326"/>
      <c r="BJ317" s="326"/>
      <c r="BK317" s="326"/>
      <c r="BL317" s="326"/>
      <c r="BM317" s="326"/>
      <c r="BN317" s="326"/>
      <c r="BO317" s="327"/>
    </row>
    <row r="318" spans="1:67" ht="34.5" customHeight="1" x14ac:dyDescent="0.25">
      <c r="A318" s="87">
        <f t="shared" si="1"/>
        <v>306</v>
      </c>
      <c r="B318" s="386" t="s">
        <v>334</v>
      </c>
      <c r="C318" s="327"/>
      <c r="D318" s="498"/>
      <c r="E318" s="326"/>
      <c r="F318" s="326"/>
      <c r="G318" s="326"/>
      <c r="H318" s="327"/>
      <c r="I318" s="407"/>
      <c r="J318" s="326"/>
      <c r="K318" s="326"/>
      <c r="L318" s="326"/>
      <c r="M318" s="326"/>
      <c r="N318" s="326"/>
      <c r="O318" s="326"/>
      <c r="P318" s="327"/>
      <c r="Q318" s="456"/>
      <c r="R318" s="326"/>
      <c r="S318" s="326"/>
      <c r="T318" s="326"/>
      <c r="U318" s="326"/>
      <c r="V318" s="326"/>
      <c r="W318" s="326"/>
      <c r="X318" s="327"/>
      <c r="Y318" s="407"/>
      <c r="Z318" s="327"/>
      <c r="AA318" s="456"/>
      <c r="AB318" s="326"/>
      <c r="AC318" s="326"/>
      <c r="AD318" s="327"/>
      <c r="AE318" s="407"/>
      <c r="AF318" s="326"/>
      <c r="AG318" s="327"/>
      <c r="AH318" s="456"/>
      <c r="AI318" s="326"/>
      <c r="AJ318" s="327"/>
      <c r="AK318" s="407"/>
      <c r="AL318" s="326"/>
      <c r="AM318" s="326"/>
      <c r="AN318" s="327"/>
      <c r="AO318" s="456"/>
      <c r="AP318" s="326"/>
      <c r="AQ318" s="326"/>
      <c r="AR318" s="326"/>
      <c r="AS318" s="326"/>
      <c r="AT318" s="326"/>
      <c r="AU318" s="326"/>
      <c r="AV318" s="327"/>
      <c r="AW318" s="685"/>
      <c r="AX318" s="326"/>
      <c r="AY318" s="327"/>
      <c r="AZ318" s="456"/>
      <c r="BA318" s="326"/>
      <c r="BB318" s="326"/>
      <c r="BC318" s="326"/>
      <c r="BD318" s="326"/>
      <c r="BE318" s="326"/>
      <c r="BF318" s="326"/>
      <c r="BG318" s="326"/>
      <c r="BH318" s="326"/>
      <c r="BI318" s="326"/>
      <c r="BJ318" s="326"/>
      <c r="BK318" s="326"/>
      <c r="BL318" s="326"/>
      <c r="BM318" s="326"/>
      <c r="BN318" s="326"/>
      <c r="BO318" s="327"/>
    </row>
    <row r="319" spans="1:67" ht="34.5" customHeight="1" x14ac:dyDescent="0.25">
      <c r="A319" s="87">
        <f t="shared" si="1"/>
        <v>307</v>
      </c>
      <c r="B319" s="386" t="s">
        <v>334</v>
      </c>
      <c r="C319" s="327"/>
      <c r="D319" s="687"/>
      <c r="E319" s="326"/>
      <c r="F319" s="326"/>
      <c r="G319" s="326"/>
      <c r="H319" s="327"/>
      <c r="I319" s="381"/>
      <c r="J319" s="326"/>
      <c r="K319" s="326"/>
      <c r="L319" s="326"/>
      <c r="M319" s="326"/>
      <c r="N319" s="326"/>
      <c r="O319" s="326"/>
      <c r="P319" s="327"/>
      <c r="Q319" s="381"/>
      <c r="R319" s="326"/>
      <c r="S319" s="326"/>
      <c r="T319" s="326"/>
      <c r="U319" s="326"/>
      <c r="V319" s="326"/>
      <c r="W319" s="326"/>
      <c r="X319" s="327"/>
      <c r="Y319" s="381"/>
      <c r="Z319" s="327"/>
      <c r="AA319" s="381"/>
      <c r="AB319" s="326"/>
      <c r="AC319" s="326"/>
      <c r="AD319" s="327"/>
      <c r="AE319" s="381"/>
      <c r="AF319" s="326"/>
      <c r="AG319" s="327"/>
      <c r="AH319" s="381"/>
      <c r="AI319" s="326"/>
      <c r="AJ319" s="327"/>
      <c r="AK319" s="381"/>
      <c r="AL319" s="326"/>
      <c r="AM319" s="326"/>
      <c r="AN319" s="327"/>
      <c r="AO319" s="381"/>
      <c r="AP319" s="326"/>
      <c r="AQ319" s="326"/>
      <c r="AR319" s="326"/>
      <c r="AS319" s="326"/>
      <c r="AT319" s="326"/>
      <c r="AU319" s="326"/>
      <c r="AV319" s="327"/>
      <c r="AW319" s="686"/>
      <c r="AX319" s="326"/>
      <c r="AY319" s="327"/>
      <c r="AZ319" s="381"/>
      <c r="BA319" s="326"/>
      <c r="BB319" s="326"/>
      <c r="BC319" s="326"/>
      <c r="BD319" s="326"/>
      <c r="BE319" s="326"/>
      <c r="BF319" s="326"/>
      <c r="BG319" s="326"/>
      <c r="BH319" s="326"/>
      <c r="BI319" s="326"/>
      <c r="BJ319" s="326"/>
      <c r="BK319" s="326"/>
      <c r="BL319" s="326"/>
      <c r="BM319" s="326"/>
      <c r="BN319" s="326"/>
      <c r="BO319" s="327"/>
    </row>
    <row r="320" spans="1:67" ht="34.5" customHeight="1" x14ac:dyDescent="0.25">
      <c r="A320" s="87">
        <f t="shared" si="1"/>
        <v>308</v>
      </c>
      <c r="B320" s="688" t="s">
        <v>334</v>
      </c>
      <c r="C320" s="327"/>
      <c r="D320" s="498"/>
      <c r="E320" s="326"/>
      <c r="F320" s="326"/>
      <c r="G320" s="326"/>
      <c r="H320" s="327"/>
      <c r="I320" s="407"/>
      <c r="J320" s="326"/>
      <c r="K320" s="326"/>
      <c r="L320" s="326"/>
      <c r="M320" s="326"/>
      <c r="N320" s="326"/>
      <c r="O320" s="326"/>
      <c r="P320" s="327"/>
      <c r="Q320" s="456"/>
      <c r="R320" s="326"/>
      <c r="S320" s="326"/>
      <c r="T320" s="326"/>
      <c r="U320" s="326"/>
      <c r="V320" s="326"/>
      <c r="W320" s="326"/>
      <c r="X320" s="327"/>
      <c r="Y320" s="407"/>
      <c r="Z320" s="327"/>
      <c r="AA320" s="456"/>
      <c r="AB320" s="326"/>
      <c r="AC320" s="326"/>
      <c r="AD320" s="327"/>
      <c r="AE320" s="407"/>
      <c r="AF320" s="326"/>
      <c r="AG320" s="327"/>
      <c r="AH320" s="456"/>
      <c r="AI320" s="326"/>
      <c r="AJ320" s="327"/>
      <c r="AK320" s="407"/>
      <c r="AL320" s="326"/>
      <c r="AM320" s="326"/>
      <c r="AN320" s="327"/>
      <c r="AO320" s="456"/>
      <c r="AP320" s="326"/>
      <c r="AQ320" s="326"/>
      <c r="AR320" s="326"/>
      <c r="AS320" s="326"/>
      <c r="AT320" s="326"/>
      <c r="AU320" s="326"/>
      <c r="AV320" s="327"/>
      <c r="AW320" s="685"/>
      <c r="AX320" s="326"/>
      <c r="AY320" s="327"/>
      <c r="AZ320" s="456"/>
      <c r="BA320" s="326"/>
      <c r="BB320" s="326"/>
      <c r="BC320" s="326"/>
      <c r="BD320" s="326"/>
      <c r="BE320" s="326"/>
      <c r="BF320" s="326"/>
      <c r="BG320" s="326"/>
      <c r="BH320" s="326"/>
      <c r="BI320" s="326"/>
      <c r="BJ320" s="326"/>
      <c r="BK320" s="326"/>
      <c r="BL320" s="326"/>
      <c r="BM320" s="326"/>
      <c r="BN320" s="326"/>
      <c r="BO320" s="327"/>
    </row>
    <row r="321" spans="1:67" ht="34.5" customHeight="1" x14ac:dyDescent="0.25">
      <c r="A321" s="87">
        <f t="shared" si="1"/>
        <v>309</v>
      </c>
      <c r="B321" s="386" t="s">
        <v>334</v>
      </c>
      <c r="C321" s="327"/>
      <c r="D321" s="687"/>
      <c r="E321" s="326"/>
      <c r="F321" s="326"/>
      <c r="G321" s="326"/>
      <c r="H321" s="327"/>
      <c r="I321" s="381"/>
      <c r="J321" s="326"/>
      <c r="K321" s="326"/>
      <c r="L321" s="326"/>
      <c r="M321" s="326"/>
      <c r="N321" s="326"/>
      <c r="O321" s="326"/>
      <c r="P321" s="327"/>
      <c r="Q321" s="381"/>
      <c r="R321" s="326"/>
      <c r="S321" s="326"/>
      <c r="T321" s="326"/>
      <c r="U321" s="326"/>
      <c r="V321" s="326"/>
      <c r="W321" s="326"/>
      <c r="X321" s="327"/>
      <c r="Y321" s="381"/>
      <c r="Z321" s="327"/>
      <c r="AA321" s="381"/>
      <c r="AB321" s="326"/>
      <c r="AC321" s="326"/>
      <c r="AD321" s="327"/>
      <c r="AE321" s="381"/>
      <c r="AF321" s="326"/>
      <c r="AG321" s="327"/>
      <c r="AH321" s="381"/>
      <c r="AI321" s="326"/>
      <c r="AJ321" s="327"/>
      <c r="AK321" s="381"/>
      <c r="AL321" s="326"/>
      <c r="AM321" s="326"/>
      <c r="AN321" s="327"/>
      <c r="AO321" s="381"/>
      <c r="AP321" s="326"/>
      <c r="AQ321" s="326"/>
      <c r="AR321" s="326"/>
      <c r="AS321" s="326"/>
      <c r="AT321" s="326"/>
      <c r="AU321" s="326"/>
      <c r="AV321" s="327"/>
      <c r="AW321" s="686"/>
      <c r="AX321" s="326"/>
      <c r="AY321" s="327"/>
      <c r="AZ321" s="381"/>
      <c r="BA321" s="326"/>
      <c r="BB321" s="326"/>
      <c r="BC321" s="326"/>
      <c r="BD321" s="326"/>
      <c r="BE321" s="326"/>
      <c r="BF321" s="326"/>
      <c r="BG321" s="326"/>
      <c r="BH321" s="326"/>
      <c r="BI321" s="326"/>
      <c r="BJ321" s="326"/>
      <c r="BK321" s="326"/>
      <c r="BL321" s="326"/>
      <c r="BM321" s="326"/>
      <c r="BN321" s="326"/>
      <c r="BO321" s="327"/>
    </row>
    <row r="322" spans="1:67" ht="34.5" customHeight="1" x14ac:dyDescent="0.25">
      <c r="A322" s="87">
        <f t="shared" si="1"/>
        <v>310</v>
      </c>
      <c r="B322" s="386" t="s">
        <v>334</v>
      </c>
      <c r="C322" s="327"/>
      <c r="D322" s="498"/>
      <c r="E322" s="326"/>
      <c r="F322" s="326"/>
      <c r="G322" s="326"/>
      <c r="H322" s="327"/>
      <c r="I322" s="407"/>
      <c r="J322" s="326"/>
      <c r="K322" s="326"/>
      <c r="L322" s="326"/>
      <c r="M322" s="326"/>
      <c r="N322" s="326"/>
      <c r="O322" s="326"/>
      <c r="P322" s="327"/>
      <c r="Q322" s="456"/>
      <c r="R322" s="326"/>
      <c r="S322" s="326"/>
      <c r="T322" s="326"/>
      <c r="U322" s="326"/>
      <c r="V322" s="326"/>
      <c r="W322" s="326"/>
      <c r="X322" s="327"/>
      <c r="Y322" s="407"/>
      <c r="Z322" s="327"/>
      <c r="AA322" s="456"/>
      <c r="AB322" s="326"/>
      <c r="AC322" s="326"/>
      <c r="AD322" s="327"/>
      <c r="AE322" s="407"/>
      <c r="AF322" s="326"/>
      <c r="AG322" s="327"/>
      <c r="AH322" s="456"/>
      <c r="AI322" s="326"/>
      <c r="AJ322" s="327"/>
      <c r="AK322" s="407"/>
      <c r="AL322" s="326"/>
      <c r="AM322" s="326"/>
      <c r="AN322" s="327"/>
      <c r="AO322" s="456"/>
      <c r="AP322" s="326"/>
      <c r="AQ322" s="326"/>
      <c r="AR322" s="326"/>
      <c r="AS322" s="326"/>
      <c r="AT322" s="326"/>
      <c r="AU322" s="326"/>
      <c r="AV322" s="327"/>
      <c r="AW322" s="685"/>
      <c r="AX322" s="326"/>
      <c r="AY322" s="327"/>
      <c r="AZ322" s="456"/>
      <c r="BA322" s="326"/>
      <c r="BB322" s="326"/>
      <c r="BC322" s="326"/>
      <c r="BD322" s="326"/>
      <c r="BE322" s="326"/>
      <c r="BF322" s="326"/>
      <c r="BG322" s="326"/>
      <c r="BH322" s="326"/>
      <c r="BI322" s="326"/>
      <c r="BJ322" s="326"/>
      <c r="BK322" s="326"/>
      <c r="BL322" s="326"/>
      <c r="BM322" s="326"/>
      <c r="BN322" s="326"/>
      <c r="BO322" s="327"/>
    </row>
    <row r="323" spans="1:67" ht="34.5" customHeight="1" x14ac:dyDescent="0.25">
      <c r="A323" s="87">
        <f t="shared" si="1"/>
        <v>311</v>
      </c>
      <c r="B323" s="386" t="s">
        <v>334</v>
      </c>
      <c r="C323" s="327"/>
      <c r="D323" s="687"/>
      <c r="E323" s="326"/>
      <c r="F323" s="326"/>
      <c r="G323" s="326"/>
      <c r="H323" s="327"/>
      <c r="I323" s="381"/>
      <c r="J323" s="326"/>
      <c r="K323" s="326"/>
      <c r="L323" s="326"/>
      <c r="M323" s="326"/>
      <c r="N323" s="326"/>
      <c r="O323" s="326"/>
      <c r="P323" s="327"/>
      <c r="Q323" s="381"/>
      <c r="R323" s="326"/>
      <c r="S323" s="326"/>
      <c r="T323" s="326"/>
      <c r="U323" s="326"/>
      <c r="V323" s="326"/>
      <c r="W323" s="326"/>
      <c r="X323" s="327"/>
      <c r="Y323" s="381"/>
      <c r="Z323" s="327"/>
      <c r="AA323" s="381"/>
      <c r="AB323" s="326"/>
      <c r="AC323" s="326"/>
      <c r="AD323" s="327"/>
      <c r="AE323" s="381"/>
      <c r="AF323" s="326"/>
      <c r="AG323" s="327"/>
      <c r="AH323" s="381"/>
      <c r="AI323" s="326"/>
      <c r="AJ323" s="327"/>
      <c r="AK323" s="381"/>
      <c r="AL323" s="326"/>
      <c r="AM323" s="326"/>
      <c r="AN323" s="327"/>
      <c r="AO323" s="381"/>
      <c r="AP323" s="326"/>
      <c r="AQ323" s="326"/>
      <c r="AR323" s="326"/>
      <c r="AS323" s="326"/>
      <c r="AT323" s="326"/>
      <c r="AU323" s="326"/>
      <c r="AV323" s="327"/>
      <c r="AW323" s="686"/>
      <c r="AX323" s="326"/>
      <c r="AY323" s="327"/>
      <c r="AZ323" s="381"/>
      <c r="BA323" s="326"/>
      <c r="BB323" s="326"/>
      <c r="BC323" s="326"/>
      <c r="BD323" s="326"/>
      <c r="BE323" s="326"/>
      <c r="BF323" s="326"/>
      <c r="BG323" s="326"/>
      <c r="BH323" s="326"/>
      <c r="BI323" s="326"/>
      <c r="BJ323" s="326"/>
      <c r="BK323" s="326"/>
      <c r="BL323" s="326"/>
      <c r="BM323" s="326"/>
      <c r="BN323" s="326"/>
      <c r="BO323" s="327"/>
    </row>
    <row r="324" spans="1:67" ht="34.5" customHeight="1" x14ac:dyDescent="0.25">
      <c r="A324" s="87">
        <f t="shared" si="1"/>
        <v>312</v>
      </c>
      <c r="B324" s="386" t="s">
        <v>334</v>
      </c>
      <c r="C324" s="327"/>
      <c r="D324" s="498"/>
      <c r="E324" s="326"/>
      <c r="F324" s="326"/>
      <c r="G324" s="326"/>
      <c r="H324" s="327"/>
      <c r="I324" s="407"/>
      <c r="J324" s="326"/>
      <c r="K324" s="326"/>
      <c r="L324" s="326"/>
      <c r="M324" s="326"/>
      <c r="N324" s="326"/>
      <c r="O324" s="326"/>
      <c r="P324" s="327"/>
      <c r="Q324" s="456"/>
      <c r="R324" s="326"/>
      <c r="S324" s="326"/>
      <c r="T324" s="326"/>
      <c r="U324" s="326"/>
      <c r="V324" s="326"/>
      <c r="W324" s="326"/>
      <c r="X324" s="327"/>
      <c r="Y324" s="407"/>
      <c r="Z324" s="327"/>
      <c r="AA324" s="456"/>
      <c r="AB324" s="326"/>
      <c r="AC324" s="326"/>
      <c r="AD324" s="327"/>
      <c r="AE324" s="407"/>
      <c r="AF324" s="326"/>
      <c r="AG324" s="327"/>
      <c r="AH324" s="456"/>
      <c r="AI324" s="326"/>
      <c r="AJ324" s="327"/>
      <c r="AK324" s="407"/>
      <c r="AL324" s="326"/>
      <c r="AM324" s="326"/>
      <c r="AN324" s="327"/>
      <c r="AO324" s="456"/>
      <c r="AP324" s="326"/>
      <c r="AQ324" s="326"/>
      <c r="AR324" s="326"/>
      <c r="AS324" s="326"/>
      <c r="AT324" s="326"/>
      <c r="AU324" s="326"/>
      <c r="AV324" s="327"/>
      <c r="AW324" s="685"/>
      <c r="AX324" s="326"/>
      <c r="AY324" s="327"/>
      <c r="AZ324" s="456"/>
      <c r="BA324" s="326"/>
      <c r="BB324" s="326"/>
      <c r="BC324" s="326"/>
      <c r="BD324" s="326"/>
      <c r="BE324" s="326"/>
      <c r="BF324" s="326"/>
      <c r="BG324" s="326"/>
      <c r="BH324" s="326"/>
      <c r="BI324" s="326"/>
      <c r="BJ324" s="326"/>
      <c r="BK324" s="326"/>
      <c r="BL324" s="326"/>
      <c r="BM324" s="326"/>
      <c r="BN324" s="326"/>
      <c r="BO324" s="327"/>
    </row>
    <row r="325" spans="1:67" ht="34.5" customHeight="1" x14ac:dyDescent="0.25">
      <c r="A325" s="87">
        <f t="shared" si="1"/>
        <v>313</v>
      </c>
      <c r="B325" s="386" t="s">
        <v>334</v>
      </c>
      <c r="C325" s="327"/>
      <c r="D325" s="687"/>
      <c r="E325" s="326"/>
      <c r="F325" s="326"/>
      <c r="G325" s="326"/>
      <c r="H325" s="327"/>
      <c r="I325" s="381"/>
      <c r="J325" s="326"/>
      <c r="K325" s="326"/>
      <c r="L325" s="326"/>
      <c r="M325" s="326"/>
      <c r="N325" s="326"/>
      <c r="O325" s="326"/>
      <c r="P325" s="327"/>
      <c r="Q325" s="381"/>
      <c r="R325" s="326"/>
      <c r="S325" s="326"/>
      <c r="T325" s="326"/>
      <c r="U325" s="326"/>
      <c r="V325" s="326"/>
      <c r="W325" s="326"/>
      <c r="X325" s="327"/>
      <c r="Y325" s="381"/>
      <c r="Z325" s="327"/>
      <c r="AA325" s="381"/>
      <c r="AB325" s="326"/>
      <c r="AC325" s="326"/>
      <c r="AD325" s="327"/>
      <c r="AE325" s="381"/>
      <c r="AF325" s="326"/>
      <c r="AG325" s="327"/>
      <c r="AH325" s="381"/>
      <c r="AI325" s="326"/>
      <c r="AJ325" s="327"/>
      <c r="AK325" s="381"/>
      <c r="AL325" s="326"/>
      <c r="AM325" s="326"/>
      <c r="AN325" s="327"/>
      <c r="AO325" s="381"/>
      <c r="AP325" s="326"/>
      <c r="AQ325" s="326"/>
      <c r="AR325" s="326"/>
      <c r="AS325" s="326"/>
      <c r="AT325" s="326"/>
      <c r="AU325" s="326"/>
      <c r="AV325" s="327"/>
      <c r="AW325" s="686"/>
      <c r="AX325" s="326"/>
      <c r="AY325" s="327"/>
      <c r="AZ325" s="381"/>
      <c r="BA325" s="326"/>
      <c r="BB325" s="326"/>
      <c r="BC325" s="326"/>
      <c r="BD325" s="326"/>
      <c r="BE325" s="326"/>
      <c r="BF325" s="326"/>
      <c r="BG325" s="326"/>
      <c r="BH325" s="326"/>
      <c r="BI325" s="326"/>
      <c r="BJ325" s="326"/>
      <c r="BK325" s="326"/>
      <c r="BL325" s="326"/>
      <c r="BM325" s="326"/>
      <c r="BN325" s="326"/>
      <c r="BO325" s="327"/>
    </row>
    <row r="326" spans="1:67" ht="34.5" customHeight="1" x14ac:dyDescent="0.25">
      <c r="A326" s="87">
        <f t="shared" si="1"/>
        <v>314</v>
      </c>
      <c r="B326" s="386" t="s">
        <v>334</v>
      </c>
      <c r="C326" s="327"/>
      <c r="D326" s="498"/>
      <c r="E326" s="326"/>
      <c r="F326" s="326"/>
      <c r="G326" s="326"/>
      <c r="H326" s="327"/>
      <c r="I326" s="407"/>
      <c r="J326" s="326"/>
      <c r="K326" s="326"/>
      <c r="L326" s="326"/>
      <c r="M326" s="326"/>
      <c r="N326" s="326"/>
      <c r="O326" s="326"/>
      <c r="P326" s="327"/>
      <c r="Q326" s="456"/>
      <c r="R326" s="326"/>
      <c r="S326" s="326"/>
      <c r="T326" s="326"/>
      <c r="U326" s="326"/>
      <c r="V326" s="326"/>
      <c r="W326" s="326"/>
      <c r="X326" s="327"/>
      <c r="Y326" s="407"/>
      <c r="Z326" s="327"/>
      <c r="AA326" s="456"/>
      <c r="AB326" s="326"/>
      <c r="AC326" s="326"/>
      <c r="AD326" s="327"/>
      <c r="AE326" s="407"/>
      <c r="AF326" s="326"/>
      <c r="AG326" s="327"/>
      <c r="AH326" s="456"/>
      <c r="AI326" s="326"/>
      <c r="AJ326" s="327"/>
      <c r="AK326" s="407"/>
      <c r="AL326" s="326"/>
      <c r="AM326" s="326"/>
      <c r="AN326" s="327"/>
      <c r="AO326" s="456"/>
      <c r="AP326" s="326"/>
      <c r="AQ326" s="326"/>
      <c r="AR326" s="326"/>
      <c r="AS326" s="326"/>
      <c r="AT326" s="326"/>
      <c r="AU326" s="326"/>
      <c r="AV326" s="327"/>
      <c r="AW326" s="685"/>
      <c r="AX326" s="326"/>
      <c r="AY326" s="327"/>
      <c r="AZ326" s="456"/>
      <c r="BA326" s="326"/>
      <c r="BB326" s="326"/>
      <c r="BC326" s="326"/>
      <c r="BD326" s="326"/>
      <c r="BE326" s="326"/>
      <c r="BF326" s="326"/>
      <c r="BG326" s="326"/>
      <c r="BH326" s="326"/>
      <c r="BI326" s="326"/>
      <c r="BJ326" s="326"/>
      <c r="BK326" s="326"/>
      <c r="BL326" s="326"/>
      <c r="BM326" s="326"/>
      <c r="BN326" s="326"/>
      <c r="BO326" s="327"/>
    </row>
    <row r="327" spans="1:67" ht="34.5" customHeight="1" x14ac:dyDescent="0.25">
      <c r="A327" s="87">
        <f t="shared" si="1"/>
        <v>315</v>
      </c>
      <c r="B327" s="386" t="s">
        <v>334</v>
      </c>
      <c r="C327" s="327"/>
      <c r="D327" s="687"/>
      <c r="E327" s="326"/>
      <c r="F327" s="326"/>
      <c r="G327" s="326"/>
      <c r="H327" s="327"/>
      <c r="I327" s="381"/>
      <c r="J327" s="326"/>
      <c r="K327" s="326"/>
      <c r="L327" s="326"/>
      <c r="M327" s="326"/>
      <c r="N327" s="326"/>
      <c r="O327" s="326"/>
      <c r="P327" s="327"/>
      <c r="Q327" s="381"/>
      <c r="R327" s="326"/>
      <c r="S327" s="326"/>
      <c r="T327" s="326"/>
      <c r="U327" s="326"/>
      <c r="V327" s="326"/>
      <c r="W327" s="326"/>
      <c r="X327" s="327"/>
      <c r="Y327" s="381"/>
      <c r="Z327" s="327"/>
      <c r="AA327" s="381"/>
      <c r="AB327" s="326"/>
      <c r="AC327" s="326"/>
      <c r="AD327" s="327"/>
      <c r="AE327" s="381"/>
      <c r="AF327" s="326"/>
      <c r="AG327" s="327"/>
      <c r="AH327" s="381"/>
      <c r="AI327" s="326"/>
      <c r="AJ327" s="327"/>
      <c r="AK327" s="381"/>
      <c r="AL327" s="326"/>
      <c r="AM327" s="326"/>
      <c r="AN327" s="327"/>
      <c r="AO327" s="381"/>
      <c r="AP327" s="326"/>
      <c r="AQ327" s="326"/>
      <c r="AR327" s="326"/>
      <c r="AS327" s="326"/>
      <c r="AT327" s="326"/>
      <c r="AU327" s="326"/>
      <c r="AV327" s="327"/>
      <c r="AW327" s="686"/>
      <c r="AX327" s="326"/>
      <c r="AY327" s="327"/>
      <c r="AZ327" s="381"/>
      <c r="BA327" s="326"/>
      <c r="BB327" s="326"/>
      <c r="BC327" s="326"/>
      <c r="BD327" s="326"/>
      <c r="BE327" s="326"/>
      <c r="BF327" s="326"/>
      <c r="BG327" s="326"/>
      <c r="BH327" s="326"/>
      <c r="BI327" s="326"/>
      <c r="BJ327" s="326"/>
      <c r="BK327" s="326"/>
      <c r="BL327" s="326"/>
      <c r="BM327" s="326"/>
      <c r="BN327" s="326"/>
      <c r="BO327" s="327"/>
    </row>
    <row r="328" spans="1:67" ht="34.5" customHeight="1" x14ac:dyDescent="0.25">
      <c r="A328" s="87">
        <f t="shared" si="1"/>
        <v>316</v>
      </c>
      <c r="B328" s="386" t="s">
        <v>334</v>
      </c>
      <c r="C328" s="327"/>
      <c r="D328" s="498"/>
      <c r="E328" s="326"/>
      <c r="F328" s="326"/>
      <c r="G328" s="326"/>
      <c r="H328" s="327"/>
      <c r="I328" s="407"/>
      <c r="J328" s="326"/>
      <c r="K328" s="326"/>
      <c r="L328" s="326"/>
      <c r="M328" s="326"/>
      <c r="N328" s="326"/>
      <c r="O328" s="326"/>
      <c r="P328" s="327"/>
      <c r="Q328" s="456"/>
      <c r="R328" s="326"/>
      <c r="S328" s="326"/>
      <c r="T328" s="326"/>
      <c r="U328" s="326"/>
      <c r="V328" s="326"/>
      <c r="W328" s="326"/>
      <c r="X328" s="327"/>
      <c r="Y328" s="407"/>
      <c r="Z328" s="327"/>
      <c r="AA328" s="456"/>
      <c r="AB328" s="326"/>
      <c r="AC328" s="326"/>
      <c r="AD328" s="327"/>
      <c r="AE328" s="407"/>
      <c r="AF328" s="326"/>
      <c r="AG328" s="327"/>
      <c r="AH328" s="456"/>
      <c r="AI328" s="326"/>
      <c r="AJ328" s="327"/>
      <c r="AK328" s="407"/>
      <c r="AL328" s="326"/>
      <c r="AM328" s="326"/>
      <c r="AN328" s="327"/>
      <c r="AO328" s="456"/>
      <c r="AP328" s="326"/>
      <c r="AQ328" s="326"/>
      <c r="AR328" s="326"/>
      <c r="AS328" s="326"/>
      <c r="AT328" s="326"/>
      <c r="AU328" s="326"/>
      <c r="AV328" s="327"/>
      <c r="AW328" s="685"/>
      <c r="AX328" s="326"/>
      <c r="AY328" s="327"/>
      <c r="AZ328" s="456"/>
      <c r="BA328" s="326"/>
      <c r="BB328" s="326"/>
      <c r="BC328" s="326"/>
      <c r="BD328" s="326"/>
      <c r="BE328" s="326"/>
      <c r="BF328" s="326"/>
      <c r="BG328" s="326"/>
      <c r="BH328" s="326"/>
      <c r="BI328" s="326"/>
      <c r="BJ328" s="326"/>
      <c r="BK328" s="326"/>
      <c r="BL328" s="326"/>
      <c r="BM328" s="326"/>
      <c r="BN328" s="326"/>
      <c r="BO328" s="327"/>
    </row>
    <row r="329" spans="1:67" ht="34.5" customHeight="1" x14ac:dyDescent="0.25">
      <c r="A329" s="87">
        <f t="shared" si="1"/>
        <v>317</v>
      </c>
      <c r="B329" s="386" t="s">
        <v>334</v>
      </c>
      <c r="C329" s="327"/>
      <c r="D329" s="687"/>
      <c r="E329" s="326"/>
      <c r="F329" s="326"/>
      <c r="G329" s="326"/>
      <c r="H329" s="327"/>
      <c r="I329" s="381"/>
      <c r="J329" s="326"/>
      <c r="K329" s="326"/>
      <c r="L329" s="326"/>
      <c r="M329" s="326"/>
      <c r="N329" s="326"/>
      <c r="O329" s="326"/>
      <c r="P329" s="327"/>
      <c r="Q329" s="381"/>
      <c r="R329" s="326"/>
      <c r="S329" s="326"/>
      <c r="T329" s="326"/>
      <c r="U329" s="326"/>
      <c r="V329" s="326"/>
      <c r="W329" s="326"/>
      <c r="X329" s="327"/>
      <c r="Y329" s="381"/>
      <c r="Z329" s="327"/>
      <c r="AA329" s="381"/>
      <c r="AB329" s="326"/>
      <c r="AC329" s="326"/>
      <c r="AD329" s="327"/>
      <c r="AE329" s="381"/>
      <c r="AF329" s="326"/>
      <c r="AG329" s="327"/>
      <c r="AH329" s="381"/>
      <c r="AI329" s="326"/>
      <c r="AJ329" s="327"/>
      <c r="AK329" s="381"/>
      <c r="AL329" s="326"/>
      <c r="AM329" s="326"/>
      <c r="AN329" s="327"/>
      <c r="AO329" s="381"/>
      <c r="AP329" s="326"/>
      <c r="AQ329" s="326"/>
      <c r="AR329" s="326"/>
      <c r="AS329" s="326"/>
      <c r="AT329" s="326"/>
      <c r="AU329" s="326"/>
      <c r="AV329" s="327"/>
      <c r="AW329" s="686"/>
      <c r="AX329" s="326"/>
      <c r="AY329" s="327"/>
      <c r="AZ329" s="381"/>
      <c r="BA329" s="326"/>
      <c r="BB329" s="326"/>
      <c r="BC329" s="326"/>
      <c r="BD329" s="326"/>
      <c r="BE329" s="326"/>
      <c r="BF329" s="326"/>
      <c r="BG329" s="326"/>
      <c r="BH329" s="326"/>
      <c r="BI329" s="326"/>
      <c r="BJ329" s="326"/>
      <c r="BK329" s="326"/>
      <c r="BL329" s="326"/>
      <c r="BM329" s="326"/>
      <c r="BN329" s="326"/>
      <c r="BO329" s="327"/>
    </row>
    <row r="330" spans="1:67" ht="34.5" customHeight="1" x14ac:dyDescent="0.25">
      <c r="A330" s="87">
        <f t="shared" si="1"/>
        <v>318</v>
      </c>
      <c r="B330" s="386" t="s">
        <v>334</v>
      </c>
      <c r="C330" s="327"/>
      <c r="D330" s="498"/>
      <c r="E330" s="326"/>
      <c r="F330" s="326"/>
      <c r="G330" s="326"/>
      <c r="H330" s="327"/>
      <c r="I330" s="407"/>
      <c r="J330" s="326"/>
      <c r="K330" s="326"/>
      <c r="L330" s="326"/>
      <c r="M330" s="326"/>
      <c r="N330" s="326"/>
      <c r="O330" s="326"/>
      <c r="P330" s="327"/>
      <c r="Q330" s="456"/>
      <c r="R330" s="326"/>
      <c r="S330" s="326"/>
      <c r="T330" s="326"/>
      <c r="U330" s="326"/>
      <c r="V330" s="326"/>
      <c r="W330" s="326"/>
      <c r="X330" s="327"/>
      <c r="Y330" s="407"/>
      <c r="Z330" s="327"/>
      <c r="AA330" s="456"/>
      <c r="AB330" s="326"/>
      <c r="AC330" s="326"/>
      <c r="AD330" s="327"/>
      <c r="AE330" s="407"/>
      <c r="AF330" s="326"/>
      <c r="AG330" s="327"/>
      <c r="AH330" s="456"/>
      <c r="AI330" s="326"/>
      <c r="AJ330" s="327"/>
      <c r="AK330" s="407"/>
      <c r="AL330" s="326"/>
      <c r="AM330" s="326"/>
      <c r="AN330" s="327"/>
      <c r="AO330" s="456"/>
      <c r="AP330" s="326"/>
      <c r="AQ330" s="326"/>
      <c r="AR330" s="326"/>
      <c r="AS330" s="326"/>
      <c r="AT330" s="326"/>
      <c r="AU330" s="326"/>
      <c r="AV330" s="327"/>
      <c r="AW330" s="685"/>
      <c r="AX330" s="326"/>
      <c r="AY330" s="327"/>
      <c r="AZ330" s="456"/>
      <c r="BA330" s="326"/>
      <c r="BB330" s="326"/>
      <c r="BC330" s="326"/>
      <c r="BD330" s="326"/>
      <c r="BE330" s="326"/>
      <c r="BF330" s="326"/>
      <c r="BG330" s="326"/>
      <c r="BH330" s="326"/>
      <c r="BI330" s="326"/>
      <c r="BJ330" s="326"/>
      <c r="BK330" s="326"/>
      <c r="BL330" s="326"/>
      <c r="BM330" s="326"/>
      <c r="BN330" s="326"/>
      <c r="BO330" s="327"/>
    </row>
    <row r="331" spans="1:67" ht="34.5" customHeight="1" x14ac:dyDescent="0.25">
      <c r="A331" s="87">
        <f t="shared" si="1"/>
        <v>319</v>
      </c>
      <c r="B331" s="386" t="s">
        <v>334</v>
      </c>
      <c r="C331" s="327"/>
      <c r="D331" s="687"/>
      <c r="E331" s="326"/>
      <c r="F331" s="326"/>
      <c r="G331" s="326"/>
      <c r="H331" s="327"/>
      <c r="I331" s="381"/>
      <c r="J331" s="326"/>
      <c r="K331" s="326"/>
      <c r="L331" s="326"/>
      <c r="M331" s="326"/>
      <c r="N331" s="326"/>
      <c r="O331" s="326"/>
      <c r="P331" s="327"/>
      <c r="Q331" s="381"/>
      <c r="R331" s="326"/>
      <c r="S331" s="326"/>
      <c r="T331" s="326"/>
      <c r="U331" s="326"/>
      <c r="V331" s="326"/>
      <c r="W331" s="326"/>
      <c r="X331" s="327"/>
      <c r="Y331" s="381"/>
      <c r="Z331" s="327"/>
      <c r="AA331" s="381"/>
      <c r="AB331" s="326"/>
      <c r="AC331" s="326"/>
      <c r="AD331" s="327"/>
      <c r="AE331" s="381"/>
      <c r="AF331" s="326"/>
      <c r="AG331" s="327"/>
      <c r="AH331" s="381"/>
      <c r="AI331" s="326"/>
      <c r="AJ331" s="327"/>
      <c r="AK331" s="381"/>
      <c r="AL331" s="326"/>
      <c r="AM331" s="326"/>
      <c r="AN331" s="327"/>
      <c r="AO331" s="381"/>
      <c r="AP331" s="326"/>
      <c r="AQ331" s="326"/>
      <c r="AR331" s="326"/>
      <c r="AS331" s="326"/>
      <c r="AT331" s="326"/>
      <c r="AU331" s="326"/>
      <c r="AV331" s="327"/>
      <c r="AW331" s="686"/>
      <c r="AX331" s="326"/>
      <c r="AY331" s="327"/>
      <c r="AZ331" s="381"/>
      <c r="BA331" s="326"/>
      <c r="BB331" s="326"/>
      <c r="BC331" s="326"/>
      <c r="BD331" s="326"/>
      <c r="BE331" s="326"/>
      <c r="BF331" s="326"/>
      <c r="BG331" s="326"/>
      <c r="BH331" s="326"/>
      <c r="BI331" s="326"/>
      <c r="BJ331" s="326"/>
      <c r="BK331" s="326"/>
      <c r="BL331" s="326"/>
      <c r="BM331" s="326"/>
      <c r="BN331" s="326"/>
      <c r="BO331" s="327"/>
    </row>
    <row r="332" spans="1:67" ht="34.5" customHeight="1" x14ac:dyDescent="0.25">
      <c r="A332" s="87">
        <f t="shared" si="1"/>
        <v>320</v>
      </c>
      <c r="B332" s="386" t="s">
        <v>334</v>
      </c>
      <c r="C332" s="327"/>
      <c r="D332" s="498"/>
      <c r="E332" s="326"/>
      <c r="F332" s="326"/>
      <c r="G332" s="326"/>
      <c r="H332" s="327"/>
      <c r="I332" s="407"/>
      <c r="J332" s="326"/>
      <c r="K332" s="326"/>
      <c r="L332" s="326"/>
      <c r="M332" s="326"/>
      <c r="N332" s="326"/>
      <c r="O332" s="326"/>
      <c r="P332" s="327"/>
      <c r="Q332" s="456"/>
      <c r="R332" s="326"/>
      <c r="S332" s="326"/>
      <c r="T332" s="326"/>
      <c r="U332" s="326"/>
      <c r="V332" s="326"/>
      <c r="W332" s="326"/>
      <c r="X332" s="327"/>
      <c r="Y332" s="407"/>
      <c r="Z332" s="327"/>
      <c r="AA332" s="456"/>
      <c r="AB332" s="326"/>
      <c r="AC332" s="326"/>
      <c r="AD332" s="327"/>
      <c r="AE332" s="407"/>
      <c r="AF332" s="326"/>
      <c r="AG332" s="327"/>
      <c r="AH332" s="456"/>
      <c r="AI332" s="326"/>
      <c r="AJ332" s="327"/>
      <c r="AK332" s="407"/>
      <c r="AL332" s="326"/>
      <c r="AM332" s="326"/>
      <c r="AN332" s="327"/>
      <c r="AO332" s="456"/>
      <c r="AP332" s="326"/>
      <c r="AQ332" s="326"/>
      <c r="AR332" s="326"/>
      <c r="AS332" s="326"/>
      <c r="AT332" s="326"/>
      <c r="AU332" s="326"/>
      <c r="AV332" s="327"/>
      <c r="AW332" s="685"/>
      <c r="AX332" s="326"/>
      <c r="AY332" s="327"/>
      <c r="AZ332" s="456"/>
      <c r="BA332" s="326"/>
      <c r="BB332" s="326"/>
      <c r="BC332" s="326"/>
      <c r="BD332" s="326"/>
      <c r="BE332" s="326"/>
      <c r="BF332" s="326"/>
      <c r="BG332" s="326"/>
      <c r="BH332" s="326"/>
      <c r="BI332" s="326"/>
      <c r="BJ332" s="326"/>
      <c r="BK332" s="326"/>
      <c r="BL332" s="326"/>
      <c r="BM332" s="326"/>
      <c r="BN332" s="326"/>
      <c r="BO332" s="327"/>
    </row>
    <row r="333" spans="1:67" ht="34.5" customHeight="1" x14ac:dyDescent="0.25">
      <c r="A333" s="87">
        <f t="shared" si="1"/>
        <v>321</v>
      </c>
      <c r="B333" s="386" t="s">
        <v>334</v>
      </c>
      <c r="C333" s="327"/>
      <c r="D333" s="687"/>
      <c r="E333" s="326"/>
      <c r="F333" s="326"/>
      <c r="G333" s="326"/>
      <c r="H333" s="327"/>
      <c r="I333" s="381"/>
      <c r="J333" s="326"/>
      <c r="K333" s="326"/>
      <c r="L333" s="326"/>
      <c r="M333" s="326"/>
      <c r="N333" s="326"/>
      <c r="O333" s="326"/>
      <c r="P333" s="327"/>
      <c r="Q333" s="381"/>
      <c r="R333" s="326"/>
      <c r="S333" s="326"/>
      <c r="T333" s="326"/>
      <c r="U333" s="326"/>
      <c r="V333" s="326"/>
      <c r="W333" s="326"/>
      <c r="X333" s="327"/>
      <c r="Y333" s="381"/>
      <c r="Z333" s="327"/>
      <c r="AA333" s="381"/>
      <c r="AB333" s="326"/>
      <c r="AC333" s="326"/>
      <c r="AD333" s="327"/>
      <c r="AE333" s="381"/>
      <c r="AF333" s="326"/>
      <c r="AG333" s="327"/>
      <c r="AH333" s="381"/>
      <c r="AI333" s="326"/>
      <c r="AJ333" s="327"/>
      <c r="AK333" s="381"/>
      <c r="AL333" s="326"/>
      <c r="AM333" s="326"/>
      <c r="AN333" s="327"/>
      <c r="AO333" s="381"/>
      <c r="AP333" s="326"/>
      <c r="AQ333" s="326"/>
      <c r="AR333" s="326"/>
      <c r="AS333" s="326"/>
      <c r="AT333" s="326"/>
      <c r="AU333" s="326"/>
      <c r="AV333" s="327"/>
      <c r="AW333" s="686"/>
      <c r="AX333" s="326"/>
      <c r="AY333" s="327"/>
      <c r="AZ333" s="381"/>
      <c r="BA333" s="326"/>
      <c r="BB333" s="326"/>
      <c r="BC333" s="326"/>
      <c r="BD333" s="326"/>
      <c r="BE333" s="326"/>
      <c r="BF333" s="326"/>
      <c r="BG333" s="326"/>
      <c r="BH333" s="326"/>
      <c r="BI333" s="326"/>
      <c r="BJ333" s="326"/>
      <c r="BK333" s="326"/>
      <c r="BL333" s="326"/>
      <c r="BM333" s="326"/>
      <c r="BN333" s="326"/>
      <c r="BO333" s="327"/>
    </row>
    <row r="334" spans="1:67" ht="34.5" customHeight="1" x14ac:dyDescent="0.25">
      <c r="A334" s="87">
        <f t="shared" si="1"/>
        <v>322</v>
      </c>
      <c r="B334" s="386" t="s">
        <v>334</v>
      </c>
      <c r="C334" s="327"/>
      <c r="D334" s="498"/>
      <c r="E334" s="326"/>
      <c r="F334" s="326"/>
      <c r="G334" s="326"/>
      <c r="H334" s="327"/>
      <c r="I334" s="407"/>
      <c r="J334" s="326"/>
      <c r="K334" s="326"/>
      <c r="L334" s="326"/>
      <c r="M334" s="326"/>
      <c r="N334" s="326"/>
      <c r="O334" s="326"/>
      <c r="P334" s="327"/>
      <c r="Q334" s="456"/>
      <c r="R334" s="326"/>
      <c r="S334" s="326"/>
      <c r="T334" s="326"/>
      <c r="U334" s="326"/>
      <c r="V334" s="326"/>
      <c r="W334" s="326"/>
      <c r="X334" s="327"/>
      <c r="Y334" s="407"/>
      <c r="Z334" s="327"/>
      <c r="AA334" s="456"/>
      <c r="AB334" s="326"/>
      <c r="AC334" s="326"/>
      <c r="AD334" s="327"/>
      <c r="AE334" s="407"/>
      <c r="AF334" s="326"/>
      <c r="AG334" s="327"/>
      <c r="AH334" s="456"/>
      <c r="AI334" s="326"/>
      <c r="AJ334" s="327"/>
      <c r="AK334" s="407"/>
      <c r="AL334" s="326"/>
      <c r="AM334" s="326"/>
      <c r="AN334" s="327"/>
      <c r="AO334" s="456"/>
      <c r="AP334" s="326"/>
      <c r="AQ334" s="326"/>
      <c r="AR334" s="326"/>
      <c r="AS334" s="326"/>
      <c r="AT334" s="326"/>
      <c r="AU334" s="326"/>
      <c r="AV334" s="327"/>
      <c r="AW334" s="685"/>
      <c r="AX334" s="326"/>
      <c r="AY334" s="327"/>
      <c r="AZ334" s="456"/>
      <c r="BA334" s="326"/>
      <c r="BB334" s="326"/>
      <c r="BC334" s="326"/>
      <c r="BD334" s="326"/>
      <c r="BE334" s="326"/>
      <c r="BF334" s="326"/>
      <c r="BG334" s="326"/>
      <c r="BH334" s="326"/>
      <c r="BI334" s="326"/>
      <c r="BJ334" s="326"/>
      <c r="BK334" s="326"/>
      <c r="BL334" s="326"/>
      <c r="BM334" s="326"/>
      <c r="BN334" s="326"/>
      <c r="BO334" s="327"/>
    </row>
    <row r="335" spans="1:67" ht="34.5" customHeight="1" x14ac:dyDescent="0.25">
      <c r="A335" s="87">
        <f t="shared" si="1"/>
        <v>323</v>
      </c>
      <c r="B335" s="386" t="s">
        <v>334</v>
      </c>
      <c r="C335" s="327"/>
      <c r="D335" s="687"/>
      <c r="E335" s="326"/>
      <c r="F335" s="326"/>
      <c r="G335" s="326"/>
      <c r="H335" s="327"/>
      <c r="I335" s="381"/>
      <c r="J335" s="326"/>
      <c r="K335" s="326"/>
      <c r="L335" s="326"/>
      <c r="M335" s="326"/>
      <c r="N335" s="326"/>
      <c r="O335" s="326"/>
      <c r="P335" s="327"/>
      <c r="Q335" s="381"/>
      <c r="R335" s="326"/>
      <c r="S335" s="326"/>
      <c r="T335" s="326"/>
      <c r="U335" s="326"/>
      <c r="V335" s="326"/>
      <c r="W335" s="326"/>
      <c r="X335" s="327"/>
      <c r="Y335" s="381"/>
      <c r="Z335" s="327"/>
      <c r="AA335" s="381"/>
      <c r="AB335" s="326"/>
      <c r="AC335" s="326"/>
      <c r="AD335" s="327"/>
      <c r="AE335" s="381"/>
      <c r="AF335" s="326"/>
      <c r="AG335" s="327"/>
      <c r="AH335" s="381"/>
      <c r="AI335" s="326"/>
      <c r="AJ335" s="327"/>
      <c r="AK335" s="381"/>
      <c r="AL335" s="326"/>
      <c r="AM335" s="326"/>
      <c r="AN335" s="327"/>
      <c r="AO335" s="381"/>
      <c r="AP335" s="326"/>
      <c r="AQ335" s="326"/>
      <c r="AR335" s="326"/>
      <c r="AS335" s="326"/>
      <c r="AT335" s="326"/>
      <c r="AU335" s="326"/>
      <c r="AV335" s="327"/>
      <c r="AW335" s="686"/>
      <c r="AX335" s="326"/>
      <c r="AY335" s="327"/>
      <c r="AZ335" s="381"/>
      <c r="BA335" s="326"/>
      <c r="BB335" s="326"/>
      <c r="BC335" s="326"/>
      <c r="BD335" s="326"/>
      <c r="BE335" s="326"/>
      <c r="BF335" s="326"/>
      <c r="BG335" s="326"/>
      <c r="BH335" s="326"/>
      <c r="BI335" s="326"/>
      <c r="BJ335" s="326"/>
      <c r="BK335" s="326"/>
      <c r="BL335" s="326"/>
      <c r="BM335" s="326"/>
      <c r="BN335" s="326"/>
      <c r="BO335" s="327"/>
    </row>
    <row r="336" spans="1:67" ht="34.5" customHeight="1" x14ac:dyDescent="0.25">
      <c r="A336" s="87">
        <f t="shared" si="1"/>
        <v>324</v>
      </c>
      <c r="B336" s="386" t="s">
        <v>334</v>
      </c>
      <c r="C336" s="327"/>
      <c r="D336" s="498"/>
      <c r="E336" s="326"/>
      <c r="F336" s="326"/>
      <c r="G336" s="326"/>
      <c r="H336" s="327"/>
      <c r="I336" s="407"/>
      <c r="J336" s="326"/>
      <c r="K336" s="326"/>
      <c r="L336" s="326"/>
      <c r="M336" s="326"/>
      <c r="N336" s="326"/>
      <c r="O336" s="326"/>
      <c r="P336" s="327"/>
      <c r="Q336" s="456"/>
      <c r="R336" s="326"/>
      <c r="S336" s="326"/>
      <c r="T336" s="326"/>
      <c r="U336" s="326"/>
      <c r="V336" s="326"/>
      <c r="W336" s="326"/>
      <c r="X336" s="327"/>
      <c r="Y336" s="407"/>
      <c r="Z336" s="327"/>
      <c r="AA336" s="456"/>
      <c r="AB336" s="326"/>
      <c r="AC336" s="326"/>
      <c r="AD336" s="327"/>
      <c r="AE336" s="407"/>
      <c r="AF336" s="326"/>
      <c r="AG336" s="327"/>
      <c r="AH336" s="456"/>
      <c r="AI336" s="326"/>
      <c r="AJ336" s="327"/>
      <c r="AK336" s="407"/>
      <c r="AL336" s="326"/>
      <c r="AM336" s="326"/>
      <c r="AN336" s="327"/>
      <c r="AO336" s="456"/>
      <c r="AP336" s="326"/>
      <c r="AQ336" s="326"/>
      <c r="AR336" s="326"/>
      <c r="AS336" s="326"/>
      <c r="AT336" s="326"/>
      <c r="AU336" s="326"/>
      <c r="AV336" s="327"/>
      <c r="AW336" s="685"/>
      <c r="AX336" s="326"/>
      <c r="AY336" s="327"/>
      <c r="AZ336" s="456"/>
      <c r="BA336" s="326"/>
      <c r="BB336" s="326"/>
      <c r="BC336" s="326"/>
      <c r="BD336" s="326"/>
      <c r="BE336" s="326"/>
      <c r="BF336" s="326"/>
      <c r="BG336" s="326"/>
      <c r="BH336" s="326"/>
      <c r="BI336" s="326"/>
      <c r="BJ336" s="326"/>
      <c r="BK336" s="326"/>
      <c r="BL336" s="326"/>
      <c r="BM336" s="326"/>
      <c r="BN336" s="326"/>
      <c r="BO336" s="327"/>
    </row>
    <row r="337" spans="1:67" ht="34.5" customHeight="1" x14ac:dyDescent="0.25">
      <c r="A337" s="87">
        <f t="shared" si="1"/>
        <v>325</v>
      </c>
      <c r="B337" s="386" t="s">
        <v>334</v>
      </c>
      <c r="C337" s="327"/>
      <c r="D337" s="687"/>
      <c r="E337" s="326"/>
      <c r="F337" s="326"/>
      <c r="G337" s="326"/>
      <c r="H337" s="327"/>
      <c r="I337" s="381"/>
      <c r="J337" s="326"/>
      <c r="K337" s="326"/>
      <c r="L337" s="326"/>
      <c r="M337" s="326"/>
      <c r="N337" s="326"/>
      <c r="O337" s="326"/>
      <c r="P337" s="327"/>
      <c r="Q337" s="381"/>
      <c r="R337" s="326"/>
      <c r="S337" s="326"/>
      <c r="T337" s="326"/>
      <c r="U337" s="326"/>
      <c r="V337" s="326"/>
      <c r="W337" s="326"/>
      <c r="X337" s="327"/>
      <c r="Y337" s="381"/>
      <c r="Z337" s="327"/>
      <c r="AA337" s="381"/>
      <c r="AB337" s="326"/>
      <c r="AC337" s="326"/>
      <c r="AD337" s="327"/>
      <c r="AE337" s="381"/>
      <c r="AF337" s="326"/>
      <c r="AG337" s="327"/>
      <c r="AH337" s="381"/>
      <c r="AI337" s="326"/>
      <c r="AJ337" s="327"/>
      <c r="AK337" s="381"/>
      <c r="AL337" s="326"/>
      <c r="AM337" s="326"/>
      <c r="AN337" s="327"/>
      <c r="AO337" s="381"/>
      <c r="AP337" s="326"/>
      <c r="AQ337" s="326"/>
      <c r="AR337" s="326"/>
      <c r="AS337" s="326"/>
      <c r="AT337" s="326"/>
      <c r="AU337" s="326"/>
      <c r="AV337" s="327"/>
      <c r="AW337" s="686"/>
      <c r="AX337" s="326"/>
      <c r="AY337" s="327"/>
      <c r="AZ337" s="381"/>
      <c r="BA337" s="326"/>
      <c r="BB337" s="326"/>
      <c r="BC337" s="326"/>
      <c r="BD337" s="326"/>
      <c r="BE337" s="326"/>
      <c r="BF337" s="326"/>
      <c r="BG337" s="326"/>
      <c r="BH337" s="326"/>
      <c r="BI337" s="326"/>
      <c r="BJ337" s="326"/>
      <c r="BK337" s="326"/>
      <c r="BL337" s="326"/>
      <c r="BM337" s="326"/>
      <c r="BN337" s="326"/>
      <c r="BO337" s="327"/>
    </row>
    <row r="338" spans="1:67" ht="34.5" customHeight="1" x14ac:dyDescent="0.25">
      <c r="A338" s="87">
        <f t="shared" si="1"/>
        <v>326</v>
      </c>
      <c r="B338" s="688" t="s">
        <v>334</v>
      </c>
      <c r="C338" s="327"/>
      <c r="D338" s="498"/>
      <c r="E338" s="326"/>
      <c r="F338" s="326"/>
      <c r="G338" s="326"/>
      <c r="H338" s="327"/>
      <c r="I338" s="407"/>
      <c r="J338" s="326"/>
      <c r="K338" s="326"/>
      <c r="L338" s="326"/>
      <c r="M338" s="326"/>
      <c r="N338" s="326"/>
      <c r="O338" s="326"/>
      <c r="P338" s="327"/>
      <c r="Q338" s="456"/>
      <c r="R338" s="326"/>
      <c r="S338" s="326"/>
      <c r="T338" s="326"/>
      <c r="U338" s="326"/>
      <c r="V338" s="326"/>
      <c r="W338" s="326"/>
      <c r="X338" s="327"/>
      <c r="Y338" s="407"/>
      <c r="Z338" s="327"/>
      <c r="AA338" s="456"/>
      <c r="AB338" s="326"/>
      <c r="AC338" s="326"/>
      <c r="AD338" s="327"/>
      <c r="AE338" s="407"/>
      <c r="AF338" s="326"/>
      <c r="AG338" s="327"/>
      <c r="AH338" s="456"/>
      <c r="AI338" s="326"/>
      <c r="AJ338" s="327"/>
      <c r="AK338" s="407"/>
      <c r="AL338" s="326"/>
      <c r="AM338" s="326"/>
      <c r="AN338" s="327"/>
      <c r="AO338" s="456"/>
      <c r="AP338" s="326"/>
      <c r="AQ338" s="326"/>
      <c r="AR338" s="326"/>
      <c r="AS338" s="326"/>
      <c r="AT338" s="326"/>
      <c r="AU338" s="326"/>
      <c r="AV338" s="327"/>
      <c r="AW338" s="685"/>
      <c r="AX338" s="326"/>
      <c r="AY338" s="327"/>
      <c r="AZ338" s="456"/>
      <c r="BA338" s="326"/>
      <c r="BB338" s="326"/>
      <c r="BC338" s="326"/>
      <c r="BD338" s="326"/>
      <c r="BE338" s="326"/>
      <c r="BF338" s="326"/>
      <c r="BG338" s="326"/>
      <c r="BH338" s="326"/>
      <c r="BI338" s="326"/>
      <c r="BJ338" s="326"/>
      <c r="BK338" s="326"/>
      <c r="BL338" s="326"/>
      <c r="BM338" s="326"/>
      <c r="BN338" s="326"/>
      <c r="BO338" s="327"/>
    </row>
    <row r="339" spans="1:67" ht="34.5" customHeight="1" x14ac:dyDescent="0.25">
      <c r="A339" s="87">
        <f t="shared" si="1"/>
        <v>327</v>
      </c>
      <c r="B339" s="386" t="s">
        <v>334</v>
      </c>
      <c r="C339" s="327"/>
      <c r="D339" s="687"/>
      <c r="E339" s="326"/>
      <c r="F339" s="326"/>
      <c r="G339" s="326"/>
      <c r="H339" s="327"/>
      <c r="I339" s="381"/>
      <c r="J339" s="326"/>
      <c r="K339" s="326"/>
      <c r="L339" s="326"/>
      <c r="M339" s="326"/>
      <c r="N339" s="326"/>
      <c r="O339" s="326"/>
      <c r="P339" s="327"/>
      <c r="Q339" s="381"/>
      <c r="R339" s="326"/>
      <c r="S339" s="326"/>
      <c r="T339" s="326"/>
      <c r="U339" s="326"/>
      <c r="V339" s="326"/>
      <c r="W339" s="326"/>
      <c r="X339" s="327"/>
      <c r="Y339" s="381"/>
      <c r="Z339" s="327"/>
      <c r="AA339" s="381"/>
      <c r="AB339" s="326"/>
      <c r="AC339" s="326"/>
      <c r="AD339" s="327"/>
      <c r="AE339" s="381"/>
      <c r="AF339" s="326"/>
      <c r="AG339" s="327"/>
      <c r="AH339" s="381"/>
      <c r="AI339" s="326"/>
      <c r="AJ339" s="327"/>
      <c r="AK339" s="381"/>
      <c r="AL339" s="326"/>
      <c r="AM339" s="326"/>
      <c r="AN339" s="327"/>
      <c r="AO339" s="381"/>
      <c r="AP339" s="326"/>
      <c r="AQ339" s="326"/>
      <c r="AR339" s="326"/>
      <c r="AS339" s="326"/>
      <c r="AT339" s="326"/>
      <c r="AU339" s="326"/>
      <c r="AV339" s="327"/>
      <c r="AW339" s="686"/>
      <c r="AX339" s="326"/>
      <c r="AY339" s="327"/>
      <c r="AZ339" s="381"/>
      <c r="BA339" s="326"/>
      <c r="BB339" s="326"/>
      <c r="BC339" s="326"/>
      <c r="BD339" s="326"/>
      <c r="BE339" s="326"/>
      <c r="BF339" s="326"/>
      <c r="BG339" s="326"/>
      <c r="BH339" s="326"/>
      <c r="BI339" s="326"/>
      <c r="BJ339" s="326"/>
      <c r="BK339" s="326"/>
      <c r="BL339" s="326"/>
      <c r="BM339" s="326"/>
      <c r="BN339" s="326"/>
      <c r="BO339" s="327"/>
    </row>
    <row r="340" spans="1:67" ht="34.5" customHeight="1" x14ac:dyDescent="0.25">
      <c r="A340" s="87">
        <f t="shared" si="1"/>
        <v>328</v>
      </c>
      <c r="B340" s="386" t="s">
        <v>334</v>
      </c>
      <c r="C340" s="327"/>
      <c r="D340" s="498"/>
      <c r="E340" s="326"/>
      <c r="F340" s="326"/>
      <c r="G340" s="326"/>
      <c r="H340" s="327"/>
      <c r="I340" s="407"/>
      <c r="J340" s="326"/>
      <c r="K340" s="326"/>
      <c r="L340" s="326"/>
      <c r="M340" s="326"/>
      <c r="N340" s="326"/>
      <c r="O340" s="326"/>
      <c r="P340" s="327"/>
      <c r="Q340" s="456"/>
      <c r="R340" s="326"/>
      <c r="S340" s="326"/>
      <c r="T340" s="326"/>
      <c r="U340" s="326"/>
      <c r="V340" s="326"/>
      <c r="W340" s="326"/>
      <c r="X340" s="327"/>
      <c r="Y340" s="407"/>
      <c r="Z340" s="327"/>
      <c r="AA340" s="456"/>
      <c r="AB340" s="326"/>
      <c r="AC340" s="326"/>
      <c r="AD340" s="327"/>
      <c r="AE340" s="407"/>
      <c r="AF340" s="326"/>
      <c r="AG340" s="327"/>
      <c r="AH340" s="456"/>
      <c r="AI340" s="326"/>
      <c r="AJ340" s="327"/>
      <c r="AK340" s="407"/>
      <c r="AL340" s="326"/>
      <c r="AM340" s="326"/>
      <c r="AN340" s="327"/>
      <c r="AO340" s="456"/>
      <c r="AP340" s="326"/>
      <c r="AQ340" s="326"/>
      <c r="AR340" s="326"/>
      <c r="AS340" s="326"/>
      <c r="AT340" s="326"/>
      <c r="AU340" s="326"/>
      <c r="AV340" s="327"/>
      <c r="AW340" s="685"/>
      <c r="AX340" s="326"/>
      <c r="AY340" s="327"/>
      <c r="AZ340" s="456"/>
      <c r="BA340" s="326"/>
      <c r="BB340" s="326"/>
      <c r="BC340" s="326"/>
      <c r="BD340" s="326"/>
      <c r="BE340" s="326"/>
      <c r="BF340" s="326"/>
      <c r="BG340" s="326"/>
      <c r="BH340" s="326"/>
      <c r="BI340" s="326"/>
      <c r="BJ340" s="326"/>
      <c r="BK340" s="326"/>
      <c r="BL340" s="326"/>
      <c r="BM340" s="326"/>
      <c r="BN340" s="326"/>
      <c r="BO340" s="327"/>
    </row>
    <row r="341" spans="1:67" ht="34.5" customHeight="1" x14ac:dyDescent="0.25">
      <c r="A341" s="87">
        <f t="shared" si="1"/>
        <v>329</v>
      </c>
      <c r="B341" s="386" t="s">
        <v>334</v>
      </c>
      <c r="C341" s="327"/>
      <c r="D341" s="687"/>
      <c r="E341" s="326"/>
      <c r="F341" s="326"/>
      <c r="G341" s="326"/>
      <c r="H341" s="327"/>
      <c r="I341" s="381"/>
      <c r="J341" s="326"/>
      <c r="K341" s="326"/>
      <c r="L341" s="326"/>
      <c r="M341" s="326"/>
      <c r="N341" s="326"/>
      <c r="O341" s="326"/>
      <c r="P341" s="327"/>
      <c r="Q341" s="381"/>
      <c r="R341" s="326"/>
      <c r="S341" s="326"/>
      <c r="T341" s="326"/>
      <c r="U341" s="326"/>
      <c r="V341" s="326"/>
      <c r="W341" s="326"/>
      <c r="X341" s="327"/>
      <c r="Y341" s="381"/>
      <c r="Z341" s="327"/>
      <c r="AA341" s="381"/>
      <c r="AB341" s="326"/>
      <c r="AC341" s="326"/>
      <c r="AD341" s="327"/>
      <c r="AE341" s="381"/>
      <c r="AF341" s="326"/>
      <c r="AG341" s="327"/>
      <c r="AH341" s="381"/>
      <c r="AI341" s="326"/>
      <c r="AJ341" s="327"/>
      <c r="AK341" s="381"/>
      <c r="AL341" s="326"/>
      <c r="AM341" s="326"/>
      <c r="AN341" s="327"/>
      <c r="AO341" s="381"/>
      <c r="AP341" s="326"/>
      <c r="AQ341" s="326"/>
      <c r="AR341" s="326"/>
      <c r="AS341" s="326"/>
      <c r="AT341" s="326"/>
      <c r="AU341" s="326"/>
      <c r="AV341" s="327"/>
      <c r="AW341" s="686"/>
      <c r="AX341" s="326"/>
      <c r="AY341" s="327"/>
      <c r="AZ341" s="381"/>
      <c r="BA341" s="326"/>
      <c r="BB341" s="326"/>
      <c r="BC341" s="326"/>
      <c r="BD341" s="326"/>
      <c r="BE341" s="326"/>
      <c r="BF341" s="326"/>
      <c r="BG341" s="326"/>
      <c r="BH341" s="326"/>
      <c r="BI341" s="326"/>
      <c r="BJ341" s="326"/>
      <c r="BK341" s="326"/>
      <c r="BL341" s="326"/>
      <c r="BM341" s="326"/>
      <c r="BN341" s="326"/>
      <c r="BO341" s="327"/>
    </row>
    <row r="342" spans="1:67" ht="34.5" customHeight="1" x14ac:dyDescent="0.25">
      <c r="A342" s="87">
        <f t="shared" si="1"/>
        <v>330</v>
      </c>
      <c r="B342" s="386" t="s">
        <v>334</v>
      </c>
      <c r="C342" s="327"/>
      <c r="D342" s="498"/>
      <c r="E342" s="326"/>
      <c r="F342" s="326"/>
      <c r="G342" s="326"/>
      <c r="H342" s="327"/>
      <c r="I342" s="407"/>
      <c r="J342" s="326"/>
      <c r="K342" s="326"/>
      <c r="L342" s="326"/>
      <c r="M342" s="326"/>
      <c r="N342" s="326"/>
      <c r="O342" s="326"/>
      <c r="P342" s="327"/>
      <c r="Q342" s="456"/>
      <c r="R342" s="326"/>
      <c r="S342" s="326"/>
      <c r="T342" s="326"/>
      <c r="U342" s="326"/>
      <c r="V342" s="326"/>
      <c r="W342" s="326"/>
      <c r="X342" s="327"/>
      <c r="Y342" s="407"/>
      <c r="Z342" s="327"/>
      <c r="AA342" s="456"/>
      <c r="AB342" s="326"/>
      <c r="AC342" s="326"/>
      <c r="AD342" s="327"/>
      <c r="AE342" s="407"/>
      <c r="AF342" s="326"/>
      <c r="AG342" s="327"/>
      <c r="AH342" s="456"/>
      <c r="AI342" s="326"/>
      <c r="AJ342" s="327"/>
      <c r="AK342" s="407"/>
      <c r="AL342" s="326"/>
      <c r="AM342" s="326"/>
      <c r="AN342" s="327"/>
      <c r="AO342" s="456"/>
      <c r="AP342" s="326"/>
      <c r="AQ342" s="326"/>
      <c r="AR342" s="326"/>
      <c r="AS342" s="326"/>
      <c r="AT342" s="326"/>
      <c r="AU342" s="326"/>
      <c r="AV342" s="327"/>
      <c r="AW342" s="685"/>
      <c r="AX342" s="326"/>
      <c r="AY342" s="327"/>
      <c r="AZ342" s="456"/>
      <c r="BA342" s="326"/>
      <c r="BB342" s="326"/>
      <c r="BC342" s="326"/>
      <c r="BD342" s="326"/>
      <c r="BE342" s="326"/>
      <c r="BF342" s="326"/>
      <c r="BG342" s="326"/>
      <c r="BH342" s="326"/>
      <c r="BI342" s="326"/>
      <c r="BJ342" s="326"/>
      <c r="BK342" s="326"/>
      <c r="BL342" s="326"/>
      <c r="BM342" s="326"/>
      <c r="BN342" s="326"/>
      <c r="BO342" s="327"/>
    </row>
    <row r="343" spans="1:67" ht="34.5" customHeight="1" x14ac:dyDescent="0.25">
      <c r="A343" s="87">
        <f t="shared" si="1"/>
        <v>331</v>
      </c>
      <c r="B343" s="386" t="s">
        <v>334</v>
      </c>
      <c r="C343" s="327"/>
      <c r="D343" s="687"/>
      <c r="E343" s="326"/>
      <c r="F343" s="326"/>
      <c r="G343" s="326"/>
      <c r="H343" s="327"/>
      <c r="I343" s="381"/>
      <c r="J343" s="326"/>
      <c r="K343" s="326"/>
      <c r="L343" s="326"/>
      <c r="M343" s="326"/>
      <c r="N343" s="326"/>
      <c r="O343" s="326"/>
      <c r="P343" s="327"/>
      <c r="Q343" s="381"/>
      <c r="R343" s="326"/>
      <c r="S343" s="326"/>
      <c r="T343" s="326"/>
      <c r="U343" s="326"/>
      <c r="V343" s="326"/>
      <c r="W343" s="326"/>
      <c r="X343" s="327"/>
      <c r="Y343" s="381"/>
      <c r="Z343" s="327"/>
      <c r="AA343" s="381"/>
      <c r="AB343" s="326"/>
      <c r="AC343" s="326"/>
      <c r="AD343" s="327"/>
      <c r="AE343" s="381"/>
      <c r="AF343" s="326"/>
      <c r="AG343" s="327"/>
      <c r="AH343" s="381"/>
      <c r="AI343" s="326"/>
      <c r="AJ343" s="327"/>
      <c r="AK343" s="381"/>
      <c r="AL343" s="326"/>
      <c r="AM343" s="326"/>
      <c r="AN343" s="327"/>
      <c r="AO343" s="381"/>
      <c r="AP343" s="326"/>
      <c r="AQ343" s="326"/>
      <c r="AR343" s="326"/>
      <c r="AS343" s="326"/>
      <c r="AT343" s="326"/>
      <c r="AU343" s="326"/>
      <c r="AV343" s="327"/>
      <c r="AW343" s="686"/>
      <c r="AX343" s="326"/>
      <c r="AY343" s="327"/>
      <c r="AZ343" s="381"/>
      <c r="BA343" s="326"/>
      <c r="BB343" s="326"/>
      <c r="BC343" s="326"/>
      <c r="BD343" s="326"/>
      <c r="BE343" s="326"/>
      <c r="BF343" s="326"/>
      <c r="BG343" s="326"/>
      <c r="BH343" s="326"/>
      <c r="BI343" s="326"/>
      <c r="BJ343" s="326"/>
      <c r="BK343" s="326"/>
      <c r="BL343" s="326"/>
      <c r="BM343" s="326"/>
      <c r="BN343" s="326"/>
      <c r="BO343" s="327"/>
    </row>
    <row r="344" spans="1:67" ht="34.5" customHeight="1" x14ac:dyDescent="0.25">
      <c r="A344" s="87">
        <f t="shared" si="1"/>
        <v>332</v>
      </c>
      <c r="B344" s="386" t="s">
        <v>334</v>
      </c>
      <c r="C344" s="327"/>
      <c r="D344" s="498"/>
      <c r="E344" s="326"/>
      <c r="F344" s="326"/>
      <c r="G344" s="326"/>
      <c r="H344" s="327"/>
      <c r="I344" s="407"/>
      <c r="J344" s="326"/>
      <c r="K344" s="326"/>
      <c r="L344" s="326"/>
      <c r="M344" s="326"/>
      <c r="N344" s="326"/>
      <c r="O344" s="326"/>
      <c r="P344" s="327"/>
      <c r="Q344" s="456"/>
      <c r="R344" s="326"/>
      <c r="S344" s="326"/>
      <c r="T344" s="326"/>
      <c r="U344" s="326"/>
      <c r="V344" s="326"/>
      <c r="W344" s="326"/>
      <c r="X344" s="327"/>
      <c r="Y344" s="407"/>
      <c r="Z344" s="327"/>
      <c r="AA344" s="456"/>
      <c r="AB344" s="326"/>
      <c r="AC344" s="326"/>
      <c r="AD344" s="327"/>
      <c r="AE344" s="407"/>
      <c r="AF344" s="326"/>
      <c r="AG344" s="327"/>
      <c r="AH344" s="456"/>
      <c r="AI344" s="326"/>
      <c r="AJ344" s="327"/>
      <c r="AK344" s="407"/>
      <c r="AL344" s="326"/>
      <c r="AM344" s="326"/>
      <c r="AN344" s="327"/>
      <c r="AO344" s="456"/>
      <c r="AP344" s="326"/>
      <c r="AQ344" s="326"/>
      <c r="AR344" s="326"/>
      <c r="AS344" s="326"/>
      <c r="AT344" s="326"/>
      <c r="AU344" s="326"/>
      <c r="AV344" s="327"/>
      <c r="AW344" s="685"/>
      <c r="AX344" s="326"/>
      <c r="AY344" s="327"/>
      <c r="AZ344" s="456"/>
      <c r="BA344" s="326"/>
      <c r="BB344" s="326"/>
      <c r="BC344" s="326"/>
      <c r="BD344" s="326"/>
      <c r="BE344" s="326"/>
      <c r="BF344" s="326"/>
      <c r="BG344" s="326"/>
      <c r="BH344" s="326"/>
      <c r="BI344" s="326"/>
      <c r="BJ344" s="326"/>
      <c r="BK344" s="326"/>
      <c r="BL344" s="326"/>
      <c r="BM344" s="326"/>
      <c r="BN344" s="326"/>
      <c r="BO344" s="327"/>
    </row>
    <row r="345" spans="1:67" ht="34.5" customHeight="1" x14ac:dyDescent="0.25">
      <c r="A345" s="87">
        <f t="shared" si="1"/>
        <v>333</v>
      </c>
      <c r="B345" s="386" t="s">
        <v>334</v>
      </c>
      <c r="C345" s="327"/>
      <c r="D345" s="687"/>
      <c r="E345" s="326"/>
      <c r="F345" s="326"/>
      <c r="G345" s="326"/>
      <c r="H345" s="327"/>
      <c r="I345" s="381"/>
      <c r="J345" s="326"/>
      <c r="K345" s="326"/>
      <c r="L345" s="326"/>
      <c r="M345" s="326"/>
      <c r="N345" s="326"/>
      <c r="O345" s="326"/>
      <c r="P345" s="327"/>
      <c r="Q345" s="381"/>
      <c r="R345" s="326"/>
      <c r="S345" s="326"/>
      <c r="T345" s="326"/>
      <c r="U345" s="326"/>
      <c r="V345" s="326"/>
      <c r="W345" s="326"/>
      <c r="X345" s="327"/>
      <c r="Y345" s="381"/>
      <c r="Z345" s="327"/>
      <c r="AA345" s="381"/>
      <c r="AB345" s="326"/>
      <c r="AC345" s="326"/>
      <c r="AD345" s="327"/>
      <c r="AE345" s="381"/>
      <c r="AF345" s="326"/>
      <c r="AG345" s="327"/>
      <c r="AH345" s="381"/>
      <c r="AI345" s="326"/>
      <c r="AJ345" s="327"/>
      <c r="AK345" s="381"/>
      <c r="AL345" s="326"/>
      <c r="AM345" s="326"/>
      <c r="AN345" s="327"/>
      <c r="AO345" s="381"/>
      <c r="AP345" s="326"/>
      <c r="AQ345" s="326"/>
      <c r="AR345" s="326"/>
      <c r="AS345" s="326"/>
      <c r="AT345" s="326"/>
      <c r="AU345" s="326"/>
      <c r="AV345" s="327"/>
      <c r="AW345" s="686"/>
      <c r="AX345" s="326"/>
      <c r="AY345" s="327"/>
      <c r="AZ345" s="381"/>
      <c r="BA345" s="326"/>
      <c r="BB345" s="326"/>
      <c r="BC345" s="326"/>
      <c r="BD345" s="326"/>
      <c r="BE345" s="326"/>
      <c r="BF345" s="326"/>
      <c r="BG345" s="326"/>
      <c r="BH345" s="326"/>
      <c r="BI345" s="326"/>
      <c r="BJ345" s="326"/>
      <c r="BK345" s="326"/>
      <c r="BL345" s="326"/>
      <c r="BM345" s="326"/>
      <c r="BN345" s="326"/>
      <c r="BO345" s="327"/>
    </row>
    <row r="346" spans="1:67" ht="34.5" customHeight="1" x14ac:dyDescent="0.25">
      <c r="A346" s="87">
        <f t="shared" si="1"/>
        <v>334</v>
      </c>
      <c r="B346" s="386" t="s">
        <v>334</v>
      </c>
      <c r="C346" s="327"/>
      <c r="D346" s="498"/>
      <c r="E346" s="326"/>
      <c r="F346" s="326"/>
      <c r="G346" s="326"/>
      <c r="H346" s="327"/>
      <c r="I346" s="407"/>
      <c r="J346" s="326"/>
      <c r="K346" s="326"/>
      <c r="L346" s="326"/>
      <c r="M346" s="326"/>
      <c r="N346" s="326"/>
      <c r="O346" s="326"/>
      <c r="P346" s="327"/>
      <c r="Q346" s="456"/>
      <c r="R346" s="326"/>
      <c r="S346" s="326"/>
      <c r="T346" s="326"/>
      <c r="U346" s="326"/>
      <c r="V346" s="326"/>
      <c r="W346" s="326"/>
      <c r="X346" s="327"/>
      <c r="Y346" s="407"/>
      <c r="Z346" s="327"/>
      <c r="AA346" s="456"/>
      <c r="AB346" s="326"/>
      <c r="AC346" s="326"/>
      <c r="AD346" s="327"/>
      <c r="AE346" s="407"/>
      <c r="AF346" s="326"/>
      <c r="AG346" s="327"/>
      <c r="AH346" s="456"/>
      <c r="AI346" s="326"/>
      <c r="AJ346" s="327"/>
      <c r="AK346" s="407"/>
      <c r="AL346" s="326"/>
      <c r="AM346" s="326"/>
      <c r="AN346" s="327"/>
      <c r="AO346" s="456"/>
      <c r="AP346" s="326"/>
      <c r="AQ346" s="326"/>
      <c r="AR346" s="326"/>
      <c r="AS346" s="326"/>
      <c r="AT346" s="326"/>
      <c r="AU346" s="326"/>
      <c r="AV346" s="327"/>
      <c r="AW346" s="685"/>
      <c r="AX346" s="326"/>
      <c r="AY346" s="327"/>
      <c r="AZ346" s="456"/>
      <c r="BA346" s="326"/>
      <c r="BB346" s="326"/>
      <c r="BC346" s="326"/>
      <c r="BD346" s="326"/>
      <c r="BE346" s="326"/>
      <c r="BF346" s="326"/>
      <c r="BG346" s="326"/>
      <c r="BH346" s="326"/>
      <c r="BI346" s="326"/>
      <c r="BJ346" s="326"/>
      <c r="BK346" s="326"/>
      <c r="BL346" s="326"/>
      <c r="BM346" s="326"/>
      <c r="BN346" s="326"/>
      <c r="BO346" s="327"/>
    </row>
    <row r="347" spans="1:67" ht="34.5" customHeight="1" x14ac:dyDescent="0.25">
      <c r="A347" s="87">
        <f t="shared" si="1"/>
        <v>335</v>
      </c>
      <c r="B347" s="386" t="s">
        <v>334</v>
      </c>
      <c r="C347" s="327"/>
      <c r="D347" s="687"/>
      <c r="E347" s="326"/>
      <c r="F347" s="326"/>
      <c r="G347" s="326"/>
      <c r="H347" s="327"/>
      <c r="I347" s="381"/>
      <c r="J347" s="326"/>
      <c r="K347" s="326"/>
      <c r="L347" s="326"/>
      <c r="M347" s="326"/>
      <c r="N347" s="326"/>
      <c r="O347" s="326"/>
      <c r="P347" s="327"/>
      <c r="Q347" s="381"/>
      <c r="R347" s="326"/>
      <c r="S347" s="326"/>
      <c r="T347" s="326"/>
      <c r="U347" s="326"/>
      <c r="V347" s="326"/>
      <c r="W347" s="326"/>
      <c r="X347" s="327"/>
      <c r="Y347" s="381"/>
      <c r="Z347" s="327"/>
      <c r="AA347" s="381"/>
      <c r="AB347" s="326"/>
      <c r="AC347" s="326"/>
      <c r="AD347" s="327"/>
      <c r="AE347" s="381"/>
      <c r="AF347" s="326"/>
      <c r="AG347" s="327"/>
      <c r="AH347" s="381"/>
      <c r="AI347" s="326"/>
      <c r="AJ347" s="327"/>
      <c r="AK347" s="381"/>
      <c r="AL347" s="326"/>
      <c r="AM347" s="326"/>
      <c r="AN347" s="327"/>
      <c r="AO347" s="381"/>
      <c r="AP347" s="326"/>
      <c r="AQ347" s="326"/>
      <c r="AR347" s="326"/>
      <c r="AS347" s="326"/>
      <c r="AT347" s="326"/>
      <c r="AU347" s="326"/>
      <c r="AV347" s="327"/>
      <c r="AW347" s="686"/>
      <c r="AX347" s="326"/>
      <c r="AY347" s="327"/>
      <c r="AZ347" s="381"/>
      <c r="BA347" s="326"/>
      <c r="BB347" s="326"/>
      <c r="BC347" s="326"/>
      <c r="BD347" s="326"/>
      <c r="BE347" s="326"/>
      <c r="BF347" s="326"/>
      <c r="BG347" s="326"/>
      <c r="BH347" s="326"/>
      <c r="BI347" s="326"/>
      <c r="BJ347" s="326"/>
      <c r="BK347" s="326"/>
      <c r="BL347" s="326"/>
      <c r="BM347" s="326"/>
      <c r="BN347" s="326"/>
      <c r="BO347" s="327"/>
    </row>
    <row r="348" spans="1:67" ht="34.5" customHeight="1" x14ac:dyDescent="0.25">
      <c r="A348" s="87">
        <f t="shared" si="1"/>
        <v>336</v>
      </c>
      <c r="B348" s="386" t="s">
        <v>334</v>
      </c>
      <c r="C348" s="327"/>
      <c r="D348" s="498"/>
      <c r="E348" s="326"/>
      <c r="F348" s="326"/>
      <c r="G348" s="326"/>
      <c r="H348" s="327"/>
      <c r="I348" s="407"/>
      <c r="J348" s="326"/>
      <c r="K348" s="326"/>
      <c r="L348" s="326"/>
      <c r="M348" s="326"/>
      <c r="N348" s="326"/>
      <c r="O348" s="326"/>
      <c r="P348" s="327"/>
      <c r="Q348" s="456"/>
      <c r="R348" s="326"/>
      <c r="S348" s="326"/>
      <c r="T348" s="326"/>
      <c r="U348" s="326"/>
      <c r="V348" s="326"/>
      <c r="W348" s="326"/>
      <c r="X348" s="327"/>
      <c r="Y348" s="407"/>
      <c r="Z348" s="327"/>
      <c r="AA348" s="456"/>
      <c r="AB348" s="326"/>
      <c r="AC348" s="326"/>
      <c r="AD348" s="327"/>
      <c r="AE348" s="407"/>
      <c r="AF348" s="326"/>
      <c r="AG348" s="327"/>
      <c r="AH348" s="456"/>
      <c r="AI348" s="326"/>
      <c r="AJ348" s="327"/>
      <c r="AK348" s="407"/>
      <c r="AL348" s="326"/>
      <c r="AM348" s="326"/>
      <c r="AN348" s="327"/>
      <c r="AO348" s="456"/>
      <c r="AP348" s="326"/>
      <c r="AQ348" s="326"/>
      <c r="AR348" s="326"/>
      <c r="AS348" s="326"/>
      <c r="AT348" s="326"/>
      <c r="AU348" s="326"/>
      <c r="AV348" s="327"/>
      <c r="AW348" s="685"/>
      <c r="AX348" s="326"/>
      <c r="AY348" s="327"/>
      <c r="AZ348" s="456"/>
      <c r="BA348" s="326"/>
      <c r="BB348" s="326"/>
      <c r="BC348" s="326"/>
      <c r="BD348" s="326"/>
      <c r="BE348" s="326"/>
      <c r="BF348" s="326"/>
      <c r="BG348" s="326"/>
      <c r="BH348" s="326"/>
      <c r="BI348" s="326"/>
      <c r="BJ348" s="326"/>
      <c r="BK348" s="326"/>
      <c r="BL348" s="326"/>
      <c r="BM348" s="326"/>
      <c r="BN348" s="326"/>
      <c r="BO348" s="327"/>
    </row>
    <row r="349" spans="1:67" ht="34.5" customHeight="1" x14ac:dyDescent="0.25">
      <c r="A349" s="87">
        <f t="shared" si="1"/>
        <v>337</v>
      </c>
      <c r="B349" s="386" t="s">
        <v>334</v>
      </c>
      <c r="C349" s="327"/>
      <c r="D349" s="687"/>
      <c r="E349" s="326"/>
      <c r="F349" s="326"/>
      <c r="G349" s="326"/>
      <c r="H349" s="327"/>
      <c r="I349" s="381"/>
      <c r="J349" s="326"/>
      <c r="K349" s="326"/>
      <c r="L349" s="326"/>
      <c r="M349" s="326"/>
      <c r="N349" s="326"/>
      <c r="O349" s="326"/>
      <c r="P349" s="327"/>
      <c r="Q349" s="381"/>
      <c r="R349" s="326"/>
      <c r="S349" s="326"/>
      <c r="T349" s="326"/>
      <c r="U349" s="326"/>
      <c r="V349" s="326"/>
      <c r="W349" s="326"/>
      <c r="X349" s="327"/>
      <c r="Y349" s="381"/>
      <c r="Z349" s="327"/>
      <c r="AA349" s="381"/>
      <c r="AB349" s="326"/>
      <c r="AC349" s="326"/>
      <c r="AD349" s="327"/>
      <c r="AE349" s="381"/>
      <c r="AF349" s="326"/>
      <c r="AG349" s="327"/>
      <c r="AH349" s="381"/>
      <c r="AI349" s="326"/>
      <c r="AJ349" s="327"/>
      <c r="AK349" s="381"/>
      <c r="AL349" s="326"/>
      <c r="AM349" s="326"/>
      <c r="AN349" s="327"/>
      <c r="AO349" s="381"/>
      <c r="AP349" s="326"/>
      <c r="AQ349" s="326"/>
      <c r="AR349" s="326"/>
      <c r="AS349" s="326"/>
      <c r="AT349" s="326"/>
      <c r="AU349" s="326"/>
      <c r="AV349" s="327"/>
      <c r="AW349" s="686"/>
      <c r="AX349" s="326"/>
      <c r="AY349" s="327"/>
      <c r="AZ349" s="381"/>
      <c r="BA349" s="326"/>
      <c r="BB349" s="326"/>
      <c r="BC349" s="326"/>
      <c r="BD349" s="326"/>
      <c r="BE349" s="326"/>
      <c r="BF349" s="326"/>
      <c r="BG349" s="326"/>
      <c r="BH349" s="326"/>
      <c r="BI349" s="326"/>
      <c r="BJ349" s="326"/>
      <c r="BK349" s="326"/>
      <c r="BL349" s="326"/>
      <c r="BM349" s="326"/>
      <c r="BN349" s="326"/>
      <c r="BO349" s="327"/>
    </row>
    <row r="350" spans="1:67" ht="34.5" customHeight="1" x14ac:dyDescent="0.25">
      <c r="A350" s="87">
        <f t="shared" si="1"/>
        <v>338</v>
      </c>
      <c r="B350" s="386" t="s">
        <v>334</v>
      </c>
      <c r="C350" s="327"/>
      <c r="D350" s="498"/>
      <c r="E350" s="326"/>
      <c r="F350" s="326"/>
      <c r="G350" s="326"/>
      <c r="H350" s="327"/>
      <c r="I350" s="407"/>
      <c r="J350" s="326"/>
      <c r="K350" s="326"/>
      <c r="L350" s="326"/>
      <c r="M350" s="326"/>
      <c r="N350" s="326"/>
      <c r="O350" s="326"/>
      <c r="P350" s="327"/>
      <c r="Q350" s="456"/>
      <c r="R350" s="326"/>
      <c r="S350" s="326"/>
      <c r="T350" s="326"/>
      <c r="U350" s="326"/>
      <c r="V350" s="326"/>
      <c r="W350" s="326"/>
      <c r="X350" s="327"/>
      <c r="Y350" s="407"/>
      <c r="Z350" s="327"/>
      <c r="AA350" s="456"/>
      <c r="AB350" s="326"/>
      <c r="AC350" s="326"/>
      <c r="AD350" s="327"/>
      <c r="AE350" s="407"/>
      <c r="AF350" s="326"/>
      <c r="AG350" s="327"/>
      <c r="AH350" s="456"/>
      <c r="AI350" s="326"/>
      <c r="AJ350" s="327"/>
      <c r="AK350" s="407"/>
      <c r="AL350" s="326"/>
      <c r="AM350" s="326"/>
      <c r="AN350" s="327"/>
      <c r="AO350" s="456"/>
      <c r="AP350" s="326"/>
      <c r="AQ350" s="326"/>
      <c r="AR350" s="326"/>
      <c r="AS350" s="326"/>
      <c r="AT350" s="326"/>
      <c r="AU350" s="326"/>
      <c r="AV350" s="327"/>
      <c r="AW350" s="685"/>
      <c r="AX350" s="326"/>
      <c r="AY350" s="327"/>
      <c r="AZ350" s="456"/>
      <c r="BA350" s="326"/>
      <c r="BB350" s="326"/>
      <c r="BC350" s="326"/>
      <c r="BD350" s="326"/>
      <c r="BE350" s="326"/>
      <c r="BF350" s="326"/>
      <c r="BG350" s="326"/>
      <c r="BH350" s="326"/>
      <c r="BI350" s="326"/>
      <c r="BJ350" s="326"/>
      <c r="BK350" s="326"/>
      <c r="BL350" s="326"/>
      <c r="BM350" s="326"/>
      <c r="BN350" s="326"/>
      <c r="BO350" s="327"/>
    </row>
    <row r="351" spans="1:67" ht="34.5" customHeight="1" x14ac:dyDescent="0.25">
      <c r="A351" s="87">
        <f t="shared" si="1"/>
        <v>339</v>
      </c>
      <c r="B351" s="386" t="s">
        <v>334</v>
      </c>
      <c r="C351" s="327"/>
      <c r="D351" s="687"/>
      <c r="E351" s="326"/>
      <c r="F351" s="326"/>
      <c r="G351" s="326"/>
      <c r="H351" s="327"/>
      <c r="I351" s="381"/>
      <c r="J351" s="326"/>
      <c r="K351" s="326"/>
      <c r="L351" s="326"/>
      <c r="M351" s="326"/>
      <c r="N351" s="326"/>
      <c r="O351" s="326"/>
      <c r="P351" s="327"/>
      <c r="Q351" s="381"/>
      <c r="R351" s="326"/>
      <c r="S351" s="326"/>
      <c r="T351" s="326"/>
      <c r="U351" s="326"/>
      <c r="V351" s="326"/>
      <c r="W351" s="326"/>
      <c r="X351" s="327"/>
      <c r="Y351" s="381"/>
      <c r="Z351" s="327"/>
      <c r="AA351" s="381"/>
      <c r="AB351" s="326"/>
      <c r="AC351" s="326"/>
      <c r="AD351" s="327"/>
      <c r="AE351" s="381"/>
      <c r="AF351" s="326"/>
      <c r="AG351" s="327"/>
      <c r="AH351" s="381"/>
      <c r="AI351" s="326"/>
      <c r="AJ351" s="327"/>
      <c r="AK351" s="381"/>
      <c r="AL351" s="326"/>
      <c r="AM351" s="326"/>
      <c r="AN351" s="327"/>
      <c r="AO351" s="381"/>
      <c r="AP351" s="326"/>
      <c r="AQ351" s="326"/>
      <c r="AR351" s="326"/>
      <c r="AS351" s="326"/>
      <c r="AT351" s="326"/>
      <c r="AU351" s="326"/>
      <c r="AV351" s="327"/>
      <c r="AW351" s="686"/>
      <c r="AX351" s="326"/>
      <c r="AY351" s="327"/>
      <c r="AZ351" s="381"/>
      <c r="BA351" s="326"/>
      <c r="BB351" s="326"/>
      <c r="BC351" s="326"/>
      <c r="BD351" s="326"/>
      <c r="BE351" s="326"/>
      <c r="BF351" s="326"/>
      <c r="BG351" s="326"/>
      <c r="BH351" s="326"/>
      <c r="BI351" s="326"/>
      <c r="BJ351" s="326"/>
      <c r="BK351" s="326"/>
      <c r="BL351" s="326"/>
      <c r="BM351" s="326"/>
      <c r="BN351" s="326"/>
      <c r="BO351" s="327"/>
    </row>
    <row r="352" spans="1:67" ht="34.5" customHeight="1" x14ac:dyDescent="0.25">
      <c r="A352" s="87">
        <f t="shared" si="1"/>
        <v>340</v>
      </c>
      <c r="B352" s="386" t="s">
        <v>334</v>
      </c>
      <c r="C352" s="327"/>
      <c r="D352" s="498"/>
      <c r="E352" s="326"/>
      <c r="F352" s="326"/>
      <c r="G352" s="326"/>
      <c r="H352" s="327"/>
      <c r="I352" s="407"/>
      <c r="J352" s="326"/>
      <c r="K352" s="326"/>
      <c r="L352" s="326"/>
      <c r="M352" s="326"/>
      <c r="N352" s="326"/>
      <c r="O352" s="326"/>
      <c r="P352" s="327"/>
      <c r="Q352" s="456"/>
      <c r="R352" s="326"/>
      <c r="S352" s="326"/>
      <c r="T352" s="326"/>
      <c r="U352" s="326"/>
      <c r="V352" s="326"/>
      <c r="W352" s="326"/>
      <c r="X352" s="327"/>
      <c r="Y352" s="407"/>
      <c r="Z352" s="327"/>
      <c r="AA352" s="456"/>
      <c r="AB352" s="326"/>
      <c r="AC352" s="326"/>
      <c r="AD352" s="327"/>
      <c r="AE352" s="407"/>
      <c r="AF352" s="326"/>
      <c r="AG352" s="327"/>
      <c r="AH352" s="456"/>
      <c r="AI352" s="326"/>
      <c r="AJ352" s="327"/>
      <c r="AK352" s="407"/>
      <c r="AL352" s="326"/>
      <c r="AM352" s="326"/>
      <c r="AN352" s="327"/>
      <c r="AO352" s="456"/>
      <c r="AP352" s="326"/>
      <c r="AQ352" s="326"/>
      <c r="AR352" s="326"/>
      <c r="AS352" s="326"/>
      <c r="AT352" s="326"/>
      <c r="AU352" s="326"/>
      <c r="AV352" s="327"/>
      <c r="AW352" s="685"/>
      <c r="AX352" s="326"/>
      <c r="AY352" s="327"/>
      <c r="AZ352" s="456"/>
      <c r="BA352" s="326"/>
      <c r="BB352" s="326"/>
      <c r="BC352" s="326"/>
      <c r="BD352" s="326"/>
      <c r="BE352" s="326"/>
      <c r="BF352" s="326"/>
      <c r="BG352" s="326"/>
      <c r="BH352" s="326"/>
      <c r="BI352" s="326"/>
      <c r="BJ352" s="326"/>
      <c r="BK352" s="326"/>
      <c r="BL352" s="326"/>
      <c r="BM352" s="326"/>
      <c r="BN352" s="326"/>
      <c r="BO352" s="327"/>
    </row>
    <row r="353" spans="1:67" ht="34.5" customHeight="1" x14ac:dyDescent="0.25">
      <c r="A353" s="87">
        <f t="shared" si="1"/>
        <v>341</v>
      </c>
      <c r="B353" s="386" t="s">
        <v>334</v>
      </c>
      <c r="C353" s="327"/>
      <c r="D353" s="687"/>
      <c r="E353" s="326"/>
      <c r="F353" s="326"/>
      <c r="G353" s="326"/>
      <c r="H353" s="327"/>
      <c r="I353" s="381"/>
      <c r="J353" s="326"/>
      <c r="K353" s="326"/>
      <c r="L353" s="326"/>
      <c r="M353" s="326"/>
      <c r="N353" s="326"/>
      <c r="O353" s="326"/>
      <c r="P353" s="327"/>
      <c r="Q353" s="381"/>
      <c r="R353" s="326"/>
      <c r="S353" s="326"/>
      <c r="T353" s="326"/>
      <c r="U353" s="326"/>
      <c r="V353" s="326"/>
      <c r="W353" s="326"/>
      <c r="X353" s="327"/>
      <c r="Y353" s="381"/>
      <c r="Z353" s="327"/>
      <c r="AA353" s="381"/>
      <c r="AB353" s="326"/>
      <c r="AC353" s="326"/>
      <c r="AD353" s="327"/>
      <c r="AE353" s="381"/>
      <c r="AF353" s="326"/>
      <c r="AG353" s="327"/>
      <c r="AH353" s="381"/>
      <c r="AI353" s="326"/>
      <c r="AJ353" s="327"/>
      <c r="AK353" s="381"/>
      <c r="AL353" s="326"/>
      <c r="AM353" s="326"/>
      <c r="AN353" s="327"/>
      <c r="AO353" s="381"/>
      <c r="AP353" s="326"/>
      <c r="AQ353" s="326"/>
      <c r="AR353" s="326"/>
      <c r="AS353" s="326"/>
      <c r="AT353" s="326"/>
      <c r="AU353" s="326"/>
      <c r="AV353" s="327"/>
      <c r="AW353" s="686"/>
      <c r="AX353" s="326"/>
      <c r="AY353" s="327"/>
      <c r="AZ353" s="381"/>
      <c r="BA353" s="326"/>
      <c r="BB353" s="326"/>
      <c r="BC353" s="326"/>
      <c r="BD353" s="326"/>
      <c r="BE353" s="326"/>
      <c r="BF353" s="326"/>
      <c r="BG353" s="326"/>
      <c r="BH353" s="326"/>
      <c r="BI353" s="326"/>
      <c r="BJ353" s="326"/>
      <c r="BK353" s="326"/>
      <c r="BL353" s="326"/>
      <c r="BM353" s="326"/>
      <c r="BN353" s="326"/>
      <c r="BO353" s="327"/>
    </row>
    <row r="354" spans="1:67" ht="34.5" customHeight="1" x14ac:dyDescent="0.25">
      <c r="A354" s="87">
        <f t="shared" si="1"/>
        <v>342</v>
      </c>
      <c r="B354" s="386" t="s">
        <v>334</v>
      </c>
      <c r="C354" s="327"/>
      <c r="D354" s="498"/>
      <c r="E354" s="326"/>
      <c r="F354" s="326"/>
      <c r="G354" s="326"/>
      <c r="H354" s="327"/>
      <c r="I354" s="407"/>
      <c r="J354" s="326"/>
      <c r="K354" s="326"/>
      <c r="L354" s="326"/>
      <c r="M354" s="326"/>
      <c r="N354" s="326"/>
      <c r="O354" s="326"/>
      <c r="P354" s="327"/>
      <c r="Q354" s="456"/>
      <c r="R354" s="326"/>
      <c r="S354" s="326"/>
      <c r="T354" s="326"/>
      <c r="U354" s="326"/>
      <c r="V354" s="326"/>
      <c r="W354" s="326"/>
      <c r="X354" s="327"/>
      <c r="Y354" s="407"/>
      <c r="Z354" s="327"/>
      <c r="AA354" s="456"/>
      <c r="AB354" s="326"/>
      <c r="AC354" s="326"/>
      <c r="AD354" s="327"/>
      <c r="AE354" s="407"/>
      <c r="AF354" s="326"/>
      <c r="AG354" s="327"/>
      <c r="AH354" s="456"/>
      <c r="AI354" s="326"/>
      <c r="AJ354" s="327"/>
      <c r="AK354" s="407"/>
      <c r="AL354" s="326"/>
      <c r="AM354" s="326"/>
      <c r="AN354" s="327"/>
      <c r="AO354" s="456"/>
      <c r="AP354" s="326"/>
      <c r="AQ354" s="326"/>
      <c r="AR354" s="326"/>
      <c r="AS354" s="326"/>
      <c r="AT354" s="326"/>
      <c r="AU354" s="326"/>
      <c r="AV354" s="327"/>
      <c r="AW354" s="685"/>
      <c r="AX354" s="326"/>
      <c r="AY354" s="327"/>
      <c r="AZ354" s="456"/>
      <c r="BA354" s="326"/>
      <c r="BB354" s="326"/>
      <c r="BC354" s="326"/>
      <c r="BD354" s="326"/>
      <c r="BE354" s="326"/>
      <c r="BF354" s="326"/>
      <c r="BG354" s="326"/>
      <c r="BH354" s="326"/>
      <c r="BI354" s="326"/>
      <c r="BJ354" s="326"/>
      <c r="BK354" s="326"/>
      <c r="BL354" s="326"/>
      <c r="BM354" s="326"/>
      <c r="BN354" s="326"/>
      <c r="BO354" s="327"/>
    </row>
    <row r="355" spans="1:67" ht="34.5" customHeight="1" x14ac:dyDescent="0.25">
      <c r="A355" s="87">
        <f t="shared" si="1"/>
        <v>343</v>
      </c>
      <c r="B355" s="386" t="s">
        <v>334</v>
      </c>
      <c r="C355" s="327"/>
      <c r="D355" s="687"/>
      <c r="E355" s="326"/>
      <c r="F355" s="326"/>
      <c r="G355" s="326"/>
      <c r="H355" s="327"/>
      <c r="I355" s="381"/>
      <c r="J355" s="326"/>
      <c r="K355" s="326"/>
      <c r="L355" s="326"/>
      <c r="M355" s="326"/>
      <c r="N355" s="326"/>
      <c r="O355" s="326"/>
      <c r="P355" s="327"/>
      <c r="Q355" s="381"/>
      <c r="R355" s="326"/>
      <c r="S355" s="326"/>
      <c r="T355" s="326"/>
      <c r="U355" s="326"/>
      <c r="V355" s="326"/>
      <c r="W355" s="326"/>
      <c r="X355" s="327"/>
      <c r="Y355" s="381"/>
      <c r="Z355" s="327"/>
      <c r="AA355" s="381"/>
      <c r="AB355" s="326"/>
      <c r="AC355" s="326"/>
      <c r="AD355" s="327"/>
      <c r="AE355" s="381"/>
      <c r="AF355" s="326"/>
      <c r="AG355" s="327"/>
      <c r="AH355" s="381"/>
      <c r="AI355" s="326"/>
      <c r="AJ355" s="327"/>
      <c r="AK355" s="381"/>
      <c r="AL355" s="326"/>
      <c r="AM355" s="326"/>
      <c r="AN355" s="327"/>
      <c r="AO355" s="381"/>
      <c r="AP355" s="326"/>
      <c r="AQ355" s="326"/>
      <c r="AR355" s="326"/>
      <c r="AS355" s="326"/>
      <c r="AT355" s="326"/>
      <c r="AU355" s="326"/>
      <c r="AV355" s="327"/>
      <c r="AW355" s="686"/>
      <c r="AX355" s="326"/>
      <c r="AY355" s="327"/>
      <c r="AZ355" s="381"/>
      <c r="BA355" s="326"/>
      <c r="BB355" s="326"/>
      <c r="BC355" s="326"/>
      <c r="BD355" s="326"/>
      <c r="BE355" s="326"/>
      <c r="BF355" s="326"/>
      <c r="BG355" s="326"/>
      <c r="BH355" s="326"/>
      <c r="BI355" s="326"/>
      <c r="BJ355" s="326"/>
      <c r="BK355" s="326"/>
      <c r="BL355" s="326"/>
      <c r="BM355" s="326"/>
      <c r="BN355" s="326"/>
      <c r="BO355" s="327"/>
    </row>
    <row r="356" spans="1:67" ht="34.5" customHeight="1" x14ac:dyDescent="0.25">
      <c r="A356" s="87">
        <f t="shared" si="1"/>
        <v>344</v>
      </c>
      <c r="B356" s="688" t="s">
        <v>334</v>
      </c>
      <c r="C356" s="327"/>
      <c r="D356" s="498"/>
      <c r="E356" s="326"/>
      <c r="F356" s="326"/>
      <c r="G356" s="326"/>
      <c r="H356" s="327"/>
      <c r="I356" s="407"/>
      <c r="J356" s="326"/>
      <c r="K356" s="326"/>
      <c r="L356" s="326"/>
      <c r="M356" s="326"/>
      <c r="N356" s="326"/>
      <c r="O356" s="326"/>
      <c r="P356" s="327"/>
      <c r="Q356" s="456"/>
      <c r="R356" s="326"/>
      <c r="S356" s="326"/>
      <c r="T356" s="326"/>
      <c r="U356" s="326"/>
      <c r="V356" s="326"/>
      <c r="W356" s="326"/>
      <c r="X356" s="327"/>
      <c r="Y356" s="407"/>
      <c r="Z356" s="327"/>
      <c r="AA356" s="456"/>
      <c r="AB356" s="326"/>
      <c r="AC356" s="326"/>
      <c r="AD356" s="327"/>
      <c r="AE356" s="407"/>
      <c r="AF356" s="326"/>
      <c r="AG356" s="327"/>
      <c r="AH356" s="456"/>
      <c r="AI356" s="326"/>
      <c r="AJ356" s="327"/>
      <c r="AK356" s="407"/>
      <c r="AL356" s="326"/>
      <c r="AM356" s="326"/>
      <c r="AN356" s="327"/>
      <c r="AO356" s="456"/>
      <c r="AP356" s="326"/>
      <c r="AQ356" s="326"/>
      <c r="AR356" s="326"/>
      <c r="AS356" s="326"/>
      <c r="AT356" s="326"/>
      <c r="AU356" s="326"/>
      <c r="AV356" s="327"/>
      <c r="AW356" s="685"/>
      <c r="AX356" s="326"/>
      <c r="AY356" s="327"/>
      <c r="AZ356" s="456"/>
      <c r="BA356" s="326"/>
      <c r="BB356" s="326"/>
      <c r="BC356" s="326"/>
      <c r="BD356" s="326"/>
      <c r="BE356" s="326"/>
      <c r="BF356" s="326"/>
      <c r="BG356" s="326"/>
      <c r="BH356" s="326"/>
      <c r="BI356" s="326"/>
      <c r="BJ356" s="326"/>
      <c r="BK356" s="326"/>
      <c r="BL356" s="326"/>
      <c r="BM356" s="326"/>
      <c r="BN356" s="326"/>
      <c r="BO356" s="327"/>
    </row>
    <row r="357" spans="1:67" ht="34.5" customHeight="1" x14ac:dyDescent="0.25">
      <c r="A357" s="87">
        <f t="shared" si="1"/>
        <v>345</v>
      </c>
      <c r="B357" s="386" t="s">
        <v>334</v>
      </c>
      <c r="C357" s="327"/>
      <c r="D357" s="687"/>
      <c r="E357" s="326"/>
      <c r="F357" s="326"/>
      <c r="G357" s="326"/>
      <c r="H357" s="327"/>
      <c r="I357" s="381"/>
      <c r="J357" s="326"/>
      <c r="K357" s="326"/>
      <c r="L357" s="326"/>
      <c r="M357" s="326"/>
      <c r="N357" s="326"/>
      <c r="O357" s="326"/>
      <c r="P357" s="327"/>
      <c r="Q357" s="381"/>
      <c r="R357" s="326"/>
      <c r="S357" s="326"/>
      <c r="T357" s="326"/>
      <c r="U357" s="326"/>
      <c r="V357" s="326"/>
      <c r="W357" s="326"/>
      <c r="X357" s="327"/>
      <c r="Y357" s="381"/>
      <c r="Z357" s="327"/>
      <c r="AA357" s="381"/>
      <c r="AB357" s="326"/>
      <c r="AC357" s="326"/>
      <c r="AD357" s="327"/>
      <c r="AE357" s="381"/>
      <c r="AF357" s="326"/>
      <c r="AG357" s="327"/>
      <c r="AH357" s="381"/>
      <c r="AI357" s="326"/>
      <c r="AJ357" s="327"/>
      <c r="AK357" s="381"/>
      <c r="AL357" s="326"/>
      <c r="AM357" s="326"/>
      <c r="AN357" s="327"/>
      <c r="AO357" s="381"/>
      <c r="AP357" s="326"/>
      <c r="AQ357" s="326"/>
      <c r="AR357" s="326"/>
      <c r="AS357" s="326"/>
      <c r="AT357" s="326"/>
      <c r="AU357" s="326"/>
      <c r="AV357" s="327"/>
      <c r="AW357" s="686"/>
      <c r="AX357" s="326"/>
      <c r="AY357" s="327"/>
      <c r="AZ357" s="381"/>
      <c r="BA357" s="326"/>
      <c r="BB357" s="326"/>
      <c r="BC357" s="326"/>
      <c r="BD357" s="326"/>
      <c r="BE357" s="326"/>
      <c r="BF357" s="326"/>
      <c r="BG357" s="326"/>
      <c r="BH357" s="326"/>
      <c r="BI357" s="326"/>
      <c r="BJ357" s="326"/>
      <c r="BK357" s="326"/>
      <c r="BL357" s="326"/>
      <c r="BM357" s="326"/>
      <c r="BN357" s="326"/>
      <c r="BO357" s="327"/>
    </row>
    <row r="358" spans="1:67" ht="34.5" customHeight="1" x14ac:dyDescent="0.25">
      <c r="A358" s="87">
        <f t="shared" si="1"/>
        <v>346</v>
      </c>
      <c r="B358" s="386" t="s">
        <v>334</v>
      </c>
      <c r="C358" s="327"/>
      <c r="D358" s="498"/>
      <c r="E358" s="326"/>
      <c r="F358" s="326"/>
      <c r="G358" s="326"/>
      <c r="H358" s="327"/>
      <c r="I358" s="407"/>
      <c r="J358" s="326"/>
      <c r="K358" s="326"/>
      <c r="L358" s="326"/>
      <c r="M358" s="326"/>
      <c r="N358" s="326"/>
      <c r="O358" s="326"/>
      <c r="P358" s="327"/>
      <c r="Q358" s="456"/>
      <c r="R358" s="326"/>
      <c r="S358" s="326"/>
      <c r="T358" s="326"/>
      <c r="U358" s="326"/>
      <c r="V358" s="326"/>
      <c r="W358" s="326"/>
      <c r="X358" s="327"/>
      <c r="Y358" s="407"/>
      <c r="Z358" s="327"/>
      <c r="AA358" s="456"/>
      <c r="AB358" s="326"/>
      <c r="AC358" s="326"/>
      <c r="AD358" s="327"/>
      <c r="AE358" s="407"/>
      <c r="AF358" s="326"/>
      <c r="AG358" s="327"/>
      <c r="AH358" s="456"/>
      <c r="AI358" s="326"/>
      <c r="AJ358" s="327"/>
      <c r="AK358" s="407"/>
      <c r="AL358" s="326"/>
      <c r="AM358" s="326"/>
      <c r="AN358" s="327"/>
      <c r="AO358" s="456"/>
      <c r="AP358" s="326"/>
      <c r="AQ358" s="326"/>
      <c r="AR358" s="326"/>
      <c r="AS358" s="326"/>
      <c r="AT358" s="326"/>
      <c r="AU358" s="326"/>
      <c r="AV358" s="327"/>
      <c r="AW358" s="685"/>
      <c r="AX358" s="326"/>
      <c r="AY358" s="327"/>
      <c r="AZ358" s="456"/>
      <c r="BA358" s="326"/>
      <c r="BB358" s="326"/>
      <c r="BC358" s="326"/>
      <c r="BD358" s="326"/>
      <c r="BE358" s="326"/>
      <c r="BF358" s="326"/>
      <c r="BG358" s="326"/>
      <c r="BH358" s="326"/>
      <c r="BI358" s="326"/>
      <c r="BJ358" s="326"/>
      <c r="BK358" s="326"/>
      <c r="BL358" s="326"/>
      <c r="BM358" s="326"/>
      <c r="BN358" s="326"/>
      <c r="BO358" s="327"/>
    </row>
    <row r="359" spans="1:67" ht="34.5" customHeight="1" x14ac:dyDescent="0.25">
      <c r="A359" s="87">
        <f t="shared" si="1"/>
        <v>347</v>
      </c>
      <c r="B359" s="386" t="s">
        <v>334</v>
      </c>
      <c r="C359" s="327"/>
      <c r="D359" s="687"/>
      <c r="E359" s="326"/>
      <c r="F359" s="326"/>
      <c r="G359" s="326"/>
      <c r="H359" s="327"/>
      <c r="I359" s="381"/>
      <c r="J359" s="326"/>
      <c r="K359" s="326"/>
      <c r="L359" s="326"/>
      <c r="M359" s="326"/>
      <c r="N359" s="326"/>
      <c r="O359" s="326"/>
      <c r="P359" s="327"/>
      <c r="Q359" s="381"/>
      <c r="R359" s="326"/>
      <c r="S359" s="326"/>
      <c r="T359" s="326"/>
      <c r="U359" s="326"/>
      <c r="V359" s="326"/>
      <c r="W359" s="326"/>
      <c r="X359" s="327"/>
      <c r="Y359" s="381"/>
      <c r="Z359" s="327"/>
      <c r="AA359" s="381"/>
      <c r="AB359" s="326"/>
      <c r="AC359" s="326"/>
      <c r="AD359" s="327"/>
      <c r="AE359" s="381"/>
      <c r="AF359" s="326"/>
      <c r="AG359" s="327"/>
      <c r="AH359" s="381"/>
      <c r="AI359" s="326"/>
      <c r="AJ359" s="327"/>
      <c r="AK359" s="381"/>
      <c r="AL359" s="326"/>
      <c r="AM359" s="326"/>
      <c r="AN359" s="327"/>
      <c r="AO359" s="381"/>
      <c r="AP359" s="326"/>
      <c r="AQ359" s="326"/>
      <c r="AR359" s="326"/>
      <c r="AS359" s="326"/>
      <c r="AT359" s="326"/>
      <c r="AU359" s="326"/>
      <c r="AV359" s="327"/>
      <c r="AW359" s="686"/>
      <c r="AX359" s="326"/>
      <c r="AY359" s="327"/>
      <c r="AZ359" s="381"/>
      <c r="BA359" s="326"/>
      <c r="BB359" s="326"/>
      <c r="BC359" s="326"/>
      <c r="BD359" s="326"/>
      <c r="BE359" s="326"/>
      <c r="BF359" s="326"/>
      <c r="BG359" s="326"/>
      <c r="BH359" s="326"/>
      <c r="BI359" s="326"/>
      <c r="BJ359" s="326"/>
      <c r="BK359" s="326"/>
      <c r="BL359" s="326"/>
      <c r="BM359" s="326"/>
      <c r="BN359" s="326"/>
      <c r="BO359" s="327"/>
    </row>
    <row r="360" spans="1:67" ht="34.5" customHeight="1" x14ac:dyDescent="0.25">
      <c r="A360" s="87">
        <f t="shared" si="1"/>
        <v>348</v>
      </c>
      <c r="B360" s="386" t="s">
        <v>334</v>
      </c>
      <c r="C360" s="327"/>
      <c r="D360" s="498"/>
      <c r="E360" s="326"/>
      <c r="F360" s="326"/>
      <c r="G360" s="326"/>
      <c r="H360" s="327"/>
      <c r="I360" s="407"/>
      <c r="J360" s="326"/>
      <c r="K360" s="326"/>
      <c r="L360" s="326"/>
      <c r="M360" s="326"/>
      <c r="N360" s="326"/>
      <c r="O360" s="326"/>
      <c r="P360" s="327"/>
      <c r="Q360" s="456"/>
      <c r="R360" s="326"/>
      <c r="S360" s="326"/>
      <c r="T360" s="326"/>
      <c r="U360" s="326"/>
      <c r="V360" s="326"/>
      <c r="W360" s="326"/>
      <c r="X360" s="327"/>
      <c r="Y360" s="407"/>
      <c r="Z360" s="327"/>
      <c r="AA360" s="456"/>
      <c r="AB360" s="326"/>
      <c r="AC360" s="326"/>
      <c r="AD360" s="327"/>
      <c r="AE360" s="407"/>
      <c r="AF360" s="326"/>
      <c r="AG360" s="327"/>
      <c r="AH360" s="456"/>
      <c r="AI360" s="326"/>
      <c r="AJ360" s="327"/>
      <c r="AK360" s="407"/>
      <c r="AL360" s="326"/>
      <c r="AM360" s="326"/>
      <c r="AN360" s="327"/>
      <c r="AO360" s="456"/>
      <c r="AP360" s="326"/>
      <c r="AQ360" s="326"/>
      <c r="AR360" s="326"/>
      <c r="AS360" s="326"/>
      <c r="AT360" s="326"/>
      <c r="AU360" s="326"/>
      <c r="AV360" s="327"/>
      <c r="AW360" s="685"/>
      <c r="AX360" s="326"/>
      <c r="AY360" s="327"/>
      <c r="AZ360" s="456"/>
      <c r="BA360" s="326"/>
      <c r="BB360" s="326"/>
      <c r="BC360" s="326"/>
      <c r="BD360" s="326"/>
      <c r="BE360" s="326"/>
      <c r="BF360" s="326"/>
      <c r="BG360" s="326"/>
      <c r="BH360" s="326"/>
      <c r="BI360" s="326"/>
      <c r="BJ360" s="326"/>
      <c r="BK360" s="326"/>
      <c r="BL360" s="326"/>
      <c r="BM360" s="326"/>
      <c r="BN360" s="326"/>
      <c r="BO360" s="327"/>
    </row>
    <row r="361" spans="1:67" ht="34.5" customHeight="1" x14ac:dyDescent="0.25">
      <c r="A361" s="87">
        <f t="shared" si="1"/>
        <v>349</v>
      </c>
      <c r="B361" s="386" t="s">
        <v>334</v>
      </c>
      <c r="C361" s="327"/>
      <c r="D361" s="687"/>
      <c r="E361" s="326"/>
      <c r="F361" s="326"/>
      <c r="G361" s="326"/>
      <c r="H361" s="327"/>
      <c r="I361" s="381"/>
      <c r="J361" s="326"/>
      <c r="K361" s="326"/>
      <c r="L361" s="326"/>
      <c r="M361" s="326"/>
      <c r="N361" s="326"/>
      <c r="O361" s="326"/>
      <c r="P361" s="327"/>
      <c r="Q361" s="381"/>
      <c r="R361" s="326"/>
      <c r="S361" s="326"/>
      <c r="T361" s="326"/>
      <c r="U361" s="326"/>
      <c r="V361" s="326"/>
      <c r="W361" s="326"/>
      <c r="X361" s="327"/>
      <c r="Y361" s="381"/>
      <c r="Z361" s="327"/>
      <c r="AA361" s="381"/>
      <c r="AB361" s="326"/>
      <c r="AC361" s="326"/>
      <c r="AD361" s="327"/>
      <c r="AE361" s="381"/>
      <c r="AF361" s="326"/>
      <c r="AG361" s="327"/>
      <c r="AH361" s="381"/>
      <c r="AI361" s="326"/>
      <c r="AJ361" s="327"/>
      <c r="AK361" s="381"/>
      <c r="AL361" s="326"/>
      <c r="AM361" s="326"/>
      <c r="AN361" s="327"/>
      <c r="AO361" s="381"/>
      <c r="AP361" s="326"/>
      <c r="AQ361" s="326"/>
      <c r="AR361" s="326"/>
      <c r="AS361" s="326"/>
      <c r="AT361" s="326"/>
      <c r="AU361" s="326"/>
      <c r="AV361" s="327"/>
      <c r="AW361" s="686"/>
      <c r="AX361" s="326"/>
      <c r="AY361" s="327"/>
      <c r="AZ361" s="381"/>
      <c r="BA361" s="326"/>
      <c r="BB361" s="326"/>
      <c r="BC361" s="326"/>
      <c r="BD361" s="326"/>
      <c r="BE361" s="326"/>
      <c r="BF361" s="326"/>
      <c r="BG361" s="326"/>
      <c r="BH361" s="326"/>
      <c r="BI361" s="326"/>
      <c r="BJ361" s="326"/>
      <c r="BK361" s="326"/>
      <c r="BL361" s="326"/>
      <c r="BM361" s="326"/>
      <c r="BN361" s="326"/>
      <c r="BO361" s="327"/>
    </row>
    <row r="362" spans="1:67" ht="34.5" customHeight="1" x14ac:dyDescent="0.25">
      <c r="A362" s="87">
        <f t="shared" si="1"/>
        <v>350</v>
      </c>
      <c r="B362" s="386" t="s">
        <v>334</v>
      </c>
      <c r="C362" s="327"/>
      <c r="D362" s="498"/>
      <c r="E362" s="326"/>
      <c r="F362" s="326"/>
      <c r="G362" s="326"/>
      <c r="H362" s="327"/>
      <c r="I362" s="407"/>
      <c r="J362" s="326"/>
      <c r="K362" s="326"/>
      <c r="L362" s="326"/>
      <c r="M362" s="326"/>
      <c r="N362" s="326"/>
      <c r="O362" s="326"/>
      <c r="P362" s="327"/>
      <c r="Q362" s="456"/>
      <c r="R362" s="326"/>
      <c r="S362" s="326"/>
      <c r="T362" s="326"/>
      <c r="U362" s="326"/>
      <c r="V362" s="326"/>
      <c r="W362" s="326"/>
      <c r="X362" s="327"/>
      <c r="Y362" s="407"/>
      <c r="Z362" s="327"/>
      <c r="AA362" s="456"/>
      <c r="AB362" s="326"/>
      <c r="AC362" s="326"/>
      <c r="AD362" s="327"/>
      <c r="AE362" s="407"/>
      <c r="AF362" s="326"/>
      <c r="AG362" s="327"/>
      <c r="AH362" s="456"/>
      <c r="AI362" s="326"/>
      <c r="AJ362" s="327"/>
      <c r="AK362" s="407"/>
      <c r="AL362" s="326"/>
      <c r="AM362" s="326"/>
      <c r="AN362" s="327"/>
      <c r="AO362" s="456"/>
      <c r="AP362" s="326"/>
      <c r="AQ362" s="326"/>
      <c r="AR362" s="326"/>
      <c r="AS362" s="326"/>
      <c r="AT362" s="326"/>
      <c r="AU362" s="326"/>
      <c r="AV362" s="327"/>
      <c r="AW362" s="685"/>
      <c r="AX362" s="326"/>
      <c r="AY362" s="327"/>
      <c r="AZ362" s="456"/>
      <c r="BA362" s="326"/>
      <c r="BB362" s="326"/>
      <c r="BC362" s="326"/>
      <c r="BD362" s="326"/>
      <c r="BE362" s="326"/>
      <c r="BF362" s="326"/>
      <c r="BG362" s="326"/>
      <c r="BH362" s="326"/>
      <c r="BI362" s="326"/>
      <c r="BJ362" s="326"/>
      <c r="BK362" s="326"/>
      <c r="BL362" s="326"/>
      <c r="BM362" s="326"/>
      <c r="BN362" s="326"/>
      <c r="BO362" s="327"/>
    </row>
    <row r="363" spans="1:67" ht="34.5" customHeight="1" x14ac:dyDescent="0.25">
      <c r="A363" s="87">
        <f t="shared" si="1"/>
        <v>351</v>
      </c>
      <c r="B363" s="386" t="s">
        <v>334</v>
      </c>
      <c r="C363" s="327"/>
      <c r="D363" s="687"/>
      <c r="E363" s="326"/>
      <c r="F363" s="326"/>
      <c r="G363" s="326"/>
      <c r="H363" s="327"/>
      <c r="I363" s="381"/>
      <c r="J363" s="326"/>
      <c r="K363" s="326"/>
      <c r="L363" s="326"/>
      <c r="M363" s="326"/>
      <c r="N363" s="326"/>
      <c r="O363" s="326"/>
      <c r="P363" s="327"/>
      <c r="Q363" s="381"/>
      <c r="R363" s="326"/>
      <c r="S363" s="326"/>
      <c r="T363" s="326"/>
      <c r="U363" s="326"/>
      <c r="V363" s="326"/>
      <c r="W363" s="326"/>
      <c r="X363" s="327"/>
      <c r="Y363" s="381"/>
      <c r="Z363" s="327"/>
      <c r="AA363" s="381"/>
      <c r="AB363" s="326"/>
      <c r="AC363" s="326"/>
      <c r="AD363" s="327"/>
      <c r="AE363" s="381"/>
      <c r="AF363" s="326"/>
      <c r="AG363" s="327"/>
      <c r="AH363" s="381"/>
      <c r="AI363" s="326"/>
      <c r="AJ363" s="327"/>
      <c r="AK363" s="381"/>
      <c r="AL363" s="326"/>
      <c r="AM363" s="326"/>
      <c r="AN363" s="327"/>
      <c r="AO363" s="381"/>
      <c r="AP363" s="326"/>
      <c r="AQ363" s="326"/>
      <c r="AR363" s="326"/>
      <c r="AS363" s="326"/>
      <c r="AT363" s="326"/>
      <c r="AU363" s="326"/>
      <c r="AV363" s="327"/>
      <c r="AW363" s="686"/>
      <c r="AX363" s="326"/>
      <c r="AY363" s="327"/>
      <c r="AZ363" s="381"/>
      <c r="BA363" s="326"/>
      <c r="BB363" s="326"/>
      <c r="BC363" s="326"/>
      <c r="BD363" s="326"/>
      <c r="BE363" s="326"/>
      <c r="BF363" s="326"/>
      <c r="BG363" s="326"/>
      <c r="BH363" s="326"/>
      <c r="BI363" s="326"/>
      <c r="BJ363" s="326"/>
      <c r="BK363" s="326"/>
      <c r="BL363" s="326"/>
      <c r="BM363" s="326"/>
      <c r="BN363" s="326"/>
      <c r="BO363" s="327"/>
    </row>
    <row r="364" spans="1:67" ht="34.5" customHeight="1" x14ac:dyDescent="0.25">
      <c r="A364" s="87">
        <f t="shared" si="1"/>
        <v>352</v>
      </c>
      <c r="B364" s="386" t="s">
        <v>334</v>
      </c>
      <c r="C364" s="327"/>
      <c r="D364" s="498"/>
      <c r="E364" s="326"/>
      <c r="F364" s="326"/>
      <c r="G364" s="326"/>
      <c r="H364" s="327"/>
      <c r="I364" s="407"/>
      <c r="J364" s="326"/>
      <c r="K364" s="326"/>
      <c r="L364" s="326"/>
      <c r="M364" s="326"/>
      <c r="N364" s="326"/>
      <c r="O364" s="326"/>
      <c r="P364" s="327"/>
      <c r="Q364" s="456"/>
      <c r="R364" s="326"/>
      <c r="S364" s="326"/>
      <c r="T364" s="326"/>
      <c r="U364" s="326"/>
      <c r="V364" s="326"/>
      <c r="W364" s="326"/>
      <c r="X364" s="327"/>
      <c r="Y364" s="407"/>
      <c r="Z364" s="327"/>
      <c r="AA364" s="456"/>
      <c r="AB364" s="326"/>
      <c r="AC364" s="326"/>
      <c r="AD364" s="327"/>
      <c r="AE364" s="407"/>
      <c r="AF364" s="326"/>
      <c r="AG364" s="327"/>
      <c r="AH364" s="456"/>
      <c r="AI364" s="326"/>
      <c r="AJ364" s="327"/>
      <c r="AK364" s="407"/>
      <c r="AL364" s="326"/>
      <c r="AM364" s="326"/>
      <c r="AN364" s="327"/>
      <c r="AO364" s="456"/>
      <c r="AP364" s="326"/>
      <c r="AQ364" s="326"/>
      <c r="AR364" s="326"/>
      <c r="AS364" s="326"/>
      <c r="AT364" s="326"/>
      <c r="AU364" s="326"/>
      <c r="AV364" s="327"/>
      <c r="AW364" s="685"/>
      <c r="AX364" s="326"/>
      <c r="AY364" s="327"/>
      <c r="AZ364" s="456"/>
      <c r="BA364" s="326"/>
      <c r="BB364" s="326"/>
      <c r="BC364" s="326"/>
      <c r="BD364" s="326"/>
      <c r="BE364" s="326"/>
      <c r="BF364" s="326"/>
      <c r="BG364" s="326"/>
      <c r="BH364" s="326"/>
      <c r="BI364" s="326"/>
      <c r="BJ364" s="326"/>
      <c r="BK364" s="326"/>
      <c r="BL364" s="326"/>
      <c r="BM364" s="326"/>
      <c r="BN364" s="326"/>
      <c r="BO364" s="327"/>
    </row>
    <row r="365" spans="1:67" ht="34.5" customHeight="1" x14ac:dyDescent="0.25">
      <c r="A365" s="87">
        <f t="shared" si="1"/>
        <v>353</v>
      </c>
      <c r="B365" s="386" t="s">
        <v>334</v>
      </c>
      <c r="C365" s="327"/>
      <c r="D365" s="687"/>
      <c r="E365" s="326"/>
      <c r="F365" s="326"/>
      <c r="G365" s="326"/>
      <c r="H365" s="327"/>
      <c r="I365" s="381"/>
      <c r="J365" s="326"/>
      <c r="K365" s="326"/>
      <c r="L365" s="326"/>
      <c r="M365" s="326"/>
      <c r="N365" s="326"/>
      <c r="O365" s="326"/>
      <c r="P365" s="327"/>
      <c r="Q365" s="381"/>
      <c r="R365" s="326"/>
      <c r="S365" s="326"/>
      <c r="T365" s="326"/>
      <c r="U365" s="326"/>
      <c r="V365" s="326"/>
      <c r="W365" s="326"/>
      <c r="X365" s="327"/>
      <c r="Y365" s="381"/>
      <c r="Z365" s="327"/>
      <c r="AA365" s="381"/>
      <c r="AB365" s="326"/>
      <c r="AC365" s="326"/>
      <c r="AD365" s="327"/>
      <c r="AE365" s="381"/>
      <c r="AF365" s="326"/>
      <c r="AG365" s="327"/>
      <c r="AH365" s="381"/>
      <c r="AI365" s="326"/>
      <c r="AJ365" s="327"/>
      <c r="AK365" s="381"/>
      <c r="AL365" s="326"/>
      <c r="AM365" s="326"/>
      <c r="AN365" s="327"/>
      <c r="AO365" s="381"/>
      <c r="AP365" s="326"/>
      <c r="AQ365" s="326"/>
      <c r="AR365" s="326"/>
      <c r="AS365" s="326"/>
      <c r="AT365" s="326"/>
      <c r="AU365" s="326"/>
      <c r="AV365" s="327"/>
      <c r="AW365" s="686"/>
      <c r="AX365" s="326"/>
      <c r="AY365" s="327"/>
      <c r="AZ365" s="381"/>
      <c r="BA365" s="326"/>
      <c r="BB365" s="326"/>
      <c r="BC365" s="326"/>
      <c r="BD365" s="326"/>
      <c r="BE365" s="326"/>
      <c r="BF365" s="326"/>
      <c r="BG365" s="326"/>
      <c r="BH365" s="326"/>
      <c r="BI365" s="326"/>
      <c r="BJ365" s="326"/>
      <c r="BK365" s="326"/>
      <c r="BL365" s="326"/>
      <c r="BM365" s="326"/>
      <c r="BN365" s="326"/>
      <c r="BO365" s="327"/>
    </row>
    <row r="366" spans="1:67" ht="34.5" customHeight="1" x14ac:dyDescent="0.25">
      <c r="A366" s="87">
        <f t="shared" si="1"/>
        <v>354</v>
      </c>
      <c r="B366" s="386" t="s">
        <v>334</v>
      </c>
      <c r="C366" s="327"/>
      <c r="D366" s="498"/>
      <c r="E366" s="326"/>
      <c r="F366" s="326"/>
      <c r="G366" s="326"/>
      <c r="H366" s="327"/>
      <c r="I366" s="407"/>
      <c r="J366" s="326"/>
      <c r="K366" s="326"/>
      <c r="L366" s="326"/>
      <c r="M366" s="326"/>
      <c r="N366" s="326"/>
      <c r="O366" s="326"/>
      <c r="P366" s="327"/>
      <c r="Q366" s="456"/>
      <c r="R366" s="326"/>
      <c r="S366" s="326"/>
      <c r="T366" s="326"/>
      <c r="U366" s="326"/>
      <c r="V366" s="326"/>
      <c r="W366" s="326"/>
      <c r="X366" s="327"/>
      <c r="Y366" s="407"/>
      <c r="Z366" s="327"/>
      <c r="AA366" s="456"/>
      <c r="AB366" s="326"/>
      <c r="AC366" s="326"/>
      <c r="AD366" s="327"/>
      <c r="AE366" s="407"/>
      <c r="AF366" s="326"/>
      <c r="AG366" s="327"/>
      <c r="AH366" s="456"/>
      <c r="AI366" s="326"/>
      <c r="AJ366" s="327"/>
      <c r="AK366" s="407"/>
      <c r="AL366" s="326"/>
      <c r="AM366" s="326"/>
      <c r="AN366" s="327"/>
      <c r="AO366" s="456"/>
      <c r="AP366" s="326"/>
      <c r="AQ366" s="326"/>
      <c r="AR366" s="326"/>
      <c r="AS366" s="326"/>
      <c r="AT366" s="326"/>
      <c r="AU366" s="326"/>
      <c r="AV366" s="327"/>
      <c r="AW366" s="685"/>
      <c r="AX366" s="326"/>
      <c r="AY366" s="327"/>
      <c r="AZ366" s="456"/>
      <c r="BA366" s="326"/>
      <c r="BB366" s="326"/>
      <c r="BC366" s="326"/>
      <c r="BD366" s="326"/>
      <c r="BE366" s="326"/>
      <c r="BF366" s="326"/>
      <c r="BG366" s="326"/>
      <c r="BH366" s="326"/>
      <c r="BI366" s="326"/>
      <c r="BJ366" s="326"/>
      <c r="BK366" s="326"/>
      <c r="BL366" s="326"/>
      <c r="BM366" s="326"/>
      <c r="BN366" s="326"/>
      <c r="BO366" s="327"/>
    </row>
    <row r="367" spans="1:67" ht="34.5" customHeight="1" x14ac:dyDescent="0.25">
      <c r="A367" s="87">
        <f t="shared" si="1"/>
        <v>355</v>
      </c>
      <c r="B367" s="386" t="s">
        <v>334</v>
      </c>
      <c r="C367" s="327"/>
      <c r="D367" s="687"/>
      <c r="E367" s="326"/>
      <c r="F367" s="326"/>
      <c r="G367" s="326"/>
      <c r="H367" s="327"/>
      <c r="I367" s="381"/>
      <c r="J367" s="326"/>
      <c r="K367" s="326"/>
      <c r="L367" s="326"/>
      <c r="M367" s="326"/>
      <c r="N367" s="326"/>
      <c r="O367" s="326"/>
      <c r="P367" s="327"/>
      <c r="Q367" s="381"/>
      <c r="R367" s="326"/>
      <c r="S367" s="326"/>
      <c r="T367" s="326"/>
      <c r="U367" s="326"/>
      <c r="V367" s="326"/>
      <c r="W367" s="326"/>
      <c r="X367" s="327"/>
      <c r="Y367" s="381"/>
      <c r="Z367" s="327"/>
      <c r="AA367" s="381"/>
      <c r="AB367" s="326"/>
      <c r="AC367" s="326"/>
      <c r="AD367" s="327"/>
      <c r="AE367" s="381"/>
      <c r="AF367" s="326"/>
      <c r="AG367" s="327"/>
      <c r="AH367" s="381"/>
      <c r="AI367" s="326"/>
      <c r="AJ367" s="327"/>
      <c r="AK367" s="381"/>
      <c r="AL367" s="326"/>
      <c r="AM367" s="326"/>
      <c r="AN367" s="327"/>
      <c r="AO367" s="381"/>
      <c r="AP367" s="326"/>
      <c r="AQ367" s="326"/>
      <c r="AR367" s="326"/>
      <c r="AS367" s="326"/>
      <c r="AT367" s="326"/>
      <c r="AU367" s="326"/>
      <c r="AV367" s="327"/>
      <c r="AW367" s="686"/>
      <c r="AX367" s="326"/>
      <c r="AY367" s="327"/>
      <c r="AZ367" s="381"/>
      <c r="BA367" s="326"/>
      <c r="BB367" s="326"/>
      <c r="BC367" s="326"/>
      <c r="BD367" s="326"/>
      <c r="BE367" s="326"/>
      <c r="BF367" s="326"/>
      <c r="BG367" s="326"/>
      <c r="BH367" s="326"/>
      <c r="BI367" s="326"/>
      <c r="BJ367" s="326"/>
      <c r="BK367" s="326"/>
      <c r="BL367" s="326"/>
      <c r="BM367" s="326"/>
      <c r="BN367" s="326"/>
      <c r="BO367" s="327"/>
    </row>
    <row r="368" spans="1:67" ht="34.5" customHeight="1" x14ac:dyDescent="0.25">
      <c r="A368" s="87">
        <f t="shared" si="1"/>
        <v>356</v>
      </c>
      <c r="B368" s="386" t="s">
        <v>334</v>
      </c>
      <c r="C368" s="327"/>
      <c r="D368" s="498"/>
      <c r="E368" s="326"/>
      <c r="F368" s="326"/>
      <c r="G368" s="326"/>
      <c r="H368" s="327"/>
      <c r="I368" s="407"/>
      <c r="J368" s="326"/>
      <c r="K368" s="326"/>
      <c r="L368" s="326"/>
      <c r="M368" s="326"/>
      <c r="N368" s="326"/>
      <c r="O368" s="326"/>
      <c r="P368" s="327"/>
      <c r="Q368" s="456"/>
      <c r="R368" s="326"/>
      <c r="S368" s="326"/>
      <c r="T368" s="326"/>
      <c r="U368" s="326"/>
      <c r="V368" s="326"/>
      <c r="W368" s="326"/>
      <c r="X368" s="327"/>
      <c r="Y368" s="407"/>
      <c r="Z368" s="327"/>
      <c r="AA368" s="456"/>
      <c r="AB368" s="326"/>
      <c r="AC368" s="326"/>
      <c r="AD368" s="327"/>
      <c r="AE368" s="407"/>
      <c r="AF368" s="326"/>
      <c r="AG368" s="327"/>
      <c r="AH368" s="456"/>
      <c r="AI368" s="326"/>
      <c r="AJ368" s="327"/>
      <c r="AK368" s="407"/>
      <c r="AL368" s="326"/>
      <c r="AM368" s="326"/>
      <c r="AN368" s="327"/>
      <c r="AO368" s="456"/>
      <c r="AP368" s="326"/>
      <c r="AQ368" s="326"/>
      <c r="AR368" s="326"/>
      <c r="AS368" s="326"/>
      <c r="AT368" s="326"/>
      <c r="AU368" s="326"/>
      <c r="AV368" s="327"/>
      <c r="AW368" s="685"/>
      <c r="AX368" s="326"/>
      <c r="AY368" s="327"/>
      <c r="AZ368" s="456"/>
      <c r="BA368" s="326"/>
      <c r="BB368" s="326"/>
      <c r="BC368" s="326"/>
      <c r="BD368" s="326"/>
      <c r="BE368" s="326"/>
      <c r="BF368" s="326"/>
      <c r="BG368" s="326"/>
      <c r="BH368" s="326"/>
      <c r="BI368" s="326"/>
      <c r="BJ368" s="326"/>
      <c r="BK368" s="326"/>
      <c r="BL368" s="326"/>
      <c r="BM368" s="326"/>
      <c r="BN368" s="326"/>
      <c r="BO368" s="327"/>
    </row>
    <row r="369" spans="1:67" ht="34.5" customHeight="1" x14ac:dyDescent="0.25">
      <c r="A369" s="87">
        <f t="shared" si="1"/>
        <v>357</v>
      </c>
      <c r="B369" s="386" t="s">
        <v>334</v>
      </c>
      <c r="C369" s="327"/>
      <c r="D369" s="687"/>
      <c r="E369" s="326"/>
      <c r="F369" s="326"/>
      <c r="G369" s="326"/>
      <c r="H369" s="327"/>
      <c r="I369" s="381"/>
      <c r="J369" s="326"/>
      <c r="K369" s="326"/>
      <c r="L369" s="326"/>
      <c r="M369" s="326"/>
      <c r="N369" s="326"/>
      <c r="O369" s="326"/>
      <c r="P369" s="327"/>
      <c r="Q369" s="381"/>
      <c r="R369" s="326"/>
      <c r="S369" s="326"/>
      <c r="T369" s="326"/>
      <c r="U369" s="326"/>
      <c r="V369" s="326"/>
      <c r="W369" s="326"/>
      <c r="X369" s="327"/>
      <c r="Y369" s="381"/>
      <c r="Z369" s="327"/>
      <c r="AA369" s="381"/>
      <c r="AB369" s="326"/>
      <c r="AC369" s="326"/>
      <c r="AD369" s="327"/>
      <c r="AE369" s="381"/>
      <c r="AF369" s="326"/>
      <c r="AG369" s="327"/>
      <c r="AH369" s="381"/>
      <c r="AI369" s="326"/>
      <c r="AJ369" s="327"/>
      <c r="AK369" s="381"/>
      <c r="AL369" s="326"/>
      <c r="AM369" s="326"/>
      <c r="AN369" s="327"/>
      <c r="AO369" s="381"/>
      <c r="AP369" s="326"/>
      <c r="AQ369" s="326"/>
      <c r="AR369" s="326"/>
      <c r="AS369" s="326"/>
      <c r="AT369" s="326"/>
      <c r="AU369" s="326"/>
      <c r="AV369" s="327"/>
      <c r="AW369" s="686"/>
      <c r="AX369" s="326"/>
      <c r="AY369" s="327"/>
      <c r="AZ369" s="381"/>
      <c r="BA369" s="326"/>
      <c r="BB369" s="326"/>
      <c r="BC369" s="326"/>
      <c r="BD369" s="326"/>
      <c r="BE369" s="326"/>
      <c r="BF369" s="326"/>
      <c r="BG369" s="326"/>
      <c r="BH369" s="326"/>
      <c r="BI369" s="326"/>
      <c r="BJ369" s="326"/>
      <c r="BK369" s="326"/>
      <c r="BL369" s="326"/>
      <c r="BM369" s="326"/>
      <c r="BN369" s="326"/>
      <c r="BO369" s="327"/>
    </row>
    <row r="370" spans="1:67" ht="34.5" customHeight="1" x14ac:dyDescent="0.25">
      <c r="A370" s="87">
        <f t="shared" si="1"/>
        <v>358</v>
      </c>
      <c r="B370" s="386" t="s">
        <v>334</v>
      </c>
      <c r="C370" s="327"/>
      <c r="D370" s="498"/>
      <c r="E370" s="326"/>
      <c r="F370" s="326"/>
      <c r="G370" s="326"/>
      <c r="H370" s="327"/>
      <c r="I370" s="407"/>
      <c r="J370" s="326"/>
      <c r="K370" s="326"/>
      <c r="L370" s="326"/>
      <c r="M370" s="326"/>
      <c r="N370" s="326"/>
      <c r="O370" s="326"/>
      <c r="P370" s="327"/>
      <c r="Q370" s="456"/>
      <c r="R370" s="326"/>
      <c r="S370" s="326"/>
      <c r="T370" s="326"/>
      <c r="U370" s="326"/>
      <c r="V370" s="326"/>
      <c r="W370" s="326"/>
      <c r="X370" s="327"/>
      <c r="Y370" s="407"/>
      <c r="Z370" s="327"/>
      <c r="AA370" s="456"/>
      <c r="AB370" s="326"/>
      <c r="AC370" s="326"/>
      <c r="AD370" s="327"/>
      <c r="AE370" s="407"/>
      <c r="AF370" s="326"/>
      <c r="AG370" s="327"/>
      <c r="AH370" s="456"/>
      <c r="AI370" s="326"/>
      <c r="AJ370" s="327"/>
      <c r="AK370" s="407"/>
      <c r="AL370" s="326"/>
      <c r="AM370" s="326"/>
      <c r="AN370" s="327"/>
      <c r="AO370" s="456"/>
      <c r="AP370" s="326"/>
      <c r="AQ370" s="326"/>
      <c r="AR370" s="326"/>
      <c r="AS370" s="326"/>
      <c r="AT370" s="326"/>
      <c r="AU370" s="326"/>
      <c r="AV370" s="327"/>
      <c r="AW370" s="685"/>
      <c r="AX370" s="326"/>
      <c r="AY370" s="327"/>
      <c r="AZ370" s="456"/>
      <c r="BA370" s="326"/>
      <c r="BB370" s="326"/>
      <c r="BC370" s="326"/>
      <c r="BD370" s="326"/>
      <c r="BE370" s="326"/>
      <c r="BF370" s="326"/>
      <c r="BG370" s="326"/>
      <c r="BH370" s="326"/>
      <c r="BI370" s="326"/>
      <c r="BJ370" s="326"/>
      <c r="BK370" s="326"/>
      <c r="BL370" s="326"/>
      <c r="BM370" s="326"/>
      <c r="BN370" s="326"/>
      <c r="BO370" s="327"/>
    </row>
    <row r="371" spans="1:67" ht="34.5" customHeight="1" x14ac:dyDescent="0.25">
      <c r="A371" s="87">
        <f t="shared" si="1"/>
        <v>359</v>
      </c>
      <c r="B371" s="386" t="s">
        <v>334</v>
      </c>
      <c r="C371" s="327"/>
      <c r="D371" s="687"/>
      <c r="E371" s="326"/>
      <c r="F371" s="326"/>
      <c r="G371" s="326"/>
      <c r="H371" s="327"/>
      <c r="I371" s="381"/>
      <c r="J371" s="326"/>
      <c r="K371" s="326"/>
      <c r="L371" s="326"/>
      <c r="M371" s="326"/>
      <c r="N371" s="326"/>
      <c r="O371" s="326"/>
      <c r="P371" s="327"/>
      <c r="Q371" s="381"/>
      <c r="R371" s="326"/>
      <c r="S371" s="326"/>
      <c r="T371" s="326"/>
      <c r="U371" s="326"/>
      <c r="V371" s="326"/>
      <c r="W371" s="326"/>
      <c r="X371" s="327"/>
      <c r="Y371" s="381"/>
      <c r="Z371" s="327"/>
      <c r="AA371" s="381"/>
      <c r="AB371" s="326"/>
      <c r="AC371" s="326"/>
      <c r="AD371" s="327"/>
      <c r="AE371" s="381"/>
      <c r="AF371" s="326"/>
      <c r="AG371" s="327"/>
      <c r="AH371" s="381"/>
      <c r="AI371" s="326"/>
      <c r="AJ371" s="327"/>
      <c r="AK371" s="381"/>
      <c r="AL371" s="326"/>
      <c r="AM371" s="326"/>
      <c r="AN371" s="327"/>
      <c r="AO371" s="381"/>
      <c r="AP371" s="326"/>
      <c r="AQ371" s="326"/>
      <c r="AR371" s="326"/>
      <c r="AS371" s="326"/>
      <c r="AT371" s="326"/>
      <c r="AU371" s="326"/>
      <c r="AV371" s="327"/>
      <c r="AW371" s="686"/>
      <c r="AX371" s="326"/>
      <c r="AY371" s="327"/>
      <c r="AZ371" s="381"/>
      <c r="BA371" s="326"/>
      <c r="BB371" s="326"/>
      <c r="BC371" s="326"/>
      <c r="BD371" s="326"/>
      <c r="BE371" s="326"/>
      <c r="BF371" s="326"/>
      <c r="BG371" s="326"/>
      <c r="BH371" s="326"/>
      <c r="BI371" s="326"/>
      <c r="BJ371" s="326"/>
      <c r="BK371" s="326"/>
      <c r="BL371" s="326"/>
      <c r="BM371" s="326"/>
      <c r="BN371" s="326"/>
      <c r="BO371" s="327"/>
    </row>
    <row r="372" spans="1:67" ht="34.5" customHeight="1" x14ac:dyDescent="0.25">
      <c r="A372" s="87">
        <f t="shared" si="1"/>
        <v>360</v>
      </c>
      <c r="B372" s="386" t="s">
        <v>334</v>
      </c>
      <c r="C372" s="327"/>
      <c r="D372" s="498"/>
      <c r="E372" s="326"/>
      <c r="F372" s="326"/>
      <c r="G372" s="326"/>
      <c r="H372" s="327"/>
      <c r="I372" s="407"/>
      <c r="J372" s="326"/>
      <c r="K372" s="326"/>
      <c r="L372" s="326"/>
      <c r="M372" s="326"/>
      <c r="N372" s="326"/>
      <c r="O372" s="326"/>
      <c r="P372" s="327"/>
      <c r="Q372" s="456"/>
      <c r="R372" s="326"/>
      <c r="S372" s="326"/>
      <c r="T372" s="326"/>
      <c r="U372" s="326"/>
      <c r="V372" s="326"/>
      <c r="W372" s="326"/>
      <c r="X372" s="327"/>
      <c r="Y372" s="407"/>
      <c r="Z372" s="327"/>
      <c r="AA372" s="456"/>
      <c r="AB372" s="326"/>
      <c r="AC372" s="326"/>
      <c r="AD372" s="327"/>
      <c r="AE372" s="407"/>
      <c r="AF372" s="326"/>
      <c r="AG372" s="327"/>
      <c r="AH372" s="456"/>
      <c r="AI372" s="326"/>
      <c r="AJ372" s="327"/>
      <c r="AK372" s="407"/>
      <c r="AL372" s="326"/>
      <c r="AM372" s="326"/>
      <c r="AN372" s="327"/>
      <c r="AO372" s="456"/>
      <c r="AP372" s="326"/>
      <c r="AQ372" s="326"/>
      <c r="AR372" s="326"/>
      <c r="AS372" s="326"/>
      <c r="AT372" s="326"/>
      <c r="AU372" s="326"/>
      <c r="AV372" s="327"/>
      <c r="AW372" s="685"/>
      <c r="AX372" s="326"/>
      <c r="AY372" s="327"/>
      <c r="AZ372" s="456"/>
      <c r="BA372" s="326"/>
      <c r="BB372" s="326"/>
      <c r="BC372" s="326"/>
      <c r="BD372" s="326"/>
      <c r="BE372" s="326"/>
      <c r="BF372" s="326"/>
      <c r="BG372" s="326"/>
      <c r="BH372" s="326"/>
      <c r="BI372" s="326"/>
      <c r="BJ372" s="326"/>
      <c r="BK372" s="326"/>
      <c r="BL372" s="326"/>
      <c r="BM372" s="326"/>
      <c r="BN372" s="326"/>
      <c r="BO372" s="327"/>
    </row>
    <row r="373" spans="1:67" ht="34.5" customHeight="1" x14ac:dyDescent="0.25">
      <c r="A373" s="87">
        <f t="shared" si="1"/>
        <v>361</v>
      </c>
      <c r="B373" s="386" t="s">
        <v>334</v>
      </c>
      <c r="C373" s="327"/>
      <c r="D373" s="687"/>
      <c r="E373" s="326"/>
      <c r="F373" s="326"/>
      <c r="G373" s="326"/>
      <c r="H373" s="327"/>
      <c r="I373" s="381"/>
      <c r="J373" s="326"/>
      <c r="K373" s="326"/>
      <c r="L373" s="326"/>
      <c r="M373" s="326"/>
      <c r="N373" s="326"/>
      <c r="O373" s="326"/>
      <c r="P373" s="327"/>
      <c r="Q373" s="381"/>
      <c r="R373" s="326"/>
      <c r="S373" s="326"/>
      <c r="T373" s="326"/>
      <c r="U373" s="326"/>
      <c r="V373" s="326"/>
      <c r="W373" s="326"/>
      <c r="X373" s="327"/>
      <c r="Y373" s="381"/>
      <c r="Z373" s="327"/>
      <c r="AA373" s="381"/>
      <c r="AB373" s="326"/>
      <c r="AC373" s="326"/>
      <c r="AD373" s="327"/>
      <c r="AE373" s="381"/>
      <c r="AF373" s="326"/>
      <c r="AG373" s="327"/>
      <c r="AH373" s="381"/>
      <c r="AI373" s="326"/>
      <c r="AJ373" s="327"/>
      <c r="AK373" s="381"/>
      <c r="AL373" s="326"/>
      <c r="AM373" s="326"/>
      <c r="AN373" s="327"/>
      <c r="AO373" s="381"/>
      <c r="AP373" s="326"/>
      <c r="AQ373" s="326"/>
      <c r="AR373" s="326"/>
      <c r="AS373" s="326"/>
      <c r="AT373" s="326"/>
      <c r="AU373" s="326"/>
      <c r="AV373" s="327"/>
      <c r="AW373" s="686"/>
      <c r="AX373" s="326"/>
      <c r="AY373" s="327"/>
      <c r="AZ373" s="381"/>
      <c r="BA373" s="326"/>
      <c r="BB373" s="326"/>
      <c r="BC373" s="326"/>
      <c r="BD373" s="326"/>
      <c r="BE373" s="326"/>
      <c r="BF373" s="326"/>
      <c r="BG373" s="326"/>
      <c r="BH373" s="326"/>
      <c r="BI373" s="326"/>
      <c r="BJ373" s="326"/>
      <c r="BK373" s="326"/>
      <c r="BL373" s="326"/>
      <c r="BM373" s="326"/>
      <c r="BN373" s="326"/>
      <c r="BO373" s="327"/>
    </row>
    <row r="374" spans="1:67" ht="34.5" customHeight="1" x14ac:dyDescent="0.25">
      <c r="A374" s="87">
        <f t="shared" si="1"/>
        <v>362</v>
      </c>
      <c r="B374" s="688" t="s">
        <v>334</v>
      </c>
      <c r="C374" s="327"/>
      <c r="D374" s="498"/>
      <c r="E374" s="326"/>
      <c r="F374" s="326"/>
      <c r="G374" s="326"/>
      <c r="H374" s="327"/>
      <c r="I374" s="407"/>
      <c r="J374" s="326"/>
      <c r="K374" s="326"/>
      <c r="L374" s="326"/>
      <c r="M374" s="326"/>
      <c r="N374" s="326"/>
      <c r="O374" s="326"/>
      <c r="P374" s="327"/>
      <c r="Q374" s="456"/>
      <c r="R374" s="326"/>
      <c r="S374" s="326"/>
      <c r="T374" s="326"/>
      <c r="U374" s="326"/>
      <c r="V374" s="326"/>
      <c r="W374" s="326"/>
      <c r="X374" s="327"/>
      <c r="Y374" s="407"/>
      <c r="Z374" s="327"/>
      <c r="AA374" s="456"/>
      <c r="AB374" s="326"/>
      <c r="AC374" s="326"/>
      <c r="AD374" s="327"/>
      <c r="AE374" s="407"/>
      <c r="AF374" s="326"/>
      <c r="AG374" s="327"/>
      <c r="AH374" s="456"/>
      <c r="AI374" s="326"/>
      <c r="AJ374" s="327"/>
      <c r="AK374" s="407"/>
      <c r="AL374" s="326"/>
      <c r="AM374" s="326"/>
      <c r="AN374" s="327"/>
      <c r="AO374" s="456"/>
      <c r="AP374" s="326"/>
      <c r="AQ374" s="326"/>
      <c r="AR374" s="326"/>
      <c r="AS374" s="326"/>
      <c r="AT374" s="326"/>
      <c r="AU374" s="326"/>
      <c r="AV374" s="327"/>
      <c r="AW374" s="685"/>
      <c r="AX374" s="326"/>
      <c r="AY374" s="327"/>
      <c r="AZ374" s="456"/>
      <c r="BA374" s="326"/>
      <c r="BB374" s="326"/>
      <c r="BC374" s="326"/>
      <c r="BD374" s="326"/>
      <c r="BE374" s="326"/>
      <c r="BF374" s="326"/>
      <c r="BG374" s="326"/>
      <c r="BH374" s="326"/>
      <c r="BI374" s="326"/>
      <c r="BJ374" s="326"/>
      <c r="BK374" s="326"/>
      <c r="BL374" s="326"/>
      <c r="BM374" s="326"/>
      <c r="BN374" s="326"/>
      <c r="BO374" s="327"/>
    </row>
    <row r="375" spans="1:67" ht="34.5" customHeight="1" x14ac:dyDescent="0.25">
      <c r="A375" s="87">
        <f t="shared" si="1"/>
        <v>363</v>
      </c>
      <c r="B375" s="386" t="s">
        <v>334</v>
      </c>
      <c r="C375" s="327"/>
      <c r="D375" s="687"/>
      <c r="E375" s="326"/>
      <c r="F375" s="326"/>
      <c r="G375" s="326"/>
      <c r="H375" s="327"/>
      <c r="I375" s="381"/>
      <c r="J375" s="326"/>
      <c r="K375" s="326"/>
      <c r="L375" s="326"/>
      <c r="M375" s="326"/>
      <c r="N375" s="326"/>
      <c r="O375" s="326"/>
      <c r="P375" s="327"/>
      <c r="Q375" s="381"/>
      <c r="R375" s="326"/>
      <c r="S375" s="326"/>
      <c r="T375" s="326"/>
      <c r="U375" s="326"/>
      <c r="V375" s="326"/>
      <c r="W375" s="326"/>
      <c r="X375" s="327"/>
      <c r="Y375" s="381"/>
      <c r="Z375" s="327"/>
      <c r="AA375" s="381"/>
      <c r="AB375" s="326"/>
      <c r="AC375" s="326"/>
      <c r="AD375" s="327"/>
      <c r="AE375" s="381"/>
      <c r="AF375" s="326"/>
      <c r="AG375" s="327"/>
      <c r="AH375" s="381"/>
      <c r="AI375" s="326"/>
      <c r="AJ375" s="327"/>
      <c r="AK375" s="381"/>
      <c r="AL375" s="326"/>
      <c r="AM375" s="326"/>
      <c r="AN375" s="327"/>
      <c r="AO375" s="381"/>
      <c r="AP375" s="326"/>
      <c r="AQ375" s="326"/>
      <c r="AR375" s="326"/>
      <c r="AS375" s="326"/>
      <c r="AT375" s="326"/>
      <c r="AU375" s="326"/>
      <c r="AV375" s="327"/>
      <c r="AW375" s="686"/>
      <c r="AX375" s="326"/>
      <c r="AY375" s="327"/>
      <c r="AZ375" s="381"/>
      <c r="BA375" s="326"/>
      <c r="BB375" s="326"/>
      <c r="BC375" s="326"/>
      <c r="BD375" s="326"/>
      <c r="BE375" s="326"/>
      <c r="BF375" s="326"/>
      <c r="BG375" s="326"/>
      <c r="BH375" s="326"/>
      <c r="BI375" s="326"/>
      <c r="BJ375" s="326"/>
      <c r="BK375" s="326"/>
      <c r="BL375" s="326"/>
      <c r="BM375" s="326"/>
      <c r="BN375" s="326"/>
      <c r="BO375" s="327"/>
    </row>
    <row r="376" spans="1:67" ht="34.5" customHeight="1" x14ac:dyDescent="0.25">
      <c r="A376" s="87">
        <f t="shared" si="1"/>
        <v>364</v>
      </c>
      <c r="B376" s="386" t="s">
        <v>334</v>
      </c>
      <c r="C376" s="327"/>
      <c r="D376" s="498"/>
      <c r="E376" s="326"/>
      <c r="F376" s="326"/>
      <c r="G376" s="326"/>
      <c r="H376" s="327"/>
      <c r="I376" s="407"/>
      <c r="J376" s="326"/>
      <c r="K376" s="326"/>
      <c r="L376" s="326"/>
      <c r="M376" s="326"/>
      <c r="N376" s="326"/>
      <c r="O376" s="326"/>
      <c r="P376" s="327"/>
      <c r="Q376" s="456"/>
      <c r="R376" s="326"/>
      <c r="S376" s="326"/>
      <c r="T376" s="326"/>
      <c r="U376" s="326"/>
      <c r="V376" s="326"/>
      <c r="W376" s="326"/>
      <c r="X376" s="327"/>
      <c r="Y376" s="407"/>
      <c r="Z376" s="327"/>
      <c r="AA376" s="456"/>
      <c r="AB376" s="326"/>
      <c r="AC376" s="326"/>
      <c r="AD376" s="327"/>
      <c r="AE376" s="407"/>
      <c r="AF376" s="326"/>
      <c r="AG376" s="327"/>
      <c r="AH376" s="456"/>
      <c r="AI376" s="326"/>
      <c r="AJ376" s="327"/>
      <c r="AK376" s="407"/>
      <c r="AL376" s="326"/>
      <c r="AM376" s="326"/>
      <c r="AN376" s="327"/>
      <c r="AO376" s="456"/>
      <c r="AP376" s="326"/>
      <c r="AQ376" s="326"/>
      <c r="AR376" s="326"/>
      <c r="AS376" s="326"/>
      <c r="AT376" s="326"/>
      <c r="AU376" s="326"/>
      <c r="AV376" s="327"/>
      <c r="AW376" s="685"/>
      <c r="AX376" s="326"/>
      <c r="AY376" s="327"/>
      <c r="AZ376" s="456"/>
      <c r="BA376" s="326"/>
      <c r="BB376" s="326"/>
      <c r="BC376" s="326"/>
      <c r="BD376" s="326"/>
      <c r="BE376" s="326"/>
      <c r="BF376" s="326"/>
      <c r="BG376" s="326"/>
      <c r="BH376" s="326"/>
      <c r="BI376" s="326"/>
      <c r="BJ376" s="326"/>
      <c r="BK376" s="326"/>
      <c r="BL376" s="326"/>
      <c r="BM376" s="326"/>
      <c r="BN376" s="326"/>
      <c r="BO376" s="327"/>
    </row>
    <row r="377" spans="1:67" ht="34.5" customHeight="1" x14ac:dyDescent="0.25">
      <c r="A377" s="87">
        <f t="shared" si="1"/>
        <v>365</v>
      </c>
      <c r="B377" s="386" t="s">
        <v>334</v>
      </c>
      <c r="C377" s="327"/>
      <c r="D377" s="687"/>
      <c r="E377" s="326"/>
      <c r="F377" s="326"/>
      <c r="G377" s="326"/>
      <c r="H377" s="327"/>
      <c r="I377" s="381"/>
      <c r="J377" s="326"/>
      <c r="K377" s="326"/>
      <c r="L377" s="326"/>
      <c r="M377" s="326"/>
      <c r="N377" s="326"/>
      <c r="O377" s="326"/>
      <c r="P377" s="327"/>
      <c r="Q377" s="381"/>
      <c r="R377" s="326"/>
      <c r="S377" s="326"/>
      <c r="T377" s="326"/>
      <c r="U377" s="326"/>
      <c r="V377" s="326"/>
      <c r="W377" s="326"/>
      <c r="X377" s="327"/>
      <c r="Y377" s="381"/>
      <c r="Z377" s="327"/>
      <c r="AA377" s="381"/>
      <c r="AB377" s="326"/>
      <c r="AC377" s="326"/>
      <c r="AD377" s="327"/>
      <c r="AE377" s="381"/>
      <c r="AF377" s="326"/>
      <c r="AG377" s="327"/>
      <c r="AH377" s="381"/>
      <c r="AI377" s="326"/>
      <c r="AJ377" s="327"/>
      <c r="AK377" s="381"/>
      <c r="AL377" s="326"/>
      <c r="AM377" s="326"/>
      <c r="AN377" s="327"/>
      <c r="AO377" s="381"/>
      <c r="AP377" s="326"/>
      <c r="AQ377" s="326"/>
      <c r="AR377" s="326"/>
      <c r="AS377" s="326"/>
      <c r="AT377" s="326"/>
      <c r="AU377" s="326"/>
      <c r="AV377" s="327"/>
      <c r="AW377" s="686"/>
      <c r="AX377" s="326"/>
      <c r="AY377" s="327"/>
      <c r="AZ377" s="381"/>
      <c r="BA377" s="326"/>
      <c r="BB377" s="326"/>
      <c r="BC377" s="326"/>
      <c r="BD377" s="326"/>
      <c r="BE377" s="326"/>
      <c r="BF377" s="326"/>
      <c r="BG377" s="326"/>
      <c r="BH377" s="326"/>
      <c r="BI377" s="326"/>
      <c r="BJ377" s="326"/>
      <c r="BK377" s="326"/>
      <c r="BL377" s="326"/>
      <c r="BM377" s="326"/>
      <c r="BN377" s="326"/>
      <c r="BO377" s="327"/>
    </row>
    <row r="378" spans="1:67" ht="34.5" customHeight="1" x14ac:dyDescent="0.25">
      <c r="A378" s="87">
        <f t="shared" si="1"/>
        <v>366</v>
      </c>
      <c r="B378" s="386" t="s">
        <v>334</v>
      </c>
      <c r="C378" s="327"/>
      <c r="D378" s="498"/>
      <c r="E378" s="326"/>
      <c r="F378" s="326"/>
      <c r="G378" s="326"/>
      <c r="H378" s="327"/>
      <c r="I378" s="407"/>
      <c r="J378" s="326"/>
      <c r="K378" s="326"/>
      <c r="L378" s="326"/>
      <c r="M378" s="326"/>
      <c r="N378" s="326"/>
      <c r="O378" s="326"/>
      <c r="P378" s="327"/>
      <c r="Q378" s="456"/>
      <c r="R378" s="326"/>
      <c r="S378" s="326"/>
      <c r="T378" s="326"/>
      <c r="U378" s="326"/>
      <c r="V378" s="326"/>
      <c r="W378" s="326"/>
      <c r="X378" s="327"/>
      <c r="Y378" s="407"/>
      <c r="Z378" s="327"/>
      <c r="AA378" s="456"/>
      <c r="AB378" s="326"/>
      <c r="AC378" s="326"/>
      <c r="AD378" s="327"/>
      <c r="AE378" s="407"/>
      <c r="AF378" s="326"/>
      <c r="AG378" s="327"/>
      <c r="AH378" s="456"/>
      <c r="AI378" s="326"/>
      <c r="AJ378" s="327"/>
      <c r="AK378" s="407"/>
      <c r="AL378" s="326"/>
      <c r="AM378" s="326"/>
      <c r="AN378" s="327"/>
      <c r="AO378" s="456"/>
      <c r="AP378" s="326"/>
      <c r="AQ378" s="326"/>
      <c r="AR378" s="326"/>
      <c r="AS378" s="326"/>
      <c r="AT378" s="326"/>
      <c r="AU378" s="326"/>
      <c r="AV378" s="327"/>
      <c r="AW378" s="685"/>
      <c r="AX378" s="326"/>
      <c r="AY378" s="327"/>
      <c r="AZ378" s="456"/>
      <c r="BA378" s="326"/>
      <c r="BB378" s="326"/>
      <c r="BC378" s="326"/>
      <c r="BD378" s="326"/>
      <c r="BE378" s="326"/>
      <c r="BF378" s="326"/>
      <c r="BG378" s="326"/>
      <c r="BH378" s="326"/>
      <c r="BI378" s="326"/>
      <c r="BJ378" s="326"/>
      <c r="BK378" s="326"/>
      <c r="BL378" s="326"/>
      <c r="BM378" s="326"/>
      <c r="BN378" s="326"/>
      <c r="BO378" s="327"/>
    </row>
    <row r="379" spans="1:67" ht="34.5" customHeight="1" x14ac:dyDescent="0.25">
      <c r="A379" s="87">
        <f t="shared" si="1"/>
        <v>367</v>
      </c>
      <c r="B379" s="386" t="s">
        <v>334</v>
      </c>
      <c r="C379" s="327"/>
      <c r="D379" s="687"/>
      <c r="E379" s="326"/>
      <c r="F379" s="326"/>
      <c r="G379" s="326"/>
      <c r="H379" s="327"/>
      <c r="I379" s="381"/>
      <c r="J379" s="326"/>
      <c r="K379" s="326"/>
      <c r="L379" s="326"/>
      <c r="M379" s="326"/>
      <c r="N379" s="326"/>
      <c r="O379" s="326"/>
      <c r="P379" s="327"/>
      <c r="Q379" s="381"/>
      <c r="R379" s="326"/>
      <c r="S379" s="326"/>
      <c r="T379" s="326"/>
      <c r="U379" s="326"/>
      <c r="V379" s="326"/>
      <c r="W379" s="326"/>
      <c r="X379" s="327"/>
      <c r="Y379" s="381"/>
      <c r="Z379" s="327"/>
      <c r="AA379" s="381"/>
      <c r="AB379" s="326"/>
      <c r="AC379" s="326"/>
      <c r="AD379" s="327"/>
      <c r="AE379" s="381"/>
      <c r="AF379" s="326"/>
      <c r="AG379" s="327"/>
      <c r="AH379" s="381"/>
      <c r="AI379" s="326"/>
      <c r="AJ379" s="327"/>
      <c r="AK379" s="381"/>
      <c r="AL379" s="326"/>
      <c r="AM379" s="326"/>
      <c r="AN379" s="327"/>
      <c r="AO379" s="381"/>
      <c r="AP379" s="326"/>
      <c r="AQ379" s="326"/>
      <c r="AR379" s="326"/>
      <c r="AS379" s="326"/>
      <c r="AT379" s="326"/>
      <c r="AU379" s="326"/>
      <c r="AV379" s="327"/>
      <c r="AW379" s="686"/>
      <c r="AX379" s="326"/>
      <c r="AY379" s="327"/>
      <c r="AZ379" s="381"/>
      <c r="BA379" s="326"/>
      <c r="BB379" s="326"/>
      <c r="BC379" s="326"/>
      <c r="BD379" s="326"/>
      <c r="BE379" s="326"/>
      <c r="BF379" s="326"/>
      <c r="BG379" s="326"/>
      <c r="BH379" s="326"/>
      <c r="BI379" s="326"/>
      <c r="BJ379" s="326"/>
      <c r="BK379" s="326"/>
      <c r="BL379" s="326"/>
      <c r="BM379" s="326"/>
      <c r="BN379" s="326"/>
      <c r="BO379" s="327"/>
    </row>
    <row r="380" spans="1:67" ht="34.5" customHeight="1" x14ac:dyDescent="0.25">
      <c r="A380" s="87">
        <f t="shared" si="1"/>
        <v>368</v>
      </c>
      <c r="B380" s="386" t="s">
        <v>334</v>
      </c>
      <c r="C380" s="327"/>
      <c r="D380" s="498"/>
      <c r="E380" s="326"/>
      <c r="F380" s="326"/>
      <c r="G380" s="326"/>
      <c r="H380" s="327"/>
      <c r="I380" s="407"/>
      <c r="J380" s="326"/>
      <c r="K380" s="326"/>
      <c r="L380" s="326"/>
      <c r="M380" s="326"/>
      <c r="N380" s="326"/>
      <c r="O380" s="326"/>
      <c r="P380" s="327"/>
      <c r="Q380" s="456"/>
      <c r="R380" s="326"/>
      <c r="S380" s="326"/>
      <c r="T380" s="326"/>
      <c r="U380" s="326"/>
      <c r="V380" s="326"/>
      <c r="W380" s="326"/>
      <c r="X380" s="327"/>
      <c r="Y380" s="407"/>
      <c r="Z380" s="327"/>
      <c r="AA380" s="456"/>
      <c r="AB380" s="326"/>
      <c r="AC380" s="326"/>
      <c r="AD380" s="327"/>
      <c r="AE380" s="407"/>
      <c r="AF380" s="326"/>
      <c r="AG380" s="327"/>
      <c r="AH380" s="456"/>
      <c r="AI380" s="326"/>
      <c r="AJ380" s="327"/>
      <c r="AK380" s="407"/>
      <c r="AL380" s="326"/>
      <c r="AM380" s="326"/>
      <c r="AN380" s="327"/>
      <c r="AO380" s="456"/>
      <c r="AP380" s="326"/>
      <c r="AQ380" s="326"/>
      <c r="AR380" s="326"/>
      <c r="AS380" s="326"/>
      <c r="AT380" s="326"/>
      <c r="AU380" s="326"/>
      <c r="AV380" s="327"/>
      <c r="AW380" s="685"/>
      <c r="AX380" s="326"/>
      <c r="AY380" s="327"/>
      <c r="AZ380" s="456"/>
      <c r="BA380" s="326"/>
      <c r="BB380" s="326"/>
      <c r="BC380" s="326"/>
      <c r="BD380" s="326"/>
      <c r="BE380" s="326"/>
      <c r="BF380" s="326"/>
      <c r="BG380" s="326"/>
      <c r="BH380" s="326"/>
      <c r="BI380" s="326"/>
      <c r="BJ380" s="326"/>
      <c r="BK380" s="326"/>
      <c r="BL380" s="326"/>
      <c r="BM380" s="326"/>
      <c r="BN380" s="326"/>
      <c r="BO380" s="327"/>
    </row>
    <row r="381" spans="1:67" ht="34.5" customHeight="1" x14ac:dyDescent="0.25">
      <c r="A381" s="87">
        <f t="shared" si="1"/>
        <v>369</v>
      </c>
      <c r="B381" s="386" t="s">
        <v>334</v>
      </c>
      <c r="C381" s="327"/>
      <c r="D381" s="687"/>
      <c r="E381" s="326"/>
      <c r="F381" s="326"/>
      <c r="G381" s="326"/>
      <c r="H381" s="327"/>
      <c r="I381" s="381"/>
      <c r="J381" s="326"/>
      <c r="K381" s="326"/>
      <c r="L381" s="326"/>
      <c r="M381" s="326"/>
      <c r="N381" s="326"/>
      <c r="O381" s="326"/>
      <c r="P381" s="327"/>
      <c r="Q381" s="381"/>
      <c r="R381" s="326"/>
      <c r="S381" s="326"/>
      <c r="T381" s="326"/>
      <c r="U381" s="326"/>
      <c r="V381" s="326"/>
      <c r="W381" s="326"/>
      <c r="X381" s="327"/>
      <c r="Y381" s="381"/>
      <c r="Z381" s="327"/>
      <c r="AA381" s="381"/>
      <c r="AB381" s="326"/>
      <c r="AC381" s="326"/>
      <c r="AD381" s="327"/>
      <c r="AE381" s="381"/>
      <c r="AF381" s="326"/>
      <c r="AG381" s="327"/>
      <c r="AH381" s="381"/>
      <c r="AI381" s="326"/>
      <c r="AJ381" s="327"/>
      <c r="AK381" s="381"/>
      <c r="AL381" s="326"/>
      <c r="AM381" s="326"/>
      <c r="AN381" s="327"/>
      <c r="AO381" s="381"/>
      <c r="AP381" s="326"/>
      <c r="AQ381" s="326"/>
      <c r="AR381" s="326"/>
      <c r="AS381" s="326"/>
      <c r="AT381" s="326"/>
      <c r="AU381" s="326"/>
      <c r="AV381" s="327"/>
      <c r="AW381" s="686"/>
      <c r="AX381" s="326"/>
      <c r="AY381" s="327"/>
      <c r="AZ381" s="381"/>
      <c r="BA381" s="326"/>
      <c r="BB381" s="326"/>
      <c r="BC381" s="326"/>
      <c r="BD381" s="326"/>
      <c r="BE381" s="326"/>
      <c r="BF381" s="326"/>
      <c r="BG381" s="326"/>
      <c r="BH381" s="326"/>
      <c r="BI381" s="326"/>
      <c r="BJ381" s="326"/>
      <c r="BK381" s="326"/>
      <c r="BL381" s="326"/>
      <c r="BM381" s="326"/>
      <c r="BN381" s="326"/>
      <c r="BO381" s="327"/>
    </row>
    <row r="382" spans="1:67" ht="34.5" customHeight="1" x14ac:dyDescent="0.25">
      <c r="A382" s="87">
        <f t="shared" si="1"/>
        <v>370</v>
      </c>
      <c r="B382" s="386" t="s">
        <v>334</v>
      </c>
      <c r="C382" s="327"/>
      <c r="D382" s="498"/>
      <c r="E382" s="326"/>
      <c r="F382" s="326"/>
      <c r="G382" s="326"/>
      <c r="H382" s="327"/>
      <c r="I382" s="407"/>
      <c r="J382" s="326"/>
      <c r="K382" s="326"/>
      <c r="L382" s="326"/>
      <c r="M382" s="326"/>
      <c r="N382" s="326"/>
      <c r="O382" s="326"/>
      <c r="P382" s="327"/>
      <c r="Q382" s="456"/>
      <c r="R382" s="326"/>
      <c r="S382" s="326"/>
      <c r="T382" s="326"/>
      <c r="U382" s="326"/>
      <c r="V382" s="326"/>
      <c r="W382" s="326"/>
      <c r="X382" s="327"/>
      <c r="Y382" s="407"/>
      <c r="Z382" s="327"/>
      <c r="AA382" s="456"/>
      <c r="AB382" s="326"/>
      <c r="AC382" s="326"/>
      <c r="AD382" s="327"/>
      <c r="AE382" s="407"/>
      <c r="AF382" s="326"/>
      <c r="AG382" s="327"/>
      <c r="AH382" s="456"/>
      <c r="AI382" s="326"/>
      <c r="AJ382" s="327"/>
      <c r="AK382" s="407"/>
      <c r="AL382" s="326"/>
      <c r="AM382" s="326"/>
      <c r="AN382" s="327"/>
      <c r="AO382" s="456"/>
      <c r="AP382" s="326"/>
      <c r="AQ382" s="326"/>
      <c r="AR382" s="326"/>
      <c r="AS382" s="326"/>
      <c r="AT382" s="326"/>
      <c r="AU382" s="326"/>
      <c r="AV382" s="327"/>
      <c r="AW382" s="685"/>
      <c r="AX382" s="326"/>
      <c r="AY382" s="327"/>
      <c r="AZ382" s="456"/>
      <c r="BA382" s="326"/>
      <c r="BB382" s="326"/>
      <c r="BC382" s="326"/>
      <c r="BD382" s="326"/>
      <c r="BE382" s="326"/>
      <c r="BF382" s="326"/>
      <c r="BG382" s="326"/>
      <c r="BH382" s="326"/>
      <c r="BI382" s="326"/>
      <c r="BJ382" s="326"/>
      <c r="BK382" s="326"/>
      <c r="BL382" s="326"/>
      <c r="BM382" s="326"/>
      <c r="BN382" s="326"/>
      <c r="BO382" s="327"/>
    </row>
    <row r="383" spans="1:67" ht="34.5" customHeight="1" x14ac:dyDescent="0.25">
      <c r="A383" s="87">
        <f t="shared" si="1"/>
        <v>371</v>
      </c>
      <c r="B383" s="386" t="s">
        <v>334</v>
      </c>
      <c r="C383" s="327"/>
      <c r="D383" s="687"/>
      <c r="E383" s="326"/>
      <c r="F383" s="326"/>
      <c r="G383" s="326"/>
      <c r="H383" s="327"/>
      <c r="I383" s="381"/>
      <c r="J383" s="326"/>
      <c r="K383" s="326"/>
      <c r="L383" s="326"/>
      <c r="M383" s="326"/>
      <c r="N383" s="326"/>
      <c r="O383" s="326"/>
      <c r="P383" s="327"/>
      <c r="Q383" s="381"/>
      <c r="R383" s="326"/>
      <c r="S383" s="326"/>
      <c r="T383" s="326"/>
      <c r="U383" s="326"/>
      <c r="V383" s="326"/>
      <c r="W383" s="326"/>
      <c r="X383" s="327"/>
      <c r="Y383" s="381"/>
      <c r="Z383" s="327"/>
      <c r="AA383" s="381"/>
      <c r="AB383" s="326"/>
      <c r="AC383" s="326"/>
      <c r="AD383" s="327"/>
      <c r="AE383" s="381"/>
      <c r="AF383" s="326"/>
      <c r="AG383" s="327"/>
      <c r="AH383" s="381"/>
      <c r="AI383" s="326"/>
      <c r="AJ383" s="327"/>
      <c r="AK383" s="381"/>
      <c r="AL383" s="326"/>
      <c r="AM383" s="326"/>
      <c r="AN383" s="327"/>
      <c r="AO383" s="381"/>
      <c r="AP383" s="326"/>
      <c r="AQ383" s="326"/>
      <c r="AR383" s="326"/>
      <c r="AS383" s="326"/>
      <c r="AT383" s="326"/>
      <c r="AU383" s="326"/>
      <c r="AV383" s="327"/>
      <c r="AW383" s="686"/>
      <c r="AX383" s="326"/>
      <c r="AY383" s="327"/>
      <c r="AZ383" s="381"/>
      <c r="BA383" s="326"/>
      <c r="BB383" s="326"/>
      <c r="BC383" s="326"/>
      <c r="BD383" s="326"/>
      <c r="BE383" s="326"/>
      <c r="BF383" s="326"/>
      <c r="BG383" s="326"/>
      <c r="BH383" s="326"/>
      <c r="BI383" s="326"/>
      <c r="BJ383" s="326"/>
      <c r="BK383" s="326"/>
      <c r="BL383" s="326"/>
      <c r="BM383" s="326"/>
      <c r="BN383" s="326"/>
      <c r="BO383" s="327"/>
    </row>
    <row r="384" spans="1:67" ht="34.5" customHeight="1" x14ac:dyDescent="0.25">
      <c r="A384" s="87">
        <f t="shared" si="1"/>
        <v>372</v>
      </c>
      <c r="B384" s="386" t="s">
        <v>334</v>
      </c>
      <c r="C384" s="327"/>
      <c r="D384" s="498"/>
      <c r="E384" s="326"/>
      <c r="F384" s="326"/>
      <c r="G384" s="326"/>
      <c r="H384" s="327"/>
      <c r="I384" s="407"/>
      <c r="J384" s="326"/>
      <c r="K384" s="326"/>
      <c r="L384" s="326"/>
      <c r="M384" s="326"/>
      <c r="N384" s="326"/>
      <c r="O384" s="326"/>
      <c r="P384" s="327"/>
      <c r="Q384" s="456"/>
      <c r="R384" s="326"/>
      <c r="S384" s="326"/>
      <c r="T384" s="326"/>
      <c r="U384" s="326"/>
      <c r="V384" s="326"/>
      <c r="W384" s="326"/>
      <c r="X384" s="327"/>
      <c r="Y384" s="407"/>
      <c r="Z384" s="327"/>
      <c r="AA384" s="456"/>
      <c r="AB384" s="326"/>
      <c r="AC384" s="326"/>
      <c r="AD384" s="327"/>
      <c r="AE384" s="407"/>
      <c r="AF384" s="326"/>
      <c r="AG384" s="327"/>
      <c r="AH384" s="456"/>
      <c r="AI384" s="326"/>
      <c r="AJ384" s="327"/>
      <c r="AK384" s="407"/>
      <c r="AL384" s="326"/>
      <c r="AM384" s="326"/>
      <c r="AN384" s="327"/>
      <c r="AO384" s="456"/>
      <c r="AP384" s="326"/>
      <c r="AQ384" s="326"/>
      <c r="AR384" s="326"/>
      <c r="AS384" s="326"/>
      <c r="AT384" s="326"/>
      <c r="AU384" s="326"/>
      <c r="AV384" s="327"/>
      <c r="AW384" s="685"/>
      <c r="AX384" s="326"/>
      <c r="AY384" s="327"/>
      <c r="AZ384" s="456"/>
      <c r="BA384" s="326"/>
      <c r="BB384" s="326"/>
      <c r="BC384" s="326"/>
      <c r="BD384" s="326"/>
      <c r="BE384" s="326"/>
      <c r="BF384" s="326"/>
      <c r="BG384" s="326"/>
      <c r="BH384" s="326"/>
      <c r="BI384" s="326"/>
      <c r="BJ384" s="326"/>
      <c r="BK384" s="326"/>
      <c r="BL384" s="326"/>
      <c r="BM384" s="326"/>
      <c r="BN384" s="326"/>
      <c r="BO384" s="327"/>
    </row>
    <row r="385" spans="1:67" ht="34.5" customHeight="1" x14ac:dyDescent="0.25">
      <c r="A385" s="87">
        <f t="shared" si="1"/>
        <v>373</v>
      </c>
      <c r="B385" s="386" t="s">
        <v>334</v>
      </c>
      <c r="C385" s="327"/>
      <c r="D385" s="687"/>
      <c r="E385" s="326"/>
      <c r="F385" s="326"/>
      <c r="G385" s="326"/>
      <c r="H385" s="327"/>
      <c r="I385" s="381"/>
      <c r="J385" s="326"/>
      <c r="K385" s="326"/>
      <c r="L385" s="326"/>
      <c r="M385" s="326"/>
      <c r="N385" s="326"/>
      <c r="O385" s="326"/>
      <c r="P385" s="327"/>
      <c r="Q385" s="381"/>
      <c r="R385" s="326"/>
      <c r="S385" s="326"/>
      <c r="T385" s="326"/>
      <c r="U385" s="326"/>
      <c r="V385" s="326"/>
      <c r="W385" s="326"/>
      <c r="X385" s="327"/>
      <c r="Y385" s="381"/>
      <c r="Z385" s="327"/>
      <c r="AA385" s="381"/>
      <c r="AB385" s="326"/>
      <c r="AC385" s="326"/>
      <c r="AD385" s="327"/>
      <c r="AE385" s="381"/>
      <c r="AF385" s="326"/>
      <c r="AG385" s="327"/>
      <c r="AH385" s="381"/>
      <c r="AI385" s="326"/>
      <c r="AJ385" s="327"/>
      <c r="AK385" s="381"/>
      <c r="AL385" s="326"/>
      <c r="AM385" s="326"/>
      <c r="AN385" s="327"/>
      <c r="AO385" s="381"/>
      <c r="AP385" s="326"/>
      <c r="AQ385" s="326"/>
      <c r="AR385" s="326"/>
      <c r="AS385" s="326"/>
      <c r="AT385" s="326"/>
      <c r="AU385" s="326"/>
      <c r="AV385" s="327"/>
      <c r="AW385" s="686"/>
      <c r="AX385" s="326"/>
      <c r="AY385" s="327"/>
      <c r="AZ385" s="381"/>
      <c r="BA385" s="326"/>
      <c r="BB385" s="326"/>
      <c r="BC385" s="326"/>
      <c r="BD385" s="326"/>
      <c r="BE385" s="326"/>
      <c r="BF385" s="326"/>
      <c r="BG385" s="326"/>
      <c r="BH385" s="326"/>
      <c r="BI385" s="326"/>
      <c r="BJ385" s="326"/>
      <c r="BK385" s="326"/>
      <c r="BL385" s="326"/>
      <c r="BM385" s="326"/>
      <c r="BN385" s="326"/>
      <c r="BO385" s="327"/>
    </row>
    <row r="386" spans="1:67" ht="34.5" customHeight="1" x14ac:dyDescent="0.25">
      <c r="A386" s="87">
        <f t="shared" si="1"/>
        <v>374</v>
      </c>
      <c r="B386" s="386" t="s">
        <v>334</v>
      </c>
      <c r="C386" s="327"/>
      <c r="D386" s="498"/>
      <c r="E386" s="326"/>
      <c r="F386" s="326"/>
      <c r="G386" s="326"/>
      <c r="H386" s="327"/>
      <c r="I386" s="407"/>
      <c r="J386" s="326"/>
      <c r="K386" s="326"/>
      <c r="L386" s="326"/>
      <c r="M386" s="326"/>
      <c r="N386" s="326"/>
      <c r="O386" s="326"/>
      <c r="P386" s="327"/>
      <c r="Q386" s="456"/>
      <c r="R386" s="326"/>
      <c r="S386" s="326"/>
      <c r="T386" s="326"/>
      <c r="U386" s="326"/>
      <c r="V386" s="326"/>
      <c r="W386" s="326"/>
      <c r="X386" s="327"/>
      <c r="Y386" s="407"/>
      <c r="Z386" s="327"/>
      <c r="AA386" s="456"/>
      <c r="AB386" s="326"/>
      <c r="AC386" s="326"/>
      <c r="AD386" s="327"/>
      <c r="AE386" s="407"/>
      <c r="AF386" s="326"/>
      <c r="AG386" s="327"/>
      <c r="AH386" s="456"/>
      <c r="AI386" s="326"/>
      <c r="AJ386" s="327"/>
      <c r="AK386" s="407"/>
      <c r="AL386" s="326"/>
      <c r="AM386" s="326"/>
      <c r="AN386" s="327"/>
      <c r="AO386" s="456"/>
      <c r="AP386" s="326"/>
      <c r="AQ386" s="326"/>
      <c r="AR386" s="326"/>
      <c r="AS386" s="326"/>
      <c r="AT386" s="326"/>
      <c r="AU386" s="326"/>
      <c r="AV386" s="327"/>
      <c r="AW386" s="685"/>
      <c r="AX386" s="326"/>
      <c r="AY386" s="327"/>
      <c r="AZ386" s="456"/>
      <c r="BA386" s="326"/>
      <c r="BB386" s="326"/>
      <c r="BC386" s="326"/>
      <c r="BD386" s="326"/>
      <c r="BE386" s="326"/>
      <c r="BF386" s="326"/>
      <c r="BG386" s="326"/>
      <c r="BH386" s="326"/>
      <c r="BI386" s="326"/>
      <c r="BJ386" s="326"/>
      <c r="BK386" s="326"/>
      <c r="BL386" s="326"/>
      <c r="BM386" s="326"/>
      <c r="BN386" s="326"/>
      <c r="BO386" s="327"/>
    </row>
    <row r="387" spans="1:67" ht="34.5" customHeight="1" x14ac:dyDescent="0.25">
      <c r="A387" s="87">
        <f t="shared" si="1"/>
        <v>375</v>
      </c>
      <c r="B387" s="386" t="s">
        <v>334</v>
      </c>
      <c r="C387" s="327"/>
      <c r="D387" s="687"/>
      <c r="E387" s="326"/>
      <c r="F387" s="326"/>
      <c r="G387" s="326"/>
      <c r="H387" s="327"/>
      <c r="I387" s="381"/>
      <c r="J387" s="326"/>
      <c r="K387" s="326"/>
      <c r="L387" s="326"/>
      <c r="M387" s="326"/>
      <c r="N387" s="326"/>
      <c r="O387" s="326"/>
      <c r="P387" s="327"/>
      <c r="Q387" s="381"/>
      <c r="R387" s="326"/>
      <c r="S387" s="326"/>
      <c r="T387" s="326"/>
      <c r="U387" s="326"/>
      <c r="V387" s="326"/>
      <c r="W387" s="326"/>
      <c r="X387" s="327"/>
      <c r="Y387" s="381"/>
      <c r="Z387" s="327"/>
      <c r="AA387" s="381"/>
      <c r="AB387" s="326"/>
      <c r="AC387" s="326"/>
      <c r="AD387" s="327"/>
      <c r="AE387" s="381"/>
      <c r="AF387" s="326"/>
      <c r="AG387" s="327"/>
      <c r="AH387" s="381"/>
      <c r="AI387" s="326"/>
      <c r="AJ387" s="327"/>
      <c r="AK387" s="381"/>
      <c r="AL387" s="326"/>
      <c r="AM387" s="326"/>
      <c r="AN387" s="327"/>
      <c r="AO387" s="381"/>
      <c r="AP387" s="326"/>
      <c r="AQ387" s="326"/>
      <c r="AR387" s="326"/>
      <c r="AS387" s="326"/>
      <c r="AT387" s="326"/>
      <c r="AU387" s="326"/>
      <c r="AV387" s="327"/>
      <c r="AW387" s="686"/>
      <c r="AX387" s="326"/>
      <c r="AY387" s="327"/>
      <c r="AZ387" s="381"/>
      <c r="BA387" s="326"/>
      <c r="BB387" s="326"/>
      <c r="BC387" s="326"/>
      <c r="BD387" s="326"/>
      <c r="BE387" s="326"/>
      <c r="BF387" s="326"/>
      <c r="BG387" s="326"/>
      <c r="BH387" s="326"/>
      <c r="BI387" s="326"/>
      <c r="BJ387" s="326"/>
      <c r="BK387" s="326"/>
      <c r="BL387" s="326"/>
      <c r="BM387" s="326"/>
      <c r="BN387" s="326"/>
      <c r="BO387" s="327"/>
    </row>
    <row r="388" spans="1:67" ht="34.5" customHeight="1" x14ac:dyDescent="0.25">
      <c r="A388" s="87">
        <f t="shared" si="1"/>
        <v>376</v>
      </c>
      <c r="B388" s="386" t="s">
        <v>334</v>
      </c>
      <c r="C388" s="327"/>
      <c r="D388" s="498"/>
      <c r="E388" s="326"/>
      <c r="F388" s="326"/>
      <c r="G388" s="326"/>
      <c r="H388" s="327"/>
      <c r="I388" s="407"/>
      <c r="J388" s="326"/>
      <c r="K388" s="326"/>
      <c r="L388" s="326"/>
      <c r="M388" s="326"/>
      <c r="N388" s="326"/>
      <c r="O388" s="326"/>
      <c r="P388" s="327"/>
      <c r="Q388" s="456"/>
      <c r="R388" s="326"/>
      <c r="S388" s="326"/>
      <c r="T388" s="326"/>
      <c r="U388" s="326"/>
      <c r="V388" s="326"/>
      <c r="W388" s="326"/>
      <c r="X388" s="327"/>
      <c r="Y388" s="407"/>
      <c r="Z388" s="327"/>
      <c r="AA388" s="456"/>
      <c r="AB388" s="326"/>
      <c r="AC388" s="326"/>
      <c r="AD388" s="327"/>
      <c r="AE388" s="407"/>
      <c r="AF388" s="326"/>
      <c r="AG388" s="327"/>
      <c r="AH388" s="456"/>
      <c r="AI388" s="326"/>
      <c r="AJ388" s="327"/>
      <c r="AK388" s="407"/>
      <c r="AL388" s="326"/>
      <c r="AM388" s="326"/>
      <c r="AN388" s="327"/>
      <c r="AO388" s="456"/>
      <c r="AP388" s="326"/>
      <c r="AQ388" s="326"/>
      <c r="AR388" s="326"/>
      <c r="AS388" s="326"/>
      <c r="AT388" s="326"/>
      <c r="AU388" s="326"/>
      <c r="AV388" s="327"/>
      <c r="AW388" s="685"/>
      <c r="AX388" s="326"/>
      <c r="AY388" s="327"/>
      <c r="AZ388" s="456"/>
      <c r="BA388" s="326"/>
      <c r="BB388" s="326"/>
      <c r="BC388" s="326"/>
      <c r="BD388" s="326"/>
      <c r="BE388" s="326"/>
      <c r="BF388" s="326"/>
      <c r="BG388" s="326"/>
      <c r="BH388" s="326"/>
      <c r="BI388" s="326"/>
      <c r="BJ388" s="326"/>
      <c r="BK388" s="326"/>
      <c r="BL388" s="326"/>
      <c r="BM388" s="326"/>
      <c r="BN388" s="326"/>
      <c r="BO388" s="327"/>
    </row>
    <row r="389" spans="1:67" ht="34.5" customHeight="1" x14ac:dyDescent="0.25">
      <c r="A389" s="87">
        <f t="shared" si="1"/>
        <v>377</v>
      </c>
      <c r="B389" s="386" t="s">
        <v>334</v>
      </c>
      <c r="C389" s="327"/>
      <c r="D389" s="687"/>
      <c r="E389" s="326"/>
      <c r="F389" s="326"/>
      <c r="G389" s="326"/>
      <c r="H389" s="327"/>
      <c r="I389" s="381"/>
      <c r="J389" s="326"/>
      <c r="K389" s="326"/>
      <c r="L389" s="326"/>
      <c r="M389" s="326"/>
      <c r="N389" s="326"/>
      <c r="O389" s="326"/>
      <c r="P389" s="327"/>
      <c r="Q389" s="381"/>
      <c r="R389" s="326"/>
      <c r="S389" s="326"/>
      <c r="T389" s="326"/>
      <c r="U389" s="326"/>
      <c r="V389" s="326"/>
      <c r="W389" s="326"/>
      <c r="X389" s="327"/>
      <c r="Y389" s="381"/>
      <c r="Z389" s="327"/>
      <c r="AA389" s="381"/>
      <c r="AB389" s="326"/>
      <c r="AC389" s="326"/>
      <c r="AD389" s="327"/>
      <c r="AE389" s="381"/>
      <c r="AF389" s="326"/>
      <c r="AG389" s="327"/>
      <c r="AH389" s="381"/>
      <c r="AI389" s="326"/>
      <c r="AJ389" s="327"/>
      <c r="AK389" s="381"/>
      <c r="AL389" s="326"/>
      <c r="AM389" s="326"/>
      <c r="AN389" s="327"/>
      <c r="AO389" s="381"/>
      <c r="AP389" s="326"/>
      <c r="AQ389" s="326"/>
      <c r="AR389" s="326"/>
      <c r="AS389" s="326"/>
      <c r="AT389" s="326"/>
      <c r="AU389" s="326"/>
      <c r="AV389" s="327"/>
      <c r="AW389" s="686"/>
      <c r="AX389" s="326"/>
      <c r="AY389" s="327"/>
      <c r="AZ389" s="381"/>
      <c r="BA389" s="326"/>
      <c r="BB389" s="326"/>
      <c r="BC389" s="326"/>
      <c r="BD389" s="326"/>
      <c r="BE389" s="326"/>
      <c r="BF389" s="326"/>
      <c r="BG389" s="326"/>
      <c r="BH389" s="326"/>
      <c r="BI389" s="326"/>
      <c r="BJ389" s="326"/>
      <c r="BK389" s="326"/>
      <c r="BL389" s="326"/>
      <c r="BM389" s="326"/>
      <c r="BN389" s="326"/>
      <c r="BO389" s="327"/>
    </row>
    <row r="390" spans="1:67" ht="34.5" customHeight="1" x14ac:dyDescent="0.25">
      <c r="A390" s="87">
        <f t="shared" si="1"/>
        <v>378</v>
      </c>
      <c r="B390" s="386" t="s">
        <v>334</v>
      </c>
      <c r="C390" s="327"/>
      <c r="D390" s="498"/>
      <c r="E390" s="326"/>
      <c r="F390" s="326"/>
      <c r="G390" s="326"/>
      <c r="H390" s="327"/>
      <c r="I390" s="407"/>
      <c r="J390" s="326"/>
      <c r="K390" s="326"/>
      <c r="L390" s="326"/>
      <c r="M390" s="326"/>
      <c r="N390" s="326"/>
      <c r="O390" s="326"/>
      <c r="P390" s="327"/>
      <c r="Q390" s="456"/>
      <c r="R390" s="326"/>
      <c r="S390" s="326"/>
      <c r="T390" s="326"/>
      <c r="U390" s="326"/>
      <c r="V390" s="326"/>
      <c r="W390" s="326"/>
      <c r="X390" s="327"/>
      <c r="Y390" s="407"/>
      <c r="Z390" s="327"/>
      <c r="AA390" s="456"/>
      <c r="AB390" s="326"/>
      <c r="AC390" s="326"/>
      <c r="AD390" s="327"/>
      <c r="AE390" s="407"/>
      <c r="AF390" s="326"/>
      <c r="AG390" s="327"/>
      <c r="AH390" s="456"/>
      <c r="AI390" s="326"/>
      <c r="AJ390" s="327"/>
      <c r="AK390" s="407"/>
      <c r="AL390" s="326"/>
      <c r="AM390" s="326"/>
      <c r="AN390" s="327"/>
      <c r="AO390" s="456"/>
      <c r="AP390" s="326"/>
      <c r="AQ390" s="326"/>
      <c r="AR390" s="326"/>
      <c r="AS390" s="326"/>
      <c r="AT390" s="326"/>
      <c r="AU390" s="326"/>
      <c r="AV390" s="327"/>
      <c r="AW390" s="685"/>
      <c r="AX390" s="326"/>
      <c r="AY390" s="327"/>
      <c r="AZ390" s="456"/>
      <c r="BA390" s="326"/>
      <c r="BB390" s="326"/>
      <c r="BC390" s="326"/>
      <c r="BD390" s="326"/>
      <c r="BE390" s="326"/>
      <c r="BF390" s="326"/>
      <c r="BG390" s="326"/>
      <c r="BH390" s="326"/>
      <c r="BI390" s="326"/>
      <c r="BJ390" s="326"/>
      <c r="BK390" s="326"/>
      <c r="BL390" s="326"/>
      <c r="BM390" s="326"/>
      <c r="BN390" s="326"/>
      <c r="BO390" s="327"/>
    </row>
    <row r="391" spans="1:67" ht="34.5" customHeight="1" x14ac:dyDescent="0.25">
      <c r="A391" s="87">
        <f t="shared" si="1"/>
        <v>379</v>
      </c>
      <c r="B391" s="386" t="s">
        <v>334</v>
      </c>
      <c r="C391" s="327"/>
      <c r="D391" s="687"/>
      <c r="E391" s="326"/>
      <c r="F391" s="326"/>
      <c r="G391" s="326"/>
      <c r="H391" s="327"/>
      <c r="I391" s="381"/>
      <c r="J391" s="326"/>
      <c r="K391" s="326"/>
      <c r="L391" s="326"/>
      <c r="M391" s="326"/>
      <c r="N391" s="326"/>
      <c r="O391" s="326"/>
      <c r="P391" s="327"/>
      <c r="Q391" s="381"/>
      <c r="R391" s="326"/>
      <c r="S391" s="326"/>
      <c r="T391" s="326"/>
      <c r="U391" s="326"/>
      <c r="V391" s="326"/>
      <c r="W391" s="326"/>
      <c r="X391" s="327"/>
      <c r="Y391" s="381"/>
      <c r="Z391" s="327"/>
      <c r="AA391" s="381"/>
      <c r="AB391" s="326"/>
      <c r="AC391" s="326"/>
      <c r="AD391" s="327"/>
      <c r="AE391" s="381"/>
      <c r="AF391" s="326"/>
      <c r="AG391" s="327"/>
      <c r="AH391" s="381"/>
      <c r="AI391" s="326"/>
      <c r="AJ391" s="327"/>
      <c r="AK391" s="381"/>
      <c r="AL391" s="326"/>
      <c r="AM391" s="326"/>
      <c r="AN391" s="327"/>
      <c r="AO391" s="381"/>
      <c r="AP391" s="326"/>
      <c r="AQ391" s="326"/>
      <c r="AR391" s="326"/>
      <c r="AS391" s="326"/>
      <c r="AT391" s="326"/>
      <c r="AU391" s="326"/>
      <c r="AV391" s="327"/>
      <c r="AW391" s="686"/>
      <c r="AX391" s="326"/>
      <c r="AY391" s="327"/>
      <c r="AZ391" s="381"/>
      <c r="BA391" s="326"/>
      <c r="BB391" s="326"/>
      <c r="BC391" s="326"/>
      <c r="BD391" s="326"/>
      <c r="BE391" s="326"/>
      <c r="BF391" s="326"/>
      <c r="BG391" s="326"/>
      <c r="BH391" s="326"/>
      <c r="BI391" s="326"/>
      <c r="BJ391" s="326"/>
      <c r="BK391" s="326"/>
      <c r="BL391" s="326"/>
      <c r="BM391" s="326"/>
      <c r="BN391" s="326"/>
      <c r="BO391" s="327"/>
    </row>
    <row r="392" spans="1:67" ht="34.5" customHeight="1" x14ac:dyDescent="0.25">
      <c r="A392" s="87">
        <f t="shared" si="1"/>
        <v>380</v>
      </c>
      <c r="B392" s="688" t="s">
        <v>334</v>
      </c>
      <c r="C392" s="327"/>
      <c r="D392" s="498"/>
      <c r="E392" s="326"/>
      <c r="F392" s="326"/>
      <c r="G392" s="326"/>
      <c r="H392" s="327"/>
      <c r="I392" s="407"/>
      <c r="J392" s="326"/>
      <c r="K392" s="326"/>
      <c r="L392" s="326"/>
      <c r="M392" s="326"/>
      <c r="N392" s="326"/>
      <c r="O392" s="326"/>
      <c r="P392" s="327"/>
      <c r="Q392" s="456"/>
      <c r="R392" s="326"/>
      <c r="S392" s="326"/>
      <c r="T392" s="326"/>
      <c r="U392" s="326"/>
      <c r="V392" s="326"/>
      <c r="W392" s="326"/>
      <c r="X392" s="327"/>
      <c r="Y392" s="407"/>
      <c r="Z392" s="327"/>
      <c r="AA392" s="456"/>
      <c r="AB392" s="326"/>
      <c r="AC392" s="326"/>
      <c r="AD392" s="327"/>
      <c r="AE392" s="407"/>
      <c r="AF392" s="326"/>
      <c r="AG392" s="327"/>
      <c r="AH392" s="456"/>
      <c r="AI392" s="326"/>
      <c r="AJ392" s="327"/>
      <c r="AK392" s="407"/>
      <c r="AL392" s="326"/>
      <c r="AM392" s="326"/>
      <c r="AN392" s="327"/>
      <c r="AO392" s="456"/>
      <c r="AP392" s="326"/>
      <c r="AQ392" s="326"/>
      <c r="AR392" s="326"/>
      <c r="AS392" s="326"/>
      <c r="AT392" s="326"/>
      <c r="AU392" s="326"/>
      <c r="AV392" s="327"/>
      <c r="AW392" s="685"/>
      <c r="AX392" s="326"/>
      <c r="AY392" s="327"/>
      <c r="AZ392" s="456"/>
      <c r="BA392" s="326"/>
      <c r="BB392" s="326"/>
      <c r="BC392" s="326"/>
      <c r="BD392" s="326"/>
      <c r="BE392" s="326"/>
      <c r="BF392" s="326"/>
      <c r="BG392" s="326"/>
      <c r="BH392" s="326"/>
      <c r="BI392" s="326"/>
      <c r="BJ392" s="326"/>
      <c r="BK392" s="326"/>
      <c r="BL392" s="326"/>
      <c r="BM392" s="326"/>
      <c r="BN392" s="326"/>
      <c r="BO392" s="327"/>
    </row>
    <row r="393" spans="1:67" ht="34.5" customHeight="1" x14ac:dyDescent="0.25">
      <c r="A393" s="87">
        <f t="shared" si="1"/>
        <v>381</v>
      </c>
      <c r="B393" s="386" t="s">
        <v>334</v>
      </c>
      <c r="C393" s="327"/>
      <c r="D393" s="687"/>
      <c r="E393" s="326"/>
      <c r="F393" s="326"/>
      <c r="G393" s="326"/>
      <c r="H393" s="327"/>
      <c r="I393" s="381"/>
      <c r="J393" s="326"/>
      <c r="K393" s="326"/>
      <c r="L393" s="326"/>
      <c r="M393" s="326"/>
      <c r="N393" s="326"/>
      <c r="O393" s="326"/>
      <c r="P393" s="327"/>
      <c r="Q393" s="381"/>
      <c r="R393" s="326"/>
      <c r="S393" s="326"/>
      <c r="T393" s="326"/>
      <c r="U393" s="326"/>
      <c r="V393" s="326"/>
      <c r="W393" s="326"/>
      <c r="X393" s="327"/>
      <c r="Y393" s="381"/>
      <c r="Z393" s="327"/>
      <c r="AA393" s="381"/>
      <c r="AB393" s="326"/>
      <c r="AC393" s="326"/>
      <c r="AD393" s="327"/>
      <c r="AE393" s="381"/>
      <c r="AF393" s="326"/>
      <c r="AG393" s="327"/>
      <c r="AH393" s="381"/>
      <c r="AI393" s="326"/>
      <c r="AJ393" s="327"/>
      <c r="AK393" s="381"/>
      <c r="AL393" s="326"/>
      <c r="AM393" s="326"/>
      <c r="AN393" s="327"/>
      <c r="AO393" s="381"/>
      <c r="AP393" s="326"/>
      <c r="AQ393" s="326"/>
      <c r="AR393" s="326"/>
      <c r="AS393" s="326"/>
      <c r="AT393" s="326"/>
      <c r="AU393" s="326"/>
      <c r="AV393" s="327"/>
      <c r="AW393" s="686"/>
      <c r="AX393" s="326"/>
      <c r="AY393" s="327"/>
      <c r="AZ393" s="381"/>
      <c r="BA393" s="326"/>
      <c r="BB393" s="326"/>
      <c r="BC393" s="326"/>
      <c r="BD393" s="326"/>
      <c r="BE393" s="326"/>
      <c r="BF393" s="326"/>
      <c r="BG393" s="326"/>
      <c r="BH393" s="326"/>
      <c r="BI393" s="326"/>
      <c r="BJ393" s="326"/>
      <c r="BK393" s="326"/>
      <c r="BL393" s="326"/>
      <c r="BM393" s="326"/>
      <c r="BN393" s="326"/>
      <c r="BO393" s="327"/>
    </row>
    <row r="394" spans="1:67" ht="34.5" customHeight="1" x14ac:dyDescent="0.25">
      <c r="A394" s="87">
        <f t="shared" si="1"/>
        <v>382</v>
      </c>
      <c r="B394" s="386" t="s">
        <v>334</v>
      </c>
      <c r="C394" s="327"/>
      <c r="D394" s="498"/>
      <c r="E394" s="326"/>
      <c r="F394" s="326"/>
      <c r="G394" s="326"/>
      <c r="H394" s="327"/>
      <c r="I394" s="407"/>
      <c r="J394" s="326"/>
      <c r="K394" s="326"/>
      <c r="L394" s="326"/>
      <c r="M394" s="326"/>
      <c r="N394" s="326"/>
      <c r="O394" s="326"/>
      <c r="P394" s="327"/>
      <c r="Q394" s="456"/>
      <c r="R394" s="326"/>
      <c r="S394" s="326"/>
      <c r="T394" s="326"/>
      <c r="U394" s="326"/>
      <c r="V394" s="326"/>
      <c r="W394" s="326"/>
      <c r="X394" s="327"/>
      <c r="Y394" s="407"/>
      <c r="Z394" s="327"/>
      <c r="AA394" s="456"/>
      <c r="AB394" s="326"/>
      <c r="AC394" s="326"/>
      <c r="AD394" s="327"/>
      <c r="AE394" s="407"/>
      <c r="AF394" s="326"/>
      <c r="AG394" s="327"/>
      <c r="AH394" s="456"/>
      <c r="AI394" s="326"/>
      <c r="AJ394" s="327"/>
      <c r="AK394" s="407"/>
      <c r="AL394" s="326"/>
      <c r="AM394" s="326"/>
      <c r="AN394" s="327"/>
      <c r="AO394" s="456"/>
      <c r="AP394" s="326"/>
      <c r="AQ394" s="326"/>
      <c r="AR394" s="326"/>
      <c r="AS394" s="326"/>
      <c r="AT394" s="326"/>
      <c r="AU394" s="326"/>
      <c r="AV394" s="327"/>
      <c r="AW394" s="685"/>
      <c r="AX394" s="326"/>
      <c r="AY394" s="327"/>
      <c r="AZ394" s="456"/>
      <c r="BA394" s="326"/>
      <c r="BB394" s="326"/>
      <c r="BC394" s="326"/>
      <c r="BD394" s="326"/>
      <c r="BE394" s="326"/>
      <c r="BF394" s="326"/>
      <c r="BG394" s="326"/>
      <c r="BH394" s="326"/>
      <c r="BI394" s="326"/>
      <c r="BJ394" s="326"/>
      <c r="BK394" s="326"/>
      <c r="BL394" s="326"/>
      <c r="BM394" s="326"/>
      <c r="BN394" s="326"/>
      <c r="BO394" s="327"/>
    </row>
    <row r="395" spans="1:67" ht="34.5" customHeight="1" x14ac:dyDescent="0.25">
      <c r="A395" s="87">
        <f t="shared" si="1"/>
        <v>383</v>
      </c>
      <c r="B395" s="386" t="s">
        <v>334</v>
      </c>
      <c r="C395" s="327"/>
      <c r="D395" s="687"/>
      <c r="E395" s="326"/>
      <c r="F395" s="326"/>
      <c r="G395" s="326"/>
      <c r="H395" s="327"/>
      <c r="I395" s="381"/>
      <c r="J395" s="326"/>
      <c r="K395" s="326"/>
      <c r="L395" s="326"/>
      <c r="M395" s="326"/>
      <c r="N395" s="326"/>
      <c r="O395" s="326"/>
      <c r="P395" s="327"/>
      <c r="Q395" s="381"/>
      <c r="R395" s="326"/>
      <c r="S395" s="326"/>
      <c r="T395" s="326"/>
      <c r="U395" s="326"/>
      <c r="V395" s="326"/>
      <c r="W395" s="326"/>
      <c r="X395" s="327"/>
      <c r="Y395" s="381"/>
      <c r="Z395" s="327"/>
      <c r="AA395" s="381"/>
      <c r="AB395" s="326"/>
      <c r="AC395" s="326"/>
      <c r="AD395" s="327"/>
      <c r="AE395" s="381"/>
      <c r="AF395" s="326"/>
      <c r="AG395" s="327"/>
      <c r="AH395" s="381"/>
      <c r="AI395" s="326"/>
      <c r="AJ395" s="327"/>
      <c r="AK395" s="381"/>
      <c r="AL395" s="326"/>
      <c r="AM395" s="326"/>
      <c r="AN395" s="327"/>
      <c r="AO395" s="381"/>
      <c r="AP395" s="326"/>
      <c r="AQ395" s="326"/>
      <c r="AR395" s="326"/>
      <c r="AS395" s="326"/>
      <c r="AT395" s="326"/>
      <c r="AU395" s="326"/>
      <c r="AV395" s="327"/>
      <c r="AW395" s="686"/>
      <c r="AX395" s="326"/>
      <c r="AY395" s="327"/>
      <c r="AZ395" s="381"/>
      <c r="BA395" s="326"/>
      <c r="BB395" s="326"/>
      <c r="BC395" s="326"/>
      <c r="BD395" s="326"/>
      <c r="BE395" s="326"/>
      <c r="BF395" s="326"/>
      <c r="BG395" s="326"/>
      <c r="BH395" s="326"/>
      <c r="BI395" s="326"/>
      <c r="BJ395" s="326"/>
      <c r="BK395" s="326"/>
      <c r="BL395" s="326"/>
      <c r="BM395" s="326"/>
      <c r="BN395" s="326"/>
      <c r="BO395" s="327"/>
    </row>
    <row r="396" spans="1:67" ht="34.5" customHeight="1" x14ac:dyDescent="0.25">
      <c r="A396" s="87">
        <f t="shared" si="1"/>
        <v>384</v>
      </c>
      <c r="B396" s="386" t="s">
        <v>334</v>
      </c>
      <c r="C396" s="327"/>
      <c r="D396" s="498"/>
      <c r="E396" s="326"/>
      <c r="F396" s="326"/>
      <c r="G396" s="326"/>
      <c r="H396" s="327"/>
      <c r="I396" s="407"/>
      <c r="J396" s="326"/>
      <c r="K396" s="326"/>
      <c r="L396" s="326"/>
      <c r="M396" s="326"/>
      <c r="N396" s="326"/>
      <c r="O396" s="326"/>
      <c r="P396" s="327"/>
      <c r="Q396" s="456"/>
      <c r="R396" s="326"/>
      <c r="S396" s="326"/>
      <c r="T396" s="326"/>
      <c r="U396" s="326"/>
      <c r="V396" s="326"/>
      <c r="W396" s="326"/>
      <c r="X396" s="327"/>
      <c r="Y396" s="407"/>
      <c r="Z396" s="327"/>
      <c r="AA396" s="456"/>
      <c r="AB396" s="326"/>
      <c r="AC396" s="326"/>
      <c r="AD396" s="327"/>
      <c r="AE396" s="407"/>
      <c r="AF396" s="326"/>
      <c r="AG396" s="327"/>
      <c r="AH396" s="456"/>
      <c r="AI396" s="326"/>
      <c r="AJ396" s="327"/>
      <c r="AK396" s="407"/>
      <c r="AL396" s="326"/>
      <c r="AM396" s="326"/>
      <c r="AN396" s="327"/>
      <c r="AO396" s="456"/>
      <c r="AP396" s="326"/>
      <c r="AQ396" s="326"/>
      <c r="AR396" s="326"/>
      <c r="AS396" s="326"/>
      <c r="AT396" s="326"/>
      <c r="AU396" s="326"/>
      <c r="AV396" s="327"/>
      <c r="AW396" s="685"/>
      <c r="AX396" s="326"/>
      <c r="AY396" s="327"/>
      <c r="AZ396" s="456"/>
      <c r="BA396" s="326"/>
      <c r="BB396" s="326"/>
      <c r="BC396" s="326"/>
      <c r="BD396" s="326"/>
      <c r="BE396" s="326"/>
      <c r="BF396" s="326"/>
      <c r="BG396" s="326"/>
      <c r="BH396" s="326"/>
      <c r="BI396" s="326"/>
      <c r="BJ396" s="326"/>
      <c r="BK396" s="326"/>
      <c r="BL396" s="326"/>
      <c r="BM396" s="326"/>
      <c r="BN396" s="326"/>
      <c r="BO396" s="327"/>
    </row>
    <row r="397" spans="1:67" ht="34.5" customHeight="1" x14ac:dyDescent="0.25">
      <c r="A397" s="87">
        <f t="shared" si="1"/>
        <v>385</v>
      </c>
      <c r="B397" s="386" t="s">
        <v>334</v>
      </c>
      <c r="C397" s="327"/>
      <c r="D397" s="687"/>
      <c r="E397" s="326"/>
      <c r="F397" s="326"/>
      <c r="G397" s="326"/>
      <c r="H397" s="327"/>
      <c r="I397" s="381"/>
      <c r="J397" s="326"/>
      <c r="K397" s="326"/>
      <c r="L397" s="326"/>
      <c r="M397" s="326"/>
      <c r="N397" s="326"/>
      <c r="O397" s="326"/>
      <c r="P397" s="327"/>
      <c r="Q397" s="381"/>
      <c r="R397" s="326"/>
      <c r="S397" s="326"/>
      <c r="T397" s="326"/>
      <c r="U397" s="326"/>
      <c r="V397" s="326"/>
      <c r="W397" s="326"/>
      <c r="X397" s="327"/>
      <c r="Y397" s="381"/>
      <c r="Z397" s="327"/>
      <c r="AA397" s="381"/>
      <c r="AB397" s="326"/>
      <c r="AC397" s="326"/>
      <c r="AD397" s="327"/>
      <c r="AE397" s="381"/>
      <c r="AF397" s="326"/>
      <c r="AG397" s="327"/>
      <c r="AH397" s="381"/>
      <c r="AI397" s="326"/>
      <c r="AJ397" s="327"/>
      <c r="AK397" s="381"/>
      <c r="AL397" s="326"/>
      <c r="AM397" s="326"/>
      <c r="AN397" s="327"/>
      <c r="AO397" s="381"/>
      <c r="AP397" s="326"/>
      <c r="AQ397" s="326"/>
      <c r="AR397" s="326"/>
      <c r="AS397" s="326"/>
      <c r="AT397" s="326"/>
      <c r="AU397" s="326"/>
      <c r="AV397" s="327"/>
      <c r="AW397" s="686"/>
      <c r="AX397" s="326"/>
      <c r="AY397" s="327"/>
      <c r="AZ397" s="381"/>
      <c r="BA397" s="326"/>
      <c r="BB397" s="326"/>
      <c r="BC397" s="326"/>
      <c r="BD397" s="326"/>
      <c r="BE397" s="326"/>
      <c r="BF397" s="326"/>
      <c r="BG397" s="326"/>
      <c r="BH397" s="326"/>
      <c r="BI397" s="326"/>
      <c r="BJ397" s="326"/>
      <c r="BK397" s="326"/>
      <c r="BL397" s="326"/>
      <c r="BM397" s="326"/>
      <c r="BN397" s="326"/>
      <c r="BO397" s="327"/>
    </row>
    <row r="398" spans="1:67" ht="34.5" customHeight="1" x14ac:dyDescent="0.25">
      <c r="A398" s="87">
        <f t="shared" si="1"/>
        <v>386</v>
      </c>
      <c r="B398" s="386" t="s">
        <v>334</v>
      </c>
      <c r="C398" s="327"/>
      <c r="D398" s="498"/>
      <c r="E398" s="326"/>
      <c r="F398" s="326"/>
      <c r="G398" s="326"/>
      <c r="H398" s="327"/>
      <c r="I398" s="407"/>
      <c r="J398" s="326"/>
      <c r="K398" s="326"/>
      <c r="L398" s="326"/>
      <c r="M398" s="326"/>
      <c r="N398" s="326"/>
      <c r="O398" s="326"/>
      <c r="P398" s="327"/>
      <c r="Q398" s="456"/>
      <c r="R398" s="326"/>
      <c r="S398" s="326"/>
      <c r="T398" s="326"/>
      <c r="U398" s="326"/>
      <c r="V398" s="326"/>
      <c r="W398" s="326"/>
      <c r="X398" s="327"/>
      <c r="Y398" s="407"/>
      <c r="Z398" s="327"/>
      <c r="AA398" s="456"/>
      <c r="AB398" s="326"/>
      <c r="AC398" s="326"/>
      <c r="AD398" s="327"/>
      <c r="AE398" s="407"/>
      <c r="AF398" s="326"/>
      <c r="AG398" s="327"/>
      <c r="AH398" s="456"/>
      <c r="AI398" s="326"/>
      <c r="AJ398" s="327"/>
      <c r="AK398" s="407"/>
      <c r="AL398" s="326"/>
      <c r="AM398" s="326"/>
      <c r="AN398" s="327"/>
      <c r="AO398" s="456"/>
      <c r="AP398" s="326"/>
      <c r="AQ398" s="326"/>
      <c r="AR398" s="326"/>
      <c r="AS398" s="326"/>
      <c r="AT398" s="326"/>
      <c r="AU398" s="326"/>
      <c r="AV398" s="327"/>
      <c r="AW398" s="685"/>
      <c r="AX398" s="326"/>
      <c r="AY398" s="327"/>
      <c r="AZ398" s="456"/>
      <c r="BA398" s="326"/>
      <c r="BB398" s="326"/>
      <c r="BC398" s="326"/>
      <c r="BD398" s="326"/>
      <c r="BE398" s="326"/>
      <c r="BF398" s="326"/>
      <c r="BG398" s="326"/>
      <c r="BH398" s="326"/>
      <c r="BI398" s="326"/>
      <c r="BJ398" s="326"/>
      <c r="BK398" s="326"/>
      <c r="BL398" s="326"/>
      <c r="BM398" s="326"/>
      <c r="BN398" s="326"/>
      <c r="BO398" s="327"/>
    </row>
    <row r="399" spans="1:67" ht="34.5" customHeight="1" x14ac:dyDescent="0.25">
      <c r="A399" s="87">
        <f t="shared" si="1"/>
        <v>387</v>
      </c>
      <c r="B399" s="386" t="s">
        <v>334</v>
      </c>
      <c r="C399" s="327"/>
      <c r="D399" s="687"/>
      <c r="E399" s="326"/>
      <c r="F399" s="326"/>
      <c r="G399" s="326"/>
      <c r="H399" s="327"/>
      <c r="I399" s="381"/>
      <c r="J399" s="326"/>
      <c r="K399" s="326"/>
      <c r="L399" s="326"/>
      <c r="M399" s="326"/>
      <c r="N399" s="326"/>
      <c r="O399" s="326"/>
      <c r="P399" s="327"/>
      <c r="Q399" s="381"/>
      <c r="R399" s="326"/>
      <c r="S399" s="326"/>
      <c r="T399" s="326"/>
      <c r="U399" s="326"/>
      <c r="V399" s="326"/>
      <c r="W399" s="326"/>
      <c r="X399" s="327"/>
      <c r="Y399" s="381"/>
      <c r="Z399" s="327"/>
      <c r="AA399" s="381"/>
      <c r="AB399" s="326"/>
      <c r="AC399" s="326"/>
      <c r="AD399" s="327"/>
      <c r="AE399" s="381"/>
      <c r="AF399" s="326"/>
      <c r="AG399" s="327"/>
      <c r="AH399" s="381"/>
      <c r="AI399" s="326"/>
      <c r="AJ399" s="327"/>
      <c r="AK399" s="381"/>
      <c r="AL399" s="326"/>
      <c r="AM399" s="326"/>
      <c r="AN399" s="327"/>
      <c r="AO399" s="381"/>
      <c r="AP399" s="326"/>
      <c r="AQ399" s="326"/>
      <c r="AR399" s="326"/>
      <c r="AS399" s="326"/>
      <c r="AT399" s="326"/>
      <c r="AU399" s="326"/>
      <c r="AV399" s="327"/>
      <c r="AW399" s="686"/>
      <c r="AX399" s="326"/>
      <c r="AY399" s="327"/>
      <c r="AZ399" s="381"/>
      <c r="BA399" s="326"/>
      <c r="BB399" s="326"/>
      <c r="BC399" s="326"/>
      <c r="BD399" s="326"/>
      <c r="BE399" s="326"/>
      <c r="BF399" s="326"/>
      <c r="BG399" s="326"/>
      <c r="BH399" s="326"/>
      <c r="BI399" s="326"/>
      <c r="BJ399" s="326"/>
      <c r="BK399" s="326"/>
      <c r="BL399" s="326"/>
      <c r="BM399" s="326"/>
      <c r="BN399" s="326"/>
      <c r="BO399" s="327"/>
    </row>
    <row r="400" spans="1:67" ht="34.5" customHeight="1" x14ac:dyDescent="0.25">
      <c r="A400" s="87">
        <f t="shared" si="1"/>
        <v>388</v>
      </c>
      <c r="B400" s="386" t="s">
        <v>334</v>
      </c>
      <c r="C400" s="327"/>
      <c r="D400" s="498"/>
      <c r="E400" s="326"/>
      <c r="F400" s="326"/>
      <c r="G400" s="326"/>
      <c r="H400" s="327"/>
      <c r="I400" s="407"/>
      <c r="J400" s="326"/>
      <c r="K400" s="326"/>
      <c r="L400" s="326"/>
      <c r="M400" s="326"/>
      <c r="N400" s="326"/>
      <c r="O400" s="326"/>
      <c r="P400" s="327"/>
      <c r="Q400" s="456"/>
      <c r="R400" s="326"/>
      <c r="S400" s="326"/>
      <c r="T400" s="326"/>
      <c r="U400" s="326"/>
      <c r="V400" s="326"/>
      <c r="W400" s="326"/>
      <c r="X400" s="327"/>
      <c r="Y400" s="407"/>
      <c r="Z400" s="327"/>
      <c r="AA400" s="456"/>
      <c r="AB400" s="326"/>
      <c r="AC400" s="326"/>
      <c r="AD400" s="327"/>
      <c r="AE400" s="407"/>
      <c r="AF400" s="326"/>
      <c r="AG400" s="327"/>
      <c r="AH400" s="456"/>
      <c r="AI400" s="326"/>
      <c r="AJ400" s="327"/>
      <c r="AK400" s="407"/>
      <c r="AL400" s="326"/>
      <c r="AM400" s="326"/>
      <c r="AN400" s="327"/>
      <c r="AO400" s="456"/>
      <c r="AP400" s="326"/>
      <c r="AQ400" s="326"/>
      <c r="AR400" s="326"/>
      <c r="AS400" s="326"/>
      <c r="AT400" s="326"/>
      <c r="AU400" s="326"/>
      <c r="AV400" s="327"/>
      <c r="AW400" s="685"/>
      <c r="AX400" s="326"/>
      <c r="AY400" s="327"/>
      <c r="AZ400" s="456"/>
      <c r="BA400" s="326"/>
      <c r="BB400" s="326"/>
      <c r="BC400" s="326"/>
      <c r="BD400" s="326"/>
      <c r="BE400" s="326"/>
      <c r="BF400" s="326"/>
      <c r="BG400" s="326"/>
      <c r="BH400" s="326"/>
      <c r="BI400" s="326"/>
      <c r="BJ400" s="326"/>
      <c r="BK400" s="326"/>
      <c r="BL400" s="326"/>
      <c r="BM400" s="326"/>
      <c r="BN400" s="326"/>
      <c r="BO400" s="327"/>
    </row>
    <row r="401" spans="1:67" ht="34.5" customHeight="1" x14ac:dyDescent="0.25">
      <c r="A401" s="87">
        <f t="shared" si="1"/>
        <v>389</v>
      </c>
      <c r="B401" s="386" t="s">
        <v>334</v>
      </c>
      <c r="C401" s="327"/>
      <c r="D401" s="687"/>
      <c r="E401" s="326"/>
      <c r="F401" s="326"/>
      <c r="G401" s="326"/>
      <c r="H401" s="327"/>
      <c r="I401" s="381"/>
      <c r="J401" s="326"/>
      <c r="K401" s="326"/>
      <c r="L401" s="326"/>
      <c r="M401" s="326"/>
      <c r="N401" s="326"/>
      <c r="O401" s="326"/>
      <c r="P401" s="327"/>
      <c r="Q401" s="381"/>
      <c r="R401" s="326"/>
      <c r="S401" s="326"/>
      <c r="T401" s="326"/>
      <c r="U401" s="326"/>
      <c r="V401" s="326"/>
      <c r="W401" s="326"/>
      <c r="X401" s="327"/>
      <c r="Y401" s="381"/>
      <c r="Z401" s="327"/>
      <c r="AA401" s="381"/>
      <c r="AB401" s="326"/>
      <c r="AC401" s="326"/>
      <c r="AD401" s="327"/>
      <c r="AE401" s="381"/>
      <c r="AF401" s="326"/>
      <c r="AG401" s="327"/>
      <c r="AH401" s="381"/>
      <c r="AI401" s="326"/>
      <c r="AJ401" s="327"/>
      <c r="AK401" s="381"/>
      <c r="AL401" s="326"/>
      <c r="AM401" s="326"/>
      <c r="AN401" s="327"/>
      <c r="AO401" s="381"/>
      <c r="AP401" s="326"/>
      <c r="AQ401" s="326"/>
      <c r="AR401" s="326"/>
      <c r="AS401" s="326"/>
      <c r="AT401" s="326"/>
      <c r="AU401" s="326"/>
      <c r="AV401" s="327"/>
      <c r="AW401" s="686"/>
      <c r="AX401" s="326"/>
      <c r="AY401" s="327"/>
      <c r="AZ401" s="381"/>
      <c r="BA401" s="326"/>
      <c r="BB401" s="326"/>
      <c r="BC401" s="326"/>
      <c r="BD401" s="326"/>
      <c r="BE401" s="326"/>
      <c r="BF401" s="326"/>
      <c r="BG401" s="326"/>
      <c r="BH401" s="326"/>
      <c r="BI401" s="326"/>
      <c r="BJ401" s="326"/>
      <c r="BK401" s="326"/>
      <c r="BL401" s="326"/>
      <c r="BM401" s="326"/>
      <c r="BN401" s="326"/>
      <c r="BO401" s="327"/>
    </row>
    <row r="402" spans="1:67" ht="34.5" customHeight="1" x14ac:dyDescent="0.25">
      <c r="A402" s="87">
        <f t="shared" si="1"/>
        <v>390</v>
      </c>
      <c r="B402" s="386" t="s">
        <v>334</v>
      </c>
      <c r="C402" s="327"/>
      <c r="D402" s="498"/>
      <c r="E402" s="326"/>
      <c r="F402" s="326"/>
      <c r="G402" s="326"/>
      <c r="H402" s="327"/>
      <c r="I402" s="407"/>
      <c r="J402" s="326"/>
      <c r="K402" s="326"/>
      <c r="L402" s="326"/>
      <c r="M402" s="326"/>
      <c r="N402" s="326"/>
      <c r="O402" s="326"/>
      <c r="P402" s="327"/>
      <c r="Q402" s="456"/>
      <c r="R402" s="326"/>
      <c r="S402" s="326"/>
      <c r="T402" s="326"/>
      <c r="U402" s="326"/>
      <c r="V402" s="326"/>
      <c r="W402" s="326"/>
      <c r="X402" s="327"/>
      <c r="Y402" s="407"/>
      <c r="Z402" s="327"/>
      <c r="AA402" s="456"/>
      <c r="AB402" s="326"/>
      <c r="AC402" s="326"/>
      <c r="AD402" s="327"/>
      <c r="AE402" s="407"/>
      <c r="AF402" s="326"/>
      <c r="AG402" s="327"/>
      <c r="AH402" s="456"/>
      <c r="AI402" s="326"/>
      <c r="AJ402" s="327"/>
      <c r="AK402" s="407"/>
      <c r="AL402" s="326"/>
      <c r="AM402" s="326"/>
      <c r="AN402" s="327"/>
      <c r="AO402" s="456"/>
      <c r="AP402" s="326"/>
      <c r="AQ402" s="326"/>
      <c r="AR402" s="326"/>
      <c r="AS402" s="326"/>
      <c r="AT402" s="326"/>
      <c r="AU402" s="326"/>
      <c r="AV402" s="327"/>
      <c r="AW402" s="685"/>
      <c r="AX402" s="326"/>
      <c r="AY402" s="327"/>
      <c r="AZ402" s="456"/>
      <c r="BA402" s="326"/>
      <c r="BB402" s="326"/>
      <c r="BC402" s="326"/>
      <c r="BD402" s="326"/>
      <c r="BE402" s="326"/>
      <c r="BF402" s="326"/>
      <c r="BG402" s="326"/>
      <c r="BH402" s="326"/>
      <c r="BI402" s="326"/>
      <c r="BJ402" s="326"/>
      <c r="BK402" s="326"/>
      <c r="BL402" s="326"/>
      <c r="BM402" s="326"/>
      <c r="BN402" s="326"/>
      <c r="BO402" s="327"/>
    </row>
    <row r="403" spans="1:67" ht="34.5" customHeight="1" x14ac:dyDescent="0.25">
      <c r="A403" s="87">
        <f t="shared" si="1"/>
        <v>391</v>
      </c>
      <c r="B403" s="386" t="s">
        <v>334</v>
      </c>
      <c r="C403" s="327"/>
      <c r="D403" s="687"/>
      <c r="E403" s="326"/>
      <c r="F403" s="326"/>
      <c r="G403" s="326"/>
      <c r="H403" s="327"/>
      <c r="I403" s="381"/>
      <c r="J403" s="326"/>
      <c r="K403" s="326"/>
      <c r="L403" s="326"/>
      <c r="M403" s="326"/>
      <c r="N403" s="326"/>
      <c r="O403" s="326"/>
      <c r="P403" s="327"/>
      <c r="Q403" s="381"/>
      <c r="R403" s="326"/>
      <c r="S403" s="326"/>
      <c r="T403" s="326"/>
      <c r="U403" s="326"/>
      <c r="V403" s="326"/>
      <c r="W403" s="326"/>
      <c r="X403" s="327"/>
      <c r="Y403" s="381"/>
      <c r="Z403" s="327"/>
      <c r="AA403" s="381"/>
      <c r="AB403" s="326"/>
      <c r="AC403" s="326"/>
      <c r="AD403" s="327"/>
      <c r="AE403" s="381"/>
      <c r="AF403" s="326"/>
      <c r="AG403" s="327"/>
      <c r="AH403" s="381"/>
      <c r="AI403" s="326"/>
      <c r="AJ403" s="327"/>
      <c r="AK403" s="381"/>
      <c r="AL403" s="326"/>
      <c r="AM403" s="326"/>
      <c r="AN403" s="327"/>
      <c r="AO403" s="381"/>
      <c r="AP403" s="326"/>
      <c r="AQ403" s="326"/>
      <c r="AR403" s="326"/>
      <c r="AS403" s="326"/>
      <c r="AT403" s="326"/>
      <c r="AU403" s="326"/>
      <c r="AV403" s="327"/>
      <c r="AW403" s="686"/>
      <c r="AX403" s="326"/>
      <c r="AY403" s="327"/>
      <c r="AZ403" s="381"/>
      <c r="BA403" s="326"/>
      <c r="BB403" s="326"/>
      <c r="BC403" s="326"/>
      <c r="BD403" s="326"/>
      <c r="BE403" s="326"/>
      <c r="BF403" s="326"/>
      <c r="BG403" s="326"/>
      <c r="BH403" s="326"/>
      <c r="BI403" s="326"/>
      <c r="BJ403" s="326"/>
      <c r="BK403" s="326"/>
      <c r="BL403" s="326"/>
      <c r="BM403" s="326"/>
      <c r="BN403" s="326"/>
      <c r="BO403" s="327"/>
    </row>
    <row r="404" spans="1:67" ht="34.5" customHeight="1" x14ac:dyDescent="0.25">
      <c r="A404" s="87">
        <f t="shared" si="1"/>
        <v>392</v>
      </c>
      <c r="B404" s="386" t="s">
        <v>334</v>
      </c>
      <c r="C404" s="327"/>
      <c r="D404" s="498"/>
      <c r="E404" s="326"/>
      <c r="F404" s="326"/>
      <c r="G404" s="326"/>
      <c r="H404" s="327"/>
      <c r="I404" s="407"/>
      <c r="J404" s="326"/>
      <c r="K404" s="326"/>
      <c r="L404" s="326"/>
      <c r="M404" s="326"/>
      <c r="N404" s="326"/>
      <c r="O404" s="326"/>
      <c r="P404" s="327"/>
      <c r="Q404" s="456"/>
      <c r="R404" s="326"/>
      <c r="S404" s="326"/>
      <c r="T404" s="326"/>
      <c r="U404" s="326"/>
      <c r="V404" s="326"/>
      <c r="W404" s="326"/>
      <c r="X404" s="327"/>
      <c r="Y404" s="407"/>
      <c r="Z404" s="327"/>
      <c r="AA404" s="456"/>
      <c r="AB404" s="326"/>
      <c r="AC404" s="326"/>
      <c r="AD404" s="327"/>
      <c r="AE404" s="407"/>
      <c r="AF404" s="326"/>
      <c r="AG404" s="327"/>
      <c r="AH404" s="456"/>
      <c r="AI404" s="326"/>
      <c r="AJ404" s="327"/>
      <c r="AK404" s="407"/>
      <c r="AL404" s="326"/>
      <c r="AM404" s="326"/>
      <c r="AN404" s="327"/>
      <c r="AO404" s="456"/>
      <c r="AP404" s="326"/>
      <c r="AQ404" s="326"/>
      <c r="AR404" s="326"/>
      <c r="AS404" s="326"/>
      <c r="AT404" s="326"/>
      <c r="AU404" s="326"/>
      <c r="AV404" s="327"/>
      <c r="AW404" s="685"/>
      <c r="AX404" s="326"/>
      <c r="AY404" s="327"/>
      <c r="AZ404" s="456"/>
      <c r="BA404" s="326"/>
      <c r="BB404" s="326"/>
      <c r="BC404" s="326"/>
      <c r="BD404" s="326"/>
      <c r="BE404" s="326"/>
      <c r="BF404" s="326"/>
      <c r="BG404" s="326"/>
      <c r="BH404" s="326"/>
      <c r="BI404" s="326"/>
      <c r="BJ404" s="326"/>
      <c r="BK404" s="326"/>
      <c r="BL404" s="326"/>
      <c r="BM404" s="326"/>
      <c r="BN404" s="326"/>
      <c r="BO404" s="327"/>
    </row>
    <row r="405" spans="1:67" ht="34.5" customHeight="1" x14ac:dyDescent="0.25">
      <c r="A405" s="87">
        <f t="shared" si="1"/>
        <v>393</v>
      </c>
      <c r="B405" s="386" t="s">
        <v>334</v>
      </c>
      <c r="C405" s="327"/>
      <c r="D405" s="687"/>
      <c r="E405" s="326"/>
      <c r="F405" s="326"/>
      <c r="G405" s="326"/>
      <c r="H405" s="327"/>
      <c r="I405" s="381"/>
      <c r="J405" s="326"/>
      <c r="K405" s="326"/>
      <c r="L405" s="326"/>
      <c r="M405" s="326"/>
      <c r="N405" s="326"/>
      <c r="O405" s="326"/>
      <c r="P405" s="327"/>
      <c r="Q405" s="381"/>
      <c r="R405" s="326"/>
      <c r="S405" s="326"/>
      <c r="T405" s="326"/>
      <c r="U405" s="326"/>
      <c r="V405" s="326"/>
      <c r="W405" s="326"/>
      <c r="X405" s="327"/>
      <c r="Y405" s="381"/>
      <c r="Z405" s="327"/>
      <c r="AA405" s="381"/>
      <c r="AB405" s="326"/>
      <c r="AC405" s="326"/>
      <c r="AD405" s="327"/>
      <c r="AE405" s="381"/>
      <c r="AF405" s="326"/>
      <c r="AG405" s="327"/>
      <c r="AH405" s="381"/>
      <c r="AI405" s="326"/>
      <c r="AJ405" s="327"/>
      <c r="AK405" s="381"/>
      <c r="AL405" s="326"/>
      <c r="AM405" s="326"/>
      <c r="AN405" s="327"/>
      <c r="AO405" s="381"/>
      <c r="AP405" s="326"/>
      <c r="AQ405" s="326"/>
      <c r="AR405" s="326"/>
      <c r="AS405" s="326"/>
      <c r="AT405" s="326"/>
      <c r="AU405" s="326"/>
      <c r="AV405" s="327"/>
      <c r="AW405" s="686"/>
      <c r="AX405" s="326"/>
      <c r="AY405" s="327"/>
      <c r="AZ405" s="381"/>
      <c r="BA405" s="326"/>
      <c r="BB405" s="326"/>
      <c r="BC405" s="326"/>
      <c r="BD405" s="326"/>
      <c r="BE405" s="326"/>
      <c r="BF405" s="326"/>
      <c r="BG405" s="326"/>
      <c r="BH405" s="326"/>
      <c r="BI405" s="326"/>
      <c r="BJ405" s="326"/>
      <c r="BK405" s="326"/>
      <c r="BL405" s="326"/>
      <c r="BM405" s="326"/>
      <c r="BN405" s="326"/>
      <c r="BO405" s="327"/>
    </row>
    <row r="406" spans="1:67" ht="34.5" customHeight="1" x14ac:dyDescent="0.25">
      <c r="A406" s="87">
        <f t="shared" si="1"/>
        <v>394</v>
      </c>
      <c r="B406" s="386" t="s">
        <v>334</v>
      </c>
      <c r="C406" s="327"/>
      <c r="D406" s="498"/>
      <c r="E406" s="326"/>
      <c r="F406" s="326"/>
      <c r="G406" s="326"/>
      <c r="H406" s="327"/>
      <c r="I406" s="407"/>
      <c r="J406" s="326"/>
      <c r="K406" s="326"/>
      <c r="L406" s="326"/>
      <c r="M406" s="326"/>
      <c r="N406" s="326"/>
      <c r="O406" s="326"/>
      <c r="P406" s="327"/>
      <c r="Q406" s="456"/>
      <c r="R406" s="326"/>
      <c r="S406" s="326"/>
      <c r="T406" s="326"/>
      <c r="U406" s="326"/>
      <c r="V406" s="326"/>
      <c r="W406" s="326"/>
      <c r="X406" s="327"/>
      <c r="Y406" s="407"/>
      <c r="Z406" s="327"/>
      <c r="AA406" s="456"/>
      <c r="AB406" s="326"/>
      <c r="AC406" s="326"/>
      <c r="AD406" s="327"/>
      <c r="AE406" s="407"/>
      <c r="AF406" s="326"/>
      <c r="AG406" s="327"/>
      <c r="AH406" s="456"/>
      <c r="AI406" s="326"/>
      <c r="AJ406" s="327"/>
      <c r="AK406" s="407"/>
      <c r="AL406" s="326"/>
      <c r="AM406" s="326"/>
      <c r="AN406" s="327"/>
      <c r="AO406" s="456"/>
      <c r="AP406" s="326"/>
      <c r="AQ406" s="326"/>
      <c r="AR406" s="326"/>
      <c r="AS406" s="326"/>
      <c r="AT406" s="326"/>
      <c r="AU406" s="326"/>
      <c r="AV406" s="327"/>
      <c r="AW406" s="685"/>
      <c r="AX406" s="326"/>
      <c r="AY406" s="327"/>
      <c r="AZ406" s="456"/>
      <c r="BA406" s="326"/>
      <c r="BB406" s="326"/>
      <c r="BC406" s="326"/>
      <c r="BD406" s="326"/>
      <c r="BE406" s="326"/>
      <c r="BF406" s="326"/>
      <c r="BG406" s="326"/>
      <c r="BH406" s="326"/>
      <c r="BI406" s="326"/>
      <c r="BJ406" s="326"/>
      <c r="BK406" s="326"/>
      <c r="BL406" s="326"/>
      <c r="BM406" s="326"/>
      <c r="BN406" s="326"/>
      <c r="BO406" s="327"/>
    </row>
    <row r="407" spans="1:67" ht="34.5" customHeight="1" x14ac:dyDescent="0.25">
      <c r="A407" s="87">
        <f t="shared" si="1"/>
        <v>395</v>
      </c>
      <c r="B407" s="386" t="s">
        <v>334</v>
      </c>
      <c r="C407" s="327"/>
      <c r="D407" s="687"/>
      <c r="E407" s="326"/>
      <c r="F407" s="326"/>
      <c r="G407" s="326"/>
      <c r="H407" s="327"/>
      <c r="I407" s="381"/>
      <c r="J407" s="326"/>
      <c r="K407" s="326"/>
      <c r="L407" s="326"/>
      <c r="M407" s="326"/>
      <c r="N407" s="326"/>
      <c r="O407" s="326"/>
      <c r="P407" s="327"/>
      <c r="Q407" s="381"/>
      <c r="R407" s="326"/>
      <c r="S407" s="326"/>
      <c r="T407" s="326"/>
      <c r="U407" s="326"/>
      <c r="V407" s="326"/>
      <c r="W407" s="326"/>
      <c r="X407" s="327"/>
      <c r="Y407" s="381"/>
      <c r="Z407" s="327"/>
      <c r="AA407" s="381"/>
      <c r="AB407" s="326"/>
      <c r="AC407" s="326"/>
      <c r="AD407" s="327"/>
      <c r="AE407" s="381"/>
      <c r="AF407" s="326"/>
      <c r="AG407" s="327"/>
      <c r="AH407" s="381"/>
      <c r="AI407" s="326"/>
      <c r="AJ407" s="327"/>
      <c r="AK407" s="381"/>
      <c r="AL407" s="326"/>
      <c r="AM407" s="326"/>
      <c r="AN407" s="327"/>
      <c r="AO407" s="381"/>
      <c r="AP407" s="326"/>
      <c r="AQ407" s="326"/>
      <c r="AR407" s="326"/>
      <c r="AS407" s="326"/>
      <c r="AT407" s="326"/>
      <c r="AU407" s="326"/>
      <c r="AV407" s="327"/>
      <c r="AW407" s="686"/>
      <c r="AX407" s="326"/>
      <c r="AY407" s="327"/>
      <c r="AZ407" s="381"/>
      <c r="BA407" s="326"/>
      <c r="BB407" s="326"/>
      <c r="BC407" s="326"/>
      <c r="BD407" s="326"/>
      <c r="BE407" s="326"/>
      <c r="BF407" s="326"/>
      <c r="BG407" s="326"/>
      <c r="BH407" s="326"/>
      <c r="BI407" s="326"/>
      <c r="BJ407" s="326"/>
      <c r="BK407" s="326"/>
      <c r="BL407" s="326"/>
      <c r="BM407" s="326"/>
      <c r="BN407" s="326"/>
      <c r="BO407" s="327"/>
    </row>
    <row r="408" spans="1:67" ht="34.5" customHeight="1" x14ac:dyDescent="0.25">
      <c r="A408" s="87">
        <f t="shared" si="1"/>
        <v>396</v>
      </c>
      <c r="B408" s="386" t="s">
        <v>334</v>
      </c>
      <c r="C408" s="327"/>
      <c r="D408" s="498"/>
      <c r="E408" s="326"/>
      <c r="F408" s="326"/>
      <c r="G408" s="326"/>
      <c r="H408" s="327"/>
      <c r="I408" s="407"/>
      <c r="J408" s="326"/>
      <c r="K408" s="326"/>
      <c r="L408" s="326"/>
      <c r="M408" s="326"/>
      <c r="N408" s="326"/>
      <c r="O408" s="326"/>
      <c r="P408" s="327"/>
      <c r="Q408" s="456"/>
      <c r="R408" s="326"/>
      <c r="S408" s="326"/>
      <c r="T408" s="326"/>
      <c r="U408" s="326"/>
      <c r="V408" s="326"/>
      <c r="W408" s="326"/>
      <c r="X408" s="327"/>
      <c r="Y408" s="407"/>
      <c r="Z408" s="327"/>
      <c r="AA408" s="456"/>
      <c r="AB408" s="326"/>
      <c r="AC408" s="326"/>
      <c r="AD408" s="327"/>
      <c r="AE408" s="407"/>
      <c r="AF408" s="326"/>
      <c r="AG408" s="327"/>
      <c r="AH408" s="456"/>
      <c r="AI408" s="326"/>
      <c r="AJ408" s="327"/>
      <c r="AK408" s="407"/>
      <c r="AL408" s="326"/>
      <c r="AM408" s="326"/>
      <c r="AN408" s="327"/>
      <c r="AO408" s="456"/>
      <c r="AP408" s="326"/>
      <c r="AQ408" s="326"/>
      <c r="AR408" s="326"/>
      <c r="AS408" s="326"/>
      <c r="AT408" s="326"/>
      <c r="AU408" s="326"/>
      <c r="AV408" s="327"/>
      <c r="AW408" s="685"/>
      <c r="AX408" s="326"/>
      <c r="AY408" s="327"/>
      <c r="AZ408" s="456"/>
      <c r="BA408" s="326"/>
      <c r="BB408" s="326"/>
      <c r="BC408" s="326"/>
      <c r="BD408" s="326"/>
      <c r="BE408" s="326"/>
      <c r="BF408" s="326"/>
      <c r="BG408" s="326"/>
      <c r="BH408" s="326"/>
      <c r="BI408" s="326"/>
      <c r="BJ408" s="326"/>
      <c r="BK408" s="326"/>
      <c r="BL408" s="326"/>
      <c r="BM408" s="326"/>
      <c r="BN408" s="326"/>
      <c r="BO408" s="327"/>
    </row>
    <row r="409" spans="1:67" ht="34.5" customHeight="1" x14ac:dyDescent="0.25">
      <c r="A409" s="87">
        <f t="shared" si="1"/>
        <v>397</v>
      </c>
      <c r="B409" s="386" t="s">
        <v>334</v>
      </c>
      <c r="C409" s="327"/>
      <c r="D409" s="687"/>
      <c r="E409" s="326"/>
      <c r="F409" s="326"/>
      <c r="G409" s="326"/>
      <c r="H409" s="327"/>
      <c r="I409" s="381"/>
      <c r="J409" s="326"/>
      <c r="K409" s="326"/>
      <c r="L409" s="326"/>
      <c r="M409" s="326"/>
      <c r="N409" s="326"/>
      <c r="O409" s="326"/>
      <c r="P409" s="327"/>
      <c r="Q409" s="381"/>
      <c r="R409" s="326"/>
      <c r="S409" s="326"/>
      <c r="T409" s="326"/>
      <c r="U409" s="326"/>
      <c r="V409" s="326"/>
      <c r="W409" s="326"/>
      <c r="X409" s="327"/>
      <c r="Y409" s="381"/>
      <c r="Z409" s="327"/>
      <c r="AA409" s="381"/>
      <c r="AB409" s="326"/>
      <c r="AC409" s="326"/>
      <c r="AD409" s="327"/>
      <c r="AE409" s="381"/>
      <c r="AF409" s="326"/>
      <c r="AG409" s="327"/>
      <c r="AH409" s="381"/>
      <c r="AI409" s="326"/>
      <c r="AJ409" s="327"/>
      <c r="AK409" s="381"/>
      <c r="AL409" s="326"/>
      <c r="AM409" s="326"/>
      <c r="AN409" s="327"/>
      <c r="AO409" s="381"/>
      <c r="AP409" s="326"/>
      <c r="AQ409" s="326"/>
      <c r="AR409" s="326"/>
      <c r="AS409" s="326"/>
      <c r="AT409" s="326"/>
      <c r="AU409" s="326"/>
      <c r="AV409" s="327"/>
      <c r="AW409" s="686"/>
      <c r="AX409" s="326"/>
      <c r="AY409" s="327"/>
      <c r="AZ409" s="381"/>
      <c r="BA409" s="326"/>
      <c r="BB409" s="326"/>
      <c r="BC409" s="326"/>
      <c r="BD409" s="326"/>
      <c r="BE409" s="326"/>
      <c r="BF409" s="326"/>
      <c r="BG409" s="326"/>
      <c r="BH409" s="326"/>
      <c r="BI409" s="326"/>
      <c r="BJ409" s="326"/>
      <c r="BK409" s="326"/>
      <c r="BL409" s="326"/>
      <c r="BM409" s="326"/>
      <c r="BN409" s="326"/>
      <c r="BO409" s="327"/>
    </row>
    <row r="410" spans="1:67" ht="34.5" customHeight="1" x14ac:dyDescent="0.25">
      <c r="A410" s="87">
        <f t="shared" si="1"/>
        <v>398</v>
      </c>
      <c r="B410" s="688" t="s">
        <v>334</v>
      </c>
      <c r="C410" s="327"/>
      <c r="D410" s="498"/>
      <c r="E410" s="326"/>
      <c r="F410" s="326"/>
      <c r="G410" s="326"/>
      <c r="H410" s="327"/>
      <c r="I410" s="407"/>
      <c r="J410" s="326"/>
      <c r="K410" s="326"/>
      <c r="L410" s="326"/>
      <c r="M410" s="326"/>
      <c r="N410" s="326"/>
      <c r="O410" s="326"/>
      <c r="P410" s="327"/>
      <c r="Q410" s="456"/>
      <c r="R410" s="326"/>
      <c r="S410" s="326"/>
      <c r="T410" s="326"/>
      <c r="U410" s="326"/>
      <c r="V410" s="326"/>
      <c r="W410" s="326"/>
      <c r="X410" s="327"/>
      <c r="Y410" s="407"/>
      <c r="Z410" s="327"/>
      <c r="AA410" s="456"/>
      <c r="AB410" s="326"/>
      <c r="AC410" s="326"/>
      <c r="AD410" s="327"/>
      <c r="AE410" s="407"/>
      <c r="AF410" s="326"/>
      <c r="AG410" s="327"/>
      <c r="AH410" s="456"/>
      <c r="AI410" s="326"/>
      <c r="AJ410" s="327"/>
      <c r="AK410" s="407"/>
      <c r="AL410" s="326"/>
      <c r="AM410" s="326"/>
      <c r="AN410" s="327"/>
      <c r="AO410" s="456"/>
      <c r="AP410" s="326"/>
      <c r="AQ410" s="326"/>
      <c r="AR410" s="326"/>
      <c r="AS410" s="326"/>
      <c r="AT410" s="326"/>
      <c r="AU410" s="326"/>
      <c r="AV410" s="327"/>
      <c r="AW410" s="685"/>
      <c r="AX410" s="326"/>
      <c r="AY410" s="327"/>
      <c r="AZ410" s="456"/>
      <c r="BA410" s="326"/>
      <c r="BB410" s="326"/>
      <c r="BC410" s="326"/>
      <c r="BD410" s="326"/>
      <c r="BE410" s="326"/>
      <c r="BF410" s="326"/>
      <c r="BG410" s="326"/>
      <c r="BH410" s="326"/>
      <c r="BI410" s="326"/>
      <c r="BJ410" s="326"/>
      <c r="BK410" s="326"/>
      <c r="BL410" s="326"/>
      <c r="BM410" s="326"/>
      <c r="BN410" s="326"/>
      <c r="BO410" s="327"/>
    </row>
    <row r="411" spans="1:67" ht="34.5" customHeight="1" x14ac:dyDescent="0.25">
      <c r="A411" s="87">
        <f t="shared" si="1"/>
        <v>399</v>
      </c>
      <c r="B411" s="386" t="s">
        <v>334</v>
      </c>
      <c r="C411" s="327"/>
      <c r="D411" s="687"/>
      <c r="E411" s="326"/>
      <c r="F411" s="326"/>
      <c r="G411" s="326"/>
      <c r="H411" s="327"/>
      <c r="I411" s="381"/>
      <c r="J411" s="326"/>
      <c r="K411" s="326"/>
      <c r="L411" s="326"/>
      <c r="M411" s="326"/>
      <c r="N411" s="326"/>
      <c r="O411" s="326"/>
      <c r="P411" s="327"/>
      <c r="Q411" s="381"/>
      <c r="R411" s="326"/>
      <c r="S411" s="326"/>
      <c r="T411" s="326"/>
      <c r="U411" s="326"/>
      <c r="V411" s="326"/>
      <c r="W411" s="326"/>
      <c r="X411" s="327"/>
      <c r="Y411" s="381"/>
      <c r="Z411" s="327"/>
      <c r="AA411" s="381"/>
      <c r="AB411" s="326"/>
      <c r="AC411" s="326"/>
      <c r="AD411" s="327"/>
      <c r="AE411" s="381"/>
      <c r="AF411" s="326"/>
      <c r="AG411" s="327"/>
      <c r="AH411" s="381"/>
      <c r="AI411" s="326"/>
      <c r="AJ411" s="327"/>
      <c r="AK411" s="381"/>
      <c r="AL411" s="326"/>
      <c r="AM411" s="326"/>
      <c r="AN411" s="327"/>
      <c r="AO411" s="381"/>
      <c r="AP411" s="326"/>
      <c r="AQ411" s="326"/>
      <c r="AR411" s="326"/>
      <c r="AS411" s="326"/>
      <c r="AT411" s="326"/>
      <c r="AU411" s="326"/>
      <c r="AV411" s="327"/>
      <c r="AW411" s="686"/>
      <c r="AX411" s="326"/>
      <c r="AY411" s="327"/>
      <c r="AZ411" s="381"/>
      <c r="BA411" s="326"/>
      <c r="BB411" s="326"/>
      <c r="BC411" s="326"/>
      <c r="BD411" s="326"/>
      <c r="BE411" s="326"/>
      <c r="BF411" s="326"/>
      <c r="BG411" s="326"/>
      <c r="BH411" s="326"/>
      <c r="BI411" s="326"/>
      <c r="BJ411" s="326"/>
      <c r="BK411" s="326"/>
      <c r="BL411" s="326"/>
      <c r="BM411" s="326"/>
      <c r="BN411" s="326"/>
      <c r="BO411" s="327"/>
    </row>
    <row r="412" spans="1:67" ht="34.5" customHeight="1" x14ac:dyDescent="0.25">
      <c r="A412" s="87">
        <f t="shared" si="1"/>
        <v>400</v>
      </c>
      <c r="B412" s="386" t="s">
        <v>334</v>
      </c>
      <c r="C412" s="327"/>
      <c r="D412" s="498"/>
      <c r="E412" s="326"/>
      <c r="F412" s="326"/>
      <c r="G412" s="326"/>
      <c r="H412" s="327"/>
      <c r="I412" s="407"/>
      <c r="J412" s="326"/>
      <c r="K412" s="326"/>
      <c r="L412" s="326"/>
      <c r="M412" s="326"/>
      <c r="N412" s="326"/>
      <c r="O412" s="326"/>
      <c r="P412" s="327"/>
      <c r="Q412" s="456"/>
      <c r="R412" s="326"/>
      <c r="S412" s="326"/>
      <c r="T412" s="326"/>
      <c r="U412" s="326"/>
      <c r="V412" s="326"/>
      <c r="W412" s="326"/>
      <c r="X412" s="327"/>
      <c r="Y412" s="407"/>
      <c r="Z412" s="327"/>
      <c r="AA412" s="456"/>
      <c r="AB412" s="326"/>
      <c r="AC412" s="326"/>
      <c r="AD412" s="327"/>
      <c r="AE412" s="407"/>
      <c r="AF412" s="326"/>
      <c r="AG412" s="327"/>
      <c r="AH412" s="456"/>
      <c r="AI412" s="326"/>
      <c r="AJ412" s="327"/>
      <c r="AK412" s="407"/>
      <c r="AL412" s="326"/>
      <c r="AM412" s="326"/>
      <c r="AN412" s="327"/>
      <c r="AO412" s="456"/>
      <c r="AP412" s="326"/>
      <c r="AQ412" s="326"/>
      <c r="AR412" s="326"/>
      <c r="AS412" s="326"/>
      <c r="AT412" s="326"/>
      <c r="AU412" s="326"/>
      <c r="AV412" s="327"/>
      <c r="AW412" s="685"/>
      <c r="AX412" s="326"/>
      <c r="AY412" s="327"/>
      <c r="AZ412" s="456"/>
      <c r="BA412" s="326"/>
      <c r="BB412" s="326"/>
      <c r="BC412" s="326"/>
      <c r="BD412" s="326"/>
      <c r="BE412" s="326"/>
      <c r="BF412" s="326"/>
      <c r="BG412" s="326"/>
      <c r="BH412" s="326"/>
      <c r="BI412" s="326"/>
      <c r="BJ412" s="326"/>
      <c r="BK412" s="326"/>
      <c r="BL412" s="326"/>
      <c r="BM412" s="326"/>
      <c r="BN412" s="326"/>
      <c r="BO412" s="327"/>
    </row>
    <row r="413" spans="1:67" ht="34.5" customHeight="1" x14ac:dyDescent="0.25">
      <c r="A413" s="87">
        <f t="shared" si="1"/>
        <v>401</v>
      </c>
      <c r="B413" s="386" t="s">
        <v>334</v>
      </c>
      <c r="C413" s="327"/>
      <c r="D413" s="687"/>
      <c r="E413" s="326"/>
      <c r="F413" s="326"/>
      <c r="G413" s="326"/>
      <c r="H413" s="327"/>
      <c r="I413" s="381"/>
      <c r="J413" s="326"/>
      <c r="K413" s="326"/>
      <c r="L413" s="326"/>
      <c r="M413" s="326"/>
      <c r="N413" s="326"/>
      <c r="O413" s="326"/>
      <c r="P413" s="327"/>
      <c r="Q413" s="381"/>
      <c r="R413" s="326"/>
      <c r="S413" s="326"/>
      <c r="T413" s="326"/>
      <c r="U413" s="326"/>
      <c r="V413" s="326"/>
      <c r="W413" s="326"/>
      <c r="X413" s="327"/>
      <c r="Y413" s="381"/>
      <c r="Z413" s="327"/>
      <c r="AA413" s="381"/>
      <c r="AB413" s="326"/>
      <c r="AC413" s="326"/>
      <c r="AD413" s="327"/>
      <c r="AE413" s="381"/>
      <c r="AF413" s="326"/>
      <c r="AG413" s="327"/>
      <c r="AH413" s="381"/>
      <c r="AI413" s="326"/>
      <c r="AJ413" s="327"/>
      <c r="AK413" s="381"/>
      <c r="AL413" s="326"/>
      <c r="AM413" s="326"/>
      <c r="AN413" s="327"/>
      <c r="AO413" s="381"/>
      <c r="AP413" s="326"/>
      <c r="AQ413" s="326"/>
      <c r="AR413" s="326"/>
      <c r="AS413" s="326"/>
      <c r="AT413" s="326"/>
      <c r="AU413" s="326"/>
      <c r="AV413" s="327"/>
      <c r="AW413" s="686"/>
      <c r="AX413" s="326"/>
      <c r="AY413" s="327"/>
      <c r="AZ413" s="381"/>
      <c r="BA413" s="326"/>
      <c r="BB413" s="326"/>
      <c r="BC413" s="326"/>
      <c r="BD413" s="326"/>
      <c r="BE413" s="326"/>
      <c r="BF413" s="326"/>
      <c r="BG413" s="326"/>
      <c r="BH413" s="326"/>
      <c r="BI413" s="326"/>
      <c r="BJ413" s="326"/>
      <c r="BK413" s="326"/>
      <c r="BL413" s="326"/>
      <c r="BM413" s="326"/>
      <c r="BN413" s="326"/>
      <c r="BO413" s="327"/>
    </row>
    <row r="414" spans="1:67" ht="34.5" customHeight="1" x14ac:dyDescent="0.25">
      <c r="A414" s="87">
        <f t="shared" si="1"/>
        <v>402</v>
      </c>
      <c r="B414" s="386" t="s">
        <v>334</v>
      </c>
      <c r="C414" s="327"/>
      <c r="D414" s="498"/>
      <c r="E414" s="326"/>
      <c r="F414" s="326"/>
      <c r="G414" s="326"/>
      <c r="H414" s="327"/>
      <c r="I414" s="407"/>
      <c r="J414" s="326"/>
      <c r="K414" s="326"/>
      <c r="L414" s="326"/>
      <c r="M414" s="326"/>
      <c r="N414" s="326"/>
      <c r="O414" s="326"/>
      <c r="P414" s="327"/>
      <c r="Q414" s="456"/>
      <c r="R414" s="326"/>
      <c r="S414" s="326"/>
      <c r="T414" s="326"/>
      <c r="U414" s="326"/>
      <c r="V414" s="326"/>
      <c r="W414" s="326"/>
      <c r="X414" s="327"/>
      <c r="Y414" s="407"/>
      <c r="Z414" s="327"/>
      <c r="AA414" s="456"/>
      <c r="AB414" s="326"/>
      <c r="AC414" s="326"/>
      <c r="AD414" s="327"/>
      <c r="AE414" s="407"/>
      <c r="AF414" s="326"/>
      <c r="AG414" s="327"/>
      <c r="AH414" s="456"/>
      <c r="AI414" s="326"/>
      <c r="AJ414" s="327"/>
      <c r="AK414" s="407"/>
      <c r="AL414" s="326"/>
      <c r="AM414" s="326"/>
      <c r="AN414" s="327"/>
      <c r="AO414" s="456"/>
      <c r="AP414" s="326"/>
      <c r="AQ414" s="326"/>
      <c r="AR414" s="326"/>
      <c r="AS414" s="326"/>
      <c r="AT414" s="326"/>
      <c r="AU414" s="326"/>
      <c r="AV414" s="327"/>
      <c r="AW414" s="685"/>
      <c r="AX414" s="326"/>
      <c r="AY414" s="327"/>
      <c r="AZ414" s="456"/>
      <c r="BA414" s="326"/>
      <c r="BB414" s="326"/>
      <c r="BC414" s="326"/>
      <c r="BD414" s="326"/>
      <c r="BE414" s="326"/>
      <c r="BF414" s="326"/>
      <c r="BG414" s="326"/>
      <c r="BH414" s="326"/>
      <c r="BI414" s="326"/>
      <c r="BJ414" s="326"/>
      <c r="BK414" s="326"/>
      <c r="BL414" s="326"/>
      <c r="BM414" s="326"/>
      <c r="BN414" s="326"/>
      <c r="BO414" s="327"/>
    </row>
    <row r="415" spans="1:67" ht="34.5" customHeight="1" x14ac:dyDescent="0.25">
      <c r="A415" s="87">
        <f t="shared" si="1"/>
        <v>403</v>
      </c>
      <c r="B415" s="386" t="s">
        <v>334</v>
      </c>
      <c r="C415" s="327"/>
      <c r="D415" s="687"/>
      <c r="E415" s="326"/>
      <c r="F415" s="326"/>
      <c r="G415" s="326"/>
      <c r="H415" s="327"/>
      <c r="I415" s="381"/>
      <c r="J415" s="326"/>
      <c r="K415" s="326"/>
      <c r="L415" s="326"/>
      <c r="M415" s="326"/>
      <c r="N415" s="326"/>
      <c r="O415" s="326"/>
      <c r="P415" s="327"/>
      <c r="Q415" s="381"/>
      <c r="R415" s="326"/>
      <c r="S415" s="326"/>
      <c r="T415" s="326"/>
      <c r="U415" s="326"/>
      <c r="V415" s="326"/>
      <c r="W415" s="326"/>
      <c r="X415" s="327"/>
      <c r="Y415" s="381"/>
      <c r="Z415" s="327"/>
      <c r="AA415" s="381"/>
      <c r="AB415" s="326"/>
      <c r="AC415" s="326"/>
      <c r="AD415" s="327"/>
      <c r="AE415" s="381"/>
      <c r="AF415" s="326"/>
      <c r="AG415" s="327"/>
      <c r="AH415" s="381"/>
      <c r="AI415" s="326"/>
      <c r="AJ415" s="327"/>
      <c r="AK415" s="381"/>
      <c r="AL415" s="326"/>
      <c r="AM415" s="326"/>
      <c r="AN415" s="327"/>
      <c r="AO415" s="381"/>
      <c r="AP415" s="326"/>
      <c r="AQ415" s="326"/>
      <c r="AR415" s="326"/>
      <c r="AS415" s="326"/>
      <c r="AT415" s="326"/>
      <c r="AU415" s="326"/>
      <c r="AV415" s="327"/>
      <c r="AW415" s="686"/>
      <c r="AX415" s="326"/>
      <c r="AY415" s="327"/>
      <c r="AZ415" s="381"/>
      <c r="BA415" s="326"/>
      <c r="BB415" s="326"/>
      <c r="BC415" s="326"/>
      <c r="BD415" s="326"/>
      <c r="BE415" s="326"/>
      <c r="BF415" s="326"/>
      <c r="BG415" s="326"/>
      <c r="BH415" s="326"/>
      <c r="BI415" s="326"/>
      <c r="BJ415" s="326"/>
      <c r="BK415" s="326"/>
      <c r="BL415" s="326"/>
      <c r="BM415" s="326"/>
      <c r="BN415" s="326"/>
      <c r="BO415" s="327"/>
    </row>
    <row r="416" spans="1:67" ht="34.5" customHeight="1" x14ac:dyDescent="0.25">
      <c r="A416" s="87">
        <f t="shared" si="1"/>
        <v>404</v>
      </c>
      <c r="B416" s="386" t="s">
        <v>334</v>
      </c>
      <c r="C416" s="327"/>
      <c r="D416" s="498"/>
      <c r="E416" s="326"/>
      <c r="F416" s="326"/>
      <c r="G416" s="326"/>
      <c r="H416" s="327"/>
      <c r="I416" s="407"/>
      <c r="J416" s="326"/>
      <c r="K416" s="326"/>
      <c r="L416" s="326"/>
      <c r="M416" s="326"/>
      <c r="N416" s="326"/>
      <c r="O416" s="326"/>
      <c r="P416" s="327"/>
      <c r="Q416" s="456"/>
      <c r="R416" s="326"/>
      <c r="S416" s="326"/>
      <c r="T416" s="326"/>
      <c r="U416" s="326"/>
      <c r="V416" s="326"/>
      <c r="W416" s="326"/>
      <c r="X416" s="327"/>
      <c r="Y416" s="407"/>
      <c r="Z416" s="327"/>
      <c r="AA416" s="456"/>
      <c r="AB416" s="326"/>
      <c r="AC416" s="326"/>
      <c r="AD416" s="327"/>
      <c r="AE416" s="407"/>
      <c r="AF416" s="326"/>
      <c r="AG416" s="327"/>
      <c r="AH416" s="456"/>
      <c r="AI416" s="326"/>
      <c r="AJ416" s="327"/>
      <c r="AK416" s="407"/>
      <c r="AL416" s="326"/>
      <c r="AM416" s="326"/>
      <c r="AN416" s="327"/>
      <c r="AO416" s="456"/>
      <c r="AP416" s="326"/>
      <c r="AQ416" s="326"/>
      <c r="AR416" s="326"/>
      <c r="AS416" s="326"/>
      <c r="AT416" s="326"/>
      <c r="AU416" s="326"/>
      <c r="AV416" s="327"/>
      <c r="AW416" s="685"/>
      <c r="AX416" s="326"/>
      <c r="AY416" s="327"/>
      <c r="AZ416" s="456"/>
      <c r="BA416" s="326"/>
      <c r="BB416" s="326"/>
      <c r="BC416" s="326"/>
      <c r="BD416" s="326"/>
      <c r="BE416" s="326"/>
      <c r="BF416" s="326"/>
      <c r="BG416" s="326"/>
      <c r="BH416" s="326"/>
      <c r="BI416" s="326"/>
      <c r="BJ416" s="326"/>
      <c r="BK416" s="326"/>
      <c r="BL416" s="326"/>
      <c r="BM416" s="326"/>
      <c r="BN416" s="326"/>
      <c r="BO416" s="327"/>
    </row>
    <row r="417" spans="1:67" ht="34.5" customHeight="1" x14ac:dyDescent="0.25">
      <c r="A417" s="87">
        <f t="shared" si="1"/>
        <v>405</v>
      </c>
      <c r="B417" s="386" t="s">
        <v>334</v>
      </c>
      <c r="C417" s="327"/>
      <c r="D417" s="687"/>
      <c r="E417" s="326"/>
      <c r="F417" s="326"/>
      <c r="G417" s="326"/>
      <c r="H417" s="327"/>
      <c r="I417" s="381"/>
      <c r="J417" s="326"/>
      <c r="K417" s="326"/>
      <c r="L417" s="326"/>
      <c r="M417" s="326"/>
      <c r="N417" s="326"/>
      <c r="O417" s="326"/>
      <c r="P417" s="327"/>
      <c r="Q417" s="381"/>
      <c r="R417" s="326"/>
      <c r="S417" s="326"/>
      <c r="T417" s="326"/>
      <c r="U417" s="326"/>
      <c r="V417" s="326"/>
      <c r="W417" s="326"/>
      <c r="X417" s="327"/>
      <c r="Y417" s="381"/>
      <c r="Z417" s="327"/>
      <c r="AA417" s="381"/>
      <c r="AB417" s="326"/>
      <c r="AC417" s="326"/>
      <c r="AD417" s="327"/>
      <c r="AE417" s="381"/>
      <c r="AF417" s="326"/>
      <c r="AG417" s="327"/>
      <c r="AH417" s="381"/>
      <c r="AI417" s="326"/>
      <c r="AJ417" s="327"/>
      <c r="AK417" s="381"/>
      <c r="AL417" s="326"/>
      <c r="AM417" s="326"/>
      <c r="AN417" s="327"/>
      <c r="AO417" s="381"/>
      <c r="AP417" s="326"/>
      <c r="AQ417" s="326"/>
      <c r="AR417" s="326"/>
      <c r="AS417" s="326"/>
      <c r="AT417" s="326"/>
      <c r="AU417" s="326"/>
      <c r="AV417" s="327"/>
      <c r="AW417" s="686"/>
      <c r="AX417" s="326"/>
      <c r="AY417" s="327"/>
      <c r="AZ417" s="381"/>
      <c r="BA417" s="326"/>
      <c r="BB417" s="326"/>
      <c r="BC417" s="326"/>
      <c r="BD417" s="326"/>
      <c r="BE417" s="326"/>
      <c r="BF417" s="326"/>
      <c r="BG417" s="326"/>
      <c r="BH417" s="326"/>
      <c r="BI417" s="326"/>
      <c r="BJ417" s="326"/>
      <c r="BK417" s="326"/>
      <c r="BL417" s="326"/>
      <c r="BM417" s="326"/>
      <c r="BN417" s="326"/>
      <c r="BO417" s="327"/>
    </row>
    <row r="418" spans="1:67" ht="34.5" customHeight="1" x14ac:dyDescent="0.25">
      <c r="A418" s="87">
        <f t="shared" si="1"/>
        <v>406</v>
      </c>
      <c r="B418" s="386" t="s">
        <v>334</v>
      </c>
      <c r="C418" s="327"/>
      <c r="D418" s="498"/>
      <c r="E418" s="326"/>
      <c r="F418" s="326"/>
      <c r="G418" s="326"/>
      <c r="H418" s="327"/>
      <c r="I418" s="407"/>
      <c r="J418" s="326"/>
      <c r="K418" s="326"/>
      <c r="L418" s="326"/>
      <c r="M418" s="326"/>
      <c r="N418" s="326"/>
      <c r="O418" s="326"/>
      <c r="P418" s="327"/>
      <c r="Q418" s="456"/>
      <c r="R418" s="326"/>
      <c r="S418" s="326"/>
      <c r="T418" s="326"/>
      <c r="U418" s="326"/>
      <c r="V418" s="326"/>
      <c r="W418" s="326"/>
      <c r="X418" s="327"/>
      <c r="Y418" s="407"/>
      <c r="Z418" s="327"/>
      <c r="AA418" s="456"/>
      <c r="AB418" s="326"/>
      <c r="AC418" s="326"/>
      <c r="AD418" s="327"/>
      <c r="AE418" s="407"/>
      <c r="AF418" s="326"/>
      <c r="AG418" s="327"/>
      <c r="AH418" s="456"/>
      <c r="AI418" s="326"/>
      <c r="AJ418" s="327"/>
      <c r="AK418" s="407"/>
      <c r="AL418" s="326"/>
      <c r="AM418" s="326"/>
      <c r="AN418" s="327"/>
      <c r="AO418" s="456"/>
      <c r="AP418" s="326"/>
      <c r="AQ418" s="326"/>
      <c r="AR418" s="326"/>
      <c r="AS418" s="326"/>
      <c r="AT418" s="326"/>
      <c r="AU418" s="326"/>
      <c r="AV418" s="327"/>
      <c r="AW418" s="685"/>
      <c r="AX418" s="326"/>
      <c r="AY418" s="327"/>
      <c r="AZ418" s="456"/>
      <c r="BA418" s="326"/>
      <c r="BB418" s="326"/>
      <c r="BC418" s="326"/>
      <c r="BD418" s="326"/>
      <c r="BE418" s="326"/>
      <c r="BF418" s="326"/>
      <c r="BG418" s="326"/>
      <c r="BH418" s="326"/>
      <c r="BI418" s="326"/>
      <c r="BJ418" s="326"/>
      <c r="BK418" s="326"/>
      <c r="BL418" s="326"/>
      <c r="BM418" s="326"/>
      <c r="BN418" s="326"/>
      <c r="BO418" s="327"/>
    </row>
    <row r="419" spans="1:67" ht="34.5" customHeight="1" x14ac:dyDescent="0.25">
      <c r="A419" s="87">
        <f t="shared" si="1"/>
        <v>407</v>
      </c>
      <c r="B419" s="386" t="s">
        <v>334</v>
      </c>
      <c r="C419" s="327"/>
      <c r="D419" s="687"/>
      <c r="E419" s="326"/>
      <c r="F419" s="326"/>
      <c r="G419" s="326"/>
      <c r="H419" s="327"/>
      <c r="I419" s="381"/>
      <c r="J419" s="326"/>
      <c r="K419" s="326"/>
      <c r="L419" s="326"/>
      <c r="M419" s="326"/>
      <c r="N419" s="326"/>
      <c r="O419" s="326"/>
      <c r="P419" s="327"/>
      <c r="Q419" s="381"/>
      <c r="R419" s="326"/>
      <c r="S419" s="326"/>
      <c r="T419" s="326"/>
      <c r="U419" s="326"/>
      <c r="V419" s="326"/>
      <c r="W419" s="326"/>
      <c r="X419" s="327"/>
      <c r="Y419" s="381"/>
      <c r="Z419" s="327"/>
      <c r="AA419" s="381"/>
      <c r="AB419" s="326"/>
      <c r="AC419" s="326"/>
      <c r="AD419" s="327"/>
      <c r="AE419" s="381"/>
      <c r="AF419" s="326"/>
      <c r="AG419" s="327"/>
      <c r="AH419" s="381"/>
      <c r="AI419" s="326"/>
      <c r="AJ419" s="327"/>
      <c r="AK419" s="381"/>
      <c r="AL419" s="326"/>
      <c r="AM419" s="326"/>
      <c r="AN419" s="327"/>
      <c r="AO419" s="381"/>
      <c r="AP419" s="326"/>
      <c r="AQ419" s="326"/>
      <c r="AR419" s="326"/>
      <c r="AS419" s="326"/>
      <c r="AT419" s="326"/>
      <c r="AU419" s="326"/>
      <c r="AV419" s="327"/>
      <c r="AW419" s="686"/>
      <c r="AX419" s="326"/>
      <c r="AY419" s="327"/>
      <c r="AZ419" s="381"/>
      <c r="BA419" s="326"/>
      <c r="BB419" s="326"/>
      <c r="BC419" s="326"/>
      <c r="BD419" s="326"/>
      <c r="BE419" s="326"/>
      <c r="BF419" s="326"/>
      <c r="BG419" s="326"/>
      <c r="BH419" s="326"/>
      <c r="BI419" s="326"/>
      <c r="BJ419" s="326"/>
      <c r="BK419" s="326"/>
      <c r="BL419" s="326"/>
      <c r="BM419" s="326"/>
      <c r="BN419" s="326"/>
      <c r="BO419" s="327"/>
    </row>
    <row r="420" spans="1:67" ht="34.5" customHeight="1" x14ac:dyDescent="0.25">
      <c r="A420" s="87">
        <f t="shared" si="1"/>
        <v>408</v>
      </c>
      <c r="B420" s="386" t="s">
        <v>334</v>
      </c>
      <c r="C420" s="327"/>
      <c r="D420" s="498"/>
      <c r="E420" s="326"/>
      <c r="F420" s="326"/>
      <c r="G420" s="326"/>
      <c r="H420" s="327"/>
      <c r="I420" s="407"/>
      <c r="J420" s="326"/>
      <c r="K420" s="326"/>
      <c r="L420" s="326"/>
      <c r="M420" s="326"/>
      <c r="N420" s="326"/>
      <c r="O420" s="326"/>
      <c r="P420" s="327"/>
      <c r="Q420" s="456"/>
      <c r="R420" s="326"/>
      <c r="S420" s="326"/>
      <c r="T420" s="326"/>
      <c r="U420" s="326"/>
      <c r="V420" s="326"/>
      <c r="W420" s="326"/>
      <c r="X420" s="327"/>
      <c r="Y420" s="407"/>
      <c r="Z420" s="327"/>
      <c r="AA420" s="456"/>
      <c r="AB420" s="326"/>
      <c r="AC420" s="326"/>
      <c r="AD420" s="327"/>
      <c r="AE420" s="407"/>
      <c r="AF420" s="326"/>
      <c r="AG420" s="327"/>
      <c r="AH420" s="456"/>
      <c r="AI420" s="326"/>
      <c r="AJ420" s="327"/>
      <c r="AK420" s="407"/>
      <c r="AL420" s="326"/>
      <c r="AM420" s="326"/>
      <c r="AN420" s="327"/>
      <c r="AO420" s="456"/>
      <c r="AP420" s="326"/>
      <c r="AQ420" s="326"/>
      <c r="AR420" s="326"/>
      <c r="AS420" s="326"/>
      <c r="AT420" s="326"/>
      <c r="AU420" s="326"/>
      <c r="AV420" s="327"/>
      <c r="AW420" s="685"/>
      <c r="AX420" s="326"/>
      <c r="AY420" s="327"/>
      <c r="AZ420" s="456"/>
      <c r="BA420" s="326"/>
      <c r="BB420" s="326"/>
      <c r="BC420" s="326"/>
      <c r="BD420" s="326"/>
      <c r="BE420" s="326"/>
      <c r="BF420" s="326"/>
      <c r="BG420" s="326"/>
      <c r="BH420" s="326"/>
      <c r="BI420" s="326"/>
      <c r="BJ420" s="326"/>
      <c r="BK420" s="326"/>
      <c r="BL420" s="326"/>
      <c r="BM420" s="326"/>
      <c r="BN420" s="326"/>
      <c r="BO420" s="327"/>
    </row>
    <row r="421" spans="1:67" ht="34.5" customHeight="1" x14ac:dyDescent="0.25">
      <c r="A421" s="87">
        <f t="shared" si="1"/>
        <v>409</v>
      </c>
      <c r="B421" s="386" t="s">
        <v>334</v>
      </c>
      <c r="C421" s="327"/>
      <c r="D421" s="687"/>
      <c r="E421" s="326"/>
      <c r="F421" s="326"/>
      <c r="G421" s="326"/>
      <c r="H421" s="327"/>
      <c r="I421" s="381"/>
      <c r="J421" s="326"/>
      <c r="K421" s="326"/>
      <c r="L421" s="326"/>
      <c r="M421" s="326"/>
      <c r="N421" s="326"/>
      <c r="O421" s="326"/>
      <c r="P421" s="327"/>
      <c r="Q421" s="381"/>
      <c r="R421" s="326"/>
      <c r="S421" s="326"/>
      <c r="T421" s="326"/>
      <c r="U421" s="326"/>
      <c r="V421" s="326"/>
      <c r="W421" s="326"/>
      <c r="X421" s="327"/>
      <c r="Y421" s="381"/>
      <c r="Z421" s="327"/>
      <c r="AA421" s="381"/>
      <c r="AB421" s="326"/>
      <c r="AC421" s="326"/>
      <c r="AD421" s="327"/>
      <c r="AE421" s="381"/>
      <c r="AF421" s="326"/>
      <c r="AG421" s="327"/>
      <c r="AH421" s="381"/>
      <c r="AI421" s="326"/>
      <c r="AJ421" s="327"/>
      <c r="AK421" s="381"/>
      <c r="AL421" s="326"/>
      <c r="AM421" s="326"/>
      <c r="AN421" s="327"/>
      <c r="AO421" s="381"/>
      <c r="AP421" s="326"/>
      <c r="AQ421" s="326"/>
      <c r="AR421" s="326"/>
      <c r="AS421" s="326"/>
      <c r="AT421" s="326"/>
      <c r="AU421" s="326"/>
      <c r="AV421" s="327"/>
      <c r="AW421" s="686"/>
      <c r="AX421" s="326"/>
      <c r="AY421" s="327"/>
      <c r="AZ421" s="381"/>
      <c r="BA421" s="326"/>
      <c r="BB421" s="326"/>
      <c r="BC421" s="326"/>
      <c r="BD421" s="326"/>
      <c r="BE421" s="326"/>
      <c r="BF421" s="326"/>
      <c r="BG421" s="326"/>
      <c r="BH421" s="326"/>
      <c r="BI421" s="326"/>
      <c r="BJ421" s="326"/>
      <c r="BK421" s="326"/>
      <c r="BL421" s="326"/>
      <c r="BM421" s="326"/>
      <c r="BN421" s="326"/>
      <c r="BO421" s="327"/>
    </row>
    <row r="422" spans="1:67" ht="34.5" customHeight="1" x14ac:dyDescent="0.25">
      <c r="A422" s="87">
        <f t="shared" si="1"/>
        <v>410</v>
      </c>
      <c r="B422" s="386" t="s">
        <v>334</v>
      </c>
      <c r="C422" s="327"/>
      <c r="D422" s="498"/>
      <c r="E422" s="326"/>
      <c r="F422" s="326"/>
      <c r="G422" s="326"/>
      <c r="H422" s="327"/>
      <c r="I422" s="407"/>
      <c r="J422" s="326"/>
      <c r="K422" s="326"/>
      <c r="L422" s="326"/>
      <c r="M422" s="326"/>
      <c r="N422" s="326"/>
      <c r="O422" s="326"/>
      <c r="P422" s="327"/>
      <c r="Q422" s="456"/>
      <c r="R422" s="326"/>
      <c r="S422" s="326"/>
      <c r="T422" s="326"/>
      <c r="U422" s="326"/>
      <c r="V422" s="326"/>
      <c r="W422" s="326"/>
      <c r="X422" s="327"/>
      <c r="Y422" s="407"/>
      <c r="Z422" s="327"/>
      <c r="AA422" s="456"/>
      <c r="AB422" s="326"/>
      <c r="AC422" s="326"/>
      <c r="AD422" s="327"/>
      <c r="AE422" s="407"/>
      <c r="AF422" s="326"/>
      <c r="AG422" s="327"/>
      <c r="AH422" s="456"/>
      <c r="AI422" s="326"/>
      <c r="AJ422" s="327"/>
      <c r="AK422" s="407"/>
      <c r="AL422" s="326"/>
      <c r="AM422" s="326"/>
      <c r="AN422" s="327"/>
      <c r="AO422" s="456"/>
      <c r="AP422" s="326"/>
      <c r="AQ422" s="326"/>
      <c r="AR422" s="326"/>
      <c r="AS422" s="326"/>
      <c r="AT422" s="326"/>
      <c r="AU422" s="326"/>
      <c r="AV422" s="327"/>
      <c r="AW422" s="685"/>
      <c r="AX422" s="326"/>
      <c r="AY422" s="327"/>
      <c r="AZ422" s="456"/>
      <c r="BA422" s="326"/>
      <c r="BB422" s="326"/>
      <c r="BC422" s="326"/>
      <c r="BD422" s="326"/>
      <c r="BE422" s="326"/>
      <c r="BF422" s="326"/>
      <c r="BG422" s="326"/>
      <c r="BH422" s="326"/>
      <c r="BI422" s="326"/>
      <c r="BJ422" s="326"/>
      <c r="BK422" s="326"/>
      <c r="BL422" s="326"/>
      <c r="BM422" s="326"/>
      <c r="BN422" s="326"/>
      <c r="BO422" s="327"/>
    </row>
    <row r="423" spans="1:67" ht="34.5" customHeight="1" x14ac:dyDescent="0.25">
      <c r="A423" s="87">
        <f t="shared" si="1"/>
        <v>411</v>
      </c>
      <c r="B423" s="386" t="s">
        <v>334</v>
      </c>
      <c r="C423" s="327"/>
      <c r="D423" s="687"/>
      <c r="E423" s="326"/>
      <c r="F423" s="326"/>
      <c r="G423" s="326"/>
      <c r="H423" s="327"/>
      <c r="I423" s="381"/>
      <c r="J423" s="326"/>
      <c r="K423" s="326"/>
      <c r="L423" s="326"/>
      <c r="M423" s="326"/>
      <c r="N423" s="326"/>
      <c r="O423" s="326"/>
      <c r="P423" s="327"/>
      <c r="Q423" s="381"/>
      <c r="R423" s="326"/>
      <c r="S423" s="326"/>
      <c r="T423" s="326"/>
      <c r="U423" s="326"/>
      <c r="V423" s="326"/>
      <c r="W423" s="326"/>
      <c r="X423" s="327"/>
      <c r="Y423" s="381"/>
      <c r="Z423" s="327"/>
      <c r="AA423" s="381"/>
      <c r="AB423" s="326"/>
      <c r="AC423" s="326"/>
      <c r="AD423" s="327"/>
      <c r="AE423" s="381"/>
      <c r="AF423" s="326"/>
      <c r="AG423" s="327"/>
      <c r="AH423" s="381"/>
      <c r="AI423" s="326"/>
      <c r="AJ423" s="327"/>
      <c r="AK423" s="381"/>
      <c r="AL423" s="326"/>
      <c r="AM423" s="326"/>
      <c r="AN423" s="327"/>
      <c r="AO423" s="381"/>
      <c r="AP423" s="326"/>
      <c r="AQ423" s="326"/>
      <c r="AR423" s="326"/>
      <c r="AS423" s="326"/>
      <c r="AT423" s="326"/>
      <c r="AU423" s="326"/>
      <c r="AV423" s="327"/>
      <c r="AW423" s="686"/>
      <c r="AX423" s="326"/>
      <c r="AY423" s="327"/>
      <c r="AZ423" s="381"/>
      <c r="BA423" s="326"/>
      <c r="BB423" s="326"/>
      <c r="BC423" s="326"/>
      <c r="BD423" s="326"/>
      <c r="BE423" s="326"/>
      <c r="BF423" s="326"/>
      <c r="BG423" s="326"/>
      <c r="BH423" s="326"/>
      <c r="BI423" s="326"/>
      <c r="BJ423" s="326"/>
      <c r="BK423" s="326"/>
      <c r="BL423" s="326"/>
      <c r="BM423" s="326"/>
      <c r="BN423" s="326"/>
      <c r="BO423" s="327"/>
    </row>
    <row r="424" spans="1:67" ht="34.5" customHeight="1" x14ac:dyDescent="0.25">
      <c r="A424" s="87">
        <f t="shared" si="1"/>
        <v>412</v>
      </c>
      <c r="B424" s="386" t="s">
        <v>334</v>
      </c>
      <c r="C424" s="327"/>
      <c r="D424" s="498"/>
      <c r="E424" s="326"/>
      <c r="F424" s="326"/>
      <c r="G424" s="326"/>
      <c r="H424" s="327"/>
      <c r="I424" s="407"/>
      <c r="J424" s="326"/>
      <c r="K424" s="326"/>
      <c r="L424" s="326"/>
      <c r="M424" s="326"/>
      <c r="N424" s="326"/>
      <c r="O424" s="326"/>
      <c r="P424" s="327"/>
      <c r="Q424" s="456"/>
      <c r="R424" s="326"/>
      <c r="S424" s="326"/>
      <c r="T424" s="326"/>
      <c r="U424" s="326"/>
      <c r="V424" s="326"/>
      <c r="W424" s="326"/>
      <c r="X424" s="327"/>
      <c r="Y424" s="407"/>
      <c r="Z424" s="327"/>
      <c r="AA424" s="456"/>
      <c r="AB424" s="326"/>
      <c r="AC424" s="326"/>
      <c r="AD424" s="327"/>
      <c r="AE424" s="407"/>
      <c r="AF424" s="326"/>
      <c r="AG424" s="327"/>
      <c r="AH424" s="456"/>
      <c r="AI424" s="326"/>
      <c r="AJ424" s="327"/>
      <c r="AK424" s="407"/>
      <c r="AL424" s="326"/>
      <c r="AM424" s="326"/>
      <c r="AN424" s="327"/>
      <c r="AO424" s="456"/>
      <c r="AP424" s="326"/>
      <c r="AQ424" s="326"/>
      <c r="AR424" s="326"/>
      <c r="AS424" s="326"/>
      <c r="AT424" s="326"/>
      <c r="AU424" s="326"/>
      <c r="AV424" s="327"/>
      <c r="AW424" s="685"/>
      <c r="AX424" s="326"/>
      <c r="AY424" s="327"/>
      <c r="AZ424" s="456"/>
      <c r="BA424" s="326"/>
      <c r="BB424" s="326"/>
      <c r="BC424" s="326"/>
      <c r="BD424" s="326"/>
      <c r="BE424" s="326"/>
      <c r="BF424" s="326"/>
      <c r="BG424" s="326"/>
      <c r="BH424" s="326"/>
      <c r="BI424" s="326"/>
      <c r="BJ424" s="326"/>
      <c r="BK424" s="326"/>
      <c r="BL424" s="326"/>
      <c r="BM424" s="326"/>
      <c r="BN424" s="326"/>
      <c r="BO424" s="327"/>
    </row>
    <row r="425" spans="1:67" ht="34.5" customHeight="1" x14ac:dyDescent="0.25">
      <c r="A425" s="87">
        <f t="shared" si="1"/>
        <v>413</v>
      </c>
      <c r="B425" s="386" t="s">
        <v>334</v>
      </c>
      <c r="C425" s="327"/>
      <c r="D425" s="687"/>
      <c r="E425" s="326"/>
      <c r="F425" s="326"/>
      <c r="G425" s="326"/>
      <c r="H425" s="327"/>
      <c r="I425" s="381"/>
      <c r="J425" s="326"/>
      <c r="K425" s="326"/>
      <c r="L425" s="326"/>
      <c r="M425" s="326"/>
      <c r="N425" s="326"/>
      <c r="O425" s="326"/>
      <c r="P425" s="327"/>
      <c r="Q425" s="381"/>
      <c r="R425" s="326"/>
      <c r="S425" s="326"/>
      <c r="T425" s="326"/>
      <c r="U425" s="326"/>
      <c r="V425" s="326"/>
      <c r="W425" s="326"/>
      <c r="X425" s="327"/>
      <c r="Y425" s="381"/>
      <c r="Z425" s="327"/>
      <c r="AA425" s="381"/>
      <c r="AB425" s="326"/>
      <c r="AC425" s="326"/>
      <c r="AD425" s="327"/>
      <c r="AE425" s="381"/>
      <c r="AF425" s="326"/>
      <c r="AG425" s="327"/>
      <c r="AH425" s="381"/>
      <c r="AI425" s="326"/>
      <c r="AJ425" s="327"/>
      <c r="AK425" s="381"/>
      <c r="AL425" s="326"/>
      <c r="AM425" s="326"/>
      <c r="AN425" s="327"/>
      <c r="AO425" s="381"/>
      <c r="AP425" s="326"/>
      <c r="AQ425" s="326"/>
      <c r="AR425" s="326"/>
      <c r="AS425" s="326"/>
      <c r="AT425" s="326"/>
      <c r="AU425" s="326"/>
      <c r="AV425" s="327"/>
      <c r="AW425" s="686"/>
      <c r="AX425" s="326"/>
      <c r="AY425" s="327"/>
      <c r="AZ425" s="381"/>
      <c r="BA425" s="326"/>
      <c r="BB425" s="326"/>
      <c r="BC425" s="326"/>
      <c r="BD425" s="326"/>
      <c r="BE425" s="326"/>
      <c r="BF425" s="326"/>
      <c r="BG425" s="326"/>
      <c r="BH425" s="326"/>
      <c r="BI425" s="326"/>
      <c r="BJ425" s="326"/>
      <c r="BK425" s="326"/>
      <c r="BL425" s="326"/>
      <c r="BM425" s="326"/>
      <c r="BN425" s="326"/>
      <c r="BO425" s="327"/>
    </row>
    <row r="426" spans="1:67" ht="34.5" customHeight="1" x14ac:dyDescent="0.25">
      <c r="A426" s="87">
        <f t="shared" si="1"/>
        <v>414</v>
      </c>
      <c r="B426" s="386" t="s">
        <v>334</v>
      </c>
      <c r="C426" s="327"/>
      <c r="D426" s="498"/>
      <c r="E426" s="326"/>
      <c r="F426" s="326"/>
      <c r="G426" s="326"/>
      <c r="H426" s="327"/>
      <c r="I426" s="407"/>
      <c r="J426" s="326"/>
      <c r="K426" s="326"/>
      <c r="L426" s="326"/>
      <c r="M426" s="326"/>
      <c r="N426" s="326"/>
      <c r="O426" s="326"/>
      <c r="P426" s="327"/>
      <c r="Q426" s="456"/>
      <c r="R426" s="326"/>
      <c r="S426" s="326"/>
      <c r="T426" s="326"/>
      <c r="U426" s="326"/>
      <c r="V426" s="326"/>
      <c r="W426" s="326"/>
      <c r="X426" s="327"/>
      <c r="Y426" s="407"/>
      <c r="Z426" s="327"/>
      <c r="AA426" s="456"/>
      <c r="AB426" s="326"/>
      <c r="AC426" s="326"/>
      <c r="AD426" s="327"/>
      <c r="AE426" s="407"/>
      <c r="AF426" s="326"/>
      <c r="AG426" s="327"/>
      <c r="AH426" s="456"/>
      <c r="AI426" s="326"/>
      <c r="AJ426" s="327"/>
      <c r="AK426" s="407"/>
      <c r="AL426" s="326"/>
      <c r="AM426" s="326"/>
      <c r="AN426" s="327"/>
      <c r="AO426" s="456"/>
      <c r="AP426" s="326"/>
      <c r="AQ426" s="326"/>
      <c r="AR426" s="326"/>
      <c r="AS426" s="326"/>
      <c r="AT426" s="326"/>
      <c r="AU426" s="326"/>
      <c r="AV426" s="327"/>
      <c r="AW426" s="685"/>
      <c r="AX426" s="326"/>
      <c r="AY426" s="327"/>
      <c r="AZ426" s="456"/>
      <c r="BA426" s="326"/>
      <c r="BB426" s="326"/>
      <c r="BC426" s="326"/>
      <c r="BD426" s="326"/>
      <c r="BE426" s="326"/>
      <c r="BF426" s="326"/>
      <c r="BG426" s="326"/>
      <c r="BH426" s="326"/>
      <c r="BI426" s="326"/>
      <c r="BJ426" s="326"/>
      <c r="BK426" s="326"/>
      <c r="BL426" s="326"/>
      <c r="BM426" s="326"/>
      <c r="BN426" s="326"/>
      <c r="BO426" s="327"/>
    </row>
    <row r="427" spans="1:67" ht="34.5" customHeight="1" x14ac:dyDescent="0.25">
      <c r="A427" s="87">
        <f t="shared" si="1"/>
        <v>415</v>
      </c>
      <c r="B427" s="386" t="s">
        <v>334</v>
      </c>
      <c r="C427" s="327"/>
      <c r="D427" s="687"/>
      <c r="E427" s="326"/>
      <c r="F427" s="326"/>
      <c r="G427" s="326"/>
      <c r="H427" s="327"/>
      <c r="I427" s="381"/>
      <c r="J427" s="326"/>
      <c r="K427" s="326"/>
      <c r="L427" s="326"/>
      <c r="M427" s="326"/>
      <c r="N427" s="326"/>
      <c r="O427" s="326"/>
      <c r="P427" s="327"/>
      <c r="Q427" s="381"/>
      <c r="R427" s="326"/>
      <c r="S427" s="326"/>
      <c r="T427" s="326"/>
      <c r="U427" s="326"/>
      <c r="V427" s="326"/>
      <c r="W427" s="326"/>
      <c r="X427" s="327"/>
      <c r="Y427" s="381"/>
      <c r="Z427" s="327"/>
      <c r="AA427" s="381"/>
      <c r="AB427" s="326"/>
      <c r="AC427" s="326"/>
      <c r="AD427" s="327"/>
      <c r="AE427" s="381"/>
      <c r="AF427" s="326"/>
      <c r="AG427" s="327"/>
      <c r="AH427" s="381"/>
      <c r="AI427" s="326"/>
      <c r="AJ427" s="327"/>
      <c r="AK427" s="381"/>
      <c r="AL427" s="326"/>
      <c r="AM427" s="326"/>
      <c r="AN427" s="327"/>
      <c r="AO427" s="381"/>
      <c r="AP427" s="326"/>
      <c r="AQ427" s="326"/>
      <c r="AR427" s="326"/>
      <c r="AS427" s="326"/>
      <c r="AT427" s="326"/>
      <c r="AU427" s="326"/>
      <c r="AV427" s="327"/>
      <c r="AW427" s="686"/>
      <c r="AX427" s="326"/>
      <c r="AY427" s="327"/>
      <c r="AZ427" s="381"/>
      <c r="BA427" s="326"/>
      <c r="BB427" s="326"/>
      <c r="BC427" s="326"/>
      <c r="BD427" s="326"/>
      <c r="BE427" s="326"/>
      <c r="BF427" s="326"/>
      <c r="BG427" s="326"/>
      <c r="BH427" s="326"/>
      <c r="BI427" s="326"/>
      <c r="BJ427" s="326"/>
      <c r="BK427" s="326"/>
      <c r="BL427" s="326"/>
      <c r="BM427" s="326"/>
      <c r="BN427" s="326"/>
      <c r="BO427" s="327"/>
    </row>
    <row r="428" spans="1:67" ht="34.5" customHeight="1" x14ac:dyDescent="0.25">
      <c r="A428" s="87">
        <f t="shared" si="1"/>
        <v>416</v>
      </c>
      <c r="B428" s="688" t="s">
        <v>334</v>
      </c>
      <c r="C428" s="327"/>
      <c r="D428" s="498"/>
      <c r="E428" s="326"/>
      <c r="F428" s="326"/>
      <c r="G428" s="326"/>
      <c r="H428" s="327"/>
      <c r="I428" s="407"/>
      <c r="J428" s="326"/>
      <c r="K428" s="326"/>
      <c r="L428" s="326"/>
      <c r="M428" s="326"/>
      <c r="N428" s="326"/>
      <c r="O428" s="326"/>
      <c r="P428" s="327"/>
      <c r="Q428" s="456"/>
      <c r="R428" s="326"/>
      <c r="S428" s="326"/>
      <c r="T428" s="326"/>
      <c r="U428" s="326"/>
      <c r="V428" s="326"/>
      <c r="W428" s="326"/>
      <c r="X428" s="327"/>
      <c r="Y428" s="407"/>
      <c r="Z428" s="327"/>
      <c r="AA428" s="456"/>
      <c r="AB428" s="326"/>
      <c r="AC428" s="326"/>
      <c r="AD428" s="327"/>
      <c r="AE428" s="407"/>
      <c r="AF428" s="326"/>
      <c r="AG428" s="327"/>
      <c r="AH428" s="456"/>
      <c r="AI428" s="326"/>
      <c r="AJ428" s="327"/>
      <c r="AK428" s="407"/>
      <c r="AL428" s="326"/>
      <c r="AM428" s="326"/>
      <c r="AN428" s="327"/>
      <c r="AO428" s="456"/>
      <c r="AP428" s="326"/>
      <c r="AQ428" s="326"/>
      <c r="AR428" s="326"/>
      <c r="AS428" s="326"/>
      <c r="AT428" s="326"/>
      <c r="AU428" s="326"/>
      <c r="AV428" s="327"/>
      <c r="AW428" s="685"/>
      <c r="AX428" s="326"/>
      <c r="AY428" s="327"/>
      <c r="AZ428" s="456"/>
      <c r="BA428" s="326"/>
      <c r="BB428" s="326"/>
      <c r="BC428" s="326"/>
      <c r="BD428" s="326"/>
      <c r="BE428" s="326"/>
      <c r="BF428" s="326"/>
      <c r="BG428" s="326"/>
      <c r="BH428" s="326"/>
      <c r="BI428" s="326"/>
      <c r="BJ428" s="326"/>
      <c r="BK428" s="326"/>
      <c r="BL428" s="326"/>
      <c r="BM428" s="326"/>
      <c r="BN428" s="326"/>
      <c r="BO428" s="327"/>
    </row>
    <row r="429" spans="1:67" ht="34.5" customHeight="1" x14ac:dyDescent="0.25">
      <c r="A429" s="87">
        <f t="shared" si="1"/>
        <v>417</v>
      </c>
      <c r="B429" s="386" t="s">
        <v>334</v>
      </c>
      <c r="C429" s="327"/>
      <c r="D429" s="687"/>
      <c r="E429" s="326"/>
      <c r="F429" s="326"/>
      <c r="G429" s="326"/>
      <c r="H429" s="327"/>
      <c r="I429" s="381"/>
      <c r="J429" s="326"/>
      <c r="K429" s="326"/>
      <c r="L429" s="326"/>
      <c r="M429" s="326"/>
      <c r="N429" s="326"/>
      <c r="O429" s="326"/>
      <c r="P429" s="327"/>
      <c r="Q429" s="381"/>
      <c r="R429" s="326"/>
      <c r="S429" s="326"/>
      <c r="T429" s="326"/>
      <c r="U429" s="326"/>
      <c r="V429" s="326"/>
      <c r="W429" s="326"/>
      <c r="X429" s="327"/>
      <c r="Y429" s="381"/>
      <c r="Z429" s="327"/>
      <c r="AA429" s="381"/>
      <c r="AB429" s="326"/>
      <c r="AC429" s="326"/>
      <c r="AD429" s="327"/>
      <c r="AE429" s="381"/>
      <c r="AF429" s="326"/>
      <c r="AG429" s="327"/>
      <c r="AH429" s="381"/>
      <c r="AI429" s="326"/>
      <c r="AJ429" s="327"/>
      <c r="AK429" s="381"/>
      <c r="AL429" s="326"/>
      <c r="AM429" s="326"/>
      <c r="AN429" s="327"/>
      <c r="AO429" s="381"/>
      <c r="AP429" s="326"/>
      <c r="AQ429" s="326"/>
      <c r="AR429" s="326"/>
      <c r="AS429" s="326"/>
      <c r="AT429" s="326"/>
      <c r="AU429" s="326"/>
      <c r="AV429" s="327"/>
      <c r="AW429" s="686"/>
      <c r="AX429" s="326"/>
      <c r="AY429" s="327"/>
      <c r="AZ429" s="381"/>
      <c r="BA429" s="326"/>
      <c r="BB429" s="326"/>
      <c r="BC429" s="326"/>
      <c r="BD429" s="326"/>
      <c r="BE429" s="326"/>
      <c r="BF429" s="326"/>
      <c r="BG429" s="326"/>
      <c r="BH429" s="326"/>
      <c r="BI429" s="326"/>
      <c r="BJ429" s="326"/>
      <c r="BK429" s="326"/>
      <c r="BL429" s="326"/>
      <c r="BM429" s="326"/>
      <c r="BN429" s="326"/>
      <c r="BO429" s="327"/>
    </row>
    <row r="430" spans="1:67" ht="34.5" customHeight="1" x14ac:dyDescent="0.25">
      <c r="A430" s="87">
        <f t="shared" si="1"/>
        <v>418</v>
      </c>
      <c r="B430" s="386" t="s">
        <v>334</v>
      </c>
      <c r="C430" s="327"/>
      <c r="D430" s="498"/>
      <c r="E430" s="326"/>
      <c r="F430" s="326"/>
      <c r="G430" s="326"/>
      <c r="H430" s="327"/>
      <c r="I430" s="407"/>
      <c r="J430" s="326"/>
      <c r="K430" s="326"/>
      <c r="L430" s="326"/>
      <c r="M430" s="326"/>
      <c r="N430" s="326"/>
      <c r="O430" s="326"/>
      <c r="P430" s="327"/>
      <c r="Q430" s="456"/>
      <c r="R430" s="326"/>
      <c r="S430" s="326"/>
      <c r="T430" s="326"/>
      <c r="U430" s="326"/>
      <c r="V430" s="326"/>
      <c r="W430" s="326"/>
      <c r="X430" s="327"/>
      <c r="Y430" s="407"/>
      <c r="Z430" s="327"/>
      <c r="AA430" s="456"/>
      <c r="AB430" s="326"/>
      <c r="AC430" s="326"/>
      <c r="AD430" s="327"/>
      <c r="AE430" s="407"/>
      <c r="AF430" s="326"/>
      <c r="AG430" s="327"/>
      <c r="AH430" s="456"/>
      <c r="AI430" s="326"/>
      <c r="AJ430" s="327"/>
      <c r="AK430" s="407"/>
      <c r="AL430" s="326"/>
      <c r="AM430" s="326"/>
      <c r="AN430" s="327"/>
      <c r="AO430" s="456"/>
      <c r="AP430" s="326"/>
      <c r="AQ430" s="326"/>
      <c r="AR430" s="326"/>
      <c r="AS430" s="326"/>
      <c r="AT430" s="326"/>
      <c r="AU430" s="326"/>
      <c r="AV430" s="327"/>
      <c r="AW430" s="685"/>
      <c r="AX430" s="326"/>
      <c r="AY430" s="327"/>
      <c r="AZ430" s="456"/>
      <c r="BA430" s="326"/>
      <c r="BB430" s="326"/>
      <c r="BC430" s="326"/>
      <c r="BD430" s="326"/>
      <c r="BE430" s="326"/>
      <c r="BF430" s="326"/>
      <c r="BG430" s="326"/>
      <c r="BH430" s="326"/>
      <c r="BI430" s="326"/>
      <c r="BJ430" s="326"/>
      <c r="BK430" s="326"/>
      <c r="BL430" s="326"/>
      <c r="BM430" s="326"/>
      <c r="BN430" s="326"/>
      <c r="BO430" s="327"/>
    </row>
    <row r="431" spans="1:67" ht="34.5" customHeight="1" x14ac:dyDescent="0.25">
      <c r="A431" s="87">
        <f t="shared" si="1"/>
        <v>419</v>
      </c>
      <c r="B431" s="386" t="s">
        <v>334</v>
      </c>
      <c r="C431" s="327"/>
      <c r="D431" s="687"/>
      <c r="E431" s="326"/>
      <c r="F431" s="326"/>
      <c r="G431" s="326"/>
      <c r="H431" s="327"/>
      <c r="I431" s="381"/>
      <c r="J431" s="326"/>
      <c r="K431" s="326"/>
      <c r="L431" s="326"/>
      <c r="M431" s="326"/>
      <c r="N431" s="326"/>
      <c r="O431" s="326"/>
      <c r="P431" s="327"/>
      <c r="Q431" s="381"/>
      <c r="R431" s="326"/>
      <c r="S431" s="326"/>
      <c r="T431" s="326"/>
      <c r="U431" s="326"/>
      <c r="V431" s="326"/>
      <c r="W431" s="326"/>
      <c r="X431" s="327"/>
      <c r="Y431" s="381"/>
      <c r="Z431" s="327"/>
      <c r="AA431" s="381"/>
      <c r="AB431" s="326"/>
      <c r="AC431" s="326"/>
      <c r="AD431" s="327"/>
      <c r="AE431" s="381"/>
      <c r="AF431" s="326"/>
      <c r="AG431" s="327"/>
      <c r="AH431" s="381"/>
      <c r="AI431" s="326"/>
      <c r="AJ431" s="327"/>
      <c r="AK431" s="381"/>
      <c r="AL431" s="326"/>
      <c r="AM431" s="326"/>
      <c r="AN431" s="327"/>
      <c r="AO431" s="381"/>
      <c r="AP431" s="326"/>
      <c r="AQ431" s="326"/>
      <c r="AR431" s="326"/>
      <c r="AS431" s="326"/>
      <c r="AT431" s="326"/>
      <c r="AU431" s="326"/>
      <c r="AV431" s="327"/>
      <c r="AW431" s="686"/>
      <c r="AX431" s="326"/>
      <c r="AY431" s="327"/>
      <c r="AZ431" s="381"/>
      <c r="BA431" s="326"/>
      <c r="BB431" s="326"/>
      <c r="BC431" s="326"/>
      <c r="BD431" s="326"/>
      <c r="BE431" s="326"/>
      <c r="BF431" s="326"/>
      <c r="BG431" s="326"/>
      <c r="BH431" s="326"/>
      <c r="BI431" s="326"/>
      <c r="BJ431" s="326"/>
      <c r="BK431" s="326"/>
      <c r="BL431" s="326"/>
      <c r="BM431" s="326"/>
      <c r="BN431" s="326"/>
      <c r="BO431" s="327"/>
    </row>
    <row r="432" spans="1:67" ht="34.5" customHeight="1" x14ac:dyDescent="0.25">
      <c r="A432" s="87">
        <f t="shared" si="1"/>
        <v>420</v>
      </c>
      <c r="B432" s="386" t="s">
        <v>334</v>
      </c>
      <c r="C432" s="327"/>
      <c r="D432" s="498"/>
      <c r="E432" s="326"/>
      <c r="F432" s="326"/>
      <c r="G432" s="326"/>
      <c r="H432" s="327"/>
      <c r="I432" s="407"/>
      <c r="J432" s="326"/>
      <c r="K432" s="326"/>
      <c r="L432" s="326"/>
      <c r="M432" s="326"/>
      <c r="N432" s="326"/>
      <c r="O432" s="326"/>
      <c r="P432" s="327"/>
      <c r="Q432" s="456"/>
      <c r="R432" s="326"/>
      <c r="S432" s="326"/>
      <c r="T432" s="326"/>
      <c r="U432" s="326"/>
      <c r="V432" s="326"/>
      <c r="W432" s="326"/>
      <c r="X432" s="327"/>
      <c r="Y432" s="407"/>
      <c r="Z432" s="327"/>
      <c r="AA432" s="456"/>
      <c r="AB432" s="326"/>
      <c r="AC432" s="326"/>
      <c r="AD432" s="327"/>
      <c r="AE432" s="407"/>
      <c r="AF432" s="326"/>
      <c r="AG432" s="327"/>
      <c r="AH432" s="456"/>
      <c r="AI432" s="326"/>
      <c r="AJ432" s="327"/>
      <c r="AK432" s="407"/>
      <c r="AL432" s="326"/>
      <c r="AM432" s="326"/>
      <c r="AN432" s="327"/>
      <c r="AO432" s="456"/>
      <c r="AP432" s="326"/>
      <c r="AQ432" s="326"/>
      <c r="AR432" s="326"/>
      <c r="AS432" s="326"/>
      <c r="AT432" s="326"/>
      <c r="AU432" s="326"/>
      <c r="AV432" s="327"/>
      <c r="AW432" s="685"/>
      <c r="AX432" s="326"/>
      <c r="AY432" s="327"/>
      <c r="AZ432" s="456"/>
      <c r="BA432" s="326"/>
      <c r="BB432" s="326"/>
      <c r="BC432" s="326"/>
      <c r="BD432" s="326"/>
      <c r="BE432" s="326"/>
      <c r="BF432" s="326"/>
      <c r="BG432" s="326"/>
      <c r="BH432" s="326"/>
      <c r="BI432" s="326"/>
      <c r="BJ432" s="326"/>
      <c r="BK432" s="326"/>
      <c r="BL432" s="326"/>
      <c r="BM432" s="326"/>
      <c r="BN432" s="326"/>
      <c r="BO432" s="327"/>
    </row>
    <row r="433" spans="1:67" ht="34.5" customHeight="1" x14ac:dyDescent="0.25">
      <c r="A433" s="87">
        <f t="shared" si="1"/>
        <v>421</v>
      </c>
      <c r="B433" s="386" t="s">
        <v>334</v>
      </c>
      <c r="C433" s="327"/>
      <c r="D433" s="687"/>
      <c r="E433" s="326"/>
      <c r="F433" s="326"/>
      <c r="G433" s="326"/>
      <c r="H433" s="327"/>
      <c r="I433" s="381"/>
      <c r="J433" s="326"/>
      <c r="K433" s="326"/>
      <c r="L433" s="326"/>
      <c r="M433" s="326"/>
      <c r="N433" s="326"/>
      <c r="O433" s="326"/>
      <c r="P433" s="327"/>
      <c r="Q433" s="381"/>
      <c r="R433" s="326"/>
      <c r="S433" s="326"/>
      <c r="T433" s="326"/>
      <c r="U433" s="326"/>
      <c r="V433" s="326"/>
      <c r="W433" s="326"/>
      <c r="X433" s="327"/>
      <c r="Y433" s="381"/>
      <c r="Z433" s="327"/>
      <c r="AA433" s="381"/>
      <c r="AB433" s="326"/>
      <c r="AC433" s="326"/>
      <c r="AD433" s="327"/>
      <c r="AE433" s="381"/>
      <c r="AF433" s="326"/>
      <c r="AG433" s="327"/>
      <c r="AH433" s="381"/>
      <c r="AI433" s="326"/>
      <c r="AJ433" s="327"/>
      <c r="AK433" s="381"/>
      <c r="AL433" s="326"/>
      <c r="AM433" s="326"/>
      <c r="AN433" s="327"/>
      <c r="AO433" s="381"/>
      <c r="AP433" s="326"/>
      <c r="AQ433" s="326"/>
      <c r="AR433" s="326"/>
      <c r="AS433" s="326"/>
      <c r="AT433" s="326"/>
      <c r="AU433" s="326"/>
      <c r="AV433" s="327"/>
      <c r="AW433" s="686"/>
      <c r="AX433" s="326"/>
      <c r="AY433" s="327"/>
      <c r="AZ433" s="381"/>
      <c r="BA433" s="326"/>
      <c r="BB433" s="326"/>
      <c r="BC433" s="326"/>
      <c r="BD433" s="326"/>
      <c r="BE433" s="326"/>
      <c r="BF433" s="326"/>
      <c r="BG433" s="326"/>
      <c r="BH433" s="326"/>
      <c r="BI433" s="326"/>
      <c r="BJ433" s="326"/>
      <c r="BK433" s="326"/>
      <c r="BL433" s="326"/>
      <c r="BM433" s="326"/>
      <c r="BN433" s="326"/>
      <c r="BO433" s="327"/>
    </row>
    <row r="434" spans="1:67" ht="34.5" customHeight="1" x14ac:dyDescent="0.25">
      <c r="A434" s="87">
        <f t="shared" si="1"/>
        <v>422</v>
      </c>
      <c r="B434" s="386" t="s">
        <v>334</v>
      </c>
      <c r="C434" s="327"/>
      <c r="D434" s="498"/>
      <c r="E434" s="326"/>
      <c r="F434" s="326"/>
      <c r="G434" s="326"/>
      <c r="H434" s="327"/>
      <c r="I434" s="407"/>
      <c r="J434" s="326"/>
      <c r="K434" s="326"/>
      <c r="L434" s="326"/>
      <c r="M434" s="326"/>
      <c r="N434" s="326"/>
      <c r="O434" s="326"/>
      <c r="P434" s="327"/>
      <c r="Q434" s="456"/>
      <c r="R434" s="326"/>
      <c r="S434" s="326"/>
      <c r="T434" s="326"/>
      <c r="U434" s="326"/>
      <c r="V434" s="326"/>
      <c r="W434" s="326"/>
      <c r="X434" s="327"/>
      <c r="Y434" s="407"/>
      <c r="Z434" s="327"/>
      <c r="AA434" s="456"/>
      <c r="AB434" s="326"/>
      <c r="AC434" s="326"/>
      <c r="AD434" s="327"/>
      <c r="AE434" s="407"/>
      <c r="AF434" s="326"/>
      <c r="AG434" s="327"/>
      <c r="AH434" s="456"/>
      <c r="AI434" s="326"/>
      <c r="AJ434" s="327"/>
      <c r="AK434" s="407"/>
      <c r="AL434" s="326"/>
      <c r="AM434" s="326"/>
      <c r="AN434" s="327"/>
      <c r="AO434" s="456"/>
      <c r="AP434" s="326"/>
      <c r="AQ434" s="326"/>
      <c r="AR434" s="326"/>
      <c r="AS434" s="326"/>
      <c r="AT434" s="326"/>
      <c r="AU434" s="326"/>
      <c r="AV434" s="327"/>
      <c r="AW434" s="685"/>
      <c r="AX434" s="326"/>
      <c r="AY434" s="327"/>
      <c r="AZ434" s="456"/>
      <c r="BA434" s="326"/>
      <c r="BB434" s="326"/>
      <c r="BC434" s="326"/>
      <c r="BD434" s="326"/>
      <c r="BE434" s="326"/>
      <c r="BF434" s="326"/>
      <c r="BG434" s="326"/>
      <c r="BH434" s="326"/>
      <c r="BI434" s="326"/>
      <c r="BJ434" s="326"/>
      <c r="BK434" s="326"/>
      <c r="BL434" s="326"/>
      <c r="BM434" s="326"/>
      <c r="BN434" s="326"/>
      <c r="BO434" s="327"/>
    </row>
    <row r="435" spans="1:67" ht="34.5" customHeight="1" x14ac:dyDescent="0.25">
      <c r="A435" s="87">
        <f t="shared" si="1"/>
        <v>423</v>
      </c>
      <c r="B435" s="386" t="s">
        <v>334</v>
      </c>
      <c r="C435" s="327"/>
      <c r="D435" s="687"/>
      <c r="E435" s="326"/>
      <c r="F435" s="326"/>
      <c r="G435" s="326"/>
      <c r="H435" s="327"/>
      <c r="I435" s="381"/>
      <c r="J435" s="326"/>
      <c r="K435" s="326"/>
      <c r="L435" s="326"/>
      <c r="M435" s="326"/>
      <c r="N435" s="326"/>
      <c r="O435" s="326"/>
      <c r="P435" s="327"/>
      <c r="Q435" s="381"/>
      <c r="R435" s="326"/>
      <c r="S435" s="326"/>
      <c r="T435" s="326"/>
      <c r="U435" s="326"/>
      <c r="V435" s="326"/>
      <c r="W435" s="326"/>
      <c r="X435" s="327"/>
      <c r="Y435" s="381"/>
      <c r="Z435" s="327"/>
      <c r="AA435" s="381"/>
      <c r="AB435" s="326"/>
      <c r="AC435" s="326"/>
      <c r="AD435" s="327"/>
      <c r="AE435" s="381"/>
      <c r="AF435" s="326"/>
      <c r="AG435" s="327"/>
      <c r="AH435" s="381"/>
      <c r="AI435" s="326"/>
      <c r="AJ435" s="327"/>
      <c r="AK435" s="381"/>
      <c r="AL435" s="326"/>
      <c r="AM435" s="326"/>
      <c r="AN435" s="327"/>
      <c r="AO435" s="381"/>
      <c r="AP435" s="326"/>
      <c r="AQ435" s="326"/>
      <c r="AR435" s="326"/>
      <c r="AS435" s="326"/>
      <c r="AT435" s="326"/>
      <c r="AU435" s="326"/>
      <c r="AV435" s="327"/>
      <c r="AW435" s="686"/>
      <c r="AX435" s="326"/>
      <c r="AY435" s="327"/>
      <c r="AZ435" s="381"/>
      <c r="BA435" s="326"/>
      <c r="BB435" s="326"/>
      <c r="BC435" s="326"/>
      <c r="BD435" s="326"/>
      <c r="BE435" s="326"/>
      <c r="BF435" s="326"/>
      <c r="BG435" s="326"/>
      <c r="BH435" s="326"/>
      <c r="BI435" s="326"/>
      <c r="BJ435" s="326"/>
      <c r="BK435" s="326"/>
      <c r="BL435" s="326"/>
      <c r="BM435" s="326"/>
      <c r="BN435" s="326"/>
      <c r="BO435" s="327"/>
    </row>
    <row r="436" spans="1:67" ht="34.5" customHeight="1" x14ac:dyDescent="0.25">
      <c r="A436" s="87">
        <f t="shared" si="1"/>
        <v>424</v>
      </c>
      <c r="B436" s="386" t="s">
        <v>334</v>
      </c>
      <c r="C436" s="327"/>
      <c r="D436" s="498"/>
      <c r="E436" s="326"/>
      <c r="F436" s="326"/>
      <c r="G436" s="326"/>
      <c r="H436" s="327"/>
      <c r="I436" s="407"/>
      <c r="J436" s="326"/>
      <c r="K436" s="326"/>
      <c r="L436" s="326"/>
      <c r="M436" s="326"/>
      <c r="N436" s="326"/>
      <c r="O436" s="326"/>
      <c r="P436" s="327"/>
      <c r="Q436" s="456"/>
      <c r="R436" s="326"/>
      <c r="S436" s="326"/>
      <c r="T436" s="326"/>
      <c r="U436" s="326"/>
      <c r="V436" s="326"/>
      <c r="W436" s="326"/>
      <c r="X436" s="327"/>
      <c r="Y436" s="407"/>
      <c r="Z436" s="327"/>
      <c r="AA436" s="456"/>
      <c r="AB436" s="326"/>
      <c r="AC436" s="326"/>
      <c r="AD436" s="327"/>
      <c r="AE436" s="407"/>
      <c r="AF436" s="326"/>
      <c r="AG436" s="327"/>
      <c r="AH436" s="456"/>
      <c r="AI436" s="326"/>
      <c r="AJ436" s="327"/>
      <c r="AK436" s="407"/>
      <c r="AL436" s="326"/>
      <c r="AM436" s="326"/>
      <c r="AN436" s="327"/>
      <c r="AO436" s="456"/>
      <c r="AP436" s="326"/>
      <c r="AQ436" s="326"/>
      <c r="AR436" s="326"/>
      <c r="AS436" s="326"/>
      <c r="AT436" s="326"/>
      <c r="AU436" s="326"/>
      <c r="AV436" s="327"/>
      <c r="AW436" s="685"/>
      <c r="AX436" s="326"/>
      <c r="AY436" s="327"/>
      <c r="AZ436" s="456"/>
      <c r="BA436" s="326"/>
      <c r="BB436" s="326"/>
      <c r="BC436" s="326"/>
      <c r="BD436" s="326"/>
      <c r="BE436" s="326"/>
      <c r="BF436" s="326"/>
      <c r="BG436" s="326"/>
      <c r="BH436" s="326"/>
      <c r="BI436" s="326"/>
      <c r="BJ436" s="326"/>
      <c r="BK436" s="326"/>
      <c r="BL436" s="326"/>
      <c r="BM436" s="326"/>
      <c r="BN436" s="326"/>
      <c r="BO436" s="327"/>
    </row>
    <row r="437" spans="1:67" ht="34.5" customHeight="1" x14ac:dyDescent="0.25">
      <c r="A437" s="87">
        <f t="shared" si="1"/>
        <v>425</v>
      </c>
      <c r="B437" s="386" t="s">
        <v>334</v>
      </c>
      <c r="C437" s="327"/>
      <c r="D437" s="687"/>
      <c r="E437" s="326"/>
      <c r="F437" s="326"/>
      <c r="G437" s="326"/>
      <c r="H437" s="327"/>
      <c r="I437" s="381"/>
      <c r="J437" s="326"/>
      <c r="K437" s="326"/>
      <c r="L437" s="326"/>
      <c r="M437" s="326"/>
      <c r="N437" s="326"/>
      <c r="O437" s="326"/>
      <c r="P437" s="327"/>
      <c r="Q437" s="381"/>
      <c r="R437" s="326"/>
      <c r="S437" s="326"/>
      <c r="T437" s="326"/>
      <c r="U437" s="326"/>
      <c r="V437" s="326"/>
      <c r="W437" s="326"/>
      <c r="X437" s="327"/>
      <c r="Y437" s="381"/>
      <c r="Z437" s="327"/>
      <c r="AA437" s="381"/>
      <c r="AB437" s="326"/>
      <c r="AC437" s="326"/>
      <c r="AD437" s="327"/>
      <c r="AE437" s="381"/>
      <c r="AF437" s="326"/>
      <c r="AG437" s="327"/>
      <c r="AH437" s="381"/>
      <c r="AI437" s="326"/>
      <c r="AJ437" s="327"/>
      <c r="AK437" s="381"/>
      <c r="AL437" s="326"/>
      <c r="AM437" s="326"/>
      <c r="AN437" s="327"/>
      <c r="AO437" s="381"/>
      <c r="AP437" s="326"/>
      <c r="AQ437" s="326"/>
      <c r="AR437" s="326"/>
      <c r="AS437" s="326"/>
      <c r="AT437" s="326"/>
      <c r="AU437" s="326"/>
      <c r="AV437" s="327"/>
      <c r="AW437" s="686"/>
      <c r="AX437" s="326"/>
      <c r="AY437" s="327"/>
      <c r="AZ437" s="381"/>
      <c r="BA437" s="326"/>
      <c r="BB437" s="326"/>
      <c r="BC437" s="326"/>
      <c r="BD437" s="326"/>
      <c r="BE437" s="326"/>
      <c r="BF437" s="326"/>
      <c r="BG437" s="326"/>
      <c r="BH437" s="326"/>
      <c r="BI437" s="326"/>
      <c r="BJ437" s="326"/>
      <c r="BK437" s="326"/>
      <c r="BL437" s="326"/>
      <c r="BM437" s="326"/>
      <c r="BN437" s="326"/>
      <c r="BO437" s="327"/>
    </row>
    <row r="438" spans="1:67" ht="34.5" customHeight="1" x14ac:dyDescent="0.25">
      <c r="A438" s="87">
        <f t="shared" si="1"/>
        <v>426</v>
      </c>
      <c r="B438" s="386" t="s">
        <v>334</v>
      </c>
      <c r="C438" s="327"/>
      <c r="D438" s="498"/>
      <c r="E438" s="326"/>
      <c r="F438" s="326"/>
      <c r="G438" s="326"/>
      <c r="H438" s="327"/>
      <c r="I438" s="407"/>
      <c r="J438" s="326"/>
      <c r="K438" s="326"/>
      <c r="L438" s="326"/>
      <c r="M438" s="326"/>
      <c r="N438" s="326"/>
      <c r="O438" s="326"/>
      <c r="P438" s="327"/>
      <c r="Q438" s="456"/>
      <c r="R438" s="326"/>
      <c r="S438" s="326"/>
      <c r="T438" s="326"/>
      <c r="U438" s="326"/>
      <c r="V438" s="326"/>
      <c r="W438" s="326"/>
      <c r="X438" s="327"/>
      <c r="Y438" s="407"/>
      <c r="Z438" s="327"/>
      <c r="AA438" s="456"/>
      <c r="AB438" s="326"/>
      <c r="AC438" s="326"/>
      <c r="AD438" s="327"/>
      <c r="AE438" s="407"/>
      <c r="AF438" s="326"/>
      <c r="AG438" s="327"/>
      <c r="AH438" s="456"/>
      <c r="AI438" s="326"/>
      <c r="AJ438" s="327"/>
      <c r="AK438" s="407"/>
      <c r="AL438" s="326"/>
      <c r="AM438" s="326"/>
      <c r="AN438" s="327"/>
      <c r="AO438" s="456"/>
      <c r="AP438" s="326"/>
      <c r="AQ438" s="326"/>
      <c r="AR438" s="326"/>
      <c r="AS438" s="326"/>
      <c r="AT438" s="326"/>
      <c r="AU438" s="326"/>
      <c r="AV438" s="327"/>
      <c r="AW438" s="685"/>
      <c r="AX438" s="326"/>
      <c r="AY438" s="327"/>
      <c r="AZ438" s="456"/>
      <c r="BA438" s="326"/>
      <c r="BB438" s="326"/>
      <c r="BC438" s="326"/>
      <c r="BD438" s="326"/>
      <c r="BE438" s="326"/>
      <c r="BF438" s="326"/>
      <c r="BG438" s="326"/>
      <c r="BH438" s="326"/>
      <c r="BI438" s="326"/>
      <c r="BJ438" s="326"/>
      <c r="BK438" s="326"/>
      <c r="BL438" s="326"/>
      <c r="BM438" s="326"/>
      <c r="BN438" s="326"/>
      <c r="BO438" s="327"/>
    </row>
    <row r="439" spans="1:67" ht="34.5" customHeight="1" x14ac:dyDescent="0.25">
      <c r="A439" s="87">
        <f t="shared" si="1"/>
        <v>427</v>
      </c>
      <c r="B439" s="386" t="s">
        <v>334</v>
      </c>
      <c r="C439" s="327"/>
      <c r="D439" s="687"/>
      <c r="E439" s="326"/>
      <c r="F439" s="326"/>
      <c r="G439" s="326"/>
      <c r="H439" s="327"/>
      <c r="I439" s="381"/>
      <c r="J439" s="326"/>
      <c r="K439" s="326"/>
      <c r="L439" s="326"/>
      <c r="M439" s="326"/>
      <c r="N439" s="326"/>
      <c r="O439" s="326"/>
      <c r="P439" s="327"/>
      <c r="Q439" s="381"/>
      <c r="R439" s="326"/>
      <c r="S439" s="326"/>
      <c r="T439" s="326"/>
      <c r="U439" s="326"/>
      <c r="V439" s="326"/>
      <c r="W439" s="326"/>
      <c r="X439" s="327"/>
      <c r="Y439" s="381"/>
      <c r="Z439" s="327"/>
      <c r="AA439" s="381"/>
      <c r="AB439" s="326"/>
      <c r="AC439" s="326"/>
      <c r="AD439" s="327"/>
      <c r="AE439" s="381"/>
      <c r="AF439" s="326"/>
      <c r="AG439" s="327"/>
      <c r="AH439" s="381"/>
      <c r="AI439" s="326"/>
      <c r="AJ439" s="327"/>
      <c r="AK439" s="381"/>
      <c r="AL439" s="326"/>
      <c r="AM439" s="326"/>
      <c r="AN439" s="327"/>
      <c r="AO439" s="381"/>
      <c r="AP439" s="326"/>
      <c r="AQ439" s="326"/>
      <c r="AR439" s="326"/>
      <c r="AS439" s="326"/>
      <c r="AT439" s="326"/>
      <c r="AU439" s="326"/>
      <c r="AV439" s="327"/>
      <c r="AW439" s="686"/>
      <c r="AX439" s="326"/>
      <c r="AY439" s="327"/>
      <c r="AZ439" s="381"/>
      <c r="BA439" s="326"/>
      <c r="BB439" s="326"/>
      <c r="BC439" s="326"/>
      <c r="BD439" s="326"/>
      <c r="BE439" s="326"/>
      <c r="BF439" s="326"/>
      <c r="BG439" s="326"/>
      <c r="BH439" s="326"/>
      <c r="BI439" s="326"/>
      <c r="BJ439" s="326"/>
      <c r="BK439" s="326"/>
      <c r="BL439" s="326"/>
      <c r="BM439" s="326"/>
      <c r="BN439" s="326"/>
      <c r="BO439" s="327"/>
    </row>
    <row r="440" spans="1:67" ht="34.5" customHeight="1" x14ac:dyDescent="0.25">
      <c r="A440" s="87">
        <f t="shared" si="1"/>
        <v>428</v>
      </c>
      <c r="B440" s="386" t="s">
        <v>334</v>
      </c>
      <c r="C440" s="327"/>
      <c r="D440" s="498"/>
      <c r="E440" s="326"/>
      <c r="F440" s="326"/>
      <c r="G440" s="326"/>
      <c r="H440" s="327"/>
      <c r="I440" s="407"/>
      <c r="J440" s="326"/>
      <c r="K440" s="326"/>
      <c r="L440" s="326"/>
      <c r="M440" s="326"/>
      <c r="N440" s="326"/>
      <c r="O440" s="326"/>
      <c r="P440" s="327"/>
      <c r="Q440" s="456"/>
      <c r="R440" s="326"/>
      <c r="S440" s="326"/>
      <c r="T440" s="326"/>
      <c r="U440" s="326"/>
      <c r="V440" s="326"/>
      <c r="W440" s="326"/>
      <c r="X440" s="327"/>
      <c r="Y440" s="407"/>
      <c r="Z440" s="327"/>
      <c r="AA440" s="456"/>
      <c r="AB440" s="326"/>
      <c r="AC440" s="326"/>
      <c r="AD440" s="327"/>
      <c r="AE440" s="407"/>
      <c r="AF440" s="326"/>
      <c r="AG440" s="327"/>
      <c r="AH440" s="456"/>
      <c r="AI440" s="326"/>
      <c r="AJ440" s="327"/>
      <c r="AK440" s="407"/>
      <c r="AL440" s="326"/>
      <c r="AM440" s="326"/>
      <c r="AN440" s="327"/>
      <c r="AO440" s="456"/>
      <c r="AP440" s="326"/>
      <c r="AQ440" s="326"/>
      <c r="AR440" s="326"/>
      <c r="AS440" s="326"/>
      <c r="AT440" s="326"/>
      <c r="AU440" s="326"/>
      <c r="AV440" s="327"/>
      <c r="AW440" s="685"/>
      <c r="AX440" s="326"/>
      <c r="AY440" s="327"/>
      <c r="AZ440" s="456"/>
      <c r="BA440" s="326"/>
      <c r="BB440" s="326"/>
      <c r="BC440" s="326"/>
      <c r="BD440" s="326"/>
      <c r="BE440" s="326"/>
      <c r="BF440" s="326"/>
      <c r="BG440" s="326"/>
      <c r="BH440" s="326"/>
      <c r="BI440" s="326"/>
      <c r="BJ440" s="326"/>
      <c r="BK440" s="326"/>
      <c r="BL440" s="326"/>
      <c r="BM440" s="326"/>
      <c r="BN440" s="326"/>
      <c r="BO440" s="327"/>
    </row>
    <row r="441" spans="1:67" ht="34.5" customHeight="1" x14ac:dyDescent="0.25">
      <c r="A441" s="87">
        <f t="shared" si="1"/>
        <v>429</v>
      </c>
      <c r="B441" s="386" t="s">
        <v>334</v>
      </c>
      <c r="C441" s="327"/>
      <c r="D441" s="687"/>
      <c r="E441" s="326"/>
      <c r="F441" s="326"/>
      <c r="G441" s="326"/>
      <c r="H441" s="327"/>
      <c r="I441" s="381"/>
      <c r="J441" s="326"/>
      <c r="K441" s="326"/>
      <c r="L441" s="326"/>
      <c r="M441" s="326"/>
      <c r="N441" s="326"/>
      <c r="O441" s="326"/>
      <c r="P441" s="327"/>
      <c r="Q441" s="381"/>
      <c r="R441" s="326"/>
      <c r="S441" s="326"/>
      <c r="T441" s="326"/>
      <c r="U441" s="326"/>
      <c r="V441" s="326"/>
      <c r="W441" s="326"/>
      <c r="X441" s="327"/>
      <c r="Y441" s="381"/>
      <c r="Z441" s="327"/>
      <c r="AA441" s="381"/>
      <c r="AB441" s="326"/>
      <c r="AC441" s="326"/>
      <c r="AD441" s="327"/>
      <c r="AE441" s="381"/>
      <c r="AF441" s="326"/>
      <c r="AG441" s="327"/>
      <c r="AH441" s="381"/>
      <c r="AI441" s="326"/>
      <c r="AJ441" s="327"/>
      <c r="AK441" s="381"/>
      <c r="AL441" s="326"/>
      <c r="AM441" s="326"/>
      <c r="AN441" s="327"/>
      <c r="AO441" s="381"/>
      <c r="AP441" s="326"/>
      <c r="AQ441" s="326"/>
      <c r="AR441" s="326"/>
      <c r="AS441" s="326"/>
      <c r="AT441" s="326"/>
      <c r="AU441" s="326"/>
      <c r="AV441" s="327"/>
      <c r="AW441" s="686"/>
      <c r="AX441" s="326"/>
      <c r="AY441" s="327"/>
      <c r="AZ441" s="381"/>
      <c r="BA441" s="326"/>
      <c r="BB441" s="326"/>
      <c r="BC441" s="326"/>
      <c r="BD441" s="326"/>
      <c r="BE441" s="326"/>
      <c r="BF441" s="326"/>
      <c r="BG441" s="326"/>
      <c r="BH441" s="326"/>
      <c r="BI441" s="326"/>
      <c r="BJ441" s="326"/>
      <c r="BK441" s="326"/>
      <c r="BL441" s="326"/>
      <c r="BM441" s="326"/>
      <c r="BN441" s="326"/>
      <c r="BO441" s="327"/>
    </row>
    <row r="442" spans="1:67" ht="34.5" customHeight="1" x14ac:dyDescent="0.25">
      <c r="A442" s="87">
        <f t="shared" si="1"/>
        <v>430</v>
      </c>
      <c r="B442" s="386" t="s">
        <v>334</v>
      </c>
      <c r="C442" s="327"/>
      <c r="D442" s="498"/>
      <c r="E442" s="326"/>
      <c r="F442" s="326"/>
      <c r="G442" s="326"/>
      <c r="H442" s="327"/>
      <c r="I442" s="407"/>
      <c r="J442" s="326"/>
      <c r="K442" s="326"/>
      <c r="L442" s="326"/>
      <c r="M442" s="326"/>
      <c r="N442" s="326"/>
      <c r="O442" s="326"/>
      <c r="P442" s="327"/>
      <c r="Q442" s="456"/>
      <c r="R442" s="326"/>
      <c r="S442" s="326"/>
      <c r="T442" s="326"/>
      <c r="U442" s="326"/>
      <c r="V442" s="326"/>
      <c r="W442" s="326"/>
      <c r="X442" s="327"/>
      <c r="Y442" s="407"/>
      <c r="Z442" s="327"/>
      <c r="AA442" s="456"/>
      <c r="AB442" s="326"/>
      <c r="AC442" s="326"/>
      <c r="AD442" s="327"/>
      <c r="AE442" s="407"/>
      <c r="AF442" s="326"/>
      <c r="AG442" s="327"/>
      <c r="AH442" s="456"/>
      <c r="AI442" s="326"/>
      <c r="AJ442" s="327"/>
      <c r="AK442" s="407"/>
      <c r="AL442" s="326"/>
      <c r="AM442" s="326"/>
      <c r="AN442" s="327"/>
      <c r="AO442" s="456"/>
      <c r="AP442" s="326"/>
      <c r="AQ442" s="326"/>
      <c r="AR442" s="326"/>
      <c r="AS442" s="326"/>
      <c r="AT442" s="326"/>
      <c r="AU442" s="326"/>
      <c r="AV442" s="327"/>
      <c r="AW442" s="685"/>
      <c r="AX442" s="326"/>
      <c r="AY442" s="327"/>
      <c r="AZ442" s="456"/>
      <c r="BA442" s="326"/>
      <c r="BB442" s="326"/>
      <c r="BC442" s="326"/>
      <c r="BD442" s="326"/>
      <c r="BE442" s="326"/>
      <c r="BF442" s="326"/>
      <c r="BG442" s="326"/>
      <c r="BH442" s="326"/>
      <c r="BI442" s="326"/>
      <c r="BJ442" s="326"/>
      <c r="BK442" s="326"/>
      <c r="BL442" s="326"/>
      <c r="BM442" s="326"/>
      <c r="BN442" s="326"/>
      <c r="BO442" s="327"/>
    </row>
    <row r="443" spans="1:67" ht="34.5" customHeight="1" x14ac:dyDescent="0.25">
      <c r="A443" s="87">
        <f t="shared" si="1"/>
        <v>431</v>
      </c>
      <c r="B443" s="386" t="s">
        <v>334</v>
      </c>
      <c r="C443" s="327"/>
      <c r="D443" s="687"/>
      <c r="E443" s="326"/>
      <c r="F443" s="326"/>
      <c r="G443" s="326"/>
      <c r="H443" s="327"/>
      <c r="I443" s="381"/>
      <c r="J443" s="326"/>
      <c r="K443" s="326"/>
      <c r="L443" s="326"/>
      <c r="M443" s="326"/>
      <c r="N443" s="326"/>
      <c r="O443" s="326"/>
      <c r="P443" s="327"/>
      <c r="Q443" s="381"/>
      <c r="R443" s="326"/>
      <c r="S443" s="326"/>
      <c r="T443" s="326"/>
      <c r="U443" s="326"/>
      <c r="V443" s="326"/>
      <c r="W443" s="326"/>
      <c r="X443" s="327"/>
      <c r="Y443" s="381"/>
      <c r="Z443" s="327"/>
      <c r="AA443" s="381"/>
      <c r="AB443" s="326"/>
      <c r="AC443" s="326"/>
      <c r="AD443" s="327"/>
      <c r="AE443" s="381"/>
      <c r="AF443" s="326"/>
      <c r="AG443" s="327"/>
      <c r="AH443" s="381"/>
      <c r="AI443" s="326"/>
      <c r="AJ443" s="327"/>
      <c r="AK443" s="381"/>
      <c r="AL443" s="326"/>
      <c r="AM443" s="326"/>
      <c r="AN443" s="327"/>
      <c r="AO443" s="381"/>
      <c r="AP443" s="326"/>
      <c r="AQ443" s="326"/>
      <c r="AR443" s="326"/>
      <c r="AS443" s="326"/>
      <c r="AT443" s="326"/>
      <c r="AU443" s="326"/>
      <c r="AV443" s="327"/>
      <c r="AW443" s="686"/>
      <c r="AX443" s="326"/>
      <c r="AY443" s="327"/>
      <c r="AZ443" s="381"/>
      <c r="BA443" s="326"/>
      <c r="BB443" s="326"/>
      <c r="BC443" s="326"/>
      <c r="BD443" s="326"/>
      <c r="BE443" s="326"/>
      <c r="BF443" s="326"/>
      <c r="BG443" s="326"/>
      <c r="BH443" s="326"/>
      <c r="BI443" s="326"/>
      <c r="BJ443" s="326"/>
      <c r="BK443" s="326"/>
      <c r="BL443" s="326"/>
      <c r="BM443" s="326"/>
      <c r="BN443" s="326"/>
      <c r="BO443" s="327"/>
    </row>
    <row r="444" spans="1:67" ht="34.5" customHeight="1" x14ac:dyDescent="0.25">
      <c r="A444" s="87">
        <f t="shared" si="1"/>
        <v>432</v>
      </c>
      <c r="B444" s="386" t="s">
        <v>334</v>
      </c>
      <c r="C444" s="327"/>
      <c r="D444" s="498"/>
      <c r="E444" s="326"/>
      <c r="F444" s="326"/>
      <c r="G444" s="326"/>
      <c r="H444" s="327"/>
      <c r="I444" s="407"/>
      <c r="J444" s="326"/>
      <c r="K444" s="326"/>
      <c r="L444" s="326"/>
      <c r="M444" s="326"/>
      <c r="N444" s="326"/>
      <c r="O444" s="326"/>
      <c r="P444" s="327"/>
      <c r="Q444" s="456"/>
      <c r="R444" s="326"/>
      <c r="S444" s="326"/>
      <c r="T444" s="326"/>
      <c r="U444" s="326"/>
      <c r="V444" s="326"/>
      <c r="W444" s="326"/>
      <c r="X444" s="327"/>
      <c r="Y444" s="407"/>
      <c r="Z444" s="327"/>
      <c r="AA444" s="456"/>
      <c r="AB444" s="326"/>
      <c r="AC444" s="326"/>
      <c r="AD444" s="327"/>
      <c r="AE444" s="407"/>
      <c r="AF444" s="326"/>
      <c r="AG444" s="327"/>
      <c r="AH444" s="456"/>
      <c r="AI444" s="326"/>
      <c r="AJ444" s="327"/>
      <c r="AK444" s="407"/>
      <c r="AL444" s="326"/>
      <c r="AM444" s="326"/>
      <c r="AN444" s="327"/>
      <c r="AO444" s="456"/>
      <c r="AP444" s="326"/>
      <c r="AQ444" s="326"/>
      <c r="AR444" s="326"/>
      <c r="AS444" s="326"/>
      <c r="AT444" s="326"/>
      <c r="AU444" s="326"/>
      <c r="AV444" s="327"/>
      <c r="AW444" s="685"/>
      <c r="AX444" s="326"/>
      <c r="AY444" s="327"/>
      <c r="AZ444" s="456"/>
      <c r="BA444" s="326"/>
      <c r="BB444" s="326"/>
      <c r="BC444" s="326"/>
      <c r="BD444" s="326"/>
      <c r="BE444" s="326"/>
      <c r="BF444" s="326"/>
      <c r="BG444" s="326"/>
      <c r="BH444" s="326"/>
      <c r="BI444" s="326"/>
      <c r="BJ444" s="326"/>
      <c r="BK444" s="326"/>
      <c r="BL444" s="326"/>
      <c r="BM444" s="326"/>
      <c r="BN444" s="326"/>
      <c r="BO444" s="327"/>
    </row>
    <row r="445" spans="1:67" ht="34.5" customHeight="1" x14ac:dyDescent="0.25">
      <c r="A445" s="87">
        <f t="shared" si="1"/>
        <v>433</v>
      </c>
      <c r="B445" s="386" t="s">
        <v>334</v>
      </c>
      <c r="C445" s="327"/>
      <c r="D445" s="687"/>
      <c r="E445" s="326"/>
      <c r="F445" s="326"/>
      <c r="G445" s="326"/>
      <c r="H445" s="327"/>
      <c r="I445" s="381"/>
      <c r="J445" s="326"/>
      <c r="K445" s="326"/>
      <c r="L445" s="326"/>
      <c r="M445" s="326"/>
      <c r="N445" s="326"/>
      <c r="O445" s="326"/>
      <c r="P445" s="327"/>
      <c r="Q445" s="381"/>
      <c r="R445" s="326"/>
      <c r="S445" s="326"/>
      <c r="T445" s="326"/>
      <c r="U445" s="326"/>
      <c r="V445" s="326"/>
      <c r="W445" s="326"/>
      <c r="X445" s="327"/>
      <c r="Y445" s="381"/>
      <c r="Z445" s="327"/>
      <c r="AA445" s="381"/>
      <c r="AB445" s="326"/>
      <c r="AC445" s="326"/>
      <c r="AD445" s="327"/>
      <c r="AE445" s="381"/>
      <c r="AF445" s="326"/>
      <c r="AG445" s="327"/>
      <c r="AH445" s="381"/>
      <c r="AI445" s="326"/>
      <c r="AJ445" s="327"/>
      <c r="AK445" s="381"/>
      <c r="AL445" s="326"/>
      <c r="AM445" s="326"/>
      <c r="AN445" s="327"/>
      <c r="AO445" s="381"/>
      <c r="AP445" s="326"/>
      <c r="AQ445" s="326"/>
      <c r="AR445" s="326"/>
      <c r="AS445" s="326"/>
      <c r="AT445" s="326"/>
      <c r="AU445" s="326"/>
      <c r="AV445" s="327"/>
      <c r="AW445" s="686"/>
      <c r="AX445" s="326"/>
      <c r="AY445" s="327"/>
      <c r="AZ445" s="381"/>
      <c r="BA445" s="326"/>
      <c r="BB445" s="326"/>
      <c r="BC445" s="326"/>
      <c r="BD445" s="326"/>
      <c r="BE445" s="326"/>
      <c r="BF445" s="326"/>
      <c r="BG445" s="326"/>
      <c r="BH445" s="326"/>
      <c r="BI445" s="326"/>
      <c r="BJ445" s="326"/>
      <c r="BK445" s="326"/>
      <c r="BL445" s="326"/>
      <c r="BM445" s="326"/>
      <c r="BN445" s="326"/>
      <c r="BO445" s="327"/>
    </row>
    <row r="446" spans="1:67" ht="34.5" customHeight="1" x14ac:dyDescent="0.25">
      <c r="A446" s="87">
        <f t="shared" si="1"/>
        <v>434</v>
      </c>
      <c r="B446" s="688" t="s">
        <v>334</v>
      </c>
      <c r="C446" s="327"/>
      <c r="D446" s="498"/>
      <c r="E446" s="326"/>
      <c r="F446" s="326"/>
      <c r="G446" s="326"/>
      <c r="H446" s="327"/>
      <c r="I446" s="407"/>
      <c r="J446" s="326"/>
      <c r="K446" s="326"/>
      <c r="L446" s="326"/>
      <c r="M446" s="326"/>
      <c r="N446" s="326"/>
      <c r="O446" s="326"/>
      <c r="P446" s="327"/>
      <c r="Q446" s="456"/>
      <c r="R446" s="326"/>
      <c r="S446" s="326"/>
      <c r="T446" s="326"/>
      <c r="U446" s="326"/>
      <c r="V446" s="326"/>
      <c r="W446" s="326"/>
      <c r="X446" s="327"/>
      <c r="Y446" s="407"/>
      <c r="Z446" s="327"/>
      <c r="AA446" s="456"/>
      <c r="AB446" s="326"/>
      <c r="AC446" s="326"/>
      <c r="AD446" s="327"/>
      <c r="AE446" s="407"/>
      <c r="AF446" s="326"/>
      <c r="AG446" s="327"/>
      <c r="AH446" s="456"/>
      <c r="AI446" s="326"/>
      <c r="AJ446" s="327"/>
      <c r="AK446" s="407"/>
      <c r="AL446" s="326"/>
      <c r="AM446" s="326"/>
      <c r="AN446" s="327"/>
      <c r="AO446" s="456"/>
      <c r="AP446" s="326"/>
      <c r="AQ446" s="326"/>
      <c r="AR446" s="326"/>
      <c r="AS446" s="326"/>
      <c r="AT446" s="326"/>
      <c r="AU446" s="326"/>
      <c r="AV446" s="327"/>
      <c r="AW446" s="685"/>
      <c r="AX446" s="326"/>
      <c r="AY446" s="327"/>
      <c r="AZ446" s="456"/>
      <c r="BA446" s="326"/>
      <c r="BB446" s="326"/>
      <c r="BC446" s="326"/>
      <c r="BD446" s="326"/>
      <c r="BE446" s="326"/>
      <c r="BF446" s="326"/>
      <c r="BG446" s="326"/>
      <c r="BH446" s="326"/>
      <c r="BI446" s="326"/>
      <c r="BJ446" s="326"/>
      <c r="BK446" s="326"/>
      <c r="BL446" s="326"/>
      <c r="BM446" s="326"/>
      <c r="BN446" s="326"/>
      <c r="BO446" s="327"/>
    </row>
    <row r="447" spans="1:67" ht="34.5" customHeight="1" x14ac:dyDescent="0.25">
      <c r="A447" s="87">
        <f t="shared" si="1"/>
        <v>435</v>
      </c>
      <c r="B447" s="386" t="s">
        <v>334</v>
      </c>
      <c r="C447" s="327"/>
      <c r="D447" s="687"/>
      <c r="E447" s="326"/>
      <c r="F447" s="326"/>
      <c r="G447" s="326"/>
      <c r="H447" s="327"/>
      <c r="I447" s="381"/>
      <c r="J447" s="326"/>
      <c r="K447" s="326"/>
      <c r="L447" s="326"/>
      <c r="M447" s="326"/>
      <c r="N447" s="326"/>
      <c r="O447" s="326"/>
      <c r="P447" s="327"/>
      <c r="Q447" s="381"/>
      <c r="R447" s="326"/>
      <c r="S447" s="326"/>
      <c r="T447" s="326"/>
      <c r="U447" s="326"/>
      <c r="V447" s="326"/>
      <c r="W447" s="326"/>
      <c r="X447" s="327"/>
      <c r="Y447" s="381"/>
      <c r="Z447" s="327"/>
      <c r="AA447" s="381"/>
      <c r="AB447" s="326"/>
      <c r="AC447" s="326"/>
      <c r="AD447" s="327"/>
      <c r="AE447" s="381"/>
      <c r="AF447" s="326"/>
      <c r="AG447" s="327"/>
      <c r="AH447" s="381"/>
      <c r="AI447" s="326"/>
      <c r="AJ447" s="327"/>
      <c r="AK447" s="381"/>
      <c r="AL447" s="326"/>
      <c r="AM447" s="326"/>
      <c r="AN447" s="327"/>
      <c r="AO447" s="381"/>
      <c r="AP447" s="326"/>
      <c r="AQ447" s="326"/>
      <c r="AR447" s="326"/>
      <c r="AS447" s="326"/>
      <c r="AT447" s="326"/>
      <c r="AU447" s="326"/>
      <c r="AV447" s="327"/>
      <c r="AW447" s="686"/>
      <c r="AX447" s="326"/>
      <c r="AY447" s="327"/>
      <c r="AZ447" s="381"/>
      <c r="BA447" s="326"/>
      <c r="BB447" s="326"/>
      <c r="BC447" s="326"/>
      <c r="BD447" s="326"/>
      <c r="BE447" s="326"/>
      <c r="BF447" s="326"/>
      <c r="BG447" s="326"/>
      <c r="BH447" s="326"/>
      <c r="BI447" s="326"/>
      <c r="BJ447" s="326"/>
      <c r="BK447" s="326"/>
      <c r="BL447" s="326"/>
      <c r="BM447" s="326"/>
      <c r="BN447" s="326"/>
      <c r="BO447" s="327"/>
    </row>
    <row r="448" spans="1:67" ht="34.5" customHeight="1" x14ac:dyDescent="0.25">
      <c r="A448" s="87">
        <f t="shared" si="1"/>
        <v>436</v>
      </c>
      <c r="B448" s="386" t="s">
        <v>334</v>
      </c>
      <c r="C448" s="327"/>
      <c r="D448" s="498"/>
      <c r="E448" s="326"/>
      <c r="F448" s="326"/>
      <c r="G448" s="326"/>
      <c r="H448" s="327"/>
      <c r="I448" s="407"/>
      <c r="J448" s="326"/>
      <c r="K448" s="326"/>
      <c r="L448" s="326"/>
      <c r="M448" s="326"/>
      <c r="N448" s="326"/>
      <c r="O448" s="326"/>
      <c r="P448" s="327"/>
      <c r="Q448" s="456"/>
      <c r="R448" s="326"/>
      <c r="S448" s="326"/>
      <c r="T448" s="326"/>
      <c r="U448" s="326"/>
      <c r="V448" s="326"/>
      <c r="W448" s="326"/>
      <c r="X448" s="327"/>
      <c r="Y448" s="407"/>
      <c r="Z448" s="327"/>
      <c r="AA448" s="456"/>
      <c r="AB448" s="326"/>
      <c r="AC448" s="326"/>
      <c r="AD448" s="327"/>
      <c r="AE448" s="407"/>
      <c r="AF448" s="326"/>
      <c r="AG448" s="327"/>
      <c r="AH448" s="456"/>
      <c r="AI448" s="326"/>
      <c r="AJ448" s="327"/>
      <c r="AK448" s="407"/>
      <c r="AL448" s="326"/>
      <c r="AM448" s="326"/>
      <c r="AN448" s="327"/>
      <c r="AO448" s="456"/>
      <c r="AP448" s="326"/>
      <c r="AQ448" s="326"/>
      <c r="AR448" s="326"/>
      <c r="AS448" s="326"/>
      <c r="AT448" s="326"/>
      <c r="AU448" s="326"/>
      <c r="AV448" s="327"/>
      <c r="AW448" s="685"/>
      <c r="AX448" s="326"/>
      <c r="AY448" s="327"/>
      <c r="AZ448" s="456"/>
      <c r="BA448" s="326"/>
      <c r="BB448" s="326"/>
      <c r="BC448" s="326"/>
      <c r="BD448" s="326"/>
      <c r="BE448" s="326"/>
      <c r="BF448" s="326"/>
      <c r="BG448" s="326"/>
      <c r="BH448" s="326"/>
      <c r="BI448" s="326"/>
      <c r="BJ448" s="326"/>
      <c r="BK448" s="326"/>
      <c r="BL448" s="326"/>
      <c r="BM448" s="326"/>
      <c r="BN448" s="326"/>
      <c r="BO448" s="327"/>
    </row>
    <row r="449" spans="1:67" ht="34.5" customHeight="1" x14ac:dyDescent="0.25">
      <c r="A449" s="87">
        <f t="shared" si="1"/>
        <v>437</v>
      </c>
      <c r="B449" s="386" t="s">
        <v>334</v>
      </c>
      <c r="C449" s="327"/>
      <c r="D449" s="687"/>
      <c r="E449" s="326"/>
      <c r="F449" s="326"/>
      <c r="G449" s="326"/>
      <c r="H449" s="327"/>
      <c r="I449" s="381"/>
      <c r="J449" s="326"/>
      <c r="K449" s="326"/>
      <c r="L449" s="326"/>
      <c r="M449" s="326"/>
      <c r="N449" s="326"/>
      <c r="O449" s="326"/>
      <c r="P449" s="327"/>
      <c r="Q449" s="381"/>
      <c r="R449" s="326"/>
      <c r="S449" s="326"/>
      <c r="T449" s="326"/>
      <c r="U449" s="326"/>
      <c r="V449" s="326"/>
      <c r="W449" s="326"/>
      <c r="X449" s="327"/>
      <c r="Y449" s="381"/>
      <c r="Z449" s="327"/>
      <c r="AA449" s="381"/>
      <c r="AB449" s="326"/>
      <c r="AC449" s="326"/>
      <c r="AD449" s="327"/>
      <c r="AE449" s="381"/>
      <c r="AF449" s="326"/>
      <c r="AG449" s="327"/>
      <c r="AH449" s="381"/>
      <c r="AI449" s="326"/>
      <c r="AJ449" s="327"/>
      <c r="AK449" s="381"/>
      <c r="AL449" s="326"/>
      <c r="AM449" s="326"/>
      <c r="AN449" s="327"/>
      <c r="AO449" s="381"/>
      <c r="AP449" s="326"/>
      <c r="AQ449" s="326"/>
      <c r="AR449" s="326"/>
      <c r="AS449" s="326"/>
      <c r="AT449" s="326"/>
      <c r="AU449" s="326"/>
      <c r="AV449" s="327"/>
      <c r="AW449" s="686"/>
      <c r="AX449" s="326"/>
      <c r="AY449" s="327"/>
      <c r="AZ449" s="381"/>
      <c r="BA449" s="326"/>
      <c r="BB449" s="326"/>
      <c r="BC449" s="326"/>
      <c r="BD449" s="326"/>
      <c r="BE449" s="326"/>
      <c r="BF449" s="326"/>
      <c r="BG449" s="326"/>
      <c r="BH449" s="326"/>
      <c r="BI449" s="326"/>
      <c r="BJ449" s="326"/>
      <c r="BK449" s="326"/>
      <c r="BL449" s="326"/>
      <c r="BM449" s="326"/>
      <c r="BN449" s="326"/>
      <c r="BO449" s="327"/>
    </row>
    <row r="450" spans="1:67" ht="34.5" customHeight="1" x14ac:dyDescent="0.25">
      <c r="A450" s="87">
        <f t="shared" si="1"/>
        <v>438</v>
      </c>
      <c r="B450" s="386" t="s">
        <v>334</v>
      </c>
      <c r="C450" s="327"/>
      <c r="D450" s="498"/>
      <c r="E450" s="326"/>
      <c r="F450" s="326"/>
      <c r="G450" s="326"/>
      <c r="H450" s="327"/>
      <c r="I450" s="407"/>
      <c r="J450" s="326"/>
      <c r="K450" s="326"/>
      <c r="L450" s="326"/>
      <c r="M450" s="326"/>
      <c r="N450" s="326"/>
      <c r="O450" s="326"/>
      <c r="P450" s="327"/>
      <c r="Q450" s="456"/>
      <c r="R450" s="326"/>
      <c r="S450" s="326"/>
      <c r="T450" s="326"/>
      <c r="U450" s="326"/>
      <c r="V450" s="326"/>
      <c r="W450" s="326"/>
      <c r="X450" s="327"/>
      <c r="Y450" s="407"/>
      <c r="Z450" s="327"/>
      <c r="AA450" s="456"/>
      <c r="AB450" s="326"/>
      <c r="AC450" s="326"/>
      <c r="AD450" s="327"/>
      <c r="AE450" s="407"/>
      <c r="AF450" s="326"/>
      <c r="AG450" s="327"/>
      <c r="AH450" s="456"/>
      <c r="AI450" s="326"/>
      <c r="AJ450" s="327"/>
      <c r="AK450" s="407"/>
      <c r="AL450" s="326"/>
      <c r="AM450" s="326"/>
      <c r="AN450" s="327"/>
      <c r="AO450" s="456"/>
      <c r="AP450" s="326"/>
      <c r="AQ450" s="326"/>
      <c r="AR450" s="326"/>
      <c r="AS450" s="326"/>
      <c r="AT450" s="326"/>
      <c r="AU450" s="326"/>
      <c r="AV450" s="327"/>
      <c r="AW450" s="685"/>
      <c r="AX450" s="326"/>
      <c r="AY450" s="327"/>
      <c r="AZ450" s="456"/>
      <c r="BA450" s="326"/>
      <c r="BB450" s="326"/>
      <c r="BC450" s="326"/>
      <c r="BD450" s="326"/>
      <c r="BE450" s="326"/>
      <c r="BF450" s="326"/>
      <c r="BG450" s="326"/>
      <c r="BH450" s="326"/>
      <c r="BI450" s="326"/>
      <c r="BJ450" s="326"/>
      <c r="BK450" s="326"/>
      <c r="BL450" s="326"/>
      <c r="BM450" s="326"/>
      <c r="BN450" s="326"/>
      <c r="BO450" s="327"/>
    </row>
    <row r="451" spans="1:67" ht="34.5" customHeight="1" x14ac:dyDescent="0.25">
      <c r="A451" s="87">
        <f t="shared" si="1"/>
        <v>439</v>
      </c>
      <c r="B451" s="386" t="s">
        <v>334</v>
      </c>
      <c r="C451" s="327"/>
      <c r="D451" s="687"/>
      <c r="E451" s="326"/>
      <c r="F451" s="326"/>
      <c r="G451" s="326"/>
      <c r="H451" s="327"/>
      <c r="I451" s="381"/>
      <c r="J451" s="326"/>
      <c r="K451" s="326"/>
      <c r="L451" s="326"/>
      <c r="M451" s="326"/>
      <c r="N451" s="326"/>
      <c r="O451" s="326"/>
      <c r="P451" s="327"/>
      <c r="Q451" s="381"/>
      <c r="R451" s="326"/>
      <c r="S451" s="326"/>
      <c r="T451" s="326"/>
      <c r="U451" s="326"/>
      <c r="V451" s="326"/>
      <c r="W451" s="326"/>
      <c r="X451" s="327"/>
      <c r="Y451" s="381"/>
      <c r="Z451" s="327"/>
      <c r="AA451" s="381"/>
      <c r="AB451" s="326"/>
      <c r="AC451" s="326"/>
      <c r="AD451" s="327"/>
      <c r="AE451" s="381"/>
      <c r="AF451" s="326"/>
      <c r="AG451" s="327"/>
      <c r="AH451" s="381"/>
      <c r="AI451" s="326"/>
      <c r="AJ451" s="327"/>
      <c r="AK451" s="381"/>
      <c r="AL451" s="326"/>
      <c r="AM451" s="326"/>
      <c r="AN451" s="327"/>
      <c r="AO451" s="381"/>
      <c r="AP451" s="326"/>
      <c r="AQ451" s="326"/>
      <c r="AR451" s="326"/>
      <c r="AS451" s="326"/>
      <c r="AT451" s="326"/>
      <c r="AU451" s="326"/>
      <c r="AV451" s="327"/>
      <c r="AW451" s="686"/>
      <c r="AX451" s="326"/>
      <c r="AY451" s="327"/>
      <c r="AZ451" s="381"/>
      <c r="BA451" s="326"/>
      <c r="BB451" s="326"/>
      <c r="BC451" s="326"/>
      <c r="BD451" s="326"/>
      <c r="BE451" s="326"/>
      <c r="BF451" s="326"/>
      <c r="BG451" s="326"/>
      <c r="BH451" s="326"/>
      <c r="BI451" s="326"/>
      <c r="BJ451" s="326"/>
      <c r="BK451" s="326"/>
      <c r="BL451" s="326"/>
      <c r="BM451" s="326"/>
      <c r="BN451" s="326"/>
      <c r="BO451" s="327"/>
    </row>
    <row r="452" spans="1:67" ht="34.5" customHeight="1" x14ac:dyDescent="0.25">
      <c r="A452" s="87">
        <f t="shared" si="1"/>
        <v>440</v>
      </c>
      <c r="B452" s="386" t="s">
        <v>334</v>
      </c>
      <c r="C452" s="327"/>
      <c r="D452" s="498"/>
      <c r="E452" s="326"/>
      <c r="F452" s="326"/>
      <c r="G452" s="326"/>
      <c r="H452" s="327"/>
      <c r="I452" s="407"/>
      <c r="J452" s="326"/>
      <c r="K452" s="326"/>
      <c r="L452" s="326"/>
      <c r="M452" s="326"/>
      <c r="N452" s="326"/>
      <c r="O452" s="326"/>
      <c r="P452" s="327"/>
      <c r="Q452" s="456"/>
      <c r="R452" s="326"/>
      <c r="S452" s="326"/>
      <c r="T452" s="326"/>
      <c r="U452" s="326"/>
      <c r="V452" s="326"/>
      <c r="W452" s="326"/>
      <c r="X452" s="327"/>
      <c r="Y452" s="407"/>
      <c r="Z452" s="327"/>
      <c r="AA452" s="456"/>
      <c r="AB452" s="326"/>
      <c r="AC452" s="326"/>
      <c r="AD452" s="327"/>
      <c r="AE452" s="407"/>
      <c r="AF452" s="326"/>
      <c r="AG452" s="327"/>
      <c r="AH452" s="456"/>
      <c r="AI452" s="326"/>
      <c r="AJ452" s="327"/>
      <c r="AK452" s="407"/>
      <c r="AL452" s="326"/>
      <c r="AM452" s="326"/>
      <c r="AN452" s="327"/>
      <c r="AO452" s="456"/>
      <c r="AP452" s="326"/>
      <c r="AQ452" s="326"/>
      <c r="AR452" s="326"/>
      <c r="AS452" s="326"/>
      <c r="AT452" s="326"/>
      <c r="AU452" s="326"/>
      <c r="AV452" s="327"/>
      <c r="AW452" s="685"/>
      <c r="AX452" s="326"/>
      <c r="AY452" s="327"/>
      <c r="AZ452" s="456"/>
      <c r="BA452" s="326"/>
      <c r="BB452" s="326"/>
      <c r="BC452" s="326"/>
      <c r="BD452" s="326"/>
      <c r="BE452" s="326"/>
      <c r="BF452" s="326"/>
      <c r="BG452" s="326"/>
      <c r="BH452" s="326"/>
      <c r="BI452" s="326"/>
      <c r="BJ452" s="326"/>
      <c r="BK452" s="326"/>
      <c r="BL452" s="326"/>
      <c r="BM452" s="326"/>
      <c r="BN452" s="326"/>
      <c r="BO452" s="327"/>
    </row>
    <row r="453" spans="1:67" ht="34.5" customHeight="1" x14ac:dyDescent="0.25">
      <c r="A453" s="87">
        <f t="shared" si="1"/>
        <v>441</v>
      </c>
      <c r="B453" s="386" t="s">
        <v>334</v>
      </c>
      <c r="C453" s="327"/>
      <c r="D453" s="687"/>
      <c r="E453" s="326"/>
      <c r="F453" s="326"/>
      <c r="G453" s="326"/>
      <c r="H453" s="327"/>
      <c r="I453" s="381"/>
      <c r="J453" s="326"/>
      <c r="K453" s="326"/>
      <c r="L453" s="326"/>
      <c r="M453" s="326"/>
      <c r="N453" s="326"/>
      <c r="O453" s="326"/>
      <c r="P453" s="327"/>
      <c r="Q453" s="381"/>
      <c r="R453" s="326"/>
      <c r="S453" s="326"/>
      <c r="T453" s="326"/>
      <c r="U453" s="326"/>
      <c r="V453" s="326"/>
      <c r="W453" s="326"/>
      <c r="X453" s="327"/>
      <c r="Y453" s="381"/>
      <c r="Z453" s="327"/>
      <c r="AA453" s="381"/>
      <c r="AB453" s="326"/>
      <c r="AC453" s="326"/>
      <c r="AD453" s="327"/>
      <c r="AE453" s="381"/>
      <c r="AF453" s="326"/>
      <c r="AG453" s="327"/>
      <c r="AH453" s="381"/>
      <c r="AI453" s="326"/>
      <c r="AJ453" s="327"/>
      <c r="AK453" s="381"/>
      <c r="AL453" s="326"/>
      <c r="AM453" s="326"/>
      <c r="AN453" s="327"/>
      <c r="AO453" s="381"/>
      <c r="AP453" s="326"/>
      <c r="AQ453" s="326"/>
      <c r="AR453" s="326"/>
      <c r="AS453" s="326"/>
      <c r="AT453" s="326"/>
      <c r="AU453" s="326"/>
      <c r="AV453" s="327"/>
      <c r="AW453" s="686"/>
      <c r="AX453" s="326"/>
      <c r="AY453" s="327"/>
      <c r="AZ453" s="381"/>
      <c r="BA453" s="326"/>
      <c r="BB453" s="326"/>
      <c r="BC453" s="326"/>
      <c r="BD453" s="326"/>
      <c r="BE453" s="326"/>
      <c r="BF453" s="326"/>
      <c r="BG453" s="326"/>
      <c r="BH453" s="326"/>
      <c r="BI453" s="326"/>
      <c r="BJ453" s="326"/>
      <c r="BK453" s="326"/>
      <c r="BL453" s="326"/>
      <c r="BM453" s="326"/>
      <c r="BN453" s="326"/>
      <c r="BO453" s="327"/>
    </row>
    <row r="454" spans="1:67" ht="34.5" customHeight="1" x14ac:dyDescent="0.25">
      <c r="A454" s="87">
        <f t="shared" si="1"/>
        <v>442</v>
      </c>
      <c r="B454" s="386" t="s">
        <v>334</v>
      </c>
      <c r="C454" s="327"/>
      <c r="D454" s="498"/>
      <c r="E454" s="326"/>
      <c r="F454" s="326"/>
      <c r="G454" s="326"/>
      <c r="H454" s="327"/>
      <c r="I454" s="407"/>
      <c r="J454" s="326"/>
      <c r="K454" s="326"/>
      <c r="L454" s="326"/>
      <c r="M454" s="326"/>
      <c r="N454" s="326"/>
      <c r="O454" s="326"/>
      <c r="P454" s="327"/>
      <c r="Q454" s="456"/>
      <c r="R454" s="326"/>
      <c r="S454" s="326"/>
      <c r="T454" s="326"/>
      <c r="U454" s="326"/>
      <c r="V454" s="326"/>
      <c r="W454" s="326"/>
      <c r="X454" s="327"/>
      <c r="Y454" s="407"/>
      <c r="Z454" s="327"/>
      <c r="AA454" s="456"/>
      <c r="AB454" s="326"/>
      <c r="AC454" s="326"/>
      <c r="AD454" s="327"/>
      <c r="AE454" s="407"/>
      <c r="AF454" s="326"/>
      <c r="AG454" s="327"/>
      <c r="AH454" s="456"/>
      <c r="AI454" s="326"/>
      <c r="AJ454" s="327"/>
      <c r="AK454" s="407"/>
      <c r="AL454" s="326"/>
      <c r="AM454" s="326"/>
      <c r="AN454" s="327"/>
      <c r="AO454" s="456"/>
      <c r="AP454" s="326"/>
      <c r="AQ454" s="326"/>
      <c r="AR454" s="326"/>
      <c r="AS454" s="326"/>
      <c r="AT454" s="326"/>
      <c r="AU454" s="326"/>
      <c r="AV454" s="327"/>
      <c r="AW454" s="685"/>
      <c r="AX454" s="326"/>
      <c r="AY454" s="327"/>
      <c r="AZ454" s="456"/>
      <c r="BA454" s="326"/>
      <c r="BB454" s="326"/>
      <c r="BC454" s="326"/>
      <c r="BD454" s="326"/>
      <c r="BE454" s="326"/>
      <c r="BF454" s="326"/>
      <c r="BG454" s="326"/>
      <c r="BH454" s="326"/>
      <c r="BI454" s="326"/>
      <c r="BJ454" s="326"/>
      <c r="BK454" s="326"/>
      <c r="BL454" s="326"/>
      <c r="BM454" s="326"/>
      <c r="BN454" s="326"/>
      <c r="BO454" s="327"/>
    </row>
    <row r="455" spans="1:67" ht="34.5" customHeight="1" x14ac:dyDescent="0.25">
      <c r="A455" s="87">
        <f t="shared" si="1"/>
        <v>443</v>
      </c>
      <c r="B455" s="386" t="s">
        <v>334</v>
      </c>
      <c r="C455" s="327"/>
      <c r="D455" s="687"/>
      <c r="E455" s="326"/>
      <c r="F455" s="326"/>
      <c r="G455" s="326"/>
      <c r="H455" s="327"/>
      <c r="I455" s="381"/>
      <c r="J455" s="326"/>
      <c r="K455" s="326"/>
      <c r="L455" s="326"/>
      <c r="M455" s="326"/>
      <c r="N455" s="326"/>
      <c r="O455" s="326"/>
      <c r="P455" s="327"/>
      <c r="Q455" s="381"/>
      <c r="R455" s="326"/>
      <c r="S455" s="326"/>
      <c r="T455" s="326"/>
      <c r="U455" s="326"/>
      <c r="V455" s="326"/>
      <c r="W455" s="326"/>
      <c r="X455" s="327"/>
      <c r="Y455" s="381"/>
      <c r="Z455" s="327"/>
      <c r="AA455" s="381"/>
      <c r="AB455" s="326"/>
      <c r="AC455" s="326"/>
      <c r="AD455" s="327"/>
      <c r="AE455" s="381"/>
      <c r="AF455" s="326"/>
      <c r="AG455" s="327"/>
      <c r="AH455" s="381"/>
      <c r="AI455" s="326"/>
      <c r="AJ455" s="327"/>
      <c r="AK455" s="381"/>
      <c r="AL455" s="326"/>
      <c r="AM455" s="326"/>
      <c r="AN455" s="327"/>
      <c r="AO455" s="381"/>
      <c r="AP455" s="326"/>
      <c r="AQ455" s="326"/>
      <c r="AR455" s="326"/>
      <c r="AS455" s="326"/>
      <c r="AT455" s="326"/>
      <c r="AU455" s="326"/>
      <c r="AV455" s="327"/>
      <c r="AW455" s="686"/>
      <c r="AX455" s="326"/>
      <c r="AY455" s="327"/>
      <c r="AZ455" s="381"/>
      <c r="BA455" s="326"/>
      <c r="BB455" s="326"/>
      <c r="BC455" s="326"/>
      <c r="BD455" s="326"/>
      <c r="BE455" s="326"/>
      <c r="BF455" s="326"/>
      <c r="BG455" s="326"/>
      <c r="BH455" s="326"/>
      <c r="BI455" s="326"/>
      <c r="BJ455" s="326"/>
      <c r="BK455" s="326"/>
      <c r="BL455" s="326"/>
      <c r="BM455" s="326"/>
      <c r="BN455" s="326"/>
      <c r="BO455" s="327"/>
    </row>
    <row r="456" spans="1:67" ht="34.5" customHeight="1" x14ac:dyDescent="0.25">
      <c r="A456" s="87">
        <f t="shared" si="1"/>
        <v>444</v>
      </c>
      <c r="B456" s="386" t="s">
        <v>334</v>
      </c>
      <c r="C456" s="327"/>
      <c r="D456" s="498"/>
      <c r="E456" s="326"/>
      <c r="F456" s="326"/>
      <c r="G456" s="326"/>
      <c r="H456" s="327"/>
      <c r="I456" s="407"/>
      <c r="J456" s="326"/>
      <c r="K456" s="326"/>
      <c r="L456" s="326"/>
      <c r="M456" s="326"/>
      <c r="N456" s="326"/>
      <c r="O456" s="326"/>
      <c r="P456" s="327"/>
      <c r="Q456" s="456"/>
      <c r="R456" s="326"/>
      <c r="S456" s="326"/>
      <c r="T456" s="326"/>
      <c r="U456" s="326"/>
      <c r="V456" s="326"/>
      <c r="W456" s="326"/>
      <c r="X456" s="327"/>
      <c r="Y456" s="407"/>
      <c r="Z456" s="327"/>
      <c r="AA456" s="456"/>
      <c r="AB456" s="326"/>
      <c r="AC456" s="326"/>
      <c r="AD456" s="327"/>
      <c r="AE456" s="407"/>
      <c r="AF456" s="326"/>
      <c r="AG456" s="327"/>
      <c r="AH456" s="456"/>
      <c r="AI456" s="326"/>
      <c r="AJ456" s="327"/>
      <c r="AK456" s="407"/>
      <c r="AL456" s="326"/>
      <c r="AM456" s="326"/>
      <c r="AN456" s="327"/>
      <c r="AO456" s="456"/>
      <c r="AP456" s="326"/>
      <c r="AQ456" s="326"/>
      <c r="AR456" s="326"/>
      <c r="AS456" s="326"/>
      <c r="AT456" s="326"/>
      <c r="AU456" s="326"/>
      <c r="AV456" s="327"/>
      <c r="AW456" s="685"/>
      <c r="AX456" s="326"/>
      <c r="AY456" s="327"/>
      <c r="AZ456" s="456"/>
      <c r="BA456" s="326"/>
      <c r="BB456" s="326"/>
      <c r="BC456" s="326"/>
      <c r="BD456" s="326"/>
      <c r="BE456" s="326"/>
      <c r="BF456" s="326"/>
      <c r="BG456" s="326"/>
      <c r="BH456" s="326"/>
      <c r="BI456" s="326"/>
      <c r="BJ456" s="326"/>
      <c r="BK456" s="326"/>
      <c r="BL456" s="326"/>
      <c r="BM456" s="326"/>
      <c r="BN456" s="326"/>
      <c r="BO456" s="327"/>
    </row>
    <row r="457" spans="1:67" ht="34.5" customHeight="1" x14ac:dyDescent="0.25">
      <c r="A457" s="87">
        <f t="shared" si="1"/>
        <v>445</v>
      </c>
      <c r="B457" s="386" t="s">
        <v>334</v>
      </c>
      <c r="C457" s="327"/>
      <c r="D457" s="687"/>
      <c r="E457" s="326"/>
      <c r="F457" s="326"/>
      <c r="G457" s="326"/>
      <c r="H457" s="327"/>
      <c r="I457" s="381"/>
      <c r="J457" s="326"/>
      <c r="K457" s="326"/>
      <c r="L457" s="326"/>
      <c r="M457" s="326"/>
      <c r="N457" s="326"/>
      <c r="O457" s="326"/>
      <c r="P457" s="327"/>
      <c r="Q457" s="381"/>
      <c r="R457" s="326"/>
      <c r="S457" s="326"/>
      <c r="T457" s="326"/>
      <c r="U457" s="326"/>
      <c r="V457" s="326"/>
      <c r="W457" s="326"/>
      <c r="X457" s="327"/>
      <c r="Y457" s="381"/>
      <c r="Z457" s="327"/>
      <c r="AA457" s="381"/>
      <c r="AB457" s="326"/>
      <c r="AC457" s="326"/>
      <c r="AD457" s="327"/>
      <c r="AE457" s="381"/>
      <c r="AF457" s="326"/>
      <c r="AG457" s="327"/>
      <c r="AH457" s="381"/>
      <c r="AI457" s="326"/>
      <c r="AJ457" s="327"/>
      <c r="AK457" s="381"/>
      <c r="AL457" s="326"/>
      <c r="AM457" s="326"/>
      <c r="AN457" s="327"/>
      <c r="AO457" s="381"/>
      <c r="AP457" s="326"/>
      <c r="AQ457" s="326"/>
      <c r="AR457" s="326"/>
      <c r="AS457" s="326"/>
      <c r="AT457" s="326"/>
      <c r="AU457" s="326"/>
      <c r="AV457" s="327"/>
      <c r="AW457" s="686"/>
      <c r="AX457" s="326"/>
      <c r="AY457" s="327"/>
      <c r="AZ457" s="381"/>
      <c r="BA457" s="326"/>
      <c r="BB457" s="326"/>
      <c r="BC457" s="326"/>
      <c r="BD457" s="326"/>
      <c r="BE457" s="326"/>
      <c r="BF457" s="326"/>
      <c r="BG457" s="326"/>
      <c r="BH457" s="326"/>
      <c r="BI457" s="326"/>
      <c r="BJ457" s="326"/>
      <c r="BK457" s="326"/>
      <c r="BL457" s="326"/>
      <c r="BM457" s="326"/>
      <c r="BN457" s="326"/>
      <c r="BO457" s="327"/>
    </row>
    <row r="458" spans="1:67" ht="34.5" customHeight="1" x14ac:dyDescent="0.25">
      <c r="A458" s="87">
        <f t="shared" si="1"/>
        <v>446</v>
      </c>
      <c r="B458" s="386" t="s">
        <v>334</v>
      </c>
      <c r="C458" s="327"/>
      <c r="D458" s="498"/>
      <c r="E458" s="326"/>
      <c r="F458" s="326"/>
      <c r="G458" s="326"/>
      <c r="H458" s="327"/>
      <c r="I458" s="407"/>
      <c r="J458" s="326"/>
      <c r="K458" s="326"/>
      <c r="L458" s="326"/>
      <c r="M458" s="326"/>
      <c r="N458" s="326"/>
      <c r="O458" s="326"/>
      <c r="P458" s="327"/>
      <c r="Q458" s="456"/>
      <c r="R458" s="326"/>
      <c r="S458" s="326"/>
      <c r="T458" s="326"/>
      <c r="U458" s="326"/>
      <c r="V458" s="326"/>
      <c r="W458" s="326"/>
      <c r="X458" s="327"/>
      <c r="Y458" s="407"/>
      <c r="Z458" s="327"/>
      <c r="AA458" s="456"/>
      <c r="AB458" s="326"/>
      <c r="AC458" s="326"/>
      <c r="AD458" s="327"/>
      <c r="AE458" s="407"/>
      <c r="AF458" s="326"/>
      <c r="AG458" s="327"/>
      <c r="AH458" s="456"/>
      <c r="AI458" s="326"/>
      <c r="AJ458" s="327"/>
      <c r="AK458" s="407"/>
      <c r="AL458" s="326"/>
      <c r="AM458" s="326"/>
      <c r="AN458" s="327"/>
      <c r="AO458" s="456"/>
      <c r="AP458" s="326"/>
      <c r="AQ458" s="326"/>
      <c r="AR458" s="326"/>
      <c r="AS458" s="326"/>
      <c r="AT458" s="326"/>
      <c r="AU458" s="326"/>
      <c r="AV458" s="327"/>
      <c r="AW458" s="685"/>
      <c r="AX458" s="326"/>
      <c r="AY458" s="327"/>
      <c r="AZ458" s="456"/>
      <c r="BA458" s="326"/>
      <c r="BB458" s="326"/>
      <c r="BC458" s="326"/>
      <c r="BD458" s="326"/>
      <c r="BE458" s="326"/>
      <c r="BF458" s="326"/>
      <c r="BG458" s="326"/>
      <c r="BH458" s="326"/>
      <c r="BI458" s="326"/>
      <c r="BJ458" s="326"/>
      <c r="BK458" s="326"/>
      <c r="BL458" s="326"/>
      <c r="BM458" s="326"/>
      <c r="BN458" s="326"/>
      <c r="BO458" s="327"/>
    </row>
    <row r="459" spans="1:67" ht="34.5" customHeight="1" x14ac:dyDescent="0.25">
      <c r="A459" s="87">
        <f t="shared" si="1"/>
        <v>447</v>
      </c>
      <c r="B459" s="386" t="s">
        <v>334</v>
      </c>
      <c r="C459" s="327"/>
      <c r="D459" s="687"/>
      <c r="E459" s="326"/>
      <c r="F459" s="326"/>
      <c r="G459" s="326"/>
      <c r="H459" s="327"/>
      <c r="I459" s="381"/>
      <c r="J459" s="326"/>
      <c r="K459" s="326"/>
      <c r="L459" s="326"/>
      <c r="M459" s="326"/>
      <c r="N459" s="326"/>
      <c r="O459" s="326"/>
      <c r="P459" s="327"/>
      <c r="Q459" s="381"/>
      <c r="R459" s="326"/>
      <c r="S459" s="326"/>
      <c r="T459" s="326"/>
      <c r="U459" s="326"/>
      <c r="V459" s="326"/>
      <c r="W459" s="326"/>
      <c r="X459" s="327"/>
      <c r="Y459" s="381"/>
      <c r="Z459" s="327"/>
      <c r="AA459" s="381"/>
      <c r="AB459" s="326"/>
      <c r="AC459" s="326"/>
      <c r="AD459" s="327"/>
      <c r="AE459" s="381"/>
      <c r="AF459" s="326"/>
      <c r="AG459" s="327"/>
      <c r="AH459" s="381"/>
      <c r="AI459" s="326"/>
      <c r="AJ459" s="327"/>
      <c r="AK459" s="381"/>
      <c r="AL459" s="326"/>
      <c r="AM459" s="326"/>
      <c r="AN459" s="327"/>
      <c r="AO459" s="381"/>
      <c r="AP459" s="326"/>
      <c r="AQ459" s="326"/>
      <c r="AR459" s="326"/>
      <c r="AS459" s="326"/>
      <c r="AT459" s="326"/>
      <c r="AU459" s="326"/>
      <c r="AV459" s="327"/>
      <c r="AW459" s="686"/>
      <c r="AX459" s="326"/>
      <c r="AY459" s="327"/>
      <c r="AZ459" s="381"/>
      <c r="BA459" s="326"/>
      <c r="BB459" s="326"/>
      <c r="BC459" s="326"/>
      <c r="BD459" s="326"/>
      <c r="BE459" s="326"/>
      <c r="BF459" s="326"/>
      <c r="BG459" s="326"/>
      <c r="BH459" s="326"/>
      <c r="BI459" s="326"/>
      <c r="BJ459" s="326"/>
      <c r="BK459" s="326"/>
      <c r="BL459" s="326"/>
      <c r="BM459" s="326"/>
      <c r="BN459" s="326"/>
      <c r="BO459" s="327"/>
    </row>
    <row r="460" spans="1:67" ht="34.5" customHeight="1" x14ac:dyDescent="0.25">
      <c r="A460" s="87">
        <f t="shared" si="1"/>
        <v>448</v>
      </c>
      <c r="B460" s="386" t="s">
        <v>334</v>
      </c>
      <c r="C460" s="327"/>
      <c r="D460" s="498"/>
      <c r="E460" s="326"/>
      <c r="F460" s="326"/>
      <c r="G460" s="326"/>
      <c r="H460" s="327"/>
      <c r="I460" s="407"/>
      <c r="J460" s="326"/>
      <c r="K460" s="326"/>
      <c r="L460" s="326"/>
      <c r="M460" s="326"/>
      <c r="N460" s="326"/>
      <c r="O460" s="326"/>
      <c r="P460" s="327"/>
      <c r="Q460" s="456"/>
      <c r="R460" s="326"/>
      <c r="S460" s="326"/>
      <c r="T460" s="326"/>
      <c r="U460" s="326"/>
      <c r="V460" s="326"/>
      <c r="W460" s="326"/>
      <c r="X460" s="327"/>
      <c r="Y460" s="407"/>
      <c r="Z460" s="327"/>
      <c r="AA460" s="456"/>
      <c r="AB460" s="326"/>
      <c r="AC460" s="326"/>
      <c r="AD460" s="327"/>
      <c r="AE460" s="407"/>
      <c r="AF460" s="326"/>
      <c r="AG460" s="327"/>
      <c r="AH460" s="456"/>
      <c r="AI460" s="326"/>
      <c r="AJ460" s="327"/>
      <c r="AK460" s="407"/>
      <c r="AL460" s="326"/>
      <c r="AM460" s="326"/>
      <c r="AN460" s="327"/>
      <c r="AO460" s="456"/>
      <c r="AP460" s="326"/>
      <c r="AQ460" s="326"/>
      <c r="AR460" s="326"/>
      <c r="AS460" s="326"/>
      <c r="AT460" s="326"/>
      <c r="AU460" s="326"/>
      <c r="AV460" s="327"/>
      <c r="AW460" s="685"/>
      <c r="AX460" s="326"/>
      <c r="AY460" s="327"/>
      <c r="AZ460" s="456"/>
      <c r="BA460" s="326"/>
      <c r="BB460" s="326"/>
      <c r="BC460" s="326"/>
      <c r="BD460" s="326"/>
      <c r="BE460" s="326"/>
      <c r="BF460" s="326"/>
      <c r="BG460" s="326"/>
      <c r="BH460" s="326"/>
      <c r="BI460" s="326"/>
      <c r="BJ460" s="326"/>
      <c r="BK460" s="326"/>
      <c r="BL460" s="326"/>
      <c r="BM460" s="326"/>
      <c r="BN460" s="326"/>
      <c r="BO460" s="327"/>
    </row>
    <row r="461" spans="1:67" ht="34.5" customHeight="1" x14ac:dyDescent="0.25">
      <c r="A461" s="87">
        <f t="shared" si="1"/>
        <v>449</v>
      </c>
      <c r="B461" s="386" t="s">
        <v>334</v>
      </c>
      <c r="C461" s="327"/>
      <c r="D461" s="687"/>
      <c r="E461" s="326"/>
      <c r="F461" s="326"/>
      <c r="G461" s="326"/>
      <c r="H461" s="327"/>
      <c r="I461" s="381"/>
      <c r="J461" s="326"/>
      <c r="K461" s="326"/>
      <c r="L461" s="326"/>
      <c r="M461" s="326"/>
      <c r="N461" s="326"/>
      <c r="O461" s="326"/>
      <c r="P461" s="327"/>
      <c r="Q461" s="381"/>
      <c r="R461" s="326"/>
      <c r="S461" s="326"/>
      <c r="T461" s="326"/>
      <c r="U461" s="326"/>
      <c r="V461" s="326"/>
      <c r="W461" s="326"/>
      <c r="X461" s="327"/>
      <c r="Y461" s="381"/>
      <c r="Z461" s="327"/>
      <c r="AA461" s="381"/>
      <c r="AB461" s="326"/>
      <c r="AC461" s="326"/>
      <c r="AD461" s="327"/>
      <c r="AE461" s="381"/>
      <c r="AF461" s="326"/>
      <c r="AG461" s="327"/>
      <c r="AH461" s="381"/>
      <c r="AI461" s="326"/>
      <c r="AJ461" s="327"/>
      <c r="AK461" s="381"/>
      <c r="AL461" s="326"/>
      <c r="AM461" s="326"/>
      <c r="AN461" s="327"/>
      <c r="AO461" s="381"/>
      <c r="AP461" s="326"/>
      <c r="AQ461" s="326"/>
      <c r="AR461" s="326"/>
      <c r="AS461" s="326"/>
      <c r="AT461" s="326"/>
      <c r="AU461" s="326"/>
      <c r="AV461" s="327"/>
      <c r="AW461" s="686"/>
      <c r="AX461" s="326"/>
      <c r="AY461" s="327"/>
      <c r="AZ461" s="381"/>
      <c r="BA461" s="326"/>
      <c r="BB461" s="326"/>
      <c r="BC461" s="326"/>
      <c r="BD461" s="326"/>
      <c r="BE461" s="326"/>
      <c r="BF461" s="326"/>
      <c r="BG461" s="326"/>
      <c r="BH461" s="326"/>
      <c r="BI461" s="326"/>
      <c r="BJ461" s="326"/>
      <c r="BK461" s="326"/>
      <c r="BL461" s="326"/>
      <c r="BM461" s="326"/>
      <c r="BN461" s="326"/>
      <c r="BO461" s="327"/>
    </row>
    <row r="462" spans="1:67" ht="34.5" customHeight="1" x14ac:dyDescent="0.25">
      <c r="A462" s="87">
        <f t="shared" si="1"/>
        <v>450</v>
      </c>
      <c r="B462" s="386" t="s">
        <v>334</v>
      </c>
      <c r="C462" s="327"/>
      <c r="D462" s="498"/>
      <c r="E462" s="326"/>
      <c r="F462" s="326"/>
      <c r="G462" s="326"/>
      <c r="H462" s="327"/>
      <c r="I462" s="407"/>
      <c r="J462" s="326"/>
      <c r="K462" s="326"/>
      <c r="L462" s="326"/>
      <c r="M462" s="326"/>
      <c r="N462" s="326"/>
      <c r="O462" s="326"/>
      <c r="P462" s="327"/>
      <c r="Q462" s="456"/>
      <c r="R462" s="326"/>
      <c r="S462" s="326"/>
      <c r="T462" s="326"/>
      <c r="U462" s="326"/>
      <c r="V462" s="326"/>
      <c r="W462" s="326"/>
      <c r="X462" s="327"/>
      <c r="Y462" s="407"/>
      <c r="Z462" s="327"/>
      <c r="AA462" s="456"/>
      <c r="AB462" s="326"/>
      <c r="AC462" s="326"/>
      <c r="AD462" s="327"/>
      <c r="AE462" s="407"/>
      <c r="AF462" s="326"/>
      <c r="AG462" s="327"/>
      <c r="AH462" s="456"/>
      <c r="AI462" s="326"/>
      <c r="AJ462" s="327"/>
      <c r="AK462" s="407"/>
      <c r="AL462" s="326"/>
      <c r="AM462" s="326"/>
      <c r="AN462" s="327"/>
      <c r="AO462" s="456"/>
      <c r="AP462" s="326"/>
      <c r="AQ462" s="326"/>
      <c r="AR462" s="326"/>
      <c r="AS462" s="326"/>
      <c r="AT462" s="326"/>
      <c r="AU462" s="326"/>
      <c r="AV462" s="327"/>
      <c r="AW462" s="685"/>
      <c r="AX462" s="326"/>
      <c r="AY462" s="327"/>
      <c r="AZ462" s="456"/>
      <c r="BA462" s="326"/>
      <c r="BB462" s="326"/>
      <c r="BC462" s="326"/>
      <c r="BD462" s="326"/>
      <c r="BE462" s="326"/>
      <c r="BF462" s="326"/>
      <c r="BG462" s="326"/>
      <c r="BH462" s="326"/>
      <c r="BI462" s="326"/>
      <c r="BJ462" s="326"/>
      <c r="BK462" s="326"/>
      <c r="BL462" s="326"/>
      <c r="BM462" s="326"/>
      <c r="BN462" s="326"/>
      <c r="BO462" s="327"/>
    </row>
    <row r="463" spans="1:67" ht="34.5" customHeight="1" x14ac:dyDescent="0.25">
      <c r="A463" s="87">
        <f t="shared" si="1"/>
        <v>451</v>
      </c>
      <c r="B463" s="386" t="s">
        <v>334</v>
      </c>
      <c r="C463" s="327"/>
      <c r="D463" s="687"/>
      <c r="E463" s="326"/>
      <c r="F463" s="326"/>
      <c r="G463" s="326"/>
      <c r="H463" s="327"/>
      <c r="I463" s="381"/>
      <c r="J463" s="326"/>
      <c r="K463" s="326"/>
      <c r="L463" s="326"/>
      <c r="M463" s="326"/>
      <c r="N463" s="326"/>
      <c r="O463" s="326"/>
      <c r="P463" s="327"/>
      <c r="Q463" s="381"/>
      <c r="R463" s="326"/>
      <c r="S463" s="326"/>
      <c r="T463" s="326"/>
      <c r="U463" s="326"/>
      <c r="V463" s="326"/>
      <c r="W463" s="326"/>
      <c r="X463" s="327"/>
      <c r="Y463" s="381"/>
      <c r="Z463" s="327"/>
      <c r="AA463" s="381"/>
      <c r="AB463" s="326"/>
      <c r="AC463" s="326"/>
      <c r="AD463" s="327"/>
      <c r="AE463" s="381"/>
      <c r="AF463" s="326"/>
      <c r="AG463" s="327"/>
      <c r="AH463" s="381"/>
      <c r="AI463" s="326"/>
      <c r="AJ463" s="327"/>
      <c r="AK463" s="381"/>
      <c r="AL463" s="326"/>
      <c r="AM463" s="326"/>
      <c r="AN463" s="327"/>
      <c r="AO463" s="381"/>
      <c r="AP463" s="326"/>
      <c r="AQ463" s="326"/>
      <c r="AR463" s="326"/>
      <c r="AS463" s="326"/>
      <c r="AT463" s="326"/>
      <c r="AU463" s="326"/>
      <c r="AV463" s="327"/>
      <c r="AW463" s="686"/>
      <c r="AX463" s="326"/>
      <c r="AY463" s="327"/>
      <c r="AZ463" s="381"/>
      <c r="BA463" s="326"/>
      <c r="BB463" s="326"/>
      <c r="BC463" s="326"/>
      <c r="BD463" s="326"/>
      <c r="BE463" s="326"/>
      <c r="BF463" s="326"/>
      <c r="BG463" s="326"/>
      <c r="BH463" s="326"/>
      <c r="BI463" s="326"/>
      <c r="BJ463" s="326"/>
      <c r="BK463" s="326"/>
      <c r="BL463" s="326"/>
      <c r="BM463" s="326"/>
      <c r="BN463" s="326"/>
      <c r="BO463" s="327"/>
    </row>
    <row r="464" spans="1:67" ht="34.5" customHeight="1" x14ac:dyDescent="0.25">
      <c r="A464" s="87">
        <f t="shared" si="1"/>
        <v>452</v>
      </c>
      <c r="B464" s="688" t="s">
        <v>334</v>
      </c>
      <c r="C464" s="327"/>
      <c r="D464" s="498"/>
      <c r="E464" s="326"/>
      <c r="F464" s="326"/>
      <c r="G464" s="326"/>
      <c r="H464" s="327"/>
      <c r="I464" s="407"/>
      <c r="J464" s="326"/>
      <c r="K464" s="326"/>
      <c r="L464" s="326"/>
      <c r="M464" s="326"/>
      <c r="N464" s="326"/>
      <c r="O464" s="326"/>
      <c r="P464" s="327"/>
      <c r="Q464" s="456"/>
      <c r="R464" s="326"/>
      <c r="S464" s="326"/>
      <c r="T464" s="326"/>
      <c r="U464" s="326"/>
      <c r="V464" s="326"/>
      <c r="W464" s="326"/>
      <c r="X464" s="327"/>
      <c r="Y464" s="407"/>
      <c r="Z464" s="327"/>
      <c r="AA464" s="456"/>
      <c r="AB464" s="326"/>
      <c r="AC464" s="326"/>
      <c r="AD464" s="327"/>
      <c r="AE464" s="407"/>
      <c r="AF464" s="326"/>
      <c r="AG464" s="327"/>
      <c r="AH464" s="456"/>
      <c r="AI464" s="326"/>
      <c r="AJ464" s="327"/>
      <c r="AK464" s="407"/>
      <c r="AL464" s="326"/>
      <c r="AM464" s="326"/>
      <c r="AN464" s="327"/>
      <c r="AO464" s="456"/>
      <c r="AP464" s="326"/>
      <c r="AQ464" s="326"/>
      <c r="AR464" s="326"/>
      <c r="AS464" s="326"/>
      <c r="AT464" s="326"/>
      <c r="AU464" s="326"/>
      <c r="AV464" s="327"/>
      <c r="AW464" s="685"/>
      <c r="AX464" s="326"/>
      <c r="AY464" s="327"/>
      <c r="AZ464" s="456"/>
      <c r="BA464" s="326"/>
      <c r="BB464" s="326"/>
      <c r="BC464" s="326"/>
      <c r="BD464" s="326"/>
      <c r="BE464" s="326"/>
      <c r="BF464" s="326"/>
      <c r="BG464" s="326"/>
      <c r="BH464" s="326"/>
      <c r="BI464" s="326"/>
      <c r="BJ464" s="326"/>
      <c r="BK464" s="326"/>
      <c r="BL464" s="326"/>
      <c r="BM464" s="326"/>
      <c r="BN464" s="326"/>
      <c r="BO464" s="327"/>
    </row>
    <row r="465" spans="1:67" ht="34.5" customHeight="1" x14ac:dyDescent="0.25">
      <c r="A465" s="87">
        <f t="shared" si="1"/>
        <v>453</v>
      </c>
      <c r="B465" s="386" t="s">
        <v>334</v>
      </c>
      <c r="C465" s="327"/>
      <c r="D465" s="687"/>
      <c r="E465" s="326"/>
      <c r="F465" s="326"/>
      <c r="G465" s="326"/>
      <c r="H465" s="327"/>
      <c r="I465" s="381"/>
      <c r="J465" s="326"/>
      <c r="K465" s="326"/>
      <c r="L465" s="326"/>
      <c r="M465" s="326"/>
      <c r="N465" s="326"/>
      <c r="O465" s="326"/>
      <c r="P465" s="327"/>
      <c r="Q465" s="381"/>
      <c r="R465" s="326"/>
      <c r="S465" s="326"/>
      <c r="T465" s="326"/>
      <c r="U465" s="326"/>
      <c r="V465" s="326"/>
      <c r="W465" s="326"/>
      <c r="X465" s="327"/>
      <c r="Y465" s="381"/>
      <c r="Z465" s="327"/>
      <c r="AA465" s="381"/>
      <c r="AB465" s="326"/>
      <c r="AC465" s="326"/>
      <c r="AD465" s="327"/>
      <c r="AE465" s="381"/>
      <c r="AF465" s="326"/>
      <c r="AG465" s="327"/>
      <c r="AH465" s="381"/>
      <c r="AI465" s="326"/>
      <c r="AJ465" s="327"/>
      <c r="AK465" s="381"/>
      <c r="AL465" s="326"/>
      <c r="AM465" s="326"/>
      <c r="AN465" s="327"/>
      <c r="AO465" s="381"/>
      <c r="AP465" s="326"/>
      <c r="AQ465" s="326"/>
      <c r="AR465" s="326"/>
      <c r="AS465" s="326"/>
      <c r="AT465" s="326"/>
      <c r="AU465" s="326"/>
      <c r="AV465" s="327"/>
      <c r="AW465" s="686"/>
      <c r="AX465" s="326"/>
      <c r="AY465" s="327"/>
      <c r="AZ465" s="381"/>
      <c r="BA465" s="326"/>
      <c r="BB465" s="326"/>
      <c r="BC465" s="326"/>
      <c r="BD465" s="326"/>
      <c r="BE465" s="326"/>
      <c r="BF465" s="326"/>
      <c r="BG465" s="326"/>
      <c r="BH465" s="326"/>
      <c r="BI465" s="326"/>
      <c r="BJ465" s="326"/>
      <c r="BK465" s="326"/>
      <c r="BL465" s="326"/>
      <c r="BM465" s="326"/>
      <c r="BN465" s="326"/>
      <c r="BO465" s="327"/>
    </row>
    <row r="466" spans="1:67" ht="34.5" customHeight="1" x14ac:dyDescent="0.25">
      <c r="A466" s="87">
        <f t="shared" si="1"/>
        <v>454</v>
      </c>
      <c r="B466" s="386" t="s">
        <v>334</v>
      </c>
      <c r="C466" s="327"/>
      <c r="D466" s="498"/>
      <c r="E466" s="326"/>
      <c r="F466" s="326"/>
      <c r="G466" s="326"/>
      <c r="H466" s="327"/>
      <c r="I466" s="407"/>
      <c r="J466" s="326"/>
      <c r="K466" s="326"/>
      <c r="L466" s="326"/>
      <c r="M466" s="326"/>
      <c r="N466" s="326"/>
      <c r="O466" s="326"/>
      <c r="P466" s="327"/>
      <c r="Q466" s="456"/>
      <c r="R466" s="326"/>
      <c r="S466" s="326"/>
      <c r="T466" s="326"/>
      <c r="U466" s="326"/>
      <c r="V466" s="326"/>
      <c r="W466" s="326"/>
      <c r="X466" s="327"/>
      <c r="Y466" s="407"/>
      <c r="Z466" s="327"/>
      <c r="AA466" s="456"/>
      <c r="AB466" s="326"/>
      <c r="AC466" s="326"/>
      <c r="AD466" s="327"/>
      <c r="AE466" s="407"/>
      <c r="AF466" s="326"/>
      <c r="AG466" s="327"/>
      <c r="AH466" s="456"/>
      <c r="AI466" s="326"/>
      <c r="AJ466" s="327"/>
      <c r="AK466" s="407"/>
      <c r="AL466" s="326"/>
      <c r="AM466" s="326"/>
      <c r="AN466" s="327"/>
      <c r="AO466" s="456"/>
      <c r="AP466" s="326"/>
      <c r="AQ466" s="326"/>
      <c r="AR466" s="326"/>
      <c r="AS466" s="326"/>
      <c r="AT466" s="326"/>
      <c r="AU466" s="326"/>
      <c r="AV466" s="327"/>
      <c r="AW466" s="685"/>
      <c r="AX466" s="326"/>
      <c r="AY466" s="327"/>
      <c r="AZ466" s="456"/>
      <c r="BA466" s="326"/>
      <c r="BB466" s="326"/>
      <c r="BC466" s="326"/>
      <c r="BD466" s="326"/>
      <c r="BE466" s="326"/>
      <c r="BF466" s="326"/>
      <c r="BG466" s="326"/>
      <c r="BH466" s="326"/>
      <c r="BI466" s="326"/>
      <c r="BJ466" s="326"/>
      <c r="BK466" s="326"/>
      <c r="BL466" s="326"/>
      <c r="BM466" s="326"/>
      <c r="BN466" s="326"/>
      <c r="BO466" s="327"/>
    </row>
    <row r="467" spans="1:67" ht="34.5" customHeight="1" x14ac:dyDescent="0.25">
      <c r="A467" s="87">
        <f t="shared" si="1"/>
        <v>455</v>
      </c>
      <c r="B467" s="386" t="s">
        <v>334</v>
      </c>
      <c r="C467" s="327"/>
      <c r="D467" s="687"/>
      <c r="E467" s="326"/>
      <c r="F467" s="326"/>
      <c r="G467" s="326"/>
      <c r="H467" s="327"/>
      <c r="I467" s="381"/>
      <c r="J467" s="326"/>
      <c r="K467" s="326"/>
      <c r="L467" s="326"/>
      <c r="M467" s="326"/>
      <c r="N467" s="326"/>
      <c r="O467" s="326"/>
      <c r="P467" s="327"/>
      <c r="Q467" s="381"/>
      <c r="R467" s="326"/>
      <c r="S467" s="326"/>
      <c r="T467" s="326"/>
      <c r="U467" s="326"/>
      <c r="V467" s="326"/>
      <c r="W467" s="326"/>
      <c r="X467" s="327"/>
      <c r="Y467" s="381"/>
      <c r="Z467" s="327"/>
      <c r="AA467" s="381"/>
      <c r="AB467" s="326"/>
      <c r="AC467" s="326"/>
      <c r="AD467" s="327"/>
      <c r="AE467" s="381"/>
      <c r="AF467" s="326"/>
      <c r="AG467" s="327"/>
      <c r="AH467" s="381"/>
      <c r="AI467" s="326"/>
      <c r="AJ467" s="327"/>
      <c r="AK467" s="381"/>
      <c r="AL467" s="326"/>
      <c r="AM467" s="326"/>
      <c r="AN467" s="327"/>
      <c r="AO467" s="381"/>
      <c r="AP467" s="326"/>
      <c r="AQ467" s="326"/>
      <c r="AR467" s="326"/>
      <c r="AS467" s="326"/>
      <c r="AT467" s="326"/>
      <c r="AU467" s="326"/>
      <c r="AV467" s="327"/>
      <c r="AW467" s="686"/>
      <c r="AX467" s="326"/>
      <c r="AY467" s="327"/>
      <c r="AZ467" s="381"/>
      <c r="BA467" s="326"/>
      <c r="BB467" s="326"/>
      <c r="BC467" s="326"/>
      <c r="BD467" s="326"/>
      <c r="BE467" s="326"/>
      <c r="BF467" s="326"/>
      <c r="BG467" s="326"/>
      <c r="BH467" s="326"/>
      <c r="BI467" s="326"/>
      <c r="BJ467" s="326"/>
      <c r="BK467" s="326"/>
      <c r="BL467" s="326"/>
      <c r="BM467" s="326"/>
      <c r="BN467" s="326"/>
      <c r="BO467" s="327"/>
    </row>
    <row r="468" spans="1:67" ht="34.5" customHeight="1" x14ac:dyDescent="0.25">
      <c r="A468" s="87">
        <f t="shared" si="1"/>
        <v>456</v>
      </c>
      <c r="B468" s="386" t="s">
        <v>334</v>
      </c>
      <c r="C468" s="327"/>
      <c r="D468" s="498"/>
      <c r="E468" s="326"/>
      <c r="F468" s="326"/>
      <c r="G468" s="326"/>
      <c r="H468" s="327"/>
      <c r="I468" s="407"/>
      <c r="J468" s="326"/>
      <c r="K468" s="326"/>
      <c r="L468" s="326"/>
      <c r="M468" s="326"/>
      <c r="N468" s="326"/>
      <c r="O468" s="326"/>
      <c r="P468" s="327"/>
      <c r="Q468" s="456"/>
      <c r="R468" s="326"/>
      <c r="S468" s="326"/>
      <c r="T468" s="326"/>
      <c r="U468" s="326"/>
      <c r="V468" s="326"/>
      <c r="W468" s="326"/>
      <c r="X468" s="327"/>
      <c r="Y468" s="407"/>
      <c r="Z468" s="327"/>
      <c r="AA468" s="456"/>
      <c r="AB468" s="326"/>
      <c r="AC468" s="326"/>
      <c r="AD468" s="327"/>
      <c r="AE468" s="407"/>
      <c r="AF468" s="326"/>
      <c r="AG468" s="327"/>
      <c r="AH468" s="456"/>
      <c r="AI468" s="326"/>
      <c r="AJ468" s="327"/>
      <c r="AK468" s="407"/>
      <c r="AL468" s="326"/>
      <c r="AM468" s="326"/>
      <c r="AN468" s="327"/>
      <c r="AO468" s="456"/>
      <c r="AP468" s="326"/>
      <c r="AQ468" s="326"/>
      <c r="AR468" s="326"/>
      <c r="AS468" s="326"/>
      <c r="AT468" s="326"/>
      <c r="AU468" s="326"/>
      <c r="AV468" s="327"/>
      <c r="AW468" s="685"/>
      <c r="AX468" s="326"/>
      <c r="AY468" s="327"/>
      <c r="AZ468" s="456"/>
      <c r="BA468" s="326"/>
      <c r="BB468" s="326"/>
      <c r="BC468" s="326"/>
      <c r="BD468" s="326"/>
      <c r="BE468" s="326"/>
      <c r="BF468" s="326"/>
      <c r="BG468" s="326"/>
      <c r="BH468" s="326"/>
      <c r="BI468" s="326"/>
      <c r="BJ468" s="326"/>
      <c r="BK468" s="326"/>
      <c r="BL468" s="326"/>
      <c r="BM468" s="326"/>
      <c r="BN468" s="326"/>
      <c r="BO468" s="327"/>
    </row>
    <row r="469" spans="1:67" ht="34.5" customHeight="1" x14ac:dyDescent="0.25">
      <c r="A469" s="87">
        <f t="shared" si="1"/>
        <v>457</v>
      </c>
      <c r="B469" s="386" t="s">
        <v>334</v>
      </c>
      <c r="C469" s="327"/>
      <c r="D469" s="687"/>
      <c r="E469" s="326"/>
      <c r="F469" s="326"/>
      <c r="G469" s="326"/>
      <c r="H469" s="327"/>
      <c r="I469" s="381"/>
      <c r="J469" s="326"/>
      <c r="K469" s="326"/>
      <c r="L469" s="326"/>
      <c r="M469" s="326"/>
      <c r="N469" s="326"/>
      <c r="O469" s="326"/>
      <c r="P469" s="327"/>
      <c r="Q469" s="381"/>
      <c r="R469" s="326"/>
      <c r="S469" s="326"/>
      <c r="T469" s="326"/>
      <c r="U469" s="326"/>
      <c r="V469" s="326"/>
      <c r="W469" s="326"/>
      <c r="X469" s="327"/>
      <c r="Y469" s="381"/>
      <c r="Z469" s="327"/>
      <c r="AA469" s="381"/>
      <c r="AB469" s="326"/>
      <c r="AC469" s="326"/>
      <c r="AD469" s="327"/>
      <c r="AE469" s="381"/>
      <c r="AF469" s="326"/>
      <c r="AG469" s="327"/>
      <c r="AH469" s="381"/>
      <c r="AI469" s="326"/>
      <c r="AJ469" s="327"/>
      <c r="AK469" s="381"/>
      <c r="AL469" s="326"/>
      <c r="AM469" s="326"/>
      <c r="AN469" s="327"/>
      <c r="AO469" s="381"/>
      <c r="AP469" s="326"/>
      <c r="AQ469" s="326"/>
      <c r="AR469" s="326"/>
      <c r="AS469" s="326"/>
      <c r="AT469" s="326"/>
      <c r="AU469" s="326"/>
      <c r="AV469" s="327"/>
      <c r="AW469" s="686"/>
      <c r="AX469" s="326"/>
      <c r="AY469" s="327"/>
      <c r="AZ469" s="381"/>
      <c r="BA469" s="326"/>
      <c r="BB469" s="326"/>
      <c r="BC469" s="326"/>
      <c r="BD469" s="326"/>
      <c r="BE469" s="326"/>
      <c r="BF469" s="326"/>
      <c r="BG469" s="326"/>
      <c r="BH469" s="326"/>
      <c r="BI469" s="326"/>
      <c r="BJ469" s="326"/>
      <c r="BK469" s="326"/>
      <c r="BL469" s="326"/>
      <c r="BM469" s="326"/>
      <c r="BN469" s="326"/>
      <c r="BO469" s="327"/>
    </row>
    <row r="470" spans="1:67" ht="34.5" customHeight="1" x14ac:dyDescent="0.25">
      <c r="A470" s="87">
        <f t="shared" si="1"/>
        <v>458</v>
      </c>
      <c r="B470" s="386" t="s">
        <v>334</v>
      </c>
      <c r="C470" s="327"/>
      <c r="D470" s="498"/>
      <c r="E470" s="326"/>
      <c r="F470" s="326"/>
      <c r="G470" s="326"/>
      <c r="H470" s="327"/>
      <c r="I470" s="407"/>
      <c r="J470" s="326"/>
      <c r="K470" s="326"/>
      <c r="L470" s="326"/>
      <c r="M470" s="326"/>
      <c r="N470" s="326"/>
      <c r="O470" s="326"/>
      <c r="P470" s="327"/>
      <c r="Q470" s="456"/>
      <c r="R470" s="326"/>
      <c r="S470" s="326"/>
      <c r="T470" s="326"/>
      <c r="U470" s="326"/>
      <c r="V470" s="326"/>
      <c r="W470" s="326"/>
      <c r="X470" s="327"/>
      <c r="Y470" s="407"/>
      <c r="Z470" s="327"/>
      <c r="AA470" s="456"/>
      <c r="AB470" s="326"/>
      <c r="AC470" s="326"/>
      <c r="AD470" s="327"/>
      <c r="AE470" s="407"/>
      <c r="AF470" s="326"/>
      <c r="AG470" s="327"/>
      <c r="AH470" s="456"/>
      <c r="AI470" s="326"/>
      <c r="AJ470" s="327"/>
      <c r="AK470" s="407"/>
      <c r="AL470" s="326"/>
      <c r="AM470" s="326"/>
      <c r="AN470" s="327"/>
      <c r="AO470" s="456"/>
      <c r="AP470" s="326"/>
      <c r="AQ470" s="326"/>
      <c r="AR470" s="326"/>
      <c r="AS470" s="326"/>
      <c r="AT470" s="326"/>
      <c r="AU470" s="326"/>
      <c r="AV470" s="327"/>
      <c r="AW470" s="685"/>
      <c r="AX470" s="326"/>
      <c r="AY470" s="327"/>
      <c r="AZ470" s="456"/>
      <c r="BA470" s="326"/>
      <c r="BB470" s="326"/>
      <c r="BC470" s="326"/>
      <c r="BD470" s="326"/>
      <c r="BE470" s="326"/>
      <c r="BF470" s="326"/>
      <c r="BG470" s="326"/>
      <c r="BH470" s="326"/>
      <c r="BI470" s="326"/>
      <c r="BJ470" s="326"/>
      <c r="BK470" s="326"/>
      <c r="BL470" s="326"/>
      <c r="BM470" s="326"/>
      <c r="BN470" s="326"/>
      <c r="BO470" s="327"/>
    </row>
    <row r="471" spans="1:67" ht="34.5" customHeight="1" x14ac:dyDescent="0.25">
      <c r="A471" s="87">
        <f t="shared" si="1"/>
        <v>459</v>
      </c>
      <c r="B471" s="386" t="s">
        <v>334</v>
      </c>
      <c r="C471" s="327"/>
      <c r="D471" s="687"/>
      <c r="E471" s="326"/>
      <c r="F471" s="326"/>
      <c r="G471" s="326"/>
      <c r="H471" s="327"/>
      <c r="I471" s="381"/>
      <c r="J471" s="326"/>
      <c r="K471" s="326"/>
      <c r="L471" s="326"/>
      <c r="M471" s="326"/>
      <c r="N471" s="326"/>
      <c r="O471" s="326"/>
      <c r="P471" s="327"/>
      <c r="Q471" s="381"/>
      <c r="R471" s="326"/>
      <c r="S471" s="326"/>
      <c r="T471" s="326"/>
      <c r="U471" s="326"/>
      <c r="V471" s="326"/>
      <c r="W471" s="326"/>
      <c r="X471" s="327"/>
      <c r="Y471" s="381"/>
      <c r="Z471" s="327"/>
      <c r="AA471" s="381"/>
      <c r="AB471" s="326"/>
      <c r="AC471" s="326"/>
      <c r="AD471" s="327"/>
      <c r="AE471" s="381"/>
      <c r="AF471" s="326"/>
      <c r="AG471" s="327"/>
      <c r="AH471" s="381"/>
      <c r="AI471" s="326"/>
      <c r="AJ471" s="327"/>
      <c r="AK471" s="381"/>
      <c r="AL471" s="326"/>
      <c r="AM471" s="326"/>
      <c r="AN471" s="327"/>
      <c r="AO471" s="381"/>
      <c r="AP471" s="326"/>
      <c r="AQ471" s="326"/>
      <c r="AR471" s="326"/>
      <c r="AS471" s="326"/>
      <c r="AT471" s="326"/>
      <c r="AU471" s="326"/>
      <c r="AV471" s="327"/>
      <c r="AW471" s="686"/>
      <c r="AX471" s="326"/>
      <c r="AY471" s="327"/>
      <c r="AZ471" s="381"/>
      <c r="BA471" s="326"/>
      <c r="BB471" s="326"/>
      <c r="BC471" s="326"/>
      <c r="BD471" s="326"/>
      <c r="BE471" s="326"/>
      <c r="BF471" s="326"/>
      <c r="BG471" s="326"/>
      <c r="BH471" s="326"/>
      <c r="BI471" s="326"/>
      <c r="BJ471" s="326"/>
      <c r="BK471" s="326"/>
      <c r="BL471" s="326"/>
      <c r="BM471" s="326"/>
      <c r="BN471" s="326"/>
      <c r="BO471" s="327"/>
    </row>
    <row r="472" spans="1:67" ht="34.5" customHeight="1" x14ac:dyDescent="0.25">
      <c r="A472" s="87">
        <f t="shared" si="1"/>
        <v>460</v>
      </c>
      <c r="B472" s="386" t="s">
        <v>334</v>
      </c>
      <c r="C472" s="327"/>
      <c r="D472" s="498"/>
      <c r="E472" s="326"/>
      <c r="F472" s="326"/>
      <c r="G472" s="326"/>
      <c r="H472" s="327"/>
      <c r="I472" s="407"/>
      <c r="J472" s="326"/>
      <c r="K472" s="326"/>
      <c r="L472" s="326"/>
      <c r="M472" s="326"/>
      <c r="N472" s="326"/>
      <c r="O472" s="326"/>
      <c r="P472" s="327"/>
      <c r="Q472" s="456"/>
      <c r="R472" s="326"/>
      <c r="S472" s="326"/>
      <c r="T472" s="326"/>
      <c r="U472" s="326"/>
      <c r="V472" s="326"/>
      <c r="W472" s="326"/>
      <c r="X472" s="327"/>
      <c r="Y472" s="407"/>
      <c r="Z472" s="327"/>
      <c r="AA472" s="456"/>
      <c r="AB472" s="326"/>
      <c r="AC472" s="326"/>
      <c r="AD472" s="327"/>
      <c r="AE472" s="407"/>
      <c r="AF472" s="326"/>
      <c r="AG472" s="327"/>
      <c r="AH472" s="456"/>
      <c r="AI472" s="326"/>
      <c r="AJ472" s="327"/>
      <c r="AK472" s="407"/>
      <c r="AL472" s="326"/>
      <c r="AM472" s="326"/>
      <c r="AN472" s="327"/>
      <c r="AO472" s="456"/>
      <c r="AP472" s="326"/>
      <c r="AQ472" s="326"/>
      <c r="AR472" s="326"/>
      <c r="AS472" s="326"/>
      <c r="AT472" s="326"/>
      <c r="AU472" s="326"/>
      <c r="AV472" s="327"/>
      <c r="AW472" s="685"/>
      <c r="AX472" s="326"/>
      <c r="AY472" s="327"/>
      <c r="AZ472" s="456"/>
      <c r="BA472" s="326"/>
      <c r="BB472" s="326"/>
      <c r="BC472" s="326"/>
      <c r="BD472" s="326"/>
      <c r="BE472" s="326"/>
      <c r="BF472" s="326"/>
      <c r="BG472" s="326"/>
      <c r="BH472" s="326"/>
      <c r="BI472" s="326"/>
      <c r="BJ472" s="326"/>
      <c r="BK472" s="326"/>
      <c r="BL472" s="326"/>
      <c r="BM472" s="326"/>
      <c r="BN472" s="326"/>
      <c r="BO472" s="327"/>
    </row>
    <row r="473" spans="1:67" ht="34.5" customHeight="1" x14ac:dyDescent="0.25">
      <c r="A473" s="87">
        <f t="shared" si="1"/>
        <v>461</v>
      </c>
      <c r="B473" s="386" t="s">
        <v>334</v>
      </c>
      <c r="C473" s="327"/>
      <c r="D473" s="687"/>
      <c r="E473" s="326"/>
      <c r="F473" s="326"/>
      <c r="G473" s="326"/>
      <c r="H473" s="327"/>
      <c r="I473" s="381"/>
      <c r="J473" s="326"/>
      <c r="K473" s="326"/>
      <c r="L473" s="326"/>
      <c r="M473" s="326"/>
      <c r="N473" s="326"/>
      <c r="O473" s="326"/>
      <c r="P473" s="327"/>
      <c r="Q473" s="381"/>
      <c r="R473" s="326"/>
      <c r="S473" s="326"/>
      <c r="T473" s="326"/>
      <c r="U473" s="326"/>
      <c r="V473" s="326"/>
      <c r="W473" s="326"/>
      <c r="X473" s="327"/>
      <c r="Y473" s="381"/>
      <c r="Z473" s="327"/>
      <c r="AA473" s="381"/>
      <c r="AB473" s="326"/>
      <c r="AC473" s="326"/>
      <c r="AD473" s="327"/>
      <c r="AE473" s="381"/>
      <c r="AF473" s="326"/>
      <c r="AG473" s="327"/>
      <c r="AH473" s="381"/>
      <c r="AI473" s="326"/>
      <c r="AJ473" s="327"/>
      <c r="AK473" s="381"/>
      <c r="AL473" s="326"/>
      <c r="AM473" s="326"/>
      <c r="AN473" s="327"/>
      <c r="AO473" s="381"/>
      <c r="AP473" s="326"/>
      <c r="AQ473" s="326"/>
      <c r="AR473" s="326"/>
      <c r="AS473" s="326"/>
      <c r="AT473" s="326"/>
      <c r="AU473" s="326"/>
      <c r="AV473" s="327"/>
      <c r="AW473" s="686"/>
      <c r="AX473" s="326"/>
      <c r="AY473" s="327"/>
      <c r="AZ473" s="381"/>
      <c r="BA473" s="326"/>
      <c r="BB473" s="326"/>
      <c r="BC473" s="326"/>
      <c r="BD473" s="326"/>
      <c r="BE473" s="326"/>
      <c r="BF473" s="326"/>
      <c r="BG473" s="326"/>
      <c r="BH473" s="326"/>
      <c r="BI473" s="326"/>
      <c r="BJ473" s="326"/>
      <c r="BK473" s="326"/>
      <c r="BL473" s="326"/>
      <c r="BM473" s="326"/>
      <c r="BN473" s="326"/>
      <c r="BO473" s="327"/>
    </row>
    <row r="474" spans="1:67" ht="34.5" customHeight="1" x14ac:dyDescent="0.25">
      <c r="A474" s="87">
        <f t="shared" si="1"/>
        <v>462</v>
      </c>
      <c r="B474" s="386" t="s">
        <v>334</v>
      </c>
      <c r="C474" s="327"/>
      <c r="D474" s="498"/>
      <c r="E474" s="326"/>
      <c r="F474" s="326"/>
      <c r="G474" s="326"/>
      <c r="H474" s="327"/>
      <c r="I474" s="407"/>
      <c r="J474" s="326"/>
      <c r="K474" s="326"/>
      <c r="L474" s="326"/>
      <c r="M474" s="326"/>
      <c r="N474" s="326"/>
      <c r="O474" s="326"/>
      <c r="P474" s="327"/>
      <c r="Q474" s="456"/>
      <c r="R474" s="326"/>
      <c r="S474" s="326"/>
      <c r="T474" s="326"/>
      <c r="U474" s="326"/>
      <c r="V474" s="326"/>
      <c r="W474" s="326"/>
      <c r="X474" s="327"/>
      <c r="Y474" s="407"/>
      <c r="Z474" s="327"/>
      <c r="AA474" s="456"/>
      <c r="AB474" s="326"/>
      <c r="AC474" s="326"/>
      <c r="AD474" s="327"/>
      <c r="AE474" s="407"/>
      <c r="AF474" s="326"/>
      <c r="AG474" s="327"/>
      <c r="AH474" s="456"/>
      <c r="AI474" s="326"/>
      <c r="AJ474" s="327"/>
      <c r="AK474" s="407"/>
      <c r="AL474" s="326"/>
      <c r="AM474" s="326"/>
      <c r="AN474" s="327"/>
      <c r="AO474" s="456"/>
      <c r="AP474" s="326"/>
      <c r="AQ474" s="326"/>
      <c r="AR474" s="326"/>
      <c r="AS474" s="326"/>
      <c r="AT474" s="326"/>
      <c r="AU474" s="326"/>
      <c r="AV474" s="327"/>
      <c r="AW474" s="685"/>
      <c r="AX474" s="326"/>
      <c r="AY474" s="327"/>
      <c r="AZ474" s="456"/>
      <c r="BA474" s="326"/>
      <c r="BB474" s="326"/>
      <c r="BC474" s="326"/>
      <c r="BD474" s="326"/>
      <c r="BE474" s="326"/>
      <c r="BF474" s="326"/>
      <c r="BG474" s="326"/>
      <c r="BH474" s="326"/>
      <c r="BI474" s="326"/>
      <c r="BJ474" s="326"/>
      <c r="BK474" s="326"/>
      <c r="BL474" s="326"/>
      <c r="BM474" s="326"/>
      <c r="BN474" s="326"/>
      <c r="BO474" s="327"/>
    </row>
    <row r="475" spans="1:67" ht="34.5" customHeight="1" x14ac:dyDescent="0.25">
      <c r="A475" s="87">
        <f t="shared" si="1"/>
        <v>463</v>
      </c>
      <c r="B475" s="386" t="s">
        <v>334</v>
      </c>
      <c r="C475" s="327"/>
      <c r="D475" s="687"/>
      <c r="E475" s="326"/>
      <c r="F475" s="326"/>
      <c r="G475" s="326"/>
      <c r="H475" s="327"/>
      <c r="I475" s="381"/>
      <c r="J475" s="326"/>
      <c r="K475" s="326"/>
      <c r="L475" s="326"/>
      <c r="M475" s="326"/>
      <c r="N475" s="326"/>
      <c r="O475" s="326"/>
      <c r="P475" s="327"/>
      <c r="Q475" s="381"/>
      <c r="R475" s="326"/>
      <c r="S475" s="326"/>
      <c r="T475" s="326"/>
      <c r="U475" s="326"/>
      <c r="V475" s="326"/>
      <c r="W475" s="326"/>
      <c r="X475" s="327"/>
      <c r="Y475" s="381"/>
      <c r="Z475" s="327"/>
      <c r="AA475" s="381"/>
      <c r="AB475" s="326"/>
      <c r="AC475" s="326"/>
      <c r="AD475" s="327"/>
      <c r="AE475" s="381"/>
      <c r="AF475" s="326"/>
      <c r="AG475" s="327"/>
      <c r="AH475" s="381"/>
      <c r="AI475" s="326"/>
      <c r="AJ475" s="327"/>
      <c r="AK475" s="381"/>
      <c r="AL475" s="326"/>
      <c r="AM475" s="326"/>
      <c r="AN475" s="327"/>
      <c r="AO475" s="381"/>
      <c r="AP475" s="326"/>
      <c r="AQ475" s="326"/>
      <c r="AR475" s="326"/>
      <c r="AS475" s="326"/>
      <c r="AT475" s="326"/>
      <c r="AU475" s="326"/>
      <c r="AV475" s="327"/>
      <c r="AW475" s="686"/>
      <c r="AX475" s="326"/>
      <c r="AY475" s="327"/>
      <c r="AZ475" s="381"/>
      <c r="BA475" s="326"/>
      <c r="BB475" s="326"/>
      <c r="BC475" s="326"/>
      <c r="BD475" s="326"/>
      <c r="BE475" s="326"/>
      <c r="BF475" s="326"/>
      <c r="BG475" s="326"/>
      <c r="BH475" s="326"/>
      <c r="BI475" s="326"/>
      <c r="BJ475" s="326"/>
      <c r="BK475" s="326"/>
      <c r="BL475" s="326"/>
      <c r="BM475" s="326"/>
      <c r="BN475" s="326"/>
      <c r="BO475" s="327"/>
    </row>
    <row r="476" spans="1:67" ht="34.5" customHeight="1" x14ac:dyDescent="0.25">
      <c r="A476" s="87">
        <f t="shared" si="1"/>
        <v>464</v>
      </c>
      <c r="B476" s="386" t="s">
        <v>334</v>
      </c>
      <c r="C476" s="327"/>
      <c r="D476" s="498"/>
      <c r="E476" s="326"/>
      <c r="F476" s="326"/>
      <c r="G476" s="326"/>
      <c r="H476" s="327"/>
      <c r="I476" s="407"/>
      <c r="J476" s="326"/>
      <c r="K476" s="326"/>
      <c r="L476" s="326"/>
      <c r="M476" s="326"/>
      <c r="N476" s="326"/>
      <c r="O476" s="326"/>
      <c r="P476" s="327"/>
      <c r="Q476" s="456"/>
      <c r="R476" s="326"/>
      <c r="S476" s="326"/>
      <c r="T476" s="326"/>
      <c r="U476" s="326"/>
      <c r="V476" s="326"/>
      <c r="W476" s="326"/>
      <c r="X476" s="327"/>
      <c r="Y476" s="407"/>
      <c r="Z476" s="327"/>
      <c r="AA476" s="456"/>
      <c r="AB476" s="326"/>
      <c r="AC476" s="326"/>
      <c r="AD476" s="327"/>
      <c r="AE476" s="407"/>
      <c r="AF476" s="326"/>
      <c r="AG476" s="327"/>
      <c r="AH476" s="456"/>
      <c r="AI476" s="326"/>
      <c r="AJ476" s="327"/>
      <c r="AK476" s="407"/>
      <c r="AL476" s="326"/>
      <c r="AM476" s="326"/>
      <c r="AN476" s="327"/>
      <c r="AO476" s="456"/>
      <c r="AP476" s="326"/>
      <c r="AQ476" s="326"/>
      <c r="AR476" s="326"/>
      <c r="AS476" s="326"/>
      <c r="AT476" s="326"/>
      <c r="AU476" s="326"/>
      <c r="AV476" s="327"/>
      <c r="AW476" s="685"/>
      <c r="AX476" s="326"/>
      <c r="AY476" s="327"/>
      <c r="AZ476" s="456"/>
      <c r="BA476" s="326"/>
      <c r="BB476" s="326"/>
      <c r="BC476" s="326"/>
      <c r="BD476" s="326"/>
      <c r="BE476" s="326"/>
      <c r="BF476" s="326"/>
      <c r="BG476" s="326"/>
      <c r="BH476" s="326"/>
      <c r="BI476" s="326"/>
      <c r="BJ476" s="326"/>
      <c r="BK476" s="326"/>
      <c r="BL476" s="326"/>
      <c r="BM476" s="326"/>
      <c r="BN476" s="326"/>
      <c r="BO476" s="327"/>
    </row>
    <row r="477" spans="1:67" ht="34.5" customHeight="1" x14ac:dyDescent="0.25">
      <c r="A477" s="87">
        <f t="shared" si="1"/>
        <v>465</v>
      </c>
      <c r="B477" s="386" t="s">
        <v>334</v>
      </c>
      <c r="C477" s="327"/>
      <c r="D477" s="687"/>
      <c r="E477" s="326"/>
      <c r="F477" s="326"/>
      <c r="G477" s="326"/>
      <c r="H477" s="327"/>
      <c r="I477" s="381"/>
      <c r="J477" s="326"/>
      <c r="K477" s="326"/>
      <c r="L477" s="326"/>
      <c r="M477" s="326"/>
      <c r="N477" s="326"/>
      <c r="O477" s="326"/>
      <c r="P477" s="327"/>
      <c r="Q477" s="381"/>
      <c r="R477" s="326"/>
      <c r="S477" s="326"/>
      <c r="T477" s="326"/>
      <c r="U477" s="326"/>
      <c r="V477" s="326"/>
      <c r="W477" s="326"/>
      <c r="X477" s="327"/>
      <c r="Y477" s="381"/>
      <c r="Z477" s="327"/>
      <c r="AA477" s="381"/>
      <c r="AB477" s="326"/>
      <c r="AC477" s="326"/>
      <c r="AD477" s="327"/>
      <c r="AE477" s="381"/>
      <c r="AF477" s="326"/>
      <c r="AG477" s="327"/>
      <c r="AH477" s="381"/>
      <c r="AI477" s="326"/>
      <c r="AJ477" s="327"/>
      <c r="AK477" s="381"/>
      <c r="AL477" s="326"/>
      <c r="AM477" s="326"/>
      <c r="AN477" s="327"/>
      <c r="AO477" s="381"/>
      <c r="AP477" s="326"/>
      <c r="AQ477" s="326"/>
      <c r="AR477" s="326"/>
      <c r="AS477" s="326"/>
      <c r="AT477" s="326"/>
      <c r="AU477" s="326"/>
      <c r="AV477" s="327"/>
      <c r="AW477" s="686"/>
      <c r="AX477" s="326"/>
      <c r="AY477" s="327"/>
      <c r="AZ477" s="381"/>
      <c r="BA477" s="326"/>
      <c r="BB477" s="326"/>
      <c r="BC477" s="326"/>
      <c r="BD477" s="326"/>
      <c r="BE477" s="326"/>
      <c r="BF477" s="326"/>
      <c r="BG477" s="326"/>
      <c r="BH477" s="326"/>
      <c r="BI477" s="326"/>
      <c r="BJ477" s="326"/>
      <c r="BK477" s="326"/>
      <c r="BL477" s="326"/>
      <c r="BM477" s="326"/>
      <c r="BN477" s="326"/>
      <c r="BO477" s="327"/>
    </row>
    <row r="478" spans="1:67" ht="34.5" customHeight="1" x14ac:dyDescent="0.25">
      <c r="A478" s="87">
        <f t="shared" si="1"/>
        <v>466</v>
      </c>
      <c r="B478" s="386" t="s">
        <v>334</v>
      </c>
      <c r="C478" s="327"/>
      <c r="D478" s="498"/>
      <c r="E478" s="326"/>
      <c r="F478" s="326"/>
      <c r="G478" s="326"/>
      <c r="H478" s="327"/>
      <c r="I478" s="407"/>
      <c r="J478" s="326"/>
      <c r="K478" s="326"/>
      <c r="L478" s="326"/>
      <c r="M478" s="326"/>
      <c r="N478" s="326"/>
      <c r="O478" s="326"/>
      <c r="P478" s="327"/>
      <c r="Q478" s="456"/>
      <c r="R478" s="326"/>
      <c r="S478" s="326"/>
      <c r="T478" s="326"/>
      <c r="U478" s="326"/>
      <c r="V478" s="326"/>
      <c r="W478" s="326"/>
      <c r="X478" s="327"/>
      <c r="Y478" s="407"/>
      <c r="Z478" s="327"/>
      <c r="AA478" s="456"/>
      <c r="AB478" s="326"/>
      <c r="AC478" s="326"/>
      <c r="AD478" s="327"/>
      <c r="AE478" s="407"/>
      <c r="AF478" s="326"/>
      <c r="AG478" s="327"/>
      <c r="AH478" s="456"/>
      <c r="AI478" s="326"/>
      <c r="AJ478" s="327"/>
      <c r="AK478" s="407"/>
      <c r="AL478" s="326"/>
      <c r="AM478" s="326"/>
      <c r="AN478" s="327"/>
      <c r="AO478" s="456"/>
      <c r="AP478" s="326"/>
      <c r="AQ478" s="326"/>
      <c r="AR478" s="326"/>
      <c r="AS478" s="326"/>
      <c r="AT478" s="326"/>
      <c r="AU478" s="326"/>
      <c r="AV478" s="327"/>
      <c r="AW478" s="685"/>
      <c r="AX478" s="326"/>
      <c r="AY478" s="327"/>
      <c r="AZ478" s="456"/>
      <c r="BA478" s="326"/>
      <c r="BB478" s="326"/>
      <c r="BC478" s="326"/>
      <c r="BD478" s="326"/>
      <c r="BE478" s="326"/>
      <c r="BF478" s="326"/>
      <c r="BG478" s="326"/>
      <c r="BH478" s="326"/>
      <c r="BI478" s="326"/>
      <c r="BJ478" s="326"/>
      <c r="BK478" s="326"/>
      <c r="BL478" s="326"/>
      <c r="BM478" s="326"/>
      <c r="BN478" s="326"/>
      <c r="BO478" s="327"/>
    </row>
    <row r="479" spans="1:67" ht="34.5" customHeight="1" x14ac:dyDescent="0.25">
      <c r="A479" s="87">
        <f t="shared" si="1"/>
        <v>467</v>
      </c>
      <c r="B479" s="386" t="s">
        <v>334</v>
      </c>
      <c r="C479" s="327"/>
      <c r="D479" s="687"/>
      <c r="E479" s="326"/>
      <c r="F479" s="326"/>
      <c r="G479" s="326"/>
      <c r="H479" s="327"/>
      <c r="I479" s="381"/>
      <c r="J479" s="326"/>
      <c r="K479" s="326"/>
      <c r="L479" s="326"/>
      <c r="M479" s="326"/>
      <c r="N479" s="326"/>
      <c r="O479" s="326"/>
      <c r="P479" s="327"/>
      <c r="Q479" s="381"/>
      <c r="R479" s="326"/>
      <c r="S479" s="326"/>
      <c r="T479" s="326"/>
      <c r="U479" s="326"/>
      <c r="V479" s="326"/>
      <c r="W479" s="326"/>
      <c r="X479" s="327"/>
      <c r="Y479" s="381"/>
      <c r="Z479" s="327"/>
      <c r="AA479" s="381"/>
      <c r="AB479" s="326"/>
      <c r="AC479" s="326"/>
      <c r="AD479" s="327"/>
      <c r="AE479" s="381"/>
      <c r="AF479" s="326"/>
      <c r="AG479" s="327"/>
      <c r="AH479" s="381"/>
      <c r="AI479" s="326"/>
      <c r="AJ479" s="327"/>
      <c r="AK479" s="381"/>
      <c r="AL479" s="326"/>
      <c r="AM479" s="326"/>
      <c r="AN479" s="327"/>
      <c r="AO479" s="381"/>
      <c r="AP479" s="326"/>
      <c r="AQ479" s="326"/>
      <c r="AR479" s="326"/>
      <c r="AS479" s="326"/>
      <c r="AT479" s="326"/>
      <c r="AU479" s="326"/>
      <c r="AV479" s="327"/>
      <c r="AW479" s="686"/>
      <c r="AX479" s="326"/>
      <c r="AY479" s="327"/>
      <c r="AZ479" s="381"/>
      <c r="BA479" s="326"/>
      <c r="BB479" s="326"/>
      <c r="BC479" s="326"/>
      <c r="BD479" s="326"/>
      <c r="BE479" s="326"/>
      <c r="BF479" s="326"/>
      <c r="BG479" s="326"/>
      <c r="BH479" s="326"/>
      <c r="BI479" s="326"/>
      <c r="BJ479" s="326"/>
      <c r="BK479" s="326"/>
      <c r="BL479" s="326"/>
      <c r="BM479" s="326"/>
      <c r="BN479" s="326"/>
      <c r="BO479" s="327"/>
    </row>
    <row r="480" spans="1:67" ht="34.5" customHeight="1" x14ac:dyDescent="0.25">
      <c r="A480" s="87">
        <f t="shared" si="1"/>
        <v>468</v>
      </c>
      <c r="B480" s="386" t="s">
        <v>334</v>
      </c>
      <c r="C480" s="327"/>
      <c r="D480" s="498"/>
      <c r="E480" s="326"/>
      <c r="F480" s="326"/>
      <c r="G480" s="326"/>
      <c r="H480" s="327"/>
      <c r="I480" s="407"/>
      <c r="J480" s="326"/>
      <c r="K480" s="326"/>
      <c r="L480" s="326"/>
      <c r="M480" s="326"/>
      <c r="N480" s="326"/>
      <c r="O480" s="326"/>
      <c r="P480" s="327"/>
      <c r="Q480" s="456"/>
      <c r="R480" s="326"/>
      <c r="S480" s="326"/>
      <c r="T480" s="326"/>
      <c r="U480" s="326"/>
      <c r="V480" s="326"/>
      <c r="W480" s="326"/>
      <c r="X480" s="327"/>
      <c r="Y480" s="407"/>
      <c r="Z480" s="327"/>
      <c r="AA480" s="456"/>
      <c r="AB480" s="326"/>
      <c r="AC480" s="326"/>
      <c r="AD480" s="327"/>
      <c r="AE480" s="407"/>
      <c r="AF480" s="326"/>
      <c r="AG480" s="327"/>
      <c r="AH480" s="456"/>
      <c r="AI480" s="326"/>
      <c r="AJ480" s="327"/>
      <c r="AK480" s="407"/>
      <c r="AL480" s="326"/>
      <c r="AM480" s="326"/>
      <c r="AN480" s="327"/>
      <c r="AO480" s="456"/>
      <c r="AP480" s="326"/>
      <c r="AQ480" s="326"/>
      <c r="AR480" s="326"/>
      <c r="AS480" s="326"/>
      <c r="AT480" s="326"/>
      <c r="AU480" s="326"/>
      <c r="AV480" s="327"/>
      <c r="AW480" s="685"/>
      <c r="AX480" s="326"/>
      <c r="AY480" s="327"/>
      <c r="AZ480" s="456"/>
      <c r="BA480" s="326"/>
      <c r="BB480" s="326"/>
      <c r="BC480" s="326"/>
      <c r="BD480" s="326"/>
      <c r="BE480" s="326"/>
      <c r="BF480" s="326"/>
      <c r="BG480" s="326"/>
      <c r="BH480" s="326"/>
      <c r="BI480" s="326"/>
      <c r="BJ480" s="326"/>
      <c r="BK480" s="326"/>
      <c r="BL480" s="326"/>
      <c r="BM480" s="326"/>
      <c r="BN480" s="326"/>
      <c r="BO480" s="327"/>
    </row>
    <row r="481" spans="1:67" ht="34.5" customHeight="1" x14ac:dyDescent="0.25">
      <c r="A481" s="87">
        <f t="shared" si="1"/>
        <v>469</v>
      </c>
      <c r="B481" s="386" t="s">
        <v>334</v>
      </c>
      <c r="C481" s="327"/>
      <c r="D481" s="687"/>
      <c r="E481" s="326"/>
      <c r="F481" s="326"/>
      <c r="G481" s="326"/>
      <c r="H481" s="327"/>
      <c r="I481" s="381"/>
      <c r="J481" s="326"/>
      <c r="K481" s="326"/>
      <c r="L481" s="326"/>
      <c r="M481" s="326"/>
      <c r="N481" s="326"/>
      <c r="O481" s="326"/>
      <c r="P481" s="327"/>
      <c r="Q481" s="381"/>
      <c r="R481" s="326"/>
      <c r="S481" s="326"/>
      <c r="T481" s="326"/>
      <c r="U481" s="326"/>
      <c r="V481" s="326"/>
      <c r="W481" s="326"/>
      <c r="X481" s="327"/>
      <c r="Y481" s="381"/>
      <c r="Z481" s="327"/>
      <c r="AA481" s="381"/>
      <c r="AB481" s="326"/>
      <c r="AC481" s="326"/>
      <c r="AD481" s="327"/>
      <c r="AE481" s="381"/>
      <c r="AF481" s="326"/>
      <c r="AG481" s="327"/>
      <c r="AH481" s="381"/>
      <c r="AI481" s="326"/>
      <c r="AJ481" s="327"/>
      <c r="AK481" s="381"/>
      <c r="AL481" s="326"/>
      <c r="AM481" s="326"/>
      <c r="AN481" s="327"/>
      <c r="AO481" s="381"/>
      <c r="AP481" s="326"/>
      <c r="AQ481" s="326"/>
      <c r="AR481" s="326"/>
      <c r="AS481" s="326"/>
      <c r="AT481" s="326"/>
      <c r="AU481" s="326"/>
      <c r="AV481" s="327"/>
      <c r="AW481" s="686"/>
      <c r="AX481" s="326"/>
      <c r="AY481" s="327"/>
      <c r="AZ481" s="381"/>
      <c r="BA481" s="326"/>
      <c r="BB481" s="326"/>
      <c r="BC481" s="326"/>
      <c r="BD481" s="326"/>
      <c r="BE481" s="326"/>
      <c r="BF481" s="326"/>
      <c r="BG481" s="326"/>
      <c r="BH481" s="326"/>
      <c r="BI481" s="326"/>
      <c r="BJ481" s="326"/>
      <c r="BK481" s="326"/>
      <c r="BL481" s="326"/>
      <c r="BM481" s="326"/>
      <c r="BN481" s="326"/>
      <c r="BO481" s="327"/>
    </row>
    <row r="482" spans="1:67" ht="34.5" customHeight="1" x14ac:dyDescent="0.25">
      <c r="A482" s="87">
        <f t="shared" si="1"/>
        <v>470</v>
      </c>
      <c r="B482" s="688" t="s">
        <v>334</v>
      </c>
      <c r="C482" s="327"/>
      <c r="D482" s="498"/>
      <c r="E482" s="326"/>
      <c r="F482" s="326"/>
      <c r="G482" s="326"/>
      <c r="H482" s="327"/>
      <c r="I482" s="407"/>
      <c r="J482" s="326"/>
      <c r="K482" s="326"/>
      <c r="L482" s="326"/>
      <c r="M482" s="326"/>
      <c r="N482" s="326"/>
      <c r="O482" s="326"/>
      <c r="P482" s="327"/>
      <c r="Q482" s="456"/>
      <c r="R482" s="326"/>
      <c r="S482" s="326"/>
      <c r="T482" s="326"/>
      <c r="U482" s="326"/>
      <c r="V482" s="326"/>
      <c r="W482" s="326"/>
      <c r="X482" s="327"/>
      <c r="Y482" s="407"/>
      <c r="Z482" s="327"/>
      <c r="AA482" s="456"/>
      <c r="AB482" s="326"/>
      <c r="AC482" s="326"/>
      <c r="AD482" s="327"/>
      <c r="AE482" s="407"/>
      <c r="AF482" s="326"/>
      <c r="AG482" s="327"/>
      <c r="AH482" s="456"/>
      <c r="AI482" s="326"/>
      <c r="AJ482" s="327"/>
      <c r="AK482" s="407"/>
      <c r="AL482" s="326"/>
      <c r="AM482" s="326"/>
      <c r="AN482" s="327"/>
      <c r="AO482" s="456"/>
      <c r="AP482" s="326"/>
      <c r="AQ482" s="326"/>
      <c r="AR482" s="326"/>
      <c r="AS482" s="326"/>
      <c r="AT482" s="326"/>
      <c r="AU482" s="326"/>
      <c r="AV482" s="327"/>
      <c r="AW482" s="685"/>
      <c r="AX482" s="326"/>
      <c r="AY482" s="327"/>
      <c r="AZ482" s="456"/>
      <c r="BA482" s="326"/>
      <c r="BB482" s="326"/>
      <c r="BC482" s="326"/>
      <c r="BD482" s="326"/>
      <c r="BE482" s="326"/>
      <c r="BF482" s="326"/>
      <c r="BG482" s="326"/>
      <c r="BH482" s="326"/>
      <c r="BI482" s="326"/>
      <c r="BJ482" s="326"/>
      <c r="BK482" s="326"/>
      <c r="BL482" s="326"/>
      <c r="BM482" s="326"/>
      <c r="BN482" s="326"/>
      <c r="BO482" s="327"/>
    </row>
    <row r="483" spans="1:67" ht="34.5" customHeight="1" x14ac:dyDescent="0.25">
      <c r="A483" s="87">
        <f t="shared" si="1"/>
        <v>471</v>
      </c>
      <c r="B483" s="386" t="s">
        <v>334</v>
      </c>
      <c r="C483" s="327"/>
      <c r="D483" s="687"/>
      <c r="E483" s="326"/>
      <c r="F483" s="326"/>
      <c r="G483" s="326"/>
      <c r="H483" s="327"/>
      <c r="I483" s="381"/>
      <c r="J483" s="326"/>
      <c r="K483" s="326"/>
      <c r="L483" s="326"/>
      <c r="M483" s="326"/>
      <c r="N483" s="326"/>
      <c r="O483" s="326"/>
      <c r="P483" s="327"/>
      <c r="Q483" s="381"/>
      <c r="R483" s="326"/>
      <c r="S483" s="326"/>
      <c r="T483" s="326"/>
      <c r="U483" s="326"/>
      <c r="V483" s="326"/>
      <c r="W483" s="326"/>
      <c r="X483" s="327"/>
      <c r="Y483" s="381"/>
      <c r="Z483" s="327"/>
      <c r="AA483" s="381"/>
      <c r="AB483" s="326"/>
      <c r="AC483" s="326"/>
      <c r="AD483" s="327"/>
      <c r="AE483" s="381"/>
      <c r="AF483" s="326"/>
      <c r="AG483" s="327"/>
      <c r="AH483" s="381"/>
      <c r="AI483" s="326"/>
      <c r="AJ483" s="327"/>
      <c r="AK483" s="381"/>
      <c r="AL483" s="326"/>
      <c r="AM483" s="326"/>
      <c r="AN483" s="327"/>
      <c r="AO483" s="381"/>
      <c r="AP483" s="326"/>
      <c r="AQ483" s="326"/>
      <c r="AR483" s="326"/>
      <c r="AS483" s="326"/>
      <c r="AT483" s="326"/>
      <c r="AU483" s="326"/>
      <c r="AV483" s="327"/>
      <c r="AW483" s="686"/>
      <c r="AX483" s="326"/>
      <c r="AY483" s="327"/>
      <c r="AZ483" s="381"/>
      <c r="BA483" s="326"/>
      <c r="BB483" s="326"/>
      <c r="BC483" s="326"/>
      <c r="BD483" s="326"/>
      <c r="BE483" s="326"/>
      <c r="BF483" s="326"/>
      <c r="BG483" s="326"/>
      <c r="BH483" s="326"/>
      <c r="BI483" s="326"/>
      <c r="BJ483" s="326"/>
      <c r="BK483" s="326"/>
      <c r="BL483" s="326"/>
      <c r="BM483" s="326"/>
      <c r="BN483" s="326"/>
      <c r="BO483" s="327"/>
    </row>
    <row r="484" spans="1:67" ht="34.5" customHeight="1" x14ac:dyDescent="0.25">
      <c r="A484" s="87">
        <f t="shared" si="1"/>
        <v>472</v>
      </c>
      <c r="B484" s="386" t="s">
        <v>334</v>
      </c>
      <c r="C484" s="327"/>
      <c r="D484" s="498"/>
      <c r="E484" s="326"/>
      <c r="F484" s="326"/>
      <c r="G484" s="326"/>
      <c r="H484" s="327"/>
      <c r="I484" s="407"/>
      <c r="J484" s="326"/>
      <c r="K484" s="326"/>
      <c r="L484" s="326"/>
      <c r="M484" s="326"/>
      <c r="N484" s="326"/>
      <c r="O484" s="326"/>
      <c r="P484" s="327"/>
      <c r="Q484" s="456"/>
      <c r="R484" s="326"/>
      <c r="S484" s="326"/>
      <c r="T484" s="326"/>
      <c r="U484" s="326"/>
      <c r="V484" s="326"/>
      <c r="W484" s="326"/>
      <c r="X484" s="327"/>
      <c r="Y484" s="407"/>
      <c r="Z484" s="327"/>
      <c r="AA484" s="456"/>
      <c r="AB484" s="326"/>
      <c r="AC484" s="326"/>
      <c r="AD484" s="327"/>
      <c r="AE484" s="407"/>
      <c r="AF484" s="326"/>
      <c r="AG484" s="327"/>
      <c r="AH484" s="456"/>
      <c r="AI484" s="326"/>
      <c r="AJ484" s="327"/>
      <c r="AK484" s="407"/>
      <c r="AL484" s="326"/>
      <c r="AM484" s="326"/>
      <c r="AN484" s="327"/>
      <c r="AO484" s="456"/>
      <c r="AP484" s="326"/>
      <c r="AQ484" s="326"/>
      <c r="AR484" s="326"/>
      <c r="AS484" s="326"/>
      <c r="AT484" s="326"/>
      <c r="AU484" s="326"/>
      <c r="AV484" s="327"/>
      <c r="AW484" s="685"/>
      <c r="AX484" s="326"/>
      <c r="AY484" s="327"/>
      <c r="AZ484" s="456"/>
      <c r="BA484" s="326"/>
      <c r="BB484" s="326"/>
      <c r="BC484" s="326"/>
      <c r="BD484" s="326"/>
      <c r="BE484" s="326"/>
      <c r="BF484" s="326"/>
      <c r="BG484" s="326"/>
      <c r="BH484" s="326"/>
      <c r="BI484" s="326"/>
      <c r="BJ484" s="326"/>
      <c r="BK484" s="326"/>
      <c r="BL484" s="326"/>
      <c r="BM484" s="326"/>
      <c r="BN484" s="326"/>
      <c r="BO484" s="327"/>
    </row>
    <row r="485" spans="1:67" ht="34.5" customHeight="1" x14ac:dyDescent="0.25">
      <c r="A485" s="87">
        <f t="shared" si="1"/>
        <v>473</v>
      </c>
      <c r="B485" s="386" t="s">
        <v>334</v>
      </c>
      <c r="C485" s="327"/>
      <c r="D485" s="687"/>
      <c r="E485" s="326"/>
      <c r="F485" s="326"/>
      <c r="G485" s="326"/>
      <c r="H485" s="327"/>
      <c r="I485" s="381"/>
      <c r="J485" s="326"/>
      <c r="K485" s="326"/>
      <c r="L485" s="326"/>
      <c r="M485" s="326"/>
      <c r="N485" s="326"/>
      <c r="O485" s="326"/>
      <c r="P485" s="327"/>
      <c r="Q485" s="381"/>
      <c r="R485" s="326"/>
      <c r="S485" s="326"/>
      <c r="T485" s="326"/>
      <c r="U485" s="326"/>
      <c r="V485" s="326"/>
      <c r="W485" s="326"/>
      <c r="X485" s="327"/>
      <c r="Y485" s="381"/>
      <c r="Z485" s="327"/>
      <c r="AA485" s="381"/>
      <c r="AB485" s="326"/>
      <c r="AC485" s="326"/>
      <c r="AD485" s="327"/>
      <c r="AE485" s="381"/>
      <c r="AF485" s="326"/>
      <c r="AG485" s="327"/>
      <c r="AH485" s="381"/>
      <c r="AI485" s="326"/>
      <c r="AJ485" s="327"/>
      <c r="AK485" s="381"/>
      <c r="AL485" s="326"/>
      <c r="AM485" s="326"/>
      <c r="AN485" s="327"/>
      <c r="AO485" s="381"/>
      <c r="AP485" s="326"/>
      <c r="AQ485" s="326"/>
      <c r="AR485" s="326"/>
      <c r="AS485" s="326"/>
      <c r="AT485" s="326"/>
      <c r="AU485" s="326"/>
      <c r="AV485" s="327"/>
      <c r="AW485" s="686"/>
      <c r="AX485" s="326"/>
      <c r="AY485" s="327"/>
      <c r="AZ485" s="381"/>
      <c r="BA485" s="326"/>
      <c r="BB485" s="326"/>
      <c r="BC485" s="326"/>
      <c r="BD485" s="326"/>
      <c r="BE485" s="326"/>
      <c r="BF485" s="326"/>
      <c r="BG485" s="326"/>
      <c r="BH485" s="326"/>
      <c r="BI485" s="326"/>
      <c r="BJ485" s="326"/>
      <c r="BK485" s="326"/>
      <c r="BL485" s="326"/>
      <c r="BM485" s="326"/>
      <c r="BN485" s="326"/>
      <c r="BO485" s="327"/>
    </row>
    <row r="486" spans="1:67" ht="34.5" customHeight="1" x14ac:dyDescent="0.25">
      <c r="A486" s="87">
        <f t="shared" si="1"/>
        <v>474</v>
      </c>
      <c r="B486" s="386" t="s">
        <v>334</v>
      </c>
      <c r="C486" s="327"/>
      <c r="D486" s="498"/>
      <c r="E486" s="326"/>
      <c r="F486" s="326"/>
      <c r="G486" s="326"/>
      <c r="H486" s="327"/>
      <c r="I486" s="407"/>
      <c r="J486" s="326"/>
      <c r="K486" s="326"/>
      <c r="L486" s="326"/>
      <c r="M486" s="326"/>
      <c r="N486" s="326"/>
      <c r="O486" s="326"/>
      <c r="P486" s="327"/>
      <c r="Q486" s="456"/>
      <c r="R486" s="326"/>
      <c r="S486" s="326"/>
      <c r="T486" s="326"/>
      <c r="U486" s="326"/>
      <c r="V486" s="326"/>
      <c r="W486" s="326"/>
      <c r="X486" s="327"/>
      <c r="Y486" s="407"/>
      <c r="Z486" s="327"/>
      <c r="AA486" s="456"/>
      <c r="AB486" s="326"/>
      <c r="AC486" s="326"/>
      <c r="AD486" s="327"/>
      <c r="AE486" s="407"/>
      <c r="AF486" s="326"/>
      <c r="AG486" s="327"/>
      <c r="AH486" s="456"/>
      <c r="AI486" s="326"/>
      <c r="AJ486" s="327"/>
      <c r="AK486" s="407"/>
      <c r="AL486" s="326"/>
      <c r="AM486" s="326"/>
      <c r="AN486" s="327"/>
      <c r="AO486" s="456"/>
      <c r="AP486" s="326"/>
      <c r="AQ486" s="326"/>
      <c r="AR486" s="326"/>
      <c r="AS486" s="326"/>
      <c r="AT486" s="326"/>
      <c r="AU486" s="326"/>
      <c r="AV486" s="327"/>
      <c r="AW486" s="685"/>
      <c r="AX486" s="326"/>
      <c r="AY486" s="327"/>
      <c r="AZ486" s="456"/>
      <c r="BA486" s="326"/>
      <c r="BB486" s="326"/>
      <c r="BC486" s="326"/>
      <c r="BD486" s="326"/>
      <c r="BE486" s="326"/>
      <c r="BF486" s="326"/>
      <c r="BG486" s="326"/>
      <c r="BH486" s="326"/>
      <c r="BI486" s="326"/>
      <c r="BJ486" s="326"/>
      <c r="BK486" s="326"/>
      <c r="BL486" s="326"/>
      <c r="BM486" s="326"/>
      <c r="BN486" s="326"/>
      <c r="BO486" s="327"/>
    </row>
    <row r="487" spans="1:67" ht="34.5" customHeight="1" x14ac:dyDescent="0.25">
      <c r="A487" s="87">
        <f t="shared" si="1"/>
        <v>475</v>
      </c>
      <c r="B487" s="386" t="s">
        <v>334</v>
      </c>
      <c r="C487" s="327"/>
      <c r="D487" s="687"/>
      <c r="E487" s="326"/>
      <c r="F487" s="326"/>
      <c r="G487" s="326"/>
      <c r="H487" s="327"/>
      <c r="I487" s="381"/>
      <c r="J487" s="326"/>
      <c r="K487" s="326"/>
      <c r="L487" s="326"/>
      <c r="M487" s="326"/>
      <c r="N487" s="326"/>
      <c r="O487" s="326"/>
      <c r="P487" s="327"/>
      <c r="Q487" s="381"/>
      <c r="R487" s="326"/>
      <c r="S487" s="326"/>
      <c r="T487" s="326"/>
      <c r="U487" s="326"/>
      <c r="V487" s="326"/>
      <c r="W487" s="326"/>
      <c r="X487" s="327"/>
      <c r="Y487" s="381"/>
      <c r="Z487" s="327"/>
      <c r="AA487" s="381"/>
      <c r="AB487" s="326"/>
      <c r="AC487" s="326"/>
      <c r="AD487" s="327"/>
      <c r="AE487" s="381"/>
      <c r="AF487" s="326"/>
      <c r="AG487" s="327"/>
      <c r="AH487" s="381"/>
      <c r="AI487" s="326"/>
      <c r="AJ487" s="327"/>
      <c r="AK487" s="381"/>
      <c r="AL487" s="326"/>
      <c r="AM487" s="326"/>
      <c r="AN487" s="327"/>
      <c r="AO487" s="381"/>
      <c r="AP487" s="326"/>
      <c r="AQ487" s="326"/>
      <c r="AR487" s="326"/>
      <c r="AS487" s="326"/>
      <c r="AT487" s="326"/>
      <c r="AU487" s="326"/>
      <c r="AV487" s="327"/>
      <c r="AW487" s="686"/>
      <c r="AX487" s="326"/>
      <c r="AY487" s="327"/>
      <c r="AZ487" s="381"/>
      <c r="BA487" s="326"/>
      <c r="BB487" s="326"/>
      <c r="BC487" s="326"/>
      <c r="BD487" s="326"/>
      <c r="BE487" s="326"/>
      <c r="BF487" s="326"/>
      <c r="BG487" s="326"/>
      <c r="BH487" s="326"/>
      <c r="BI487" s="326"/>
      <c r="BJ487" s="326"/>
      <c r="BK487" s="326"/>
      <c r="BL487" s="326"/>
      <c r="BM487" s="326"/>
      <c r="BN487" s="326"/>
      <c r="BO487" s="327"/>
    </row>
    <row r="488" spans="1:67" ht="34.5" customHeight="1" x14ac:dyDescent="0.25">
      <c r="A488" s="87">
        <f t="shared" si="1"/>
        <v>476</v>
      </c>
      <c r="B488" s="386" t="s">
        <v>334</v>
      </c>
      <c r="C488" s="327"/>
      <c r="D488" s="498"/>
      <c r="E488" s="326"/>
      <c r="F488" s="326"/>
      <c r="G488" s="326"/>
      <c r="H488" s="327"/>
      <c r="I488" s="407"/>
      <c r="J488" s="326"/>
      <c r="K488" s="326"/>
      <c r="L488" s="326"/>
      <c r="M488" s="326"/>
      <c r="N488" s="326"/>
      <c r="O488" s="326"/>
      <c r="P488" s="327"/>
      <c r="Q488" s="456"/>
      <c r="R488" s="326"/>
      <c r="S488" s="326"/>
      <c r="T488" s="326"/>
      <c r="U488" s="326"/>
      <c r="V488" s="326"/>
      <c r="W488" s="326"/>
      <c r="X488" s="327"/>
      <c r="Y488" s="407"/>
      <c r="Z488" s="327"/>
      <c r="AA488" s="456"/>
      <c r="AB488" s="326"/>
      <c r="AC488" s="326"/>
      <c r="AD488" s="327"/>
      <c r="AE488" s="407"/>
      <c r="AF488" s="326"/>
      <c r="AG488" s="327"/>
      <c r="AH488" s="456"/>
      <c r="AI488" s="326"/>
      <c r="AJ488" s="327"/>
      <c r="AK488" s="407"/>
      <c r="AL488" s="326"/>
      <c r="AM488" s="326"/>
      <c r="AN488" s="327"/>
      <c r="AO488" s="456"/>
      <c r="AP488" s="326"/>
      <c r="AQ488" s="326"/>
      <c r="AR488" s="326"/>
      <c r="AS488" s="326"/>
      <c r="AT488" s="326"/>
      <c r="AU488" s="326"/>
      <c r="AV488" s="327"/>
      <c r="AW488" s="685"/>
      <c r="AX488" s="326"/>
      <c r="AY488" s="327"/>
      <c r="AZ488" s="456"/>
      <c r="BA488" s="326"/>
      <c r="BB488" s="326"/>
      <c r="BC488" s="326"/>
      <c r="BD488" s="326"/>
      <c r="BE488" s="326"/>
      <c r="BF488" s="326"/>
      <c r="BG488" s="326"/>
      <c r="BH488" s="326"/>
      <c r="BI488" s="326"/>
      <c r="BJ488" s="326"/>
      <c r="BK488" s="326"/>
      <c r="BL488" s="326"/>
      <c r="BM488" s="326"/>
      <c r="BN488" s="326"/>
      <c r="BO488" s="327"/>
    </row>
    <row r="489" spans="1:67" ht="34.5" customHeight="1" x14ac:dyDescent="0.25">
      <c r="A489" s="87">
        <f t="shared" si="1"/>
        <v>477</v>
      </c>
      <c r="B489" s="386" t="s">
        <v>334</v>
      </c>
      <c r="C489" s="327"/>
      <c r="D489" s="687"/>
      <c r="E489" s="326"/>
      <c r="F489" s="326"/>
      <c r="G489" s="326"/>
      <c r="H489" s="327"/>
      <c r="I489" s="381"/>
      <c r="J489" s="326"/>
      <c r="K489" s="326"/>
      <c r="L489" s="326"/>
      <c r="M489" s="326"/>
      <c r="N489" s="326"/>
      <c r="O489" s="326"/>
      <c r="P489" s="327"/>
      <c r="Q489" s="381"/>
      <c r="R489" s="326"/>
      <c r="S489" s="326"/>
      <c r="T489" s="326"/>
      <c r="U489" s="326"/>
      <c r="V489" s="326"/>
      <c r="W489" s="326"/>
      <c r="X489" s="327"/>
      <c r="Y489" s="381"/>
      <c r="Z489" s="327"/>
      <c r="AA489" s="381"/>
      <c r="AB489" s="326"/>
      <c r="AC489" s="326"/>
      <c r="AD489" s="327"/>
      <c r="AE489" s="381"/>
      <c r="AF489" s="326"/>
      <c r="AG489" s="327"/>
      <c r="AH489" s="381"/>
      <c r="AI489" s="326"/>
      <c r="AJ489" s="327"/>
      <c r="AK489" s="381"/>
      <c r="AL489" s="326"/>
      <c r="AM489" s="326"/>
      <c r="AN489" s="327"/>
      <c r="AO489" s="381"/>
      <c r="AP489" s="326"/>
      <c r="AQ489" s="326"/>
      <c r="AR489" s="326"/>
      <c r="AS489" s="326"/>
      <c r="AT489" s="326"/>
      <c r="AU489" s="326"/>
      <c r="AV489" s="327"/>
      <c r="AW489" s="686"/>
      <c r="AX489" s="326"/>
      <c r="AY489" s="327"/>
      <c r="AZ489" s="381"/>
      <c r="BA489" s="326"/>
      <c r="BB489" s="326"/>
      <c r="BC489" s="326"/>
      <c r="BD489" s="326"/>
      <c r="BE489" s="326"/>
      <c r="BF489" s="326"/>
      <c r="BG489" s="326"/>
      <c r="BH489" s="326"/>
      <c r="BI489" s="326"/>
      <c r="BJ489" s="326"/>
      <c r="BK489" s="326"/>
      <c r="BL489" s="326"/>
      <c r="BM489" s="326"/>
      <c r="BN489" s="326"/>
      <c r="BO489" s="327"/>
    </row>
    <row r="490" spans="1:67" ht="34.5" customHeight="1" x14ac:dyDescent="0.25">
      <c r="A490" s="87">
        <f t="shared" si="1"/>
        <v>478</v>
      </c>
      <c r="B490" s="386" t="s">
        <v>334</v>
      </c>
      <c r="C490" s="327"/>
      <c r="D490" s="498"/>
      <c r="E490" s="326"/>
      <c r="F490" s="326"/>
      <c r="G490" s="326"/>
      <c r="H490" s="327"/>
      <c r="I490" s="407"/>
      <c r="J490" s="326"/>
      <c r="K490" s="326"/>
      <c r="L490" s="326"/>
      <c r="M490" s="326"/>
      <c r="N490" s="326"/>
      <c r="O490" s="326"/>
      <c r="P490" s="327"/>
      <c r="Q490" s="456"/>
      <c r="R490" s="326"/>
      <c r="S490" s="326"/>
      <c r="T490" s="326"/>
      <c r="U490" s="326"/>
      <c r="V490" s="326"/>
      <c r="W490" s="326"/>
      <c r="X490" s="327"/>
      <c r="Y490" s="407"/>
      <c r="Z490" s="327"/>
      <c r="AA490" s="456"/>
      <c r="AB490" s="326"/>
      <c r="AC490" s="326"/>
      <c r="AD490" s="327"/>
      <c r="AE490" s="407"/>
      <c r="AF490" s="326"/>
      <c r="AG490" s="327"/>
      <c r="AH490" s="456"/>
      <c r="AI490" s="326"/>
      <c r="AJ490" s="327"/>
      <c r="AK490" s="407"/>
      <c r="AL490" s="326"/>
      <c r="AM490" s="326"/>
      <c r="AN490" s="327"/>
      <c r="AO490" s="456"/>
      <c r="AP490" s="326"/>
      <c r="AQ490" s="326"/>
      <c r="AR490" s="326"/>
      <c r="AS490" s="326"/>
      <c r="AT490" s="326"/>
      <c r="AU490" s="326"/>
      <c r="AV490" s="327"/>
      <c r="AW490" s="685"/>
      <c r="AX490" s="326"/>
      <c r="AY490" s="327"/>
      <c r="AZ490" s="456"/>
      <c r="BA490" s="326"/>
      <c r="BB490" s="326"/>
      <c r="BC490" s="326"/>
      <c r="BD490" s="326"/>
      <c r="BE490" s="326"/>
      <c r="BF490" s="326"/>
      <c r="BG490" s="326"/>
      <c r="BH490" s="326"/>
      <c r="BI490" s="326"/>
      <c r="BJ490" s="326"/>
      <c r="BK490" s="326"/>
      <c r="BL490" s="326"/>
      <c r="BM490" s="326"/>
      <c r="BN490" s="326"/>
      <c r="BO490" s="327"/>
    </row>
    <row r="491" spans="1:67" ht="34.5" customHeight="1" x14ac:dyDescent="0.25">
      <c r="A491" s="87">
        <f t="shared" si="1"/>
        <v>479</v>
      </c>
      <c r="B491" s="386" t="s">
        <v>334</v>
      </c>
      <c r="C491" s="327"/>
      <c r="D491" s="687"/>
      <c r="E491" s="326"/>
      <c r="F491" s="326"/>
      <c r="G491" s="326"/>
      <c r="H491" s="327"/>
      <c r="I491" s="381"/>
      <c r="J491" s="326"/>
      <c r="K491" s="326"/>
      <c r="L491" s="326"/>
      <c r="M491" s="326"/>
      <c r="N491" s="326"/>
      <c r="O491" s="326"/>
      <c r="P491" s="327"/>
      <c r="Q491" s="381"/>
      <c r="R491" s="326"/>
      <c r="S491" s="326"/>
      <c r="T491" s="326"/>
      <c r="U491" s="326"/>
      <c r="V491" s="326"/>
      <c r="W491" s="326"/>
      <c r="X491" s="327"/>
      <c r="Y491" s="381"/>
      <c r="Z491" s="327"/>
      <c r="AA491" s="381"/>
      <c r="AB491" s="326"/>
      <c r="AC491" s="326"/>
      <c r="AD491" s="327"/>
      <c r="AE491" s="381"/>
      <c r="AF491" s="326"/>
      <c r="AG491" s="327"/>
      <c r="AH491" s="381"/>
      <c r="AI491" s="326"/>
      <c r="AJ491" s="327"/>
      <c r="AK491" s="381"/>
      <c r="AL491" s="326"/>
      <c r="AM491" s="326"/>
      <c r="AN491" s="327"/>
      <c r="AO491" s="381"/>
      <c r="AP491" s="326"/>
      <c r="AQ491" s="326"/>
      <c r="AR491" s="326"/>
      <c r="AS491" s="326"/>
      <c r="AT491" s="326"/>
      <c r="AU491" s="326"/>
      <c r="AV491" s="327"/>
      <c r="AW491" s="686"/>
      <c r="AX491" s="326"/>
      <c r="AY491" s="327"/>
      <c r="AZ491" s="381"/>
      <c r="BA491" s="326"/>
      <c r="BB491" s="326"/>
      <c r="BC491" s="326"/>
      <c r="BD491" s="326"/>
      <c r="BE491" s="326"/>
      <c r="BF491" s="326"/>
      <c r="BG491" s="326"/>
      <c r="BH491" s="326"/>
      <c r="BI491" s="326"/>
      <c r="BJ491" s="326"/>
      <c r="BK491" s="326"/>
      <c r="BL491" s="326"/>
      <c r="BM491" s="326"/>
      <c r="BN491" s="326"/>
      <c r="BO491" s="327"/>
    </row>
    <row r="492" spans="1:67" ht="34.5" customHeight="1" x14ac:dyDescent="0.25">
      <c r="A492" s="87">
        <f t="shared" si="1"/>
        <v>480</v>
      </c>
      <c r="B492" s="386" t="s">
        <v>334</v>
      </c>
      <c r="C492" s="327"/>
      <c r="D492" s="498"/>
      <c r="E492" s="326"/>
      <c r="F492" s="326"/>
      <c r="G492" s="326"/>
      <c r="H492" s="327"/>
      <c r="I492" s="407"/>
      <c r="J492" s="326"/>
      <c r="K492" s="326"/>
      <c r="L492" s="326"/>
      <c r="M492" s="326"/>
      <c r="N492" s="326"/>
      <c r="O492" s="326"/>
      <c r="P492" s="327"/>
      <c r="Q492" s="456"/>
      <c r="R492" s="326"/>
      <c r="S492" s="326"/>
      <c r="T492" s="326"/>
      <c r="U492" s="326"/>
      <c r="V492" s="326"/>
      <c r="W492" s="326"/>
      <c r="X492" s="327"/>
      <c r="Y492" s="407"/>
      <c r="Z492" s="327"/>
      <c r="AA492" s="456"/>
      <c r="AB492" s="326"/>
      <c r="AC492" s="326"/>
      <c r="AD492" s="327"/>
      <c r="AE492" s="407"/>
      <c r="AF492" s="326"/>
      <c r="AG492" s="327"/>
      <c r="AH492" s="456"/>
      <c r="AI492" s="326"/>
      <c r="AJ492" s="327"/>
      <c r="AK492" s="407"/>
      <c r="AL492" s="326"/>
      <c r="AM492" s="326"/>
      <c r="AN492" s="327"/>
      <c r="AO492" s="456"/>
      <c r="AP492" s="326"/>
      <c r="AQ492" s="326"/>
      <c r="AR492" s="326"/>
      <c r="AS492" s="326"/>
      <c r="AT492" s="326"/>
      <c r="AU492" s="326"/>
      <c r="AV492" s="327"/>
      <c r="AW492" s="685"/>
      <c r="AX492" s="326"/>
      <c r="AY492" s="327"/>
      <c r="AZ492" s="456"/>
      <c r="BA492" s="326"/>
      <c r="BB492" s="326"/>
      <c r="BC492" s="326"/>
      <c r="BD492" s="326"/>
      <c r="BE492" s="326"/>
      <c r="BF492" s="326"/>
      <c r="BG492" s="326"/>
      <c r="BH492" s="326"/>
      <c r="BI492" s="326"/>
      <c r="BJ492" s="326"/>
      <c r="BK492" s="326"/>
      <c r="BL492" s="326"/>
      <c r="BM492" s="326"/>
      <c r="BN492" s="326"/>
      <c r="BO492" s="327"/>
    </row>
    <row r="493" spans="1:67" ht="34.5" customHeight="1" x14ac:dyDescent="0.25">
      <c r="A493" s="87">
        <f t="shared" si="1"/>
        <v>481</v>
      </c>
      <c r="B493" s="386" t="s">
        <v>334</v>
      </c>
      <c r="C493" s="327"/>
      <c r="D493" s="687"/>
      <c r="E493" s="326"/>
      <c r="F493" s="326"/>
      <c r="G493" s="326"/>
      <c r="H493" s="327"/>
      <c r="I493" s="381"/>
      <c r="J493" s="326"/>
      <c r="K493" s="326"/>
      <c r="L493" s="326"/>
      <c r="M493" s="326"/>
      <c r="N493" s="326"/>
      <c r="O493" s="326"/>
      <c r="P493" s="327"/>
      <c r="Q493" s="381"/>
      <c r="R493" s="326"/>
      <c r="S493" s="326"/>
      <c r="T493" s="326"/>
      <c r="U493" s="326"/>
      <c r="V493" s="326"/>
      <c r="W493" s="326"/>
      <c r="X493" s="327"/>
      <c r="Y493" s="381"/>
      <c r="Z493" s="327"/>
      <c r="AA493" s="381"/>
      <c r="AB493" s="326"/>
      <c r="AC493" s="326"/>
      <c r="AD493" s="327"/>
      <c r="AE493" s="381"/>
      <c r="AF493" s="326"/>
      <c r="AG493" s="327"/>
      <c r="AH493" s="381"/>
      <c r="AI493" s="326"/>
      <c r="AJ493" s="327"/>
      <c r="AK493" s="381"/>
      <c r="AL493" s="326"/>
      <c r="AM493" s="326"/>
      <c r="AN493" s="327"/>
      <c r="AO493" s="381"/>
      <c r="AP493" s="326"/>
      <c r="AQ493" s="326"/>
      <c r="AR493" s="326"/>
      <c r="AS493" s="326"/>
      <c r="AT493" s="326"/>
      <c r="AU493" s="326"/>
      <c r="AV493" s="327"/>
      <c r="AW493" s="686"/>
      <c r="AX493" s="326"/>
      <c r="AY493" s="327"/>
      <c r="AZ493" s="381"/>
      <c r="BA493" s="326"/>
      <c r="BB493" s="326"/>
      <c r="BC493" s="326"/>
      <c r="BD493" s="326"/>
      <c r="BE493" s="326"/>
      <c r="BF493" s="326"/>
      <c r="BG493" s="326"/>
      <c r="BH493" s="326"/>
      <c r="BI493" s="326"/>
      <c r="BJ493" s="326"/>
      <c r="BK493" s="326"/>
      <c r="BL493" s="326"/>
      <c r="BM493" s="326"/>
      <c r="BN493" s="326"/>
      <c r="BO493" s="327"/>
    </row>
    <row r="494" spans="1:67" ht="34.5" customHeight="1" x14ac:dyDescent="0.25">
      <c r="A494" s="87">
        <f t="shared" si="1"/>
        <v>482</v>
      </c>
      <c r="B494" s="386" t="s">
        <v>334</v>
      </c>
      <c r="C494" s="327"/>
      <c r="D494" s="498"/>
      <c r="E494" s="326"/>
      <c r="F494" s="326"/>
      <c r="G494" s="326"/>
      <c r="H494" s="327"/>
      <c r="I494" s="407"/>
      <c r="J494" s="326"/>
      <c r="K494" s="326"/>
      <c r="L494" s="326"/>
      <c r="M494" s="326"/>
      <c r="N494" s="326"/>
      <c r="O494" s="326"/>
      <c r="P494" s="327"/>
      <c r="Q494" s="456"/>
      <c r="R494" s="326"/>
      <c r="S494" s="326"/>
      <c r="T494" s="326"/>
      <c r="U494" s="326"/>
      <c r="V494" s="326"/>
      <c r="W494" s="326"/>
      <c r="X494" s="327"/>
      <c r="Y494" s="407"/>
      <c r="Z494" s="327"/>
      <c r="AA494" s="456"/>
      <c r="AB494" s="326"/>
      <c r="AC494" s="326"/>
      <c r="AD494" s="327"/>
      <c r="AE494" s="407"/>
      <c r="AF494" s="326"/>
      <c r="AG494" s="327"/>
      <c r="AH494" s="456"/>
      <c r="AI494" s="326"/>
      <c r="AJ494" s="327"/>
      <c r="AK494" s="407"/>
      <c r="AL494" s="326"/>
      <c r="AM494" s="326"/>
      <c r="AN494" s="327"/>
      <c r="AO494" s="456"/>
      <c r="AP494" s="326"/>
      <c r="AQ494" s="326"/>
      <c r="AR494" s="326"/>
      <c r="AS494" s="326"/>
      <c r="AT494" s="326"/>
      <c r="AU494" s="326"/>
      <c r="AV494" s="327"/>
      <c r="AW494" s="685"/>
      <c r="AX494" s="326"/>
      <c r="AY494" s="327"/>
      <c r="AZ494" s="456"/>
      <c r="BA494" s="326"/>
      <c r="BB494" s="326"/>
      <c r="BC494" s="326"/>
      <c r="BD494" s="326"/>
      <c r="BE494" s="326"/>
      <c r="BF494" s="326"/>
      <c r="BG494" s="326"/>
      <c r="BH494" s="326"/>
      <c r="BI494" s="326"/>
      <c r="BJ494" s="326"/>
      <c r="BK494" s="326"/>
      <c r="BL494" s="326"/>
      <c r="BM494" s="326"/>
      <c r="BN494" s="326"/>
      <c r="BO494" s="327"/>
    </row>
    <row r="495" spans="1:67" ht="34.5" customHeight="1" x14ac:dyDescent="0.25">
      <c r="A495" s="87">
        <f t="shared" si="1"/>
        <v>483</v>
      </c>
      <c r="B495" s="386" t="s">
        <v>334</v>
      </c>
      <c r="C495" s="327"/>
      <c r="D495" s="687"/>
      <c r="E495" s="326"/>
      <c r="F495" s="326"/>
      <c r="G495" s="326"/>
      <c r="H495" s="327"/>
      <c r="I495" s="381"/>
      <c r="J495" s="326"/>
      <c r="K495" s="326"/>
      <c r="L495" s="326"/>
      <c r="M495" s="326"/>
      <c r="N495" s="326"/>
      <c r="O495" s="326"/>
      <c r="P495" s="327"/>
      <c r="Q495" s="381"/>
      <c r="R495" s="326"/>
      <c r="S495" s="326"/>
      <c r="T495" s="326"/>
      <c r="U495" s="326"/>
      <c r="V495" s="326"/>
      <c r="W495" s="326"/>
      <c r="X495" s="327"/>
      <c r="Y495" s="381"/>
      <c r="Z495" s="327"/>
      <c r="AA495" s="381"/>
      <c r="AB495" s="326"/>
      <c r="AC495" s="326"/>
      <c r="AD495" s="327"/>
      <c r="AE495" s="381"/>
      <c r="AF495" s="326"/>
      <c r="AG495" s="327"/>
      <c r="AH495" s="381"/>
      <c r="AI495" s="326"/>
      <c r="AJ495" s="327"/>
      <c r="AK495" s="381"/>
      <c r="AL495" s="326"/>
      <c r="AM495" s="326"/>
      <c r="AN495" s="327"/>
      <c r="AO495" s="381"/>
      <c r="AP495" s="326"/>
      <c r="AQ495" s="326"/>
      <c r="AR495" s="326"/>
      <c r="AS495" s="326"/>
      <c r="AT495" s="326"/>
      <c r="AU495" s="326"/>
      <c r="AV495" s="327"/>
      <c r="AW495" s="686"/>
      <c r="AX495" s="326"/>
      <c r="AY495" s="327"/>
      <c r="AZ495" s="381"/>
      <c r="BA495" s="326"/>
      <c r="BB495" s="326"/>
      <c r="BC495" s="326"/>
      <c r="BD495" s="326"/>
      <c r="BE495" s="326"/>
      <c r="BF495" s="326"/>
      <c r="BG495" s="326"/>
      <c r="BH495" s="326"/>
      <c r="BI495" s="326"/>
      <c r="BJ495" s="326"/>
      <c r="BK495" s="326"/>
      <c r="BL495" s="326"/>
      <c r="BM495" s="326"/>
      <c r="BN495" s="326"/>
      <c r="BO495" s="327"/>
    </row>
    <row r="496" spans="1:67" ht="34.5" customHeight="1" x14ac:dyDescent="0.25">
      <c r="A496" s="87">
        <f t="shared" si="1"/>
        <v>484</v>
      </c>
      <c r="B496" s="386" t="s">
        <v>334</v>
      </c>
      <c r="C496" s="327"/>
      <c r="D496" s="498"/>
      <c r="E496" s="326"/>
      <c r="F496" s="326"/>
      <c r="G496" s="326"/>
      <c r="H496" s="327"/>
      <c r="I496" s="407"/>
      <c r="J496" s="326"/>
      <c r="K496" s="326"/>
      <c r="L496" s="326"/>
      <c r="M496" s="326"/>
      <c r="N496" s="326"/>
      <c r="O496" s="326"/>
      <c r="P496" s="327"/>
      <c r="Q496" s="456"/>
      <c r="R496" s="326"/>
      <c r="S496" s="326"/>
      <c r="T496" s="326"/>
      <c r="U496" s="326"/>
      <c r="V496" s="326"/>
      <c r="W496" s="326"/>
      <c r="X496" s="327"/>
      <c r="Y496" s="407"/>
      <c r="Z496" s="327"/>
      <c r="AA496" s="456"/>
      <c r="AB496" s="326"/>
      <c r="AC496" s="326"/>
      <c r="AD496" s="327"/>
      <c r="AE496" s="407"/>
      <c r="AF496" s="326"/>
      <c r="AG496" s="327"/>
      <c r="AH496" s="456"/>
      <c r="AI496" s="326"/>
      <c r="AJ496" s="327"/>
      <c r="AK496" s="407"/>
      <c r="AL496" s="326"/>
      <c r="AM496" s="326"/>
      <c r="AN496" s="327"/>
      <c r="AO496" s="456"/>
      <c r="AP496" s="326"/>
      <c r="AQ496" s="326"/>
      <c r="AR496" s="326"/>
      <c r="AS496" s="326"/>
      <c r="AT496" s="326"/>
      <c r="AU496" s="326"/>
      <c r="AV496" s="327"/>
      <c r="AW496" s="685"/>
      <c r="AX496" s="326"/>
      <c r="AY496" s="327"/>
      <c r="AZ496" s="456"/>
      <c r="BA496" s="326"/>
      <c r="BB496" s="326"/>
      <c r="BC496" s="326"/>
      <c r="BD496" s="326"/>
      <c r="BE496" s="326"/>
      <c r="BF496" s="326"/>
      <c r="BG496" s="326"/>
      <c r="BH496" s="326"/>
      <c r="BI496" s="326"/>
      <c r="BJ496" s="326"/>
      <c r="BK496" s="326"/>
      <c r="BL496" s="326"/>
      <c r="BM496" s="326"/>
      <c r="BN496" s="326"/>
      <c r="BO496" s="327"/>
    </row>
    <row r="497" spans="1:67" ht="34.5" customHeight="1" x14ac:dyDescent="0.25">
      <c r="A497" s="87">
        <f t="shared" si="1"/>
        <v>485</v>
      </c>
      <c r="B497" s="386" t="s">
        <v>334</v>
      </c>
      <c r="C497" s="327"/>
      <c r="D497" s="687"/>
      <c r="E497" s="326"/>
      <c r="F497" s="326"/>
      <c r="G497" s="326"/>
      <c r="H497" s="327"/>
      <c r="I497" s="381"/>
      <c r="J497" s="326"/>
      <c r="K497" s="326"/>
      <c r="L497" s="326"/>
      <c r="M497" s="326"/>
      <c r="N497" s="326"/>
      <c r="O497" s="326"/>
      <c r="P497" s="327"/>
      <c r="Q497" s="381"/>
      <c r="R497" s="326"/>
      <c r="S497" s="326"/>
      <c r="T497" s="326"/>
      <c r="U497" s="326"/>
      <c r="V497" s="326"/>
      <c r="W497" s="326"/>
      <c r="X497" s="327"/>
      <c r="Y497" s="381"/>
      <c r="Z497" s="327"/>
      <c r="AA497" s="381"/>
      <c r="AB497" s="326"/>
      <c r="AC497" s="326"/>
      <c r="AD497" s="327"/>
      <c r="AE497" s="381"/>
      <c r="AF497" s="326"/>
      <c r="AG497" s="327"/>
      <c r="AH497" s="381"/>
      <c r="AI497" s="326"/>
      <c r="AJ497" s="327"/>
      <c r="AK497" s="381"/>
      <c r="AL497" s="326"/>
      <c r="AM497" s="326"/>
      <c r="AN497" s="327"/>
      <c r="AO497" s="381"/>
      <c r="AP497" s="326"/>
      <c r="AQ497" s="326"/>
      <c r="AR497" s="326"/>
      <c r="AS497" s="326"/>
      <c r="AT497" s="326"/>
      <c r="AU497" s="326"/>
      <c r="AV497" s="327"/>
      <c r="AW497" s="686"/>
      <c r="AX497" s="326"/>
      <c r="AY497" s="327"/>
      <c r="AZ497" s="381"/>
      <c r="BA497" s="326"/>
      <c r="BB497" s="326"/>
      <c r="BC497" s="326"/>
      <c r="BD497" s="326"/>
      <c r="BE497" s="326"/>
      <c r="BF497" s="326"/>
      <c r="BG497" s="326"/>
      <c r="BH497" s="326"/>
      <c r="BI497" s="326"/>
      <c r="BJ497" s="326"/>
      <c r="BK497" s="326"/>
      <c r="BL497" s="326"/>
      <c r="BM497" s="326"/>
      <c r="BN497" s="326"/>
      <c r="BO497" s="327"/>
    </row>
    <row r="498" spans="1:67" ht="34.5" customHeight="1" x14ac:dyDescent="0.25">
      <c r="A498" s="87">
        <f t="shared" si="1"/>
        <v>486</v>
      </c>
      <c r="B498" s="386" t="s">
        <v>334</v>
      </c>
      <c r="C498" s="327"/>
      <c r="D498" s="498"/>
      <c r="E498" s="326"/>
      <c r="F498" s="326"/>
      <c r="G498" s="326"/>
      <c r="H498" s="327"/>
      <c r="I498" s="407"/>
      <c r="J498" s="326"/>
      <c r="K498" s="326"/>
      <c r="L498" s="326"/>
      <c r="M498" s="326"/>
      <c r="N498" s="326"/>
      <c r="O498" s="326"/>
      <c r="P498" s="327"/>
      <c r="Q498" s="456"/>
      <c r="R498" s="326"/>
      <c r="S498" s="326"/>
      <c r="T498" s="326"/>
      <c r="U498" s="326"/>
      <c r="V498" s="326"/>
      <c r="W498" s="326"/>
      <c r="X498" s="327"/>
      <c r="Y498" s="407"/>
      <c r="Z498" s="327"/>
      <c r="AA498" s="456"/>
      <c r="AB498" s="326"/>
      <c r="AC498" s="326"/>
      <c r="AD498" s="327"/>
      <c r="AE498" s="407"/>
      <c r="AF498" s="326"/>
      <c r="AG498" s="327"/>
      <c r="AH498" s="456"/>
      <c r="AI498" s="326"/>
      <c r="AJ498" s="327"/>
      <c r="AK498" s="407"/>
      <c r="AL498" s="326"/>
      <c r="AM498" s="326"/>
      <c r="AN498" s="327"/>
      <c r="AO498" s="456"/>
      <c r="AP498" s="326"/>
      <c r="AQ498" s="326"/>
      <c r="AR498" s="326"/>
      <c r="AS498" s="326"/>
      <c r="AT498" s="326"/>
      <c r="AU498" s="326"/>
      <c r="AV498" s="327"/>
      <c r="AW498" s="685"/>
      <c r="AX498" s="326"/>
      <c r="AY498" s="327"/>
      <c r="AZ498" s="456"/>
      <c r="BA498" s="326"/>
      <c r="BB498" s="326"/>
      <c r="BC498" s="326"/>
      <c r="BD498" s="326"/>
      <c r="BE498" s="326"/>
      <c r="BF498" s="326"/>
      <c r="BG498" s="326"/>
      <c r="BH498" s="326"/>
      <c r="BI498" s="326"/>
      <c r="BJ498" s="326"/>
      <c r="BK498" s="326"/>
      <c r="BL498" s="326"/>
      <c r="BM498" s="326"/>
      <c r="BN498" s="326"/>
      <c r="BO498" s="327"/>
    </row>
    <row r="499" spans="1:67" ht="34.5" customHeight="1" x14ac:dyDescent="0.25">
      <c r="A499" s="87">
        <f t="shared" si="1"/>
        <v>487</v>
      </c>
      <c r="B499" s="386" t="s">
        <v>334</v>
      </c>
      <c r="C499" s="327"/>
      <c r="D499" s="687"/>
      <c r="E499" s="326"/>
      <c r="F499" s="326"/>
      <c r="G499" s="326"/>
      <c r="H499" s="327"/>
      <c r="I499" s="381"/>
      <c r="J499" s="326"/>
      <c r="K499" s="326"/>
      <c r="L499" s="326"/>
      <c r="M499" s="326"/>
      <c r="N499" s="326"/>
      <c r="O499" s="326"/>
      <c r="P499" s="327"/>
      <c r="Q499" s="381"/>
      <c r="R499" s="326"/>
      <c r="S499" s="326"/>
      <c r="T499" s="326"/>
      <c r="U499" s="326"/>
      <c r="V499" s="326"/>
      <c r="W499" s="326"/>
      <c r="X499" s="327"/>
      <c r="Y499" s="381"/>
      <c r="Z499" s="327"/>
      <c r="AA499" s="381"/>
      <c r="AB499" s="326"/>
      <c r="AC499" s="326"/>
      <c r="AD499" s="327"/>
      <c r="AE499" s="381"/>
      <c r="AF499" s="326"/>
      <c r="AG499" s="327"/>
      <c r="AH499" s="381"/>
      <c r="AI499" s="326"/>
      <c r="AJ499" s="327"/>
      <c r="AK499" s="381"/>
      <c r="AL499" s="326"/>
      <c r="AM499" s="326"/>
      <c r="AN499" s="327"/>
      <c r="AO499" s="381"/>
      <c r="AP499" s="326"/>
      <c r="AQ499" s="326"/>
      <c r="AR499" s="326"/>
      <c r="AS499" s="326"/>
      <c r="AT499" s="326"/>
      <c r="AU499" s="326"/>
      <c r="AV499" s="327"/>
      <c r="AW499" s="686"/>
      <c r="AX499" s="326"/>
      <c r="AY499" s="327"/>
      <c r="AZ499" s="381"/>
      <c r="BA499" s="326"/>
      <c r="BB499" s="326"/>
      <c r="BC499" s="326"/>
      <c r="BD499" s="326"/>
      <c r="BE499" s="326"/>
      <c r="BF499" s="326"/>
      <c r="BG499" s="326"/>
      <c r="BH499" s="326"/>
      <c r="BI499" s="326"/>
      <c r="BJ499" s="326"/>
      <c r="BK499" s="326"/>
      <c r="BL499" s="326"/>
      <c r="BM499" s="326"/>
      <c r="BN499" s="326"/>
      <c r="BO499" s="327"/>
    </row>
    <row r="500" spans="1:67" ht="34.5" customHeight="1" x14ac:dyDescent="0.25">
      <c r="A500" s="87">
        <f t="shared" si="1"/>
        <v>488</v>
      </c>
      <c r="B500" s="688" t="s">
        <v>334</v>
      </c>
      <c r="C500" s="327"/>
      <c r="D500" s="498"/>
      <c r="E500" s="326"/>
      <c r="F500" s="326"/>
      <c r="G500" s="326"/>
      <c r="H500" s="327"/>
      <c r="I500" s="407"/>
      <c r="J500" s="326"/>
      <c r="K500" s="326"/>
      <c r="L500" s="326"/>
      <c r="M500" s="326"/>
      <c r="N500" s="326"/>
      <c r="O500" s="326"/>
      <c r="P500" s="327"/>
      <c r="Q500" s="456"/>
      <c r="R500" s="326"/>
      <c r="S500" s="326"/>
      <c r="T500" s="326"/>
      <c r="U500" s="326"/>
      <c r="V500" s="326"/>
      <c r="W500" s="326"/>
      <c r="X500" s="327"/>
      <c r="Y500" s="407"/>
      <c r="Z500" s="327"/>
      <c r="AA500" s="456"/>
      <c r="AB500" s="326"/>
      <c r="AC500" s="326"/>
      <c r="AD500" s="327"/>
      <c r="AE500" s="407"/>
      <c r="AF500" s="326"/>
      <c r="AG500" s="327"/>
      <c r="AH500" s="456"/>
      <c r="AI500" s="326"/>
      <c r="AJ500" s="327"/>
      <c r="AK500" s="407"/>
      <c r="AL500" s="326"/>
      <c r="AM500" s="326"/>
      <c r="AN500" s="327"/>
      <c r="AO500" s="456"/>
      <c r="AP500" s="326"/>
      <c r="AQ500" s="326"/>
      <c r="AR500" s="326"/>
      <c r="AS500" s="326"/>
      <c r="AT500" s="326"/>
      <c r="AU500" s="326"/>
      <c r="AV500" s="327"/>
      <c r="AW500" s="685"/>
      <c r="AX500" s="326"/>
      <c r="AY500" s="327"/>
      <c r="AZ500" s="456"/>
      <c r="BA500" s="326"/>
      <c r="BB500" s="326"/>
      <c r="BC500" s="326"/>
      <c r="BD500" s="326"/>
      <c r="BE500" s="326"/>
      <c r="BF500" s="326"/>
      <c r="BG500" s="326"/>
      <c r="BH500" s="326"/>
      <c r="BI500" s="326"/>
      <c r="BJ500" s="326"/>
      <c r="BK500" s="326"/>
      <c r="BL500" s="326"/>
      <c r="BM500" s="326"/>
      <c r="BN500" s="326"/>
      <c r="BO500" s="327"/>
    </row>
    <row r="501" spans="1:67" ht="34.5" customHeight="1" x14ac:dyDescent="0.25">
      <c r="A501" s="87">
        <f t="shared" si="1"/>
        <v>489</v>
      </c>
      <c r="B501" s="386" t="s">
        <v>334</v>
      </c>
      <c r="C501" s="327"/>
      <c r="D501" s="687"/>
      <c r="E501" s="326"/>
      <c r="F501" s="326"/>
      <c r="G501" s="326"/>
      <c r="H501" s="327"/>
      <c r="I501" s="381"/>
      <c r="J501" s="326"/>
      <c r="K501" s="326"/>
      <c r="L501" s="326"/>
      <c r="M501" s="326"/>
      <c r="N501" s="326"/>
      <c r="O501" s="326"/>
      <c r="P501" s="327"/>
      <c r="Q501" s="381"/>
      <c r="R501" s="326"/>
      <c r="S501" s="326"/>
      <c r="T501" s="326"/>
      <c r="U501" s="326"/>
      <c r="V501" s="326"/>
      <c r="W501" s="326"/>
      <c r="X501" s="327"/>
      <c r="Y501" s="381"/>
      <c r="Z501" s="327"/>
      <c r="AA501" s="381"/>
      <c r="AB501" s="326"/>
      <c r="AC501" s="326"/>
      <c r="AD501" s="327"/>
      <c r="AE501" s="381"/>
      <c r="AF501" s="326"/>
      <c r="AG501" s="327"/>
      <c r="AH501" s="381"/>
      <c r="AI501" s="326"/>
      <c r="AJ501" s="327"/>
      <c r="AK501" s="381"/>
      <c r="AL501" s="326"/>
      <c r="AM501" s="326"/>
      <c r="AN501" s="327"/>
      <c r="AO501" s="381"/>
      <c r="AP501" s="326"/>
      <c r="AQ501" s="326"/>
      <c r="AR501" s="326"/>
      <c r="AS501" s="326"/>
      <c r="AT501" s="326"/>
      <c r="AU501" s="326"/>
      <c r="AV501" s="327"/>
      <c r="AW501" s="686"/>
      <c r="AX501" s="326"/>
      <c r="AY501" s="327"/>
      <c r="AZ501" s="381"/>
      <c r="BA501" s="326"/>
      <c r="BB501" s="326"/>
      <c r="BC501" s="326"/>
      <c r="BD501" s="326"/>
      <c r="BE501" s="326"/>
      <c r="BF501" s="326"/>
      <c r="BG501" s="326"/>
      <c r="BH501" s="326"/>
      <c r="BI501" s="326"/>
      <c r="BJ501" s="326"/>
      <c r="BK501" s="326"/>
      <c r="BL501" s="326"/>
      <c r="BM501" s="326"/>
      <c r="BN501" s="326"/>
      <c r="BO501" s="327"/>
    </row>
    <row r="502" spans="1:67" ht="34.5" customHeight="1" x14ac:dyDescent="0.25">
      <c r="A502" s="87">
        <f t="shared" si="1"/>
        <v>490</v>
      </c>
      <c r="B502" s="386" t="s">
        <v>334</v>
      </c>
      <c r="C502" s="327"/>
      <c r="D502" s="498"/>
      <c r="E502" s="326"/>
      <c r="F502" s="326"/>
      <c r="G502" s="326"/>
      <c r="H502" s="327"/>
      <c r="I502" s="407"/>
      <c r="J502" s="326"/>
      <c r="K502" s="326"/>
      <c r="L502" s="326"/>
      <c r="M502" s="326"/>
      <c r="N502" s="326"/>
      <c r="O502" s="326"/>
      <c r="P502" s="327"/>
      <c r="Q502" s="456"/>
      <c r="R502" s="326"/>
      <c r="S502" s="326"/>
      <c r="T502" s="326"/>
      <c r="U502" s="326"/>
      <c r="V502" s="326"/>
      <c r="W502" s="326"/>
      <c r="X502" s="327"/>
      <c r="Y502" s="407"/>
      <c r="Z502" s="327"/>
      <c r="AA502" s="456"/>
      <c r="AB502" s="326"/>
      <c r="AC502" s="326"/>
      <c r="AD502" s="327"/>
      <c r="AE502" s="407"/>
      <c r="AF502" s="326"/>
      <c r="AG502" s="327"/>
      <c r="AH502" s="456"/>
      <c r="AI502" s="326"/>
      <c r="AJ502" s="327"/>
      <c r="AK502" s="407"/>
      <c r="AL502" s="326"/>
      <c r="AM502" s="326"/>
      <c r="AN502" s="327"/>
      <c r="AO502" s="456"/>
      <c r="AP502" s="326"/>
      <c r="AQ502" s="326"/>
      <c r="AR502" s="326"/>
      <c r="AS502" s="326"/>
      <c r="AT502" s="326"/>
      <c r="AU502" s="326"/>
      <c r="AV502" s="327"/>
      <c r="AW502" s="685"/>
      <c r="AX502" s="326"/>
      <c r="AY502" s="327"/>
      <c r="AZ502" s="456"/>
      <c r="BA502" s="326"/>
      <c r="BB502" s="326"/>
      <c r="BC502" s="326"/>
      <c r="BD502" s="326"/>
      <c r="BE502" s="326"/>
      <c r="BF502" s="326"/>
      <c r="BG502" s="326"/>
      <c r="BH502" s="326"/>
      <c r="BI502" s="326"/>
      <c r="BJ502" s="326"/>
      <c r="BK502" s="326"/>
      <c r="BL502" s="326"/>
      <c r="BM502" s="326"/>
      <c r="BN502" s="326"/>
      <c r="BO502" s="327"/>
    </row>
    <row r="503" spans="1:67" ht="34.5" customHeight="1" x14ac:dyDescent="0.25">
      <c r="A503" s="87">
        <f t="shared" si="1"/>
        <v>491</v>
      </c>
      <c r="B503" s="386" t="s">
        <v>334</v>
      </c>
      <c r="C503" s="327"/>
      <c r="D503" s="687"/>
      <c r="E503" s="326"/>
      <c r="F503" s="326"/>
      <c r="G503" s="326"/>
      <c r="H503" s="327"/>
      <c r="I503" s="381"/>
      <c r="J503" s="326"/>
      <c r="K503" s="326"/>
      <c r="L503" s="326"/>
      <c r="M503" s="326"/>
      <c r="N503" s="326"/>
      <c r="O503" s="326"/>
      <c r="P503" s="327"/>
      <c r="Q503" s="381"/>
      <c r="R503" s="326"/>
      <c r="S503" s="326"/>
      <c r="T503" s="326"/>
      <c r="U503" s="326"/>
      <c r="V503" s="326"/>
      <c r="W503" s="326"/>
      <c r="X503" s="327"/>
      <c r="Y503" s="381"/>
      <c r="Z503" s="327"/>
      <c r="AA503" s="381"/>
      <c r="AB503" s="326"/>
      <c r="AC503" s="326"/>
      <c r="AD503" s="327"/>
      <c r="AE503" s="381"/>
      <c r="AF503" s="326"/>
      <c r="AG503" s="327"/>
      <c r="AH503" s="381"/>
      <c r="AI503" s="326"/>
      <c r="AJ503" s="327"/>
      <c r="AK503" s="381"/>
      <c r="AL503" s="326"/>
      <c r="AM503" s="326"/>
      <c r="AN503" s="327"/>
      <c r="AO503" s="381"/>
      <c r="AP503" s="326"/>
      <c r="AQ503" s="326"/>
      <c r="AR503" s="326"/>
      <c r="AS503" s="326"/>
      <c r="AT503" s="326"/>
      <c r="AU503" s="326"/>
      <c r="AV503" s="327"/>
      <c r="AW503" s="686"/>
      <c r="AX503" s="326"/>
      <c r="AY503" s="327"/>
      <c r="AZ503" s="381"/>
      <c r="BA503" s="326"/>
      <c r="BB503" s="326"/>
      <c r="BC503" s="326"/>
      <c r="BD503" s="326"/>
      <c r="BE503" s="326"/>
      <c r="BF503" s="326"/>
      <c r="BG503" s="326"/>
      <c r="BH503" s="326"/>
      <c r="BI503" s="326"/>
      <c r="BJ503" s="326"/>
      <c r="BK503" s="326"/>
      <c r="BL503" s="326"/>
      <c r="BM503" s="326"/>
      <c r="BN503" s="326"/>
      <c r="BO503" s="327"/>
    </row>
    <row r="504" spans="1:67" ht="34.5" customHeight="1" x14ac:dyDescent="0.25">
      <c r="A504" s="87">
        <f t="shared" si="1"/>
        <v>492</v>
      </c>
      <c r="B504" s="386" t="s">
        <v>334</v>
      </c>
      <c r="C504" s="327"/>
      <c r="D504" s="498"/>
      <c r="E504" s="326"/>
      <c r="F504" s="326"/>
      <c r="G504" s="326"/>
      <c r="H504" s="327"/>
      <c r="I504" s="407"/>
      <c r="J504" s="326"/>
      <c r="K504" s="326"/>
      <c r="L504" s="326"/>
      <c r="M504" s="326"/>
      <c r="N504" s="326"/>
      <c r="O504" s="326"/>
      <c r="P504" s="327"/>
      <c r="Q504" s="456"/>
      <c r="R504" s="326"/>
      <c r="S504" s="326"/>
      <c r="T504" s="326"/>
      <c r="U504" s="326"/>
      <c r="V504" s="326"/>
      <c r="W504" s="326"/>
      <c r="X504" s="327"/>
      <c r="Y504" s="407"/>
      <c r="Z504" s="327"/>
      <c r="AA504" s="456"/>
      <c r="AB504" s="326"/>
      <c r="AC504" s="326"/>
      <c r="AD504" s="327"/>
      <c r="AE504" s="407"/>
      <c r="AF504" s="326"/>
      <c r="AG504" s="327"/>
      <c r="AH504" s="456"/>
      <c r="AI504" s="326"/>
      <c r="AJ504" s="327"/>
      <c r="AK504" s="407"/>
      <c r="AL504" s="326"/>
      <c r="AM504" s="326"/>
      <c r="AN504" s="327"/>
      <c r="AO504" s="456"/>
      <c r="AP504" s="326"/>
      <c r="AQ504" s="326"/>
      <c r="AR504" s="326"/>
      <c r="AS504" s="326"/>
      <c r="AT504" s="326"/>
      <c r="AU504" s="326"/>
      <c r="AV504" s="327"/>
      <c r="AW504" s="685"/>
      <c r="AX504" s="326"/>
      <c r="AY504" s="327"/>
      <c r="AZ504" s="456"/>
      <c r="BA504" s="326"/>
      <c r="BB504" s="326"/>
      <c r="BC504" s="326"/>
      <c r="BD504" s="326"/>
      <c r="BE504" s="326"/>
      <c r="BF504" s="326"/>
      <c r="BG504" s="326"/>
      <c r="BH504" s="326"/>
      <c r="BI504" s="326"/>
      <c r="BJ504" s="326"/>
      <c r="BK504" s="326"/>
      <c r="BL504" s="326"/>
      <c r="BM504" s="326"/>
      <c r="BN504" s="326"/>
      <c r="BO504" s="327"/>
    </row>
    <row r="505" spans="1:67" ht="34.5" customHeight="1" x14ac:dyDescent="0.25">
      <c r="A505" s="87">
        <f t="shared" si="1"/>
        <v>493</v>
      </c>
      <c r="B505" s="386" t="s">
        <v>334</v>
      </c>
      <c r="C505" s="327"/>
      <c r="D505" s="687"/>
      <c r="E505" s="326"/>
      <c r="F505" s="326"/>
      <c r="G505" s="326"/>
      <c r="H505" s="327"/>
      <c r="I505" s="381"/>
      <c r="J505" s="326"/>
      <c r="K505" s="326"/>
      <c r="L505" s="326"/>
      <c r="M505" s="326"/>
      <c r="N505" s="326"/>
      <c r="O505" s="326"/>
      <c r="P505" s="327"/>
      <c r="Q505" s="381"/>
      <c r="R505" s="326"/>
      <c r="S505" s="326"/>
      <c r="T505" s="326"/>
      <c r="U505" s="326"/>
      <c r="V505" s="326"/>
      <c r="W505" s="326"/>
      <c r="X505" s="327"/>
      <c r="Y505" s="381"/>
      <c r="Z505" s="327"/>
      <c r="AA505" s="381"/>
      <c r="AB505" s="326"/>
      <c r="AC505" s="326"/>
      <c r="AD505" s="327"/>
      <c r="AE505" s="381"/>
      <c r="AF505" s="326"/>
      <c r="AG505" s="327"/>
      <c r="AH505" s="381"/>
      <c r="AI505" s="326"/>
      <c r="AJ505" s="327"/>
      <c r="AK505" s="381"/>
      <c r="AL505" s="326"/>
      <c r="AM505" s="326"/>
      <c r="AN505" s="327"/>
      <c r="AO505" s="381"/>
      <c r="AP505" s="326"/>
      <c r="AQ505" s="326"/>
      <c r="AR505" s="326"/>
      <c r="AS505" s="326"/>
      <c r="AT505" s="326"/>
      <c r="AU505" s="326"/>
      <c r="AV505" s="327"/>
      <c r="AW505" s="686"/>
      <c r="AX505" s="326"/>
      <c r="AY505" s="327"/>
      <c r="AZ505" s="381"/>
      <c r="BA505" s="326"/>
      <c r="BB505" s="326"/>
      <c r="BC505" s="326"/>
      <c r="BD505" s="326"/>
      <c r="BE505" s="326"/>
      <c r="BF505" s="326"/>
      <c r="BG505" s="326"/>
      <c r="BH505" s="326"/>
      <c r="BI505" s="326"/>
      <c r="BJ505" s="326"/>
      <c r="BK505" s="326"/>
      <c r="BL505" s="326"/>
      <c r="BM505" s="326"/>
      <c r="BN505" s="326"/>
      <c r="BO505" s="327"/>
    </row>
    <row r="506" spans="1:67" ht="34.5" customHeight="1" x14ac:dyDescent="0.25">
      <c r="A506" s="87">
        <f t="shared" si="1"/>
        <v>494</v>
      </c>
      <c r="B506" s="386" t="s">
        <v>334</v>
      </c>
      <c r="C506" s="327"/>
      <c r="D506" s="498"/>
      <c r="E506" s="326"/>
      <c r="F506" s="326"/>
      <c r="G506" s="326"/>
      <c r="H506" s="327"/>
      <c r="I506" s="407"/>
      <c r="J506" s="326"/>
      <c r="K506" s="326"/>
      <c r="L506" s="326"/>
      <c r="M506" s="326"/>
      <c r="N506" s="326"/>
      <c r="O506" s="326"/>
      <c r="P506" s="327"/>
      <c r="Q506" s="456"/>
      <c r="R506" s="326"/>
      <c r="S506" s="326"/>
      <c r="T506" s="326"/>
      <c r="U506" s="326"/>
      <c r="V506" s="326"/>
      <c r="W506" s="326"/>
      <c r="X506" s="327"/>
      <c r="Y506" s="407"/>
      <c r="Z506" s="327"/>
      <c r="AA506" s="456"/>
      <c r="AB506" s="326"/>
      <c r="AC506" s="326"/>
      <c r="AD506" s="327"/>
      <c r="AE506" s="407"/>
      <c r="AF506" s="326"/>
      <c r="AG506" s="327"/>
      <c r="AH506" s="456"/>
      <c r="AI506" s="326"/>
      <c r="AJ506" s="327"/>
      <c r="AK506" s="407"/>
      <c r="AL506" s="326"/>
      <c r="AM506" s="326"/>
      <c r="AN506" s="327"/>
      <c r="AO506" s="456"/>
      <c r="AP506" s="326"/>
      <c r="AQ506" s="326"/>
      <c r="AR506" s="326"/>
      <c r="AS506" s="326"/>
      <c r="AT506" s="326"/>
      <c r="AU506" s="326"/>
      <c r="AV506" s="327"/>
      <c r="AW506" s="685"/>
      <c r="AX506" s="326"/>
      <c r="AY506" s="327"/>
      <c r="AZ506" s="456"/>
      <c r="BA506" s="326"/>
      <c r="BB506" s="326"/>
      <c r="BC506" s="326"/>
      <c r="BD506" s="326"/>
      <c r="BE506" s="326"/>
      <c r="BF506" s="326"/>
      <c r="BG506" s="326"/>
      <c r="BH506" s="326"/>
      <c r="BI506" s="326"/>
      <c r="BJ506" s="326"/>
      <c r="BK506" s="326"/>
      <c r="BL506" s="326"/>
      <c r="BM506" s="326"/>
      <c r="BN506" s="326"/>
      <c r="BO506" s="327"/>
    </row>
    <row r="507" spans="1:67" ht="34.5" customHeight="1" x14ac:dyDescent="0.25">
      <c r="A507" s="87">
        <f t="shared" si="1"/>
        <v>495</v>
      </c>
      <c r="B507" s="386" t="s">
        <v>334</v>
      </c>
      <c r="C507" s="327"/>
      <c r="D507" s="687"/>
      <c r="E507" s="326"/>
      <c r="F507" s="326"/>
      <c r="G507" s="326"/>
      <c r="H507" s="327"/>
      <c r="I507" s="381"/>
      <c r="J507" s="326"/>
      <c r="K507" s="326"/>
      <c r="L507" s="326"/>
      <c r="M507" s="326"/>
      <c r="N507" s="326"/>
      <c r="O507" s="326"/>
      <c r="P507" s="327"/>
      <c r="Q507" s="381"/>
      <c r="R507" s="326"/>
      <c r="S507" s="326"/>
      <c r="T507" s="326"/>
      <c r="U507" s="326"/>
      <c r="V507" s="326"/>
      <c r="W507" s="326"/>
      <c r="X507" s="327"/>
      <c r="Y507" s="381"/>
      <c r="Z507" s="327"/>
      <c r="AA507" s="381"/>
      <c r="AB507" s="326"/>
      <c r="AC507" s="326"/>
      <c r="AD507" s="327"/>
      <c r="AE507" s="381"/>
      <c r="AF507" s="326"/>
      <c r="AG507" s="327"/>
      <c r="AH507" s="381"/>
      <c r="AI507" s="326"/>
      <c r="AJ507" s="327"/>
      <c r="AK507" s="381"/>
      <c r="AL507" s="326"/>
      <c r="AM507" s="326"/>
      <c r="AN507" s="327"/>
      <c r="AO507" s="381"/>
      <c r="AP507" s="326"/>
      <c r="AQ507" s="326"/>
      <c r="AR507" s="326"/>
      <c r="AS507" s="326"/>
      <c r="AT507" s="326"/>
      <c r="AU507" s="326"/>
      <c r="AV507" s="327"/>
      <c r="AW507" s="686"/>
      <c r="AX507" s="326"/>
      <c r="AY507" s="327"/>
      <c r="AZ507" s="381"/>
      <c r="BA507" s="326"/>
      <c r="BB507" s="326"/>
      <c r="BC507" s="326"/>
      <c r="BD507" s="326"/>
      <c r="BE507" s="326"/>
      <c r="BF507" s="326"/>
      <c r="BG507" s="326"/>
      <c r="BH507" s="326"/>
      <c r="BI507" s="326"/>
      <c r="BJ507" s="326"/>
      <c r="BK507" s="326"/>
      <c r="BL507" s="326"/>
      <c r="BM507" s="326"/>
      <c r="BN507" s="326"/>
      <c r="BO507" s="327"/>
    </row>
    <row r="508" spans="1:67" ht="34.5" customHeight="1" x14ac:dyDescent="0.25">
      <c r="A508" s="87">
        <f t="shared" si="1"/>
        <v>496</v>
      </c>
      <c r="B508" s="386" t="s">
        <v>334</v>
      </c>
      <c r="C508" s="327"/>
      <c r="D508" s="498"/>
      <c r="E508" s="326"/>
      <c r="F508" s="326"/>
      <c r="G508" s="326"/>
      <c r="H508" s="327"/>
      <c r="I508" s="407"/>
      <c r="J508" s="326"/>
      <c r="K508" s="326"/>
      <c r="L508" s="326"/>
      <c r="M508" s="326"/>
      <c r="N508" s="326"/>
      <c r="O508" s="326"/>
      <c r="P508" s="327"/>
      <c r="Q508" s="456"/>
      <c r="R508" s="326"/>
      <c r="S508" s="326"/>
      <c r="T508" s="326"/>
      <c r="U508" s="326"/>
      <c r="V508" s="326"/>
      <c r="W508" s="326"/>
      <c r="X508" s="327"/>
      <c r="Y508" s="407"/>
      <c r="Z508" s="327"/>
      <c r="AA508" s="456"/>
      <c r="AB508" s="326"/>
      <c r="AC508" s="326"/>
      <c r="AD508" s="327"/>
      <c r="AE508" s="407"/>
      <c r="AF508" s="326"/>
      <c r="AG508" s="327"/>
      <c r="AH508" s="456"/>
      <c r="AI508" s="326"/>
      <c r="AJ508" s="327"/>
      <c r="AK508" s="407"/>
      <c r="AL508" s="326"/>
      <c r="AM508" s="326"/>
      <c r="AN508" s="327"/>
      <c r="AO508" s="456"/>
      <c r="AP508" s="326"/>
      <c r="AQ508" s="326"/>
      <c r="AR508" s="326"/>
      <c r="AS508" s="326"/>
      <c r="AT508" s="326"/>
      <c r="AU508" s="326"/>
      <c r="AV508" s="327"/>
      <c r="AW508" s="685"/>
      <c r="AX508" s="326"/>
      <c r="AY508" s="327"/>
      <c r="AZ508" s="456"/>
      <c r="BA508" s="326"/>
      <c r="BB508" s="326"/>
      <c r="BC508" s="326"/>
      <c r="BD508" s="326"/>
      <c r="BE508" s="326"/>
      <c r="BF508" s="326"/>
      <c r="BG508" s="326"/>
      <c r="BH508" s="326"/>
      <c r="BI508" s="326"/>
      <c r="BJ508" s="326"/>
      <c r="BK508" s="326"/>
      <c r="BL508" s="326"/>
      <c r="BM508" s="326"/>
      <c r="BN508" s="326"/>
      <c r="BO508" s="327"/>
    </row>
    <row r="509" spans="1:67" ht="34.5" customHeight="1" x14ac:dyDescent="0.25">
      <c r="A509" s="87">
        <f t="shared" si="1"/>
        <v>497</v>
      </c>
      <c r="B509" s="386" t="s">
        <v>334</v>
      </c>
      <c r="C509" s="327"/>
      <c r="D509" s="687"/>
      <c r="E509" s="326"/>
      <c r="F509" s="326"/>
      <c r="G509" s="326"/>
      <c r="H509" s="327"/>
      <c r="I509" s="381"/>
      <c r="J509" s="326"/>
      <c r="K509" s="326"/>
      <c r="L509" s="326"/>
      <c r="M509" s="326"/>
      <c r="N509" s="326"/>
      <c r="O509" s="326"/>
      <c r="P509" s="327"/>
      <c r="Q509" s="381"/>
      <c r="R509" s="326"/>
      <c r="S509" s="326"/>
      <c r="T509" s="326"/>
      <c r="U509" s="326"/>
      <c r="V509" s="326"/>
      <c r="W509" s="326"/>
      <c r="X509" s="327"/>
      <c r="Y509" s="381"/>
      <c r="Z509" s="327"/>
      <c r="AA509" s="381"/>
      <c r="AB509" s="326"/>
      <c r="AC509" s="326"/>
      <c r="AD509" s="327"/>
      <c r="AE509" s="381"/>
      <c r="AF509" s="326"/>
      <c r="AG509" s="327"/>
      <c r="AH509" s="381"/>
      <c r="AI509" s="326"/>
      <c r="AJ509" s="327"/>
      <c r="AK509" s="381"/>
      <c r="AL509" s="326"/>
      <c r="AM509" s="326"/>
      <c r="AN509" s="327"/>
      <c r="AO509" s="381"/>
      <c r="AP509" s="326"/>
      <c r="AQ509" s="326"/>
      <c r="AR509" s="326"/>
      <c r="AS509" s="326"/>
      <c r="AT509" s="326"/>
      <c r="AU509" s="326"/>
      <c r="AV509" s="327"/>
      <c r="AW509" s="686"/>
      <c r="AX509" s="326"/>
      <c r="AY509" s="327"/>
      <c r="AZ509" s="381"/>
      <c r="BA509" s="326"/>
      <c r="BB509" s="326"/>
      <c r="BC509" s="326"/>
      <c r="BD509" s="326"/>
      <c r="BE509" s="326"/>
      <c r="BF509" s="326"/>
      <c r="BG509" s="326"/>
      <c r="BH509" s="326"/>
      <c r="BI509" s="326"/>
      <c r="BJ509" s="326"/>
      <c r="BK509" s="326"/>
      <c r="BL509" s="326"/>
      <c r="BM509" s="326"/>
      <c r="BN509" s="326"/>
      <c r="BO509" s="327"/>
    </row>
    <row r="510" spans="1:67" ht="34.5" customHeight="1" x14ac:dyDescent="0.25">
      <c r="A510" s="87">
        <f t="shared" si="1"/>
        <v>498</v>
      </c>
      <c r="B510" s="386" t="s">
        <v>334</v>
      </c>
      <c r="C510" s="327"/>
      <c r="D510" s="498"/>
      <c r="E510" s="326"/>
      <c r="F510" s="326"/>
      <c r="G510" s="326"/>
      <c r="H510" s="327"/>
      <c r="I510" s="407"/>
      <c r="J510" s="326"/>
      <c r="K510" s="326"/>
      <c r="L510" s="326"/>
      <c r="M510" s="326"/>
      <c r="N510" s="326"/>
      <c r="O510" s="326"/>
      <c r="P510" s="327"/>
      <c r="Q510" s="456"/>
      <c r="R510" s="326"/>
      <c r="S510" s="326"/>
      <c r="T510" s="326"/>
      <c r="U510" s="326"/>
      <c r="V510" s="326"/>
      <c r="W510" s="326"/>
      <c r="X510" s="327"/>
      <c r="Y510" s="407"/>
      <c r="Z510" s="327"/>
      <c r="AA510" s="456"/>
      <c r="AB510" s="326"/>
      <c r="AC510" s="326"/>
      <c r="AD510" s="327"/>
      <c r="AE510" s="407"/>
      <c r="AF510" s="326"/>
      <c r="AG510" s="327"/>
      <c r="AH510" s="456"/>
      <c r="AI510" s="326"/>
      <c r="AJ510" s="327"/>
      <c r="AK510" s="407"/>
      <c r="AL510" s="326"/>
      <c r="AM510" s="326"/>
      <c r="AN510" s="327"/>
      <c r="AO510" s="456"/>
      <c r="AP510" s="326"/>
      <c r="AQ510" s="326"/>
      <c r="AR510" s="326"/>
      <c r="AS510" s="326"/>
      <c r="AT510" s="326"/>
      <c r="AU510" s="326"/>
      <c r="AV510" s="327"/>
      <c r="AW510" s="685"/>
      <c r="AX510" s="326"/>
      <c r="AY510" s="327"/>
      <c r="AZ510" s="456"/>
      <c r="BA510" s="326"/>
      <c r="BB510" s="326"/>
      <c r="BC510" s="326"/>
      <c r="BD510" s="326"/>
      <c r="BE510" s="326"/>
      <c r="BF510" s="326"/>
      <c r="BG510" s="326"/>
      <c r="BH510" s="326"/>
      <c r="BI510" s="326"/>
      <c r="BJ510" s="326"/>
      <c r="BK510" s="326"/>
      <c r="BL510" s="326"/>
      <c r="BM510" s="326"/>
      <c r="BN510" s="326"/>
      <c r="BO510" s="327"/>
    </row>
    <row r="511" spans="1:67" ht="34.5" customHeight="1" x14ac:dyDescent="0.25">
      <c r="A511" s="87">
        <f t="shared" si="1"/>
        <v>499</v>
      </c>
      <c r="B511" s="386" t="s">
        <v>334</v>
      </c>
      <c r="C511" s="327"/>
      <c r="D511" s="687"/>
      <c r="E511" s="326"/>
      <c r="F511" s="326"/>
      <c r="G511" s="326"/>
      <c r="H511" s="327"/>
      <c r="I511" s="381"/>
      <c r="J511" s="326"/>
      <c r="K511" s="326"/>
      <c r="L511" s="326"/>
      <c r="M511" s="326"/>
      <c r="N511" s="326"/>
      <c r="O511" s="326"/>
      <c r="P511" s="327"/>
      <c r="Q511" s="381"/>
      <c r="R511" s="326"/>
      <c r="S511" s="326"/>
      <c r="T511" s="326"/>
      <c r="U511" s="326"/>
      <c r="V511" s="326"/>
      <c r="W511" s="326"/>
      <c r="X511" s="327"/>
      <c r="Y511" s="381"/>
      <c r="Z511" s="327"/>
      <c r="AA511" s="381"/>
      <c r="AB511" s="326"/>
      <c r="AC511" s="326"/>
      <c r="AD511" s="327"/>
      <c r="AE511" s="381"/>
      <c r="AF511" s="326"/>
      <c r="AG511" s="327"/>
      <c r="AH511" s="381"/>
      <c r="AI511" s="326"/>
      <c r="AJ511" s="327"/>
      <c r="AK511" s="381"/>
      <c r="AL511" s="326"/>
      <c r="AM511" s="326"/>
      <c r="AN511" s="327"/>
      <c r="AO511" s="381"/>
      <c r="AP511" s="326"/>
      <c r="AQ511" s="326"/>
      <c r="AR511" s="326"/>
      <c r="AS511" s="326"/>
      <c r="AT511" s="326"/>
      <c r="AU511" s="326"/>
      <c r="AV511" s="327"/>
      <c r="AW511" s="686"/>
      <c r="AX511" s="326"/>
      <c r="AY511" s="327"/>
      <c r="AZ511" s="381"/>
      <c r="BA511" s="326"/>
      <c r="BB511" s="326"/>
      <c r="BC511" s="326"/>
      <c r="BD511" s="326"/>
      <c r="BE511" s="326"/>
      <c r="BF511" s="326"/>
      <c r="BG511" s="326"/>
      <c r="BH511" s="326"/>
      <c r="BI511" s="326"/>
      <c r="BJ511" s="326"/>
      <c r="BK511" s="326"/>
      <c r="BL511" s="326"/>
      <c r="BM511" s="326"/>
      <c r="BN511" s="326"/>
      <c r="BO511" s="327"/>
    </row>
    <row r="512" spans="1:67" ht="34.5" customHeight="1" x14ac:dyDescent="0.25">
      <c r="A512" s="87">
        <f t="shared" si="1"/>
        <v>500</v>
      </c>
      <c r="B512" s="386" t="s">
        <v>334</v>
      </c>
      <c r="C512" s="327"/>
      <c r="D512" s="498"/>
      <c r="E512" s="326"/>
      <c r="F512" s="326"/>
      <c r="G512" s="326"/>
      <c r="H512" s="327"/>
      <c r="I512" s="407"/>
      <c r="J512" s="326"/>
      <c r="K512" s="326"/>
      <c r="L512" s="326"/>
      <c r="M512" s="326"/>
      <c r="N512" s="326"/>
      <c r="O512" s="326"/>
      <c r="P512" s="327"/>
      <c r="Q512" s="456"/>
      <c r="R512" s="326"/>
      <c r="S512" s="326"/>
      <c r="T512" s="326"/>
      <c r="U512" s="326"/>
      <c r="V512" s="326"/>
      <c r="W512" s="326"/>
      <c r="X512" s="327"/>
      <c r="Y512" s="407"/>
      <c r="Z512" s="327"/>
      <c r="AA512" s="456"/>
      <c r="AB512" s="326"/>
      <c r="AC512" s="326"/>
      <c r="AD512" s="327"/>
      <c r="AE512" s="407"/>
      <c r="AF512" s="326"/>
      <c r="AG512" s="327"/>
      <c r="AH512" s="456"/>
      <c r="AI512" s="326"/>
      <c r="AJ512" s="327"/>
      <c r="AK512" s="407"/>
      <c r="AL512" s="326"/>
      <c r="AM512" s="326"/>
      <c r="AN512" s="327"/>
      <c r="AO512" s="456"/>
      <c r="AP512" s="326"/>
      <c r="AQ512" s="326"/>
      <c r="AR512" s="326"/>
      <c r="AS512" s="326"/>
      <c r="AT512" s="326"/>
      <c r="AU512" s="326"/>
      <c r="AV512" s="327"/>
      <c r="AW512" s="685"/>
      <c r="AX512" s="326"/>
      <c r="AY512" s="327"/>
      <c r="AZ512" s="456"/>
      <c r="BA512" s="326"/>
      <c r="BB512" s="326"/>
      <c r="BC512" s="326"/>
      <c r="BD512" s="326"/>
      <c r="BE512" s="326"/>
      <c r="BF512" s="326"/>
      <c r="BG512" s="326"/>
      <c r="BH512" s="326"/>
      <c r="BI512" s="326"/>
      <c r="BJ512" s="326"/>
      <c r="BK512" s="326"/>
      <c r="BL512" s="326"/>
      <c r="BM512" s="326"/>
      <c r="BN512" s="326"/>
      <c r="BO512" s="327"/>
    </row>
  </sheetData>
  <mergeCells count="6048">
    <mergeCell ref="AH357:AJ357"/>
    <mergeCell ref="AK357:AN357"/>
    <mergeCell ref="AO357:AV357"/>
    <mergeCell ref="AW357:AY357"/>
    <mergeCell ref="AZ357:BO357"/>
    <mergeCell ref="B357:C357"/>
    <mergeCell ref="D357:H357"/>
    <mergeCell ref="I357:P357"/>
    <mergeCell ref="Q357:X357"/>
    <mergeCell ref="Y357:Z357"/>
    <mergeCell ref="AA357:AD357"/>
    <mergeCell ref="AE357:AG357"/>
    <mergeCell ref="AH355:AJ355"/>
    <mergeCell ref="AK355:AN355"/>
    <mergeCell ref="AO355:AV355"/>
    <mergeCell ref="AW355:AY355"/>
    <mergeCell ref="AZ355:BO355"/>
    <mergeCell ref="B355:C355"/>
    <mergeCell ref="D355:H355"/>
    <mergeCell ref="I355:P355"/>
    <mergeCell ref="Q355:X355"/>
    <mergeCell ref="Y355:Z355"/>
    <mergeCell ref="AA355:AD355"/>
    <mergeCell ref="AE355:AG355"/>
    <mergeCell ref="AH356:AJ356"/>
    <mergeCell ref="AK356:AN356"/>
    <mergeCell ref="AO356:AV356"/>
    <mergeCell ref="AW356:AY356"/>
    <mergeCell ref="AZ356:BO356"/>
    <mergeCell ref="B356:C356"/>
    <mergeCell ref="D356:H356"/>
    <mergeCell ref="I356:P356"/>
    <mergeCell ref="Q356:X356"/>
    <mergeCell ref="Y356:Z356"/>
    <mergeCell ref="AA356:AD356"/>
    <mergeCell ref="AE356:AG356"/>
    <mergeCell ref="AH353:AJ353"/>
    <mergeCell ref="AK353:AN353"/>
    <mergeCell ref="AO353:AV353"/>
    <mergeCell ref="AW353:AY353"/>
    <mergeCell ref="AZ353:BO353"/>
    <mergeCell ref="B353:C353"/>
    <mergeCell ref="D353:H353"/>
    <mergeCell ref="I353:P353"/>
    <mergeCell ref="Q353:X353"/>
    <mergeCell ref="Y353:Z353"/>
    <mergeCell ref="AA353:AD353"/>
    <mergeCell ref="AE353:AG353"/>
    <mergeCell ref="AH354:AJ354"/>
    <mergeCell ref="AK354:AN354"/>
    <mergeCell ref="AO354:AV354"/>
    <mergeCell ref="AW354:AY354"/>
    <mergeCell ref="AZ354:BO354"/>
    <mergeCell ref="B354:C354"/>
    <mergeCell ref="D354:H354"/>
    <mergeCell ref="I354:P354"/>
    <mergeCell ref="Q354:X354"/>
    <mergeCell ref="Y354:Z354"/>
    <mergeCell ref="AA354:AD354"/>
    <mergeCell ref="AE354:AG354"/>
    <mergeCell ref="AH351:AJ351"/>
    <mergeCell ref="AK351:AN351"/>
    <mergeCell ref="AO351:AV351"/>
    <mergeCell ref="AW351:AY351"/>
    <mergeCell ref="AZ351:BO351"/>
    <mergeCell ref="B351:C351"/>
    <mergeCell ref="D351:H351"/>
    <mergeCell ref="I351:P351"/>
    <mergeCell ref="Q351:X351"/>
    <mergeCell ref="Y351:Z351"/>
    <mergeCell ref="AA351:AD351"/>
    <mergeCell ref="AE351:AG351"/>
    <mergeCell ref="AH352:AJ352"/>
    <mergeCell ref="AK352:AN352"/>
    <mergeCell ref="AO352:AV352"/>
    <mergeCell ref="AW352:AY352"/>
    <mergeCell ref="AZ352:BO352"/>
    <mergeCell ref="B352:C352"/>
    <mergeCell ref="D352:H352"/>
    <mergeCell ref="I352:P352"/>
    <mergeCell ref="Q352:X352"/>
    <mergeCell ref="Y352:Z352"/>
    <mergeCell ref="AA352:AD352"/>
    <mergeCell ref="AE352:AG352"/>
    <mergeCell ref="AH349:AJ349"/>
    <mergeCell ref="AK349:AN349"/>
    <mergeCell ref="AO349:AV349"/>
    <mergeCell ref="AW349:AY349"/>
    <mergeCell ref="AZ349:BO349"/>
    <mergeCell ref="B349:C349"/>
    <mergeCell ref="D349:H349"/>
    <mergeCell ref="I349:P349"/>
    <mergeCell ref="Q349:X349"/>
    <mergeCell ref="Y349:Z349"/>
    <mergeCell ref="AA349:AD349"/>
    <mergeCell ref="AE349:AG349"/>
    <mergeCell ref="AH350:AJ350"/>
    <mergeCell ref="AK350:AN350"/>
    <mergeCell ref="AO350:AV350"/>
    <mergeCell ref="AW350:AY350"/>
    <mergeCell ref="AZ350:BO350"/>
    <mergeCell ref="B350:C350"/>
    <mergeCell ref="D350:H350"/>
    <mergeCell ref="I350:P350"/>
    <mergeCell ref="Q350:X350"/>
    <mergeCell ref="Y350:Z350"/>
    <mergeCell ref="AA350:AD350"/>
    <mergeCell ref="AE350:AG350"/>
    <mergeCell ref="AH347:AJ347"/>
    <mergeCell ref="AK347:AN347"/>
    <mergeCell ref="AO347:AV347"/>
    <mergeCell ref="AW347:AY347"/>
    <mergeCell ref="AZ347:BO347"/>
    <mergeCell ref="B347:C347"/>
    <mergeCell ref="D347:H347"/>
    <mergeCell ref="I347:P347"/>
    <mergeCell ref="Q347:X347"/>
    <mergeCell ref="Y347:Z347"/>
    <mergeCell ref="AA347:AD347"/>
    <mergeCell ref="AE347:AG347"/>
    <mergeCell ref="AH348:AJ348"/>
    <mergeCell ref="AK348:AN348"/>
    <mergeCell ref="AO348:AV348"/>
    <mergeCell ref="AW348:AY348"/>
    <mergeCell ref="AZ348:BO348"/>
    <mergeCell ref="B348:C348"/>
    <mergeCell ref="D348:H348"/>
    <mergeCell ref="I348:P348"/>
    <mergeCell ref="Q348:X348"/>
    <mergeCell ref="Y348:Z348"/>
    <mergeCell ref="AA348:AD348"/>
    <mergeCell ref="AE348:AG348"/>
    <mergeCell ref="AH345:AJ345"/>
    <mergeCell ref="AK345:AN345"/>
    <mergeCell ref="AO345:AV345"/>
    <mergeCell ref="AW345:AY345"/>
    <mergeCell ref="AZ345:BO345"/>
    <mergeCell ref="B345:C345"/>
    <mergeCell ref="D345:H345"/>
    <mergeCell ref="I345:P345"/>
    <mergeCell ref="Q345:X345"/>
    <mergeCell ref="Y345:Z345"/>
    <mergeCell ref="AA345:AD345"/>
    <mergeCell ref="AE345:AG345"/>
    <mergeCell ref="AH346:AJ346"/>
    <mergeCell ref="AK346:AN346"/>
    <mergeCell ref="AO346:AV346"/>
    <mergeCell ref="AW346:AY346"/>
    <mergeCell ref="AZ346:BO346"/>
    <mergeCell ref="B346:C346"/>
    <mergeCell ref="D346:H346"/>
    <mergeCell ref="I346:P346"/>
    <mergeCell ref="Q346:X346"/>
    <mergeCell ref="Y346:Z346"/>
    <mergeCell ref="AA346:AD346"/>
    <mergeCell ref="AE346:AG346"/>
    <mergeCell ref="AH343:AJ343"/>
    <mergeCell ref="AK343:AN343"/>
    <mergeCell ref="AO343:AV343"/>
    <mergeCell ref="AW343:AY343"/>
    <mergeCell ref="AZ343:BO343"/>
    <mergeCell ref="B343:C343"/>
    <mergeCell ref="D343:H343"/>
    <mergeCell ref="I343:P343"/>
    <mergeCell ref="Q343:X343"/>
    <mergeCell ref="Y343:Z343"/>
    <mergeCell ref="AA343:AD343"/>
    <mergeCell ref="AE343:AG343"/>
    <mergeCell ref="AH344:AJ344"/>
    <mergeCell ref="AK344:AN344"/>
    <mergeCell ref="AO344:AV344"/>
    <mergeCell ref="AW344:AY344"/>
    <mergeCell ref="AZ344:BO344"/>
    <mergeCell ref="B344:C344"/>
    <mergeCell ref="D344:H344"/>
    <mergeCell ref="I344:P344"/>
    <mergeCell ref="Q344:X344"/>
    <mergeCell ref="Y344:Z344"/>
    <mergeCell ref="AA344:AD344"/>
    <mergeCell ref="AE344:AG344"/>
    <mergeCell ref="AH341:AJ341"/>
    <mergeCell ref="AK341:AN341"/>
    <mergeCell ref="AO341:AV341"/>
    <mergeCell ref="AW341:AY341"/>
    <mergeCell ref="AZ341:BO341"/>
    <mergeCell ref="B341:C341"/>
    <mergeCell ref="D341:H341"/>
    <mergeCell ref="I341:P341"/>
    <mergeCell ref="Q341:X341"/>
    <mergeCell ref="Y341:Z341"/>
    <mergeCell ref="AA341:AD341"/>
    <mergeCell ref="AE341:AG341"/>
    <mergeCell ref="AH342:AJ342"/>
    <mergeCell ref="AK342:AN342"/>
    <mergeCell ref="AO342:AV342"/>
    <mergeCell ref="AW342:AY342"/>
    <mergeCell ref="AZ342:BO342"/>
    <mergeCell ref="B342:C342"/>
    <mergeCell ref="D342:H342"/>
    <mergeCell ref="I342:P342"/>
    <mergeCell ref="Q342:X342"/>
    <mergeCell ref="Y342:Z342"/>
    <mergeCell ref="AA342:AD342"/>
    <mergeCell ref="AE342:AG342"/>
    <mergeCell ref="AH339:AJ339"/>
    <mergeCell ref="AK339:AN339"/>
    <mergeCell ref="AO339:AV339"/>
    <mergeCell ref="AW339:AY339"/>
    <mergeCell ref="AZ339:BO339"/>
    <mergeCell ref="B339:C339"/>
    <mergeCell ref="D339:H339"/>
    <mergeCell ref="I339:P339"/>
    <mergeCell ref="Q339:X339"/>
    <mergeCell ref="Y339:Z339"/>
    <mergeCell ref="AA339:AD339"/>
    <mergeCell ref="AE339:AG339"/>
    <mergeCell ref="AH340:AJ340"/>
    <mergeCell ref="AK340:AN340"/>
    <mergeCell ref="AO340:AV340"/>
    <mergeCell ref="AW340:AY340"/>
    <mergeCell ref="AZ340:BO340"/>
    <mergeCell ref="B340:C340"/>
    <mergeCell ref="D340:H340"/>
    <mergeCell ref="I340:P340"/>
    <mergeCell ref="Q340:X340"/>
    <mergeCell ref="Y340:Z340"/>
    <mergeCell ref="AA340:AD340"/>
    <mergeCell ref="AE340:AG340"/>
    <mergeCell ref="AH337:AJ337"/>
    <mergeCell ref="AK337:AN337"/>
    <mergeCell ref="AO337:AV337"/>
    <mergeCell ref="AW337:AY337"/>
    <mergeCell ref="AZ337:BO337"/>
    <mergeCell ref="B337:C337"/>
    <mergeCell ref="D337:H337"/>
    <mergeCell ref="I337:P337"/>
    <mergeCell ref="Q337:X337"/>
    <mergeCell ref="Y337:Z337"/>
    <mergeCell ref="AA337:AD337"/>
    <mergeCell ref="AE337:AG337"/>
    <mergeCell ref="AH338:AJ338"/>
    <mergeCell ref="AK338:AN338"/>
    <mergeCell ref="AO338:AV338"/>
    <mergeCell ref="AW338:AY338"/>
    <mergeCell ref="AZ338:BO338"/>
    <mergeCell ref="B338:C338"/>
    <mergeCell ref="D338:H338"/>
    <mergeCell ref="I338:P338"/>
    <mergeCell ref="Q338:X338"/>
    <mergeCell ref="Y338:Z338"/>
    <mergeCell ref="AA338:AD338"/>
    <mergeCell ref="AE338:AG338"/>
    <mergeCell ref="AH335:AJ335"/>
    <mergeCell ref="AK335:AN335"/>
    <mergeCell ref="AO335:AV335"/>
    <mergeCell ref="AW335:AY335"/>
    <mergeCell ref="AZ335:BO335"/>
    <mergeCell ref="B335:C335"/>
    <mergeCell ref="D335:H335"/>
    <mergeCell ref="I335:P335"/>
    <mergeCell ref="Q335:X335"/>
    <mergeCell ref="Y335:Z335"/>
    <mergeCell ref="AA335:AD335"/>
    <mergeCell ref="AE335:AG335"/>
    <mergeCell ref="AH336:AJ336"/>
    <mergeCell ref="AK336:AN336"/>
    <mergeCell ref="AO336:AV336"/>
    <mergeCell ref="AW336:AY336"/>
    <mergeCell ref="AZ336:BO336"/>
    <mergeCell ref="B336:C336"/>
    <mergeCell ref="D336:H336"/>
    <mergeCell ref="I336:P336"/>
    <mergeCell ref="Q336:X336"/>
    <mergeCell ref="Y336:Z336"/>
    <mergeCell ref="AA336:AD336"/>
    <mergeCell ref="AE336:AG336"/>
    <mergeCell ref="AH333:AJ333"/>
    <mergeCell ref="AK333:AN333"/>
    <mergeCell ref="AO333:AV333"/>
    <mergeCell ref="AW333:AY333"/>
    <mergeCell ref="AZ333:BO333"/>
    <mergeCell ref="B333:C333"/>
    <mergeCell ref="D333:H333"/>
    <mergeCell ref="I333:P333"/>
    <mergeCell ref="Q333:X333"/>
    <mergeCell ref="Y333:Z333"/>
    <mergeCell ref="AA333:AD333"/>
    <mergeCell ref="AE333:AG333"/>
    <mergeCell ref="AH334:AJ334"/>
    <mergeCell ref="AK334:AN334"/>
    <mergeCell ref="AO334:AV334"/>
    <mergeCell ref="AW334:AY334"/>
    <mergeCell ref="AZ334:BO334"/>
    <mergeCell ref="B334:C334"/>
    <mergeCell ref="D334:H334"/>
    <mergeCell ref="I334:P334"/>
    <mergeCell ref="Q334:X334"/>
    <mergeCell ref="Y334:Z334"/>
    <mergeCell ref="AA334:AD334"/>
    <mergeCell ref="AE334:AG334"/>
    <mergeCell ref="AH331:AJ331"/>
    <mergeCell ref="AK331:AN331"/>
    <mergeCell ref="AO331:AV331"/>
    <mergeCell ref="AW331:AY331"/>
    <mergeCell ref="AZ331:BO331"/>
    <mergeCell ref="B331:C331"/>
    <mergeCell ref="D331:H331"/>
    <mergeCell ref="I331:P331"/>
    <mergeCell ref="Q331:X331"/>
    <mergeCell ref="Y331:Z331"/>
    <mergeCell ref="AA331:AD331"/>
    <mergeCell ref="AE331:AG331"/>
    <mergeCell ref="AH332:AJ332"/>
    <mergeCell ref="AK332:AN332"/>
    <mergeCell ref="AO332:AV332"/>
    <mergeCell ref="AW332:AY332"/>
    <mergeCell ref="AZ332:BO332"/>
    <mergeCell ref="B332:C332"/>
    <mergeCell ref="D332:H332"/>
    <mergeCell ref="I332:P332"/>
    <mergeCell ref="Q332:X332"/>
    <mergeCell ref="Y332:Z332"/>
    <mergeCell ref="AA332:AD332"/>
    <mergeCell ref="AE332:AG332"/>
    <mergeCell ref="AH329:AJ329"/>
    <mergeCell ref="AK329:AN329"/>
    <mergeCell ref="AO329:AV329"/>
    <mergeCell ref="AW329:AY329"/>
    <mergeCell ref="AZ329:BO329"/>
    <mergeCell ref="B329:C329"/>
    <mergeCell ref="D329:H329"/>
    <mergeCell ref="I329:P329"/>
    <mergeCell ref="Q329:X329"/>
    <mergeCell ref="Y329:Z329"/>
    <mergeCell ref="AA329:AD329"/>
    <mergeCell ref="AE329:AG329"/>
    <mergeCell ref="AH330:AJ330"/>
    <mergeCell ref="AK330:AN330"/>
    <mergeCell ref="AO330:AV330"/>
    <mergeCell ref="AW330:AY330"/>
    <mergeCell ref="AZ330:BO330"/>
    <mergeCell ref="B330:C330"/>
    <mergeCell ref="D330:H330"/>
    <mergeCell ref="I330:P330"/>
    <mergeCell ref="Q330:X330"/>
    <mergeCell ref="Y330:Z330"/>
    <mergeCell ref="AA330:AD330"/>
    <mergeCell ref="AE330:AG330"/>
    <mergeCell ref="AH327:AJ327"/>
    <mergeCell ref="AK327:AN327"/>
    <mergeCell ref="AO327:AV327"/>
    <mergeCell ref="AW327:AY327"/>
    <mergeCell ref="AZ327:BO327"/>
    <mergeCell ref="B327:C327"/>
    <mergeCell ref="D327:H327"/>
    <mergeCell ref="I327:P327"/>
    <mergeCell ref="Q327:X327"/>
    <mergeCell ref="Y327:Z327"/>
    <mergeCell ref="AA327:AD327"/>
    <mergeCell ref="AE327:AG327"/>
    <mergeCell ref="AH328:AJ328"/>
    <mergeCell ref="AK328:AN328"/>
    <mergeCell ref="AO328:AV328"/>
    <mergeCell ref="AW328:AY328"/>
    <mergeCell ref="AZ328:BO328"/>
    <mergeCell ref="B328:C328"/>
    <mergeCell ref="D328:H328"/>
    <mergeCell ref="I328:P328"/>
    <mergeCell ref="Q328:X328"/>
    <mergeCell ref="Y328:Z328"/>
    <mergeCell ref="AA328:AD328"/>
    <mergeCell ref="AE328:AG328"/>
    <mergeCell ref="AH325:AJ325"/>
    <mergeCell ref="AK325:AN325"/>
    <mergeCell ref="AO325:AV325"/>
    <mergeCell ref="AW325:AY325"/>
    <mergeCell ref="AZ325:BO325"/>
    <mergeCell ref="B325:C325"/>
    <mergeCell ref="D325:H325"/>
    <mergeCell ref="I325:P325"/>
    <mergeCell ref="Q325:X325"/>
    <mergeCell ref="Y325:Z325"/>
    <mergeCell ref="AA325:AD325"/>
    <mergeCell ref="AE325:AG325"/>
    <mergeCell ref="AH326:AJ326"/>
    <mergeCell ref="AK326:AN326"/>
    <mergeCell ref="AO326:AV326"/>
    <mergeCell ref="AW326:AY326"/>
    <mergeCell ref="AZ326:BO326"/>
    <mergeCell ref="B326:C326"/>
    <mergeCell ref="D326:H326"/>
    <mergeCell ref="I326:P326"/>
    <mergeCell ref="Q326:X326"/>
    <mergeCell ref="Y326:Z326"/>
    <mergeCell ref="AA326:AD326"/>
    <mergeCell ref="AE326:AG326"/>
    <mergeCell ref="AH323:AJ323"/>
    <mergeCell ref="AK323:AN323"/>
    <mergeCell ref="AO323:AV323"/>
    <mergeCell ref="AW323:AY323"/>
    <mergeCell ref="AZ323:BO323"/>
    <mergeCell ref="B323:C323"/>
    <mergeCell ref="D323:H323"/>
    <mergeCell ref="I323:P323"/>
    <mergeCell ref="Q323:X323"/>
    <mergeCell ref="Y323:Z323"/>
    <mergeCell ref="AA323:AD323"/>
    <mergeCell ref="AE323:AG323"/>
    <mergeCell ref="AH324:AJ324"/>
    <mergeCell ref="AK324:AN324"/>
    <mergeCell ref="AO324:AV324"/>
    <mergeCell ref="AW324:AY324"/>
    <mergeCell ref="AZ324:BO324"/>
    <mergeCell ref="B324:C324"/>
    <mergeCell ref="D324:H324"/>
    <mergeCell ref="I324:P324"/>
    <mergeCell ref="Q324:X324"/>
    <mergeCell ref="Y324:Z324"/>
    <mergeCell ref="AA324:AD324"/>
    <mergeCell ref="AE324:AG324"/>
    <mergeCell ref="AH321:AJ321"/>
    <mergeCell ref="AK321:AN321"/>
    <mergeCell ref="AO321:AV321"/>
    <mergeCell ref="AW321:AY321"/>
    <mergeCell ref="AZ321:BO321"/>
    <mergeCell ref="B321:C321"/>
    <mergeCell ref="D321:H321"/>
    <mergeCell ref="I321:P321"/>
    <mergeCell ref="Q321:X321"/>
    <mergeCell ref="Y321:Z321"/>
    <mergeCell ref="AA321:AD321"/>
    <mergeCell ref="AE321:AG321"/>
    <mergeCell ref="AH322:AJ322"/>
    <mergeCell ref="AK322:AN322"/>
    <mergeCell ref="AO322:AV322"/>
    <mergeCell ref="AW322:AY322"/>
    <mergeCell ref="AZ322:BO322"/>
    <mergeCell ref="B322:C322"/>
    <mergeCell ref="D322:H322"/>
    <mergeCell ref="I322:P322"/>
    <mergeCell ref="Q322:X322"/>
    <mergeCell ref="Y322:Z322"/>
    <mergeCell ref="AA322:AD322"/>
    <mergeCell ref="AE322:AG322"/>
    <mergeCell ref="AH319:AJ319"/>
    <mergeCell ref="AK319:AN319"/>
    <mergeCell ref="AO319:AV319"/>
    <mergeCell ref="AW319:AY319"/>
    <mergeCell ref="AZ319:BO319"/>
    <mergeCell ref="B319:C319"/>
    <mergeCell ref="D319:H319"/>
    <mergeCell ref="I319:P319"/>
    <mergeCell ref="Q319:X319"/>
    <mergeCell ref="Y319:Z319"/>
    <mergeCell ref="AA319:AD319"/>
    <mergeCell ref="AE319:AG319"/>
    <mergeCell ref="AH320:AJ320"/>
    <mergeCell ref="AK320:AN320"/>
    <mergeCell ref="AO320:AV320"/>
    <mergeCell ref="AW320:AY320"/>
    <mergeCell ref="AZ320:BO320"/>
    <mergeCell ref="B320:C320"/>
    <mergeCell ref="D320:H320"/>
    <mergeCell ref="I320:P320"/>
    <mergeCell ref="Q320:X320"/>
    <mergeCell ref="Y320:Z320"/>
    <mergeCell ref="AA320:AD320"/>
    <mergeCell ref="AE320:AG320"/>
    <mergeCell ref="AH317:AJ317"/>
    <mergeCell ref="AK317:AN317"/>
    <mergeCell ref="AO317:AV317"/>
    <mergeCell ref="AW317:AY317"/>
    <mergeCell ref="AZ317:BO317"/>
    <mergeCell ref="B317:C317"/>
    <mergeCell ref="D317:H317"/>
    <mergeCell ref="I317:P317"/>
    <mergeCell ref="Q317:X317"/>
    <mergeCell ref="Y317:Z317"/>
    <mergeCell ref="AA317:AD317"/>
    <mergeCell ref="AE317:AG317"/>
    <mergeCell ref="AH318:AJ318"/>
    <mergeCell ref="AK318:AN318"/>
    <mergeCell ref="AO318:AV318"/>
    <mergeCell ref="AW318:AY318"/>
    <mergeCell ref="AZ318:BO318"/>
    <mergeCell ref="B318:C318"/>
    <mergeCell ref="D318:H318"/>
    <mergeCell ref="I318:P318"/>
    <mergeCell ref="Q318:X318"/>
    <mergeCell ref="Y318:Z318"/>
    <mergeCell ref="AA318:AD318"/>
    <mergeCell ref="AE318:AG318"/>
    <mergeCell ref="AH315:AJ315"/>
    <mergeCell ref="AK315:AN315"/>
    <mergeCell ref="AO315:AV315"/>
    <mergeCell ref="AW315:AY315"/>
    <mergeCell ref="AZ315:BO315"/>
    <mergeCell ref="B315:C315"/>
    <mergeCell ref="D315:H315"/>
    <mergeCell ref="I315:P315"/>
    <mergeCell ref="Q315:X315"/>
    <mergeCell ref="Y315:Z315"/>
    <mergeCell ref="AA315:AD315"/>
    <mergeCell ref="AE315:AG315"/>
    <mergeCell ref="AH316:AJ316"/>
    <mergeCell ref="AK316:AN316"/>
    <mergeCell ref="AO316:AV316"/>
    <mergeCell ref="AW316:AY316"/>
    <mergeCell ref="AZ316:BO316"/>
    <mergeCell ref="B316:C316"/>
    <mergeCell ref="D316:H316"/>
    <mergeCell ref="I316:P316"/>
    <mergeCell ref="Q316:X316"/>
    <mergeCell ref="Y316:Z316"/>
    <mergeCell ref="AA316:AD316"/>
    <mergeCell ref="AE316:AG316"/>
    <mergeCell ref="AH313:AJ313"/>
    <mergeCell ref="AK313:AN313"/>
    <mergeCell ref="AO313:AV313"/>
    <mergeCell ref="AW313:AY313"/>
    <mergeCell ref="AZ313:BO313"/>
    <mergeCell ref="B313:C313"/>
    <mergeCell ref="D313:H313"/>
    <mergeCell ref="I313:P313"/>
    <mergeCell ref="Q313:X313"/>
    <mergeCell ref="Y313:Z313"/>
    <mergeCell ref="AA313:AD313"/>
    <mergeCell ref="AE313:AG313"/>
    <mergeCell ref="AH314:AJ314"/>
    <mergeCell ref="AK314:AN314"/>
    <mergeCell ref="AO314:AV314"/>
    <mergeCell ref="AW314:AY314"/>
    <mergeCell ref="AZ314:BO314"/>
    <mergeCell ref="B314:C314"/>
    <mergeCell ref="D314:H314"/>
    <mergeCell ref="I314:P314"/>
    <mergeCell ref="Q314:X314"/>
    <mergeCell ref="Y314:Z314"/>
    <mergeCell ref="AA314:AD314"/>
    <mergeCell ref="AE314:AG314"/>
    <mergeCell ref="AH311:AJ311"/>
    <mergeCell ref="AK311:AN311"/>
    <mergeCell ref="AO311:AV311"/>
    <mergeCell ref="AW311:AY311"/>
    <mergeCell ref="AZ311:BO311"/>
    <mergeCell ref="B311:C311"/>
    <mergeCell ref="D311:H311"/>
    <mergeCell ref="I311:P311"/>
    <mergeCell ref="Q311:X311"/>
    <mergeCell ref="Y311:Z311"/>
    <mergeCell ref="AA311:AD311"/>
    <mergeCell ref="AE311:AG311"/>
    <mergeCell ref="AH312:AJ312"/>
    <mergeCell ref="AK312:AN312"/>
    <mergeCell ref="AO312:AV312"/>
    <mergeCell ref="AW312:AY312"/>
    <mergeCell ref="AZ312:BO312"/>
    <mergeCell ref="B312:C312"/>
    <mergeCell ref="D312:H312"/>
    <mergeCell ref="I312:P312"/>
    <mergeCell ref="Q312:X312"/>
    <mergeCell ref="Y312:Z312"/>
    <mergeCell ref="AA312:AD312"/>
    <mergeCell ref="AE312:AG312"/>
    <mergeCell ref="AH309:AJ309"/>
    <mergeCell ref="AK309:AN309"/>
    <mergeCell ref="AO309:AV309"/>
    <mergeCell ref="AW309:AY309"/>
    <mergeCell ref="AZ309:BO309"/>
    <mergeCell ref="B309:C309"/>
    <mergeCell ref="D309:H309"/>
    <mergeCell ref="I309:P309"/>
    <mergeCell ref="Q309:X309"/>
    <mergeCell ref="Y309:Z309"/>
    <mergeCell ref="AA309:AD309"/>
    <mergeCell ref="AE309:AG309"/>
    <mergeCell ref="AH310:AJ310"/>
    <mergeCell ref="AK310:AN310"/>
    <mergeCell ref="AO310:AV310"/>
    <mergeCell ref="AW310:AY310"/>
    <mergeCell ref="AZ310:BO310"/>
    <mergeCell ref="B310:C310"/>
    <mergeCell ref="D310:H310"/>
    <mergeCell ref="I310:P310"/>
    <mergeCell ref="Q310:X310"/>
    <mergeCell ref="Y310:Z310"/>
    <mergeCell ref="AA310:AD310"/>
    <mergeCell ref="AE310:AG310"/>
    <mergeCell ref="AH307:AJ307"/>
    <mergeCell ref="AK307:AN307"/>
    <mergeCell ref="AO307:AV307"/>
    <mergeCell ref="AW307:AY307"/>
    <mergeCell ref="AZ307:BO307"/>
    <mergeCell ref="B307:C307"/>
    <mergeCell ref="D307:H307"/>
    <mergeCell ref="I307:P307"/>
    <mergeCell ref="Q307:X307"/>
    <mergeCell ref="Y307:Z307"/>
    <mergeCell ref="AA307:AD307"/>
    <mergeCell ref="AE307:AG307"/>
    <mergeCell ref="AH308:AJ308"/>
    <mergeCell ref="AK308:AN308"/>
    <mergeCell ref="AO308:AV308"/>
    <mergeCell ref="AW308:AY308"/>
    <mergeCell ref="AZ308:BO308"/>
    <mergeCell ref="B308:C308"/>
    <mergeCell ref="D308:H308"/>
    <mergeCell ref="I308:P308"/>
    <mergeCell ref="Q308:X308"/>
    <mergeCell ref="Y308:Z308"/>
    <mergeCell ref="AA308:AD308"/>
    <mergeCell ref="AE308:AG308"/>
    <mergeCell ref="AH305:AJ305"/>
    <mergeCell ref="AK305:AN305"/>
    <mergeCell ref="AO305:AV305"/>
    <mergeCell ref="AW305:AY305"/>
    <mergeCell ref="AZ305:BO305"/>
    <mergeCell ref="B305:C305"/>
    <mergeCell ref="D305:H305"/>
    <mergeCell ref="I305:P305"/>
    <mergeCell ref="Q305:X305"/>
    <mergeCell ref="Y305:Z305"/>
    <mergeCell ref="AA305:AD305"/>
    <mergeCell ref="AE305:AG305"/>
    <mergeCell ref="AH306:AJ306"/>
    <mergeCell ref="AK306:AN306"/>
    <mergeCell ref="AO306:AV306"/>
    <mergeCell ref="AW306:AY306"/>
    <mergeCell ref="AZ306:BO306"/>
    <mergeCell ref="B306:C306"/>
    <mergeCell ref="D306:H306"/>
    <mergeCell ref="I306:P306"/>
    <mergeCell ref="Q306:X306"/>
    <mergeCell ref="Y306:Z306"/>
    <mergeCell ref="AA306:AD306"/>
    <mergeCell ref="AE306:AG306"/>
    <mergeCell ref="AH303:AJ303"/>
    <mergeCell ref="AK303:AN303"/>
    <mergeCell ref="AO303:AV303"/>
    <mergeCell ref="AW303:AY303"/>
    <mergeCell ref="AZ303:BO303"/>
    <mergeCell ref="B303:C303"/>
    <mergeCell ref="D303:H303"/>
    <mergeCell ref="I303:P303"/>
    <mergeCell ref="Q303:X303"/>
    <mergeCell ref="Y303:Z303"/>
    <mergeCell ref="AA303:AD303"/>
    <mergeCell ref="AE303:AG303"/>
    <mergeCell ref="AH304:AJ304"/>
    <mergeCell ref="AK304:AN304"/>
    <mergeCell ref="AO304:AV304"/>
    <mergeCell ref="AW304:AY304"/>
    <mergeCell ref="AZ304:BO304"/>
    <mergeCell ref="B304:C304"/>
    <mergeCell ref="D304:H304"/>
    <mergeCell ref="I304:P304"/>
    <mergeCell ref="Q304:X304"/>
    <mergeCell ref="Y304:Z304"/>
    <mergeCell ref="AA304:AD304"/>
    <mergeCell ref="AE304:AG304"/>
    <mergeCell ref="AH301:AJ301"/>
    <mergeCell ref="AK301:AN301"/>
    <mergeCell ref="AO301:AV301"/>
    <mergeCell ref="AW301:AY301"/>
    <mergeCell ref="AZ301:BO301"/>
    <mergeCell ref="B301:C301"/>
    <mergeCell ref="D301:H301"/>
    <mergeCell ref="I301:P301"/>
    <mergeCell ref="Q301:X301"/>
    <mergeCell ref="Y301:Z301"/>
    <mergeCell ref="AA301:AD301"/>
    <mergeCell ref="AE301:AG301"/>
    <mergeCell ref="AH302:AJ302"/>
    <mergeCell ref="AK302:AN302"/>
    <mergeCell ref="AO302:AV302"/>
    <mergeCell ref="AW302:AY302"/>
    <mergeCell ref="AZ302:BO302"/>
    <mergeCell ref="B302:C302"/>
    <mergeCell ref="D302:H302"/>
    <mergeCell ref="I302:P302"/>
    <mergeCell ref="Q302:X302"/>
    <mergeCell ref="Y302:Z302"/>
    <mergeCell ref="AA302:AD302"/>
    <mergeCell ref="AE302:AG302"/>
    <mergeCell ref="AH299:AJ299"/>
    <mergeCell ref="AK299:AN299"/>
    <mergeCell ref="AO299:AV299"/>
    <mergeCell ref="AW299:AY299"/>
    <mergeCell ref="AZ299:BO299"/>
    <mergeCell ref="B299:C299"/>
    <mergeCell ref="D299:H299"/>
    <mergeCell ref="I299:P299"/>
    <mergeCell ref="Q299:X299"/>
    <mergeCell ref="Y299:Z299"/>
    <mergeCell ref="AA299:AD299"/>
    <mergeCell ref="AE299:AG299"/>
    <mergeCell ref="AH300:AJ300"/>
    <mergeCell ref="AK300:AN300"/>
    <mergeCell ref="AO300:AV300"/>
    <mergeCell ref="AW300:AY300"/>
    <mergeCell ref="AZ300:BO300"/>
    <mergeCell ref="B300:C300"/>
    <mergeCell ref="D300:H300"/>
    <mergeCell ref="I300:P300"/>
    <mergeCell ref="Q300:X300"/>
    <mergeCell ref="Y300:Z300"/>
    <mergeCell ref="AA300:AD300"/>
    <mergeCell ref="AE300:AG300"/>
    <mergeCell ref="AH297:AJ297"/>
    <mergeCell ref="AK297:AN297"/>
    <mergeCell ref="AO297:AV297"/>
    <mergeCell ref="AW297:AY297"/>
    <mergeCell ref="AZ297:BO297"/>
    <mergeCell ref="B297:C297"/>
    <mergeCell ref="D297:H297"/>
    <mergeCell ref="I297:P297"/>
    <mergeCell ref="Q297:X297"/>
    <mergeCell ref="Y297:Z297"/>
    <mergeCell ref="AA297:AD297"/>
    <mergeCell ref="AE297:AG297"/>
    <mergeCell ref="AH298:AJ298"/>
    <mergeCell ref="AK298:AN298"/>
    <mergeCell ref="AO298:AV298"/>
    <mergeCell ref="AW298:AY298"/>
    <mergeCell ref="AZ298:BO298"/>
    <mergeCell ref="B298:C298"/>
    <mergeCell ref="D298:H298"/>
    <mergeCell ref="I298:P298"/>
    <mergeCell ref="Q298:X298"/>
    <mergeCell ref="Y298:Z298"/>
    <mergeCell ref="AA298:AD298"/>
    <mergeCell ref="AE298:AG298"/>
    <mergeCell ref="AH295:AJ295"/>
    <mergeCell ref="AK295:AN295"/>
    <mergeCell ref="AO295:AV295"/>
    <mergeCell ref="AW295:AY295"/>
    <mergeCell ref="AZ295:BO295"/>
    <mergeCell ref="B295:C295"/>
    <mergeCell ref="D295:H295"/>
    <mergeCell ref="I295:P295"/>
    <mergeCell ref="Q295:X295"/>
    <mergeCell ref="Y295:Z295"/>
    <mergeCell ref="AA295:AD295"/>
    <mergeCell ref="AE295:AG295"/>
    <mergeCell ref="AH296:AJ296"/>
    <mergeCell ref="AK296:AN296"/>
    <mergeCell ref="AO296:AV296"/>
    <mergeCell ref="AW296:AY296"/>
    <mergeCell ref="AZ296:BO296"/>
    <mergeCell ref="B296:C296"/>
    <mergeCell ref="D296:H296"/>
    <mergeCell ref="I296:P296"/>
    <mergeCell ref="Q296:X296"/>
    <mergeCell ref="Y296:Z296"/>
    <mergeCell ref="AA296:AD296"/>
    <mergeCell ref="AE296:AG296"/>
    <mergeCell ref="AH293:AJ293"/>
    <mergeCell ref="AK293:AN293"/>
    <mergeCell ref="AO293:AV293"/>
    <mergeCell ref="AW293:AY293"/>
    <mergeCell ref="AZ293:BO293"/>
    <mergeCell ref="B293:C293"/>
    <mergeCell ref="D293:H293"/>
    <mergeCell ref="I293:P293"/>
    <mergeCell ref="Q293:X293"/>
    <mergeCell ref="Y293:Z293"/>
    <mergeCell ref="AA293:AD293"/>
    <mergeCell ref="AE293:AG293"/>
    <mergeCell ref="AH294:AJ294"/>
    <mergeCell ref="AK294:AN294"/>
    <mergeCell ref="AO294:AV294"/>
    <mergeCell ref="AW294:AY294"/>
    <mergeCell ref="AZ294:BO294"/>
    <mergeCell ref="B294:C294"/>
    <mergeCell ref="D294:H294"/>
    <mergeCell ref="I294:P294"/>
    <mergeCell ref="Q294:X294"/>
    <mergeCell ref="Y294:Z294"/>
    <mergeCell ref="AA294:AD294"/>
    <mergeCell ref="AE294:AG294"/>
    <mergeCell ref="AH291:AJ291"/>
    <mergeCell ref="AK291:AN291"/>
    <mergeCell ref="AO291:AV291"/>
    <mergeCell ref="AW291:AY291"/>
    <mergeCell ref="AZ291:BO291"/>
    <mergeCell ref="B291:C291"/>
    <mergeCell ref="D291:H291"/>
    <mergeCell ref="I291:P291"/>
    <mergeCell ref="Q291:X291"/>
    <mergeCell ref="Y291:Z291"/>
    <mergeCell ref="AA291:AD291"/>
    <mergeCell ref="AE291:AG291"/>
    <mergeCell ref="AH292:AJ292"/>
    <mergeCell ref="AK292:AN292"/>
    <mergeCell ref="AO292:AV292"/>
    <mergeCell ref="AW292:AY292"/>
    <mergeCell ref="AZ292:BO292"/>
    <mergeCell ref="B292:C292"/>
    <mergeCell ref="D292:H292"/>
    <mergeCell ref="I292:P292"/>
    <mergeCell ref="Q292:X292"/>
    <mergeCell ref="Y292:Z292"/>
    <mergeCell ref="AA292:AD292"/>
    <mergeCell ref="AE292:AG292"/>
    <mergeCell ref="AH289:AJ289"/>
    <mergeCell ref="AK289:AN289"/>
    <mergeCell ref="AO289:AV289"/>
    <mergeCell ref="AW289:AY289"/>
    <mergeCell ref="AZ289:BO289"/>
    <mergeCell ref="B289:C289"/>
    <mergeCell ref="D289:H289"/>
    <mergeCell ref="I289:P289"/>
    <mergeCell ref="Q289:X289"/>
    <mergeCell ref="Y289:Z289"/>
    <mergeCell ref="AA289:AD289"/>
    <mergeCell ref="AE289:AG289"/>
    <mergeCell ref="AH290:AJ290"/>
    <mergeCell ref="AK290:AN290"/>
    <mergeCell ref="AO290:AV290"/>
    <mergeCell ref="AW290:AY290"/>
    <mergeCell ref="AZ290:BO290"/>
    <mergeCell ref="B290:C290"/>
    <mergeCell ref="D290:H290"/>
    <mergeCell ref="I290:P290"/>
    <mergeCell ref="Q290:X290"/>
    <mergeCell ref="Y290:Z290"/>
    <mergeCell ref="AA290:AD290"/>
    <mergeCell ref="AE290:AG290"/>
    <mergeCell ref="AH287:AJ287"/>
    <mergeCell ref="AK287:AN287"/>
    <mergeCell ref="AO287:AV287"/>
    <mergeCell ref="AW287:AY287"/>
    <mergeCell ref="AZ287:BO287"/>
    <mergeCell ref="B287:C287"/>
    <mergeCell ref="D287:H287"/>
    <mergeCell ref="I287:P287"/>
    <mergeCell ref="Q287:X287"/>
    <mergeCell ref="Y287:Z287"/>
    <mergeCell ref="AA287:AD287"/>
    <mergeCell ref="AE287:AG287"/>
    <mergeCell ref="AH288:AJ288"/>
    <mergeCell ref="AK288:AN288"/>
    <mergeCell ref="AO288:AV288"/>
    <mergeCell ref="AW288:AY288"/>
    <mergeCell ref="AZ288:BO288"/>
    <mergeCell ref="B288:C288"/>
    <mergeCell ref="D288:H288"/>
    <mergeCell ref="I288:P288"/>
    <mergeCell ref="Q288:X288"/>
    <mergeCell ref="Y288:Z288"/>
    <mergeCell ref="AA288:AD288"/>
    <mergeCell ref="AE288:AG288"/>
    <mergeCell ref="AH285:AJ285"/>
    <mergeCell ref="AK285:AN285"/>
    <mergeCell ref="AO285:AV285"/>
    <mergeCell ref="AW285:AY285"/>
    <mergeCell ref="AZ285:BO285"/>
    <mergeCell ref="B285:C285"/>
    <mergeCell ref="D285:H285"/>
    <mergeCell ref="I285:P285"/>
    <mergeCell ref="Q285:X285"/>
    <mergeCell ref="Y285:Z285"/>
    <mergeCell ref="AA285:AD285"/>
    <mergeCell ref="AE285:AG285"/>
    <mergeCell ref="AH286:AJ286"/>
    <mergeCell ref="AK286:AN286"/>
    <mergeCell ref="AO286:AV286"/>
    <mergeCell ref="AW286:AY286"/>
    <mergeCell ref="AZ286:BO286"/>
    <mergeCell ref="B286:C286"/>
    <mergeCell ref="D286:H286"/>
    <mergeCell ref="I286:P286"/>
    <mergeCell ref="Q286:X286"/>
    <mergeCell ref="Y286:Z286"/>
    <mergeCell ref="AA286:AD286"/>
    <mergeCell ref="AE286:AG286"/>
    <mergeCell ref="AH283:AJ283"/>
    <mergeCell ref="AK283:AN283"/>
    <mergeCell ref="AO283:AV283"/>
    <mergeCell ref="AW283:AY283"/>
    <mergeCell ref="AZ283:BO283"/>
    <mergeCell ref="B283:C283"/>
    <mergeCell ref="D283:H283"/>
    <mergeCell ref="I283:P283"/>
    <mergeCell ref="Q283:X283"/>
    <mergeCell ref="Y283:Z283"/>
    <mergeCell ref="AA283:AD283"/>
    <mergeCell ref="AE283:AG283"/>
    <mergeCell ref="AH284:AJ284"/>
    <mergeCell ref="AK284:AN284"/>
    <mergeCell ref="AO284:AV284"/>
    <mergeCell ref="AW284:AY284"/>
    <mergeCell ref="AZ284:BO284"/>
    <mergeCell ref="B284:C284"/>
    <mergeCell ref="D284:H284"/>
    <mergeCell ref="I284:P284"/>
    <mergeCell ref="Q284:X284"/>
    <mergeCell ref="Y284:Z284"/>
    <mergeCell ref="AA284:AD284"/>
    <mergeCell ref="AE284:AG284"/>
    <mergeCell ref="AH281:AJ281"/>
    <mergeCell ref="AK281:AN281"/>
    <mergeCell ref="AO281:AV281"/>
    <mergeCell ref="AW281:AY281"/>
    <mergeCell ref="AZ281:BO281"/>
    <mergeCell ref="B281:C281"/>
    <mergeCell ref="D281:H281"/>
    <mergeCell ref="I281:P281"/>
    <mergeCell ref="Q281:X281"/>
    <mergeCell ref="Y281:Z281"/>
    <mergeCell ref="AA281:AD281"/>
    <mergeCell ref="AE281:AG281"/>
    <mergeCell ref="AH282:AJ282"/>
    <mergeCell ref="AK282:AN282"/>
    <mergeCell ref="AO282:AV282"/>
    <mergeCell ref="AW282:AY282"/>
    <mergeCell ref="AZ282:BO282"/>
    <mergeCell ref="B282:C282"/>
    <mergeCell ref="D282:H282"/>
    <mergeCell ref="I282:P282"/>
    <mergeCell ref="Q282:X282"/>
    <mergeCell ref="Y282:Z282"/>
    <mergeCell ref="AA282:AD282"/>
    <mergeCell ref="AE282:AG282"/>
    <mergeCell ref="AH279:AJ279"/>
    <mergeCell ref="AK279:AN279"/>
    <mergeCell ref="AO279:AV279"/>
    <mergeCell ref="AW279:AY279"/>
    <mergeCell ref="AZ279:BO279"/>
    <mergeCell ref="B279:C279"/>
    <mergeCell ref="D279:H279"/>
    <mergeCell ref="I279:P279"/>
    <mergeCell ref="Q279:X279"/>
    <mergeCell ref="Y279:Z279"/>
    <mergeCell ref="AA279:AD279"/>
    <mergeCell ref="AE279:AG279"/>
    <mergeCell ref="AH280:AJ280"/>
    <mergeCell ref="AK280:AN280"/>
    <mergeCell ref="AO280:AV280"/>
    <mergeCell ref="AW280:AY280"/>
    <mergeCell ref="AZ280:BO280"/>
    <mergeCell ref="B280:C280"/>
    <mergeCell ref="D280:H280"/>
    <mergeCell ref="I280:P280"/>
    <mergeCell ref="Q280:X280"/>
    <mergeCell ref="Y280:Z280"/>
    <mergeCell ref="AA280:AD280"/>
    <mergeCell ref="AE280:AG280"/>
    <mergeCell ref="AH277:AJ277"/>
    <mergeCell ref="AK277:AN277"/>
    <mergeCell ref="AO277:AV277"/>
    <mergeCell ref="AW277:AY277"/>
    <mergeCell ref="AZ277:BO277"/>
    <mergeCell ref="B277:C277"/>
    <mergeCell ref="D277:H277"/>
    <mergeCell ref="I277:P277"/>
    <mergeCell ref="Q277:X277"/>
    <mergeCell ref="Y277:Z277"/>
    <mergeCell ref="AA277:AD277"/>
    <mergeCell ref="AE277:AG277"/>
    <mergeCell ref="AH278:AJ278"/>
    <mergeCell ref="AK278:AN278"/>
    <mergeCell ref="AO278:AV278"/>
    <mergeCell ref="AW278:AY278"/>
    <mergeCell ref="AZ278:BO278"/>
    <mergeCell ref="B278:C278"/>
    <mergeCell ref="D278:H278"/>
    <mergeCell ref="I278:P278"/>
    <mergeCell ref="Q278:X278"/>
    <mergeCell ref="Y278:Z278"/>
    <mergeCell ref="AA278:AD278"/>
    <mergeCell ref="AE278:AG278"/>
    <mergeCell ref="AH275:AJ275"/>
    <mergeCell ref="AK275:AN275"/>
    <mergeCell ref="AO275:AV275"/>
    <mergeCell ref="AW275:AY275"/>
    <mergeCell ref="AZ275:BO275"/>
    <mergeCell ref="B275:C275"/>
    <mergeCell ref="D275:H275"/>
    <mergeCell ref="I275:P275"/>
    <mergeCell ref="Q275:X275"/>
    <mergeCell ref="Y275:Z275"/>
    <mergeCell ref="AA275:AD275"/>
    <mergeCell ref="AE275:AG275"/>
    <mergeCell ref="AH276:AJ276"/>
    <mergeCell ref="AK276:AN276"/>
    <mergeCell ref="AO276:AV276"/>
    <mergeCell ref="AW276:AY276"/>
    <mergeCell ref="AZ276:BO276"/>
    <mergeCell ref="B276:C276"/>
    <mergeCell ref="D276:H276"/>
    <mergeCell ref="I276:P276"/>
    <mergeCell ref="Q276:X276"/>
    <mergeCell ref="Y276:Z276"/>
    <mergeCell ref="AA276:AD276"/>
    <mergeCell ref="AE276:AG276"/>
    <mergeCell ref="AH273:AJ273"/>
    <mergeCell ref="AK273:AN273"/>
    <mergeCell ref="AO273:AV273"/>
    <mergeCell ref="AW273:AY273"/>
    <mergeCell ref="AZ273:BO273"/>
    <mergeCell ref="B273:C273"/>
    <mergeCell ref="D273:H273"/>
    <mergeCell ref="I273:P273"/>
    <mergeCell ref="Q273:X273"/>
    <mergeCell ref="Y273:Z273"/>
    <mergeCell ref="AA273:AD273"/>
    <mergeCell ref="AE273:AG273"/>
    <mergeCell ref="AH274:AJ274"/>
    <mergeCell ref="AK274:AN274"/>
    <mergeCell ref="AO274:AV274"/>
    <mergeCell ref="AW274:AY274"/>
    <mergeCell ref="AZ274:BO274"/>
    <mergeCell ref="B274:C274"/>
    <mergeCell ref="D274:H274"/>
    <mergeCell ref="I274:P274"/>
    <mergeCell ref="Q274:X274"/>
    <mergeCell ref="Y274:Z274"/>
    <mergeCell ref="AA274:AD274"/>
    <mergeCell ref="AE274:AG274"/>
    <mergeCell ref="AH271:AJ271"/>
    <mergeCell ref="AK271:AN271"/>
    <mergeCell ref="AO271:AV271"/>
    <mergeCell ref="AW271:AY271"/>
    <mergeCell ref="AZ271:BO271"/>
    <mergeCell ref="B271:C271"/>
    <mergeCell ref="D271:H271"/>
    <mergeCell ref="I271:P271"/>
    <mergeCell ref="Q271:X271"/>
    <mergeCell ref="Y271:Z271"/>
    <mergeCell ref="AA271:AD271"/>
    <mergeCell ref="AE271:AG271"/>
    <mergeCell ref="AH272:AJ272"/>
    <mergeCell ref="AK272:AN272"/>
    <mergeCell ref="AO272:AV272"/>
    <mergeCell ref="AW272:AY272"/>
    <mergeCell ref="AZ272:BO272"/>
    <mergeCell ref="B272:C272"/>
    <mergeCell ref="D272:H272"/>
    <mergeCell ref="I272:P272"/>
    <mergeCell ref="Q272:X272"/>
    <mergeCell ref="Y272:Z272"/>
    <mergeCell ref="AA272:AD272"/>
    <mergeCell ref="AE272:AG272"/>
    <mergeCell ref="AH269:AJ269"/>
    <mergeCell ref="AK269:AN269"/>
    <mergeCell ref="AO269:AV269"/>
    <mergeCell ref="AW269:AY269"/>
    <mergeCell ref="AZ269:BO269"/>
    <mergeCell ref="B269:C269"/>
    <mergeCell ref="D269:H269"/>
    <mergeCell ref="I269:P269"/>
    <mergeCell ref="Q269:X269"/>
    <mergeCell ref="Y269:Z269"/>
    <mergeCell ref="AA269:AD269"/>
    <mergeCell ref="AE269:AG269"/>
    <mergeCell ref="AH270:AJ270"/>
    <mergeCell ref="AK270:AN270"/>
    <mergeCell ref="AO270:AV270"/>
    <mergeCell ref="AW270:AY270"/>
    <mergeCell ref="AZ270:BO270"/>
    <mergeCell ref="B270:C270"/>
    <mergeCell ref="D270:H270"/>
    <mergeCell ref="I270:P270"/>
    <mergeCell ref="Q270:X270"/>
    <mergeCell ref="Y270:Z270"/>
    <mergeCell ref="AA270:AD270"/>
    <mergeCell ref="AE270:AG270"/>
    <mergeCell ref="AH267:AJ267"/>
    <mergeCell ref="AK267:AN267"/>
    <mergeCell ref="AO267:AV267"/>
    <mergeCell ref="AW267:AY267"/>
    <mergeCell ref="AZ267:BO267"/>
    <mergeCell ref="B267:C267"/>
    <mergeCell ref="D267:H267"/>
    <mergeCell ref="I267:P267"/>
    <mergeCell ref="Q267:X267"/>
    <mergeCell ref="Y267:Z267"/>
    <mergeCell ref="AA267:AD267"/>
    <mergeCell ref="AE267:AG267"/>
    <mergeCell ref="AH268:AJ268"/>
    <mergeCell ref="AK268:AN268"/>
    <mergeCell ref="AO268:AV268"/>
    <mergeCell ref="AW268:AY268"/>
    <mergeCell ref="AZ268:BO268"/>
    <mergeCell ref="B268:C268"/>
    <mergeCell ref="D268:H268"/>
    <mergeCell ref="I268:P268"/>
    <mergeCell ref="Q268:X268"/>
    <mergeCell ref="Y268:Z268"/>
    <mergeCell ref="AA268:AD268"/>
    <mergeCell ref="AE268:AG268"/>
    <mergeCell ref="AH265:AJ265"/>
    <mergeCell ref="AK265:AN265"/>
    <mergeCell ref="AO265:AV265"/>
    <mergeCell ref="AW265:AY265"/>
    <mergeCell ref="AZ265:BO265"/>
    <mergeCell ref="B265:C265"/>
    <mergeCell ref="D265:H265"/>
    <mergeCell ref="I265:P265"/>
    <mergeCell ref="Q265:X265"/>
    <mergeCell ref="Y265:Z265"/>
    <mergeCell ref="AA265:AD265"/>
    <mergeCell ref="AE265:AG265"/>
    <mergeCell ref="AH266:AJ266"/>
    <mergeCell ref="AK266:AN266"/>
    <mergeCell ref="AO266:AV266"/>
    <mergeCell ref="AW266:AY266"/>
    <mergeCell ref="AZ266:BO266"/>
    <mergeCell ref="B266:C266"/>
    <mergeCell ref="D266:H266"/>
    <mergeCell ref="I266:P266"/>
    <mergeCell ref="Q266:X266"/>
    <mergeCell ref="Y266:Z266"/>
    <mergeCell ref="AA266:AD266"/>
    <mergeCell ref="AE266:AG266"/>
    <mergeCell ref="AH263:AJ263"/>
    <mergeCell ref="AK263:AN263"/>
    <mergeCell ref="AO263:AV263"/>
    <mergeCell ref="AW263:AY263"/>
    <mergeCell ref="AZ263:BO263"/>
    <mergeCell ref="B263:C263"/>
    <mergeCell ref="D263:H263"/>
    <mergeCell ref="I263:P263"/>
    <mergeCell ref="Q263:X263"/>
    <mergeCell ref="Y263:Z263"/>
    <mergeCell ref="AA263:AD263"/>
    <mergeCell ref="AE263:AG263"/>
    <mergeCell ref="AH264:AJ264"/>
    <mergeCell ref="AK264:AN264"/>
    <mergeCell ref="AO264:AV264"/>
    <mergeCell ref="AW264:AY264"/>
    <mergeCell ref="AZ264:BO264"/>
    <mergeCell ref="B264:C264"/>
    <mergeCell ref="D264:H264"/>
    <mergeCell ref="I264:P264"/>
    <mergeCell ref="Q264:X264"/>
    <mergeCell ref="Y264:Z264"/>
    <mergeCell ref="AA264:AD264"/>
    <mergeCell ref="AE264:AG264"/>
    <mergeCell ref="AH261:AJ261"/>
    <mergeCell ref="AK261:AN261"/>
    <mergeCell ref="AO261:AV261"/>
    <mergeCell ref="AW261:AY261"/>
    <mergeCell ref="AZ261:BO261"/>
    <mergeCell ref="B261:C261"/>
    <mergeCell ref="D261:H261"/>
    <mergeCell ref="I261:P261"/>
    <mergeCell ref="Q261:X261"/>
    <mergeCell ref="Y261:Z261"/>
    <mergeCell ref="AA261:AD261"/>
    <mergeCell ref="AE261:AG261"/>
    <mergeCell ref="AH262:AJ262"/>
    <mergeCell ref="AK262:AN262"/>
    <mergeCell ref="AO262:AV262"/>
    <mergeCell ref="AW262:AY262"/>
    <mergeCell ref="AZ262:BO262"/>
    <mergeCell ref="B262:C262"/>
    <mergeCell ref="D262:H262"/>
    <mergeCell ref="I262:P262"/>
    <mergeCell ref="Q262:X262"/>
    <mergeCell ref="Y262:Z262"/>
    <mergeCell ref="AA262:AD262"/>
    <mergeCell ref="AE262:AG262"/>
    <mergeCell ref="AH259:AJ259"/>
    <mergeCell ref="AK259:AN259"/>
    <mergeCell ref="AO259:AV259"/>
    <mergeCell ref="AW259:AY259"/>
    <mergeCell ref="AZ259:BO259"/>
    <mergeCell ref="B259:C259"/>
    <mergeCell ref="D259:H259"/>
    <mergeCell ref="I259:P259"/>
    <mergeCell ref="Q259:X259"/>
    <mergeCell ref="Y259:Z259"/>
    <mergeCell ref="AA259:AD259"/>
    <mergeCell ref="AE259:AG259"/>
    <mergeCell ref="AH260:AJ260"/>
    <mergeCell ref="AK260:AN260"/>
    <mergeCell ref="AO260:AV260"/>
    <mergeCell ref="AW260:AY260"/>
    <mergeCell ref="AZ260:BO260"/>
    <mergeCell ref="B260:C260"/>
    <mergeCell ref="D260:H260"/>
    <mergeCell ref="I260:P260"/>
    <mergeCell ref="Q260:X260"/>
    <mergeCell ref="Y260:Z260"/>
    <mergeCell ref="AA260:AD260"/>
    <mergeCell ref="AE260:AG260"/>
    <mergeCell ref="AH257:AJ257"/>
    <mergeCell ref="AK257:AN257"/>
    <mergeCell ref="AO257:AV257"/>
    <mergeCell ref="AW257:AY257"/>
    <mergeCell ref="AZ257:BO257"/>
    <mergeCell ref="B257:C257"/>
    <mergeCell ref="D257:H257"/>
    <mergeCell ref="I257:P257"/>
    <mergeCell ref="Q257:X257"/>
    <mergeCell ref="Y257:Z257"/>
    <mergeCell ref="AA257:AD257"/>
    <mergeCell ref="AE257:AG257"/>
    <mergeCell ref="AH258:AJ258"/>
    <mergeCell ref="AK258:AN258"/>
    <mergeCell ref="AO258:AV258"/>
    <mergeCell ref="AW258:AY258"/>
    <mergeCell ref="AZ258:BO258"/>
    <mergeCell ref="B258:C258"/>
    <mergeCell ref="D258:H258"/>
    <mergeCell ref="I258:P258"/>
    <mergeCell ref="Q258:X258"/>
    <mergeCell ref="Y258:Z258"/>
    <mergeCell ref="AA258:AD258"/>
    <mergeCell ref="AE258:AG258"/>
    <mergeCell ref="AH255:AJ255"/>
    <mergeCell ref="AK255:AN255"/>
    <mergeCell ref="AO255:AV255"/>
    <mergeCell ref="AW255:AY255"/>
    <mergeCell ref="AZ255:BO255"/>
    <mergeCell ref="B255:C255"/>
    <mergeCell ref="D255:H255"/>
    <mergeCell ref="I255:P255"/>
    <mergeCell ref="Q255:X255"/>
    <mergeCell ref="Y255:Z255"/>
    <mergeCell ref="AA255:AD255"/>
    <mergeCell ref="AE255:AG255"/>
    <mergeCell ref="AH256:AJ256"/>
    <mergeCell ref="AK256:AN256"/>
    <mergeCell ref="AO256:AV256"/>
    <mergeCell ref="AW256:AY256"/>
    <mergeCell ref="AZ256:BO256"/>
    <mergeCell ref="B256:C256"/>
    <mergeCell ref="D256:H256"/>
    <mergeCell ref="I256:P256"/>
    <mergeCell ref="Q256:X256"/>
    <mergeCell ref="Y256:Z256"/>
    <mergeCell ref="AA256:AD256"/>
    <mergeCell ref="AE256:AG256"/>
    <mergeCell ref="AH253:AJ253"/>
    <mergeCell ref="AK253:AN253"/>
    <mergeCell ref="AO253:AV253"/>
    <mergeCell ref="AW253:AY253"/>
    <mergeCell ref="AZ253:BO253"/>
    <mergeCell ref="B253:C253"/>
    <mergeCell ref="D253:H253"/>
    <mergeCell ref="I253:P253"/>
    <mergeCell ref="Q253:X253"/>
    <mergeCell ref="Y253:Z253"/>
    <mergeCell ref="AA253:AD253"/>
    <mergeCell ref="AE253:AG253"/>
    <mergeCell ref="AH254:AJ254"/>
    <mergeCell ref="AK254:AN254"/>
    <mergeCell ref="AO254:AV254"/>
    <mergeCell ref="AW254:AY254"/>
    <mergeCell ref="AZ254:BO254"/>
    <mergeCell ref="B254:C254"/>
    <mergeCell ref="D254:H254"/>
    <mergeCell ref="I254:P254"/>
    <mergeCell ref="Q254:X254"/>
    <mergeCell ref="Y254:Z254"/>
    <mergeCell ref="AA254:AD254"/>
    <mergeCell ref="AE254:AG254"/>
    <mergeCell ref="AH251:AJ251"/>
    <mergeCell ref="AK251:AN251"/>
    <mergeCell ref="AO251:AV251"/>
    <mergeCell ref="AW251:AY251"/>
    <mergeCell ref="AZ251:BO251"/>
    <mergeCell ref="B251:C251"/>
    <mergeCell ref="D251:H251"/>
    <mergeCell ref="I251:P251"/>
    <mergeCell ref="Q251:X251"/>
    <mergeCell ref="Y251:Z251"/>
    <mergeCell ref="AA251:AD251"/>
    <mergeCell ref="AE251:AG251"/>
    <mergeCell ref="AH252:AJ252"/>
    <mergeCell ref="AK252:AN252"/>
    <mergeCell ref="AO252:AV252"/>
    <mergeCell ref="AW252:AY252"/>
    <mergeCell ref="AZ252:BO252"/>
    <mergeCell ref="B252:C252"/>
    <mergeCell ref="D252:H252"/>
    <mergeCell ref="I252:P252"/>
    <mergeCell ref="Q252:X252"/>
    <mergeCell ref="Y252:Z252"/>
    <mergeCell ref="AA252:AD252"/>
    <mergeCell ref="AE252:AG252"/>
    <mergeCell ref="AH249:AJ249"/>
    <mergeCell ref="AK249:AN249"/>
    <mergeCell ref="AO249:AV249"/>
    <mergeCell ref="AW249:AY249"/>
    <mergeCell ref="AZ249:BO249"/>
    <mergeCell ref="B249:C249"/>
    <mergeCell ref="D249:H249"/>
    <mergeCell ref="I249:P249"/>
    <mergeCell ref="Q249:X249"/>
    <mergeCell ref="Y249:Z249"/>
    <mergeCell ref="AA249:AD249"/>
    <mergeCell ref="AE249:AG249"/>
    <mergeCell ref="AH250:AJ250"/>
    <mergeCell ref="AK250:AN250"/>
    <mergeCell ref="AO250:AV250"/>
    <mergeCell ref="AW250:AY250"/>
    <mergeCell ref="AZ250:BO250"/>
    <mergeCell ref="B250:C250"/>
    <mergeCell ref="D250:H250"/>
    <mergeCell ref="I250:P250"/>
    <mergeCell ref="Q250:X250"/>
    <mergeCell ref="Y250:Z250"/>
    <mergeCell ref="AA250:AD250"/>
    <mergeCell ref="AE250:AG250"/>
    <mergeCell ref="AH247:AJ247"/>
    <mergeCell ref="AK247:AN247"/>
    <mergeCell ref="AO247:AV247"/>
    <mergeCell ref="AW247:AY247"/>
    <mergeCell ref="AZ247:BO247"/>
    <mergeCell ref="B247:C247"/>
    <mergeCell ref="D247:H247"/>
    <mergeCell ref="I247:P247"/>
    <mergeCell ref="Q247:X247"/>
    <mergeCell ref="Y247:Z247"/>
    <mergeCell ref="AA247:AD247"/>
    <mergeCell ref="AE247:AG247"/>
    <mergeCell ref="AH248:AJ248"/>
    <mergeCell ref="AK248:AN248"/>
    <mergeCell ref="AO248:AV248"/>
    <mergeCell ref="AW248:AY248"/>
    <mergeCell ref="AZ248:BO248"/>
    <mergeCell ref="B248:C248"/>
    <mergeCell ref="D248:H248"/>
    <mergeCell ref="I248:P248"/>
    <mergeCell ref="Q248:X248"/>
    <mergeCell ref="Y248:Z248"/>
    <mergeCell ref="AA248:AD248"/>
    <mergeCell ref="AE248:AG248"/>
    <mergeCell ref="AH245:AJ245"/>
    <mergeCell ref="AK245:AN245"/>
    <mergeCell ref="AO245:AV245"/>
    <mergeCell ref="AW245:AY245"/>
    <mergeCell ref="AZ245:BO245"/>
    <mergeCell ref="B245:C245"/>
    <mergeCell ref="D245:H245"/>
    <mergeCell ref="I245:P245"/>
    <mergeCell ref="Q245:X245"/>
    <mergeCell ref="Y245:Z245"/>
    <mergeCell ref="AA245:AD245"/>
    <mergeCell ref="AE245:AG245"/>
    <mergeCell ref="AH246:AJ246"/>
    <mergeCell ref="AK246:AN246"/>
    <mergeCell ref="AO246:AV246"/>
    <mergeCell ref="AW246:AY246"/>
    <mergeCell ref="AZ246:BO246"/>
    <mergeCell ref="B246:C246"/>
    <mergeCell ref="D246:H246"/>
    <mergeCell ref="I246:P246"/>
    <mergeCell ref="Q246:X246"/>
    <mergeCell ref="Y246:Z246"/>
    <mergeCell ref="AA246:AD246"/>
    <mergeCell ref="AE246:AG246"/>
    <mergeCell ref="AH243:AJ243"/>
    <mergeCell ref="AK243:AN243"/>
    <mergeCell ref="AO243:AV243"/>
    <mergeCell ref="AW243:AY243"/>
    <mergeCell ref="AZ243:BO243"/>
    <mergeCell ref="B243:C243"/>
    <mergeCell ref="D243:H243"/>
    <mergeCell ref="I243:P243"/>
    <mergeCell ref="Q243:X243"/>
    <mergeCell ref="Y243:Z243"/>
    <mergeCell ref="AA243:AD243"/>
    <mergeCell ref="AE243:AG243"/>
    <mergeCell ref="AH244:AJ244"/>
    <mergeCell ref="AK244:AN244"/>
    <mergeCell ref="AO244:AV244"/>
    <mergeCell ref="AW244:AY244"/>
    <mergeCell ref="AZ244:BO244"/>
    <mergeCell ref="B244:C244"/>
    <mergeCell ref="D244:H244"/>
    <mergeCell ref="I244:P244"/>
    <mergeCell ref="Q244:X244"/>
    <mergeCell ref="Y244:Z244"/>
    <mergeCell ref="AA244:AD244"/>
    <mergeCell ref="AE244:AG244"/>
    <mergeCell ref="AH241:AJ241"/>
    <mergeCell ref="AK241:AN241"/>
    <mergeCell ref="AO241:AV241"/>
    <mergeCell ref="AW241:AY241"/>
    <mergeCell ref="AZ241:BO241"/>
    <mergeCell ref="B241:C241"/>
    <mergeCell ref="D241:H241"/>
    <mergeCell ref="I241:P241"/>
    <mergeCell ref="Q241:X241"/>
    <mergeCell ref="Y241:Z241"/>
    <mergeCell ref="AA241:AD241"/>
    <mergeCell ref="AE241:AG241"/>
    <mergeCell ref="AH242:AJ242"/>
    <mergeCell ref="AK242:AN242"/>
    <mergeCell ref="AO242:AV242"/>
    <mergeCell ref="AW242:AY242"/>
    <mergeCell ref="AZ242:BO242"/>
    <mergeCell ref="B242:C242"/>
    <mergeCell ref="D242:H242"/>
    <mergeCell ref="I242:P242"/>
    <mergeCell ref="Q242:X242"/>
    <mergeCell ref="Y242:Z242"/>
    <mergeCell ref="AA242:AD242"/>
    <mergeCell ref="AE242:AG242"/>
    <mergeCell ref="AH239:AJ239"/>
    <mergeCell ref="AK239:AN239"/>
    <mergeCell ref="AO239:AV239"/>
    <mergeCell ref="AW239:AY239"/>
    <mergeCell ref="AZ239:BO239"/>
    <mergeCell ref="B239:C239"/>
    <mergeCell ref="D239:H239"/>
    <mergeCell ref="I239:P239"/>
    <mergeCell ref="Q239:X239"/>
    <mergeCell ref="Y239:Z239"/>
    <mergeCell ref="AA239:AD239"/>
    <mergeCell ref="AE239:AG239"/>
    <mergeCell ref="AH240:AJ240"/>
    <mergeCell ref="AK240:AN240"/>
    <mergeCell ref="AO240:AV240"/>
    <mergeCell ref="AW240:AY240"/>
    <mergeCell ref="AZ240:BO240"/>
    <mergeCell ref="B240:C240"/>
    <mergeCell ref="D240:H240"/>
    <mergeCell ref="I240:P240"/>
    <mergeCell ref="Q240:X240"/>
    <mergeCell ref="Y240:Z240"/>
    <mergeCell ref="AA240:AD240"/>
    <mergeCell ref="AE240:AG240"/>
    <mergeCell ref="AH237:AJ237"/>
    <mergeCell ref="AK237:AN237"/>
    <mergeCell ref="AO237:AV237"/>
    <mergeCell ref="AW237:AY237"/>
    <mergeCell ref="AZ237:BO237"/>
    <mergeCell ref="B237:C237"/>
    <mergeCell ref="D237:H237"/>
    <mergeCell ref="I237:P237"/>
    <mergeCell ref="Q237:X237"/>
    <mergeCell ref="Y237:Z237"/>
    <mergeCell ref="AA237:AD237"/>
    <mergeCell ref="AE237:AG237"/>
    <mergeCell ref="AH238:AJ238"/>
    <mergeCell ref="AK238:AN238"/>
    <mergeCell ref="AO238:AV238"/>
    <mergeCell ref="AW238:AY238"/>
    <mergeCell ref="AZ238:BO238"/>
    <mergeCell ref="B238:C238"/>
    <mergeCell ref="D238:H238"/>
    <mergeCell ref="I238:P238"/>
    <mergeCell ref="Q238:X238"/>
    <mergeCell ref="Y238:Z238"/>
    <mergeCell ref="AA238:AD238"/>
    <mergeCell ref="AE238:AG238"/>
    <mergeCell ref="AH235:AJ235"/>
    <mergeCell ref="AK235:AN235"/>
    <mergeCell ref="AO235:AV235"/>
    <mergeCell ref="AW235:AY235"/>
    <mergeCell ref="AZ235:BO235"/>
    <mergeCell ref="B235:C235"/>
    <mergeCell ref="D235:H235"/>
    <mergeCell ref="I235:P235"/>
    <mergeCell ref="Q235:X235"/>
    <mergeCell ref="Y235:Z235"/>
    <mergeCell ref="AA235:AD235"/>
    <mergeCell ref="AE235:AG235"/>
    <mergeCell ref="AH236:AJ236"/>
    <mergeCell ref="AK236:AN236"/>
    <mergeCell ref="AO236:AV236"/>
    <mergeCell ref="AW236:AY236"/>
    <mergeCell ref="AZ236:BO236"/>
    <mergeCell ref="B236:C236"/>
    <mergeCell ref="D236:H236"/>
    <mergeCell ref="I236:P236"/>
    <mergeCell ref="Q236:X236"/>
    <mergeCell ref="Y236:Z236"/>
    <mergeCell ref="AA236:AD236"/>
    <mergeCell ref="AE236:AG236"/>
    <mergeCell ref="AH233:AJ233"/>
    <mergeCell ref="AK233:AN233"/>
    <mergeCell ref="AO233:AV233"/>
    <mergeCell ref="AW233:AY233"/>
    <mergeCell ref="AZ233:BO233"/>
    <mergeCell ref="B233:C233"/>
    <mergeCell ref="D233:H233"/>
    <mergeCell ref="I233:P233"/>
    <mergeCell ref="Q233:X233"/>
    <mergeCell ref="Y233:Z233"/>
    <mergeCell ref="AA233:AD233"/>
    <mergeCell ref="AE233:AG233"/>
    <mergeCell ref="AH234:AJ234"/>
    <mergeCell ref="AK234:AN234"/>
    <mergeCell ref="AO234:AV234"/>
    <mergeCell ref="AW234:AY234"/>
    <mergeCell ref="AZ234:BO234"/>
    <mergeCell ref="B234:C234"/>
    <mergeCell ref="D234:H234"/>
    <mergeCell ref="I234:P234"/>
    <mergeCell ref="Q234:X234"/>
    <mergeCell ref="Y234:Z234"/>
    <mergeCell ref="AA234:AD234"/>
    <mergeCell ref="AE234:AG234"/>
    <mergeCell ref="AH231:AJ231"/>
    <mergeCell ref="AK231:AN231"/>
    <mergeCell ref="AO231:AV231"/>
    <mergeCell ref="AW231:AY231"/>
    <mergeCell ref="AZ231:BO231"/>
    <mergeCell ref="B231:C231"/>
    <mergeCell ref="D231:H231"/>
    <mergeCell ref="I231:P231"/>
    <mergeCell ref="Q231:X231"/>
    <mergeCell ref="Y231:Z231"/>
    <mergeCell ref="AA231:AD231"/>
    <mergeCell ref="AE231:AG231"/>
    <mergeCell ref="AH232:AJ232"/>
    <mergeCell ref="AK232:AN232"/>
    <mergeCell ref="AO232:AV232"/>
    <mergeCell ref="AW232:AY232"/>
    <mergeCell ref="AZ232:BO232"/>
    <mergeCell ref="B232:C232"/>
    <mergeCell ref="D232:H232"/>
    <mergeCell ref="I232:P232"/>
    <mergeCell ref="Q232:X232"/>
    <mergeCell ref="Y232:Z232"/>
    <mergeCell ref="AA232:AD232"/>
    <mergeCell ref="AE232:AG232"/>
    <mergeCell ref="AH229:AJ229"/>
    <mergeCell ref="AK229:AN229"/>
    <mergeCell ref="AO229:AV229"/>
    <mergeCell ref="AW229:AY229"/>
    <mergeCell ref="AZ229:BO229"/>
    <mergeCell ref="B229:C229"/>
    <mergeCell ref="D229:H229"/>
    <mergeCell ref="I229:P229"/>
    <mergeCell ref="Q229:X229"/>
    <mergeCell ref="Y229:Z229"/>
    <mergeCell ref="AA229:AD229"/>
    <mergeCell ref="AE229:AG229"/>
    <mergeCell ref="AH230:AJ230"/>
    <mergeCell ref="AK230:AN230"/>
    <mergeCell ref="AO230:AV230"/>
    <mergeCell ref="AW230:AY230"/>
    <mergeCell ref="AZ230:BO230"/>
    <mergeCell ref="B230:C230"/>
    <mergeCell ref="D230:H230"/>
    <mergeCell ref="I230:P230"/>
    <mergeCell ref="Q230:X230"/>
    <mergeCell ref="Y230:Z230"/>
    <mergeCell ref="AA230:AD230"/>
    <mergeCell ref="AE230:AG230"/>
    <mergeCell ref="AH227:AJ227"/>
    <mergeCell ref="AK227:AN227"/>
    <mergeCell ref="AO227:AV227"/>
    <mergeCell ref="AW227:AY227"/>
    <mergeCell ref="AZ227:BO227"/>
    <mergeCell ref="B227:C227"/>
    <mergeCell ref="D227:H227"/>
    <mergeCell ref="I227:P227"/>
    <mergeCell ref="Q227:X227"/>
    <mergeCell ref="Y227:Z227"/>
    <mergeCell ref="AA227:AD227"/>
    <mergeCell ref="AE227:AG227"/>
    <mergeCell ref="AH228:AJ228"/>
    <mergeCell ref="AK228:AN228"/>
    <mergeCell ref="AO228:AV228"/>
    <mergeCell ref="AW228:AY228"/>
    <mergeCell ref="AZ228:BO228"/>
    <mergeCell ref="B228:C228"/>
    <mergeCell ref="D228:H228"/>
    <mergeCell ref="I228:P228"/>
    <mergeCell ref="Q228:X228"/>
    <mergeCell ref="Y228:Z228"/>
    <mergeCell ref="AA228:AD228"/>
    <mergeCell ref="AE228:AG228"/>
    <mergeCell ref="AH225:AJ225"/>
    <mergeCell ref="AK225:AN225"/>
    <mergeCell ref="AO225:AV225"/>
    <mergeCell ref="AW225:AY225"/>
    <mergeCell ref="AZ225:BO225"/>
    <mergeCell ref="B225:C225"/>
    <mergeCell ref="D225:H225"/>
    <mergeCell ref="I225:P225"/>
    <mergeCell ref="Q225:X225"/>
    <mergeCell ref="Y225:Z225"/>
    <mergeCell ref="AA225:AD225"/>
    <mergeCell ref="AE225:AG225"/>
    <mergeCell ref="AH226:AJ226"/>
    <mergeCell ref="AK226:AN226"/>
    <mergeCell ref="AO226:AV226"/>
    <mergeCell ref="AW226:AY226"/>
    <mergeCell ref="AZ226:BO226"/>
    <mergeCell ref="B226:C226"/>
    <mergeCell ref="D226:H226"/>
    <mergeCell ref="I226:P226"/>
    <mergeCell ref="Q226:X226"/>
    <mergeCell ref="Y226:Z226"/>
    <mergeCell ref="AA226:AD226"/>
    <mergeCell ref="AE226:AG226"/>
    <mergeCell ref="AH223:AJ223"/>
    <mergeCell ref="AK223:AN223"/>
    <mergeCell ref="AO223:AV223"/>
    <mergeCell ref="AW223:AY223"/>
    <mergeCell ref="AZ223:BO223"/>
    <mergeCell ref="B223:C223"/>
    <mergeCell ref="D223:H223"/>
    <mergeCell ref="I223:P223"/>
    <mergeCell ref="Q223:X223"/>
    <mergeCell ref="Y223:Z223"/>
    <mergeCell ref="AA223:AD223"/>
    <mergeCell ref="AE223:AG223"/>
    <mergeCell ref="AH224:AJ224"/>
    <mergeCell ref="AK224:AN224"/>
    <mergeCell ref="AO224:AV224"/>
    <mergeCell ref="AW224:AY224"/>
    <mergeCell ref="AZ224:BO224"/>
    <mergeCell ref="B224:C224"/>
    <mergeCell ref="D224:H224"/>
    <mergeCell ref="I224:P224"/>
    <mergeCell ref="Q224:X224"/>
    <mergeCell ref="Y224:Z224"/>
    <mergeCell ref="AA224:AD224"/>
    <mergeCell ref="AE224:AG224"/>
    <mergeCell ref="AH221:AJ221"/>
    <mergeCell ref="AK221:AN221"/>
    <mergeCell ref="AO221:AV221"/>
    <mergeCell ref="AW221:AY221"/>
    <mergeCell ref="AZ221:BO221"/>
    <mergeCell ref="B221:C221"/>
    <mergeCell ref="D221:H221"/>
    <mergeCell ref="I221:P221"/>
    <mergeCell ref="Q221:X221"/>
    <mergeCell ref="Y221:Z221"/>
    <mergeCell ref="AA221:AD221"/>
    <mergeCell ref="AE221:AG221"/>
    <mergeCell ref="AH222:AJ222"/>
    <mergeCell ref="AK222:AN222"/>
    <mergeCell ref="AO222:AV222"/>
    <mergeCell ref="AW222:AY222"/>
    <mergeCell ref="AZ222:BO222"/>
    <mergeCell ref="B222:C222"/>
    <mergeCell ref="D222:H222"/>
    <mergeCell ref="I222:P222"/>
    <mergeCell ref="Q222:X222"/>
    <mergeCell ref="Y222:Z222"/>
    <mergeCell ref="AA222:AD222"/>
    <mergeCell ref="AE222:AG222"/>
    <mergeCell ref="AH219:AJ219"/>
    <mergeCell ref="AK219:AN219"/>
    <mergeCell ref="AO219:AV219"/>
    <mergeCell ref="AW219:AY219"/>
    <mergeCell ref="AZ219:BO219"/>
    <mergeCell ref="B219:C219"/>
    <mergeCell ref="D219:H219"/>
    <mergeCell ref="I219:P219"/>
    <mergeCell ref="Q219:X219"/>
    <mergeCell ref="Y219:Z219"/>
    <mergeCell ref="AA219:AD219"/>
    <mergeCell ref="AE219:AG219"/>
    <mergeCell ref="AH220:AJ220"/>
    <mergeCell ref="AK220:AN220"/>
    <mergeCell ref="AO220:AV220"/>
    <mergeCell ref="AW220:AY220"/>
    <mergeCell ref="AZ220:BO220"/>
    <mergeCell ref="B220:C220"/>
    <mergeCell ref="D220:H220"/>
    <mergeCell ref="I220:P220"/>
    <mergeCell ref="Q220:X220"/>
    <mergeCell ref="Y220:Z220"/>
    <mergeCell ref="AA220:AD220"/>
    <mergeCell ref="AE220:AG220"/>
    <mergeCell ref="AH217:AJ217"/>
    <mergeCell ref="AK217:AN217"/>
    <mergeCell ref="AO217:AV217"/>
    <mergeCell ref="AW217:AY217"/>
    <mergeCell ref="AZ217:BO217"/>
    <mergeCell ref="B217:C217"/>
    <mergeCell ref="D217:H217"/>
    <mergeCell ref="I217:P217"/>
    <mergeCell ref="Q217:X217"/>
    <mergeCell ref="Y217:Z217"/>
    <mergeCell ref="AA217:AD217"/>
    <mergeCell ref="AE217:AG217"/>
    <mergeCell ref="AH218:AJ218"/>
    <mergeCell ref="AK218:AN218"/>
    <mergeCell ref="AO218:AV218"/>
    <mergeCell ref="AW218:AY218"/>
    <mergeCell ref="AZ218:BO218"/>
    <mergeCell ref="B218:C218"/>
    <mergeCell ref="D218:H218"/>
    <mergeCell ref="I218:P218"/>
    <mergeCell ref="Q218:X218"/>
    <mergeCell ref="Y218:Z218"/>
    <mergeCell ref="AA218:AD218"/>
    <mergeCell ref="AE218:AG218"/>
    <mergeCell ref="AH215:AJ215"/>
    <mergeCell ref="AK215:AN215"/>
    <mergeCell ref="AO215:AV215"/>
    <mergeCell ref="AW215:AY215"/>
    <mergeCell ref="AZ215:BO215"/>
    <mergeCell ref="B215:C215"/>
    <mergeCell ref="D215:H215"/>
    <mergeCell ref="I215:P215"/>
    <mergeCell ref="Q215:X215"/>
    <mergeCell ref="Y215:Z215"/>
    <mergeCell ref="AA215:AD215"/>
    <mergeCell ref="AE215:AG215"/>
    <mergeCell ref="AH216:AJ216"/>
    <mergeCell ref="AK216:AN216"/>
    <mergeCell ref="AO216:AV216"/>
    <mergeCell ref="AW216:AY216"/>
    <mergeCell ref="AZ216:BO216"/>
    <mergeCell ref="B216:C216"/>
    <mergeCell ref="D216:H216"/>
    <mergeCell ref="I216:P216"/>
    <mergeCell ref="Q216:X216"/>
    <mergeCell ref="Y216:Z216"/>
    <mergeCell ref="AA216:AD216"/>
    <mergeCell ref="AE216:AG216"/>
    <mergeCell ref="AH213:AJ213"/>
    <mergeCell ref="AK213:AN213"/>
    <mergeCell ref="AO213:AV213"/>
    <mergeCell ref="AW213:AY213"/>
    <mergeCell ref="AZ213:BO213"/>
    <mergeCell ref="B213:C213"/>
    <mergeCell ref="D213:H213"/>
    <mergeCell ref="I213:P213"/>
    <mergeCell ref="Q213:X213"/>
    <mergeCell ref="Y213:Z213"/>
    <mergeCell ref="AA213:AD213"/>
    <mergeCell ref="AE213:AG213"/>
    <mergeCell ref="AH214:AJ214"/>
    <mergeCell ref="AK214:AN214"/>
    <mergeCell ref="AO214:AV214"/>
    <mergeCell ref="AW214:AY214"/>
    <mergeCell ref="AZ214:BO214"/>
    <mergeCell ref="B214:C214"/>
    <mergeCell ref="D214:H214"/>
    <mergeCell ref="I214:P214"/>
    <mergeCell ref="Q214:X214"/>
    <mergeCell ref="Y214:Z214"/>
    <mergeCell ref="AA214:AD214"/>
    <mergeCell ref="AE214:AG214"/>
    <mergeCell ref="AH211:AJ211"/>
    <mergeCell ref="AK211:AN211"/>
    <mergeCell ref="AO211:AV211"/>
    <mergeCell ref="AW211:AY211"/>
    <mergeCell ref="AZ211:BO211"/>
    <mergeCell ref="B211:C211"/>
    <mergeCell ref="D211:H211"/>
    <mergeCell ref="I211:P211"/>
    <mergeCell ref="Q211:X211"/>
    <mergeCell ref="Y211:Z211"/>
    <mergeCell ref="AA211:AD211"/>
    <mergeCell ref="AE211:AG211"/>
    <mergeCell ref="AH212:AJ212"/>
    <mergeCell ref="AK212:AN212"/>
    <mergeCell ref="AO212:AV212"/>
    <mergeCell ref="AW212:AY212"/>
    <mergeCell ref="AZ212:BO212"/>
    <mergeCell ref="B212:C212"/>
    <mergeCell ref="D212:H212"/>
    <mergeCell ref="I212:P212"/>
    <mergeCell ref="Q212:X212"/>
    <mergeCell ref="Y212:Z212"/>
    <mergeCell ref="AA212:AD212"/>
    <mergeCell ref="AE212:AG212"/>
    <mergeCell ref="AH209:AJ209"/>
    <mergeCell ref="AK209:AN209"/>
    <mergeCell ref="AO209:AV209"/>
    <mergeCell ref="AW209:AY209"/>
    <mergeCell ref="AZ209:BO209"/>
    <mergeCell ref="B209:C209"/>
    <mergeCell ref="D209:H209"/>
    <mergeCell ref="I209:P209"/>
    <mergeCell ref="Q209:X209"/>
    <mergeCell ref="Y209:Z209"/>
    <mergeCell ref="AA209:AD209"/>
    <mergeCell ref="AE209:AG209"/>
    <mergeCell ref="AH210:AJ210"/>
    <mergeCell ref="AK210:AN210"/>
    <mergeCell ref="AO210:AV210"/>
    <mergeCell ref="AW210:AY210"/>
    <mergeCell ref="AZ210:BO210"/>
    <mergeCell ref="B210:C210"/>
    <mergeCell ref="D210:H210"/>
    <mergeCell ref="I210:P210"/>
    <mergeCell ref="Q210:X210"/>
    <mergeCell ref="Y210:Z210"/>
    <mergeCell ref="AA210:AD210"/>
    <mergeCell ref="AE210:AG210"/>
    <mergeCell ref="AH207:AJ207"/>
    <mergeCell ref="AK207:AN207"/>
    <mergeCell ref="AO207:AV207"/>
    <mergeCell ref="AW207:AY207"/>
    <mergeCell ref="AZ207:BO207"/>
    <mergeCell ref="B207:C207"/>
    <mergeCell ref="D207:H207"/>
    <mergeCell ref="I207:P207"/>
    <mergeCell ref="Q207:X207"/>
    <mergeCell ref="Y207:Z207"/>
    <mergeCell ref="AA207:AD207"/>
    <mergeCell ref="AE207:AG207"/>
    <mergeCell ref="AH208:AJ208"/>
    <mergeCell ref="AK208:AN208"/>
    <mergeCell ref="AO208:AV208"/>
    <mergeCell ref="AW208:AY208"/>
    <mergeCell ref="AZ208:BO208"/>
    <mergeCell ref="B208:C208"/>
    <mergeCell ref="D208:H208"/>
    <mergeCell ref="I208:P208"/>
    <mergeCell ref="Q208:X208"/>
    <mergeCell ref="Y208:Z208"/>
    <mergeCell ref="AA208:AD208"/>
    <mergeCell ref="AE208:AG208"/>
    <mergeCell ref="AH205:AJ205"/>
    <mergeCell ref="AK205:AN205"/>
    <mergeCell ref="AO205:AV205"/>
    <mergeCell ref="AW205:AY205"/>
    <mergeCell ref="AZ205:BO205"/>
    <mergeCell ref="B205:C205"/>
    <mergeCell ref="D205:H205"/>
    <mergeCell ref="I205:P205"/>
    <mergeCell ref="Q205:X205"/>
    <mergeCell ref="Y205:Z205"/>
    <mergeCell ref="AA205:AD205"/>
    <mergeCell ref="AE205:AG205"/>
    <mergeCell ref="AH206:AJ206"/>
    <mergeCell ref="AK206:AN206"/>
    <mergeCell ref="AO206:AV206"/>
    <mergeCell ref="AW206:AY206"/>
    <mergeCell ref="AZ206:BO206"/>
    <mergeCell ref="B206:C206"/>
    <mergeCell ref="D206:H206"/>
    <mergeCell ref="I206:P206"/>
    <mergeCell ref="Q206:X206"/>
    <mergeCell ref="Y206:Z206"/>
    <mergeCell ref="AA206:AD206"/>
    <mergeCell ref="AE206:AG206"/>
    <mergeCell ref="AH203:AJ203"/>
    <mergeCell ref="AK203:AN203"/>
    <mergeCell ref="AO203:AV203"/>
    <mergeCell ref="AW203:AY203"/>
    <mergeCell ref="AZ203:BO203"/>
    <mergeCell ref="B203:C203"/>
    <mergeCell ref="D203:H203"/>
    <mergeCell ref="I203:P203"/>
    <mergeCell ref="Q203:X203"/>
    <mergeCell ref="Y203:Z203"/>
    <mergeCell ref="AA203:AD203"/>
    <mergeCell ref="AE203:AG203"/>
    <mergeCell ref="AH204:AJ204"/>
    <mergeCell ref="AK204:AN204"/>
    <mergeCell ref="AO204:AV204"/>
    <mergeCell ref="AW204:AY204"/>
    <mergeCell ref="AZ204:BO204"/>
    <mergeCell ref="B204:C204"/>
    <mergeCell ref="D204:H204"/>
    <mergeCell ref="I204:P204"/>
    <mergeCell ref="Q204:X204"/>
    <mergeCell ref="Y204:Z204"/>
    <mergeCell ref="AA204:AD204"/>
    <mergeCell ref="AE204:AG204"/>
    <mergeCell ref="AH201:AJ201"/>
    <mergeCell ref="AK201:AN201"/>
    <mergeCell ref="AO201:AV201"/>
    <mergeCell ref="AW201:AY201"/>
    <mergeCell ref="AZ201:BO201"/>
    <mergeCell ref="B201:C201"/>
    <mergeCell ref="D201:H201"/>
    <mergeCell ref="I201:P201"/>
    <mergeCell ref="Q201:X201"/>
    <mergeCell ref="Y201:Z201"/>
    <mergeCell ref="AA201:AD201"/>
    <mergeCell ref="AE201:AG201"/>
    <mergeCell ref="AH202:AJ202"/>
    <mergeCell ref="AK202:AN202"/>
    <mergeCell ref="AO202:AV202"/>
    <mergeCell ref="AW202:AY202"/>
    <mergeCell ref="AZ202:BO202"/>
    <mergeCell ref="B202:C202"/>
    <mergeCell ref="D202:H202"/>
    <mergeCell ref="I202:P202"/>
    <mergeCell ref="Q202:X202"/>
    <mergeCell ref="Y202:Z202"/>
    <mergeCell ref="AA202:AD202"/>
    <mergeCell ref="AE202:AG202"/>
    <mergeCell ref="AH199:AJ199"/>
    <mergeCell ref="AK199:AN199"/>
    <mergeCell ref="AO199:AV199"/>
    <mergeCell ref="AW199:AY199"/>
    <mergeCell ref="AZ199:BO199"/>
    <mergeCell ref="B199:C199"/>
    <mergeCell ref="D199:H199"/>
    <mergeCell ref="I199:P199"/>
    <mergeCell ref="Q199:X199"/>
    <mergeCell ref="Y199:Z199"/>
    <mergeCell ref="AA199:AD199"/>
    <mergeCell ref="AE199:AG199"/>
    <mergeCell ref="AH200:AJ200"/>
    <mergeCell ref="AK200:AN200"/>
    <mergeCell ref="AO200:AV200"/>
    <mergeCell ref="AW200:AY200"/>
    <mergeCell ref="AZ200:BO200"/>
    <mergeCell ref="B200:C200"/>
    <mergeCell ref="D200:H200"/>
    <mergeCell ref="I200:P200"/>
    <mergeCell ref="Q200:X200"/>
    <mergeCell ref="Y200:Z200"/>
    <mergeCell ref="AA200:AD200"/>
    <mergeCell ref="AE200:AG200"/>
    <mergeCell ref="AH197:AJ197"/>
    <mergeCell ref="AK197:AN197"/>
    <mergeCell ref="AO197:AV197"/>
    <mergeCell ref="AW197:AY197"/>
    <mergeCell ref="AZ197:BO197"/>
    <mergeCell ref="B197:C197"/>
    <mergeCell ref="D197:H197"/>
    <mergeCell ref="I197:P197"/>
    <mergeCell ref="Q197:X197"/>
    <mergeCell ref="Y197:Z197"/>
    <mergeCell ref="AA197:AD197"/>
    <mergeCell ref="AE197:AG197"/>
    <mergeCell ref="AH198:AJ198"/>
    <mergeCell ref="AK198:AN198"/>
    <mergeCell ref="AO198:AV198"/>
    <mergeCell ref="AW198:AY198"/>
    <mergeCell ref="AZ198:BO198"/>
    <mergeCell ref="B198:C198"/>
    <mergeCell ref="D198:H198"/>
    <mergeCell ref="I198:P198"/>
    <mergeCell ref="Q198:X198"/>
    <mergeCell ref="Y198:Z198"/>
    <mergeCell ref="AA198:AD198"/>
    <mergeCell ref="AE198:AG198"/>
    <mergeCell ref="AH195:AJ195"/>
    <mergeCell ref="AK195:AN195"/>
    <mergeCell ref="AO195:AV195"/>
    <mergeCell ref="AW195:AY195"/>
    <mergeCell ref="AZ195:BO195"/>
    <mergeCell ref="B195:C195"/>
    <mergeCell ref="D195:H195"/>
    <mergeCell ref="I195:P195"/>
    <mergeCell ref="Q195:X195"/>
    <mergeCell ref="Y195:Z195"/>
    <mergeCell ref="AA195:AD195"/>
    <mergeCell ref="AE195:AG195"/>
    <mergeCell ref="AH196:AJ196"/>
    <mergeCell ref="AK196:AN196"/>
    <mergeCell ref="AO196:AV196"/>
    <mergeCell ref="AW196:AY196"/>
    <mergeCell ref="AZ196:BO196"/>
    <mergeCell ref="B196:C196"/>
    <mergeCell ref="D196:H196"/>
    <mergeCell ref="I196:P196"/>
    <mergeCell ref="Q196:X196"/>
    <mergeCell ref="Y196:Z196"/>
    <mergeCell ref="AA196:AD196"/>
    <mergeCell ref="AE196:AG196"/>
    <mergeCell ref="AH193:AJ193"/>
    <mergeCell ref="AK193:AN193"/>
    <mergeCell ref="AO193:AV193"/>
    <mergeCell ref="AW193:AY193"/>
    <mergeCell ref="AZ193:BO193"/>
    <mergeCell ref="B193:C193"/>
    <mergeCell ref="D193:H193"/>
    <mergeCell ref="I193:P193"/>
    <mergeCell ref="Q193:X193"/>
    <mergeCell ref="Y193:Z193"/>
    <mergeCell ref="AA193:AD193"/>
    <mergeCell ref="AE193:AG193"/>
    <mergeCell ref="AH194:AJ194"/>
    <mergeCell ref="AK194:AN194"/>
    <mergeCell ref="AO194:AV194"/>
    <mergeCell ref="AW194:AY194"/>
    <mergeCell ref="AZ194:BO194"/>
    <mergeCell ref="B194:C194"/>
    <mergeCell ref="D194:H194"/>
    <mergeCell ref="I194:P194"/>
    <mergeCell ref="Q194:X194"/>
    <mergeCell ref="Y194:Z194"/>
    <mergeCell ref="AA194:AD194"/>
    <mergeCell ref="AE194:AG194"/>
    <mergeCell ref="AH191:AJ191"/>
    <mergeCell ref="AK191:AN191"/>
    <mergeCell ref="AO191:AV191"/>
    <mergeCell ref="AW191:AY191"/>
    <mergeCell ref="AZ191:BO191"/>
    <mergeCell ref="B191:C191"/>
    <mergeCell ref="D191:H191"/>
    <mergeCell ref="I191:P191"/>
    <mergeCell ref="Q191:X191"/>
    <mergeCell ref="Y191:Z191"/>
    <mergeCell ref="AA191:AD191"/>
    <mergeCell ref="AE191:AG191"/>
    <mergeCell ref="AH192:AJ192"/>
    <mergeCell ref="AK192:AN192"/>
    <mergeCell ref="AO192:AV192"/>
    <mergeCell ref="AW192:AY192"/>
    <mergeCell ref="AZ192:BO192"/>
    <mergeCell ref="B192:C192"/>
    <mergeCell ref="D192:H192"/>
    <mergeCell ref="I192:P192"/>
    <mergeCell ref="Q192:X192"/>
    <mergeCell ref="Y192:Z192"/>
    <mergeCell ref="AA192:AD192"/>
    <mergeCell ref="AE192:AG192"/>
    <mergeCell ref="AH189:AJ189"/>
    <mergeCell ref="AK189:AN189"/>
    <mergeCell ref="AO189:AV189"/>
    <mergeCell ref="AW189:AY189"/>
    <mergeCell ref="AZ189:BO189"/>
    <mergeCell ref="B189:C189"/>
    <mergeCell ref="D189:H189"/>
    <mergeCell ref="I189:P189"/>
    <mergeCell ref="Q189:X189"/>
    <mergeCell ref="Y189:Z189"/>
    <mergeCell ref="AA189:AD189"/>
    <mergeCell ref="AE189:AG189"/>
    <mergeCell ref="AH190:AJ190"/>
    <mergeCell ref="AK190:AN190"/>
    <mergeCell ref="AO190:AV190"/>
    <mergeCell ref="AW190:AY190"/>
    <mergeCell ref="AZ190:BO190"/>
    <mergeCell ref="B190:C190"/>
    <mergeCell ref="D190:H190"/>
    <mergeCell ref="I190:P190"/>
    <mergeCell ref="Q190:X190"/>
    <mergeCell ref="Y190:Z190"/>
    <mergeCell ref="AA190:AD190"/>
    <mergeCell ref="AE190:AG190"/>
    <mergeCell ref="AH187:AJ187"/>
    <mergeCell ref="AK187:AN187"/>
    <mergeCell ref="AO187:AV187"/>
    <mergeCell ref="AW187:AY187"/>
    <mergeCell ref="AZ187:BO187"/>
    <mergeCell ref="B187:C187"/>
    <mergeCell ref="D187:H187"/>
    <mergeCell ref="I187:P187"/>
    <mergeCell ref="Q187:X187"/>
    <mergeCell ref="Y187:Z187"/>
    <mergeCell ref="AA187:AD187"/>
    <mergeCell ref="AE187:AG187"/>
    <mergeCell ref="AH188:AJ188"/>
    <mergeCell ref="AK188:AN188"/>
    <mergeCell ref="AO188:AV188"/>
    <mergeCell ref="AW188:AY188"/>
    <mergeCell ref="AZ188:BO188"/>
    <mergeCell ref="B188:C188"/>
    <mergeCell ref="D188:H188"/>
    <mergeCell ref="I188:P188"/>
    <mergeCell ref="Q188:X188"/>
    <mergeCell ref="Y188:Z188"/>
    <mergeCell ref="AA188:AD188"/>
    <mergeCell ref="AE188:AG188"/>
    <mergeCell ref="AH185:AJ185"/>
    <mergeCell ref="AK185:AN185"/>
    <mergeCell ref="AO185:AV185"/>
    <mergeCell ref="AW185:AY185"/>
    <mergeCell ref="AZ185:BO185"/>
    <mergeCell ref="B185:C185"/>
    <mergeCell ref="D185:H185"/>
    <mergeCell ref="I185:P185"/>
    <mergeCell ref="Q185:X185"/>
    <mergeCell ref="Y185:Z185"/>
    <mergeCell ref="AA185:AD185"/>
    <mergeCell ref="AE185:AG185"/>
    <mergeCell ref="AH186:AJ186"/>
    <mergeCell ref="AK186:AN186"/>
    <mergeCell ref="AO186:AV186"/>
    <mergeCell ref="AW186:AY186"/>
    <mergeCell ref="AZ186:BO186"/>
    <mergeCell ref="B186:C186"/>
    <mergeCell ref="D186:H186"/>
    <mergeCell ref="I186:P186"/>
    <mergeCell ref="Q186:X186"/>
    <mergeCell ref="Y186:Z186"/>
    <mergeCell ref="AA186:AD186"/>
    <mergeCell ref="AE186:AG186"/>
    <mergeCell ref="AH183:AJ183"/>
    <mergeCell ref="AK183:AN183"/>
    <mergeCell ref="AO183:AV183"/>
    <mergeCell ref="AW183:AY183"/>
    <mergeCell ref="AZ183:BO183"/>
    <mergeCell ref="B183:C183"/>
    <mergeCell ref="D183:H183"/>
    <mergeCell ref="I183:P183"/>
    <mergeCell ref="Q183:X183"/>
    <mergeCell ref="Y183:Z183"/>
    <mergeCell ref="AA183:AD183"/>
    <mergeCell ref="AE183:AG183"/>
    <mergeCell ref="AH184:AJ184"/>
    <mergeCell ref="AK184:AN184"/>
    <mergeCell ref="AO184:AV184"/>
    <mergeCell ref="AW184:AY184"/>
    <mergeCell ref="AZ184:BO184"/>
    <mergeCell ref="B184:C184"/>
    <mergeCell ref="D184:H184"/>
    <mergeCell ref="I184:P184"/>
    <mergeCell ref="Q184:X184"/>
    <mergeCell ref="Y184:Z184"/>
    <mergeCell ref="AA184:AD184"/>
    <mergeCell ref="AE184:AG184"/>
    <mergeCell ref="AH181:AJ181"/>
    <mergeCell ref="AK181:AN181"/>
    <mergeCell ref="AO181:AV181"/>
    <mergeCell ref="AW181:AY181"/>
    <mergeCell ref="AZ181:BO181"/>
    <mergeCell ref="B181:C181"/>
    <mergeCell ref="D181:H181"/>
    <mergeCell ref="I181:P181"/>
    <mergeCell ref="Q181:X181"/>
    <mergeCell ref="Y181:Z181"/>
    <mergeCell ref="AA181:AD181"/>
    <mergeCell ref="AE181:AG181"/>
    <mergeCell ref="AH182:AJ182"/>
    <mergeCell ref="AK182:AN182"/>
    <mergeCell ref="AO182:AV182"/>
    <mergeCell ref="AW182:AY182"/>
    <mergeCell ref="AZ182:BO182"/>
    <mergeCell ref="B182:C182"/>
    <mergeCell ref="D182:H182"/>
    <mergeCell ref="I182:P182"/>
    <mergeCell ref="Q182:X182"/>
    <mergeCell ref="Y182:Z182"/>
    <mergeCell ref="AA182:AD182"/>
    <mergeCell ref="AE182:AG182"/>
    <mergeCell ref="AH179:AJ179"/>
    <mergeCell ref="AK179:AN179"/>
    <mergeCell ref="AO179:AV179"/>
    <mergeCell ref="AW179:AY179"/>
    <mergeCell ref="AZ179:BO179"/>
    <mergeCell ref="B179:C179"/>
    <mergeCell ref="D179:H179"/>
    <mergeCell ref="I179:P179"/>
    <mergeCell ref="Q179:X179"/>
    <mergeCell ref="Y179:Z179"/>
    <mergeCell ref="AA179:AD179"/>
    <mergeCell ref="AE179:AG179"/>
    <mergeCell ref="AH180:AJ180"/>
    <mergeCell ref="AK180:AN180"/>
    <mergeCell ref="AO180:AV180"/>
    <mergeCell ref="AW180:AY180"/>
    <mergeCell ref="AZ180:BO180"/>
    <mergeCell ref="B180:C180"/>
    <mergeCell ref="D180:H180"/>
    <mergeCell ref="I180:P180"/>
    <mergeCell ref="Q180:X180"/>
    <mergeCell ref="Y180:Z180"/>
    <mergeCell ref="AA180:AD180"/>
    <mergeCell ref="AE180:AG180"/>
    <mergeCell ref="AH177:AJ177"/>
    <mergeCell ref="AK177:AN177"/>
    <mergeCell ref="AO177:AV177"/>
    <mergeCell ref="AW177:AY177"/>
    <mergeCell ref="AZ177:BO177"/>
    <mergeCell ref="B177:C177"/>
    <mergeCell ref="D177:H177"/>
    <mergeCell ref="I177:P177"/>
    <mergeCell ref="Q177:X177"/>
    <mergeCell ref="Y177:Z177"/>
    <mergeCell ref="AA177:AD177"/>
    <mergeCell ref="AE177:AG177"/>
    <mergeCell ref="AH178:AJ178"/>
    <mergeCell ref="AK178:AN178"/>
    <mergeCell ref="AO178:AV178"/>
    <mergeCell ref="AW178:AY178"/>
    <mergeCell ref="AZ178:BO178"/>
    <mergeCell ref="B178:C178"/>
    <mergeCell ref="D178:H178"/>
    <mergeCell ref="I178:P178"/>
    <mergeCell ref="Q178:X178"/>
    <mergeCell ref="Y178:Z178"/>
    <mergeCell ref="AA178:AD178"/>
    <mergeCell ref="AE178:AG178"/>
    <mergeCell ref="AH175:AJ175"/>
    <mergeCell ref="AK175:AN175"/>
    <mergeCell ref="AO175:AV175"/>
    <mergeCell ref="AW175:AY175"/>
    <mergeCell ref="AZ175:BO175"/>
    <mergeCell ref="B175:C175"/>
    <mergeCell ref="D175:H175"/>
    <mergeCell ref="I175:P175"/>
    <mergeCell ref="Q175:X175"/>
    <mergeCell ref="Y175:Z175"/>
    <mergeCell ref="AA175:AD175"/>
    <mergeCell ref="AE175:AG175"/>
    <mergeCell ref="AH176:AJ176"/>
    <mergeCell ref="AK176:AN176"/>
    <mergeCell ref="AO176:AV176"/>
    <mergeCell ref="AW176:AY176"/>
    <mergeCell ref="AZ176:BO176"/>
    <mergeCell ref="B176:C176"/>
    <mergeCell ref="D176:H176"/>
    <mergeCell ref="I176:P176"/>
    <mergeCell ref="Q176:X176"/>
    <mergeCell ref="Y176:Z176"/>
    <mergeCell ref="AA176:AD176"/>
    <mergeCell ref="AE176:AG176"/>
    <mergeCell ref="AH173:AJ173"/>
    <mergeCell ref="AK173:AN173"/>
    <mergeCell ref="AO173:AV173"/>
    <mergeCell ref="AW173:AY173"/>
    <mergeCell ref="AZ173:BO173"/>
    <mergeCell ref="B173:C173"/>
    <mergeCell ref="D173:H173"/>
    <mergeCell ref="I173:P173"/>
    <mergeCell ref="Q173:X173"/>
    <mergeCell ref="Y173:Z173"/>
    <mergeCell ref="AA173:AD173"/>
    <mergeCell ref="AE173:AG173"/>
    <mergeCell ref="AH174:AJ174"/>
    <mergeCell ref="AK174:AN174"/>
    <mergeCell ref="AO174:AV174"/>
    <mergeCell ref="AW174:AY174"/>
    <mergeCell ref="AZ174:BO174"/>
    <mergeCell ref="B174:C174"/>
    <mergeCell ref="D174:H174"/>
    <mergeCell ref="I174:P174"/>
    <mergeCell ref="Q174:X174"/>
    <mergeCell ref="Y174:Z174"/>
    <mergeCell ref="AA174:AD174"/>
    <mergeCell ref="AE174:AG174"/>
    <mergeCell ref="AH171:AJ171"/>
    <mergeCell ref="AK171:AN171"/>
    <mergeCell ref="AO171:AV171"/>
    <mergeCell ref="AW171:AY171"/>
    <mergeCell ref="AZ171:BO171"/>
    <mergeCell ref="B171:C171"/>
    <mergeCell ref="D171:H171"/>
    <mergeCell ref="I171:P171"/>
    <mergeCell ref="Q171:X171"/>
    <mergeCell ref="Y171:Z171"/>
    <mergeCell ref="AA171:AD171"/>
    <mergeCell ref="AE171:AG171"/>
    <mergeCell ref="AH172:AJ172"/>
    <mergeCell ref="AK172:AN172"/>
    <mergeCell ref="AO172:AV172"/>
    <mergeCell ref="AW172:AY172"/>
    <mergeCell ref="AZ172:BO172"/>
    <mergeCell ref="B172:C172"/>
    <mergeCell ref="D172:H172"/>
    <mergeCell ref="I172:P172"/>
    <mergeCell ref="Q172:X172"/>
    <mergeCell ref="Y172:Z172"/>
    <mergeCell ref="AA172:AD172"/>
    <mergeCell ref="AE172:AG172"/>
    <mergeCell ref="AH169:AJ169"/>
    <mergeCell ref="AK169:AN169"/>
    <mergeCell ref="AO169:AV169"/>
    <mergeCell ref="AW169:AY169"/>
    <mergeCell ref="AZ169:BO169"/>
    <mergeCell ref="B169:C169"/>
    <mergeCell ref="D169:H169"/>
    <mergeCell ref="I169:P169"/>
    <mergeCell ref="Q169:X169"/>
    <mergeCell ref="Y169:Z169"/>
    <mergeCell ref="AA169:AD169"/>
    <mergeCell ref="AE169:AG169"/>
    <mergeCell ref="AH170:AJ170"/>
    <mergeCell ref="AK170:AN170"/>
    <mergeCell ref="AO170:AV170"/>
    <mergeCell ref="AW170:AY170"/>
    <mergeCell ref="AZ170:BO170"/>
    <mergeCell ref="B170:C170"/>
    <mergeCell ref="D170:H170"/>
    <mergeCell ref="I170:P170"/>
    <mergeCell ref="Q170:X170"/>
    <mergeCell ref="Y170:Z170"/>
    <mergeCell ref="AA170:AD170"/>
    <mergeCell ref="AE170:AG170"/>
    <mergeCell ref="AH167:AJ167"/>
    <mergeCell ref="AK167:AN167"/>
    <mergeCell ref="AO167:AV167"/>
    <mergeCell ref="AW167:AY167"/>
    <mergeCell ref="AZ167:BO167"/>
    <mergeCell ref="B167:C167"/>
    <mergeCell ref="D167:H167"/>
    <mergeCell ref="I167:P167"/>
    <mergeCell ref="Q167:X167"/>
    <mergeCell ref="Y167:Z167"/>
    <mergeCell ref="AA167:AD167"/>
    <mergeCell ref="AE167:AG167"/>
    <mergeCell ref="AH168:AJ168"/>
    <mergeCell ref="AK168:AN168"/>
    <mergeCell ref="AO168:AV168"/>
    <mergeCell ref="AW168:AY168"/>
    <mergeCell ref="AZ168:BO168"/>
    <mergeCell ref="B168:C168"/>
    <mergeCell ref="D168:H168"/>
    <mergeCell ref="I168:P168"/>
    <mergeCell ref="Q168:X168"/>
    <mergeCell ref="Y168:Z168"/>
    <mergeCell ref="AA168:AD168"/>
    <mergeCell ref="AE168:AG168"/>
    <mergeCell ref="AH165:AJ165"/>
    <mergeCell ref="AK165:AN165"/>
    <mergeCell ref="AO165:AV165"/>
    <mergeCell ref="AW165:AY165"/>
    <mergeCell ref="AZ165:BO165"/>
    <mergeCell ref="B165:C165"/>
    <mergeCell ref="D165:H165"/>
    <mergeCell ref="I165:P165"/>
    <mergeCell ref="Q165:X165"/>
    <mergeCell ref="Y165:Z165"/>
    <mergeCell ref="AA165:AD165"/>
    <mergeCell ref="AE165:AG165"/>
    <mergeCell ref="AH166:AJ166"/>
    <mergeCell ref="AK166:AN166"/>
    <mergeCell ref="AO166:AV166"/>
    <mergeCell ref="AW166:AY166"/>
    <mergeCell ref="AZ166:BO166"/>
    <mergeCell ref="B166:C166"/>
    <mergeCell ref="D166:H166"/>
    <mergeCell ref="I166:P166"/>
    <mergeCell ref="Q166:X166"/>
    <mergeCell ref="Y166:Z166"/>
    <mergeCell ref="AA166:AD166"/>
    <mergeCell ref="AE166:AG166"/>
    <mergeCell ref="AH163:AJ163"/>
    <mergeCell ref="AK163:AN163"/>
    <mergeCell ref="AO163:AV163"/>
    <mergeCell ref="AW163:AY163"/>
    <mergeCell ref="AZ163:BO163"/>
    <mergeCell ref="B163:C163"/>
    <mergeCell ref="D163:H163"/>
    <mergeCell ref="I163:P163"/>
    <mergeCell ref="Q163:X163"/>
    <mergeCell ref="Y163:Z163"/>
    <mergeCell ref="AA163:AD163"/>
    <mergeCell ref="AE163:AG163"/>
    <mergeCell ref="AH164:AJ164"/>
    <mergeCell ref="AK164:AN164"/>
    <mergeCell ref="AO164:AV164"/>
    <mergeCell ref="AW164:AY164"/>
    <mergeCell ref="AZ164:BO164"/>
    <mergeCell ref="B164:C164"/>
    <mergeCell ref="D164:H164"/>
    <mergeCell ref="I164:P164"/>
    <mergeCell ref="Q164:X164"/>
    <mergeCell ref="Y164:Z164"/>
    <mergeCell ref="AA164:AD164"/>
    <mergeCell ref="AE164:AG164"/>
    <mergeCell ref="AH161:AJ161"/>
    <mergeCell ref="AK161:AN161"/>
    <mergeCell ref="AO161:AV161"/>
    <mergeCell ref="AW161:AY161"/>
    <mergeCell ref="AZ161:BO161"/>
    <mergeCell ref="B161:C161"/>
    <mergeCell ref="D161:H161"/>
    <mergeCell ref="I161:P161"/>
    <mergeCell ref="Q161:X161"/>
    <mergeCell ref="Y161:Z161"/>
    <mergeCell ref="AA161:AD161"/>
    <mergeCell ref="AE161:AG161"/>
    <mergeCell ref="AH162:AJ162"/>
    <mergeCell ref="AK162:AN162"/>
    <mergeCell ref="AO162:AV162"/>
    <mergeCell ref="AW162:AY162"/>
    <mergeCell ref="AZ162:BO162"/>
    <mergeCell ref="B162:C162"/>
    <mergeCell ref="D162:H162"/>
    <mergeCell ref="I162:P162"/>
    <mergeCell ref="Q162:X162"/>
    <mergeCell ref="Y162:Z162"/>
    <mergeCell ref="AA162:AD162"/>
    <mergeCell ref="AE162:AG162"/>
    <mergeCell ref="AH159:AJ159"/>
    <mergeCell ref="AK159:AN159"/>
    <mergeCell ref="AO159:AV159"/>
    <mergeCell ref="AW159:AY159"/>
    <mergeCell ref="AZ159:BO159"/>
    <mergeCell ref="B159:C159"/>
    <mergeCell ref="D159:H159"/>
    <mergeCell ref="I159:P159"/>
    <mergeCell ref="Q159:X159"/>
    <mergeCell ref="Y159:Z159"/>
    <mergeCell ref="AA159:AD159"/>
    <mergeCell ref="AE159:AG159"/>
    <mergeCell ref="AH160:AJ160"/>
    <mergeCell ref="AK160:AN160"/>
    <mergeCell ref="AO160:AV160"/>
    <mergeCell ref="AW160:AY160"/>
    <mergeCell ref="AZ160:BO160"/>
    <mergeCell ref="B160:C160"/>
    <mergeCell ref="D160:H160"/>
    <mergeCell ref="I160:P160"/>
    <mergeCell ref="Q160:X160"/>
    <mergeCell ref="Y160:Z160"/>
    <mergeCell ref="AA160:AD160"/>
    <mergeCell ref="AE160:AG160"/>
    <mergeCell ref="AH157:AJ157"/>
    <mergeCell ref="AK157:AN157"/>
    <mergeCell ref="AO157:AV157"/>
    <mergeCell ref="AW157:AY157"/>
    <mergeCell ref="AZ157:BO157"/>
    <mergeCell ref="B157:C157"/>
    <mergeCell ref="D157:H157"/>
    <mergeCell ref="I157:P157"/>
    <mergeCell ref="Q157:X157"/>
    <mergeCell ref="Y157:Z157"/>
    <mergeCell ref="AA157:AD157"/>
    <mergeCell ref="AE157:AG157"/>
    <mergeCell ref="AH158:AJ158"/>
    <mergeCell ref="AK158:AN158"/>
    <mergeCell ref="AO158:AV158"/>
    <mergeCell ref="AW158:AY158"/>
    <mergeCell ref="AZ158:BO158"/>
    <mergeCell ref="B158:C158"/>
    <mergeCell ref="D158:H158"/>
    <mergeCell ref="I158:P158"/>
    <mergeCell ref="Q158:X158"/>
    <mergeCell ref="Y158:Z158"/>
    <mergeCell ref="AA158:AD158"/>
    <mergeCell ref="AE158:AG158"/>
    <mergeCell ref="AH155:AJ155"/>
    <mergeCell ref="AK155:AN155"/>
    <mergeCell ref="AO155:AV155"/>
    <mergeCell ref="AW155:AY155"/>
    <mergeCell ref="AZ155:BO155"/>
    <mergeCell ref="B155:C155"/>
    <mergeCell ref="D155:H155"/>
    <mergeCell ref="I155:P155"/>
    <mergeCell ref="Q155:X155"/>
    <mergeCell ref="Y155:Z155"/>
    <mergeCell ref="AA155:AD155"/>
    <mergeCell ref="AE155:AG155"/>
    <mergeCell ref="AH156:AJ156"/>
    <mergeCell ref="AK156:AN156"/>
    <mergeCell ref="AO156:AV156"/>
    <mergeCell ref="AW156:AY156"/>
    <mergeCell ref="AZ156:BO156"/>
    <mergeCell ref="B156:C156"/>
    <mergeCell ref="D156:H156"/>
    <mergeCell ref="I156:P156"/>
    <mergeCell ref="Q156:X156"/>
    <mergeCell ref="Y156:Z156"/>
    <mergeCell ref="AA156:AD156"/>
    <mergeCell ref="AE156:AG156"/>
    <mergeCell ref="AH153:AJ153"/>
    <mergeCell ref="AK153:AN153"/>
    <mergeCell ref="AO153:AV153"/>
    <mergeCell ref="AW153:AY153"/>
    <mergeCell ref="AZ153:BO153"/>
    <mergeCell ref="B153:C153"/>
    <mergeCell ref="D153:H153"/>
    <mergeCell ref="I153:P153"/>
    <mergeCell ref="Q153:X153"/>
    <mergeCell ref="Y153:Z153"/>
    <mergeCell ref="AA153:AD153"/>
    <mergeCell ref="AE153:AG153"/>
    <mergeCell ref="AH154:AJ154"/>
    <mergeCell ref="AK154:AN154"/>
    <mergeCell ref="AO154:AV154"/>
    <mergeCell ref="AW154:AY154"/>
    <mergeCell ref="AZ154:BO154"/>
    <mergeCell ref="B154:C154"/>
    <mergeCell ref="D154:H154"/>
    <mergeCell ref="I154:P154"/>
    <mergeCell ref="Q154:X154"/>
    <mergeCell ref="Y154:Z154"/>
    <mergeCell ref="AA154:AD154"/>
    <mergeCell ref="AE154:AG154"/>
    <mergeCell ref="AH151:AJ151"/>
    <mergeCell ref="AK151:AN151"/>
    <mergeCell ref="AO151:AV151"/>
    <mergeCell ref="AW151:AY151"/>
    <mergeCell ref="AZ151:BO151"/>
    <mergeCell ref="B151:C151"/>
    <mergeCell ref="D151:H151"/>
    <mergeCell ref="I151:P151"/>
    <mergeCell ref="Q151:X151"/>
    <mergeCell ref="Y151:Z151"/>
    <mergeCell ref="AA151:AD151"/>
    <mergeCell ref="AE151:AG151"/>
    <mergeCell ref="AH152:AJ152"/>
    <mergeCell ref="AK152:AN152"/>
    <mergeCell ref="AO152:AV152"/>
    <mergeCell ref="AW152:AY152"/>
    <mergeCell ref="AZ152:BO152"/>
    <mergeCell ref="B152:C152"/>
    <mergeCell ref="D152:H152"/>
    <mergeCell ref="I152:P152"/>
    <mergeCell ref="Q152:X152"/>
    <mergeCell ref="Y152:Z152"/>
    <mergeCell ref="AA152:AD152"/>
    <mergeCell ref="AE152:AG152"/>
    <mergeCell ref="AH149:AJ149"/>
    <mergeCell ref="AK149:AN149"/>
    <mergeCell ref="AO149:AV149"/>
    <mergeCell ref="AW149:AY149"/>
    <mergeCell ref="AZ149:BO149"/>
    <mergeCell ref="B149:C149"/>
    <mergeCell ref="D149:H149"/>
    <mergeCell ref="I149:P149"/>
    <mergeCell ref="Q149:X149"/>
    <mergeCell ref="Y149:Z149"/>
    <mergeCell ref="AA149:AD149"/>
    <mergeCell ref="AE149:AG149"/>
    <mergeCell ref="AH150:AJ150"/>
    <mergeCell ref="AK150:AN150"/>
    <mergeCell ref="AO150:AV150"/>
    <mergeCell ref="AW150:AY150"/>
    <mergeCell ref="AZ150:BO150"/>
    <mergeCell ref="B150:C150"/>
    <mergeCell ref="D150:H150"/>
    <mergeCell ref="I150:P150"/>
    <mergeCell ref="Q150:X150"/>
    <mergeCell ref="Y150:Z150"/>
    <mergeCell ref="AA150:AD150"/>
    <mergeCell ref="AE150:AG150"/>
    <mergeCell ref="AH147:AJ147"/>
    <mergeCell ref="AK147:AN147"/>
    <mergeCell ref="AO147:AV147"/>
    <mergeCell ref="AW147:AY147"/>
    <mergeCell ref="AZ147:BO147"/>
    <mergeCell ref="B147:C147"/>
    <mergeCell ref="D147:H147"/>
    <mergeCell ref="I147:P147"/>
    <mergeCell ref="Q147:X147"/>
    <mergeCell ref="Y147:Z147"/>
    <mergeCell ref="AA147:AD147"/>
    <mergeCell ref="AE147:AG147"/>
    <mergeCell ref="AH148:AJ148"/>
    <mergeCell ref="AK148:AN148"/>
    <mergeCell ref="AO148:AV148"/>
    <mergeCell ref="AW148:AY148"/>
    <mergeCell ref="AZ148:BO148"/>
    <mergeCell ref="B148:C148"/>
    <mergeCell ref="D148:H148"/>
    <mergeCell ref="I148:P148"/>
    <mergeCell ref="Q148:X148"/>
    <mergeCell ref="Y148:Z148"/>
    <mergeCell ref="AA148:AD148"/>
    <mergeCell ref="AE148:AG148"/>
    <mergeCell ref="AH145:AJ145"/>
    <mergeCell ref="AK145:AN145"/>
    <mergeCell ref="AO145:AV145"/>
    <mergeCell ref="AW145:AY145"/>
    <mergeCell ref="AZ145:BO145"/>
    <mergeCell ref="B145:C145"/>
    <mergeCell ref="D145:H145"/>
    <mergeCell ref="I145:P145"/>
    <mergeCell ref="Q145:X145"/>
    <mergeCell ref="Y145:Z145"/>
    <mergeCell ref="AA145:AD145"/>
    <mergeCell ref="AE145:AG145"/>
    <mergeCell ref="AH146:AJ146"/>
    <mergeCell ref="AK146:AN146"/>
    <mergeCell ref="AO146:AV146"/>
    <mergeCell ref="AW146:AY146"/>
    <mergeCell ref="AZ146:BO146"/>
    <mergeCell ref="B146:C146"/>
    <mergeCell ref="D146:H146"/>
    <mergeCell ref="I146:P146"/>
    <mergeCell ref="Q146:X146"/>
    <mergeCell ref="Y146:Z146"/>
    <mergeCell ref="AA146:AD146"/>
    <mergeCell ref="AE146:AG146"/>
    <mergeCell ref="AH143:AJ143"/>
    <mergeCell ref="AK143:AN143"/>
    <mergeCell ref="AO143:AV143"/>
    <mergeCell ref="AW143:AY143"/>
    <mergeCell ref="AZ143:BO143"/>
    <mergeCell ref="B143:C143"/>
    <mergeCell ref="D143:H143"/>
    <mergeCell ref="I143:P143"/>
    <mergeCell ref="Q143:X143"/>
    <mergeCell ref="Y143:Z143"/>
    <mergeCell ref="AA143:AD143"/>
    <mergeCell ref="AE143:AG143"/>
    <mergeCell ref="AH144:AJ144"/>
    <mergeCell ref="AK144:AN144"/>
    <mergeCell ref="AO144:AV144"/>
    <mergeCell ref="AW144:AY144"/>
    <mergeCell ref="AZ144:BO144"/>
    <mergeCell ref="B144:C144"/>
    <mergeCell ref="D144:H144"/>
    <mergeCell ref="I144:P144"/>
    <mergeCell ref="Q144:X144"/>
    <mergeCell ref="Y144:Z144"/>
    <mergeCell ref="AA144:AD144"/>
    <mergeCell ref="AE144:AG144"/>
    <mergeCell ref="AH141:AJ141"/>
    <mergeCell ref="AK141:AN141"/>
    <mergeCell ref="AO141:AV141"/>
    <mergeCell ref="AW141:AY141"/>
    <mergeCell ref="AZ141:BO141"/>
    <mergeCell ref="B141:C141"/>
    <mergeCell ref="D141:H141"/>
    <mergeCell ref="I141:P141"/>
    <mergeCell ref="Q141:X141"/>
    <mergeCell ref="Y141:Z141"/>
    <mergeCell ref="AA141:AD141"/>
    <mergeCell ref="AE141:AG141"/>
    <mergeCell ref="AH142:AJ142"/>
    <mergeCell ref="AK142:AN142"/>
    <mergeCell ref="AO142:AV142"/>
    <mergeCell ref="AW142:AY142"/>
    <mergeCell ref="AZ142:BO142"/>
    <mergeCell ref="B142:C142"/>
    <mergeCell ref="D142:H142"/>
    <mergeCell ref="I142:P142"/>
    <mergeCell ref="Q142:X142"/>
    <mergeCell ref="Y142:Z142"/>
    <mergeCell ref="AA142:AD142"/>
    <mergeCell ref="AE142:AG142"/>
    <mergeCell ref="AH139:AJ139"/>
    <mergeCell ref="AK139:AN139"/>
    <mergeCell ref="AO139:AV139"/>
    <mergeCell ref="AW139:AY139"/>
    <mergeCell ref="AZ139:BO139"/>
    <mergeCell ref="B139:C139"/>
    <mergeCell ref="D139:H139"/>
    <mergeCell ref="I139:P139"/>
    <mergeCell ref="Q139:X139"/>
    <mergeCell ref="Y139:Z139"/>
    <mergeCell ref="AA139:AD139"/>
    <mergeCell ref="AE139:AG139"/>
    <mergeCell ref="AH140:AJ140"/>
    <mergeCell ref="AK140:AN140"/>
    <mergeCell ref="AO140:AV140"/>
    <mergeCell ref="AW140:AY140"/>
    <mergeCell ref="AZ140:BO140"/>
    <mergeCell ref="B140:C140"/>
    <mergeCell ref="D140:H140"/>
    <mergeCell ref="I140:P140"/>
    <mergeCell ref="Q140:X140"/>
    <mergeCell ref="Y140:Z140"/>
    <mergeCell ref="AA140:AD140"/>
    <mergeCell ref="AE140:AG140"/>
    <mergeCell ref="AH137:AJ137"/>
    <mergeCell ref="AK137:AN137"/>
    <mergeCell ref="AO137:AV137"/>
    <mergeCell ref="AW137:AY137"/>
    <mergeCell ref="AZ137:BO137"/>
    <mergeCell ref="B137:C137"/>
    <mergeCell ref="D137:H137"/>
    <mergeCell ref="I137:P137"/>
    <mergeCell ref="Q137:X137"/>
    <mergeCell ref="Y137:Z137"/>
    <mergeCell ref="AA137:AD137"/>
    <mergeCell ref="AE137:AG137"/>
    <mergeCell ref="AH138:AJ138"/>
    <mergeCell ref="AK138:AN138"/>
    <mergeCell ref="AO138:AV138"/>
    <mergeCell ref="AW138:AY138"/>
    <mergeCell ref="AZ138:BO138"/>
    <mergeCell ref="B138:C138"/>
    <mergeCell ref="D138:H138"/>
    <mergeCell ref="I138:P138"/>
    <mergeCell ref="Q138:X138"/>
    <mergeCell ref="Y138:Z138"/>
    <mergeCell ref="AA138:AD138"/>
    <mergeCell ref="AE138:AG138"/>
    <mergeCell ref="AH135:AJ135"/>
    <mergeCell ref="AK135:AN135"/>
    <mergeCell ref="AO135:AV135"/>
    <mergeCell ref="AW135:AY135"/>
    <mergeCell ref="AZ135:BO135"/>
    <mergeCell ref="B135:C135"/>
    <mergeCell ref="D135:H135"/>
    <mergeCell ref="I135:P135"/>
    <mergeCell ref="Q135:X135"/>
    <mergeCell ref="Y135:Z135"/>
    <mergeCell ref="AA135:AD135"/>
    <mergeCell ref="AE135:AG135"/>
    <mergeCell ref="AH136:AJ136"/>
    <mergeCell ref="AK136:AN136"/>
    <mergeCell ref="AO136:AV136"/>
    <mergeCell ref="AW136:AY136"/>
    <mergeCell ref="AZ136:BO136"/>
    <mergeCell ref="B136:C136"/>
    <mergeCell ref="D136:H136"/>
    <mergeCell ref="I136:P136"/>
    <mergeCell ref="Q136:X136"/>
    <mergeCell ref="Y136:Z136"/>
    <mergeCell ref="AA136:AD136"/>
    <mergeCell ref="AE136:AG136"/>
    <mergeCell ref="AH133:AJ133"/>
    <mergeCell ref="AK133:AN133"/>
    <mergeCell ref="AO133:AV133"/>
    <mergeCell ref="AW133:AY133"/>
    <mergeCell ref="AZ133:BO133"/>
    <mergeCell ref="B133:C133"/>
    <mergeCell ref="D133:H133"/>
    <mergeCell ref="I133:P133"/>
    <mergeCell ref="Q133:X133"/>
    <mergeCell ref="Y133:Z133"/>
    <mergeCell ref="AA133:AD133"/>
    <mergeCell ref="AE133:AG133"/>
    <mergeCell ref="AH134:AJ134"/>
    <mergeCell ref="AK134:AN134"/>
    <mergeCell ref="AO134:AV134"/>
    <mergeCell ref="AW134:AY134"/>
    <mergeCell ref="AZ134:BO134"/>
    <mergeCell ref="B134:C134"/>
    <mergeCell ref="D134:H134"/>
    <mergeCell ref="I134:P134"/>
    <mergeCell ref="Q134:X134"/>
    <mergeCell ref="Y134:Z134"/>
    <mergeCell ref="AA134:AD134"/>
    <mergeCell ref="AE134:AG134"/>
    <mergeCell ref="AH131:AJ131"/>
    <mergeCell ref="AK131:AN131"/>
    <mergeCell ref="AO131:AV131"/>
    <mergeCell ref="AW131:AY131"/>
    <mergeCell ref="AZ131:BO131"/>
    <mergeCell ref="B131:C131"/>
    <mergeCell ref="D131:H131"/>
    <mergeCell ref="I131:P131"/>
    <mergeCell ref="Q131:X131"/>
    <mergeCell ref="Y131:Z131"/>
    <mergeCell ref="AA131:AD131"/>
    <mergeCell ref="AE131:AG131"/>
    <mergeCell ref="AH132:AJ132"/>
    <mergeCell ref="AK132:AN132"/>
    <mergeCell ref="AO132:AV132"/>
    <mergeCell ref="AW132:AY132"/>
    <mergeCell ref="AZ132:BO132"/>
    <mergeCell ref="B132:C132"/>
    <mergeCell ref="D132:H132"/>
    <mergeCell ref="I132:P132"/>
    <mergeCell ref="Q132:X132"/>
    <mergeCell ref="Y132:Z132"/>
    <mergeCell ref="AA132:AD132"/>
    <mergeCell ref="AE132:AG132"/>
    <mergeCell ref="AH129:AJ129"/>
    <mergeCell ref="AK129:AN129"/>
    <mergeCell ref="AO129:AV129"/>
    <mergeCell ref="AW129:AY129"/>
    <mergeCell ref="AZ129:BO129"/>
    <mergeCell ref="B129:C129"/>
    <mergeCell ref="D129:H129"/>
    <mergeCell ref="I129:P129"/>
    <mergeCell ref="Q129:X129"/>
    <mergeCell ref="Y129:Z129"/>
    <mergeCell ref="AA129:AD129"/>
    <mergeCell ref="AE129:AG129"/>
    <mergeCell ref="AH130:AJ130"/>
    <mergeCell ref="AK130:AN130"/>
    <mergeCell ref="AO130:AV130"/>
    <mergeCell ref="AW130:AY130"/>
    <mergeCell ref="AZ130:BO130"/>
    <mergeCell ref="B130:C130"/>
    <mergeCell ref="D130:H130"/>
    <mergeCell ref="I130:P130"/>
    <mergeCell ref="Q130:X130"/>
    <mergeCell ref="Y130:Z130"/>
    <mergeCell ref="AA130:AD130"/>
    <mergeCell ref="AE130:AG130"/>
    <mergeCell ref="AH127:AJ127"/>
    <mergeCell ref="AK127:AN127"/>
    <mergeCell ref="AO127:AV127"/>
    <mergeCell ref="AW127:AY127"/>
    <mergeCell ref="AZ127:BO127"/>
    <mergeCell ref="B127:C127"/>
    <mergeCell ref="D127:H127"/>
    <mergeCell ref="I127:P127"/>
    <mergeCell ref="Q127:X127"/>
    <mergeCell ref="Y127:Z127"/>
    <mergeCell ref="AA127:AD127"/>
    <mergeCell ref="AE127:AG127"/>
    <mergeCell ref="AH128:AJ128"/>
    <mergeCell ref="AK128:AN128"/>
    <mergeCell ref="AO128:AV128"/>
    <mergeCell ref="AW128:AY128"/>
    <mergeCell ref="AZ128:BO128"/>
    <mergeCell ref="B128:C128"/>
    <mergeCell ref="D128:H128"/>
    <mergeCell ref="I128:P128"/>
    <mergeCell ref="Q128:X128"/>
    <mergeCell ref="Y128:Z128"/>
    <mergeCell ref="AA128:AD128"/>
    <mergeCell ref="AE128:AG128"/>
    <mergeCell ref="AH125:AJ125"/>
    <mergeCell ref="AK125:AN125"/>
    <mergeCell ref="AO125:AV125"/>
    <mergeCell ref="AW125:AY125"/>
    <mergeCell ref="AZ125:BO125"/>
    <mergeCell ref="B125:C125"/>
    <mergeCell ref="D125:H125"/>
    <mergeCell ref="I125:P125"/>
    <mergeCell ref="Q125:X125"/>
    <mergeCell ref="Y125:Z125"/>
    <mergeCell ref="AA125:AD125"/>
    <mergeCell ref="AE125:AG125"/>
    <mergeCell ref="AH126:AJ126"/>
    <mergeCell ref="AK126:AN126"/>
    <mergeCell ref="AO126:AV126"/>
    <mergeCell ref="AW126:AY126"/>
    <mergeCell ref="AZ126:BO126"/>
    <mergeCell ref="B126:C126"/>
    <mergeCell ref="D126:H126"/>
    <mergeCell ref="I126:P126"/>
    <mergeCell ref="Q126:X126"/>
    <mergeCell ref="Y126:Z126"/>
    <mergeCell ref="AA126:AD126"/>
    <mergeCell ref="AE126:AG126"/>
    <mergeCell ref="AH123:AJ123"/>
    <mergeCell ref="AK123:AN123"/>
    <mergeCell ref="AO123:AV123"/>
    <mergeCell ref="AW123:AY123"/>
    <mergeCell ref="AZ123:BO123"/>
    <mergeCell ref="B123:C123"/>
    <mergeCell ref="D123:H123"/>
    <mergeCell ref="I123:P123"/>
    <mergeCell ref="Q123:X123"/>
    <mergeCell ref="Y123:Z123"/>
    <mergeCell ref="AA123:AD123"/>
    <mergeCell ref="AE123:AG123"/>
    <mergeCell ref="AH124:AJ124"/>
    <mergeCell ref="AK124:AN124"/>
    <mergeCell ref="AO124:AV124"/>
    <mergeCell ref="AW124:AY124"/>
    <mergeCell ref="AZ124:BO124"/>
    <mergeCell ref="B124:C124"/>
    <mergeCell ref="D124:H124"/>
    <mergeCell ref="I124:P124"/>
    <mergeCell ref="Q124:X124"/>
    <mergeCell ref="Y124:Z124"/>
    <mergeCell ref="AA124:AD124"/>
    <mergeCell ref="AE124:AG124"/>
    <mergeCell ref="AH121:AJ121"/>
    <mergeCell ref="AK121:AN121"/>
    <mergeCell ref="AO121:AV121"/>
    <mergeCell ref="AW121:AY121"/>
    <mergeCell ref="AZ121:BO121"/>
    <mergeCell ref="B121:C121"/>
    <mergeCell ref="D121:H121"/>
    <mergeCell ref="I121:P121"/>
    <mergeCell ref="Q121:X121"/>
    <mergeCell ref="Y121:Z121"/>
    <mergeCell ref="AA121:AD121"/>
    <mergeCell ref="AE121:AG121"/>
    <mergeCell ref="AH122:AJ122"/>
    <mergeCell ref="AK122:AN122"/>
    <mergeCell ref="AO122:AV122"/>
    <mergeCell ref="AW122:AY122"/>
    <mergeCell ref="AZ122:BO122"/>
    <mergeCell ref="B122:C122"/>
    <mergeCell ref="D122:H122"/>
    <mergeCell ref="I122:P122"/>
    <mergeCell ref="Q122:X122"/>
    <mergeCell ref="Y122:Z122"/>
    <mergeCell ref="AA122:AD122"/>
    <mergeCell ref="AE122:AG122"/>
    <mergeCell ref="AH119:AJ119"/>
    <mergeCell ref="AK119:AN119"/>
    <mergeCell ref="AO119:AV119"/>
    <mergeCell ref="AW119:AY119"/>
    <mergeCell ref="AZ119:BO119"/>
    <mergeCell ref="B119:C119"/>
    <mergeCell ref="D119:H119"/>
    <mergeCell ref="I119:P119"/>
    <mergeCell ref="Q119:X119"/>
    <mergeCell ref="Y119:Z119"/>
    <mergeCell ref="AA119:AD119"/>
    <mergeCell ref="AE119:AG119"/>
    <mergeCell ref="AH120:AJ120"/>
    <mergeCell ref="AK120:AN120"/>
    <mergeCell ref="AO120:AV120"/>
    <mergeCell ref="AW120:AY120"/>
    <mergeCell ref="AZ120:BO120"/>
    <mergeCell ref="B120:C120"/>
    <mergeCell ref="D120:H120"/>
    <mergeCell ref="I120:P120"/>
    <mergeCell ref="Q120:X120"/>
    <mergeCell ref="Y120:Z120"/>
    <mergeCell ref="AA120:AD120"/>
    <mergeCell ref="AE120:AG120"/>
    <mergeCell ref="AH117:AJ117"/>
    <mergeCell ref="AK117:AN117"/>
    <mergeCell ref="AO117:AV117"/>
    <mergeCell ref="AW117:AY117"/>
    <mergeCell ref="AZ117:BO117"/>
    <mergeCell ref="B117:C117"/>
    <mergeCell ref="D117:H117"/>
    <mergeCell ref="I117:P117"/>
    <mergeCell ref="Q117:X117"/>
    <mergeCell ref="Y117:Z117"/>
    <mergeCell ref="AA117:AD117"/>
    <mergeCell ref="AE117:AG117"/>
    <mergeCell ref="AH118:AJ118"/>
    <mergeCell ref="AK118:AN118"/>
    <mergeCell ref="AO118:AV118"/>
    <mergeCell ref="AW118:AY118"/>
    <mergeCell ref="AZ118:BO118"/>
    <mergeCell ref="B118:C118"/>
    <mergeCell ref="D118:H118"/>
    <mergeCell ref="I118:P118"/>
    <mergeCell ref="Q118:X118"/>
    <mergeCell ref="Y118:Z118"/>
    <mergeCell ref="AA118:AD118"/>
    <mergeCell ref="AE118:AG118"/>
    <mergeCell ref="AH115:AJ115"/>
    <mergeCell ref="AK115:AN115"/>
    <mergeCell ref="AO115:AV115"/>
    <mergeCell ref="AW115:AY115"/>
    <mergeCell ref="AZ115:BO115"/>
    <mergeCell ref="B115:C115"/>
    <mergeCell ref="D115:H115"/>
    <mergeCell ref="I115:P115"/>
    <mergeCell ref="Q115:X115"/>
    <mergeCell ref="Y115:Z115"/>
    <mergeCell ref="AA115:AD115"/>
    <mergeCell ref="AE115:AG115"/>
    <mergeCell ref="AH116:AJ116"/>
    <mergeCell ref="AK116:AN116"/>
    <mergeCell ref="AO116:AV116"/>
    <mergeCell ref="AW116:AY116"/>
    <mergeCell ref="AZ116:BO116"/>
    <mergeCell ref="B116:C116"/>
    <mergeCell ref="D116:H116"/>
    <mergeCell ref="I116:P116"/>
    <mergeCell ref="Q116:X116"/>
    <mergeCell ref="Y116:Z116"/>
    <mergeCell ref="AA116:AD116"/>
    <mergeCell ref="AE116:AG116"/>
    <mergeCell ref="AH113:AJ113"/>
    <mergeCell ref="AK113:AN113"/>
    <mergeCell ref="AO113:AV113"/>
    <mergeCell ref="AW113:AY113"/>
    <mergeCell ref="AZ113:BO113"/>
    <mergeCell ref="B113:C113"/>
    <mergeCell ref="D113:H113"/>
    <mergeCell ref="I113:P113"/>
    <mergeCell ref="Q113:X113"/>
    <mergeCell ref="Y113:Z113"/>
    <mergeCell ref="AA113:AD113"/>
    <mergeCell ref="AE113:AG113"/>
    <mergeCell ref="AH114:AJ114"/>
    <mergeCell ref="AK114:AN114"/>
    <mergeCell ref="AO114:AV114"/>
    <mergeCell ref="AW114:AY114"/>
    <mergeCell ref="AZ114:BO114"/>
    <mergeCell ref="B114:C114"/>
    <mergeCell ref="D114:H114"/>
    <mergeCell ref="I114:P114"/>
    <mergeCell ref="Q114:X114"/>
    <mergeCell ref="Y114:Z114"/>
    <mergeCell ref="AA114:AD114"/>
    <mergeCell ref="AE114:AG114"/>
    <mergeCell ref="AH111:AJ111"/>
    <mergeCell ref="AK111:AN111"/>
    <mergeCell ref="AO111:AV111"/>
    <mergeCell ref="AW111:AY111"/>
    <mergeCell ref="AZ111:BO111"/>
    <mergeCell ref="B111:C111"/>
    <mergeCell ref="D111:H111"/>
    <mergeCell ref="I111:P111"/>
    <mergeCell ref="Q111:X111"/>
    <mergeCell ref="Y111:Z111"/>
    <mergeCell ref="AA111:AD111"/>
    <mergeCell ref="AE111:AG111"/>
    <mergeCell ref="AH112:AJ112"/>
    <mergeCell ref="AK112:AN112"/>
    <mergeCell ref="AO112:AV112"/>
    <mergeCell ref="AW112:AY112"/>
    <mergeCell ref="AZ112:BO112"/>
    <mergeCell ref="B112:C112"/>
    <mergeCell ref="D112:H112"/>
    <mergeCell ref="I112:P112"/>
    <mergeCell ref="Q112:X112"/>
    <mergeCell ref="Y112:Z112"/>
    <mergeCell ref="AA112:AD112"/>
    <mergeCell ref="AE112:AG112"/>
    <mergeCell ref="AH109:AJ109"/>
    <mergeCell ref="AK109:AN109"/>
    <mergeCell ref="AO109:AV109"/>
    <mergeCell ref="AW109:AY109"/>
    <mergeCell ref="AZ109:BO109"/>
    <mergeCell ref="B109:C109"/>
    <mergeCell ref="D109:H109"/>
    <mergeCell ref="I109:P109"/>
    <mergeCell ref="Q109:X109"/>
    <mergeCell ref="Y109:Z109"/>
    <mergeCell ref="AA109:AD109"/>
    <mergeCell ref="AE109:AG109"/>
    <mergeCell ref="AH110:AJ110"/>
    <mergeCell ref="AK110:AN110"/>
    <mergeCell ref="AO110:AV110"/>
    <mergeCell ref="AW110:AY110"/>
    <mergeCell ref="AZ110:BO110"/>
    <mergeCell ref="B110:C110"/>
    <mergeCell ref="D110:H110"/>
    <mergeCell ref="I110:P110"/>
    <mergeCell ref="Q110:X110"/>
    <mergeCell ref="Y110:Z110"/>
    <mergeCell ref="AA110:AD110"/>
    <mergeCell ref="AE110:AG110"/>
    <mergeCell ref="AH107:AJ107"/>
    <mergeCell ref="AK107:AN107"/>
    <mergeCell ref="AO107:AV107"/>
    <mergeCell ref="AW107:AY107"/>
    <mergeCell ref="AZ107:BO107"/>
    <mergeCell ref="B107:C107"/>
    <mergeCell ref="D107:H107"/>
    <mergeCell ref="I107:P107"/>
    <mergeCell ref="Q107:X107"/>
    <mergeCell ref="Y107:Z107"/>
    <mergeCell ref="AA107:AD107"/>
    <mergeCell ref="AE107:AG107"/>
    <mergeCell ref="AH108:AJ108"/>
    <mergeCell ref="AK108:AN108"/>
    <mergeCell ref="AO108:AV108"/>
    <mergeCell ref="AW108:AY108"/>
    <mergeCell ref="AZ108:BO108"/>
    <mergeCell ref="B108:C108"/>
    <mergeCell ref="D108:H108"/>
    <mergeCell ref="I108:P108"/>
    <mergeCell ref="Q108:X108"/>
    <mergeCell ref="Y108:Z108"/>
    <mergeCell ref="AA108:AD108"/>
    <mergeCell ref="AE108:AG108"/>
    <mergeCell ref="AH105:AJ105"/>
    <mergeCell ref="AK105:AN105"/>
    <mergeCell ref="AO105:AV105"/>
    <mergeCell ref="AW105:AY105"/>
    <mergeCell ref="AZ105:BO105"/>
    <mergeCell ref="B105:C105"/>
    <mergeCell ref="D105:H105"/>
    <mergeCell ref="I105:P105"/>
    <mergeCell ref="Q105:X105"/>
    <mergeCell ref="Y105:Z105"/>
    <mergeCell ref="AA105:AD105"/>
    <mergeCell ref="AE105:AG105"/>
    <mergeCell ref="AH106:AJ106"/>
    <mergeCell ref="AK106:AN106"/>
    <mergeCell ref="AO106:AV106"/>
    <mergeCell ref="AW106:AY106"/>
    <mergeCell ref="AZ106:BO106"/>
    <mergeCell ref="B106:C106"/>
    <mergeCell ref="D106:H106"/>
    <mergeCell ref="I106:P106"/>
    <mergeCell ref="Q106:X106"/>
    <mergeCell ref="Y106:Z106"/>
    <mergeCell ref="AA106:AD106"/>
    <mergeCell ref="AE106:AG106"/>
    <mergeCell ref="AH103:AJ103"/>
    <mergeCell ref="AK103:AN103"/>
    <mergeCell ref="AO103:AV103"/>
    <mergeCell ref="AW103:AY103"/>
    <mergeCell ref="AZ103:BO103"/>
    <mergeCell ref="B103:C103"/>
    <mergeCell ref="D103:H103"/>
    <mergeCell ref="I103:P103"/>
    <mergeCell ref="Q103:X103"/>
    <mergeCell ref="Y103:Z103"/>
    <mergeCell ref="AA103:AD103"/>
    <mergeCell ref="AE103:AG103"/>
    <mergeCell ref="AH104:AJ104"/>
    <mergeCell ref="AK104:AN104"/>
    <mergeCell ref="AO104:AV104"/>
    <mergeCell ref="AW104:AY104"/>
    <mergeCell ref="AZ104:BO104"/>
    <mergeCell ref="B104:C104"/>
    <mergeCell ref="D104:H104"/>
    <mergeCell ref="I104:P104"/>
    <mergeCell ref="Q104:X104"/>
    <mergeCell ref="Y104:Z104"/>
    <mergeCell ref="AA104:AD104"/>
    <mergeCell ref="AE104:AG104"/>
    <mergeCell ref="AH101:AJ101"/>
    <mergeCell ref="AK101:AN101"/>
    <mergeCell ref="AO101:AV101"/>
    <mergeCell ref="AW101:AY101"/>
    <mergeCell ref="AZ101:BO101"/>
    <mergeCell ref="B101:C101"/>
    <mergeCell ref="D101:H101"/>
    <mergeCell ref="I101:P101"/>
    <mergeCell ref="Q101:X101"/>
    <mergeCell ref="Y101:Z101"/>
    <mergeCell ref="AA101:AD101"/>
    <mergeCell ref="AE101:AG101"/>
    <mergeCell ref="AH102:AJ102"/>
    <mergeCell ref="AK102:AN102"/>
    <mergeCell ref="AO102:AV102"/>
    <mergeCell ref="AW102:AY102"/>
    <mergeCell ref="AZ102:BO102"/>
    <mergeCell ref="B102:C102"/>
    <mergeCell ref="D102:H102"/>
    <mergeCell ref="I102:P102"/>
    <mergeCell ref="Q102:X102"/>
    <mergeCell ref="Y102:Z102"/>
    <mergeCell ref="AA102:AD102"/>
    <mergeCell ref="AE102:AG102"/>
    <mergeCell ref="AH99:AJ99"/>
    <mergeCell ref="AK99:AN99"/>
    <mergeCell ref="AO99:AV99"/>
    <mergeCell ref="AW99:AY99"/>
    <mergeCell ref="AZ99:BO99"/>
    <mergeCell ref="B99:C99"/>
    <mergeCell ref="D99:H99"/>
    <mergeCell ref="I99:P99"/>
    <mergeCell ref="Q99:X99"/>
    <mergeCell ref="Y99:Z99"/>
    <mergeCell ref="AA99:AD99"/>
    <mergeCell ref="AE99:AG99"/>
    <mergeCell ref="AH100:AJ100"/>
    <mergeCell ref="AK100:AN100"/>
    <mergeCell ref="AO100:AV100"/>
    <mergeCell ref="AW100:AY100"/>
    <mergeCell ref="AZ100:BO100"/>
    <mergeCell ref="B100:C100"/>
    <mergeCell ref="D100:H100"/>
    <mergeCell ref="I100:P100"/>
    <mergeCell ref="Q100:X100"/>
    <mergeCell ref="Y100:Z100"/>
    <mergeCell ref="AA100:AD100"/>
    <mergeCell ref="AE100:AG100"/>
    <mergeCell ref="AH97:AJ97"/>
    <mergeCell ref="AK97:AN97"/>
    <mergeCell ref="AO97:AV97"/>
    <mergeCell ref="AW97:AY97"/>
    <mergeCell ref="AZ97:BO97"/>
    <mergeCell ref="B97:C97"/>
    <mergeCell ref="D97:H97"/>
    <mergeCell ref="I97:P97"/>
    <mergeCell ref="Q97:X97"/>
    <mergeCell ref="Y97:Z97"/>
    <mergeCell ref="AA97:AD97"/>
    <mergeCell ref="AE97:AG97"/>
    <mergeCell ref="AH98:AJ98"/>
    <mergeCell ref="AK98:AN98"/>
    <mergeCell ref="AO98:AV98"/>
    <mergeCell ref="AW98:AY98"/>
    <mergeCell ref="AZ98:BO98"/>
    <mergeCell ref="B98:C98"/>
    <mergeCell ref="D98:H98"/>
    <mergeCell ref="I98:P98"/>
    <mergeCell ref="Q98:X98"/>
    <mergeCell ref="Y98:Z98"/>
    <mergeCell ref="AA98:AD98"/>
    <mergeCell ref="AE98:AG98"/>
    <mergeCell ref="AH95:AJ95"/>
    <mergeCell ref="AK95:AN95"/>
    <mergeCell ref="AO95:AV95"/>
    <mergeCell ref="AW95:AY95"/>
    <mergeCell ref="AZ95:BO95"/>
    <mergeCell ref="B95:C95"/>
    <mergeCell ref="D95:H95"/>
    <mergeCell ref="I95:P95"/>
    <mergeCell ref="Q95:X95"/>
    <mergeCell ref="Y95:Z95"/>
    <mergeCell ref="AA95:AD95"/>
    <mergeCell ref="AE95:AG95"/>
    <mergeCell ref="AH96:AJ96"/>
    <mergeCell ref="AK96:AN96"/>
    <mergeCell ref="AO96:AV96"/>
    <mergeCell ref="AW96:AY96"/>
    <mergeCell ref="AZ96:BO96"/>
    <mergeCell ref="B96:C96"/>
    <mergeCell ref="D96:H96"/>
    <mergeCell ref="I96:P96"/>
    <mergeCell ref="Q96:X96"/>
    <mergeCell ref="Y96:Z96"/>
    <mergeCell ref="AA96:AD96"/>
    <mergeCell ref="AE96:AG96"/>
    <mergeCell ref="AH93:AJ93"/>
    <mergeCell ref="AK93:AN93"/>
    <mergeCell ref="AO93:AV93"/>
    <mergeCell ref="AW93:AY93"/>
    <mergeCell ref="AZ93:BO93"/>
    <mergeCell ref="B93:C93"/>
    <mergeCell ref="D93:H93"/>
    <mergeCell ref="I93:P93"/>
    <mergeCell ref="Q93:X93"/>
    <mergeCell ref="Y93:Z93"/>
    <mergeCell ref="AA93:AD93"/>
    <mergeCell ref="AE93:AG93"/>
    <mergeCell ref="AH94:AJ94"/>
    <mergeCell ref="AK94:AN94"/>
    <mergeCell ref="AO94:AV94"/>
    <mergeCell ref="AW94:AY94"/>
    <mergeCell ref="AZ94:BO94"/>
    <mergeCell ref="B94:C94"/>
    <mergeCell ref="D94:H94"/>
    <mergeCell ref="I94:P94"/>
    <mergeCell ref="Q94:X94"/>
    <mergeCell ref="Y94:Z94"/>
    <mergeCell ref="AA94:AD94"/>
    <mergeCell ref="AE94:AG94"/>
    <mergeCell ref="AH91:AJ91"/>
    <mergeCell ref="AK91:AN91"/>
    <mergeCell ref="AO91:AV91"/>
    <mergeCell ref="AW91:AY91"/>
    <mergeCell ref="AZ91:BO91"/>
    <mergeCell ref="B91:C91"/>
    <mergeCell ref="D91:H91"/>
    <mergeCell ref="I91:P91"/>
    <mergeCell ref="Q91:X91"/>
    <mergeCell ref="Y91:Z91"/>
    <mergeCell ref="AA91:AD91"/>
    <mergeCell ref="AE91:AG91"/>
    <mergeCell ref="AH92:AJ92"/>
    <mergeCell ref="AK92:AN92"/>
    <mergeCell ref="AO92:AV92"/>
    <mergeCell ref="AW92:AY92"/>
    <mergeCell ref="AZ92:BO92"/>
    <mergeCell ref="B92:C92"/>
    <mergeCell ref="D92:H92"/>
    <mergeCell ref="I92:P92"/>
    <mergeCell ref="Q92:X92"/>
    <mergeCell ref="Y92:Z92"/>
    <mergeCell ref="AA92:AD92"/>
    <mergeCell ref="AE92:AG92"/>
    <mergeCell ref="AH89:AJ89"/>
    <mergeCell ref="AK89:AN89"/>
    <mergeCell ref="AO89:AV89"/>
    <mergeCell ref="AW89:AY89"/>
    <mergeCell ref="AZ89:BO89"/>
    <mergeCell ref="B89:C89"/>
    <mergeCell ref="D89:H89"/>
    <mergeCell ref="I89:P89"/>
    <mergeCell ref="Q89:X89"/>
    <mergeCell ref="Y89:Z89"/>
    <mergeCell ref="AA89:AD89"/>
    <mergeCell ref="AE89:AG89"/>
    <mergeCell ref="AH90:AJ90"/>
    <mergeCell ref="AK90:AN90"/>
    <mergeCell ref="AO90:AV90"/>
    <mergeCell ref="AW90:AY90"/>
    <mergeCell ref="AZ90:BO90"/>
    <mergeCell ref="B90:C90"/>
    <mergeCell ref="D90:H90"/>
    <mergeCell ref="I90:P90"/>
    <mergeCell ref="Q90:X90"/>
    <mergeCell ref="Y90:Z90"/>
    <mergeCell ref="AA90:AD90"/>
    <mergeCell ref="AE90:AG90"/>
    <mergeCell ref="AH87:AJ87"/>
    <mergeCell ref="AK87:AN87"/>
    <mergeCell ref="AO87:AV87"/>
    <mergeCell ref="AW87:AY87"/>
    <mergeCell ref="AZ87:BO87"/>
    <mergeCell ref="B87:C87"/>
    <mergeCell ref="D87:H87"/>
    <mergeCell ref="I87:P87"/>
    <mergeCell ref="Q87:X87"/>
    <mergeCell ref="Y87:Z87"/>
    <mergeCell ref="AA87:AD87"/>
    <mergeCell ref="AE87:AG87"/>
    <mergeCell ref="AH88:AJ88"/>
    <mergeCell ref="AK88:AN88"/>
    <mergeCell ref="AO88:AV88"/>
    <mergeCell ref="AW88:AY88"/>
    <mergeCell ref="AZ88:BO88"/>
    <mergeCell ref="B88:C88"/>
    <mergeCell ref="D88:H88"/>
    <mergeCell ref="I88:P88"/>
    <mergeCell ref="Q88:X88"/>
    <mergeCell ref="Y88:Z88"/>
    <mergeCell ref="AA88:AD88"/>
    <mergeCell ref="AE88:AG88"/>
    <mergeCell ref="AH85:AJ85"/>
    <mergeCell ref="AK85:AN85"/>
    <mergeCell ref="AO85:AV85"/>
    <mergeCell ref="AW85:AY85"/>
    <mergeCell ref="AZ85:BO85"/>
    <mergeCell ref="B85:C85"/>
    <mergeCell ref="D85:H85"/>
    <mergeCell ref="I85:P85"/>
    <mergeCell ref="Q85:X85"/>
    <mergeCell ref="Y85:Z85"/>
    <mergeCell ref="AA85:AD85"/>
    <mergeCell ref="AE85:AG85"/>
    <mergeCell ref="AH86:AJ86"/>
    <mergeCell ref="AK86:AN86"/>
    <mergeCell ref="AO86:AV86"/>
    <mergeCell ref="AW86:AY86"/>
    <mergeCell ref="AZ86:BO86"/>
    <mergeCell ref="B86:C86"/>
    <mergeCell ref="D86:H86"/>
    <mergeCell ref="I86:P86"/>
    <mergeCell ref="Q86:X86"/>
    <mergeCell ref="Y86:Z86"/>
    <mergeCell ref="AA86:AD86"/>
    <mergeCell ref="AE86:AG86"/>
    <mergeCell ref="AH83:AJ83"/>
    <mergeCell ref="AK83:AN83"/>
    <mergeCell ref="AO83:AV83"/>
    <mergeCell ref="AW83:AY83"/>
    <mergeCell ref="AZ83:BO83"/>
    <mergeCell ref="B83:C83"/>
    <mergeCell ref="D83:H83"/>
    <mergeCell ref="I83:P83"/>
    <mergeCell ref="Q83:X83"/>
    <mergeCell ref="Y83:Z83"/>
    <mergeCell ref="AA83:AD83"/>
    <mergeCell ref="AE83:AG83"/>
    <mergeCell ref="AH84:AJ84"/>
    <mergeCell ref="AK84:AN84"/>
    <mergeCell ref="AO84:AV84"/>
    <mergeCell ref="AW84:AY84"/>
    <mergeCell ref="AZ84:BO84"/>
    <mergeCell ref="B84:C84"/>
    <mergeCell ref="D84:H84"/>
    <mergeCell ref="I84:P84"/>
    <mergeCell ref="Q84:X84"/>
    <mergeCell ref="Y84:Z84"/>
    <mergeCell ref="AA84:AD84"/>
    <mergeCell ref="AE84:AG84"/>
    <mergeCell ref="AH81:AJ81"/>
    <mergeCell ref="AK81:AN81"/>
    <mergeCell ref="AO81:AV81"/>
    <mergeCell ref="AW81:AY81"/>
    <mergeCell ref="AZ81:BO81"/>
    <mergeCell ref="B81:C81"/>
    <mergeCell ref="D81:H81"/>
    <mergeCell ref="I81:P81"/>
    <mergeCell ref="Q81:X81"/>
    <mergeCell ref="Y81:Z81"/>
    <mergeCell ref="AA81:AD81"/>
    <mergeCell ref="AE81:AG81"/>
    <mergeCell ref="AH82:AJ82"/>
    <mergeCell ref="AK82:AN82"/>
    <mergeCell ref="AO82:AV82"/>
    <mergeCell ref="AW82:AY82"/>
    <mergeCell ref="AZ82:BO82"/>
    <mergeCell ref="B82:C82"/>
    <mergeCell ref="D82:H82"/>
    <mergeCell ref="I82:P82"/>
    <mergeCell ref="Q82:X82"/>
    <mergeCell ref="Y82:Z82"/>
    <mergeCell ref="AA82:AD82"/>
    <mergeCell ref="AE82:AG82"/>
    <mergeCell ref="AH79:AJ79"/>
    <mergeCell ref="AK79:AN79"/>
    <mergeCell ref="AO79:AV79"/>
    <mergeCell ref="AW79:AY79"/>
    <mergeCell ref="AZ79:BO79"/>
    <mergeCell ref="B79:C79"/>
    <mergeCell ref="D79:H79"/>
    <mergeCell ref="I79:P79"/>
    <mergeCell ref="Q79:X79"/>
    <mergeCell ref="Y79:Z79"/>
    <mergeCell ref="AA79:AD79"/>
    <mergeCell ref="AE79:AG79"/>
    <mergeCell ref="AH80:AJ80"/>
    <mergeCell ref="AK80:AN80"/>
    <mergeCell ref="AO80:AV80"/>
    <mergeCell ref="AW80:AY80"/>
    <mergeCell ref="AZ80:BO80"/>
    <mergeCell ref="B80:C80"/>
    <mergeCell ref="D80:H80"/>
    <mergeCell ref="I80:P80"/>
    <mergeCell ref="Q80:X80"/>
    <mergeCell ref="Y80:Z80"/>
    <mergeCell ref="AA80:AD80"/>
    <mergeCell ref="AE80:AG80"/>
    <mergeCell ref="AH77:AJ77"/>
    <mergeCell ref="AK77:AN77"/>
    <mergeCell ref="AO77:AV77"/>
    <mergeCell ref="AW77:AY77"/>
    <mergeCell ref="AZ77:BO77"/>
    <mergeCell ref="B77:C77"/>
    <mergeCell ref="D77:H77"/>
    <mergeCell ref="I77:P77"/>
    <mergeCell ref="Q77:X77"/>
    <mergeCell ref="Y77:Z77"/>
    <mergeCell ref="AA77:AD77"/>
    <mergeCell ref="AE77:AG77"/>
    <mergeCell ref="AH78:AJ78"/>
    <mergeCell ref="AK78:AN78"/>
    <mergeCell ref="AO78:AV78"/>
    <mergeCell ref="AW78:AY78"/>
    <mergeCell ref="AZ78:BO78"/>
    <mergeCell ref="B78:C78"/>
    <mergeCell ref="D78:H78"/>
    <mergeCell ref="I78:P78"/>
    <mergeCell ref="Q78:X78"/>
    <mergeCell ref="Y78:Z78"/>
    <mergeCell ref="AA78:AD78"/>
    <mergeCell ref="AE78:AG78"/>
    <mergeCell ref="AH75:AJ75"/>
    <mergeCell ref="AK75:AN75"/>
    <mergeCell ref="AO75:AV75"/>
    <mergeCell ref="AW75:AY75"/>
    <mergeCell ref="AZ75:BO75"/>
    <mergeCell ref="B75:C75"/>
    <mergeCell ref="D75:H75"/>
    <mergeCell ref="I75:P75"/>
    <mergeCell ref="Q75:X75"/>
    <mergeCell ref="Y75:Z75"/>
    <mergeCell ref="AA75:AD75"/>
    <mergeCell ref="AE75:AG75"/>
    <mergeCell ref="AH76:AJ76"/>
    <mergeCell ref="AK76:AN76"/>
    <mergeCell ref="AO76:AV76"/>
    <mergeCell ref="AW76:AY76"/>
    <mergeCell ref="AZ76:BO76"/>
    <mergeCell ref="B76:C76"/>
    <mergeCell ref="D76:H76"/>
    <mergeCell ref="I76:P76"/>
    <mergeCell ref="Q76:X76"/>
    <mergeCell ref="Y76:Z76"/>
    <mergeCell ref="AA76:AD76"/>
    <mergeCell ref="AE76:AG76"/>
    <mergeCell ref="AH73:AJ73"/>
    <mergeCell ref="AK73:AN73"/>
    <mergeCell ref="AO73:AV73"/>
    <mergeCell ref="AW73:AY73"/>
    <mergeCell ref="AZ73:BO73"/>
    <mergeCell ref="B73:C73"/>
    <mergeCell ref="D73:H73"/>
    <mergeCell ref="I73:P73"/>
    <mergeCell ref="Q73:X73"/>
    <mergeCell ref="Y73:Z73"/>
    <mergeCell ref="AA73:AD73"/>
    <mergeCell ref="AE73:AG73"/>
    <mergeCell ref="AH74:AJ74"/>
    <mergeCell ref="AK74:AN74"/>
    <mergeCell ref="AO74:AV74"/>
    <mergeCell ref="AW74:AY74"/>
    <mergeCell ref="AZ74:BO74"/>
    <mergeCell ref="B74:C74"/>
    <mergeCell ref="D74:H74"/>
    <mergeCell ref="I74:P74"/>
    <mergeCell ref="Q74:X74"/>
    <mergeCell ref="Y74:Z74"/>
    <mergeCell ref="AA74:AD74"/>
    <mergeCell ref="AE74:AG74"/>
    <mergeCell ref="AH71:AJ71"/>
    <mergeCell ref="AK71:AN71"/>
    <mergeCell ref="AO71:AV71"/>
    <mergeCell ref="AW71:AY71"/>
    <mergeCell ref="AZ71:BO71"/>
    <mergeCell ref="B71:C71"/>
    <mergeCell ref="D71:H71"/>
    <mergeCell ref="I71:P71"/>
    <mergeCell ref="Q71:X71"/>
    <mergeCell ref="Y71:Z71"/>
    <mergeCell ref="AA71:AD71"/>
    <mergeCell ref="AE71:AG71"/>
    <mergeCell ref="AH72:AJ72"/>
    <mergeCell ref="AK72:AN72"/>
    <mergeCell ref="AO72:AV72"/>
    <mergeCell ref="AW72:AY72"/>
    <mergeCell ref="AZ72:BO72"/>
    <mergeCell ref="B72:C72"/>
    <mergeCell ref="D72:H72"/>
    <mergeCell ref="I72:P72"/>
    <mergeCell ref="Q72:X72"/>
    <mergeCell ref="Y72:Z72"/>
    <mergeCell ref="AA72:AD72"/>
    <mergeCell ref="AE72:AG72"/>
    <mergeCell ref="AH69:AJ69"/>
    <mergeCell ref="AK69:AN69"/>
    <mergeCell ref="AO69:AV69"/>
    <mergeCell ref="AW69:AY69"/>
    <mergeCell ref="AZ69:BO69"/>
    <mergeCell ref="B69:C69"/>
    <mergeCell ref="D69:H69"/>
    <mergeCell ref="I69:P69"/>
    <mergeCell ref="Q69:X69"/>
    <mergeCell ref="Y69:Z69"/>
    <mergeCell ref="AA69:AD69"/>
    <mergeCell ref="AE69:AG69"/>
    <mergeCell ref="AH70:AJ70"/>
    <mergeCell ref="AK70:AN70"/>
    <mergeCell ref="AO70:AV70"/>
    <mergeCell ref="AW70:AY70"/>
    <mergeCell ref="AZ70:BO70"/>
    <mergeCell ref="B70:C70"/>
    <mergeCell ref="D70:H70"/>
    <mergeCell ref="I70:P70"/>
    <mergeCell ref="Q70:X70"/>
    <mergeCell ref="Y70:Z70"/>
    <mergeCell ref="AA70:AD70"/>
    <mergeCell ref="AE70:AG70"/>
    <mergeCell ref="AH67:AJ67"/>
    <mergeCell ref="AK67:AN67"/>
    <mergeCell ref="AO67:AV67"/>
    <mergeCell ref="AW67:AY67"/>
    <mergeCell ref="AZ67:BO67"/>
    <mergeCell ref="B67:C67"/>
    <mergeCell ref="D67:H67"/>
    <mergeCell ref="I67:P67"/>
    <mergeCell ref="Q67:X67"/>
    <mergeCell ref="Y67:Z67"/>
    <mergeCell ref="AA67:AD67"/>
    <mergeCell ref="AE67:AG67"/>
    <mergeCell ref="AH68:AJ68"/>
    <mergeCell ref="AK68:AN68"/>
    <mergeCell ref="AO68:AV68"/>
    <mergeCell ref="AW68:AY68"/>
    <mergeCell ref="AZ68:BO68"/>
    <mergeCell ref="B68:C68"/>
    <mergeCell ref="D68:H68"/>
    <mergeCell ref="I68:P68"/>
    <mergeCell ref="Q68:X68"/>
    <mergeCell ref="Y68:Z68"/>
    <mergeCell ref="AA68:AD68"/>
    <mergeCell ref="AE68:AG68"/>
    <mergeCell ref="AH65:AJ65"/>
    <mergeCell ref="AK65:AN65"/>
    <mergeCell ref="AO65:AV65"/>
    <mergeCell ref="AW65:AY65"/>
    <mergeCell ref="AZ65:BO65"/>
    <mergeCell ref="B65:C65"/>
    <mergeCell ref="D65:H65"/>
    <mergeCell ref="I65:P65"/>
    <mergeCell ref="Q65:X65"/>
    <mergeCell ref="Y65:Z65"/>
    <mergeCell ref="AA65:AD65"/>
    <mergeCell ref="AE65:AG65"/>
    <mergeCell ref="AH66:AJ66"/>
    <mergeCell ref="AK66:AN66"/>
    <mergeCell ref="AO66:AV66"/>
    <mergeCell ref="AW66:AY66"/>
    <mergeCell ref="AZ66:BO66"/>
    <mergeCell ref="B66:C66"/>
    <mergeCell ref="D66:H66"/>
    <mergeCell ref="I66:P66"/>
    <mergeCell ref="Q66:X66"/>
    <mergeCell ref="Y66:Z66"/>
    <mergeCell ref="AA66:AD66"/>
    <mergeCell ref="AE66:AG66"/>
    <mergeCell ref="AH63:AJ63"/>
    <mergeCell ref="AK63:AN63"/>
    <mergeCell ref="AO63:AV63"/>
    <mergeCell ref="AW63:AY63"/>
    <mergeCell ref="AZ63:BO63"/>
    <mergeCell ref="B63:C63"/>
    <mergeCell ref="D63:H63"/>
    <mergeCell ref="I63:P63"/>
    <mergeCell ref="Q63:X63"/>
    <mergeCell ref="Y63:Z63"/>
    <mergeCell ref="AA63:AD63"/>
    <mergeCell ref="AE63:AG63"/>
    <mergeCell ref="AH64:AJ64"/>
    <mergeCell ref="AK64:AN64"/>
    <mergeCell ref="AO64:AV64"/>
    <mergeCell ref="AW64:AY64"/>
    <mergeCell ref="AZ64:BO64"/>
    <mergeCell ref="B64:C64"/>
    <mergeCell ref="D64:H64"/>
    <mergeCell ref="I64:P64"/>
    <mergeCell ref="Q64:X64"/>
    <mergeCell ref="Y64:Z64"/>
    <mergeCell ref="AA64:AD64"/>
    <mergeCell ref="AE64:AG64"/>
    <mergeCell ref="AH61:AJ61"/>
    <mergeCell ref="AK61:AN61"/>
    <mergeCell ref="AO61:AV61"/>
    <mergeCell ref="AW61:AY61"/>
    <mergeCell ref="AZ61:BO61"/>
    <mergeCell ref="B61:C61"/>
    <mergeCell ref="D61:H61"/>
    <mergeCell ref="I61:P61"/>
    <mergeCell ref="Q61:X61"/>
    <mergeCell ref="Y61:Z61"/>
    <mergeCell ref="AA61:AD61"/>
    <mergeCell ref="AE61:AG61"/>
    <mergeCell ref="AH62:AJ62"/>
    <mergeCell ref="AK62:AN62"/>
    <mergeCell ref="AO62:AV62"/>
    <mergeCell ref="AW62:AY62"/>
    <mergeCell ref="AZ62:BO62"/>
    <mergeCell ref="B62:C62"/>
    <mergeCell ref="D62:H62"/>
    <mergeCell ref="I62:P62"/>
    <mergeCell ref="Q62:X62"/>
    <mergeCell ref="Y62:Z62"/>
    <mergeCell ref="AA62:AD62"/>
    <mergeCell ref="AE62:AG62"/>
    <mergeCell ref="AH59:AJ59"/>
    <mergeCell ref="AK59:AN59"/>
    <mergeCell ref="AO59:AV59"/>
    <mergeCell ref="AW59:AY59"/>
    <mergeCell ref="AZ59:BO59"/>
    <mergeCell ref="B59:C59"/>
    <mergeCell ref="D59:H59"/>
    <mergeCell ref="I59:P59"/>
    <mergeCell ref="Q59:X59"/>
    <mergeCell ref="Y59:Z59"/>
    <mergeCell ref="AA59:AD59"/>
    <mergeCell ref="AE59:AG59"/>
    <mergeCell ref="AH60:AJ60"/>
    <mergeCell ref="AK60:AN60"/>
    <mergeCell ref="AO60:AV60"/>
    <mergeCell ref="AW60:AY60"/>
    <mergeCell ref="AZ60:BO60"/>
    <mergeCell ref="B60:C60"/>
    <mergeCell ref="D60:H60"/>
    <mergeCell ref="I60:P60"/>
    <mergeCell ref="Q60:X60"/>
    <mergeCell ref="Y60:Z60"/>
    <mergeCell ref="AA60:AD60"/>
    <mergeCell ref="AE60:AG60"/>
    <mergeCell ref="AH57:AJ57"/>
    <mergeCell ref="AK57:AN57"/>
    <mergeCell ref="AO57:AV57"/>
    <mergeCell ref="AW57:AY57"/>
    <mergeCell ref="AZ57:BO57"/>
    <mergeCell ref="B57:C57"/>
    <mergeCell ref="D57:H57"/>
    <mergeCell ref="I57:P57"/>
    <mergeCell ref="Q57:X57"/>
    <mergeCell ref="Y57:Z57"/>
    <mergeCell ref="AA57:AD57"/>
    <mergeCell ref="AE57:AG57"/>
    <mergeCell ref="AH58:AJ58"/>
    <mergeCell ref="AK58:AN58"/>
    <mergeCell ref="AO58:AV58"/>
    <mergeCell ref="AW58:AY58"/>
    <mergeCell ref="AZ58:BO58"/>
    <mergeCell ref="B58:C58"/>
    <mergeCell ref="D58:H58"/>
    <mergeCell ref="I58:P58"/>
    <mergeCell ref="Q58:X58"/>
    <mergeCell ref="Y58:Z58"/>
    <mergeCell ref="AA58:AD58"/>
    <mergeCell ref="AE58:AG58"/>
    <mergeCell ref="AH55:AJ55"/>
    <mergeCell ref="AK55:AN55"/>
    <mergeCell ref="AO55:AV55"/>
    <mergeCell ref="AW55:AY55"/>
    <mergeCell ref="AZ55:BO55"/>
    <mergeCell ref="B55:C55"/>
    <mergeCell ref="D55:H55"/>
    <mergeCell ref="I55:P55"/>
    <mergeCell ref="Q55:X55"/>
    <mergeCell ref="Y55:Z55"/>
    <mergeCell ref="AA55:AD55"/>
    <mergeCell ref="AE55:AG55"/>
    <mergeCell ref="AH56:AJ56"/>
    <mergeCell ref="AK56:AN56"/>
    <mergeCell ref="AO56:AV56"/>
    <mergeCell ref="AW56:AY56"/>
    <mergeCell ref="AZ56:BO56"/>
    <mergeCell ref="B56:C56"/>
    <mergeCell ref="D56:H56"/>
    <mergeCell ref="I56:P56"/>
    <mergeCell ref="Q56:X56"/>
    <mergeCell ref="Y56:Z56"/>
    <mergeCell ref="AA56:AD56"/>
    <mergeCell ref="AE56:AG56"/>
    <mergeCell ref="AH53:AJ53"/>
    <mergeCell ref="AK53:AN53"/>
    <mergeCell ref="AO53:AV53"/>
    <mergeCell ref="AW53:AY53"/>
    <mergeCell ref="AZ53:BO53"/>
    <mergeCell ref="B53:C53"/>
    <mergeCell ref="D53:H53"/>
    <mergeCell ref="I53:P53"/>
    <mergeCell ref="Q53:X53"/>
    <mergeCell ref="Y53:Z53"/>
    <mergeCell ref="AA53:AD53"/>
    <mergeCell ref="AE53:AG53"/>
    <mergeCell ref="AH54:AJ54"/>
    <mergeCell ref="AK54:AN54"/>
    <mergeCell ref="AO54:AV54"/>
    <mergeCell ref="AW54:AY54"/>
    <mergeCell ref="AZ54:BO54"/>
    <mergeCell ref="B54:C54"/>
    <mergeCell ref="D54:H54"/>
    <mergeCell ref="I54:P54"/>
    <mergeCell ref="Q54:X54"/>
    <mergeCell ref="Y54:Z54"/>
    <mergeCell ref="AA54:AD54"/>
    <mergeCell ref="AE54:AG54"/>
    <mergeCell ref="AH51:AJ51"/>
    <mergeCell ref="AK51:AN51"/>
    <mergeCell ref="AO51:AV51"/>
    <mergeCell ref="AW51:AY51"/>
    <mergeCell ref="AZ51:BO51"/>
    <mergeCell ref="B51:C51"/>
    <mergeCell ref="D51:H51"/>
    <mergeCell ref="I51:P51"/>
    <mergeCell ref="Q51:X51"/>
    <mergeCell ref="Y51:Z51"/>
    <mergeCell ref="AA51:AD51"/>
    <mergeCell ref="AE51:AG51"/>
    <mergeCell ref="AH52:AJ52"/>
    <mergeCell ref="AK52:AN52"/>
    <mergeCell ref="AO52:AV52"/>
    <mergeCell ref="AW52:AY52"/>
    <mergeCell ref="AZ52:BO52"/>
    <mergeCell ref="B52:C52"/>
    <mergeCell ref="D52:H52"/>
    <mergeCell ref="I52:P52"/>
    <mergeCell ref="Q52:X52"/>
    <mergeCell ref="Y52:Z52"/>
    <mergeCell ref="AA52:AD52"/>
    <mergeCell ref="AE52:AG52"/>
    <mergeCell ref="AH49:AJ49"/>
    <mergeCell ref="AK49:AN49"/>
    <mergeCell ref="AO49:AV49"/>
    <mergeCell ref="AW49:AY49"/>
    <mergeCell ref="AZ49:BO49"/>
    <mergeCell ref="B49:C49"/>
    <mergeCell ref="D49:H49"/>
    <mergeCell ref="I49:P49"/>
    <mergeCell ref="Q49:X49"/>
    <mergeCell ref="Y49:Z49"/>
    <mergeCell ref="AA49:AD49"/>
    <mergeCell ref="AE49:AG49"/>
    <mergeCell ref="AH50:AJ50"/>
    <mergeCell ref="AK50:AN50"/>
    <mergeCell ref="AO50:AV50"/>
    <mergeCell ref="AW50:AY50"/>
    <mergeCell ref="AZ50:BO50"/>
    <mergeCell ref="B50:C50"/>
    <mergeCell ref="D50:H50"/>
    <mergeCell ref="I50:P50"/>
    <mergeCell ref="Q50:X50"/>
    <mergeCell ref="Y50:Z50"/>
    <mergeCell ref="AA50:AD50"/>
    <mergeCell ref="AE50:AG50"/>
    <mergeCell ref="AH47:AJ47"/>
    <mergeCell ref="AK47:AN47"/>
    <mergeCell ref="AO47:AV47"/>
    <mergeCell ref="AW47:AY47"/>
    <mergeCell ref="AZ47:BO47"/>
    <mergeCell ref="B47:C47"/>
    <mergeCell ref="D47:H47"/>
    <mergeCell ref="I47:P47"/>
    <mergeCell ref="Q47:X47"/>
    <mergeCell ref="Y47:Z47"/>
    <mergeCell ref="AA47:AD47"/>
    <mergeCell ref="AE47:AG47"/>
    <mergeCell ref="AH48:AJ48"/>
    <mergeCell ref="AK48:AN48"/>
    <mergeCell ref="AO48:AV48"/>
    <mergeCell ref="AW48:AY48"/>
    <mergeCell ref="AZ48:BO48"/>
    <mergeCell ref="B48:C48"/>
    <mergeCell ref="D48:H48"/>
    <mergeCell ref="I48:P48"/>
    <mergeCell ref="Q48:X48"/>
    <mergeCell ref="Y48:Z48"/>
    <mergeCell ref="AA48:AD48"/>
    <mergeCell ref="AE48:AG48"/>
    <mergeCell ref="AH45:AJ45"/>
    <mergeCell ref="AK45:AN45"/>
    <mergeCell ref="AO45:AV45"/>
    <mergeCell ref="AW45:AY45"/>
    <mergeCell ref="AZ45:BO45"/>
    <mergeCell ref="B45:C45"/>
    <mergeCell ref="D45:H45"/>
    <mergeCell ref="I45:P45"/>
    <mergeCell ref="Q45:X45"/>
    <mergeCell ref="Y45:Z45"/>
    <mergeCell ref="AA45:AD45"/>
    <mergeCell ref="AE45:AG45"/>
    <mergeCell ref="AH46:AJ46"/>
    <mergeCell ref="AK46:AN46"/>
    <mergeCell ref="AO46:AV46"/>
    <mergeCell ref="AW46:AY46"/>
    <mergeCell ref="AZ46:BO46"/>
    <mergeCell ref="B46:C46"/>
    <mergeCell ref="D46:H46"/>
    <mergeCell ref="I46:P46"/>
    <mergeCell ref="Q46:X46"/>
    <mergeCell ref="Y46:Z46"/>
    <mergeCell ref="AA46:AD46"/>
    <mergeCell ref="AE46:AG46"/>
    <mergeCell ref="AH43:AJ43"/>
    <mergeCell ref="AK43:AN43"/>
    <mergeCell ref="AO43:AV43"/>
    <mergeCell ref="AW43:AY43"/>
    <mergeCell ref="AZ43:BO43"/>
    <mergeCell ref="B43:C43"/>
    <mergeCell ref="D43:H43"/>
    <mergeCell ref="I43:P43"/>
    <mergeCell ref="Q43:X43"/>
    <mergeCell ref="Y43:Z43"/>
    <mergeCell ref="AA43:AD43"/>
    <mergeCell ref="AE43:AG43"/>
    <mergeCell ref="AH44:AJ44"/>
    <mergeCell ref="AK44:AN44"/>
    <mergeCell ref="AO44:AV44"/>
    <mergeCell ref="AW44:AY44"/>
    <mergeCell ref="AZ44:BO44"/>
    <mergeCell ref="B44:C44"/>
    <mergeCell ref="D44:H44"/>
    <mergeCell ref="I44:P44"/>
    <mergeCell ref="Q44:X44"/>
    <mergeCell ref="Y44:Z44"/>
    <mergeCell ref="AA44:AD44"/>
    <mergeCell ref="AE44:AG44"/>
    <mergeCell ref="AH41:AJ41"/>
    <mergeCell ref="AK41:AN41"/>
    <mergeCell ref="AO41:AV41"/>
    <mergeCell ref="AW41:AY41"/>
    <mergeCell ref="AZ41:BO41"/>
    <mergeCell ref="B41:C41"/>
    <mergeCell ref="D41:H41"/>
    <mergeCell ref="I41:P41"/>
    <mergeCell ref="Q41:X41"/>
    <mergeCell ref="Y41:Z41"/>
    <mergeCell ref="AA41:AD41"/>
    <mergeCell ref="AE41:AG41"/>
    <mergeCell ref="AH42:AJ42"/>
    <mergeCell ref="AK42:AN42"/>
    <mergeCell ref="AO42:AV42"/>
    <mergeCell ref="AW42:AY42"/>
    <mergeCell ref="AZ42:BO42"/>
    <mergeCell ref="B42:C42"/>
    <mergeCell ref="D42:H42"/>
    <mergeCell ref="I42:P42"/>
    <mergeCell ref="Q42:X42"/>
    <mergeCell ref="Y42:Z42"/>
    <mergeCell ref="AA42:AD42"/>
    <mergeCell ref="AE42:AG42"/>
    <mergeCell ref="AH39:AJ39"/>
    <mergeCell ref="AK39:AN39"/>
    <mergeCell ref="AO39:AV39"/>
    <mergeCell ref="AW39:AY39"/>
    <mergeCell ref="AZ39:BO39"/>
    <mergeCell ref="B39:C39"/>
    <mergeCell ref="D39:H39"/>
    <mergeCell ref="I39:P39"/>
    <mergeCell ref="Q39:X39"/>
    <mergeCell ref="Y39:Z39"/>
    <mergeCell ref="AA39:AD39"/>
    <mergeCell ref="AE39:AG39"/>
    <mergeCell ref="AH40:AJ40"/>
    <mergeCell ref="AK40:AN40"/>
    <mergeCell ref="AO40:AV40"/>
    <mergeCell ref="AW40:AY40"/>
    <mergeCell ref="AZ40:BO40"/>
    <mergeCell ref="B40:C40"/>
    <mergeCell ref="D40:H40"/>
    <mergeCell ref="I40:P40"/>
    <mergeCell ref="Q40:X40"/>
    <mergeCell ref="Y40:Z40"/>
    <mergeCell ref="AA40:AD40"/>
    <mergeCell ref="AE40:AG40"/>
    <mergeCell ref="AH37:AJ37"/>
    <mergeCell ref="AK37:AN37"/>
    <mergeCell ref="AO37:AV37"/>
    <mergeCell ref="AW37:AY37"/>
    <mergeCell ref="AZ37:BO37"/>
    <mergeCell ref="B37:C37"/>
    <mergeCell ref="D37:H37"/>
    <mergeCell ref="I37:P37"/>
    <mergeCell ref="Q37:X37"/>
    <mergeCell ref="Y37:Z37"/>
    <mergeCell ref="AA37:AD37"/>
    <mergeCell ref="AE37:AG37"/>
    <mergeCell ref="AH38:AJ38"/>
    <mergeCell ref="AK38:AN38"/>
    <mergeCell ref="AO38:AV38"/>
    <mergeCell ref="AW38:AY38"/>
    <mergeCell ref="AZ38:BO38"/>
    <mergeCell ref="B38:C38"/>
    <mergeCell ref="D38:H38"/>
    <mergeCell ref="I38:P38"/>
    <mergeCell ref="Q38:X38"/>
    <mergeCell ref="Y38:Z38"/>
    <mergeCell ref="AA38:AD38"/>
    <mergeCell ref="AE38:AG38"/>
    <mergeCell ref="AH35:AJ35"/>
    <mergeCell ref="AK35:AN35"/>
    <mergeCell ref="AO35:AV35"/>
    <mergeCell ref="AW35:AY35"/>
    <mergeCell ref="AZ35:BO35"/>
    <mergeCell ref="B35:C35"/>
    <mergeCell ref="D35:H35"/>
    <mergeCell ref="I35:P35"/>
    <mergeCell ref="Q35:X35"/>
    <mergeCell ref="Y35:Z35"/>
    <mergeCell ref="AA35:AD35"/>
    <mergeCell ref="AE35:AG35"/>
    <mergeCell ref="AH36:AJ36"/>
    <mergeCell ref="AK36:AN36"/>
    <mergeCell ref="AO36:AV36"/>
    <mergeCell ref="AW36:AY36"/>
    <mergeCell ref="AZ36:BO36"/>
    <mergeCell ref="B36:C36"/>
    <mergeCell ref="D36:H36"/>
    <mergeCell ref="I36:P36"/>
    <mergeCell ref="Q36:X36"/>
    <mergeCell ref="Y36:Z36"/>
    <mergeCell ref="AA36:AD36"/>
    <mergeCell ref="AE36:AG36"/>
    <mergeCell ref="AH33:AJ33"/>
    <mergeCell ref="AK33:AN33"/>
    <mergeCell ref="AO33:AV33"/>
    <mergeCell ref="AW33:AY33"/>
    <mergeCell ref="AZ33:BO33"/>
    <mergeCell ref="B33:C33"/>
    <mergeCell ref="D33:H33"/>
    <mergeCell ref="I33:P33"/>
    <mergeCell ref="Q33:X33"/>
    <mergeCell ref="Y33:Z33"/>
    <mergeCell ref="AA33:AD33"/>
    <mergeCell ref="AE33:AG33"/>
    <mergeCell ref="AH34:AJ34"/>
    <mergeCell ref="AK34:AN34"/>
    <mergeCell ref="AO34:AV34"/>
    <mergeCell ref="AW34:AY34"/>
    <mergeCell ref="AZ34:BO34"/>
    <mergeCell ref="B34:C34"/>
    <mergeCell ref="D34:H34"/>
    <mergeCell ref="I34:P34"/>
    <mergeCell ref="Q34:X34"/>
    <mergeCell ref="Y34:Z34"/>
    <mergeCell ref="AA34:AD34"/>
    <mergeCell ref="AE34:AG34"/>
    <mergeCell ref="AH31:AJ31"/>
    <mergeCell ref="AK31:AN31"/>
    <mergeCell ref="AO31:AV31"/>
    <mergeCell ref="AW31:AY31"/>
    <mergeCell ref="AZ31:BO31"/>
    <mergeCell ref="B31:C31"/>
    <mergeCell ref="D31:H31"/>
    <mergeCell ref="I31:P31"/>
    <mergeCell ref="Q31:X31"/>
    <mergeCell ref="Y31:Z31"/>
    <mergeCell ref="AA31:AD31"/>
    <mergeCell ref="AE31:AG31"/>
    <mergeCell ref="AH32:AJ32"/>
    <mergeCell ref="AK32:AN32"/>
    <mergeCell ref="AO32:AV32"/>
    <mergeCell ref="AW32:AY32"/>
    <mergeCell ref="AZ32:BO32"/>
    <mergeCell ref="B32:C32"/>
    <mergeCell ref="D32:H32"/>
    <mergeCell ref="I32:P32"/>
    <mergeCell ref="Q32:X32"/>
    <mergeCell ref="Y32:Z32"/>
    <mergeCell ref="AA32:AD32"/>
    <mergeCell ref="AE32:AG32"/>
    <mergeCell ref="AH29:AJ29"/>
    <mergeCell ref="AK29:AN29"/>
    <mergeCell ref="AO29:AV29"/>
    <mergeCell ref="AW29:AY29"/>
    <mergeCell ref="AZ29:BO29"/>
    <mergeCell ref="B29:C29"/>
    <mergeCell ref="D29:H29"/>
    <mergeCell ref="I29:P29"/>
    <mergeCell ref="Q29:X29"/>
    <mergeCell ref="Y29:Z29"/>
    <mergeCell ref="AA29:AD29"/>
    <mergeCell ref="AE29:AG29"/>
    <mergeCell ref="AH30:AJ30"/>
    <mergeCell ref="AK30:AN30"/>
    <mergeCell ref="AO30:AV30"/>
    <mergeCell ref="AW30:AY30"/>
    <mergeCell ref="AZ30:BO30"/>
    <mergeCell ref="B30:C30"/>
    <mergeCell ref="D30:H30"/>
    <mergeCell ref="I30:P30"/>
    <mergeCell ref="Q30:X30"/>
    <mergeCell ref="Y30:Z30"/>
    <mergeCell ref="AA30:AD30"/>
    <mergeCell ref="AE30:AG30"/>
    <mergeCell ref="AH27:AJ27"/>
    <mergeCell ref="AK27:AN27"/>
    <mergeCell ref="AO27:AV27"/>
    <mergeCell ref="AW27:AY27"/>
    <mergeCell ref="AZ27:BO27"/>
    <mergeCell ref="B27:C27"/>
    <mergeCell ref="D27:H27"/>
    <mergeCell ref="I27:P27"/>
    <mergeCell ref="Q27:X27"/>
    <mergeCell ref="Y27:Z27"/>
    <mergeCell ref="AA27:AD27"/>
    <mergeCell ref="AE27:AG27"/>
    <mergeCell ref="AH28:AJ28"/>
    <mergeCell ref="AK28:AN28"/>
    <mergeCell ref="AO28:AV28"/>
    <mergeCell ref="AW28:AY28"/>
    <mergeCell ref="AZ28:BO28"/>
    <mergeCell ref="B28:C28"/>
    <mergeCell ref="D28:H28"/>
    <mergeCell ref="I28:P28"/>
    <mergeCell ref="Q28:X28"/>
    <mergeCell ref="Y28:Z28"/>
    <mergeCell ref="AA28:AD28"/>
    <mergeCell ref="AE28:AG28"/>
    <mergeCell ref="AH25:AJ25"/>
    <mergeCell ref="AK25:AN25"/>
    <mergeCell ref="AO25:AV25"/>
    <mergeCell ref="AW25:AY25"/>
    <mergeCell ref="AZ25:BO25"/>
    <mergeCell ref="B25:C25"/>
    <mergeCell ref="D25:H25"/>
    <mergeCell ref="I25:P25"/>
    <mergeCell ref="Q25:X25"/>
    <mergeCell ref="Y25:Z25"/>
    <mergeCell ref="AA25:AD25"/>
    <mergeCell ref="AE25:AG25"/>
    <mergeCell ref="AH26:AJ26"/>
    <mergeCell ref="AK26:AN26"/>
    <mergeCell ref="AO26:AV26"/>
    <mergeCell ref="AW26:AY26"/>
    <mergeCell ref="AZ26:BO26"/>
    <mergeCell ref="B26:C26"/>
    <mergeCell ref="D26:H26"/>
    <mergeCell ref="I26:P26"/>
    <mergeCell ref="Q26:X26"/>
    <mergeCell ref="Y26:Z26"/>
    <mergeCell ref="AA26:AD26"/>
    <mergeCell ref="AE26:AG26"/>
    <mergeCell ref="AH23:AJ23"/>
    <mergeCell ref="AK23:AN23"/>
    <mergeCell ref="AO23:AV23"/>
    <mergeCell ref="AW23:AY23"/>
    <mergeCell ref="AZ23:BO23"/>
    <mergeCell ref="B23:C23"/>
    <mergeCell ref="D23:H23"/>
    <mergeCell ref="I23:P23"/>
    <mergeCell ref="Q23:X23"/>
    <mergeCell ref="Y23:Z23"/>
    <mergeCell ref="AA23:AD23"/>
    <mergeCell ref="AE23:AG23"/>
    <mergeCell ref="AH24:AJ24"/>
    <mergeCell ref="AK24:AN24"/>
    <mergeCell ref="AO24:AV24"/>
    <mergeCell ref="AW24:AY24"/>
    <mergeCell ref="AZ24:BO24"/>
    <mergeCell ref="B24:C24"/>
    <mergeCell ref="D24:H24"/>
    <mergeCell ref="I24:P24"/>
    <mergeCell ref="Q24:X24"/>
    <mergeCell ref="Y24:Z24"/>
    <mergeCell ref="AA24:AD24"/>
    <mergeCell ref="AE24:AG24"/>
    <mergeCell ref="AH21:AJ21"/>
    <mergeCell ref="AK21:AN21"/>
    <mergeCell ref="AO21:AV21"/>
    <mergeCell ref="AW21:AY21"/>
    <mergeCell ref="AZ21:BO21"/>
    <mergeCell ref="B21:C21"/>
    <mergeCell ref="D21:H21"/>
    <mergeCell ref="I21:P21"/>
    <mergeCell ref="Q21:X21"/>
    <mergeCell ref="Y21:Z21"/>
    <mergeCell ref="AA21:AD21"/>
    <mergeCell ref="AE21:AG21"/>
    <mergeCell ref="AH22:AJ22"/>
    <mergeCell ref="AK22:AN22"/>
    <mergeCell ref="AO22:AV22"/>
    <mergeCell ref="AW22:AY22"/>
    <mergeCell ref="AZ22:BO22"/>
    <mergeCell ref="B22:C22"/>
    <mergeCell ref="D22:H22"/>
    <mergeCell ref="I22:P22"/>
    <mergeCell ref="Q22:X22"/>
    <mergeCell ref="Y22:Z22"/>
    <mergeCell ref="AA22:AD22"/>
    <mergeCell ref="AE22:AG22"/>
    <mergeCell ref="AH19:AJ19"/>
    <mergeCell ref="AK19:AN19"/>
    <mergeCell ref="AO19:AV19"/>
    <mergeCell ref="AW19:AY19"/>
    <mergeCell ref="AZ19:BO19"/>
    <mergeCell ref="B19:C19"/>
    <mergeCell ref="D19:H19"/>
    <mergeCell ref="I19:P19"/>
    <mergeCell ref="Q19:X19"/>
    <mergeCell ref="Y19:Z19"/>
    <mergeCell ref="AA19:AD19"/>
    <mergeCell ref="AE19:AG19"/>
    <mergeCell ref="AH20:AJ20"/>
    <mergeCell ref="AK20:AN20"/>
    <mergeCell ref="AO20:AV20"/>
    <mergeCell ref="AW20:AY20"/>
    <mergeCell ref="AZ20:BO20"/>
    <mergeCell ref="B20:C20"/>
    <mergeCell ref="D20:H20"/>
    <mergeCell ref="I20:P20"/>
    <mergeCell ref="Q20:X20"/>
    <mergeCell ref="Y20:Z20"/>
    <mergeCell ref="AA20:AD20"/>
    <mergeCell ref="AE20:AG20"/>
    <mergeCell ref="Q16:X16"/>
    <mergeCell ref="Y16:Z16"/>
    <mergeCell ref="AA16:AD16"/>
    <mergeCell ref="AE16:AG16"/>
    <mergeCell ref="AH17:AJ17"/>
    <mergeCell ref="AK17:AN17"/>
    <mergeCell ref="AO17:AV17"/>
    <mergeCell ref="AW17:AY17"/>
    <mergeCell ref="AZ17:BO17"/>
    <mergeCell ref="B17:C17"/>
    <mergeCell ref="D17:H17"/>
    <mergeCell ref="I17:P17"/>
    <mergeCell ref="Q17:X17"/>
    <mergeCell ref="Y17:Z17"/>
    <mergeCell ref="AA17:AD17"/>
    <mergeCell ref="AE17:AG17"/>
    <mergeCell ref="AH18:AJ18"/>
    <mergeCell ref="AK18:AN18"/>
    <mergeCell ref="AO18:AV18"/>
    <mergeCell ref="AW18:AY18"/>
    <mergeCell ref="AZ18:BO18"/>
    <mergeCell ref="B18:C18"/>
    <mergeCell ref="D18:H18"/>
    <mergeCell ref="I18:P18"/>
    <mergeCell ref="Q18:X18"/>
    <mergeCell ref="Y18:Z18"/>
    <mergeCell ref="AA18:AD18"/>
    <mergeCell ref="AE18:AG18"/>
    <mergeCell ref="AH504:AJ504"/>
    <mergeCell ref="AK504:AN504"/>
    <mergeCell ref="AO504:AV504"/>
    <mergeCell ref="AW504:AY504"/>
    <mergeCell ref="AZ504:BO504"/>
    <mergeCell ref="B504:C504"/>
    <mergeCell ref="D504:H504"/>
    <mergeCell ref="I504:P504"/>
    <mergeCell ref="Q504:X504"/>
    <mergeCell ref="Y504:Z504"/>
    <mergeCell ref="AA504:AD504"/>
    <mergeCell ref="AE504:AG504"/>
    <mergeCell ref="AH15:AJ15"/>
    <mergeCell ref="AK15:AN15"/>
    <mergeCell ref="AO15:AV15"/>
    <mergeCell ref="AW15:AY15"/>
    <mergeCell ref="AZ15:BO15"/>
    <mergeCell ref="B15:C15"/>
    <mergeCell ref="D15:H15"/>
    <mergeCell ref="I15:P15"/>
    <mergeCell ref="Q15:X15"/>
    <mergeCell ref="Y15:Z15"/>
    <mergeCell ref="AA15:AD15"/>
    <mergeCell ref="AE15:AG15"/>
    <mergeCell ref="AH16:AJ16"/>
    <mergeCell ref="AK16:AN16"/>
    <mergeCell ref="AO16:AV16"/>
    <mergeCell ref="AW16:AY16"/>
    <mergeCell ref="AZ16:BO16"/>
    <mergeCell ref="B16:C16"/>
    <mergeCell ref="D16:H16"/>
    <mergeCell ref="I16:P16"/>
    <mergeCell ref="AH502:AJ502"/>
    <mergeCell ref="AK502:AN502"/>
    <mergeCell ref="AO502:AV502"/>
    <mergeCell ref="AW502:AY502"/>
    <mergeCell ref="AZ502:BO502"/>
    <mergeCell ref="B502:C502"/>
    <mergeCell ref="D502:H502"/>
    <mergeCell ref="I502:P502"/>
    <mergeCell ref="Q502:X502"/>
    <mergeCell ref="Y502:Z502"/>
    <mergeCell ref="AA502:AD502"/>
    <mergeCell ref="AE502:AG502"/>
    <mergeCell ref="AH503:AJ503"/>
    <mergeCell ref="AK503:AN503"/>
    <mergeCell ref="AO503:AV503"/>
    <mergeCell ref="AW503:AY503"/>
    <mergeCell ref="AZ503:BO503"/>
    <mergeCell ref="B503:C503"/>
    <mergeCell ref="D503:H503"/>
    <mergeCell ref="I503:P503"/>
    <mergeCell ref="Q503:X503"/>
    <mergeCell ref="Y503:Z503"/>
    <mergeCell ref="AA503:AD503"/>
    <mergeCell ref="AE503:AG503"/>
    <mergeCell ref="AH500:AJ500"/>
    <mergeCell ref="AK500:AN500"/>
    <mergeCell ref="AO500:AV500"/>
    <mergeCell ref="AW500:AY500"/>
    <mergeCell ref="AZ500:BO500"/>
    <mergeCell ref="B500:C500"/>
    <mergeCell ref="D500:H500"/>
    <mergeCell ref="I500:P500"/>
    <mergeCell ref="Q500:X500"/>
    <mergeCell ref="Y500:Z500"/>
    <mergeCell ref="AA500:AD500"/>
    <mergeCell ref="AE500:AG500"/>
    <mergeCell ref="AH501:AJ501"/>
    <mergeCell ref="AK501:AN501"/>
    <mergeCell ref="AO501:AV501"/>
    <mergeCell ref="AW501:AY501"/>
    <mergeCell ref="AZ501:BO501"/>
    <mergeCell ref="B501:C501"/>
    <mergeCell ref="D501:H501"/>
    <mergeCell ref="I501:P501"/>
    <mergeCell ref="Q501:X501"/>
    <mergeCell ref="Y501:Z501"/>
    <mergeCell ref="AA501:AD501"/>
    <mergeCell ref="AE501:AG501"/>
    <mergeCell ref="AH498:AJ498"/>
    <mergeCell ref="AK498:AN498"/>
    <mergeCell ref="AO498:AV498"/>
    <mergeCell ref="AW498:AY498"/>
    <mergeCell ref="AZ498:BO498"/>
    <mergeCell ref="B498:C498"/>
    <mergeCell ref="D498:H498"/>
    <mergeCell ref="I498:P498"/>
    <mergeCell ref="Q498:X498"/>
    <mergeCell ref="Y498:Z498"/>
    <mergeCell ref="AA498:AD498"/>
    <mergeCell ref="AE498:AG498"/>
    <mergeCell ref="AH499:AJ499"/>
    <mergeCell ref="AK499:AN499"/>
    <mergeCell ref="AO499:AV499"/>
    <mergeCell ref="AW499:AY499"/>
    <mergeCell ref="AZ499:BO499"/>
    <mergeCell ref="B499:C499"/>
    <mergeCell ref="D499:H499"/>
    <mergeCell ref="I499:P499"/>
    <mergeCell ref="Q499:X499"/>
    <mergeCell ref="Y499:Z499"/>
    <mergeCell ref="AA499:AD499"/>
    <mergeCell ref="AE499:AG499"/>
    <mergeCell ref="AH496:AJ496"/>
    <mergeCell ref="AK496:AN496"/>
    <mergeCell ref="AO496:AV496"/>
    <mergeCell ref="AW496:AY496"/>
    <mergeCell ref="AZ496:BO496"/>
    <mergeCell ref="B496:C496"/>
    <mergeCell ref="D496:H496"/>
    <mergeCell ref="I496:P496"/>
    <mergeCell ref="Q496:X496"/>
    <mergeCell ref="Y496:Z496"/>
    <mergeCell ref="AA496:AD496"/>
    <mergeCell ref="AE496:AG496"/>
    <mergeCell ref="AH497:AJ497"/>
    <mergeCell ref="AK497:AN497"/>
    <mergeCell ref="AO497:AV497"/>
    <mergeCell ref="AW497:AY497"/>
    <mergeCell ref="AZ497:BO497"/>
    <mergeCell ref="B497:C497"/>
    <mergeCell ref="D497:H497"/>
    <mergeCell ref="I497:P497"/>
    <mergeCell ref="Q497:X497"/>
    <mergeCell ref="Y497:Z497"/>
    <mergeCell ref="AA497:AD497"/>
    <mergeCell ref="AE497:AG497"/>
    <mergeCell ref="AH494:AJ494"/>
    <mergeCell ref="AK494:AN494"/>
    <mergeCell ref="AO494:AV494"/>
    <mergeCell ref="AW494:AY494"/>
    <mergeCell ref="AZ494:BO494"/>
    <mergeCell ref="B494:C494"/>
    <mergeCell ref="D494:H494"/>
    <mergeCell ref="I494:P494"/>
    <mergeCell ref="Q494:X494"/>
    <mergeCell ref="Y494:Z494"/>
    <mergeCell ref="AA494:AD494"/>
    <mergeCell ref="AE494:AG494"/>
    <mergeCell ref="AH495:AJ495"/>
    <mergeCell ref="AK495:AN495"/>
    <mergeCell ref="AO495:AV495"/>
    <mergeCell ref="AW495:AY495"/>
    <mergeCell ref="AZ495:BO495"/>
    <mergeCell ref="B495:C495"/>
    <mergeCell ref="D495:H495"/>
    <mergeCell ref="I495:P495"/>
    <mergeCell ref="Q495:X495"/>
    <mergeCell ref="Y495:Z495"/>
    <mergeCell ref="AA495:AD495"/>
    <mergeCell ref="AE495:AG495"/>
    <mergeCell ref="AH492:AJ492"/>
    <mergeCell ref="AK492:AN492"/>
    <mergeCell ref="AO492:AV492"/>
    <mergeCell ref="AW492:AY492"/>
    <mergeCell ref="AZ492:BO492"/>
    <mergeCell ref="B492:C492"/>
    <mergeCell ref="D492:H492"/>
    <mergeCell ref="I492:P492"/>
    <mergeCell ref="Q492:X492"/>
    <mergeCell ref="Y492:Z492"/>
    <mergeCell ref="AA492:AD492"/>
    <mergeCell ref="AE492:AG492"/>
    <mergeCell ref="AH493:AJ493"/>
    <mergeCell ref="AK493:AN493"/>
    <mergeCell ref="AO493:AV493"/>
    <mergeCell ref="AW493:AY493"/>
    <mergeCell ref="AZ493:BO493"/>
    <mergeCell ref="B493:C493"/>
    <mergeCell ref="D493:H493"/>
    <mergeCell ref="I493:P493"/>
    <mergeCell ref="Q493:X493"/>
    <mergeCell ref="Y493:Z493"/>
    <mergeCell ref="AA493:AD493"/>
    <mergeCell ref="AE493:AG493"/>
    <mergeCell ref="AH490:AJ490"/>
    <mergeCell ref="AK490:AN490"/>
    <mergeCell ref="AO490:AV490"/>
    <mergeCell ref="AW490:AY490"/>
    <mergeCell ref="AZ490:BO490"/>
    <mergeCell ref="B490:C490"/>
    <mergeCell ref="D490:H490"/>
    <mergeCell ref="I490:P490"/>
    <mergeCell ref="Q490:X490"/>
    <mergeCell ref="Y490:Z490"/>
    <mergeCell ref="AA490:AD490"/>
    <mergeCell ref="AE490:AG490"/>
    <mergeCell ref="AH491:AJ491"/>
    <mergeCell ref="AK491:AN491"/>
    <mergeCell ref="AO491:AV491"/>
    <mergeCell ref="AW491:AY491"/>
    <mergeCell ref="AZ491:BO491"/>
    <mergeCell ref="B491:C491"/>
    <mergeCell ref="D491:H491"/>
    <mergeCell ref="I491:P491"/>
    <mergeCell ref="Q491:X491"/>
    <mergeCell ref="Y491:Z491"/>
    <mergeCell ref="AA491:AD491"/>
    <mergeCell ref="AE491:AG491"/>
    <mergeCell ref="AH488:AJ488"/>
    <mergeCell ref="AK488:AN488"/>
    <mergeCell ref="AO488:AV488"/>
    <mergeCell ref="AW488:AY488"/>
    <mergeCell ref="AZ488:BO488"/>
    <mergeCell ref="B488:C488"/>
    <mergeCell ref="D488:H488"/>
    <mergeCell ref="I488:P488"/>
    <mergeCell ref="Q488:X488"/>
    <mergeCell ref="Y488:Z488"/>
    <mergeCell ref="AA488:AD488"/>
    <mergeCell ref="AE488:AG488"/>
    <mergeCell ref="AH489:AJ489"/>
    <mergeCell ref="AK489:AN489"/>
    <mergeCell ref="AO489:AV489"/>
    <mergeCell ref="AW489:AY489"/>
    <mergeCell ref="AZ489:BO489"/>
    <mergeCell ref="B489:C489"/>
    <mergeCell ref="D489:H489"/>
    <mergeCell ref="I489:P489"/>
    <mergeCell ref="Q489:X489"/>
    <mergeCell ref="Y489:Z489"/>
    <mergeCell ref="AA489:AD489"/>
    <mergeCell ref="AE489:AG489"/>
    <mergeCell ref="AH486:AJ486"/>
    <mergeCell ref="AK486:AN486"/>
    <mergeCell ref="AO486:AV486"/>
    <mergeCell ref="AW486:AY486"/>
    <mergeCell ref="AZ486:BO486"/>
    <mergeCell ref="B486:C486"/>
    <mergeCell ref="D486:H486"/>
    <mergeCell ref="I486:P486"/>
    <mergeCell ref="Q486:X486"/>
    <mergeCell ref="Y486:Z486"/>
    <mergeCell ref="AA486:AD486"/>
    <mergeCell ref="AE486:AG486"/>
    <mergeCell ref="AH487:AJ487"/>
    <mergeCell ref="AK487:AN487"/>
    <mergeCell ref="AO487:AV487"/>
    <mergeCell ref="AW487:AY487"/>
    <mergeCell ref="AZ487:BO487"/>
    <mergeCell ref="B487:C487"/>
    <mergeCell ref="D487:H487"/>
    <mergeCell ref="I487:P487"/>
    <mergeCell ref="Q487:X487"/>
    <mergeCell ref="Y487:Z487"/>
    <mergeCell ref="AA487:AD487"/>
    <mergeCell ref="AE487:AG487"/>
    <mergeCell ref="AH484:AJ484"/>
    <mergeCell ref="AK484:AN484"/>
    <mergeCell ref="AO484:AV484"/>
    <mergeCell ref="AW484:AY484"/>
    <mergeCell ref="AZ484:BO484"/>
    <mergeCell ref="B484:C484"/>
    <mergeCell ref="D484:H484"/>
    <mergeCell ref="I484:P484"/>
    <mergeCell ref="Q484:X484"/>
    <mergeCell ref="Y484:Z484"/>
    <mergeCell ref="AA484:AD484"/>
    <mergeCell ref="AE484:AG484"/>
    <mergeCell ref="AH485:AJ485"/>
    <mergeCell ref="AK485:AN485"/>
    <mergeCell ref="AO485:AV485"/>
    <mergeCell ref="AW485:AY485"/>
    <mergeCell ref="AZ485:BO485"/>
    <mergeCell ref="B485:C485"/>
    <mergeCell ref="D485:H485"/>
    <mergeCell ref="I485:P485"/>
    <mergeCell ref="Q485:X485"/>
    <mergeCell ref="Y485:Z485"/>
    <mergeCell ref="AA485:AD485"/>
    <mergeCell ref="AE485:AG485"/>
    <mergeCell ref="AH482:AJ482"/>
    <mergeCell ref="AK482:AN482"/>
    <mergeCell ref="AO482:AV482"/>
    <mergeCell ref="AW482:AY482"/>
    <mergeCell ref="AZ482:BO482"/>
    <mergeCell ref="B482:C482"/>
    <mergeCell ref="D482:H482"/>
    <mergeCell ref="I482:P482"/>
    <mergeCell ref="Q482:X482"/>
    <mergeCell ref="Y482:Z482"/>
    <mergeCell ref="AA482:AD482"/>
    <mergeCell ref="AE482:AG482"/>
    <mergeCell ref="AH483:AJ483"/>
    <mergeCell ref="AK483:AN483"/>
    <mergeCell ref="AO483:AV483"/>
    <mergeCell ref="AW483:AY483"/>
    <mergeCell ref="AZ483:BO483"/>
    <mergeCell ref="B483:C483"/>
    <mergeCell ref="D483:H483"/>
    <mergeCell ref="I483:P483"/>
    <mergeCell ref="Q483:X483"/>
    <mergeCell ref="Y483:Z483"/>
    <mergeCell ref="AA483:AD483"/>
    <mergeCell ref="AE483:AG483"/>
    <mergeCell ref="AH480:AJ480"/>
    <mergeCell ref="AK480:AN480"/>
    <mergeCell ref="AO480:AV480"/>
    <mergeCell ref="AW480:AY480"/>
    <mergeCell ref="AZ480:BO480"/>
    <mergeCell ref="B480:C480"/>
    <mergeCell ref="D480:H480"/>
    <mergeCell ref="I480:P480"/>
    <mergeCell ref="Q480:X480"/>
    <mergeCell ref="Y480:Z480"/>
    <mergeCell ref="AA480:AD480"/>
    <mergeCell ref="AE480:AG480"/>
    <mergeCell ref="AH481:AJ481"/>
    <mergeCell ref="AK481:AN481"/>
    <mergeCell ref="AO481:AV481"/>
    <mergeCell ref="AW481:AY481"/>
    <mergeCell ref="AZ481:BO481"/>
    <mergeCell ref="B481:C481"/>
    <mergeCell ref="D481:H481"/>
    <mergeCell ref="I481:P481"/>
    <mergeCell ref="Q481:X481"/>
    <mergeCell ref="Y481:Z481"/>
    <mergeCell ref="AA481:AD481"/>
    <mergeCell ref="AE481:AG481"/>
    <mergeCell ref="AH478:AJ478"/>
    <mergeCell ref="AK478:AN478"/>
    <mergeCell ref="AO478:AV478"/>
    <mergeCell ref="AW478:AY478"/>
    <mergeCell ref="AZ478:BO478"/>
    <mergeCell ref="B478:C478"/>
    <mergeCell ref="D478:H478"/>
    <mergeCell ref="I478:P478"/>
    <mergeCell ref="Q478:X478"/>
    <mergeCell ref="Y478:Z478"/>
    <mergeCell ref="AA478:AD478"/>
    <mergeCell ref="AE478:AG478"/>
    <mergeCell ref="AH479:AJ479"/>
    <mergeCell ref="AK479:AN479"/>
    <mergeCell ref="AO479:AV479"/>
    <mergeCell ref="AW479:AY479"/>
    <mergeCell ref="AZ479:BO479"/>
    <mergeCell ref="B479:C479"/>
    <mergeCell ref="D479:H479"/>
    <mergeCell ref="I479:P479"/>
    <mergeCell ref="Q479:X479"/>
    <mergeCell ref="Y479:Z479"/>
    <mergeCell ref="AA479:AD479"/>
    <mergeCell ref="AE479:AG479"/>
    <mergeCell ref="AH476:AJ476"/>
    <mergeCell ref="AK476:AN476"/>
    <mergeCell ref="AO476:AV476"/>
    <mergeCell ref="AW476:AY476"/>
    <mergeCell ref="AZ476:BO476"/>
    <mergeCell ref="B476:C476"/>
    <mergeCell ref="D476:H476"/>
    <mergeCell ref="I476:P476"/>
    <mergeCell ref="Q476:X476"/>
    <mergeCell ref="Y476:Z476"/>
    <mergeCell ref="AA476:AD476"/>
    <mergeCell ref="AE476:AG476"/>
    <mergeCell ref="AH477:AJ477"/>
    <mergeCell ref="AK477:AN477"/>
    <mergeCell ref="AO477:AV477"/>
    <mergeCell ref="AW477:AY477"/>
    <mergeCell ref="AZ477:BO477"/>
    <mergeCell ref="B477:C477"/>
    <mergeCell ref="D477:H477"/>
    <mergeCell ref="I477:P477"/>
    <mergeCell ref="Q477:X477"/>
    <mergeCell ref="Y477:Z477"/>
    <mergeCell ref="AA477:AD477"/>
    <mergeCell ref="AE477:AG477"/>
    <mergeCell ref="AH474:AJ474"/>
    <mergeCell ref="AK474:AN474"/>
    <mergeCell ref="AO474:AV474"/>
    <mergeCell ref="AW474:AY474"/>
    <mergeCell ref="AZ474:BO474"/>
    <mergeCell ref="B474:C474"/>
    <mergeCell ref="D474:H474"/>
    <mergeCell ref="I474:P474"/>
    <mergeCell ref="Q474:X474"/>
    <mergeCell ref="Y474:Z474"/>
    <mergeCell ref="AA474:AD474"/>
    <mergeCell ref="AE474:AG474"/>
    <mergeCell ref="AH475:AJ475"/>
    <mergeCell ref="AK475:AN475"/>
    <mergeCell ref="AO475:AV475"/>
    <mergeCell ref="AW475:AY475"/>
    <mergeCell ref="AZ475:BO475"/>
    <mergeCell ref="B475:C475"/>
    <mergeCell ref="D475:H475"/>
    <mergeCell ref="I475:P475"/>
    <mergeCell ref="Q475:X475"/>
    <mergeCell ref="Y475:Z475"/>
    <mergeCell ref="AA475:AD475"/>
    <mergeCell ref="AE475:AG475"/>
    <mergeCell ref="AH472:AJ472"/>
    <mergeCell ref="AK472:AN472"/>
    <mergeCell ref="AO472:AV472"/>
    <mergeCell ref="AW472:AY472"/>
    <mergeCell ref="AZ472:BO472"/>
    <mergeCell ref="B472:C472"/>
    <mergeCell ref="D472:H472"/>
    <mergeCell ref="I472:P472"/>
    <mergeCell ref="Q472:X472"/>
    <mergeCell ref="Y472:Z472"/>
    <mergeCell ref="AA472:AD472"/>
    <mergeCell ref="AE472:AG472"/>
    <mergeCell ref="AH473:AJ473"/>
    <mergeCell ref="AK473:AN473"/>
    <mergeCell ref="AO473:AV473"/>
    <mergeCell ref="AW473:AY473"/>
    <mergeCell ref="AZ473:BO473"/>
    <mergeCell ref="B473:C473"/>
    <mergeCell ref="D473:H473"/>
    <mergeCell ref="I473:P473"/>
    <mergeCell ref="Q473:X473"/>
    <mergeCell ref="Y473:Z473"/>
    <mergeCell ref="AA473:AD473"/>
    <mergeCell ref="AE473:AG473"/>
    <mergeCell ref="AH470:AJ470"/>
    <mergeCell ref="AK470:AN470"/>
    <mergeCell ref="AO470:AV470"/>
    <mergeCell ref="AW470:AY470"/>
    <mergeCell ref="AZ470:BO470"/>
    <mergeCell ref="B470:C470"/>
    <mergeCell ref="D470:H470"/>
    <mergeCell ref="I470:P470"/>
    <mergeCell ref="Q470:X470"/>
    <mergeCell ref="Y470:Z470"/>
    <mergeCell ref="AA470:AD470"/>
    <mergeCell ref="AE470:AG470"/>
    <mergeCell ref="AH471:AJ471"/>
    <mergeCell ref="AK471:AN471"/>
    <mergeCell ref="AO471:AV471"/>
    <mergeCell ref="AW471:AY471"/>
    <mergeCell ref="AZ471:BO471"/>
    <mergeCell ref="B471:C471"/>
    <mergeCell ref="D471:H471"/>
    <mergeCell ref="I471:P471"/>
    <mergeCell ref="Q471:X471"/>
    <mergeCell ref="Y471:Z471"/>
    <mergeCell ref="AA471:AD471"/>
    <mergeCell ref="AE471:AG471"/>
    <mergeCell ref="AH468:AJ468"/>
    <mergeCell ref="AK468:AN468"/>
    <mergeCell ref="AO468:AV468"/>
    <mergeCell ref="AW468:AY468"/>
    <mergeCell ref="AZ468:BO468"/>
    <mergeCell ref="B468:C468"/>
    <mergeCell ref="D468:H468"/>
    <mergeCell ref="I468:P468"/>
    <mergeCell ref="Q468:X468"/>
    <mergeCell ref="Y468:Z468"/>
    <mergeCell ref="AA468:AD468"/>
    <mergeCell ref="AE468:AG468"/>
    <mergeCell ref="AH469:AJ469"/>
    <mergeCell ref="AK469:AN469"/>
    <mergeCell ref="AO469:AV469"/>
    <mergeCell ref="AW469:AY469"/>
    <mergeCell ref="AZ469:BO469"/>
    <mergeCell ref="B469:C469"/>
    <mergeCell ref="D469:H469"/>
    <mergeCell ref="I469:P469"/>
    <mergeCell ref="Q469:X469"/>
    <mergeCell ref="Y469:Z469"/>
    <mergeCell ref="AA469:AD469"/>
    <mergeCell ref="AE469:AG469"/>
    <mergeCell ref="AH466:AJ466"/>
    <mergeCell ref="AK466:AN466"/>
    <mergeCell ref="AO466:AV466"/>
    <mergeCell ref="AW466:AY466"/>
    <mergeCell ref="AZ466:BO466"/>
    <mergeCell ref="B466:C466"/>
    <mergeCell ref="D466:H466"/>
    <mergeCell ref="I466:P466"/>
    <mergeCell ref="Q466:X466"/>
    <mergeCell ref="Y466:Z466"/>
    <mergeCell ref="AA466:AD466"/>
    <mergeCell ref="AE466:AG466"/>
    <mergeCell ref="AH467:AJ467"/>
    <mergeCell ref="AK467:AN467"/>
    <mergeCell ref="AO467:AV467"/>
    <mergeCell ref="AW467:AY467"/>
    <mergeCell ref="AZ467:BO467"/>
    <mergeCell ref="B467:C467"/>
    <mergeCell ref="D467:H467"/>
    <mergeCell ref="I467:P467"/>
    <mergeCell ref="Q467:X467"/>
    <mergeCell ref="Y467:Z467"/>
    <mergeCell ref="AA467:AD467"/>
    <mergeCell ref="AE467:AG467"/>
    <mergeCell ref="AH464:AJ464"/>
    <mergeCell ref="AK464:AN464"/>
    <mergeCell ref="AO464:AV464"/>
    <mergeCell ref="AW464:AY464"/>
    <mergeCell ref="AZ464:BO464"/>
    <mergeCell ref="B464:C464"/>
    <mergeCell ref="D464:H464"/>
    <mergeCell ref="I464:P464"/>
    <mergeCell ref="Q464:X464"/>
    <mergeCell ref="Y464:Z464"/>
    <mergeCell ref="AA464:AD464"/>
    <mergeCell ref="AE464:AG464"/>
    <mergeCell ref="AH465:AJ465"/>
    <mergeCell ref="AK465:AN465"/>
    <mergeCell ref="AO465:AV465"/>
    <mergeCell ref="AW465:AY465"/>
    <mergeCell ref="AZ465:BO465"/>
    <mergeCell ref="B465:C465"/>
    <mergeCell ref="D465:H465"/>
    <mergeCell ref="I465:P465"/>
    <mergeCell ref="Q465:X465"/>
    <mergeCell ref="Y465:Z465"/>
    <mergeCell ref="AA465:AD465"/>
    <mergeCell ref="AE465:AG465"/>
    <mergeCell ref="AH462:AJ462"/>
    <mergeCell ref="AK462:AN462"/>
    <mergeCell ref="AO462:AV462"/>
    <mergeCell ref="AW462:AY462"/>
    <mergeCell ref="AZ462:BO462"/>
    <mergeCell ref="B462:C462"/>
    <mergeCell ref="D462:H462"/>
    <mergeCell ref="I462:P462"/>
    <mergeCell ref="Q462:X462"/>
    <mergeCell ref="Y462:Z462"/>
    <mergeCell ref="AA462:AD462"/>
    <mergeCell ref="AE462:AG462"/>
    <mergeCell ref="AH463:AJ463"/>
    <mergeCell ref="AK463:AN463"/>
    <mergeCell ref="AO463:AV463"/>
    <mergeCell ref="AW463:AY463"/>
    <mergeCell ref="AZ463:BO463"/>
    <mergeCell ref="B463:C463"/>
    <mergeCell ref="D463:H463"/>
    <mergeCell ref="I463:P463"/>
    <mergeCell ref="Q463:X463"/>
    <mergeCell ref="Y463:Z463"/>
    <mergeCell ref="AA463:AD463"/>
    <mergeCell ref="AE463:AG463"/>
    <mergeCell ref="AH460:AJ460"/>
    <mergeCell ref="AK460:AN460"/>
    <mergeCell ref="AO460:AV460"/>
    <mergeCell ref="AW460:AY460"/>
    <mergeCell ref="AZ460:BO460"/>
    <mergeCell ref="B460:C460"/>
    <mergeCell ref="D460:H460"/>
    <mergeCell ref="I460:P460"/>
    <mergeCell ref="Q460:X460"/>
    <mergeCell ref="Y460:Z460"/>
    <mergeCell ref="AA460:AD460"/>
    <mergeCell ref="AE460:AG460"/>
    <mergeCell ref="AH461:AJ461"/>
    <mergeCell ref="AK461:AN461"/>
    <mergeCell ref="AO461:AV461"/>
    <mergeCell ref="AW461:AY461"/>
    <mergeCell ref="AZ461:BO461"/>
    <mergeCell ref="B461:C461"/>
    <mergeCell ref="D461:H461"/>
    <mergeCell ref="I461:P461"/>
    <mergeCell ref="Q461:X461"/>
    <mergeCell ref="Y461:Z461"/>
    <mergeCell ref="AA461:AD461"/>
    <mergeCell ref="AE461:AG461"/>
    <mergeCell ref="AH458:AJ458"/>
    <mergeCell ref="AK458:AN458"/>
    <mergeCell ref="AO458:AV458"/>
    <mergeCell ref="AW458:AY458"/>
    <mergeCell ref="AZ458:BO458"/>
    <mergeCell ref="B458:C458"/>
    <mergeCell ref="D458:H458"/>
    <mergeCell ref="I458:P458"/>
    <mergeCell ref="Q458:X458"/>
    <mergeCell ref="Y458:Z458"/>
    <mergeCell ref="AA458:AD458"/>
    <mergeCell ref="AE458:AG458"/>
    <mergeCell ref="AH459:AJ459"/>
    <mergeCell ref="AK459:AN459"/>
    <mergeCell ref="AO459:AV459"/>
    <mergeCell ref="AW459:AY459"/>
    <mergeCell ref="AZ459:BO459"/>
    <mergeCell ref="B459:C459"/>
    <mergeCell ref="D459:H459"/>
    <mergeCell ref="I459:P459"/>
    <mergeCell ref="Q459:X459"/>
    <mergeCell ref="Y459:Z459"/>
    <mergeCell ref="AA459:AD459"/>
    <mergeCell ref="AE459:AG459"/>
    <mergeCell ref="AH456:AJ456"/>
    <mergeCell ref="AK456:AN456"/>
    <mergeCell ref="AO456:AV456"/>
    <mergeCell ref="AW456:AY456"/>
    <mergeCell ref="AZ456:BO456"/>
    <mergeCell ref="B456:C456"/>
    <mergeCell ref="D456:H456"/>
    <mergeCell ref="I456:P456"/>
    <mergeCell ref="Q456:X456"/>
    <mergeCell ref="Y456:Z456"/>
    <mergeCell ref="AA456:AD456"/>
    <mergeCell ref="AE456:AG456"/>
    <mergeCell ref="AH457:AJ457"/>
    <mergeCell ref="AK457:AN457"/>
    <mergeCell ref="AO457:AV457"/>
    <mergeCell ref="AW457:AY457"/>
    <mergeCell ref="AZ457:BO457"/>
    <mergeCell ref="B457:C457"/>
    <mergeCell ref="D457:H457"/>
    <mergeCell ref="I457:P457"/>
    <mergeCell ref="Q457:X457"/>
    <mergeCell ref="Y457:Z457"/>
    <mergeCell ref="AA457:AD457"/>
    <mergeCell ref="AE457:AG457"/>
    <mergeCell ref="AH510:AJ510"/>
    <mergeCell ref="AK510:AN510"/>
    <mergeCell ref="AO510:AV510"/>
    <mergeCell ref="AW510:AY510"/>
    <mergeCell ref="AZ510:BO510"/>
    <mergeCell ref="B510:C510"/>
    <mergeCell ref="D510:H510"/>
    <mergeCell ref="I510:P510"/>
    <mergeCell ref="Q510:X510"/>
    <mergeCell ref="Y510:Z510"/>
    <mergeCell ref="AA510:AD510"/>
    <mergeCell ref="AE510:AG510"/>
    <mergeCell ref="AH511:AJ511"/>
    <mergeCell ref="AK511:AN511"/>
    <mergeCell ref="AO511:AV511"/>
    <mergeCell ref="AW511:AY511"/>
    <mergeCell ref="AZ511:BO511"/>
    <mergeCell ref="B511:C511"/>
    <mergeCell ref="D511:H511"/>
    <mergeCell ref="I511:P511"/>
    <mergeCell ref="Q511:X511"/>
    <mergeCell ref="Y511:Z511"/>
    <mergeCell ref="AA511:AD511"/>
    <mergeCell ref="AE511:AG511"/>
    <mergeCell ref="AH508:AJ508"/>
    <mergeCell ref="AK508:AN508"/>
    <mergeCell ref="AO508:AV508"/>
    <mergeCell ref="AW508:AY508"/>
    <mergeCell ref="AZ508:BO508"/>
    <mergeCell ref="B508:C508"/>
    <mergeCell ref="D508:H508"/>
    <mergeCell ref="I508:P508"/>
    <mergeCell ref="Q508:X508"/>
    <mergeCell ref="Y508:Z508"/>
    <mergeCell ref="AA508:AD508"/>
    <mergeCell ref="AE508:AG508"/>
    <mergeCell ref="AH509:AJ509"/>
    <mergeCell ref="AK509:AN509"/>
    <mergeCell ref="AO509:AV509"/>
    <mergeCell ref="AW509:AY509"/>
    <mergeCell ref="AZ509:BO509"/>
    <mergeCell ref="B509:C509"/>
    <mergeCell ref="D509:H509"/>
    <mergeCell ref="I509:P509"/>
    <mergeCell ref="Q509:X509"/>
    <mergeCell ref="Y509:Z509"/>
    <mergeCell ref="AA509:AD509"/>
    <mergeCell ref="AE509:AG509"/>
    <mergeCell ref="Q505:X505"/>
    <mergeCell ref="Y505:Z505"/>
    <mergeCell ref="AA505:AD505"/>
    <mergeCell ref="AE505:AG505"/>
    <mergeCell ref="AH506:AJ506"/>
    <mergeCell ref="AK506:AN506"/>
    <mergeCell ref="AO506:AV506"/>
    <mergeCell ref="AW506:AY506"/>
    <mergeCell ref="AZ506:BO506"/>
    <mergeCell ref="B506:C506"/>
    <mergeCell ref="D506:H506"/>
    <mergeCell ref="I506:P506"/>
    <mergeCell ref="Q506:X506"/>
    <mergeCell ref="Y506:Z506"/>
    <mergeCell ref="AA506:AD506"/>
    <mergeCell ref="AE506:AG506"/>
    <mergeCell ref="AH507:AJ507"/>
    <mergeCell ref="AK507:AN507"/>
    <mergeCell ref="AO507:AV507"/>
    <mergeCell ref="AW507:AY507"/>
    <mergeCell ref="AZ507:BO507"/>
    <mergeCell ref="B507:C507"/>
    <mergeCell ref="D507:H507"/>
    <mergeCell ref="I507:P507"/>
    <mergeCell ref="Q507:X507"/>
    <mergeCell ref="Y507:Z507"/>
    <mergeCell ref="AA507:AD507"/>
    <mergeCell ref="AE507:AG507"/>
    <mergeCell ref="AH14:AJ14"/>
    <mergeCell ref="AK14:AN14"/>
    <mergeCell ref="AO14:AV14"/>
    <mergeCell ref="AW14:AY14"/>
    <mergeCell ref="AZ14:BO14"/>
    <mergeCell ref="B14:C14"/>
    <mergeCell ref="D14:H14"/>
    <mergeCell ref="I14:P14"/>
    <mergeCell ref="Q14:X14"/>
    <mergeCell ref="Y14:Z14"/>
    <mergeCell ref="AA14:AD14"/>
    <mergeCell ref="AE14:AG14"/>
    <mergeCell ref="AH512:AJ512"/>
    <mergeCell ref="AK512:AN512"/>
    <mergeCell ref="AO512:AV512"/>
    <mergeCell ref="AW512:AY512"/>
    <mergeCell ref="AZ512:BO512"/>
    <mergeCell ref="B512:C512"/>
    <mergeCell ref="D512:H512"/>
    <mergeCell ref="I512:P512"/>
    <mergeCell ref="Q512:X512"/>
    <mergeCell ref="Y512:Z512"/>
    <mergeCell ref="AA512:AD512"/>
    <mergeCell ref="AE512:AG512"/>
    <mergeCell ref="AH505:AJ505"/>
    <mergeCell ref="AK505:AN505"/>
    <mergeCell ref="AO505:AV505"/>
    <mergeCell ref="AW505:AY505"/>
    <mergeCell ref="AZ505:BO505"/>
    <mergeCell ref="B505:C505"/>
    <mergeCell ref="D505:H505"/>
    <mergeCell ref="I505:P505"/>
    <mergeCell ref="AO12:AV12"/>
    <mergeCell ref="AW12:AY12"/>
    <mergeCell ref="AZ12:BO12"/>
    <mergeCell ref="AA12:AD12"/>
    <mergeCell ref="AE12:AG12"/>
    <mergeCell ref="A10:AM10"/>
    <mergeCell ref="A11:AM11"/>
    <mergeCell ref="B12:C12"/>
    <mergeCell ref="D12:H12"/>
    <mergeCell ref="I12:P12"/>
    <mergeCell ref="Q12:X12"/>
    <mergeCell ref="Y12:Z12"/>
    <mergeCell ref="AH13:AJ13"/>
    <mergeCell ref="AK13:AN13"/>
    <mergeCell ref="AO13:AV13"/>
    <mergeCell ref="AW13:AY13"/>
    <mergeCell ref="AZ13:BO13"/>
    <mergeCell ref="B13:C13"/>
    <mergeCell ref="D13:H13"/>
    <mergeCell ref="I13:P13"/>
    <mergeCell ref="Q13:X13"/>
    <mergeCell ref="Y13:Z13"/>
    <mergeCell ref="AA13:AD13"/>
    <mergeCell ref="AE13:AG13"/>
    <mergeCell ref="U7:Y7"/>
    <mergeCell ref="U8:Y8"/>
    <mergeCell ref="U9:Y9"/>
    <mergeCell ref="Z9:AI9"/>
    <mergeCell ref="A7:G8"/>
    <mergeCell ref="A9:G9"/>
    <mergeCell ref="H9:O9"/>
    <mergeCell ref="P9:S9"/>
    <mergeCell ref="A6:G6"/>
    <mergeCell ref="H6:S6"/>
    <mergeCell ref="U6:Y6"/>
    <mergeCell ref="Z6:AI6"/>
    <mergeCell ref="H7:S8"/>
    <mergeCell ref="Z7:AI7"/>
    <mergeCell ref="Z8:AI8"/>
    <mergeCell ref="AH12:AJ12"/>
    <mergeCell ref="AK12:AN12"/>
    <mergeCell ref="AH1:AJ1"/>
    <mergeCell ref="AK1:AN1"/>
    <mergeCell ref="AO1:AV1"/>
    <mergeCell ref="AW1:AY1"/>
    <mergeCell ref="AZ1:BO1"/>
    <mergeCell ref="B1:C1"/>
    <mergeCell ref="D1:H1"/>
    <mergeCell ref="I1:P1"/>
    <mergeCell ref="Q1:X1"/>
    <mergeCell ref="Y1:Z1"/>
    <mergeCell ref="AA1:AD1"/>
    <mergeCell ref="AE1:AG1"/>
    <mergeCell ref="A2:BB2"/>
    <mergeCell ref="A3:BB3"/>
    <mergeCell ref="A4:BB4"/>
    <mergeCell ref="A5:G5"/>
    <mergeCell ref="H5:S5"/>
    <mergeCell ref="U5:Y5"/>
    <mergeCell ref="Z5:AI5"/>
    <mergeCell ref="AH454:AJ454"/>
    <mergeCell ref="AK454:AN454"/>
    <mergeCell ref="AO454:AV454"/>
    <mergeCell ref="AW454:AY454"/>
    <mergeCell ref="AZ454:BO454"/>
    <mergeCell ref="B454:C454"/>
    <mergeCell ref="D454:H454"/>
    <mergeCell ref="I454:P454"/>
    <mergeCell ref="Q454:X454"/>
    <mergeCell ref="Y454:Z454"/>
    <mergeCell ref="AA454:AD454"/>
    <mergeCell ref="AE454:AG454"/>
    <mergeCell ref="AH455:AJ455"/>
    <mergeCell ref="AK455:AN455"/>
    <mergeCell ref="AO455:AV455"/>
    <mergeCell ref="AW455:AY455"/>
    <mergeCell ref="AZ455:BO455"/>
    <mergeCell ref="B455:C455"/>
    <mergeCell ref="D455:H455"/>
    <mergeCell ref="I455:P455"/>
    <mergeCell ref="Q455:X455"/>
    <mergeCell ref="Y455:Z455"/>
    <mergeCell ref="AA455:AD455"/>
    <mergeCell ref="AE455:AG455"/>
    <mergeCell ref="AH452:AJ452"/>
    <mergeCell ref="AK452:AN452"/>
    <mergeCell ref="AO452:AV452"/>
    <mergeCell ref="AW452:AY452"/>
    <mergeCell ref="AZ452:BO452"/>
    <mergeCell ref="B452:C452"/>
    <mergeCell ref="D452:H452"/>
    <mergeCell ref="I452:P452"/>
    <mergeCell ref="Q452:X452"/>
    <mergeCell ref="Y452:Z452"/>
    <mergeCell ref="AA452:AD452"/>
    <mergeCell ref="AE452:AG452"/>
    <mergeCell ref="AH453:AJ453"/>
    <mergeCell ref="AK453:AN453"/>
    <mergeCell ref="AO453:AV453"/>
    <mergeCell ref="AW453:AY453"/>
    <mergeCell ref="AZ453:BO453"/>
    <mergeCell ref="B453:C453"/>
    <mergeCell ref="D453:H453"/>
    <mergeCell ref="I453:P453"/>
    <mergeCell ref="Q453:X453"/>
    <mergeCell ref="Y453:Z453"/>
    <mergeCell ref="AA453:AD453"/>
    <mergeCell ref="AE453:AG453"/>
    <mergeCell ref="AH450:AJ450"/>
    <mergeCell ref="AK450:AN450"/>
    <mergeCell ref="AO450:AV450"/>
    <mergeCell ref="AW450:AY450"/>
    <mergeCell ref="AZ450:BO450"/>
    <mergeCell ref="B450:C450"/>
    <mergeCell ref="D450:H450"/>
    <mergeCell ref="I450:P450"/>
    <mergeCell ref="Q450:X450"/>
    <mergeCell ref="Y450:Z450"/>
    <mergeCell ref="AA450:AD450"/>
    <mergeCell ref="AE450:AG450"/>
    <mergeCell ref="AH451:AJ451"/>
    <mergeCell ref="AK451:AN451"/>
    <mergeCell ref="AO451:AV451"/>
    <mergeCell ref="AW451:AY451"/>
    <mergeCell ref="AZ451:BO451"/>
    <mergeCell ref="B451:C451"/>
    <mergeCell ref="D451:H451"/>
    <mergeCell ref="I451:P451"/>
    <mergeCell ref="Q451:X451"/>
    <mergeCell ref="Y451:Z451"/>
    <mergeCell ref="AA451:AD451"/>
    <mergeCell ref="AE451:AG451"/>
    <mergeCell ref="AH448:AJ448"/>
    <mergeCell ref="AK448:AN448"/>
    <mergeCell ref="AO448:AV448"/>
    <mergeCell ref="AW448:AY448"/>
    <mergeCell ref="AZ448:BO448"/>
    <mergeCell ref="B448:C448"/>
    <mergeCell ref="D448:H448"/>
    <mergeCell ref="I448:P448"/>
    <mergeCell ref="Q448:X448"/>
    <mergeCell ref="Y448:Z448"/>
    <mergeCell ref="AA448:AD448"/>
    <mergeCell ref="AE448:AG448"/>
    <mergeCell ref="AH449:AJ449"/>
    <mergeCell ref="AK449:AN449"/>
    <mergeCell ref="AO449:AV449"/>
    <mergeCell ref="AW449:AY449"/>
    <mergeCell ref="AZ449:BO449"/>
    <mergeCell ref="B449:C449"/>
    <mergeCell ref="D449:H449"/>
    <mergeCell ref="I449:P449"/>
    <mergeCell ref="Q449:X449"/>
    <mergeCell ref="Y449:Z449"/>
    <mergeCell ref="AA449:AD449"/>
    <mergeCell ref="AE449:AG449"/>
    <mergeCell ref="AH446:AJ446"/>
    <mergeCell ref="AK446:AN446"/>
    <mergeCell ref="AO446:AV446"/>
    <mergeCell ref="AW446:AY446"/>
    <mergeCell ref="AZ446:BO446"/>
    <mergeCell ref="B446:C446"/>
    <mergeCell ref="D446:H446"/>
    <mergeCell ref="I446:P446"/>
    <mergeCell ref="Q446:X446"/>
    <mergeCell ref="Y446:Z446"/>
    <mergeCell ref="AA446:AD446"/>
    <mergeCell ref="AE446:AG446"/>
    <mergeCell ref="AH447:AJ447"/>
    <mergeCell ref="AK447:AN447"/>
    <mergeCell ref="AO447:AV447"/>
    <mergeCell ref="AW447:AY447"/>
    <mergeCell ref="AZ447:BO447"/>
    <mergeCell ref="B447:C447"/>
    <mergeCell ref="D447:H447"/>
    <mergeCell ref="I447:P447"/>
    <mergeCell ref="Q447:X447"/>
    <mergeCell ref="Y447:Z447"/>
    <mergeCell ref="AA447:AD447"/>
    <mergeCell ref="AE447:AG447"/>
    <mergeCell ref="AH444:AJ444"/>
    <mergeCell ref="AK444:AN444"/>
    <mergeCell ref="AO444:AV444"/>
    <mergeCell ref="AW444:AY444"/>
    <mergeCell ref="AZ444:BO444"/>
    <mergeCell ref="B444:C444"/>
    <mergeCell ref="D444:H444"/>
    <mergeCell ref="I444:P444"/>
    <mergeCell ref="Q444:X444"/>
    <mergeCell ref="Y444:Z444"/>
    <mergeCell ref="AA444:AD444"/>
    <mergeCell ref="AE444:AG444"/>
    <mergeCell ref="AH445:AJ445"/>
    <mergeCell ref="AK445:AN445"/>
    <mergeCell ref="AO445:AV445"/>
    <mergeCell ref="AW445:AY445"/>
    <mergeCell ref="AZ445:BO445"/>
    <mergeCell ref="B445:C445"/>
    <mergeCell ref="D445:H445"/>
    <mergeCell ref="I445:P445"/>
    <mergeCell ref="Q445:X445"/>
    <mergeCell ref="Y445:Z445"/>
    <mergeCell ref="AA445:AD445"/>
    <mergeCell ref="AE445:AG445"/>
    <mergeCell ref="AH442:AJ442"/>
    <mergeCell ref="AK442:AN442"/>
    <mergeCell ref="AO442:AV442"/>
    <mergeCell ref="AW442:AY442"/>
    <mergeCell ref="AZ442:BO442"/>
    <mergeCell ref="B442:C442"/>
    <mergeCell ref="D442:H442"/>
    <mergeCell ref="I442:P442"/>
    <mergeCell ref="Q442:X442"/>
    <mergeCell ref="Y442:Z442"/>
    <mergeCell ref="AA442:AD442"/>
    <mergeCell ref="AE442:AG442"/>
    <mergeCell ref="AH443:AJ443"/>
    <mergeCell ref="AK443:AN443"/>
    <mergeCell ref="AO443:AV443"/>
    <mergeCell ref="AW443:AY443"/>
    <mergeCell ref="AZ443:BO443"/>
    <mergeCell ref="B443:C443"/>
    <mergeCell ref="D443:H443"/>
    <mergeCell ref="I443:P443"/>
    <mergeCell ref="Q443:X443"/>
    <mergeCell ref="Y443:Z443"/>
    <mergeCell ref="AA443:AD443"/>
    <mergeCell ref="AE443:AG443"/>
    <mergeCell ref="AH440:AJ440"/>
    <mergeCell ref="AK440:AN440"/>
    <mergeCell ref="AO440:AV440"/>
    <mergeCell ref="AW440:AY440"/>
    <mergeCell ref="AZ440:BO440"/>
    <mergeCell ref="B440:C440"/>
    <mergeCell ref="D440:H440"/>
    <mergeCell ref="I440:P440"/>
    <mergeCell ref="Q440:X440"/>
    <mergeCell ref="Y440:Z440"/>
    <mergeCell ref="AA440:AD440"/>
    <mergeCell ref="AE440:AG440"/>
    <mergeCell ref="AH441:AJ441"/>
    <mergeCell ref="AK441:AN441"/>
    <mergeCell ref="AO441:AV441"/>
    <mergeCell ref="AW441:AY441"/>
    <mergeCell ref="AZ441:BO441"/>
    <mergeCell ref="B441:C441"/>
    <mergeCell ref="D441:H441"/>
    <mergeCell ref="I441:P441"/>
    <mergeCell ref="Q441:X441"/>
    <mergeCell ref="Y441:Z441"/>
    <mergeCell ref="AA441:AD441"/>
    <mergeCell ref="AE441:AG441"/>
    <mergeCell ref="AH438:AJ438"/>
    <mergeCell ref="AK438:AN438"/>
    <mergeCell ref="AO438:AV438"/>
    <mergeCell ref="AW438:AY438"/>
    <mergeCell ref="AZ438:BO438"/>
    <mergeCell ref="B438:C438"/>
    <mergeCell ref="D438:H438"/>
    <mergeCell ref="I438:P438"/>
    <mergeCell ref="Q438:X438"/>
    <mergeCell ref="Y438:Z438"/>
    <mergeCell ref="AA438:AD438"/>
    <mergeCell ref="AE438:AG438"/>
    <mergeCell ref="AH439:AJ439"/>
    <mergeCell ref="AK439:AN439"/>
    <mergeCell ref="AO439:AV439"/>
    <mergeCell ref="AW439:AY439"/>
    <mergeCell ref="AZ439:BO439"/>
    <mergeCell ref="B439:C439"/>
    <mergeCell ref="D439:H439"/>
    <mergeCell ref="I439:P439"/>
    <mergeCell ref="Q439:X439"/>
    <mergeCell ref="Y439:Z439"/>
    <mergeCell ref="AA439:AD439"/>
    <mergeCell ref="AE439:AG439"/>
    <mergeCell ref="AH436:AJ436"/>
    <mergeCell ref="AK436:AN436"/>
    <mergeCell ref="AO436:AV436"/>
    <mergeCell ref="AW436:AY436"/>
    <mergeCell ref="AZ436:BO436"/>
    <mergeCell ref="B436:C436"/>
    <mergeCell ref="D436:H436"/>
    <mergeCell ref="I436:P436"/>
    <mergeCell ref="Q436:X436"/>
    <mergeCell ref="Y436:Z436"/>
    <mergeCell ref="AA436:AD436"/>
    <mergeCell ref="AE436:AG436"/>
    <mergeCell ref="AH437:AJ437"/>
    <mergeCell ref="AK437:AN437"/>
    <mergeCell ref="AO437:AV437"/>
    <mergeCell ref="AW437:AY437"/>
    <mergeCell ref="AZ437:BO437"/>
    <mergeCell ref="B437:C437"/>
    <mergeCell ref="D437:H437"/>
    <mergeCell ref="I437:P437"/>
    <mergeCell ref="Q437:X437"/>
    <mergeCell ref="Y437:Z437"/>
    <mergeCell ref="AA437:AD437"/>
    <mergeCell ref="AE437:AG437"/>
    <mergeCell ref="AH434:AJ434"/>
    <mergeCell ref="AK434:AN434"/>
    <mergeCell ref="AO434:AV434"/>
    <mergeCell ref="AW434:AY434"/>
    <mergeCell ref="AZ434:BO434"/>
    <mergeCell ref="B434:C434"/>
    <mergeCell ref="D434:H434"/>
    <mergeCell ref="I434:P434"/>
    <mergeCell ref="Q434:X434"/>
    <mergeCell ref="Y434:Z434"/>
    <mergeCell ref="AA434:AD434"/>
    <mergeCell ref="AE434:AG434"/>
    <mergeCell ref="AH435:AJ435"/>
    <mergeCell ref="AK435:AN435"/>
    <mergeCell ref="AO435:AV435"/>
    <mergeCell ref="AW435:AY435"/>
    <mergeCell ref="AZ435:BO435"/>
    <mergeCell ref="B435:C435"/>
    <mergeCell ref="D435:H435"/>
    <mergeCell ref="I435:P435"/>
    <mergeCell ref="Q435:X435"/>
    <mergeCell ref="Y435:Z435"/>
    <mergeCell ref="AA435:AD435"/>
    <mergeCell ref="AE435:AG435"/>
    <mergeCell ref="AH432:AJ432"/>
    <mergeCell ref="AK432:AN432"/>
    <mergeCell ref="AO432:AV432"/>
    <mergeCell ref="AW432:AY432"/>
    <mergeCell ref="AZ432:BO432"/>
    <mergeCell ref="B432:C432"/>
    <mergeCell ref="D432:H432"/>
    <mergeCell ref="I432:P432"/>
    <mergeCell ref="Q432:X432"/>
    <mergeCell ref="Y432:Z432"/>
    <mergeCell ref="AA432:AD432"/>
    <mergeCell ref="AE432:AG432"/>
    <mergeCell ref="AH433:AJ433"/>
    <mergeCell ref="AK433:AN433"/>
    <mergeCell ref="AO433:AV433"/>
    <mergeCell ref="AW433:AY433"/>
    <mergeCell ref="AZ433:BO433"/>
    <mergeCell ref="B433:C433"/>
    <mergeCell ref="D433:H433"/>
    <mergeCell ref="I433:P433"/>
    <mergeCell ref="Q433:X433"/>
    <mergeCell ref="Y433:Z433"/>
    <mergeCell ref="AA433:AD433"/>
    <mergeCell ref="AE433:AG433"/>
    <mergeCell ref="AH430:AJ430"/>
    <mergeCell ref="AK430:AN430"/>
    <mergeCell ref="AO430:AV430"/>
    <mergeCell ref="AW430:AY430"/>
    <mergeCell ref="AZ430:BO430"/>
    <mergeCell ref="B430:C430"/>
    <mergeCell ref="D430:H430"/>
    <mergeCell ref="I430:P430"/>
    <mergeCell ref="Q430:X430"/>
    <mergeCell ref="Y430:Z430"/>
    <mergeCell ref="AA430:AD430"/>
    <mergeCell ref="AE430:AG430"/>
    <mergeCell ref="AH431:AJ431"/>
    <mergeCell ref="AK431:AN431"/>
    <mergeCell ref="AO431:AV431"/>
    <mergeCell ref="AW431:AY431"/>
    <mergeCell ref="AZ431:BO431"/>
    <mergeCell ref="B431:C431"/>
    <mergeCell ref="D431:H431"/>
    <mergeCell ref="I431:P431"/>
    <mergeCell ref="Q431:X431"/>
    <mergeCell ref="Y431:Z431"/>
    <mergeCell ref="AA431:AD431"/>
    <mergeCell ref="AE431:AG431"/>
    <mergeCell ref="AH428:AJ428"/>
    <mergeCell ref="AK428:AN428"/>
    <mergeCell ref="AO428:AV428"/>
    <mergeCell ref="AW428:AY428"/>
    <mergeCell ref="AZ428:BO428"/>
    <mergeCell ref="B428:C428"/>
    <mergeCell ref="D428:H428"/>
    <mergeCell ref="I428:P428"/>
    <mergeCell ref="Q428:X428"/>
    <mergeCell ref="Y428:Z428"/>
    <mergeCell ref="AA428:AD428"/>
    <mergeCell ref="AE428:AG428"/>
    <mergeCell ref="AH429:AJ429"/>
    <mergeCell ref="AK429:AN429"/>
    <mergeCell ref="AO429:AV429"/>
    <mergeCell ref="AW429:AY429"/>
    <mergeCell ref="AZ429:BO429"/>
    <mergeCell ref="B429:C429"/>
    <mergeCell ref="D429:H429"/>
    <mergeCell ref="I429:P429"/>
    <mergeCell ref="Q429:X429"/>
    <mergeCell ref="Y429:Z429"/>
    <mergeCell ref="AA429:AD429"/>
    <mergeCell ref="AE429:AG429"/>
    <mergeCell ref="AH426:AJ426"/>
    <mergeCell ref="AK426:AN426"/>
    <mergeCell ref="AO426:AV426"/>
    <mergeCell ref="AW426:AY426"/>
    <mergeCell ref="AZ426:BO426"/>
    <mergeCell ref="B426:C426"/>
    <mergeCell ref="D426:H426"/>
    <mergeCell ref="I426:P426"/>
    <mergeCell ref="Q426:X426"/>
    <mergeCell ref="Y426:Z426"/>
    <mergeCell ref="AA426:AD426"/>
    <mergeCell ref="AE426:AG426"/>
    <mergeCell ref="AH427:AJ427"/>
    <mergeCell ref="AK427:AN427"/>
    <mergeCell ref="AO427:AV427"/>
    <mergeCell ref="AW427:AY427"/>
    <mergeCell ref="AZ427:BO427"/>
    <mergeCell ref="B427:C427"/>
    <mergeCell ref="D427:H427"/>
    <mergeCell ref="I427:P427"/>
    <mergeCell ref="Q427:X427"/>
    <mergeCell ref="Y427:Z427"/>
    <mergeCell ref="AA427:AD427"/>
    <mergeCell ref="AE427:AG427"/>
    <mergeCell ref="AH424:AJ424"/>
    <mergeCell ref="AK424:AN424"/>
    <mergeCell ref="AO424:AV424"/>
    <mergeCell ref="AW424:AY424"/>
    <mergeCell ref="AZ424:BO424"/>
    <mergeCell ref="B424:C424"/>
    <mergeCell ref="D424:H424"/>
    <mergeCell ref="I424:P424"/>
    <mergeCell ref="Q424:X424"/>
    <mergeCell ref="Y424:Z424"/>
    <mergeCell ref="AA424:AD424"/>
    <mergeCell ref="AE424:AG424"/>
    <mergeCell ref="AH425:AJ425"/>
    <mergeCell ref="AK425:AN425"/>
    <mergeCell ref="AO425:AV425"/>
    <mergeCell ref="AW425:AY425"/>
    <mergeCell ref="AZ425:BO425"/>
    <mergeCell ref="B425:C425"/>
    <mergeCell ref="D425:H425"/>
    <mergeCell ref="I425:P425"/>
    <mergeCell ref="Q425:X425"/>
    <mergeCell ref="Y425:Z425"/>
    <mergeCell ref="AA425:AD425"/>
    <mergeCell ref="AE425:AG425"/>
    <mergeCell ref="AH422:AJ422"/>
    <mergeCell ref="AK422:AN422"/>
    <mergeCell ref="AO422:AV422"/>
    <mergeCell ref="AW422:AY422"/>
    <mergeCell ref="AZ422:BO422"/>
    <mergeCell ref="B422:C422"/>
    <mergeCell ref="D422:H422"/>
    <mergeCell ref="I422:P422"/>
    <mergeCell ref="Q422:X422"/>
    <mergeCell ref="Y422:Z422"/>
    <mergeCell ref="AA422:AD422"/>
    <mergeCell ref="AE422:AG422"/>
    <mergeCell ref="AH423:AJ423"/>
    <mergeCell ref="AK423:AN423"/>
    <mergeCell ref="AO423:AV423"/>
    <mergeCell ref="AW423:AY423"/>
    <mergeCell ref="AZ423:BO423"/>
    <mergeCell ref="B423:C423"/>
    <mergeCell ref="D423:H423"/>
    <mergeCell ref="I423:P423"/>
    <mergeCell ref="Q423:X423"/>
    <mergeCell ref="Y423:Z423"/>
    <mergeCell ref="AA423:AD423"/>
    <mergeCell ref="AE423:AG423"/>
    <mergeCell ref="AH420:AJ420"/>
    <mergeCell ref="AK420:AN420"/>
    <mergeCell ref="AO420:AV420"/>
    <mergeCell ref="AW420:AY420"/>
    <mergeCell ref="AZ420:BO420"/>
    <mergeCell ref="B420:C420"/>
    <mergeCell ref="D420:H420"/>
    <mergeCell ref="I420:P420"/>
    <mergeCell ref="Q420:X420"/>
    <mergeCell ref="Y420:Z420"/>
    <mergeCell ref="AA420:AD420"/>
    <mergeCell ref="AE420:AG420"/>
    <mergeCell ref="AH421:AJ421"/>
    <mergeCell ref="AK421:AN421"/>
    <mergeCell ref="AO421:AV421"/>
    <mergeCell ref="AW421:AY421"/>
    <mergeCell ref="AZ421:BO421"/>
    <mergeCell ref="B421:C421"/>
    <mergeCell ref="D421:H421"/>
    <mergeCell ref="I421:P421"/>
    <mergeCell ref="Q421:X421"/>
    <mergeCell ref="Y421:Z421"/>
    <mergeCell ref="AA421:AD421"/>
    <mergeCell ref="AE421:AG421"/>
    <mergeCell ref="AH418:AJ418"/>
    <mergeCell ref="AK418:AN418"/>
    <mergeCell ref="AO418:AV418"/>
    <mergeCell ref="AW418:AY418"/>
    <mergeCell ref="AZ418:BO418"/>
    <mergeCell ref="B418:C418"/>
    <mergeCell ref="D418:H418"/>
    <mergeCell ref="I418:P418"/>
    <mergeCell ref="Q418:X418"/>
    <mergeCell ref="Y418:Z418"/>
    <mergeCell ref="AA418:AD418"/>
    <mergeCell ref="AE418:AG418"/>
    <mergeCell ref="AH419:AJ419"/>
    <mergeCell ref="AK419:AN419"/>
    <mergeCell ref="AO419:AV419"/>
    <mergeCell ref="AW419:AY419"/>
    <mergeCell ref="AZ419:BO419"/>
    <mergeCell ref="B419:C419"/>
    <mergeCell ref="D419:H419"/>
    <mergeCell ref="I419:P419"/>
    <mergeCell ref="Q419:X419"/>
    <mergeCell ref="Y419:Z419"/>
    <mergeCell ref="AA419:AD419"/>
    <mergeCell ref="AE419:AG419"/>
    <mergeCell ref="AH416:AJ416"/>
    <mergeCell ref="AK416:AN416"/>
    <mergeCell ref="AO416:AV416"/>
    <mergeCell ref="AW416:AY416"/>
    <mergeCell ref="AZ416:BO416"/>
    <mergeCell ref="B416:C416"/>
    <mergeCell ref="D416:H416"/>
    <mergeCell ref="I416:P416"/>
    <mergeCell ref="Q416:X416"/>
    <mergeCell ref="Y416:Z416"/>
    <mergeCell ref="AA416:AD416"/>
    <mergeCell ref="AE416:AG416"/>
    <mergeCell ref="AH417:AJ417"/>
    <mergeCell ref="AK417:AN417"/>
    <mergeCell ref="AO417:AV417"/>
    <mergeCell ref="AW417:AY417"/>
    <mergeCell ref="AZ417:BO417"/>
    <mergeCell ref="B417:C417"/>
    <mergeCell ref="D417:H417"/>
    <mergeCell ref="I417:P417"/>
    <mergeCell ref="Q417:X417"/>
    <mergeCell ref="Y417:Z417"/>
    <mergeCell ref="AA417:AD417"/>
    <mergeCell ref="AE417:AG417"/>
    <mergeCell ref="AH414:AJ414"/>
    <mergeCell ref="AK414:AN414"/>
    <mergeCell ref="AO414:AV414"/>
    <mergeCell ref="AW414:AY414"/>
    <mergeCell ref="AZ414:BO414"/>
    <mergeCell ref="B414:C414"/>
    <mergeCell ref="D414:H414"/>
    <mergeCell ref="I414:P414"/>
    <mergeCell ref="Q414:X414"/>
    <mergeCell ref="Y414:Z414"/>
    <mergeCell ref="AA414:AD414"/>
    <mergeCell ref="AE414:AG414"/>
    <mergeCell ref="AH415:AJ415"/>
    <mergeCell ref="AK415:AN415"/>
    <mergeCell ref="AO415:AV415"/>
    <mergeCell ref="AW415:AY415"/>
    <mergeCell ref="AZ415:BO415"/>
    <mergeCell ref="B415:C415"/>
    <mergeCell ref="D415:H415"/>
    <mergeCell ref="I415:P415"/>
    <mergeCell ref="Q415:X415"/>
    <mergeCell ref="Y415:Z415"/>
    <mergeCell ref="AA415:AD415"/>
    <mergeCell ref="AE415:AG415"/>
    <mergeCell ref="AH412:AJ412"/>
    <mergeCell ref="AK412:AN412"/>
    <mergeCell ref="AO412:AV412"/>
    <mergeCell ref="AW412:AY412"/>
    <mergeCell ref="AZ412:BO412"/>
    <mergeCell ref="B412:C412"/>
    <mergeCell ref="D412:H412"/>
    <mergeCell ref="I412:P412"/>
    <mergeCell ref="Q412:X412"/>
    <mergeCell ref="Y412:Z412"/>
    <mergeCell ref="AA412:AD412"/>
    <mergeCell ref="AE412:AG412"/>
    <mergeCell ref="AH413:AJ413"/>
    <mergeCell ref="AK413:AN413"/>
    <mergeCell ref="AO413:AV413"/>
    <mergeCell ref="AW413:AY413"/>
    <mergeCell ref="AZ413:BO413"/>
    <mergeCell ref="B413:C413"/>
    <mergeCell ref="D413:H413"/>
    <mergeCell ref="I413:P413"/>
    <mergeCell ref="Q413:X413"/>
    <mergeCell ref="Y413:Z413"/>
    <mergeCell ref="AA413:AD413"/>
    <mergeCell ref="AE413:AG413"/>
    <mergeCell ref="AH410:AJ410"/>
    <mergeCell ref="AK410:AN410"/>
    <mergeCell ref="AO410:AV410"/>
    <mergeCell ref="AW410:AY410"/>
    <mergeCell ref="AZ410:BO410"/>
    <mergeCell ref="B410:C410"/>
    <mergeCell ref="D410:H410"/>
    <mergeCell ref="I410:P410"/>
    <mergeCell ref="Q410:X410"/>
    <mergeCell ref="Y410:Z410"/>
    <mergeCell ref="AA410:AD410"/>
    <mergeCell ref="AE410:AG410"/>
    <mergeCell ref="AH411:AJ411"/>
    <mergeCell ref="AK411:AN411"/>
    <mergeCell ref="AO411:AV411"/>
    <mergeCell ref="AW411:AY411"/>
    <mergeCell ref="AZ411:BO411"/>
    <mergeCell ref="B411:C411"/>
    <mergeCell ref="D411:H411"/>
    <mergeCell ref="I411:P411"/>
    <mergeCell ref="Q411:X411"/>
    <mergeCell ref="Y411:Z411"/>
    <mergeCell ref="AA411:AD411"/>
    <mergeCell ref="AE411:AG411"/>
    <mergeCell ref="AH408:AJ408"/>
    <mergeCell ref="AK408:AN408"/>
    <mergeCell ref="AO408:AV408"/>
    <mergeCell ref="AW408:AY408"/>
    <mergeCell ref="AZ408:BO408"/>
    <mergeCell ref="B408:C408"/>
    <mergeCell ref="D408:H408"/>
    <mergeCell ref="I408:P408"/>
    <mergeCell ref="Q408:X408"/>
    <mergeCell ref="Y408:Z408"/>
    <mergeCell ref="AA408:AD408"/>
    <mergeCell ref="AE408:AG408"/>
    <mergeCell ref="AH409:AJ409"/>
    <mergeCell ref="AK409:AN409"/>
    <mergeCell ref="AO409:AV409"/>
    <mergeCell ref="AW409:AY409"/>
    <mergeCell ref="AZ409:BO409"/>
    <mergeCell ref="B409:C409"/>
    <mergeCell ref="D409:H409"/>
    <mergeCell ref="I409:P409"/>
    <mergeCell ref="Q409:X409"/>
    <mergeCell ref="Y409:Z409"/>
    <mergeCell ref="AA409:AD409"/>
    <mergeCell ref="AE409:AG409"/>
    <mergeCell ref="AH406:AJ406"/>
    <mergeCell ref="AK406:AN406"/>
    <mergeCell ref="AO406:AV406"/>
    <mergeCell ref="AW406:AY406"/>
    <mergeCell ref="AZ406:BO406"/>
    <mergeCell ref="B406:C406"/>
    <mergeCell ref="D406:H406"/>
    <mergeCell ref="I406:P406"/>
    <mergeCell ref="Q406:X406"/>
    <mergeCell ref="Y406:Z406"/>
    <mergeCell ref="AA406:AD406"/>
    <mergeCell ref="AE406:AG406"/>
    <mergeCell ref="AH407:AJ407"/>
    <mergeCell ref="AK407:AN407"/>
    <mergeCell ref="AO407:AV407"/>
    <mergeCell ref="AW407:AY407"/>
    <mergeCell ref="AZ407:BO407"/>
    <mergeCell ref="B407:C407"/>
    <mergeCell ref="D407:H407"/>
    <mergeCell ref="I407:P407"/>
    <mergeCell ref="Q407:X407"/>
    <mergeCell ref="Y407:Z407"/>
    <mergeCell ref="AA407:AD407"/>
    <mergeCell ref="AE407:AG407"/>
    <mergeCell ref="AH404:AJ404"/>
    <mergeCell ref="AK404:AN404"/>
    <mergeCell ref="AO404:AV404"/>
    <mergeCell ref="AW404:AY404"/>
    <mergeCell ref="AZ404:BO404"/>
    <mergeCell ref="B404:C404"/>
    <mergeCell ref="D404:H404"/>
    <mergeCell ref="I404:P404"/>
    <mergeCell ref="Q404:X404"/>
    <mergeCell ref="Y404:Z404"/>
    <mergeCell ref="AA404:AD404"/>
    <mergeCell ref="AE404:AG404"/>
    <mergeCell ref="AH405:AJ405"/>
    <mergeCell ref="AK405:AN405"/>
    <mergeCell ref="AO405:AV405"/>
    <mergeCell ref="AW405:AY405"/>
    <mergeCell ref="AZ405:BO405"/>
    <mergeCell ref="B405:C405"/>
    <mergeCell ref="D405:H405"/>
    <mergeCell ref="I405:P405"/>
    <mergeCell ref="Q405:X405"/>
    <mergeCell ref="Y405:Z405"/>
    <mergeCell ref="AA405:AD405"/>
    <mergeCell ref="AE405:AG405"/>
    <mergeCell ref="AH402:AJ402"/>
    <mergeCell ref="AK402:AN402"/>
    <mergeCell ref="AO402:AV402"/>
    <mergeCell ref="AW402:AY402"/>
    <mergeCell ref="AZ402:BO402"/>
    <mergeCell ref="B402:C402"/>
    <mergeCell ref="D402:H402"/>
    <mergeCell ref="I402:P402"/>
    <mergeCell ref="Q402:X402"/>
    <mergeCell ref="Y402:Z402"/>
    <mergeCell ref="AA402:AD402"/>
    <mergeCell ref="AE402:AG402"/>
    <mergeCell ref="AH403:AJ403"/>
    <mergeCell ref="AK403:AN403"/>
    <mergeCell ref="AO403:AV403"/>
    <mergeCell ref="AW403:AY403"/>
    <mergeCell ref="AZ403:BO403"/>
    <mergeCell ref="B403:C403"/>
    <mergeCell ref="D403:H403"/>
    <mergeCell ref="I403:P403"/>
    <mergeCell ref="Q403:X403"/>
    <mergeCell ref="Y403:Z403"/>
    <mergeCell ref="AA403:AD403"/>
    <mergeCell ref="AE403:AG403"/>
    <mergeCell ref="AH400:AJ400"/>
    <mergeCell ref="AK400:AN400"/>
    <mergeCell ref="AO400:AV400"/>
    <mergeCell ref="AW400:AY400"/>
    <mergeCell ref="AZ400:BO400"/>
    <mergeCell ref="B400:C400"/>
    <mergeCell ref="D400:H400"/>
    <mergeCell ref="I400:P400"/>
    <mergeCell ref="Q400:X400"/>
    <mergeCell ref="Y400:Z400"/>
    <mergeCell ref="AA400:AD400"/>
    <mergeCell ref="AE400:AG400"/>
    <mergeCell ref="AH401:AJ401"/>
    <mergeCell ref="AK401:AN401"/>
    <mergeCell ref="AO401:AV401"/>
    <mergeCell ref="AW401:AY401"/>
    <mergeCell ref="AZ401:BO401"/>
    <mergeCell ref="B401:C401"/>
    <mergeCell ref="D401:H401"/>
    <mergeCell ref="I401:P401"/>
    <mergeCell ref="Q401:X401"/>
    <mergeCell ref="Y401:Z401"/>
    <mergeCell ref="AA401:AD401"/>
    <mergeCell ref="AE401:AG401"/>
    <mergeCell ref="AH398:AJ398"/>
    <mergeCell ref="AK398:AN398"/>
    <mergeCell ref="AO398:AV398"/>
    <mergeCell ref="AW398:AY398"/>
    <mergeCell ref="AZ398:BO398"/>
    <mergeCell ref="B398:C398"/>
    <mergeCell ref="D398:H398"/>
    <mergeCell ref="I398:P398"/>
    <mergeCell ref="Q398:X398"/>
    <mergeCell ref="Y398:Z398"/>
    <mergeCell ref="AA398:AD398"/>
    <mergeCell ref="AE398:AG398"/>
    <mergeCell ref="AH399:AJ399"/>
    <mergeCell ref="AK399:AN399"/>
    <mergeCell ref="AO399:AV399"/>
    <mergeCell ref="AW399:AY399"/>
    <mergeCell ref="AZ399:BO399"/>
    <mergeCell ref="B399:C399"/>
    <mergeCell ref="D399:H399"/>
    <mergeCell ref="I399:P399"/>
    <mergeCell ref="Q399:X399"/>
    <mergeCell ref="Y399:Z399"/>
    <mergeCell ref="AA399:AD399"/>
    <mergeCell ref="AE399:AG399"/>
    <mergeCell ref="AH396:AJ396"/>
    <mergeCell ref="AK396:AN396"/>
    <mergeCell ref="AO396:AV396"/>
    <mergeCell ref="AW396:AY396"/>
    <mergeCell ref="AZ396:BO396"/>
    <mergeCell ref="B396:C396"/>
    <mergeCell ref="D396:H396"/>
    <mergeCell ref="I396:P396"/>
    <mergeCell ref="Q396:X396"/>
    <mergeCell ref="Y396:Z396"/>
    <mergeCell ref="AA396:AD396"/>
    <mergeCell ref="AE396:AG396"/>
    <mergeCell ref="AH397:AJ397"/>
    <mergeCell ref="AK397:AN397"/>
    <mergeCell ref="AO397:AV397"/>
    <mergeCell ref="AW397:AY397"/>
    <mergeCell ref="AZ397:BO397"/>
    <mergeCell ref="B397:C397"/>
    <mergeCell ref="D397:H397"/>
    <mergeCell ref="I397:P397"/>
    <mergeCell ref="Q397:X397"/>
    <mergeCell ref="Y397:Z397"/>
    <mergeCell ref="AA397:AD397"/>
    <mergeCell ref="AE397:AG397"/>
    <mergeCell ref="AH394:AJ394"/>
    <mergeCell ref="AK394:AN394"/>
    <mergeCell ref="AO394:AV394"/>
    <mergeCell ref="AW394:AY394"/>
    <mergeCell ref="AZ394:BO394"/>
    <mergeCell ref="B394:C394"/>
    <mergeCell ref="D394:H394"/>
    <mergeCell ref="I394:P394"/>
    <mergeCell ref="Q394:X394"/>
    <mergeCell ref="Y394:Z394"/>
    <mergeCell ref="AA394:AD394"/>
    <mergeCell ref="AE394:AG394"/>
    <mergeCell ref="AH395:AJ395"/>
    <mergeCell ref="AK395:AN395"/>
    <mergeCell ref="AO395:AV395"/>
    <mergeCell ref="AW395:AY395"/>
    <mergeCell ref="AZ395:BO395"/>
    <mergeCell ref="B395:C395"/>
    <mergeCell ref="D395:H395"/>
    <mergeCell ref="I395:P395"/>
    <mergeCell ref="Q395:X395"/>
    <mergeCell ref="Y395:Z395"/>
    <mergeCell ref="AA395:AD395"/>
    <mergeCell ref="AE395:AG395"/>
    <mergeCell ref="AH392:AJ392"/>
    <mergeCell ref="AK392:AN392"/>
    <mergeCell ref="AO392:AV392"/>
    <mergeCell ref="AW392:AY392"/>
    <mergeCell ref="AZ392:BO392"/>
    <mergeCell ref="B392:C392"/>
    <mergeCell ref="D392:H392"/>
    <mergeCell ref="I392:P392"/>
    <mergeCell ref="Q392:X392"/>
    <mergeCell ref="Y392:Z392"/>
    <mergeCell ref="AA392:AD392"/>
    <mergeCell ref="AE392:AG392"/>
    <mergeCell ref="AH393:AJ393"/>
    <mergeCell ref="AK393:AN393"/>
    <mergeCell ref="AO393:AV393"/>
    <mergeCell ref="AW393:AY393"/>
    <mergeCell ref="AZ393:BO393"/>
    <mergeCell ref="B393:C393"/>
    <mergeCell ref="D393:H393"/>
    <mergeCell ref="I393:P393"/>
    <mergeCell ref="Q393:X393"/>
    <mergeCell ref="Y393:Z393"/>
    <mergeCell ref="AA393:AD393"/>
    <mergeCell ref="AE393:AG393"/>
    <mergeCell ref="AH390:AJ390"/>
    <mergeCell ref="AK390:AN390"/>
    <mergeCell ref="AO390:AV390"/>
    <mergeCell ref="AW390:AY390"/>
    <mergeCell ref="AZ390:BO390"/>
    <mergeCell ref="B390:C390"/>
    <mergeCell ref="D390:H390"/>
    <mergeCell ref="I390:P390"/>
    <mergeCell ref="Q390:X390"/>
    <mergeCell ref="Y390:Z390"/>
    <mergeCell ref="AA390:AD390"/>
    <mergeCell ref="AE390:AG390"/>
    <mergeCell ref="AH391:AJ391"/>
    <mergeCell ref="AK391:AN391"/>
    <mergeCell ref="AO391:AV391"/>
    <mergeCell ref="AW391:AY391"/>
    <mergeCell ref="AZ391:BO391"/>
    <mergeCell ref="B391:C391"/>
    <mergeCell ref="D391:H391"/>
    <mergeCell ref="I391:P391"/>
    <mergeCell ref="Q391:X391"/>
    <mergeCell ref="Y391:Z391"/>
    <mergeCell ref="AA391:AD391"/>
    <mergeCell ref="AE391:AG391"/>
    <mergeCell ref="AH388:AJ388"/>
    <mergeCell ref="AK388:AN388"/>
    <mergeCell ref="AO388:AV388"/>
    <mergeCell ref="AW388:AY388"/>
    <mergeCell ref="AZ388:BO388"/>
    <mergeCell ref="B388:C388"/>
    <mergeCell ref="D388:H388"/>
    <mergeCell ref="I388:P388"/>
    <mergeCell ref="Q388:X388"/>
    <mergeCell ref="Y388:Z388"/>
    <mergeCell ref="AA388:AD388"/>
    <mergeCell ref="AE388:AG388"/>
    <mergeCell ref="AH389:AJ389"/>
    <mergeCell ref="AK389:AN389"/>
    <mergeCell ref="AO389:AV389"/>
    <mergeCell ref="AW389:AY389"/>
    <mergeCell ref="AZ389:BO389"/>
    <mergeCell ref="B389:C389"/>
    <mergeCell ref="D389:H389"/>
    <mergeCell ref="I389:P389"/>
    <mergeCell ref="Q389:X389"/>
    <mergeCell ref="Y389:Z389"/>
    <mergeCell ref="AA389:AD389"/>
    <mergeCell ref="AE389:AG389"/>
    <mergeCell ref="AH386:AJ386"/>
    <mergeCell ref="AK386:AN386"/>
    <mergeCell ref="AO386:AV386"/>
    <mergeCell ref="AW386:AY386"/>
    <mergeCell ref="AZ386:BO386"/>
    <mergeCell ref="B386:C386"/>
    <mergeCell ref="D386:H386"/>
    <mergeCell ref="I386:P386"/>
    <mergeCell ref="Q386:X386"/>
    <mergeCell ref="Y386:Z386"/>
    <mergeCell ref="AA386:AD386"/>
    <mergeCell ref="AE386:AG386"/>
    <mergeCell ref="AH387:AJ387"/>
    <mergeCell ref="AK387:AN387"/>
    <mergeCell ref="AO387:AV387"/>
    <mergeCell ref="AW387:AY387"/>
    <mergeCell ref="AZ387:BO387"/>
    <mergeCell ref="B387:C387"/>
    <mergeCell ref="D387:H387"/>
    <mergeCell ref="I387:P387"/>
    <mergeCell ref="Q387:X387"/>
    <mergeCell ref="Y387:Z387"/>
    <mergeCell ref="AA387:AD387"/>
    <mergeCell ref="AE387:AG387"/>
    <mergeCell ref="AH384:AJ384"/>
    <mergeCell ref="AK384:AN384"/>
    <mergeCell ref="AO384:AV384"/>
    <mergeCell ref="AW384:AY384"/>
    <mergeCell ref="AZ384:BO384"/>
    <mergeCell ref="B384:C384"/>
    <mergeCell ref="D384:H384"/>
    <mergeCell ref="I384:P384"/>
    <mergeCell ref="Q384:X384"/>
    <mergeCell ref="Y384:Z384"/>
    <mergeCell ref="AA384:AD384"/>
    <mergeCell ref="AE384:AG384"/>
    <mergeCell ref="AH385:AJ385"/>
    <mergeCell ref="AK385:AN385"/>
    <mergeCell ref="AO385:AV385"/>
    <mergeCell ref="AW385:AY385"/>
    <mergeCell ref="AZ385:BO385"/>
    <mergeCell ref="B385:C385"/>
    <mergeCell ref="D385:H385"/>
    <mergeCell ref="I385:P385"/>
    <mergeCell ref="Q385:X385"/>
    <mergeCell ref="Y385:Z385"/>
    <mergeCell ref="AA385:AD385"/>
    <mergeCell ref="AE385:AG385"/>
    <mergeCell ref="AH382:AJ382"/>
    <mergeCell ref="AK382:AN382"/>
    <mergeCell ref="AO382:AV382"/>
    <mergeCell ref="AW382:AY382"/>
    <mergeCell ref="AZ382:BO382"/>
    <mergeCell ref="B382:C382"/>
    <mergeCell ref="D382:H382"/>
    <mergeCell ref="I382:P382"/>
    <mergeCell ref="Q382:X382"/>
    <mergeCell ref="Y382:Z382"/>
    <mergeCell ref="AA382:AD382"/>
    <mergeCell ref="AE382:AG382"/>
    <mergeCell ref="AH383:AJ383"/>
    <mergeCell ref="AK383:AN383"/>
    <mergeCell ref="AO383:AV383"/>
    <mergeCell ref="AW383:AY383"/>
    <mergeCell ref="AZ383:BO383"/>
    <mergeCell ref="B383:C383"/>
    <mergeCell ref="D383:H383"/>
    <mergeCell ref="I383:P383"/>
    <mergeCell ref="Q383:X383"/>
    <mergeCell ref="Y383:Z383"/>
    <mergeCell ref="AA383:AD383"/>
    <mergeCell ref="AE383:AG383"/>
    <mergeCell ref="AH380:AJ380"/>
    <mergeCell ref="AK380:AN380"/>
    <mergeCell ref="AO380:AV380"/>
    <mergeCell ref="AW380:AY380"/>
    <mergeCell ref="AZ380:BO380"/>
    <mergeCell ref="B380:C380"/>
    <mergeCell ref="D380:H380"/>
    <mergeCell ref="I380:P380"/>
    <mergeCell ref="Q380:X380"/>
    <mergeCell ref="Y380:Z380"/>
    <mergeCell ref="AA380:AD380"/>
    <mergeCell ref="AE380:AG380"/>
    <mergeCell ref="AH381:AJ381"/>
    <mergeCell ref="AK381:AN381"/>
    <mergeCell ref="AO381:AV381"/>
    <mergeCell ref="AW381:AY381"/>
    <mergeCell ref="AZ381:BO381"/>
    <mergeCell ref="B381:C381"/>
    <mergeCell ref="D381:H381"/>
    <mergeCell ref="I381:P381"/>
    <mergeCell ref="Q381:X381"/>
    <mergeCell ref="Y381:Z381"/>
    <mergeCell ref="AA381:AD381"/>
    <mergeCell ref="AE381:AG381"/>
    <mergeCell ref="AH378:AJ378"/>
    <mergeCell ref="AK378:AN378"/>
    <mergeCell ref="AO378:AV378"/>
    <mergeCell ref="AW378:AY378"/>
    <mergeCell ref="AZ378:BO378"/>
    <mergeCell ref="B378:C378"/>
    <mergeCell ref="D378:H378"/>
    <mergeCell ref="I378:P378"/>
    <mergeCell ref="Q378:X378"/>
    <mergeCell ref="Y378:Z378"/>
    <mergeCell ref="AA378:AD378"/>
    <mergeCell ref="AE378:AG378"/>
    <mergeCell ref="AH379:AJ379"/>
    <mergeCell ref="AK379:AN379"/>
    <mergeCell ref="AO379:AV379"/>
    <mergeCell ref="AW379:AY379"/>
    <mergeCell ref="AZ379:BO379"/>
    <mergeCell ref="B379:C379"/>
    <mergeCell ref="D379:H379"/>
    <mergeCell ref="I379:P379"/>
    <mergeCell ref="Q379:X379"/>
    <mergeCell ref="Y379:Z379"/>
    <mergeCell ref="AA379:AD379"/>
    <mergeCell ref="AE379:AG379"/>
    <mergeCell ref="AH376:AJ376"/>
    <mergeCell ref="AK376:AN376"/>
    <mergeCell ref="AO376:AV376"/>
    <mergeCell ref="AW376:AY376"/>
    <mergeCell ref="AZ376:BO376"/>
    <mergeCell ref="B376:C376"/>
    <mergeCell ref="D376:H376"/>
    <mergeCell ref="I376:P376"/>
    <mergeCell ref="Q376:X376"/>
    <mergeCell ref="Y376:Z376"/>
    <mergeCell ref="AA376:AD376"/>
    <mergeCell ref="AE376:AG376"/>
    <mergeCell ref="AH377:AJ377"/>
    <mergeCell ref="AK377:AN377"/>
    <mergeCell ref="AO377:AV377"/>
    <mergeCell ref="AW377:AY377"/>
    <mergeCell ref="AZ377:BO377"/>
    <mergeCell ref="B377:C377"/>
    <mergeCell ref="D377:H377"/>
    <mergeCell ref="I377:P377"/>
    <mergeCell ref="Q377:X377"/>
    <mergeCell ref="Y377:Z377"/>
    <mergeCell ref="AA377:AD377"/>
    <mergeCell ref="AE377:AG377"/>
    <mergeCell ref="AH374:AJ374"/>
    <mergeCell ref="AK374:AN374"/>
    <mergeCell ref="AO374:AV374"/>
    <mergeCell ref="AW374:AY374"/>
    <mergeCell ref="AZ374:BO374"/>
    <mergeCell ref="B374:C374"/>
    <mergeCell ref="D374:H374"/>
    <mergeCell ref="I374:P374"/>
    <mergeCell ref="Q374:X374"/>
    <mergeCell ref="Y374:Z374"/>
    <mergeCell ref="AA374:AD374"/>
    <mergeCell ref="AE374:AG374"/>
    <mergeCell ref="AH375:AJ375"/>
    <mergeCell ref="AK375:AN375"/>
    <mergeCell ref="AO375:AV375"/>
    <mergeCell ref="AW375:AY375"/>
    <mergeCell ref="AZ375:BO375"/>
    <mergeCell ref="B375:C375"/>
    <mergeCell ref="D375:H375"/>
    <mergeCell ref="I375:P375"/>
    <mergeCell ref="Q375:X375"/>
    <mergeCell ref="Y375:Z375"/>
    <mergeCell ref="AA375:AD375"/>
    <mergeCell ref="AE375:AG375"/>
    <mergeCell ref="AH372:AJ372"/>
    <mergeCell ref="AK372:AN372"/>
    <mergeCell ref="AO372:AV372"/>
    <mergeCell ref="AW372:AY372"/>
    <mergeCell ref="AZ372:BO372"/>
    <mergeCell ref="B372:C372"/>
    <mergeCell ref="D372:H372"/>
    <mergeCell ref="I372:P372"/>
    <mergeCell ref="Q372:X372"/>
    <mergeCell ref="Y372:Z372"/>
    <mergeCell ref="AA372:AD372"/>
    <mergeCell ref="AE372:AG372"/>
    <mergeCell ref="AH373:AJ373"/>
    <mergeCell ref="AK373:AN373"/>
    <mergeCell ref="AO373:AV373"/>
    <mergeCell ref="AW373:AY373"/>
    <mergeCell ref="AZ373:BO373"/>
    <mergeCell ref="B373:C373"/>
    <mergeCell ref="D373:H373"/>
    <mergeCell ref="I373:P373"/>
    <mergeCell ref="Q373:X373"/>
    <mergeCell ref="Y373:Z373"/>
    <mergeCell ref="AA373:AD373"/>
    <mergeCell ref="AE373:AG373"/>
    <mergeCell ref="AH370:AJ370"/>
    <mergeCell ref="AK370:AN370"/>
    <mergeCell ref="AO370:AV370"/>
    <mergeCell ref="AW370:AY370"/>
    <mergeCell ref="AZ370:BO370"/>
    <mergeCell ref="B370:C370"/>
    <mergeCell ref="D370:H370"/>
    <mergeCell ref="I370:P370"/>
    <mergeCell ref="Q370:X370"/>
    <mergeCell ref="Y370:Z370"/>
    <mergeCell ref="AA370:AD370"/>
    <mergeCell ref="AE370:AG370"/>
    <mergeCell ref="AH371:AJ371"/>
    <mergeCell ref="AK371:AN371"/>
    <mergeCell ref="AO371:AV371"/>
    <mergeCell ref="AW371:AY371"/>
    <mergeCell ref="AZ371:BO371"/>
    <mergeCell ref="B371:C371"/>
    <mergeCell ref="D371:H371"/>
    <mergeCell ref="I371:P371"/>
    <mergeCell ref="Q371:X371"/>
    <mergeCell ref="Y371:Z371"/>
    <mergeCell ref="AA371:AD371"/>
    <mergeCell ref="AE371:AG371"/>
    <mergeCell ref="AH368:AJ368"/>
    <mergeCell ref="AK368:AN368"/>
    <mergeCell ref="AO368:AV368"/>
    <mergeCell ref="AW368:AY368"/>
    <mergeCell ref="AZ368:BO368"/>
    <mergeCell ref="B368:C368"/>
    <mergeCell ref="D368:H368"/>
    <mergeCell ref="I368:P368"/>
    <mergeCell ref="Q368:X368"/>
    <mergeCell ref="Y368:Z368"/>
    <mergeCell ref="AA368:AD368"/>
    <mergeCell ref="AE368:AG368"/>
    <mergeCell ref="AH369:AJ369"/>
    <mergeCell ref="AK369:AN369"/>
    <mergeCell ref="AO369:AV369"/>
    <mergeCell ref="AW369:AY369"/>
    <mergeCell ref="AZ369:BO369"/>
    <mergeCell ref="B369:C369"/>
    <mergeCell ref="D369:H369"/>
    <mergeCell ref="I369:P369"/>
    <mergeCell ref="Q369:X369"/>
    <mergeCell ref="Y369:Z369"/>
    <mergeCell ref="AA369:AD369"/>
    <mergeCell ref="AE369:AG369"/>
    <mergeCell ref="AH366:AJ366"/>
    <mergeCell ref="AK366:AN366"/>
    <mergeCell ref="AO366:AV366"/>
    <mergeCell ref="AW366:AY366"/>
    <mergeCell ref="AZ366:BO366"/>
    <mergeCell ref="B366:C366"/>
    <mergeCell ref="D366:H366"/>
    <mergeCell ref="I366:P366"/>
    <mergeCell ref="Q366:X366"/>
    <mergeCell ref="Y366:Z366"/>
    <mergeCell ref="AA366:AD366"/>
    <mergeCell ref="AE366:AG366"/>
    <mergeCell ref="AH367:AJ367"/>
    <mergeCell ref="AK367:AN367"/>
    <mergeCell ref="AO367:AV367"/>
    <mergeCell ref="AW367:AY367"/>
    <mergeCell ref="AZ367:BO367"/>
    <mergeCell ref="B367:C367"/>
    <mergeCell ref="D367:H367"/>
    <mergeCell ref="I367:P367"/>
    <mergeCell ref="Q367:X367"/>
    <mergeCell ref="Y367:Z367"/>
    <mergeCell ref="AA367:AD367"/>
    <mergeCell ref="AE367:AG367"/>
    <mergeCell ref="AH364:AJ364"/>
    <mergeCell ref="AK364:AN364"/>
    <mergeCell ref="AO364:AV364"/>
    <mergeCell ref="AW364:AY364"/>
    <mergeCell ref="AZ364:BO364"/>
    <mergeCell ref="B364:C364"/>
    <mergeCell ref="D364:H364"/>
    <mergeCell ref="I364:P364"/>
    <mergeCell ref="Q364:X364"/>
    <mergeCell ref="Y364:Z364"/>
    <mergeCell ref="AA364:AD364"/>
    <mergeCell ref="AE364:AG364"/>
    <mergeCell ref="AH365:AJ365"/>
    <mergeCell ref="AK365:AN365"/>
    <mergeCell ref="AO365:AV365"/>
    <mergeCell ref="AW365:AY365"/>
    <mergeCell ref="AZ365:BO365"/>
    <mergeCell ref="B365:C365"/>
    <mergeCell ref="D365:H365"/>
    <mergeCell ref="I365:P365"/>
    <mergeCell ref="Q365:X365"/>
    <mergeCell ref="Y365:Z365"/>
    <mergeCell ref="AA365:AD365"/>
    <mergeCell ref="AE365:AG365"/>
    <mergeCell ref="AH362:AJ362"/>
    <mergeCell ref="AK362:AN362"/>
    <mergeCell ref="AO362:AV362"/>
    <mergeCell ref="AW362:AY362"/>
    <mergeCell ref="AZ362:BO362"/>
    <mergeCell ref="B362:C362"/>
    <mergeCell ref="D362:H362"/>
    <mergeCell ref="I362:P362"/>
    <mergeCell ref="Q362:X362"/>
    <mergeCell ref="Y362:Z362"/>
    <mergeCell ref="AA362:AD362"/>
    <mergeCell ref="AE362:AG362"/>
    <mergeCell ref="AH363:AJ363"/>
    <mergeCell ref="AK363:AN363"/>
    <mergeCell ref="AO363:AV363"/>
    <mergeCell ref="AW363:AY363"/>
    <mergeCell ref="AZ363:BO363"/>
    <mergeCell ref="B363:C363"/>
    <mergeCell ref="D363:H363"/>
    <mergeCell ref="I363:P363"/>
    <mergeCell ref="Q363:X363"/>
    <mergeCell ref="Y363:Z363"/>
    <mergeCell ref="AA363:AD363"/>
    <mergeCell ref="AE363:AG363"/>
    <mergeCell ref="AH360:AJ360"/>
    <mergeCell ref="AK360:AN360"/>
    <mergeCell ref="AO360:AV360"/>
    <mergeCell ref="AW360:AY360"/>
    <mergeCell ref="AZ360:BO360"/>
    <mergeCell ref="B360:C360"/>
    <mergeCell ref="D360:H360"/>
    <mergeCell ref="I360:P360"/>
    <mergeCell ref="Q360:X360"/>
    <mergeCell ref="Y360:Z360"/>
    <mergeCell ref="AA360:AD360"/>
    <mergeCell ref="AE360:AG360"/>
    <mergeCell ref="AH361:AJ361"/>
    <mergeCell ref="AK361:AN361"/>
    <mergeCell ref="AO361:AV361"/>
    <mergeCell ref="AW361:AY361"/>
    <mergeCell ref="AZ361:BO361"/>
    <mergeCell ref="B361:C361"/>
    <mergeCell ref="D361:H361"/>
    <mergeCell ref="I361:P361"/>
    <mergeCell ref="Q361:X361"/>
    <mergeCell ref="Y361:Z361"/>
    <mergeCell ref="AA361:AD361"/>
    <mergeCell ref="AE361:AG361"/>
    <mergeCell ref="AH358:AJ358"/>
    <mergeCell ref="AK358:AN358"/>
    <mergeCell ref="AO358:AV358"/>
    <mergeCell ref="AW358:AY358"/>
    <mergeCell ref="AZ358:BO358"/>
    <mergeCell ref="B358:C358"/>
    <mergeCell ref="D358:H358"/>
    <mergeCell ref="I358:P358"/>
    <mergeCell ref="Q358:X358"/>
    <mergeCell ref="Y358:Z358"/>
    <mergeCell ref="AA358:AD358"/>
    <mergeCell ref="AE358:AG358"/>
    <mergeCell ref="AH359:AJ359"/>
    <mergeCell ref="AK359:AN359"/>
    <mergeCell ref="AO359:AV359"/>
    <mergeCell ref="AW359:AY359"/>
    <mergeCell ref="AZ359:BO359"/>
    <mergeCell ref="B359:C359"/>
    <mergeCell ref="D359:H359"/>
    <mergeCell ref="I359:P359"/>
    <mergeCell ref="Q359:X359"/>
    <mergeCell ref="Y359:Z359"/>
    <mergeCell ref="AA359:AD359"/>
    <mergeCell ref="AE359:AG359"/>
  </mergeCells>
  <pageMargins left="0.25" right="0.25" top="0.75" bottom="0.75" header="0" footer="0"/>
  <pageSetup paperSize="5" orientation="landscape"/>
  <extLst>
    <ext xmlns:x14="http://schemas.microsoft.com/office/spreadsheetml/2009/9/main" uri="{CCE6A557-97BC-4b89-ADB6-D9C93CAAB3DF}">
      <x14:dataValidations xmlns:xm="http://schemas.microsoft.com/office/excel/2006/main" count="4">
        <x14:dataValidation type="list" allowBlank="1" showErrorMessage="1" xr:uid="{00000000-0002-0000-0700-000000000000}">
          <x14:formula1>
            <xm:f>'Drop-Down Boxes '!$H$3:$H$11</xm:f>
          </x14:formula1>
          <xm:sqref>P9</xm:sqref>
        </x14:dataValidation>
        <x14:dataValidation type="list" allowBlank="1" showErrorMessage="1" xr:uid="{00000000-0002-0000-0700-000001000000}">
          <x14:formula1>
            <xm:f>'Drop-Down Boxes '!$D$3:$D$14</xm:f>
          </x14:formula1>
          <xm:sqref>H9</xm:sqref>
        </x14:dataValidation>
        <x14:dataValidation type="list" allowBlank="1" showErrorMessage="1" xr:uid="{00000000-0002-0000-0700-000002000000}">
          <x14:formula1>
            <xm:f>'Drop-Down Boxes '!$D$94:$D$102</xm:f>
          </x14:formula1>
          <xm:sqref>D13:D512</xm:sqref>
        </x14:dataValidation>
        <x14:dataValidation type="list" allowBlank="1" showErrorMessage="1" xr:uid="{00000000-0002-0000-0700-000003000000}">
          <x14:formula1>
            <xm:f>'Drop-Down Boxes '!$H$89:$H$90</xm:f>
          </x14:formula1>
          <xm:sqref>AW13:AW512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74806"/>
  </sheetPr>
  <dimension ref="A1:AU1000"/>
  <sheetViews>
    <sheetView workbookViewId="0">
      <pane ySplit="1" topLeftCell="A2" activePane="bottomLeft" state="frozen"/>
      <selection pane="bottomLeft" activeCell="A3" sqref="A3:AD3"/>
    </sheetView>
  </sheetViews>
  <sheetFormatPr defaultColWidth="14.42578125" defaultRowHeight="15" customHeight="1" x14ac:dyDescent="0.25"/>
  <cols>
    <col min="1" max="1" width="5.7109375" customWidth="1"/>
    <col min="2" max="2" width="7.42578125" customWidth="1"/>
    <col min="3" max="35" width="5.7109375" customWidth="1"/>
    <col min="36" max="47" width="8.85546875" customWidth="1"/>
  </cols>
  <sheetData>
    <row r="1" spans="1:47" ht="49.5" customHeight="1" x14ac:dyDescent="0.25">
      <c r="A1" s="88" t="s">
        <v>294</v>
      </c>
      <c r="B1" s="699" t="s">
        <v>530</v>
      </c>
      <c r="C1" s="326"/>
      <c r="D1" s="327"/>
      <c r="E1" s="700" t="s">
        <v>531</v>
      </c>
      <c r="F1" s="326"/>
      <c r="G1" s="327"/>
      <c r="H1" s="701" t="s">
        <v>532</v>
      </c>
      <c r="I1" s="326"/>
      <c r="J1" s="326"/>
      <c r="K1" s="327"/>
      <c r="L1" s="702" t="s">
        <v>533</v>
      </c>
      <c r="M1" s="326"/>
      <c r="N1" s="326"/>
      <c r="O1" s="326"/>
      <c r="P1" s="327"/>
      <c r="Q1" s="702" t="s">
        <v>534</v>
      </c>
      <c r="R1" s="326"/>
      <c r="S1" s="326"/>
      <c r="T1" s="326"/>
      <c r="U1" s="326"/>
      <c r="V1" s="326"/>
      <c r="W1" s="326"/>
      <c r="X1" s="326"/>
      <c r="Y1" s="326"/>
      <c r="Z1" s="327"/>
      <c r="AA1" s="703" t="s">
        <v>324</v>
      </c>
      <c r="AB1" s="326"/>
      <c r="AC1" s="326"/>
      <c r="AD1" s="326"/>
      <c r="AE1" s="326"/>
      <c r="AF1" s="326"/>
      <c r="AG1" s="326"/>
      <c r="AH1" s="326"/>
      <c r="AI1" s="326"/>
      <c r="AJ1" s="326"/>
      <c r="AK1" s="326"/>
      <c r="AL1" s="326"/>
      <c r="AM1" s="326"/>
      <c r="AN1" s="326"/>
      <c r="AO1" s="326"/>
      <c r="AP1" s="326"/>
      <c r="AQ1" s="327"/>
    </row>
    <row r="2" spans="1:47" ht="18.75" x14ac:dyDescent="0.25">
      <c r="A2" s="704" t="str">
        <f>'GRANTEE SET UP INFO &amp; DATE '!A1</f>
        <v>WV Bureau for Behavioral Healh - Peer Recovery Support Services  V 20200110</v>
      </c>
      <c r="B2" s="588"/>
      <c r="C2" s="588"/>
      <c r="D2" s="588"/>
      <c r="E2" s="588"/>
      <c r="F2" s="588"/>
      <c r="G2" s="588"/>
      <c r="H2" s="588"/>
      <c r="I2" s="588"/>
      <c r="J2" s="588"/>
      <c r="K2" s="588"/>
      <c r="L2" s="588"/>
      <c r="M2" s="588"/>
      <c r="N2" s="588"/>
      <c r="O2" s="588"/>
      <c r="P2" s="588"/>
      <c r="Q2" s="588"/>
      <c r="R2" s="588"/>
      <c r="S2" s="588"/>
      <c r="T2" s="588"/>
      <c r="U2" s="588"/>
      <c r="V2" s="588"/>
      <c r="W2" s="588"/>
      <c r="X2" s="588"/>
      <c r="Y2" s="588"/>
      <c r="Z2" s="588"/>
      <c r="AA2" s="588"/>
      <c r="AB2" s="588"/>
      <c r="AC2" s="588"/>
      <c r="AD2" s="589"/>
    </row>
    <row r="3" spans="1:47" x14ac:dyDescent="0.25">
      <c r="A3" s="582" t="str">
        <f>'GRANTEE SET UP INFO &amp; DATE '!A2</f>
        <v>Program reports need to be submitted electronically, via e-mail to BBHReporting@wv.gov within 25 calendar days of the end of each month.</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2"/>
    </row>
    <row r="4" spans="1:47" ht="15.75" customHeight="1" x14ac:dyDescent="0.25">
      <c r="A4" s="459" t="s">
        <v>535</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54"/>
      <c r="AR4" s="89"/>
      <c r="AS4" s="89"/>
      <c r="AT4" s="89"/>
      <c r="AU4" s="89"/>
    </row>
    <row r="5" spans="1:47" ht="24.75" customHeight="1" x14ac:dyDescent="0.25">
      <c r="A5" s="325" t="s">
        <v>536</v>
      </c>
      <c r="B5" s="326"/>
      <c r="C5" s="326"/>
      <c r="D5" s="326"/>
      <c r="E5" s="327"/>
      <c r="F5" s="381" t="str">
        <f>'GRANTEE SET UP INFO &amp; DATE '!H4</f>
        <v xml:space="preserve">SA Peer Recovery Support Specialist </v>
      </c>
      <c r="G5" s="326"/>
      <c r="H5" s="326"/>
      <c r="I5" s="326"/>
      <c r="J5" s="326"/>
      <c r="K5" s="326"/>
      <c r="L5" s="326"/>
      <c r="M5" s="326"/>
      <c r="N5" s="326"/>
      <c r="O5" s="326"/>
      <c r="P5" s="327"/>
      <c r="Q5" s="9"/>
      <c r="R5" s="407" t="s">
        <v>537</v>
      </c>
      <c r="S5" s="326"/>
      <c r="T5" s="326"/>
      <c r="U5" s="326"/>
      <c r="V5" s="326"/>
      <c r="W5" s="327"/>
      <c r="X5" s="381" t="str">
        <f>'GRANTEE SET UP INFO &amp; DATE '!Z4</f>
        <v xml:space="preserve">Grantee formal Name (name on grant agreement) </v>
      </c>
      <c r="Y5" s="326"/>
      <c r="Z5" s="326"/>
      <c r="AA5" s="326"/>
      <c r="AB5" s="326"/>
      <c r="AC5" s="326"/>
      <c r="AD5" s="326"/>
      <c r="AE5" s="326"/>
      <c r="AF5" s="327"/>
    </row>
    <row r="6" spans="1:47" ht="30" customHeight="1" x14ac:dyDescent="0.25">
      <c r="A6" s="325" t="s">
        <v>538</v>
      </c>
      <c r="B6" s="326"/>
      <c r="C6" s="326"/>
      <c r="D6" s="326"/>
      <c r="E6" s="327"/>
      <c r="F6" s="705" t="str">
        <f>'GRANTEE SET UP INFO &amp; DATE '!H5</f>
        <v xml:space="preserve"> SA Peer Recovery Support Specialist </v>
      </c>
      <c r="G6" s="326"/>
      <c r="H6" s="326"/>
      <c r="I6" s="326"/>
      <c r="J6" s="326"/>
      <c r="K6" s="326"/>
      <c r="L6" s="326"/>
      <c r="M6" s="326"/>
      <c r="N6" s="326"/>
      <c r="O6" s="326"/>
      <c r="P6" s="327"/>
      <c r="Q6" s="9"/>
      <c r="R6" s="706" t="s">
        <v>35</v>
      </c>
      <c r="S6" s="326"/>
      <c r="T6" s="326"/>
      <c r="U6" s="326"/>
      <c r="V6" s="326"/>
      <c r="W6" s="327"/>
      <c r="X6" s="382" t="str">
        <f>'GRANTEE SET UP INFO &amp; DATE '!Z5</f>
        <v>Names of Contact(s):</v>
      </c>
      <c r="Y6" s="326"/>
      <c r="Z6" s="326"/>
      <c r="AA6" s="326"/>
      <c r="AB6" s="326"/>
      <c r="AC6" s="326"/>
      <c r="AD6" s="326"/>
      <c r="AE6" s="326"/>
      <c r="AF6" s="327"/>
    </row>
    <row r="7" spans="1:47" ht="14.25" customHeight="1" x14ac:dyDescent="0.25">
      <c r="A7" s="708" t="s">
        <v>37</v>
      </c>
      <c r="B7" s="332"/>
      <c r="C7" s="332"/>
      <c r="D7" s="332"/>
      <c r="E7" s="333"/>
      <c r="F7" s="390" t="str">
        <f>'GRANTEE SET UP INFO &amp; DATE '!H6</f>
        <v>123 Any Street, Any City, WV 12345</v>
      </c>
      <c r="G7" s="332"/>
      <c r="H7" s="332"/>
      <c r="I7" s="332"/>
      <c r="J7" s="332"/>
      <c r="K7" s="332"/>
      <c r="L7" s="332"/>
      <c r="M7" s="332"/>
      <c r="N7" s="332"/>
      <c r="O7" s="332"/>
      <c r="P7" s="333"/>
      <c r="Q7" s="9"/>
      <c r="R7" s="407" t="s">
        <v>539</v>
      </c>
      <c r="S7" s="326"/>
      <c r="T7" s="326"/>
      <c r="U7" s="326"/>
      <c r="V7" s="326"/>
      <c r="W7" s="327"/>
      <c r="X7" s="381" t="str">
        <f>'GRANTEE SET UP INFO &amp; DATE '!Z6</f>
        <v>Phone numbers for contacts</v>
      </c>
      <c r="Y7" s="326"/>
      <c r="Z7" s="326"/>
      <c r="AA7" s="326"/>
      <c r="AB7" s="326"/>
      <c r="AC7" s="326"/>
      <c r="AD7" s="326"/>
      <c r="AE7" s="326"/>
      <c r="AF7" s="327"/>
    </row>
    <row r="8" spans="1:47" x14ac:dyDescent="0.25">
      <c r="A8" s="337"/>
      <c r="B8" s="338"/>
      <c r="C8" s="338"/>
      <c r="D8" s="338"/>
      <c r="E8" s="339"/>
      <c r="F8" s="337"/>
      <c r="G8" s="338"/>
      <c r="H8" s="338"/>
      <c r="I8" s="338"/>
      <c r="J8" s="338"/>
      <c r="K8" s="338"/>
      <c r="L8" s="338"/>
      <c r="M8" s="338"/>
      <c r="N8" s="338"/>
      <c r="O8" s="338"/>
      <c r="P8" s="339"/>
      <c r="Q8" s="9"/>
      <c r="R8" s="407" t="s">
        <v>41</v>
      </c>
      <c r="S8" s="326"/>
      <c r="T8" s="326"/>
      <c r="U8" s="326"/>
      <c r="V8" s="326"/>
      <c r="W8" s="327"/>
      <c r="X8" s="381" t="str">
        <f>'GRANTEE SET UP INFO &amp; DATE '!Z7</f>
        <v xml:space="preserve">number on grant agreement or TFB </v>
      </c>
      <c r="Y8" s="326"/>
      <c r="Z8" s="326"/>
      <c r="AA8" s="326"/>
      <c r="AB8" s="326"/>
      <c r="AC8" s="326"/>
      <c r="AD8" s="326"/>
      <c r="AE8" s="326"/>
      <c r="AF8" s="327"/>
    </row>
    <row r="9" spans="1:47" ht="30" customHeight="1" x14ac:dyDescent="0.25">
      <c r="A9" s="709" t="s">
        <v>540</v>
      </c>
      <c r="B9" s="326"/>
      <c r="C9" s="326"/>
      <c r="D9" s="326"/>
      <c r="E9" s="327"/>
      <c r="F9" s="710" t="str">
        <f>'GRANTEE SET UP INFO &amp; DATE '!H8</f>
        <v>October 1 - 31</v>
      </c>
      <c r="G9" s="326"/>
      <c r="H9" s="326"/>
      <c r="I9" s="326"/>
      <c r="J9" s="326"/>
      <c r="K9" s="326"/>
      <c r="L9" s="326"/>
      <c r="M9" s="327"/>
      <c r="N9" s="710">
        <f>'GRANTEE SET UP INFO &amp; DATE '!P8</f>
        <v>2026</v>
      </c>
      <c r="O9" s="326"/>
      <c r="P9" s="327"/>
      <c r="Q9" s="9"/>
      <c r="R9" s="407" t="s">
        <v>541</v>
      </c>
      <c r="S9" s="326"/>
      <c r="T9" s="326"/>
      <c r="U9" s="326"/>
      <c r="V9" s="326"/>
      <c r="W9" s="327"/>
      <c r="X9" s="458" t="str">
        <f>'GRANTEE SET UP INFO &amp; DATE '!Z8</f>
        <v>program code can locate on SOW or  TFB</v>
      </c>
      <c r="Y9" s="326"/>
      <c r="Z9" s="326"/>
      <c r="AA9" s="326"/>
      <c r="AB9" s="326"/>
      <c r="AC9" s="326"/>
      <c r="AD9" s="326"/>
      <c r="AE9" s="326"/>
      <c r="AF9" s="327"/>
    </row>
    <row r="10" spans="1:47" ht="24.75" customHeight="1" x14ac:dyDescent="0.25">
      <c r="A10" s="711" t="s">
        <v>542</v>
      </c>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470"/>
    </row>
    <row r="11" spans="1:47" ht="21" x14ac:dyDescent="0.35">
      <c r="A11" s="90" t="s">
        <v>543</v>
      </c>
      <c r="B11" s="90"/>
      <c r="C11" s="90"/>
      <c r="D11" s="90"/>
      <c r="E11" s="90"/>
      <c r="F11" s="90"/>
      <c r="G11" s="90"/>
      <c r="H11" s="90"/>
      <c r="I11" s="90"/>
      <c r="J11" s="90"/>
      <c r="K11" s="90"/>
      <c r="L11" s="91"/>
      <c r="M11" s="90"/>
      <c r="N11" s="90"/>
      <c r="O11" s="90"/>
      <c r="P11" s="90"/>
      <c r="Q11" s="90"/>
      <c r="R11" s="90"/>
      <c r="S11" s="90"/>
      <c r="T11" s="90"/>
      <c r="U11" s="90"/>
      <c r="V11" s="90"/>
      <c r="W11" s="90"/>
      <c r="X11" s="90"/>
      <c r="Y11" s="90"/>
      <c r="Z11" s="90"/>
      <c r="AA11" s="90"/>
      <c r="AB11" s="90"/>
      <c r="AC11" s="90"/>
    </row>
    <row r="12" spans="1:47" ht="60" customHeight="1" x14ac:dyDescent="0.25">
      <c r="A12" s="87" t="s">
        <v>294</v>
      </c>
      <c r="B12" s="712" t="s">
        <v>530</v>
      </c>
      <c r="C12" s="326"/>
      <c r="D12" s="327"/>
      <c r="E12" s="710" t="s">
        <v>531</v>
      </c>
      <c r="F12" s="326"/>
      <c r="G12" s="327"/>
      <c r="H12" s="328" t="s">
        <v>532</v>
      </c>
      <c r="I12" s="326"/>
      <c r="J12" s="326"/>
      <c r="K12" s="327"/>
      <c r="L12" s="328" t="s">
        <v>533</v>
      </c>
      <c r="M12" s="326"/>
      <c r="N12" s="326"/>
      <c r="O12" s="326"/>
      <c r="P12" s="327"/>
      <c r="Q12" s="328" t="s">
        <v>534</v>
      </c>
      <c r="R12" s="326"/>
      <c r="S12" s="326"/>
      <c r="T12" s="326"/>
      <c r="U12" s="326"/>
      <c r="V12" s="326"/>
      <c r="W12" s="326"/>
      <c r="X12" s="326"/>
      <c r="Y12" s="326"/>
      <c r="Z12" s="327"/>
      <c r="AA12" s="707" t="s">
        <v>324</v>
      </c>
      <c r="AB12" s="326"/>
      <c r="AC12" s="326"/>
      <c r="AD12" s="326"/>
      <c r="AE12" s="326"/>
      <c r="AF12" s="326"/>
      <c r="AG12" s="326"/>
      <c r="AH12" s="326"/>
      <c r="AI12" s="326"/>
      <c r="AJ12" s="326"/>
      <c r="AK12" s="326"/>
      <c r="AL12" s="326"/>
      <c r="AM12" s="326"/>
      <c r="AN12" s="326"/>
      <c r="AO12" s="326"/>
      <c r="AP12" s="326"/>
      <c r="AQ12" s="327"/>
    </row>
    <row r="13" spans="1:47" ht="30" customHeight="1" x14ac:dyDescent="0.25">
      <c r="A13" s="87">
        <f t="shared" ref="A13:A267" si="0">ROW(A1)</f>
        <v>1</v>
      </c>
      <c r="B13" s="407" t="s">
        <v>334</v>
      </c>
      <c r="C13" s="326"/>
      <c r="D13" s="327"/>
      <c r="E13" s="697"/>
      <c r="F13" s="326"/>
      <c r="G13" s="327"/>
      <c r="H13" s="407"/>
      <c r="I13" s="326"/>
      <c r="J13" s="326"/>
      <c r="K13" s="327"/>
      <c r="L13" s="407"/>
      <c r="M13" s="326"/>
      <c r="N13" s="326"/>
      <c r="O13" s="326"/>
      <c r="P13" s="327"/>
      <c r="Q13" s="407"/>
      <c r="R13" s="326"/>
      <c r="S13" s="326"/>
      <c r="T13" s="326"/>
      <c r="U13" s="326"/>
      <c r="V13" s="326"/>
      <c r="W13" s="326"/>
      <c r="X13" s="326"/>
      <c r="Y13" s="326"/>
      <c r="Z13" s="327"/>
      <c r="AA13" s="407"/>
      <c r="AB13" s="326"/>
      <c r="AC13" s="326"/>
      <c r="AD13" s="326"/>
      <c r="AE13" s="326"/>
      <c r="AF13" s="326"/>
      <c r="AG13" s="326"/>
      <c r="AH13" s="326"/>
      <c r="AI13" s="326"/>
      <c r="AJ13" s="326"/>
      <c r="AK13" s="326"/>
      <c r="AL13" s="326"/>
      <c r="AM13" s="326"/>
      <c r="AN13" s="326"/>
      <c r="AO13" s="326"/>
      <c r="AP13" s="326"/>
      <c r="AQ13" s="327"/>
    </row>
    <row r="14" spans="1:47" ht="30" customHeight="1" x14ac:dyDescent="0.25">
      <c r="A14" s="87">
        <f t="shared" si="0"/>
        <v>2</v>
      </c>
      <c r="B14" s="381" t="s">
        <v>334</v>
      </c>
      <c r="C14" s="326"/>
      <c r="D14" s="327"/>
      <c r="E14" s="698"/>
      <c r="F14" s="326"/>
      <c r="G14" s="327"/>
      <c r="H14" s="381"/>
      <c r="I14" s="326"/>
      <c r="J14" s="326"/>
      <c r="K14" s="327"/>
      <c r="L14" s="381"/>
      <c r="M14" s="326"/>
      <c r="N14" s="326"/>
      <c r="O14" s="326"/>
      <c r="P14" s="327"/>
      <c r="Q14" s="381"/>
      <c r="R14" s="326"/>
      <c r="S14" s="326"/>
      <c r="T14" s="326"/>
      <c r="U14" s="326"/>
      <c r="V14" s="326"/>
      <c r="W14" s="326"/>
      <c r="X14" s="326"/>
      <c r="Y14" s="326"/>
      <c r="Z14" s="327"/>
      <c r="AA14" s="381"/>
      <c r="AB14" s="326"/>
      <c r="AC14" s="326"/>
      <c r="AD14" s="326"/>
      <c r="AE14" s="326"/>
      <c r="AF14" s="326"/>
      <c r="AG14" s="326"/>
      <c r="AH14" s="326"/>
      <c r="AI14" s="326"/>
      <c r="AJ14" s="326"/>
      <c r="AK14" s="326"/>
      <c r="AL14" s="326"/>
      <c r="AM14" s="326"/>
      <c r="AN14" s="326"/>
      <c r="AO14" s="326"/>
      <c r="AP14" s="326"/>
      <c r="AQ14" s="327"/>
    </row>
    <row r="15" spans="1:47" ht="30" customHeight="1" x14ac:dyDescent="0.25">
      <c r="A15" s="87">
        <f t="shared" si="0"/>
        <v>3</v>
      </c>
      <c r="B15" s="407" t="s">
        <v>334</v>
      </c>
      <c r="C15" s="326"/>
      <c r="D15" s="327"/>
      <c r="E15" s="697"/>
      <c r="F15" s="326"/>
      <c r="G15" s="327"/>
      <c r="H15" s="407"/>
      <c r="I15" s="326"/>
      <c r="J15" s="326"/>
      <c r="K15" s="327"/>
      <c r="L15" s="407"/>
      <c r="M15" s="326"/>
      <c r="N15" s="326"/>
      <c r="O15" s="326"/>
      <c r="P15" s="327"/>
      <c r="Q15" s="407"/>
      <c r="R15" s="326"/>
      <c r="S15" s="326"/>
      <c r="T15" s="326"/>
      <c r="U15" s="326"/>
      <c r="V15" s="326"/>
      <c r="W15" s="326"/>
      <c r="X15" s="326"/>
      <c r="Y15" s="326"/>
      <c r="Z15" s="327"/>
      <c r="AA15" s="407"/>
      <c r="AB15" s="326"/>
      <c r="AC15" s="326"/>
      <c r="AD15" s="326"/>
      <c r="AE15" s="326"/>
      <c r="AF15" s="326"/>
      <c r="AG15" s="326"/>
      <c r="AH15" s="326"/>
      <c r="AI15" s="326"/>
      <c r="AJ15" s="326"/>
      <c r="AK15" s="326"/>
      <c r="AL15" s="326"/>
      <c r="AM15" s="326"/>
      <c r="AN15" s="326"/>
      <c r="AO15" s="326"/>
      <c r="AP15" s="326"/>
      <c r="AQ15" s="327"/>
    </row>
    <row r="16" spans="1:47" ht="30" customHeight="1" x14ac:dyDescent="0.25">
      <c r="A16" s="87">
        <f t="shared" si="0"/>
        <v>4</v>
      </c>
      <c r="B16" s="381" t="s">
        <v>334</v>
      </c>
      <c r="C16" s="326"/>
      <c r="D16" s="327"/>
      <c r="E16" s="698"/>
      <c r="F16" s="326"/>
      <c r="G16" s="327"/>
      <c r="H16" s="381"/>
      <c r="I16" s="326"/>
      <c r="J16" s="326"/>
      <c r="K16" s="327"/>
      <c r="L16" s="381"/>
      <c r="M16" s="326"/>
      <c r="N16" s="326"/>
      <c r="O16" s="326"/>
      <c r="P16" s="327"/>
      <c r="Q16" s="381"/>
      <c r="R16" s="326"/>
      <c r="S16" s="326"/>
      <c r="T16" s="326"/>
      <c r="U16" s="326"/>
      <c r="V16" s="326"/>
      <c r="W16" s="326"/>
      <c r="X16" s="326"/>
      <c r="Y16" s="326"/>
      <c r="Z16" s="327"/>
      <c r="AA16" s="381"/>
      <c r="AB16" s="326"/>
      <c r="AC16" s="326"/>
      <c r="AD16" s="326"/>
      <c r="AE16" s="326"/>
      <c r="AF16" s="326"/>
      <c r="AG16" s="326"/>
      <c r="AH16" s="326"/>
      <c r="AI16" s="326"/>
      <c r="AJ16" s="326"/>
      <c r="AK16" s="326"/>
      <c r="AL16" s="326"/>
      <c r="AM16" s="326"/>
      <c r="AN16" s="326"/>
      <c r="AO16" s="326"/>
      <c r="AP16" s="326"/>
      <c r="AQ16" s="327"/>
    </row>
    <row r="17" spans="1:43" ht="30" customHeight="1" x14ac:dyDescent="0.25">
      <c r="A17" s="87">
        <f t="shared" si="0"/>
        <v>5</v>
      </c>
      <c r="B17" s="407" t="s">
        <v>334</v>
      </c>
      <c r="C17" s="326"/>
      <c r="D17" s="327"/>
      <c r="E17" s="697"/>
      <c r="F17" s="326"/>
      <c r="G17" s="327"/>
      <c r="H17" s="407"/>
      <c r="I17" s="326"/>
      <c r="J17" s="326"/>
      <c r="K17" s="327"/>
      <c r="L17" s="407"/>
      <c r="M17" s="326"/>
      <c r="N17" s="326"/>
      <c r="O17" s="326"/>
      <c r="P17" s="327"/>
      <c r="Q17" s="407"/>
      <c r="R17" s="326"/>
      <c r="S17" s="326"/>
      <c r="T17" s="326"/>
      <c r="U17" s="326"/>
      <c r="V17" s="326"/>
      <c r="W17" s="326"/>
      <c r="X17" s="326"/>
      <c r="Y17" s="326"/>
      <c r="Z17" s="327"/>
      <c r="AA17" s="407"/>
      <c r="AB17" s="326"/>
      <c r="AC17" s="326"/>
      <c r="AD17" s="326"/>
      <c r="AE17" s="326"/>
      <c r="AF17" s="326"/>
      <c r="AG17" s="326"/>
      <c r="AH17" s="326"/>
      <c r="AI17" s="326"/>
      <c r="AJ17" s="326"/>
      <c r="AK17" s="326"/>
      <c r="AL17" s="326"/>
      <c r="AM17" s="326"/>
      <c r="AN17" s="326"/>
      <c r="AO17" s="326"/>
      <c r="AP17" s="326"/>
      <c r="AQ17" s="327"/>
    </row>
    <row r="18" spans="1:43" ht="30" customHeight="1" x14ac:dyDescent="0.25">
      <c r="A18" s="87">
        <f t="shared" si="0"/>
        <v>6</v>
      </c>
      <c r="B18" s="381" t="s">
        <v>334</v>
      </c>
      <c r="C18" s="326"/>
      <c r="D18" s="327"/>
      <c r="E18" s="698"/>
      <c r="F18" s="326"/>
      <c r="G18" s="327"/>
      <c r="H18" s="381"/>
      <c r="I18" s="326"/>
      <c r="J18" s="326"/>
      <c r="K18" s="327"/>
      <c r="L18" s="381"/>
      <c r="M18" s="326"/>
      <c r="N18" s="326"/>
      <c r="O18" s="326"/>
      <c r="P18" s="327"/>
      <c r="Q18" s="381"/>
      <c r="R18" s="326"/>
      <c r="S18" s="326"/>
      <c r="T18" s="326"/>
      <c r="U18" s="326"/>
      <c r="V18" s="326"/>
      <c r="W18" s="326"/>
      <c r="X18" s="326"/>
      <c r="Y18" s="326"/>
      <c r="Z18" s="327"/>
      <c r="AA18" s="381"/>
      <c r="AB18" s="326"/>
      <c r="AC18" s="326"/>
      <c r="AD18" s="326"/>
      <c r="AE18" s="326"/>
      <c r="AF18" s="326"/>
      <c r="AG18" s="326"/>
      <c r="AH18" s="326"/>
      <c r="AI18" s="326"/>
      <c r="AJ18" s="326"/>
      <c r="AK18" s="326"/>
      <c r="AL18" s="326"/>
      <c r="AM18" s="326"/>
      <c r="AN18" s="326"/>
      <c r="AO18" s="326"/>
      <c r="AP18" s="326"/>
      <c r="AQ18" s="327"/>
    </row>
    <row r="19" spans="1:43" ht="30" customHeight="1" x14ac:dyDescent="0.25">
      <c r="A19" s="87">
        <f t="shared" si="0"/>
        <v>7</v>
      </c>
      <c r="B19" s="407" t="s">
        <v>334</v>
      </c>
      <c r="C19" s="326"/>
      <c r="D19" s="327"/>
      <c r="E19" s="697"/>
      <c r="F19" s="326"/>
      <c r="G19" s="327"/>
      <c r="H19" s="407"/>
      <c r="I19" s="326"/>
      <c r="J19" s="326"/>
      <c r="K19" s="327"/>
      <c r="L19" s="407"/>
      <c r="M19" s="326"/>
      <c r="N19" s="326"/>
      <c r="O19" s="326"/>
      <c r="P19" s="327"/>
      <c r="Q19" s="407"/>
      <c r="R19" s="326"/>
      <c r="S19" s="326"/>
      <c r="T19" s="326"/>
      <c r="U19" s="326"/>
      <c r="V19" s="326"/>
      <c r="W19" s="326"/>
      <c r="X19" s="326"/>
      <c r="Y19" s="326"/>
      <c r="Z19" s="327"/>
      <c r="AA19" s="407"/>
      <c r="AB19" s="326"/>
      <c r="AC19" s="326"/>
      <c r="AD19" s="326"/>
      <c r="AE19" s="326"/>
      <c r="AF19" s="326"/>
      <c r="AG19" s="326"/>
      <c r="AH19" s="326"/>
      <c r="AI19" s="326"/>
      <c r="AJ19" s="326"/>
      <c r="AK19" s="326"/>
      <c r="AL19" s="326"/>
      <c r="AM19" s="326"/>
      <c r="AN19" s="326"/>
      <c r="AO19" s="326"/>
      <c r="AP19" s="326"/>
      <c r="AQ19" s="327"/>
    </row>
    <row r="20" spans="1:43" ht="30" customHeight="1" x14ac:dyDescent="0.25">
      <c r="A20" s="87">
        <f t="shared" si="0"/>
        <v>8</v>
      </c>
      <c r="B20" s="381" t="s">
        <v>334</v>
      </c>
      <c r="C20" s="326"/>
      <c r="D20" s="327"/>
      <c r="E20" s="698"/>
      <c r="F20" s="326"/>
      <c r="G20" s="327"/>
      <c r="H20" s="381"/>
      <c r="I20" s="326"/>
      <c r="J20" s="326"/>
      <c r="K20" s="327"/>
      <c r="L20" s="381"/>
      <c r="M20" s="326"/>
      <c r="N20" s="326"/>
      <c r="O20" s="326"/>
      <c r="P20" s="327"/>
      <c r="Q20" s="381"/>
      <c r="R20" s="326"/>
      <c r="S20" s="326"/>
      <c r="T20" s="326"/>
      <c r="U20" s="326"/>
      <c r="V20" s="326"/>
      <c r="W20" s="326"/>
      <c r="X20" s="326"/>
      <c r="Y20" s="326"/>
      <c r="Z20" s="327"/>
      <c r="AA20" s="381"/>
      <c r="AB20" s="326"/>
      <c r="AC20" s="326"/>
      <c r="AD20" s="326"/>
      <c r="AE20" s="326"/>
      <c r="AF20" s="326"/>
      <c r="AG20" s="326"/>
      <c r="AH20" s="326"/>
      <c r="AI20" s="326"/>
      <c r="AJ20" s="326"/>
      <c r="AK20" s="326"/>
      <c r="AL20" s="326"/>
      <c r="AM20" s="326"/>
      <c r="AN20" s="326"/>
      <c r="AO20" s="326"/>
      <c r="AP20" s="326"/>
      <c r="AQ20" s="327"/>
    </row>
    <row r="21" spans="1:43" ht="30" customHeight="1" x14ac:dyDescent="0.25">
      <c r="A21" s="87">
        <f t="shared" si="0"/>
        <v>9</v>
      </c>
      <c r="B21" s="407" t="s">
        <v>334</v>
      </c>
      <c r="C21" s="326"/>
      <c r="D21" s="327"/>
      <c r="E21" s="697"/>
      <c r="F21" s="326"/>
      <c r="G21" s="327"/>
      <c r="H21" s="407"/>
      <c r="I21" s="326"/>
      <c r="J21" s="326"/>
      <c r="K21" s="327"/>
      <c r="L21" s="407"/>
      <c r="M21" s="326"/>
      <c r="N21" s="326"/>
      <c r="O21" s="326"/>
      <c r="P21" s="327"/>
      <c r="Q21" s="407"/>
      <c r="R21" s="326"/>
      <c r="S21" s="326"/>
      <c r="T21" s="326"/>
      <c r="U21" s="326"/>
      <c r="V21" s="326"/>
      <c r="W21" s="326"/>
      <c r="X21" s="326"/>
      <c r="Y21" s="326"/>
      <c r="Z21" s="327"/>
      <c r="AA21" s="407"/>
      <c r="AB21" s="326"/>
      <c r="AC21" s="326"/>
      <c r="AD21" s="326"/>
      <c r="AE21" s="326"/>
      <c r="AF21" s="326"/>
      <c r="AG21" s="326"/>
      <c r="AH21" s="326"/>
      <c r="AI21" s="326"/>
      <c r="AJ21" s="326"/>
      <c r="AK21" s="326"/>
      <c r="AL21" s="326"/>
      <c r="AM21" s="326"/>
      <c r="AN21" s="326"/>
      <c r="AO21" s="326"/>
      <c r="AP21" s="326"/>
      <c r="AQ21" s="327"/>
    </row>
    <row r="22" spans="1:43" ht="30" customHeight="1" x14ac:dyDescent="0.25">
      <c r="A22" s="87">
        <f t="shared" si="0"/>
        <v>10</v>
      </c>
      <c r="B22" s="381" t="s">
        <v>334</v>
      </c>
      <c r="C22" s="326"/>
      <c r="D22" s="327"/>
      <c r="E22" s="698"/>
      <c r="F22" s="326"/>
      <c r="G22" s="327"/>
      <c r="H22" s="381"/>
      <c r="I22" s="326"/>
      <c r="J22" s="326"/>
      <c r="K22" s="327"/>
      <c r="L22" s="381"/>
      <c r="M22" s="326"/>
      <c r="N22" s="326"/>
      <c r="O22" s="326"/>
      <c r="P22" s="327"/>
      <c r="Q22" s="381"/>
      <c r="R22" s="326"/>
      <c r="S22" s="326"/>
      <c r="T22" s="326"/>
      <c r="U22" s="326"/>
      <c r="V22" s="326"/>
      <c r="W22" s="326"/>
      <c r="X22" s="326"/>
      <c r="Y22" s="326"/>
      <c r="Z22" s="327"/>
      <c r="AA22" s="381"/>
      <c r="AB22" s="326"/>
      <c r="AC22" s="326"/>
      <c r="AD22" s="326"/>
      <c r="AE22" s="326"/>
      <c r="AF22" s="326"/>
      <c r="AG22" s="326"/>
      <c r="AH22" s="326"/>
      <c r="AI22" s="326"/>
      <c r="AJ22" s="326"/>
      <c r="AK22" s="326"/>
      <c r="AL22" s="326"/>
      <c r="AM22" s="326"/>
      <c r="AN22" s="326"/>
      <c r="AO22" s="326"/>
      <c r="AP22" s="326"/>
      <c r="AQ22" s="327"/>
    </row>
    <row r="23" spans="1:43" ht="30" customHeight="1" x14ac:dyDescent="0.25">
      <c r="A23" s="87">
        <f t="shared" si="0"/>
        <v>11</v>
      </c>
      <c r="B23" s="407" t="s">
        <v>334</v>
      </c>
      <c r="C23" s="326"/>
      <c r="D23" s="327"/>
      <c r="E23" s="697"/>
      <c r="F23" s="326"/>
      <c r="G23" s="327"/>
      <c r="H23" s="407"/>
      <c r="I23" s="326"/>
      <c r="J23" s="326"/>
      <c r="K23" s="327"/>
      <c r="L23" s="407"/>
      <c r="M23" s="326"/>
      <c r="N23" s="326"/>
      <c r="O23" s="326"/>
      <c r="P23" s="327"/>
      <c r="Q23" s="407"/>
      <c r="R23" s="326"/>
      <c r="S23" s="326"/>
      <c r="T23" s="326"/>
      <c r="U23" s="326"/>
      <c r="V23" s="326"/>
      <c r="W23" s="326"/>
      <c r="X23" s="326"/>
      <c r="Y23" s="326"/>
      <c r="Z23" s="327"/>
      <c r="AA23" s="407"/>
      <c r="AB23" s="326"/>
      <c r="AC23" s="326"/>
      <c r="AD23" s="326"/>
      <c r="AE23" s="326"/>
      <c r="AF23" s="326"/>
      <c r="AG23" s="326"/>
      <c r="AH23" s="326"/>
      <c r="AI23" s="326"/>
      <c r="AJ23" s="326"/>
      <c r="AK23" s="326"/>
      <c r="AL23" s="326"/>
      <c r="AM23" s="326"/>
      <c r="AN23" s="326"/>
      <c r="AO23" s="326"/>
      <c r="AP23" s="326"/>
      <c r="AQ23" s="327"/>
    </row>
    <row r="24" spans="1:43" ht="30" customHeight="1" x14ac:dyDescent="0.25">
      <c r="A24" s="87">
        <f t="shared" si="0"/>
        <v>12</v>
      </c>
      <c r="B24" s="381" t="s">
        <v>334</v>
      </c>
      <c r="C24" s="326"/>
      <c r="D24" s="327"/>
      <c r="E24" s="698"/>
      <c r="F24" s="326"/>
      <c r="G24" s="327"/>
      <c r="H24" s="381"/>
      <c r="I24" s="326"/>
      <c r="J24" s="326"/>
      <c r="K24" s="327"/>
      <c r="L24" s="381"/>
      <c r="M24" s="326"/>
      <c r="N24" s="326"/>
      <c r="O24" s="326"/>
      <c r="P24" s="327"/>
      <c r="Q24" s="381"/>
      <c r="R24" s="326"/>
      <c r="S24" s="326"/>
      <c r="T24" s="326"/>
      <c r="U24" s="326"/>
      <c r="V24" s="326"/>
      <c r="W24" s="326"/>
      <c r="X24" s="326"/>
      <c r="Y24" s="326"/>
      <c r="Z24" s="327"/>
      <c r="AA24" s="381"/>
      <c r="AB24" s="326"/>
      <c r="AC24" s="326"/>
      <c r="AD24" s="326"/>
      <c r="AE24" s="326"/>
      <c r="AF24" s="326"/>
      <c r="AG24" s="326"/>
      <c r="AH24" s="326"/>
      <c r="AI24" s="326"/>
      <c r="AJ24" s="326"/>
      <c r="AK24" s="326"/>
      <c r="AL24" s="326"/>
      <c r="AM24" s="326"/>
      <c r="AN24" s="326"/>
      <c r="AO24" s="326"/>
      <c r="AP24" s="326"/>
      <c r="AQ24" s="327"/>
    </row>
    <row r="25" spans="1:43" ht="30" customHeight="1" x14ac:dyDescent="0.25">
      <c r="A25" s="87">
        <f t="shared" si="0"/>
        <v>13</v>
      </c>
      <c r="B25" s="407" t="s">
        <v>334</v>
      </c>
      <c r="C25" s="326"/>
      <c r="D25" s="327"/>
      <c r="E25" s="697"/>
      <c r="F25" s="326"/>
      <c r="G25" s="327"/>
      <c r="H25" s="407"/>
      <c r="I25" s="326"/>
      <c r="J25" s="326"/>
      <c r="K25" s="327"/>
      <c r="L25" s="407"/>
      <c r="M25" s="326"/>
      <c r="N25" s="326"/>
      <c r="O25" s="326"/>
      <c r="P25" s="327"/>
      <c r="Q25" s="407"/>
      <c r="R25" s="326"/>
      <c r="S25" s="326"/>
      <c r="T25" s="326"/>
      <c r="U25" s="326"/>
      <c r="V25" s="326"/>
      <c r="W25" s="326"/>
      <c r="X25" s="326"/>
      <c r="Y25" s="326"/>
      <c r="Z25" s="327"/>
      <c r="AA25" s="407"/>
      <c r="AB25" s="326"/>
      <c r="AC25" s="326"/>
      <c r="AD25" s="326"/>
      <c r="AE25" s="326"/>
      <c r="AF25" s="326"/>
      <c r="AG25" s="326"/>
      <c r="AH25" s="326"/>
      <c r="AI25" s="326"/>
      <c r="AJ25" s="326"/>
      <c r="AK25" s="326"/>
      <c r="AL25" s="326"/>
      <c r="AM25" s="326"/>
      <c r="AN25" s="326"/>
      <c r="AO25" s="326"/>
      <c r="AP25" s="326"/>
      <c r="AQ25" s="327"/>
    </row>
    <row r="26" spans="1:43" ht="30" customHeight="1" x14ac:dyDescent="0.25">
      <c r="A26" s="87">
        <f t="shared" si="0"/>
        <v>14</v>
      </c>
      <c r="B26" s="381" t="s">
        <v>334</v>
      </c>
      <c r="C26" s="326"/>
      <c r="D26" s="327"/>
      <c r="E26" s="698"/>
      <c r="F26" s="326"/>
      <c r="G26" s="327"/>
      <c r="H26" s="381"/>
      <c r="I26" s="326"/>
      <c r="J26" s="326"/>
      <c r="K26" s="327"/>
      <c r="L26" s="381"/>
      <c r="M26" s="326"/>
      <c r="N26" s="326"/>
      <c r="O26" s="326"/>
      <c r="P26" s="327"/>
      <c r="Q26" s="381"/>
      <c r="R26" s="326"/>
      <c r="S26" s="326"/>
      <c r="T26" s="326"/>
      <c r="U26" s="326"/>
      <c r="V26" s="326"/>
      <c r="W26" s="326"/>
      <c r="X26" s="326"/>
      <c r="Y26" s="326"/>
      <c r="Z26" s="327"/>
      <c r="AA26" s="381"/>
      <c r="AB26" s="326"/>
      <c r="AC26" s="326"/>
      <c r="AD26" s="326"/>
      <c r="AE26" s="326"/>
      <c r="AF26" s="326"/>
      <c r="AG26" s="326"/>
      <c r="AH26" s="326"/>
      <c r="AI26" s="326"/>
      <c r="AJ26" s="326"/>
      <c r="AK26" s="326"/>
      <c r="AL26" s="326"/>
      <c r="AM26" s="326"/>
      <c r="AN26" s="326"/>
      <c r="AO26" s="326"/>
      <c r="AP26" s="326"/>
      <c r="AQ26" s="327"/>
    </row>
    <row r="27" spans="1:43" ht="30" customHeight="1" x14ac:dyDescent="0.25">
      <c r="A27" s="87">
        <f t="shared" si="0"/>
        <v>15</v>
      </c>
      <c r="B27" s="407" t="s">
        <v>334</v>
      </c>
      <c r="C27" s="326"/>
      <c r="D27" s="327"/>
      <c r="E27" s="697"/>
      <c r="F27" s="326"/>
      <c r="G27" s="327"/>
      <c r="H27" s="407"/>
      <c r="I27" s="326"/>
      <c r="J27" s="326"/>
      <c r="K27" s="327"/>
      <c r="L27" s="407"/>
      <c r="M27" s="326"/>
      <c r="N27" s="326"/>
      <c r="O27" s="326"/>
      <c r="P27" s="327"/>
      <c r="Q27" s="407"/>
      <c r="R27" s="326"/>
      <c r="S27" s="326"/>
      <c r="T27" s="326"/>
      <c r="U27" s="326"/>
      <c r="V27" s="326"/>
      <c r="W27" s="326"/>
      <c r="X27" s="326"/>
      <c r="Y27" s="326"/>
      <c r="Z27" s="327"/>
      <c r="AA27" s="407"/>
      <c r="AB27" s="326"/>
      <c r="AC27" s="326"/>
      <c r="AD27" s="326"/>
      <c r="AE27" s="326"/>
      <c r="AF27" s="326"/>
      <c r="AG27" s="326"/>
      <c r="AH27" s="326"/>
      <c r="AI27" s="326"/>
      <c r="AJ27" s="326"/>
      <c r="AK27" s="326"/>
      <c r="AL27" s="326"/>
      <c r="AM27" s="326"/>
      <c r="AN27" s="326"/>
      <c r="AO27" s="326"/>
      <c r="AP27" s="326"/>
      <c r="AQ27" s="327"/>
    </row>
    <row r="28" spans="1:43" ht="30" customHeight="1" x14ac:dyDescent="0.25">
      <c r="A28" s="87">
        <f t="shared" si="0"/>
        <v>16</v>
      </c>
      <c r="B28" s="381" t="s">
        <v>334</v>
      </c>
      <c r="C28" s="326"/>
      <c r="D28" s="327"/>
      <c r="E28" s="698"/>
      <c r="F28" s="326"/>
      <c r="G28" s="327"/>
      <c r="H28" s="381"/>
      <c r="I28" s="326"/>
      <c r="J28" s="326"/>
      <c r="K28" s="327"/>
      <c r="L28" s="381"/>
      <c r="M28" s="326"/>
      <c r="N28" s="326"/>
      <c r="O28" s="326"/>
      <c r="P28" s="327"/>
      <c r="Q28" s="381"/>
      <c r="R28" s="326"/>
      <c r="S28" s="326"/>
      <c r="T28" s="326"/>
      <c r="U28" s="326"/>
      <c r="V28" s="326"/>
      <c r="W28" s="326"/>
      <c r="X28" s="326"/>
      <c r="Y28" s="326"/>
      <c r="Z28" s="327"/>
      <c r="AA28" s="381"/>
      <c r="AB28" s="326"/>
      <c r="AC28" s="326"/>
      <c r="AD28" s="326"/>
      <c r="AE28" s="326"/>
      <c r="AF28" s="326"/>
      <c r="AG28" s="326"/>
      <c r="AH28" s="326"/>
      <c r="AI28" s="326"/>
      <c r="AJ28" s="326"/>
      <c r="AK28" s="326"/>
      <c r="AL28" s="326"/>
      <c r="AM28" s="326"/>
      <c r="AN28" s="326"/>
      <c r="AO28" s="326"/>
      <c r="AP28" s="326"/>
      <c r="AQ28" s="327"/>
    </row>
    <row r="29" spans="1:43" ht="30" customHeight="1" x14ac:dyDescent="0.25">
      <c r="A29" s="87">
        <f t="shared" si="0"/>
        <v>17</v>
      </c>
      <c r="B29" s="407" t="s">
        <v>334</v>
      </c>
      <c r="C29" s="326"/>
      <c r="D29" s="327"/>
      <c r="E29" s="697"/>
      <c r="F29" s="326"/>
      <c r="G29" s="327"/>
      <c r="H29" s="407"/>
      <c r="I29" s="326"/>
      <c r="J29" s="326"/>
      <c r="K29" s="327"/>
      <c r="L29" s="407"/>
      <c r="M29" s="326"/>
      <c r="N29" s="326"/>
      <c r="O29" s="326"/>
      <c r="P29" s="327"/>
      <c r="Q29" s="407"/>
      <c r="R29" s="326"/>
      <c r="S29" s="326"/>
      <c r="T29" s="326"/>
      <c r="U29" s="326"/>
      <c r="V29" s="326"/>
      <c r="W29" s="326"/>
      <c r="X29" s="326"/>
      <c r="Y29" s="326"/>
      <c r="Z29" s="327"/>
      <c r="AA29" s="407"/>
      <c r="AB29" s="326"/>
      <c r="AC29" s="326"/>
      <c r="AD29" s="326"/>
      <c r="AE29" s="326"/>
      <c r="AF29" s="326"/>
      <c r="AG29" s="326"/>
      <c r="AH29" s="326"/>
      <c r="AI29" s="326"/>
      <c r="AJ29" s="326"/>
      <c r="AK29" s="326"/>
      <c r="AL29" s="326"/>
      <c r="AM29" s="326"/>
      <c r="AN29" s="326"/>
      <c r="AO29" s="326"/>
      <c r="AP29" s="326"/>
      <c r="AQ29" s="327"/>
    </row>
    <row r="30" spans="1:43" ht="30" customHeight="1" x14ac:dyDescent="0.25">
      <c r="A30" s="87">
        <f t="shared" si="0"/>
        <v>18</v>
      </c>
      <c r="B30" s="381" t="s">
        <v>334</v>
      </c>
      <c r="C30" s="326"/>
      <c r="D30" s="327"/>
      <c r="E30" s="698"/>
      <c r="F30" s="326"/>
      <c r="G30" s="327"/>
      <c r="H30" s="381"/>
      <c r="I30" s="326"/>
      <c r="J30" s="326"/>
      <c r="K30" s="327"/>
      <c r="L30" s="381"/>
      <c r="M30" s="326"/>
      <c r="N30" s="326"/>
      <c r="O30" s="326"/>
      <c r="P30" s="327"/>
      <c r="Q30" s="381"/>
      <c r="R30" s="326"/>
      <c r="S30" s="326"/>
      <c r="T30" s="326"/>
      <c r="U30" s="326"/>
      <c r="V30" s="326"/>
      <c r="W30" s="326"/>
      <c r="X30" s="326"/>
      <c r="Y30" s="326"/>
      <c r="Z30" s="327"/>
      <c r="AA30" s="381"/>
      <c r="AB30" s="326"/>
      <c r="AC30" s="326"/>
      <c r="AD30" s="326"/>
      <c r="AE30" s="326"/>
      <c r="AF30" s="326"/>
      <c r="AG30" s="326"/>
      <c r="AH30" s="326"/>
      <c r="AI30" s="326"/>
      <c r="AJ30" s="326"/>
      <c r="AK30" s="326"/>
      <c r="AL30" s="326"/>
      <c r="AM30" s="326"/>
      <c r="AN30" s="326"/>
      <c r="AO30" s="326"/>
      <c r="AP30" s="326"/>
      <c r="AQ30" s="327"/>
    </row>
    <row r="31" spans="1:43" ht="30" customHeight="1" x14ac:dyDescent="0.25">
      <c r="A31" s="87">
        <f t="shared" si="0"/>
        <v>19</v>
      </c>
      <c r="B31" s="407" t="s">
        <v>334</v>
      </c>
      <c r="C31" s="326"/>
      <c r="D31" s="327"/>
      <c r="E31" s="697"/>
      <c r="F31" s="326"/>
      <c r="G31" s="327"/>
      <c r="H31" s="407"/>
      <c r="I31" s="326"/>
      <c r="J31" s="326"/>
      <c r="K31" s="327"/>
      <c r="L31" s="407"/>
      <c r="M31" s="326"/>
      <c r="N31" s="326"/>
      <c r="O31" s="326"/>
      <c r="P31" s="327"/>
      <c r="Q31" s="407"/>
      <c r="R31" s="326"/>
      <c r="S31" s="326"/>
      <c r="T31" s="326"/>
      <c r="U31" s="326"/>
      <c r="V31" s="326"/>
      <c r="W31" s="326"/>
      <c r="X31" s="326"/>
      <c r="Y31" s="326"/>
      <c r="Z31" s="327"/>
      <c r="AA31" s="407"/>
      <c r="AB31" s="326"/>
      <c r="AC31" s="326"/>
      <c r="AD31" s="326"/>
      <c r="AE31" s="326"/>
      <c r="AF31" s="326"/>
      <c r="AG31" s="326"/>
      <c r="AH31" s="326"/>
      <c r="AI31" s="326"/>
      <c r="AJ31" s="326"/>
      <c r="AK31" s="326"/>
      <c r="AL31" s="326"/>
      <c r="AM31" s="326"/>
      <c r="AN31" s="326"/>
      <c r="AO31" s="326"/>
      <c r="AP31" s="326"/>
      <c r="AQ31" s="327"/>
    </row>
    <row r="32" spans="1:43" ht="30" customHeight="1" x14ac:dyDescent="0.25">
      <c r="A32" s="87">
        <f t="shared" si="0"/>
        <v>20</v>
      </c>
      <c r="B32" s="381" t="s">
        <v>334</v>
      </c>
      <c r="C32" s="326"/>
      <c r="D32" s="327"/>
      <c r="E32" s="698"/>
      <c r="F32" s="326"/>
      <c r="G32" s="327"/>
      <c r="H32" s="381"/>
      <c r="I32" s="326"/>
      <c r="J32" s="326"/>
      <c r="K32" s="327"/>
      <c r="L32" s="381"/>
      <c r="M32" s="326"/>
      <c r="N32" s="326"/>
      <c r="O32" s="326"/>
      <c r="P32" s="327"/>
      <c r="Q32" s="381"/>
      <c r="R32" s="326"/>
      <c r="S32" s="326"/>
      <c r="T32" s="326"/>
      <c r="U32" s="326"/>
      <c r="V32" s="326"/>
      <c r="W32" s="326"/>
      <c r="X32" s="326"/>
      <c r="Y32" s="326"/>
      <c r="Z32" s="327"/>
      <c r="AA32" s="381"/>
      <c r="AB32" s="326"/>
      <c r="AC32" s="326"/>
      <c r="AD32" s="326"/>
      <c r="AE32" s="326"/>
      <c r="AF32" s="326"/>
      <c r="AG32" s="326"/>
      <c r="AH32" s="326"/>
      <c r="AI32" s="326"/>
      <c r="AJ32" s="326"/>
      <c r="AK32" s="326"/>
      <c r="AL32" s="326"/>
      <c r="AM32" s="326"/>
      <c r="AN32" s="326"/>
      <c r="AO32" s="326"/>
      <c r="AP32" s="326"/>
      <c r="AQ32" s="327"/>
    </row>
    <row r="33" spans="1:43" ht="30" customHeight="1" x14ac:dyDescent="0.25">
      <c r="A33" s="87">
        <f t="shared" si="0"/>
        <v>21</v>
      </c>
      <c r="B33" s="407" t="s">
        <v>334</v>
      </c>
      <c r="C33" s="326"/>
      <c r="D33" s="327"/>
      <c r="E33" s="697"/>
      <c r="F33" s="326"/>
      <c r="G33" s="327"/>
      <c r="H33" s="407"/>
      <c r="I33" s="326"/>
      <c r="J33" s="326"/>
      <c r="K33" s="327"/>
      <c r="L33" s="407"/>
      <c r="M33" s="326"/>
      <c r="N33" s="326"/>
      <c r="O33" s="326"/>
      <c r="P33" s="327"/>
      <c r="Q33" s="407"/>
      <c r="R33" s="326"/>
      <c r="S33" s="326"/>
      <c r="T33" s="326"/>
      <c r="U33" s="326"/>
      <c r="V33" s="326"/>
      <c r="W33" s="326"/>
      <c r="X33" s="326"/>
      <c r="Y33" s="326"/>
      <c r="Z33" s="327"/>
      <c r="AA33" s="407"/>
      <c r="AB33" s="326"/>
      <c r="AC33" s="326"/>
      <c r="AD33" s="326"/>
      <c r="AE33" s="326"/>
      <c r="AF33" s="326"/>
      <c r="AG33" s="326"/>
      <c r="AH33" s="326"/>
      <c r="AI33" s="326"/>
      <c r="AJ33" s="326"/>
      <c r="AK33" s="326"/>
      <c r="AL33" s="326"/>
      <c r="AM33" s="326"/>
      <c r="AN33" s="326"/>
      <c r="AO33" s="326"/>
      <c r="AP33" s="326"/>
      <c r="AQ33" s="327"/>
    </row>
    <row r="34" spans="1:43" ht="30" customHeight="1" x14ac:dyDescent="0.25">
      <c r="A34" s="87">
        <f t="shared" si="0"/>
        <v>22</v>
      </c>
      <c r="B34" s="381" t="s">
        <v>334</v>
      </c>
      <c r="C34" s="326"/>
      <c r="D34" s="327"/>
      <c r="E34" s="698"/>
      <c r="F34" s="326"/>
      <c r="G34" s="327"/>
      <c r="H34" s="381"/>
      <c r="I34" s="326"/>
      <c r="J34" s="326"/>
      <c r="K34" s="327"/>
      <c r="L34" s="381"/>
      <c r="M34" s="326"/>
      <c r="N34" s="326"/>
      <c r="O34" s="326"/>
      <c r="P34" s="327"/>
      <c r="Q34" s="381"/>
      <c r="R34" s="326"/>
      <c r="S34" s="326"/>
      <c r="T34" s="326"/>
      <c r="U34" s="326"/>
      <c r="V34" s="326"/>
      <c r="W34" s="326"/>
      <c r="X34" s="326"/>
      <c r="Y34" s="326"/>
      <c r="Z34" s="327"/>
      <c r="AA34" s="381"/>
      <c r="AB34" s="326"/>
      <c r="AC34" s="326"/>
      <c r="AD34" s="326"/>
      <c r="AE34" s="326"/>
      <c r="AF34" s="326"/>
      <c r="AG34" s="326"/>
      <c r="AH34" s="326"/>
      <c r="AI34" s="326"/>
      <c r="AJ34" s="326"/>
      <c r="AK34" s="326"/>
      <c r="AL34" s="326"/>
      <c r="AM34" s="326"/>
      <c r="AN34" s="326"/>
      <c r="AO34" s="326"/>
      <c r="AP34" s="326"/>
      <c r="AQ34" s="327"/>
    </row>
    <row r="35" spans="1:43" ht="30" customHeight="1" x14ac:dyDescent="0.25">
      <c r="A35" s="87">
        <f t="shared" si="0"/>
        <v>23</v>
      </c>
      <c r="B35" s="407" t="s">
        <v>334</v>
      </c>
      <c r="C35" s="326"/>
      <c r="D35" s="327"/>
      <c r="E35" s="697"/>
      <c r="F35" s="326"/>
      <c r="G35" s="327"/>
      <c r="H35" s="407"/>
      <c r="I35" s="326"/>
      <c r="J35" s="326"/>
      <c r="K35" s="327"/>
      <c r="L35" s="407"/>
      <c r="M35" s="326"/>
      <c r="N35" s="326"/>
      <c r="O35" s="326"/>
      <c r="P35" s="327"/>
      <c r="Q35" s="407"/>
      <c r="R35" s="326"/>
      <c r="S35" s="326"/>
      <c r="T35" s="326"/>
      <c r="U35" s="326"/>
      <c r="V35" s="326"/>
      <c r="W35" s="326"/>
      <c r="X35" s="326"/>
      <c r="Y35" s="326"/>
      <c r="Z35" s="327"/>
      <c r="AA35" s="407"/>
      <c r="AB35" s="326"/>
      <c r="AC35" s="326"/>
      <c r="AD35" s="326"/>
      <c r="AE35" s="326"/>
      <c r="AF35" s="326"/>
      <c r="AG35" s="326"/>
      <c r="AH35" s="326"/>
      <c r="AI35" s="326"/>
      <c r="AJ35" s="326"/>
      <c r="AK35" s="326"/>
      <c r="AL35" s="326"/>
      <c r="AM35" s="326"/>
      <c r="AN35" s="326"/>
      <c r="AO35" s="326"/>
      <c r="AP35" s="326"/>
      <c r="AQ35" s="327"/>
    </row>
    <row r="36" spans="1:43" ht="30" customHeight="1" x14ac:dyDescent="0.25">
      <c r="A36" s="87">
        <f t="shared" si="0"/>
        <v>24</v>
      </c>
      <c r="B36" s="381" t="s">
        <v>334</v>
      </c>
      <c r="C36" s="326"/>
      <c r="D36" s="327"/>
      <c r="E36" s="698"/>
      <c r="F36" s="326"/>
      <c r="G36" s="327"/>
      <c r="H36" s="381"/>
      <c r="I36" s="326"/>
      <c r="J36" s="326"/>
      <c r="K36" s="327"/>
      <c r="L36" s="381"/>
      <c r="M36" s="326"/>
      <c r="N36" s="326"/>
      <c r="O36" s="326"/>
      <c r="P36" s="327"/>
      <c r="Q36" s="381"/>
      <c r="R36" s="326"/>
      <c r="S36" s="326"/>
      <c r="T36" s="326"/>
      <c r="U36" s="326"/>
      <c r="V36" s="326"/>
      <c r="W36" s="326"/>
      <c r="X36" s="326"/>
      <c r="Y36" s="326"/>
      <c r="Z36" s="327"/>
      <c r="AA36" s="381"/>
      <c r="AB36" s="326"/>
      <c r="AC36" s="326"/>
      <c r="AD36" s="326"/>
      <c r="AE36" s="326"/>
      <c r="AF36" s="326"/>
      <c r="AG36" s="326"/>
      <c r="AH36" s="326"/>
      <c r="AI36" s="326"/>
      <c r="AJ36" s="326"/>
      <c r="AK36" s="326"/>
      <c r="AL36" s="326"/>
      <c r="AM36" s="326"/>
      <c r="AN36" s="326"/>
      <c r="AO36" s="326"/>
      <c r="AP36" s="326"/>
      <c r="AQ36" s="327"/>
    </row>
    <row r="37" spans="1:43" ht="30" customHeight="1" x14ac:dyDescent="0.25">
      <c r="A37" s="87">
        <f t="shared" si="0"/>
        <v>25</v>
      </c>
      <c r="B37" s="407" t="s">
        <v>334</v>
      </c>
      <c r="C37" s="326"/>
      <c r="D37" s="327"/>
      <c r="E37" s="697"/>
      <c r="F37" s="326"/>
      <c r="G37" s="327"/>
      <c r="H37" s="407"/>
      <c r="I37" s="326"/>
      <c r="J37" s="326"/>
      <c r="K37" s="327"/>
      <c r="L37" s="407"/>
      <c r="M37" s="326"/>
      <c r="N37" s="326"/>
      <c r="O37" s="326"/>
      <c r="P37" s="327"/>
      <c r="Q37" s="407"/>
      <c r="R37" s="326"/>
      <c r="S37" s="326"/>
      <c r="T37" s="326"/>
      <c r="U37" s="326"/>
      <c r="V37" s="326"/>
      <c r="W37" s="326"/>
      <c r="X37" s="326"/>
      <c r="Y37" s="326"/>
      <c r="Z37" s="327"/>
      <c r="AA37" s="407"/>
      <c r="AB37" s="326"/>
      <c r="AC37" s="326"/>
      <c r="AD37" s="326"/>
      <c r="AE37" s="326"/>
      <c r="AF37" s="326"/>
      <c r="AG37" s="326"/>
      <c r="AH37" s="326"/>
      <c r="AI37" s="326"/>
      <c r="AJ37" s="326"/>
      <c r="AK37" s="326"/>
      <c r="AL37" s="326"/>
      <c r="AM37" s="326"/>
      <c r="AN37" s="326"/>
      <c r="AO37" s="326"/>
      <c r="AP37" s="326"/>
      <c r="AQ37" s="327"/>
    </row>
    <row r="38" spans="1:43" ht="30" customHeight="1" x14ac:dyDescent="0.25">
      <c r="A38" s="87">
        <f t="shared" si="0"/>
        <v>26</v>
      </c>
      <c r="B38" s="381" t="s">
        <v>334</v>
      </c>
      <c r="C38" s="326"/>
      <c r="D38" s="327"/>
      <c r="E38" s="698"/>
      <c r="F38" s="326"/>
      <c r="G38" s="327"/>
      <c r="H38" s="381"/>
      <c r="I38" s="326"/>
      <c r="J38" s="326"/>
      <c r="K38" s="327"/>
      <c r="L38" s="381"/>
      <c r="M38" s="326"/>
      <c r="N38" s="326"/>
      <c r="O38" s="326"/>
      <c r="P38" s="327"/>
      <c r="Q38" s="381"/>
      <c r="R38" s="326"/>
      <c r="S38" s="326"/>
      <c r="T38" s="326"/>
      <c r="U38" s="326"/>
      <c r="V38" s="326"/>
      <c r="W38" s="326"/>
      <c r="X38" s="326"/>
      <c r="Y38" s="326"/>
      <c r="Z38" s="327"/>
      <c r="AA38" s="381"/>
      <c r="AB38" s="326"/>
      <c r="AC38" s="326"/>
      <c r="AD38" s="326"/>
      <c r="AE38" s="326"/>
      <c r="AF38" s="326"/>
      <c r="AG38" s="326"/>
      <c r="AH38" s="326"/>
      <c r="AI38" s="326"/>
      <c r="AJ38" s="326"/>
      <c r="AK38" s="326"/>
      <c r="AL38" s="326"/>
      <c r="AM38" s="326"/>
      <c r="AN38" s="326"/>
      <c r="AO38" s="326"/>
      <c r="AP38" s="326"/>
      <c r="AQ38" s="327"/>
    </row>
    <row r="39" spans="1:43" ht="30" customHeight="1" x14ac:dyDescent="0.25">
      <c r="A39" s="87">
        <f t="shared" si="0"/>
        <v>27</v>
      </c>
      <c r="B39" s="407" t="s">
        <v>334</v>
      </c>
      <c r="C39" s="326"/>
      <c r="D39" s="327"/>
      <c r="E39" s="697"/>
      <c r="F39" s="326"/>
      <c r="G39" s="327"/>
      <c r="H39" s="407"/>
      <c r="I39" s="326"/>
      <c r="J39" s="326"/>
      <c r="K39" s="327"/>
      <c r="L39" s="407"/>
      <c r="M39" s="326"/>
      <c r="N39" s="326"/>
      <c r="O39" s="326"/>
      <c r="P39" s="327"/>
      <c r="Q39" s="407"/>
      <c r="R39" s="326"/>
      <c r="S39" s="326"/>
      <c r="T39" s="326"/>
      <c r="U39" s="326"/>
      <c r="V39" s="326"/>
      <c r="W39" s="326"/>
      <c r="X39" s="326"/>
      <c r="Y39" s="326"/>
      <c r="Z39" s="327"/>
      <c r="AA39" s="407"/>
      <c r="AB39" s="326"/>
      <c r="AC39" s="326"/>
      <c r="AD39" s="326"/>
      <c r="AE39" s="326"/>
      <c r="AF39" s="326"/>
      <c r="AG39" s="326"/>
      <c r="AH39" s="326"/>
      <c r="AI39" s="326"/>
      <c r="AJ39" s="326"/>
      <c r="AK39" s="326"/>
      <c r="AL39" s="326"/>
      <c r="AM39" s="326"/>
      <c r="AN39" s="326"/>
      <c r="AO39" s="326"/>
      <c r="AP39" s="326"/>
      <c r="AQ39" s="327"/>
    </row>
    <row r="40" spans="1:43" ht="30" customHeight="1" x14ac:dyDescent="0.25">
      <c r="A40" s="87">
        <f t="shared" si="0"/>
        <v>28</v>
      </c>
      <c r="B40" s="381" t="s">
        <v>334</v>
      </c>
      <c r="C40" s="326"/>
      <c r="D40" s="327"/>
      <c r="E40" s="698"/>
      <c r="F40" s="326"/>
      <c r="G40" s="327"/>
      <c r="H40" s="381"/>
      <c r="I40" s="326"/>
      <c r="J40" s="326"/>
      <c r="K40" s="327"/>
      <c r="L40" s="381"/>
      <c r="M40" s="326"/>
      <c r="N40" s="326"/>
      <c r="O40" s="326"/>
      <c r="P40" s="327"/>
      <c r="Q40" s="381"/>
      <c r="R40" s="326"/>
      <c r="S40" s="326"/>
      <c r="T40" s="326"/>
      <c r="U40" s="326"/>
      <c r="V40" s="326"/>
      <c r="W40" s="326"/>
      <c r="X40" s="326"/>
      <c r="Y40" s="326"/>
      <c r="Z40" s="327"/>
      <c r="AA40" s="381"/>
      <c r="AB40" s="326"/>
      <c r="AC40" s="326"/>
      <c r="AD40" s="326"/>
      <c r="AE40" s="326"/>
      <c r="AF40" s="326"/>
      <c r="AG40" s="326"/>
      <c r="AH40" s="326"/>
      <c r="AI40" s="326"/>
      <c r="AJ40" s="326"/>
      <c r="AK40" s="326"/>
      <c r="AL40" s="326"/>
      <c r="AM40" s="326"/>
      <c r="AN40" s="326"/>
      <c r="AO40" s="326"/>
      <c r="AP40" s="326"/>
      <c r="AQ40" s="327"/>
    </row>
    <row r="41" spans="1:43" ht="30" customHeight="1" x14ac:dyDescent="0.25">
      <c r="A41" s="87">
        <f t="shared" si="0"/>
        <v>29</v>
      </c>
      <c r="B41" s="407" t="s">
        <v>334</v>
      </c>
      <c r="C41" s="326"/>
      <c r="D41" s="327"/>
      <c r="E41" s="697"/>
      <c r="F41" s="326"/>
      <c r="G41" s="327"/>
      <c r="H41" s="407"/>
      <c r="I41" s="326"/>
      <c r="J41" s="326"/>
      <c r="K41" s="327"/>
      <c r="L41" s="407"/>
      <c r="M41" s="326"/>
      <c r="N41" s="326"/>
      <c r="O41" s="326"/>
      <c r="P41" s="327"/>
      <c r="Q41" s="407"/>
      <c r="R41" s="326"/>
      <c r="S41" s="326"/>
      <c r="T41" s="326"/>
      <c r="U41" s="326"/>
      <c r="V41" s="326"/>
      <c r="W41" s="326"/>
      <c r="X41" s="326"/>
      <c r="Y41" s="326"/>
      <c r="Z41" s="327"/>
      <c r="AA41" s="407"/>
      <c r="AB41" s="326"/>
      <c r="AC41" s="326"/>
      <c r="AD41" s="326"/>
      <c r="AE41" s="326"/>
      <c r="AF41" s="326"/>
      <c r="AG41" s="326"/>
      <c r="AH41" s="326"/>
      <c r="AI41" s="326"/>
      <c r="AJ41" s="326"/>
      <c r="AK41" s="326"/>
      <c r="AL41" s="326"/>
      <c r="AM41" s="326"/>
      <c r="AN41" s="326"/>
      <c r="AO41" s="326"/>
      <c r="AP41" s="326"/>
      <c r="AQ41" s="327"/>
    </row>
    <row r="42" spans="1:43" ht="30" customHeight="1" x14ac:dyDescent="0.25">
      <c r="A42" s="87">
        <f t="shared" si="0"/>
        <v>30</v>
      </c>
      <c r="B42" s="381" t="s">
        <v>334</v>
      </c>
      <c r="C42" s="326"/>
      <c r="D42" s="327"/>
      <c r="E42" s="698"/>
      <c r="F42" s="326"/>
      <c r="G42" s="327"/>
      <c r="H42" s="381"/>
      <c r="I42" s="326"/>
      <c r="J42" s="326"/>
      <c r="K42" s="327"/>
      <c r="L42" s="381"/>
      <c r="M42" s="326"/>
      <c r="N42" s="326"/>
      <c r="O42" s="326"/>
      <c r="P42" s="327"/>
      <c r="Q42" s="381"/>
      <c r="R42" s="326"/>
      <c r="S42" s="326"/>
      <c r="T42" s="326"/>
      <c r="U42" s="326"/>
      <c r="V42" s="326"/>
      <c r="W42" s="326"/>
      <c r="X42" s="326"/>
      <c r="Y42" s="326"/>
      <c r="Z42" s="327"/>
      <c r="AA42" s="381"/>
      <c r="AB42" s="326"/>
      <c r="AC42" s="326"/>
      <c r="AD42" s="326"/>
      <c r="AE42" s="326"/>
      <c r="AF42" s="326"/>
      <c r="AG42" s="326"/>
      <c r="AH42" s="326"/>
      <c r="AI42" s="326"/>
      <c r="AJ42" s="326"/>
      <c r="AK42" s="326"/>
      <c r="AL42" s="326"/>
      <c r="AM42" s="326"/>
      <c r="AN42" s="326"/>
      <c r="AO42" s="326"/>
      <c r="AP42" s="326"/>
      <c r="AQ42" s="327"/>
    </row>
    <row r="43" spans="1:43" ht="30" customHeight="1" x14ac:dyDescent="0.25">
      <c r="A43" s="87">
        <f t="shared" si="0"/>
        <v>31</v>
      </c>
      <c r="B43" s="407" t="s">
        <v>334</v>
      </c>
      <c r="C43" s="326"/>
      <c r="D43" s="327"/>
      <c r="E43" s="697"/>
      <c r="F43" s="326"/>
      <c r="G43" s="327"/>
      <c r="H43" s="407"/>
      <c r="I43" s="326"/>
      <c r="J43" s="326"/>
      <c r="K43" s="327"/>
      <c r="L43" s="407"/>
      <c r="M43" s="326"/>
      <c r="N43" s="326"/>
      <c r="O43" s="326"/>
      <c r="P43" s="327"/>
      <c r="Q43" s="407"/>
      <c r="R43" s="326"/>
      <c r="S43" s="326"/>
      <c r="T43" s="326"/>
      <c r="U43" s="326"/>
      <c r="V43" s="326"/>
      <c r="W43" s="326"/>
      <c r="X43" s="326"/>
      <c r="Y43" s="326"/>
      <c r="Z43" s="327"/>
      <c r="AA43" s="407"/>
      <c r="AB43" s="326"/>
      <c r="AC43" s="326"/>
      <c r="AD43" s="326"/>
      <c r="AE43" s="326"/>
      <c r="AF43" s="326"/>
      <c r="AG43" s="326"/>
      <c r="AH43" s="326"/>
      <c r="AI43" s="326"/>
      <c r="AJ43" s="326"/>
      <c r="AK43" s="326"/>
      <c r="AL43" s="326"/>
      <c r="AM43" s="326"/>
      <c r="AN43" s="326"/>
      <c r="AO43" s="326"/>
      <c r="AP43" s="326"/>
      <c r="AQ43" s="327"/>
    </row>
    <row r="44" spans="1:43" ht="30" customHeight="1" x14ac:dyDescent="0.25">
      <c r="A44" s="87">
        <f t="shared" si="0"/>
        <v>32</v>
      </c>
      <c r="B44" s="381" t="s">
        <v>334</v>
      </c>
      <c r="C44" s="326"/>
      <c r="D44" s="327"/>
      <c r="E44" s="698"/>
      <c r="F44" s="326"/>
      <c r="G44" s="327"/>
      <c r="H44" s="381"/>
      <c r="I44" s="326"/>
      <c r="J44" s="326"/>
      <c r="K44" s="327"/>
      <c r="L44" s="381"/>
      <c r="M44" s="326"/>
      <c r="N44" s="326"/>
      <c r="O44" s="326"/>
      <c r="P44" s="327"/>
      <c r="Q44" s="381"/>
      <c r="R44" s="326"/>
      <c r="S44" s="326"/>
      <c r="T44" s="326"/>
      <c r="U44" s="326"/>
      <c r="V44" s="326"/>
      <c r="W44" s="326"/>
      <c r="X44" s="326"/>
      <c r="Y44" s="326"/>
      <c r="Z44" s="327"/>
      <c r="AA44" s="381"/>
      <c r="AB44" s="326"/>
      <c r="AC44" s="326"/>
      <c r="AD44" s="326"/>
      <c r="AE44" s="326"/>
      <c r="AF44" s="326"/>
      <c r="AG44" s="326"/>
      <c r="AH44" s="326"/>
      <c r="AI44" s="326"/>
      <c r="AJ44" s="326"/>
      <c r="AK44" s="326"/>
      <c r="AL44" s="326"/>
      <c r="AM44" s="326"/>
      <c r="AN44" s="326"/>
      <c r="AO44" s="326"/>
      <c r="AP44" s="326"/>
      <c r="AQ44" s="327"/>
    </row>
    <row r="45" spans="1:43" ht="30" customHeight="1" x14ac:dyDescent="0.25">
      <c r="A45" s="87">
        <f t="shared" si="0"/>
        <v>33</v>
      </c>
      <c r="B45" s="407" t="s">
        <v>334</v>
      </c>
      <c r="C45" s="326"/>
      <c r="D45" s="327"/>
      <c r="E45" s="697"/>
      <c r="F45" s="326"/>
      <c r="G45" s="327"/>
      <c r="H45" s="407"/>
      <c r="I45" s="326"/>
      <c r="J45" s="326"/>
      <c r="K45" s="327"/>
      <c r="L45" s="407"/>
      <c r="M45" s="326"/>
      <c r="N45" s="326"/>
      <c r="O45" s="326"/>
      <c r="P45" s="327"/>
      <c r="Q45" s="407"/>
      <c r="R45" s="326"/>
      <c r="S45" s="326"/>
      <c r="T45" s="326"/>
      <c r="U45" s="326"/>
      <c r="V45" s="326"/>
      <c r="W45" s="326"/>
      <c r="X45" s="326"/>
      <c r="Y45" s="326"/>
      <c r="Z45" s="327"/>
      <c r="AA45" s="407"/>
      <c r="AB45" s="326"/>
      <c r="AC45" s="326"/>
      <c r="AD45" s="326"/>
      <c r="AE45" s="326"/>
      <c r="AF45" s="326"/>
      <c r="AG45" s="326"/>
      <c r="AH45" s="326"/>
      <c r="AI45" s="326"/>
      <c r="AJ45" s="326"/>
      <c r="AK45" s="326"/>
      <c r="AL45" s="326"/>
      <c r="AM45" s="326"/>
      <c r="AN45" s="326"/>
      <c r="AO45" s="326"/>
      <c r="AP45" s="326"/>
      <c r="AQ45" s="327"/>
    </row>
    <row r="46" spans="1:43" ht="30" customHeight="1" x14ac:dyDescent="0.25">
      <c r="A46" s="87">
        <f t="shared" si="0"/>
        <v>34</v>
      </c>
      <c r="B46" s="381" t="s">
        <v>334</v>
      </c>
      <c r="C46" s="326"/>
      <c r="D46" s="327"/>
      <c r="E46" s="698"/>
      <c r="F46" s="326"/>
      <c r="G46" s="327"/>
      <c r="H46" s="381"/>
      <c r="I46" s="326"/>
      <c r="J46" s="326"/>
      <c r="K46" s="327"/>
      <c r="L46" s="381"/>
      <c r="M46" s="326"/>
      <c r="N46" s="326"/>
      <c r="O46" s="326"/>
      <c r="P46" s="327"/>
      <c r="Q46" s="381"/>
      <c r="R46" s="326"/>
      <c r="S46" s="326"/>
      <c r="T46" s="326"/>
      <c r="U46" s="326"/>
      <c r="V46" s="326"/>
      <c r="W46" s="326"/>
      <c r="X46" s="326"/>
      <c r="Y46" s="326"/>
      <c r="Z46" s="327"/>
      <c r="AA46" s="381"/>
      <c r="AB46" s="326"/>
      <c r="AC46" s="326"/>
      <c r="AD46" s="326"/>
      <c r="AE46" s="326"/>
      <c r="AF46" s="326"/>
      <c r="AG46" s="326"/>
      <c r="AH46" s="326"/>
      <c r="AI46" s="326"/>
      <c r="AJ46" s="326"/>
      <c r="AK46" s="326"/>
      <c r="AL46" s="326"/>
      <c r="AM46" s="326"/>
      <c r="AN46" s="326"/>
      <c r="AO46" s="326"/>
      <c r="AP46" s="326"/>
      <c r="AQ46" s="327"/>
    </row>
    <row r="47" spans="1:43" ht="30" customHeight="1" x14ac:dyDescent="0.25">
      <c r="A47" s="87">
        <f t="shared" si="0"/>
        <v>35</v>
      </c>
      <c r="B47" s="407" t="s">
        <v>334</v>
      </c>
      <c r="C47" s="326"/>
      <c r="D47" s="327"/>
      <c r="E47" s="697"/>
      <c r="F47" s="326"/>
      <c r="G47" s="327"/>
      <c r="H47" s="407"/>
      <c r="I47" s="326"/>
      <c r="J47" s="326"/>
      <c r="K47" s="327"/>
      <c r="L47" s="407"/>
      <c r="M47" s="326"/>
      <c r="N47" s="326"/>
      <c r="O47" s="326"/>
      <c r="P47" s="327"/>
      <c r="Q47" s="407"/>
      <c r="R47" s="326"/>
      <c r="S47" s="326"/>
      <c r="T47" s="326"/>
      <c r="U47" s="326"/>
      <c r="V47" s="326"/>
      <c r="W47" s="326"/>
      <c r="X47" s="326"/>
      <c r="Y47" s="326"/>
      <c r="Z47" s="327"/>
      <c r="AA47" s="407"/>
      <c r="AB47" s="326"/>
      <c r="AC47" s="326"/>
      <c r="AD47" s="326"/>
      <c r="AE47" s="326"/>
      <c r="AF47" s="326"/>
      <c r="AG47" s="326"/>
      <c r="AH47" s="326"/>
      <c r="AI47" s="326"/>
      <c r="AJ47" s="326"/>
      <c r="AK47" s="326"/>
      <c r="AL47" s="326"/>
      <c r="AM47" s="326"/>
      <c r="AN47" s="326"/>
      <c r="AO47" s="326"/>
      <c r="AP47" s="326"/>
      <c r="AQ47" s="327"/>
    </row>
    <row r="48" spans="1:43" ht="30" customHeight="1" x14ac:dyDescent="0.25">
      <c r="A48" s="87">
        <f t="shared" si="0"/>
        <v>36</v>
      </c>
      <c r="B48" s="381" t="s">
        <v>334</v>
      </c>
      <c r="C48" s="326"/>
      <c r="D48" s="327"/>
      <c r="E48" s="698"/>
      <c r="F48" s="326"/>
      <c r="G48" s="327"/>
      <c r="H48" s="381"/>
      <c r="I48" s="326"/>
      <c r="J48" s="326"/>
      <c r="K48" s="327"/>
      <c r="L48" s="381"/>
      <c r="M48" s="326"/>
      <c r="N48" s="326"/>
      <c r="O48" s="326"/>
      <c r="P48" s="327"/>
      <c r="Q48" s="381"/>
      <c r="R48" s="326"/>
      <c r="S48" s="326"/>
      <c r="T48" s="326"/>
      <c r="U48" s="326"/>
      <c r="V48" s="326"/>
      <c r="W48" s="326"/>
      <c r="X48" s="326"/>
      <c r="Y48" s="326"/>
      <c r="Z48" s="327"/>
      <c r="AA48" s="381"/>
      <c r="AB48" s="326"/>
      <c r="AC48" s="326"/>
      <c r="AD48" s="326"/>
      <c r="AE48" s="326"/>
      <c r="AF48" s="326"/>
      <c r="AG48" s="326"/>
      <c r="AH48" s="326"/>
      <c r="AI48" s="326"/>
      <c r="AJ48" s="326"/>
      <c r="AK48" s="326"/>
      <c r="AL48" s="326"/>
      <c r="AM48" s="326"/>
      <c r="AN48" s="326"/>
      <c r="AO48" s="326"/>
      <c r="AP48" s="326"/>
      <c r="AQ48" s="327"/>
    </row>
    <row r="49" spans="1:43" ht="30" customHeight="1" x14ac:dyDescent="0.25">
      <c r="A49" s="87">
        <f t="shared" si="0"/>
        <v>37</v>
      </c>
      <c r="B49" s="407" t="s">
        <v>334</v>
      </c>
      <c r="C49" s="326"/>
      <c r="D49" s="327"/>
      <c r="E49" s="697"/>
      <c r="F49" s="326"/>
      <c r="G49" s="327"/>
      <c r="H49" s="407"/>
      <c r="I49" s="326"/>
      <c r="J49" s="326"/>
      <c r="K49" s="327"/>
      <c r="L49" s="407"/>
      <c r="M49" s="326"/>
      <c r="N49" s="326"/>
      <c r="O49" s="326"/>
      <c r="P49" s="327"/>
      <c r="Q49" s="407"/>
      <c r="R49" s="326"/>
      <c r="S49" s="326"/>
      <c r="T49" s="326"/>
      <c r="U49" s="326"/>
      <c r="V49" s="326"/>
      <c r="W49" s="326"/>
      <c r="X49" s="326"/>
      <c r="Y49" s="326"/>
      <c r="Z49" s="327"/>
      <c r="AA49" s="407"/>
      <c r="AB49" s="326"/>
      <c r="AC49" s="326"/>
      <c r="AD49" s="326"/>
      <c r="AE49" s="326"/>
      <c r="AF49" s="326"/>
      <c r="AG49" s="326"/>
      <c r="AH49" s="326"/>
      <c r="AI49" s="326"/>
      <c r="AJ49" s="326"/>
      <c r="AK49" s="326"/>
      <c r="AL49" s="326"/>
      <c r="AM49" s="326"/>
      <c r="AN49" s="326"/>
      <c r="AO49" s="326"/>
      <c r="AP49" s="326"/>
      <c r="AQ49" s="327"/>
    </row>
    <row r="50" spans="1:43" ht="30" customHeight="1" x14ac:dyDescent="0.25">
      <c r="A50" s="87">
        <f t="shared" si="0"/>
        <v>38</v>
      </c>
      <c r="B50" s="381" t="s">
        <v>334</v>
      </c>
      <c r="C50" s="326"/>
      <c r="D50" s="327"/>
      <c r="E50" s="698"/>
      <c r="F50" s="326"/>
      <c r="G50" s="327"/>
      <c r="H50" s="381"/>
      <c r="I50" s="326"/>
      <c r="J50" s="326"/>
      <c r="K50" s="327"/>
      <c r="L50" s="381"/>
      <c r="M50" s="326"/>
      <c r="N50" s="326"/>
      <c r="O50" s="326"/>
      <c r="P50" s="327"/>
      <c r="Q50" s="381"/>
      <c r="R50" s="326"/>
      <c r="S50" s="326"/>
      <c r="T50" s="326"/>
      <c r="U50" s="326"/>
      <c r="V50" s="326"/>
      <c r="W50" s="326"/>
      <c r="X50" s="326"/>
      <c r="Y50" s="326"/>
      <c r="Z50" s="327"/>
      <c r="AA50" s="381"/>
      <c r="AB50" s="326"/>
      <c r="AC50" s="326"/>
      <c r="AD50" s="326"/>
      <c r="AE50" s="326"/>
      <c r="AF50" s="326"/>
      <c r="AG50" s="326"/>
      <c r="AH50" s="326"/>
      <c r="AI50" s="326"/>
      <c r="AJ50" s="326"/>
      <c r="AK50" s="326"/>
      <c r="AL50" s="326"/>
      <c r="AM50" s="326"/>
      <c r="AN50" s="326"/>
      <c r="AO50" s="326"/>
      <c r="AP50" s="326"/>
      <c r="AQ50" s="327"/>
    </row>
    <row r="51" spans="1:43" ht="30" customHeight="1" x14ac:dyDescent="0.25">
      <c r="A51" s="87">
        <f t="shared" si="0"/>
        <v>39</v>
      </c>
      <c r="B51" s="407" t="s">
        <v>334</v>
      </c>
      <c r="C51" s="326"/>
      <c r="D51" s="327"/>
      <c r="E51" s="697"/>
      <c r="F51" s="326"/>
      <c r="G51" s="327"/>
      <c r="H51" s="407"/>
      <c r="I51" s="326"/>
      <c r="J51" s="326"/>
      <c r="K51" s="327"/>
      <c r="L51" s="407"/>
      <c r="M51" s="326"/>
      <c r="N51" s="326"/>
      <c r="O51" s="326"/>
      <c r="P51" s="327"/>
      <c r="Q51" s="407"/>
      <c r="R51" s="326"/>
      <c r="S51" s="326"/>
      <c r="T51" s="326"/>
      <c r="U51" s="326"/>
      <c r="V51" s="326"/>
      <c r="W51" s="326"/>
      <c r="X51" s="326"/>
      <c r="Y51" s="326"/>
      <c r="Z51" s="327"/>
      <c r="AA51" s="407"/>
      <c r="AB51" s="326"/>
      <c r="AC51" s="326"/>
      <c r="AD51" s="326"/>
      <c r="AE51" s="326"/>
      <c r="AF51" s="326"/>
      <c r="AG51" s="326"/>
      <c r="AH51" s="326"/>
      <c r="AI51" s="326"/>
      <c r="AJ51" s="326"/>
      <c r="AK51" s="326"/>
      <c r="AL51" s="326"/>
      <c r="AM51" s="326"/>
      <c r="AN51" s="326"/>
      <c r="AO51" s="326"/>
      <c r="AP51" s="326"/>
      <c r="AQ51" s="327"/>
    </row>
    <row r="52" spans="1:43" ht="30" customHeight="1" x14ac:dyDescent="0.25">
      <c r="A52" s="87">
        <f t="shared" si="0"/>
        <v>40</v>
      </c>
      <c r="B52" s="381" t="s">
        <v>334</v>
      </c>
      <c r="C52" s="326"/>
      <c r="D52" s="327"/>
      <c r="E52" s="698"/>
      <c r="F52" s="326"/>
      <c r="G52" s="327"/>
      <c r="H52" s="381"/>
      <c r="I52" s="326"/>
      <c r="J52" s="326"/>
      <c r="K52" s="327"/>
      <c r="L52" s="381"/>
      <c r="M52" s="326"/>
      <c r="N52" s="326"/>
      <c r="O52" s="326"/>
      <c r="P52" s="327"/>
      <c r="Q52" s="381"/>
      <c r="R52" s="326"/>
      <c r="S52" s="326"/>
      <c r="T52" s="326"/>
      <c r="U52" s="326"/>
      <c r="V52" s="326"/>
      <c r="W52" s="326"/>
      <c r="X52" s="326"/>
      <c r="Y52" s="326"/>
      <c r="Z52" s="327"/>
      <c r="AA52" s="381"/>
      <c r="AB52" s="326"/>
      <c r="AC52" s="326"/>
      <c r="AD52" s="326"/>
      <c r="AE52" s="326"/>
      <c r="AF52" s="326"/>
      <c r="AG52" s="326"/>
      <c r="AH52" s="326"/>
      <c r="AI52" s="326"/>
      <c r="AJ52" s="326"/>
      <c r="AK52" s="326"/>
      <c r="AL52" s="326"/>
      <c r="AM52" s="326"/>
      <c r="AN52" s="326"/>
      <c r="AO52" s="326"/>
      <c r="AP52" s="326"/>
      <c r="AQ52" s="327"/>
    </row>
    <row r="53" spans="1:43" ht="30" customHeight="1" x14ac:dyDescent="0.25">
      <c r="A53" s="87">
        <f t="shared" si="0"/>
        <v>41</v>
      </c>
      <c r="B53" s="407" t="s">
        <v>334</v>
      </c>
      <c r="C53" s="326"/>
      <c r="D53" s="327"/>
      <c r="E53" s="697"/>
      <c r="F53" s="326"/>
      <c r="G53" s="327"/>
      <c r="H53" s="407"/>
      <c r="I53" s="326"/>
      <c r="J53" s="326"/>
      <c r="K53" s="327"/>
      <c r="L53" s="407"/>
      <c r="M53" s="326"/>
      <c r="N53" s="326"/>
      <c r="O53" s="326"/>
      <c r="P53" s="327"/>
      <c r="Q53" s="407"/>
      <c r="R53" s="326"/>
      <c r="S53" s="326"/>
      <c r="T53" s="326"/>
      <c r="U53" s="326"/>
      <c r="V53" s="326"/>
      <c r="W53" s="326"/>
      <c r="X53" s="326"/>
      <c r="Y53" s="326"/>
      <c r="Z53" s="327"/>
      <c r="AA53" s="407"/>
      <c r="AB53" s="326"/>
      <c r="AC53" s="326"/>
      <c r="AD53" s="326"/>
      <c r="AE53" s="326"/>
      <c r="AF53" s="326"/>
      <c r="AG53" s="326"/>
      <c r="AH53" s="326"/>
      <c r="AI53" s="326"/>
      <c r="AJ53" s="326"/>
      <c r="AK53" s="326"/>
      <c r="AL53" s="326"/>
      <c r="AM53" s="326"/>
      <c r="AN53" s="326"/>
      <c r="AO53" s="326"/>
      <c r="AP53" s="326"/>
      <c r="AQ53" s="327"/>
    </row>
    <row r="54" spans="1:43" ht="30" customHeight="1" x14ac:dyDescent="0.25">
      <c r="A54" s="87">
        <f t="shared" si="0"/>
        <v>42</v>
      </c>
      <c r="B54" s="381" t="s">
        <v>334</v>
      </c>
      <c r="C54" s="326"/>
      <c r="D54" s="327"/>
      <c r="E54" s="698"/>
      <c r="F54" s="326"/>
      <c r="G54" s="327"/>
      <c r="H54" s="381"/>
      <c r="I54" s="326"/>
      <c r="J54" s="326"/>
      <c r="K54" s="327"/>
      <c r="L54" s="381"/>
      <c r="M54" s="326"/>
      <c r="N54" s="326"/>
      <c r="O54" s="326"/>
      <c r="P54" s="327"/>
      <c r="Q54" s="381"/>
      <c r="R54" s="326"/>
      <c r="S54" s="326"/>
      <c r="T54" s="326"/>
      <c r="U54" s="326"/>
      <c r="V54" s="326"/>
      <c r="W54" s="326"/>
      <c r="X54" s="326"/>
      <c r="Y54" s="326"/>
      <c r="Z54" s="327"/>
      <c r="AA54" s="381"/>
      <c r="AB54" s="326"/>
      <c r="AC54" s="326"/>
      <c r="AD54" s="326"/>
      <c r="AE54" s="326"/>
      <c r="AF54" s="326"/>
      <c r="AG54" s="326"/>
      <c r="AH54" s="326"/>
      <c r="AI54" s="326"/>
      <c r="AJ54" s="326"/>
      <c r="AK54" s="326"/>
      <c r="AL54" s="326"/>
      <c r="AM54" s="326"/>
      <c r="AN54" s="326"/>
      <c r="AO54" s="326"/>
      <c r="AP54" s="326"/>
      <c r="AQ54" s="327"/>
    </row>
    <row r="55" spans="1:43" ht="30" customHeight="1" x14ac:dyDescent="0.25">
      <c r="A55" s="87">
        <f t="shared" si="0"/>
        <v>43</v>
      </c>
      <c r="B55" s="407" t="s">
        <v>334</v>
      </c>
      <c r="C55" s="326"/>
      <c r="D55" s="327"/>
      <c r="E55" s="697"/>
      <c r="F55" s="326"/>
      <c r="G55" s="327"/>
      <c r="H55" s="407"/>
      <c r="I55" s="326"/>
      <c r="J55" s="326"/>
      <c r="K55" s="327"/>
      <c r="L55" s="407"/>
      <c r="M55" s="326"/>
      <c r="N55" s="326"/>
      <c r="O55" s="326"/>
      <c r="P55" s="327"/>
      <c r="Q55" s="407"/>
      <c r="R55" s="326"/>
      <c r="S55" s="326"/>
      <c r="T55" s="326"/>
      <c r="U55" s="326"/>
      <c r="V55" s="326"/>
      <c r="W55" s="326"/>
      <c r="X55" s="326"/>
      <c r="Y55" s="326"/>
      <c r="Z55" s="327"/>
      <c r="AA55" s="407"/>
      <c r="AB55" s="326"/>
      <c r="AC55" s="326"/>
      <c r="AD55" s="326"/>
      <c r="AE55" s="326"/>
      <c r="AF55" s="326"/>
      <c r="AG55" s="326"/>
      <c r="AH55" s="326"/>
      <c r="AI55" s="326"/>
      <c r="AJ55" s="326"/>
      <c r="AK55" s="326"/>
      <c r="AL55" s="326"/>
      <c r="AM55" s="326"/>
      <c r="AN55" s="326"/>
      <c r="AO55" s="326"/>
      <c r="AP55" s="326"/>
      <c r="AQ55" s="327"/>
    </row>
    <row r="56" spans="1:43" ht="30" customHeight="1" x14ac:dyDescent="0.25">
      <c r="A56" s="87">
        <f t="shared" si="0"/>
        <v>44</v>
      </c>
      <c r="B56" s="381" t="s">
        <v>334</v>
      </c>
      <c r="C56" s="326"/>
      <c r="D56" s="327"/>
      <c r="E56" s="698"/>
      <c r="F56" s="326"/>
      <c r="G56" s="327"/>
      <c r="H56" s="381"/>
      <c r="I56" s="326"/>
      <c r="J56" s="326"/>
      <c r="K56" s="327"/>
      <c r="L56" s="381"/>
      <c r="M56" s="326"/>
      <c r="N56" s="326"/>
      <c r="O56" s="326"/>
      <c r="P56" s="327"/>
      <c r="Q56" s="381"/>
      <c r="R56" s="326"/>
      <c r="S56" s="326"/>
      <c r="T56" s="326"/>
      <c r="U56" s="326"/>
      <c r="V56" s="326"/>
      <c r="W56" s="326"/>
      <c r="X56" s="326"/>
      <c r="Y56" s="326"/>
      <c r="Z56" s="327"/>
      <c r="AA56" s="381"/>
      <c r="AB56" s="326"/>
      <c r="AC56" s="326"/>
      <c r="AD56" s="326"/>
      <c r="AE56" s="326"/>
      <c r="AF56" s="326"/>
      <c r="AG56" s="326"/>
      <c r="AH56" s="326"/>
      <c r="AI56" s="326"/>
      <c r="AJ56" s="326"/>
      <c r="AK56" s="326"/>
      <c r="AL56" s="326"/>
      <c r="AM56" s="326"/>
      <c r="AN56" s="326"/>
      <c r="AO56" s="326"/>
      <c r="AP56" s="326"/>
      <c r="AQ56" s="327"/>
    </row>
    <row r="57" spans="1:43" ht="30" customHeight="1" x14ac:dyDescent="0.25">
      <c r="A57" s="87">
        <f t="shared" si="0"/>
        <v>45</v>
      </c>
      <c r="B57" s="407" t="s">
        <v>334</v>
      </c>
      <c r="C57" s="326"/>
      <c r="D57" s="327"/>
      <c r="E57" s="697"/>
      <c r="F57" s="326"/>
      <c r="G57" s="327"/>
      <c r="H57" s="407"/>
      <c r="I57" s="326"/>
      <c r="J57" s="326"/>
      <c r="K57" s="327"/>
      <c r="L57" s="407"/>
      <c r="M57" s="326"/>
      <c r="N57" s="326"/>
      <c r="O57" s="326"/>
      <c r="P57" s="327"/>
      <c r="Q57" s="407"/>
      <c r="R57" s="326"/>
      <c r="S57" s="326"/>
      <c r="T57" s="326"/>
      <c r="U57" s="326"/>
      <c r="V57" s="326"/>
      <c r="W57" s="326"/>
      <c r="X57" s="326"/>
      <c r="Y57" s="326"/>
      <c r="Z57" s="327"/>
      <c r="AA57" s="407"/>
      <c r="AB57" s="326"/>
      <c r="AC57" s="326"/>
      <c r="AD57" s="326"/>
      <c r="AE57" s="326"/>
      <c r="AF57" s="326"/>
      <c r="AG57" s="326"/>
      <c r="AH57" s="326"/>
      <c r="AI57" s="326"/>
      <c r="AJ57" s="326"/>
      <c r="AK57" s="326"/>
      <c r="AL57" s="326"/>
      <c r="AM57" s="326"/>
      <c r="AN57" s="326"/>
      <c r="AO57" s="326"/>
      <c r="AP57" s="326"/>
      <c r="AQ57" s="327"/>
    </row>
    <row r="58" spans="1:43" ht="30" customHeight="1" x14ac:dyDescent="0.25">
      <c r="A58" s="87">
        <f t="shared" si="0"/>
        <v>46</v>
      </c>
      <c r="B58" s="381" t="s">
        <v>334</v>
      </c>
      <c r="C58" s="326"/>
      <c r="D58" s="327"/>
      <c r="E58" s="698"/>
      <c r="F58" s="326"/>
      <c r="G58" s="327"/>
      <c r="H58" s="381"/>
      <c r="I58" s="326"/>
      <c r="J58" s="326"/>
      <c r="K58" s="327"/>
      <c r="L58" s="381"/>
      <c r="M58" s="326"/>
      <c r="N58" s="326"/>
      <c r="O58" s="326"/>
      <c r="P58" s="327"/>
      <c r="Q58" s="381"/>
      <c r="R58" s="326"/>
      <c r="S58" s="326"/>
      <c r="T58" s="326"/>
      <c r="U58" s="326"/>
      <c r="V58" s="326"/>
      <c r="W58" s="326"/>
      <c r="X58" s="326"/>
      <c r="Y58" s="326"/>
      <c r="Z58" s="327"/>
      <c r="AA58" s="381"/>
      <c r="AB58" s="326"/>
      <c r="AC58" s="326"/>
      <c r="AD58" s="326"/>
      <c r="AE58" s="326"/>
      <c r="AF58" s="326"/>
      <c r="AG58" s="326"/>
      <c r="AH58" s="326"/>
      <c r="AI58" s="326"/>
      <c r="AJ58" s="326"/>
      <c r="AK58" s="326"/>
      <c r="AL58" s="326"/>
      <c r="AM58" s="326"/>
      <c r="AN58" s="326"/>
      <c r="AO58" s="326"/>
      <c r="AP58" s="326"/>
      <c r="AQ58" s="327"/>
    </row>
    <row r="59" spans="1:43" ht="30" customHeight="1" x14ac:dyDescent="0.25">
      <c r="A59" s="87">
        <f t="shared" si="0"/>
        <v>47</v>
      </c>
      <c r="B59" s="407" t="s">
        <v>334</v>
      </c>
      <c r="C59" s="326"/>
      <c r="D59" s="327"/>
      <c r="E59" s="697"/>
      <c r="F59" s="326"/>
      <c r="G59" s="327"/>
      <c r="H59" s="407"/>
      <c r="I59" s="326"/>
      <c r="J59" s="326"/>
      <c r="K59" s="327"/>
      <c r="L59" s="407"/>
      <c r="M59" s="326"/>
      <c r="N59" s="326"/>
      <c r="O59" s="326"/>
      <c r="P59" s="327"/>
      <c r="Q59" s="407"/>
      <c r="R59" s="326"/>
      <c r="S59" s="326"/>
      <c r="T59" s="326"/>
      <c r="U59" s="326"/>
      <c r="V59" s="326"/>
      <c r="W59" s="326"/>
      <c r="X59" s="326"/>
      <c r="Y59" s="326"/>
      <c r="Z59" s="327"/>
      <c r="AA59" s="407"/>
      <c r="AB59" s="326"/>
      <c r="AC59" s="326"/>
      <c r="AD59" s="326"/>
      <c r="AE59" s="326"/>
      <c r="AF59" s="326"/>
      <c r="AG59" s="326"/>
      <c r="AH59" s="326"/>
      <c r="AI59" s="326"/>
      <c r="AJ59" s="326"/>
      <c r="AK59" s="326"/>
      <c r="AL59" s="326"/>
      <c r="AM59" s="326"/>
      <c r="AN59" s="326"/>
      <c r="AO59" s="326"/>
      <c r="AP59" s="326"/>
      <c r="AQ59" s="327"/>
    </row>
    <row r="60" spans="1:43" ht="30" customHeight="1" x14ac:dyDescent="0.25">
      <c r="A60" s="87">
        <f t="shared" si="0"/>
        <v>48</v>
      </c>
      <c r="B60" s="381" t="s">
        <v>334</v>
      </c>
      <c r="C60" s="326"/>
      <c r="D60" s="327"/>
      <c r="E60" s="698"/>
      <c r="F60" s="326"/>
      <c r="G60" s="327"/>
      <c r="H60" s="381"/>
      <c r="I60" s="326"/>
      <c r="J60" s="326"/>
      <c r="K60" s="327"/>
      <c r="L60" s="381"/>
      <c r="M60" s="326"/>
      <c r="N60" s="326"/>
      <c r="O60" s="326"/>
      <c r="P60" s="327"/>
      <c r="Q60" s="381"/>
      <c r="R60" s="326"/>
      <c r="S60" s="326"/>
      <c r="T60" s="326"/>
      <c r="U60" s="326"/>
      <c r="V60" s="326"/>
      <c r="W60" s="326"/>
      <c r="X60" s="326"/>
      <c r="Y60" s="326"/>
      <c r="Z60" s="327"/>
      <c r="AA60" s="381"/>
      <c r="AB60" s="326"/>
      <c r="AC60" s="326"/>
      <c r="AD60" s="326"/>
      <c r="AE60" s="326"/>
      <c r="AF60" s="326"/>
      <c r="AG60" s="326"/>
      <c r="AH60" s="326"/>
      <c r="AI60" s="326"/>
      <c r="AJ60" s="326"/>
      <c r="AK60" s="326"/>
      <c r="AL60" s="326"/>
      <c r="AM60" s="326"/>
      <c r="AN60" s="326"/>
      <c r="AO60" s="326"/>
      <c r="AP60" s="326"/>
      <c r="AQ60" s="327"/>
    </row>
    <row r="61" spans="1:43" ht="30" customHeight="1" x14ac:dyDescent="0.25">
      <c r="A61" s="87">
        <f t="shared" si="0"/>
        <v>49</v>
      </c>
      <c r="B61" s="407" t="s">
        <v>334</v>
      </c>
      <c r="C61" s="326"/>
      <c r="D61" s="327"/>
      <c r="E61" s="697"/>
      <c r="F61" s="326"/>
      <c r="G61" s="327"/>
      <c r="H61" s="407"/>
      <c r="I61" s="326"/>
      <c r="J61" s="326"/>
      <c r="K61" s="327"/>
      <c r="L61" s="407"/>
      <c r="M61" s="326"/>
      <c r="N61" s="326"/>
      <c r="O61" s="326"/>
      <c r="P61" s="327"/>
      <c r="Q61" s="407"/>
      <c r="R61" s="326"/>
      <c r="S61" s="326"/>
      <c r="T61" s="326"/>
      <c r="U61" s="326"/>
      <c r="V61" s="326"/>
      <c r="W61" s="326"/>
      <c r="X61" s="326"/>
      <c r="Y61" s="326"/>
      <c r="Z61" s="327"/>
      <c r="AA61" s="407"/>
      <c r="AB61" s="326"/>
      <c r="AC61" s="326"/>
      <c r="AD61" s="326"/>
      <c r="AE61" s="326"/>
      <c r="AF61" s="326"/>
      <c r="AG61" s="326"/>
      <c r="AH61" s="326"/>
      <c r="AI61" s="326"/>
      <c r="AJ61" s="326"/>
      <c r="AK61" s="326"/>
      <c r="AL61" s="326"/>
      <c r="AM61" s="326"/>
      <c r="AN61" s="326"/>
      <c r="AO61" s="326"/>
      <c r="AP61" s="326"/>
      <c r="AQ61" s="327"/>
    </row>
    <row r="62" spans="1:43" ht="30" customHeight="1" x14ac:dyDescent="0.25">
      <c r="A62" s="87">
        <f t="shared" si="0"/>
        <v>50</v>
      </c>
      <c r="B62" s="381" t="s">
        <v>334</v>
      </c>
      <c r="C62" s="326"/>
      <c r="D62" s="327"/>
      <c r="E62" s="698"/>
      <c r="F62" s="326"/>
      <c r="G62" s="327"/>
      <c r="H62" s="381"/>
      <c r="I62" s="326"/>
      <c r="J62" s="326"/>
      <c r="K62" s="327"/>
      <c r="L62" s="381"/>
      <c r="M62" s="326"/>
      <c r="N62" s="326"/>
      <c r="O62" s="326"/>
      <c r="P62" s="327"/>
      <c r="Q62" s="381"/>
      <c r="R62" s="326"/>
      <c r="S62" s="326"/>
      <c r="T62" s="326"/>
      <c r="U62" s="326"/>
      <c r="V62" s="326"/>
      <c r="W62" s="326"/>
      <c r="X62" s="326"/>
      <c r="Y62" s="326"/>
      <c r="Z62" s="327"/>
      <c r="AA62" s="381"/>
      <c r="AB62" s="326"/>
      <c r="AC62" s="326"/>
      <c r="AD62" s="326"/>
      <c r="AE62" s="326"/>
      <c r="AF62" s="326"/>
      <c r="AG62" s="326"/>
      <c r="AH62" s="326"/>
      <c r="AI62" s="326"/>
      <c r="AJ62" s="326"/>
      <c r="AK62" s="326"/>
      <c r="AL62" s="326"/>
      <c r="AM62" s="326"/>
      <c r="AN62" s="326"/>
      <c r="AO62" s="326"/>
      <c r="AP62" s="326"/>
      <c r="AQ62" s="327"/>
    </row>
    <row r="63" spans="1:43" ht="30" customHeight="1" x14ac:dyDescent="0.25">
      <c r="A63" s="87">
        <f t="shared" si="0"/>
        <v>51</v>
      </c>
      <c r="B63" s="407" t="s">
        <v>334</v>
      </c>
      <c r="C63" s="326"/>
      <c r="D63" s="327"/>
      <c r="E63" s="697"/>
      <c r="F63" s="326"/>
      <c r="G63" s="327"/>
      <c r="H63" s="407"/>
      <c r="I63" s="326"/>
      <c r="J63" s="326"/>
      <c r="K63" s="327"/>
      <c r="L63" s="407"/>
      <c r="M63" s="326"/>
      <c r="N63" s="326"/>
      <c r="O63" s="326"/>
      <c r="P63" s="327"/>
      <c r="Q63" s="407"/>
      <c r="R63" s="326"/>
      <c r="S63" s="326"/>
      <c r="T63" s="326"/>
      <c r="U63" s="326"/>
      <c r="V63" s="326"/>
      <c r="W63" s="326"/>
      <c r="X63" s="326"/>
      <c r="Y63" s="326"/>
      <c r="Z63" s="327"/>
      <c r="AA63" s="407"/>
      <c r="AB63" s="326"/>
      <c r="AC63" s="326"/>
      <c r="AD63" s="326"/>
      <c r="AE63" s="326"/>
      <c r="AF63" s="326"/>
      <c r="AG63" s="326"/>
      <c r="AH63" s="326"/>
      <c r="AI63" s="326"/>
      <c r="AJ63" s="326"/>
      <c r="AK63" s="326"/>
      <c r="AL63" s="326"/>
      <c r="AM63" s="326"/>
      <c r="AN63" s="326"/>
      <c r="AO63" s="326"/>
      <c r="AP63" s="326"/>
      <c r="AQ63" s="327"/>
    </row>
    <row r="64" spans="1:43" ht="30" customHeight="1" x14ac:dyDescent="0.25">
      <c r="A64" s="87">
        <f t="shared" si="0"/>
        <v>52</v>
      </c>
      <c r="B64" s="381" t="s">
        <v>334</v>
      </c>
      <c r="C64" s="326"/>
      <c r="D64" s="327"/>
      <c r="E64" s="698"/>
      <c r="F64" s="326"/>
      <c r="G64" s="327"/>
      <c r="H64" s="381"/>
      <c r="I64" s="326"/>
      <c r="J64" s="326"/>
      <c r="K64" s="327"/>
      <c r="L64" s="381"/>
      <c r="M64" s="326"/>
      <c r="N64" s="326"/>
      <c r="O64" s="326"/>
      <c r="P64" s="327"/>
      <c r="Q64" s="381"/>
      <c r="R64" s="326"/>
      <c r="S64" s="326"/>
      <c r="T64" s="326"/>
      <c r="U64" s="326"/>
      <c r="V64" s="326"/>
      <c r="W64" s="326"/>
      <c r="X64" s="326"/>
      <c r="Y64" s="326"/>
      <c r="Z64" s="327"/>
      <c r="AA64" s="381"/>
      <c r="AB64" s="326"/>
      <c r="AC64" s="326"/>
      <c r="AD64" s="326"/>
      <c r="AE64" s="326"/>
      <c r="AF64" s="326"/>
      <c r="AG64" s="326"/>
      <c r="AH64" s="326"/>
      <c r="AI64" s="326"/>
      <c r="AJ64" s="326"/>
      <c r="AK64" s="326"/>
      <c r="AL64" s="326"/>
      <c r="AM64" s="326"/>
      <c r="AN64" s="326"/>
      <c r="AO64" s="326"/>
      <c r="AP64" s="326"/>
      <c r="AQ64" s="327"/>
    </row>
    <row r="65" spans="1:43" ht="30" customHeight="1" x14ac:dyDescent="0.25">
      <c r="A65" s="87">
        <f t="shared" si="0"/>
        <v>53</v>
      </c>
      <c r="B65" s="407" t="s">
        <v>334</v>
      </c>
      <c r="C65" s="326"/>
      <c r="D65" s="327"/>
      <c r="E65" s="697"/>
      <c r="F65" s="326"/>
      <c r="G65" s="327"/>
      <c r="H65" s="407"/>
      <c r="I65" s="326"/>
      <c r="J65" s="326"/>
      <c r="K65" s="327"/>
      <c r="L65" s="407"/>
      <c r="M65" s="326"/>
      <c r="N65" s="326"/>
      <c r="O65" s="326"/>
      <c r="P65" s="327"/>
      <c r="Q65" s="407"/>
      <c r="R65" s="326"/>
      <c r="S65" s="326"/>
      <c r="T65" s="326"/>
      <c r="U65" s="326"/>
      <c r="V65" s="326"/>
      <c r="W65" s="326"/>
      <c r="X65" s="326"/>
      <c r="Y65" s="326"/>
      <c r="Z65" s="327"/>
      <c r="AA65" s="407"/>
      <c r="AB65" s="326"/>
      <c r="AC65" s="326"/>
      <c r="AD65" s="326"/>
      <c r="AE65" s="326"/>
      <c r="AF65" s="326"/>
      <c r="AG65" s="326"/>
      <c r="AH65" s="326"/>
      <c r="AI65" s="326"/>
      <c r="AJ65" s="326"/>
      <c r="AK65" s="326"/>
      <c r="AL65" s="326"/>
      <c r="AM65" s="326"/>
      <c r="AN65" s="326"/>
      <c r="AO65" s="326"/>
      <c r="AP65" s="326"/>
      <c r="AQ65" s="327"/>
    </row>
    <row r="66" spans="1:43" ht="30" customHeight="1" x14ac:dyDescent="0.25">
      <c r="A66" s="87">
        <f t="shared" si="0"/>
        <v>54</v>
      </c>
      <c r="B66" s="381" t="s">
        <v>334</v>
      </c>
      <c r="C66" s="326"/>
      <c r="D66" s="327"/>
      <c r="E66" s="698"/>
      <c r="F66" s="326"/>
      <c r="G66" s="327"/>
      <c r="H66" s="381"/>
      <c r="I66" s="326"/>
      <c r="J66" s="326"/>
      <c r="K66" s="327"/>
      <c r="L66" s="381"/>
      <c r="M66" s="326"/>
      <c r="N66" s="326"/>
      <c r="O66" s="326"/>
      <c r="P66" s="327"/>
      <c r="Q66" s="381"/>
      <c r="R66" s="326"/>
      <c r="S66" s="326"/>
      <c r="T66" s="326"/>
      <c r="U66" s="326"/>
      <c r="V66" s="326"/>
      <c r="W66" s="326"/>
      <c r="X66" s="326"/>
      <c r="Y66" s="326"/>
      <c r="Z66" s="327"/>
      <c r="AA66" s="381"/>
      <c r="AB66" s="326"/>
      <c r="AC66" s="326"/>
      <c r="AD66" s="326"/>
      <c r="AE66" s="326"/>
      <c r="AF66" s="326"/>
      <c r="AG66" s="326"/>
      <c r="AH66" s="326"/>
      <c r="AI66" s="326"/>
      <c r="AJ66" s="326"/>
      <c r="AK66" s="326"/>
      <c r="AL66" s="326"/>
      <c r="AM66" s="326"/>
      <c r="AN66" s="326"/>
      <c r="AO66" s="326"/>
      <c r="AP66" s="326"/>
      <c r="AQ66" s="327"/>
    </row>
    <row r="67" spans="1:43" ht="30" customHeight="1" x14ac:dyDescent="0.25">
      <c r="A67" s="87">
        <f t="shared" si="0"/>
        <v>55</v>
      </c>
      <c r="B67" s="407" t="s">
        <v>334</v>
      </c>
      <c r="C67" s="326"/>
      <c r="D67" s="327"/>
      <c r="E67" s="697"/>
      <c r="F67" s="326"/>
      <c r="G67" s="327"/>
      <c r="H67" s="407"/>
      <c r="I67" s="326"/>
      <c r="J67" s="326"/>
      <c r="K67" s="327"/>
      <c r="L67" s="407"/>
      <c r="M67" s="326"/>
      <c r="N67" s="326"/>
      <c r="O67" s="326"/>
      <c r="P67" s="327"/>
      <c r="Q67" s="407"/>
      <c r="R67" s="326"/>
      <c r="S67" s="326"/>
      <c r="T67" s="326"/>
      <c r="U67" s="326"/>
      <c r="V67" s="326"/>
      <c r="W67" s="326"/>
      <c r="X67" s="326"/>
      <c r="Y67" s="326"/>
      <c r="Z67" s="327"/>
      <c r="AA67" s="407"/>
      <c r="AB67" s="326"/>
      <c r="AC67" s="326"/>
      <c r="AD67" s="326"/>
      <c r="AE67" s="326"/>
      <c r="AF67" s="326"/>
      <c r="AG67" s="326"/>
      <c r="AH67" s="326"/>
      <c r="AI67" s="326"/>
      <c r="AJ67" s="326"/>
      <c r="AK67" s="326"/>
      <c r="AL67" s="326"/>
      <c r="AM67" s="326"/>
      <c r="AN67" s="326"/>
      <c r="AO67" s="326"/>
      <c r="AP67" s="326"/>
      <c r="AQ67" s="327"/>
    </row>
    <row r="68" spans="1:43" ht="30" customHeight="1" x14ac:dyDescent="0.25">
      <c r="A68" s="87">
        <f t="shared" si="0"/>
        <v>56</v>
      </c>
      <c r="B68" s="381" t="s">
        <v>334</v>
      </c>
      <c r="C68" s="326"/>
      <c r="D68" s="327"/>
      <c r="E68" s="698"/>
      <c r="F68" s="326"/>
      <c r="G68" s="327"/>
      <c r="H68" s="381"/>
      <c r="I68" s="326"/>
      <c r="J68" s="326"/>
      <c r="K68" s="327"/>
      <c r="L68" s="381"/>
      <c r="M68" s="326"/>
      <c r="N68" s="326"/>
      <c r="O68" s="326"/>
      <c r="P68" s="327"/>
      <c r="Q68" s="381"/>
      <c r="R68" s="326"/>
      <c r="S68" s="326"/>
      <c r="T68" s="326"/>
      <c r="U68" s="326"/>
      <c r="V68" s="326"/>
      <c r="W68" s="326"/>
      <c r="X68" s="326"/>
      <c r="Y68" s="326"/>
      <c r="Z68" s="327"/>
      <c r="AA68" s="381"/>
      <c r="AB68" s="326"/>
      <c r="AC68" s="326"/>
      <c r="AD68" s="326"/>
      <c r="AE68" s="326"/>
      <c r="AF68" s="326"/>
      <c r="AG68" s="326"/>
      <c r="AH68" s="326"/>
      <c r="AI68" s="326"/>
      <c r="AJ68" s="326"/>
      <c r="AK68" s="326"/>
      <c r="AL68" s="326"/>
      <c r="AM68" s="326"/>
      <c r="AN68" s="326"/>
      <c r="AO68" s="326"/>
      <c r="AP68" s="326"/>
      <c r="AQ68" s="327"/>
    </row>
    <row r="69" spans="1:43" ht="30" customHeight="1" x14ac:dyDescent="0.25">
      <c r="A69" s="87">
        <f t="shared" si="0"/>
        <v>57</v>
      </c>
      <c r="B69" s="407" t="s">
        <v>334</v>
      </c>
      <c r="C69" s="326"/>
      <c r="D69" s="327"/>
      <c r="E69" s="697"/>
      <c r="F69" s="326"/>
      <c r="G69" s="327"/>
      <c r="H69" s="407"/>
      <c r="I69" s="326"/>
      <c r="J69" s="326"/>
      <c r="K69" s="327"/>
      <c r="L69" s="407"/>
      <c r="M69" s="326"/>
      <c r="N69" s="326"/>
      <c r="O69" s="326"/>
      <c r="P69" s="327"/>
      <c r="Q69" s="407"/>
      <c r="R69" s="326"/>
      <c r="S69" s="326"/>
      <c r="T69" s="326"/>
      <c r="U69" s="326"/>
      <c r="V69" s="326"/>
      <c r="W69" s="326"/>
      <c r="X69" s="326"/>
      <c r="Y69" s="326"/>
      <c r="Z69" s="327"/>
      <c r="AA69" s="407"/>
      <c r="AB69" s="326"/>
      <c r="AC69" s="326"/>
      <c r="AD69" s="326"/>
      <c r="AE69" s="326"/>
      <c r="AF69" s="326"/>
      <c r="AG69" s="326"/>
      <c r="AH69" s="326"/>
      <c r="AI69" s="326"/>
      <c r="AJ69" s="326"/>
      <c r="AK69" s="326"/>
      <c r="AL69" s="326"/>
      <c r="AM69" s="326"/>
      <c r="AN69" s="326"/>
      <c r="AO69" s="326"/>
      <c r="AP69" s="326"/>
      <c r="AQ69" s="327"/>
    </row>
    <row r="70" spans="1:43" ht="30" customHeight="1" x14ac:dyDescent="0.25">
      <c r="A70" s="87">
        <f t="shared" si="0"/>
        <v>58</v>
      </c>
      <c r="B70" s="381" t="s">
        <v>334</v>
      </c>
      <c r="C70" s="326"/>
      <c r="D70" s="327"/>
      <c r="E70" s="698"/>
      <c r="F70" s="326"/>
      <c r="G70" s="327"/>
      <c r="H70" s="381"/>
      <c r="I70" s="326"/>
      <c r="J70" s="326"/>
      <c r="K70" s="327"/>
      <c r="L70" s="381"/>
      <c r="M70" s="326"/>
      <c r="N70" s="326"/>
      <c r="O70" s="326"/>
      <c r="P70" s="327"/>
      <c r="Q70" s="381"/>
      <c r="R70" s="326"/>
      <c r="S70" s="326"/>
      <c r="T70" s="326"/>
      <c r="U70" s="326"/>
      <c r="V70" s="326"/>
      <c r="W70" s="326"/>
      <c r="X70" s="326"/>
      <c r="Y70" s="326"/>
      <c r="Z70" s="327"/>
      <c r="AA70" s="381"/>
      <c r="AB70" s="326"/>
      <c r="AC70" s="326"/>
      <c r="AD70" s="326"/>
      <c r="AE70" s="326"/>
      <c r="AF70" s="326"/>
      <c r="AG70" s="326"/>
      <c r="AH70" s="326"/>
      <c r="AI70" s="326"/>
      <c r="AJ70" s="326"/>
      <c r="AK70" s="326"/>
      <c r="AL70" s="326"/>
      <c r="AM70" s="326"/>
      <c r="AN70" s="326"/>
      <c r="AO70" s="326"/>
      <c r="AP70" s="326"/>
      <c r="AQ70" s="327"/>
    </row>
    <row r="71" spans="1:43" ht="30" customHeight="1" x14ac:dyDescent="0.25">
      <c r="A71" s="87">
        <f t="shared" si="0"/>
        <v>59</v>
      </c>
      <c r="B71" s="407" t="s">
        <v>334</v>
      </c>
      <c r="C71" s="326"/>
      <c r="D71" s="327"/>
      <c r="E71" s="697"/>
      <c r="F71" s="326"/>
      <c r="G71" s="327"/>
      <c r="H71" s="407"/>
      <c r="I71" s="326"/>
      <c r="J71" s="326"/>
      <c r="K71" s="327"/>
      <c r="L71" s="407"/>
      <c r="M71" s="326"/>
      <c r="N71" s="326"/>
      <c r="O71" s="326"/>
      <c r="P71" s="327"/>
      <c r="Q71" s="407"/>
      <c r="R71" s="326"/>
      <c r="S71" s="326"/>
      <c r="T71" s="326"/>
      <c r="U71" s="326"/>
      <c r="V71" s="326"/>
      <c r="W71" s="326"/>
      <c r="X71" s="326"/>
      <c r="Y71" s="326"/>
      <c r="Z71" s="327"/>
      <c r="AA71" s="407"/>
      <c r="AB71" s="326"/>
      <c r="AC71" s="326"/>
      <c r="AD71" s="326"/>
      <c r="AE71" s="326"/>
      <c r="AF71" s="326"/>
      <c r="AG71" s="326"/>
      <c r="AH71" s="326"/>
      <c r="AI71" s="326"/>
      <c r="AJ71" s="326"/>
      <c r="AK71" s="326"/>
      <c r="AL71" s="326"/>
      <c r="AM71" s="326"/>
      <c r="AN71" s="326"/>
      <c r="AO71" s="326"/>
      <c r="AP71" s="326"/>
      <c r="AQ71" s="327"/>
    </row>
    <row r="72" spans="1:43" ht="30" customHeight="1" x14ac:dyDescent="0.25">
      <c r="A72" s="87">
        <f t="shared" si="0"/>
        <v>60</v>
      </c>
      <c r="B72" s="381" t="s">
        <v>334</v>
      </c>
      <c r="C72" s="326"/>
      <c r="D72" s="327"/>
      <c r="E72" s="698"/>
      <c r="F72" s="326"/>
      <c r="G72" s="327"/>
      <c r="H72" s="381"/>
      <c r="I72" s="326"/>
      <c r="J72" s="326"/>
      <c r="K72" s="327"/>
      <c r="L72" s="381"/>
      <c r="M72" s="326"/>
      <c r="N72" s="326"/>
      <c r="O72" s="326"/>
      <c r="P72" s="327"/>
      <c r="Q72" s="381"/>
      <c r="R72" s="326"/>
      <c r="S72" s="326"/>
      <c r="T72" s="326"/>
      <c r="U72" s="326"/>
      <c r="V72" s="326"/>
      <c r="W72" s="326"/>
      <c r="X72" s="326"/>
      <c r="Y72" s="326"/>
      <c r="Z72" s="327"/>
      <c r="AA72" s="381"/>
      <c r="AB72" s="326"/>
      <c r="AC72" s="326"/>
      <c r="AD72" s="326"/>
      <c r="AE72" s="326"/>
      <c r="AF72" s="326"/>
      <c r="AG72" s="326"/>
      <c r="AH72" s="326"/>
      <c r="AI72" s="326"/>
      <c r="AJ72" s="326"/>
      <c r="AK72" s="326"/>
      <c r="AL72" s="326"/>
      <c r="AM72" s="326"/>
      <c r="AN72" s="326"/>
      <c r="AO72" s="326"/>
      <c r="AP72" s="326"/>
      <c r="AQ72" s="327"/>
    </row>
    <row r="73" spans="1:43" ht="30" customHeight="1" x14ac:dyDescent="0.25">
      <c r="A73" s="87">
        <f t="shared" si="0"/>
        <v>61</v>
      </c>
      <c r="B73" s="407" t="s">
        <v>334</v>
      </c>
      <c r="C73" s="326"/>
      <c r="D73" s="327"/>
      <c r="E73" s="697"/>
      <c r="F73" s="326"/>
      <c r="G73" s="327"/>
      <c r="H73" s="407"/>
      <c r="I73" s="326"/>
      <c r="J73" s="326"/>
      <c r="K73" s="327"/>
      <c r="L73" s="407"/>
      <c r="M73" s="326"/>
      <c r="N73" s="326"/>
      <c r="O73" s="326"/>
      <c r="P73" s="327"/>
      <c r="Q73" s="407"/>
      <c r="R73" s="326"/>
      <c r="S73" s="326"/>
      <c r="T73" s="326"/>
      <c r="U73" s="326"/>
      <c r="V73" s="326"/>
      <c r="W73" s="326"/>
      <c r="X73" s="326"/>
      <c r="Y73" s="326"/>
      <c r="Z73" s="327"/>
      <c r="AA73" s="407"/>
      <c r="AB73" s="326"/>
      <c r="AC73" s="326"/>
      <c r="AD73" s="326"/>
      <c r="AE73" s="326"/>
      <c r="AF73" s="326"/>
      <c r="AG73" s="326"/>
      <c r="AH73" s="326"/>
      <c r="AI73" s="326"/>
      <c r="AJ73" s="326"/>
      <c r="AK73" s="326"/>
      <c r="AL73" s="326"/>
      <c r="AM73" s="326"/>
      <c r="AN73" s="326"/>
      <c r="AO73" s="326"/>
      <c r="AP73" s="326"/>
      <c r="AQ73" s="327"/>
    </row>
    <row r="74" spans="1:43" ht="30" customHeight="1" x14ac:dyDescent="0.25">
      <c r="A74" s="87">
        <f t="shared" si="0"/>
        <v>62</v>
      </c>
      <c r="B74" s="381" t="s">
        <v>334</v>
      </c>
      <c r="C74" s="326"/>
      <c r="D74" s="327"/>
      <c r="E74" s="698"/>
      <c r="F74" s="326"/>
      <c r="G74" s="327"/>
      <c r="H74" s="381"/>
      <c r="I74" s="326"/>
      <c r="J74" s="326"/>
      <c r="K74" s="327"/>
      <c r="L74" s="381"/>
      <c r="M74" s="326"/>
      <c r="N74" s="326"/>
      <c r="O74" s="326"/>
      <c r="P74" s="327"/>
      <c r="Q74" s="381"/>
      <c r="R74" s="326"/>
      <c r="S74" s="326"/>
      <c r="T74" s="326"/>
      <c r="U74" s="326"/>
      <c r="V74" s="326"/>
      <c r="W74" s="326"/>
      <c r="X74" s="326"/>
      <c r="Y74" s="326"/>
      <c r="Z74" s="327"/>
      <c r="AA74" s="381"/>
      <c r="AB74" s="326"/>
      <c r="AC74" s="326"/>
      <c r="AD74" s="326"/>
      <c r="AE74" s="326"/>
      <c r="AF74" s="326"/>
      <c r="AG74" s="326"/>
      <c r="AH74" s="326"/>
      <c r="AI74" s="326"/>
      <c r="AJ74" s="326"/>
      <c r="AK74" s="326"/>
      <c r="AL74" s="326"/>
      <c r="AM74" s="326"/>
      <c r="AN74" s="326"/>
      <c r="AO74" s="326"/>
      <c r="AP74" s="326"/>
      <c r="AQ74" s="327"/>
    </row>
    <row r="75" spans="1:43" ht="30" customHeight="1" x14ac:dyDescent="0.25">
      <c r="A75" s="87">
        <f t="shared" si="0"/>
        <v>63</v>
      </c>
      <c r="B75" s="407" t="s">
        <v>334</v>
      </c>
      <c r="C75" s="326"/>
      <c r="D75" s="327"/>
      <c r="E75" s="697"/>
      <c r="F75" s="326"/>
      <c r="G75" s="327"/>
      <c r="H75" s="407"/>
      <c r="I75" s="326"/>
      <c r="J75" s="326"/>
      <c r="K75" s="327"/>
      <c r="L75" s="407"/>
      <c r="M75" s="326"/>
      <c r="N75" s="326"/>
      <c r="O75" s="326"/>
      <c r="P75" s="327"/>
      <c r="Q75" s="407"/>
      <c r="R75" s="326"/>
      <c r="S75" s="326"/>
      <c r="T75" s="326"/>
      <c r="U75" s="326"/>
      <c r="V75" s="326"/>
      <c r="W75" s="326"/>
      <c r="X75" s="326"/>
      <c r="Y75" s="326"/>
      <c r="Z75" s="327"/>
      <c r="AA75" s="407"/>
      <c r="AB75" s="326"/>
      <c r="AC75" s="326"/>
      <c r="AD75" s="326"/>
      <c r="AE75" s="326"/>
      <c r="AF75" s="326"/>
      <c r="AG75" s="326"/>
      <c r="AH75" s="326"/>
      <c r="AI75" s="326"/>
      <c r="AJ75" s="326"/>
      <c r="AK75" s="326"/>
      <c r="AL75" s="326"/>
      <c r="AM75" s="326"/>
      <c r="AN75" s="326"/>
      <c r="AO75" s="326"/>
      <c r="AP75" s="326"/>
      <c r="AQ75" s="327"/>
    </row>
    <row r="76" spans="1:43" ht="30" customHeight="1" x14ac:dyDescent="0.25">
      <c r="A76" s="87">
        <f t="shared" si="0"/>
        <v>64</v>
      </c>
      <c r="B76" s="381" t="s">
        <v>334</v>
      </c>
      <c r="C76" s="326"/>
      <c r="D76" s="327"/>
      <c r="E76" s="698"/>
      <c r="F76" s="326"/>
      <c r="G76" s="327"/>
      <c r="H76" s="381"/>
      <c r="I76" s="326"/>
      <c r="J76" s="326"/>
      <c r="K76" s="327"/>
      <c r="L76" s="381"/>
      <c r="M76" s="326"/>
      <c r="N76" s="326"/>
      <c r="O76" s="326"/>
      <c r="P76" s="327"/>
      <c r="Q76" s="381"/>
      <c r="R76" s="326"/>
      <c r="S76" s="326"/>
      <c r="T76" s="326"/>
      <c r="U76" s="326"/>
      <c r="V76" s="326"/>
      <c r="W76" s="326"/>
      <c r="X76" s="326"/>
      <c r="Y76" s="326"/>
      <c r="Z76" s="327"/>
      <c r="AA76" s="381"/>
      <c r="AB76" s="326"/>
      <c r="AC76" s="326"/>
      <c r="AD76" s="326"/>
      <c r="AE76" s="326"/>
      <c r="AF76" s="326"/>
      <c r="AG76" s="326"/>
      <c r="AH76" s="326"/>
      <c r="AI76" s="326"/>
      <c r="AJ76" s="326"/>
      <c r="AK76" s="326"/>
      <c r="AL76" s="326"/>
      <c r="AM76" s="326"/>
      <c r="AN76" s="326"/>
      <c r="AO76" s="326"/>
      <c r="AP76" s="326"/>
      <c r="AQ76" s="327"/>
    </row>
    <row r="77" spans="1:43" ht="30" customHeight="1" x14ac:dyDescent="0.25">
      <c r="A77" s="87">
        <f t="shared" si="0"/>
        <v>65</v>
      </c>
      <c r="B77" s="407" t="s">
        <v>334</v>
      </c>
      <c r="C77" s="326"/>
      <c r="D77" s="327"/>
      <c r="E77" s="697"/>
      <c r="F77" s="326"/>
      <c r="G77" s="327"/>
      <c r="H77" s="407"/>
      <c r="I77" s="326"/>
      <c r="J77" s="326"/>
      <c r="K77" s="327"/>
      <c r="L77" s="407"/>
      <c r="M77" s="326"/>
      <c r="N77" s="326"/>
      <c r="O77" s="326"/>
      <c r="P77" s="327"/>
      <c r="Q77" s="407"/>
      <c r="R77" s="326"/>
      <c r="S77" s="326"/>
      <c r="T77" s="326"/>
      <c r="U77" s="326"/>
      <c r="V77" s="326"/>
      <c r="W77" s="326"/>
      <c r="X77" s="326"/>
      <c r="Y77" s="326"/>
      <c r="Z77" s="327"/>
      <c r="AA77" s="407"/>
      <c r="AB77" s="326"/>
      <c r="AC77" s="326"/>
      <c r="AD77" s="326"/>
      <c r="AE77" s="326"/>
      <c r="AF77" s="326"/>
      <c r="AG77" s="326"/>
      <c r="AH77" s="326"/>
      <c r="AI77" s="326"/>
      <c r="AJ77" s="326"/>
      <c r="AK77" s="326"/>
      <c r="AL77" s="326"/>
      <c r="AM77" s="326"/>
      <c r="AN77" s="326"/>
      <c r="AO77" s="326"/>
      <c r="AP77" s="326"/>
      <c r="AQ77" s="327"/>
    </row>
    <row r="78" spans="1:43" ht="30" customHeight="1" x14ac:dyDescent="0.25">
      <c r="A78" s="87">
        <f t="shared" si="0"/>
        <v>66</v>
      </c>
      <c r="B78" s="381" t="s">
        <v>334</v>
      </c>
      <c r="C78" s="326"/>
      <c r="D78" s="327"/>
      <c r="E78" s="698"/>
      <c r="F78" s="326"/>
      <c r="G78" s="327"/>
      <c r="H78" s="381"/>
      <c r="I78" s="326"/>
      <c r="J78" s="326"/>
      <c r="K78" s="327"/>
      <c r="L78" s="381"/>
      <c r="M78" s="326"/>
      <c r="N78" s="326"/>
      <c r="O78" s="326"/>
      <c r="P78" s="327"/>
      <c r="Q78" s="381"/>
      <c r="R78" s="326"/>
      <c r="S78" s="326"/>
      <c r="T78" s="326"/>
      <c r="U78" s="326"/>
      <c r="V78" s="326"/>
      <c r="W78" s="326"/>
      <c r="X78" s="326"/>
      <c r="Y78" s="326"/>
      <c r="Z78" s="327"/>
      <c r="AA78" s="381"/>
      <c r="AB78" s="326"/>
      <c r="AC78" s="326"/>
      <c r="AD78" s="326"/>
      <c r="AE78" s="326"/>
      <c r="AF78" s="326"/>
      <c r="AG78" s="326"/>
      <c r="AH78" s="326"/>
      <c r="AI78" s="326"/>
      <c r="AJ78" s="326"/>
      <c r="AK78" s="326"/>
      <c r="AL78" s="326"/>
      <c r="AM78" s="326"/>
      <c r="AN78" s="326"/>
      <c r="AO78" s="326"/>
      <c r="AP78" s="326"/>
      <c r="AQ78" s="327"/>
    </row>
    <row r="79" spans="1:43" ht="30" customHeight="1" x14ac:dyDescent="0.25">
      <c r="A79" s="87">
        <f t="shared" si="0"/>
        <v>67</v>
      </c>
      <c r="B79" s="407" t="s">
        <v>334</v>
      </c>
      <c r="C79" s="326"/>
      <c r="D79" s="327"/>
      <c r="E79" s="697"/>
      <c r="F79" s="326"/>
      <c r="G79" s="327"/>
      <c r="H79" s="407"/>
      <c r="I79" s="326"/>
      <c r="J79" s="326"/>
      <c r="K79" s="327"/>
      <c r="L79" s="407"/>
      <c r="M79" s="326"/>
      <c r="N79" s="326"/>
      <c r="O79" s="326"/>
      <c r="P79" s="327"/>
      <c r="Q79" s="407"/>
      <c r="R79" s="326"/>
      <c r="S79" s="326"/>
      <c r="T79" s="326"/>
      <c r="U79" s="326"/>
      <c r="V79" s="326"/>
      <c r="W79" s="326"/>
      <c r="X79" s="326"/>
      <c r="Y79" s="326"/>
      <c r="Z79" s="327"/>
      <c r="AA79" s="407"/>
      <c r="AB79" s="326"/>
      <c r="AC79" s="326"/>
      <c r="AD79" s="326"/>
      <c r="AE79" s="326"/>
      <c r="AF79" s="326"/>
      <c r="AG79" s="326"/>
      <c r="AH79" s="326"/>
      <c r="AI79" s="326"/>
      <c r="AJ79" s="326"/>
      <c r="AK79" s="326"/>
      <c r="AL79" s="326"/>
      <c r="AM79" s="326"/>
      <c r="AN79" s="326"/>
      <c r="AO79" s="326"/>
      <c r="AP79" s="326"/>
      <c r="AQ79" s="327"/>
    </row>
    <row r="80" spans="1:43" ht="30" customHeight="1" x14ac:dyDescent="0.25">
      <c r="A80" s="87">
        <f t="shared" si="0"/>
        <v>68</v>
      </c>
      <c r="B80" s="381" t="s">
        <v>334</v>
      </c>
      <c r="C80" s="326"/>
      <c r="D80" s="327"/>
      <c r="E80" s="698"/>
      <c r="F80" s="326"/>
      <c r="G80" s="327"/>
      <c r="H80" s="381"/>
      <c r="I80" s="326"/>
      <c r="J80" s="326"/>
      <c r="K80" s="327"/>
      <c r="L80" s="381"/>
      <c r="M80" s="326"/>
      <c r="N80" s="326"/>
      <c r="O80" s="326"/>
      <c r="P80" s="327"/>
      <c r="Q80" s="381"/>
      <c r="R80" s="326"/>
      <c r="S80" s="326"/>
      <c r="T80" s="326"/>
      <c r="U80" s="326"/>
      <c r="V80" s="326"/>
      <c r="W80" s="326"/>
      <c r="X80" s="326"/>
      <c r="Y80" s="326"/>
      <c r="Z80" s="327"/>
      <c r="AA80" s="381"/>
      <c r="AB80" s="326"/>
      <c r="AC80" s="326"/>
      <c r="AD80" s="326"/>
      <c r="AE80" s="326"/>
      <c r="AF80" s="326"/>
      <c r="AG80" s="326"/>
      <c r="AH80" s="326"/>
      <c r="AI80" s="326"/>
      <c r="AJ80" s="326"/>
      <c r="AK80" s="326"/>
      <c r="AL80" s="326"/>
      <c r="AM80" s="326"/>
      <c r="AN80" s="326"/>
      <c r="AO80" s="326"/>
      <c r="AP80" s="326"/>
      <c r="AQ80" s="327"/>
    </row>
    <row r="81" spans="1:43" ht="30" customHeight="1" x14ac:dyDescent="0.25">
      <c r="A81" s="87">
        <f t="shared" si="0"/>
        <v>69</v>
      </c>
      <c r="B81" s="407" t="s">
        <v>334</v>
      </c>
      <c r="C81" s="326"/>
      <c r="D81" s="327"/>
      <c r="E81" s="697"/>
      <c r="F81" s="326"/>
      <c r="G81" s="327"/>
      <c r="H81" s="407"/>
      <c r="I81" s="326"/>
      <c r="J81" s="326"/>
      <c r="K81" s="327"/>
      <c r="L81" s="407"/>
      <c r="M81" s="326"/>
      <c r="N81" s="326"/>
      <c r="O81" s="326"/>
      <c r="P81" s="327"/>
      <c r="Q81" s="407"/>
      <c r="R81" s="326"/>
      <c r="S81" s="326"/>
      <c r="T81" s="326"/>
      <c r="U81" s="326"/>
      <c r="V81" s="326"/>
      <c r="W81" s="326"/>
      <c r="X81" s="326"/>
      <c r="Y81" s="326"/>
      <c r="Z81" s="327"/>
      <c r="AA81" s="407"/>
      <c r="AB81" s="326"/>
      <c r="AC81" s="326"/>
      <c r="AD81" s="326"/>
      <c r="AE81" s="326"/>
      <c r="AF81" s="326"/>
      <c r="AG81" s="326"/>
      <c r="AH81" s="326"/>
      <c r="AI81" s="326"/>
      <c r="AJ81" s="326"/>
      <c r="AK81" s="326"/>
      <c r="AL81" s="326"/>
      <c r="AM81" s="326"/>
      <c r="AN81" s="326"/>
      <c r="AO81" s="326"/>
      <c r="AP81" s="326"/>
      <c r="AQ81" s="327"/>
    </row>
    <row r="82" spans="1:43" ht="30" customHeight="1" x14ac:dyDescent="0.25">
      <c r="A82" s="87">
        <f t="shared" si="0"/>
        <v>70</v>
      </c>
      <c r="B82" s="381" t="s">
        <v>334</v>
      </c>
      <c r="C82" s="326"/>
      <c r="D82" s="327"/>
      <c r="E82" s="698"/>
      <c r="F82" s="326"/>
      <c r="G82" s="327"/>
      <c r="H82" s="381"/>
      <c r="I82" s="326"/>
      <c r="J82" s="326"/>
      <c r="K82" s="327"/>
      <c r="L82" s="381"/>
      <c r="M82" s="326"/>
      <c r="N82" s="326"/>
      <c r="O82" s="326"/>
      <c r="P82" s="327"/>
      <c r="Q82" s="381"/>
      <c r="R82" s="326"/>
      <c r="S82" s="326"/>
      <c r="T82" s="326"/>
      <c r="U82" s="326"/>
      <c r="V82" s="326"/>
      <c r="W82" s="326"/>
      <c r="X82" s="326"/>
      <c r="Y82" s="326"/>
      <c r="Z82" s="327"/>
      <c r="AA82" s="381"/>
      <c r="AB82" s="326"/>
      <c r="AC82" s="326"/>
      <c r="AD82" s="326"/>
      <c r="AE82" s="326"/>
      <c r="AF82" s="326"/>
      <c r="AG82" s="326"/>
      <c r="AH82" s="326"/>
      <c r="AI82" s="326"/>
      <c r="AJ82" s="326"/>
      <c r="AK82" s="326"/>
      <c r="AL82" s="326"/>
      <c r="AM82" s="326"/>
      <c r="AN82" s="326"/>
      <c r="AO82" s="326"/>
      <c r="AP82" s="326"/>
      <c r="AQ82" s="327"/>
    </row>
    <row r="83" spans="1:43" ht="30" customHeight="1" x14ac:dyDescent="0.25">
      <c r="A83" s="87">
        <f t="shared" si="0"/>
        <v>71</v>
      </c>
      <c r="B83" s="407" t="s">
        <v>334</v>
      </c>
      <c r="C83" s="326"/>
      <c r="D83" s="327"/>
      <c r="E83" s="697"/>
      <c r="F83" s="326"/>
      <c r="G83" s="327"/>
      <c r="H83" s="407"/>
      <c r="I83" s="326"/>
      <c r="J83" s="326"/>
      <c r="K83" s="327"/>
      <c r="L83" s="407"/>
      <c r="M83" s="326"/>
      <c r="N83" s="326"/>
      <c r="O83" s="326"/>
      <c r="P83" s="327"/>
      <c r="Q83" s="407"/>
      <c r="R83" s="326"/>
      <c r="S83" s="326"/>
      <c r="T83" s="326"/>
      <c r="U83" s="326"/>
      <c r="V83" s="326"/>
      <c r="W83" s="326"/>
      <c r="X83" s="326"/>
      <c r="Y83" s="326"/>
      <c r="Z83" s="327"/>
      <c r="AA83" s="407"/>
      <c r="AB83" s="326"/>
      <c r="AC83" s="326"/>
      <c r="AD83" s="326"/>
      <c r="AE83" s="326"/>
      <c r="AF83" s="326"/>
      <c r="AG83" s="326"/>
      <c r="AH83" s="326"/>
      <c r="AI83" s="326"/>
      <c r="AJ83" s="326"/>
      <c r="AK83" s="326"/>
      <c r="AL83" s="326"/>
      <c r="AM83" s="326"/>
      <c r="AN83" s="326"/>
      <c r="AO83" s="326"/>
      <c r="AP83" s="326"/>
      <c r="AQ83" s="327"/>
    </row>
    <row r="84" spans="1:43" ht="30" customHeight="1" x14ac:dyDescent="0.25">
      <c r="A84" s="87">
        <f t="shared" si="0"/>
        <v>72</v>
      </c>
      <c r="B84" s="381" t="s">
        <v>334</v>
      </c>
      <c r="C84" s="326"/>
      <c r="D84" s="327"/>
      <c r="E84" s="698"/>
      <c r="F84" s="326"/>
      <c r="G84" s="327"/>
      <c r="H84" s="381"/>
      <c r="I84" s="326"/>
      <c r="J84" s="326"/>
      <c r="K84" s="327"/>
      <c r="L84" s="381"/>
      <c r="M84" s="326"/>
      <c r="N84" s="326"/>
      <c r="O84" s="326"/>
      <c r="P84" s="327"/>
      <c r="Q84" s="381"/>
      <c r="R84" s="326"/>
      <c r="S84" s="326"/>
      <c r="T84" s="326"/>
      <c r="U84" s="326"/>
      <c r="V84" s="326"/>
      <c r="W84" s="326"/>
      <c r="X84" s="326"/>
      <c r="Y84" s="326"/>
      <c r="Z84" s="327"/>
      <c r="AA84" s="381"/>
      <c r="AB84" s="326"/>
      <c r="AC84" s="326"/>
      <c r="AD84" s="326"/>
      <c r="AE84" s="326"/>
      <c r="AF84" s="326"/>
      <c r="AG84" s="326"/>
      <c r="AH84" s="326"/>
      <c r="AI84" s="326"/>
      <c r="AJ84" s="326"/>
      <c r="AK84" s="326"/>
      <c r="AL84" s="326"/>
      <c r="AM84" s="326"/>
      <c r="AN84" s="326"/>
      <c r="AO84" s="326"/>
      <c r="AP84" s="326"/>
      <c r="AQ84" s="327"/>
    </row>
    <row r="85" spans="1:43" ht="30" customHeight="1" x14ac:dyDescent="0.25">
      <c r="A85" s="87">
        <f t="shared" si="0"/>
        <v>73</v>
      </c>
      <c r="B85" s="407" t="s">
        <v>334</v>
      </c>
      <c r="C85" s="326"/>
      <c r="D85" s="327"/>
      <c r="E85" s="697"/>
      <c r="F85" s="326"/>
      <c r="G85" s="327"/>
      <c r="H85" s="407"/>
      <c r="I85" s="326"/>
      <c r="J85" s="326"/>
      <c r="K85" s="327"/>
      <c r="L85" s="407"/>
      <c r="M85" s="326"/>
      <c r="N85" s="326"/>
      <c r="O85" s="326"/>
      <c r="P85" s="327"/>
      <c r="Q85" s="407"/>
      <c r="R85" s="326"/>
      <c r="S85" s="326"/>
      <c r="T85" s="326"/>
      <c r="U85" s="326"/>
      <c r="V85" s="326"/>
      <c r="W85" s="326"/>
      <c r="X85" s="326"/>
      <c r="Y85" s="326"/>
      <c r="Z85" s="327"/>
      <c r="AA85" s="407"/>
      <c r="AB85" s="326"/>
      <c r="AC85" s="326"/>
      <c r="AD85" s="326"/>
      <c r="AE85" s="326"/>
      <c r="AF85" s="326"/>
      <c r="AG85" s="326"/>
      <c r="AH85" s="326"/>
      <c r="AI85" s="326"/>
      <c r="AJ85" s="326"/>
      <c r="AK85" s="326"/>
      <c r="AL85" s="326"/>
      <c r="AM85" s="326"/>
      <c r="AN85" s="326"/>
      <c r="AO85" s="326"/>
      <c r="AP85" s="326"/>
      <c r="AQ85" s="327"/>
    </row>
    <row r="86" spans="1:43" ht="30" customHeight="1" x14ac:dyDescent="0.25">
      <c r="A86" s="87">
        <f t="shared" si="0"/>
        <v>74</v>
      </c>
      <c r="B86" s="381" t="s">
        <v>334</v>
      </c>
      <c r="C86" s="326"/>
      <c r="D86" s="327"/>
      <c r="E86" s="698"/>
      <c r="F86" s="326"/>
      <c r="G86" s="327"/>
      <c r="H86" s="381"/>
      <c r="I86" s="326"/>
      <c r="J86" s="326"/>
      <c r="K86" s="327"/>
      <c r="L86" s="381"/>
      <c r="M86" s="326"/>
      <c r="N86" s="326"/>
      <c r="O86" s="326"/>
      <c r="P86" s="327"/>
      <c r="Q86" s="381"/>
      <c r="R86" s="326"/>
      <c r="S86" s="326"/>
      <c r="T86" s="326"/>
      <c r="U86" s="326"/>
      <c r="V86" s="326"/>
      <c r="W86" s="326"/>
      <c r="X86" s="326"/>
      <c r="Y86" s="326"/>
      <c r="Z86" s="327"/>
      <c r="AA86" s="381"/>
      <c r="AB86" s="326"/>
      <c r="AC86" s="326"/>
      <c r="AD86" s="326"/>
      <c r="AE86" s="326"/>
      <c r="AF86" s="326"/>
      <c r="AG86" s="326"/>
      <c r="AH86" s="326"/>
      <c r="AI86" s="326"/>
      <c r="AJ86" s="326"/>
      <c r="AK86" s="326"/>
      <c r="AL86" s="326"/>
      <c r="AM86" s="326"/>
      <c r="AN86" s="326"/>
      <c r="AO86" s="326"/>
      <c r="AP86" s="326"/>
      <c r="AQ86" s="327"/>
    </row>
    <row r="87" spans="1:43" ht="30" customHeight="1" x14ac:dyDescent="0.25">
      <c r="A87" s="87">
        <f t="shared" si="0"/>
        <v>75</v>
      </c>
      <c r="B87" s="407" t="s">
        <v>334</v>
      </c>
      <c r="C87" s="326"/>
      <c r="D87" s="327"/>
      <c r="E87" s="697"/>
      <c r="F87" s="326"/>
      <c r="G87" s="327"/>
      <c r="H87" s="407"/>
      <c r="I87" s="326"/>
      <c r="J87" s="326"/>
      <c r="K87" s="327"/>
      <c r="L87" s="407"/>
      <c r="M87" s="326"/>
      <c r="N87" s="326"/>
      <c r="O87" s="326"/>
      <c r="P87" s="327"/>
      <c r="Q87" s="407"/>
      <c r="R87" s="326"/>
      <c r="S87" s="326"/>
      <c r="T87" s="326"/>
      <c r="U87" s="326"/>
      <c r="V87" s="326"/>
      <c r="W87" s="326"/>
      <c r="X87" s="326"/>
      <c r="Y87" s="326"/>
      <c r="Z87" s="327"/>
      <c r="AA87" s="407"/>
      <c r="AB87" s="326"/>
      <c r="AC87" s="326"/>
      <c r="AD87" s="326"/>
      <c r="AE87" s="326"/>
      <c r="AF87" s="326"/>
      <c r="AG87" s="326"/>
      <c r="AH87" s="326"/>
      <c r="AI87" s="326"/>
      <c r="AJ87" s="326"/>
      <c r="AK87" s="326"/>
      <c r="AL87" s="326"/>
      <c r="AM87" s="326"/>
      <c r="AN87" s="326"/>
      <c r="AO87" s="326"/>
      <c r="AP87" s="326"/>
      <c r="AQ87" s="327"/>
    </row>
    <row r="88" spans="1:43" ht="30" customHeight="1" x14ac:dyDescent="0.25">
      <c r="A88" s="87">
        <f t="shared" si="0"/>
        <v>76</v>
      </c>
      <c r="B88" s="381" t="s">
        <v>334</v>
      </c>
      <c r="C88" s="326"/>
      <c r="D88" s="327"/>
      <c r="E88" s="698"/>
      <c r="F88" s="326"/>
      <c r="G88" s="327"/>
      <c r="H88" s="381"/>
      <c r="I88" s="326"/>
      <c r="J88" s="326"/>
      <c r="K88" s="327"/>
      <c r="L88" s="381"/>
      <c r="M88" s="326"/>
      <c r="N88" s="326"/>
      <c r="O88" s="326"/>
      <c r="P88" s="327"/>
      <c r="Q88" s="381"/>
      <c r="R88" s="326"/>
      <c r="S88" s="326"/>
      <c r="T88" s="326"/>
      <c r="U88" s="326"/>
      <c r="V88" s="326"/>
      <c r="W88" s="326"/>
      <c r="X88" s="326"/>
      <c r="Y88" s="326"/>
      <c r="Z88" s="327"/>
      <c r="AA88" s="381"/>
      <c r="AB88" s="326"/>
      <c r="AC88" s="326"/>
      <c r="AD88" s="326"/>
      <c r="AE88" s="326"/>
      <c r="AF88" s="326"/>
      <c r="AG88" s="326"/>
      <c r="AH88" s="326"/>
      <c r="AI88" s="326"/>
      <c r="AJ88" s="326"/>
      <c r="AK88" s="326"/>
      <c r="AL88" s="326"/>
      <c r="AM88" s="326"/>
      <c r="AN88" s="326"/>
      <c r="AO88" s="326"/>
      <c r="AP88" s="326"/>
      <c r="AQ88" s="327"/>
    </row>
    <row r="89" spans="1:43" ht="30" customHeight="1" x14ac:dyDescent="0.25">
      <c r="A89" s="87">
        <f t="shared" si="0"/>
        <v>77</v>
      </c>
      <c r="B89" s="407" t="s">
        <v>334</v>
      </c>
      <c r="C89" s="326"/>
      <c r="D89" s="327"/>
      <c r="E89" s="697"/>
      <c r="F89" s="326"/>
      <c r="G89" s="327"/>
      <c r="H89" s="407"/>
      <c r="I89" s="326"/>
      <c r="J89" s="326"/>
      <c r="K89" s="327"/>
      <c r="L89" s="407"/>
      <c r="M89" s="326"/>
      <c r="N89" s="326"/>
      <c r="O89" s="326"/>
      <c r="P89" s="327"/>
      <c r="Q89" s="407"/>
      <c r="R89" s="326"/>
      <c r="S89" s="326"/>
      <c r="T89" s="326"/>
      <c r="U89" s="326"/>
      <c r="V89" s="326"/>
      <c r="W89" s="326"/>
      <c r="X89" s="326"/>
      <c r="Y89" s="326"/>
      <c r="Z89" s="327"/>
      <c r="AA89" s="407"/>
      <c r="AB89" s="326"/>
      <c r="AC89" s="326"/>
      <c r="AD89" s="326"/>
      <c r="AE89" s="326"/>
      <c r="AF89" s="326"/>
      <c r="AG89" s="326"/>
      <c r="AH89" s="326"/>
      <c r="AI89" s="326"/>
      <c r="AJ89" s="326"/>
      <c r="AK89" s="326"/>
      <c r="AL89" s="326"/>
      <c r="AM89" s="326"/>
      <c r="AN89" s="326"/>
      <c r="AO89" s="326"/>
      <c r="AP89" s="326"/>
      <c r="AQ89" s="327"/>
    </row>
    <row r="90" spans="1:43" ht="30" customHeight="1" x14ac:dyDescent="0.25">
      <c r="A90" s="87">
        <f t="shared" si="0"/>
        <v>78</v>
      </c>
      <c r="B90" s="381" t="s">
        <v>334</v>
      </c>
      <c r="C90" s="326"/>
      <c r="D90" s="327"/>
      <c r="E90" s="698"/>
      <c r="F90" s="326"/>
      <c r="G90" s="327"/>
      <c r="H90" s="381"/>
      <c r="I90" s="326"/>
      <c r="J90" s="326"/>
      <c r="K90" s="327"/>
      <c r="L90" s="381"/>
      <c r="M90" s="326"/>
      <c r="N90" s="326"/>
      <c r="O90" s="326"/>
      <c r="P90" s="327"/>
      <c r="Q90" s="381"/>
      <c r="R90" s="326"/>
      <c r="S90" s="326"/>
      <c r="T90" s="326"/>
      <c r="U90" s="326"/>
      <c r="V90" s="326"/>
      <c r="W90" s="326"/>
      <c r="X90" s="326"/>
      <c r="Y90" s="326"/>
      <c r="Z90" s="327"/>
      <c r="AA90" s="381"/>
      <c r="AB90" s="326"/>
      <c r="AC90" s="326"/>
      <c r="AD90" s="326"/>
      <c r="AE90" s="326"/>
      <c r="AF90" s="326"/>
      <c r="AG90" s="326"/>
      <c r="AH90" s="326"/>
      <c r="AI90" s="326"/>
      <c r="AJ90" s="326"/>
      <c r="AK90" s="326"/>
      <c r="AL90" s="326"/>
      <c r="AM90" s="326"/>
      <c r="AN90" s="326"/>
      <c r="AO90" s="326"/>
      <c r="AP90" s="326"/>
      <c r="AQ90" s="327"/>
    </row>
    <row r="91" spans="1:43" ht="30" customHeight="1" x14ac:dyDescent="0.25">
      <c r="A91" s="87">
        <f t="shared" si="0"/>
        <v>79</v>
      </c>
      <c r="B91" s="407" t="s">
        <v>334</v>
      </c>
      <c r="C91" s="326"/>
      <c r="D91" s="327"/>
      <c r="E91" s="697"/>
      <c r="F91" s="326"/>
      <c r="G91" s="327"/>
      <c r="H91" s="407"/>
      <c r="I91" s="326"/>
      <c r="J91" s="326"/>
      <c r="K91" s="327"/>
      <c r="L91" s="407"/>
      <c r="M91" s="326"/>
      <c r="N91" s="326"/>
      <c r="O91" s="326"/>
      <c r="P91" s="327"/>
      <c r="Q91" s="407"/>
      <c r="R91" s="326"/>
      <c r="S91" s="326"/>
      <c r="T91" s="326"/>
      <c r="U91" s="326"/>
      <c r="V91" s="326"/>
      <c r="W91" s="326"/>
      <c r="X91" s="326"/>
      <c r="Y91" s="326"/>
      <c r="Z91" s="327"/>
      <c r="AA91" s="407"/>
      <c r="AB91" s="326"/>
      <c r="AC91" s="326"/>
      <c r="AD91" s="326"/>
      <c r="AE91" s="326"/>
      <c r="AF91" s="326"/>
      <c r="AG91" s="326"/>
      <c r="AH91" s="326"/>
      <c r="AI91" s="326"/>
      <c r="AJ91" s="326"/>
      <c r="AK91" s="326"/>
      <c r="AL91" s="326"/>
      <c r="AM91" s="326"/>
      <c r="AN91" s="326"/>
      <c r="AO91" s="326"/>
      <c r="AP91" s="326"/>
      <c r="AQ91" s="327"/>
    </row>
    <row r="92" spans="1:43" ht="30" customHeight="1" x14ac:dyDescent="0.25">
      <c r="A92" s="87">
        <f t="shared" si="0"/>
        <v>80</v>
      </c>
      <c r="B92" s="381" t="s">
        <v>334</v>
      </c>
      <c r="C92" s="326"/>
      <c r="D92" s="327"/>
      <c r="E92" s="698"/>
      <c r="F92" s="326"/>
      <c r="G92" s="327"/>
      <c r="H92" s="381"/>
      <c r="I92" s="326"/>
      <c r="J92" s="326"/>
      <c r="K92" s="327"/>
      <c r="L92" s="381"/>
      <c r="M92" s="326"/>
      <c r="N92" s="326"/>
      <c r="O92" s="326"/>
      <c r="P92" s="327"/>
      <c r="Q92" s="381"/>
      <c r="R92" s="326"/>
      <c r="S92" s="326"/>
      <c r="T92" s="326"/>
      <c r="U92" s="326"/>
      <c r="V92" s="326"/>
      <c r="W92" s="326"/>
      <c r="X92" s="326"/>
      <c r="Y92" s="326"/>
      <c r="Z92" s="327"/>
      <c r="AA92" s="381"/>
      <c r="AB92" s="326"/>
      <c r="AC92" s="326"/>
      <c r="AD92" s="326"/>
      <c r="AE92" s="326"/>
      <c r="AF92" s="326"/>
      <c r="AG92" s="326"/>
      <c r="AH92" s="326"/>
      <c r="AI92" s="326"/>
      <c r="AJ92" s="326"/>
      <c r="AK92" s="326"/>
      <c r="AL92" s="326"/>
      <c r="AM92" s="326"/>
      <c r="AN92" s="326"/>
      <c r="AO92" s="326"/>
      <c r="AP92" s="326"/>
      <c r="AQ92" s="327"/>
    </row>
    <row r="93" spans="1:43" ht="30" customHeight="1" x14ac:dyDescent="0.25">
      <c r="A93" s="87">
        <f t="shared" si="0"/>
        <v>81</v>
      </c>
      <c r="B93" s="407" t="s">
        <v>334</v>
      </c>
      <c r="C93" s="326"/>
      <c r="D93" s="327"/>
      <c r="E93" s="697"/>
      <c r="F93" s="326"/>
      <c r="G93" s="327"/>
      <c r="H93" s="407"/>
      <c r="I93" s="326"/>
      <c r="J93" s="326"/>
      <c r="K93" s="327"/>
      <c r="L93" s="407"/>
      <c r="M93" s="326"/>
      <c r="N93" s="326"/>
      <c r="O93" s="326"/>
      <c r="P93" s="327"/>
      <c r="Q93" s="407"/>
      <c r="R93" s="326"/>
      <c r="S93" s="326"/>
      <c r="T93" s="326"/>
      <c r="U93" s="326"/>
      <c r="V93" s="326"/>
      <c r="W93" s="326"/>
      <c r="X93" s="326"/>
      <c r="Y93" s="326"/>
      <c r="Z93" s="327"/>
      <c r="AA93" s="407"/>
      <c r="AB93" s="326"/>
      <c r="AC93" s="326"/>
      <c r="AD93" s="326"/>
      <c r="AE93" s="326"/>
      <c r="AF93" s="326"/>
      <c r="AG93" s="326"/>
      <c r="AH93" s="326"/>
      <c r="AI93" s="326"/>
      <c r="AJ93" s="326"/>
      <c r="AK93" s="326"/>
      <c r="AL93" s="326"/>
      <c r="AM93" s="326"/>
      <c r="AN93" s="326"/>
      <c r="AO93" s="326"/>
      <c r="AP93" s="326"/>
      <c r="AQ93" s="327"/>
    </row>
    <row r="94" spans="1:43" ht="30" customHeight="1" x14ac:dyDescent="0.25">
      <c r="A94" s="87">
        <f t="shared" si="0"/>
        <v>82</v>
      </c>
      <c r="B94" s="381" t="s">
        <v>334</v>
      </c>
      <c r="C94" s="326"/>
      <c r="D94" s="327"/>
      <c r="E94" s="698"/>
      <c r="F94" s="326"/>
      <c r="G94" s="327"/>
      <c r="H94" s="381"/>
      <c r="I94" s="326"/>
      <c r="J94" s="326"/>
      <c r="K94" s="327"/>
      <c r="L94" s="381"/>
      <c r="M94" s="326"/>
      <c r="N94" s="326"/>
      <c r="O94" s="326"/>
      <c r="P94" s="327"/>
      <c r="Q94" s="381"/>
      <c r="R94" s="326"/>
      <c r="S94" s="326"/>
      <c r="T94" s="326"/>
      <c r="U94" s="326"/>
      <c r="V94" s="326"/>
      <c r="W94" s="326"/>
      <c r="X94" s="326"/>
      <c r="Y94" s="326"/>
      <c r="Z94" s="327"/>
      <c r="AA94" s="381"/>
      <c r="AB94" s="326"/>
      <c r="AC94" s="326"/>
      <c r="AD94" s="326"/>
      <c r="AE94" s="326"/>
      <c r="AF94" s="326"/>
      <c r="AG94" s="326"/>
      <c r="AH94" s="326"/>
      <c r="AI94" s="326"/>
      <c r="AJ94" s="326"/>
      <c r="AK94" s="326"/>
      <c r="AL94" s="326"/>
      <c r="AM94" s="326"/>
      <c r="AN94" s="326"/>
      <c r="AO94" s="326"/>
      <c r="AP94" s="326"/>
      <c r="AQ94" s="327"/>
    </row>
    <row r="95" spans="1:43" ht="30" customHeight="1" x14ac:dyDescent="0.25">
      <c r="A95" s="87">
        <f t="shared" si="0"/>
        <v>83</v>
      </c>
      <c r="B95" s="407" t="s">
        <v>334</v>
      </c>
      <c r="C95" s="326"/>
      <c r="D95" s="327"/>
      <c r="E95" s="697"/>
      <c r="F95" s="326"/>
      <c r="G95" s="327"/>
      <c r="H95" s="407"/>
      <c r="I95" s="326"/>
      <c r="J95" s="326"/>
      <c r="K95" s="327"/>
      <c r="L95" s="407"/>
      <c r="M95" s="326"/>
      <c r="N95" s="326"/>
      <c r="O95" s="326"/>
      <c r="P95" s="327"/>
      <c r="Q95" s="407"/>
      <c r="R95" s="326"/>
      <c r="S95" s="326"/>
      <c r="T95" s="326"/>
      <c r="U95" s="326"/>
      <c r="V95" s="326"/>
      <c r="W95" s="326"/>
      <c r="X95" s="326"/>
      <c r="Y95" s="326"/>
      <c r="Z95" s="327"/>
      <c r="AA95" s="407"/>
      <c r="AB95" s="326"/>
      <c r="AC95" s="326"/>
      <c r="AD95" s="326"/>
      <c r="AE95" s="326"/>
      <c r="AF95" s="326"/>
      <c r="AG95" s="326"/>
      <c r="AH95" s="326"/>
      <c r="AI95" s="326"/>
      <c r="AJ95" s="326"/>
      <c r="AK95" s="326"/>
      <c r="AL95" s="326"/>
      <c r="AM95" s="326"/>
      <c r="AN95" s="326"/>
      <c r="AO95" s="326"/>
      <c r="AP95" s="326"/>
      <c r="AQ95" s="327"/>
    </row>
    <row r="96" spans="1:43" ht="30" customHeight="1" x14ac:dyDescent="0.25">
      <c r="A96" s="87">
        <f t="shared" si="0"/>
        <v>84</v>
      </c>
      <c r="B96" s="381" t="s">
        <v>334</v>
      </c>
      <c r="C96" s="326"/>
      <c r="D96" s="327"/>
      <c r="E96" s="698"/>
      <c r="F96" s="326"/>
      <c r="G96" s="327"/>
      <c r="H96" s="381"/>
      <c r="I96" s="326"/>
      <c r="J96" s="326"/>
      <c r="K96" s="327"/>
      <c r="L96" s="381"/>
      <c r="M96" s="326"/>
      <c r="N96" s="326"/>
      <c r="O96" s="326"/>
      <c r="P96" s="327"/>
      <c r="Q96" s="381"/>
      <c r="R96" s="326"/>
      <c r="S96" s="326"/>
      <c r="T96" s="326"/>
      <c r="U96" s="326"/>
      <c r="V96" s="326"/>
      <c r="W96" s="326"/>
      <c r="X96" s="326"/>
      <c r="Y96" s="326"/>
      <c r="Z96" s="327"/>
      <c r="AA96" s="381"/>
      <c r="AB96" s="326"/>
      <c r="AC96" s="326"/>
      <c r="AD96" s="326"/>
      <c r="AE96" s="326"/>
      <c r="AF96" s="326"/>
      <c r="AG96" s="326"/>
      <c r="AH96" s="326"/>
      <c r="AI96" s="326"/>
      <c r="AJ96" s="326"/>
      <c r="AK96" s="326"/>
      <c r="AL96" s="326"/>
      <c r="AM96" s="326"/>
      <c r="AN96" s="326"/>
      <c r="AO96" s="326"/>
      <c r="AP96" s="326"/>
      <c r="AQ96" s="327"/>
    </row>
    <row r="97" spans="1:43" ht="30" customHeight="1" x14ac:dyDescent="0.25">
      <c r="A97" s="87">
        <f t="shared" si="0"/>
        <v>85</v>
      </c>
      <c r="B97" s="407" t="s">
        <v>334</v>
      </c>
      <c r="C97" s="326"/>
      <c r="D97" s="327"/>
      <c r="E97" s="697"/>
      <c r="F97" s="326"/>
      <c r="G97" s="327"/>
      <c r="H97" s="407"/>
      <c r="I97" s="326"/>
      <c r="J97" s="326"/>
      <c r="K97" s="327"/>
      <c r="L97" s="407"/>
      <c r="M97" s="326"/>
      <c r="N97" s="326"/>
      <c r="O97" s="326"/>
      <c r="P97" s="327"/>
      <c r="Q97" s="407"/>
      <c r="R97" s="326"/>
      <c r="S97" s="326"/>
      <c r="T97" s="326"/>
      <c r="U97" s="326"/>
      <c r="V97" s="326"/>
      <c r="W97" s="326"/>
      <c r="X97" s="326"/>
      <c r="Y97" s="326"/>
      <c r="Z97" s="327"/>
      <c r="AA97" s="407"/>
      <c r="AB97" s="326"/>
      <c r="AC97" s="326"/>
      <c r="AD97" s="326"/>
      <c r="AE97" s="326"/>
      <c r="AF97" s="326"/>
      <c r="AG97" s="326"/>
      <c r="AH97" s="326"/>
      <c r="AI97" s="326"/>
      <c r="AJ97" s="326"/>
      <c r="AK97" s="326"/>
      <c r="AL97" s="326"/>
      <c r="AM97" s="326"/>
      <c r="AN97" s="326"/>
      <c r="AO97" s="326"/>
      <c r="AP97" s="326"/>
      <c r="AQ97" s="327"/>
    </row>
    <row r="98" spans="1:43" ht="30" customHeight="1" x14ac:dyDescent="0.25">
      <c r="A98" s="87">
        <f t="shared" si="0"/>
        <v>86</v>
      </c>
      <c r="B98" s="381" t="s">
        <v>334</v>
      </c>
      <c r="C98" s="326"/>
      <c r="D98" s="327"/>
      <c r="E98" s="698"/>
      <c r="F98" s="326"/>
      <c r="G98" s="327"/>
      <c r="H98" s="381"/>
      <c r="I98" s="326"/>
      <c r="J98" s="326"/>
      <c r="K98" s="327"/>
      <c r="L98" s="381"/>
      <c r="M98" s="326"/>
      <c r="N98" s="326"/>
      <c r="O98" s="326"/>
      <c r="P98" s="327"/>
      <c r="Q98" s="381"/>
      <c r="R98" s="326"/>
      <c r="S98" s="326"/>
      <c r="T98" s="326"/>
      <c r="U98" s="326"/>
      <c r="V98" s="326"/>
      <c r="W98" s="326"/>
      <c r="X98" s="326"/>
      <c r="Y98" s="326"/>
      <c r="Z98" s="327"/>
      <c r="AA98" s="381"/>
      <c r="AB98" s="326"/>
      <c r="AC98" s="326"/>
      <c r="AD98" s="326"/>
      <c r="AE98" s="326"/>
      <c r="AF98" s="326"/>
      <c r="AG98" s="326"/>
      <c r="AH98" s="326"/>
      <c r="AI98" s="326"/>
      <c r="AJ98" s="326"/>
      <c r="AK98" s="326"/>
      <c r="AL98" s="326"/>
      <c r="AM98" s="326"/>
      <c r="AN98" s="326"/>
      <c r="AO98" s="326"/>
      <c r="AP98" s="326"/>
      <c r="AQ98" s="327"/>
    </row>
    <row r="99" spans="1:43" ht="30" customHeight="1" x14ac:dyDescent="0.25">
      <c r="A99" s="87">
        <f t="shared" si="0"/>
        <v>87</v>
      </c>
      <c r="B99" s="407" t="s">
        <v>334</v>
      </c>
      <c r="C99" s="326"/>
      <c r="D99" s="327"/>
      <c r="E99" s="697"/>
      <c r="F99" s="326"/>
      <c r="G99" s="327"/>
      <c r="H99" s="407"/>
      <c r="I99" s="326"/>
      <c r="J99" s="326"/>
      <c r="K99" s="327"/>
      <c r="L99" s="407"/>
      <c r="M99" s="326"/>
      <c r="N99" s="326"/>
      <c r="O99" s="326"/>
      <c r="P99" s="327"/>
      <c r="Q99" s="407"/>
      <c r="R99" s="326"/>
      <c r="S99" s="326"/>
      <c r="T99" s="326"/>
      <c r="U99" s="326"/>
      <c r="V99" s="326"/>
      <c r="W99" s="326"/>
      <c r="X99" s="326"/>
      <c r="Y99" s="326"/>
      <c r="Z99" s="327"/>
      <c r="AA99" s="407"/>
      <c r="AB99" s="326"/>
      <c r="AC99" s="326"/>
      <c r="AD99" s="326"/>
      <c r="AE99" s="326"/>
      <c r="AF99" s="326"/>
      <c r="AG99" s="326"/>
      <c r="AH99" s="326"/>
      <c r="AI99" s="326"/>
      <c r="AJ99" s="326"/>
      <c r="AK99" s="326"/>
      <c r="AL99" s="326"/>
      <c r="AM99" s="326"/>
      <c r="AN99" s="326"/>
      <c r="AO99" s="326"/>
      <c r="AP99" s="326"/>
      <c r="AQ99" s="327"/>
    </row>
    <row r="100" spans="1:43" ht="30" customHeight="1" x14ac:dyDescent="0.25">
      <c r="A100" s="87">
        <f t="shared" si="0"/>
        <v>88</v>
      </c>
      <c r="B100" s="381" t="s">
        <v>334</v>
      </c>
      <c r="C100" s="326"/>
      <c r="D100" s="327"/>
      <c r="E100" s="698"/>
      <c r="F100" s="326"/>
      <c r="G100" s="327"/>
      <c r="H100" s="381"/>
      <c r="I100" s="326"/>
      <c r="J100" s="326"/>
      <c r="K100" s="327"/>
      <c r="L100" s="381"/>
      <c r="M100" s="326"/>
      <c r="N100" s="326"/>
      <c r="O100" s="326"/>
      <c r="P100" s="327"/>
      <c r="Q100" s="381"/>
      <c r="R100" s="326"/>
      <c r="S100" s="326"/>
      <c r="T100" s="326"/>
      <c r="U100" s="326"/>
      <c r="V100" s="326"/>
      <c r="W100" s="326"/>
      <c r="X100" s="326"/>
      <c r="Y100" s="326"/>
      <c r="Z100" s="327"/>
      <c r="AA100" s="381"/>
      <c r="AB100" s="326"/>
      <c r="AC100" s="326"/>
      <c r="AD100" s="326"/>
      <c r="AE100" s="326"/>
      <c r="AF100" s="326"/>
      <c r="AG100" s="326"/>
      <c r="AH100" s="326"/>
      <c r="AI100" s="326"/>
      <c r="AJ100" s="326"/>
      <c r="AK100" s="326"/>
      <c r="AL100" s="326"/>
      <c r="AM100" s="326"/>
      <c r="AN100" s="326"/>
      <c r="AO100" s="326"/>
      <c r="AP100" s="326"/>
      <c r="AQ100" s="327"/>
    </row>
    <row r="101" spans="1:43" ht="30" customHeight="1" x14ac:dyDescent="0.25">
      <c r="A101" s="87">
        <f t="shared" si="0"/>
        <v>89</v>
      </c>
      <c r="B101" s="407" t="s">
        <v>334</v>
      </c>
      <c r="C101" s="326"/>
      <c r="D101" s="327"/>
      <c r="E101" s="697"/>
      <c r="F101" s="326"/>
      <c r="G101" s="327"/>
      <c r="H101" s="407"/>
      <c r="I101" s="326"/>
      <c r="J101" s="326"/>
      <c r="K101" s="327"/>
      <c r="L101" s="407"/>
      <c r="M101" s="326"/>
      <c r="N101" s="326"/>
      <c r="O101" s="326"/>
      <c r="P101" s="327"/>
      <c r="Q101" s="407"/>
      <c r="R101" s="326"/>
      <c r="S101" s="326"/>
      <c r="T101" s="326"/>
      <c r="U101" s="326"/>
      <c r="V101" s="326"/>
      <c r="W101" s="326"/>
      <c r="X101" s="326"/>
      <c r="Y101" s="326"/>
      <c r="Z101" s="327"/>
      <c r="AA101" s="407"/>
      <c r="AB101" s="326"/>
      <c r="AC101" s="326"/>
      <c r="AD101" s="326"/>
      <c r="AE101" s="326"/>
      <c r="AF101" s="326"/>
      <c r="AG101" s="326"/>
      <c r="AH101" s="326"/>
      <c r="AI101" s="326"/>
      <c r="AJ101" s="326"/>
      <c r="AK101" s="326"/>
      <c r="AL101" s="326"/>
      <c r="AM101" s="326"/>
      <c r="AN101" s="326"/>
      <c r="AO101" s="326"/>
      <c r="AP101" s="326"/>
      <c r="AQ101" s="327"/>
    </row>
    <row r="102" spans="1:43" ht="30" customHeight="1" x14ac:dyDescent="0.25">
      <c r="A102" s="87">
        <f t="shared" si="0"/>
        <v>90</v>
      </c>
      <c r="B102" s="381" t="s">
        <v>334</v>
      </c>
      <c r="C102" s="326"/>
      <c r="D102" s="327"/>
      <c r="E102" s="698"/>
      <c r="F102" s="326"/>
      <c r="G102" s="327"/>
      <c r="H102" s="381"/>
      <c r="I102" s="326"/>
      <c r="J102" s="326"/>
      <c r="K102" s="327"/>
      <c r="L102" s="381"/>
      <c r="M102" s="326"/>
      <c r="N102" s="326"/>
      <c r="O102" s="326"/>
      <c r="P102" s="327"/>
      <c r="Q102" s="381"/>
      <c r="R102" s="326"/>
      <c r="S102" s="326"/>
      <c r="T102" s="326"/>
      <c r="U102" s="326"/>
      <c r="V102" s="326"/>
      <c r="W102" s="326"/>
      <c r="X102" s="326"/>
      <c r="Y102" s="326"/>
      <c r="Z102" s="327"/>
      <c r="AA102" s="381"/>
      <c r="AB102" s="326"/>
      <c r="AC102" s="326"/>
      <c r="AD102" s="326"/>
      <c r="AE102" s="326"/>
      <c r="AF102" s="326"/>
      <c r="AG102" s="326"/>
      <c r="AH102" s="326"/>
      <c r="AI102" s="326"/>
      <c r="AJ102" s="326"/>
      <c r="AK102" s="326"/>
      <c r="AL102" s="326"/>
      <c r="AM102" s="326"/>
      <c r="AN102" s="326"/>
      <c r="AO102" s="326"/>
      <c r="AP102" s="326"/>
      <c r="AQ102" s="327"/>
    </row>
    <row r="103" spans="1:43" ht="30" customHeight="1" x14ac:dyDescent="0.25">
      <c r="A103" s="87">
        <f t="shared" si="0"/>
        <v>91</v>
      </c>
      <c r="B103" s="407" t="s">
        <v>334</v>
      </c>
      <c r="C103" s="326"/>
      <c r="D103" s="327"/>
      <c r="E103" s="697"/>
      <c r="F103" s="326"/>
      <c r="G103" s="327"/>
      <c r="H103" s="407"/>
      <c r="I103" s="326"/>
      <c r="J103" s="326"/>
      <c r="K103" s="327"/>
      <c r="L103" s="407"/>
      <c r="M103" s="326"/>
      <c r="N103" s="326"/>
      <c r="O103" s="326"/>
      <c r="P103" s="327"/>
      <c r="Q103" s="407"/>
      <c r="R103" s="326"/>
      <c r="S103" s="326"/>
      <c r="T103" s="326"/>
      <c r="U103" s="326"/>
      <c r="V103" s="326"/>
      <c r="W103" s="326"/>
      <c r="X103" s="326"/>
      <c r="Y103" s="326"/>
      <c r="Z103" s="327"/>
      <c r="AA103" s="407"/>
      <c r="AB103" s="326"/>
      <c r="AC103" s="326"/>
      <c r="AD103" s="326"/>
      <c r="AE103" s="326"/>
      <c r="AF103" s="326"/>
      <c r="AG103" s="326"/>
      <c r="AH103" s="326"/>
      <c r="AI103" s="326"/>
      <c r="AJ103" s="326"/>
      <c r="AK103" s="326"/>
      <c r="AL103" s="326"/>
      <c r="AM103" s="326"/>
      <c r="AN103" s="326"/>
      <c r="AO103" s="326"/>
      <c r="AP103" s="326"/>
      <c r="AQ103" s="327"/>
    </row>
    <row r="104" spans="1:43" ht="30" customHeight="1" x14ac:dyDescent="0.25">
      <c r="A104" s="87">
        <f t="shared" si="0"/>
        <v>92</v>
      </c>
      <c r="B104" s="381" t="s">
        <v>334</v>
      </c>
      <c r="C104" s="326"/>
      <c r="D104" s="327"/>
      <c r="E104" s="698"/>
      <c r="F104" s="326"/>
      <c r="G104" s="327"/>
      <c r="H104" s="381"/>
      <c r="I104" s="326"/>
      <c r="J104" s="326"/>
      <c r="K104" s="327"/>
      <c r="L104" s="381"/>
      <c r="M104" s="326"/>
      <c r="N104" s="326"/>
      <c r="O104" s="326"/>
      <c r="P104" s="327"/>
      <c r="Q104" s="381"/>
      <c r="R104" s="326"/>
      <c r="S104" s="326"/>
      <c r="T104" s="326"/>
      <c r="U104" s="326"/>
      <c r="V104" s="326"/>
      <c r="W104" s="326"/>
      <c r="X104" s="326"/>
      <c r="Y104" s="326"/>
      <c r="Z104" s="327"/>
      <c r="AA104" s="381"/>
      <c r="AB104" s="326"/>
      <c r="AC104" s="326"/>
      <c r="AD104" s="326"/>
      <c r="AE104" s="326"/>
      <c r="AF104" s="326"/>
      <c r="AG104" s="326"/>
      <c r="AH104" s="326"/>
      <c r="AI104" s="326"/>
      <c r="AJ104" s="326"/>
      <c r="AK104" s="326"/>
      <c r="AL104" s="326"/>
      <c r="AM104" s="326"/>
      <c r="AN104" s="326"/>
      <c r="AO104" s="326"/>
      <c r="AP104" s="326"/>
      <c r="AQ104" s="327"/>
    </row>
    <row r="105" spans="1:43" ht="30" customHeight="1" x14ac:dyDescent="0.25">
      <c r="A105" s="87">
        <f t="shared" si="0"/>
        <v>93</v>
      </c>
      <c r="B105" s="407" t="s">
        <v>334</v>
      </c>
      <c r="C105" s="326"/>
      <c r="D105" s="327"/>
      <c r="E105" s="697"/>
      <c r="F105" s="326"/>
      <c r="G105" s="327"/>
      <c r="H105" s="407"/>
      <c r="I105" s="326"/>
      <c r="J105" s="326"/>
      <c r="K105" s="327"/>
      <c r="L105" s="407"/>
      <c r="M105" s="326"/>
      <c r="N105" s="326"/>
      <c r="O105" s="326"/>
      <c r="P105" s="327"/>
      <c r="Q105" s="407"/>
      <c r="R105" s="326"/>
      <c r="S105" s="326"/>
      <c r="T105" s="326"/>
      <c r="U105" s="326"/>
      <c r="V105" s="326"/>
      <c r="W105" s="326"/>
      <c r="X105" s="326"/>
      <c r="Y105" s="326"/>
      <c r="Z105" s="327"/>
      <c r="AA105" s="407"/>
      <c r="AB105" s="326"/>
      <c r="AC105" s="326"/>
      <c r="AD105" s="326"/>
      <c r="AE105" s="326"/>
      <c r="AF105" s="326"/>
      <c r="AG105" s="326"/>
      <c r="AH105" s="326"/>
      <c r="AI105" s="326"/>
      <c r="AJ105" s="326"/>
      <c r="AK105" s="326"/>
      <c r="AL105" s="326"/>
      <c r="AM105" s="326"/>
      <c r="AN105" s="326"/>
      <c r="AO105" s="326"/>
      <c r="AP105" s="326"/>
      <c r="AQ105" s="327"/>
    </row>
    <row r="106" spans="1:43" ht="30" customHeight="1" x14ac:dyDescent="0.25">
      <c r="A106" s="87">
        <f t="shared" si="0"/>
        <v>94</v>
      </c>
      <c r="B106" s="381" t="s">
        <v>334</v>
      </c>
      <c r="C106" s="326"/>
      <c r="D106" s="327"/>
      <c r="E106" s="698"/>
      <c r="F106" s="326"/>
      <c r="G106" s="327"/>
      <c r="H106" s="381"/>
      <c r="I106" s="326"/>
      <c r="J106" s="326"/>
      <c r="K106" s="327"/>
      <c r="L106" s="381"/>
      <c r="M106" s="326"/>
      <c r="N106" s="326"/>
      <c r="O106" s="326"/>
      <c r="P106" s="327"/>
      <c r="Q106" s="381"/>
      <c r="R106" s="326"/>
      <c r="S106" s="326"/>
      <c r="T106" s="326"/>
      <c r="U106" s="326"/>
      <c r="V106" s="326"/>
      <c r="W106" s="326"/>
      <c r="X106" s="326"/>
      <c r="Y106" s="326"/>
      <c r="Z106" s="327"/>
      <c r="AA106" s="381"/>
      <c r="AB106" s="326"/>
      <c r="AC106" s="326"/>
      <c r="AD106" s="326"/>
      <c r="AE106" s="326"/>
      <c r="AF106" s="326"/>
      <c r="AG106" s="326"/>
      <c r="AH106" s="326"/>
      <c r="AI106" s="326"/>
      <c r="AJ106" s="326"/>
      <c r="AK106" s="326"/>
      <c r="AL106" s="326"/>
      <c r="AM106" s="326"/>
      <c r="AN106" s="326"/>
      <c r="AO106" s="326"/>
      <c r="AP106" s="326"/>
      <c r="AQ106" s="327"/>
    </row>
    <row r="107" spans="1:43" ht="30" customHeight="1" x14ac:dyDescent="0.25">
      <c r="A107" s="87">
        <f t="shared" si="0"/>
        <v>95</v>
      </c>
      <c r="B107" s="407" t="s">
        <v>334</v>
      </c>
      <c r="C107" s="326"/>
      <c r="D107" s="327"/>
      <c r="E107" s="697"/>
      <c r="F107" s="326"/>
      <c r="G107" s="327"/>
      <c r="H107" s="407"/>
      <c r="I107" s="326"/>
      <c r="J107" s="326"/>
      <c r="K107" s="327"/>
      <c r="L107" s="407"/>
      <c r="M107" s="326"/>
      <c r="N107" s="326"/>
      <c r="O107" s="326"/>
      <c r="P107" s="327"/>
      <c r="Q107" s="407"/>
      <c r="R107" s="326"/>
      <c r="S107" s="326"/>
      <c r="T107" s="326"/>
      <c r="U107" s="326"/>
      <c r="V107" s="326"/>
      <c r="W107" s="326"/>
      <c r="X107" s="326"/>
      <c r="Y107" s="326"/>
      <c r="Z107" s="327"/>
      <c r="AA107" s="407"/>
      <c r="AB107" s="326"/>
      <c r="AC107" s="326"/>
      <c r="AD107" s="326"/>
      <c r="AE107" s="326"/>
      <c r="AF107" s="326"/>
      <c r="AG107" s="326"/>
      <c r="AH107" s="326"/>
      <c r="AI107" s="326"/>
      <c r="AJ107" s="326"/>
      <c r="AK107" s="326"/>
      <c r="AL107" s="326"/>
      <c r="AM107" s="326"/>
      <c r="AN107" s="326"/>
      <c r="AO107" s="326"/>
      <c r="AP107" s="326"/>
      <c r="AQ107" s="327"/>
    </row>
    <row r="108" spans="1:43" ht="30" customHeight="1" x14ac:dyDescent="0.25">
      <c r="A108" s="87">
        <f t="shared" si="0"/>
        <v>96</v>
      </c>
      <c r="B108" s="381" t="s">
        <v>334</v>
      </c>
      <c r="C108" s="326"/>
      <c r="D108" s="327"/>
      <c r="E108" s="698"/>
      <c r="F108" s="326"/>
      <c r="G108" s="327"/>
      <c r="H108" s="381"/>
      <c r="I108" s="326"/>
      <c r="J108" s="326"/>
      <c r="K108" s="327"/>
      <c r="L108" s="381"/>
      <c r="M108" s="326"/>
      <c r="N108" s="326"/>
      <c r="O108" s="326"/>
      <c r="P108" s="327"/>
      <c r="Q108" s="381"/>
      <c r="R108" s="326"/>
      <c r="S108" s="326"/>
      <c r="T108" s="326"/>
      <c r="U108" s="326"/>
      <c r="V108" s="326"/>
      <c r="W108" s="326"/>
      <c r="X108" s="326"/>
      <c r="Y108" s="326"/>
      <c r="Z108" s="327"/>
      <c r="AA108" s="381"/>
      <c r="AB108" s="326"/>
      <c r="AC108" s="326"/>
      <c r="AD108" s="326"/>
      <c r="AE108" s="326"/>
      <c r="AF108" s="326"/>
      <c r="AG108" s="326"/>
      <c r="AH108" s="326"/>
      <c r="AI108" s="326"/>
      <c r="AJ108" s="326"/>
      <c r="AK108" s="326"/>
      <c r="AL108" s="326"/>
      <c r="AM108" s="326"/>
      <c r="AN108" s="326"/>
      <c r="AO108" s="326"/>
      <c r="AP108" s="326"/>
      <c r="AQ108" s="327"/>
    </row>
    <row r="109" spans="1:43" ht="30" customHeight="1" x14ac:dyDescent="0.25">
      <c r="A109" s="87">
        <f t="shared" si="0"/>
        <v>97</v>
      </c>
      <c r="B109" s="407" t="s">
        <v>334</v>
      </c>
      <c r="C109" s="326"/>
      <c r="D109" s="327"/>
      <c r="E109" s="697"/>
      <c r="F109" s="326"/>
      <c r="G109" s="327"/>
      <c r="H109" s="407"/>
      <c r="I109" s="326"/>
      <c r="J109" s="326"/>
      <c r="K109" s="327"/>
      <c r="L109" s="407"/>
      <c r="M109" s="326"/>
      <c r="N109" s="326"/>
      <c r="O109" s="326"/>
      <c r="P109" s="327"/>
      <c r="Q109" s="407"/>
      <c r="R109" s="326"/>
      <c r="S109" s="326"/>
      <c r="T109" s="326"/>
      <c r="U109" s="326"/>
      <c r="V109" s="326"/>
      <c r="W109" s="326"/>
      <c r="X109" s="326"/>
      <c r="Y109" s="326"/>
      <c r="Z109" s="327"/>
      <c r="AA109" s="407"/>
      <c r="AB109" s="326"/>
      <c r="AC109" s="326"/>
      <c r="AD109" s="326"/>
      <c r="AE109" s="326"/>
      <c r="AF109" s="326"/>
      <c r="AG109" s="326"/>
      <c r="AH109" s="326"/>
      <c r="AI109" s="326"/>
      <c r="AJ109" s="326"/>
      <c r="AK109" s="326"/>
      <c r="AL109" s="326"/>
      <c r="AM109" s="326"/>
      <c r="AN109" s="326"/>
      <c r="AO109" s="326"/>
      <c r="AP109" s="326"/>
      <c r="AQ109" s="327"/>
    </row>
    <row r="110" spans="1:43" ht="30" customHeight="1" x14ac:dyDescent="0.25">
      <c r="A110" s="87">
        <f t="shared" si="0"/>
        <v>98</v>
      </c>
      <c r="B110" s="381" t="s">
        <v>334</v>
      </c>
      <c r="C110" s="326"/>
      <c r="D110" s="327"/>
      <c r="E110" s="698"/>
      <c r="F110" s="326"/>
      <c r="G110" s="327"/>
      <c r="H110" s="381"/>
      <c r="I110" s="326"/>
      <c r="J110" s="326"/>
      <c r="K110" s="327"/>
      <c r="L110" s="381"/>
      <c r="M110" s="326"/>
      <c r="N110" s="326"/>
      <c r="O110" s="326"/>
      <c r="P110" s="327"/>
      <c r="Q110" s="381"/>
      <c r="R110" s="326"/>
      <c r="S110" s="326"/>
      <c r="T110" s="326"/>
      <c r="U110" s="326"/>
      <c r="V110" s="326"/>
      <c r="W110" s="326"/>
      <c r="X110" s="326"/>
      <c r="Y110" s="326"/>
      <c r="Z110" s="327"/>
      <c r="AA110" s="381"/>
      <c r="AB110" s="326"/>
      <c r="AC110" s="326"/>
      <c r="AD110" s="326"/>
      <c r="AE110" s="326"/>
      <c r="AF110" s="326"/>
      <c r="AG110" s="326"/>
      <c r="AH110" s="326"/>
      <c r="AI110" s="326"/>
      <c r="AJ110" s="326"/>
      <c r="AK110" s="326"/>
      <c r="AL110" s="326"/>
      <c r="AM110" s="326"/>
      <c r="AN110" s="326"/>
      <c r="AO110" s="326"/>
      <c r="AP110" s="326"/>
      <c r="AQ110" s="327"/>
    </row>
    <row r="111" spans="1:43" ht="30" customHeight="1" x14ac:dyDescent="0.25">
      <c r="A111" s="87">
        <f t="shared" si="0"/>
        <v>99</v>
      </c>
      <c r="B111" s="407" t="s">
        <v>334</v>
      </c>
      <c r="C111" s="326"/>
      <c r="D111" s="327"/>
      <c r="E111" s="697"/>
      <c r="F111" s="326"/>
      <c r="G111" s="327"/>
      <c r="H111" s="407"/>
      <c r="I111" s="326"/>
      <c r="J111" s="326"/>
      <c r="K111" s="327"/>
      <c r="L111" s="407"/>
      <c r="M111" s="326"/>
      <c r="N111" s="326"/>
      <c r="O111" s="326"/>
      <c r="P111" s="327"/>
      <c r="Q111" s="407"/>
      <c r="R111" s="326"/>
      <c r="S111" s="326"/>
      <c r="T111" s="326"/>
      <c r="U111" s="326"/>
      <c r="V111" s="326"/>
      <c r="W111" s="326"/>
      <c r="X111" s="326"/>
      <c r="Y111" s="326"/>
      <c r="Z111" s="327"/>
      <c r="AA111" s="407"/>
      <c r="AB111" s="326"/>
      <c r="AC111" s="326"/>
      <c r="AD111" s="326"/>
      <c r="AE111" s="326"/>
      <c r="AF111" s="326"/>
      <c r="AG111" s="326"/>
      <c r="AH111" s="326"/>
      <c r="AI111" s="326"/>
      <c r="AJ111" s="326"/>
      <c r="AK111" s="326"/>
      <c r="AL111" s="326"/>
      <c r="AM111" s="326"/>
      <c r="AN111" s="326"/>
      <c r="AO111" s="326"/>
      <c r="AP111" s="326"/>
      <c r="AQ111" s="327"/>
    </row>
    <row r="112" spans="1:43" ht="30" customHeight="1" x14ac:dyDescent="0.25">
      <c r="A112" s="87">
        <f t="shared" si="0"/>
        <v>100</v>
      </c>
      <c r="B112" s="381" t="s">
        <v>334</v>
      </c>
      <c r="C112" s="326"/>
      <c r="D112" s="327"/>
      <c r="E112" s="698"/>
      <c r="F112" s="326"/>
      <c r="G112" s="327"/>
      <c r="H112" s="381"/>
      <c r="I112" s="326"/>
      <c r="J112" s="326"/>
      <c r="K112" s="327"/>
      <c r="L112" s="381"/>
      <c r="M112" s="326"/>
      <c r="N112" s="326"/>
      <c r="O112" s="326"/>
      <c r="P112" s="327"/>
      <c r="Q112" s="381"/>
      <c r="R112" s="326"/>
      <c r="S112" s="326"/>
      <c r="T112" s="326"/>
      <c r="U112" s="326"/>
      <c r="V112" s="326"/>
      <c r="W112" s="326"/>
      <c r="X112" s="326"/>
      <c r="Y112" s="326"/>
      <c r="Z112" s="327"/>
      <c r="AA112" s="381"/>
      <c r="AB112" s="326"/>
      <c r="AC112" s="326"/>
      <c r="AD112" s="326"/>
      <c r="AE112" s="326"/>
      <c r="AF112" s="326"/>
      <c r="AG112" s="326"/>
      <c r="AH112" s="326"/>
      <c r="AI112" s="326"/>
      <c r="AJ112" s="326"/>
      <c r="AK112" s="326"/>
      <c r="AL112" s="326"/>
      <c r="AM112" s="326"/>
      <c r="AN112" s="326"/>
      <c r="AO112" s="326"/>
      <c r="AP112" s="326"/>
      <c r="AQ112" s="327"/>
    </row>
    <row r="113" spans="1:43" ht="30" customHeight="1" x14ac:dyDescent="0.25">
      <c r="A113" s="87">
        <f t="shared" si="0"/>
        <v>101</v>
      </c>
      <c r="B113" s="407" t="s">
        <v>334</v>
      </c>
      <c r="C113" s="326"/>
      <c r="D113" s="327"/>
      <c r="E113" s="697"/>
      <c r="F113" s="326"/>
      <c r="G113" s="327"/>
      <c r="H113" s="407"/>
      <c r="I113" s="326"/>
      <c r="J113" s="326"/>
      <c r="K113" s="327"/>
      <c r="L113" s="407"/>
      <c r="M113" s="326"/>
      <c r="N113" s="326"/>
      <c r="O113" s="326"/>
      <c r="P113" s="327"/>
      <c r="Q113" s="407"/>
      <c r="R113" s="326"/>
      <c r="S113" s="326"/>
      <c r="T113" s="326"/>
      <c r="U113" s="326"/>
      <c r="V113" s="326"/>
      <c r="W113" s="326"/>
      <c r="X113" s="326"/>
      <c r="Y113" s="326"/>
      <c r="Z113" s="327"/>
      <c r="AA113" s="407"/>
      <c r="AB113" s="326"/>
      <c r="AC113" s="326"/>
      <c r="AD113" s="326"/>
      <c r="AE113" s="326"/>
      <c r="AF113" s="326"/>
      <c r="AG113" s="326"/>
      <c r="AH113" s="326"/>
      <c r="AI113" s="326"/>
      <c r="AJ113" s="326"/>
      <c r="AK113" s="326"/>
      <c r="AL113" s="326"/>
      <c r="AM113" s="326"/>
      <c r="AN113" s="326"/>
      <c r="AO113" s="326"/>
      <c r="AP113" s="326"/>
      <c r="AQ113" s="327"/>
    </row>
    <row r="114" spans="1:43" ht="30" customHeight="1" x14ac:dyDescent="0.25">
      <c r="A114" s="87">
        <f t="shared" si="0"/>
        <v>102</v>
      </c>
      <c r="B114" s="381" t="s">
        <v>334</v>
      </c>
      <c r="C114" s="326"/>
      <c r="D114" s="327"/>
      <c r="E114" s="698"/>
      <c r="F114" s="326"/>
      <c r="G114" s="327"/>
      <c r="H114" s="381"/>
      <c r="I114" s="326"/>
      <c r="J114" s="326"/>
      <c r="K114" s="327"/>
      <c r="L114" s="381"/>
      <c r="M114" s="326"/>
      <c r="N114" s="326"/>
      <c r="O114" s="326"/>
      <c r="P114" s="327"/>
      <c r="Q114" s="381"/>
      <c r="R114" s="326"/>
      <c r="S114" s="326"/>
      <c r="T114" s="326"/>
      <c r="U114" s="326"/>
      <c r="V114" s="326"/>
      <c r="W114" s="326"/>
      <c r="X114" s="326"/>
      <c r="Y114" s="326"/>
      <c r="Z114" s="327"/>
      <c r="AA114" s="381"/>
      <c r="AB114" s="326"/>
      <c r="AC114" s="326"/>
      <c r="AD114" s="326"/>
      <c r="AE114" s="326"/>
      <c r="AF114" s="326"/>
      <c r="AG114" s="326"/>
      <c r="AH114" s="326"/>
      <c r="AI114" s="326"/>
      <c r="AJ114" s="326"/>
      <c r="AK114" s="326"/>
      <c r="AL114" s="326"/>
      <c r="AM114" s="326"/>
      <c r="AN114" s="326"/>
      <c r="AO114" s="326"/>
      <c r="AP114" s="326"/>
      <c r="AQ114" s="327"/>
    </row>
    <row r="115" spans="1:43" ht="30" customHeight="1" x14ac:dyDescent="0.25">
      <c r="A115" s="87">
        <f t="shared" si="0"/>
        <v>103</v>
      </c>
      <c r="B115" s="407" t="s">
        <v>334</v>
      </c>
      <c r="C115" s="326"/>
      <c r="D115" s="327"/>
      <c r="E115" s="697"/>
      <c r="F115" s="326"/>
      <c r="G115" s="327"/>
      <c r="H115" s="407"/>
      <c r="I115" s="326"/>
      <c r="J115" s="326"/>
      <c r="K115" s="327"/>
      <c r="L115" s="407"/>
      <c r="M115" s="326"/>
      <c r="N115" s="326"/>
      <c r="O115" s="326"/>
      <c r="P115" s="327"/>
      <c r="Q115" s="407"/>
      <c r="R115" s="326"/>
      <c r="S115" s="326"/>
      <c r="T115" s="326"/>
      <c r="U115" s="326"/>
      <c r="V115" s="326"/>
      <c r="W115" s="326"/>
      <c r="X115" s="326"/>
      <c r="Y115" s="326"/>
      <c r="Z115" s="327"/>
      <c r="AA115" s="407"/>
      <c r="AB115" s="326"/>
      <c r="AC115" s="326"/>
      <c r="AD115" s="326"/>
      <c r="AE115" s="326"/>
      <c r="AF115" s="326"/>
      <c r="AG115" s="326"/>
      <c r="AH115" s="326"/>
      <c r="AI115" s="326"/>
      <c r="AJ115" s="326"/>
      <c r="AK115" s="326"/>
      <c r="AL115" s="326"/>
      <c r="AM115" s="326"/>
      <c r="AN115" s="326"/>
      <c r="AO115" s="326"/>
      <c r="AP115" s="326"/>
      <c r="AQ115" s="327"/>
    </row>
    <row r="116" spans="1:43" ht="30" customHeight="1" x14ac:dyDescent="0.25">
      <c r="A116" s="87">
        <f t="shared" si="0"/>
        <v>104</v>
      </c>
      <c r="B116" s="381" t="s">
        <v>334</v>
      </c>
      <c r="C116" s="326"/>
      <c r="D116" s="327"/>
      <c r="E116" s="698"/>
      <c r="F116" s="326"/>
      <c r="G116" s="327"/>
      <c r="H116" s="381"/>
      <c r="I116" s="326"/>
      <c r="J116" s="326"/>
      <c r="K116" s="327"/>
      <c r="L116" s="381"/>
      <c r="M116" s="326"/>
      <c r="N116" s="326"/>
      <c r="O116" s="326"/>
      <c r="P116" s="327"/>
      <c r="Q116" s="381"/>
      <c r="R116" s="326"/>
      <c r="S116" s="326"/>
      <c r="T116" s="326"/>
      <c r="U116" s="326"/>
      <c r="V116" s="326"/>
      <c r="W116" s="326"/>
      <c r="X116" s="326"/>
      <c r="Y116" s="326"/>
      <c r="Z116" s="327"/>
      <c r="AA116" s="381"/>
      <c r="AB116" s="326"/>
      <c r="AC116" s="326"/>
      <c r="AD116" s="326"/>
      <c r="AE116" s="326"/>
      <c r="AF116" s="326"/>
      <c r="AG116" s="326"/>
      <c r="AH116" s="326"/>
      <c r="AI116" s="326"/>
      <c r="AJ116" s="326"/>
      <c r="AK116" s="326"/>
      <c r="AL116" s="326"/>
      <c r="AM116" s="326"/>
      <c r="AN116" s="326"/>
      <c r="AO116" s="326"/>
      <c r="AP116" s="326"/>
      <c r="AQ116" s="327"/>
    </row>
    <row r="117" spans="1:43" ht="30" customHeight="1" x14ac:dyDescent="0.25">
      <c r="A117" s="87">
        <f t="shared" si="0"/>
        <v>105</v>
      </c>
      <c r="B117" s="407" t="s">
        <v>334</v>
      </c>
      <c r="C117" s="326"/>
      <c r="D117" s="327"/>
      <c r="E117" s="697"/>
      <c r="F117" s="326"/>
      <c r="G117" s="327"/>
      <c r="H117" s="407"/>
      <c r="I117" s="326"/>
      <c r="J117" s="326"/>
      <c r="K117" s="327"/>
      <c r="L117" s="407"/>
      <c r="M117" s="326"/>
      <c r="N117" s="326"/>
      <c r="O117" s="326"/>
      <c r="P117" s="327"/>
      <c r="Q117" s="407"/>
      <c r="R117" s="326"/>
      <c r="S117" s="326"/>
      <c r="T117" s="326"/>
      <c r="U117" s="326"/>
      <c r="V117" s="326"/>
      <c r="W117" s="326"/>
      <c r="X117" s="326"/>
      <c r="Y117" s="326"/>
      <c r="Z117" s="327"/>
      <c r="AA117" s="407"/>
      <c r="AB117" s="326"/>
      <c r="AC117" s="326"/>
      <c r="AD117" s="326"/>
      <c r="AE117" s="326"/>
      <c r="AF117" s="326"/>
      <c r="AG117" s="326"/>
      <c r="AH117" s="326"/>
      <c r="AI117" s="326"/>
      <c r="AJ117" s="326"/>
      <c r="AK117" s="326"/>
      <c r="AL117" s="326"/>
      <c r="AM117" s="326"/>
      <c r="AN117" s="326"/>
      <c r="AO117" s="326"/>
      <c r="AP117" s="326"/>
      <c r="AQ117" s="327"/>
    </row>
    <row r="118" spans="1:43" ht="30" customHeight="1" x14ac:dyDescent="0.25">
      <c r="A118" s="87">
        <f t="shared" si="0"/>
        <v>106</v>
      </c>
      <c r="B118" s="381" t="s">
        <v>334</v>
      </c>
      <c r="C118" s="326"/>
      <c r="D118" s="327"/>
      <c r="E118" s="698"/>
      <c r="F118" s="326"/>
      <c r="G118" s="327"/>
      <c r="H118" s="381"/>
      <c r="I118" s="326"/>
      <c r="J118" s="326"/>
      <c r="K118" s="327"/>
      <c r="L118" s="381"/>
      <c r="M118" s="326"/>
      <c r="N118" s="326"/>
      <c r="O118" s="326"/>
      <c r="P118" s="327"/>
      <c r="Q118" s="381"/>
      <c r="R118" s="326"/>
      <c r="S118" s="326"/>
      <c r="T118" s="326"/>
      <c r="U118" s="326"/>
      <c r="V118" s="326"/>
      <c r="W118" s="326"/>
      <c r="X118" s="326"/>
      <c r="Y118" s="326"/>
      <c r="Z118" s="327"/>
      <c r="AA118" s="381"/>
      <c r="AB118" s="326"/>
      <c r="AC118" s="326"/>
      <c r="AD118" s="326"/>
      <c r="AE118" s="326"/>
      <c r="AF118" s="326"/>
      <c r="AG118" s="326"/>
      <c r="AH118" s="326"/>
      <c r="AI118" s="326"/>
      <c r="AJ118" s="326"/>
      <c r="AK118" s="326"/>
      <c r="AL118" s="326"/>
      <c r="AM118" s="326"/>
      <c r="AN118" s="326"/>
      <c r="AO118" s="326"/>
      <c r="AP118" s="326"/>
      <c r="AQ118" s="327"/>
    </row>
    <row r="119" spans="1:43" ht="30" customHeight="1" x14ac:dyDescent="0.25">
      <c r="A119" s="87">
        <f t="shared" si="0"/>
        <v>107</v>
      </c>
      <c r="B119" s="407" t="s">
        <v>334</v>
      </c>
      <c r="C119" s="326"/>
      <c r="D119" s="327"/>
      <c r="E119" s="697"/>
      <c r="F119" s="326"/>
      <c r="G119" s="327"/>
      <c r="H119" s="407"/>
      <c r="I119" s="326"/>
      <c r="J119" s="326"/>
      <c r="K119" s="327"/>
      <c r="L119" s="407"/>
      <c r="M119" s="326"/>
      <c r="N119" s="326"/>
      <c r="O119" s="326"/>
      <c r="P119" s="327"/>
      <c r="Q119" s="407"/>
      <c r="R119" s="326"/>
      <c r="S119" s="326"/>
      <c r="T119" s="326"/>
      <c r="U119" s="326"/>
      <c r="V119" s="326"/>
      <c r="W119" s="326"/>
      <c r="X119" s="326"/>
      <c r="Y119" s="326"/>
      <c r="Z119" s="327"/>
      <c r="AA119" s="407"/>
      <c r="AB119" s="326"/>
      <c r="AC119" s="326"/>
      <c r="AD119" s="326"/>
      <c r="AE119" s="326"/>
      <c r="AF119" s="326"/>
      <c r="AG119" s="326"/>
      <c r="AH119" s="326"/>
      <c r="AI119" s="326"/>
      <c r="AJ119" s="326"/>
      <c r="AK119" s="326"/>
      <c r="AL119" s="326"/>
      <c r="AM119" s="326"/>
      <c r="AN119" s="326"/>
      <c r="AO119" s="326"/>
      <c r="AP119" s="326"/>
      <c r="AQ119" s="327"/>
    </row>
    <row r="120" spans="1:43" ht="30" customHeight="1" x14ac:dyDescent="0.25">
      <c r="A120" s="87">
        <f t="shared" si="0"/>
        <v>108</v>
      </c>
      <c r="B120" s="381" t="s">
        <v>334</v>
      </c>
      <c r="C120" s="326"/>
      <c r="D120" s="327"/>
      <c r="E120" s="698"/>
      <c r="F120" s="326"/>
      <c r="G120" s="327"/>
      <c r="H120" s="381"/>
      <c r="I120" s="326"/>
      <c r="J120" s="326"/>
      <c r="K120" s="327"/>
      <c r="L120" s="381"/>
      <c r="M120" s="326"/>
      <c r="N120" s="326"/>
      <c r="O120" s="326"/>
      <c r="P120" s="327"/>
      <c r="Q120" s="381"/>
      <c r="R120" s="326"/>
      <c r="S120" s="326"/>
      <c r="T120" s="326"/>
      <c r="U120" s="326"/>
      <c r="V120" s="326"/>
      <c r="W120" s="326"/>
      <c r="X120" s="326"/>
      <c r="Y120" s="326"/>
      <c r="Z120" s="327"/>
      <c r="AA120" s="381"/>
      <c r="AB120" s="326"/>
      <c r="AC120" s="326"/>
      <c r="AD120" s="326"/>
      <c r="AE120" s="326"/>
      <c r="AF120" s="326"/>
      <c r="AG120" s="326"/>
      <c r="AH120" s="326"/>
      <c r="AI120" s="326"/>
      <c r="AJ120" s="326"/>
      <c r="AK120" s="326"/>
      <c r="AL120" s="326"/>
      <c r="AM120" s="326"/>
      <c r="AN120" s="326"/>
      <c r="AO120" s="326"/>
      <c r="AP120" s="326"/>
      <c r="AQ120" s="327"/>
    </row>
    <row r="121" spans="1:43" ht="30" customHeight="1" x14ac:dyDescent="0.25">
      <c r="A121" s="87">
        <f t="shared" si="0"/>
        <v>109</v>
      </c>
      <c r="B121" s="407" t="s">
        <v>334</v>
      </c>
      <c r="C121" s="326"/>
      <c r="D121" s="327"/>
      <c r="E121" s="697"/>
      <c r="F121" s="326"/>
      <c r="G121" s="327"/>
      <c r="H121" s="407"/>
      <c r="I121" s="326"/>
      <c r="J121" s="326"/>
      <c r="K121" s="327"/>
      <c r="L121" s="407"/>
      <c r="M121" s="326"/>
      <c r="N121" s="326"/>
      <c r="O121" s="326"/>
      <c r="P121" s="327"/>
      <c r="Q121" s="407"/>
      <c r="R121" s="326"/>
      <c r="S121" s="326"/>
      <c r="T121" s="326"/>
      <c r="U121" s="326"/>
      <c r="V121" s="326"/>
      <c r="W121" s="326"/>
      <c r="X121" s="326"/>
      <c r="Y121" s="326"/>
      <c r="Z121" s="327"/>
      <c r="AA121" s="407"/>
      <c r="AB121" s="326"/>
      <c r="AC121" s="326"/>
      <c r="AD121" s="326"/>
      <c r="AE121" s="326"/>
      <c r="AF121" s="326"/>
      <c r="AG121" s="326"/>
      <c r="AH121" s="326"/>
      <c r="AI121" s="326"/>
      <c r="AJ121" s="326"/>
      <c r="AK121" s="326"/>
      <c r="AL121" s="326"/>
      <c r="AM121" s="326"/>
      <c r="AN121" s="326"/>
      <c r="AO121" s="326"/>
      <c r="AP121" s="326"/>
      <c r="AQ121" s="327"/>
    </row>
    <row r="122" spans="1:43" ht="30" customHeight="1" x14ac:dyDescent="0.25">
      <c r="A122" s="87">
        <f t="shared" si="0"/>
        <v>110</v>
      </c>
      <c r="B122" s="381" t="s">
        <v>334</v>
      </c>
      <c r="C122" s="326"/>
      <c r="D122" s="327"/>
      <c r="E122" s="698"/>
      <c r="F122" s="326"/>
      <c r="G122" s="327"/>
      <c r="H122" s="381"/>
      <c r="I122" s="326"/>
      <c r="J122" s="326"/>
      <c r="K122" s="327"/>
      <c r="L122" s="381"/>
      <c r="M122" s="326"/>
      <c r="N122" s="326"/>
      <c r="O122" s="326"/>
      <c r="P122" s="327"/>
      <c r="Q122" s="381"/>
      <c r="R122" s="326"/>
      <c r="S122" s="326"/>
      <c r="T122" s="326"/>
      <c r="U122" s="326"/>
      <c r="V122" s="326"/>
      <c r="W122" s="326"/>
      <c r="X122" s="326"/>
      <c r="Y122" s="326"/>
      <c r="Z122" s="327"/>
      <c r="AA122" s="381"/>
      <c r="AB122" s="326"/>
      <c r="AC122" s="326"/>
      <c r="AD122" s="326"/>
      <c r="AE122" s="326"/>
      <c r="AF122" s="326"/>
      <c r="AG122" s="326"/>
      <c r="AH122" s="326"/>
      <c r="AI122" s="326"/>
      <c r="AJ122" s="326"/>
      <c r="AK122" s="326"/>
      <c r="AL122" s="326"/>
      <c r="AM122" s="326"/>
      <c r="AN122" s="326"/>
      <c r="AO122" s="326"/>
      <c r="AP122" s="326"/>
      <c r="AQ122" s="327"/>
    </row>
    <row r="123" spans="1:43" ht="30" customHeight="1" x14ac:dyDescent="0.25">
      <c r="A123" s="87">
        <f t="shared" si="0"/>
        <v>111</v>
      </c>
      <c r="B123" s="407" t="s">
        <v>334</v>
      </c>
      <c r="C123" s="326"/>
      <c r="D123" s="327"/>
      <c r="E123" s="697"/>
      <c r="F123" s="326"/>
      <c r="G123" s="327"/>
      <c r="H123" s="407"/>
      <c r="I123" s="326"/>
      <c r="J123" s="326"/>
      <c r="K123" s="327"/>
      <c r="L123" s="407"/>
      <c r="M123" s="326"/>
      <c r="N123" s="326"/>
      <c r="O123" s="326"/>
      <c r="P123" s="327"/>
      <c r="Q123" s="407"/>
      <c r="R123" s="326"/>
      <c r="S123" s="326"/>
      <c r="T123" s="326"/>
      <c r="U123" s="326"/>
      <c r="V123" s="326"/>
      <c r="W123" s="326"/>
      <c r="X123" s="326"/>
      <c r="Y123" s="326"/>
      <c r="Z123" s="327"/>
      <c r="AA123" s="407"/>
      <c r="AB123" s="326"/>
      <c r="AC123" s="326"/>
      <c r="AD123" s="326"/>
      <c r="AE123" s="326"/>
      <c r="AF123" s="326"/>
      <c r="AG123" s="326"/>
      <c r="AH123" s="326"/>
      <c r="AI123" s="326"/>
      <c r="AJ123" s="326"/>
      <c r="AK123" s="326"/>
      <c r="AL123" s="326"/>
      <c r="AM123" s="326"/>
      <c r="AN123" s="326"/>
      <c r="AO123" s="326"/>
      <c r="AP123" s="326"/>
      <c r="AQ123" s="327"/>
    </row>
    <row r="124" spans="1:43" ht="30" customHeight="1" x14ac:dyDescent="0.25">
      <c r="A124" s="87">
        <f t="shared" si="0"/>
        <v>112</v>
      </c>
      <c r="B124" s="381" t="s">
        <v>334</v>
      </c>
      <c r="C124" s="326"/>
      <c r="D124" s="327"/>
      <c r="E124" s="698"/>
      <c r="F124" s="326"/>
      <c r="G124" s="327"/>
      <c r="H124" s="381"/>
      <c r="I124" s="326"/>
      <c r="J124" s="326"/>
      <c r="K124" s="327"/>
      <c r="L124" s="381"/>
      <c r="M124" s="326"/>
      <c r="N124" s="326"/>
      <c r="O124" s="326"/>
      <c r="P124" s="327"/>
      <c r="Q124" s="381"/>
      <c r="R124" s="326"/>
      <c r="S124" s="326"/>
      <c r="T124" s="326"/>
      <c r="U124" s="326"/>
      <c r="V124" s="326"/>
      <c r="W124" s="326"/>
      <c r="X124" s="326"/>
      <c r="Y124" s="326"/>
      <c r="Z124" s="327"/>
      <c r="AA124" s="381"/>
      <c r="AB124" s="326"/>
      <c r="AC124" s="326"/>
      <c r="AD124" s="326"/>
      <c r="AE124" s="326"/>
      <c r="AF124" s="326"/>
      <c r="AG124" s="326"/>
      <c r="AH124" s="326"/>
      <c r="AI124" s="326"/>
      <c r="AJ124" s="326"/>
      <c r="AK124" s="326"/>
      <c r="AL124" s="326"/>
      <c r="AM124" s="326"/>
      <c r="AN124" s="326"/>
      <c r="AO124" s="326"/>
      <c r="AP124" s="326"/>
      <c r="AQ124" s="327"/>
    </row>
    <row r="125" spans="1:43" ht="30" customHeight="1" x14ac:dyDescent="0.25">
      <c r="A125" s="87">
        <f t="shared" si="0"/>
        <v>113</v>
      </c>
      <c r="B125" s="407" t="s">
        <v>334</v>
      </c>
      <c r="C125" s="326"/>
      <c r="D125" s="327"/>
      <c r="E125" s="697"/>
      <c r="F125" s="326"/>
      <c r="G125" s="327"/>
      <c r="H125" s="407"/>
      <c r="I125" s="326"/>
      <c r="J125" s="326"/>
      <c r="K125" s="327"/>
      <c r="L125" s="407"/>
      <c r="M125" s="326"/>
      <c r="N125" s="326"/>
      <c r="O125" s="326"/>
      <c r="P125" s="327"/>
      <c r="Q125" s="407"/>
      <c r="R125" s="326"/>
      <c r="S125" s="326"/>
      <c r="T125" s="326"/>
      <c r="U125" s="326"/>
      <c r="V125" s="326"/>
      <c r="W125" s="326"/>
      <c r="X125" s="326"/>
      <c r="Y125" s="326"/>
      <c r="Z125" s="327"/>
      <c r="AA125" s="407"/>
      <c r="AB125" s="326"/>
      <c r="AC125" s="326"/>
      <c r="AD125" s="326"/>
      <c r="AE125" s="326"/>
      <c r="AF125" s="326"/>
      <c r="AG125" s="326"/>
      <c r="AH125" s="326"/>
      <c r="AI125" s="326"/>
      <c r="AJ125" s="326"/>
      <c r="AK125" s="326"/>
      <c r="AL125" s="326"/>
      <c r="AM125" s="326"/>
      <c r="AN125" s="326"/>
      <c r="AO125" s="326"/>
      <c r="AP125" s="326"/>
      <c r="AQ125" s="327"/>
    </row>
    <row r="126" spans="1:43" ht="30" customHeight="1" x14ac:dyDescent="0.25">
      <c r="A126" s="87">
        <f t="shared" si="0"/>
        <v>114</v>
      </c>
      <c r="B126" s="381" t="s">
        <v>334</v>
      </c>
      <c r="C126" s="326"/>
      <c r="D126" s="327"/>
      <c r="E126" s="698"/>
      <c r="F126" s="326"/>
      <c r="G126" s="327"/>
      <c r="H126" s="381"/>
      <c r="I126" s="326"/>
      <c r="J126" s="326"/>
      <c r="K126" s="327"/>
      <c r="L126" s="381"/>
      <c r="M126" s="326"/>
      <c r="N126" s="326"/>
      <c r="O126" s="326"/>
      <c r="P126" s="327"/>
      <c r="Q126" s="381"/>
      <c r="R126" s="326"/>
      <c r="S126" s="326"/>
      <c r="T126" s="326"/>
      <c r="U126" s="326"/>
      <c r="V126" s="326"/>
      <c r="W126" s="326"/>
      <c r="X126" s="326"/>
      <c r="Y126" s="326"/>
      <c r="Z126" s="327"/>
      <c r="AA126" s="381"/>
      <c r="AB126" s="326"/>
      <c r="AC126" s="326"/>
      <c r="AD126" s="326"/>
      <c r="AE126" s="326"/>
      <c r="AF126" s="326"/>
      <c r="AG126" s="326"/>
      <c r="AH126" s="326"/>
      <c r="AI126" s="326"/>
      <c r="AJ126" s="326"/>
      <c r="AK126" s="326"/>
      <c r="AL126" s="326"/>
      <c r="AM126" s="326"/>
      <c r="AN126" s="326"/>
      <c r="AO126" s="326"/>
      <c r="AP126" s="326"/>
      <c r="AQ126" s="327"/>
    </row>
    <row r="127" spans="1:43" ht="30" customHeight="1" x14ac:dyDescent="0.25">
      <c r="A127" s="87">
        <f t="shared" si="0"/>
        <v>115</v>
      </c>
      <c r="B127" s="407" t="s">
        <v>334</v>
      </c>
      <c r="C127" s="326"/>
      <c r="D127" s="327"/>
      <c r="E127" s="697"/>
      <c r="F127" s="326"/>
      <c r="G127" s="327"/>
      <c r="H127" s="407"/>
      <c r="I127" s="326"/>
      <c r="J127" s="326"/>
      <c r="K127" s="327"/>
      <c r="L127" s="407"/>
      <c r="M127" s="326"/>
      <c r="N127" s="326"/>
      <c r="O127" s="326"/>
      <c r="P127" s="327"/>
      <c r="Q127" s="407"/>
      <c r="R127" s="326"/>
      <c r="S127" s="326"/>
      <c r="T127" s="326"/>
      <c r="U127" s="326"/>
      <c r="V127" s="326"/>
      <c r="W127" s="326"/>
      <c r="X127" s="326"/>
      <c r="Y127" s="326"/>
      <c r="Z127" s="327"/>
      <c r="AA127" s="407"/>
      <c r="AB127" s="326"/>
      <c r="AC127" s="326"/>
      <c r="AD127" s="326"/>
      <c r="AE127" s="326"/>
      <c r="AF127" s="326"/>
      <c r="AG127" s="326"/>
      <c r="AH127" s="326"/>
      <c r="AI127" s="326"/>
      <c r="AJ127" s="326"/>
      <c r="AK127" s="326"/>
      <c r="AL127" s="326"/>
      <c r="AM127" s="326"/>
      <c r="AN127" s="326"/>
      <c r="AO127" s="326"/>
      <c r="AP127" s="326"/>
      <c r="AQ127" s="327"/>
    </row>
    <row r="128" spans="1:43" ht="30" customHeight="1" x14ac:dyDescent="0.25">
      <c r="A128" s="87">
        <f t="shared" si="0"/>
        <v>116</v>
      </c>
      <c r="B128" s="381" t="s">
        <v>334</v>
      </c>
      <c r="C128" s="326"/>
      <c r="D128" s="327"/>
      <c r="E128" s="698"/>
      <c r="F128" s="326"/>
      <c r="G128" s="327"/>
      <c r="H128" s="381"/>
      <c r="I128" s="326"/>
      <c r="J128" s="326"/>
      <c r="K128" s="327"/>
      <c r="L128" s="381"/>
      <c r="M128" s="326"/>
      <c r="N128" s="326"/>
      <c r="O128" s="326"/>
      <c r="P128" s="327"/>
      <c r="Q128" s="381"/>
      <c r="R128" s="326"/>
      <c r="S128" s="326"/>
      <c r="T128" s="326"/>
      <c r="U128" s="326"/>
      <c r="V128" s="326"/>
      <c r="W128" s="326"/>
      <c r="X128" s="326"/>
      <c r="Y128" s="326"/>
      <c r="Z128" s="327"/>
      <c r="AA128" s="381"/>
      <c r="AB128" s="326"/>
      <c r="AC128" s="326"/>
      <c r="AD128" s="326"/>
      <c r="AE128" s="326"/>
      <c r="AF128" s="326"/>
      <c r="AG128" s="326"/>
      <c r="AH128" s="326"/>
      <c r="AI128" s="326"/>
      <c r="AJ128" s="326"/>
      <c r="AK128" s="326"/>
      <c r="AL128" s="326"/>
      <c r="AM128" s="326"/>
      <c r="AN128" s="326"/>
      <c r="AO128" s="326"/>
      <c r="AP128" s="326"/>
      <c r="AQ128" s="327"/>
    </row>
    <row r="129" spans="1:43" ht="30" customHeight="1" x14ac:dyDescent="0.25">
      <c r="A129" s="87">
        <f t="shared" si="0"/>
        <v>117</v>
      </c>
      <c r="B129" s="407" t="s">
        <v>334</v>
      </c>
      <c r="C129" s="326"/>
      <c r="D129" s="327"/>
      <c r="E129" s="697"/>
      <c r="F129" s="326"/>
      <c r="G129" s="327"/>
      <c r="H129" s="407"/>
      <c r="I129" s="326"/>
      <c r="J129" s="326"/>
      <c r="K129" s="327"/>
      <c r="L129" s="407"/>
      <c r="M129" s="326"/>
      <c r="N129" s="326"/>
      <c r="O129" s="326"/>
      <c r="P129" s="327"/>
      <c r="Q129" s="407"/>
      <c r="R129" s="326"/>
      <c r="S129" s="326"/>
      <c r="T129" s="326"/>
      <c r="U129" s="326"/>
      <c r="V129" s="326"/>
      <c r="W129" s="326"/>
      <c r="X129" s="326"/>
      <c r="Y129" s="326"/>
      <c r="Z129" s="327"/>
      <c r="AA129" s="407"/>
      <c r="AB129" s="326"/>
      <c r="AC129" s="326"/>
      <c r="AD129" s="326"/>
      <c r="AE129" s="326"/>
      <c r="AF129" s="326"/>
      <c r="AG129" s="326"/>
      <c r="AH129" s="326"/>
      <c r="AI129" s="326"/>
      <c r="AJ129" s="326"/>
      <c r="AK129" s="326"/>
      <c r="AL129" s="326"/>
      <c r="AM129" s="326"/>
      <c r="AN129" s="326"/>
      <c r="AO129" s="326"/>
      <c r="AP129" s="326"/>
      <c r="AQ129" s="327"/>
    </row>
    <row r="130" spans="1:43" ht="30" customHeight="1" x14ac:dyDescent="0.25">
      <c r="A130" s="87">
        <f t="shared" si="0"/>
        <v>118</v>
      </c>
      <c r="B130" s="381" t="s">
        <v>334</v>
      </c>
      <c r="C130" s="326"/>
      <c r="D130" s="327"/>
      <c r="E130" s="698"/>
      <c r="F130" s="326"/>
      <c r="G130" s="327"/>
      <c r="H130" s="381"/>
      <c r="I130" s="326"/>
      <c r="J130" s="326"/>
      <c r="K130" s="327"/>
      <c r="L130" s="381"/>
      <c r="M130" s="326"/>
      <c r="N130" s="326"/>
      <c r="O130" s="326"/>
      <c r="P130" s="327"/>
      <c r="Q130" s="381"/>
      <c r="R130" s="326"/>
      <c r="S130" s="326"/>
      <c r="T130" s="326"/>
      <c r="U130" s="326"/>
      <c r="V130" s="326"/>
      <c r="W130" s="326"/>
      <c r="X130" s="326"/>
      <c r="Y130" s="326"/>
      <c r="Z130" s="327"/>
      <c r="AA130" s="381"/>
      <c r="AB130" s="326"/>
      <c r="AC130" s="326"/>
      <c r="AD130" s="326"/>
      <c r="AE130" s="326"/>
      <c r="AF130" s="326"/>
      <c r="AG130" s="326"/>
      <c r="AH130" s="326"/>
      <c r="AI130" s="326"/>
      <c r="AJ130" s="326"/>
      <c r="AK130" s="326"/>
      <c r="AL130" s="326"/>
      <c r="AM130" s="326"/>
      <c r="AN130" s="326"/>
      <c r="AO130" s="326"/>
      <c r="AP130" s="326"/>
      <c r="AQ130" s="327"/>
    </row>
    <row r="131" spans="1:43" ht="30" customHeight="1" x14ac:dyDescent="0.25">
      <c r="A131" s="87">
        <f t="shared" si="0"/>
        <v>119</v>
      </c>
      <c r="B131" s="407" t="s">
        <v>334</v>
      </c>
      <c r="C131" s="326"/>
      <c r="D131" s="327"/>
      <c r="E131" s="697"/>
      <c r="F131" s="326"/>
      <c r="G131" s="327"/>
      <c r="H131" s="407"/>
      <c r="I131" s="326"/>
      <c r="J131" s="326"/>
      <c r="K131" s="327"/>
      <c r="L131" s="407"/>
      <c r="M131" s="326"/>
      <c r="N131" s="326"/>
      <c r="O131" s="326"/>
      <c r="P131" s="327"/>
      <c r="Q131" s="407"/>
      <c r="R131" s="326"/>
      <c r="S131" s="326"/>
      <c r="T131" s="326"/>
      <c r="U131" s="326"/>
      <c r="V131" s="326"/>
      <c r="W131" s="326"/>
      <c r="X131" s="326"/>
      <c r="Y131" s="326"/>
      <c r="Z131" s="327"/>
      <c r="AA131" s="407"/>
      <c r="AB131" s="326"/>
      <c r="AC131" s="326"/>
      <c r="AD131" s="326"/>
      <c r="AE131" s="326"/>
      <c r="AF131" s="326"/>
      <c r="AG131" s="326"/>
      <c r="AH131" s="326"/>
      <c r="AI131" s="326"/>
      <c r="AJ131" s="326"/>
      <c r="AK131" s="326"/>
      <c r="AL131" s="326"/>
      <c r="AM131" s="326"/>
      <c r="AN131" s="326"/>
      <c r="AO131" s="326"/>
      <c r="AP131" s="326"/>
      <c r="AQ131" s="327"/>
    </row>
    <row r="132" spans="1:43" ht="30" customHeight="1" x14ac:dyDescent="0.25">
      <c r="A132" s="87">
        <f t="shared" si="0"/>
        <v>120</v>
      </c>
      <c r="B132" s="381" t="s">
        <v>334</v>
      </c>
      <c r="C132" s="326"/>
      <c r="D132" s="327"/>
      <c r="E132" s="698"/>
      <c r="F132" s="326"/>
      <c r="G132" s="327"/>
      <c r="H132" s="381"/>
      <c r="I132" s="326"/>
      <c r="J132" s="326"/>
      <c r="K132" s="327"/>
      <c r="L132" s="381"/>
      <c r="M132" s="326"/>
      <c r="N132" s="326"/>
      <c r="O132" s="326"/>
      <c r="P132" s="327"/>
      <c r="Q132" s="381"/>
      <c r="R132" s="326"/>
      <c r="S132" s="326"/>
      <c r="T132" s="326"/>
      <c r="U132" s="326"/>
      <c r="V132" s="326"/>
      <c r="W132" s="326"/>
      <c r="X132" s="326"/>
      <c r="Y132" s="326"/>
      <c r="Z132" s="327"/>
      <c r="AA132" s="381"/>
      <c r="AB132" s="326"/>
      <c r="AC132" s="326"/>
      <c r="AD132" s="326"/>
      <c r="AE132" s="326"/>
      <c r="AF132" s="326"/>
      <c r="AG132" s="326"/>
      <c r="AH132" s="326"/>
      <c r="AI132" s="326"/>
      <c r="AJ132" s="326"/>
      <c r="AK132" s="326"/>
      <c r="AL132" s="326"/>
      <c r="AM132" s="326"/>
      <c r="AN132" s="326"/>
      <c r="AO132" s="326"/>
      <c r="AP132" s="326"/>
      <c r="AQ132" s="327"/>
    </row>
    <row r="133" spans="1:43" ht="30" customHeight="1" x14ac:dyDescent="0.25">
      <c r="A133" s="87">
        <f t="shared" si="0"/>
        <v>121</v>
      </c>
      <c r="B133" s="407" t="s">
        <v>334</v>
      </c>
      <c r="C133" s="326"/>
      <c r="D133" s="327"/>
      <c r="E133" s="697"/>
      <c r="F133" s="326"/>
      <c r="G133" s="327"/>
      <c r="H133" s="407"/>
      <c r="I133" s="326"/>
      <c r="J133" s="326"/>
      <c r="K133" s="327"/>
      <c r="L133" s="407"/>
      <c r="M133" s="326"/>
      <c r="N133" s="326"/>
      <c r="O133" s="326"/>
      <c r="P133" s="327"/>
      <c r="Q133" s="407"/>
      <c r="R133" s="326"/>
      <c r="S133" s="326"/>
      <c r="T133" s="326"/>
      <c r="U133" s="326"/>
      <c r="V133" s="326"/>
      <c r="W133" s="326"/>
      <c r="X133" s="326"/>
      <c r="Y133" s="326"/>
      <c r="Z133" s="327"/>
      <c r="AA133" s="407"/>
      <c r="AB133" s="326"/>
      <c r="AC133" s="326"/>
      <c r="AD133" s="326"/>
      <c r="AE133" s="326"/>
      <c r="AF133" s="326"/>
      <c r="AG133" s="326"/>
      <c r="AH133" s="326"/>
      <c r="AI133" s="326"/>
      <c r="AJ133" s="326"/>
      <c r="AK133" s="326"/>
      <c r="AL133" s="326"/>
      <c r="AM133" s="326"/>
      <c r="AN133" s="326"/>
      <c r="AO133" s="326"/>
      <c r="AP133" s="326"/>
      <c r="AQ133" s="327"/>
    </row>
    <row r="134" spans="1:43" ht="30" customHeight="1" x14ac:dyDescent="0.25">
      <c r="A134" s="87">
        <f t="shared" si="0"/>
        <v>122</v>
      </c>
      <c r="B134" s="381" t="s">
        <v>334</v>
      </c>
      <c r="C134" s="326"/>
      <c r="D134" s="327"/>
      <c r="E134" s="698"/>
      <c r="F134" s="326"/>
      <c r="G134" s="327"/>
      <c r="H134" s="381"/>
      <c r="I134" s="326"/>
      <c r="J134" s="326"/>
      <c r="K134" s="327"/>
      <c r="L134" s="381"/>
      <c r="M134" s="326"/>
      <c r="N134" s="326"/>
      <c r="O134" s="326"/>
      <c r="P134" s="327"/>
      <c r="Q134" s="381"/>
      <c r="R134" s="326"/>
      <c r="S134" s="326"/>
      <c r="T134" s="326"/>
      <c r="U134" s="326"/>
      <c r="V134" s="326"/>
      <c r="W134" s="326"/>
      <c r="X134" s="326"/>
      <c r="Y134" s="326"/>
      <c r="Z134" s="327"/>
      <c r="AA134" s="381"/>
      <c r="AB134" s="326"/>
      <c r="AC134" s="326"/>
      <c r="AD134" s="326"/>
      <c r="AE134" s="326"/>
      <c r="AF134" s="326"/>
      <c r="AG134" s="326"/>
      <c r="AH134" s="326"/>
      <c r="AI134" s="326"/>
      <c r="AJ134" s="326"/>
      <c r="AK134" s="326"/>
      <c r="AL134" s="326"/>
      <c r="AM134" s="326"/>
      <c r="AN134" s="326"/>
      <c r="AO134" s="326"/>
      <c r="AP134" s="326"/>
      <c r="AQ134" s="327"/>
    </row>
    <row r="135" spans="1:43" ht="30" customHeight="1" x14ac:dyDescent="0.25">
      <c r="A135" s="87">
        <f t="shared" si="0"/>
        <v>123</v>
      </c>
      <c r="B135" s="407" t="s">
        <v>334</v>
      </c>
      <c r="C135" s="326"/>
      <c r="D135" s="327"/>
      <c r="E135" s="697"/>
      <c r="F135" s="326"/>
      <c r="G135" s="327"/>
      <c r="H135" s="407"/>
      <c r="I135" s="326"/>
      <c r="J135" s="326"/>
      <c r="K135" s="327"/>
      <c r="L135" s="407"/>
      <c r="M135" s="326"/>
      <c r="N135" s="326"/>
      <c r="O135" s="326"/>
      <c r="P135" s="327"/>
      <c r="Q135" s="407"/>
      <c r="R135" s="326"/>
      <c r="S135" s="326"/>
      <c r="T135" s="326"/>
      <c r="U135" s="326"/>
      <c r="V135" s="326"/>
      <c r="W135" s="326"/>
      <c r="X135" s="326"/>
      <c r="Y135" s="326"/>
      <c r="Z135" s="327"/>
      <c r="AA135" s="407"/>
      <c r="AB135" s="326"/>
      <c r="AC135" s="326"/>
      <c r="AD135" s="326"/>
      <c r="AE135" s="326"/>
      <c r="AF135" s="326"/>
      <c r="AG135" s="326"/>
      <c r="AH135" s="326"/>
      <c r="AI135" s="326"/>
      <c r="AJ135" s="326"/>
      <c r="AK135" s="326"/>
      <c r="AL135" s="326"/>
      <c r="AM135" s="326"/>
      <c r="AN135" s="326"/>
      <c r="AO135" s="326"/>
      <c r="AP135" s="326"/>
      <c r="AQ135" s="327"/>
    </row>
    <row r="136" spans="1:43" ht="30" customHeight="1" x14ac:dyDescent="0.25">
      <c r="A136" s="87">
        <f t="shared" si="0"/>
        <v>124</v>
      </c>
      <c r="B136" s="381" t="s">
        <v>334</v>
      </c>
      <c r="C136" s="326"/>
      <c r="D136" s="327"/>
      <c r="E136" s="698"/>
      <c r="F136" s="326"/>
      <c r="G136" s="327"/>
      <c r="H136" s="381"/>
      <c r="I136" s="326"/>
      <c r="J136" s="326"/>
      <c r="K136" s="327"/>
      <c r="L136" s="381"/>
      <c r="M136" s="326"/>
      <c r="N136" s="326"/>
      <c r="O136" s="326"/>
      <c r="P136" s="327"/>
      <c r="Q136" s="381"/>
      <c r="R136" s="326"/>
      <c r="S136" s="326"/>
      <c r="T136" s="326"/>
      <c r="U136" s="326"/>
      <c r="V136" s="326"/>
      <c r="W136" s="326"/>
      <c r="X136" s="326"/>
      <c r="Y136" s="326"/>
      <c r="Z136" s="327"/>
      <c r="AA136" s="381"/>
      <c r="AB136" s="326"/>
      <c r="AC136" s="326"/>
      <c r="AD136" s="326"/>
      <c r="AE136" s="326"/>
      <c r="AF136" s="326"/>
      <c r="AG136" s="326"/>
      <c r="AH136" s="326"/>
      <c r="AI136" s="326"/>
      <c r="AJ136" s="326"/>
      <c r="AK136" s="326"/>
      <c r="AL136" s="326"/>
      <c r="AM136" s="326"/>
      <c r="AN136" s="326"/>
      <c r="AO136" s="326"/>
      <c r="AP136" s="326"/>
      <c r="AQ136" s="327"/>
    </row>
    <row r="137" spans="1:43" ht="30" customHeight="1" x14ac:dyDescent="0.25">
      <c r="A137" s="87">
        <f t="shared" si="0"/>
        <v>125</v>
      </c>
      <c r="B137" s="407" t="s">
        <v>334</v>
      </c>
      <c r="C137" s="326"/>
      <c r="D137" s="327"/>
      <c r="E137" s="697"/>
      <c r="F137" s="326"/>
      <c r="G137" s="327"/>
      <c r="H137" s="407"/>
      <c r="I137" s="326"/>
      <c r="J137" s="326"/>
      <c r="K137" s="327"/>
      <c r="L137" s="407"/>
      <c r="M137" s="326"/>
      <c r="N137" s="326"/>
      <c r="O137" s="326"/>
      <c r="P137" s="327"/>
      <c r="Q137" s="407"/>
      <c r="R137" s="326"/>
      <c r="S137" s="326"/>
      <c r="T137" s="326"/>
      <c r="U137" s="326"/>
      <c r="V137" s="326"/>
      <c r="W137" s="326"/>
      <c r="X137" s="326"/>
      <c r="Y137" s="326"/>
      <c r="Z137" s="327"/>
      <c r="AA137" s="407"/>
      <c r="AB137" s="326"/>
      <c r="AC137" s="326"/>
      <c r="AD137" s="326"/>
      <c r="AE137" s="326"/>
      <c r="AF137" s="326"/>
      <c r="AG137" s="326"/>
      <c r="AH137" s="326"/>
      <c r="AI137" s="326"/>
      <c r="AJ137" s="326"/>
      <c r="AK137" s="326"/>
      <c r="AL137" s="326"/>
      <c r="AM137" s="326"/>
      <c r="AN137" s="326"/>
      <c r="AO137" s="326"/>
      <c r="AP137" s="326"/>
      <c r="AQ137" s="327"/>
    </row>
    <row r="138" spans="1:43" ht="30" customHeight="1" x14ac:dyDescent="0.25">
      <c r="A138" s="87">
        <f t="shared" si="0"/>
        <v>126</v>
      </c>
      <c r="B138" s="381" t="s">
        <v>334</v>
      </c>
      <c r="C138" s="326"/>
      <c r="D138" s="327"/>
      <c r="E138" s="698"/>
      <c r="F138" s="326"/>
      <c r="G138" s="327"/>
      <c r="H138" s="381"/>
      <c r="I138" s="326"/>
      <c r="J138" s="326"/>
      <c r="K138" s="327"/>
      <c r="L138" s="381"/>
      <c r="M138" s="326"/>
      <c r="N138" s="326"/>
      <c r="O138" s="326"/>
      <c r="P138" s="327"/>
      <c r="Q138" s="381"/>
      <c r="R138" s="326"/>
      <c r="S138" s="326"/>
      <c r="T138" s="326"/>
      <c r="U138" s="326"/>
      <c r="V138" s="326"/>
      <c r="W138" s="326"/>
      <c r="X138" s="326"/>
      <c r="Y138" s="326"/>
      <c r="Z138" s="327"/>
      <c r="AA138" s="381"/>
      <c r="AB138" s="326"/>
      <c r="AC138" s="326"/>
      <c r="AD138" s="326"/>
      <c r="AE138" s="326"/>
      <c r="AF138" s="326"/>
      <c r="AG138" s="326"/>
      <c r="AH138" s="326"/>
      <c r="AI138" s="326"/>
      <c r="AJ138" s="326"/>
      <c r="AK138" s="326"/>
      <c r="AL138" s="326"/>
      <c r="AM138" s="326"/>
      <c r="AN138" s="326"/>
      <c r="AO138" s="326"/>
      <c r="AP138" s="326"/>
      <c r="AQ138" s="327"/>
    </row>
    <row r="139" spans="1:43" ht="30" customHeight="1" x14ac:dyDescent="0.25">
      <c r="A139" s="87">
        <f t="shared" si="0"/>
        <v>127</v>
      </c>
      <c r="B139" s="407" t="s">
        <v>334</v>
      </c>
      <c r="C139" s="326"/>
      <c r="D139" s="327"/>
      <c r="E139" s="697"/>
      <c r="F139" s="326"/>
      <c r="G139" s="327"/>
      <c r="H139" s="407"/>
      <c r="I139" s="326"/>
      <c r="J139" s="326"/>
      <c r="K139" s="327"/>
      <c r="L139" s="407"/>
      <c r="M139" s="326"/>
      <c r="N139" s="326"/>
      <c r="O139" s="326"/>
      <c r="P139" s="327"/>
      <c r="Q139" s="407"/>
      <c r="R139" s="326"/>
      <c r="S139" s="326"/>
      <c r="T139" s="326"/>
      <c r="U139" s="326"/>
      <c r="V139" s="326"/>
      <c r="W139" s="326"/>
      <c r="X139" s="326"/>
      <c r="Y139" s="326"/>
      <c r="Z139" s="327"/>
      <c r="AA139" s="407"/>
      <c r="AB139" s="326"/>
      <c r="AC139" s="326"/>
      <c r="AD139" s="326"/>
      <c r="AE139" s="326"/>
      <c r="AF139" s="326"/>
      <c r="AG139" s="326"/>
      <c r="AH139" s="326"/>
      <c r="AI139" s="326"/>
      <c r="AJ139" s="326"/>
      <c r="AK139" s="326"/>
      <c r="AL139" s="326"/>
      <c r="AM139" s="326"/>
      <c r="AN139" s="326"/>
      <c r="AO139" s="326"/>
      <c r="AP139" s="326"/>
      <c r="AQ139" s="327"/>
    </row>
    <row r="140" spans="1:43" ht="30" customHeight="1" x14ac:dyDescent="0.25">
      <c r="A140" s="87">
        <f t="shared" si="0"/>
        <v>128</v>
      </c>
      <c r="B140" s="381" t="s">
        <v>334</v>
      </c>
      <c r="C140" s="326"/>
      <c r="D140" s="327"/>
      <c r="E140" s="698"/>
      <c r="F140" s="326"/>
      <c r="G140" s="327"/>
      <c r="H140" s="381"/>
      <c r="I140" s="326"/>
      <c r="J140" s="326"/>
      <c r="K140" s="327"/>
      <c r="L140" s="381"/>
      <c r="M140" s="326"/>
      <c r="N140" s="326"/>
      <c r="O140" s="326"/>
      <c r="P140" s="327"/>
      <c r="Q140" s="381"/>
      <c r="R140" s="326"/>
      <c r="S140" s="326"/>
      <c r="T140" s="326"/>
      <c r="U140" s="326"/>
      <c r="V140" s="326"/>
      <c r="W140" s="326"/>
      <c r="X140" s="326"/>
      <c r="Y140" s="326"/>
      <c r="Z140" s="327"/>
      <c r="AA140" s="381"/>
      <c r="AB140" s="326"/>
      <c r="AC140" s="326"/>
      <c r="AD140" s="326"/>
      <c r="AE140" s="326"/>
      <c r="AF140" s="326"/>
      <c r="AG140" s="326"/>
      <c r="AH140" s="326"/>
      <c r="AI140" s="326"/>
      <c r="AJ140" s="326"/>
      <c r="AK140" s="326"/>
      <c r="AL140" s="326"/>
      <c r="AM140" s="326"/>
      <c r="AN140" s="326"/>
      <c r="AO140" s="326"/>
      <c r="AP140" s="326"/>
      <c r="AQ140" s="327"/>
    </row>
    <row r="141" spans="1:43" ht="30" customHeight="1" x14ac:dyDescent="0.25">
      <c r="A141" s="87">
        <f t="shared" si="0"/>
        <v>129</v>
      </c>
      <c r="B141" s="407" t="s">
        <v>334</v>
      </c>
      <c r="C141" s="326"/>
      <c r="D141" s="327"/>
      <c r="E141" s="697"/>
      <c r="F141" s="326"/>
      <c r="G141" s="327"/>
      <c r="H141" s="407"/>
      <c r="I141" s="326"/>
      <c r="J141" s="326"/>
      <c r="K141" s="327"/>
      <c r="L141" s="407"/>
      <c r="M141" s="326"/>
      <c r="N141" s="326"/>
      <c r="O141" s="326"/>
      <c r="P141" s="327"/>
      <c r="Q141" s="407"/>
      <c r="R141" s="326"/>
      <c r="S141" s="326"/>
      <c r="T141" s="326"/>
      <c r="U141" s="326"/>
      <c r="V141" s="326"/>
      <c r="W141" s="326"/>
      <c r="X141" s="326"/>
      <c r="Y141" s="326"/>
      <c r="Z141" s="327"/>
      <c r="AA141" s="407"/>
      <c r="AB141" s="326"/>
      <c r="AC141" s="326"/>
      <c r="AD141" s="326"/>
      <c r="AE141" s="326"/>
      <c r="AF141" s="326"/>
      <c r="AG141" s="326"/>
      <c r="AH141" s="326"/>
      <c r="AI141" s="326"/>
      <c r="AJ141" s="326"/>
      <c r="AK141" s="326"/>
      <c r="AL141" s="326"/>
      <c r="AM141" s="326"/>
      <c r="AN141" s="326"/>
      <c r="AO141" s="326"/>
      <c r="AP141" s="326"/>
      <c r="AQ141" s="327"/>
    </row>
    <row r="142" spans="1:43" ht="30" customHeight="1" x14ac:dyDescent="0.25">
      <c r="A142" s="87">
        <f t="shared" si="0"/>
        <v>130</v>
      </c>
      <c r="B142" s="381" t="s">
        <v>334</v>
      </c>
      <c r="C142" s="326"/>
      <c r="D142" s="327"/>
      <c r="E142" s="698"/>
      <c r="F142" s="326"/>
      <c r="G142" s="327"/>
      <c r="H142" s="381"/>
      <c r="I142" s="326"/>
      <c r="J142" s="326"/>
      <c r="K142" s="327"/>
      <c r="L142" s="381"/>
      <c r="M142" s="326"/>
      <c r="N142" s="326"/>
      <c r="O142" s="326"/>
      <c r="P142" s="327"/>
      <c r="Q142" s="381"/>
      <c r="R142" s="326"/>
      <c r="S142" s="326"/>
      <c r="T142" s="326"/>
      <c r="U142" s="326"/>
      <c r="V142" s="326"/>
      <c r="W142" s="326"/>
      <c r="X142" s="326"/>
      <c r="Y142" s="326"/>
      <c r="Z142" s="327"/>
      <c r="AA142" s="381"/>
      <c r="AB142" s="326"/>
      <c r="AC142" s="326"/>
      <c r="AD142" s="326"/>
      <c r="AE142" s="326"/>
      <c r="AF142" s="326"/>
      <c r="AG142" s="326"/>
      <c r="AH142" s="326"/>
      <c r="AI142" s="326"/>
      <c r="AJ142" s="326"/>
      <c r="AK142" s="326"/>
      <c r="AL142" s="326"/>
      <c r="AM142" s="326"/>
      <c r="AN142" s="326"/>
      <c r="AO142" s="326"/>
      <c r="AP142" s="326"/>
      <c r="AQ142" s="327"/>
    </row>
    <row r="143" spans="1:43" ht="30" customHeight="1" x14ac:dyDescent="0.25">
      <c r="A143" s="87">
        <f t="shared" si="0"/>
        <v>131</v>
      </c>
      <c r="B143" s="407" t="s">
        <v>334</v>
      </c>
      <c r="C143" s="326"/>
      <c r="D143" s="327"/>
      <c r="E143" s="697"/>
      <c r="F143" s="326"/>
      <c r="G143" s="327"/>
      <c r="H143" s="407"/>
      <c r="I143" s="326"/>
      <c r="J143" s="326"/>
      <c r="K143" s="327"/>
      <c r="L143" s="407"/>
      <c r="M143" s="326"/>
      <c r="N143" s="326"/>
      <c r="O143" s="326"/>
      <c r="P143" s="327"/>
      <c r="Q143" s="407"/>
      <c r="R143" s="326"/>
      <c r="S143" s="326"/>
      <c r="T143" s="326"/>
      <c r="U143" s="326"/>
      <c r="V143" s="326"/>
      <c r="W143" s="326"/>
      <c r="X143" s="326"/>
      <c r="Y143" s="326"/>
      <c r="Z143" s="327"/>
      <c r="AA143" s="407"/>
      <c r="AB143" s="326"/>
      <c r="AC143" s="326"/>
      <c r="AD143" s="326"/>
      <c r="AE143" s="326"/>
      <c r="AF143" s="326"/>
      <c r="AG143" s="326"/>
      <c r="AH143" s="326"/>
      <c r="AI143" s="326"/>
      <c r="AJ143" s="326"/>
      <c r="AK143" s="326"/>
      <c r="AL143" s="326"/>
      <c r="AM143" s="326"/>
      <c r="AN143" s="326"/>
      <c r="AO143" s="326"/>
      <c r="AP143" s="326"/>
      <c r="AQ143" s="327"/>
    </row>
    <row r="144" spans="1:43" ht="30" customHeight="1" x14ac:dyDescent="0.25">
      <c r="A144" s="87">
        <f t="shared" si="0"/>
        <v>132</v>
      </c>
      <c r="B144" s="381" t="s">
        <v>334</v>
      </c>
      <c r="C144" s="326"/>
      <c r="D144" s="327"/>
      <c r="E144" s="698"/>
      <c r="F144" s="326"/>
      <c r="G144" s="327"/>
      <c r="H144" s="381"/>
      <c r="I144" s="326"/>
      <c r="J144" s="326"/>
      <c r="K144" s="327"/>
      <c r="L144" s="381"/>
      <c r="M144" s="326"/>
      <c r="N144" s="326"/>
      <c r="O144" s="326"/>
      <c r="P144" s="327"/>
      <c r="Q144" s="381"/>
      <c r="R144" s="326"/>
      <c r="S144" s="326"/>
      <c r="T144" s="326"/>
      <c r="U144" s="326"/>
      <c r="V144" s="326"/>
      <c r="W144" s="326"/>
      <c r="X144" s="326"/>
      <c r="Y144" s="326"/>
      <c r="Z144" s="327"/>
      <c r="AA144" s="381"/>
      <c r="AB144" s="326"/>
      <c r="AC144" s="326"/>
      <c r="AD144" s="326"/>
      <c r="AE144" s="326"/>
      <c r="AF144" s="326"/>
      <c r="AG144" s="326"/>
      <c r="AH144" s="326"/>
      <c r="AI144" s="326"/>
      <c r="AJ144" s="326"/>
      <c r="AK144" s="326"/>
      <c r="AL144" s="326"/>
      <c r="AM144" s="326"/>
      <c r="AN144" s="326"/>
      <c r="AO144" s="326"/>
      <c r="AP144" s="326"/>
      <c r="AQ144" s="327"/>
    </row>
    <row r="145" spans="1:43" ht="30" customHeight="1" x14ac:dyDescent="0.25">
      <c r="A145" s="87">
        <f t="shared" si="0"/>
        <v>133</v>
      </c>
      <c r="B145" s="407" t="s">
        <v>334</v>
      </c>
      <c r="C145" s="326"/>
      <c r="D145" s="327"/>
      <c r="E145" s="697"/>
      <c r="F145" s="326"/>
      <c r="G145" s="327"/>
      <c r="H145" s="407"/>
      <c r="I145" s="326"/>
      <c r="J145" s="326"/>
      <c r="K145" s="327"/>
      <c r="L145" s="407"/>
      <c r="M145" s="326"/>
      <c r="N145" s="326"/>
      <c r="O145" s="326"/>
      <c r="P145" s="327"/>
      <c r="Q145" s="407"/>
      <c r="R145" s="326"/>
      <c r="S145" s="326"/>
      <c r="T145" s="326"/>
      <c r="U145" s="326"/>
      <c r="V145" s="326"/>
      <c r="W145" s="326"/>
      <c r="X145" s="326"/>
      <c r="Y145" s="326"/>
      <c r="Z145" s="327"/>
      <c r="AA145" s="407"/>
      <c r="AB145" s="326"/>
      <c r="AC145" s="326"/>
      <c r="AD145" s="326"/>
      <c r="AE145" s="326"/>
      <c r="AF145" s="326"/>
      <c r="AG145" s="326"/>
      <c r="AH145" s="326"/>
      <c r="AI145" s="326"/>
      <c r="AJ145" s="326"/>
      <c r="AK145" s="326"/>
      <c r="AL145" s="326"/>
      <c r="AM145" s="326"/>
      <c r="AN145" s="326"/>
      <c r="AO145" s="326"/>
      <c r="AP145" s="326"/>
      <c r="AQ145" s="327"/>
    </row>
    <row r="146" spans="1:43" ht="30" customHeight="1" x14ac:dyDescent="0.25">
      <c r="A146" s="87">
        <f t="shared" si="0"/>
        <v>134</v>
      </c>
      <c r="B146" s="381" t="s">
        <v>334</v>
      </c>
      <c r="C146" s="326"/>
      <c r="D146" s="327"/>
      <c r="E146" s="698"/>
      <c r="F146" s="326"/>
      <c r="G146" s="327"/>
      <c r="H146" s="381"/>
      <c r="I146" s="326"/>
      <c r="J146" s="326"/>
      <c r="K146" s="327"/>
      <c r="L146" s="381"/>
      <c r="M146" s="326"/>
      <c r="N146" s="326"/>
      <c r="O146" s="326"/>
      <c r="P146" s="327"/>
      <c r="Q146" s="381"/>
      <c r="R146" s="326"/>
      <c r="S146" s="326"/>
      <c r="T146" s="326"/>
      <c r="U146" s="326"/>
      <c r="V146" s="326"/>
      <c r="W146" s="326"/>
      <c r="X146" s="326"/>
      <c r="Y146" s="326"/>
      <c r="Z146" s="327"/>
      <c r="AA146" s="381"/>
      <c r="AB146" s="326"/>
      <c r="AC146" s="326"/>
      <c r="AD146" s="326"/>
      <c r="AE146" s="326"/>
      <c r="AF146" s="326"/>
      <c r="AG146" s="326"/>
      <c r="AH146" s="326"/>
      <c r="AI146" s="326"/>
      <c r="AJ146" s="326"/>
      <c r="AK146" s="326"/>
      <c r="AL146" s="326"/>
      <c r="AM146" s="326"/>
      <c r="AN146" s="326"/>
      <c r="AO146" s="326"/>
      <c r="AP146" s="326"/>
      <c r="AQ146" s="327"/>
    </row>
    <row r="147" spans="1:43" ht="30" customHeight="1" x14ac:dyDescent="0.25">
      <c r="A147" s="87">
        <f t="shared" si="0"/>
        <v>135</v>
      </c>
      <c r="B147" s="407" t="s">
        <v>334</v>
      </c>
      <c r="C147" s="326"/>
      <c r="D147" s="327"/>
      <c r="E147" s="697"/>
      <c r="F147" s="326"/>
      <c r="G147" s="327"/>
      <c r="H147" s="407"/>
      <c r="I147" s="326"/>
      <c r="J147" s="326"/>
      <c r="K147" s="327"/>
      <c r="L147" s="407"/>
      <c r="M147" s="326"/>
      <c r="N147" s="326"/>
      <c r="O147" s="326"/>
      <c r="P147" s="327"/>
      <c r="Q147" s="407"/>
      <c r="R147" s="326"/>
      <c r="S147" s="326"/>
      <c r="T147" s="326"/>
      <c r="U147" s="326"/>
      <c r="V147" s="326"/>
      <c r="W147" s="326"/>
      <c r="X147" s="326"/>
      <c r="Y147" s="326"/>
      <c r="Z147" s="327"/>
      <c r="AA147" s="407"/>
      <c r="AB147" s="326"/>
      <c r="AC147" s="326"/>
      <c r="AD147" s="326"/>
      <c r="AE147" s="326"/>
      <c r="AF147" s="326"/>
      <c r="AG147" s="326"/>
      <c r="AH147" s="326"/>
      <c r="AI147" s="326"/>
      <c r="AJ147" s="326"/>
      <c r="AK147" s="326"/>
      <c r="AL147" s="326"/>
      <c r="AM147" s="326"/>
      <c r="AN147" s="326"/>
      <c r="AO147" s="326"/>
      <c r="AP147" s="326"/>
      <c r="AQ147" s="327"/>
    </row>
    <row r="148" spans="1:43" ht="30" customHeight="1" x14ac:dyDescent="0.25">
      <c r="A148" s="87">
        <f t="shared" si="0"/>
        <v>136</v>
      </c>
      <c r="B148" s="381" t="s">
        <v>334</v>
      </c>
      <c r="C148" s="326"/>
      <c r="D148" s="327"/>
      <c r="E148" s="698"/>
      <c r="F148" s="326"/>
      <c r="G148" s="327"/>
      <c r="H148" s="381"/>
      <c r="I148" s="326"/>
      <c r="J148" s="326"/>
      <c r="K148" s="327"/>
      <c r="L148" s="381"/>
      <c r="M148" s="326"/>
      <c r="N148" s="326"/>
      <c r="O148" s="326"/>
      <c r="P148" s="327"/>
      <c r="Q148" s="381"/>
      <c r="R148" s="326"/>
      <c r="S148" s="326"/>
      <c r="T148" s="326"/>
      <c r="U148" s="326"/>
      <c r="V148" s="326"/>
      <c r="W148" s="326"/>
      <c r="X148" s="326"/>
      <c r="Y148" s="326"/>
      <c r="Z148" s="327"/>
      <c r="AA148" s="381"/>
      <c r="AB148" s="326"/>
      <c r="AC148" s="326"/>
      <c r="AD148" s="326"/>
      <c r="AE148" s="326"/>
      <c r="AF148" s="326"/>
      <c r="AG148" s="326"/>
      <c r="AH148" s="326"/>
      <c r="AI148" s="326"/>
      <c r="AJ148" s="326"/>
      <c r="AK148" s="326"/>
      <c r="AL148" s="326"/>
      <c r="AM148" s="326"/>
      <c r="AN148" s="326"/>
      <c r="AO148" s="326"/>
      <c r="AP148" s="326"/>
      <c r="AQ148" s="327"/>
    </row>
    <row r="149" spans="1:43" ht="30" customHeight="1" x14ac:dyDescent="0.25">
      <c r="A149" s="87">
        <f t="shared" si="0"/>
        <v>137</v>
      </c>
      <c r="B149" s="407" t="s">
        <v>334</v>
      </c>
      <c r="C149" s="326"/>
      <c r="D149" s="327"/>
      <c r="E149" s="697"/>
      <c r="F149" s="326"/>
      <c r="G149" s="327"/>
      <c r="H149" s="407"/>
      <c r="I149" s="326"/>
      <c r="J149" s="326"/>
      <c r="K149" s="327"/>
      <c r="L149" s="407"/>
      <c r="M149" s="326"/>
      <c r="N149" s="326"/>
      <c r="O149" s="326"/>
      <c r="P149" s="327"/>
      <c r="Q149" s="407"/>
      <c r="R149" s="326"/>
      <c r="S149" s="326"/>
      <c r="T149" s="326"/>
      <c r="U149" s="326"/>
      <c r="V149" s="326"/>
      <c r="W149" s="326"/>
      <c r="X149" s="326"/>
      <c r="Y149" s="326"/>
      <c r="Z149" s="327"/>
      <c r="AA149" s="407"/>
      <c r="AB149" s="326"/>
      <c r="AC149" s="326"/>
      <c r="AD149" s="326"/>
      <c r="AE149" s="326"/>
      <c r="AF149" s="326"/>
      <c r="AG149" s="326"/>
      <c r="AH149" s="326"/>
      <c r="AI149" s="326"/>
      <c r="AJ149" s="326"/>
      <c r="AK149" s="326"/>
      <c r="AL149" s="326"/>
      <c r="AM149" s="326"/>
      <c r="AN149" s="326"/>
      <c r="AO149" s="326"/>
      <c r="AP149" s="326"/>
      <c r="AQ149" s="327"/>
    </row>
    <row r="150" spans="1:43" ht="30" customHeight="1" x14ac:dyDescent="0.25">
      <c r="A150" s="87">
        <f t="shared" si="0"/>
        <v>138</v>
      </c>
      <c r="B150" s="381" t="s">
        <v>334</v>
      </c>
      <c r="C150" s="326"/>
      <c r="D150" s="327"/>
      <c r="E150" s="698"/>
      <c r="F150" s="326"/>
      <c r="G150" s="327"/>
      <c r="H150" s="381"/>
      <c r="I150" s="326"/>
      <c r="J150" s="326"/>
      <c r="K150" s="327"/>
      <c r="L150" s="381"/>
      <c r="M150" s="326"/>
      <c r="N150" s="326"/>
      <c r="O150" s="326"/>
      <c r="P150" s="327"/>
      <c r="Q150" s="381"/>
      <c r="R150" s="326"/>
      <c r="S150" s="326"/>
      <c r="T150" s="326"/>
      <c r="U150" s="326"/>
      <c r="V150" s="326"/>
      <c r="W150" s="326"/>
      <c r="X150" s="326"/>
      <c r="Y150" s="326"/>
      <c r="Z150" s="327"/>
      <c r="AA150" s="381"/>
      <c r="AB150" s="326"/>
      <c r="AC150" s="326"/>
      <c r="AD150" s="326"/>
      <c r="AE150" s="326"/>
      <c r="AF150" s="326"/>
      <c r="AG150" s="326"/>
      <c r="AH150" s="326"/>
      <c r="AI150" s="326"/>
      <c r="AJ150" s="326"/>
      <c r="AK150" s="326"/>
      <c r="AL150" s="326"/>
      <c r="AM150" s="326"/>
      <c r="AN150" s="326"/>
      <c r="AO150" s="326"/>
      <c r="AP150" s="326"/>
      <c r="AQ150" s="327"/>
    </row>
    <row r="151" spans="1:43" ht="30" customHeight="1" x14ac:dyDescent="0.25">
      <c r="A151" s="87">
        <f t="shared" si="0"/>
        <v>139</v>
      </c>
      <c r="B151" s="407" t="s">
        <v>334</v>
      </c>
      <c r="C151" s="326"/>
      <c r="D151" s="327"/>
      <c r="E151" s="697"/>
      <c r="F151" s="326"/>
      <c r="G151" s="327"/>
      <c r="H151" s="407"/>
      <c r="I151" s="326"/>
      <c r="J151" s="326"/>
      <c r="K151" s="327"/>
      <c r="L151" s="407"/>
      <c r="M151" s="326"/>
      <c r="N151" s="326"/>
      <c r="O151" s="326"/>
      <c r="P151" s="327"/>
      <c r="Q151" s="407"/>
      <c r="R151" s="326"/>
      <c r="S151" s="326"/>
      <c r="T151" s="326"/>
      <c r="U151" s="326"/>
      <c r="V151" s="326"/>
      <c r="W151" s="326"/>
      <c r="X151" s="326"/>
      <c r="Y151" s="326"/>
      <c r="Z151" s="327"/>
      <c r="AA151" s="407"/>
      <c r="AB151" s="326"/>
      <c r="AC151" s="326"/>
      <c r="AD151" s="326"/>
      <c r="AE151" s="326"/>
      <c r="AF151" s="326"/>
      <c r="AG151" s="326"/>
      <c r="AH151" s="326"/>
      <c r="AI151" s="326"/>
      <c r="AJ151" s="326"/>
      <c r="AK151" s="326"/>
      <c r="AL151" s="326"/>
      <c r="AM151" s="326"/>
      <c r="AN151" s="326"/>
      <c r="AO151" s="326"/>
      <c r="AP151" s="326"/>
      <c r="AQ151" s="327"/>
    </row>
    <row r="152" spans="1:43" ht="30" customHeight="1" x14ac:dyDescent="0.25">
      <c r="A152" s="87">
        <f t="shared" si="0"/>
        <v>140</v>
      </c>
      <c r="B152" s="381" t="s">
        <v>334</v>
      </c>
      <c r="C152" s="326"/>
      <c r="D152" s="327"/>
      <c r="E152" s="698"/>
      <c r="F152" s="326"/>
      <c r="G152" s="327"/>
      <c r="H152" s="381"/>
      <c r="I152" s="326"/>
      <c r="J152" s="326"/>
      <c r="K152" s="327"/>
      <c r="L152" s="381"/>
      <c r="M152" s="326"/>
      <c r="N152" s="326"/>
      <c r="O152" s="326"/>
      <c r="P152" s="327"/>
      <c r="Q152" s="381"/>
      <c r="R152" s="326"/>
      <c r="S152" s="326"/>
      <c r="T152" s="326"/>
      <c r="U152" s="326"/>
      <c r="V152" s="326"/>
      <c r="W152" s="326"/>
      <c r="X152" s="326"/>
      <c r="Y152" s="326"/>
      <c r="Z152" s="327"/>
      <c r="AA152" s="381"/>
      <c r="AB152" s="326"/>
      <c r="AC152" s="326"/>
      <c r="AD152" s="326"/>
      <c r="AE152" s="326"/>
      <c r="AF152" s="326"/>
      <c r="AG152" s="326"/>
      <c r="AH152" s="326"/>
      <c r="AI152" s="326"/>
      <c r="AJ152" s="326"/>
      <c r="AK152" s="326"/>
      <c r="AL152" s="326"/>
      <c r="AM152" s="326"/>
      <c r="AN152" s="326"/>
      <c r="AO152" s="326"/>
      <c r="AP152" s="326"/>
      <c r="AQ152" s="327"/>
    </row>
    <row r="153" spans="1:43" ht="30" customHeight="1" x14ac:dyDescent="0.25">
      <c r="A153" s="87">
        <f t="shared" si="0"/>
        <v>141</v>
      </c>
      <c r="B153" s="407" t="s">
        <v>334</v>
      </c>
      <c r="C153" s="326"/>
      <c r="D153" s="327"/>
      <c r="E153" s="697"/>
      <c r="F153" s="326"/>
      <c r="G153" s="327"/>
      <c r="H153" s="407"/>
      <c r="I153" s="326"/>
      <c r="J153" s="326"/>
      <c r="K153" s="327"/>
      <c r="L153" s="407"/>
      <c r="M153" s="326"/>
      <c r="N153" s="326"/>
      <c r="O153" s="326"/>
      <c r="P153" s="327"/>
      <c r="Q153" s="407"/>
      <c r="R153" s="326"/>
      <c r="S153" s="326"/>
      <c r="T153" s="326"/>
      <c r="U153" s="326"/>
      <c r="V153" s="326"/>
      <c r="W153" s="326"/>
      <c r="X153" s="326"/>
      <c r="Y153" s="326"/>
      <c r="Z153" s="327"/>
      <c r="AA153" s="407"/>
      <c r="AB153" s="326"/>
      <c r="AC153" s="326"/>
      <c r="AD153" s="326"/>
      <c r="AE153" s="326"/>
      <c r="AF153" s="326"/>
      <c r="AG153" s="326"/>
      <c r="AH153" s="326"/>
      <c r="AI153" s="326"/>
      <c r="AJ153" s="326"/>
      <c r="AK153" s="326"/>
      <c r="AL153" s="326"/>
      <c r="AM153" s="326"/>
      <c r="AN153" s="326"/>
      <c r="AO153" s="326"/>
      <c r="AP153" s="326"/>
      <c r="AQ153" s="327"/>
    </row>
    <row r="154" spans="1:43" ht="30" customHeight="1" x14ac:dyDescent="0.25">
      <c r="A154" s="87">
        <f t="shared" si="0"/>
        <v>142</v>
      </c>
      <c r="B154" s="381" t="s">
        <v>334</v>
      </c>
      <c r="C154" s="326"/>
      <c r="D154" s="327"/>
      <c r="E154" s="698"/>
      <c r="F154" s="326"/>
      <c r="G154" s="327"/>
      <c r="H154" s="381"/>
      <c r="I154" s="326"/>
      <c r="J154" s="326"/>
      <c r="K154" s="327"/>
      <c r="L154" s="381"/>
      <c r="M154" s="326"/>
      <c r="N154" s="326"/>
      <c r="O154" s="326"/>
      <c r="P154" s="327"/>
      <c r="Q154" s="381"/>
      <c r="R154" s="326"/>
      <c r="S154" s="326"/>
      <c r="T154" s="326"/>
      <c r="U154" s="326"/>
      <c r="V154" s="326"/>
      <c r="W154" s="326"/>
      <c r="X154" s="326"/>
      <c r="Y154" s="326"/>
      <c r="Z154" s="327"/>
      <c r="AA154" s="381"/>
      <c r="AB154" s="326"/>
      <c r="AC154" s="326"/>
      <c r="AD154" s="326"/>
      <c r="AE154" s="326"/>
      <c r="AF154" s="326"/>
      <c r="AG154" s="326"/>
      <c r="AH154" s="326"/>
      <c r="AI154" s="326"/>
      <c r="AJ154" s="326"/>
      <c r="AK154" s="326"/>
      <c r="AL154" s="326"/>
      <c r="AM154" s="326"/>
      <c r="AN154" s="326"/>
      <c r="AO154" s="326"/>
      <c r="AP154" s="326"/>
      <c r="AQ154" s="327"/>
    </row>
    <row r="155" spans="1:43" ht="30" customHeight="1" x14ac:dyDescent="0.25">
      <c r="A155" s="87">
        <f t="shared" si="0"/>
        <v>143</v>
      </c>
      <c r="B155" s="407" t="s">
        <v>334</v>
      </c>
      <c r="C155" s="326"/>
      <c r="D155" s="327"/>
      <c r="E155" s="697"/>
      <c r="F155" s="326"/>
      <c r="G155" s="327"/>
      <c r="H155" s="407"/>
      <c r="I155" s="326"/>
      <c r="J155" s="326"/>
      <c r="K155" s="327"/>
      <c r="L155" s="407"/>
      <c r="M155" s="326"/>
      <c r="N155" s="326"/>
      <c r="O155" s="326"/>
      <c r="P155" s="327"/>
      <c r="Q155" s="407"/>
      <c r="R155" s="326"/>
      <c r="S155" s="326"/>
      <c r="T155" s="326"/>
      <c r="U155" s="326"/>
      <c r="V155" s="326"/>
      <c r="W155" s="326"/>
      <c r="X155" s="326"/>
      <c r="Y155" s="326"/>
      <c r="Z155" s="327"/>
      <c r="AA155" s="407"/>
      <c r="AB155" s="326"/>
      <c r="AC155" s="326"/>
      <c r="AD155" s="326"/>
      <c r="AE155" s="326"/>
      <c r="AF155" s="326"/>
      <c r="AG155" s="326"/>
      <c r="AH155" s="326"/>
      <c r="AI155" s="326"/>
      <c r="AJ155" s="326"/>
      <c r="AK155" s="326"/>
      <c r="AL155" s="326"/>
      <c r="AM155" s="326"/>
      <c r="AN155" s="326"/>
      <c r="AO155" s="326"/>
      <c r="AP155" s="326"/>
      <c r="AQ155" s="327"/>
    </row>
    <row r="156" spans="1:43" ht="30" customHeight="1" x14ac:dyDescent="0.25">
      <c r="A156" s="87">
        <f t="shared" si="0"/>
        <v>144</v>
      </c>
      <c r="B156" s="381" t="s">
        <v>334</v>
      </c>
      <c r="C156" s="326"/>
      <c r="D156" s="327"/>
      <c r="E156" s="698"/>
      <c r="F156" s="326"/>
      <c r="G156" s="327"/>
      <c r="H156" s="381"/>
      <c r="I156" s="326"/>
      <c r="J156" s="326"/>
      <c r="K156" s="327"/>
      <c r="L156" s="381"/>
      <c r="M156" s="326"/>
      <c r="N156" s="326"/>
      <c r="O156" s="326"/>
      <c r="P156" s="327"/>
      <c r="Q156" s="381"/>
      <c r="R156" s="326"/>
      <c r="S156" s="326"/>
      <c r="T156" s="326"/>
      <c r="U156" s="326"/>
      <c r="V156" s="326"/>
      <c r="W156" s="326"/>
      <c r="X156" s="326"/>
      <c r="Y156" s="326"/>
      <c r="Z156" s="327"/>
      <c r="AA156" s="381"/>
      <c r="AB156" s="326"/>
      <c r="AC156" s="326"/>
      <c r="AD156" s="326"/>
      <c r="AE156" s="326"/>
      <c r="AF156" s="326"/>
      <c r="AG156" s="326"/>
      <c r="AH156" s="326"/>
      <c r="AI156" s="326"/>
      <c r="AJ156" s="326"/>
      <c r="AK156" s="326"/>
      <c r="AL156" s="326"/>
      <c r="AM156" s="326"/>
      <c r="AN156" s="326"/>
      <c r="AO156" s="326"/>
      <c r="AP156" s="326"/>
      <c r="AQ156" s="327"/>
    </row>
    <row r="157" spans="1:43" ht="30" customHeight="1" x14ac:dyDescent="0.25">
      <c r="A157" s="87">
        <f t="shared" si="0"/>
        <v>145</v>
      </c>
      <c r="B157" s="407" t="s">
        <v>334</v>
      </c>
      <c r="C157" s="326"/>
      <c r="D157" s="327"/>
      <c r="E157" s="697"/>
      <c r="F157" s="326"/>
      <c r="G157" s="327"/>
      <c r="H157" s="407"/>
      <c r="I157" s="326"/>
      <c r="J157" s="326"/>
      <c r="K157" s="327"/>
      <c r="L157" s="407"/>
      <c r="M157" s="326"/>
      <c r="N157" s="326"/>
      <c r="O157" s="326"/>
      <c r="P157" s="327"/>
      <c r="Q157" s="407"/>
      <c r="R157" s="326"/>
      <c r="S157" s="326"/>
      <c r="T157" s="326"/>
      <c r="U157" s="326"/>
      <c r="V157" s="326"/>
      <c r="W157" s="326"/>
      <c r="X157" s="326"/>
      <c r="Y157" s="326"/>
      <c r="Z157" s="327"/>
      <c r="AA157" s="407"/>
      <c r="AB157" s="326"/>
      <c r="AC157" s="326"/>
      <c r="AD157" s="326"/>
      <c r="AE157" s="326"/>
      <c r="AF157" s="326"/>
      <c r="AG157" s="326"/>
      <c r="AH157" s="326"/>
      <c r="AI157" s="326"/>
      <c r="AJ157" s="326"/>
      <c r="AK157" s="326"/>
      <c r="AL157" s="326"/>
      <c r="AM157" s="326"/>
      <c r="AN157" s="326"/>
      <c r="AO157" s="326"/>
      <c r="AP157" s="326"/>
      <c r="AQ157" s="327"/>
    </row>
    <row r="158" spans="1:43" ht="30" customHeight="1" x14ac:dyDescent="0.25">
      <c r="A158" s="87">
        <f t="shared" si="0"/>
        <v>146</v>
      </c>
      <c r="B158" s="381" t="s">
        <v>334</v>
      </c>
      <c r="C158" s="326"/>
      <c r="D158" s="327"/>
      <c r="E158" s="698"/>
      <c r="F158" s="326"/>
      <c r="G158" s="327"/>
      <c r="H158" s="381"/>
      <c r="I158" s="326"/>
      <c r="J158" s="326"/>
      <c r="K158" s="327"/>
      <c r="L158" s="381"/>
      <c r="M158" s="326"/>
      <c r="N158" s="326"/>
      <c r="O158" s="326"/>
      <c r="P158" s="327"/>
      <c r="Q158" s="381"/>
      <c r="R158" s="326"/>
      <c r="S158" s="326"/>
      <c r="T158" s="326"/>
      <c r="U158" s="326"/>
      <c r="V158" s="326"/>
      <c r="W158" s="326"/>
      <c r="X158" s="326"/>
      <c r="Y158" s="326"/>
      <c r="Z158" s="327"/>
      <c r="AA158" s="381"/>
      <c r="AB158" s="326"/>
      <c r="AC158" s="326"/>
      <c r="AD158" s="326"/>
      <c r="AE158" s="326"/>
      <c r="AF158" s="326"/>
      <c r="AG158" s="326"/>
      <c r="AH158" s="326"/>
      <c r="AI158" s="326"/>
      <c r="AJ158" s="326"/>
      <c r="AK158" s="326"/>
      <c r="AL158" s="326"/>
      <c r="AM158" s="326"/>
      <c r="AN158" s="326"/>
      <c r="AO158" s="326"/>
      <c r="AP158" s="326"/>
      <c r="AQ158" s="327"/>
    </row>
    <row r="159" spans="1:43" ht="30" customHeight="1" x14ac:dyDescent="0.25">
      <c r="A159" s="87">
        <f t="shared" si="0"/>
        <v>147</v>
      </c>
      <c r="B159" s="407" t="s">
        <v>334</v>
      </c>
      <c r="C159" s="326"/>
      <c r="D159" s="327"/>
      <c r="E159" s="697"/>
      <c r="F159" s="326"/>
      <c r="G159" s="327"/>
      <c r="H159" s="407"/>
      <c r="I159" s="326"/>
      <c r="J159" s="326"/>
      <c r="K159" s="327"/>
      <c r="L159" s="407"/>
      <c r="M159" s="326"/>
      <c r="N159" s="326"/>
      <c r="O159" s="326"/>
      <c r="P159" s="327"/>
      <c r="Q159" s="407"/>
      <c r="R159" s="326"/>
      <c r="S159" s="326"/>
      <c r="T159" s="326"/>
      <c r="U159" s="326"/>
      <c r="V159" s="326"/>
      <c r="W159" s="326"/>
      <c r="X159" s="326"/>
      <c r="Y159" s="326"/>
      <c r="Z159" s="327"/>
      <c r="AA159" s="407"/>
      <c r="AB159" s="326"/>
      <c r="AC159" s="326"/>
      <c r="AD159" s="326"/>
      <c r="AE159" s="326"/>
      <c r="AF159" s="326"/>
      <c r="AG159" s="326"/>
      <c r="AH159" s="326"/>
      <c r="AI159" s="326"/>
      <c r="AJ159" s="326"/>
      <c r="AK159" s="326"/>
      <c r="AL159" s="326"/>
      <c r="AM159" s="326"/>
      <c r="AN159" s="326"/>
      <c r="AO159" s="326"/>
      <c r="AP159" s="326"/>
      <c r="AQ159" s="327"/>
    </row>
    <row r="160" spans="1:43" ht="30" customHeight="1" x14ac:dyDescent="0.25">
      <c r="A160" s="87">
        <f t="shared" si="0"/>
        <v>148</v>
      </c>
      <c r="B160" s="381" t="s">
        <v>334</v>
      </c>
      <c r="C160" s="326"/>
      <c r="D160" s="327"/>
      <c r="E160" s="698"/>
      <c r="F160" s="326"/>
      <c r="G160" s="327"/>
      <c r="H160" s="381"/>
      <c r="I160" s="326"/>
      <c r="J160" s="326"/>
      <c r="K160" s="327"/>
      <c r="L160" s="381"/>
      <c r="M160" s="326"/>
      <c r="N160" s="326"/>
      <c r="O160" s="326"/>
      <c r="P160" s="327"/>
      <c r="Q160" s="381"/>
      <c r="R160" s="326"/>
      <c r="S160" s="326"/>
      <c r="T160" s="326"/>
      <c r="U160" s="326"/>
      <c r="V160" s="326"/>
      <c r="W160" s="326"/>
      <c r="X160" s="326"/>
      <c r="Y160" s="326"/>
      <c r="Z160" s="327"/>
      <c r="AA160" s="381"/>
      <c r="AB160" s="326"/>
      <c r="AC160" s="326"/>
      <c r="AD160" s="326"/>
      <c r="AE160" s="326"/>
      <c r="AF160" s="326"/>
      <c r="AG160" s="326"/>
      <c r="AH160" s="326"/>
      <c r="AI160" s="326"/>
      <c r="AJ160" s="326"/>
      <c r="AK160" s="326"/>
      <c r="AL160" s="326"/>
      <c r="AM160" s="326"/>
      <c r="AN160" s="326"/>
      <c r="AO160" s="326"/>
      <c r="AP160" s="326"/>
      <c r="AQ160" s="327"/>
    </row>
    <row r="161" spans="1:43" ht="30" customHeight="1" x14ac:dyDescent="0.25">
      <c r="A161" s="87">
        <f t="shared" si="0"/>
        <v>149</v>
      </c>
      <c r="B161" s="407" t="s">
        <v>334</v>
      </c>
      <c r="C161" s="326"/>
      <c r="D161" s="327"/>
      <c r="E161" s="697"/>
      <c r="F161" s="326"/>
      <c r="G161" s="327"/>
      <c r="H161" s="407"/>
      <c r="I161" s="326"/>
      <c r="J161" s="326"/>
      <c r="K161" s="327"/>
      <c r="L161" s="407"/>
      <c r="M161" s="326"/>
      <c r="N161" s="326"/>
      <c r="O161" s="326"/>
      <c r="P161" s="327"/>
      <c r="Q161" s="407"/>
      <c r="R161" s="326"/>
      <c r="S161" s="326"/>
      <c r="T161" s="326"/>
      <c r="U161" s="326"/>
      <c r="V161" s="326"/>
      <c r="W161" s="326"/>
      <c r="X161" s="326"/>
      <c r="Y161" s="326"/>
      <c r="Z161" s="327"/>
      <c r="AA161" s="407"/>
      <c r="AB161" s="326"/>
      <c r="AC161" s="326"/>
      <c r="AD161" s="326"/>
      <c r="AE161" s="326"/>
      <c r="AF161" s="326"/>
      <c r="AG161" s="326"/>
      <c r="AH161" s="326"/>
      <c r="AI161" s="326"/>
      <c r="AJ161" s="326"/>
      <c r="AK161" s="326"/>
      <c r="AL161" s="326"/>
      <c r="AM161" s="326"/>
      <c r="AN161" s="326"/>
      <c r="AO161" s="326"/>
      <c r="AP161" s="326"/>
      <c r="AQ161" s="327"/>
    </row>
    <row r="162" spans="1:43" ht="30" customHeight="1" x14ac:dyDescent="0.25">
      <c r="A162" s="87">
        <f t="shared" si="0"/>
        <v>150</v>
      </c>
      <c r="B162" s="381" t="s">
        <v>334</v>
      </c>
      <c r="C162" s="326"/>
      <c r="D162" s="327"/>
      <c r="E162" s="698"/>
      <c r="F162" s="326"/>
      <c r="G162" s="327"/>
      <c r="H162" s="381"/>
      <c r="I162" s="326"/>
      <c r="J162" s="326"/>
      <c r="K162" s="327"/>
      <c r="L162" s="381"/>
      <c r="M162" s="326"/>
      <c r="N162" s="326"/>
      <c r="O162" s="326"/>
      <c r="P162" s="327"/>
      <c r="Q162" s="381"/>
      <c r="R162" s="326"/>
      <c r="S162" s="326"/>
      <c r="T162" s="326"/>
      <c r="U162" s="326"/>
      <c r="V162" s="326"/>
      <c r="W162" s="326"/>
      <c r="X162" s="326"/>
      <c r="Y162" s="326"/>
      <c r="Z162" s="327"/>
      <c r="AA162" s="381"/>
      <c r="AB162" s="326"/>
      <c r="AC162" s="326"/>
      <c r="AD162" s="326"/>
      <c r="AE162" s="326"/>
      <c r="AF162" s="326"/>
      <c r="AG162" s="326"/>
      <c r="AH162" s="326"/>
      <c r="AI162" s="326"/>
      <c r="AJ162" s="326"/>
      <c r="AK162" s="326"/>
      <c r="AL162" s="326"/>
      <c r="AM162" s="326"/>
      <c r="AN162" s="326"/>
      <c r="AO162" s="326"/>
      <c r="AP162" s="326"/>
      <c r="AQ162" s="327"/>
    </row>
    <row r="163" spans="1:43" ht="30" customHeight="1" x14ac:dyDescent="0.25">
      <c r="A163" s="87">
        <f t="shared" si="0"/>
        <v>151</v>
      </c>
      <c r="B163" s="407" t="s">
        <v>334</v>
      </c>
      <c r="C163" s="326"/>
      <c r="D163" s="327"/>
      <c r="E163" s="697"/>
      <c r="F163" s="326"/>
      <c r="G163" s="327"/>
      <c r="H163" s="407"/>
      <c r="I163" s="326"/>
      <c r="J163" s="326"/>
      <c r="K163" s="327"/>
      <c r="L163" s="407"/>
      <c r="M163" s="326"/>
      <c r="N163" s="326"/>
      <c r="O163" s="326"/>
      <c r="P163" s="327"/>
      <c r="Q163" s="407"/>
      <c r="R163" s="326"/>
      <c r="S163" s="326"/>
      <c r="T163" s="326"/>
      <c r="U163" s="326"/>
      <c r="V163" s="326"/>
      <c r="W163" s="326"/>
      <c r="X163" s="326"/>
      <c r="Y163" s="326"/>
      <c r="Z163" s="327"/>
      <c r="AA163" s="407"/>
      <c r="AB163" s="326"/>
      <c r="AC163" s="326"/>
      <c r="AD163" s="326"/>
      <c r="AE163" s="326"/>
      <c r="AF163" s="326"/>
      <c r="AG163" s="326"/>
      <c r="AH163" s="326"/>
      <c r="AI163" s="326"/>
      <c r="AJ163" s="326"/>
      <c r="AK163" s="326"/>
      <c r="AL163" s="326"/>
      <c r="AM163" s="326"/>
      <c r="AN163" s="326"/>
      <c r="AO163" s="326"/>
      <c r="AP163" s="326"/>
      <c r="AQ163" s="327"/>
    </row>
    <row r="164" spans="1:43" ht="30" customHeight="1" x14ac:dyDescent="0.25">
      <c r="A164" s="87">
        <f t="shared" si="0"/>
        <v>152</v>
      </c>
      <c r="B164" s="381" t="s">
        <v>334</v>
      </c>
      <c r="C164" s="326"/>
      <c r="D164" s="327"/>
      <c r="E164" s="698"/>
      <c r="F164" s="326"/>
      <c r="G164" s="327"/>
      <c r="H164" s="381"/>
      <c r="I164" s="326"/>
      <c r="J164" s="326"/>
      <c r="K164" s="327"/>
      <c r="L164" s="381"/>
      <c r="M164" s="326"/>
      <c r="N164" s="326"/>
      <c r="O164" s="326"/>
      <c r="P164" s="327"/>
      <c r="Q164" s="381"/>
      <c r="R164" s="326"/>
      <c r="S164" s="326"/>
      <c r="T164" s="326"/>
      <c r="U164" s="326"/>
      <c r="V164" s="326"/>
      <c r="W164" s="326"/>
      <c r="X164" s="326"/>
      <c r="Y164" s="326"/>
      <c r="Z164" s="327"/>
      <c r="AA164" s="381"/>
      <c r="AB164" s="326"/>
      <c r="AC164" s="326"/>
      <c r="AD164" s="326"/>
      <c r="AE164" s="326"/>
      <c r="AF164" s="326"/>
      <c r="AG164" s="326"/>
      <c r="AH164" s="326"/>
      <c r="AI164" s="326"/>
      <c r="AJ164" s="326"/>
      <c r="AK164" s="326"/>
      <c r="AL164" s="326"/>
      <c r="AM164" s="326"/>
      <c r="AN164" s="326"/>
      <c r="AO164" s="326"/>
      <c r="AP164" s="326"/>
      <c r="AQ164" s="327"/>
    </row>
    <row r="165" spans="1:43" ht="30" customHeight="1" x14ac:dyDescent="0.25">
      <c r="A165" s="87">
        <f t="shared" si="0"/>
        <v>153</v>
      </c>
      <c r="B165" s="407" t="s">
        <v>334</v>
      </c>
      <c r="C165" s="326"/>
      <c r="D165" s="327"/>
      <c r="E165" s="697"/>
      <c r="F165" s="326"/>
      <c r="G165" s="327"/>
      <c r="H165" s="407"/>
      <c r="I165" s="326"/>
      <c r="J165" s="326"/>
      <c r="K165" s="327"/>
      <c r="L165" s="407"/>
      <c r="M165" s="326"/>
      <c r="N165" s="326"/>
      <c r="O165" s="326"/>
      <c r="P165" s="327"/>
      <c r="Q165" s="407"/>
      <c r="R165" s="326"/>
      <c r="S165" s="326"/>
      <c r="T165" s="326"/>
      <c r="U165" s="326"/>
      <c r="V165" s="326"/>
      <c r="W165" s="326"/>
      <c r="X165" s="326"/>
      <c r="Y165" s="326"/>
      <c r="Z165" s="327"/>
      <c r="AA165" s="407"/>
      <c r="AB165" s="326"/>
      <c r="AC165" s="326"/>
      <c r="AD165" s="326"/>
      <c r="AE165" s="326"/>
      <c r="AF165" s="326"/>
      <c r="AG165" s="326"/>
      <c r="AH165" s="326"/>
      <c r="AI165" s="326"/>
      <c r="AJ165" s="326"/>
      <c r="AK165" s="326"/>
      <c r="AL165" s="326"/>
      <c r="AM165" s="326"/>
      <c r="AN165" s="326"/>
      <c r="AO165" s="326"/>
      <c r="AP165" s="326"/>
      <c r="AQ165" s="327"/>
    </row>
    <row r="166" spans="1:43" ht="30" customHeight="1" x14ac:dyDescent="0.25">
      <c r="A166" s="87">
        <f t="shared" si="0"/>
        <v>154</v>
      </c>
      <c r="B166" s="381" t="s">
        <v>334</v>
      </c>
      <c r="C166" s="326"/>
      <c r="D166" s="327"/>
      <c r="E166" s="698"/>
      <c r="F166" s="326"/>
      <c r="G166" s="327"/>
      <c r="H166" s="381"/>
      <c r="I166" s="326"/>
      <c r="J166" s="326"/>
      <c r="K166" s="327"/>
      <c r="L166" s="381"/>
      <c r="M166" s="326"/>
      <c r="N166" s="326"/>
      <c r="O166" s="326"/>
      <c r="P166" s="327"/>
      <c r="Q166" s="381"/>
      <c r="R166" s="326"/>
      <c r="S166" s="326"/>
      <c r="T166" s="326"/>
      <c r="U166" s="326"/>
      <c r="V166" s="326"/>
      <c r="W166" s="326"/>
      <c r="X166" s="326"/>
      <c r="Y166" s="326"/>
      <c r="Z166" s="327"/>
      <c r="AA166" s="381"/>
      <c r="AB166" s="326"/>
      <c r="AC166" s="326"/>
      <c r="AD166" s="326"/>
      <c r="AE166" s="326"/>
      <c r="AF166" s="326"/>
      <c r="AG166" s="326"/>
      <c r="AH166" s="326"/>
      <c r="AI166" s="326"/>
      <c r="AJ166" s="326"/>
      <c r="AK166" s="326"/>
      <c r="AL166" s="326"/>
      <c r="AM166" s="326"/>
      <c r="AN166" s="326"/>
      <c r="AO166" s="326"/>
      <c r="AP166" s="326"/>
      <c r="AQ166" s="327"/>
    </row>
    <row r="167" spans="1:43" ht="30" customHeight="1" x14ac:dyDescent="0.25">
      <c r="A167" s="87">
        <f t="shared" si="0"/>
        <v>155</v>
      </c>
      <c r="B167" s="407" t="s">
        <v>334</v>
      </c>
      <c r="C167" s="326"/>
      <c r="D167" s="327"/>
      <c r="E167" s="697"/>
      <c r="F167" s="326"/>
      <c r="G167" s="327"/>
      <c r="H167" s="407"/>
      <c r="I167" s="326"/>
      <c r="J167" s="326"/>
      <c r="K167" s="327"/>
      <c r="L167" s="407"/>
      <c r="M167" s="326"/>
      <c r="N167" s="326"/>
      <c r="O167" s="326"/>
      <c r="P167" s="327"/>
      <c r="Q167" s="407"/>
      <c r="R167" s="326"/>
      <c r="S167" s="326"/>
      <c r="T167" s="326"/>
      <c r="U167" s="326"/>
      <c r="V167" s="326"/>
      <c r="W167" s="326"/>
      <c r="X167" s="326"/>
      <c r="Y167" s="326"/>
      <c r="Z167" s="327"/>
      <c r="AA167" s="407"/>
      <c r="AB167" s="326"/>
      <c r="AC167" s="326"/>
      <c r="AD167" s="326"/>
      <c r="AE167" s="326"/>
      <c r="AF167" s="326"/>
      <c r="AG167" s="326"/>
      <c r="AH167" s="326"/>
      <c r="AI167" s="326"/>
      <c r="AJ167" s="326"/>
      <c r="AK167" s="326"/>
      <c r="AL167" s="326"/>
      <c r="AM167" s="326"/>
      <c r="AN167" s="326"/>
      <c r="AO167" s="326"/>
      <c r="AP167" s="326"/>
      <c r="AQ167" s="327"/>
    </row>
    <row r="168" spans="1:43" ht="30" customHeight="1" x14ac:dyDescent="0.25">
      <c r="A168" s="87">
        <f t="shared" si="0"/>
        <v>156</v>
      </c>
      <c r="B168" s="381" t="s">
        <v>334</v>
      </c>
      <c r="C168" s="326"/>
      <c r="D168" s="327"/>
      <c r="E168" s="698"/>
      <c r="F168" s="326"/>
      <c r="G168" s="327"/>
      <c r="H168" s="381"/>
      <c r="I168" s="326"/>
      <c r="J168" s="326"/>
      <c r="K168" s="327"/>
      <c r="L168" s="381"/>
      <c r="M168" s="326"/>
      <c r="N168" s="326"/>
      <c r="O168" s="326"/>
      <c r="P168" s="327"/>
      <c r="Q168" s="381"/>
      <c r="R168" s="326"/>
      <c r="S168" s="326"/>
      <c r="T168" s="326"/>
      <c r="U168" s="326"/>
      <c r="V168" s="326"/>
      <c r="W168" s="326"/>
      <c r="X168" s="326"/>
      <c r="Y168" s="326"/>
      <c r="Z168" s="327"/>
      <c r="AA168" s="381"/>
      <c r="AB168" s="326"/>
      <c r="AC168" s="326"/>
      <c r="AD168" s="326"/>
      <c r="AE168" s="326"/>
      <c r="AF168" s="326"/>
      <c r="AG168" s="326"/>
      <c r="AH168" s="326"/>
      <c r="AI168" s="326"/>
      <c r="AJ168" s="326"/>
      <c r="AK168" s="326"/>
      <c r="AL168" s="326"/>
      <c r="AM168" s="326"/>
      <c r="AN168" s="326"/>
      <c r="AO168" s="326"/>
      <c r="AP168" s="326"/>
      <c r="AQ168" s="327"/>
    </row>
    <row r="169" spans="1:43" ht="30" customHeight="1" x14ac:dyDescent="0.25">
      <c r="A169" s="87">
        <f t="shared" si="0"/>
        <v>157</v>
      </c>
      <c r="B169" s="407" t="s">
        <v>334</v>
      </c>
      <c r="C169" s="326"/>
      <c r="D169" s="327"/>
      <c r="E169" s="697"/>
      <c r="F169" s="326"/>
      <c r="G169" s="327"/>
      <c r="H169" s="407"/>
      <c r="I169" s="326"/>
      <c r="J169" s="326"/>
      <c r="K169" s="327"/>
      <c r="L169" s="407"/>
      <c r="M169" s="326"/>
      <c r="N169" s="326"/>
      <c r="O169" s="326"/>
      <c r="P169" s="327"/>
      <c r="Q169" s="407"/>
      <c r="R169" s="326"/>
      <c r="S169" s="326"/>
      <c r="T169" s="326"/>
      <c r="U169" s="326"/>
      <c r="V169" s="326"/>
      <c r="W169" s="326"/>
      <c r="X169" s="326"/>
      <c r="Y169" s="326"/>
      <c r="Z169" s="327"/>
      <c r="AA169" s="407"/>
      <c r="AB169" s="326"/>
      <c r="AC169" s="326"/>
      <c r="AD169" s="326"/>
      <c r="AE169" s="326"/>
      <c r="AF169" s="326"/>
      <c r="AG169" s="326"/>
      <c r="AH169" s="326"/>
      <c r="AI169" s="326"/>
      <c r="AJ169" s="326"/>
      <c r="AK169" s="326"/>
      <c r="AL169" s="326"/>
      <c r="AM169" s="326"/>
      <c r="AN169" s="326"/>
      <c r="AO169" s="326"/>
      <c r="AP169" s="326"/>
      <c r="AQ169" s="327"/>
    </row>
    <row r="170" spans="1:43" ht="30" customHeight="1" x14ac:dyDescent="0.25">
      <c r="A170" s="87">
        <f t="shared" si="0"/>
        <v>158</v>
      </c>
      <c r="B170" s="381" t="s">
        <v>334</v>
      </c>
      <c r="C170" s="326"/>
      <c r="D170" s="327"/>
      <c r="E170" s="698"/>
      <c r="F170" s="326"/>
      <c r="G170" s="327"/>
      <c r="H170" s="381"/>
      <c r="I170" s="326"/>
      <c r="J170" s="326"/>
      <c r="K170" s="327"/>
      <c r="L170" s="381"/>
      <c r="M170" s="326"/>
      <c r="N170" s="326"/>
      <c r="O170" s="326"/>
      <c r="P170" s="327"/>
      <c r="Q170" s="381"/>
      <c r="R170" s="326"/>
      <c r="S170" s="326"/>
      <c r="T170" s="326"/>
      <c r="U170" s="326"/>
      <c r="V170" s="326"/>
      <c r="W170" s="326"/>
      <c r="X170" s="326"/>
      <c r="Y170" s="326"/>
      <c r="Z170" s="327"/>
      <c r="AA170" s="381"/>
      <c r="AB170" s="326"/>
      <c r="AC170" s="326"/>
      <c r="AD170" s="326"/>
      <c r="AE170" s="326"/>
      <c r="AF170" s="326"/>
      <c r="AG170" s="326"/>
      <c r="AH170" s="326"/>
      <c r="AI170" s="326"/>
      <c r="AJ170" s="326"/>
      <c r="AK170" s="326"/>
      <c r="AL170" s="326"/>
      <c r="AM170" s="326"/>
      <c r="AN170" s="326"/>
      <c r="AO170" s="326"/>
      <c r="AP170" s="326"/>
      <c r="AQ170" s="327"/>
    </row>
    <row r="171" spans="1:43" ht="30" customHeight="1" x14ac:dyDescent="0.25">
      <c r="A171" s="87">
        <f t="shared" si="0"/>
        <v>159</v>
      </c>
      <c r="B171" s="407" t="s">
        <v>334</v>
      </c>
      <c r="C171" s="326"/>
      <c r="D171" s="327"/>
      <c r="E171" s="697"/>
      <c r="F171" s="326"/>
      <c r="G171" s="327"/>
      <c r="H171" s="407"/>
      <c r="I171" s="326"/>
      <c r="J171" s="326"/>
      <c r="K171" s="327"/>
      <c r="L171" s="407"/>
      <c r="M171" s="326"/>
      <c r="N171" s="326"/>
      <c r="O171" s="326"/>
      <c r="P171" s="327"/>
      <c r="Q171" s="407"/>
      <c r="R171" s="326"/>
      <c r="S171" s="326"/>
      <c r="T171" s="326"/>
      <c r="U171" s="326"/>
      <c r="V171" s="326"/>
      <c r="W171" s="326"/>
      <c r="X171" s="326"/>
      <c r="Y171" s="326"/>
      <c r="Z171" s="327"/>
      <c r="AA171" s="407"/>
      <c r="AB171" s="326"/>
      <c r="AC171" s="326"/>
      <c r="AD171" s="326"/>
      <c r="AE171" s="326"/>
      <c r="AF171" s="326"/>
      <c r="AG171" s="326"/>
      <c r="AH171" s="326"/>
      <c r="AI171" s="326"/>
      <c r="AJ171" s="326"/>
      <c r="AK171" s="326"/>
      <c r="AL171" s="326"/>
      <c r="AM171" s="326"/>
      <c r="AN171" s="326"/>
      <c r="AO171" s="326"/>
      <c r="AP171" s="326"/>
      <c r="AQ171" s="327"/>
    </row>
    <row r="172" spans="1:43" ht="30" customHeight="1" x14ac:dyDescent="0.25">
      <c r="A172" s="87">
        <f t="shared" si="0"/>
        <v>160</v>
      </c>
      <c r="B172" s="381" t="s">
        <v>334</v>
      </c>
      <c r="C172" s="326"/>
      <c r="D172" s="327"/>
      <c r="E172" s="698"/>
      <c r="F172" s="326"/>
      <c r="G172" s="327"/>
      <c r="H172" s="381"/>
      <c r="I172" s="326"/>
      <c r="J172" s="326"/>
      <c r="K172" s="327"/>
      <c r="L172" s="381"/>
      <c r="M172" s="326"/>
      <c r="N172" s="326"/>
      <c r="O172" s="326"/>
      <c r="P172" s="327"/>
      <c r="Q172" s="381"/>
      <c r="R172" s="326"/>
      <c r="S172" s="326"/>
      <c r="T172" s="326"/>
      <c r="U172" s="326"/>
      <c r="V172" s="326"/>
      <c r="W172" s="326"/>
      <c r="X172" s="326"/>
      <c r="Y172" s="326"/>
      <c r="Z172" s="327"/>
      <c r="AA172" s="381"/>
      <c r="AB172" s="326"/>
      <c r="AC172" s="326"/>
      <c r="AD172" s="326"/>
      <c r="AE172" s="326"/>
      <c r="AF172" s="326"/>
      <c r="AG172" s="326"/>
      <c r="AH172" s="326"/>
      <c r="AI172" s="326"/>
      <c r="AJ172" s="326"/>
      <c r="AK172" s="326"/>
      <c r="AL172" s="326"/>
      <c r="AM172" s="326"/>
      <c r="AN172" s="326"/>
      <c r="AO172" s="326"/>
      <c r="AP172" s="326"/>
      <c r="AQ172" s="327"/>
    </row>
    <row r="173" spans="1:43" ht="30" customHeight="1" x14ac:dyDescent="0.25">
      <c r="A173" s="87">
        <f t="shared" si="0"/>
        <v>161</v>
      </c>
      <c r="B173" s="407" t="s">
        <v>334</v>
      </c>
      <c r="C173" s="326"/>
      <c r="D173" s="327"/>
      <c r="E173" s="697"/>
      <c r="F173" s="326"/>
      <c r="G173" s="327"/>
      <c r="H173" s="407"/>
      <c r="I173" s="326"/>
      <c r="J173" s="326"/>
      <c r="K173" s="327"/>
      <c r="L173" s="407"/>
      <c r="M173" s="326"/>
      <c r="N173" s="326"/>
      <c r="O173" s="326"/>
      <c r="P173" s="327"/>
      <c r="Q173" s="407"/>
      <c r="R173" s="326"/>
      <c r="S173" s="326"/>
      <c r="T173" s="326"/>
      <c r="U173" s="326"/>
      <c r="V173" s="326"/>
      <c r="W173" s="326"/>
      <c r="X173" s="326"/>
      <c r="Y173" s="326"/>
      <c r="Z173" s="327"/>
      <c r="AA173" s="407"/>
      <c r="AB173" s="326"/>
      <c r="AC173" s="326"/>
      <c r="AD173" s="326"/>
      <c r="AE173" s="326"/>
      <c r="AF173" s="326"/>
      <c r="AG173" s="326"/>
      <c r="AH173" s="326"/>
      <c r="AI173" s="326"/>
      <c r="AJ173" s="326"/>
      <c r="AK173" s="326"/>
      <c r="AL173" s="326"/>
      <c r="AM173" s="326"/>
      <c r="AN173" s="326"/>
      <c r="AO173" s="326"/>
      <c r="AP173" s="326"/>
      <c r="AQ173" s="327"/>
    </row>
    <row r="174" spans="1:43" ht="30" customHeight="1" x14ac:dyDescent="0.25">
      <c r="A174" s="87">
        <f t="shared" si="0"/>
        <v>162</v>
      </c>
      <c r="B174" s="381" t="s">
        <v>334</v>
      </c>
      <c r="C174" s="326"/>
      <c r="D174" s="327"/>
      <c r="E174" s="698"/>
      <c r="F174" s="326"/>
      <c r="G174" s="327"/>
      <c r="H174" s="381"/>
      <c r="I174" s="326"/>
      <c r="J174" s="326"/>
      <c r="K174" s="327"/>
      <c r="L174" s="381"/>
      <c r="M174" s="326"/>
      <c r="N174" s="326"/>
      <c r="O174" s="326"/>
      <c r="P174" s="327"/>
      <c r="Q174" s="381"/>
      <c r="R174" s="326"/>
      <c r="S174" s="326"/>
      <c r="T174" s="326"/>
      <c r="U174" s="326"/>
      <c r="V174" s="326"/>
      <c r="W174" s="326"/>
      <c r="X174" s="326"/>
      <c r="Y174" s="326"/>
      <c r="Z174" s="327"/>
      <c r="AA174" s="381"/>
      <c r="AB174" s="326"/>
      <c r="AC174" s="326"/>
      <c r="AD174" s="326"/>
      <c r="AE174" s="326"/>
      <c r="AF174" s="326"/>
      <c r="AG174" s="326"/>
      <c r="AH174" s="326"/>
      <c r="AI174" s="326"/>
      <c r="AJ174" s="326"/>
      <c r="AK174" s="326"/>
      <c r="AL174" s="326"/>
      <c r="AM174" s="326"/>
      <c r="AN174" s="326"/>
      <c r="AO174" s="326"/>
      <c r="AP174" s="326"/>
      <c r="AQ174" s="327"/>
    </row>
    <row r="175" spans="1:43" ht="30" customHeight="1" x14ac:dyDescent="0.25">
      <c r="A175" s="87">
        <f t="shared" si="0"/>
        <v>163</v>
      </c>
      <c r="B175" s="407" t="s">
        <v>334</v>
      </c>
      <c r="C175" s="326"/>
      <c r="D175" s="327"/>
      <c r="E175" s="697"/>
      <c r="F175" s="326"/>
      <c r="G175" s="327"/>
      <c r="H175" s="407"/>
      <c r="I175" s="326"/>
      <c r="J175" s="326"/>
      <c r="K175" s="327"/>
      <c r="L175" s="407"/>
      <c r="M175" s="326"/>
      <c r="N175" s="326"/>
      <c r="O175" s="326"/>
      <c r="P175" s="327"/>
      <c r="Q175" s="407"/>
      <c r="R175" s="326"/>
      <c r="S175" s="326"/>
      <c r="T175" s="326"/>
      <c r="U175" s="326"/>
      <c r="V175" s="326"/>
      <c r="W175" s="326"/>
      <c r="X175" s="326"/>
      <c r="Y175" s="326"/>
      <c r="Z175" s="327"/>
      <c r="AA175" s="407"/>
      <c r="AB175" s="326"/>
      <c r="AC175" s="326"/>
      <c r="AD175" s="326"/>
      <c r="AE175" s="326"/>
      <c r="AF175" s="326"/>
      <c r="AG175" s="326"/>
      <c r="AH175" s="326"/>
      <c r="AI175" s="326"/>
      <c r="AJ175" s="326"/>
      <c r="AK175" s="326"/>
      <c r="AL175" s="326"/>
      <c r="AM175" s="326"/>
      <c r="AN175" s="326"/>
      <c r="AO175" s="326"/>
      <c r="AP175" s="326"/>
      <c r="AQ175" s="327"/>
    </row>
    <row r="176" spans="1:43" ht="30" customHeight="1" x14ac:dyDescent="0.25">
      <c r="A176" s="87">
        <f t="shared" si="0"/>
        <v>164</v>
      </c>
      <c r="B176" s="381" t="s">
        <v>334</v>
      </c>
      <c r="C176" s="326"/>
      <c r="D176" s="327"/>
      <c r="E176" s="698"/>
      <c r="F176" s="326"/>
      <c r="G176" s="327"/>
      <c r="H176" s="381"/>
      <c r="I176" s="326"/>
      <c r="J176" s="326"/>
      <c r="K176" s="327"/>
      <c r="L176" s="381"/>
      <c r="M176" s="326"/>
      <c r="N176" s="326"/>
      <c r="O176" s="326"/>
      <c r="P176" s="327"/>
      <c r="Q176" s="381"/>
      <c r="R176" s="326"/>
      <c r="S176" s="326"/>
      <c r="T176" s="326"/>
      <c r="U176" s="326"/>
      <c r="V176" s="326"/>
      <c r="W176" s="326"/>
      <c r="X176" s="326"/>
      <c r="Y176" s="326"/>
      <c r="Z176" s="327"/>
      <c r="AA176" s="381"/>
      <c r="AB176" s="326"/>
      <c r="AC176" s="326"/>
      <c r="AD176" s="326"/>
      <c r="AE176" s="326"/>
      <c r="AF176" s="326"/>
      <c r="AG176" s="326"/>
      <c r="AH176" s="326"/>
      <c r="AI176" s="326"/>
      <c r="AJ176" s="326"/>
      <c r="AK176" s="326"/>
      <c r="AL176" s="326"/>
      <c r="AM176" s="326"/>
      <c r="AN176" s="326"/>
      <c r="AO176" s="326"/>
      <c r="AP176" s="326"/>
      <c r="AQ176" s="327"/>
    </row>
    <row r="177" spans="1:43" ht="30" customHeight="1" x14ac:dyDescent="0.25">
      <c r="A177" s="87">
        <f t="shared" si="0"/>
        <v>165</v>
      </c>
      <c r="B177" s="407" t="s">
        <v>334</v>
      </c>
      <c r="C177" s="326"/>
      <c r="D177" s="327"/>
      <c r="E177" s="697"/>
      <c r="F177" s="326"/>
      <c r="G177" s="327"/>
      <c r="H177" s="407"/>
      <c r="I177" s="326"/>
      <c r="J177" s="326"/>
      <c r="K177" s="327"/>
      <c r="L177" s="407"/>
      <c r="M177" s="326"/>
      <c r="N177" s="326"/>
      <c r="O177" s="326"/>
      <c r="P177" s="327"/>
      <c r="Q177" s="407"/>
      <c r="R177" s="326"/>
      <c r="S177" s="326"/>
      <c r="T177" s="326"/>
      <c r="U177" s="326"/>
      <c r="V177" s="326"/>
      <c r="W177" s="326"/>
      <c r="X177" s="326"/>
      <c r="Y177" s="326"/>
      <c r="Z177" s="327"/>
      <c r="AA177" s="407"/>
      <c r="AB177" s="326"/>
      <c r="AC177" s="326"/>
      <c r="AD177" s="326"/>
      <c r="AE177" s="326"/>
      <c r="AF177" s="326"/>
      <c r="AG177" s="326"/>
      <c r="AH177" s="326"/>
      <c r="AI177" s="326"/>
      <c r="AJ177" s="326"/>
      <c r="AK177" s="326"/>
      <c r="AL177" s="326"/>
      <c r="AM177" s="326"/>
      <c r="AN177" s="326"/>
      <c r="AO177" s="326"/>
      <c r="AP177" s="326"/>
      <c r="AQ177" s="327"/>
    </row>
    <row r="178" spans="1:43" ht="30" customHeight="1" x14ac:dyDescent="0.25">
      <c r="A178" s="87">
        <f t="shared" si="0"/>
        <v>166</v>
      </c>
      <c r="B178" s="381" t="s">
        <v>334</v>
      </c>
      <c r="C178" s="326"/>
      <c r="D178" s="327"/>
      <c r="E178" s="698"/>
      <c r="F178" s="326"/>
      <c r="G178" s="327"/>
      <c r="H178" s="381"/>
      <c r="I178" s="326"/>
      <c r="J178" s="326"/>
      <c r="K178" s="327"/>
      <c r="L178" s="381"/>
      <c r="M178" s="326"/>
      <c r="N178" s="326"/>
      <c r="O178" s="326"/>
      <c r="P178" s="327"/>
      <c r="Q178" s="381"/>
      <c r="R178" s="326"/>
      <c r="S178" s="326"/>
      <c r="T178" s="326"/>
      <c r="U178" s="326"/>
      <c r="V178" s="326"/>
      <c r="W178" s="326"/>
      <c r="X178" s="326"/>
      <c r="Y178" s="326"/>
      <c r="Z178" s="327"/>
      <c r="AA178" s="381"/>
      <c r="AB178" s="326"/>
      <c r="AC178" s="326"/>
      <c r="AD178" s="326"/>
      <c r="AE178" s="326"/>
      <c r="AF178" s="326"/>
      <c r="AG178" s="326"/>
      <c r="AH178" s="326"/>
      <c r="AI178" s="326"/>
      <c r="AJ178" s="326"/>
      <c r="AK178" s="326"/>
      <c r="AL178" s="326"/>
      <c r="AM178" s="326"/>
      <c r="AN178" s="326"/>
      <c r="AO178" s="326"/>
      <c r="AP178" s="326"/>
      <c r="AQ178" s="327"/>
    </row>
    <row r="179" spans="1:43" ht="30" customHeight="1" x14ac:dyDescent="0.25">
      <c r="A179" s="87">
        <f t="shared" si="0"/>
        <v>167</v>
      </c>
      <c r="B179" s="407" t="s">
        <v>334</v>
      </c>
      <c r="C179" s="326"/>
      <c r="D179" s="327"/>
      <c r="E179" s="697"/>
      <c r="F179" s="326"/>
      <c r="G179" s="327"/>
      <c r="H179" s="407"/>
      <c r="I179" s="326"/>
      <c r="J179" s="326"/>
      <c r="K179" s="327"/>
      <c r="L179" s="407"/>
      <c r="M179" s="326"/>
      <c r="N179" s="326"/>
      <c r="O179" s="326"/>
      <c r="P179" s="327"/>
      <c r="Q179" s="407"/>
      <c r="R179" s="326"/>
      <c r="S179" s="326"/>
      <c r="T179" s="326"/>
      <c r="U179" s="326"/>
      <c r="V179" s="326"/>
      <c r="W179" s="326"/>
      <c r="X179" s="326"/>
      <c r="Y179" s="326"/>
      <c r="Z179" s="327"/>
      <c r="AA179" s="407"/>
      <c r="AB179" s="326"/>
      <c r="AC179" s="326"/>
      <c r="AD179" s="326"/>
      <c r="AE179" s="326"/>
      <c r="AF179" s="326"/>
      <c r="AG179" s="326"/>
      <c r="AH179" s="326"/>
      <c r="AI179" s="326"/>
      <c r="AJ179" s="326"/>
      <c r="AK179" s="326"/>
      <c r="AL179" s="326"/>
      <c r="AM179" s="326"/>
      <c r="AN179" s="326"/>
      <c r="AO179" s="326"/>
      <c r="AP179" s="326"/>
      <c r="AQ179" s="327"/>
    </row>
    <row r="180" spans="1:43" ht="30" customHeight="1" x14ac:dyDescent="0.25">
      <c r="A180" s="87">
        <f t="shared" si="0"/>
        <v>168</v>
      </c>
      <c r="B180" s="381" t="s">
        <v>334</v>
      </c>
      <c r="C180" s="326"/>
      <c r="D180" s="327"/>
      <c r="E180" s="698"/>
      <c r="F180" s="326"/>
      <c r="G180" s="327"/>
      <c r="H180" s="381"/>
      <c r="I180" s="326"/>
      <c r="J180" s="326"/>
      <c r="K180" s="327"/>
      <c r="L180" s="381"/>
      <c r="M180" s="326"/>
      <c r="N180" s="326"/>
      <c r="O180" s="326"/>
      <c r="P180" s="327"/>
      <c r="Q180" s="381"/>
      <c r="R180" s="326"/>
      <c r="S180" s="326"/>
      <c r="T180" s="326"/>
      <c r="U180" s="326"/>
      <c r="V180" s="326"/>
      <c r="W180" s="326"/>
      <c r="X180" s="326"/>
      <c r="Y180" s="326"/>
      <c r="Z180" s="327"/>
      <c r="AA180" s="381"/>
      <c r="AB180" s="326"/>
      <c r="AC180" s="326"/>
      <c r="AD180" s="326"/>
      <c r="AE180" s="326"/>
      <c r="AF180" s="326"/>
      <c r="AG180" s="326"/>
      <c r="AH180" s="326"/>
      <c r="AI180" s="326"/>
      <c r="AJ180" s="326"/>
      <c r="AK180" s="326"/>
      <c r="AL180" s="326"/>
      <c r="AM180" s="326"/>
      <c r="AN180" s="326"/>
      <c r="AO180" s="326"/>
      <c r="AP180" s="326"/>
      <c r="AQ180" s="327"/>
    </row>
    <row r="181" spans="1:43" ht="30" customHeight="1" x14ac:dyDescent="0.25">
      <c r="A181" s="87">
        <f t="shared" si="0"/>
        <v>169</v>
      </c>
      <c r="B181" s="407" t="s">
        <v>334</v>
      </c>
      <c r="C181" s="326"/>
      <c r="D181" s="327"/>
      <c r="E181" s="697"/>
      <c r="F181" s="326"/>
      <c r="G181" s="327"/>
      <c r="H181" s="407"/>
      <c r="I181" s="326"/>
      <c r="J181" s="326"/>
      <c r="K181" s="327"/>
      <c r="L181" s="407"/>
      <c r="M181" s="326"/>
      <c r="N181" s="326"/>
      <c r="O181" s="326"/>
      <c r="P181" s="327"/>
      <c r="Q181" s="407"/>
      <c r="R181" s="326"/>
      <c r="S181" s="326"/>
      <c r="T181" s="326"/>
      <c r="U181" s="326"/>
      <c r="V181" s="326"/>
      <c r="W181" s="326"/>
      <c r="X181" s="326"/>
      <c r="Y181" s="326"/>
      <c r="Z181" s="327"/>
      <c r="AA181" s="407"/>
      <c r="AB181" s="326"/>
      <c r="AC181" s="326"/>
      <c r="AD181" s="326"/>
      <c r="AE181" s="326"/>
      <c r="AF181" s="326"/>
      <c r="AG181" s="326"/>
      <c r="AH181" s="326"/>
      <c r="AI181" s="326"/>
      <c r="AJ181" s="326"/>
      <c r="AK181" s="326"/>
      <c r="AL181" s="326"/>
      <c r="AM181" s="326"/>
      <c r="AN181" s="326"/>
      <c r="AO181" s="326"/>
      <c r="AP181" s="326"/>
      <c r="AQ181" s="327"/>
    </row>
    <row r="182" spans="1:43" ht="30" customHeight="1" x14ac:dyDescent="0.25">
      <c r="A182" s="87">
        <f t="shared" si="0"/>
        <v>170</v>
      </c>
      <c r="B182" s="381" t="s">
        <v>334</v>
      </c>
      <c r="C182" s="326"/>
      <c r="D182" s="327"/>
      <c r="E182" s="698"/>
      <c r="F182" s="326"/>
      <c r="G182" s="327"/>
      <c r="H182" s="381"/>
      <c r="I182" s="326"/>
      <c r="J182" s="326"/>
      <c r="K182" s="327"/>
      <c r="L182" s="381"/>
      <c r="M182" s="326"/>
      <c r="N182" s="326"/>
      <c r="O182" s="326"/>
      <c r="P182" s="327"/>
      <c r="Q182" s="381"/>
      <c r="R182" s="326"/>
      <c r="S182" s="326"/>
      <c r="T182" s="326"/>
      <c r="U182" s="326"/>
      <c r="V182" s="326"/>
      <c r="W182" s="326"/>
      <c r="X182" s="326"/>
      <c r="Y182" s="326"/>
      <c r="Z182" s="327"/>
      <c r="AA182" s="381"/>
      <c r="AB182" s="326"/>
      <c r="AC182" s="326"/>
      <c r="AD182" s="326"/>
      <c r="AE182" s="326"/>
      <c r="AF182" s="326"/>
      <c r="AG182" s="326"/>
      <c r="AH182" s="326"/>
      <c r="AI182" s="326"/>
      <c r="AJ182" s="326"/>
      <c r="AK182" s="326"/>
      <c r="AL182" s="326"/>
      <c r="AM182" s="326"/>
      <c r="AN182" s="326"/>
      <c r="AO182" s="326"/>
      <c r="AP182" s="326"/>
      <c r="AQ182" s="327"/>
    </row>
    <row r="183" spans="1:43" ht="30" customHeight="1" x14ac:dyDescent="0.25">
      <c r="A183" s="87">
        <f t="shared" si="0"/>
        <v>171</v>
      </c>
      <c r="B183" s="407" t="s">
        <v>334</v>
      </c>
      <c r="C183" s="326"/>
      <c r="D183" s="327"/>
      <c r="E183" s="697"/>
      <c r="F183" s="326"/>
      <c r="G183" s="327"/>
      <c r="H183" s="407"/>
      <c r="I183" s="326"/>
      <c r="J183" s="326"/>
      <c r="K183" s="327"/>
      <c r="L183" s="407"/>
      <c r="M183" s="326"/>
      <c r="N183" s="326"/>
      <c r="O183" s="326"/>
      <c r="P183" s="327"/>
      <c r="Q183" s="407"/>
      <c r="R183" s="326"/>
      <c r="S183" s="326"/>
      <c r="T183" s="326"/>
      <c r="U183" s="326"/>
      <c r="V183" s="326"/>
      <c r="W183" s="326"/>
      <c r="X183" s="326"/>
      <c r="Y183" s="326"/>
      <c r="Z183" s="327"/>
      <c r="AA183" s="407"/>
      <c r="AB183" s="326"/>
      <c r="AC183" s="326"/>
      <c r="AD183" s="326"/>
      <c r="AE183" s="326"/>
      <c r="AF183" s="326"/>
      <c r="AG183" s="326"/>
      <c r="AH183" s="326"/>
      <c r="AI183" s="326"/>
      <c r="AJ183" s="326"/>
      <c r="AK183" s="326"/>
      <c r="AL183" s="326"/>
      <c r="AM183" s="326"/>
      <c r="AN183" s="326"/>
      <c r="AO183" s="326"/>
      <c r="AP183" s="326"/>
      <c r="AQ183" s="327"/>
    </row>
    <row r="184" spans="1:43" ht="30" customHeight="1" x14ac:dyDescent="0.25">
      <c r="A184" s="87">
        <f t="shared" si="0"/>
        <v>172</v>
      </c>
      <c r="B184" s="381" t="s">
        <v>334</v>
      </c>
      <c r="C184" s="326"/>
      <c r="D184" s="327"/>
      <c r="E184" s="698"/>
      <c r="F184" s="326"/>
      <c r="G184" s="327"/>
      <c r="H184" s="381"/>
      <c r="I184" s="326"/>
      <c r="J184" s="326"/>
      <c r="K184" s="327"/>
      <c r="L184" s="381"/>
      <c r="M184" s="326"/>
      <c r="N184" s="326"/>
      <c r="O184" s="326"/>
      <c r="P184" s="327"/>
      <c r="Q184" s="381"/>
      <c r="R184" s="326"/>
      <c r="S184" s="326"/>
      <c r="T184" s="326"/>
      <c r="U184" s="326"/>
      <c r="V184" s="326"/>
      <c r="W184" s="326"/>
      <c r="X184" s="326"/>
      <c r="Y184" s="326"/>
      <c r="Z184" s="327"/>
      <c r="AA184" s="381"/>
      <c r="AB184" s="326"/>
      <c r="AC184" s="326"/>
      <c r="AD184" s="326"/>
      <c r="AE184" s="326"/>
      <c r="AF184" s="326"/>
      <c r="AG184" s="326"/>
      <c r="AH184" s="326"/>
      <c r="AI184" s="326"/>
      <c r="AJ184" s="326"/>
      <c r="AK184" s="326"/>
      <c r="AL184" s="326"/>
      <c r="AM184" s="326"/>
      <c r="AN184" s="326"/>
      <c r="AO184" s="326"/>
      <c r="AP184" s="326"/>
      <c r="AQ184" s="327"/>
    </row>
    <row r="185" spans="1:43" ht="30" customHeight="1" x14ac:dyDescent="0.25">
      <c r="A185" s="87">
        <f t="shared" si="0"/>
        <v>173</v>
      </c>
      <c r="B185" s="407" t="s">
        <v>334</v>
      </c>
      <c r="C185" s="326"/>
      <c r="D185" s="327"/>
      <c r="E185" s="697"/>
      <c r="F185" s="326"/>
      <c r="G185" s="327"/>
      <c r="H185" s="407"/>
      <c r="I185" s="326"/>
      <c r="J185" s="326"/>
      <c r="K185" s="327"/>
      <c r="L185" s="407"/>
      <c r="M185" s="326"/>
      <c r="N185" s="326"/>
      <c r="O185" s="326"/>
      <c r="P185" s="327"/>
      <c r="Q185" s="407"/>
      <c r="R185" s="326"/>
      <c r="S185" s="326"/>
      <c r="T185" s="326"/>
      <c r="U185" s="326"/>
      <c r="V185" s="326"/>
      <c r="W185" s="326"/>
      <c r="X185" s="326"/>
      <c r="Y185" s="326"/>
      <c r="Z185" s="327"/>
      <c r="AA185" s="407"/>
      <c r="AB185" s="326"/>
      <c r="AC185" s="326"/>
      <c r="AD185" s="326"/>
      <c r="AE185" s="326"/>
      <c r="AF185" s="326"/>
      <c r="AG185" s="326"/>
      <c r="AH185" s="326"/>
      <c r="AI185" s="326"/>
      <c r="AJ185" s="326"/>
      <c r="AK185" s="326"/>
      <c r="AL185" s="326"/>
      <c r="AM185" s="326"/>
      <c r="AN185" s="326"/>
      <c r="AO185" s="326"/>
      <c r="AP185" s="326"/>
      <c r="AQ185" s="327"/>
    </row>
    <row r="186" spans="1:43" ht="30" customHeight="1" x14ac:dyDescent="0.25">
      <c r="A186" s="87">
        <f t="shared" si="0"/>
        <v>174</v>
      </c>
      <c r="B186" s="381" t="s">
        <v>334</v>
      </c>
      <c r="C186" s="326"/>
      <c r="D186" s="327"/>
      <c r="E186" s="698"/>
      <c r="F186" s="326"/>
      <c r="G186" s="327"/>
      <c r="H186" s="381"/>
      <c r="I186" s="326"/>
      <c r="J186" s="326"/>
      <c r="K186" s="327"/>
      <c r="L186" s="381"/>
      <c r="M186" s="326"/>
      <c r="N186" s="326"/>
      <c r="O186" s="326"/>
      <c r="P186" s="327"/>
      <c r="Q186" s="381"/>
      <c r="R186" s="326"/>
      <c r="S186" s="326"/>
      <c r="T186" s="326"/>
      <c r="U186" s="326"/>
      <c r="V186" s="326"/>
      <c r="W186" s="326"/>
      <c r="X186" s="326"/>
      <c r="Y186" s="326"/>
      <c r="Z186" s="327"/>
      <c r="AA186" s="381"/>
      <c r="AB186" s="326"/>
      <c r="AC186" s="326"/>
      <c r="AD186" s="326"/>
      <c r="AE186" s="326"/>
      <c r="AF186" s="326"/>
      <c r="AG186" s="326"/>
      <c r="AH186" s="326"/>
      <c r="AI186" s="326"/>
      <c r="AJ186" s="326"/>
      <c r="AK186" s="326"/>
      <c r="AL186" s="326"/>
      <c r="AM186" s="326"/>
      <c r="AN186" s="326"/>
      <c r="AO186" s="326"/>
      <c r="AP186" s="326"/>
      <c r="AQ186" s="327"/>
    </row>
    <row r="187" spans="1:43" ht="30" customHeight="1" x14ac:dyDescent="0.25">
      <c r="A187" s="87">
        <f t="shared" si="0"/>
        <v>175</v>
      </c>
      <c r="B187" s="407" t="s">
        <v>334</v>
      </c>
      <c r="C187" s="326"/>
      <c r="D187" s="327"/>
      <c r="E187" s="697"/>
      <c r="F187" s="326"/>
      <c r="G187" s="327"/>
      <c r="H187" s="407"/>
      <c r="I187" s="326"/>
      <c r="J187" s="326"/>
      <c r="K187" s="327"/>
      <c r="L187" s="407"/>
      <c r="M187" s="326"/>
      <c r="N187" s="326"/>
      <c r="O187" s="326"/>
      <c r="P187" s="327"/>
      <c r="Q187" s="407"/>
      <c r="R187" s="326"/>
      <c r="S187" s="326"/>
      <c r="T187" s="326"/>
      <c r="U187" s="326"/>
      <c r="V187" s="326"/>
      <c r="W187" s="326"/>
      <c r="X187" s="326"/>
      <c r="Y187" s="326"/>
      <c r="Z187" s="327"/>
      <c r="AA187" s="407"/>
      <c r="AB187" s="326"/>
      <c r="AC187" s="326"/>
      <c r="AD187" s="326"/>
      <c r="AE187" s="326"/>
      <c r="AF187" s="326"/>
      <c r="AG187" s="326"/>
      <c r="AH187" s="326"/>
      <c r="AI187" s="326"/>
      <c r="AJ187" s="326"/>
      <c r="AK187" s="326"/>
      <c r="AL187" s="326"/>
      <c r="AM187" s="326"/>
      <c r="AN187" s="326"/>
      <c r="AO187" s="326"/>
      <c r="AP187" s="326"/>
      <c r="AQ187" s="327"/>
    </row>
    <row r="188" spans="1:43" ht="30" customHeight="1" x14ac:dyDescent="0.25">
      <c r="A188" s="87">
        <f t="shared" si="0"/>
        <v>176</v>
      </c>
      <c r="B188" s="381" t="s">
        <v>334</v>
      </c>
      <c r="C188" s="326"/>
      <c r="D188" s="327"/>
      <c r="E188" s="698"/>
      <c r="F188" s="326"/>
      <c r="G188" s="327"/>
      <c r="H188" s="381"/>
      <c r="I188" s="326"/>
      <c r="J188" s="326"/>
      <c r="K188" s="327"/>
      <c r="L188" s="381"/>
      <c r="M188" s="326"/>
      <c r="N188" s="326"/>
      <c r="O188" s="326"/>
      <c r="P188" s="327"/>
      <c r="Q188" s="381"/>
      <c r="R188" s="326"/>
      <c r="S188" s="326"/>
      <c r="T188" s="326"/>
      <c r="U188" s="326"/>
      <c r="V188" s="326"/>
      <c r="W188" s="326"/>
      <c r="X188" s="326"/>
      <c r="Y188" s="326"/>
      <c r="Z188" s="327"/>
      <c r="AA188" s="381"/>
      <c r="AB188" s="326"/>
      <c r="AC188" s="326"/>
      <c r="AD188" s="326"/>
      <c r="AE188" s="326"/>
      <c r="AF188" s="326"/>
      <c r="AG188" s="326"/>
      <c r="AH188" s="326"/>
      <c r="AI188" s="326"/>
      <c r="AJ188" s="326"/>
      <c r="AK188" s="326"/>
      <c r="AL188" s="326"/>
      <c r="AM188" s="326"/>
      <c r="AN188" s="326"/>
      <c r="AO188" s="326"/>
      <c r="AP188" s="326"/>
      <c r="AQ188" s="327"/>
    </row>
    <row r="189" spans="1:43" ht="30" customHeight="1" x14ac:dyDescent="0.25">
      <c r="A189" s="87">
        <f t="shared" si="0"/>
        <v>177</v>
      </c>
      <c r="B189" s="407" t="s">
        <v>334</v>
      </c>
      <c r="C189" s="326"/>
      <c r="D189" s="327"/>
      <c r="E189" s="697"/>
      <c r="F189" s="326"/>
      <c r="G189" s="327"/>
      <c r="H189" s="407"/>
      <c r="I189" s="326"/>
      <c r="J189" s="326"/>
      <c r="K189" s="327"/>
      <c r="L189" s="407"/>
      <c r="M189" s="326"/>
      <c r="N189" s="326"/>
      <c r="O189" s="326"/>
      <c r="P189" s="327"/>
      <c r="Q189" s="407"/>
      <c r="R189" s="326"/>
      <c r="S189" s="326"/>
      <c r="T189" s="326"/>
      <c r="U189" s="326"/>
      <c r="V189" s="326"/>
      <c r="W189" s="326"/>
      <c r="X189" s="326"/>
      <c r="Y189" s="326"/>
      <c r="Z189" s="327"/>
      <c r="AA189" s="407"/>
      <c r="AB189" s="326"/>
      <c r="AC189" s="326"/>
      <c r="AD189" s="326"/>
      <c r="AE189" s="326"/>
      <c r="AF189" s="326"/>
      <c r="AG189" s="326"/>
      <c r="AH189" s="326"/>
      <c r="AI189" s="326"/>
      <c r="AJ189" s="326"/>
      <c r="AK189" s="326"/>
      <c r="AL189" s="326"/>
      <c r="AM189" s="326"/>
      <c r="AN189" s="326"/>
      <c r="AO189" s="326"/>
      <c r="AP189" s="326"/>
      <c r="AQ189" s="327"/>
    </row>
    <row r="190" spans="1:43" ht="30" customHeight="1" x14ac:dyDescent="0.25">
      <c r="A190" s="87">
        <f t="shared" si="0"/>
        <v>178</v>
      </c>
      <c r="B190" s="381" t="s">
        <v>334</v>
      </c>
      <c r="C190" s="326"/>
      <c r="D190" s="327"/>
      <c r="E190" s="698"/>
      <c r="F190" s="326"/>
      <c r="G190" s="327"/>
      <c r="H190" s="381"/>
      <c r="I190" s="326"/>
      <c r="J190" s="326"/>
      <c r="K190" s="327"/>
      <c r="L190" s="381"/>
      <c r="M190" s="326"/>
      <c r="N190" s="326"/>
      <c r="O190" s="326"/>
      <c r="P190" s="327"/>
      <c r="Q190" s="381"/>
      <c r="R190" s="326"/>
      <c r="S190" s="326"/>
      <c r="T190" s="326"/>
      <c r="U190" s="326"/>
      <c r="V190" s="326"/>
      <c r="W190" s="326"/>
      <c r="X190" s="326"/>
      <c r="Y190" s="326"/>
      <c r="Z190" s="327"/>
      <c r="AA190" s="381"/>
      <c r="AB190" s="326"/>
      <c r="AC190" s="326"/>
      <c r="AD190" s="326"/>
      <c r="AE190" s="326"/>
      <c r="AF190" s="326"/>
      <c r="AG190" s="326"/>
      <c r="AH190" s="326"/>
      <c r="AI190" s="326"/>
      <c r="AJ190" s="326"/>
      <c r="AK190" s="326"/>
      <c r="AL190" s="326"/>
      <c r="AM190" s="326"/>
      <c r="AN190" s="326"/>
      <c r="AO190" s="326"/>
      <c r="AP190" s="326"/>
      <c r="AQ190" s="327"/>
    </row>
    <row r="191" spans="1:43" ht="30" customHeight="1" x14ac:dyDescent="0.25">
      <c r="A191" s="87">
        <f t="shared" si="0"/>
        <v>179</v>
      </c>
      <c r="B191" s="407" t="s">
        <v>334</v>
      </c>
      <c r="C191" s="326"/>
      <c r="D191" s="327"/>
      <c r="E191" s="697"/>
      <c r="F191" s="326"/>
      <c r="G191" s="327"/>
      <c r="H191" s="407"/>
      <c r="I191" s="326"/>
      <c r="J191" s="326"/>
      <c r="K191" s="327"/>
      <c r="L191" s="407"/>
      <c r="M191" s="326"/>
      <c r="N191" s="326"/>
      <c r="O191" s="326"/>
      <c r="P191" s="327"/>
      <c r="Q191" s="407"/>
      <c r="R191" s="326"/>
      <c r="S191" s="326"/>
      <c r="T191" s="326"/>
      <c r="U191" s="326"/>
      <c r="V191" s="326"/>
      <c r="W191" s="326"/>
      <c r="X191" s="326"/>
      <c r="Y191" s="326"/>
      <c r="Z191" s="327"/>
      <c r="AA191" s="407"/>
      <c r="AB191" s="326"/>
      <c r="AC191" s="326"/>
      <c r="AD191" s="326"/>
      <c r="AE191" s="326"/>
      <c r="AF191" s="326"/>
      <c r="AG191" s="326"/>
      <c r="AH191" s="326"/>
      <c r="AI191" s="326"/>
      <c r="AJ191" s="326"/>
      <c r="AK191" s="326"/>
      <c r="AL191" s="326"/>
      <c r="AM191" s="326"/>
      <c r="AN191" s="326"/>
      <c r="AO191" s="326"/>
      <c r="AP191" s="326"/>
      <c r="AQ191" s="327"/>
    </row>
    <row r="192" spans="1:43" ht="30" customHeight="1" x14ac:dyDescent="0.25">
      <c r="A192" s="87">
        <f t="shared" si="0"/>
        <v>180</v>
      </c>
      <c r="B192" s="381" t="s">
        <v>334</v>
      </c>
      <c r="C192" s="326"/>
      <c r="D192" s="327"/>
      <c r="E192" s="698"/>
      <c r="F192" s="326"/>
      <c r="G192" s="327"/>
      <c r="H192" s="381"/>
      <c r="I192" s="326"/>
      <c r="J192" s="326"/>
      <c r="K192" s="327"/>
      <c r="L192" s="381"/>
      <c r="M192" s="326"/>
      <c r="N192" s="326"/>
      <c r="O192" s="326"/>
      <c r="P192" s="327"/>
      <c r="Q192" s="381"/>
      <c r="R192" s="326"/>
      <c r="S192" s="326"/>
      <c r="T192" s="326"/>
      <c r="U192" s="326"/>
      <c r="V192" s="326"/>
      <c r="W192" s="326"/>
      <c r="X192" s="326"/>
      <c r="Y192" s="326"/>
      <c r="Z192" s="327"/>
      <c r="AA192" s="381"/>
      <c r="AB192" s="326"/>
      <c r="AC192" s="326"/>
      <c r="AD192" s="326"/>
      <c r="AE192" s="326"/>
      <c r="AF192" s="326"/>
      <c r="AG192" s="326"/>
      <c r="AH192" s="326"/>
      <c r="AI192" s="326"/>
      <c r="AJ192" s="326"/>
      <c r="AK192" s="326"/>
      <c r="AL192" s="326"/>
      <c r="AM192" s="326"/>
      <c r="AN192" s="326"/>
      <c r="AO192" s="326"/>
      <c r="AP192" s="326"/>
      <c r="AQ192" s="327"/>
    </row>
    <row r="193" spans="1:43" ht="30" customHeight="1" x14ac:dyDescent="0.25">
      <c r="A193" s="87">
        <f t="shared" si="0"/>
        <v>181</v>
      </c>
      <c r="B193" s="407" t="s">
        <v>334</v>
      </c>
      <c r="C193" s="326"/>
      <c r="D193" s="327"/>
      <c r="E193" s="697"/>
      <c r="F193" s="326"/>
      <c r="G193" s="327"/>
      <c r="H193" s="407"/>
      <c r="I193" s="326"/>
      <c r="J193" s="326"/>
      <c r="K193" s="327"/>
      <c r="L193" s="407"/>
      <c r="M193" s="326"/>
      <c r="N193" s="326"/>
      <c r="O193" s="326"/>
      <c r="P193" s="327"/>
      <c r="Q193" s="407"/>
      <c r="R193" s="326"/>
      <c r="S193" s="326"/>
      <c r="T193" s="326"/>
      <c r="U193" s="326"/>
      <c r="V193" s="326"/>
      <c r="W193" s="326"/>
      <c r="X193" s="326"/>
      <c r="Y193" s="326"/>
      <c r="Z193" s="327"/>
      <c r="AA193" s="407"/>
      <c r="AB193" s="326"/>
      <c r="AC193" s="326"/>
      <c r="AD193" s="326"/>
      <c r="AE193" s="326"/>
      <c r="AF193" s="326"/>
      <c r="AG193" s="326"/>
      <c r="AH193" s="326"/>
      <c r="AI193" s="326"/>
      <c r="AJ193" s="326"/>
      <c r="AK193" s="326"/>
      <c r="AL193" s="326"/>
      <c r="AM193" s="326"/>
      <c r="AN193" s="326"/>
      <c r="AO193" s="326"/>
      <c r="AP193" s="326"/>
      <c r="AQ193" s="327"/>
    </row>
    <row r="194" spans="1:43" ht="30" customHeight="1" x14ac:dyDescent="0.25">
      <c r="A194" s="87">
        <f t="shared" si="0"/>
        <v>182</v>
      </c>
      <c r="B194" s="381" t="s">
        <v>334</v>
      </c>
      <c r="C194" s="326"/>
      <c r="D194" s="327"/>
      <c r="E194" s="698"/>
      <c r="F194" s="326"/>
      <c r="G194" s="327"/>
      <c r="H194" s="381"/>
      <c r="I194" s="326"/>
      <c r="J194" s="326"/>
      <c r="K194" s="327"/>
      <c r="L194" s="381"/>
      <c r="M194" s="326"/>
      <c r="N194" s="326"/>
      <c r="O194" s="326"/>
      <c r="P194" s="327"/>
      <c r="Q194" s="381"/>
      <c r="R194" s="326"/>
      <c r="S194" s="326"/>
      <c r="T194" s="326"/>
      <c r="U194" s="326"/>
      <c r="V194" s="326"/>
      <c r="W194" s="326"/>
      <c r="X194" s="326"/>
      <c r="Y194" s="326"/>
      <c r="Z194" s="327"/>
      <c r="AA194" s="381"/>
      <c r="AB194" s="326"/>
      <c r="AC194" s="326"/>
      <c r="AD194" s="326"/>
      <c r="AE194" s="326"/>
      <c r="AF194" s="326"/>
      <c r="AG194" s="326"/>
      <c r="AH194" s="326"/>
      <c r="AI194" s="326"/>
      <c r="AJ194" s="326"/>
      <c r="AK194" s="326"/>
      <c r="AL194" s="326"/>
      <c r="AM194" s="326"/>
      <c r="AN194" s="326"/>
      <c r="AO194" s="326"/>
      <c r="AP194" s="326"/>
      <c r="AQ194" s="327"/>
    </row>
    <row r="195" spans="1:43" ht="30" customHeight="1" x14ac:dyDescent="0.25">
      <c r="A195" s="87">
        <f t="shared" si="0"/>
        <v>183</v>
      </c>
      <c r="B195" s="407" t="s">
        <v>334</v>
      </c>
      <c r="C195" s="326"/>
      <c r="D195" s="327"/>
      <c r="E195" s="697"/>
      <c r="F195" s="326"/>
      <c r="G195" s="327"/>
      <c r="H195" s="407"/>
      <c r="I195" s="326"/>
      <c r="J195" s="326"/>
      <c r="K195" s="327"/>
      <c r="L195" s="407"/>
      <c r="M195" s="326"/>
      <c r="N195" s="326"/>
      <c r="O195" s="326"/>
      <c r="P195" s="327"/>
      <c r="Q195" s="407"/>
      <c r="R195" s="326"/>
      <c r="S195" s="326"/>
      <c r="T195" s="326"/>
      <c r="U195" s="326"/>
      <c r="V195" s="326"/>
      <c r="W195" s="326"/>
      <c r="X195" s="326"/>
      <c r="Y195" s="326"/>
      <c r="Z195" s="327"/>
      <c r="AA195" s="407"/>
      <c r="AB195" s="326"/>
      <c r="AC195" s="326"/>
      <c r="AD195" s="326"/>
      <c r="AE195" s="326"/>
      <c r="AF195" s="326"/>
      <c r="AG195" s="326"/>
      <c r="AH195" s="326"/>
      <c r="AI195" s="326"/>
      <c r="AJ195" s="326"/>
      <c r="AK195" s="326"/>
      <c r="AL195" s="326"/>
      <c r="AM195" s="326"/>
      <c r="AN195" s="326"/>
      <c r="AO195" s="326"/>
      <c r="AP195" s="326"/>
      <c r="AQ195" s="327"/>
    </row>
    <row r="196" spans="1:43" ht="30" customHeight="1" x14ac:dyDescent="0.25">
      <c r="A196" s="87">
        <f t="shared" si="0"/>
        <v>184</v>
      </c>
      <c r="B196" s="381" t="s">
        <v>334</v>
      </c>
      <c r="C196" s="326"/>
      <c r="D196" s="327"/>
      <c r="E196" s="698"/>
      <c r="F196" s="326"/>
      <c r="G196" s="327"/>
      <c r="H196" s="381"/>
      <c r="I196" s="326"/>
      <c r="J196" s="326"/>
      <c r="K196" s="327"/>
      <c r="L196" s="381"/>
      <c r="M196" s="326"/>
      <c r="N196" s="326"/>
      <c r="O196" s="326"/>
      <c r="P196" s="327"/>
      <c r="Q196" s="381"/>
      <c r="R196" s="326"/>
      <c r="S196" s="326"/>
      <c r="T196" s="326"/>
      <c r="U196" s="326"/>
      <c r="V196" s="326"/>
      <c r="W196" s="326"/>
      <c r="X196" s="326"/>
      <c r="Y196" s="326"/>
      <c r="Z196" s="327"/>
      <c r="AA196" s="381"/>
      <c r="AB196" s="326"/>
      <c r="AC196" s="326"/>
      <c r="AD196" s="326"/>
      <c r="AE196" s="326"/>
      <c r="AF196" s="326"/>
      <c r="AG196" s="326"/>
      <c r="AH196" s="326"/>
      <c r="AI196" s="326"/>
      <c r="AJ196" s="326"/>
      <c r="AK196" s="326"/>
      <c r="AL196" s="326"/>
      <c r="AM196" s="326"/>
      <c r="AN196" s="326"/>
      <c r="AO196" s="326"/>
      <c r="AP196" s="326"/>
      <c r="AQ196" s="327"/>
    </row>
    <row r="197" spans="1:43" ht="30" customHeight="1" x14ac:dyDescent="0.25">
      <c r="A197" s="87">
        <f t="shared" si="0"/>
        <v>185</v>
      </c>
      <c r="B197" s="407" t="s">
        <v>334</v>
      </c>
      <c r="C197" s="326"/>
      <c r="D197" s="327"/>
      <c r="E197" s="697"/>
      <c r="F197" s="326"/>
      <c r="G197" s="327"/>
      <c r="H197" s="407"/>
      <c r="I197" s="326"/>
      <c r="J197" s="326"/>
      <c r="K197" s="327"/>
      <c r="L197" s="407"/>
      <c r="M197" s="326"/>
      <c r="N197" s="326"/>
      <c r="O197" s="326"/>
      <c r="P197" s="327"/>
      <c r="Q197" s="407"/>
      <c r="R197" s="326"/>
      <c r="S197" s="326"/>
      <c r="T197" s="326"/>
      <c r="U197" s="326"/>
      <c r="V197" s="326"/>
      <c r="W197" s="326"/>
      <c r="X197" s="326"/>
      <c r="Y197" s="326"/>
      <c r="Z197" s="327"/>
      <c r="AA197" s="407"/>
      <c r="AB197" s="326"/>
      <c r="AC197" s="326"/>
      <c r="AD197" s="326"/>
      <c r="AE197" s="326"/>
      <c r="AF197" s="326"/>
      <c r="AG197" s="326"/>
      <c r="AH197" s="326"/>
      <c r="AI197" s="326"/>
      <c r="AJ197" s="326"/>
      <c r="AK197" s="326"/>
      <c r="AL197" s="326"/>
      <c r="AM197" s="326"/>
      <c r="AN197" s="326"/>
      <c r="AO197" s="326"/>
      <c r="AP197" s="326"/>
      <c r="AQ197" s="327"/>
    </row>
    <row r="198" spans="1:43" ht="30" customHeight="1" x14ac:dyDescent="0.25">
      <c r="A198" s="87">
        <f t="shared" si="0"/>
        <v>186</v>
      </c>
      <c r="B198" s="381" t="s">
        <v>334</v>
      </c>
      <c r="C198" s="326"/>
      <c r="D198" s="327"/>
      <c r="E198" s="698"/>
      <c r="F198" s="326"/>
      <c r="G198" s="327"/>
      <c r="H198" s="381"/>
      <c r="I198" s="326"/>
      <c r="J198" s="326"/>
      <c r="K198" s="327"/>
      <c r="L198" s="381"/>
      <c r="M198" s="326"/>
      <c r="N198" s="326"/>
      <c r="O198" s="326"/>
      <c r="P198" s="327"/>
      <c r="Q198" s="381"/>
      <c r="R198" s="326"/>
      <c r="S198" s="326"/>
      <c r="T198" s="326"/>
      <c r="U198" s="326"/>
      <c r="V198" s="326"/>
      <c r="W198" s="326"/>
      <c r="X198" s="326"/>
      <c r="Y198" s="326"/>
      <c r="Z198" s="327"/>
      <c r="AA198" s="381"/>
      <c r="AB198" s="326"/>
      <c r="AC198" s="326"/>
      <c r="AD198" s="326"/>
      <c r="AE198" s="326"/>
      <c r="AF198" s="326"/>
      <c r="AG198" s="326"/>
      <c r="AH198" s="326"/>
      <c r="AI198" s="326"/>
      <c r="AJ198" s="326"/>
      <c r="AK198" s="326"/>
      <c r="AL198" s="326"/>
      <c r="AM198" s="326"/>
      <c r="AN198" s="326"/>
      <c r="AO198" s="326"/>
      <c r="AP198" s="326"/>
      <c r="AQ198" s="327"/>
    </row>
    <row r="199" spans="1:43" ht="30" customHeight="1" x14ac:dyDescent="0.25">
      <c r="A199" s="87">
        <f t="shared" si="0"/>
        <v>187</v>
      </c>
      <c r="B199" s="407" t="s">
        <v>334</v>
      </c>
      <c r="C199" s="326"/>
      <c r="D199" s="327"/>
      <c r="E199" s="697"/>
      <c r="F199" s="326"/>
      <c r="G199" s="327"/>
      <c r="H199" s="407"/>
      <c r="I199" s="326"/>
      <c r="J199" s="326"/>
      <c r="K199" s="327"/>
      <c r="L199" s="407"/>
      <c r="M199" s="326"/>
      <c r="N199" s="326"/>
      <c r="O199" s="326"/>
      <c r="P199" s="327"/>
      <c r="Q199" s="407"/>
      <c r="R199" s="326"/>
      <c r="S199" s="326"/>
      <c r="T199" s="326"/>
      <c r="U199" s="326"/>
      <c r="V199" s="326"/>
      <c r="W199" s="326"/>
      <c r="X199" s="326"/>
      <c r="Y199" s="326"/>
      <c r="Z199" s="327"/>
      <c r="AA199" s="407"/>
      <c r="AB199" s="326"/>
      <c r="AC199" s="326"/>
      <c r="AD199" s="326"/>
      <c r="AE199" s="326"/>
      <c r="AF199" s="326"/>
      <c r="AG199" s="326"/>
      <c r="AH199" s="326"/>
      <c r="AI199" s="326"/>
      <c r="AJ199" s="326"/>
      <c r="AK199" s="326"/>
      <c r="AL199" s="326"/>
      <c r="AM199" s="326"/>
      <c r="AN199" s="326"/>
      <c r="AO199" s="326"/>
      <c r="AP199" s="326"/>
      <c r="AQ199" s="327"/>
    </row>
    <row r="200" spans="1:43" ht="30" customHeight="1" x14ac:dyDescent="0.25">
      <c r="A200" s="87">
        <f t="shared" si="0"/>
        <v>188</v>
      </c>
      <c r="B200" s="381" t="s">
        <v>334</v>
      </c>
      <c r="C200" s="326"/>
      <c r="D200" s="327"/>
      <c r="E200" s="698"/>
      <c r="F200" s="326"/>
      <c r="G200" s="327"/>
      <c r="H200" s="381"/>
      <c r="I200" s="326"/>
      <c r="J200" s="326"/>
      <c r="K200" s="327"/>
      <c r="L200" s="381"/>
      <c r="M200" s="326"/>
      <c r="N200" s="326"/>
      <c r="O200" s="326"/>
      <c r="P200" s="327"/>
      <c r="Q200" s="381"/>
      <c r="R200" s="326"/>
      <c r="S200" s="326"/>
      <c r="T200" s="326"/>
      <c r="U200" s="326"/>
      <c r="V200" s="326"/>
      <c r="W200" s="326"/>
      <c r="X200" s="326"/>
      <c r="Y200" s="326"/>
      <c r="Z200" s="327"/>
      <c r="AA200" s="381"/>
      <c r="AB200" s="326"/>
      <c r="AC200" s="326"/>
      <c r="AD200" s="326"/>
      <c r="AE200" s="326"/>
      <c r="AF200" s="326"/>
      <c r="AG200" s="326"/>
      <c r="AH200" s="326"/>
      <c r="AI200" s="326"/>
      <c r="AJ200" s="326"/>
      <c r="AK200" s="326"/>
      <c r="AL200" s="326"/>
      <c r="AM200" s="326"/>
      <c r="AN200" s="326"/>
      <c r="AO200" s="326"/>
      <c r="AP200" s="326"/>
      <c r="AQ200" s="327"/>
    </row>
    <row r="201" spans="1:43" ht="30" customHeight="1" x14ac:dyDescent="0.25">
      <c r="A201" s="87">
        <f t="shared" si="0"/>
        <v>189</v>
      </c>
      <c r="B201" s="407" t="s">
        <v>334</v>
      </c>
      <c r="C201" s="326"/>
      <c r="D201" s="327"/>
      <c r="E201" s="697"/>
      <c r="F201" s="326"/>
      <c r="G201" s="327"/>
      <c r="H201" s="407"/>
      <c r="I201" s="326"/>
      <c r="J201" s="326"/>
      <c r="K201" s="327"/>
      <c r="L201" s="407"/>
      <c r="M201" s="326"/>
      <c r="N201" s="326"/>
      <c r="O201" s="326"/>
      <c r="P201" s="327"/>
      <c r="Q201" s="407"/>
      <c r="R201" s="326"/>
      <c r="S201" s="326"/>
      <c r="T201" s="326"/>
      <c r="U201" s="326"/>
      <c r="V201" s="326"/>
      <c r="W201" s="326"/>
      <c r="X201" s="326"/>
      <c r="Y201" s="326"/>
      <c r="Z201" s="327"/>
      <c r="AA201" s="407"/>
      <c r="AB201" s="326"/>
      <c r="AC201" s="326"/>
      <c r="AD201" s="326"/>
      <c r="AE201" s="326"/>
      <c r="AF201" s="326"/>
      <c r="AG201" s="326"/>
      <c r="AH201" s="326"/>
      <c r="AI201" s="326"/>
      <c r="AJ201" s="326"/>
      <c r="AK201" s="326"/>
      <c r="AL201" s="326"/>
      <c r="AM201" s="326"/>
      <c r="AN201" s="326"/>
      <c r="AO201" s="326"/>
      <c r="AP201" s="326"/>
      <c r="AQ201" s="327"/>
    </row>
    <row r="202" spans="1:43" ht="30" customHeight="1" x14ac:dyDescent="0.25">
      <c r="A202" s="87">
        <f t="shared" si="0"/>
        <v>190</v>
      </c>
      <c r="B202" s="381" t="s">
        <v>334</v>
      </c>
      <c r="C202" s="326"/>
      <c r="D202" s="327"/>
      <c r="E202" s="698"/>
      <c r="F202" s="326"/>
      <c r="G202" s="327"/>
      <c r="H202" s="381"/>
      <c r="I202" s="326"/>
      <c r="J202" s="326"/>
      <c r="K202" s="327"/>
      <c r="L202" s="381"/>
      <c r="M202" s="326"/>
      <c r="N202" s="326"/>
      <c r="O202" s="326"/>
      <c r="P202" s="327"/>
      <c r="Q202" s="381"/>
      <c r="R202" s="326"/>
      <c r="S202" s="326"/>
      <c r="T202" s="326"/>
      <c r="U202" s="326"/>
      <c r="V202" s="326"/>
      <c r="W202" s="326"/>
      <c r="X202" s="326"/>
      <c r="Y202" s="326"/>
      <c r="Z202" s="327"/>
      <c r="AA202" s="381"/>
      <c r="AB202" s="326"/>
      <c r="AC202" s="326"/>
      <c r="AD202" s="326"/>
      <c r="AE202" s="326"/>
      <c r="AF202" s="326"/>
      <c r="AG202" s="326"/>
      <c r="AH202" s="326"/>
      <c r="AI202" s="326"/>
      <c r="AJ202" s="326"/>
      <c r="AK202" s="326"/>
      <c r="AL202" s="326"/>
      <c r="AM202" s="326"/>
      <c r="AN202" s="326"/>
      <c r="AO202" s="326"/>
      <c r="AP202" s="326"/>
      <c r="AQ202" s="327"/>
    </row>
    <row r="203" spans="1:43" ht="30" customHeight="1" x14ac:dyDescent="0.25">
      <c r="A203" s="87">
        <f t="shared" si="0"/>
        <v>191</v>
      </c>
      <c r="B203" s="407" t="s">
        <v>334</v>
      </c>
      <c r="C203" s="326"/>
      <c r="D203" s="327"/>
      <c r="E203" s="697"/>
      <c r="F203" s="326"/>
      <c r="G203" s="327"/>
      <c r="H203" s="407"/>
      <c r="I203" s="326"/>
      <c r="J203" s="326"/>
      <c r="K203" s="327"/>
      <c r="L203" s="407"/>
      <c r="M203" s="326"/>
      <c r="N203" s="326"/>
      <c r="O203" s="326"/>
      <c r="P203" s="327"/>
      <c r="Q203" s="407"/>
      <c r="R203" s="326"/>
      <c r="S203" s="326"/>
      <c r="T203" s="326"/>
      <c r="U203" s="326"/>
      <c r="V203" s="326"/>
      <c r="W203" s="326"/>
      <c r="X203" s="326"/>
      <c r="Y203" s="326"/>
      <c r="Z203" s="327"/>
      <c r="AA203" s="407"/>
      <c r="AB203" s="326"/>
      <c r="AC203" s="326"/>
      <c r="AD203" s="326"/>
      <c r="AE203" s="326"/>
      <c r="AF203" s="326"/>
      <c r="AG203" s="326"/>
      <c r="AH203" s="326"/>
      <c r="AI203" s="326"/>
      <c r="AJ203" s="326"/>
      <c r="AK203" s="326"/>
      <c r="AL203" s="326"/>
      <c r="AM203" s="326"/>
      <c r="AN203" s="326"/>
      <c r="AO203" s="326"/>
      <c r="AP203" s="326"/>
      <c r="AQ203" s="327"/>
    </row>
    <row r="204" spans="1:43" ht="30" customHeight="1" x14ac:dyDescent="0.25">
      <c r="A204" s="87">
        <f t="shared" si="0"/>
        <v>192</v>
      </c>
      <c r="B204" s="381" t="s">
        <v>334</v>
      </c>
      <c r="C204" s="326"/>
      <c r="D204" s="327"/>
      <c r="E204" s="698"/>
      <c r="F204" s="326"/>
      <c r="G204" s="327"/>
      <c r="H204" s="381"/>
      <c r="I204" s="326"/>
      <c r="J204" s="326"/>
      <c r="K204" s="327"/>
      <c r="L204" s="381"/>
      <c r="M204" s="326"/>
      <c r="N204" s="326"/>
      <c r="O204" s="326"/>
      <c r="P204" s="327"/>
      <c r="Q204" s="381"/>
      <c r="R204" s="326"/>
      <c r="S204" s="326"/>
      <c r="T204" s="326"/>
      <c r="U204" s="326"/>
      <c r="V204" s="326"/>
      <c r="W204" s="326"/>
      <c r="X204" s="326"/>
      <c r="Y204" s="326"/>
      <c r="Z204" s="327"/>
      <c r="AA204" s="381"/>
      <c r="AB204" s="326"/>
      <c r="AC204" s="326"/>
      <c r="AD204" s="326"/>
      <c r="AE204" s="326"/>
      <c r="AF204" s="326"/>
      <c r="AG204" s="326"/>
      <c r="AH204" s="326"/>
      <c r="AI204" s="326"/>
      <c r="AJ204" s="326"/>
      <c r="AK204" s="326"/>
      <c r="AL204" s="326"/>
      <c r="AM204" s="326"/>
      <c r="AN204" s="326"/>
      <c r="AO204" s="326"/>
      <c r="AP204" s="326"/>
      <c r="AQ204" s="327"/>
    </row>
    <row r="205" spans="1:43" ht="30" customHeight="1" x14ac:dyDescent="0.25">
      <c r="A205" s="87">
        <f t="shared" si="0"/>
        <v>193</v>
      </c>
      <c r="B205" s="407" t="s">
        <v>334</v>
      </c>
      <c r="C205" s="326"/>
      <c r="D205" s="327"/>
      <c r="E205" s="697"/>
      <c r="F205" s="326"/>
      <c r="G205" s="327"/>
      <c r="H205" s="407"/>
      <c r="I205" s="326"/>
      <c r="J205" s="326"/>
      <c r="K205" s="327"/>
      <c r="L205" s="407"/>
      <c r="M205" s="326"/>
      <c r="N205" s="326"/>
      <c r="O205" s="326"/>
      <c r="P205" s="327"/>
      <c r="Q205" s="407"/>
      <c r="R205" s="326"/>
      <c r="S205" s="326"/>
      <c r="T205" s="326"/>
      <c r="U205" s="326"/>
      <c r="V205" s="326"/>
      <c r="W205" s="326"/>
      <c r="X205" s="326"/>
      <c r="Y205" s="326"/>
      <c r="Z205" s="327"/>
      <c r="AA205" s="407"/>
      <c r="AB205" s="326"/>
      <c r="AC205" s="326"/>
      <c r="AD205" s="326"/>
      <c r="AE205" s="326"/>
      <c r="AF205" s="326"/>
      <c r="AG205" s="326"/>
      <c r="AH205" s="326"/>
      <c r="AI205" s="326"/>
      <c r="AJ205" s="326"/>
      <c r="AK205" s="326"/>
      <c r="AL205" s="326"/>
      <c r="AM205" s="326"/>
      <c r="AN205" s="326"/>
      <c r="AO205" s="326"/>
      <c r="AP205" s="326"/>
      <c r="AQ205" s="327"/>
    </row>
    <row r="206" spans="1:43" ht="30" customHeight="1" x14ac:dyDescent="0.25">
      <c r="A206" s="87">
        <f t="shared" si="0"/>
        <v>194</v>
      </c>
      <c r="B206" s="381" t="s">
        <v>334</v>
      </c>
      <c r="C206" s="326"/>
      <c r="D206" s="327"/>
      <c r="E206" s="698"/>
      <c r="F206" s="326"/>
      <c r="G206" s="327"/>
      <c r="H206" s="381"/>
      <c r="I206" s="326"/>
      <c r="J206" s="326"/>
      <c r="K206" s="327"/>
      <c r="L206" s="381"/>
      <c r="M206" s="326"/>
      <c r="N206" s="326"/>
      <c r="O206" s="326"/>
      <c r="P206" s="327"/>
      <c r="Q206" s="381"/>
      <c r="R206" s="326"/>
      <c r="S206" s="326"/>
      <c r="T206" s="326"/>
      <c r="U206" s="326"/>
      <c r="V206" s="326"/>
      <c r="W206" s="326"/>
      <c r="X206" s="326"/>
      <c r="Y206" s="326"/>
      <c r="Z206" s="327"/>
      <c r="AA206" s="381"/>
      <c r="AB206" s="326"/>
      <c r="AC206" s="326"/>
      <c r="AD206" s="326"/>
      <c r="AE206" s="326"/>
      <c r="AF206" s="326"/>
      <c r="AG206" s="326"/>
      <c r="AH206" s="326"/>
      <c r="AI206" s="326"/>
      <c r="AJ206" s="326"/>
      <c r="AK206" s="326"/>
      <c r="AL206" s="326"/>
      <c r="AM206" s="326"/>
      <c r="AN206" s="326"/>
      <c r="AO206" s="326"/>
      <c r="AP206" s="326"/>
      <c r="AQ206" s="327"/>
    </row>
    <row r="207" spans="1:43" ht="30" customHeight="1" x14ac:dyDescent="0.25">
      <c r="A207" s="87">
        <f t="shared" si="0"/>
        <v>195</v>
      </c>
      <c r="B207" s="407" t="s">
        <v>334</v>
      </c>
      <c r="C207" s="326"/>
      <c r="D207" s="327"/>
      <c r="E207" s="697"/>
      <c r="F207" s="326"/>
      <c r="G207" s="327"/>
      <c r="H207" s="407"/>
      <c r="I207" s="326"/>
      <c r="J207" s="326"/>
      <c r="K207" s="327"/>
      <c r="L207" s="407"/>
      <c r="M207" s="326"/>
      <c r="N207" s="326"/>
      <c r="O207" s="326"/>
      <c r="P207" s="327"/>
      <c r="Q207" s="407"/>
      <c r="R207" s="326"/>
      <c r="S207" s="326"/>
      <c r="T207" s="326"/>
      <c r="U207" s="326"/>
      <c r="V207" s="326"/>
      <c r="W207" s="326"/>
      <c r="X207" s="326"/>
      <c r="Y207" s="326"/>
      <c r="Z207" s="327"/>
      <c r="AA207" s="407"/>
      <c r="AB207" s="326"/>
      <c r="AC207" s="326"/>
      <c r="AD207" s="326"/>
      <c r="AE207" s="326"/>
      <c r="AF207" s="326"/>
      <c r="AG207" s="326"/>
      <c r="AH207" s="326"/>
      <c r="AI207" s="326"/>
      <c r="AJ207" s="326"/>
      <c r="AK207" s="326"/>
      <c r="AL207" s="326"/>
      <c r="AM207" s="326"/>
      <c r="AN207" s="326"/>
      <c r="AO207" s="326"/>
      <c r="AP207" s="326"/>
      <c r="AQ207" s="327"/>
    </row>
    <row r="208" spans="1:43" ht="30" customHeight="1" x14ac:dyDescent="0.25">
      <c r="A208" s="87">
        <f t="shared" si="0"/>
        <v>196</v>
      </c>
      <c r="B208" s="381" t="s">
        <v>334</v>
      </c>
      <c r="C208" s="326"/>
      <c r="D208" s="327"/>
      <c r="E208" s="698"/>
      <c r="F208" s="326"/>
      <c r="G208" s="327"/>
      <c r="H208" s="381"/>
      <c r="I208" s="326"/>
      <c r="J208" s="326"/>
      <c r="K208" s="327"/>
      <c r="L208" s="381"/>
      <c r="M208" s="326"/>
      <c r="N208" s="326"/>
      <c r="O208" s="326"/>
      <c r="P208" s="327"/>
      <c r="Q208" s="381"/>
      <c r="R208" s="326"/>
      <c r="S208" s="326"/>
      <c r="T208" s="326"/>
      <c r="U208" s="326"/>
      <c r="V208" s="326"/>
      <c r="W208" s="326"/>
      <c r="X208" s="326"/>
      <c r="Y208" s="326"/>
      <c r="Z208" s="327"/>
      <c r="AA208" s="381"/>
      <c r="AB208" s="326"/>
      <c r="AC208" s="326"/>
      <c r="AD208" s="326"/>
      <c r="AE208" s="326"/>
      <c r="AF208" s="326"/>
      <c r="AG208" s="326"/>
      <c r="AH208" s="326"/>
      <c r="AI208" s="326"/>
      <c r="AJ208" s="326"/>
      <c r="AK208" s="326"/>
      <c r="AL208" s="326"/>
      <c r="AM208" s="326"/>
      <c r="AN208" s="326"/>
      <c r="AO208" s="326"/>
      <c r="AP208" s="326"/>
      <c r="AQ208" s="327"/>
    </row>
    <row r="209" spans="1:43" ht="30" customHeight="1" x14ac:dyDescent="0.25">
      <c r="A209" s="87">
        <f t="shared" si="0"/>
        <v>197</v>
      </c>
      <c r="B209" s="407" t="s">
        <v>334</v>
      </c>
      <c r="C209" s="326"/>
      <c r="D209" s="327"/>
      <c r="E209" s="697"/>
      <c r="F209" s="326"/>
      <c r="G209" s="327"/>
      <c r="H209" s="407"/>
      <c r="I209" s="326"/>
      <c r="J209" s="326"/>
      <c r="K209" s="327"/>
      <c r="L209" s="407"/>
      <c r="M209" s="326"/>
      <c r="N209" s="326"/>
      <c r="O209" s="326"/>
      <c r="P209" s="327"/>
      <c r="Q209" s="407"/>
      <c r="R209" s="326"/>
      <c r="S209" s="326"/>
      <c r="T209" s="326"/>
      <c r="U209" s="326"/>
      <c r="V209" s="326"/>
      <c r="W209" s="326"/>
      <c r="X209" s="326"/>
      <c r="Y209" s="326"/>
      <c r="Z209" s="327"/>
      <c r="AA209" s="407"/>
      <c r="AB209" s="326"/>
      <c r="AC209" s="326"/>
      <c r="AD209" s="326"/>
      <c r="AE209" s="326"/>
      <c r="AF209" s="326"/>
      <c r="AG209" s="326"/>
      <c r="AH209" s="326"/>
      <c r="AI209" s="326"/>
      <c r="AJ209" s="326"/>
      <c r="AK209" s="326"/>
      <c r="AL209" s="326"/>
      <c r="AM209" s="326"/>
      <c r="AN209" s="326"/>
      <c r="AO209" s="326"/>
      <c r="AP209" s="326"/>
      <c r="AQ209" s="327"/>
    </row>
    <row r="210" spans="1:43" ht="30" customHeight="1" x14ac:dyDescent="0.25">
      <c r="A210" s="87">
        <f t="shared" si="0"/>
        <v>198</v>
      </c>
      <c r="B210" s="381" t="s">
        <v>334</v>
      </c>
      <c r="C210" s="326"/>
      <c r="D210" s="327"/>
      <c r="E210" s="698"/>
      <c r="F210" s="326"/>
      <c r="G210" s="327"/>
      <c r="H210" s="381"/>
      <c r="I210" s="326"/>
      <c r="J210" s="326"/>
      <c r="K210" s="327"/>
      <c r="L210" s="381"/>
      <c r="M210" s="326"/>
      <c r="N210" s="326"/>
      <c r="O210" s="326"/>
      <c r="P210" s="327"/>
      <c r="Q210" s="381"/>
      <c r="R210" s="326"/>
      <c r="S210" s="326"/>
      <c r="T210" s="326"/>
      <c r="U210" s="326"/>
      <c r="V210" s="326"/>
      <c r="W210" s="326"/>
      <c r="X210" s="326"/>
      <c r="Y210" s="326"/>
      <c r="Z210" s="327"/>
      <c r="AA210" s="381"/>
      <c r="AB210" s="326"/>
      <c r="AC210" s="326"/>
      <c r="AD210" s="326"/>
      <c r="AE210" s="326"/>
      <c r="AF210" s="326"/>
      <c r="AG210" s="326"/>
      <c r="AH210" s="326"/>
      <c r="AI210" s="326"/>
      <c r="AJ210" s="326"/>
      <c r="AK210" s="326"/>
      <c r="AL210" s="326"/>
      <c r="AM210" s="326"/>
      <c r="AN210" s="326"/>
      <c r="AO210" s="326"/>
      <c r="AP210" s="326"/>
      <c r="AQ210" s="327"/>
    </row>
    <row r="211" spans="1:43" ht="30" customHeight="1" x14ac:dyDescent="0.25">
      <c r="A211" s="87">
        <f t="shared" si="0"/>
        <v>199</v>
      </c>
      <c r="B211" s="407" t="s">
        <v>334</v>
      </c>
      <c r="C211" s="326"/>
      <c r="D211" s="327"/>
      <c r="E211" s="697"/>
      <c r="F211" s="326"/>
      <c r="G211" s="327"/>
      <c r="H211" s="407"/>
      <c r="I211" s="326"/>
      <c r="J211" s="326"/>
      <c r="K211" s="327"/>
      <c r="L211" s="407"/>
      <c r="M211" s="326"/>
      <c r="N211" s="326"/>
      <c r="O211" s="326"/>
      <c r="P211" s="327"/>
      <c r="Q211" s="407"/>
      <c r="R211" s="326"/>
      <c r="S211" s="326"/>
      <c r="T211" s="326"/>
      <c r="U211" s="326"/>
      <c r="V211" s="326"/>
      <c r="W211" s="326"/>
      <c r="X211" s="326"/>
      <c r="Y211" s="326"/>
      <c r="Z211" s="327"/>
      <c r="AA211" s="407"/>
      <c r="AB211" s="326"/>
      <c r="AC211" s="326"/>
      <c r="AD211" s="326"/>
      <c r="AE211" s="326"/>
      <c r="AF211" s="326"/>
      <c r="AG211" s="326"/>
      <c r="AH211" s="326"/>
      <c r="AI211" s="326"/>
      <c r="AJ211" s="326"/>
      <c r="AK211" s="326"/>
      <c r="AL211" s="326"/>
      <c r="AM211" s="326"/>
      <c r="AN211" s="326"/>
      <c r="AO211" s="326"/>
      <c r="AP211" s="326"/>
      <c r="AQ211" s="327"/>
    </row>
    <row r="212" spans="1:43" ht="30" customHeight="1" x14ac:dyDescent="0.25">
      <c r="A212" s="87">
        <f t="shared" si="0"/>
        <v>200</v>
      </c>
      <c r="B212" s="381" t="s">
        <v>334</v>
      </c>
      <c r="C212" s="326"/>
      <c r="D212" s="327"/>
      <c r="E212" s="698"/>
      <c r="F212" s="326"/>
      <c r="G212" s="327"/>
      <c r="H212" s="381"/>
      <c r="I212" s="326"/>
      <c r="J212" s="326"/>
      <c r="K212" s="327"/>
      <c r="L212" s="381"/>
      <c r="M212" s="326"/>
      <c r="N212" s="326"/>
      <c r="O212" s="326"/>
      <c r="P212" s="327"/>
      <c r="Q212" s="381"/>
      <c r="R212" s="326"/>
      <c r="S212" s="326"/>
      <c r="T212" s="326"/>
      <c r="U212" s="326"/>
      <c r="V212" s="326"/>
      <c r="W212" s="326"/>
      <c r="X212" s="326"/>
      <c r="Y212" s="326"/>
      <c r="Z212" s="327"/>
      <c r="AA212" s="381"/>
      <c r="AB212" s="326"/>
      <c r="AC212" s="326"/>
      <c r="AD212" s="326"/>
      <c r="AE212" s="326"/>
      <c r="AF212" s="326"/>
      <c r="AG212" s="326"/>
      <c r="AH212" s="326"/>
      <c r="AI212" s="326"/>
      <c r="AJ212" s="326"/>
      <c r="AK212" s="326"/>
      <c r="AL212" s="326"/>
      <c r="AM212" s="326"/>
      <c r="AN212" s="326"/>
      <c r="AO212" s="326"/>
      <c r="AP212" s="326"/>
      <c r="AQ212" s="327"/>
    </row>
    <row r="213" spans="1:43" ht="30" customHeight="1" x14ac:dyDescent="0.25">
      <c r="A213" s="87">
        <f t="shared" si="0"/>
        <v>201</v>
      </c>
      <c r="B213" s="407" t="s">
        <v>334</v>
      </c>
      <c r="C213" s="326"/>
      <c r="D213" s="327"/>
      <c r="E213" s="697"/>
      <c r="F213" s="326"/>
      <c r="G213" s="327"/>
      <c r="H213" s="407"/>
      <c r="I213" s="326"/>
      <c r="J213" s="326"/>
      <c r="K213" s="327"/>
      <c r="L213" s="407"/>
      <c r="M213" s="326"/>
      <c r="N213" s="326"/>
      <c r="O213" s="326"/>
      <c r="P213" s="327"/>
      <c r="Q213" s="407"/>
      <c r="R213" s="326"/>
      <c r="S213" s="326"/>
      <c r="T213" s="326"/>
      <c r="U213" s="326"/>
      <c r="V213" s="326"/>
      <c r="W213" s="326"/>
      <c r="X213" s="326"/>
      <c r="Y213" s="326"/>
      <c r="Z213" s="327"/>
      <c r="AA213" s="407"/>
      <c r="AB213" s="326"/>
      <c r="AC213" s="326"/>
      <c r="AD213" s="326"/>
      <c r="AE213" s="326"/>
      <c r="AF213" s="326"/>
      <c r="AG213" s="326"/>
      <c r="AH213" s="326"/>
      <c r="AI213" s="326"/>
      <c r="AJ213" s="326"/>
      <c r="AK213" s="326"/>
      <c r="AL213" s="326"/>
      <c r="AM213" s="326"/>
      <c r="AN213" s="326"/>
      <c r="AO213" s="326"/>
      <c r="AP213" s="326"/>
      <c r="AQ213" s="327"/>
    </row>
    <row r="214" spans="1:43" ht="30" customHeight="1" x14ac:dyDescent="0.25">
      <c r="A214" s="87">
        <f t="shared" si="0"/>
        <v>202</v>
      </c>
      <c r="B214" s="381" t="s">
        <v>334</v>
      </c>
      <c r="C214" s="326"/>
      <c r="D214" s="327"/>
      <c r="E214" s="698"/>
      <c r="F214" s="326"/>
      <c r="G214" s="327"/>
      <c r="H214" s="381"/>
      <c r="I214" s="326"/>
      <c r="J214" s="326"/>
      <c r="K214" s="327"/>
      <c r="L214" s="381"/>
      <c r="M214" s="326"/>
      <c r="N214" s="326"/>
      <c r="O214" s="326"/>
      <c r="P214" s="327"/>
      <c r="Q214" s="381"/>
      <c r="R214" s="326"/>
      <c r="S214" s="326"/>
      <c r="T214" s="326"/>
      <c r="U214" s="326"/>
      <c r="V214" s="326"/>
      <c r="W214" s="326"/>
      <c r="X214" s="326"/>
      <c r="Y214" s="326"/>
      <c r="Z214" s="327"/>
      <c r="AA214" s="381"/>
      <c r="AB214" s="326"/>
      <c r="AC214" s="326"/>
      <c r="AD214" s="326"/>
      <c r="AE214" s="326"/>
      <c r="AF214" s="326"/>
      <c r="AG214" s="326"/>
      <c r="AH214" s="326"/>
      <c r="AI214" s="326"/>
      <c r="AJ214" s="326"/>
      <c r="AK214" s="326"/>
      <c r="AL214" s="326"/>
      <c r="AM214" s="326"/>
      <c r="AN214" s="326"/>
      <c r="AO214" s="326"/>
      <c r="AP214" s="326"/>
      <c r="AQ214" s="327"/>
    </row>
    <row r="215" spans="1:43" ht="30" customHeight="1" x14ac:dyDescent="0.25">
      <c r="A215" s="87">
        <f t="shared" si="0"/>
        <v>203</v>
      </c>
      <c r="B215" s="407" t="s">
        <v>334</v>
      </c>
      <c r="C215" s="326"/>
      <c r="D215" s="327"/>
      <c r="E215" s="697"/>
      <c r="F215" s="326"/>
      <c r="G215" s="327"/>
      <c r="H215" s="407"/>
      <c r="I215" s="326"/>
      <c r="J215" s="326"/>
      <c r="K215" s="327"/>
      <c r="L215" s="407"/>
      <c r="M215" s="326"/>
      <c r="N215" s="326"/>
      <c r="O215" s="326"/>
      <c r="P215" s="327"/>
      <c r="Q215" s="407"/>
      <c r="R215" s="326"/>
      <c r="S215" s="326"/>
      <c r="T215" s="326"/>
      <c r="U215" s="326"/>
      <c r="V215" s="326"/>
      <c r="W215" s="326"/>
      <c r="X215" s="326"/>
      <c r="Y215" s="326"/>
      <c r="Z215" s="327"/>
      <c r="AA215" s="407"/>
      <c r="AB215" s="326"/>
      <c r="AC215" s="326"/>
      <c r="AD215" s="326"/>
      <c r="AE215" s="326"/>
      <c r="AF215" s="326"/>
      <c r="AG215" s="326"/>
      <c r="AH215" s="326"/>
      <c r="AI215" s="326"/>
      <c r="AJ215" s="326"/>
      <c r="AK215" s="326"/>
      <c r="AL215" s="326"/>
      <c r="AM215" s="326"/>
      <c r="AN215" s="326"/>
      <c r="AO215" s="326"/>
      <c r="AP215" s="326"/>
      <c r="AQ215" s="327"/>
    </row>
    <row r="216" spans="1:43" ht="30" customHeight="1" x14ac:dyDescent="0.25">
      <c r="A216" s="87">
        <f t="shared" si="0"/>
        <v>204</v>
      </c>
      <c r="B216" s="381" t="s">
        <v>334</v>
      </c>
      <c r="C216" s="326"/>
      <c r="D216" s="327"/>
      <c r="E216" s="698"/>
      <c r="F216" s="326"/>
      <c r="G216" s="327"/>
      <c r="H216" s="381"/>
      <c r="I216" s="326"/>
      <c r="J216" s="326"/>
      <c r="K216" s="327"/>
      <c r="L216" s="381"/>
      <c r="M216" s="326"/>
      <c r="N216" s="326"/>
      <c r="O216" s="326"/>
      <c r="P216" s="327"/>
      <c r="Q216" s="381"/>
      <c r="R216" s="326"/>
      <c r="S216" s="326"/>
      <c r="T216" s="326"/>
      <c r="U216" s="326"/>
      <c r="V216" s="326"/>
      <c r="W216" s="326"/>
      <c r="X216" s="326"/>
      <c r="Y216" s="326"/>
      <c r="Z216" s="327"/>
      <c r="AA216" s="381"/>
      <c r="AB216" s="326"/>
      <c r="AC216" s="326"/>
      <c r="AD216" s="326"/>
      <c r="AE216" s="326"/>
      <c r="AF216" s="326"/>
      <c r="AG216" s="326"/>
      <c r="AH216" s="326"/>
      <c r="AI216" s="326"/>
      <c r="AJ216" s="326"/>
      <c r="AK216" s="326"/>
      <c r="AL216" s="326"/>
      <c r="AM216" s="326"/>
      <c r="AN216" s="326"/>
      <c r="AO216" s="326"/>
      <c r="AP216" s="326"/>
      <c r="AQ216" s="327"/>
    </row>
    <row r="217" spans="1:43" ht="30" customHeight="1" x14ac:dyDescent="0.25">
      <c r="A217" s="87">
        <f t="shared" si="0"/>
        <v>205</v>
      </c>
      <c r="B217" s="407" t="s">
        <v>334</v>
      </c>
      <c r="C217" s="326"/>
      <c r="D217" s="327"/>
      <c r="E217" s="697"/>
      <c r="F217" s="326"/>
      <c r="G217" s="327"/>
      <c r="H217" s="407"/>
      <c r="I217" s="326"/>
      <c r="J217" s="326"/>
      <c r="K217" s="327"/>
      <c r="L217" s="407"/>
      <c r="M217" s="326"/>
      <c r="N217" s="326"/>
      <c r="O217" s="326"/>
      <c r="P217" s="327"/>
      <c r="Q217" s="407"/>
      <c r="R217" s="326"/>
      <c r="S217" s="326"/>
      <c r="T217" s="326"/>
      <c r="U217" s="326"/>
      <c r="V217" s="326"/>
      <c r="W217" s="326"/>
      <c r="X217" s="326"/>
      <c r="Y217" s="326"/>
      <c r="Z217" s="327"/>
      <c r="AA217" s="407"/>
      <c r="AB217" s="326"/>
      <c r="AC217" s="326"/>
      <c r="AD217" s="326"/>
      <c r="AE217" s="326"/>
      <c r="AF217" s="326"/>
      <c r="AG217" s="326"/>
      <c r="AH217" s="326"/>
      <c r="AI217" s="326"/>
      <c r="AJ217" s="326"/>
      <c r="AK217" s="326"/>
      <c r="AL217" s="326"/>
      <c r="AM217" s="326"/>
      <c r="AN217" s="326"/>
      <c r="AO217" s="326"/>
      <c r="AP217" s="326"/>
      <c r="AQ217" s="327"/>
    </row>
    <row r="218" spans="1:43" ht="30" customHeight="1" x14ac:dyDescent="0.25">
      <c r="A218" s="87">
        <f t="shared" si="0"/>
        <v>206</v>
      </c>
      <c r="B218" s="381" t="s">
        <v>334</v>
      </c>
      <c r="C218" s="326"/>
      <c r="D218" s="327"/>
      <c r="E218" s="698"/>
      <c r="F218" s="326"/>
      <c r="G218" s="327"/>
      <c r="H218" s="381"/>
      <c r="I218" s="326"/>
      <c r="J218" s="326"/>
      <c r="K218" s="327"/>
      <c r="L218" s="381"/>
      <c r="M218" s="326"/>
      <c r="N218" s="326"/>
      <c r="O218" s="326"/>
      <c r="P218" s="327"/>
      <c r="Q218" s="381"/>
      <c r="R218" s="326"/>
      <c r="S218" s="326"/>
      <c r="T218" s="326"/>
      <c r="U218" s="326"/>
      <c r="V218" s="326"/>
      <c r="W218" s="326"/>
      <c r="X218" s="326"/>
      <c r="Y218" s="326"/>
      <c r="Z218" s="327"/>
      <c r="AA218" s="381"/>
      <c r="AB218" s="326"/>
      <c r="AC218" s="326"/>
      <c r="AD218" s="326"/>
      <c r="AE218" s="326"/>
      <c r="AF218" s="326"/>
      <c r="AG218" s="326"/>
      <c r="AH218" s="326"/>
      <c r="AI218" s="326"/>
      <c r="AJ218" s="326"/>
      <c r="AK218" s="326"/>
      <c r="AL218" s="326"/>
      <c r="AM218" s="326"/>
      <c r="AN218" s="326"/>
      <c r="AO218" s="326"/>
      <c r="AP218" s="326"/>
      <c r="AQ218" s="327"/>
    </row>
    <row r="219" spans="1:43" ht="30" customHeight="1" x14ac:dyDescent="0.25">
      <c r="A219" s="87">
        <f t="shared" si="0"/>
        <v>207</v>
      </c>
      <c r="B219" s="407" t="s">
        <v>334</v>
      </c>
      <c r="C219" s="326"/>
      <c r="D219" s="327"/>
      <c r="E219" s="697"/>
      <c r="F219" s="326"/>
      <c r="G219" s="327"/>
      <c r="H219" s="407"/>
      <c r="I219" s="326"/>
      <c r="J219" s="326"/>
      <c r="K219" s="327"/>
      <c r="L219" s="407"/>
      <c r="M219" s="326"/>
      <c r="N219" s="326"/>
      <c r="O219" s="326"/>
      <c r="P219" s="327"/>
      <c r="Q219" s="407"/>
      <c r="R219" s="326"/>
      <c r="S219" s="326"/>
      <c r="T219" s="326"/>
      <c r="U219" s="326"/>
      <c r="V219" s="326"/>
      <c r="W219" s="326"/>
      <c r="X219" s="326"/>
      <c r="Y219" s="326"/>
      <c r="Z219" s="327"/>
      <c r="AA219" s="407"/>
      <c r="AB219" s="326"/>
      <c r="AC219" s="326"/>
      <c r="AD219" s="326"/>
      <c r="AE219" s="326"/>
      <c r="AF219" s="326"/>
      <c r="AG219" s="326"/>
      <c r="AH219" s="326"/>
      <c r="AI219" s="326"/>
      <c r="AJ219" s="326"/>
      <c r="AK219" s="326"/>
      <c r="AL219" s="326"/>
      <c r="AM219" s="326"/>
      <c r="AN219" s="326"/>
      <c r="AO219" s="326"/>
      <c r="AP219" s="326"/>
      <c r="AQ219" s="327"/>
    </row>
    <row r="220" spans="1:43" ht="30" customHeight="1" x14ac:dyDescent="0.25">
      <c r="A220" s="87">
        <f t="shared" si="0"/>
        <v>208</v>
      </c>
      <c r="B220" s="381" t="s">
        <v>334</v>
      </c>
      <c r="C220" s="326"/>
      <c r="D220" s="327"/>
      <c r="E220" s="698"/>
      <c r="F220" s="326"/>
      <c r="G220" s="327"/>
      <c r="H220" s="381"/>
      <c r="I220" s="326"/>
      <c r="J220" s="326"/>
      <c r="K220" s="327"/>
      <c r="L220" s="381"/>
      <c r="M220" s="326"/>
      <c r="N220" s="326"/>
      <c r="O220" s="326"/>
      <c r="P220" s="327"/>
      <c r="Q220" s="381"/>
      <c r="R220" s="326"/>
      <c r="S220" s="326"/>
      <c r="T220" s="326"/>
      <c r="U220" s="326"/>
      <c r="V220" s="326"/>
      <c r="W220" s="326"/>
      <c r="X220" s="326"/>
      <c r="Y220" s="326"/>
      <c r="Z220" s="327"/>
      <c r="AA220" s="381"/>
      <c r="AB220" s="326"/>
      <c r="AC220" s="326"/>
      <c r="AD220" s="326"/>
      <c r="AE220" s="326"/>
      <c r="AF220" s="326"/>
      <c r="AG220" s="326"/>
      <c r="AH220" s="326"/>
      <c r="AI220" s="326"/>
      <c r="AJ220" s="326"/>
      <c r="AK220" s="326"/>
      <c r="AL220" s="326"/>
      <c r="AM220" s="326"/>
      <c r="AN220" s="326"/>
      <c r="AO220" s="326"/>
      <c r="AP220" s="326"/>
      <c r="AQ220" s="327"/>
    </row>
    <row r="221" spans="1:43" ht="30" customHeight="1" x14ac:dyDescent="0.25">
      <c r="A221" s="87">
        <f t="shared" si="0"/>
        <v>209</v>
      </c>
      <c r="B221" s="407" t="s">
        <v>334</v>
      </c>
      <c r="C221" s="326"/>
      <c r="D221" s="327"/>
      <c r="E221" s="697"/>
      <c r="F221" s="326"/>
      <c r="G221" s="327"/>
      <c r="H221" s="407"/>
      <c r="I221" s="326"/>
      <c r="J221" s="326"/>
      <c r="K221" s="327"/>
      <c r="L221" s="407"/>
      <c r="M221" s="326"/>
      <c r="N221" s="326"/>
      <c r="O221" s="326"/>
      <c r="P221" s="327"/>
      <c r="Q221" s="407"/>
      <c r="R221" s="326"/>
      <c r="S221" s="326"/>
      <c r="T221" s="326"/>
      <c r="U221" s="326"/>
      <c r="V221" s="326"/>
      <c r="W221" s="326"/>
      <c r="X221" s="326"/>
      <c r="Y221" s="326"/>
      <c r="Z221" s="327"/>
      <c r="AA221" s="407"/>
      <c r="AB221" s="326"/>
      <c r="AC221" s="326"/>
      <c r="AD221" s="326"/>
      <c r="AE221" s="326"/>
      <c r="AF221" s="326"/>
      <c r="AG221" s="326"/>
      <c r="AH221" s="326"/>
      <c r="AI221" s="326"/>
      <c r="AJ221" s="326"/>
      <c r="AK221" s="326"/>
      <c r="AL221" s="326"/>
      <c r="AM221" s="326"/>
      <c r="AN221" s="326"/>
      <c r="AO221" s="326"/>
      <c r="AP221" s="326"/>
      <c r="AQ221" s="327"/>
    </row>
    <row r="222" spans="1:43" ht="30" customHeight="1" x14ac:dyDescent="0.25">
      <c r="A222" s="87">
        <f t="shared" si="0"/>
        <v>210</v>
      </c>
      <c r="B222" s="381" t="s">
        <v>334</v>
      </c>
      <c r="C222" s="326"/>
      <c r="D222" s="327"/>
      <c r="E222" s="698"/>
      <c r="F222" s="326"/>
      <c r="G222" s="327"/>
      <c r="H222" s="381"/>
      <c r="I222" s="326"/>
      <c r="J222" s="326"/>
      <c r="K222" s="327"/>
      <c r="L222" s="381"/>
      <c r="M222" s="326"/>
      <c r="N222" s="326"/>
      <c r="O222" s="326"/>
      <c r="P222" s="327"/>
      <c r="Q222" s="381"/>
      <c r="R222" s="326"/>
      <c r="S222" s="326"/>
      <c r="T222" s="326"/>
      <c r="U222" s="326"/>
      <c r="V222" s="326"/>
      <c r="W222" s="326"/>
      <c r="X222" s="326"/>
      <c r="Y222" s="326"/>
      <c r="Z222" s="327"/>
      <c r="AA222" s="381"/>
      <c r="AB222" s="326"/>
      <c r="AC222" s="326"/>
      <c r="AD222" s="326"/>
      <c r="AE222" s="326"/>
      <c r="AF222" s="326"/>
      <c r="AG222" s="326"/>
      <c r="AH222" s="326"/>
      <c r="AI222" s="326"/>
      <c r="AJ222" s="326"/>
      <c r="AK222" s="326"/>
      <c r="AL222" s="326"/>
      <c r="AM222" s="326"/>
      <c r="AN222" s="326"/>
      <c r="AO222" s="326"/>
      <c r="AP222" s="326"/>
      <c r="AQ222" s="327"/>
    </row>
    <row r="223" spans="1:43" ht="30" customHeight="1" x14ac:dyDescent="0.25">
      <c r="A223" s="87">
        <f t="shared" si="0"/>
        <v>211</v>
      </c>
      <c r="B223" s="407" t="s">
        <v>334</v>
      </c>
      <c r="C223" s="326"/>
      <c r="D223" s="327"/>
      <c r="E223" s="697"/>
      <c r="F223" s="326"/>
      <c r="G223" s="327"/>
      <c r="H223" s="407"/>
      <c r="I223" s="326"/>
      <c r="J223" s="326"/>
      <c r="K223" s="327"/>
      <c r="L223" s="407"/>
      <c r="M223" s="326"/>
      <c r="N223" s="326"/>
      <c r="O223" s="326"/>
      <c r="P223" s="327"/>
      <c r="Q223" s="407"/>
      <c r="R223" s="326"/>
      <c r="S223" s="326"/>
      <c r="T223" s="326"/>
      <c r="U223" s="326"/>
      <c r="V223" s="326"/>
      <c r="W223" s="326"/>
      <c r="X223" s="326"/>
      <c r="Y223" s="326"/>
      <c r="Z223" s="327"/>
      <c r="AA223" s="407"/>
      <c r="AB223" s="326"/>
      <c r="AC223" s="326"/>
      <c r="AD223" s="326"/>
      <c r="AE223" s="326"/>
      <c r="AF223" s="326"/>
      <c r="AG223" s="326"/>
      <c r="AH223" s="326"/>
      <c r="AI223" s="326"/>
      <c r="AJ223" s="326"/>
      <c r="AK223" s="326"/>
      <c r="AL223" s="326"/>
      <c r="AM223" s="326"/>
      <c r="AN223" s="326"/>
      <c r="AO223" s="326"/>
      <c r="AP223" s="326"/>
      <c r="AQ223" s="327"/>
    </row>
    <row r="224" spans="1:43" ht="30" customHeight="1" x14ac:dyDescent="0.25">
      <c r="A224" s="87">
        <f t="shared" si="0"/>
        <v>212</v>
      </c>
      <c r="B224" s="381" t="s">
        <v>334</v>
      </c>
      <c r="C224" s="326"/>
      <c r="D224" s="327"/>
      <c r="E224" s="698"/>
      <c r="F224" s="326"/>
      <c r="G224" s="327"/>
      <c r="H224" s="381"/>
      <c r="I224" s="326"/>
      <c r="J224" s="326"/>
      <c r="K224" s="327"/>
      <c r="L224" s="381"/>
      <c r="M224" s="326"/>
      <c r="N224" s="326"/>
      <c r="O224" s="326"/>
      <c r="P224" s="327"/>
      <c r="Q224" s="381"/>
      <c r="R224" s="326"/>
      <c r="S224" s="326"/>
      <c r="T224" s="326"/>
      <c r="U224" s="326"/>
      <c r="V224" s="326"/>
      <c r="W224" s="326"/>
      <c r="X224" s="326"/>
      <c r="Y224" s="326"/>
      <c r="Z224" s="327"/>
      <c r="AA224" s="381"/>
      <c r="AB224" s="326"/>
      <c r="AC224" s="326"/>
      <c r="AD224" s="326"/>
      <c r="AE224" s="326"/>
      <c r="AF224" s="326"/>
      <c r="AG224" s="326"/>
      <c r="AH224" s="326"/>
      <c r="AI224" s="326"/>
      <c r="AJ224" s="326"/>
      <c r="AK224" s="326"/>
      <c r="AL224" s="326"/>
      <c r="AM224" s="326"/>
      <c r="AN224" s="326"/>
      <c r="AO224" s="326"/>
      <c r="AP224" s="326"/>
      <c r="AQ224" s="327"/>
    </row>
    <row r="225" spans="1:43" ht="30" customHeight="1" x14ac:dyDescent="0.25">
      <c r="A225" s="87">
        <f t="shared" si="0"/>
        <v>213</v>
      </c>
      <c r="B225" s="407" t="s">
        <v>334</v>
      </c>
      <c r="C225" s="326"/>
      <c r="D225" s="327"/>
      <c r="E225" s="697"/>
      <c r="F225" s="326"/>
      <c r="G225" s="327"/>
      <c r="H225" s="407"/>
      <c r="I225" s="326"/>
      <c r="J225" s="326"/>
      <c r="K225" s="327"/>
      <c r="L225" s="407"/>
      <c r="M225" s="326"/>
      <c r="N225" s="326"/>
      <c r="O225" s="326"/>
      <c r="P225" s="327"/>
      <c r="Q225" s="407"/>
      <c r="R225" s="326"/>
      <c r="S225" s="326"/>
      <c r="T225" s="326"/>
      <c r="U225" s="326"/>
      <c r="V225" s="326"/>
      <c r="W225" s="326"/>
      <c r="X225" s="326"/>
      <c r="Y225" s="326"/>
      <c r="Z225" s="327"/>
      <c r="AA225" s="407"/>
      <c r="AB225" s="326"/>
      <c r="AC225" s="326"/>
      <c r="AD225" s="326"/>
      <c r="AE225" s="326"/>
      <c r="AF225" s="326"/>
      <c r="AG225" s="326"/>
      <c r="AH225" s="326"/>
      <c r="AI225" s="326"/>
      <c r="AJ225" s="326"/>
      <c r="AK225" s="326"/>
      <c r="AL225" s="326"/>
      <c r="AM225" s="326"/>
      <c r="AN225" s="326"/>
      <c r="AO225" s="326"/>
      <c r="AP225" s="326"/>
      <c r="AQ225" s="327"/>
    </row>
    <row r="226" spans="1:43" ht="30" customHeight="1" x14ac:dyDescent="0.25">
      <c r="A226" s="87">
        <f t="shared" si="0"/>
        <v>214</v>
      </c>
      <c r="B226" s="381" t="s">
        <v>334</v>
      </c>
      <c r="C226" s="326"/>
      <c r="D226" s="327"/>
      <c r="E226" s="698"/>
      <c r="F226" s="326"/>
      <c r="G226" s="327"/>
      <c r="H226" s="381"/>
      <c r="I226" s="326"/>
      <c r="J226" s="326"/>
      <c r="K226" s="327"/>
      <c r="L226" s="381"/>
      <c r="M226" s="326"/>
      <c r="N226" s="326"/>
      <c r="O226" s="326"/>
      <c r="P226" s="327"/>
      <c r="Q226" s="381"/>
      <c r="R226" s="326"/>
      <c r="S226" s="326"/>
      <c r="T226" s="326"/>
      <c r="U226" s="326"/>
      <c r="V226" s="326"/>
      <c r="W226" s="326"/>
      <c r="X226" s="326"/>
      <c r="Y226" s="326"/>
      <c r="Z226" s="327"/>
      <c r="AA226" s="381"/>
      <c r="AB226" s="326"/>
      <c r="AC226" s="326"/>
      <c r="AD226" s="326"/>
      <c r="AE226" s="326"/>
      <c r="AF226" s="326"/>
      <c r="AG226" s="326"/>
      <c r="AH226" s="326"/>
      <c r="AI226" s="326"/>
      <c r="AJ226" s="326"/>
      <c r="AK226" s="326"/>
      <c r="AL226" s="326"/>
      <c r="AM226" s="326"/>
      <c r="AN226" s="326"/>
      <c r="AO226" s="326"/>
      <c r="AP226" s="326"/>
      <c r="AQ226" s="327"/>
    </row>
    <row r="227" spans="1:43" ht="30" customHeight="1" x14ac:dyDescent="0.25">
      <c r="A227" s="87">
        <f t="shared" si="0"/>
        <v>215</v>
      </c>
      <c r="B227" s="407" t="s">
        <v>334</v>
      </c>
      <c r="C227" s="326"/>
      <c r="D227" s="327"/>
      <c r="E227" s="697"/>
      <c r="F227" s="326"/>
      <c r="G227" s="327"/>
      <c r="H227" s="407"/>
      <c r="I227" s="326"/>
      <c r="J227" s="326"/>
      <c r="K227" s="327"/>
      <c r="L227" s="407"/>
      <c r="M227" s="326"/>
      <c r="N227" s="326"/>
      <c r="O227" s="326"/>
      <c r="P227" s="327"/>
      <c r="Q227" s="407"/>
      <c r="R227" s="326"/>
      <c r="S227" s="326"/>
      <c r="T227" s="326"/>
      <c r="U227" s="326"/>
      <c r="V227" s="326"/>
      <c r="W227" s="326"/>
      <c r="X227" s="326"/>
      <c r="Y227" s="326"/>
      <c r="Z227" s="327"/>
      <c r="AA227" s="407"/>
      <c r="AB227" s="326"/>
      <c r="AC227" s="326"/>
      <c r="AD227" s="326"/>
      <c r="AE227" s="326"/>
      <c r="AF227" s="326"/>
      <c r="AG227" s="326"/>
      <c r="AH227" s="326"/>
      <c r="AI227" s="326"/>
      <c r="AJ227" s="326"/>
      <c r="AK227" s="326"/>
      <c r="AL227" s="326"/>
      <c r="AM227" s="326"/>
      <c r="AN227" s="326"/>
      <c r="AO227" s="326"/>
      <c r="AP227" s="326"/>
      <c r="AQ227" s="327"/>
    </row>
    <row r="228" spans="1:43" ht="30" customHeight="1" x14ac:dyDescent="0.25">
      <c r="A228" s="87">
        <f t="shared" si="0"/>
        <v>216</v>
      </c>
      <c r="B228" s="381" t="s">
        <v>334</v>
      </c>
      <c r="C228" s="326"/>
      <c r="D228" s="327"/>
      <c r="E228" s="698"/>
      <c r="F228" s="326"/>
      <c r="G228" s="327"/>
      <c r="H228" s="381"/>
      <c r="I228" s="326"/>
      <c r="J228" s="326"/>
      <c r="K228" s="327"/>
      <c r="L228" s="381"/>
      <c r="M228" s="326"/>
      <c r="N228" s="326"/>
      <c r="O228" s="326"/>
      <c r="P228" s="327"/>
      <c r="Q228" s="381"/>
      <c r="R228" s="326"/>
      <c r="S228" s="326"/>
      <c r="T228" s="326"/>
      <c r="U228" s="326"/>
      <c r="V228" s="326"/>
      <c r="W228" s="326"/>
      <c r="X228" s="326"/>
      <c r="Y228" s="326"/>
      <c r="Z228" s="327"/>
      <c r="AA228" s="381"/>
      <c r="AB228" s="326"/>
      <c r="AC228" s="326"/>
      <c r="AD228" s="326"/>
      <c r="AE228" s="326"/>
      <c r="AF228" s="326"/>
      <c r="AG228" s="326"/>
      <c r="AH228" s="326"/>
      <c r="AI228" s="326"/>
      <c r="AJ228" s="326"/>
      <c r="AK228" s="326"/>
      <c r="AL228" s="326"/>
      <c r="AM228" s="326"/>
      <c r="AN228" s="326"/>
      <c r="AO228" s="326"/>
      <c r="AP228" s="326"/>
      <c r="AQ228" s="327"/>
    </row>
    <row r="229" spans="1:43" ht="30" customHeight="1" x14ac:dyDescent="0.25">
      <c r="A229" s="87">
        <f t="shared" si="0"/>
        <v>217</v>
      </c>
      <c r="B229" s="407" t="s">
        <v>334</v>
      </c>
      <c r="C229" s="326"/>
      <c r="D229" s="327"/>
      <c r="E229" s="697"/>
      <c r="F229" s="326"/>
      <c r="G229" s="327"/>
      <c r="H229" s="407"/>
      <c r="I229" s="326"/>
      <c r="J229" s="326"/>
      <c r="K229" s="327"/>
      <c r="L229" s="407"/>
      <c r="M229" s="326"/>
      <c r="N229" s="326"/>
      <c r="O229" s="326"/>
      <c r="P229" s="327"/>
      <c r="Q229" s="407"/>
      <c r="R229" s="326"/>
      <c r="S229" s="326"/>
      <c r="T229" s="326"/>
      <c r="U229" s="326"/>
      <c r="V229" s="326"/>
      <c r="W229" s="326"/>
      <c r="X229" s="326"/>
      <c r="Y229" s="326"/>
      <c r="Z229" s="327"/>
      <c r="AA229" s="407"/>
      <c r="AB229" s="326"/>
      <c r="AC229" s="326"/>
      <c r="AD229" s="326"/>
      <c r="AE229" s="326"/>
      <c r="AF229" s="326"/>
      <c r="AG229" s="326"/>
      <c r="AH229" s="326"/>
      <c r="AI229" s="326"/>
      <c r="AJ229" s="326"/>
      <c r="AK229" s="326"/>
      <c r="AL229" s="326"/>
      <c r="AM229" s="326"/>
      <c r="AN229" s="326"/>
      <c r="AO229" s="326"/>
      <c r="AP229" s="326"/>
      <c r="AQ229" s="327"/>
    </row>
    <row r="230" spans="1:43" ht="30" customHeight="1" x14ac:dyDescent="0.25">
      <c r="A230" s="87">
        <f t="shared" si="0"/>
        <v>218</v>
      </c>
      <c r="B230" s="381" t="s">
        <v>334</v>
      </c>
      <c r="C230" s="326"/>
      <c r="D230" s="327"/>
      <c r="E230" s="698"/>
      <c r="F230" s="326"/>
      <c r="G230" s="327"/>
      <c r="H230" s="381"/>
      <c r="I230" s="326"/>
      <c r="J230" s="326"/>
      <c r="K230" s="327"/>
      <c r="L230" s="381"/>
      <c r="M230" s="326"/>
      <c r="N230" s="326"/>
      <c r="O230" s="326"/>
      <c r="P230" s="327"/>
      <c r="Q230" s="381"/>
      <c r="R230" s="326"/>
      <c r="S230" s="326"/>
      <c r="T230" s="326"/>
      <c r="U230" s="326"/>
      <c r="V230" s="326"/>
      <c r="W230" s="326"/>
      <c r="X230" s="326"/>
      <c r="Y230" s="326"/>
      <c r="Z230" s="327"/>
      <c r="AA230" s="381"/>
      <c r="AB230" s="326"/>
      <c r="AC230" s="326"/>
      <c r="AD230" s="326"/>
      <c r="AE230" s="326"/>
      <c r="AF230" s="326"/>
      <c r="AG230" s="326"/>
      <c r="AH230" s="326"/>
      <c r="AI230" s="326"/>
      <c r="AJ230" s="326"/>
      <c r="AK230" s="326"/>
      <c r="AL230" s="326"/>
      <c r="AM230" s="326"/>
      <c r="AN230" s="326"/>
      <c r="AO230" s="326"/>
      <c r="AP230" s="326"/>
      <c r="AQ230" s="327"/>
    </row>
    <row r="231" spans="1:43" ht="30" customHeight="1" x14ac:dyDescent="0.25">
      <c r="A231" s="87">
        <f t="shared" si="0"/>
        <v>219</v>
      </c>
      <c r="B231" s="407" t="s">
        <v>334</v>
      </c>
      <c r="C231" s="326"/>
      <c r="D231" s="327"/>
      <c r="E231" s="697"/>
      <c r="F231" s="326"/>
      <c r="G231" s="327"/>
      <c r="H231" s="407"/>
      <c r="I231" s="326"/>
      <c r="J231" s="326"/>
      <c r="K231" s="327"/>
      <c r="L231" s="407"/>
      <c r="M231" s="326"/>
      <c r="N231" s="326"/>
      <c r="O231" s="326"/>
      <c r="P231" s="327"/>
      <c r="Q231" s="407"/>
      <c r="R231" s="326"/>
      <c r="S231" s="326"/>
      <c r="T231" s="326"/>
      <c r="U231" s="326"/>
      <c r="V231" s="326"/>
      <c r="W231" s="326"/>
      <c r="X231" s="326"/>
      <c r="Y231" s="326"/>
      <c r="Z231" s="327"/>
      <c r="AA231" s="407"/>
      <c r="AB231" s="326"/>
      <c r="AC231" s="326"/>
      <c r="AD231" s="326"/>
      <c r="AE231" s="326"/>
      <c r="AF231" s="326"/>
      <c r="AG231" s="326"/>
      <c r="AH231" s="326"/>
      <c r="AI231" s="326"/>
      <c r="AJ231" s="326"/>
      <c r="AK231" s="326"/>
      <c r="AL231" s="326"/>
      <c r="AM231" s="326"/>
      <c r="AN231" s="326"/>
      <c r="AO231" s="326"/>
      <c r="AP231" s="326"/>
      <c r="AQ231" s="327"/>
    </row>
    <row r="232" spans="1:43" ht="30" customHeight="1" x14ac:dyDescent="0.25">
      <c r="A232" s="87">
        <f t="shared" si="0"/>
        <v>220</v>
      </c>
      <c r="B232" s="381" t="s">
        <v>334</v>
      </c>
      <c r="C232" s="326"/>
      <c r="D232" s="327"/>
      <c r="E232" s="698"/>
      <c r="F232" s="326"/>
      <c r="G232" s="327"/>
      <c r="H232" s="381"/>
      <c r="I232" s="326"/>
      <c r="J232" s="326"/>
      <c r="K232" s="327"/>
      <c r="L232" s="381"/>
      <c r="M232" s="326"/>
      <c r="N232" s="326"/>
      <c r="O232" s="326"/>
      <c r="P232" s="327"/>
      <c r="Q232" s="381"/>
      <c r="R232" s="326"/>
      <c r="S232" s="326"/>
      <c r="T232" s="326"/>
      <c r="U232" s="326"/>
      <c r="V232" s="326"/>
      <c r="W232" s="326"/>
      <c r="X232" s="326"/>
      <c r="Y232" s="326"/>
      <c r="Z232" s="327"/>
      <c r="AA232" s="381"/>
      <c r="AB232" s="326"/>
      <c r="AC232" s="326"/>
      <c r="AD232" s="326"/>
      <c r="AE232" s="326"/>
      <c r="AF232" s="326"/>
      <c r="AG232" s="326"/>
      <c r="AH232" s="326"/>
      <c r="AI232" s="326"/>
      <c r="AJ232" s="326"/>
      <c r="AK232" s="326"/>
      <c r="AL232" s="326"/>
      <c r="AM232" s="326"/>
      <c r="AN232" s="326"/>
      <c r="AO232" s="326"/>
      <c r="AP232" s="326"/>
      <c r="AQ232" s="327"/>
    </row>
    <row r="233" spans="1:43" ht="30" customHeight="1" x14ac:dyDescent="0.25">
      <c r="A233" s="87">
        <f t="shared" si="0"/>
        <v>221</v>
      </c>
      <c r="B233" s="407" t="s">
        <v>334</v>
      </c>
      <c r="C233" s="326"/>
      <c r="D233" s="327"/>
      <c r="E233" s="697"/>
      <c r="F233" s="326"/>
      <c r="G233" s="327"/>
      <c r="H233" s="407"/>
      <c r="I233" s="326"/>
      <c r="J233" s="326"/>
      <c r="K233" s="327"/>
      <c r="L233" s="407"/>
      <c r="M233" s="326"/>
      <c r="N233" s="326"/>
      <c r="O233" s="326"/>
      <c r="P233" s="327"/>
      <c r="Q233" s="407"/>
      <c r="R233" s="326"/>
      <c r="S233" s="326"/>
      <c r="T233" s="326"/>
      <c r="U233" s="326"/>
      <c r="V233" s="326"/>
      <c r="W233" s="326"/>
      <c r="X233" s="326"/>
      <c r="Y233" s="326"/>
      <c r="Z233" s="327"/>
      <c r="AA233" s="407"/>
      <c r="AB233" s="326"/>
      <c r="AC233" s="326"/>
      <c r="AD233" s="326"/>
      <c r="AE233" s="326"/>
      <c r="AF233" s="326"/>
      <c r="AG233" s="326"/>
      <c r="AH233" s="326"/>
      <c r="AI233" s="326"/>
      <c r="AJ233" s="326"/>
      <c r="AK233" s="326"/>
      <c r="AL233" s="326"/>
      <c r="AM233" s="326"/>
      <c r="AN233" s="326"/>
      <c r="AO233" s="326"/>
      <c r="AP233" s="326"/>
      <c r="AQ233" s="327"/>
    </row>
    <row r="234" spans="1:43" ht="30" customHeight="1" x14ac:dyDescent="0.25">
      <c r="A234" s="87">
        <f t="shared" si="0"/>
        <v>222</v>
      </c>
      <c r="B234" s="381" t="s">
        <v>334</v>
      </c>
      <c r="C234" s="326"/>
      <c r="D234" s="327"/>
      <c r="E234" s="698"/>
      <c r="F234" s="326"/>
      <c r="G234" s="327"/>
      <c r="H234" s="381"/>
      <c r="I234" s="326"/>
      <c r="J234" s="326"/>
      <c r="K234" s="327"/>
      <c r="L234" s="381"/>
      <c r="M234" s="326"/>
      <c r="N234" s="326"/>
      <c r="O234" s="326"/>
      <c r="P234" s="327"/>
      <c r="Q234" s="381"/>
      <c r="R234" s="326"/>
      <c r="S234" s="326"/>
      <c r="T234" s="326"/>
      <c r="U234" s="326"/>
      <c r="V234" s="326"/>
      <c r="W234" s="326"/>
      <c r="X234" s="326"/>
      <c r="Y234" s="326"/>
      <c r="Z234" s="327"/>
      <c r="AA234" s="381"/>
      <c r="AB234" s="326"/>
      <c r="AC234" s="326"/>
      <c r="AD234" s="326"/>
      <c r="AE234" s="326"/>
      <c r="AF234" s="326"/>
      <c r="AG234" s="326"/>
      <c r="AH234" s="326"/>
      <c r="AI234" s="326"/>
      <c r="AJ234" s="326"/>
      <c r="AK234" s="326"/>
      <c r="AL234" s="326"/>
      <c r="AM234" s="326"/>
      <c r="AN234" s="326"/>
      <c r="AO234" s="326"/>
      <c r="AP234" s="326"/>
      <c r="AQ234" s="327"/>
    </row>
    <row r="235" spans="1:43" ht="30" customHeight="1" x14ac:dyDescent="0.25">
      <c r="A235" s="87">
        <f t="shared" si="0"/>
        <v>223</v>
      </c>
      <c r="B235" s="407" t="s">
        <v>334</v>
      </c>
      <c r="C235" s="326"/>
      <c r="D235" s="327"/>
      <c r="E235" s="697"/>
      <c r="F235" s="326"/>
      <c r="G235" s="327"/>
      <c r="H235" s="407"/>
      <c r="I235" s="326"/>
      <c r="J235" s="326"/>
      <c r="K235" s="327"/>
      <c r="L235" s="407"/>
      <c r="M235" s="326"/>
      <c r="N235" s="326"/>
      <c r="O235" s="326"/>
      <c r="P235" s="327"/>
      <c r="Q235" s="407"/>
      <c r="R235" s="326"/>
      <c r="S235" s="326"/>
      <c r="T235" s="326"/>
      <c r="U235" s="326"/>
      <c r="V235" s="326"/>
      <c r="W235" s="326"/>
      <c r="X235" s="326"/>
      <c r="Y235" s="326"/>
      <c r="Z235" s="327"/>
      <c r="AA235" s="407"/>
      <c r="AB235" s="326"/>
      <c r="AC235" s="326"/>
      <c r="AD235" s="326"/>
      <c r="AE235" s="326"/>
      <c r="AF235" s="326"/>
      <c r="AG235" s="326"/>
      <c r="AH235" s="326"/>
      <c r="AI235" s="326"/>
      <c r="AJ235" s="326"/>
      <c r="AK235" s="326"/>
      <c r="AL235" s="326"/>
      <c r="AM235" s="326"/>
      <c r="AN235" s="326"/>
      <c r="AO235" s="326"/>
      <c r="AP235" s="326"/>
      <c r="AQ235" s="327"/>
    </row>
    <row r="236" spans="1:43" ht="30" customHeight="1" x14ac:dyDescent="0.25">
      <c r="A236" s="87">
        <f t="shared" si="0"/>
        <v>224</v>
      </c>
      <c r="B236" s="381" t="s">
        <v>334</v>
      </c>
      <c r="C236" s="326"/>
      <c r="D236" s="327"/>
      <c r="E236" s="698"/>
      <c r="F236" s="326"/>
      <c r="G236" s="327"/>
      <c r="H236" s="381"/>
      <c r="I236" s="326"/>
      <c r="J236" s="326"/>
      <c r="K236" s="327"/>
      <c r="L236" s="381"/>
      <c r="M236" s="326"/>
      <c r="N236" s="326"/>
      <c r="O236" s="326"/>
      <c r="P236" s="327"/>
      <c r="Q236" s="381"/>
      <c r="R236" s="326"/>
      <c r="S236" s="326"/>
      <c r="T236" s="326"/>
      <c r="U236" s="326"/>
      <c r="V236" s="326"/>
      <c r="W236" s="326"/>
      <c r="X236" s="326"/>
      <c r="Y236" s="326"/>
      <c r="Z236" s="327"/>
      <c r="AA236" s="381"/>
      <c r="AB236" s="326"/>
      <c r="AC236" s="326"/>
      <c r="AD236" s="326"/>
      <c r="AE236" s="326"/>
      <c r="AF236" s="326"/>
      <c r="AG236" s="326"/>
      <c r="AH236" s="326"/>
      <c r="AI236" s="326"/>
      <c r="AJ236" s="326"/>
      <c r="AK236" s="326"/>
      <c r="AL236" s="326"/>
      <c r="AM236" s="326"/>
      <c r="AN236" s="326"/>
      <c r="AO236" s="326"/>
      <c r="AP236" s="326"/>
      <c r="AQ236" s="327"/>
    </row>
    <row r="237" spans="1:43" ht="30" customHeight="1" x14ac:dyDescent="0.25">
      <c r="A237" s="87">
        <f t="shared" si="0"/>
        <v>225</v>
      </c>
      <c r="B237" s="407" t="s">
        <v>334</v>
      </c>
      <c r="C237" s="326"/>
      <c r="D237" s="327"/>
      <c r="E237" s="697"/>
      <c r="F237" s="326"/>
      <c r="G237" s="327"/>
      <c r="H237" s="407"/>
      <c r="I237" s="326"/>
      <c r="J237" s="326"/>
      <c r="K237" s="327"/>
      <c r="L237" s="407"/>
      <c r="M237" s="326"/>
      <c r="N237" s="326"/>
      <c r="O237" s="326"/>
      <c r="P237" s="327"/>
      <c r="Q237" s="407"/>
      <c r="R237" s="326"/>
      <c r="S237" s="326"/>
      <c r="T237" s="326"/>
      <c r="U237" s="326"/>
      <c r="V237" s="326"/>
      <c r="W237" s="326"/>
      <c r="X237" s="326"/>
      <c r="Y237" s="326"/>
      <c r="Z237" s="327"/>
      <c r="AA237" s="407"/>
      <c r="AB237" s="326"/>
      <c r="AC237" s="326"/>
      <c r="AD237" s="326"/>
      <c r="AE237" s="326"/>
      <c r="AF237" s="326"/>
      <c r="AG237" s="326"/>
      <c r="AH237" s="326"/>
      <c r="AI237" s="326"/>
      <c r="AJ237" s="326"/>
      <c r="AK237" s="326"/>
      <c r="AL237" s="326"/>
      <c r="AM237" s="326"/>
      <c r="AN237" s="326"/>
      <c r="AO237" s="326"/>
      <c r="AP237" s="326"/>
      <c r="AQ237" s="327"/>
    </row>
    <row r="238" spans="1:43" ht="30" customHeight="1" x14ac:dyDescent="0.25">
      <c r="A238" s="87">
        <f t="shared" si="0"/>
        <v>226</v>
      </c>
      <c r="B238" s="381" t="s">
        <v>334</v>
      </c>
      <c r="C238" s="326"/>
      <c r="D238" s="327"/>
      <c r="E238" s="698"/>
      <c r="F238" s="326"/>
      <c r="G238" s="327"/>
      <c r="H238" s="381"/>
      <c r="I238" s="326"/>
      <c r="J238" s="326"/>
      <c r="K238" s="327"/>
      <c r="L238" s="381"/>
      <c r="M238" s="326"/>
      <c r="N238" s="326"/>
      <c r="O238" s="326"/>
      <c r="P238" s="327"/>
      <c r="Q238" s="381"/>
      <c r="R238" s="326"/>
      <c r="S238" s="326"/>
      <c r="T238" s="326"/>
      <c r="U238" s="326"/>
      <c r="V238" s="326"/>
      <c r="W238" s="326"/>
      <c r="X238" s="326"/>
      <c r="Y238" s="326"/>
      <c r="Z238" s="327"/>
      <c r="AA238" s="381"/>
      <c r="AB238" s="326"/>
      <c r="AC238" s="326"/>
      <c r="AD238" s="326"/>
      <c r="AE238" s="326"/>
      <c r="AF238" s="326"/>
      <c r="AG238" s="326"/>
      <c r="AH238" s="326"/>
      <c r="AI238" s="326"/>
      <c r="AJ238" s="326"/>
      <c r="AK238" s="326"/>
      <c r="AL238" s="326"/>
      <c r="AM238" s="326"/>
      <c r="AN238" s="326"/>
      <c r="AO238" s="326"/>
      <c r="AP238" s="326"/>
      <c r="AQ238" s="327"/>
    </row>
    <row r="239" spans="1:43" ht="30" customHeight="1" x14ac:dyDescent="0.25">
      <c r="A239" s="87">
        <f t="shared" si="0"/>
        <v>227</v>
      </c>
      <c r="B239" s="407" t="s">
        <v>334</v>
      </c>
      <c r="C239" s="326"/>
      <c r="D239" s="327"/>
      <c r="E239" s="697"/>
      <c r="F239" s="326"/>
      <c r="G239" s="327"/>
      <c r="H239" s="407"/>
      <c r="I239" s="326"/>
      <c r="J239" s="326"/>
      <c r="K239" s="327"/>
      <c r="L239" s="407"/>
      <c r="M239" s="326"/>
      <c r="N239" s="326"/>
      <c r="O239" s="326"/>
      <c r="P239" s="327"/>
      <c r="Q239" s="407"/>
      <c r="R239" s="326"/>
      <c r="S239" s="326"/>
      <c r="T239" s="326"/>
      <c r="U239" s="326"/>
      <c r="V239" s="326"/>
      <c r="W239" s="326"/>
      <c r="X239" s="326"/>
      <c r="Y239" s="326"/>
      <c r="Z239" s="327"/>
      <c r="AA239" s="407"/>
      <c r="AB239" s="326"/>
      <c r="AC239" s="326"/>
      <c r="AD239" s="326"/>
      <c r="AE239" s="326"/>
      <c r="AF239" s="326"/>
      <c r="AG239" s="326"/>
      <c r="AH239" s="326"/>
      <c r="AI239" s="326"/>
      <c r="AJ239" s="326"/>
      <c r="AK239" s="326"/>
      <c r="AL239" s="326"/>
      <c r="AM239" s="326"/>
      <c r="AN239" s="326"/>
      <c r="AO239" s="326"/>
      <c r="AP239" s="326"/>
      <c r="AQ239" s="327"/>
    </row>
    <row r="240" spans="1:43" ht="30" customHeight="1" x14ac:dyDescent="0.25">
      <c r="A240" s="87">
        <f t="shared" si="0"/>
        <v>228</v>
      </c>
      <c r="B240" s="381" t="s">
        <v>334</v>
      </c>
      <c r="C240" s="326"/>
      <c r="D240" s="327"/>
      <c r="E240" s="698"/>
      <c r="F240" s="326"/>
      <c r="G240" s="327"/>
      <c r="H240" s="381"/>
      <c r="I240" s="326"/>
      <c r="J240" s="326"/>
      <c r="K240" s="327"/>
      <c r="L240" s="381"/>
      <c r="M240" s="326"/>
      <c r="N240" s="326"/>
      <c r="O240" s="326"/>
      <c r="P240" s="327"/>
      <c r="Q240" s="381"/>
      <c r="R240" s="326"/>
      <c r="S240" s="326"/>
      <c r="T240" s="326"/>
      <c r="U240" s="326"/>
      <c r="V240" s="326"/>
      <c r="W240" s="326"/>
      <c r="X240" s="326"/>
      <c r="Y240" s="326"/>
      <c r="Z240" s="327"/>
      <c r="AA240" s="381"/>
      <c r="AB240" s="326"/>
      <c r="AC240" s="326"/>
      <c r="AD240" s="326"/>
      <c r="AE240" s="326"/>
      <c r="AF240" s="326"/>
      <c r="AG240" s="326"/>
      <c r="AH240" s="326"/>
      <c r="AI240" s="326"/>
      <c r="AJ240" s="326"/>
      <c r="AK240" s="326"/>
      <c r="AL240" s="326"/>
      <c r="AM240" s="326"/>
      <c r="AN240" s="326"/>
      <c r="AO240" s="326"/>
      <c r="AP240" s="326"/>
      <c r="AQ240" s="327"/>
    </row>
    <row r="241" spans="1:43" ht="30" customHeight="1" x14ac:dyDescent="0.25">
      <c r="A241" s="87">
        <f t="shared" si="0"/>
        <v>229</v>
      </c>
      <c r="B241" s="407" t="s">
        <v>334</v>
      </c>
      <c r="C241" s="326"/>
      <c r="D241" s="327"/>
      <c r="E241" s="697"/>
      <c r="F241" s="326"/>
      <c r="G241" s="327"/>
      <c r="H241" s="407"/>
      <c r="I241" s="326"/>
      <c r="J241" s="326"/>
      <c r="K241" s="327"/>
      <c r="L241" s="407"/>
      <c r="M241" s="326"/>
      <c r="N241" s="326"/>
      <c r="O241" s="326"/>
      <c r="P241" s="327"/>
      <c r="Q241" s="407"/>
      <c r="R241" s="326"/>
      <c r="S241" s="326"/>
      <c r="T241" s="326"/>
      <c r="U241" s="326"/>
      <c r="V241" s="326"/>
      <c r="W241" s="326"/>
      <c r="X241" s="326"/>
      <c r="Y241" s="326"/>
      <c r="Z241" s="327"/>
      <c r="AA241" s="407"/>
      <c r="AB241" s="326"/>
      <c r="AC241" s="326"/>
      <c r="AD241" s="326"/>
      <c r="AE241" s="326"/>
      <c r="AF241" s="326"/>
      <c r="AG241" s="326"/>
      <c r="AH241" s="326"/>
      <c r="AI241" s="326"/>
      <c r="AJ241" s="326"/>
      <c r="AK241" s="326"/>
      <c r="AL241" s="326"/>
      <c r="AM241" s="326"/>
      <c r="AN241" s="326"/>
      <c r="AO241" s="326"/>
      <c r="AP241" s="326"/>
      <c r="AQ241" s="327"/>
    </row>
    <row r="242" spans="1:43" ht="30" customHeight="1" x14ac:dyDescent="0.25">
      <c r="A242" s="87">
        <f t="shared" si="0"/>
        <v>230</v>
      </c>
      <c r="B242" s="381" t="s">
        <v>334</v>
      </c>
      <c r="C242" s="326"/>
      <c r="D242" s="327"/>
      <c r="E242" s="698"/>
      <c r="F242" s="326"/>
      <c r="G242" s="327"/>
      <c r="H242" s="381"/>
      <c r="I242" s="326"/>
      <c r="J242" s="326"/>
      <c r="K242" s="327"/>
      <c r="L242" s="381"/>
      <c r="M242" s="326"/>
      <c r="N242" s="326"/>
      <c r="O242" s="326"/>
      <c r="P242" s="327"/>
      <c r="Q242" s="381"/>
      <c r="R242" s="326"/>
      <c r="S242" s="326"/>
      <c r="T242" s="326"/>
      <c r="U242" s="326"/>
      <c r="V242" s="326"/>
      <c r="W242" s="326"/>
      <c r="X242" s="326"/>
      <c r="Y242" s="326"/>
      <c r="Z242" s="327"/>
      <c r="AA242" s="381"/>
      <c r="AB242" s="326"/>
      <c r="AC242" s="326"/>
      <c r="AD242" s="326"/>
      <c r="AE242" s="326"/>
      <c r="AF242" s="326"/>
      <c r="AG242" s="326"/>
      <c r="AH242" s="326"/>
      <c r="AI242" s="326"/>
      <c r="AJ242" s="326"/>
      <c r="AK242" s="326"/>
      <c r="AL242" s="326"/>
      <c r="AM242" s="326"/>
      <c r="AN242" s="326"/>
      <c r="AO242" s="326"/>
      <c r="AP242" s="326"/>
      <c r="AQ242" s="327"/>
    </row>
    <row r="243" spans="1:43" ht="30" customHeight="1" x14ac:dyDescent="0.25">
      <c r="A243" s="87">
        <f t="shared" si="0"/>
        <v>231</v>
      </c>
      <c r="B243" s="407" t="s">
        <v>334</v>
      </c>
      <c r="C243" s="326"/>
      <c r="D243" s="327"/>
      <c r="E243" s="697"/>
      <c r="F243" s="326"/>
      <c r="G243" s="327"/>
      <c r="H243" s="407"/>
      <c r="I243" s="326"/>
      <c r="J243" s="326"/>
      <c r="K243" s="327"/>
      <c r="L243" s="407"/>
      <c r="M243" s="326"/>
      <c r="N243" s="326"/>
      <c r="O243" s="326"/>
      <c r="P243" s="327"/>
      <c r="Q243" s="407"/>
      <c r="R243" s="326"/>
      <c r="S243" s="326"/>
      <c r="T243" s="326"/>
      <c r="U243" s="326"/>
      <c r="V243" s="326"/>
      <c r="W243" s="326"/>
      <c r="X243" s="326"/>
      <c r="Y243" s="326"/>
      <c r="Z243" s="327"/>
      <c r="AA243" s="407"/>
      <c r="AB243" s="326"/>
      <c r="AC243" s="326"/>
      <c r="AD243" s="326"/>
      <c r="AE243" s="326"/>
      <c r="AF243" s="326"/>
      <c r="AG243" s="326"/>
      <c r="AH243" s="326"/>
      <c r="AI243" s="326"/>
      <c r="AJ243" s="326"/>
      <c r="AK243" s="326"/>
      <c r="AL243" s="326"/>
      <c r="AM243" s="326"/>
      <c r="AN243" s="326"/>
      <c r="AO243" s="326"/>
      <c r="AP243" s="326"/>
      <c r="AQ243" s="327"/>
    </row>
    <row r="244" spans="1:43" ht="30" customHeight="1" x14ac:dyDescent="0.25">
      <c r="A244" s="87">
        <f t="shared" si="0"/>
        <v>232</v>
      </c>
      <c r="B244" s="381" t="s">
        <v>334</v>
      </c>
      <c r="C244" s="326"/>
      <c r="D244" s="327"/>
      <c r="E244" s="698"/>
      <c r="F244" s="326"/>
      <c r="G244" s="327"/>
      <c r="H244" s="381"/>
      <c r="I244" s="326"/>
      <c r="J244" s="326"/>
      <c r="K244" s="327"/>
      <c r="L244" s="381"/>
      <c r="M244" s="326"/>
      <c r="N244" s="326"/>
      <c r="O244" s="326"/>
      <c r="P244" s="327"/>
      <c r="Q244" s="381"/>
      <c r="R244" s="326"/>
      <c r="S244" s="326"/>
      <c r="T244" s="326"/>
      <c r="U244" s="326"/>
      <c r="V244" s="326"/>
      <c r="W244" s="326"/>
      <c r="X244" s="326"/>
      <c r="Y244" s="326"/>
      <c r="Z244" s="327"/>
      <c r="AA244" s="381"/>
      <c r="AB244" s="326"/>
      <c r="AC244" s="326"/>
      <c r="AD244" s="326"/>
      <c r="AE244" s="326"/>
      <c r="AF244" s="326"/>
      <c r="AG244" s="326"/>
      <c r="AH244" s="326"/>
      <c r="AI244" s="326"/>
      <c r="AJ244" s="326"/>
      <c r="AK244" s="326"/>
      <c r="AL244" s="326"/>
      <c r="AM244" s="326"/>
      <c r="AN244" s="326"/>
      <c r="AO244" s="326"/>
      <c r="AP244" s="326"/>
      <c r="AQ244" s="327"/>
    </row>
    <row r="245" spans="1:43" ht="30" customHeight="1" x14ac:dyDescent="0.25">
      <c r="A245" s="87">
        <f t="shared" si="0"/>
        <v>233</v>
      </c>
      <c r="B245" s="407" t="s">
        <v>334</v>
      </c>
      <c r="C245" s="326"/>
      <c r="D245" s="327"/>
      <c r="E245" s="697"/>
      <c r="F245" s="326"/>
      <c r="G245" s="327"/>
      <c r="H245" s="407"/>
      <c r="I245" s="326"/>
      <c r="J245" s="326"/>
      <c r="K245" s="327"/>
      <c r="L245" s="407"/>
      <c r="M245" s="326"/>
      <c r="N245" s="326"/>
      <c r="O245" s="326"/>
      <c r="P245" s="327"/>
      <c r="Q245" s="407"/>
      <c r="R245" s="326"/>
      <c r="S245" s="326"/>
      <c r="T245" s="326"/>
      <c r="U245" s="326"/>
      <c r="V245" s="326"/>
      <c r="W245" s="326"/>
      <c r="X245" s="326"/>
      <c r="Y245" s="326"/>
      <c r="Z245" s="327"/>
      <c r="AA245" s="407"/>
      <c r="AB245" s="326"/>
      <c r="AC245" s="326"/>
      <c r="AD245" s="326"/>
      <c r="AE245" s="326"/>
      <c r="AF245" s="326"/>
      <c r="AG245" s="326"/>
      <c r="AH245" s="326"/>
      <c r="AI245" s="326"/>
      <c r="AJ245" s="326"/>
      <c r="AK245" s="326"/>
      <c r="AL245" s="326"/>
      <c r="AM245" s="326"/>
      <c r="AN245" s="326"/>
      <c r="AO245" s="326"/>
      <c r="AP245" s="326"/>
      <c r="AQ245" s="327"/>
    </row>
    <row r="246" spans="1:43" ht="30" customHeight="1" x14ac:dyDescent="0.25">
      <c r="A246" s="87">
        <f t="shared" si="0"/>
        <v>234</v>
      </c>
      <c r="B246" s="381" t="s">
        <v>334</v>
      </c>
      <c r="C246" s="326"/>
      <c r="D246" s="327"/>
      <c r="E246" s="698"/>
      <c r="F246" s="326"/>
      <c r="G246" s="327"/>
      <c r="H246" s="381"/>
      <c r="I246" s="326"/>
      <c r="J246" s="326"/>
      <c r="K246" s="327"/>
      <c r="L246" s="381"/>
      <c r="M246" s="326"/>
      <c r="N246" s="326"/>
      <c r="O246" s="326"/>
      <c r="P246" s="327"/>
      <c r="Q246" s="381"/>
      <c r="R246" s="326"/>
      <c r="S246" s="326"/>
      <c r="T246" s="326"/>
      <c r="U246" s="326"/>
      <c r="V246" s="326"/>
      <c r="W246" s="326"/>
      <c r="X246" s="326"/>
      <c r="Y246" s="326"/>
      <c r="Z246" s="327"/>
      <c r="AA246" s="381"/>
      <c r="AB246" s="326"/>
      <c r="AC246" s="326"/>
      <c r="AD246" s="326"/>
      <c r="AE246" s="326"/>
      <c r="AF246" s="326"/>
      <c r="AG246" s="326"/>
      <c r="AH246" s="326"/>
      <c r="AI246" s="326"/>
      <c r="AJ246" s="326"/>
      <c r="AK246" s="326"/>
      <c r="AL246" s="326"/>
      <c r="AM246" s="326"/>
      <c r="AN246" s="326"/>
      <c r="AO246" s="326"/>
      <c r="AP246" s="326"/>
      <c r="AQ246" s="327"/>
    </row>
    <row r="247" spans="1:43" ht="30" customHeight="1" x14ac:dyDescent="0.25">
      <c r="A247" s="87">
        <f t="shared" si="0"/>
        <v>235</v>
      </c>
      <c r="B247" s="407" t="s">
        <v>334</v>
      </c>
      <c r="C247" s="326"/>
      <c r="D247" s="327"/>
      <c r="E247" s="697"/>
      <c r="F247" s="326"/>
      <c r="G247" s="327"/>
      <c r="H247" s="407"/>
      <c r="I247" s="326"/>
      <c r="J247" s="326"/>
      <c r="K247" s="327"/>
      <c r="L247" s="407"/>
      <c r="M247" s="326"/>
      <c r="N247" s="326"/>
      <c r="O247" s="326"/>
      <c r="P247" s="327"/>
      <c r="Q247" s="407"/>
      <c r="R247" s="326"/>
      <c r="S247" s="326"/>
      <c r="T247" s="326"/>
      <c r="U247" s="326"/>
      <c r="V247" s="326"/>
      <c r="W247" s="326"/>
      <c r="X247" s="326"/>
      <c r="Y247" s="326"/>
      <c r="Z247" s="327"/>
      <c r="AA247" s="407"/>
      <c r="AB247" s="326"/>
      <c r="AC247" s="326"/>
      <c r="AD247" s="326"/>
      <c r="AE247" s="326"/>
      <c r="AF247" s="326"/>
      <c r="AG247" s="326"/>
      <c r="AH247" s="326"/>
      <c r="AI247" s="326"/>
      <c r="AJ247" s="326"/>
      <c r="AK247" s="326"/>
      <c r="AL247" s="326"/>
      <c r="AM247" s="326"/>
      <c r="AN247" s="326"/>
      <c r="AO247" s="326"/>
      <c r="AP247" s="326"/>
      <c r="AQ247" s="327"/>
    </row>
    <row r="248" spans="1:43" ht="30" customHeight="1" x14ac:dyDescent="0.25">
      <c r="A248" s="87">
        <f t="shared" si="0"/>
        <v>236</v>
      </c>
      <c r="B248" s="381" t="s">
        <v>334</v>
      </c>
      <c r="C248" s="326"/>
      <c r="D248" s="327"/>
      <c r="E248" s="698"/>
      <c r="F248" s="326"/>
      <c r="G248" s="327"/>
      <c r="H248" s="381"/>
      <c r="I248" s="326"/>
      <c r="J248" s="326"/>
      <c r="K248" s="327"/>
      <c r="L248" s="381"/>
      <c r="M248" s="326"/>
      <c r="N248" s="326"/>
      <c r="O248" s="326"/>
      <c r="P248" s="327"/>
      <c r="Q248" s="381"/>
      <c r="R248" s="326"/>
      <c r="S248" s="326"/>
      <c r="T248" s="326"/>
      <c r="U248" s="326"/>
      <c r="V248" s="326"/>
      <c r="W248" s="326"/>
      <c r="X248" s="326"/>
      <c r="Y248" s="326"/>
      <c r="Z248" s="327"/>
      <c r="AA248" s="381"/>
      <c r="AB248" s="326"/>
      <c r="AC248" s="326"/>
      <c r="AD248" s="326"/>
      <c r="AE248" s="326"/>
      <c r="AF248" s="326"/>
      <c r="AG248" s="326"/>
      <c r="AH248" s="326"/>
      <c r="AI248" s="326"/>
      <c r="AJ248" s="326"/>
      <c r="AK248" s="326"/>
      <c r="AL248" s="326"/>
      <c r="AM248" s="326"/>
      <c r="AN248" s="326"/>
      <c r="AO248" s="326"/>
      <c r="AP248" s="326"/>
      <c r="AQ248" s="327"/>
    </row>
    <row r="249" spans="1:43" ht="30" customHeight="1" x14ac:dyDescent="0.25">
      <c r="A249" s="87">
        <f t="shared" si="0"/>
        <v>237</v>
      </c>
      <c r="B249" s="407" t="s">
        <v>334</v>
      </c>
      <c r="C249" s="326"/>
      <c r="D249" s="327"/>
      <c r="E249" s="697"/>
      <c r="F249" s="326"/>
      <c r="G249" s="327"/>
      <c r="H249" s="407"/>
      <c r="I249" s="326"/>
      <c r="J249" s="326"/>
      <c r="K249" s="327"/>
      <c r="L249" s="407"/>
      <c r="M249" s="326"/>
      <c r="N249" s="326"/>
      <c r="O249" s="326"/>
      <c r="P249" s="327"/>
      <c r="Q249" s="407"/>
      <c r="R249" s="326"/>
      <c r="S249" s="326"/>
      <c r="T249" s="326"/>
      <c r="U249" s="326"/>
      <c r="V249" s="326"/>
      <c r="W249" s="326"/>
      <c r="X249" s="326"/>
      <c r="Y249" s="326"/>
      <c r="Z249" s="327"/>
      <c r="AA249" s="407"/>
      <c r="AB249" s="326"/>
      <c r="AC249" s="326"/>
      <c r="AD249" s="326"/>
      <c r="AE249" s="326"/>
      <c r="AF249" s="326"/>
      <c r="AG249" s="326"/>
      <c r="AH249" s="326"/>
      <c r="AI249" s="326"/>
      <c r="AJ249" s="326"/>
      <c r="AK249" s="326"/>
      <c r="AL249" s="326"/>
      <c r="AM249" s="326"/>
      <c r="AN249" s="326"/>
      <c r="AO249" s="326"/>
      <c r="AP249" s="326"/>
      <c r="AQ249" s="327"/>
    </row>
    <row r="250" spans="1:43" ht="30" customHeight="1" x14ac:dyDescent="0.25">
      <c r="A250" s="87">
        <f t="shared" si="0"/>
        <v>238</v>
      </c>
      <c r="B250" s="381" t="s">
        <v>334</v>
      </c>
      <c r="C250" s="326"/>
      <c r="D250" s="327"/>
      <c r="E250" s="698"/>
      <c r="F250" s="326"/>
      <c r="G250" s="327"/>
      <c r="H250" s="381"/>
      <c r="I250" s="326"/>
      <c r="J250" s="326"/>
      <c r="K250" s="327"/>
      <c r="L250" s="381"/>
      <c r="M250" s="326"/>
      <c r="N250" s="326"/>
      <c r="O250" s="326"/>
      <c r="P250" s="327"/>
      <c r="Q250" s="381"/>
      <c r="R250" s="326"/>
      <c r="S250" s="326"/>
      <c r="T250" s="326"/>
      <c r="U250" s="326"/>
      <c r="V250" s="326"/>
      <c r="W250" s="326"/>
      <c r="X250" s="326"/>
      <c r="Y250" s="326"/>
      <c r="Z250" s="327"/>
      <c r="AA250" s="381"/>
      <c r="AB250" s="326"/>
      <c r="AC250" s="326"/>
      <c r="AD250" s="326"/>
      <c r="AE250" s="326"/>
      <c r="AF250" s="326"/>
      <c r="AG250" s="326"/>
      <c r="AH250" s="326"/>
      <c r="AI250" s="326"/>
      <c r="AJ250" s="326"/>
      <c r="AK250" s="326"/>
      <c r="AL250" s="326"/>
      <c r="AM250" s="326"/>
      <c r="AN250" s="326"/>
      <c r="AO250" s="326"/>
      <c r="AP250" s="326"/>
      <c r="AQ250" s="327"/>
    </row>
    <row r="251" spans="1:43" ht="30" customHeight="1" x14ac:dyDescent="0.25">
      <c r="A251" s="87">
        <f t="shared" si="0"/>
        <v>239</v>
      </c>
      <c r="B251" s="407" t="s">
        <v>334</v>
      </c>
      <c r="C251" s="326"/>
      <c r="D251" s="327"/>
      <c r="E251" s="697"/>
      <c r="F251" s="326"/>
      <c r="G251" s="327"/>
      <c r="H251" s="407"/>
      <c r="I251" s="326"/>
      <c r="J251" s="326"/>
      <c r="K251" s="327"/>
      <c r="L251" s="407"/>
      <c r="M251" s="326"/>
      <c r="N251" s="326"/>
      <c r="O251" s="326"/>
      <c r="P251" s="327"/>
      <c r="Q251" s="407"/>
      <c r="R251" s="326"/>
      <c r="S251" s="326"/>
      <c r="T251" s="326"/>
      <c r="U251" s="326"/>
      <c r="V251" s="326"/>
      <c r="W251" s="326"/>
      <c r="X251" s="326"/>
      <c r="Y251" s="326"/>
      <c r="Z251" s="327"/>
      <c r="AA251" s="407"/>
      <c r="AB251" s="326"/>
      <c r="AC251" s="326"/>
      <c r="AD251" s="326"/>
      <c r="AE251" s="326"/>
      <c r="AF251" s="326"/>
      <c r="AG251" s="326"/>
      <c r="AH251" s="326"/>
      <c r="AI251" s="326"/>
      <c r="AJ251" s="326"/>
      <c r="AK251" s="326"/>
      <c r="AL251" s="326"/>
      <c r="AM251" s="326"/>
      <c r="AN251" s="326"/>
      <c r="AO251" s="326"/>
      <c r="AP251" s="326"/>
      <c r="AQ251" s="327"/>
    </row>
    <row r="252" spans="1:43" ht="30" customHeight="1" x14ac:dyDescent="0.25">
      <c r="A252" s="87">
        <f t="shared" si="0"/>
        <v>240</v>
      </c>
      <c r="B252" s="381" t="s">
        <v>334</v>
      </c>
      <c r="C252" s="326"/>
      <c r="D252" s="327"/>
      <c r="E252" s="698"/>
      <c r="F252" s="326"/>
      <c r="G252" s="327"/>
      <c r="H252" s="381"/>
      <c r="I252" s="326"/>
      <c r="J252" s="326"/>
      <c r="K252" s="327"/>
      <c r="L252" s="381"/>
      <c r="M252" s="326"/>
      <c r="N252" s="326"/>
      <c r="O252" s="326"/>
      <c r="P252" s="327"/>
      <c r="Q252" s="381"/>
      <c r="R252" s="326"/>
      <c r="S252" s="326"/>
      <c r="T252" s="326"/>
      <c r="U252" s="326"/>
      <c r="V252" s="326"/>
      <c r="W252" s="326"/>
      <c r="X252" s="326"/>
      <c r="Y252" s="326"/>
      <c r="Z252" s="327"/>
      <c r="AA252" s="381"/>
      <c r="AB252" s="326"/>
      <c r="AC252" s="326"/>
      <c r="AD252" s="326"/>
      <c r="AE252" s="326"/>
      <c r="AF252" s="326"/>
      <c r="AG252" s="326"/>
      <c r="AH252" s="326"/>
      <c r="AI252" s="326"/>
      <c r="AJ252" s="326"/>
      <c r="AK252" s="326"/>
      <c r="AL252" s="326"/>
      <c r="AM252" s="326"/>
      <c r="AN252" s="326"/>
      <c r="AO252" s="326"/>
      <c r="AP252" s="326"/>
      <c r="AQ252" s="327"/>
    </row>
    <row r="253" spans="1:43" ht="30" customHeight="1" x14ac:dyDescent="0.25">
      <c r="A253" s="87">
        <f t="shared" si="0"/>
        <v>241</v>
      </c>
      <c r="B253" s="407" t="s">
        <v>334</v>
      </c>
      <c r="C253" s="326"/>
      <c r="D253" s="327"/>
      <c r="E253" s="697"/>
      <c r="F253" s="326"/>
      <c r="G253" s="327"/>
      <c r="H253" s="407"/>
      <c r="I253" s="326"/>
      <c r="J253" s="326"/>
      <c r="K253" s="327"/>
      <c r="L253" s="407"/>
      <c r="M253" s="326"/>
      <c r="N253" s="326"/>
      <c r="O253" s="326"/>
      <c r="P253" s="327"/>
      <c r="Q253" s="407"/>
      <c r="R253" s="326"/>
      <c r="S253" s="326"/>
      <c r="T253" s="326"/>
      <c r="U253" s="326"/>
      <c r="V253" s="326"/>
      <c r="W253" s="326"/>
      <c r="X253" s="326"/>
      <c r="Y253" s="326"/>
      <c r="Z253" s="327"/>
      <c r="AA253" s="407"/>
      <c r="AB253" s="326"/>
      <c r="AC253" s="326"/>
      <c r="AD253" s="326"/>
      <c r="AE253" s="326"/>
      <c r="AF253" s="326"/>
      <c r="AG253" s="326"/>
      <c r="AH253" s="326"/>
      <c r="AI253" s="326"/>
      <c r="AJ253" s="326"/>
      <c r="AK253" s="326"/>
      <c r="AL253" s="326"/>
      <c r="AM253" s="326"/>
      <c r="AN253" s="326"/>
      <c r="AO253" s="326"/>
      <c r="AP253" s="326"/>
      <c r="AQ253" s="327"/>
    </row>
    <row r="254" spans="1:43" ht="30" customHeight="1" x14ac:dyDescent="0.25">
      <c r="A254" s="87">
        <f t="shared" si="0"/>
        <v>242</v>
      </c>
      <c r="B254" s="381" t="s">
        <v>334</v>
      </c>
      <c r="C254" s="326"/>
      <c r="D254" s="327"/>
      <c r="E254" s="698"/>
      <c r="F254" s="326"/>
      <c r="G254" s="327"/>
      <c r="H254" s="381"/>
      <c r="I254" s="326"/>
      <c r="J254" s="326"/>
      <c r="K254" s="327"/>
      <c r="L254" s="381"/>
      <c r="M254" s="326"/>
      <c r="N254" s="326"/>
      <c r="O254" s="326"/>
      <c r="P254" s="327"/>
      <c r="Q254" s="381"/>
      <c r="R254" s="326"/>
      <c r="S254" s="326"/>
      <c r="T254" s="326"/>
      <c r="U254" s="326"/>
      <c r="V254" s="326"/>
      <c r="W254" s="326"/>
      <c r="X254" s="326"/>
      <c r="Y254" s="326"/>
      <c r="Z254" s="327"/>
      <c r="AA254" s="381"/>
      <c r="AB254" s="326"/>
      <c r="AC254" s="326"/>
      <c r="AD254" s="326"/>
      <c r="AE254" s="326"/>
      <c r="AF254" s="326"/>
      <c r="AG254" s="326"/>
      <c r="AH254" s="326"/>
      <c r="AI254" s="326"/>
      <c r="AJ254" s="326"/>
      <c r="AK254" s="326"/>
      <c r="AL254" s="326"/>
      <c r="AM254" s="326"/>
      <c r="AN254" s="326"/>
      <c r="AO254" s="326"/>
      <c r="AP254" s="326"/>
      <c r="AQ254" s="327"/>
    </row>
    <row r="255" spans="1:43" ht="30" customHeight="1" x14ac:dyDescent="0.25">
      <c r="A255" s="87">
        <f t="shared" si="0"/>
        <v>243</v>
      </c>
      <c r="B255" s="407" t="s">
        <v>334</v>
      </c>
      <c r="C255" s="326"/>
      <c r="D255" s="327"/>
      <c r="E255" s="697"/>
      <c r="F255" s="326"/>
      <c r="G255" s="327"/>
      <c r="H255" s="407"/>
      <c r="I255" s="326"/>
      <c r="J255" s="326"/>
      <c r="K255" s="327"/>
      <c r="L255" s="407"/>
      <c r="M255" s="326"/>
      <c r="N255" s="326"/>
      <c r="O255" s="326"/>
      <c r="P255" s="327"/>
      <c r="Q255" s="407"/>
      <c r="R255" s="326"/>
      <c r="S255" s="326"/>
      <c r="T255" s="326"/>
      <c r="U255" s="326"/>
      <c r="V255" s="326"/>
      <c r="W255" s="326"/>
      <c r="X255" s="326"/>
      <c r="Y255" s="326"/>
      <c r="Z255" s="327"/>
      <c r="AA255" s="407"/>
      <c r="AB255" s="326"/>
      <c r="AC255" s="326"/>
      <c r="AD255" s="326"/>
      <c r="AE255" s="326"/>
      <c r="AF255" s="326"/>
      <c r="AG255" s="326"/>
      <c r="AH255" s="326"/>
      <c r="AI255" s="326"/>
      <c r="AJ255" s="326"/>
      <c r="AK255" s="326"/>
      <c r="AL255" s="326"/>
      <c r="AM255" s="326"/>
      <c r="AN255" s="326"/>
      <c r="AO255" s="326"/>
      <c r="AP255" s="326"/>
      <c r="AQ255" s="327"/>
    </row>
    <row r="256" spans="1:43" ht="30" customHeight="1" x14ac:dyDescent="0.25">
      <c r="A256" s="87">
        <f t="shared" si="0"/>
        <v>244</v>
      </c>
      <c r="B256" s="381" t="s">
        <v>334</v>
      </c>
      <c r="C256" s="326"/>
      <c r="D256" s="327"/>
      <c r="E256" s="698"/>
      <c r="F256" s="326"/>
      <c r="G256" s="327"/>
      <c r="H256" s="381"/>
      <c r="I256" s="326"/>
      <c r="J256" s="326"/>
      <c r="K256" s="327"/>
      <c r="L256" s="381"/>
      <c r="M256" s="326"/>
      <c r="N256" s="326"/>
      <c r="O256" s="326"/>
      <c r="P256" s="327"/>
      <c r="Q256" s="381"/>
      <c r="R256" s="326"/>
      <c r="S256" s="326"/>
      <c r="T256" s="326"/>
      <c r="U256" s="326"/>
      <c r="V256" s="326"/>
      <c r="W256" s="326"/>
      <c r="X256" s="326"/>
      <c r="Y256" s="326"/>
      <c r="Z256" s="327"/>
      <c r="AA256" s="381"/>
      <c r="AB256" s="326"/>
      <c r="AC256" s="326"/>
      <c r="AD256" s="326"/>
      <c r="AE256" s="326"/>
      <c r="AF256" s="326"/>
      <c r="AG256" s="326"/>
      <c r="AH256" s="326"/>
      <c r="AI256" s="326"/>
      <c r="AJ256" s="326"/>
      <c r="AK256" s="326"/>
      <c r="AL256" s="326"/>
      <c r="AM256" s="326"/>
      <c r="AN256" s="326"/>
      <c r="AO256" s="326"/>
      <c r="AP256" s="326"/>
      <c r="AQ256" s="327"/>
    </row>
    <row r="257" spans="1:43" ht="30" customHeight="1" x14ac:dyDescent="0.25">
      <c r="A257" s="87">
        <f t="shared" si="0"/>
        <v>245</v>
      </c>
      <c r="B257" s="407" t="s">
        <v>334</v>
      </c>
      <c r="C257" s="326"/>
      <c r="D257" s="327"/>
      <c r="E257" s="697"/>
      <c r="F257" s="326"/>
      <c r="G257" s="327"/>
      <c r="H257" s="407"/>
      <c r="I257" s="326"/>
      <c r="J257" s="326"/>
      <c r="K257" s="327"/>
      <c r="L257" s="407"/>
      <c r="M257" s="326"/>
      <c r="N257" s="326"/>
      <c r="O257" s="326"/>
      <c r="P257" s="327"/>
      <c r="Q257" s="407"/>
      <c r="R257" s="326"/>
      <c r="S257" s="326"/>
      <c r="T257" s="326"/>
      <c r="U257" s="326"/>
      <c r="V257" s="326"/>
      <c r="W257" s="326"/>
      <c r="X257" s="326"/>
      <c r="Y257" s="326"/>
      <c r="Z257" s="327"/>
      <c r="AA257" s="407"/>
      <c r="AB257" s="326"/>
      <c r="AC257" s="326"/>
      <c r="AD257" s="326"/>
      <c r="AE257" s="326"/>
      <c r="AF257" s="326"/>
      <c r="AG257" s="326"/>
      <c r="AH257" s="326"/>
      <c r="AI257" s="326"/>
      <c r="AJ257" s="326"/>
      <c r="AK257" s="326"/>
      <c r="AL257" s="326"/>
      <c r="AM257" s="326"/>
      <c r="AN257" s="326"/>
      <c r="AO257" s="326"/>
      <c r="AP257" s="326"/>
      <c r="AQ257" s="327"/>
    </row>
    <row r="258" spans="1:43" ht="30" customHeight="1" x14ac:dyDescent="0.25">
      <c r="A258" s="87">
        <f t="shared" si="0"/>
        <v>246</v>
      </c>
      <c r="B258" s="381" t="s">
        <v>334</v>
      </c>
      <c r="C258" s="326"/>
      <c r="D258" s="327"/>
      <c r="E258" s="698"/>
      <c r="F258" s="326"/>
      <c r="G258" s="327"/>
      <c r="H258" s="381"/>
      <c r="I258" s="326"/>
      <c r="J258" s="326"/>
      <c r="K258" s="327"/>
      <c r="L258" s="381"/>
      <c r="M258" s="326"/>
      <c r="N258" s="326"/>
      <c r="O258" s="326"/>
      <c r="P258" s="327"/>
      <c r="Q258" s="381"/>
      <c r="R258" s="326"/>
      <c r="S258" s="326"/>
      <c r="T258" s="326"/>
      <c r="U258" s="326"/>
      <c r="V258" s="326"/>
      <c r="W258" s="326"/>
      <c r="X258" s="326"/>
      <c r="Y258" s="326"/>
      <c r="Z258" s="327"/>
      <c r="AA258" s="381"/>
      <c r="AB258" s="326"/>
      <c r="AC258" s="326"/>
      <c r="AD258" s="326"/>
      <c r="AE258" s="326"/>
      <c r="AF258" s="326"/>
      <c r="AG258" s="326"/>
      <c r="AH258" s="326"/>
      <c r="AI258" s="326"/>
      <c r="AJ258" s="326"/>
      <c r="AK258" s="326"/>
      <c r="AL258" s="326"/>
      <c r="AM258" s="326"/>
      <c r="AN258" s="326"/>
      <c r="AO258" s="326"/>
      <c r="AP258" s="326"/>
      <c r="AQ258" s="327"/>
    </row>
    <row r="259" spans="1:43" ht="30" customHeight="1" x14ac:dyDescent="0.25">
      <c r="A259" s="87">
        <f t="shared" si="0"/>
        <v>247</v>
      </c>
      <c r="B259" s="407" t="s">
        <v>334</v>
      </c>
      <c r="C259" s="326"/>
      <c r="D259" s="327"/>
      <c r="E259" s="697"/>
      <c r="F259" s="326"/>
      <c r="G259" s="327"/>
      <c r="H259" s="407"/>
      <c r="I259" s="326"/>
      <c r="J259" s="326"/>
      <c r="K259" s="327"/>
      <c r="L259" s="407"/>
      <c r="M259" s="326"/>
      <c r="N259" s="326"/>
      <c r="O259" s="326"/>
      <c r="P259" s="327"/>
      <c r="Q259" s="407"/>
      <c r="R259" s="326"/>
      <c r="S259" s="326"/>
      <c r="T259" s="326"/>
      <c r="U259" s="326"/>
      <c r="V259" s="326"/>
      <c r="W259" s="326"/>
      <c r="X259" s="326"/>
      <c r="Y259" s="326"/>
      <c r="Z259" s="327"/>
      <c r="AA259" s="407"/>
      <c r="AB259" s="326"/>
      <c r="AC259" s="326"/>
      <c r="AD259" s="326"/>
      <c r="AE259" s="326"/>
      <c r="AF259" s="326"/>
      <c r="AG259" s="326"/>
      <c r="AH259" s="326"/>
      <c r="AI259" s="326"/>
      <c r="AJ259" s="326"/>
      <c r="AK259" s="326"/>
      <c r="AL259" s="326"/>
      <c r="AM259" s="326"/>
      <c r="AN259" s="326"/>
      <c r="AO259" s="326"/>
      <c r="AP259" s="326"/>
      <c r="AQ259" s="327"/>
    </row>
    <row r="260" spans="1:43" ht="30" customHeight="1" x14ac:dyDescent="0.25">
      <c r="A260" s="87">
        <f t="shared" si="0"/>
        <v>248</v>
      </c>
      <c r="B260" s="381" t="s">
        <v>334</v>
      </c>
      <c r="C260" s="326"/>
      <c r="D260" s="327"/>
      <c r="E260" s="698"/>
      <c r="F260" s="326"/>
      <c r="G260" s="327"/>
      <c r="H260" s="381"/>
      <c r="I260" s="326"/>
      <c r="J260" s="326"/>
      <c r="K260" s="327"/>
      <c r="L260" s="381"/>
      <c r="M260" s="326"/>
      <c r="N260" s="326"/>
      <c r="O260" s="326"/>
      <c r="P260" s="327"/>
      <c r="Q260" s="381"/>
      <c r="R260" s="326"/>
      <c r="S260" s="326"/>
      <c r="T260" s="326"/>
      <c r="U260" s="326"/>
      <c r="V260" s="326"/>
      <c r="W260" s="326"/>
      <c r="X260" s="326"/>
      <c r="Y260" s="326"/>
      <c r="Z260" s="327"/>
      <c r="AA260" s="381"/>
      <c r="AB260" s="326"/>
      <c r="AC260" s="326"/>
      <c r="AD260" s="326"/>
      <c r="AE260" s="326"/>
      <c r="AF260" s="326"/>
      <c r="AG260" s="326"/>
      <c r="AH260" s="326"/>
      <c r="AI260" s="326"/>
      <c r="AJ260" s="326"/>
      <c r="AK260" s="326"/>
      <c r="AL260" s="326"/>
      <c r="AM260" s="326"/>
      <c r="AN260" s="326"/>
      <c r="AO260" s="326"/>
      <c r="AP260" s="326"/>
      <c r="AQ260" s="327"/>
    </row>
    <row r="261" spans="1:43" ht="30" customHeight="1" x14ac:dyDescent="0.25">
      <c r="A261" s="87">
        <f t="shared" si="0"/>
        <v>249</v>
      </c>
      <c r="B261" s="407" t="s">
        <v>334</v>
      </c>
      <c r="C261" s="326"/>
      <c r="D261" s="327"/>
      <c r="E261" s="697"/>
      <c r="F261" s="326"/>
      <c r="G261" s="327"/>
      <c r="H261" s="407"/>
      <c r="I261" s="326"/>
      <c r="J261" s="326"/>
      <c r="K261" s="327"/>
      <c r="L261" s="407"/>
      <c r="M261" s="326"/>
      <c r="N261" s="326"/>
      <c r="O261" s="326"/>
      <c r="P261" s="327"/>
      <c r="Q261" s="407"/>
      <c r="R261" s="326"/>
      <c r="S261" s="326"/>
      <c r="T261" s="326"/>
      <c r="U261" s="326"/>
      <c r="V261" s="326"/>
      <c r="W261" s="326"/>
      <c r="X261" s="326"/>
      <c r="Y261" s="326"/>
      <c r="Z261" s="327"/>
      <c r="AA261" s="407"/>
      <c r="AB261" s="326"/>
      <c r="AC261" s="326"/>
      <c r="AD261" s="326"/>
      <c r="AE261" s="326"/>
      <c r="AF261" s="326"/>
      <c r="AG261" s="326"/>
      <c r="AH261" s="326"/>
      <c r="AI261" s="326"/>
      <c r="AJ261" s="326"/>
      <c r="AK261" s="326"/>
      <c r="AL261" s="326"/>
      <c r="AM261" s="326"/>
      <c r="AN261" s="326"/>
      <c r="AO261" s="326"/>
      <c r="AP261" s="326"/>
      <c r="AQ261" s="327"/>
    </row>
    <row r="262" spans="1:43" ht="30" customHeight="1" x14ac:dyDescent="0.25">
      <c r="A262" s="87">
        <f t="shared" si="0"/>
        <v>250</v>
      </c>
      <c r="B262" s="381" t="s">
        <v>334</v>
      </c>
      <c r="C262" s="326"/>
      <c r="D262" s="327"/>
      <c r="E262" s="698"/>
      <c r="F262" s="326"/>
      <c r="G262" s="327"/>
      <c r="H262" s="381"/>
      <c r="I262" s="326"/>
      <c r="J262" s="326"/>
      <c r="K262" s="327"/>
      <c r="L262" s="381"/>
      <c r="M262" s="326"/>
      <c r="N262" s="326"/>
      <c r="O262" s="326"/>
      <c r="P262" s="327"/>
      <c r="Q262" s="381"/>
      <c r="R262" s="326"/>
      <c r="S262" s="326"/>
      <c r="T262" s="326"/>
      <c r="U262" s="326"/>
      <c r="V262" s="326"/>
      <c r="W262" s="326"/>
      <c r="X262" s="326"/>
      <c r="Y262" s="326"/>
      <c r="Z262" s="327"/>
      <c r="AA262" s="381"/>
      <c r="AB262" s="326"/>
      <c r="AC262" s="326"/>
      <c r="AD262" s="326"/>
      <c r="AE262" s="326"/>
      <c r="AF262" s="326"/>
      <c r="AG262" s="326"/>
      <c r="AH262" s="326"/>
      <c r="AI262" s="326"/>
      <c r="AJ262" s="326"/>
      <c r="AK262" s="326"/>
      <c r="AL262" s="326"/>
      <c r="AM262" s="326"/>
      <c r="AN262" s="326"/>
      <c r="AO262" s="326"/>
      <c r="AP262" s="326"/>
      <c r="AQ262" s="327"/>
    </row>
    <row r="263" spans="1:43" ht="30" customHeight="1" x14ac:dyDescent="0.25">
      <c r="A263" s="87">
        <f t="shared" si="0"/>
        <v>251</v>
      </c>
      <c r="B263" s="407" t="s">
        <v>334</v>
      </c>
      <c r="C263" s="326"/>
      <c r="D263" s="327"/>
      <c r="E263" s="697"/>
      <c r="F263" s="326"/>
      <c r="G263" s="327"/>
      <c r="H263" s="407"/>
      <c r="I263" s="326"/>
      <c r="J263" s="326"/>
      <c r="K263" s="327"/>
      <c r="L263" s="407"/>
      <c r="M263" s="326"/>
      <c r="N263" s="326"/>
      <c r="O263" s="326"/>
      <c r="P263" s="327"/>
      <c r="Q263" s="407"/>
      <c r="R263" s="326"/>
      <c r="S263" s="326"/>
      <c r="T263" s="326"/>
      <c r="U263" s="326"/>
      <c r="V263" s="326"/>
      <c r="W263" s="326"/>
      <c r="X263" s="326"/>
      <c r="Y263" s="326"/>
      <c r="Z263" s="327"/>
      <c r="AA263" s="407"/>
      <c r="AB263" s="326"/>
      <c r="AC263" s="326"/>
      <c r="AD263" s="326"/>
      <c r="AE263" s="326"/>
      <c r="AF263" s="326"/>
      <c r="AG263" s="326"/>
      <c r="AH263" s="326"/>
      <c r="AI263" s="326"/>
      <c r="AJ263" s="326"/>
      <c r="AK263" s="326"/>
      <c r="AL263" s="326"/>
      <c r="AM263" s="326"/>
      <c r="AN263" s="326"/>
      <c r="AO263" s="326"/>
      <c r="AP263" s="326"/>
      <c r="AQ263" s="327"/>
    </row>
    <row r="264" spans="1:43" ht="30" customHeight="1" x14ac:dyDescent="0.25">
      <c r="A264" s="87">
        <f t="shared" si="0"/>
        <v>252</v>
      </c>
      <c r="B264" s="381" t="s">
        <v>334</v>
      </c>
      <c r="C264" s="326"/>
      <c r="D264" s="327"/>
      <c r="E264" s="698"/>
      <c r="F264" s="326"/>
      <c r="G264" s="327"/>
      <c r="H264" s="381"/>
      <c r="I264" s="326"/>
      <c r="J264" s="326"/>
      <c r="K264" s="327"/>
      <c r="L264" s="381"/>
      <c r="M264" s="326"/>
      <c r="N264" s="326"/>
      <c r="O264" s="326"/>
      <c r="P264" s="327"/>
      <c r="Q264" s="381"/>
      <c r="R264" s="326"/>
      <c r="S264" s="326"/>
      <c r="T264" s="326"/>
      <c r="U264" s="326"/>
      <c r="V264" s="326"/>
      <c r="W264" s="326"/>
      <c r="X264" s="326"/>
      <c r="Y264" s="326"/>
      <c r="Z264" s="327"/>
      <c r="AA264" s="381"/>
      <c r="AB264" s="326"/>
      <c r="AC264" s="326"/>
      <c r="AD264" s="326"/>
      <c r="AE264" s="326"/>
      <c r="AF264" s="326"/>
      <c r="AG264" s="326"/>
      <c r="AH264" s="326"/>
      <c r="AI264" s="326"/>
      <c r="AJ264" s="326"/>
      <c r="AK264" s="326"/>
      <c r="AL264" s="326"/>
      <c r="AM264" s="326"/>
      <c r="AN264" s="326"/>
      <c r="AO264" s="326"/>
      <c r="AP264" s="326"/>
      <c r="AQ264" s="327"/>
    </row>
    <row r="265" spans="1:43" ht="30" customHeight="1" x14ac:dyDescent="0.25">
      <c r="A265" s="87">
        <f t="shared" si="0"/>
        <v>253</v>
      </c>
      <c r="B265" s="407" t="s">
        <v>334</v>
      </c>
      <c r="C265" s="326"/>
      <c r="D265" s="327"/>
      <c r="E265" s="697"/>
      <c r="F265" s="326"/>
      <c r="G265" s="327"/>
      <c r="H265" s="407"/>
      <c r="I265" s="326"/>
      <c r="J265" s="326"/>
      <c r="K265" s="327"/>
      <c r="L265" s="407"/>
      <c r="M265" s="326"/>
      <c r="N265" s="326"/>
      <c r="O265" s="326"/>
      <c r="P265" s="327"/>
      <c r="Q265" s="407"/>
      <c r="R265" s="326"/>
      <c r="S265" s="326"/>
      <c r="T265" s="326"/>
      <c r="U265" s="326"/>
      <c r="V265" s="326"/>
      <c r="W265" s="326"/>
      <c r="X265" s="326"/>
      <c r="Y265" s="326"/>
      <c r="Z265" s="327"/>
      <c r="AA265" s="407"/>
      <c r="AB265" s="326"/>
      <c r="AC265" s="326"/>
      <c r="AD265" s="326"/>
      <c r="AE265" s="326"/>
      <c r="AF265" s="326"/>
      <c r="AG265" s="326"/>
      <c r="AH265" s="326"/>
      <c r="AI265" s="326"/>
      <c r="AJ265" s="326"/>
      <c r="AK265" s="326"/>
      <c r="AL265" s="326"/>
      <c r="AM265" s="326"/>
      <c r="AN265" s="326"/>
      <c r="AO265" s="326"/>
      <c r="AP265" s="326"/>
      <c r="AQ265" s="327"/>
    </row>
    <row r="266" spans="1:43" ht="30" customHeight="1" x14ac:dyDescent="0.25">
      <c r="A266" s="87">
        <f t="shared" si="0"/>
        <v>254</v>
      </c>
      <c r="B266" s="381" t="s">
        <v>334</v>
      </c>
      <c r="C266" s="326"/>
      <c r="D266" s="327"/>
      <c r="E266" s="698"/>
      <c r="F266" s="326"/>
      <c r="G266" s="327"/>
      <c r="H266" s="381"/>
      <c r="I266" s="326"/>
      <c r="J266" s="326"/>
      <c r="K266" s="327"/>
      <c r="L266" s="381"/>
      <c r="M266" s="326"/>
      <c r="N266" s="326"/>
      <c r="O266" s="326"/>
      <c r="P266" s="327"/>
      <c r="Q266" s="381"/>
      <c r="R266" s="326"/>
      <c r="S266" s="326"/>
      <c r="T266" s="326"/>
      <c r="U266" s="326"/>
      <c r="V266" s="326"/>
      <c r="W266" s="326"/>
      <c r="X266" s="326"/>
      <c r="Y266" s="326"/>
      <c r="Z266" s="327"/>
      <c r="AA266" s="381"/>
      <c r="AB266" s="326"/>
      <c r="AC266" s="326"/>
      <c r="AD266" s="326"/>
      <c r="AE266" s="326"/>
      <c r="AF266" s="326"/>
      <c r="AG266" s="326"/>
      <c r="AH266" s="326"/>
      <c r="AI266" s="326"/>
      <c r="AJ266" s="326"/>
      <c r="AK266" s="326"/>
      <c r="AL266" s="326"/>
      <c r="AM266" s="326"/>
      <c r="AN266" s="326"/>
      <c r="AO266" s="326"/>
      <c r="AP266" s="326"/>
      <c r="AQ266" s="327"/>
    </row>
    <row r="267" spans="1:43" ht="30" customHeight="1" x14ac:dyDescent="0.25">
      <c r="A267" s="87">
        <f t="shared" si="0"/>
        <v>255</v>
      </c>
      <c r="B267" s="407" t="s">
        <v>334</v>
      </c>
      <c r="C267" s="326"/>
      <c r="D267" s="327"/>
      <c r="E267" s="697"/>
      <c r="F267" s="326"/>
      <c r="G267" s="327"/>
      <c r="H267" s="407"/>
      <c r="I267" s="326"/>
      <c r="J267" s="326"/>
      <c r="K267" s="327"/>
      <c r="L267" s="407"/>
      <c r="M267" s="326"/>
      <c r="N267" s="326"/>
      <c r="O267" s="326"/>
      <c r="P267" s="327"/>
      <c r="Q267" s="407"/>
      <c r="R267" s="326"/>
      <c r="S267" s="326"/>
      <c r="T267" s="326"/>
      <c r="U267" s="326"/>
      <c r="V267" s="326"/>
      <c r="W267" s="326"/>
      <c r="X267" s="326"/>
      <c r="Y267" s="326"/>
      <c r="Z267" s="327"/>
      <c r="AA267" s="407"/>
      <c r="AB267" s="326"/>
      <c r="AC267" s="326"/>
      <c r="AD267" s="326"/>
      <c r="AE267" s="326"/>
      <c r="AF267" s="326"/>
      <c r="AG267" s="326"/>
      <c r="AH267" s="326"/>
      <c r="AI267" s="326"/>
      <c r="AJ267" s="326"/>
      <c r="AK267" s="326"/>
      <c r="AL267" s="326"/>
      <c r="AM267" s="326"/>
      <c r="AN267" s="326"/>
      <c r="AO267" s="326"/>
      <c r="AP267" s="326"/>
      <c r="AQ267" s="327"/>
    </row>
    <row r="268" spans="1:43" ht="30" customHeight="1" x14ac:dyDescent="0.25">
      <c r="A268" s="87">
        <f t="shared" ref="A268:A512" si="1">ROW(A256)</f>
        <v>256</v>
      </c>
      <c r="B268" s="381" t="s">
        <v>334</v>
      </c>
      <c r="C268" s="326"/>
      <c r="D268" s="327"/>
      <c r="E268" s="698"/>
      <c r="F268" s="326"/>
      <c r="G268" s="327"/>
      <c r="H268" s="381"/>
      <c r="I268" s="326"/>
      <c r="J268" s="326"/>
      <c r="K268" s="327"/>
      <c r="L268" s="381"/>
      <c r="M268" s="326"/>
      <c r="N268" s="326"/>
      <c r="O268" s="326"/>
      <c r="P268" s="327"/>
      <c r="Q268" s="381"/>
      <c r="R268" s="326"/>
      <c r="S268" s="326"/>
      <c r="T268" s="326"/>
      <c r="U268" s="326"/>
      <c r="V268" s="326"/>
      <c r="W268" s="326"/>
      <c r="X268" s="326"/>
      <c r="Y268" s="326"/>
      <c r="Z268" s="327"/>
      <c r="AA268" s="381"/>
      <c r="AB268" s="326"/>
      <c r="AC268" s="326"/>
      <c r="AD268" s="326"/>
      <c r="AE268" s="326"/>
      <c r="AF268" s="326"/>
      <c r="AG268" s="326"/>
      <c r="AH268" s="326"/>
      <c r="AI268" s="326"/>
      <c r="AJ268" s="326"/>
      <c r="AK268" s="326"/>
      <c r="AL268" s="326"/>
      <c r="AM268" s="326"/>
      <c r="AN268" s="326"/>
      <c r="AO268" s="326"/>
      <c r="AP268" s="326"/>
      <c r="AQ268" s="327"/>
    </row>
    <row r="269" spans="1:43" ht="30" customHeight="1" x14ac:dyDescent="0.25">
      <c r="A269" s="87">
        <f t="shared" si="1"/>
        <v>257</v>
      </c>
      <c r="B269" s="407" t="s">
        <v>334</v>
      </c>
      <c r="C269" s="326"/>
      <c r="D269" s="327"/>
      <c r="E269" s="697"/>
      <c r="F269" s="326"/>
      <c r="G269" s="327"/>
      <c r="H269" s="407"/>
      <c r="I269" s="326"/>
      <c r="J269" s="326"/>
      <c r="K269" s="327"/>
      <c r="L269" s="407"/>
      <c r="M269" s="326"/>
      <c r="N269" s="326"/>
      <c r="O269" s="326"/>
      <c r="P269" s="327"/>
      <c r="Q269" s="407"/>
      <c r="R269" s="326"/>
      <c r="S269" s="326"/>
      <c r="T269" s="326"/>
      <c r="U269" s="326"/>
      <c r="V269" s="326"/>
      <c r="W269" s="326"/>
      <c r="X269" s="326"/>
      <c r="Y269" s="326"/>
      <c r="Z269" s="327"/>
      <c r="AA269" s="407"/>
      <c r="AB269" s="326"/>
      <c r="AC269" s="326"/>
      <c r="AD269" s="326"/>
      <c r="AE269" s="326"/>
      <c r="AF269" s="326"/>
      <c r="AG269" s="326"/>
      <c r="AH269" s="326"/>
      <c r="AI269" s="326"/>
      <c r="AJ269" s="326"/>
      <c r="AK269" s="326"/>
      <c r="AL269" s="326"/>
      <c r="AM269" s="326"/>
      <c r="AN269" s="326"/>
      <c r="AO269" s="326"/>
      <c r="AP269" s="326"/>
      <c r="AQ269" s="327"/>
    </row>
    <row r="270" spans="1:43" ht="30" customHeight="1" x14ac:dyDescent="0.25">
      <c r="A270" s="87">
        <f t="shared" si="1"/>
        <v>258</v>
      </c>
      <c r="B270" s="381" t="s">
        <v>334</v>
      </c>
      <c r="C270" s="326"/>
      <c r="D270" s="327"/>
      <c r="E270" s="698"/>
      <c r="F270" s="326"/>
      <c r="G270" s="327"/>
      <c r="H270" s="381"/>
      <c r="I270" s="326"/>
      <c r="J270" s="326"/>
      <c r="K270" s="327"/>
      <c r="L270" s="381"/>
      <c r="M270" s="326"/>
      <c r="N270" s="326"/>
      <c r="O270" s="326"/>
      <c r="P270" s="327"/>
      <c r="Q270" s="381"/>
      <c r="R270" s="326"/>
      <c r="S270" s="326"/>
      <c r="T270" s="326"/>
      <c r="U270" s="326"/>
      <c r="V270" s="326"/>
      <c r="W270" s="326"/>
      <c r="X270" s="326"/>
      <c r="Y270" s="326"/>
      <c r="Z270" s="327"/>
      <c r="AA270" s="381"/>
      <c r="AB270" s="326"/>
      <c r="AC270" s="326"/>
      <c r="AD270" s="326"/>
      <c r="AE270" s="326"/>
      <c r="AF270" s="326"/>
      <c r="AG270" s="326"/>
      <c r="AH270" s="326"/>
      <c r="AI270" s="326"/>
      <c r="AJ270" s="326"/>
      <c r="AK270" s="326"/>
      <c r="AL270" s="326"/>
      <c r="AM270" s="326"/>
      <c r="AN270" s="326"/>
      <c r="AO270" s="326"/>
      <c r="AP270" s="326"/>
      <c r="AQ270" s="327"/>
    </row>
    <row r="271" spans="1:43" ht="30" customHeight="1" x14ac:dyDescent="0.25">
      <c r="A271" s="87">
        <f t="shared" si="1"/>
        <v>259</v>
      </c>
      <c r="B271" s="407" t="s">
        <v>334</v>
      </c>
      <c r="C271" s="326"/>
      <c r="D271" s="327"/>
      <c r="E271" s="697"/>
      <c r="F271" s="326"/>
      <c r="G271" s="327"/>
      <c r="H271" s="407"/>
      <c r="I271" s="326"/>
      <c r="J271" s="326"/>
      <c r="K271" s="327"/>
      <c r="L271" s="407"/>
      <c r="M271" s="326"/>
      <c r="N271" s="326"/>
      <c r="O271" s="326"/>
      <c r="P271" s="327"/>
      <c r="Q271" s="407"/>
      <c r="R271" s="326"/>
      <c r="S271" s="326"/>
      <c r="T271" s="326"/>
      <c r="U271" s="326"/>
      <c r="V271" s="326"/>
      <c r="W271" s="326"/>
      <c r="X271" s="326"/>
      <c r="Y271" s="326"/>
      <c r="Z271" s="327"/>
      <c r="AA271" s="407"/>
      <c r="AB271" s="326"/>
      <c r="AC271" s="326"/>
      <c r="AD271" s="326"/>
      <c r="AE271" s="326"/>
      <c r="AF271" s="326"/>
      <c r="AG271" s="326"/>
      <c r="AH271" s="326"/>
      <c r="AI271" s="326"/>
      <c r="AJ271" s="326"/>
      <c r="AK271" s="326"/>
      <c r="AL271" s="326"/>
      <c r="AM271" s="326"/>
      <c r="AN271" s="326"/>
      <c r="AO271" s="326"/>
      <c r="AP271" s="326"/>
      <c r="AQ271" s="327"/>
    </row>
    <row r="272" spans="1:43" ht="30" customHeight="1" x14ac:dyDescent="0.25">
      <c r="A272" s="87">
        <f t="shared" si="1"/>
        <v>260</v>
      </c>
      <c r="B272" s="381" t="s">
        <v>334</v>
      </c>
      <c r="C272" s="326"/>
      <c r="D272" s="327"/>
      <c r="E272" s="698"/>
      <c r="F272" s="326"/>
      <c r="G272" s="327"/>
      <c r="H272" s="381"/>
      <c r="I272" s="326"/>
      <c r="J272" s="326"/>
      <c r="K272" s="327"/>
      <c r="L272" s="381"/>
      <c r="M272" s="326"/>
      <c r="N272" s="326"/>
      <c r="O272" s="326"/>
      <c r="P272" s="327"/>
      <c r="Q272" s="381"/>
      <c r="R272" s="326"/>
      <c r="S272" s="326"/>
      <c r="T272" s="326"/>
      <c r="U272" s="326"/>
      <c r="V272" s="326"/>
      <c r="W272" s="326"/>
      <c r="X272" s="326"/>
      <c r="Y272" s="326"/>
      <c r="Z272" s="327"/>
      <c r="AA272" s="381"/>
      <c r="AB272" s="326"/>
      <c r="AC272" s="326"/>
      <c r="AD272" s="326"/>
      <c r="AE272" s="326"/>
      <c r="AF272" s="326"/>
      <c r="AG272" s="326"/>
      <c r="AH272" s="326"/>
      <c r="AI272" s="326"/>
      <c r="AJ272" s="326"/>
      <c r="AK272" s="326"/>
      <c r="AL272" s="326"/>
      <c r="AM272" s="326"/>
      <c r="AN272" s="326"/>
      <c r="AO272" s="326"/>
      <c r="AP272" s="326"/>
      <c r="AQ272" s="327"/>
    </row>
    <row r="273" spans="1:43" ht="30" customHeight="1" x14ac:dyDescent="0.25">
      <c r="A273" s="87">
        <f t="shared" si="1"/>
        <v>261</v>
      </c>
      <c r="B273" s="407" t="s">
        <v>334</v>
      </c>
      <c r="C273" s="326"/>
      <c r="D273" s="327"/>
      <c r="E273" s="697"/>
      <c r="F273" s="326"/>
      <c r="G273" s="327"/>
      <c r="H273" s="407"/>
      <c r="I273" s="326"/>
      <c r="J273" s="326"/>
      <c r="K273" s="327"/>
      <c r="L273" s="407"/>
      <c r="M273" s="326"/>
      <c r="N273" s="326"/>
      <c r="O273" s="326"/>
      <c r="P273" s="327"/>
      <c r="Q273" s="407"/>
      <c r="R273" s="326"/>
      <c r="S273" s="326"/>
      <c r="T273" s="326"/>
      <c r="U273" s="326"/>
      <c r="V273" s="326"/>
      <c r="W273" s="326"/>
      <c r="X273" s="326"/>
      <c r="Y273" s="326"/>
      <c r="Z273" s="327"/>
      <c r="AA273" s="407"/>
      <c r="AB273" s="326"/>
      <c r="AC273" s="326"/>
      <c r="AD273" s="326"/>
      <c r="AE273" s="326"/>
      <c r="AF273" s="326"/>
      <c r="AG273" s="326"/>
      <c r="AH273" s="326"/>
      <c r="AI273" s="326"/>
      <c r="AJ273" s="326"/>
      <c r="AK273" s="326"/>
      <c r="AL273" s="326"/>
      <c r="AM273" s="326"/>
      <c r="AN273" s="326"/>
      <c r="AO273" s="326"/>
      <c r="AP273" s="326"/>
      <c r="AQ273" s="327"/>
    </row>
    <row r="274" spans="1:43" ht="30" customHeight="1" x14ac:dyDescent="0.25">
      <c r="A274" s="87">
        <f t="shared" si="1"/>
        <v>262</v>
      </c>
      <c r="B274" s="381" t="s">
        <v>334</v>
      </c>
      <c r="C274" s="326"/>
      <c r="D274" s="327"/>
      <c r="E274" s="698"/>
      <c r="F274" s="326"/>
      <c r="G274" s="327"/>
      <c r="H274" s="381"/>
      <c r="I274" s="326"/>
      <c r="J274" s="326"/>
      <c r="K274" s="327"/>
      <c r="L274" s="381"/>
      <c r="M274" s="326"/>
      <c r="N274" s="326"/>
      <c r="O274" s="326"/>
      <c r="P274" s="327"/>
      <c r="Q274" s="381"/>
      <c r="R274" s="326"/>
      <c r="S274" s="326"/>
      <c r="T274" s="326"/>
      <c r="U274" s="326"/>
      <c r="V274" s="326"/>
      <c r="W274" s="326"/>
      <c r="X274" s="326"/>
      <c r="Y274" s="326"/>
      <c r="Z274" s="327"/>
      <c r="AA274" s="381"/>
      <c r="AB274" s="326"/>
      <c r="AC274" s="326"/>
      <c r="AD274" s="326"/>
      <c r="AE274" s="326"/>
      <c r="AF274" s="326"/>
      <c r="AG274" s="326"/>
      <c r="AH274" s="326"/>
      <c r="AI274" s="326"/>
      <c r="AJ274" s="326"/>
      <c r="AK274" s="326"/>
      <c r="AL274" s="326"/>
      <c r="AM274" s="326"/>
      <c r="AN274" s="326"/>
      <c r="AO274" s="326"/>
      <c r="AP274" s="326"/>
      <c r="AQ274" s="327"/>
    </row>
    <row r="275" spans="1:43" ht="30" customHeight="1" x14ac:dyDescent="0.25">
      <c r="A275" s="87">
        <f t="shared" si="1"/>
        <v>263</v>
      </c>
      <c r="B275" s="407" t="s">
        <v>334</v>
      </c>
      <c r="C275" s="326"/>
      <c r="D275" s="327"/>
      <c r="E275" s="697"/>
      <c r="F275" s="326"/>
      <c r="G275" s="327"/>
      <c r="H275" s="407"/>
      <c r="I275" s="326"/>
      <c r="J275" s="326"/>
      <c r="K275" s="327"/>
      <c r="L275" s="407"/>
      <c r="M275" s="326"/>
      <c r="N275" s="326"/>
      <c r="O275" s="326"/>
      <c r="P275" s="327"/>
      <c r="Q275" s="407"/>
      <c r="R275" s="326"/>
      <c r="S275" s="326"/>
      <c r="T275" s="326"/>
      <c r="U275" s="326"/>
      <c r="V275" s="326"/>
      <c r="W275" s="326"/>
      <c r="X275" s="326"/>
      <c r="Y275" s="326"/>
      <c r="Z275" s="327"/>
      <c r="AA275" s="407"/>
      <c r="AB275" s="326"/>
      <c r="AC275" s="326"/>
      <c r="AD275" s="326"/>
      <c r="AE275" s="326"/>
      <c r="AF275" s="326"/>
      <c r="AG275" s="326"/>
      <c r="AH275" s="326"/>
      <c r="AI275" s="326"/>
      <c r="AJ275" s="326"/>
      <c r="AK275" s="326"/>
      <c r="AL275" s="326"/>
      <c r="AM275" s="326"/>
      <c r="AN275" s="326"/>
      <c r="AO275" s="326"/>
      <c r="AP275" s="326"/>
      <c r="AQ275" s="327"/>
    </row>
    <row r="276" spans="1:43" ht="30" customHeight="1" x14ac:dyDescent="0.25">
      <c r="A276" s="87">
        <f t="shared" si="1"/>
        <v>264</v>
      </c>
      <c r="B276" s="381" t="s">
        <v>334</v>
      </c>
      <c r="C276" s="326"/>
      <c r="D276" s="327"/>
      <c r="E276" s="698"/>
      <c r="F276" s="326"/>
      <c r="G276" s="327"/>
      <c r="H276" s="381"/>
      <c r="I276" s="326"/>
      <c r="J276" s="326"/>
      <c r="K276" s="327"/>
      <c r="L276" s="381"/>
      <c r="M276" s="326"/>
      <c r="N276" s="326"/>
      <c r="O276" s="326"/>
      <c r="P276" s="327"/>
      <c r="Q276" s="381"/>
      <c r="R276" s="326"/>
      <c r="S276" s="326"/>
      <c r="T276" s="326"/>
      <c r="U276" s="326"/>
      <c r="V276" s="326"/>
      <c r="W276" s="326"/>
      <c r="X276" s="326"/>
      <c r="Y276" s="326"/>
      <c r="Z276" s="327"/>
      <c r="AA276" s="381"/>
      <c r="AB276" s="326"/>
      <c r="AC276" s="326"/>
      <c r="AD276" s="326"/>
      <c r="AE276" s="326"/>
      <c r="AF276" s="326"/>
      <c r="AG276" s="326"/>
      <c r="AH276" s="326"/>
      <c r="AI276" s="326"/>
      <c r="AJ276" s="326"/>
      <c r="AK276" s="326"/>
      <c r="AL276" s="326"/>
      <c r="AM276" s="326"/>
      <c r="AN276" s="326"/>
      <c r="AO276" s="326"/>
      <c r="AP276" s="326"/>
      <c r="AQ276" s="327"/>
    </row>
    <row r="277" spans="1:43" ht="30" customHeight="1" x14ac:dyDescent="0.25">
      <c r="A277" s="87">
        <f t="shared" si="1"/>
        <v>265</v>
      </c>
      <c r="B277" s="407" t="s">
        <v>334</v>
      </c>
      <c r="C277" s="326"/>
      <c r="D277" s="327"/>
      <c r="E277" s="697"/>
      <c r="F277" s="326"/>
      <c r="G277" s="327"/>
      <c r="H277" s="407"/>
      <c r="I277" s="326"/>
      <c r="J277" s="326"/>
      <c r="K277" s="327"/>
      <c r="L277" s="407"/>
      <c r="M277" s="326"/>
      <c r="N277" s="326"/>
      <c r="O277" s="326"/>
      <c r="P277" s="327"/>
      <c r="Q277" s="407"/>
      <c r="R277" s="326"/>
      <c r="S277" s="326"/>
      <c r="T277" s="326"/>
      <c r="U277" s="326"/>
      <c r="V277" s="326"/>
      <c r="W277" s="326"/>
      <c r="X277" s="326"/>
      <c r="Y277" s="326"/>
      <c r="Z277" s="327"/>
      <c r="AA277" s="407"/>
      <c r="AB277" s="326"/>
      <c r="AC277" s="326"/>
      <c r="AD277" s="326"/>
      <c r="AE277" s="326"/>
      <c r="AF277" s="326"/>
      <c r="AG277" s="326"/>
      <c r="AH277" s="326"/>
      <c r="AI277" s="326"/>
      <c r="AJ277" s="326"/>
      <c r="AK277" s="326"/>
      <c r="AL277" s="326"/>
      <c r="AM277" s="326"/>
      <c r="AN277" s="326"/>
      <c r="AO277" s="326"/>
      <c r="AP277" s="326"/>
      <c r="AQ277" s="327"/>
    </row>
    <row r="278" spans="1:43" ht="30" customHeight="1" x14ac:dyDescent="0.25">
      <c r="A278" s="87">
        <f t="shared" si="1"/>
        <v>266</v>
      </c>
      <c r="B278" s="381" t="s">
        <v>334</v>
      </c>
      <c r="C278" s="326"/>
      <c r="D278" s="327"/>
      <c r="E278" s="698"/>
      <c r="F278" s="326"/>
      <c r="G278" s="327"/>
      <c r="H278" s="381"/>
      <c r="I278" s="326"/>
      <c r="J278" s="326"/>
      <c r="K278" s="327"/>
      <c r="L278" s="381"/>
      <c r="M278" s="326"/>
      <c r="N278" s="326"/>
      <c r="O278" s="326"/>
      <c r="P278" s="327"/>
      <c r="Q278" s="381"/>
      <c r="R278" s="326"/>
      <c r="S278" s="326"/>
      <c r="T278" s="326"/>
      <c r="U278" s="326"/>
      <c r="V278" s="326"/>
      <c r="W278" s="326"/>
      <c r="X278" s="326"/>
      <c r="Y278" s="326"/>
      <c r="Z278" s="327"/>
      <c r="AA278" s="381"/>
      <c r="AB278" s="326"/>
      <c r="AC278" s="326"/>
      <c r="AD278" s="326"/>
      <c r="AE278" s="326"/>
      <c r="AF278" s="326"/>
      <c r="AG278" s="326"/>
      <c r="AH278" s="326"/>
      <c r="AI278" s="326"/>
      <c r="AJ278" s="326"/>
      <c r="AK278" s="326"/>
      <c r="AL278" s="326"/>
      <c r="AM278" s="326"/>
      <c r="AN278" s="326"/>
      <c r="AO278" s="326"/>
      <c r="AP278" s="326"/>
      <c r="AQ278" s="327"/>
    </row>
    <row r="279" spans="1:43" ht="30" customHeight="1" x14ac:dyDescent="0.25">
      <c r="A279" s="87">
        <f t="shared" si="1"/>
        <v>267</v>
      </c>
      <c r="B279" s="407" t="s">
        <v>334</v>
      </c>
      <c r="C279" s="326"/>
      <c r="D279" s="327"/>
      <c r="E279" s="697"/>
      <c r="F279" s="326"/>
      <c r="G279" s="327"/>
      <c r="H279" s="407"/>
      <c r="I279" s="326"/>
      <c r="J279" s="326"/>
      <c r="K279" s="327"/>
      <c r="L279" s="407"/>
      <c r="M279" s="326"/>
      <c r="N279" s="326"/>
      <c r="O279" s="326"/>
      <c r="P279" s="327"/>
      <c r="Q279" s="407"/>
      <c r="R279" s="326"/>
      <c r="S279" s="326"/>
      <c r="T279" s="326"/>
      <c r="U279" s="326"/>
      <c r="V279" s="326"/>
      <c r="W279" s="326"/>
      <c r="X279" s="326"/>
      <c r="Y279" s="326"/>
      <c r="Z279" s="327"/>
      <c r="AA279" s="407"/>
      <c r="AB279" s="326"/>
      <c r="AC279" s="326"/>
      <c r="AD279" s="326"/>
      <c r="AE279" s="326"/>
      <c r="AF279" s="326"/>
      <c r="AG279" s="326"/>
      <c r="AH279" s="326"/>
      <c r="AI279" s="326"/>
      <c r="AJ279" s="326"/>
      <c r="AK279" s="326"/>
      <c r="AL279" s="326"/>
      <c r="AM279" s="326"/>
      <c r="AN279" s="326"/>
      <c r="AO279" s="326"/>
      <c r="AP279" s="326"/>
      <c r="AQ279" s="327"/>
    </row>
    <row r="280" spans="1:43" ht="30" customHeight="1" x14ac:dyDescent="0.25">
      <c r="A280" s="87">
        <f t="shared" si="1"/>
        <v>268</v>
      </c>
      <c r="B280" s="381" t="s">
        <v>334</v>
      </c>
      <c r="C280" s="326"/>
      <c r="D280" s="327"/>
      <c r="E280" s="698"/>
      <c r="F280" s="326"/>
      <c r="G280" s="327"/>
      <c r="H280" s="381"/>
      <c r="I280" s="326"/>
      <c r="J280" s="326"/>
      <c r="K280" s="327"/>
      <c r="L280" s="381"/>
      <c r="M280" s="326"/>
      <c r="N280" s="326"/>
      <c r="O280" s="326"/>
      <c r="P280" s="327"/>
      <c r="Q280" s="381"/>
      <c r="R280" s="326"/>
      <c r="S280" s="326"/>
      <c r="T280" s="326"/>
      <c r="U280" s="326"/>
      <c r="V280" s="326"/>
      <c r="W280" s="326"/>
      <c r="X280" s="326"/>
      <c r="Y280" s="326"/>
      <c r="Z280" s="327"/>
      <c r="AA280" s="381"/>
      <c r="AB280" s="326"/>
      <c r="AC280" s="326"/>
      <c r="AD280" s="326"/>
      <c r="AE280" s="326"/>
      <c r="AF280" s="326"/>
      <c r="AG280" s="326"/>
      <c r="AH280" s="326"/>
      <c r="AI280" s="326"/>
      <c r="AJ280" s="326"/>
      <c r="AK280" s="326"/>
      <c r="AL280" s="326"/>
      <c r="AM280" s="326"/>
      <c r="AN280" s="326"/>
      <c r="AO280" s="326"/>
      <c r="AP280" s="326"/>
      <c r="AQ280" s="327"/>
    </row>
    <row r="281" spans="1:43" ht="30" customHeight="1" x14ac:dyDescent="0.25">
      <c r="A281" s="87">
        <f t="shared" si="1"/>
        <v>269</v>
      </c>
      <c r="B281" s="407" t="s">
        <v>334</v>
      </c>
      <c r="C281" s="326"/>
      <c r="D281" s="327"/>
      <c r="E281" s="697"/>
      <c r="F281" s="326"/>
      <c r="G281" s="327"/>
      <c r="H281" s="407"/>
      <c r="I281" s="326"/>
      <c r="J281" s="326"/>
      <c r="K281" s="327"/>
      <c r="L281" s="407"/>
      <c r="M281" s="326"/>
      <c r="N281" s="326"/>
      <c r="O281" s="326"/>
      <c r="P281" s="327"/>
      <c r="Q281" s="407"/>
      <c r="R281" s="326"/>
      <c r="S281" s="326"/>
      <c r="T281" s="326"/>
      <c r="U281" s="326"/>
      <c r="V281" s="326"/>
      <c r="W281" s="326"/>
      <c r="X281" s="326"/>
      <c r="Y281" s="326"/>
      <c r="Z281" s="327"/>
      <c r="AA281" s="407"/>
      <c r="AB281" s="326"/>
      <c r="AC281" s="326"/>
      <c r="AD281" s="326"/>
      <c r="AE281" s="326"/>
      <c r="AF281" s="326"/>
      <c r="AG281" s="326"/>
      <c r="AH281" s="326"/>
      <c r="AI281" s="326"/>
      <c r="AJ281" s="326"/>
      <c r="AK281" s="326"/>
      <c r="AL281" s="326"/>
      <c r="AM281" s="326"/>
      <c r="AN281" s="326"/>
      <c r="AO281" s="326"/>
      <c r="AP281" s="326"/>
      <c r="AQ281" s="327"/>
    </row>
    <row r="282" spans="1:43" ht="30" customHeight="1" x14ac:dyDescent="0.25">
      <c r="A282" s="87">
        <f t="shared" si="1"/>
        <v>270</v>
      </c>
      <c r="B282" s="381" t="s">
        <v>334</v>
      </c>
      <c r="C282" s="326"/>
      <c r="D282" s="327"/>
      <c r="E282" s="698"/>
      <c r="F282" s="326"/>
      <c r="G282" s="327"/>
      <c r="H282" s="381"/>
      <c r="I282" s="326"/>
      <c r="J282" s="326"/>
      <c r="K282" s="327"/>
      <c r="L282" s="381"/>
      <c r="M282" s="326"/>
      <c r="N282" s="326"/>
      <c r="O282" s="326"/>
      <c r="P282" s="327"/>
      <c r="Q282" s="381"/>
      <c r="R282" s="326"/>
      <c r="S282" s="326"/>
      <c r="T282" s="326"/>
      <c r="U282" s="326"/>
      <c r="V282" s="326"/>
      <c r="W282" s="326"/>
      <c r="X282" s="326"/>
      <c r="Y282" s="326"/>
      <c r="Z282" s="327"/>
      <c r="AA282" s="381"/>
      <c r="AB282" s="326"/>
      <c r="AC282" s="326"/>
      <c r="AD282" s="326"/>
      <c r="AE282" s="326"/>
      <c r="AF282" s="326"/>
      <c r="AG282" s="326"/>
      <c r="AH282" s="326"/>
      <c r="AI282" s="326"/>
      <c r="AJ282" s="326"/>
      <c r="AK282" s="326"/>
      <c r="AL282" s="326"/>
      <c r="AM282" s="326"/>
      <c r="AN282" s="326"/>
      <c r="AO282" s="326"/>
      <c r="AP282" s="326"/>
      <c r="AQ282" s="327"/>
    </row>
    <row r="283" spans="1:43" ht="30" customHeight="1" x14ac:dyDescent="0.25">
      <c r="A283" s="87">
        <f t="shared" si="1"/>
        <v>271</v>
      </c>
      <c r="B283" s="407" t="s">
        <v>334</v>
      </c>
      <c r="C283" s="326"/>
      <c r="D283" s="327"/>
      <c r="E283" s="697"/>
      <c r="F283" s="326"/>
      <c r="G283" s="327"/>
      <c r="H283" s="407"/>
      <c r="I283" s="326"/>
      <c r="J283" s="326"/>
      <c r="K283" s="327"/>
      <c r="L283" s="407"/>
      <c r="M283" s="326"/>
      <c r="N283" s="326"/>
      <c r="O283" s="326"/>
      <c r="P283" s="327"/>
      <c r="Q283" s="407"/>
      <c r="R283" s="326"/>
      <c r="S283" s="326"/>
      <c r="T283" s="326"/>
      <c r="U283" s="326"/>
      <c r="V283" s="326"/>
      <c r="W283" s="326"/>
      <c r="X283" s="326"/>
      <c r="Y283" s="326"/>
      <c r="Z283" s="327"/>
      <c r="AA283" s="407"/>
      <c r="AB283" s="326"/>
      <c r="AC283" s="326"/>
      <c r="AD283" s="326"/>
      <c r="AE283" s="326"/>
      <c r="AF283" s="326"/>
      <c r="AG283" s="326"/>
      <c r="AH283" s="326"/>
      <c r="AI283" s="326"/>
      <c r="AJ283" s="326"/>
      <c r="AK283" s="326"/>
      <c r="AL283" s="326"/>
      <c r="AM283" s="326"/>
      <c r="AN283" s="326"/>
      <c r="AO283" s="326"/>
      <c r="AP283" s="326"/>
      <c r="AQ283" s="327"/>
    </row>
    <row r="284" spans="1:43" ht="30" customHeight="1" x14ac:dyDescent="0.25">
      <c r="A284" s="87">
        <f t="shared" si="1"/>
        <v>272</v>
      </c>
      <c r="B284" s="381" t="s">
        <v>334</v>
      </c>
      <c r="C284" s="326"/>
      <c r="D284" s="327"/>
      <c r="E284" s="698"/>
      <c r="F284" s="326"/>
      <c r="G284" s="327"/>
      <c r="H284" s="381"/>
      <c r="I284" s="326"/>
      <c r="J284" s="326"/>
      <c r="K284" s="327"/>
      <c r="L284" s="381"/>
      <c r="M284" s="326"/>
      <c r="N284" s="326"/>
      <c r="O284" s="326"/>
      <c r="P284" s="327"/>
      <c r="Q284" s="381"/>
      <c r="R284" s="326"/>
      <c r="S284" s="326"/>
      <c r="T284" s="326"/>
      <c r="U284" s="326"/>
      <c r="V284" s="326"/>
      <c r="W284" s="326"/>
      <c r="X284" s="326"/>
      <c r="Y284" s="326"/>
      <c r="Z284" s="327"/>
      <c r="AA284" s="381"/>
      <c r="AB284" s="326"/>
      <c r="AC284" s="326"/>
      <c r="AD284" s="326"/>
      <c r="AE284" s="326"/>
      <c r="AF284" s="326"/>
      <c r="AG284" s="326"/>
      <c r="AH284" s="326"/>
      <c r="AI284" s="326"/>
      <c r="AJ284" s="326"/>
      <c r="AK284" s="326"/>
      <c r="AL284" s="326"/>
      <c r="AM284" s="326"/>
      <c r="AN284" s="326"/>
      <c r="AO284" s="326"/>
      <c r="AP284" s="326"/>
      <c r="AQ284" s="327"/>
    </row>
    <row r="285" spans="1:43" ht="30" customHeight="1" x14ac:dyDescent="0.25">
      <c r="A285" s="87">
        <f t="shared" si="1"/>
        <v>273</v>
      </c>
      <c r="B285" s="407" t="s">
        <v>334</v>
      </c>
      <c r="C285" s="326"/>
      <c r="D285" s="327"/>
      <c r="E285" s="697"/>
      <c r="F285" s="326"/>
      <c r="G285" s="327"/>
      <c r="H285" s="407"/>
      <c r="I285" s="326"/>
      <c r="J285" s="326"/>
      <c r="K285" s="327"/>
      <c r="L285" s="407"/>
      <c r="M285" s="326"/>
      <c r="N285" s="326"/>
      <c r="O285" s="326"/>
      <c r="P285" s="327"/>
      <c r="Q285" s="407"/>
      <c r="R285" s="326"/>
      <c r="S285" s="326"/>
      <c r="T285" s="326"/>
      <c r="U285" s="326"/>
      <c r="V285" s="326"/>
      <c r="W285" s="326"/>
      <c r="X285" s="326"/>
      <c r="Y285" s="326"/>
      <c r="Z285" s="327"/>
      <c r="AA285" s="407"/>
      <c r="AB285" s="326"/>
      <c r="AC285" s="326"/>
      <c r="AD285" s="326"/>
      <c r="AE285" s="326"/>
      <c r="AF285" s="326"/>
      <c r="AG285" s="326"/>
      <c r="AH285" s="326"/>
      <c r="AI285" s="326"/>
      <c r="AJ285" s="326"/>
      <c r="AK285" s="326"/>
      <c r="AL285" s="326"/>
      <c r="AM285" s="326"/>
      <c r="AN285" s="326"/>
      <c r="AO285" s="326"/>
      <c r="AP285" s="326"/>
      <c r="AQ285" s="327"/>
    </row>
    <row r="286" spans="1:43" ht="30" customHeight="1" x14ac:dyDescent="0.25">
      <c r="A286" s="87">
        <f t="shared" si="1"/>
        <v>274</v>
      </c>
      <c r="B286" s="381" t="s">
        <v>334</v>
      </c>
      <c r="C286" s="326"/>
      <c r="D286" s="327"/>
      <c r="E286" s="698"/>
      <c r="F286" s="326"/>
      <c r="G286" s="327"/>
      <c r="H286" s="381"/>
      <c r="I286" s="326"/>
      <c r="J286" s="326"/>
      <c r="K286" s="327"/>
      <c r="L286" s="381"/>
      <c r="M286" s="326"/>
      <c r="N286" s="326"/>
      <c r="O286" s="326"/>
      <c r="P286" s="327"/>
      <c r="Q286" s="381"/>
      <c r="R286" s="326"/>
      <c r="S286" s="326"/>
      <c r="T286" s="326"/>
      <c r="U286" s="326"/>
      <c r="V286" s="326"/>
      <c r="W286" s="326"/>
      <c r="X286" s="326"/>
      <c r="Y286" s="326"/>
      <c r="Z286" s="327"/>
      <c r="AA286" s="381"/>
      <c r="AB286" s="326"/>
      <c r="AC286" s="326"/>
      <c r="AD286" s="326"/>
      <c r="AE286" s="326"/>
      <c r="AF286" s="326"/>
      <c r="AG286" s="326"/>
      <c r="AH286" s="326"/>
      <c r="AI286" s="326"/>
      <c r="AJ286" s="326"/>
      <c r="AK286" s="326"/>
      <c r="AL286" s="326"/>
      <c r="AM286" s="326"/>
      <c r="AN286" s="326"/>
      <c r="AO286" s="326"/>
      <c r="AP286" s="326"/>
      <c r="AQ286" s="327"/>
    </row>
    <row r="287" spans="1:43" ht="30" customHeight="1" x14ac:dyDescent="0.25">
      <c r="A287" s="87">
        <f t="shared" si="1"/>
        <v>275</v>
      </c>
      <c r="B287" s="407" t="s">
        <v>334</v>
      </c>
      <c r="C287" s="326"/>
      <c r="D287" s="327"/>
      <c r="E287" s="697"/>
      <c r="F287" s="326"/>
      <c r="G287" s="327"/>
      <c r="H287" s="407"/>
      <c r="I287" s="326"/>
      <c r="J287" s="326"/>
      <c r="K287" s="327"/>
      <c r="L287" s="407"/>
      <c r="M287" s="326"/>
      <c r="N287" s="326"/>
      <c r="O287" s="326"/>
      <c r="P287" s="327"/>
      <c r="Q287" s="407"/>
      <c r="R287" s="326"/>
      <c r="S287" s="326"/>
      <c r="T287" s="326"/>
      <c r="U287" s="326"/>
      <c r="V287" s="326"/>
      <c r="W287" s="326"/>
      <c r="X287" s="326"/>
      <c r="Y287" s="326"/>
      <c r="Z287" s="327"/>
      <c r="AA287" s="407"/>
      <c r="AB287" s="326"/>
      <c r="AC287" s="326"/>
      <c r="AD287" s="326"/>
      <c r="AE287" s="326"/>
      <c r="AF287" s="326"/>
      <c r="AG287" s="326"/>
      <c r="AH287" s="326"/>
      <c r="AI287" s="326"/>
      <c r="AJ287" s="326"/>
      <c r="AK287" s="326"/>
      <c r="AL287" s="326"/>
      <c r="AM287" s="326"/>
      <c r="AN287" s="326"/>
      <c r="AO287" s="326"/>
      <c r="AP287" s="326"/>
      <c r="AQ287" s="327"/>
    </row>
    <row r="288" spans="1:43" ht="30" customHeight="1" x14ac:dyDescent="0.25">
      <c r="A288" s="87">
        <f t="shared" si="1"/>
        <v>276</v>
      </c>
      <c r="B288" s="381" t="s">
        <v>334</v>
      </c>
      <c r="C288" s="326"/>
      <c r="D288" s="327"/>
      <c r="E288" s="698"/>
      <c r="F288" s="326"/>
      <c r="G288" s="327"/>
      <c r="H288" s="381"/>
      <c r="I288" s="326"/>
      <c r="J288" s="326"/>
      <c r="K288" s="327"/>
      <c r="L288" s="381"/>
      <c r="M288" s="326"/>
      <c r="N288" s="326"/>
      <c r="O288" s="326"/>
      <c r="P288" s="327"/>
      <c r="Q288" s="381"/>
      <c r="R288" s="326"/>
      <c r="S288" s="326"/>
      <c r="T288" s="326"/>
      <c r="U288" s="326"/>
      <c r="V288" s="326"/>
      <c r="W288" s="326"/>
      <c r="X288" s="326"/>
      <c r="Y288" s="326"/>
      <c r="Z288" s="327"/>
      <c r="AA288" s="381"/>
      <c r="AB288" s="326"/>
      <c r="AC288" s="326"/>
      <c r="AD288" s="326"/>
      <c r="AE288" s="326"/>
      <c r="AF288" s="326"/>
      <c r="AG288" s="326"/>
      <c r="AH288" s="326"/>
      <c r="AI288" s="326"/>
      <c r="AJ288" s="326"/>
      <c r="AK288" s="326"/>
      <c r="AL288" s="326"/>
      <c r="AM288" s="326"/>
      <c r="AN288" s="326"/>
      <c r="AO288" s="326"/>
      <c r="AP288" s="326"/>
      <c r="AQ288" s="327"/>
    </row>
    <row r="289" spans="1:43" ht="30" customHeight="1" x14ac:dyDescent="0.25">
      <c r="A289" s="87">
        <f t="shared" si="1"/>
        <v>277</v>
      </c>
      <c r="B289" s="407" t="s">
        <v>334</v>
      </c>
      <c r="C289" s="326"/>
      <c r="D289" s="327"/>
      <c r="E289" s="697"/>
      <c r="F289" s="326"/>
      <c r="G289" s="327"/>
      <c r="H289" s="407"/>
      <c r="I289" s="326"/>
      <c r="J289" s="326"/>
      <c r="K289" s="327"/>
      <c r="L289" s="407"/>
      <c r="M289" s="326"/>
      <c r="N289" s="326"/>
      <c r="O289" s="326"/>
      <c r="P289" s="327"/>
      <c r="Q289" s="407"/>
      <c r="R289" s="326"/>
      <c r="S289" s="326"/>
      <c r="T289" s="326"/>
      <c r="U289" s="326"/>
      <c r="V289" s="326"/>
      <c r="W289" s="326"/>
      <c r="X289" s="326"/>
      <c r="Y289" s="326"/>
      <c r="Z289" s="327"/>
      <c r="AA289" s="407"/>
      <c r="AB289" s="326"/>
      <c r="AC289" s="326"/>
      <c r="AD289" s="326"/>
      <c r="AE289" s="326"/>
      <c r="AF289" s="326"/>
      <c r="AG289" s="326"/>
      <c r="AH289" s="326"/>
      <c r="AI289" s="326"/>
      <c r="AJ289" s="326"/>
      <c r="AK289" s="326"/>
      <c r="AL289" s="326"/>
      <c r="AM289" s="326"/>
      <c r="AN289" s="326"/>
      <c r="AO289" s="326"/>
      <c r="AP289" s="326"/>
      <c r="AQ289" s="327"/>
    </row>
    <row r="290" spans="1:43" ht="30" customHeight="1" x14ac:dyDescent="0.25">
      <c r="A290" s="87">
        <f t="shared" si="1"/>
        <v>278</v>
      </c>
      <c r="B290" s="381" t="s">
        <v>334</v>
      </c>
      <c r="C290" s="326"/>
      <c r="D290" s="327"/>
      <c r="E290" s="698"/>
      <c r="F290" s="326"/>
      <c r="G290" s="327"/>
      <c r="H290" s="381"/>
      <c r="I290" s="326"/>
      <c r="J290" s="326"/>
      <c r="K290" s="327"/>
      <c r="L290" s="381"/>
      <c r="M290" s="326"/>
      <c r="N290" s="326"/>
      <c r="O290" s="326"/>
      <c r="P290" s="327"/>
      <c r="Q290" s="381"/>
      <c r="R290" s="326"/>
      <c r="S290" s="326"/>
      <c r="T290" s="326"/>
      <c r="U290" s="326"/>
      <c r="V290" s="326"/>
      <c r="W290" s="326"/>
      <c r="X290" s="326"/>
      <c r="Y290" s="326"/>
      <c r="Z290" s="327"/>
      <c r="AA290" s="381"/>
      <c r="AB290" s="326"/>
      <c r="AC290" s="326"/>
      <c r="AD290" s="326"/>
      <c r="AE290" s="326"/>
      <c r="AF290" s="326"/>
      <c r="AG290" s="326"/>
      <c r="AH290" s="326"/>
      <c r="AI290" s="326"/>
      <c r="AJ290" s="326"/>
      <c r="AK290" s="326"/>
      <c r="AL290" s="326"/>
      <c r="AM290" s="326"/>
      <c r="AN290" s="326"/>
      <c r="AO290" s="326"/>
      <c r="AP290" s="326"/>
      <c r="AQ290" s="327"/>
    </row>
    <row r="291" spans="1:43" ht="30" customHeight="1" x14ac:dyDescent="0.25">
      <c r="A291" s="87">
        <f t="shared" si="1"/>
        <v>279</v>
      </c>
      <c r="B291" s="407" t="s">
        <v>334</v>
      </c>
      <c r="C291" s="326"/>
      <c r="D291" s="327"/>
      <c r="E291" s="697"/>
      <c r="F291" s="326"/>
      <c r="G291" s="327"/>
      <c r="H291" s="407"/>
      <c r="I291" s="326"/>
      <c r="J291" s="326"/>
      <c r="K291" s="327"/>
      <c r="L291" s="407"/>
      <c r="M291" s="326"/>
      <c r="N291" s="326"/>
      <c r="O291" s="326"/>
      <c r="P291" s="327"/>
      <c r="Q291" s="407"/>
      <c r="R291" s="326"/>
      <c r="S291" s="326"/>
      <c r="T291" s="326"/>
      <c r="U291" s="326"/>
      <c r="V291" s="326"/>
      <c r="W291" s="326"/>
      <c r="X291" s="326"/>
      <c r="Y291" s="326"/>
      <c r="Z291" s="327"/>
      <c r="AA291" s="407"/>
      <c r="AB291" s="326"/>
      <c r="AC291" s="326"/>
      <c r="AD291" s="326"/>
      <c r="AE291" s="326"/>
      <c r="AF291" s="326"/>
      <c r="AG291" s="326"/>
      <c r="AH291" s="326"/>
      <c r="AI291" s="326"/>
      <c r="AJ291" s="326"/>
      <c r="AK291" s="326"/>
      <c r="AL291" s="326"/>
      <c r="AM291" s="326"/>
      <c r="AN291" s="326"/>
      <c r="AO291" s="326"/>
      <c r="AP291" s="326"/>
      <c r="AQ291" s="327"/>
    </row>
    <row r="292" spans="1:43" ht="30" customHeight="1" x14ac:dyDescent="0.25">
      <c r="A292" s="87">
        <f t="shared" si="1"/>
        <v>280</v>
      </c>
      <c r="B292" s="381" t="s">
        <v>334</v>
      </c>
      <c r="C292" s="326"/>
      <c r="D292" s="327"/>
      <c r="E292" s="698"/>
      <c r="F292" s="326"/>
      <c r="G292" s="327"/>
      <c r="H292" s="381"/>
      <c r="I292" s="326"/>
      <c r="J292" s="326"/>
      <c r="K292" s="327"/>
      <c r="L292" s="381"/>
      <c r="M292" s="326"/>
      <c r="N292" s="326"/>
      <c r="O292" s="326"/>
      <c r="P292" s="327"/>
      <c r="Q292" s="381"/>
      <c r="R292" s="326"/>
      <c r="S292" s="326"/>
      <c r="T292" s="326"/>
      <c r="U292" s="326"/>
      <c r="V292" s="326"/>
      <c r="W292" s="326"/>
      <c r="X292" s="326"/>
      <c r="Y292" s="326"/>
      <c r="Z292" s="327"/>
      <c r="AA292" s="381"/>
      <c r="AB292" s="326"/>
      <c r="AC292" s="326"/>
      <c r="AD292" s="326"/>
      <c r="AE292" s="326"/>
      <c r="AF292" s="326"/>
      <c r="AG292" s="326"/>
      <c r="AH292" s="326"/>
      <c r="AI292" s="326"/>
      <c r="AJ292" s="326"/>
      <c r="AK292" s="326"/>
      <c r="AL292" s="326"/>
      <c r="AM292" s="326"/>
      <c r="AN292" s="326"/>
      <c r="AO292" s="326"/>
      <c r="AP292" s="326"/>
      <c r="AQ292" s="327"/>
    </row>
    <row r="293" spans="1:43" ht="30" customHeight="1" x14ac:dyDescent="0.25">
      <c r="A293" s="87">
        <f t="shared" si="1"/>
        <v>281</v>
      </c>
      <c r="B293" s="407" t="s">
        <v>334</v>
      </c>
      <c r="C293" s="326"/>
      <c r="D293" s="327"/>
      <c r="E293" s="697"/>
      <c r="F293" s="326"/>
      <c r="G293" s="327"/>
      <c r="H293" s="407"/>
      <c r="I293" s="326"/>
      <c r="J293" s="326"/>
      <c r="K293" s="327"/>
      <c r="L293" s="407"/>
      <c r="M293" s="326"/>
      <c r="N293" s="326"/>
      <c r="O293" s="326"/>
      <c r="P293" s="327"/>
      <c r="Q293" s="407"/>
      <c r="R293" s="326"/>
      <c r="S293" s="326"/>
      <c r="T293" s="326"/>
      <c r="U293" s="326"/>
      <c r="V293" s="326"/>
      <c r="W293" s="326"/>
      <c r="X293" s="326"/>
      <c r="Y293" s="326"/>
      <c r="Z293" s="327"/>
      <c r="AA293" s="407"/>
      <c r="AB293" s="326"/>
      <c r="AC293" s="326"/>
      <c r="AD293" s="326"/>
      <c r="AE293" s="326"/>
      <c r="AF293" s="326"/>
      <c r="AG293" s="326"/>
      <c r="AH293" s="326"/>
      <c r="AI293" s="326"/>
      <c r="AJ293" s="326"/>
      <c r="AK293" s="326"/>
      <c r="AL293" s="326"/>
      <c r="AM293" s="326"/>
      <c r="AN293" s="326"/>
      <c r="AO293" s="326"/>
      <c r="AP293" s="326"/>
      <c r="AQ293" s="327"/>
    </row>
    <row r="294" spans="1:43" ht="30" customHeight="1" x14ac:dyDescent="0.25">
      <c r="A294" s="87">
        <f t="shared" si="1"/>
        <v>282</v>
      </c>
      <c r="B294" s="381" t="s">
        <v>334</v>
      </c>
      <c r="C294" s="326"/>
      <c r="D294" s="327"/>
      <c r="E294" s="698"/>
      <c r="F294" s="326"/>
      <c r="G294" s="327"/>
      <c r="H294" s="381"/>
      <c r="I294" s="326"/>
      <c r="J294" s="326"/>
      <c r="K294" s="327"/>
      <c r="L294" s="381"/>
      <c r="M294" s="326"/>
      <c r="N294" s="326"/>
      <c r="O294" s="326"/>
      <c r="P294" s="327"/>
      <c r="Q294" s="381"/>
      <c r="R294" s="326"/>
      <c r="S294" s="326"/>
      <c r="T294" s="326"/>
      <c r="U294" s="326"/>
      <c r="V294" s="326"/>
      <c r="W294" s="326"/>
      <c r="X294" s="326"/>
      <c r="Y294" s="326"/>
      <c r="Z294" s="327"/>
      <c r="AA294" s="381"/>
      <c r="AB294" s="326"/>
      <c r="AC294" s="326"/>
      <c r="AD294" s="326"/>
      <c r="AE294" s="326"/>
      <c r="AF294" s="326"/>
      <c r="AG294" s="326"/>
      <c r="AH294" s="326"/>
      <c r="AI294" s="326"/>
      <c r="AJ294" s="326"/>
      <c r="AK294" s="326"/>
      <c r="AL294" s="326"/>
      <c r="AM294" s="326"/>
      <c r="AN294" s="326"/>
      <c r="AO294" s="326"/>
      <c r="AP294" s="326"/>
      <c r="AQ294" s="327"/>
    </row>
    <row r="295" spans="1:43" ht="30" customHeight="1" x14ac:dyDescent="0.25">
      <c r="A295" s="87">
        <f t="shared" si="1"/>
        <v>283</v>
      </c>
      <c r="B295" s="407" t="s">
        <v>334</v>
      </c>
      <c r="C295" s="326"/>
      <c r="D295" s="327"/>
      <c r="E295" s="697"/>
      <c r="F295" s="326"/>
      <c r="G295" s="327"/>
      <c r="H295" s="407"/>
      <c r="I295" s="326"/>
      <c r="J295" s="326"/>
      <c r="K295" s="327"/>
      <c r="L295" s="407"/>
      <c r="M295" s="326"/>
      <c r="N295" s="326"/>
      <c r="O295" s="326"/>
      <c r="P295" s="327"/>
      <c r="Q295" s="407"/>
      <c r="R295" s="326"/>
      <c r="S295" s="326"/>
      <c r="T295" s="326"/>
      <c r="U295" s="326"/>
      <c r="V295" s="326"/>
      <c r="W295" s="326"/>
      <c r="X295" s="326"/>
      <c r="Y295" s="326"/>
      <c r="Z295" s="327"/>
      <c r="AA295" s="407"/>
      <c r="AB295" s="326"/>
      <c r="AC295" s="326"/>
      <c r="AD295" s="326"/>
      <c r="AE295" s="326"/>
      <c r="AF295" s="326"/>
      <c r="AG295" s="326"/>
      <c r="AH295" s="326"/>
      <c r="AI295" s="326"/>
      <c r="AJ295" s="326"/>
      <c r="AK295" s="326"/>
      <c r="AL295" s="326"/>
      <c r="AM295" s="326"/>
      <c r="AN295" s="326"/>
      <c r="AO295" s="326"/>
      <c r="AP295" s="326"/>
      <c r="AQ295" s="327"/>
    </row>
    <row r="296" spans="1:43" ht="30" customHeight="1" x14ac:dyDescent="0.25">
      <c r="A296" s="87">
        <f t="shared" si="1"/>
        <v>284</v>
      </c>
      <c r="B296" s="381" t="s">
        <v>334</v>
      </c>
      <c r="C296" s="326"/>
      <c r="D296" s="327"/>
      <c r="E296" s="698"/>
      <c r="F296" s="326"/>
      <c r="G296" s="327"/>
      <c r="H296" s="381"/>
      <c r="I296" s="326"/>
      <c r="J296" s="326"/>
      <c r="K296" s="327"/>
      <c r="L296" s="381"/>
      <c r="M296" s="326"/>
      <c r="N296" s="326"/>
      <c r="O296" s="326"/>
      <c r="P296" s="327"/>
      <c r="Q296" s="381"/>
      <c r="R296" s="326"/>
      <c r="S296" s="326"/>
      <c r="T296" s="326"/>
      <c r="U296" s="326"/>
      <c r="V296" s="326"/>
      <c r="W296" s="326"/>
      <c r="X296" s="326"/>
      <c r="Y296" s="326"/>
      <c r="Z296" s="327"/>
      <c r="AA296" s="381"/>
      <c r="AB296" s="326"/>
      <c r="AC296" s="326"/>
      <c r="AD296" s="326"/>
      <c r="AE296" s="326"/>
      <c r="AF296" s="326"/>
      <c r="AG296" s="326"/>
      <c r="AH296" s="326"/>
      <c r="AI296" s="326"/>
      <c r="AJ296" s="326"/>
      <c r="AK296" s="326"/>
      <c r="AL296" s="326"/>
      <c r="AM296" s="326"/>
      <c r="AN296" s="326"/>
      <c r="AO296" s="326"/>
      <c r="AP296" s="326"/>
      <c r="AQ296" s="327"/>
    </row>
    <row r="297" spans="1:43" ht="30" customHeight="1" x14ac:dyDescent="0.25">
      <c r="A297" s="87">
        <f t="shared" si="1"/>
        <v>285</v>
      </c>
      <c r="B297" s="407" t="s">
        <v>334</v>
      </c>
      <c r="C297" s="326"/>
      <c r="D297" s="327"/>
      <c r="E297" s="697"/>
      <c r="F297" s="326"/>
      <c r="G297" s="327"/>
      <c r="H297" s="407"/>
      <c r="I297" s="326"/>
      <c r="J297" s="326"/>
      <c r="K297" s="327"/>
      <c r="L297" s="407"/>
      <c r="M297" s="326"/>
      <c r="N297" s="326"/>
      <c r="O297" s="326"/>
      <c r="P297" s="327"/>
      <c r="Q297" s="407"/>
      <c r="R297" s="326"/>
      <c r="S297" s="326"/>
      <c r="T297" s="326"/>
      <c r="U297" s="326"/>
      <c r="V297" s="326"/>
      <c r="W297" s="326"/>
      <c r="X297" s="326"/>
      <c r="Y297" s="326"/>
      <c r="Z297" s="327"/>
      <c r="AA297" s="407"/>
      <c r="AB297" s="326"/>
      <c r="AC297" s="326"/>
      <c r="AD297" s="326"/>
      <c r="AE297" s="326"/>
      <c r="AF297" s="326"/>
      <c r="AG297" s="326"/>
      <c r="AH297" s="326"/>
      <c r="AI297" s="326"/>
      <c r="AJ297" s="326"/>
      <c r="AK297" s="326"/>
      <c r="AL297" s="326"/>
      <c r="AM297" s="326"/>
      <c r="AN297" s="326"/>
      <c r="AO297" s="326"/>
      <c r="AP297" s="326"/>
      <c r="AQ297" s="327"/>
    </row>
    <row r="298" spans="1:43" ht="30" customHeight="1" x14ac:dyDescent="0.25">
      <c r="A298" s="87">
        <f t="shared" si="1"/>
        <v>286</v>
      </c>
      <c r="B298" s="381" t="s">
        <v>334</v>
      </c>
      <c r="C298" s="326"/>
      <c r="D298" s="327"/>
      <c r="E298" s="698"/>
      <c r="F298" s="326"/>
      <c r="G298" s="327"/>
      <c r="H298" s="381"/>
      <c r="I298" s="326"/>
      <c r="J298" s="326"/>
      <c r="K298" s="327"/>
      <c r="L298" s="381"/>
      <c r="M298" s="326"/>
      <c r="N298" s="326"/>
      <c r="O298" s="326"/>
      <c r="P298" s="327"/>
      <c r="Q298" s="381"/>
      <c r="R298" s="326"/>
      <c r="S298" s="326"/>
      <c r="T298" s="326"/>
      <c r="U298" s="326"/>
      <c r="V298" s="326"/>
      <c r="W298" s="326"/>
      <c r="X298" s="326"/>
      <c r="Y298" s="326"/>
      <c r="Z298" s="327"/>
      <c r="AA298" s="381"/>
      <c r="AB298" s="326"/>
      <c r="AC298" s="326"/>
      <c r="AD298" s="326"/>
      <c r="AE298" s="326"/>
      <c r="AF298" s="326"/>
      <c r="AG298" s="326"/>
      <c r="AH298" s="326"/>
      <c r="AI298" s="326"/>
      <c r="AJ298" s="326"/>
      <c r="AK298" s="326"/>
      <c r="AL298" s="326"/>
      <c r="AM298" s="326"/>
      <c r="AN298" s="326"/>
      <c r="AO298" s="326"/>
      <c r="AP298" s="326"/>
      <c r="AQ298" s="327"/>
    </row>
    <row r="299" spans="1:43" ht="30" customHeight="1" x14ac:dyDescent="0.25">
      <c r="A299" s="87">
        <f t="shared" si="1"/>
        <v>287</v>
      </c>
      <c r="B299" s="407" t="s">
        <v>334</v>
      </c>
      <c r="C299" s="326"/>
      <c r="D299" s="327"/>
      <c r="E299" s="697"/>
      <c r="F299" s="326"/>
      <c r="G299" s="327"/>
      <c r="H299" s="407"/>
      <c r="I299" s="326"/>
      <c r="J299" s="326"/>
      <c r="K299" s="327"/>
      <c r="L299" s="407"/>
      <c r="M299" s="326"/>
      <c r="N299" s="326"/>
      <c r="O299" s="326"/>
      <c r="P299" s="327"/>
      <c r="Q299" s="407"/>
      <c r="R299" s="326"/>
      <c r="S299" s="326"/>
      <c r="T299" s="326"/>
      <c r="U299" s="326"/>
      <c r="V299" s="326"/>
      <c r="W299" s="326"/>
      <c r="X299" s="326"/>
      <c r="Y299" s="326"/>
      <c r="Z299" s="327"/>
      <c r="AA299" s="407"/>
      <c r="AB299" s="326"/>
      <c r="AC299" s="326"/>
      <c r="AD299" s="326"/>
      <c r="AE299" s="326"/>
      <c r="AF299" s="326"/>
      <c r="AG299" s="326"/>
      <c r="AH299" s="326"/>
      <c r="AI299" s="326"/>
      <c r="AJ299" s="326"/>
      <c r="AK299" s="326"/>
      <c r="AL299" s="326"/>
      <c r="AM299" s="326"/>
      <c r="AN299" s="326"/>
      <c r="AO299" s="326"/>
      <c r="AP299" s="326"/>
      <c r="AQ299" s="327"/>
    </row>
    <row r="300" spans="1:43" ht="30" customHeight="1" x14ac:dyDescent="0.25">
      <c r="A300" s="87">
        <f t="shared" si="1"/>
        <v>288</v>
      </c>
      <c r="B300" s="381" t="s">
        <v>334</v>
      </c>
      <c r="C300" s="326"/>
      <c r="D300" s="327"/>
      <c r="E300" s="698"/>
      <c r="F300" s="326"/>
      <c r="G300" s="327"/>
      <c r="H300" s="381"/>
      <c r="I300" s="326"/>
      <c r="J300" s="326"/>
      <c r="K300" s="327"/>
      <c r="L300" s="381"/>
      <c r="M300" s="326"/>
      <c r="N300" s="326"/>
      <c r="O300" s="326"/>
      <c r="P300" s="327"/>
      <c r="Q300" s="381"/>
      <c r="R300" s="326"/>
      <c r="S300" s="326"/>
      <c r="T300" s="326"/>
      <c r="U300" s="326"/>
      <c r="V300" s="326"/>
      <c r="W300" s="326"/>
      <c r="X300" s="326"/>
      <c r="Y300" s="326"/>
      <c r="Z300" s="327"/>
      <c r="AA300" s="381"/>
      <c r="AB300" s="326"/>
      <c r="AC300" s="326"/>
      <c r="AD300" s="326"/>
      <c r="AE300" s="326"/>
      <c r="AF300" s="326"/>
      <c r="AG300" s="326"/>
      <c r="AH300" s="326"/>
      <c r="AI300" s="326"/>
      <c r="AJ300" s="326"/>
      <c r="AK300" s="326"/>
      <c r="AL300" s="326"/>
      <c r="AM300" s="326"/>
      <c r="AN300" s="326"/>
      <c r="AO300" s="326"/>
      <c r="AP300" s="326"/>
      <c r="AQ300" s="327"/>
    </row>
    <row r="301" spans="1:43" ht="30" customHeight="1" x14ac:dyDescent="0.25">
      <c r="A301" s="87">
        <f t="shared" si="1"/>
        <v>289</v>
      </c>
      <c r="B301" s="407" t="s">
        <v>334</v>
      </c>
      <c r="C301" s="326"/>
      <c r="D301" s="327"/>
      <c r="E301" s="697"/>
      <c r="F301" s="326"/>
      <c r="G301" s="327"/>
      <c r="H301" s="407"/>
      <c r="I301" s="326"/>
      <c r="J301" s="326"/>
      <c r="K301" s="327"/>
      <c r="L301" s="407"/>
      <c r="M301" s="326"/>
      <c r="N301" s="326"/>
      <c r="O301" s="326"/>
      <c r="P301" s="327"/>
      <c r="Q301" s="407"/>
      <c r="R301" s="326"/>
      <c r="S301" s="326"/>
      <c r="T301" s="326"/>
      <c r="U301" s="326"/>
      <c r="V301" s="326"/>
      <c r="W301" s="326"/>
      <c r="X301" s="326"/>
      <c r="Y301" s="326"/>
      <c r="Z301" s="327"/>
      <c r="AA301" s="407"/>
      <c r="AB301" s="326"/>
      <c r="AC301" s="326"/>
      <c r="AD301" s="326"/>
      <c r="AE301" s="326"/>
      <c r="AF301" s="326"/>
      <c r="AG301" s="326"/>
      <c r="AH301" s="326"/>
      <c r="AI301" s="326"/>
      <c r="AJ301" s="326"/>
      <c r="AK301" s="326"/>
      <c r="AL301" s="326"/>
      <c r="AM301" s="326"/>
      <c r="AN301" s="326"/>
      <c r="AO301" s="326"/>
      <c r="AP301" s="326"/>
      <c r="AQ301" s="327"/>
    </row>
    <row r="302" spans="1:43" ht="30" customHeight="1" x14ac:dyDescent="0.25">
      <c r="A302" s="87">
        <f t="shared" si="1"/>
        <v>290</v>
      </c>
      <c r="B302" s="381" t="s">
        <v>334</v>
      </c>
      <c r="C302" s="326"/>
      <c r="D302" s="327"/>
      <c r="E302" s="698"/>
      <c r="F302" s="326"/>
      <c r="G302" s="327"/>
      <c r="H302" s="381"/>
      <c r="I302" s="326"/>
      <c r="J302" s="326"/>
      <c r="K302" s="327"/>
      <c r="L302" s="381"/>
      <c r="M302" s="326"/>
      <c r="N302" s="326"/>
      <c r="O302" s="326"/>
      <c r="P302" s="327"/>
      <c r="Q302" s="381"/>
      <c r="R302" s="326"/>
      <c r="S302" s="326"/>
      <c r="T302" s="326"/>
      <c r="U302" s="326"/>
      <c r="V302" s="326"/>
      <c r="W302" s="326"/>
      <c r="X302" s="326"/>
      <c r="Y302" s="326"/>
      <c r="Z302" s="327"/>
      <c r="AA302" s="381"/>
      <c r="AB302" s="326"/>
      <c r="AC302" s="326"/>
      <c r="AD302" s="326"/>
      <c r="AE302" s="326"/>
      <c r="AF302" s="326"/>
      <c r="AG302" s="326"/>
      <c r="AH302" s="326"/>
      <c r="AI302" s="326"/>
      <c r="AJ302" s="326"/>
      <c r="AK302" s="326"/>
      <c r="AL302" s="326"/>
      <c r="AM302" s="326"/>
      <c r="AN302" s="326"/>
      <c r="AO302" s="326"/>
      <c r="AP302" s="326"/>
      <c r="AQ302" s="327"/>
    </row>
    <row r="303" spans="1:43" ht="30" customHeight="1" x14ac:dyDescent="0.25">
      <c r="A303" s="87">
        <f t="shared" si="1"/>
        <v>291</v>
      </c>
      <c r="B303" s="407" t="s">
        <v>334</v>
      </c>
      <c r="C303" s="326"/>
      <c r="D303" s="327"/>
      <c r="E303" s="697"/>
      <c r="F303" s="326"/>
      <c r="G303" s="327"/>
      <c r="H303" s="407"/>
      <c r="I303" s="326"/>
      <c r="J303" s="326"/>
      <c r="K303" s="327"/>
      <c r="L303" s="407"/>
      <c r="M303" s="326"/>
      <c r="N303" s="326"/>
      <c r="O303" s="326"/>
      <c r="P303" s="327"/>
      <c r="Q303" s="407"/>
      <c r="R303" s="326"/>
      <c r="S303" s="326"/>
      <c r="T303" s="326"/>
      <c r="U303" s="326"/>
      <c r="V303" s="326"/>
      <c r="W303" s="326"/>
      <c r="X303" s="326"/>
      <c r="Y303" s="326"/>
      <c r="Z303" s="327"/>
      <c r="AA303" s="407"/>
      <c r="AB303" s="326"/>
      <c r="AC303" s="326"/>
      <c r="AD303" s="326"/>
      <c r="AE303" s="326"/>
      <c r="AF303" s="326"/>
      <c r="AG303" s="326"/>
      <c r="AH303" s="326"/>
      <c r="AI303" s="326"/>
      <c r="AJ303" s="326"/>
      <c r="AK303" s="326"/>
      <c r="AL303" s="326"/>
      <c r="AM303" s="326"/>
      <c r="AN303" s="326"/>
      <c r="AO303" s="326"/>
      <c r="AP303" s="326"/>
      <c r="AQ303" s="327"/>
    </row>
    <row r="304" spans="1:43" ht="30" customHeight="1" x14ac:dyDescent="0.25">
      <c r="A304" s="87">
        <f t="shared" si="1"/>
        <v>292</v>
      </c>
      <c r="B304" s="381" t="s">
        <v>334</v>
      </c>
      <c r="C304" s="326"/>
      <c r="D304" s="327"/>
      <c r="E304" s="698"/>
      <c r="F304" s="326"/>
      <c r="G304" s="327"/>
      <c r="H304" s="381"/>
      <c r="I304" s="326"/>
      <c r="J304" s="326"/>
      <c r="K304" s="327"/>
      <c r="L304" s="381"/>
      <c r="M304" s="326"/>
      <c r="N304" s="326"/>
      <c r="O304" s="326"/>
      <c r="P304" s="327"/>
      <c r="Q304" s="381"/>
      <c r="R304" s="326"/>
      <c r="S304" s="326"/>
      <c r="T304" s="326"/>
      <c r="U304" s="326"/>
      <c r="V304" s="326"/>
      <c r="W304" s="326"/>
      <c r="X304" s="326"/>
      <c r="Y304" s="326"/>
      <c r="Z304" s="327"/>
      <c r="AA304" s="381"/>
      <c r="AB304" s="326"/>
      <c r="AC304" s="326"/>
      <c r="AD304" s="326"/>
      <c r="AE304" s="326"/>
      <c r="AF304" s="326"/>
      <c r="AG304" s="326"/>
      <c r="AH304" s="326"/>
      <c r="AI304" s="326"/>
      <c r="AJ304" s="326"/>
      <c r="AK304" s="326"/>
      <c r="AL304" s="326"/>
      <c r="AM304" s="326"/>
      <c r="AN304" s="326"/>
      <c r="AO304" s="326"/>
      <c r="AP304" s="326"/>
      <c r="AQ304" s="327"/>
    </row>
    <row r="305" spans="1:43" ht="30" customHeight="1" x14ac:dyDescent="0.25">
      <c r="A305" s="87">
        <f t="shared" si="1"/>
        <v>293</v>
      </c>
      <c r="B305" s="407" t="s">
        <v>334</v>
      </c>
      <c r="C305" s="326"/>
      <c r="D305" s="327"/>
      <c r="E305" s="697"/>
      <c r="F305" s="326"/>
      <c r="G305" s="327"/>
      <c r="H305" s="407"/>
      <c r="I305" s="326"/>
      <c r="J305" s="326"/>
      <c r="K305" s="327"/>
      <c r="L305" s="407"/>
      <c r="M305" s="326"/>
      <c r="N305" s="326"/>
      <c r="O305" s="326"/>
      <c r="P305" s="327"/>
      <c r="Q305" s="407"/>
      <c r="R305" s="326"/>
      <c r="S305" s="326"/>
      <c r="T305" s="326"/>
      <c r="U305" s="326"/>
      <c r="V305" s="326"/>
      <c r="W305" s="326"/>
      <c r="X305" s="326"/>
      <c r="Y305" s="326"/>
      <c r="Z305" s="327"/>
      <c r="AA305" s="407"/>
      <c r="AB305" s="326"/>
      <c r="AC305" s="326"/>
      <c r="AD305" s="326"/>
      <c r="AE305" s="326"/>
      <c r="AF305" s="326"/>
      <c r="AG305" s="326"/>
      <c r="AH305" s="326"/>
      <c r="AI305" s="326"/>
      <c r="AJ305" s="326"/>
      <c r="AK305" s="326"/>
      <c r="AL305" s="326"/>
      <c r="AM305" s="326"/>
      <c r="AN305" s="326"/>
      <c r="AO305" s="326"/>
      <c r="AP305" s="326"/>
      <c r="AQ305" s="327"/>
    </row>
    <row r="306" spans="1:43" ht="30" customHeight="1" x14ac:dyDescent="0.25">
      <c r="A306" s="87">
        <f t="shared" si="1"/>
        <v>294</v>
      </c>
      <c r="B306" s="381" t="s">
        <v>334</v>
      </c>
      <c r="C306" s="326"/>
      <c r="D306" s="327"/>
      <c r="E306" s="698"/>
      <c r="F306" s="326"/>
      <c r="G306" s="327"/>
      <c r="H306" s="381"/>
      <c r="I306" s="326"/>
      <c r="J306" s="326"/>
      <c r="K306" s="327"/>
      <c r="L306" s="381"/>
      <c r="M306" s="326"/>
      <c r="N306" s="326"/>
      <c r="O306" s="326"/>
      <c r="P306" s="327"/>
      <c r="Q306" s="381"/>
      <c r="R306" s="326"/>
      <c r="S306" s="326"/>
      <c r="T306" s="326"/>
      <c r="U306" s="326"/>
      <c r="V306" s="326"/>
      <c r="W306" s="326"/>
      <c r="X306" s="326"/>
      <c r="Y306" s="326"/>
      <c r="Z306" s="327"/>
      <c r="AA306" s="381"/>
      <c r="AB306" s="326"/>
      <c r="AC306" s="326"/>
      <c r="AD306" s="326"/>
      <c r="AE306" s="326"/>
      <c r="AF306" s="326"/>
      <c r="AG306" s="326"/>
      <c r="AH306" s="326"/>
      <c r="AI306" s="326"/>
      <c r="AJ306" s="326"/>
      <c r="AK306" s="326"/>
      <c r="AL306" s="326"/>
      <c r="AM306" s="326"/>
      <c r="AN306" s="326"/>
      <c r="AO306" s="326"/>
      <c r="AP306" s="326"/>
      <c r="AQ306" s="327"/>
    </row>
    <row r="307" spans="1:43" ht="30" customHeight="1" x14ac:dyDescent="0.25">
      <c r="A307" s="87">
        <f t="shared" si="1"/>
        <v>295</v>
      </c>
      <c r="B307" s="407" t="s">
        <v>334</v>
      </c>
      <c r="C307" s="326"/>
      <c r="D307" s="327"/>
      <c r="E307" s="697"/>
      <c r="F307" s="326"/>
      <c r="G307" s="327"/>
      <c r="H307" s="407"/>
      <c r="I307" s="326"/>
      <c r="J307" s="326"/>
      <c r="K307" s="327"/>
      <c r="L307" s="407"/>
      <c r="M307" s="326"/>
      <c r="N307" s="326"/>
      <c r="O307" s="326"/>
      <c r="P307" s="327"/>
      <c r="Q307" s="407"/>
      <c r="R307" s="326"/>
      <c r="S307" s="326"/>
      <c r="T307" s="326"/>
      <c r="U307" s="326"/>
      <c r="V307" s="326"/>
      <c r="W307" s="326"/>
      <c r="X307" s="326"/>
      <c r="Y307" s="326"/>
      <c r="Z307" s="327"/>
      <c r="AA307" s="407"/>
      <c r="AB307" s="326"/>
      <c r="AC307" s="326"/>
      <c r="AD307" s="326"/>
      <c r="AE307" s="326"/>
      <c r="AF307" s="326"/>
      <c r="AG307" s="326"/>
      <c r="AH307" s="326"/>
      <c r="AI307" s="326"/>
      <c r="AJ307" s="326"/>
      <c r="AK307" s="326"/>
      <c r="AL307" s="326"/>
      <c r="AM307" s="326"/>
      <c r="AN307" s="326"/>
      <c r="AO307" s="326"/>
      <c r="AP307" s="326"/>
      <c r="AQ307" s="327"/>
    </row>
    <row r="308" spans="1:43" ht="30" customHeight="1" x14ac:dyDescent="0.25">
      <c r="A308" s="87">
        <f t="shared" si="1"/>
        <v>296</v>
      </c>
      <c r="B308" s="381" t="s">
        <v>334</v>
      </c>
      <c r="C308" s="326"/>
      <c r="D308" s="327"/>
      <c r="E308" s="698"/>
      <c r="F308" s="326"/>
      <c r="G308" s="327"/>
      <c r="H308" s="381"/>
      <c r="I308" s="326"/>
      <c r="J308" s="326"/>
      <c r="K308" s="327"/>
      <c r="L308" s="381"/>
      <c r="M308" s="326"/>
      <c r="N308" s="326"/>
      <c r="O308" s="326"/>
      <c r="P308" s="327"/>
      <c r="Q308" s="381"/>
      <c r="R308" s="326"/>
      <c r="S308" s="326"/>
      <c r="T308" s="326"/>
      <c r="U308" s="326"/>
      <c r="V308" s="326"/>
      <c r="W308" s="326"/>
      <c r="X308" s="326"/>
      <c r="Y308" s="326"/>
      <c r="Z308" s="327"/>
      <c r="AA308" s="381"/>
      <c r="AB308" s="326"/>
      <c r="AC308" s="326"/>
      <c r="AD308" s="326"/>
      <c r="AE308" s="326"/>
      <c r="AF308" s="326"/>
      <c r="AG308" s="326"/>
      <c r="AH308" s="326"/>
      <c r="AI308" s="326"/>
      <c r="AJ308" s="326"/>
      <c r="AK308" s="326"/>
      <c r="AL308" s="326"/>
      <c r="AM308" s="326"/>
      <c r="AN308" s="326"/>
      <c r="AO308" s="326"/>
      <c r="AP308" s="326"/>
      <c r="AQ308" s="327"/>
    </row>
    <row r="309" spans="1:43" ht="30" customHeight="1" x14ac:dyDescent="0.25">
      <c r="A309" s="87">
        <f t="shared" si="1"/>
        <v>297</v>
      </c>
      <c r="B309" s="407" t="s">
        <v>334</v>
      </c>
      <c r="C309" s="326"/>
      <c r="D309" s="327"/>
      <c r="E309" s="697"/>
      <c r="F309" s="326"/>
      <c r="G309" s="327"/>
      <c r="H309" s="407"/>
      <c r="I309" s="326"/>
      <c r="J309" s="326"/>
      <c r="K309" s="327"/>
      <c r="L309" s="407"/>
      <c r="M309" s="326"/>
      <c r="N309" s="326"/>
      <c r="O309" s="326"/>
      <c r="P309" s="327"/>
      <c r="Q309" s="407"/>
      <c r="R309" s="326"/>
      <c r="S309" s="326"/>
      <c r="T309" s="326"/>
      <c r="U309" s="326"/>
      <c r="V309" s="326"/>
      <c r="W309" s="326"/>
      <c r="X309" s="326"/>
      <c r="Y309" s="326"/>
      <c r="Z309" s="327"/>
      <c r="AA309" s="407"/>
      <c r="AB309" s="326"/>
      <c r="AC309" s="326"/>
      <c r="AD309" s="326"/>
      <c r="AE309" s="326"/>
      <c r="AF309" s="326"/>
      <c r="AG309" s="326"/>
      <c r="AH309" s="326"/>
      <c r="AI309" s="326"/>
      <c r="AJ309" s="326"/>
      <c r="AK309" s="326"/>
      <c r="AL309" s="326"/>
      <c r="AM309" s="326"/>
      <c r="AN309" s="326"/>
      <c r="AO309" s="326"/>
      <c r="AP309" s="326"/>
      <c r="AQ309" s="327"/>
    </row>
    <row r="310" spans="1:43" ht="30" customHeight="1" x14ac:dyDescent="0.25">
      <c r="A310" s="87">
        <f t="shared" si="1"/>
        <v>298</v>
      </c>
      <c r="B310" s="381" t="s">
        <v>334</v>
      </c>
      <c r="C310" s="326"/>
      <c r="D310" s="327"/>
      <c r="E310" s="698"/>
      <c r="F310" s="326"/>
      <c r="G310" s="327"/>
      <c r="H310" s="381"/>
      <c r="I310" s="326"/>
      <c r="J310" s="326"/>
      <c r="K310" s="327"/>
      <c r="L310" s="381"/>
      <c r="M310" s="326"/>
      <c r="N310" s="326"/>
      <c r="O310" s="326"/>
      <c r="P310" s="327"/>
      <c r="Q310" s="381"/>
      <c r="R310" s="326"/>
      <c r="S310" s="326"/>
      <c r="T310" s="326"/>
      <c r="U310" s="326"/>
      <c r="V310" s="326"/>
      <c r="W310" s="326"/>
      <c r="X310" s="326"/>
      <c r="Y310" s="326"/>
      <c r="Z310" s="327"/>
      <c r="AA310" s="381"/>
      <c r="AB310" s="326"/>
      <c r="AC310" s="326"/>
      <c r="AD310" s="326"/>
      <c r="AE310" s="326"/>
      <c r="AF310" s="326"/>
      <c r="AG310" s="326"/>
      <c r="AH310" s="326"/>
      <c r="AI310" s="326"/>
      <c r="AJ310" s="326"/>
      <c r="AK310" s="326"/>
      <c r="AL310" s="326"/>
      <c r="AM310" s="326"/>
      <c r="AN310" s="326"/>
      <c r="AO310" s="326"/>
      <c r="AP310" s="326"/>
      <c r="AQ310" s="327"/>
    </row>
    <row r="311" spans="1:43" ht="30" customHeight="1" x14ac:dyDescent="0.25">
      <c r="A311" s="87">
        <f t="shared" si="1"/>
        <v>299</v>
      </c>
      <c r="B311" s="407" t="s">
        <v>334</v>
      </c>
      <c r="C311" s="326"/>
      <c r="D311" s="327"/>
      <c r="E311" s="697"/>
      <c r="F311" s="326"/>
      <c r="G311" s="327"/>
      <c r="H311" s="407"/>
      <c r="I311" s="326"/>
      <c r="J311" s="326"/>
      <c r="K311" s="327"/>
      <c r="L311" s="407"/>
      <c r="M311" s="326"/>
      <c r="N311" s="326"/>
      <c r="O311" s="326"/>
      <c r="P311" s="327"/>
      <c r="Q311" s="407"/>
      <c r="R311" s="326"/>
      <c r="S311" s="326"/>
      <c r="T311" s="326"/>
      <c r="U311" s="326"/>
      <c r="V311" s="326"/>
      <c r="W311" s="326"/>
      <c r="X311" s="326"/>
      <c r="Y311" s="326"/>
      <c r="Z311" s="327"/>
      <c r="AA311" s="407"/>
      <c r="AB311" s="326"/>
      <c r="AC311" s="326"/>
      <c r="AD311" s="326"/>
      <c r="AE311" s="326"/>
      <c r="AF311" s="326"/>
      <c r="AG311" s="326"/>
      <c r="AH311" s="326"/>
      <c r="AI311" s="326"/>
      <c r="AJ311" s="326"/>
      <c r="AK311" s="326"/>
      <c r="AL311" s="326"/>
      <c r="AM311" s="326"/>
      <c r="AN311" s="326"/>
      <c r="AO311" s="326"/>
      <c r="AP311" s="326"/>
      <c r="AQ311" s="327"/>
    </row>
    <row r="312" spans="1:43" ht="30" customHeight="1" x14ac:dyDescent="0.25">
      <c r="A312" s="87">
        <f t="shared" si="1"/>
        <v>300</v>
      </c>
      <c r="B312" s="381" t="s">
        <v>334</v>
      </c>
      <c r="C312" s="326"/>
      <c r="D312" s="327"/>
      <c r="E312" s="698"/>
      <c r="F312" s="326"/>
      <c r="G312" s="327"/>
      <c r="H312" s="381"/>
      <c r="I312" s="326"/>
      <c r="J312" s="326"/>
      <c r="K312" s="327"/>
      <c r="L312" s="381"/>
      <c r="M312" s="326"/>
      <c r="N312" s="326"/>
      <c r="O312" s="326"/>
      <c r="P312" s="327"/>
      <c r="Q312" s="381"/>
      <c r="R312" s="326"/>
      <c r="S312" s="326"/>
      <c r="T312" s="326"/>
      <c r="U312" s="326"/>
      <c r="V312" s="326"/>
      <c r="W312" s="326"/>
      <c r="X312" s="326"/>
      <c r="Y312" s="326"/>
      <c r="Z312" s="327"/>
      <c r="AA312" s="381"/>
      <c r="AB312" s="326"/>
      <c r="AC312" s="326"/>
      <c r="AD312" s="326"/>
      <c r="AE312" s="326"/>
      <c r="AF312" s="326"/>
      <c r="AG312" s="326"/>
      <c r="AH312" s="326"/>
      <c r="AI312" s="326"/>
      <c r="AJ312" s="326"/>
      <c r="AK312" s="326"/>
      <c r="AL312" s="326"/>
      <c r="AM312" s="326"/>
      <c r="AN312" s="326"/>
      <c r="AO312" s="326"/>
      <c r="AP312" s="326"/>
      <c r="AQ312" s="327"/>
    </row>
    <row r="313" spans="1:43" ht="30" customHeight="1" x14ac:dyDescent="0.25">
      <c r="A313" s="87">
        <f t="shared" si="1"/>
        <v>301</v>
      </c>
      <c r="B313" s="407" t="s">
        <v>334</v>
      </c>
      <c r="C313" s="326"/>
      <c r="D313" s="327"/>
      <c r="E313" s="697"/>
      <c r="F313" s="326"/>
      <c r="G313" s="327"/>
      <c r="H313" s="407"/>
      <c r="I313" s="326"/>
      <c r="J313" s="326"/>
      <c r="K313" s="327"/>
      <c r="L313" s="407"/>
      <c r="M313" s="326"/>
      <c r="N313" s="326"/>
      <c r="O313" s="326"/>
      <c r="P313" s="327"/>
      <c r="Q313" s="407"/>
      <c r="R313" s="326"/>
      <c r="S313" s="326"/>
      <c r="T313" s="326"/>
      <c r="U313" s="326"/>
      <c r="V313" s="326"/>
      <c r="W313" s="326"/>
      <c r="X313" s="326"/>
      <c r="Y313" s="326"/>
      <c r="Z313" s="327"/>
      <c r="AA313" s="407"/>
      <c r="AB313" s="326"/>
      <c r="AC313" s="326"/>
      <c r="AD313" s="326"/>
      <c r="AE313" s="326"/>
      <c r="AF313" s="326"/>
      <c r="AG313" s="326"/>
      <c r="AH313" s="326"/>
      <c r="AI313" s="326"/>
      <c r="AJ313" s="326"/>
      <c r="AK313" s="326"/>
      <c r="AL313" s="326"/>
      <c r="AM313" s="326"/>
      <c r="AN313" s="326"/>
      <c r="AO313" s="326"/>
      <c r="AP313" s="326"/>
      <c r="AQ313" s="327"/>
    </row>
    <row r="314" spans="1:43" ht="30" customHeight="1" x14ac:dyDescent="0.25">
      <c r="A314" s="87">
        <f t="shared" si="1"/>
        <v>302</v>
      </c>
      <c r="B314" s="381" t="s">
        <v>334</v>
      </c>
      <c r="C314" s="326"/>
      <c r="D314" s="327"/>
      <c r="E314" s="698"/>
      <c r="F314" s="326"/>
      <c r="G314" s="327"/>
      <c r="H314" s="381"/>
      <c r="I314" s="326"/>
      <c r="J314" s="326"/>
      <c r="K314" s="327"/>
      <c r="L314" s="381"/>
      <c r="M314" s="326"/>
      <c r="N314" s="326"/>
      <c r="O314" s="326"/>
      <c r="P314" s="327"/>
      <c r="Q314" s="381"/>
      <c r="R314" s="326"/>
      <c r="S314" s="326"/>
      <c r="T314" s="326"/>
      <c r="U314" s="326"/>
      <c r="V314" s="326"/>
      <c r="W314" s="326"/>
      <c r="X314" s="326"/>
      <c r="Y314" s="326"/>
      <c r="Z314" s="327"/>
      <c r="AA314" s="381"/>
      <c r="AB314" s="326"/>
      <c r="AC314" s="326"/>
      <c r="AD314" s="326"/>
      <c r="AE314" s="326"/>
      <c r="AF314" s="326"/>
      <c r="AG314" s="326"/>
      <c r="AH314" s="326"/>
      <c r="AI314" s="326"/>
      <c r="AJ314" s="326"/>
      <c r="AK314" s="326"/>
      <c r="AL314" s="326"/>
      <c r="AM314" s="326"/>
      <c r="AN314" s="326"/>
      <c r="AO314" s="326"/>
      <c r="AP314" s="326"/>
      <c r="AQ314" s="327"/>
    </row>
    <row r="315" spans="1:43" ht="30" customHeight="1" x14ac:dyDescent="0.25">
      <c r="A315" s="87">
        <f t="shared" si="1"/>
        <v>303</v>
      </c>
      <c r="B315" s="407" t="s">
        <v>334</v>
      </c>
      <c r="C315" s="326"/>
      <c r="D315" s="327"/>
      <c r="E315" s="697"/>
      <c r="F315" s="326"/>
      <c r="G315" s="327"/>
      <c r="H315" s="407"/>
      <c r="I315" s="326"/>
      <c r="J315" s="326"/>
      <c r="K315" s="327"/>
      <c r="L315" s="407"/>
      <c r="M315" s="326"/>
      <c r="N315" s="326"/>
      <c r="O315" s="326"/>
      <c r="P315" s="327"/>
      <c r="Q315" s="407"/>
      <c r="R315" s="326"/>
      <c r="S315" s="326"/>
      <c r="T315" s="326"/>
      <c r="U315" s="326"/>
      <c r="V315" s="326"/>
      <c r="W315" s="326"/>
      <c r="X315" s="326"/>
      <c r="Y315" s="326"/>
      <c r="Z315" s="327"/>
      <c r="AA315" s="407"/>
      <c r="AB315" s="326"/>
      <c r="AC315" s="326"/>
      <c r="AD315" s="326"/>
      <c r="AE315" s="326"/>
      <c r="AF315" s="326"/>
      <c r="AG315" s="326"/>
      <c r="AH315" s="326"/>
      <c r="AI315" s="326"/>
      <c r="AJ315" s="326"/>
      <c r="AK315" s="326"/>
      <c r="AL315" s="326"/>
      <c r="AM315" s="326"/>
      <c r="AN315" s="326"/>
      <c r="AO315" s="326"/>
      <c r="AP315" s="326"/>
      <c r="AQ315" s="327"/>
    </row>
    <row r="316" spans="1:43" ht="30" customHeight="1" x14ac:dyDescent="0.25">
      <c r="A316" s="87">
        <f t="shared" si="1"/>
        <v>304</v>
      </c>
      <c r="B316" s="381" t="s">
        <v>334</v>
      </c>
      <c r="C316" s="326"/>
      <c r="D316" s="327"/>
      <c r="E316" s="698"/>
      <c r="F316" s="326"/>
      <c r="G316" s="327"/>
      <c r="H316" s="381"/>
      <c r="I316" s="326"/>
      <c r="J316" s="326"/>
      <c r="K316" s="327"/>
      <c r="L316" s="381"/>
      <c r="M316" s="326"/>
      <c r="N316" s="326"/>
      <c r="O316" s="326"/>
      <c r="P316" s="327"/>
      <c r="Q316" s="381"/>
      <c r="R316" s="326"/>
      <c r="S316" s="326"/>
      <c r="T316" s="326"/>
      <c r="U316" s="326"/>
      <c r="V316" s="326"/>
      <c r="W316" s="326"/>
      <c r="X316" s="326"/>
      <c r="Y316" s="326"/>
      <c r="Z316" s="327"/>
      <c r="AA316" s="381"/>
      <c r="AB316" s="326"/>
      <c r="AC316" s="326"/>
      <c r="AD316" s="326"/>
      <c r="AE316" s="326"/>
      <c r="AF316" s="326"/>
      <c r="AG316" s="326"/>
      <c r="AH316" s="326"/>
      <c r="AI316" s="326"/>
      <c r="AJ316" s="326"/>
      <c r="AK316" s="326"/>
      <c r="AL316" s="326"/>
      <c r="AM316" s="326"/>
      <c r="AN316" s="326"/>
      <c r="AO316" s="326"/>
      <c r="AP316" s="326"/>
      <c r="AQ316" s="327"/>
    </row>
    <row r="317" spans="1:43" ht="30" customHeight="1" x14ac:dyDescent="0.25">
      <c r="A317" s="87">
        <f t="shared" si="1"/>
        <v>305</v>
      </c>
      <c r="B317" s="407" t="s">
        <v>334</v>
      </c>
      <c r="C317" s="326"/>
      <c r="D317" s="327"/>
      <c r="E317" s="697"/>
      <c r="F317" s="326"/>
      <c r="G317" s="327"/>
      <c r="H317" s="407"/>
      <c r="I317" s="326"/>
      <c r="J317" s="326"/>
      <c r="K317" s="327"/>
      <c r="L317" s="407"/>
      <c r="M317" s="326"/>
      <c r="N317" s="326"/>
      <c r="O317" s="326"/>
      <c r="P317" s="327"/>
      <c r="Q317" s="407"/>
      <c r="R317" s="326"/>
      <c r="S317" s="326"/>
      <c r="T317" s="326"/>
      <c r="U317" s="326"/>
      <c r="V317" s="326"/>
      <c r="W317" s="326"/>
      <c r="X317" s="326"/>
      <c r="Y317" s="326"/>
      <c r="Z317" s="327"/>
      <c r="AA317" s="407"/>
      <c r="AB317" s="326"/>
      <c r="AC317" s="326"/>
      <c r="AD317" s="326"/>
      <c r="AE317" s="326"/>
      <c r="AF317" s="326"/>
      <c r="AG317" s="326"/>
      <c r="AH317" s="326"/>
      <c r="AI317" s="326"/>
      <c r="AJ317" s="326"/>
      <c r="AK317" s="326"/>
      <c r="AL317" s="326"/>
      <c r="AM317" s="326"/>
      <c r="AN317" s="326"/>
      <c r="AO317" s="326"/>
      <c r="AP317" s="326"/>
      <c r="AQ317" s="327"/>
    </row>
    <row r="318" spans="1:43" ht="30" customHeight="1" x14ac:dyDescent="0.25">
      <c r="A318" s="87">
        <f t="shared" si="1"/>
        <v>306</v>
      </c>
      <c r="B318" s="381" t="s">
        <v>334</v>
      </c>
      <c r="C318" s="326"/>
      <c r="D318" s="327"/>
      <c r="E318" s="698"/>
      <c r="F318" s="326"/>
      <c r="G318" s="327"/>
      <c r="H318" s="381"/>
      <c r="I318" s="326"/>
      <c r="J318" s="326"/>
      <c r="K318" s="327"/>
      <c r="L318" s="381"/>
      <c r="M318" s="326"/>
      <c r="N318" s="326"/>
      <c r="O318" s="326"/>
      <c r="P318" s="327"/>
      <c r="Q318" s="381"/>
      <c r="R318" s="326"/>
      <c r="S318" s="326"/>
      <c r="T318" s="326"/>
      <c r="U318" s="326"/>
      <c r="V318" s="326"/>
      <c r="W318" s="326"/>
      <c r="X318" s="326"/>
      <c r="Y318" s="326"/>
      <c r="Z318" s="327"/>
      <c r="AA318" s="381"/>
      <c r="AB318" s="326"/>
      <c r="AC318" s="326"/>
      <c r="AD318" s="326"/>
      <c r="AE318" s="326"/>
      <c r="AF318" s="326"/>
      <c r="AG318" s="326"/>
      <c r="AH318" s="326"/>
      <c r="AI318" s="326"/>
      <c r="AJ318" s="326"/>
      <c r="AK318" s="326"/>
      <c r="AL318" s="326"/>
      <c r="AM318" s="326"/>
      <c r="AN318" s="326"/>
      <c r="AO318" s="326"/>
      <c r="AP318" s="326"/>
      <c r="AQ318" s="327"/>
    </row>
    <row r="319" spans="1:43" ht="30" customHeight="1" x14ac:dyDescent="0.25">
      <c r="A319" s="87">
        <f t="shared" si="1"/>
        <v>307</v>
      </c>
      <c r="B319" s="407" t="s">
        <v>334</v>
      </c>
      <c r="C319" s="326"/>
      <c r="D319" s="327"/>
      <c r="E319" s="697"/>
      <c r="F319" s="326"/>
      <c r="G319" s="327"/>
      <c r="H319" s="407"/>
      <c r="I319" s="326"/>
      <c r="J319" s="326"/>
      <c r="K319" s="327"/>
      <c r="L319" s="407"/>
      <c r="M319" s="326"/>
      <c r="N319" s="326"/>
      <c r="O319" s="326"/>
      <c r="P319" s="327"/>
      <c r="Q319" s="407"/>
      <c r="R319" s="326"/>
      <c r="S319" s="326"/>
      <c r="T319" s="326"/>
      <c r="U319" s="326"/>
      <c r="V319" s="326"/>
      <c r="W319" s="326"/>
      <c r="X319" s="326"/>
      <c r="Y319" s="326"/>
      <c r="Z319" s="327"/>
      <c r="AA319" s="407"/>
      <c r="AB319" s="326"/>
      <c r="AC319" s="326"/>
      <c r="AD319" s="326"/>
      <c r="AE319" s="326"/>
      <c r="AF319" s="326"/>
      <c r="AG319" s="326"/>
      <c r="AH319" s="326"/>
      <c r="AI319" s="326"/>
      <c r="AJ319" s="326"/>
      <c r="AK319" s="326"/>
      <c r="AL319" s="326"/>
      <c r="AM319" s="326"/>
      <c r="AN319" s="326"/>
      <c r="AO319" s="326"/>
      <c r="AP319" s="326"/>
      <c r="AQ319" s="327"/>
    </row>
    <row r="320" spans="1:43" ht="30" customHeight="1" x14ac:dyDescent="0.25">
      <c r="A320" s="87">
        <f t="shared" si="1"/>
        <v>308</v>
      </c>
      <c r="B320" s="381" t="s">
        <v>334</v>
      </c>
      <c r="C320" s="326"/>
      <c r="D320" s="327"/>
      <c r="E320" s="698"/>
      <c r="F320" s="326"/>
      <c r="G320" s="327"/>
      <c r="H320" s="381"/>
      <c r="I320" s="326"/>
      <c r="J320" s="326"/>
      <c r="K320" s="327"/>
      <c r="L320" s="381"/>
      <c r="M320" s="326"/>
      <c r="N320" s="326"/>
      <c r="O320" s="326"/>
      <c r="P320" s="327"/>
      <c r="Q320" s="381"/>
      <c r="R320" s="326"/>
      <c r="S320" s="326"/>
      <c r="T320" s="326"/>
      <c r="U320" s="326"/>
      <c r="V320" s="326"/>
      <c r="W320" s="326"/>
      <c r="X320" s="326"/>
      <c r="Y320" s="326"/>
      <c r="Z320" s="327"/>
      <c r="AA320" s="381"/>
      <c r="AB320" s="326"/>
      <c r="AC320" s="326"/>
      <c r="AD320" s="326"/>
      <c r="AE320" s="326"/>
      <c r="AF320" s="326"/>
      <c r="AG320" s="326"/>
      <c r="AH320" s="326"/>
      <c r="AI320" s="326"/>
      <c r="AJ320" s="326"/>
      <c r="AK320" s="326"/>
      <c r="AL320" s="326"/>
      <c r="AM320" s="326"/>
      <c r="AN320" s="326"/>
      <c r="AO320" s="326"/>
      <c r="AP320" s="326"/>
      <c r="AQ320" s="327"/>
    </row>
    <row r="321" spans="1:43" ht="30" customHeight="1" x14ac:dyDescent="0.25">
      <c r="A321" s="87">
        <f t="shared" si="1"/>
        <v>309</v>
      </c>
      <c r="B321" s="407" t="s">
        <v>334</v>
      </c>
      <c r="C321" s="326"/>
      <c r="D321" s="327"/>
      <c r="E321" s="697"/>
      <c r="F321" s="326"/>
      <c r="G321" s="327"/>
      <c r="H321" s="407"/>
      <c r="I321" s="326"/>
      <c r="J321" s="326"/>
      <c r="K321" s="327"/>
      <c r="L321" s="407"/>
      <c r="M321" s="326"/>
      <c r="N321" s="326"/>
      <c r="O321" s="326"/>
      <c r="P321" s="327"/>
      <c r="Q321" s="407"/>
      <c r="R321" s="326"/>
      <c r="S321" s="326"/>
      <c r="T321" s="326"/>
      <c r="U321" s="326"/>
      <c r="V321" s="326"/>
      <c r="W321" s="326"/>
      <c r="X321" s="326"/>
      <c r="Y321" s="326"/>
      <c r="Z321" s="327"/>
      <c r="AA321" s="407"/>
      <c r="AB321" s="326"/>
      <c r="AC321" s="326"/>
      <c r="AD321" s="326"/>
      <c r="AE321" s="326"/>
      <c r="AF321" s="326"/>
      <c r="AG321" s="326"/>
      <c r="AH321" s="326"/>
      <c r="AI321" s="326"/>
      <c r="AJ321" s="326"/>
      <c r="AK321" s="326"/>
      <c r="AL321" s="326"/>
      <c r="AM321" s="326"/>
      <c r="AN321" s="326"/>
      <c r="AO321" s="326"/>
      <c r="AP321" s="326"/>
      <c r="AQ321" s="327"/>
    </row>
    <row r="322" spans="1:43" ht="30" customHeight="1" x14ac:dyDescent="0.25">
      <c r="A322" s="87">
        <f t="shared" si="1"/>
        <v>310</v>
      </c>
      <c r="B322" s="381" t="s">
        <v>334</v>
      </c>
      <c r="C322" s="326"/>
      <c r="D322" s="327"/>
      <c r="E322" s="698"/>
      <c r="F322" s="326"/>
      <c r="G322" s="327"/>
      <c r="H322" s="381"/>
      <c r="I322" s="326"/>
      <c r="J322" s="326"/>
      <c r="K322" s="327"/>
      <c r="L322" s="381"/>
      <c r="M322" s="326"/>
      <c r="N322" s="326"/>
      <c r="O322" s="326"/>
      <c r="P322" s="327"/>
      <c r="Q322" s="381"/>
      <c r="R322" s="326"/>
      <c r="S322" s="326"/>
      <c r="T322" s="326"/>
      <c r="U322" s="326"/>
      <c r="V322" s="326"/>
      <c r="W322" s="326"/>
      <c r="X322" s="326"/>
      <c r="Y322" s="326"/>
      <c r="Z322" s="327"/>
      <c r="AA322" s="381"/>
      <c r="AB322" s="326"/>
      <c r="AC322" s="326"/>
      <c r="AD322" s="326"/>
      <c r="AE322" s="326"/>
      <c r="AF322" s="326"/>
      <c r="AG322" s="326"/>
      <c r="AH322" s="326"/>
      <c r="AI322" s="326"/>
      <c r="AJ322" s="326"/>
      <c r="AK322" s="326"/>
      <c r="AL322" s="326"/>
      <c r="AM322" s="326"/>
      <c r="AN322" s="326"/>
      <c r="AO322" s="326"/>
      <c r="AP322" s="326"/>
      <c r="AQ322" s="327"/>
    </row>
    <row r="323" spans="1:43" ht="30" customHeight="1" x14ac:dyDescent="0.25">
      <c r="A323" s="87">
        <f t="shared" si="1"/>
        <v>311</v>
      </c>
      <c r="B323" s="407" t="s">
        <v>334</v>
      </c>
      <c r="C323" s="326"/>
      <c r="D323" s="327"/>
      <c r="E323" s="697"/>
      <c r="F323" s="326"/>
      <c r="G323" s="327"/>
      <c r="H323" s="407"/>
      <c r="I323" s="326"/>
      <c r="J323" s="326"/>
      <c r="K323" s="327"/>
      <c r="L323" s="407"/>
      <c r="M323" s="326"/>
      <c r="N323" s="326"/>
      <c r="O323" s="326"/>
      <c r="P323" s="327"/>
      <c r="Q323" s="407"/>
      <c r="R323" s="326"/>
      <c r="S323" s="326"/>
      <c r="T323" s="326"/>
      <c r="U323" s="326"/>
      <c r="V323" s="326"/>
      <c r="W323" s="326"/>
      <c r="X323" s="326"/>
      <c r="Y323" s="326"/>
      <c r="Z323" s="327"/>
      <c r="AA323" s="407"/>
      <c r="AB323" s="326"/>
      <c r="AC323" s="326"/>
      <c r="AD323" s="326"/>
      <c r="AE323" s="326"/>
      <c r="AF323" s="326"/>
      <c r="AG323" s="326"/>
      <c r="AH323" s="326"/>
      <c r="AI323" s="326"/>
      <c r="AJ323" s="326"/>
      <c r="AK323" s="326"/>
      <c r="AL323" s="326"/>
      <c r="AM323" s="326"/>
      <c r="AN323" s="326"/>
      <c r="AO323" s="326"/>
      <c r="AP323" s="326"/>
      <c r="AQ323" s="327"/>
    </row>
    <row r="324" spans="1:43" ht="30" customHeight="1" x14ac:dyDescent="0.25">
      <c r="A324" s="87">
        <f t="shared" si="1"/>
        <v>312</v>
      </c>
      <c r="B324" s="381" t="s">
        <v>334</v>
      </c>
      <c r="C324" s="326"/>
      <c r="D324" s="327"/>
      <c r="E324" s="698"/>
      <c r="F324" s="326"/>
      <c r="G324" s="327"/>
      <c r="H324" s="381"/>
      <c r="I324" s="326"/>
      <c r="J324" s="326"/>
      <c r="K324" s="327"/>
      <c r="L324" s="381"/>
      <c r="M324" s="326"/>
      <c r="N324" s="326"/>
      <c r="O324" s="326"/>
      <c r="P324" s="327"/>
      <c r="Q324" s="381"/>
      <c r="R324" s="326"/>
      <c r="S324" s="326"/>
      <c r="T324" s="326"/>
      <c r="U324" s="326"/>
      <c r="V324" s="326"/>
      <c r="W324" s="326"/>
      <c r="X324" s="326"/>
      <c r="Y324" s="326"/>
      <c r="Z324" s="327"/>
      <c r="AA324" s="381"/>
      <c r="AB324" s="326"/>
      <c r="AC324" s="326"/>
      <c r="AD324" s="326"/>
      <c r="AE324" s="326"/>
      <c r="AF324" s="326"/>
      <c r="AG324" s="326"/>
      <c r="AH324" s="326"/>
      <c r="AI324" s="326"/>
      <c r="AJ324" s="326"/>
      <c r="AK324" s="326"/>
      <c r="AL324" s="326"/>
      <c r="AM324" s="326"/>
      <c r="AN324" s="326"/>
      <c r="AO324" s="326"/>
      <c r="AP324" s="326"/>
      <c r="AQ324" s="327"/>
    </row>
    <row r="325" spans="1:43" ht="30" customHeight="1" x14ac:dyDescent="0.25">
      <c r="A325" s="87">
        <f t="shared" si="1"/>
        <v>313</v>
      </c>
      <c r="B325" s="407" t="s">
        <v>334</v>
      </c>
      <c r="C325" s="326"/>
      <c r="D325" s="327"/>
      <c r="E325" s="697"/>
      <c r="F325" s="326"/>
      <c r="G325" s="327"/>
      <c r="H325" s="407"/>
      <c r="I325" s="326"/>
      <c r="J325" s="326"/>
      <c r="K325" s="327"/>
      <c r="L325" s="407"/>
      <c r="M325" s="326"/>
      <c r="N325" s="326"/>
      <c r="O325" s="326"/>
      <c r="P325" s="327"/>
      <c r="Q325" s="407"/>
      <c r="R325" s="326"/>
      <c r="S325" s="326"/>
      <c r="T325" s="326"/>
      <c r="U325" s="326"/>
      <c r="V325" s="326"/>
      <c r="W325" s="326"/>
      <c r="X325" s="326"/>
      <c r="Y325" s="326"/>
      <c r="Z325" s="327"/>
      <c r="AA325" s="407"/>
      <c r="AB325" s="326"/>
      <c r="AC325" s="326"/>
      <c r="AD325" s="326"/>
      <c r="AE325" s="326"/>
      <c r="AF325" s="326"/>
      <c r="AG325" s="326"/>
      <c r="AH325" s="326"/>
      <c r="AI325" s="326"/>
      <c r="AJ325" s="326"/>
      <c r="AK325" s="326"/>
      <c r="AL325" s="326"/>
      <c r="AM325" s="326"/>
      <c r="AN325" s="326"/>
      <c r="AO325" s="326"/>
      <c r="AP325" s="326"/>
      <c r="AQ325" s="327"/>
    </row>
    <row r="326" spans="1:43" ht="30" customHeight="1" x14ac:dyDescent="0.25">
      <c r="A326" s="87">
        <f t="shared" si="1"/>
        <v>314</v>
      </c>
      <c r="B326" s="381" t="s">
        <v>334</v>
      </c>
      <c r="C326" s="326"/>
      <c r="D326" s="327"/>
      <c r="E326" s="698"/>
      <c r="F326" s="326"/>
      <c r="G326" s="327"/>
      <c r="H326" s="381"/>
      <c r="I326" s="326"/>
      <c r="J326" s="326"/>
      <c r="K326" s="327"/>
      <c r="L326" s="381"/>
      <c r="M326" s="326"/>
      <c r="N326" s="326"/>
      <c r="O326" s="326"/>
      <c r="P326" s="327"/>
      <c r="Q326" s="381"/>
      <c r="R326" s="326"/>
      <c r="S326" s="326"/>
      <c r="T326" s="326"/>
      <c r="U326" s="326"/>
      <c r="V326" s="326"/>
      <c r="W326" s="326"/>
      <c r="X326" s="326"/>
      <c r="Y326" s="326"/>
      <c r="Z326" s="327"/>
      <c r="AA326" s="381"/>
      <c r="AB326" s="326"/>
      <c r="AC326" s="326"/>
      <c r="AD326" s="326"/>
      <c r="AE326" s="326"/>
      <c r="AF326" s="326"/>
      <c r="AG326" s="326"/>
      <c r="AH326" s="326"/>
      <c r="AI326" s="326"/>
      <c r="AJ326" s="326"/>
      <c r="AK326" s="326"/>
      <c r="AL326" s="326"/>
      <c r="AM326" s="326"/>
      <c r="AN326" s="326"/>
      <c r="AO326" s="326"/>
      <c r="AP326" s="326"/>
      <c r="AQ326" s="327"/>
    </row>
    <row r="327" spans="1:43" ht="30" customHeight="1" x14ac:dyDescent="0.25">
      <c r="A327" s="87">
        <f t="shared" si="1"/>
        <v>315</v>
      </c>
      <c r="B327" s="407" t="s">
        <v>334</v>
      </c>
      <c r="C327" s="326"/>
      <c r="D327" s="327"/>
      <c r="E327" s="697"/>
      <c r="F327" s="326"/>
      <c r="G327" s="327"/>
      <c r="H327" s="407"/>
      <c r="I327" s="326"/>
      <c r="J327" s="326"/>
      <c r="K327" s="327"/>
      <c r="L327" s="407"/>
      <c r="M327" s="326"/>
      <c r="N327" s="326"/>
      <c r="O327" s="326"/>
      <c r="P327" s="327"/>
      <c r="Q327" s="407"/>
      <c r="R327" s="326"/>
      <c r="S327" s="326"/>
      <c r="T327" s="326"/>
      <c r="U327" s="326"/>
      <c r="V327" s="326"/>
      <c r="W327" s="326"/>
      <c r="X327" s="326"/>
      <c r="Y327" s="326"/>
      <c r="Z327" s="327"/>
      <c r="AA327" s="407"/>
      <c r="AB327" s="326"/>
      <c r="AC327" s="326"/>
      <c r="AD327" s="326"/>
      <c r="AE327" s="326"/>
      <c r="AF327" s="326"/>
      <c r="AG327" s="326"/>
      <c r="AH327" s="326"/>
      <c r="AI327" s="326"/>
      <c r="AJ327" s="326"/>
      <c r="AK327" s="326"/>
      <c r="AL327" s="326"/>
      <c r="AM327" s="326"/>
      <c r="AN327" s="326"/>
      <c r="AO327" s="326"/>
      <c r="AP327" s="326"/>
      <c r="AQ327" s="327"/>
    </row>
    <row r="328" spans="1:43" ht="30" customHeight="1" x14ac:dyDescent="0.25">
      <c r="A328" s="87">
        <f t="shared" si="1"/>
        <v>316</v>
      </c>
      <c r="B328" s="381" t="s">
        <v>334</v>
      </c>
      <c r="C328" s="326"/>
      <c r="D328" s="327"/>
      <c r="E328" s="698"/>
      <c r="F328" s="326"/>
      <c r="G328" s="327"/>
      <c r="H328" s="381"/>
      <c r="I328" s="326"/>
      <c r="J328" s="326"/>
      <c r="K328" s="327"/>
      <c r="L328" s="381"/>
      <c r="M328" s="326"/>
      <c r="N328" s="326"/>
      <c r="O328" s="326"/>
      <c r="P328" s="327"/>
      <c r="Q328" s="381"/>
      <c r="R328" s="326"/>
      <c r="S328" s="326"/>
      <c r="T328" s="326"/>
      <c r="U328" s="326"/>
      <c r="V328" s="326"/>
      <c r="W328" s="326"/>
      <c r="X328" s="326"/>
      <c r="Y328" s="326"/>
      <c r="Z328" s="327"/>
      <c r="AA328" s="381"/>
      <c r="AB328" s="326"/>
      <c r="AC328" s="326"/>
      <c r="AD328" s="326"/>
      <c r="AE328" s="326"/>
      <c r="AF328" s="326"/>
      <c r="AG328" s="326"/>
      <c r="AH328" s="326"/>
      <c r="AI328" s="326"/>
      <c r="AJ328" s="326"/>
      <c r="AK328" s="326"/>
      <c r="AL328" s="326"/>
      <c r="AM328" s="326"/>
      <c r="AN328" s="326"/>
      <c r="AO328" s="326"/>
      <c r="AP328" s="326"/>
      <c r="AQ328" s="327"/>
    </row>
    <row r="329" spans="1:43" ht="30" customHeight="1" x14ac:dyDescent="0.25">
      <c r="A329" s="87">
        <f t="shared" si="1"/>
        <v>317</v>
      </c>
      <c r="B329" s="407" t="s">
        <v>334</v>
      </c>
      <c r="C329" s="326"/>
      <c r="D329" s="327"/>
      <c r="E329" s="697"/>
      <c r="F329" s="326"/>
      <c r="G329" s="327"/>
      <c r="H329" s="407"/>
      <c r="I329" s="326"/>
      <c r="J329" s="326"/>
      <c r="K329" s="327"/>
      <c r="L329" s="407"/>
      <c r="M329" s="326"/>
      <c r="N329" s="326"/>
      <c r="O329" s="326"/>
      <c r="P329" s="327"/>
      <c r="Q329" s="407"/>
      <c r="R329" s="326"/>
      <c r="S329" s="326"/>
      <c r="T329" s="326"/>
      <c r="U329" s="326"/>
      <c r="V329" s="326"/>
      <c r="W329" s="326"/>
      <c r="X329" s="326"/>
      <c r="Y329" s="326"/>
      <c r="Z329" s="327"/>
      <c r="AA329" s="407"/>
      <c r="AB329" s="326"/>
      <c r="AC329" s="326"/>
      <c r="AD329" s="326"/>
      <c r="AE329" s="326"/>
      <c r="AF329" s="326"/>
      <c r="AG329" s="326"/>
      <c r="AH329" s="326"/>
      <c r="AI329" s="326"/>
      <c r="AJ329" s="326"/>
      <c r="AK329" s="326"/>
      <c r="AL329" s="326"/>
      <c r="AM329" s="326"/>
      <c r="AN329" s="326"/>
      <c r="AO329" s="326"/>
      <c r="AP329" s="326"/>
      <c r="AQ329" s="327"/>
    </row>
    <row r="330" spans="1:43" ht="30" customHeight="1" x14ac:dyDescent="0.25">
      <c r="A330" s="87">
        <f t="shared" si="1"/>
        <v>318</v>
      </c>
      <c r="B330" s="381" t="s">
        <v>334</v>
      </c>
      <c r="C330" s="326"/>
      <c r="D330" s="327"/>
      <c r="E330" s="698"/>
      <c r="F330" s="326"/>
      <c r="G330" s="327"/>
      <c r="H330" s="381"/>
      <c r="I330" s="326"/>
      <c r="J330" s="326"/>
      <c r="K330" s="327"/>
      <c r="L330" s="381"/>
      <c r="M330" s="326"/>
      <c r="N330" s="326"/>
      <c r="O330" s="326"/>
      <c r="P330" s="327"/>
      <c r="Q330" s="381"/>
      <c r="R330" s="326"/>
      <c r="S330" s="326"/>
      <c r="T330" s="326"/>
      <c r="U330" s="326"/>
      <c r="V330" s="326"/>
      <c r="W330" s="326"/>
      <c r="X330" s="326"/>
      <c r="Y330" s="326"/>
      <c r="Z330" s="327"/>
      <c r="AA330" s="381"/>
      <c r="AB330" s="326"/>
      <c r="AC330" s="326"/>
      <c r="AD330" s="326"/>
      <c r="AE330" s="326"/>
      <c r="AF330" s="326"/>
      <c r="AG330" s="326"/>
      <c r="AH330" s="326"/>
      <c r="AI330" s="326"/>
      <c r="AJ330" s="326"/>
      <c r="AK330" s="326"/>
      <c r="AL330" s="326"/>
      <c r="AM330" s="326"/>
      <c r="AN330" s="326"/>
      <c r="AO330" s="326"/>
      <c r="AP330" s="326"/>
      <c r="AQ330" s="327"/>
    </row>
    <row r="331" spans="1:43" ht="30" customHeight="1" x14ac:dyDescent="0.25">
      <c r="A331" s="87">
        <f t="shared" si="1"/>
        <v>319</v>
      </c>
      <c r="B331" s="407" t="s">
        <v>334</v>
      </c>
      <c r="C331" s="326"/>
      <c r="D331" s="327"/>
      <c r="E331" s="697"/>
      <c r="F331" s="326"/>
      <c r="G331" s="327"/>
      <c r="H331" s="407"/>
      <c r="I331" s="326"/>
      <c r="J331" s="326"/>
      <c r="K331" s="327"/>
      <c r="L331" s="407"/>
      <c r="M331" s="326"/>
      <c r="N331" s="326"/>
      <c r="O331" s="326"/>
      <c r="P331" s="327"/>
      <c r="Q331" s="407"/>
      <c r="R331" s="326"/>
      <c r="S331" s="326"/>
      <c r="T331" s="326"/>
      <c r="U331" s="326"/>
      <c r="V331" s="326"/>
      <c r="W331" s="326"/>
      <c r="X331" s="326"/>
      <c r="Y331" s="326"/>
      <c r="Z331" s="327"/>
      <c r="AA331" s="407"/>
      <c r="AB331" s="326"/>
      <c r="AC331" s="326"/>
      <c r="AD331" s="326"/>
      <c r="AE331" s="326"/>
      <c r="AF331" s="326"/>
      <c r="AG331" s="326"/>
      <c r="AH331" s="326"/>
      <c r="AI331" s="326"/>
      <c r="AJ331" s="326"/>
      <c r="AK331" s="326"/>
      <c r="AL331" s="326"/>
      <c r="AM331" s="326"/>
      <c r="AN331" s="326"/>
      <c r="AO331" s="326"/>
      <c r="AP331" s="326"/>
      <c r="AQ331" s="327"/>
    </row>
    <row r="332" spans="1:43" ht="30" customHeight="1" x14ac:dyDescent="0.25">
      <c r="A332" s="87">
        <f t="shared" si="1"/>
        <v>320</v>
      </c>
      <c r="B332" s="381" t="s">
        <v>334</v>
      </c>
      <c r="C332" s="326"/>
      <c r="D332" s="327"/>
      <c r="E332" s="698"/>
      <c r="F332" s="326"/>
      <c r="G332" s="327"/>
      <c r="H332" s="381"/>
      <c r="I332" s="326"/>
      <c r="J332" s="326"/>
      <c r="K332" s="327"/>
      <c r="L332" s="381"/>
      <c r="M332" s="326"/>
      <c r="N332" s="326"/>
      <c r="O332" s="326"/>
      <c r="P332" s="327"/>
      <c r="Q332" s="381"/>
      <c r="R332" s="326"/>
      <c r="S332" s="326"/>
      <c r="T332" s="326"/>
      <c r="U332" s="326"/>
      <c r="V332" s="326"/>
      <c r="W332" s="326"/>
      <c r="X332" s="326"/>
      <c r="Y332" s="326"/>
      <c r="Z332" s="327"/>
      <c r="AA332" s="381"/>
      <c r="AB332" s="326"/>
      <c r="AC332" s="326"/>
      <c r="AD332" s="326"/>
      <c r="AE332" s="326"/>
      <c r="AF332" s="326"/>
      <c r="AG332" s="326"/>
      <c r="AH332" s="326"/>
      <c r="AI332" s="326"/>
      <c r="AJ332" s="326"/>
      <c r="AK332" s="326"/>
      <c r="AL332" s="326"/>
      <c r="AM332" s="326"/>
      <c r="AN332" s="326"/>
      <c r="AO332" s="326"/>
      <c r="AP332" s="326"/>
      <c r="AQ332" s="327"/>
    </row>
    <row r="333" spans="1:43" ht="30" customHeight="1" x14ac:dyDescent="0.25">
      <c r="A333" s="87">
        <f t="shared" si="1"/>
        <v>321</v>
      </c>
      <c r="B333" s="407" t="s">
        <v>334</v>
      </c>
      <c r="C333" s="326"/>
      <c r="D333" s="327"/>
      <c r="E333" s="697"/>
      <c r="F333" s="326"/>
      <c r="G333" s="327"/>
      <c r="H333" s="407"/>
      <c r="I333" s="326"/>
      <c r="J333" s="326"/>
      <c r="K333" s="327"/>
      <c r="L333" s="407"/>
      <c r="M333" s="326"/>
      <c r="N333" s="326"/>
      <c r="O333" s="326"/>
      <c r="P333" s="327"/>
      <c r="Q333" s="407"/>
      <c r="R333" s="326"/>
      <c r="S333" s="326"/>
      <c r="T333" s="326"/>
      <c r="U333" s="326"/>
      <c r="V333" s="326"/>
      <c r="W333" s="326"/>
      <c r="X333" s="326"/>
      <c r="Y333" s="326"/>
      <c r="Z333" s="327"/>
      <c r="AA333" s="407"/>
      <c r="AB333" s="326"/>
      <c r="AC333" s="326"/>
      <c r="AD333" s="326"/>
      <c r="AE333" s="326"/>
      <c r="AF333" s="326"/>
      <c r="AG333" s="326"/>
      <c r="AH333" s="326"/>
      <c r="AI333" s="326"/>
      <c r="AJ333" s="326"/>
      <c r="AK333" s="326"/>
      <c r="AL333" s="326"/>
      <c r="AM333" s="326"/>
      <c r="AN333" s="326"/>
      <c r="AO333" s="326"/>
      <c r="AP333" s="326"/>
      <c r="AQ333" s="327"/>
    </row>
    <row r="334" spans="1:43" ht="30" customHeight="1" x14ac:dyDescent="0.25">
      <c r="A334" s="87">
        <f t="shared" si="1"/>
        <v>322</v>
      </c>
      <c r="B334" s="381" t="s">
        <v>334</v>
      </c>
      <c r="C334" s="326"/>
      <c r="D334" s="327"/>
      <c r="E334" s="698"/>
      <c r="F334" s="326"/>
      <c r="G334" s="327"/>
      <c r="H334" s="381"/>
      <c r="I334" s="326"/>
      <c r="J334" s="326"/>
      <c r="K334" s="327"/>
      <c r="L334" s="381"/>
      <c r="M334" s="326"/>
      <c r="N334" s="326"/>
      <c r="O334" s="326"/>
      <c r="P334" s="327"/>
      <c r="Q334" s="381"/>
      <c r="R334" s="326"/>
      <c r="S334" s="326"/>
      <c r="T334" s="326"/>
      <c r="U334" s="326"/>
      <c r="V334" s="326"/>
      <c r="W334" s="326"/>
      <c r="X334" s="326"/>
      <c r="Y334" s="326"/>
      <c r="Z334" s="327"/>
      <c r="AA334" s="381"/>
      <c r="AB334" s="326"/>
      <c r="AC334" s="326"/>
      <c r="AD334" s="326"/>
      <c r="AE334" s="326"/>
      <c r="AF334" s="326"/>
      <c r="AG334" s="326"/>
      <c r="AH334" s="326"/>
      <c r="AI334" s="326"/>
      <c r="AJ334" s="326"/>
      <c r="AK334" s="326"/>
      <c r="AL334" s="326"/>
      <c r="AM334" s="326"/>
      <c r="AN334" s="326"/>
      <c r="AO334" s="326"/>
      <c r="AP334" s="326"/>
      <c r="AQ334" s="327"/>
    </row>
    <row r="335" spans="1:43" ht="30" customHeight="1" x14ac:dyDescent="0.25">
      <c r="A335" s="87">
        <f t="shared" si="1"/>
        <v>323</v>
      </c>
      <c r="B335" s="407" t="s">
        <v>334</v>
      </c>
      <c r="C335" s="326"/>
      <c r="D335" s="327"/>
      <c r="E335" s="697"/>
      <c r="F335" s="326"/>
      <c r="G335" s="327"/>
      <c r="H335" s="407"/>
      <c r="I335" s="326"/>
      <c r="J335" s="326"/>
      <c r="K335" s="327"/>
      <c r="L335" s="407"/>
      <c r="M335" s="326"/>
      <c r="N335" s="326"/>
      <c r="O335" s="326"/>
      <c r="P335" s="327"/>
      <c r="Q335" s="407"/>
      <c r="R335" s="326"/>
      <c r="S335" s="326"/>
      <c r="T335" s="326"/>
      <c r="U335" s="326"/>
      <c r="V335" s="326"/>
      <c r="W335" s="326"/>
      <c r="X335" s="326"/>
      <c r="Y335" s="326"/>
      <c r="Z335" s="327"/>
      <c r="AA335" s="407"/>
      <c r="AB335" s="326"/>
      <c r="AC335" s="326"/>
      <c r="AD335" s="326"/>
      <c r="AE335" s="326"/>
      <c r="AF335" s="326"/>
      <c r="AG335" s="326"/>
      <c r="AH335" s="326"/>
      <c r="AI335" s="326"/>
      <c r="AJ335" s="326"/>
      <c r="AK335" s="326"/>
      <c r="AL335" s="326"/>
      <c r="AM335" s="326"/>
      <c r="AN335" s="326"/>
      <c r="AO335" s="326"/>
      <c r="AP335" s="326"/>
      <c r="AQ335" s="327"/>
    </row>
    <row r="336" spans="1:43" ht="30" customHeight="1" x14ac:dyDescent="0.25">
      <c r="A336" s="87">
        <f t="shared" si="1"/>
        <v>324</v>
      </c>
      <c r="B336" s="381" t="s">
        <v>334</v>
      </c>
      <c r="C336" s="326"/>
      <c r="D336" s="327"/>
      <c r="E336" s="698"/>
      <c r="F336" s="326"/>
      <c r="G336" s="327"/>
      <c r="H336" s="381"/>
      <c r="I336" s="326"/>
      <c r="J336" s="326"/>
      <c r="K336" s="327"/>
      <c r="L336" s="381"/>
      <c r="M336" s="326"/>
      <c r="N336" s="326"/>
      <c r="O336" s="326"/>
      <c r="P336" s="327"/>
      <c r="Q336" s="381"/>
      <c r="R336" s="326"/>
      <c r="S336" s="326"/>
      <c r="T336" s="326"/>
      <c r="U336" s="326"/>
      <c r="V336" s="326"/>
      <c r="W336" s="326"/>
      <c r="X336" s="326"/>
      <c r="Y336" s="326"/>
      <c r="Z336" s="327"/>
      <c r="AA336" s="381"/>
      <c r="AB336" s="326"/>
      <c r="AC336" s="326"/>
      <c r="AD336" s="326"/>
      <c r="AE336" s="326"/>
      <c r="AF336" s="326"/>
      <c r="AG336" s="326"/>
      <c r="AH336" s="326"/>
      <c r="AI336" s="326"/>
      <c r="AJ336" s="326"/>
      <c r="AK336" s="326"/>
      <c r="AL336" s="326"/>
      <c r="AM336" s="326"/>
      <c r="AN336" s="326"/>
      <c r="AO336" s="326"/>
      <c r="AP336" s="326"/>
      <c r="AQ336" s="327"/>
    </row>
    <row r="337" spans="1:43" ht="30" customHeight="1" x14ac:dyDescent="0.25">
      <c r="A337" s="87">
        <f t="shared" si="1"/>
        <v>325</v>
      </c>
      <c r="B337" s="407" t="s">
        <v>334</v>
      </c>
      <c r="C337" s="326"/>
      <c r="D337" s="327"/>
      <c r="E337" s="697"/>
      <c r="F337" s="326"/>
      <c r="G337" s="327"/>
      <c r="H337" s="407"/>
      <c r="I337" s="326"/>
      <c r="J337" s="326"/>
      <c r="K337" s="327"/>
      <c r="L337" s="407"/>
      <c r="M337" s="326"/>
      <c r="N337" s="326"/>
      <c r="O337" s="326"/>
      <c r="P337" s="327"/>
      <c r="Q337" s="407"/>
      <c r="R337" s="326"/>
      <c r="S337" s="326"/>
      <c r="T337" s="326"/>
      <c r="U337" s="326"/>
      <c r="V337" s="326"/>
      <c r="W337" s="326"/>
      <c r="X337" s="326"/>
      <c r="Y337" s="326"/>
      <c r="Z337" s="327"/>
      <c r="AA337" s="407"/>
      <c r="AB337" s="326"/>
      <c r="AC337" s="326"/>
      <c r="AD337" s="326"/>
      <c r="AE337" s="326"/>
      <c r="AF337" s="326"/>
      <c r="AG337" s="326"/>
      <c r="AH337" s="326"/>
      <c r="AI337" s="326"/>
      <c r="AJ337" s="326"/>
      <c r="AK337" s="326"/>
      <c r="AL337" s="326"/>
      <c r="AM337" s="326"/>
      <c r="AN337" s="326"/>
      <c r="AO337" s="326"/>
      <c r="AP337" s="326"/>
      <c r="AQ337" s="327"/>
    </row>
    <row r="338" spans="1:43" ht="30" customHeight="1" x14ac:dyDescent="0.25">
      <c r="A338" s="87">
        <f t="shared" si="1"/>
        <v>326</v>
      </c>
      <c r="B338" s="381" t="s">
        <v>334</v>
      </c>
      <c r="C338" s="326"/>
      <c r="D338" s="327"/>
      <c r="E338" s="698"/>
      <c r="F338" s="326"/>
      <c r="G338" s="327"/>
      <c r="H338" s="381"/>
      <c r="I338" s="326"/>
      <c r="J338" s="326"/>
      <c r="K338" s="327"/>
      <c r="L338" s="381"/>
      <c r="M338" s="326"/>
      <c r="N338" s="326"/>
      <c r="O338" s="326"/>
      <c r="P338" s="327"/>
      <c r="Q338" s="381"/>
      <c r="R338" s="326"/>
      <c r="S338" s="326"/>
      <c r="T338" s="326"/>
      <c r="U338" s="326"/>
      <c r="V338" s="326"/>
      <c r="W338" s="326"/>
      <c r="X338" s="326"/>
      <c r="Y338" s="326"/>
      <c r="Z338" s="327"/>
      <c r="AA338" s="381"/>
      <c r="AB338" s="326"/>
      <c r="AC338" s="326"/>
      <c r="AD338" s="326"/>
      <c r="AE338" s="326"/>
      <c r="AF338" s="326"/>
      <c r="AG338" s="326"/>
      <c r="AH338" s="326"/>
      <c r="AI338" s="326"/>
      <c r="AJ338" s="326"/>
      <c r="AK338" s="326"/>
      <c r="AL338" s="326"/>
      <c r="AM338" s="326"/>
      <c r="AN338" s="326"/>
      <c r="AO338" s="326"/>
      <c r="AP338" s="326"/>
      <c r="AQ338" s="327"/>
    </row>
    <row r="339" spans="1:43" ht="30" customHeight="1" x14ac:dyDescent="0.25">
      <c r="A339" s="87">
        <f t="shared" si="1"/>
        <v>327</v>
      </c>
      <c r="B339" s="407" t="s">
        <v>334</v>
      </c>
      <c r="C339" s="326"/>
      <c r="D339" s="327"/>
      <c r="E339" s="697"/>
      <c r="F339" s="326"/>
      <c r="G339" s="327"/>
      <c r="H339" s="407"/>
      <c r="I339" s="326"/>
      <c r="J339" s="326"/>
      <c r="K339" s="327"/>
      <c r="L339" s="407"/>
      <c r="M339" s="326"/>
      <c r="N339" s="326"/>
      <c r="O339" s="326"/>
      <c r="P339" s="327"/>
      <c r="Q339" s="407"/>
      <c r="R339" s="326"/>
      <c r="S339" s="326"/>
      <c r="T339" s="326"/>
      <c r="U339" s="326"/>
      <c r="V339" s="326"/>
      <c r="W339" s="326"/>
      <c r="X339" s="326"/>
      <c r="Y339" s="326"/>
      <c r="Z339" s="327"/>
      <c r="AA339" s="407"/>
      <c r="AB339" s="326"/>
      <c r="AC339" s="326"/>
      <c r="AD339" s="326"/>
      <c r="AE339" s="326"/>
      <c r="AF339" s="326"/>
      <c r="AG339" s="326"/>
      <c r="AH339" s="326"/>
      <c r="AI339" s="326"/>
      <c r="AJ339" s="326"/>
      <c r="AK339" s="326"/>
      <c r="AL339" s="326"/>
      <c r="AM339" s="326"/>
      <c r="AN339" s="326"/>
      <c r="AO339" s="326"/>
      <c r="AP339" s="326"/>
      <c r="AQ339" s="327"/>
    </row>
    <row r="340" spans="1:43" ht="30" customHeight="1" x14ac:dyDescent="0.25">
      <c r="A340" s="87">
        <f t="shared" si="1"/>
        <v>328</v>
      </c>
      <c r="B340" s="381" t="s">
        <v>334</v>
      </c>
      <c r="C340" s="326"/>
      <c r="D340" s="327"/>
      <c r="E340" s="698"/>
      <c r="F340" s="326"/>
      <c r="G340" s="327"/>
      <c r="H340" s="381"/>
      <c r="I340" s="326"/>
      <c r="J340" s="326"/>
      <c r="K340" s="327"/>
      <c r="L340" s="381"/>
      <c r="M340" s="326"/>
      <c r="N340" s="326"/>
      <c r="O340" s="326"/>
      <c r="P340" s="327"/>
      <c r="Q340" s="381"/>
      <c r="R340" s="326"/>
      <c r="S340" s="326"/>
      <c r="T340" s="326"/>
      <c r="U340" s="326"/>
      <c r="V340" s="326"/>
      <c r="W340" s="326"/>
      <c r="X340" s="326"/>
      <c r="Y340" s="326"/>
      <c r="Z340" s="327"/>
      <c r="AA340" s="381"/>
      <c r="AB340" s="326"/>
      <c r="AC340" s="326"/>
      <c r="AD340" s="326"/>
      <c r="AE340" s="326"/>
      <c r="AF340" s="326"/>
      <c r="AG340" s="326"/>
      <c r="AH340" s="326"/>
      <c r="AI340" s="326"/>
      <c r="AJ340" s="326"/>
      <c r="AK340" s="326"/>
      <c r="AL340" s="326"/>
      <c r="AM340" s="326"/>
      <c r="AN340" s="326"/>
      <c r="AO340" s="326"/>
      <c r="AP340" s="326"/>
      <c r="AQ340" s="327"/>
    </row>
    <row r="341" spans="1:43" ht="30" customHeight="1" x14ac:dyDescent="0.25">
      <c r="A341" s="87">
        <f t="shared" si="1"/>
        <v>329</v>
      </c>
      <c r="B341" s="407" t="s">
        <v>334</v>
      </c>
      <c r="C341" s="326"/>
      <c r="D341" s="327"/>
      <c r="E341" s="697"/>
      <c r="F341" s="326"/>
      <c r="G341" s="327"/>
      <c r="H341" s="407"/>
      <c r="I341" s="326"/>
      <c r="J341" s="326"/>
      <c r="K341" s="327"/>
      <c r="L341" s="407"/>
      <c r="M341" s="326"/>
      <c r="N341" s="326"/>
      <c r="O341" s="326"/>
      <c r="P341" s="327"/>
      <c r="Q341" s="407"/>
      <c r="R341" s="326"/>
      <c r="S341" s="326"/>
      <c r="T341" s="326"/>
      <c r="U341" s="326"/>
      <c r="V341" s="326"/>
      <c r="W341" s="326"/>
      <c r="X341" s="326"/>
      <c r="Y341" s="326"/>
      <c r="Z341" s="327"/>
      <c r="AA341" s="407"/>
      <c r="AB341" s="326"/>
      <c r="AC341" s="326"/>
      <c r="AD341" s="326"/>
      <c r="AE341" s="326"/>
      <c r="AF341" s="326"/>
      <c r="AG341" s="326"/>
      <c r="AH341" s="326"/>
      <c r="AI341" s="326"/>
      <c r="AJ341" s="326"/>
      <c r="AK341" s="326"/>
      <c r="AL341" s="326"/>
      <c r="AM341" s="326"/>
      <c r="AN341" s="326"/>
      <c r="AO341" s="326"/>
      <c r="AP341" s="326"/>
      <c r="AQ341" s="327"/>
    </row>
    <row r="342" spans="1:43" ht="30" customHeight="1" x14ac:dyDescent="0.25">
      <c r="A342" s="87">
        <f t="shared" si="1"/>
        <v>330</v>
      </c>
      <c r="B342" s="381" t="s">
        <v>334</v>
      </c>
      <c r="C342" s="326"/>
      <c r="D342" s="327"/>
      <c r="E342" s="698"/>
      <c r="F342" s="326"/>
      <c r="G342" s="327"/>
      <c r="H342" s="381"/>
      <c r="I342" s="326"/>
      <c r="J342" s="326"/>
      <c r="K342" s="327"/>
      <c r="L342" s="381"/>
      <c r="M342" s="326"/>
      <c r="N342" s="326"/>
      <c r="O342" s="326"/>
      <c r="P342" s="327"/>
      <c r="Q342" s="381"/>
      <c r="R342" s="326"/>
      <c r="S342" s="326"/>
      <c r="T342" s="326"/>
      <c r="U342" s="326"/>
      <c r="V342" s="326"/>
      <c r="W342" s="326"/>
      <c r="X342" s="326"/>
      <c r="Y342" s="326"/>
      <c r="Z342" s="327"/>
      <c r="AA342" s="381"/>
      <c r="AB342" s="326"/>
      <c r="AC342" s="326"/>
      <c r="AD342" s="326"/>
      <c r="AE342" s="326"/>
      <c r="AF342" s="326"/>
      <c r="AG342" s="326"/>
      <c r="AH342" s="326"/>
      <c r="AI342" s="326"/>
      <c r="AJ342" s="326"/>
      <c r="AK342" s="326"/>
      <c r="AL342" s="326"/>
      <c r="AM342" s="326"/>
      <c r="AN342" s="326"/>
      <c r="AO342" s="326"/>
      <c r="AP342" s="326"/>
      <c r="AQ342" s="327"/>
    </row>
    <row r="343" spans="1:43" ht="30" customHeight="1" x14ac:dyDescent="0.25">
      <c r="A343" s="87">
        <f t="shared" si="1"/>
        <v>331</v>
      </c>
      <c r="B343" s="407" t="s">
        <v>334</v>
      </c>
      <c r="C343" s="326"/>
      <c r="D343" s="327"/>
      <c r="E343" s="697"/>
      <c r="F343" s="326"/>
      <c r="G343" s="327"/>
      <c r="H343" s="407"/>
      <c r="I343" s="326"/>
      <c r="J343" s="326"/>
      <c r="K343" s="327"/>
      <c r="L343" s="407"/>
      <c r="M343" s="326"/>
      <c r="N343" s="326"/>
      <c r="O343" s="326"/>
      <c r="P343" s="327"/>
      <c r="Q343" s="407"/>
      <c r="R343" s="326"/>
      <c r="S343" s="326"/>
      <c r="T343" s="326"/>
      <c r="U343" s="326"/>
      <c r="V343" s="326"/>
      <c r="W343" s="326"/>
      <c r="X343" s="326"/>
      <c r="Y343" s="326"/>
      <c r="Z343" s="327"/>
      <c r="AA343" s="407"/>
      <c r="AB343" s="326"/>
      <c r="AC343" s="326"/>
      <c r="AD343" s="326"/>
      <c r="AE343" s="326"/>
      <c r="AF343" s="326"/>
      <c r="AG343" s="326"/>
      <c r="AH343" s="326"/>
      <c r="AI343" s="326"/>
      <c r="AJ343" s="326"/>
      <c r="AK343" s="326"/>
      <c r="AL343" s="326"/>
      <c r="AM343" s="326"/>
      <c r="AN343" s="326"/>
      <c r="AO343" s="326"/>
      <c r="AP343" s="326"/>
      <c r="AQ343" s="327"/>
    </row>
    <row r="344" spans="1:43" ht="30" customHeight="1" x14ac:dyDescent="0.25">
      <c r="A344" s="87">
        <f t="shared" si="1"/>
        <v>332</v>
      </c>
      <c r="B344" s="381" t="s">
        <v>334</v>
      </c>
      <c r="C344" s="326"/>
      <c r="D344" s="327"/>
      <c r="E344" s="698"/>
      <c r="F344" s="326"/>
      <c r="G344" s="327"/>
      <c r="H344" s="381"/>
      <c r="I344" s="326"/>
      <c r="J344" s="326"/>
      <c r="K344" s="327"/>
      <c r="L344" s="381"/>
      <c r="M344" s="326"/>
      <c r="N344" s="326"/>
      <c r="O344" s="326"/>
      <c r="P344" s="327"/>
      <c r="Q344" s="381"/>
      <c r="R344" s="326"/>
      <c r="S344" s="326"/>
      <c r="T344" s="326"/>
      <c r="U344" s="326"/>
      <c r="V344" s="326"/>
      <c r="W344" s="326"/>
      <c r="X344" s="326"/>
      <c r="Y344" s="326"/>
      <c r="Z344" s="327"/>
      <c r="AA344" s="381"/>
      <c r="AB344" s="326"/>
      <c r="AC344" s="326"/>
      <c r="AD344" s="326"/>
      <c r="AE344" s="326"/>
      <c r="AF344" s="326"/>
      <c r="AG344" s="326"/>
      <c r="AH344" s="326"/>
      <c r="AI344" s="326"/>
      <c r="AJ344" s="326"/>
      <c r="AK344" s="326"/>
      <c r="AL344" s="326"/>
      <c r="AM344" s="326"/>
      <c r="AN344" s="326"/>
      <c r="AO344" s="326"/>
      <c r="AP344" s="326"/>
      <c r="AQ344" s="327"/>
    </row>
    <row r="345" spans="1:43" ht="30" customHeight="1" x14ac:dyDescent="0.25">
      <c r="A345" s="87">
        <f t="shared" si="1"/>
        <v>333</v>
      </c>
      <c r="B345" s="407" t="s">
        <v>334</v>
      </c>
      <c r="C345" s="326"/>
      <c r="D345" s="327"/>
      <c r="E345" s="697"/>
      <c r="F345" s="326"/>
      <c r="G345" s="327"/>
      <c r="H345" s="407"/>
      <c r="I345" s="326"/>
      <c r="J345" s="326"/>
      <c r="K345" s="327"/>
      <c r="L345" s="407"/>
      <c r="M345" s="326"/>
      <c r="N345" s="326"/>
      <c r="O345" s="326"/>
      <c r="P345" s="327"/>
      <c r="Q345" s="407"/>
      <c r="R345" s="326"/>
      <c r="S345" s="326"/>
      <c r="T345" s="326"/>
      <c r="U345" s="326"/>
      <c r="V345" s="326"/>
      <c r="W345" s="326"/>
      <c r="X345" s="326"/>
      <c r="Y345" s="326"/>
      <c r="Z345" s="327"/>
      <c r="AA345" s="407"/>
      <c r="AB345" s="326"/>
      <c r="AC345" s="326"/>
      <c r="AD345" s="326"/>
      <c r="AE345" s="326"/>
      <c r="AF345" s="326"/>
      <c r="AG345" s="326"/>
      <c r="AH345" s="326"/>
      <c r="AI345" s="326"/>
      <c r="AJ345" s="326"/>
      <c r="AK345" s="326"/>
      <c r="AL345" s="326"/>
      <c r="AM345" s="326"/>
      <c r="AN345" s="326"/>
      <c r="AO345" s="326"/>
      <c r="AP345" s="326"/>
      <c r="AQ345" s="327"/>
    </row>
    <row r="346" spans="1:43" ht="30" customHeight="1" x14ac:dyDescent="0.25">
      <c r="A346" s="87">
        <f t="shared" si="1"/>
        <v>334</v>
      </c>
      <c r="B346" s="381" t="s">
        <v>334</v>
      </c>
      <c r="C346" s="326"/>
      <c r="D346" s="327"/>
      <c r="E346" s="698"/>
      <c r="F346" s="326"/>
      <c r="G346" s="327"/>
      <c r="H346" s="381"/>
      <c r="I346" s="326"/>
      <c r="J346" s="326"/>
      <c r="K346" s="327"/>
      <c r="L346" s="381"/>
      <c r="M346" s="326"/>
      <c r="N346" s="326"/>
      <c r="O346" s="326"/>
      <c r="P346" s="327"/>
      <c r="Q346" s="381"/>
      <c r="R346" s="326"/>
      <c r="S346" s="326"/>
      <c r="T346" s="326"/>
      <c r="U346" s="326"/>
      <c r="V346" s="326"/>
      <c r="W346" s="326"/>
      <c r="X346" s="326"/>
      <c r="Y346" s="326"/>
      <c r="Z346" s="327"/>
      <c r="AA346" s="381"/>
      <c r="AB346" s="326"/>
      <c r="AC346" s="326"/>
      <c r="AD346" s="326"/>
      <c r="AE346" s="326"/>
      <c r="AF346" s="326"/>
      <c r="AG346" s="326"/>
      <c r="AH346" s="326"/>
      <c r="AI346" s="326"/>
      <c r="AJ346" s="326"/>
      <c r="AK346" s="326"/>
      <c r="AL346" s="326"/>
      <c r="AM346" s="326"/>
      <c r="AN346" s="326"/>
      <c r="AO346" s="326"/>
      <c r="AP346" s="326"/>
      <c r="AQ346" s="327"/>
    </row>
    <row r="347" spans="1:43" ht="30" customHeight="1" x14ac:dyDescent="0.25">
      <c r="A347" s="87">
        <f t="shared" si="1"/>
        <v>335</v>
      </c>
      <c r="B347" s="407" t="s">
        <v>334</v>
      </c>
      <c r="C347" s="326"/>
      <c r="D347" s="327"/>
      <c r="E347" s="697"/>
      <c r="F347" s="326"/>
      <c r="G347" s="327"/>
      <c r="H347" s="407"/>
      <c r="I347" s="326"/>
      <c r="J347" s="326"/>
      <c r="K347" s="327"/>
      <c r="L347" s="407"/>
      <c r="M347" s="326"/>
      <c r="N347" s="326"/>
      <c r="O347" s="326"/>
      <c r="P347" s="327"/>
      <c r="Q347" s="407"/>
      <c r="R347" s="326"/>
      <c r="S347" s="326"/>
      <c r="T347" s="326"/>
      <c r="U347" s="326"/>
      <c r="V347" s="326"/>
      <c r="W347" s="326"/>
      <c r="X347" s="326"/>
      <c r="Y347" s="326"/>
      <c r="Z347" s="327"/>
      <c r="AA347" s="407"/>
      <c r="AB347" s="326"/>
      <c r="AC347" s="326"/>
      <c r="AD347" s="326"/>
      <c r="AE347" s="326"/>
      <c r="AF347" s="326"/>
      <c r="AG347" s="326"/>
      <c r="AH347" s="326"/>
      <c r="AI347" s="326"/>
      <c r="AJ347" s="326"/>
      <c r="AK347" s="326"/>
      <c r="AL347" s="326"/>
      <c r="AM347" s="326"/>
      <c r="AN347" s="326"/>
      <c r="AO347" s="326"/>
      <c r="AP347" s="326"/>
      <c r="AQ347" s="327"/>
    </row>
    <row r="348" spans="1:43" ht="30" customHeight="1" x14ac:dyDescent="0.25">
      <c r="A348" s="87">
        <f t="shared" si="1"/>
        <v>336</v>
      </c>
      <c r="B348" s="381" t="s">
        <v>334</v>
      </c>
      <c r="C348" s="326"/>
      <c r="D348" s="327"/>
      <c r="E348" s="698"/>
      <c r="F348" s="326"/>
      <c r="G348" s="327"/>
      <c r="H348" s="381"/>
      <c r="I348" s="326"/>
      <c r="J348" s="326"/>
      <c r="K348" s="327"/>
      <c r="L348" s="381"/>
      <c r="M348" s="326"/>
      <c r="N348" s="326"/>
      <c r="O348" s="326"/>
      <c r="P348" s="327"/>
      <c r="Q348" s="381"/>
      <c r="R348" s="326"/>
      <c r="S348" s="326"/>
      <c r="T348" s="326"/>
      <c r="U348" s="326"/>
      <c r="V348" s="326"/>
      <c r="W348" s="326"/>
      <c r="X348" s="326"/>
      <c r="Y348" s="326"/>
      <c r="Z348" s="327"/>
      <c r="AA348" s="381"/>
      <c r="AB348" s="326"/>
      <c r="AC348" s="326"/>
      <c r="AD348" s="326"/>
      <c r="AE348" s="326"/>
      <c r="AF348" s="326"/>
      <c r="AG348" s="326"/>
      <c r="AH348" s="326"/>
      <c r="AI348" s="326"/>
      <c r="AJ348" s="326"/>
      <c r="AK348" s="326"/>
      <c r="AL348" s="326"/>
      <c r="AM348" s="326"/>
      <c r="AN348" s="326"/>
      <c r="AO348" s="326"/>
      <c r="AP348" s="326"/>
      <c r="AQ348" s="327"/>
    </row>
    <row r="349" spans="1:43" ht="30" customHeight="1" x14ac:dyDescent="0.25">
      <c r="A349" s="87">
        <f t="shared" si="1"/>
        <v>337</v>
      </c>
      <c r="B349" s="407" t="s">
        <v>334</v>
      </c>
      <c r="C349" s="326"/>
      <c r="D349" s="327"/>
      <c r="E349" s="697"/>
      <c r="F349" s="326"/>
      <c r="G349" s="327"/>
      <c r="H349" s="407"/>
      <c r="I349" s="326"/>
      <c r="J349" s="326"/>
      <c r="K349" s="327"/>
      <c r="L349" s="407"/>
      <c r="M349" s="326"/>
      <c r="N349" s="326"/>
      <c r="O349" s="326"/>
      <c r="P349" s="327"/>
      <c r="Q349" s="407"/>
      <c r="R349" s="326"/>
      <c r="S349" s="326"/>
      <c r="T349" s="326"/>
      <c r="U349" s="326"/>
      <c r="V349" s="326"/>
      <c r="W349" s="326"/>
      <c r="X349" s="326"/>
      <c r="Y349" s="326"/>
      <c r="Z349" s="327"/>
      <c r="AA349" s="407"/>
      <c r="AB349" s="326"/>
      <c r="AC349" s="326"/>
      <c r="AD349" s="326"/>
      <c r="AE349" s="326"/>
      <c r="AF349" s="326"/>
      <c r="AG349" s="326"/>
      <c r="AH349" s="326"/>
      <c r="AI349" s="326"/>
      <c r="AJ349" s="326"/>
      <c r="AK349" s="326"/>
      <c r="AL349" s="326"/>
      <c r="AM349" s="326"/>
      <c r="AN349" s="326"/>
      <c r="AO349" s="326"/>
      <c r="AP349" s="326"/>
      <c r="AQ349" s="327"/>
    </row>
    <row r="350" spans="1:43" ht="30" customHeight="1" x14ac:dyDescent="0.25">
      <c r="A350" s="87">
        <f t="shared" si="1"/>
        <v>338</v>
      </c>
      <c r="B350" s="381" t="s">
        <v>334</v>
      </c>
      <c r="C350" s="326"/>
      <c r="D350" s="327"/>
      <c r="E350" s="698"/>
      <c r="F350" s="326"/>
      <c r="G350" s="327"/>
      <c r="H350" s="381"/>
      <c r="I350" s="326"/>
      <c r="J350" s="326"/>
      <c r="K350" s="327"/>
      <c r="L350" s="381"/>
      <c r="M350" s="326"/>
      <c r="N350" s="326"/>
      <c r="O350" s="326"/>
      <c r="P350" s="327"/>
      <c r="Q350" s="381"/>
      <c r="R350" s="326"/>
      <c r="S350" s="326"/>
      <c r="T350" s="326"/>
      <c r="U350" s="326"/>
      <c r="V350" s="326"/>
      <c r="W350" s="326"/>
      <c r="X350" s="326"/>
      <c r="Y350" s="326"/>
      <c r="Z350" s="327"/>
      <c r="AA350" s="381"/>
      <c r="AB350" s="326"/>
      <c r="AC350" s="326"/>
      <c r="AD350" s="326"/>
      <c r="AE350" s="326"/>
      <c r="AF350" s="326"/>
      <c r="AG350" s="326"/>
      <c r="AH350" s="326"/>
      <c r="AI350" s="326"/>
      <c r="AJ350" s="326"/>
      <c r="AK350" s="326"/>
      <c r="AL350" s="326"/>
      <c r="AM350" s="326"/>
      <c r="AN350" s="326"/>
      <c r="AO350" s="326"/>
      <c r="AP350" s="326"/>
      <c r="AQ350" s="327"/>
    </row>
    <row r="351" spans="1:43" ht="30" customHeight="1" x14ac:dyDescent="0.25">
      <c r="A351" s="87">
        <f t="shared" si="1"/>
        <v>339</v>
      </c>
      <c r="B351" s="407" t="s">
        <v>334</v>
      </c>
      <c r="C351" s="326"/>
      <c r="D351" s="327"/>
      <c r="E351" s="697"/>
      <c r="F351" s="326"/>
      <c r="G351" s="327"/>
      <c r="H351" s="407"/>
      <c r="I351" s="326"/>
      <c r="J351" s="326"/>
      <c r="K351" s="327"/>
      <c r="L351" s="407"/>
      <c r="M351" s="326"/>
      <c r="N351" s="326"/>
      <c r="O351" s="326"/>
      <c r="P351" s="327"/>
      <c r="Q351" s="407"/>
      <c r="R351" s="326"/>
      <c r="S351" s="326"/>
      <c r="T351" s="326"/>
      <c r="U351" s="326"/>
      <c r="V351" s="326"/>
      <c r="W351" s="326"/>
      <c r="X351" s="326"/>
      <c r="Y351" s="326"/>
      <c r="Z351" s="327"/>
      <c r="AA351" s="407"/>
      <c r="AB351" s="326"/>
      <c r="AC351" s="326"/>
      <c r="AD351" s="326"/>
      <c r="AE351" s="326"/>
      <c r="AF351" s="326"/>
      <c r="AG351" s="326"/>
      <c r="AH351" s="326"/>
      <c r="AI351" s="326"/>
      <c r="AJ351" s="326"/>
      <c r="AK351" s="326"/>
      <c r="AL351" s="326"/>
      <c r="AM351" s="326"/>
      <c r="AN351" s="326"/>
      <c r="AO351" s="326"/>
      <c r="AP351" s="326"/>
      <c r="AQ351" s="327"/>
    </row>
    <row r="352" spans="1:43" ht="30" customHeight="1" x14ac:dyDescent="0.25">
      <c r="A352" s="87">
        <f t="shared" si="1"/>
        <v>340</v>
      </c>
      <c r="B352" s="381" t="s">
        <v>334</v>
      </c>
      <c r="C352" s="326"/>
      <c r="D352" s="327"/>
      <c r="E352" s="698"/>
      <c r="F352" s="326"/>
      <c r="G352" s="327"/>
      <c r="H352" s="381"/>
      <c r="I352" s="326"/>
      <c r="J352" s="326"/>
      <c r="K352" s="327"/>
      <c r="L352" s="381"/>
      <c r="M352" s="326"/>
      <c r="N352" s="326"/>
      <c r="O352" s="326"/>
      <c r="P352" s="327"/>
      <c r="Q352" s="381"/>
      <c r="R352" s="326"/>
      <c r="S352" s="326"/>
      <c r="T352" s="326"/>
      <c r="U352" s="326"/>
      <c r="V352" s="326"/>
      <c r="W352" s="326"/>
      <c r="X352" s="326"/>
      <c r="Y352" s="326"/>
      <c r="Z352" s="327"/>
      <c r="AA352" s="381"/>
      <c r="AB352" s="326"/>
      <c r="AC352" s="326"/>
      <c r="AD352" s="326"/>
      <c r="AE352" s="326"/>
      <c r="AF352" s="326"/>
      <c r="AG352" s="326"/>
      <c r="AH352" s="326"/>
      <c r="AI352" s="326"/>
      <c r="AJ352" s="326"/>
      <c r="AK352" s="326"/>
      <c r="AL352" s="326"/>
      <c r="AM352" s="326"/>
      <c r="AN352" s="326"/>
      <c r="AO352" s="326"/>
      <c r="AP352" s="326"/>
      <c r="AQ352" s="327"/>
    </row>
    <row r="353" spans="1:43" ht="30" customHeight="1" x14ac:dyDescent="0.25">
      <c r="A353" s="87">
        <f t="shared" si="1"/>
        <v>341</v>
      </c>
      <c r="B353" s="407" t="s">
        <v>334</v>
      </c>
      <c r="C353" s="326"/>
      <c r="D353" s="327"/>
      <c r="E353" s="697"/>
      <c r="F353" s="326"/>
      <c r="G353" s="327"/>
      <c r="H353" s="407"/>
      <c r="I353" s="326"/>
      <c r="J353" s="326"/>
      <c r="K353" s="327"/>
      <c r="L353" s="407"/>
      <c r="M353" s="326"/>
      <c r="N353" s="326"/>
      <c r="O353" s="326"/>
      <c r="P353" s="327"/>
      <c r="Q353" s="407"/>
      <c r="R353" s="326"/>
      <c r="S353" s="326"/>
      <c r="T353" s="326"/>
      <c r="U353" s="326"/>
      <c r="V353" s="326"/>
      <c r="W353" s="326"/>
      <c r="X353" s="326"/>
      <c r="Y353" s="326"/>
      <c r="Z353" s="327"/>
      <c r="AA353" s="407"/>
      <c r="AB353" s="326"/>
      <c r="AC353" s="326"/>
      <c r="AD353" s="326"/>
      <c r="AE353" s="326"/>
      <c r="AF353" s="326"/>
      <c r="AG353" s="326"/>
      <c r="AH353" s="326"/>
      <c r="AI353" s="326"/>
      <c r="AJ353" s="326"/>
      <c r="AK353" s="326"/>
      <c r="AL353" s="326"/>
      <c r="AM353" s="326"/>
      <c r="AN353" s="326"/>
      <c r="AO353" s="326"/>
      <c r="AP353" s="326"/>
      <c r="AQ353" s="327"/>
    </row>
    <row r="354" spans="1:43" ht="30" customHeight="1" x14ac:dyDescent="0.25">
      <c r="A354" s="87">
        <f t="shared" si="1"/>
        <v>342</v>
      </c>
      <c r="B354" s="381" t="s">
        <v>334</v>
      </c>
      <c r="C354" s="326"/>
      <c r="D354" s="327"/>
      <c r="E354" s="698"/>
      <c r="F354" s="326"/>
      <c r="G354" s="327"/>
      <c r="H354" s="381"/>
      <c r="I354" s="326"/>
      <c r="J354" s="326"/>
      <c r="K354" s="327"/>
      <c r="L354" s="381"/>
      <c r="M354" s="326"/>
      <c r="N354" s="326"/>
      <c r="O354" s="326"/>
      <c r="P354" s="327"/>
      <c r="Q354" s="381"/>
      <c r="R354" s="326"/>
      <c r="S354" s="326"/>
      <c r="T354" s="326"/>
      <c r="U354" s="326"/>
      <c r="V354" s="326"/>
      <c r="W354" s="326"/>
      <c r="X354" s="326"/>
      <c r="Y354" s="326"/>
      <c r="Z354" s="327"/>
      <c r="AA354" s="381"/>
      <c r="AB354" s="326"/>
      <c r="AC354" s="326"/>
      <c r="AD354" s="326"/>
      <c r="AE354" s="326"/>
      <c r="AF354" s="326"/>
      <c r="AG354" s="326"/>
      <c r="AH354" s="326"/>
      <c r="AI354" s="326"/>
      <c r="AJ354" s="326"/>
      <c r="AK354" s="326"/>
      <c r="AL354" s="326"/>
      <c r="AM354" s="326"/>
      <c r="AN354" s="326"/>
      <c r="AO354" s="326"/>
      <c r="AP354" s="326"/>
      <c r="AQ354" s="327"/>
    </row>
    <row r="355" spans="1:43" ht="30" customHeight="1" x14ac:dyDescent="0.25">
      <c r="A355" s="87">
        <f t="shared" si="1"/>
        <v>343</v>
      </c>
      <c r="B355" s="407" t="s">
        <v>334</v>
      </c>
      <c r="C355" s="326"/>
      <c r="D355" s="327"/>
      <c r="E355" s="697"/>
      <c r="F355" s="326"/>
      <c r="G355" s="327"/>
      <c r="H355" s="407"/>
      <c r="I355" s="326"/>
      <c r="J355" s="326"/>
      <c r="K355" s="327"/>
      <c r="L355" s="407"/>
      <c r="M355" s="326"/>
      <c r="N355" s="326"/>
      <c r="O355" s="326"/>
      <c r="P355" s="327"/>
      <c r="Q355" s="407"/>
      <c r="R355" s="326"/>
      <c r="S355" s="326"/>
      <c r="T355" s="326"/>
      <c r="U355" s="326"/>
      <c r="V355" s="326"/>
      <c r="W355" s="326"/>
      <c r="X355" s="326"/>
      <c r="Y355" s="326"/>
      <c r="Z355" s="327"/>
      <c r="AA355" s="407"/>
      <c r="AB355" s="326"/>
      <c r="AC355" s="326"/>
      <c r="AD355" s="326"/>
      <c r="AE355" s="326"/>
      <c r="AF355" s="326"/>
      <c r="AG355" s="326"/>
      <c r="AH355" s="326"/>
      <c r="AI355" s="326"/>
      <c r="AJ355" s="326"/>
      <c r="AK355" s="326"/>
      <c r="AL355" s="326"/>
      <c r="AM355" s="326"/>
      <c r="AN355" s="326"/>
      <c r="AO355" s="326"/>
      <c r="AP355" s="326"/>
      <c r="AQ355" s="327"/>
    </row>
    <row r="356" spans="1:43" ht="30" customHeight="1" x14ac:dyDescent="0.25">
      <c r="A356" s="87">
        <f t="shared" si="1"/>
        <v>344</v>
      </c>
      <c r="B356" s="381" t="s">
        <v>334</v>
      </c>
      <c r="C356" s="326"/>
      <c r="D356" s="327"/>
      <c r="E356" s="698"/>
      <c r="F356" s="326"/>
      <c r="G356" s="327"/>
      <c r="H356" s="381"/>
      <c r="I356" s="326"/>
      <c r="J356" s="326"/>
      <c r="K356" s="327"/>
      <c r="L356" s="381"/>
      <c r="M356" s="326"/>
      <c r="N356" s="326"/>
      <c r="O356" s="326"/>
      <c r="P356" s="327"/>
      <c r="Q356" s="381"/>
      <c r="R356" s="326"/>
      <c r="S356" s="326"/>
      <c r="T356" s="326"/>
      <c r="U356" s="326"/>
      <c r="V356" s="326"/>
      <c r="W356" s="326"/>
      <c r="X356" s="326"/>
      <c r="Y356" s="326"/>
      <c r="Z356" s="327"/>
      <c r="AA356" s="381"/>
      <c r="AB356" s="326"/>
      <c r="AC356" s="326"/>
      <c r="AD356" s="326"/>
      <c r="AE356" s="326"/>
      <c r="AF356" s="326"/>
      <c r="AG356" s="326"/>
      <c r="AH356" s="326"/>
      <c r="AI356" s="326"/>
      <c r="AJ356" s="326"/>
      <c r="AK356" s="326"/>
      <c r="AL356" s="326"/>
      <c r="AM356" s="326"/>
      <c r="AN356" s="326"/>
      <c r="AO356" s="326"/>
      <c r="AP356" s="326"/>
      <c r="AQ356" s="327"/>
    </row>
    <row r="357" spans="1:43" ht="30" customHeight="1" x14ac:dyDescent="0.25">
      <c r="A357" s="87">
        <f t="shared" si="1"/>
        <v>345</v>
      </c>
      <c r="B357" s="407" t="s">
        <v>334</v>
      </c>
      <c r="C357" s="326"/>
      <c r="D357" s="327"/>
      <c r="E357" s="697"/>
      <c r="F357" s="326"/>
      <c r="G357" s="327"/>
      <c r="H357" s="407"/>
      <c r="I357" s="326"/>
      <c r="J357" s="326"/>
      <c r="K357" s="327"/>
      <c r="L357" s="407"/>
      <c r="M357" s="326"/>
      <c r="N357" s="326"/>
      <c r="O357" s="326"/>
      <c r="P357" s="327"/>
      <c r="Q357" s="407"/>
      <c r="R357" s="326"/>
      <c r="S357" s="326"/>
      <c r="T357" s="326"/>
      <c r="U357" s="326"/>
      <c r="V357" s="326"/>
      <c r="W357" s="326"/>
      <c r="X357" s="326"/>
      <c r="Y357" s="326"/>
      <c r="Z357" s="327"/>
      <c r="AA357" s="407"/>
      <c r="AB357" s="326"/>
      <c r="AC357" s="326"/>
      <c r="AD357" s="326"/>
      <c r="AE357" s="326"/>
      <c r="AF357" s="326"/>
      <c r="AG357" s="326"/>
      <c r="AH357" s="326"/>
      <c r="AI357" s="326"/>
      <c r="AJ357" s="326"/>
      <c r="AK357" s="326"/>
      <c r="AL357" s="326"/>
      <c r="AM357" s="326"/>
      <c r="AN357" s="326"/>
      <c r="AO357" s="326"/>
      <c r="AP357" s="326"/>
      <c r="AQ357" s="327"/>
    </row>
    <row r="358" spans="1:43" ht="30" customHeight="1" x14ac:dyDescent="0.25">
      <c r="A358" s="87">
        <f t="shared" si="1"/>
        <v>346</v>
      </c>
      <c r="B358" s="381" t="s">
        <v>334</v>
      </c>
      <c r="C358" s="326"/>
      <c r="D358" s="327"/>
      <c r="E358" s="698"/>
      <c r="F358" s="326"/>
      <c r="G358" s="327"/>
      <c r="H358" s="381"/>
      <c r="I358" s="326"/>
      <c r="J358" s="326"/>
      <c r="K358" s="327"/>
      <c r="L358" s="381"/>
      <c r="M358" s="326"/>
      <c r="N358" s="326"/>
      <c r="O358" s="326"/>
      <c r="P358" s="327"/>
      <c r="Q358" s="381"/>
      <c r="R358" s="326"/>
      <c r="S358" s="326"/>
      <c r="T358" s="326"/>
      <c r="U358" s="326"/>
      <c r="V358" s="326"/>
      <c r="W358" s="326"/>
      <c r="X358" s="326"/>
      <c r="Y358" s="326"/>
      <c r="Z358" s="327"/>
      <c r="AA358" s="381"/>
      <c r="AB358" s="326"/>
      <c r="AC358" s="326"/>
      <c r="AD358" s="326"/>
      <c r="AE358" s="326"/>
      <c r="AF358" s="326"/>
      <c r="AG358" s="326"/>
      <c r="AH358" s="326"/>
      <c r="AI358" s="326"/>
      <c r="AJ358" s="326"/>
      <c r="AK358" s="326"/>
      <c r="AL358" s="326"/>
      <c r="AM358" s="326"/>
      <c r="AN358" s="326"/>
      <c r="AO358" s="326"/>
      <c r="AP358" s="326"/>
      <c r="AQ358" s="327"/>
    </row>
    <row r="359" spans="1:43" ht="30" customHeight="1" x14ac:dyDescent="0.25">
      <c r="A359" s="87">
        <f t="shared" si="1"/>
        <v>347</v>
      </c>
      <c r="B359" s="407" t="s">
        <v>334</v>
      </c>
      <c r="C359" s="326"/>
      <c r="D359" s="327"/>
      <c r="E359" s="697"/>
      <c r="F359" s="326"/>
      <c r="G359" s="327"/>
      <c r="H359" s="407"/>
      <c r="I359" s="326"/>
      <c r="J359" s="326"/>
      <c r="K359" s="327"/>
      <c r="L359" s="407"/>
      <c r="M359" s="326"/>
      <c r="N359" s="326"/>
      <c r="O359" s="326"/>
      <c r="P359" s="327"/>
      <c r="Q359" s="407"/>
      <c r="R359" s="326"/>
      <c r="S359" s="326"/>
      <c r="T359" s="326"/>
      <c r="U359" s="326"/>
      <c r="V359" s="326"/>
      <c r="W359" s="326"/>
      <c r="X359" s="326"/>
      <c r="Y359" s="326"/>
      <c r="Z359" s="327"/>
      <c r="AA359" s="407"/>
      <c r="AB359" s="326"/>
      <c r="AC359" s="326"/>
      <c r="AD359" s="326"/>
      <c r="AE359" s="326"/>
      <c r="AF359" s="326"/>
      <c r="AG359" s="326"/>
      <c r="AH359" s="326"/>
      <c r="AI359" s="326"/>
      <c r="AJ359" s="326"/>
      <c r="AK359" s="326"/>
      <c r="AL359" s="326"/>
      <c r="AM359" s="326"/>
      <c r="AN359" s="326"/>
      <c r="AO359" s="326"/>
      <c r="AP359" s="326"/>
      <c r="AQ359" s="327"/>
    </row>
    <row r="360" spans="1:43" ht="30" customHeight="1" x14ac:dyDescent="0.25">
      <c r="A360" s="87">
        <f t="shared" si="1"/>
        <v>348</v>
      </c>
      <c r="B360" s="381" t="s">
        <v>334</v>
      </c>
      <c r="C360" s="326"/>
      <c r="D360" s="327"/>
      <c r="E360" s="698"/>
      <c r="F360" s="326"/>
      <c r="G360" s="327"/>
      <c r="H360" s="381"/>
      <c r="I360" s="326"/>
      <c r="J360" s="326"/>
      <c r="K360" s="327"/>
      <c r="L360" s="381"/>
      <c r="M360" s="326"/>
      <c r="N360" s="326"/>
      <c r="O360" s="326"/>
      <c r="P360" s="327"/>
      <c r="Q360" s="381"/>
      <c r="R360" s="326"/>
      <c r="S360" s="326"/>
      <c r="T360" s="326"/>
      <c r="U360" s="326"/>
      <c r="V360" s="326"/>
      <c r="W360" s="326"/>
      <c r="X360" s="326"/>
      <c r="Y360" s="326"/>
      <c r="Z360" s="327"/>
      <c r="AA360" s="381"/>
      <c r="AB360" s="326"/>
      <c r="AC360" s="326"/>
      <c r="AD360" s="326"/>
      <c r="AE360" s="326"/>
      <c r="AF360" s="326"/>
      <c r="AG360" s="326"/>
      <c r="AH360" s="326"/>
      <c r="AI360" s="326"/>
      <c r="AJ360" s="326"/>
      <c r="AK360" s="326"/>
      <c r="AL360" s="326"/>
      <c r="AM360" s="326"/>
      <c r="AN360" s="326"/>
      <c r="AO360" s="326"/>
      <c r="AP360" s="326"/>
      <c r="AQ360" s="327"/>
    </row>
    <row r="361" spans="1:43" ht="30" customHeight="1" x14ac:dyDescent="0.25">
      <c r="A361" s="87">
        <f t="shared" si="1"/>
        <v>349</v>
      </c>
      <c r="B361" s="407" t="s">
        <v>334</v>
      </c>
      <c r="C361" s="326"/>
      <c r="D361" s="327"/>
      <c r="E361" s="697"/>
      <c r="F361" s="326"/>
      <c r="G361" s="327"/>
      <c r="H361" s="407"/>
      <c r="I361" s="326"/>
      <c r="J361" s="326"/>
      <c r="K361" s="327"/>
      <c r="L361" s="407"/>
      <c r="M361" s="326"/>
      <c r="N361" s="326"/>
      <c r="O361" s="326"/>
      <c r="P361" s="327"/>
      <c r="Q361" s="407"/>
      <c r="R361" s="326"/>
      <c r="S361" s="326"/>
      <c r="T361" s="326"/>
      <c r="U361" s="326"/>
      <c r="V361" s="326"/>
      <c r="W361" s="326"/>
      <c r="X361" s="326"/>
      <c r="Y361" s="326"/>
      <c r="Z361" s="327"/>
      <c r="AA361" s="407"/>
      <c r="AB361" s="326"/>
      <c r="AC361" s="326"/>
      <c r="AD361" s="326"/>
      <c r="AE361" s="326"/>
      <c r="AF361" s="326"/>
      <c r="AG361" s="326"/>
      <c r="AH361" s="326"/>
      <c r="AI361" s="326"/>
      <c r="AJ361" s="326"/>
      <c r="AK361" s="326"/>
      <c r="AL361" s="326"/>
      <c r="AM361" s="326"/>
      <c r="AN361" s="326"/>
      <c r="AO361" s="326"/>
      <c r="AP361" s="326"/>
      <c r="AQ361" s="327"/>
    </row>
    <row r="362" spans="1:43" ht="30" customHeight="1" x14ac:dyDescent="0.25">
      <c r="A362" s="87">
        <f t="shared" si="1"/>
        <v>350</v>
      </c>
      <c r="B362" s="381" t="s">
        <v>334</v>
      </c>
      <c r="C362" s="326"/>
      <c r="D362" s="327"/>
      <c r="E362" s="698"/>
      <c r="F362" s="326"/>
      <c r="G362" s="327"/>
      <c r="H362" s="381"/>
      <c r="I362" s="326"/>
      <c r="J362" s="326"/>
      <c r="K362" s="327"/>
      <c r="L362" s="381"/>
      <c r="M362" s="326"/>
      <c r="N362" s="326"/>
      <c r="O362" s="326"/>
      <c r="P362" s="327"/>
      <c r="Q362" s="381"/>
      <c r="R362" s="326"/>
      <c r="S362" s="326"/>
      <c r="T362" s="326"/>
      <c r="U362" s="326"/>
      <c r="V362" s="326"/>
      <c r="W362" s="326"/>
      <c r="X362" s="326"/>
      <c r="Y362" s="326"/>
      <c r="Z362" s="327"/>
      <c r="AA362" s="381"/>
      <c r="AB362" s="326"/>
      <c r="AC362" s="326"/>
      <c r="AD362" s="326"/>
      <c r="AE362" s="326"/>
      <c r="AF362" s="326"/>
      <c r="AG362" s="326"/>
      <c r="AH362" s="326"/>
      <c r="AI362" s="326"/>
      <c r="AJ362" s="326"/>
      <c r="AK362" s="326"/>
      <c r="AL362" s="326"/>
      <c r="AM362" s="326"/>
      <c r="AN362" s="326"/>
      <c r="AO362" s="326"/>
      <c r="AP362" s="326"/>
      <c r="AQ362" s="327"/>
    </row>
    <row r="363" spans="1:43" ht="30" customHeight="1" x14ac:dyDescent="0.25">
      <c r="A363" s="87">
        <f t="shared" si="1"/>
        <v>351</v>
      </c>
      <c r="B363" s="407" t="s">
        <v>334</v>
      </c>
      <c r="C363" s="326"/>
      <c r="D363" s="327"/>
      <c r="E363" s="697"/>
      <c r="F363" s="326"/>
      <c r="G363" s="327"/>
      <c r="H363" s="407"/>
      <c r="I363" s="326"/>
      <c r="J363" s="326"/>
      <c r="K363" s="327"/>
      <c r="L363" s="407"/>
      <c r="M363" s="326"/>
      <c r="N363" s="326"/>
      <c r="O363" s="326"/>
      <c r="P363" s="327"/>
      <c r="Q363" s="407"/>
      <c r="R363" s="326"/>
      <c r="S363" s="326"/>
      <c r="T363" s="326"/>
      <c r="U363" s="326"/>
      <c r="V363" s="326"/>
      <c r="W363" s="326"/>
      <c r="X363" s="326"/>
      <c r="Y363" s="326"/>
      <c r="Z363" s="327"/>
      <c r="AA363" s="407"/>
      <c r="AB363" s="326"/>
      <c r="AC363" s="326"/>
      <c r="AD363" s="326"/>
      <c r="AE363" s="326"/>
      <c r="AF363" s="326"/>
      <c r="AG363" s="326"/>
      <c r="AH363" s="326"/>
      <c r="AI363" s="326"/>
      <c r="AJ363" s="326"/>
      <c r="AK363" s="326"/>
      <c r="AL363" s="326"/>
      <c r="AM363" s="326"/>
      <c r="AN363" s="326"/>
      <c r="AO363" s="326"/>
      <c r="AP363" s="326"/>
      <c r="AQ363" s="327"/>
    </row>
    <row r="364" spans="1:43" ht="30" customHeight="1" x14ac:dyDescent="0.25">
      <c r="A364" s="87">
        <f t="shared" si="1"/>
        <v>352</v>
      </c>
      <c r="B364" s="381" t="s">
        <v>334</v>
      </c>
      <c r="C364" s="326"/>
      <c r="D364" s="327"/>
      <c r="E364" s="698"/>
      <c r="F364" s="326"/>
      <c r="G364" s="327"/>
      <c r="H364" s="381"/>
      <c r="I364" s="326"/>
      <c r="J364" s="326"/>
      <c r="K364" s="327"/>
      <c r="L364" s="381"/>
      <c r="M364" s="326"/>
      <c r="N364" s="326"/>
      <c r="O364" s="326"/>
      <c r="P364" s="327"/>
      <c r="Q364" s="381"/>
      <c r="R364" s="326"/>
      <c r="S364" s="326"/>
      <c r="T364" s="326"/>
      <c r="U364" s="326"/>
      <c r="V364" s="326"/>
      <c r="W364" s="326"/>
      <c r="X364" s="326"/>
      <c r="Y364" s="326"/>
      <c r="Z364" s="327"/>
      <c r="AA364" s="381"/>
      <c r="AB364" s="326"/>
      <c r="AC364" s="326"/>
      <c r="AD364" s="326"/>
      <c r="AE364" s="326"/>
      <c r="AF364" s="326"/>
      <c r="AG364" s="326"/>
      <c r="AH364" s="326"/>
      <c r="AI364" s="326"/>
      <c r="AJ364" s="326"/>
      <c r="AK364" s="326"/>
      <c r="AL364" s="326"/>
      <c r="AM364" s="326"/>
      <c r="AN364" s="326"/>
      <c r="AO364" s="326"/>
      <c r="AP364" s="326"/>
      <c r="AQ364" s="327"/>
    </row>
    <row r="365" spans="1:43" ht="30" customHeight="1" x14ac:dyDescent="0.25">
      <c r="A365" s="87">
        <f t="shared" si="1"/>
        <v>353</v>
      </c>
      <c r="B365" s="407" t="s">
        <v>334</v>
      </c>
      <c r="C365" s="326"/>
      <c r="D365" s="327"/>
      <c r="E365" s="697"/>
      <c r="F365" s="326"/>
      <c r="G365" s="327"/>
      <c r="H365" s="407"/>
      <c r="I365" s="326"/>
      <c r="J365" s="326"/>
      <c r="K365" s="327"/>
      <c r="L365" s="407"/>
      <c r="M365" s="326"/>
      <c r="N365" s="326"/>
      <c r="O365" s="326"/>
      <c r="P365" s="327"/>
      <c r="Q365" s="407"/>
      <c r="R365" s="326"/>
      <c r="S365" s="326"/>
      <c r="T365" s="326"/>
      <c r="U365" s="326"/>
      <c r="V365" s="326"/>
      <c r="W365" s="326"/>
      <c r="X365" s="326"/>
      <c r="Y365" s="326"/>
      <c r="Z365" s="327"/>
      <c r="AA365" s="407"/>
      <c r="AB365" s="326"/>
      <c r="AC365" s="326"/>
      <c r="AD365" s="326"/>
      <c r="AE365" s="326"/>
      <c r="AF365" s="326"/>
      <c r="AG365" s="326"/>
      <c r="AH365" s="326"/>
      <c r="AI365" s="326"/>
      <c r="AJ365" s="326"/>
      <c r="AK365" s="326"/>
      <c r="AL365" s="326"/>
      <c r="AM365" s="326"/>
      <c r="AN365" s="326"/>
      <c r="AO365" s="326"/>
      <c r="AP365" s="326"/>
      <c r="AQ365" s="327"/>
    </row>
    <row r="366" spans="1:43" ht="30" customHeight="1" x14ac:dyDescent="0.25">
      <c r="A366" s="87">
        <f t="shared" si="1"/>
        <v>354</v>
      </c>
      <c r="B366" s="381" t="s">
        <v>334</v>
      </c>
      <c r="C366" s="326"/>
      <c r="D366" s="327"/>
      <c r="E366" s="698"/>
      <c r="F366" s="326"/>
      <c r="G366" s="327"/>
      <c r="H366" s="381"/>
      <c r="I366" s="326"/>
      <c r="J366" s="326"/>
      <c r="K366" s="327"/>
      <c r="L366" s="381"/>
      <c r="M366" s="326"/>
      <c r="N366" s="326"/>
      <c r="O366" s="326"/>
      <c r="P366" s="327"/>
      <c r="Q366" s="381"/>
      <c r="R366" s="326"/>
      <c r="S366" s="326"/>
      <c r="T366" s="326"/>
      <c r="U366" s="326"/>
      <c r="V366" s="326"/>
      <c r="W366" s="326"/>
      <c r="X366" s="326"/>
      <c r="Y366" s="326"/>
      <c r="Z366" s="327"/>
      <c r="AA366" s="381"/>
      <c r="AB366" s="326"/>
      <c r="AC366" s="326"/>
      <c r="AD366" s="326"/>
      <c r="AE366" s="326"/>
      <c r="AF366" s="326"/>
      <c r="AG366" s="326"/>
      <c r="AH366" s="326"/>
      <c r="AI366" s="326"/>
      <c r="AJ366" s="326"/>
      <c r="AK366" s="326"/>
      <c r="AL366" s="326"/>
      <c r="AM366" s="326"/>
      <c r="AN366" s="326"/>
      <c r="AO366" s="326"/>
      <c r="AP366" s="326"/>
      <c r="AQ366" s="327"/>
    </row>
    <row r="367" spans="1:43" ht="30" customHeight="1" x14ac:dyDescent="0.25">
      <c r="A367" s="87">
        <f t="shared" si="1"/>
        <v>355</v>
      </c>
      <c r="B367" s="407" t="s">
        <v>334</v>
      </c>
      <c r="C367" s="326"/>
      <c r="D367" s="327"/>
      <c r="E367" s="697"/>
      <c r="F367" s="326"/>
      <c r="G367" s="327"/>
      <c r="H367" s="407"/>
      <c r="I367" s="326"/>
      <c r="J367" s="326"/>
      <c r="K367" s="327"/>
      <c r="L367" s="407"/>
      <c r="M367" s="326"/>
      <c r="N367" s="326"/>
      <c r="O367" s="326"/>
      <c r="P367" s="327"/>
      <c r="Q367" s="407"/>
      <c r="R367" s="326"/>
      <c r="S367" s="326"/>
      <c r="T367" s="326"/>
      <c r="U367" s="326"/>
      <c r="V367" s="326"/>
      <c r="W367" s="326"/>
      <c r="X367" s="326"/>
      <c r="Y367" s="326"/>
      <c r="Z367" s="327"/>
      <c r="AA367" s="407"/>
      <c r="AB367" s="326"/>
      <c r="AC367" s="326"/>
      <c r="AD367" s="326"/>
      <c r="AE367" s="326"/>
      <c r="AF367" s="326"/>
      <c r="AG367" s="326"/>
      <c r="AH367" s="326"/>
      <c r="AI367" s="326"/>
      <c r="AJ367" s="326"/>
      <c r="AK367" s="326"/>
      <c r="AL367" s="326"/>
      <c r="AM367" s="326"/>
      <c r="AN367" s="326"/>
      <c r="AO367" s="326"/>
      <c r="AP367" s="326"/>
      <c r="AQ367" s="327"/>
    </row>
    <row r="368" spans="1:43" ht="30" customHeight="1" x14ac:dyDescent="0.25">
      <c r="A368" s="87">
        <f t="shared" si="1"/>
        <v>356</v>
      </c>
      <c r="B368" s="381" t="s">
        <v>334</v>
      </c>
      <c r="C368" s="326"/>
      <c r="D368" s="327"/>
      <c r="E368" s="698"/>
      <c r="F368" s="326"/>
      <c r="G368" s="327"/>
      <c r="H368" s="381"/>
      <c r="I368" s="326"/>
      <c r="J368" s="326"/>
      <c r="K368" s="327"/>
      <c r="L368" s="381"/>
      <c r="M368" s="326"/>
      <c r="N368" s="326"/>
      <c r="O368" s="326"/>
      <c r="P368" s="327"/>
      <c r="Q368" s="381"/>
      <c r="R368" s="326"/>
      <c r="S368" s="326"/>
      <c r="T368" s="326"/>
      <c r="U368" s="326"/>
      <c r="V368" s="326"/>
      <c r="W368" s="326"/>
      <c r="X368" s="326"/>
      <c r="Y368" s="326"/>
      <c r="Z368" s="327"/>
      <c r="AA368" s="381"/>
      <c r="AB368" s="326"/>
      <c r="AC368" s="326"/>
      <c r="AD368" s="326"/>
      <c r="AE368" s="326"/>
      <c r="AF368" s="326"/>
      <c r="AG368" s="326"/>
      <c r="AH368" s="326"/>
      <c r="AI368" s="326"/>
      <c r="AJ368" s="326"/>
      <c r="AK368" s="326"/>
      <c r="AL368" s="326"/>
      <c r="AM368" s="326"/>
      <c r="AN368" s="326"/>
      <c r="AO368" s="326"/>
      <c r="AP368" s="326"/>
      <c r="AQ368" s="327"/>
    </row>
    <row r="369" spans="1:43" ht="30" customHeight="1" x14ac:dyDescent="0.25">
      <c r="A369" s="87">
        <f t="shared" si="1"/>
        <v>357</v>
      </c>
      <c r="B369" s="407" t="s">
        <v>334</v>
      </c>
      <c r="C369" s="326"/>
      <c r="D369" s="327"/>
      <c r="E369" s="697"/>
      <c r="F369" s="326"/>
      <c r="G369" s="327"/>
      <c r="H369" s="407"/>
      <c r="I369" s="326"/>
      <c r="J369" s="326"/>
      <c r="K369" s="327"/>
      <c r="L369" s="407"/>
      <c r="M369" s="326"/>
      <c r="N369" s="326"/>
      <c r="O369" s="326"/>
      <c r="P369" s="327"/>
      <c r="Q369" s="407"/>
      <c r="R369" s="326"/>
      <c r="S369" s="326"/>
      <c r="T369" s="326"/>
      <c r="U369" s="326"/>
      <c r="V369" s="326"/>
      <c r="W369" s="326"/>
      <c r="X369" s="326"/>
      <c r="Y369" s="326"/>
      <c r="Z369" s="327"/>
      <c r="AA369" s="407"/>
      <c r="AB369" s="326"/>
      <c r="AC369" s="326"/>
      <c r="AD369" s="326"/>
      <c r="AE369" s="326"/>
      <c r="AF369" s="326"/>
      <c r="AG369" s="326"/>
      <c r="AH369" s="326"/>
      <c r="AI369" s="326"/>
      <c r="AJ369" s="326"/>
      <c r="AK369" s="326"/>
      <c r="AL369" s="326"/>
      <c r="AM369" s="326"/>
      <c r="AN369" s="326"/>
      <c r="AO369" s="326"/>
      <c r="AP369" s="326"/>
      <c r="AQ369" s="327"/>
    </row>
    <row r="370" spans="1:43" ht="30" customHeight="1" x14ac:dyDescent="0.25">
      <c r="A370" s="87">
        <f t="shared" si="1"/>
        <v>358</v>
      </c>
      <c r="B370" s="381" t="s">
        <v>334</v>
      </c>
      <c r="C370" s="326"/>
      <c r="D370" s="327"/>
      <c r="E370" s="698"/>
      <c r="F370" s="326"/>
      <c r="G370" s="327"/>
      <c r="H370" s="381"/>
      <c r="I370" s="326"/>
      <c r="J370" s="326"/>
      <c r="K370" s="327"/>
      <c r="L370" s="381"/>
      <c r="M370" s="326"/>
      <c r="N370" s="326"/>
      <c r="O370" s="326"/>
      <c r="P370" s="327"/>
      <c r="Q370" s="381"/>
      <c r="R370" s="326"/>
      <c r="S370" s="326"/>
      <c r="T370" s="326"/>
      <c r="U370" s="326"/>
      <c r="V370" s="326"/>
      <c r="W370" s="326"/>
      <c r="X370" s="326"/>
      <c r="Y370" s="326"/>
      <c r="Z370" s="327"/>
      <c r="AA370" s="381"/>
      <c r="AB370" s="326"/>
      <c r="AC370" s="326"/>
      <c r="AD370" s="326"/>
      <c r="AE370" s="326"/>
      <c r="AF370" s="326"/>
      <c r="AG370" s="326"/>
      <c r="AH370" s="326"/>
      <c r="AI370" s="326"/>
      <c r="AJ370" s="326"/>
      <c r="AK370" s="326"/>
      <c r="AL370" s="326"/>
      <c r="AM370" s="326"/>
      <c r="AN370" s="326"/>
      <c r="AO370" s="326"/>
      <c r="AP370" s="326"/>
      <c r="AQ370" s="327"/>
    </row>
    <row r="371" spans="1:43" ht="30" customHeight="1" x14ac:dyDescent="0.25">
      <c r="A371" s="87">
        <f t="shared" si="1"/>
        <v>359</v>
      </c>
      <c r="B371" s="407" t="s">
        <v>334</v>
      </c>
      <c r="C371" s="326"/>
      <c r="D371" s="327"/>
      <c r="E371" s="697"/>
      <c r="F371" s="326"/>
      <c r="G371" s="327"/>
      <c r="H371" s="407"/>
      <c r="I371" s="326"/>
      <c r="J371" s="326"/>
      <c r="K371" s="327"/>
      <c r="L371" s="407"/>
      <c r="M371" s="326"/>
      <c r="N371" s="326"/>
      <c r="O371" s="326"/>
      <c r="P371" s="327"/>
      <c r="Q371" s="407"/>
      <c r="R371" s="326"/>
      <c r="S371" s="326"/>
      <c r="T371" s="326"/>
      <c r="U371" s="326"/>
      <c r="V371" s="326"/>
      <c r="W371" s="326"/>
      <c r="X371" s="326"/>
      <c r="Y371" s="326"/>
      <c r="Z371" s="327"/>
      <c r="AA371" s="407"/>
      <c r="AB371" s="326"/>
      <c r="AC371" s="326"/>
      <c r="AD371" s="326"/>
      <c r="AE371" s="326"/>
      <c r="AF371" s="326"/>
      <c r="AG371" s="326"/>
      <c r="AH371" s="326"/>
      <c r="AI371" s="326"/>
      <c r="AJ371" s="326"/>
      <c r="AK371" s="326"/>
      <c r="AL371" s="326"/>
      <c r="AM371" s="326"/>
      <c r="AN371" s="326"/>
      <c r="AO371" s="326"/>
      <c r="AP371" s="326"/>
      <c r="AQ371" s="327"/>
    </row>
    <row r="372" spans="1:43" ht="30" customHeight="1" x14ac:dyDescent="0.25">
      <c r="A372" s="87">
        <f t="shared" si="1"/>
        <v>360</v>
      </c>
      <c r="B372" s="381" t="s">
        <v>334</v>
      </c>
      <c r="C372" s="326"/>
      <c r="D372" s="327"/>
      <c r="E372" s="698"/>
      <c r="F372" s="326"/>
      <c r="G372" s="327"/>
      <c r="H372" s="381"/>
      <c r="I372" s="326"/>
      <c r="J372" s="326"/>
      <c r="K372" s="327"/>
      <c r="L372" s="381"/>
      <c r="M372" s="326"/>
      <c r="N372" s="326"/>
      <c r="O372" s="326"/>
      <c r="P372" s="327"/>
      <c r="Q372" s="381"/>
      <c r="R372" s="326"/>
      <c r="S372" s="326"/>
      <c r="T372" s="326"/>
      <c r="U372" s="326"/>
      <c r="V372" s="326"/>
      <c r="W372" s="326"/>
      <c r="X372" s="326"/>
      <c r="Y372" s="326"/>
      <c r="Z372" s="327"/>
      <c r="AA372" s="381"/>
      <c r="AB372" s="326"/>
      <c r="AC372" s="326"/>
      <c r="AD372" s="326"/>
      <c r="AE372" s="326"/>
      <c r="AF372" s="326"/>
      <c r="AG372" s="326"/>
      <c r="AH372" s="326"/>
      <c r="AI372" s="326"/>
      <c r="AJ372" s="326"/>
      <c r="AK372" s="326"/>
      <c r="AL372" s="326"/>
      <c r="AM372" s="326"/>
      <c r="AN372" s="326"/>
      <c r="AO372" s="326"/>
      <c r="AP372" s="326"/>
      <c r="AQ372" s="327"/>
    </row>
    <row r="373" spans="1:43" ht="30" customHeight="1" x14ac:dyDescent="0.25">
      <c r="A373" s="87">
        <f t="shared" si="1"/>
        <v>361</v>
      </c>
      <c r="B373" s="407" t="s">
        <v>334</v>
      </c>
      <c r="C373" s="326"/>
      <c r="D373" s="327"/>
      <c r="E373" s="697"/>
      <c r="F373" s="326"/>
      <c r="G373" s="327"/>
      <c r="H373" s="407"/>
      <c r="I373" s="326"/>
      <c r="J373" s="326"/>
      <c r="K373" s="327"/>
      <c r="L373" s="407"/>
      <c r="M373" s="326"/>
      <c r="N373" s="326"/>
      <c r="O373" s="326"/>
      <c r="P373" s="327"/>
      <c r="Q373" s="407"/>
      <c r="R373" s="326"/>
      <c r="S373" s="326"/>
      <c r="T373" s="326"/>
      <c r="U373" s="326"/>
      <c r="V373" s="326"/>
      <c r="W373" s="326"/>
      <c r="X373" s="326"/>
      <c r="Y373" s="326"/>
      <c r="Z373" s="327"/>
      <c r="AA373" s="407"/>
      <c r="AB373" s="326"/>
      <c r="AC373" s="326"/>
      <c r="AD373" s="326"/>
      <c r="AE373" s="326"/>
      <c r="AF373" s="326"/>
      <c r="AG373" s="326"/>
      <c r="AH373" s="326"/>
      <c r="AI373" s="326"/>
      <c r="AJ373" s="326"/>
      <c r="AK373" s="326"/>
      <c r="AL373" s="326"/>
      <c r="AM373" s="326"/>
      <c r="AN373" s="326"/>
      <c r="AO373" s="326"/>
      <c r="AP373" s="326"/>
      <c r="AQ373" s="327"/>
    </row>
    <row r="374" spans="1:43" ht="30" customHeight="1" x14ac:dyDescent="0.25">
      <c r="A374" s="87">
        <f t="shared" si="1"/>
        <v>362</v>
      </c>
      <c r="B374" s="381" t="s">
        <v>334</v>
      </c>
      <c r="C374" s="326"/>
      <c r="D374" s="327"/>
      <c r="E374" s="698"/>
      <c r="F374" s="326"/>
      <c r="G374" s="327"/>
      <c r="H374" s="381"/>
      <c r="I374" s="326"/>
      <c r="J374" s="326"/>
      <c r="K374" s="327"/>
      <c r="L374" s="381"/>
      <c r="M374" s="326"/>
      <c r="N374" s="326"/>
      <c r="O374" s="326"/>
      <c r="P374" s="327"/>
      <c r="Q374" s="381"/>
      <c r="R374" s="326"/>
      <c r="S374" s="326"/>
      <c r="T374" s="326"/>
      <c r="U374" s="326"/>
      <c r="V374" s="326"/>
      <c r="W374" s="326"/>
      <c r="X374" s="326"/>
      <c r="Y374" s="326"/>
      <c r="Z374" s="327"/>
      <c r="AA374" s="381"/>
      <c r="AB374" s="326"/>
      <c r="AC374" s="326"/>
      <c r="AD374" s="326"/>
      <c r="AE374" s="326"/>
      <c r="AF374" s="326"/>
      <c r="AG374" s="326"/>
      <c r="AH374" s="326"/>
      <c r="AI374" s="326"/>
      <c r="AJ374" s="326"/>
      <c r="AK374" s="326"/>
      <c r="AL374" s="326"/>
      <c r="AM374" s="326"/>
      <c r="AN374" s="326"/>
      <c r="AO374" s="326"/>
      <c r="AP374" s="326"/>
      <c r="AQ374" s="327"/>
    </row>
    <row r="375" spans="1:43" ht="30" customHeight="1" x14ac:dyDescent="0.25">
      <c r="A375" s="87">
        <f t="shared" si="1"/>
        <v>363</v>
      </c>
      <c r="B375" s="407" t="s">
        <v>334</v>
      </c>
      <c r="C375" s="326"/>
      <c r="D375" s="327"/>
      <c r="E375" s="697"/>
      <c r="F375" s="326"/>
      <c r="G375" s="327"/>
      <c r="H375" s="407"/>
      <c r="I375" s="326"/>
      <c r="J375" s="326"/>
      <c r="K375" s="327"/>
      <c r="L375" s="407"/>
      <c r="M375" s="326"/>
      <c r="N375" s="326"/>
      <c r="O375" s="326"/>
      <c r="P375" s="327"/>
      <c r="Q375" s="407"/>
      <c r="R375" s="326"/>
      <c r="S375" s="326"/>
      <c r="T375" s="326"/>
      <c r="U375" s="326"/>
      <c r="V375" s="326"/>
      <c r="W375" s="326"/>
      <c r="X375" s="326"/>
      <c r="Y375" s="326"/>
      <c r="Z375" s="327"/>
      <c r="AA375" s="407"/>
      <c r="AB375" s="326"/>
      <c r="AC375" s="326"/>
      <c r="AD375" s="326"/>
      <c r="AE375" s="326"/>
      <c r="AF375" s="326"/>
      <c r="AG375" s="326"/>
      <c r="AH375" s="326"/>
      <c r="AI375" s="326"/>
      <c r="AJ375" s="326"/>
      <c r="AK375" s="326"/>
      <c r="AL375" s="326"/>
      <c r="AM375" s="326"/>
      <c r="AN375" s="326"/>
      <c r="AO375" s="326"/>
      <c r="AP375" s="326"/>
      <c r="AQ375" s="327"/>
    </row>
    <row r="376" spans="1:43" ht="30" customHeight="1" x14ac:dyDescent="0.25">
      <c r="A376" s="87">
        <f t="shared" si="1"/>
        <v>364</v>
      </c>
      <c r="B376" s="381" t="s">
        <v>334</v>
      </c>
      <c r="C376" s="326"/>
      <c r="D376" s="327"/>
      <c r="E376" s="698"/>
      <c r="F376" s="326"/>
      <c r="G376" s="327"/>
      <c r="H376" s="381"/>
      <c r="I376" s="326"/>
      <c r="J376" s="326"/>
      <c r="K376" s="327"/>
      <c r="L376" s="381"/>
      <c r="M376" s="326"/>
      <c r="N376" s="326"/>
      <c r="O376" s="326"/>
      <c r="P376" s="327"/>
      <c r="Q376" s="381"/>
      <c r="R376" s="326"/>
      <c r="S376" s="326"/>
      <c r="T376" s="326"/>
      <c r="U376" s="326"/>
      <c r="V376" s="326"/>
      <c r="W376" s="326"/>
      <c r="X376" s="326"/>
      <c r="Y376" s="326"/>
      <c r="Z376" s="327"/>
      <c r="AA376" s="381"/>
      <c r="AB376" s="326"/>
      <c r="AC376" s="326"/>
      <c r="AD376" s="326"/>
      <c r="AE376" s="326"/>
      <c r="AF376" s="326"/>
      <c r="AG376" s="326"/>
      <c r="AH376" s="326"/>
      <c r="AI376" s="326"/>
      <c r="AJ376" s="326"/>
      <c r="AK376" s="326"/>
      <c r="AL376" s="326"/>
      <c r="AM376" s="326"/>
      <c r="AN376" s="326"/>
      <c r="AO376" s="326"/>
      <c r="AP376" s="326"/>
      <c r="AQ376" s="327"/>
    </row>
    <row r="377" spans="1:43" ht="30" customHeight="1" x14ac:dyDescent="0.25">
      <c r="A377" s="87">
        <f t="shared" si="1"/>
        <v>365</v>
      </c>
      <c r="B377" s="407" t="s">
        <v>334</v>
      </c>
      <c r="C377" s="326"/>
      <c r="D377" s="327"/>
      <c r="E377" s="697"/>
      <c r="F377" s="326"/>
      <c r="G377" s="327"/>
      <c r="H377" s="407"/>
      <c r="I377" s="326"/>
      <c r="J377" s="326"/>
      <c r="K377" s="327"/>
      <c r="L377" s="407"/>
      <c r="M377" s="326"/>
      <c r="N377" s="326"/>
      <c r="O377" s="326"/>
      <c r="P377" s="327"/>
      <c r="Q377" s="407"/>
      <c r="R377" s="326"/>
      <c r="S377" s="326"/>
      <c r="T377" s="326"/>
      <c r="U377" s="326"/>
      <c r="V377" s="326"/>
      <c r="W377" s="326"/>
      <c r="X377" s="326"/>
      <c r="Y377" s="326"/>
      <c r="Z377" s="327"/>
      <c r="AA377" s="407"/>
      <c r="AB377" s="326"/>
      <c r="AC377" s="326"/>
      <c r="AD377" s="326"/>
      <c r="AE377" s="326"/>
      <c r="AF377" s="326"/>
      <c r="AG377" s="326"/>
      <c r="AH377" s="326"/>
      <c r="AI377" s="326"/>
      <c r="AJ377" s="326"/>
      <c r="AK377" s="326"/>
      <c r="AL377" s="326"/>
      <c r="AM377" s="326"/>
      <c r="AN377" s="326"/>
      <c r="AO377" s="326"/>
      <c r="AP377" s="326"/>
      <c r="AQ377" s="327"/>
    </row>
    <row r="378" spans="1:43" ht="30" customHeight="1" x14ac:dyDescent="0.25">
      <c r="A378" s="87">
        <f t="shared" si="1"/>
        <v>366</v>
      </c>
      <c r="B378" s="381" t="s">
        <v>334</v>
      </c>
      <c r="C378" s="326"/>
      <c r="D378" s="327"/>
      <c r="E378" s="698"/>
      <c r="F378" s="326"/>
      <c r="G378" s="327"/>
      <c r="H378" s="381"/>
      <c r="I378" s="326"/>
      <c r="J378" s="326"/>
      <c r="K378" s="327"/>
      <c r="L378" s="381"/>
      <c r="M378" s="326"/>
      <c r="N378" s="326"/>
      <c r="O378" s="326"/>
      <c r="P378" s="327"/>
      <c r="Q378" s="381"/>
      <c r="R378" s="326"/>
      <c r="S378" s="326"/>
      <c r="T378" s="326"/>
      <c r="U378" s="326"/>
      <c r="V378" s="326"/>
      <c r="W378" s="326"/>
      <c r="X378" s="326"/>
      <c r="Y378" s="326"/>
      <c r="Z378" s="327"/>
      <c r="AA378" s="381"/>
      <c r="AB378" s="326"/>
      <c r="AC378" s="326"/>
      <c r="AD378" s="326"/>
      <c r="AE378" s="326"/>
      <c r="AF378" s="326"/>
      <c r="AG378" s="326"/>
      <c r="AH378" s="326"/>
      <c r="AI378" s="326"/>
      <c r="AJ378" s="326"/>
      <c r="AK378" s="326"/>
      <c r="AL378" s="326"/>
      <c r="AM378" s="326"/>
      <c r="AN378" s="326"/>
      <c r="AO378" s="326"/>
      <c r="AP378" s="326"/>
      <c r="AQ378" s="327"/>
    </row>
    <row r="379" spans="1:43" ht="30" customHeight="1" x14ac:dyDescent="0.25">
      <c r="A379" s="87">
        <f t="shared" si="1"/>
        <v>367</v>
      </c>
      <c r="B379" s="407" t="s">
        <v>334</v>
      </c>
      <c r="C379" s="326"/>
      <c r="D379" s="327"/>
      <c r="E379" s="697"/>
      <c r="F379" s="326"/>
      <c r="G379" s="327"/>
      <c r="H379" s="407"/>
      <c r="I379" s="326"/>
      <c r="J379" s="326"/>
      <c r="K379" s="327"/>
      <c r="L379" s="407"/>
      <c r="M379" s="326"/>
      <c r="N379" s="326"/>
      <c r="O379" s="326"/>
      <c r="P379" s="327"/>
      <c r="Q379" s="407"/>
      <c r="R379" s="326"/>
      <c r="S379" s="326"/>
      <c r="T379" s="326"/>
      <c r="U379" s="326"/>
      <c r="V379" s="326"/>
      <c r="W379" s="326"/>
      <c r="X379" s="326"/>
      <c r="Y379" s="326"/>
      <c r="Z379" s="327"/>
      <c r="AA379" s="407"/>
      <c r="AB379" s="326"/>
      <c r="AC379" s="326"/>
      <c r="AD379" s="326"/>
      <c r="AE379" s="326"/>
      <c r="AF379" s="326"/>
      <c r="AG379" s="326"/>
      <c r="AH379" s="326"/>
      <c r="AI379" s="326"/>
      <c r="AJ379" s="326"/>
      <c r="AK379" s="326"/>
      <c r="AL379" s="326"/>
      <c r="AM379" s="326"/>
      <c r="AN379" s="326"/>
      <c r="AO379" s="326"/>
      <c r="AP379" s="326"/>
      <c r="AQ379" s="327"/>
    </row>
    <row r="380" spans="1:43" ht="30" customHeight="1" x14ac:dyDescent="0.25">
      <c r="A380" s="87">
        <f t="shared" si="1"/>
        <v>368</v>
      </c>
      <c r="B380" s="381" t="s">
        <v>334</v>
      </c>
      <c r="C380" s="326"/>
      <c r="D380" s="327"/>
      <c r="E380" s="698"/>
      <c r="F380" s="326"/>
      <c r="G380" s="327"/>
      <c r="H380" s="381"/>
      <c r="I380" s="326"/>
      <c r="J380" s="326"/>
      <c r="K380" s="327"/>
      <c r="L380" s="381"/>
      <c r="M380" s="326"/>
      <c r="N380" s="326"/>
      <c r="O380" s="326"/>
      <c r="P380" s="327"/>
      <c r="Q380" s="381"/>
      <c r="R380" s="326"/>
      <c r="S380" s="326"/>
      <c r="T380" s="326"/>
      <c r="U380" s="326"/>
      <c r="V380" s="326"/>
      <c r="W380" s="326"/>
      <c r="X380" s="326"/>
      <c r="Y380" s="326"/>
      <c r="Z380" s="327"/>
      <c r="AA380" s="381"/>
      <c r="AB380" s="326"/>
      <c r="AC380" s="326"/>
      <c r="AD380" s="326"/>
      <c r="AE380" s="326"/>
      <c r="AF380" s="326"/>
      <c r="AG380" s="326"/>
      <c r="AH380" s="326"/>
      <c r="AI380" s="326"/>
      <c r="AJ380" s="326"/>
      <c r="AK380" s="326"/>
      <c r="AL380" s="326"/>
      <c r="AM380" s="326"/>
      <c r="AN380" s="326"/>
      <c r="AO380" s="326"/>
      <c r="AP380" s="326"/>
      <c r="AQ380" s="327"/>
    </row>
    <row r="381" spans="1:43" ht="30" customHeight="1" x14ac:dyDescent="0.25">
      <c r="A381" s="87">
        <f t="shared" si="1"/>
        <v>369</v>
      </c>
      <c r="B381" s="407" t="s">
        <v>334</v>
      </c>
      <c r="C381" s="326"/>
      <c r="D381" s="327"/>
      <c r="E381" s="697"/>
      <c r="F381" s="326"/>
      <c r="G381" s="327"/>
      <c r="H381" s="407"/>
      <c r="I381" s="326"/>
      <c r="J381" s="326"/>
      <c r="K381" s="327"/>
      <c r="L381" s="407"/>
      <c r="M381" s="326"/>
      <c r="N381" s="326"/>
      <c r="O381" s="326"/>
      <c r="P381" s="327"/>
      <c r="Q381" s="407"/>
      <c r="R381" s="326"/>
      <c r="S381" s="326"/>
      <c r="T381" s="326"/>
      <c r="U381" s="326"/>
      <c r="V381" s="326"/>
      <c r="W381" s="326"/>
      <c r="X381" s="326"/>
      <c r="Y381" s="326"/>
      <c r="Z381" s="327"/>
      <c r="AA381" s="407"/>
      <c r="AB381" s="326"/>
      <c r="AC381" s="326"/>
      <c r="AD381" s="326"/>
      <c r="AE381" s="326"/>
      <c r="AF381" s="326"/>
      <c r="AG381" s="326"/>
      <c r="AH381" s="326"/>
      <c r="AI381" s="326"/>
      <c r="AJ381" s="326"/>
      <c r="AK381" s="326"/>
      <c r="AL381" s="326"/>
      <c r="AM381" s="326"/>
      <c r="AN381" s="326"/>
      <c r="AO381" s="326"/>
      <c r="AP381" s="326"/>
      <c r="AQ381" s="327"/>
    </row>
    <row r="382" spans="1:43" ht="30" customHeight="1" x14ac:dyDescent="0.25">
      <c r="A382" s="87">
        <f t="shared" si="1"/>
        <v>370</v>
      </c>
      <c r="B382" s="381" t="s">
        <v>334</v>
      </c>
      <c r="C382" s="326"/>
      <c r="D382" s="327"/>
      <c r="E382" s="698"/>
      <c r="F382" s="326"/>
      <c r="G382" s="327"/>
      <c r="H382" s="381"/>
      <c r="I382" s="326"/>
      <c r="J382" s="326"/>
      <c r="K382" s="327"/>
      <c r="L382" s="381"/>
      <c r="M382" s="326"/>
      <c r="N382" s="326"/>
      <c r="O382" s="326"/>
      <c r="P382" s="327"/>
      <c r="Q382" s="381"/>
      <c r="R382" s="326"/>
      <c r="S382" s="326"/>
      <c r="T382" s="326"/>
      <c r="U382" s="326"/>
      <c r="V382" s="326"/>
      <c r="W382" s="326"/>
      <c r="X382" s="326"/>
      <c r="Y382" s="326"/>
      <c r="Z382" s="327"/>
      <c r="AA382" s="381"/>
      <c r="AB382" s="326"/>
      <c r="AC382" s="326"/>
      <c r="AD382" s="326"/>
      <c r="AE382" s="326"/>
      <c r="AF382" s="326"/>
      <c r="AG382" s="326"/>
      <c r="AH382" s="326"/>
      <c r="AI382" s="326"/>
      <c r="AJ382" s="326"/>
      <c r="AK382" s="326"/>
      <c r="AL382" s="326"/>
      <c r="AM382" s="326"/>
      <c r="AN382" s="326"/>
      <c r="AO382" s="326"/>
      <c r="AP382" s="326"/>
      <c r="AQ382" s="327"/>
    </row>
    <row r="383" spans="1:43" ht="30" customHeight="1" x14ac:dyDescent="0.25">
      <c r="A383" s="87">
        <f t="shared" si="1"/>
        <v>371</v>
      </c>
      <c r="B383" s="407" t="s">
        <v>334</v>
      </c>
      <c r="C383" s="326"/>
      <c r="D383" s="327"/>
      <c r="E383" s="697"/>
      <c r="F383" s="326"/>
      <c r="G383" s="327"/>
      <c r="H383" s="407"/>
      <c r="I383" s="326"/>
      <c r="J383" s="326"/>
      <c r="K383" s="327"/>
      <c r="L383" s="407"/>
      <c r="M383" s="326"/>
      <c r="N383" s="326"/>
      <c r="O383" s="326"/>
      <c r="P383" s="327"/>
      <c r="Q383" s="407"/>
      <c r="R383" s="326"/>
      <c r="S383" s="326"/>
      <c r="T383" s="326"/>
      <c r="U383" s="326"/>
      <c r="V383" s="326"/>
      <c r="W383" s="326"/>
      <c r="X383" s="326"/>
      <c r="Y383" s="326"/>
      <c r="Z383" s="327"/>
      <c r="AA383" s="407"/>
      <c r="AB383" s="326"/>
      <c r="AC383" s="326"/>
      <c r="AD383" s="326"/>
      <c r="AE383" s="326"/>
      <c r="AF383" s="326"/>
      <c r="AG383" s="326"/>
      <c r="AH383" s="326"/>
      <c r="AI383" s="326"/>
      <c r="AJ383" s="326"/>
      <c r="AK383" s="326"/>
      <c r="AL383" s="326"/>
      <c r="AM383" s="326"/>
      <c r="AN383" s="326"/>
      <c r="AO383" s="326"/>
      <c r="AP383" s="326"/>
      <c r="AQ383" s="327"/>
    </row>
    <row r="384" spans="1:43" ht="30" customHeight="1" x14ac:dyDescent="0.25">
      <c r="A384" s="87">
        <f t="shared" si="1"/>
        <v>372</v>
      </c>
      <c r="B384" s="381" t="s">
        <v>334</v>
      </c>
      <c r="C384" s="326"/>
      <c r="D384" s="327"/>
      <c r="E384" s="698"/>
      <c r="F384" s="326"/>
      <c r="G384" s="327"/>
      <c r="H384" s="381"/>
      <c r="I384" s="326"/>
      <c r="J384" s="326"/>
      <c r="K384" s="327"/>
      <c r="L384" s="381"/>
      <c r="M384" s="326"/>
      <c r="N384" s="326"/>
      <c r="O384" s="326"/>
      <c r="P384" s="327"/>
      <c r="Q384" s="381"/>
      <c r="R384" s="326"/>
      <c r="S384" s="326"/>
      <c r="T384" s="326"/>
      <c r="U384" s="326"/>
      <c r="V384" s="326"/>
      <c r="W384" s="326"/>
      <c r="X384" s="326"/>
      <c r="Y384" s="326"/>
      <c r="Z384" s="327"/>
      <c r="AA384" s="381"/>
      <c r="AB384" s="326"/>
      <c r="AC384" s="326"/>
      <c r="AD384" s="326"/>
      <c r="AE384" s="326"/>
      <c r="AF384" s="326"/>
      <c r="AG384" s="326"/>
      <c r="AH384" s="326"/>
      <c r="AI384" s="326"/>
      <c r="AJ384" s="326"/>
      <c r="AK384" s="326"/>
      <c r="AL384" s="326"/>
      <c r="AM384" s="326"/>
      <c r="AN384" s="326"/>
      <c r="AO384" s="326"/>
      <c r="AP384" s="326"/>
      <c r="AQ384" s="327"/>
    </row>
    <row r="385" spans="1:43" ht="30" customHeight="1" x14ac:dyDescent="0.25">
      <c r="A385" s="87">
        <f t="shared" si="1"/>
        <v>373</v>
      </c>
      <c r="B385" s="407" t="s">
        <v>334</v>
      </c>
      <c r="C385" s="326"/>
      <c r="D385" s="327"/>
      <c r="E385" s="697"/>
      <c r="F385" s="326"/>
      <c r="G385" s="327"/>
      <c r="H385" s="407"/>
      <c r="I385" s="326"/>
      <c r="J385" s="326"/>
      <c r="K385" s="327"/>
      <c r="L385" s="407"/>
      <c r="M385" s="326"/>
      <c r="N385" s="326"/>
      <c r="O385" s="326"/>
      <c r="P385" s="327"/>
      <c r="Q385" s="407"/>
      <c r="R385" s="326"/>
      <c r="S385" s="326"/>
      <c r="T385" s="326"/>
      <c r="U385" s="326"/>
      <c r="V385" s="326"/>
      <c r="W385" s="326"/>
      <c r="X385" s="326"/>
      <c r="Y385" s="326"/>
      <c r="Z385" s="327"/>
      <c r="AA385" s="407"/>
      <c r="AB385" s="326"/>
      <c r="AC385" s="326"/>
      <c r="AD385" s="326"/>
      <c r="AE385" s="326"/>
      <c r="AF385" s="326"/>
      <c r="AG385" s="326"/>
      <c r="AH385" s="326"/>
      <c r="AI385" s="326"/>
      <c r="AJ385" s="326"/>
      <c r="AK385" s="326"/>
      <c r="AL385" s="326"/>
      <c r="AM385" s="326"/>
      <c r="AN385" s="326"/>
      <c r="AO385" s="326"/>
      <c r="AP385" s="326"/>
      <c r="AQ385" s="327"/>
    </row>
    <row r="386" spans="1:43" ht="30" customHeight="1" x14ac:dyDescent="0.25">
      <c r="A386" s="87">
        <f t="shared" si="1"/>
        <v>374</v>
      </c>
      <c r="B386" s="381" t="s">
        <v>334</v>
      </c>
      <c r="C386" s="326"/>
      <c r="D386" s="327"/>
      <c r="E386" s="698"/>
      <c r="F386" s="326"/>
      <c r="G386" s="327"/>
      <c r="H386" s="381"/>
      <c r="I386" s="326"/>
      <c r="J386" s="326"/>
      <c r="K386" s="327"/>
      <c r="L386" s="381"/>
      <c r="M386" s="326"/>
      <c r="N386" s="326"/>
      <c r="O386" s="326"/>
      <c r="P386" s="327"/>
      <c r="Q386" s="381"/>
      <c r="R386" s="326"/>
      <c r="S386" s="326"/>
      <c r="T386" s="326"/>
      <c r="U386" s="326"/>
      <c r="V386" s="326"/>
      <c r="W386" s="326"/>
      <c r="X386" s="326"/>
      <c r="Y386" s="326"/>
      <c r="Z386" s="327"/>
      <c r="AA386" s="381"/>
      <c r="AB386" s="326"/>
      <c r="AC386" s="326"/>
      <c r="AD386" s="326"/>
      <c r="AE386" s="326"/>
      <c r="AF386" s="326"/>
      <c r="AG386" s="326"/>
      <c r="AH386" s="326"/>
      <c r="AI386" s="326"/>
      <c r="AJ386" s="326"/>
      <c r="AK386" s="326"/>
      <c r="AL386" s="326"/>
      <c r="AM386" s="326"/>
      <c r="AN386" s="326"/>
      <c r="AO386" s="326"/>
      <c r="AP386" s="326"/>
      <c r="AQ386" s="327"/>
    </row>
    <row r="387" spans="1:43" ht="30" customHeight="1" x14ac:dyDescent="0.25">
      <c r="A387" s="87">
        <f t="shared" si="1"/>
        <v>375</v>
      </c>
      <c r="B387" s="407" t="s">
        <v>334</v>
      </c>
      <c r="C387" s="326"/>
      <c r="D387" s="327"/>
      <c r="E387" s="697"/>
      <c r="F387" s="326"/>
      <c r="G387" s="327"/>
      <c r="H387" s="407"/>
      <c r="I387" s="326"/>
      <c r="J387" s="326"/>
      <c r="K387" s="327"/>
      <c r="L387" s="407"/>
      <c r="M387" s="326"/>
      <c r="N387" s="326"/>
      <c r="O387" s="326"/>
      <c r="P387" s="327"/>
      <c r="Q387" s="407"/>
      <c r="R387" s="326"/>
      <c r="S387" s="326"/>
      <c r="T387" s="326"/>
      <c r="U387" s="326"/>
      <c r="V387" s="326"/>
      <c r="W387" s="326"/>
      <c r="X387" s="326"/>
      <c r="Y387" s="326"/>
      <c r="Z387" s="327"/>
      <c r="AA387" s="407"/>
      <c r="AB387" s="326"/>
      <c r="AC387" s="326"/>
      <c r="AD387" s="326"/>
      <c r="AE387" s="326"/>
      <c r="AF387" s="326"/>
      <c r="AG387" s="326"/>
      <c r="AH387" s="326"/>
      <c r="AI387" s="326"/>
      <c r="AJ387" s="326"/>
      <c r="AK387" s="326"/>
      <c r="AL387" s="326"/>
      <c r="AM387" s="326"/>
      <c r="AN387" s="326"/>
      <c r="AO387" s="326"/>
      <c r="AP387" s="326"/>
      <c r="AQ387" s="327"/>
    </row>
    <row r="388" spans="1:43" ht="30" customHeight="1" x14ac:dyDescent="0.25">
      <c r="A388" s="87">
        <f t="shared" si="1"/>
        <v>376</v>
      </c>
      <c r="B388" s="381" t="s">
        <v>334</v>
      </c>
      <c r="C388" s="326"/>
      <c r="D388" s="327"/>
      <c r="E388" s="698"/>
      <c r="F388" s="326"/>
      <c r="G388" s="327"/>
      <c r="H388" s="381"/>
      <c r="I388" s="326"/>
      <c r="J388" s="326"/>
      <c r="K388" s="327"/>
      <c r="L388" s="381"/>
      <c r="M388" s="326"/>
      <c r="N388" s="326"/>
      <c r="O388" s="326"/>
      <c r="P388" s="327"/>
      <c r="Q388" s="381"/>
      <c r="R388" s="326"/>
      <c r="S388" s="326"/>
      <c r="T388" s="326"/>
      <c r="U388" s="326"/>
      <c r="V388" s="326"/>
      <c r="W388" s="326"/>
      <c r="X388" s="326"/>
      <c r="Y388" s="326"/>
      <c r="Z388" s="327"/>
      <c r="AA388" s="381"/>
      <c r="AB388" s="326"/>
      <c r="AC388" s="326"/>
      <c r="AD388" s="326"/>
      <c r="AE388" s="326"/>
      <c r="AF388" s="326"/>
      <c r="AG388" s="326"/>
      <c r="AH388" s="326"/>
      <c r="AI388" s="326"/>
      <c r="AJ388" s="326"/>
      <c r="AK388" s="326"/>
      <c r="AL388" s="326"/>
      <c r="AM388" s="326"/>
      <c r="AN388" s="326"/>
      <c r="AO388" s="326"/>
      <c r="AP388" s="326"/>
      <c r="AQ388" s="327"/>
    </row>
    <row r="389" spans="1:43" ht="30" customHeight="1" x14ac:dyDescent="0.25">
      <c r="A389" s="87">
        <f t="shared" si="1"/>
        <v>377</v>
      </c>
      <c r="B389" s="407" t="s">
        <v>334</v>
      </c>
      <c r="C389" s="326"/>
      <c r="D389" s="327"/>
      <c r="E389" s="697"/>
      <c r="F389" s="326"/>
      <c r="G389" s="327"/>
      <c r="H389" s="407"/>
      <c r="I389" s="326"/>
      <c r="J389" s="326"/>
      <c r="K389" s="327"/>
      <c r="L389" s="407"/>
      <c r="M389" s="326"/>
      <c r="N389" s="326"/>
      <c r="O389" s="326"/>
      <c r="P389" s="327"/>
      <c r="Q389" s="407"/>
      <c r="R389" s="326"/>
      <c r="S389" s="326"/>
      <c r="T389" s="326"/>
      <c r="U389" s="326"/>
      <c r="V389" s="326"/>
      <c r="W389" s="326"/>
      <c r="X389" s="326"/>
      <c r="Y389" s="326"/>
      <c r="Z389" s="327"/>
      <c r="AA389" s="407"/>
      <c r="AB389" s="326"/>
      <c r="AC389" s="326"/>
      <c r="AD389" s="326"/>
      <c r="AE389" s="326"/>
      <c r="AF389" s="326"/>
      <c r="AG389" s="326"/>
      <c r="AH389" s="326"/>
      <c r="AI389" s="326"/>
      <c r="AJ389" s="326"/>
      <c r="AK389" s="326"/>
      <c r="AL389" s="326"/>
      <c r="AM389" s="326"/>
      <c r="AN389" s="326"/>
      <c r="AO389" s="326"/>
      <c r="AP389" s="326"/>
      <c r="AQ389" s="327"/>
    </row>
    <row r="390" spans="1:43" ht="30" customHeight="1" x14ac:dyDescent="0.25">
      <c r="A390" s="87">
        <f t="shared" si="1"/>
        <v>378</v>
      </c>
      <c r="B390" s="381" t="s">
        <v>334</v>
      </c>
      <c r="C390" s="326"/>
      <c r="D390" s="327"/>
      <c r="E390" s="698"/>
      <c r="F390" s="326"/>
      <c r="G390" s="327"/>
      <c r="H390" s="381"/>
      <c r="I390" s="326"/>
      <c r="J390" s="326"/>
      <c r="K390" s="327"/>
      <c r="L390" s="381"/>
      <c r="M390" s="326"/>
      <c r="N390" s="326"/>
      <c r="O390" s="326"/>
      <c r="P390" s="327"/>
      <c r="Q390" s="381"/>
      <c r="R390" s="326"/>
      <c r="S390" s="326"/>
      <c r="T390" s="326"/>
      <c r="U390" s="326"/>
      <c r="V390" s="326"/>
      <c r="W390" s="326"/>
      <c r="X390" s="326"/>
      <c r="Y390" s="326"/>
      <c r="Z390" s="327"/>
      <c r="AA390" s="381"/>
      <c r="AB390" s="326"/>
      <c r="AC390" s="326"/>
      <c r="AD390" s="326"/>
      <c r="AE390" s="326"/>
      <c r="AF390" s="326"/>
      <c r="AG390" s="326"/>
      <c r="AH390" s="326"/>
      <c r="AI390" s="326"/>
      <c r="AJ390" s="326"/>
      <c r="AK390" s="326"/>
      <c r="AL390" s="326"/>
      <c r="AM390" s="326"/>
      <c r="AN390" s="326"/>
      <c r="AO390" s="326"/>
      <c r="AP390" s="326"/>
      <c r="AQ390" s="327"/>
    </row>
    <row r="391" spans="1:43" ht="30" customHeight="1" x14ac:dyDescent="0.25">
      <c r="A391" s="87">
        <f t="shared" si="1"/>
        <v>379</v>
      </c>
      <c r="B391" s="407" t="s">
        <v>334</v>
      </c>
      <c r="C391" s="326"/>
      <c r="D391" s="327"/>
      <c r="E391" s="697"/>
      <c r="F391" s="326"/>
      <c r="G391" s="327"/>
      <c r="H391" s="407"/>
      <c r="I391" s="326"/>
      <c r="J391" s="326"/>
      <c r="K391" s="327"/>
      <c r="L391" s="407"/>
      <c r="M391" s="326"/>
      <c r="N391" s="326"/>
      <c r="O391" s="326"/>
      <c r="P391" s="327"/>
      <c r="Q391" s="407"/>
      <c r="R391" s="326"/>
      <c r="S391" s="326"/>
      <c r="T391" s="326"/>
      <c r="U391" s="326"/>
      <c r="V391" s="326"/>
      <c r="W391" s="326"/>
      <c r="X391" s="326"/>
      <c r="Y391" s="326"/>
      <c r="Z391" s="327"/>
      <c r="AA391" s="407"/>
      <c r="AB391" s="326"/>
      <c r="AC391" s="326"/>
      <c r="AD391" s="326"/>
      <c r="AE391" s="326"/>
      <c r="AF391" s="326"/>
      <c r="AG391" s="326"/>
      <c r="AH391" s="326"/>
      <c r="AI391" s="326"/>
      <c r="AJ391" s="326"/>
      <c r="AK391" s="326"/>
      <c r="AL391" s="326"/>
      <c r="AM391" s="326"/>
      <c r="AN391" s="326"/>
      <c r="AO391" s="326"/>
      <c r="AP391" s="326"/>
      <c r="AQ391" s="327"/>
    </row>
    <row r="392" spans="1:43" ht="30" customHeight="1" x14ac:dyDescent="0.25">
      <c r="A392" s="87">
        <f t="shared" si="1"/>
        <v>380</v>
      </c>
      <c r="B392" s="381" t="s">
        <v>334</v>
      </c>
      <c r="C392" s="326"/>
      <c r="D392" s="327"/>
      <c r="E392" s="698"/>
      <c r="F392" s="326"/>
      <c r="G392" s="327"/>
      <c r="H392" s="381"/>
      <c r="I392" s="326"/>
      <c r="J392" s="326"/>
      <c r="K392" s="327"/>
      <c r="L392" s="381"/>
      <c r="M392" s="326"/>
      <c r="N392" s="326"/>
      <c r="O392" s="326"/>
      <c r="P392" s="327"/>
      <c r="Q392" s="381"/>
      <c r="R392" s="326"/>
      <c r="S392" s="326"/>
      <c r="T392" s="326"/>
      <c r="U392" s="326"/>
      <c r="V392" s="326"/>
      <c r="W392" s="326"/>
      <c r="X392" s="326"/>
      <c r="Y392" s="326"/>
      <c r="Z392" s="327"/>
      <c r="AA392" s="381"/>
      <c r="AB392" s="326"/>
      <c r="AC392" s="326"/>
      <c r="AD392" s="326"/>
      <c r="AE392" s="326"/>
      <c r="AF392" s="326"/>
      <c r="AG392" s="326"/>
      <c r="AH392" s="326"/>
      <c r="AI392" s="326"/>
      <c r="AJ392" s="326"/>
      <c r="AK392" s="326"/>
      <c r="AL392" s="326"/>
      <c r="AM392" s="326"/>
      <c r="AN392" s="326"/>
      <c r="AO392" s="326"/>
      <c r="AP392" s="326"/>
      <c r="AQ392" s="327"/>
    </row>
    <row r="393" spans="1:43" ht="30" customHeight="1" x14ac:dyDescent="0.25">
      <c r="A393" s="87">
        <f t="shared" si="1"/>
        <v>381</v>
      </c>
      <c r="B393" s="407" t="s">
        <v>334</v>
      </c>
      <c r="C393" s="326"/>
      <c r="D393" s="327"/>
      <c r="E393" s="697"/>
      <c r="F393" s="326"/>
      <c r="G393" s="327"/>
      <c r="H393" s="407"/>
      <c r="I393" s="326"/>
      <c r="J393" s="326"/>
      <c r="K393" s="327"/>
      <c r="L393" s="407"/>
      <c r="M393" s="326"/>
      <c r="N393" s="326"/>
      <c r="O393" s="326"/>
      <c r="P393" s="327"/>
      <c r="Q393" s="407"/>
      <c r="R393" s="326"/>
      <c r="S393" s="326"/>
      <c r="T393" s="326"/>
      <c r="U393" s="326"/>
      <c r="V393" s="326"/>
      <c r="W393" s="326"/>
      <c r="X393" s="326"/>
      <c r="Y393" s="326"/>
      <c r="Z393" s="327"/>
      <c r="AA393" s="407"/>
      <c r="AB393" s="326"/>
      <c r="AC393" s="326"/>
      <c r="AD393" s="326"/>
      <c r="AE393" s="326"/>
      <c r="AF393" s="326"/>
      <c r="AG393" s="326"/>
      <c r="AH393" s="326"/>
      <c r="AI393" s="326"/>
      <c r="AJ393" s="326"/>
      <c r="AK393" s="326"/>
      <c r="AL393" s="326"/>
      <c r="AM393" s="326"/>
      <c r="AN393" s="326"/>
      <c r="AO393" s="326"/>
      <c r="AP393" s="326"/>
      <c r="AQ393" s="327"/>
    </row>
    <row r="394" spans="1:43" ht="30" customHeight="1" x14ac:dyDescent="0.25">
      <c r="A394" s="87">
        <f t="shared" si="1"/>
        <v>382</v>
      </c>
      <c r="B394" s="381" t="s">
        <v>334</v>
      </c>
      <c r="C394" s="326"/>
      <c r="D394" s="327"/>
      <c r="E394" s="698"/>
      <c r="F394" s="326"/>
      <c r="G394" s="327"/>
      <c r="H394" s="381"/>
      <c r="I394" s="326"/>
      <c r="J394" s="326"/>
      <c r="K394" s="327"/>
      <c r="L394" s="381"/>
      <c r="M394" s="326"/>
      <c r="N394" s="326"/>
      <c r="O394" s="326"/>
      <c r="P394" s="327"/>
      <c r="Q394" s="381"/>
      <c r="R394" s="326"/>
      <c r="S394" s="326"/>
      <c r="T394" s="326"/>
      <c r="U394" s="326"/>
      <c r="V394" s="326"/>
      <c r="W394" s="326"/>
      <c r="X394" s="326"/>
      <c r="Y394" s="326"/>
      <c r="Z394" s="327"/>
      <c r="AA394" s="381"/>
      <c r="AB394" s="326"/>
      <c r="AC394" s="326"/>
      <c r="AD394" s="326"/>
      <c r="AE394" s="326"/>
      <c r="AF394" s="326"/>
      <c r="AG394" s="326"/>
      <c r="AH394" s="326"/>
      <c r="AI394" s="326"/>
      <c r="AJ394" s="326"/>
      <c r="AK394" s="326"/>
      <c r="AL394" s="326"/>
      <c r="AM394" s="326"/>
      <c r="AN394" s="326"/>
      <c r="AO394" s="326"/>
      <c r="AP394" s="326"/>
      <c r="AQ394" s="327"/>
    </row>
    <row r="395" spans="1:43" ht="30" customHeight="1" x14ac:dyDescent="0.25">
      <c r="A395" s="87">
        <f t="shared" si="1"/>
        <v>383</v>
      </c>
      <c r="B395" s="407" t="s">
        <v>334</v>
      </c>
      <c r="C395" s="326"/>
      <c r="D395" s="327"/>
      <c r="E395" s="697"/>
      <c r="F395" s="326"/>
      <c r="G395" s="327"/>
      <c r="H395" s="407"/>
      <c r="I395" s="326"/>
      <c r="J395" s="326"/>
      <c r="K395" s="327"/>
      <c r="L395" s="407"/>
      <c r="M395" s="326"/>
      <c r="N395" s="326"/>
      <c r="O395" s="326"/>
      <c r="P395" s="327"/>
      <c r="Q395" s="407"/>
      <c r="R395" s="326"/>
      <c r="S395" s="326"/>
      <c r="T395" s="326"/>
      <c r="U395" s="326"/>
      <c r="V395" s="326"/>
      <c r="W395" s="326"/>
      <c r="X395" s="326"/>
      <c r="Y395" s="326"/>
      <c r="Z395" s="327"/>
      <c r="AA395" s="407"/>
      <c r="AB395" s="326"/>
      <c r="AC395" s="326"/>
      <c r="AD395" s="326"/>
      <c r="AE395" s="326"/>
      <c r="AF395" s="326"/>
      <c r="AG395" s="326"/>
      <c r="AH395" s="326"/>
      <c r="AI395" s="326"/>
      <c r="AJ395" s="326"/>
      <c r="AK395" s="326"/>
      <c r="AL395" s="326"/>
      <c r="AM395" s="326"/>
      <c r="AN395" s="326"/>
      <c r="AO395" s="326"/>
      <c r="AP395" s="326"/>
      <c r="AQ395" s="327"/>
    </row>
    <row r="396" spans="1:43" ht="30" customHeight="1" x14ac:dyDescent="0.25">
      <c r="A396" s="87">
        <f t="shared" si="1"/>
        <v>384</v>
      </c>
      <c r="B396" s="381" t="s">
        <v>334</v>
      </c>
      <c r="C396" s="326"/>
      <c r="D396" s="327"/>
      <c r="E396" s="698"/>
      <c r="F396" s="326"/>
      <c r="G396" s="327"/>
      <c r="H396" s="381"/>
      <c r="I396" s="326"/>
      <c r="J396" s="326"/>
      <c r="K396" s="327"/>
      <c r="L396" s="381"/>
      <c r="M396" s="326"/>
      <c r="N396" s="326"/>
      <c r="O396" s="326"/>
      <c r="P396" s="327"/>
      <c r="Q396" s="381"/>
      <c r="R396" s="326"/>
      <c r="S396" s="326"/>
      <c r="T396" s="326"/>
      <c r="U396" s="326"/>
      <c r="V396" s="326"/>
      <c r="W396" s="326"/>
      <c r="X396" s="326"/>
      <c r="Y396" s="326"/>
      <c r="Z396" s="327"/>
      <c r="AA396" s="381"/>
      <c r="AB396" s="326"/>
      <c r="AC396" s="326"/>
      <c r="AD396" s="326"/>
      <c r="AE396" s="326"/>
      <c r="AF396" s="326"/>
      <c r="AG396" s="326"/>
      <c r="AH396" s="326"/>
      <c r="AI396" s="326"/>
      <c r="AJ396" s="326"/>
      <c r="AK396" s="326"/>
      <c r="AL396" s="326"/>
      <c r="AM396" s="326"/>
      <c r="AN396" s="326"/>
      <c r="AO396" s="326"/>
      <c r="AP396" s="326"/>
      <c r="AQ396" s="327"/>
    </row>
    <row r="397" spans="1:43" ht="30" customHeight="1" x14ac:dyDescent="0.25">
      <c r="A397" s="87">
        <f t="shared" si="1"/>
        <v>385</v>
      </c>
      <c r="B397" s="407" t="s">
        <v>334</v>
      </c>
      <c r="C397" s="326"/>
      <c r="D397" s="327"/>
      <c r="E397" s="697"/>
      <c r="F397" s="326"/>
      <c r="G397" s="327"/>
      <c r="H397" s="407"/>
      <c r="I397" s="326"/>
      <c r="J397" s="326"/>
      <c r="K397" s="327"/>
      <c r="L397" s="407"/>
      <c r="M397" s="326"/>
      <c r="N397" s="326"/>
      <c r="O397" s="326"/>
      <c r="P397" s="327"/>
      <c r="Q397" s="407"/>
      <c r="R397" s="326"/>
      <c r="S397" s="326"/>
      <c r="T397" s="326"/>
      <c r="U397" s="326"/>
      <c r="V397" s="326"/>
      <c r="W397" s="326"/>
      <c r="X397" s="326"/>
      <c r="Y397" s="326"/>
      <c r="Z397" s="327"/>
      <c r="AA397" s="407"/>
      <c r="AB397" s="326"/>
      <c r="AC397" s="326"/>
      <c r="AD397" s="326"/>
      <c r="AE397" s="326"/>
      <c r="AF397" s="326"/>
      <c r="AG397" s="326"/>
      <c r="AH397" s="326"/>
      <c r="AI397" s="326"/>
      <c r="AJ397" s="326"/>
      <c r="AK397" s="326"/>
      <c r="AL397" s="326"/>
      <c r="AM397" s="326"/>
      <c r="AN397" s="326"/>
      <c r="AO397" s="326"/>
      <c r="AP397" s="326"/>
      <c r="AQ397" s="327"/>
    </row>
    <row r="398" spans="1:43" ht="30" customHeight="1" x14ac:dyDescent="0.25">
      <c r="A398" s="87">
        <f t="shared" si="1"/>
        <v>386</v>
      </c>
      <c r="B398" s="381" t="s">
        <v>334</v>
      </c>
      <c r="C398" s="326"/>
      <c r="D398" s="327"/>
      <c r="E398" s="698"/>
      <c r="F398" s="326"/>
      <c r="G398" s="327"/>
      <c r="H398" s="381"/>
      <c r="I398" s="326"/>
      <c r="J398" s="326"/>
      <c r="K398" s="327"/>
      <c r="L398" s="381"/>
      <c r="M398" s="326"/>
      <c r="N398" s="326"/>
      <c r="O398" s="326"/>
      <c r="P398" s="327"/>
      <c r="Q398" s="381"/>
      <c r="R398" s="326"/>
      <c r="S398" s="326"/>
      <c r="T398" s="326"/>
      <c r="U398" s="326"/>
      <c r="V398" s="326"/>
      <c r="W398" s="326"/>
      <c r="X398" s="326"/>
      <c r="Y398" s="326"/>
      <c r="Z398" s="327"/>
      <c r="AA398" s="381"/>
      <c r="AB398" s="326"/>
      <c r="AC398" s="326"/>
      <c r="AD398" s="326"/>
      <c r="AE398" s="326"/>
      <c r="AF398" s="326"/>
      <c r="AG398" s="326"/>
      <c r="AH398" s="326"/>
      <c r="AI398" s="326"/>
      <c r="AJ398" s="326"/>
      <c r="AK398" s="326"/>
      <c r="AL398" s="326"/>
      <c r="AM398" s="326"/>
      <c r="AN398" s="326"/>
      <c r="AO398" s="326"/>
      <c r="AP398" s="326"/>
      <c r="AQ398" s="327"/>
    </row>
    <row r="399" spans="1:43" ht="30" customHeight="1" x14ac:dyDescent="0.25">
      <c r="A399" s="87">
        <f t="shared" si="1"/>
        <v>387</v>
      </c>
      <c r="B399" s="407" t="s">
        <v>334</v>
      </c>
      <c r="C399" s="326"/>
      <c r="D399" s="327"/>
      <c r="E399" s="697"/>
      <c r="F399" s="326"/>
      <c r="G399" s="327"/>
      <c r="H399" s="407"/>
      <c r="I399" s="326"/>
      <c r="J399" s="326"/>
      <c r="K399" s="327"/>
      <c r="L399" s="407"/>
      <c r="M399" s="326"/>
      <c r="N399" s="326"/>
      <c r="O399" s="326"/>
      <c r="P399" s="327"/>
      <c r="Q399" s="407"/>
      <c r="R399" s="326"/>
      <c r="S399" s="326"/>
      <c r="T399" s="326"/>
      <c r="U399" s="326"/>
      <c r="V399" s="326"/>
      <c r="W399" s="326"/>
      <c r="X399" s="326"/>
      <c r="Y399" s="326"/>
      <c r="Z399" s="327"/>
      <c r="AA399" s="407"/>
      <c r="AB399" s="326"/>
      <c r="AC399" s="326"/>
      <c r="AD399" s="326"/>
      <c r="AE399" s="326"/>
      <c r="AF399" s="326"/>
      <c r="AG399" s="326"/>
      <c r="AH399" s="326"/>
      <c r="AI399" s="326"/>
      <c r="AJ399" s="326"/>
      <c r="AK399" s="326"/>
      <c r="AL399" s="326"/>
      <c r="AM399" s="326"/>
      <c r="AN399" s="326"/>
      <c r="AO399" s="326"/>
      <c r="AP399" s="326"/>
      <c r="AQ399" s="327"/>
    </row>
    <row r="400" spans="1:43" ht="30" customHeight="1" x14ac:dyDescent="0.25">
      <c r="A400" s="87">
        <f t="shared" si="1"/>
        <v>388</v>
      </c>
      <c r="B400" s="381" t="s">
        <v>334</v>
      </c>
      <c r="C400" s="326"/>
      <c r="D400" s="327"/>
      <c r="E400" s="698"/>
      <c r="F400" s="326"/>
      <c r="G400" s="327"/>
      <c r="H400" s="381"/>
      <c r="I400" s="326"/>
      <c r="J400" s="326"/>
      <c r="K400" s="327"/>
      <c r="L400" s="381"/>
      <c r="M400" s="326"/>
      <c r="N400" s="326"/>
      <c r="O400" s="326"/>
      <c r="P400" s="327"/>
      <c r="Q400" s="381"/>
      <c r="R400" s="326"/>
      <c r="S400" s="326"/>
      <c r="T400" s="326"/>
      <c r="U400" s="326"/>
      <c r="V400" s="326"/>
      <c r="W400" s="326"/>
      <c r="X400" s="326"/>
      <c r="Y400" s="326"/>
      <c r="Z400" s="327"/>
      <c r="AA400" s="381"/>
      <c r="AB400" s="326"/>
      <c r="AC400" s="326"/>
      <c r="AD400" s="326"/>
      <c r="AE400" s="326"/>
      <c r="AF400" s="326"/>
      <c r="AG400" s="326"/>
      <c r="AH400" s="326"/>
      <c r="AI400" s="326"/>
      <c r="AJ400" s="326"/>
      <c r="AK400" s="326"/>
      <c r="AL400" s="326"/>
      <c r="AM400" s="326"/>
      <c r="AN400" s="326"/>
      <c r="AO400" s="326"/>
      <c r="AP400" s="326"/>
      <c r="AQ400" s="327"/>
    </row>
    <row r="401" spans="1:43" ht="30" customHeight="1" x14ac:dyDescent="0.25">
      <c r="A401" s="87">
        <f t="shared" si="1"/>
        <v>389</v>
      </c>
      <c r="B401" s="407" t="s">
        <v>334</v>
      </c>
      <c r="C401" s="326"/>
      <c r="D401" s="327"/>
      <c r="E401" s="697"/>
      <c r="F401" s="326"/>
      <c r="G401" s="327"/>
      <c r="H401" s="407"/>
      <c r="I401" s="326"/>
      <c r="J401" s="326"/>
      <c r="K401" s="327"/>
      <c r="L401" s="407"/>
      <c r="M401" s="326"/>
      <c r="N401" s="326"/>
      <c r="O401" s="326"/>
      <c r="P401" s="327"/>
      <c r="Q401" s="407"/>
      <c r="R401" s="326"/>
      <c r="S401" s="326"/>
      <c r="T401" s="326"/>
      <c r="U401" s="326"/>
      <c r="V401" s="326"/>
      <c r="W401" s="326"/>
      <c r="X401" s="326"/>
      <c r="Y401" s="326"/>
      <c r="Z401" s="327"/>
      <c r="AA401" s="407"/>
      <c r="AB401" s="326"/>
      <c r="AC401" s="326"/>
      <c r="AD401" s="326"/>
      <c r="AE401" s="326"/>
      <c r="AF401" s="326"/>
      <c r="AG401" s="326"/>
      <c r="AH401" s="326"/>
      <c r="AI401" s="326"/>
      <c r="AJ401" s="326"/>
      <c r="AK401" s="326"/>
      <c r="AL401" s="326"/>
      <c r="AM401" s="326"/>
      <c r="AN401" s="326"/>
      <c r="AO401" s="326"/>
      <c r="AP401" s="326"/>
      <c r="AQ401" s="327"/>
    </row>
    <row r="402" spans="1:43" ht="30" customHeight="1" x14ac:dyDescent="0.25">
      <c r="A402" s="87">
        <f t="shared" si="1"/>
        <v>390</v>
      </c>
      <c r="B402" s="381" t="s">
        <v>334</v>
      </c>
      <c r="C402" s="326"/>
      <c r="D402" s="327"/>
      <c r="E402" s="698"/>
      <c r="F402" s="326"/>
      <c r="G402" s="327"/>
      <c r="H402" s="381"/>
      <c r="I402" s="326"/>
      <c r="J402" s="326"/>
      <c r="K402" s="327"/>
      <c r="L402" s="381"/>
      <c r="M402" s="326"/>
      <c r="N402" s="326"/>
      <c r="O402" s="326"/>
      <c r="P402" s="327"/>
      <c r="Q402" s="381"/>
      <c r="R402" s="326"/>
      <c r="S402" s="326"/>
      <c r="T402" s="326"/>
      <c r="U402" s="326"/>
      <c r="V402" s="326"/>
      <c r="W402" s="326"/>
      <c r="X402" s="326"/>
      <c r="Y402" s="326"/>
      <c r="Z402" s="327"/>
      <c r="AA402" s="381"/>
      <c r="AB402" s="326"/>
      <c r="AC402" s="326"/>
      <c r="AD402" s="326"/>
      <c r="AE402" s="326"/>
      <c r="AF402" s="326"/>
      <c r="AG402" s="326"/>
      <c r="AH402" s="326"/>
      <c r="AI402" s="326"/>
      <c r="AJ402" s="326"/>
      <c r="AK402" s="326"/>
      <c r="AL402" s="326"/>
      <c r="AM402" s="326"/>
      <c r="AN402" s="326"/>
      <c r="AO402" s="326"/>
      <c r="AP402" s="326"/>
      <c r="AQ402" s="327"/>
    </row>
    <row r="403" spans="1:43" ht="30" customHeight="1" x14ac:dyDescent="0.25">
      <c r="A403" s="87">
        <f t="shared" si="1"/>
        <v>391</v>
      </c>
      <c r="B403" s="407" t="s">
        <v>334</v>
      </c>
      <c r="C403" s="326"/>
      <c r="D403" s="327"/>
      <c r="E403" s="697"/>
      <c r="F403" s="326"/>
      <c r="G403" s="327"/>
      <c r="H403" s="407"/>
      <c r="I403" s="326"/>
      <c r="J403" s="326"/>
      <c r="K403" s="327"/>
      <c r="L403" s="407"/>
      <c r="M403" s="326"/>
      <c r="N403" s="326"/>
      <c r="O403" s="326"/>
      <c r="P403" s="327"/>
      <c r="Q403" s="407"/>
      <c r="R403" s="326"/>
      <c r="S403" s="326"/>
      <c r="T403" s="326"/>
      <c r="U403" s="326"/>
      <c r="V403" s="326"/>
      <c r="W403" s="326"/>
      <c r="X403" s="326"/>
      <c r="Y403" s="326"/>
      <c r="Z403" s="327"/>
      <c r="AA403" s="407"/>
      <c r="AB403" s="326"/>
      <c r="AC403" s="326"/>
      <c r="AD403" s="326"/>
      <c r="AE403" s="326"/>
      <c r="AF403" s="326"/>
      <c r="AG403" s="326"/>
      <c r="AH403" s="326"/>
      <c r="AI403" s="326"/>
      <c r="AJ403" s="326"/>
      <c r="AK403" s="326"/>
      <c r="AL403" s="326"/>
      <c r="AM403" s="326"/>
      <c r="AN403" s="326"/>
      <c r="AO403" s="326"/>
      <c r="AP403" s="326"/>
      <c r="AQ403" s="327"/>
    </row>
    <row r="404" spans="1:43" ht="30" customHeight="1" x14ac:dyDescent="0.25">
      <c r="A404" s="87">
        <f t="shared" si="1"/>
        <v>392</v>
      </c>
      <c r="B404" s="381" t="s">
        <v>334</v>
      </c>
      <c r="C404" s="326"/>
      <c r="D404" s="327"/>
      <c r="E404" s="698"/>
      <c r="F404" s="326"/>
      <c r="G404" s="327"/>
      <c r="H404" s="381"/>
      <c r="I404" s="326"/>
      <c r="J404" s="326"/>
      <c r="K404" s="327"/>
      <c r="L404" s="381"/>
      <c r="M404" s="326"/>
      <c r="N404" s="326"/>
      <c r="O404" s="326"/>
      <c r="P404" s="327"/>
      <c r="Q404" s="381"/>
      <c r="R404" s="326"/>
      <c r="S404" s="326"/>
      <c r="T404" s="326"/>
      <c r="U404" s="326"/>
      <c r="V404" s="326"/>
      <c r="W404" s="326"/>
      <c r="X404" s="326"/>
      <c r="Y404" s="326"/>
      <c r="Z404" s="327"/>
      <c r="AA404" s="381"/>
      <c r="AB404" s="326"/>
      <c r="AC404" s="326"/>
      <c r="AD404" s="326"/>
      <c r="AE404" s="326"/>
      <c r="AF404" s="326"/>
      <c r="AG404" s="326"/>
      <c r="AH404" s="326"/>
      <c r="AI404" s="326"/>
      <c r="AJ404" s="326"/>
      <c r="AK404" s="326"/>
      <c r="AL404" s="326"/>
      <c r="AM404" s="326"/>
      <c r="AN404" s="326"/>
      <c r="AO404" s="326"/>
      <c r="AP404" s="326"/>
      <c r="AQ404" s="327"/>
    </row>
    <row r="405" spans="1:43" ht="30" customHeight="1" x14ac:dyDescent="0.25">
      <c r="A405" s="87">
        <f t="shared" si="1"/>
        <v>393</v>
      </c>
      <c r="B405" s="407" t="s">
        <v>334</v>
      </c>
      <c r="C405" s="326"/>
      <c r="D405" s="327"/>
      <c r="E405" s="697"/>
      <c r="F405" s="326"/>
      <c r="G405" s="327"/>
      <c r="H405" s="407"/>
      <c r="I405" s="326"/>
      <c r="J405" s="326"/>
      <c r="K405" s="327"/>
      <c r="L405" s="407"/>
      <c r="M405" s="326"/>
      <c r="N405" s="326"/>
      <c r="O405" s="326"/>
      <c r="P405" s="327"/>
      <c r="Q405" s="407"/>
      <c r="R405" s="326"/>
      <c r="S405" s="326"/>
      <c r="T405" s="326"/>
      <c r="U405" s="326"/>
      <c r="V405" s="326"/>
      <c r="W405" s="326"/>
      <c r="X405" s="326"/>
      <c r="Y405" s="326"/>
      <c r="Z405" s="327"/>
      <c r="AA405" s="407"/>
      <c r="AB405" s="326"/>
      <c r="AC405" s="326"/>
      <c r="AD405" s="326"/>
      <c r="AE405" s="326"/>
      <c r="AF405" s="326"/>
      <c r="AG405" s="326"/>
      <c r="AH405" s="326"/>
      <c r="AI405" s="326"/>
      <c r="AJ405" s="326"/>
      <c r="AK405" s="326"/>
      <c r="AL405" s="326"/>
      <c r="AM405" s="326"/>
      <c r="AN405" s="326"/>
      <c r="AO405" s="326"/>
      <c r="AP405" s="326"/>
      <c r="AQ405" s="327"/>
    </row>
    <row r="406" spans="1:43" ht="30" customHeight="1" x14ac:dyDescent="0.25">
      <c r="A406" s="87">
        <f t="shared" si="1"/>
        <v>394</v>
      </c>
      <c r="B406" s="381" t="s">
        <v>334</v>
      </c>
      <c r="C406" s="326"/>
      <c r="D406" s="327"/>
      <c r="E406" s="698"/>
      <c r="F406" s="326"/>
      <c r="G406" s="327"/>
      <c r="H406" s="381"/>
      <c r="I406" s="326"/>
      <c r="J406" s="326"/>
      <c r="K406" s="327"/>
      <c r="L406" s="381"/>
      <c r="M406" s="326"/>
      <c r="N406" s="326"/>
      <c r="O406" s="326"/>
      <c r="P406" s="327"/>
      <c r="Q406" s="381"/>
      <c r="R406" s="326"/>
      <c r="S406" s="326"/>
      <c r="T406" s="326"/>
      <c r="U406" s="326"/>
      <c r="V406" s="326"/>
      <c r="W406" s="326"/>
      <c r="X406" s="326"/>
      <c r="Y406" s="326"/>
      <c r="Z406" s="327"/>
      <c r="AA406" s="381"/>
      <c r="AB406" s="326"/>
      <c r="AC406" s="326"/>
      <c r="AD406" s="326"/>
      <c r="AE406" s="326"/>
      <c r="AF406" s="326"/>
      <c r="AG406" s="326"/>
      <c r="AH406" s="326"/>
      <c r="AI406" s="326"/>
      <c r="AJ406" s="326"/>
      <c r="AK406" s="326"/>
      <c r="AL406" s="326"/>
      <c r="AM406" s="326"/>
      <c r="AN406" s="326"/>
      <c r="AO406" s="326"/>
      <c r="AP406" s="326"/>
      <c r="AQ406" s="327"/>
    </row>
    <row r="407" spans="1:43" ht="30" customHeight="1" x14ac:dyDescent="0.25">
      <c r="A407" s="87">
        <f t="shared" si="1"/>
        <v>395</v>
      </c>
      <c r="B407" s="407" t="s">
        <v>334</v>
      </c>
      <c r="C407" s="326"/>
      <c r="D407" s="327"/>
      <c r="E407" s="697"/>
      <c r="F407" s="326"/>
      <c r="G407" s="327"/>
      <c r="H407" s="407"/>
      <c r="I407" s="326"/>
      <c r="J407" s="326"/>
      <c r="K407" s="327"/>
      <c r="L407" s="407"/>
      <c r="M407" s="326"/>
      <c r="N407" s="326"/>
      <c r="O407" s="326"/>
      <c r="P407" s="327"/>
      <c r="Q407" s="407"/>
      <c r="R407" s="326"/>
      <c r="S407" s="326"/>
      <c r="T407" s="326"/>
      <c r="U407" s="326"/>
      <c r="V407" s="326"/>
      <c r="W407" s="326"/>
      <c r="X407" s="326"/>
      <c r="Y407" s="326"/>
      <c r="Z407" s="327"/>
      <c r="AA407" s="407"/>
      <c r="AB407" s="326"/>
      <c r="AC407" s="326"/>
      <c r="AD407" s="326"/>
      <c r="AE407" s="326"/>
      <c r="AF407" s="326"/>
      <c r="AG407" s="326"/>
      <c r="AH407" s="326"/>
      <c r="AI407" s="326"/>
      <c r="AJ407" s="326"/>
      <c r="AK407" s="326"/>
      <c r="AL407" s="326"/>
      <c r="AM407" s="326"/>
      <c r="AN407" s="326"/>
      <c r="AO407" s="326"/>
      <c r="AP407" s="326"/>
      <c r="AQ407" s="327"/>
    </row>
    <row r="408" spans="1:43" ht="30" customHeight="1" x14ac:dyDescent="0.25">
      <c r="A408" s="87">
        <f t="shared" si="1"/>
        <v>396</v>
      </c>
      <c r="B408" s="381" t="s">
        <v>334</v>
      </c>
      <c r="C408" s="326"/>
      <c r="D408" s="327"/>
      <c r="E408" s="698"/>
      <c r="F408" s="326"/>
      <c r="G408" s="327"/>
      <c r="H408" s="381"/>
      <c r="I408" s="326"/>
      <c r="J408" s="326"/>
      <c r="K408" s="327"/>
      <c r="L408" s="381"/>
      <c r="M408" s="326"/>
      <c r="N408" s="326"/>
      <c r="O408" s="326"/>
      <c r="P408" s="327"/>
      <c r="Q408" s="381"/>
      <c r="R408" s="326"/>
      <c r="S408" s="326"/>
      <c r="T408" s="326"/>
      <c r="U408" s="326"/>
      <c r="V408" s="326"/>
      <c r="W408" s="326"/>
      <c r="X408" s="326"/>
      <c r="Y408" s="326"/>
      <c r="Z408" s="327"/>
      <c r="AA408" s="381"/>
      <c r="AB408" s="326"/>
      <c r="AC408" s="326"/>
      <c r="AD408" s="326"/>
      <c r="AE408" s="326"/>
      <c r="AF408" s="326"/>
      <c r="AG408" s="326"/>
      <c r="AH408" s="326"/>
      <c r="AI408" s="326"/>
      <c r="AJ408" s="326"/>
      <c r="AK408" s="326"/>
      <c r="AL408" s="326"/>
      <c r="AM408" s="326"/>
      <c r="AN408" s="326"/>
      <c r="AO408" s="326"/>
      <c r="AP408" s="326"/>
      <c r="AQ408" s="327"/>
    </row>
    <row r="409" spans="1:43" ht="30" customHeight="1" x14ac:dyDescent="0.25">
      <c r="A409" s="87">
        <f t="shared" si="1"/>
        <v>397</v>
      </c>
      <c r="B409" s="407" t="s">
        <v>334</v>
      </c>
      <c r="C409" s="326"/>
      <c r="D409" s="327"/>
      <c r="E409" s="697"/>
      <c r="F409" s="326"/>
      <c r="G409" s="327"/>
      <c r="H409" s="407"/>
      <c r="I409" s="326"/>
      <c r="J409" s="326"/>
      <c r="K409" s="327"/>
      <c r="L409" s="407"/>
      <c r="M409" s="326"/>
      <c r="N409" s="326"/>
      <c r="O409" s="326"/>
      <c r="P409" s="327"/>
      <c r="Q409" s="407"/>
      <c r="R409" s="326"/>
      <c r="S409" s="326"/>
      <c r="T409" s="326"/>
      <c r="U409" s="326"/>
      <c r="V409" s="326"/>
      <c r="W409" s="326"/>
      <c r="X409" s="326"/>
      <c r="Y409" s="326"/>
      <c r="Z409" s="327"/>
      <c r="AA409" s="407"/>
      <c r="AB409" s="326"/>
      <c r="AC409" s="326"/>
      <c r="AD409" s="326"/>
      <c r="AE409" s="326"/>
      <c r="AF409" s="326"/>
      <c r="AG409" s="326"/>
      <c r="AH409" s="326"/>
      <c r="AI409" s="326"/>
      <c r="AJ409" s="326"/>
      <c r="AK409" s="326"/>
      <c r="AL409" s="326"/>
      <c r="AM409" s="326"/>
      <c r="AN409" s="326"/>
      <c r="AO409" s="326"/>
      <c r="AP409" s="326"/>
      <c r="AQ409" s="327"/>
    </row>
    <row r="410" spans="1:43" ht="30" customHeight="1" x14ac:dyDescent="0.25">
      <c r="A410" s="87">
        <f t="shared" si="1"/>
        <v>398</v>
      </c>
      <c r="B410" s="381" t="s">
        <v>334</v>
      </c>
      <c r="C410" s="326"/>
      <c r="D410" s="327"/>
      <c r="E410" s="698"/>
      <c r="F410" s="326"/>
      <c r="G410" s="327"/>
      <c r="H410" s="381"/>
      <c r="I410" s="326"/>
      <c r="J410" s="326"/>
      <c r="K410" s="327"/>
      <c r="L410" s="381"/>
      <c r="M410" s="326"/>
      <c r="N410" s="326"/>
      <c r="O410" s="326"/>
      <c r="P410" s="327"/>
      <c r="Q410" s="381"/>
      <c r="R410" s="326"/>
      <c r="S410" s="326"/>
      <c r="T410" s="326"/>
      <c r="U410" s="326"/>
      <c r="V410" s="326"/>
      <c r="W410" s="326"/>
      <c r="X410" s="326"/>
      <c r="Y410" s="326"/>
      <c r="Z410" s="327"/>
      <c r="AA410" s="381"/>
      <c r="AB410" s="326"/>
      <c r="AC410" s="326"/>
      <c r="AD410" s="326"/>
      <c r="AE410" s="326"/>
      <c r="AF410" s="326"/>
      <c r="AG410" s="326"/>
      <c r="AH410" s="326"/>
      <c r="AI410" s="326"/>
      <c r="AJ410" s="326"/>
      <c r="AK410" s="326"/>
      <c r="AL410" s="326"/>
      <c r="AM410" s="326"/>
      <c r="AN410" s="326"/>
      <c r="AO410" s="326"/>
      <c r="AP410" s="326"/>
      <c r="AQ410" s="327"/>
    </row>
    <row r="411" spans="1:43" ht="30" customHeight="1" x14ac:dyDescent="0.25">
      <c r="A411" s="87">
        <f t="shared" si="1"/>
        <v>399</v>
      </c>
      <c r="B411" s="407" t="s">
        <v>334</v>
      </c>
      <c r="C411" s="326"/>
      <c r="D411" s="327"/>
      <c r="E411" s="697"/>
      <c r="F411" s="326"/>
      <c r="G411" s="327"/>
      <c r="H411" s="407"/>
      <c r="I411" s="326"/>
      <c r="J411" s="326"/>
      <c r="K411" s="327"/>
      <c r="L411" s="407"/>
      <c r="M411" s="326"/>
      <c r="N411" s="326"/>
      <c r="O411" s="326"/>
      <c r="P411" s="327"/>
      <c r="Q411" s="407"/>
      <c r="R411" s="326"/>
      <c r="S411" s="326"/>
      <c r="T411" s="326"/>
      <c r="U411" s="326"/>
      <c r="V411" s="326"/>
      <c r="W411" s="326"/>
      <c r="X411" s="326"/>
      <c r="Y411" s="326"/>
      <c r="Z411" s="327"/>
      <c r="AA411" s="407"/>
      <c r="AB411" s="326"/>
      <c r="AC411" s="326"/>
      <c r="AD411" s="326"/>
      <c r="AE411" s="326"/>
      <c r="AF411" s="326"/>
      <c r="AG411" s="326"/>
      <c r="AH411" s="326"/>
      <c r="AI411" s="326"/>
      <c r="AJ411" s="326"/>
      <c r="AK411" s="326"/>
      <c r="AL411" s="326"/>
      <c r="AM411" s="326"/>
      <c r="AN411" s="326"/>
      <c r="AO411" s="326"/>
      <c r="AP411" s="326"/>
      <c r="AQ411" s="327"/>
    </row>
    <row r="412" spans="1:43" ht="30" customHeight="1" x14ac:dyDescent="0.25">
      <c r="A412" s="87">
        <f t="shared" si="1"/>
        <v>400</v>
      </c>
      <c r="B412" s="381" t="s">
        <v>334</v>
      </c>
      <c r="C412" s="326"/>
      <c r="D412" s="327"/>
      <c r="E412" s="698"/>
      <c r="F412" s="326"/>
      <c r="G412" s="327"/>
      <c r="H412" s="381"/>
      <c r="I412" s="326"/>
      <c r="J412" s="326"/>
      <c r="K412" s="327"/>
      <c r="L412" s="381"/>
      <c r="M412" s="326"/>
      <c r="N412" s="326"/>
      <c r="O412" s="326"/>
      <c r="P412" s="327"/>
      <c r="Q412" s="381"/>
      <c r="R412" s="326"/>
      <c r="S412" s="326"/>
      <c r="T412" s="326"/>
      <c r="U412" s="326"/>
      <c r="V412" s="326"/>
      <c r="W412" s="326"/>
      <c r="X412" s="326"/>
      <c r="Y412" s="326"/>
      <c r="Z412" s="327"/>
      <c r="AA412" s="381"/>
      <c r="AB412" s="326"/>
      <c r="AC412" s="326"/>
      <c r="AD412" s="326"/>
      <c r="AE412" s="326"/>
      <c r="AF412" s="326"/>
      <c r="AG412" s="326"/>
      <c r="AH412" s="326"/>
      <c r="AI412" s="326"/>
      <c r="AJ412" s="326"/>
      <c r="AK412" s="326"/>
      <c r="AL412" s="326"/>
      <c r="AM412" s="326"/>
      <c r="AN412" s="326"/>
      <c r="AO412" s="326"/>
      <c r="AP412" s="326"/>
      <c r="AQ412" s="327"/>
    </row>
    <row r="413" spans="1:43" ht="30" customHeight="1" x14ac:dyDescent="0.25">
      <c r="A413" s="87">
        <f t="shared" si="1"/>
        <v>401</v>
      </c>
      <c r="B413" s="407" t="s">
        <v>334</v>
      </c>
      <c r="C413" s="326"/>
      <c r="D413" s="327"/>
      <c r="E413" s="697"/>
      <c r="F413" s="326"/>
      <c r="G413" s="327"/>
      <c r="H413" s="407"/>
      <c r="I413" s="326"/>
      <c r="J413" s="326"/>
      <c r="K413" s="327"/>
      <c r="L413" s="407"/>
      <c r="M413" s="326"/>
      <c r="N413" s="326"/>
      <c r="O413" s="326"/>
      <c r="P413" s="327"/>
      <c r="Q413" s="407"/>
      <c r="R413" s="326"/>
      <c r="S413" s="326"/>
      <c r="T413" s="326"/>
      <c r="U413" s="326"/>
      <c r="V413" s="326"/>
      <c r="W413" s="326"/>
      <c r="X413" s="326"/>
      <c r="Y413" s="326"/>
      <c r="Z413" s="327"/>
      <c r="AA413" s="407"/>
      <c r="AB413" s="326"/>
      <c r="AC413" s="326"/>
      <c r="AD413" s="326"/>
      <c r="AE413" s="326"/>
      <c r="AF413" s="326"/>
      <c r="AG413" s="326"/>
      <c r="AH413" s="326"/>
      <c r="AI413" s="326"/>
      <c r="AJ413" s="326"/>
      <c r="AK413" s="326"/>
      <c r="AL413" s="326"/>
      <c r="AM413" s="326"/>
      <c r="AN413" s="326"/>
      <c r="AO413" s="326"/>
      <c r="AP413" s="326"/>
      <c r="AQ413" s="327"/>
    </row>
    <row r="414" spans="1:43" ht="30" customHeight="1" x14ac:dyDescent="0.25">
      <c r="A414" s="87">
        <f t="shared" si="1"/>
        <v>402</v>
      </c>
      <c r="B414" s="381" t="s">
        <v>334</v>
      </c>
      <c r="C414" s="326"/>
      <c r="D414" s="327"/>
      <c r="E414" s="698"/>
      <c r="F414" s="326"/>
      <c r="G414" s="327"/>
      <c r="H414" s="381"/>
      <c r="I414" s="326"/>
      <c r="J414" s="326"/>
      <c r="K414" s="327"/>
      <c r="L414" s="381"/>
      <c r="M414" s="326"/>
      <c r="N414" s="326"/>
      <c r="O414" s="326"/>
      <c r="P414" s="327"/>
      <c r="Q414" s="381"/>
      <c r="R414" s="326"/>
      <c r="S414" s="326"/>
      <c r="T414" s="326"/>
      <c r="U414" s="326"/>
      <c r="V414" s="326"/>
      <c r="W414" s="326"/>
      <c r="X414" s="326"/>
      <c r="Y414" s="326"/>
      <c r="Z414" s="327"/>
      <c r="AA414" s="381"/>
      <c r="AB414" s="326"/>
      <c r="AC414" s="326"/>
      <c r="AD414" s="326"/>
      <c r="AE414" s="326"/>
      <c r="AF414" s="326"/>
      <c r="AG414" s="326"/>
      <c r="AH414" s="326"/>
      <c r="AI414" s="326"/>
      <c r="AJ414" s="326"/>
      <c r="AK414" s="326"/>
      <c r="AL414" s="326"/>
      <c r="AM414" s="326"/>
      <c r="AN414" s="326"/>
      <c r="AO414" s="326"/>
      <c r="AP414" s="326"/>
      <c r="AQ414" s="327"/>
    </row>
    <row r="415" spans="1:43" ht="30" customHeight="1" x14ac:dyDescent="0.25">
      <c r="A415" s="87">
        <f t="shared" si="1"/>
        <v>403</v>
      </c>
      <c r="B415" s="407" t="s">
        <v>334</v>
      </c>
      <c r="C415" s="326"/>
      <c r="D415" s="327"/>
      <c r="E415" s="697"/>
      <c r="F415" s="326"/>
      <c r="G415" s="327"/>
      <c r="H415" s="407"/>
      <c r="I415" s="326"/>
      <c r="J415" s="326"/>
      <c r="K415" s="327"/>
      <c r="L415" s="407"/>
      <c r="M415" s="326"/>
      <c r="N415" s="326"/>
      <c r="O415" s="326"/>
      <c r="P415" s="327"/>
      <c r="Q415" s="407"/>
      <c r="R415" s="326"/>
      <c r="S415" s="326"/>
      <c r="T415" s="326"/>
      <c r="U415" s="326"/>
      <c r="V415" s="326"/>
      <c r="W415" s="326"/>
      <c r="X415" s="326"/>
      <c r="Y415" s="326"/>
      <c r="Z415" s="327"/>
      <c r="AA415" s="407"/>
      <c r="AB415" s="326"/>
      <c r="AC415" s="326"/>
      <c r="AD415" s="326"/>
      <c r="AE415" s="326"/>
      <c r="AF415" s="326"/>
      <c r="AG415" s="326"/>
      <c r="AH415" s="326"/>
      <c r="AI415" s="326"/>
      <c r="AJ415" s="326"/>
      <c r="AK415" s="326"/>
      <c r="AL415" s="326"/>
      <c r="AM415" s="326"/>
      <c r="AN415" s="326"/>
      <c r="AO415" s="326"/>
      <c r="AP415" s="326"/>
      <c r="AQ415" s="327"/>
    </row>
    <row r="416" spans="1:43" ht="30" customHeight="1" x14ac:dyDescent="0.25">
      <c r="A416" s="87">
        <f t="shared" si="1"/>
        <v>404</v>
      </c>
      <c r="B416" s="381" t="s">
        <v>334</v>
      </c>
      <c r="C416" s="326"/>
      <c r="D416" s="327"/>
      <c r="E416" s="698"/>
      <c r="F416" s="326"/>
      <c r="G416" s="327"/>
      <c r="H416" s="381"/>
      <c r="I416" s="326"/>
      <c r="J416" s="326"/>
      <c r="K416" s="327"/>
      <c r="L416" s="381"/>
      <c r="M416" s="326"/>
      <c r="N416" s="326"/>
      <c r="O416" s="326"/>
      <c r="P416" s="327"/>
      <c r="Q416" s="381"/>
      <c r="R416" s="326"/>
      <c r="S416" s="326"/>
      <c r="T416" s="326"/>
      <c r="U416" s="326"/>
      <c r="V416" s="326"/>
      <c r="W416" s="326"/>
      <c r="X416" s="326"/>
      <c r="Y416" s="326"/>
      <c r="Z416" s="327"/>
      <c r="AA416" s="381"/>
      <c r="AB416" s="326"/>
      <c r="AC416" s="326"/>
      <c r="AD416" s="326"/>
      <c r="AE416" s="326"/>
      <c r="AF416" s="326"/>
      <c r="AG416" s="326"/>
      <c r="AH416" s="326"/>
      <c r="AI416" s="326"/>
      <c r="AJ416" s="326"/>
      <c r="AK416" s="326"/>
      <c r="AL416" s="326"/>
      <c r="AM416" s="326"/>
      <c r="AN416" s="326"/>
      <c r="AO416" s="326"/>
      <c r="AP416" s="326"/>
      <c r="AQ416" s="327"/>
    </row>
    <row r="417" spans="1:43" ht="30" customHeight="1" x14ac:dyDescent="0.25">
      <c r="A417" s="87">
        <f t="shared" si="1"/>
        <v>405</v>
      </c>
      <c r="B417" s="407" t="s">
        <v>334</v>
      </c>
      <c r="C417" s="326"/>
      <c r="D417" s="327"/>
      <c r="E417" s="697"/>
      <c r="F417" s="326"/>
      <c r="G417" s="327"/>
      <c r="H417" s="407"/>
      <c r="I417" s="326"/>
      <c r="J417" s="326"/>
      <c r="K417" s="327"/>
      <c r="L417" s="407"/>
      <c r="M417" s="326"/>
      <c r="N417" s="326"/>
      <c r="O417" s="326"/>
      <c r="P417" s="327"/>
      <c r="Q417" s="407"/>
      <c r="R417" s="326"/>
      <c r="S417" s="326"/>
      <c r="T417" s="326"/>
      <c r="U417" s="326"/>
      <c r="V417" s="326"/>
      <c r="W417" s="326"/>
      <c r="X417" s="326"/>
      <c r="Y417" s="326"/>
      <c r="Z417" s="327"/>
      <c r="AA417" s="407"/>
      <c r="AB417" s="326"/>
      <c r="AC417" s="326"/>
      <c r="AD417" s="326"/>
      <c r="AE417" s="326"/>
      <c r="AF417" s="326"/>
      <c r="AG417" s="326"/>
      <c r="AH417" s="326"/>
      <c r="AI417" s="326"/>
      <c r="AJ417" s="326"/>
      <c r="AK417" s="326"/>
      <c r="AL417" s="326"/>
      <c r="AM417" s="326"/>
      <c r="AN417" s="326"/>
      <c r="AO417" s="326"/>
      <c r="AP417" s="326"/>
      <c r="AQ417" s="327"/>
    </row>
    <row r="418" spans="1:43" ht="30" customHeight="1" x14ac:dyDescent="0.25">
      <c r="A418" s="87">
        <f t="shared" si="1"/>
        <v>406</v>
      </c>
      <c r="B418" s="381" t="s">
        <v>334</v>
      </c>
      <c r="C418" s="326"/>
      <c r="D418" s="327"/>
      <c r="E418" s="698"/>
      <c r="F418" s="326"/>
      <c r="G418" s="327"/>
      <c r="H418" s="381"/>
      <c r="I418" s="326"/>
      <c r="J418" s="326"/>
      <c r="K418" s="327"/>
      <c r="L418" s="381"/>
      <c r="M418" s="326"/>
      <c r="N418" s="326"/>
      <c r="O418" s="326"/>
      <c r="P418" s="327"/>
      <c r="Q418" s="381"/>
      <c r="R418" s="326"/>
      <c r="S418" s="326"/>
      <c r="T418" s="326"/>
      <c r="U418" s="326"/>
      <c r="V418" s="326"/>
      <c r="W418" s="326"/>
      <c r="X418" s="326"/>
      <c r="Y418" s="326"/>
      <c r="Z418" s="327"/>
      <c r="AA418" s="381"/>
      <c r="AB418" s="326"/>
      <c r="AC418" s="326"/>
      <c r="AD418" s="326"/>
      <c r="AE418" s="326"/>
      <c r="AF418" s="326"/>
      <c r="AG418" s="326"/>
      <c r="AH418" s="326"/>
      <c r="AI418" s="326"/>
      <c r="AJ418" s="326"/>
      <c r="AK418" s="326"/>
      <c r="AL418" s="326"/>
      <c r="AM418" s="326"/>
      <c r="AN418" s="326"/>
      <c r="AO418" s="326"/>
      <c r="AP418" s="326"/>
      <c r="AQ418" s="327"/>
    </row>
    <row r="419" spans="1:43" ht="30" customHeight="1" x14ac:dyDescent="0.25">
      <c r="A419" s="87">
        <f t="shared" si="1"/>
        <v>407</v>
      </c>
      <c r="B419" s="407" t="s">
        <v>334</v>
      </c>
      <c r="C419" s="326"/>
      <c r="D419" s="327"/>
      <c r="E419" s="697"/>
      <c r="F419" s="326"/>
      <c r="G419" s="327"/>
      <c r="H419" s="407"/>
      <c r="I419" s="326"/>
      <c r="J419" s="326"/>
      <c r="K419" s="327"/>
      <c r="L419" s="407"/>
      <c r="M419" s="326"/>
      <c r="N419" s="326"/>
      <c r="O419" s="326"/>
      <c r="P419" s="327"/>
      <c r="Q419" s="407"/>
      <c r="R419" s="326"/>
      <c r="S419" s="326"/>
      <c r="T419" s="326"/>
      <c r="U419" s="326"/>
      <c r="V419" s="326"/>
      <c r="W419" s="326"/>
      <c r="X419" s="326"/>
      <c r="Y419" s="326"/>
      <c r="Z419" s="327"/>
      <c r="AA419" s="407"/>
      <c r="AB419" s="326"/>
      <c r="AC419" s="326"/>
      <c r="AD419" s="326"/>
      <c r="AE419" s="326"/>
      <c r="AF419" s="326"/>
      <c r="AG419" s="326"/>
      <c r="AH419" s="326"/>
      <c r="AI419" s="326"/>
      <c r="AJ419" s="326"/>
      <c r="AK419" s="326"/>
      <c r="AL419" s="326"/>
      <c r="AM419" s="326"/>
      <c r="AN419" s="326"/>
      <c r="AO419" s="326"/>
      <c r="AP419" s="326"/>
      <c r="AQ419" s="327"/>
    </row>
    <row r="420" spans="1:43" ht="30" customHeight="1" x14ac:dyDescent="0.25">
      <c r="A420" s="87">
        <f t="shared" si="1"/>
        <v>408</v>
      </c>
      <c r="B420" s="381" t="s">
        <v>334</v>
      </c>
      <c r="C420" s="326"/>
      <c r="D420" s="327"/>
      <c r="E420" s="698"/>
      <c r="F420" s="326"/>
      <c r="G420" s="327"/>
      <c r="H420" s="381"/>
      <c r="I420" s="326"/>
      <c r="J420" s="326"/>
      <c r="K420" s="327"/>
      <c r="L420" s="381"/>
      <c r="M420" s="326"/>
      <c r="N420" s="326"/>
      <c r="O420" s="326"/>
      <c r="P420" s="327"/>
      <c r="Q420" s="381"/>
      <c r="R420" s="326"/>
      <c r="S420" s="326"/>
      <c r="T420" s="326"/>
      <c r="U420" s="326"/>
      <c r="V420" s="326"/>
      <c r="W420" s="326"/>
      <c r="X420" s="326"/>
      <c r="Y420" s="326"/>
      <c r="Z420" s="327"/>
      <c r="AA420" s="381"/>
      <c r="AB420" s="326"/>
      <c r="AC420" s="326"/>
      <c r="AD420" s="326"/>
      <c r="AE420" s="326"/>
      <c r="AF420" s="326"/>
      <c r="AG420" s="326"/>
      <c r="AH420" s="326"/>
      <c r="AI420" s="326"/>
      <c r="AJ420" s="326"/>
      <c r="AK420" s="326"/>
      <c r="AL420" s="326"/>
      <c r="AM420" s="326"/>
      <c r="AN420" s="326"/>
      <c r="AO420" s="326"/>
      <c r="AP420" s="326"/>
      <c r="AQ420" s="327"/>
    </row>
    <row r="421" spans="1:43" ht="30" customHeight="1" x14ac:dyDescent="0.25">
      <c r="A421" s="87">
        <f t="shared" si="1"/>
        <v>409</v>
      </c>
      <c r="B421" s="407" t="s">
        <v>334</v>
      </c>
      <c r="C421" s="326"/>
      <c r="D421" s="327"/>
      <c r="E421" s="697"/>
      <c r="F421" s="326"/>
      <c r="G421" s="327"/>
      <c r="H421" s="407"/>
      <c r="I421" s="326"/>
      <c r="J421" s="326"/>
      <c r="K421" s="327"/>
      <c r="L421" s="407"/>
      <c r="M421" s="326"/>
      <c r="N421" s="326"/>
      <c r="O421" s="326"/>
      <c r="P421" s="327"/>
      <c r="Q421" s="407"/>
      <c r="R421" s="326"/>
      <c r="S421" s="326"/>
      <c r="T421" s="326"/>
      <c r="U421" s="326"/>
      <c r="V421" s="326"/>
      <c r="W421" s="326"/>
      <c r="X421" s="326"/>
      <c r="Y421" s="326"/>
      <c r="Z421" s="327"/>
      <c r="AA421" s="407"/>
      <c r="AB421" s="326"/>
      <c r="AC421" s="326"/>
      <c r="AD421" s="326"/>
      <c r="AE421" s="326"/>
      <c r="AF421" s="326"/>
      <c r="AG421" s="326"/>
      <c r="AH421" s="326"/>
      <c r="AI421" s="326"/>
      <c r="AJ421" s="326"/>
      <c r="AK421" s="326"/>
      <c r="AL421" s="326"/>
      <c r="AM421" s="326"/>
      <c r="AN421" s="326"/>
      <c r="AO421" s="326"/>
      <c r="AP421" s="326"/>
      <c r="AQ421" s="327"/>
    </row>
    <row r="422" spans="1:43" ht="30" customHeight="1" x14ac:dyDescent="0.25">
      <c r="A422" s="87">
        <f t="shared" si="1"/>
        <v>410</v>
      </c>
      <c r="B422" s="381" t="s">
        <v>334</v>
      </c>
      <c r="C422" s="326"/>
      <c r="D422" s="327"/>
      <c r="E422" s="698"/>
      <c r="F422" s="326"/>
      <c r="G422" s="327"/>
      <c r="H422" s="381"/>
      <c r="I422" s="326"/>
      <c r="J422" s="326"/>
      <c r="K422" s="327"/>
      <c r="L422" s="381"/>
      <c r="M422" s="326"/>
      <c r="N422" s="326"/>
      <c r="O422" s="326"/>
      <c r="P422" s="327"/>
      <c r="Q422" s="381"/>
      <c r="R422" s="326"/>
      <c r="S422" s="326"/>
      <c r="T422" s="326"/>
      <c r="U422" s="326"/>
      <c r="V422" s="326"/>
      <c r="W422" s="326"/>
      <c r="X422" s="326"/>
      <c r="Y422" s="326"/>
      <c r="Z422" s="327"/>
      <c r="AA422" s="381"/>
      <c r="AB422" s="326"/>
      <c r="AC422" s="326"/>
      <c r="AD422" s="326"/>
      <c r="AE422" s="326"/>
      <c r="AF422" s="326"/>
      <c r="AG422" s="326"/>
      <c r="AH422" s="326"/>
      <c r="AI422" s="326"/>
      <c r="AJ422" s="326"/>
      <c r="AK422" s="326"/>
      <c r="AL422" s="326"/>
      <c r="AM422" s="326"/>
      <c r="AN422" s="326"/>
      <c r="AO422" s="326"/>
      <c r="AP422" s="326"/>
      <c r="AQ422" s="327"/>
    </row>
    <row r="423" spans="1:43" ht="30" customHeight="1" x14ac:dyDescent="0.25">
      <c r="A423" s="87">
        <f t="shared" si="1"/>
        <v>411</v>
      </c>
      <c r="B423" s="407" t="s">
        <v>334</v>
      </c>
      <c r="C423" s="326"/>
      <c r="D423" s="327"/>
      <c r="E423" s="697"/>
      <c r="F423" s="326"/>
      <c r="G423" s="327"/>
      <c r="H423" s="407"/>
      <c r="I423" s="326"/>
      <c r="J423" s="326"/>
      <c r="K423" s="327"/>
      <c r="L423" s="407"/>
      <c r="M423" s="326"/>
      <c r="N423" s="326"/>
      <c r="O423" s="326"/>
      <c r="P423" s="327"/>
      <c r="Q423" s="407"/>
      <c r="R423" s="326"/>
      <c r="S423" s="326"/>
      <c r="T423" s="326"/>
      <c r="U423" s="326"/>
      <c r="V423" s="326"/>
      <c r="W423" s="326"/>
      <c r="X423" s="326"/>
      <c r="Y423" s="326"/>
      <c r="Z423" s="327"/>
      <c r="AA423" s="407"/>
      <c r="AB423" s="326"/>
      <c r="AC423" s="326"/>
      <c r="AD423" s="326"/>
      <c r="AE423" s="326"/>
      <c r="AF423" s="326"/>
      <c r="AG423" s="326"/>
      <c r="AH423" s="326"/>
      <c r="AI423" s="326"/>
      <c r="AJ423" s="326"/>
      <c r="AK423" s="326"/>
      <c r="AL423" s="326"/>
      <c r="AM423" s="326"/>
      <c r="AN423" s="326"/>
      <c r="AO423" s="326"/>
      <c r="AP423" s="326"/>
      <c r="AQ423" s="327"/>
    </row>
    <row r="424" spans="1:43" ht="30" customHeight="1" x14ac:dyDescent="0.25">
      <c r="A424" s="87">
        <f t="shared" si="1"/>
        <v>412</v>
      </c>
      <c r="B424" s="381" t="s">
        <v>334</v>
      </c>
      <c r="C424" s="326"/>
      <c r="D424" s="327"/>
      <c r="E424" s="698"/>
      <c r="F424" s="326"/>
      <c r="G424" s="327"/>
      <c r="H424" s="381"/>
      <c r="I424" s="326"/>
      <c r="J424" s="326"/>
      <c r="K424" s="327"/>
      <c r="L424" s="381"/>
      <c r="M424" s="326"/>
      <c r="N424" s="326"/>
      <c r="O424" s="326"/>
      <c r="P424" s="327"/>
      <c r="Q424" s="381"/>
      <c r="R424" s="326"/>
      <c r="S424" s="326"/>
      <c r="T424" s="326"/>
      <c r="U424" s="326"/>
      <c r="V424" s="326"/>
      <c r="W424" s="326"/>
      <c r="X424" s="326"/>
      <c r="Y424" s="326"/>
      <c r="Z424" s="327"/>
      <c r="AA424" s="381"/>
      <c r="AB424" s="326"/>
      <c r="AC424" s="326"/>
      <c r="AD424" s="326"/>
      <c r="AE424" s="326"/>
      <c r="AF424" s="326"/>
      <c r="AG424" s="326"/>
      <c r="AH424" s="326"/>
      <c r="AI424" s="326"/>
      <c r="AJ424" s="326"/>
      <c r="AK424" s="326"/>
      <c r="AL424" s="326"/>
      <c r="AM424" s="326"/>
      <c r="AN424" s="326"/>
      <c r="AO424" s="326"/>
      <c r="AP424" s="326"/>
      <c r="AQ424" s="327"/>
    </row>
    <row r="425" spans="1:43" ht="30" customHeight="1" x14ac:dyDescent="0.25">
      <c r="A425" s="87">
        <f t="shared" si="1"/>
        <v>413</v>
      </c>
      <c r="B425" s="407" t="s">
        <v>334</v>
      </c>
      <c r="C425" s="326"/>
      <c r="D425" s="327"/>
      <c r="E425" s="697"/>
      <c r="F425" s="326"/>
      <c r="G425" s="327"/>
      <c r="H425" s="407"/>
      <c r="I425" s="326"/>
      <c r="J425" s="326"/>
      <c r="K425" s="327"/>
      <c r="L425" s="407"/>
      <c r="M425" s="326"/>
      <c r="N425" s="326"/>
      <c r="O425" s="326"/>
      <c r="P425" s="327"/>
      <c r="Q425" s="407"/>
      <c r="R425" s="326"/>
      <c r="S425" s="326"/>
      <c r="T425" s="326"/>
      <c r="U425" s="326"/>
      <c r="V425" s="326"/>
      <c r="W425" s="326"/>
      <c r="X425" s="326"/>
      <c r="Y425" s="326"/>
      <c r="Z425" s="327"/>
      <c r="AA425" s="407"/>
      <c r="AB425" s="326"/>
      <c r="AC425" s="326"/>
      <c r="AD425" s="326"/>
      <c r="AE425" s="326"/>
      <c r="AF425" s="326"/>
      <c r="AG425" s="326"/>
      <c r="AH425" s="326"/>
      <c r="AI425" s="326"/>
      <c r="AJ425" s="326"/>
      <c r="AK425" s="326"/>
      <c r="AL425" s="326"/>
      <c r="AM425" s="326"/>
      <c r="AN425" s="326"/>
      <c r="AO425" s="326"/>
      <c r="AP425" s="326"/>
      <c r="AQ425" s="327"/>
    </row>
    <row r="426" spans="1:43" ht="30" customHeight="1" x14ac:dyDescent="0.25">
      <c r="A426" s="87">
        <f t="shared" si="1"/>
        <v>414</v>
      </c>
      <c r="B426" s="381" t="s">
        <v>334</v>
      </c>
      <c r="C426" s="326"/>
      <c r="D426" s="327"/>
      <c r="E426" s="698"/>
      <c r="F426" s="326"/>
      <c r="G426" s="327"/>
      <c r="H426" s="381"/>
      <c r="I426" s="326"/>
      <c r="J426" s="326"/>
      <c r="K426" s="327"/>
      <c r="L426" s="381"/>
      <c r="M426" s="326"/>
      <c r="N426" s="326"/>
      <c r="O426" s="326"/>
      <c r="P426" s="327"/>
      <c r="Q426" s="381"/>
      <c r="R426" s="326"/>
      <c r="S426" s="326"/>
      <c r="T426" s="326"/>
      <c r="U426" s="326"/>
      <c r="V426" s="326"/>
      <c r="W426" s="326"/>
      <c r="X426" s="326"/>
      <c r="Y426" s="326"/>
      <c r="Z426" s="327"/>
      <c r="AA426" s="381"/>
      <c r="AB426" s="326"/>
      <c r="AC426" s="326"/>
      <c r="AD426" s="326"/>
      <c r="AE426" s="326"/>
      <c r="AF426" s="326"/>
      <c r="AG426" s="326"/>
      <c r="AH426" s="326"/>
      <c r="AI426" s="326"/>
      <c r="AJ426" s="326"/>
      <c r="AK426" s="326"/>
      <c r="AL426" s="326"/>
      <c r="AM426" s="326"/>
      <c r="AN426" s="326"/>
      <c r="AO426" s="326"/>
      <c r="AP426" s="326"/>
      <c r="AQ426" s="327"/>
    </row>
    <row r="427" spans="1:43" ht="30" customHeight="1" x14ac:dyDescent="0.25">
      <c r="A427" s="87">
        <f t="shared" si="1"/>
        <v>415</v>
      </c>
      <c r="B427" s="407" t="s">
        <v>334</v>
      </c>
      <c r="C427" s="326"/>
      <c r="D427" s="327"/>
      <c r="E427" s="697"/>
      <c r="F427" s="326"/>
      <c r="G427" s="327"/>
      <c r="H427" s="407"/>
      <c r="I427" s="326"/>
      <c r="J427" s="326"/>
      <c r="K427" s="327"/>
      <c r="L427" s="407"/>
      <c r="M427" s="326"/>
      <c r="N427" s="326"/>
      <c r="O427" s="326"/>
      <c r="P427" s="327"/>
      <c r="Q427" s="407"/>
      <c r="R427" s="326"/>
      <c r="S427" s="326"/>
      <c r="T427" s="326"/>
      <c r="U427" s="326"/>
      <c r="V427" s="326"/>
      <c r="W427" s="326"/>
      <c r="X427" s="326"/>
      <c r="Y427" s="326"/>
      <c r="Z427" s="327"/>
      <c r="AA427" s="407"/>
      <c r="AB427" s="326"/>
      <c r="AC427" s="326"/>
      <c r="AD427" s="326"/>
      <c r="AE427" s="326"/>
      <c r="AF427" s="326"/>
      <c r="AG427" s="326"/>
      <c r="AH427" s="326"/>
      <c r="AI427" s="326"/>
      <c r="AJ427" s="326"/>
      <c r="AK427" s="326"/>
      <c r="AL427" s="326"/>
      <c r="AM427" s="326"/>
      <c r="AN427" s="326"/>
      <c r="AO427" s="326"/>
      <c r="AP427" s="326"/>
      <c r="AQ427" s="327"/>
    </row>
    <row r="428" spans="1:43" ht="30" customHeight="1" x14ac:dyDescent="0.25">
      <c r="A428" s="87">
        <f t="shared" si="1"/>
        <v>416</v>
      </c>
      <c r="B428" s="381" t="s">
        <v>334</v>
      </c>
      <c r="C428" s="326"/>
      <c r="D428" s="327"/>
      <c r="E428" s="698"/>
      <c r="F428" s="326"/>
      <c r="G428" s="327"/>
      <c r="H428" s="381"/>
      <c r="I428" s="326"/>
      <c r="J428" s="326"/>
      <c r="K428" s="327"/>
      <c r="L428" s="381"/>
      <c r="M428" s="326"/>
      <c r="N428" s="326"/>
      <c r="O428" s="326"/>
      <c r="P428" s="327"/>
      <c r="Q428" s="381"/>
      <c r="R428" s="326"/>
      <c r="S428" s="326"/>
      <c r="T428" s="326"/>
      <c r="U428" s="326"/>
      <c r="V428" s="326"/>
      <c r="W428" s="326"/>
      <c r="X428" s="326"/>
      <c r="Y428" s="326"/>
      <c r="Z428" s="327"/>
      <c r="AA428" s="381"/>
      <c r="AB428" s="326"/>
      <c r="AC428" s="326"/>
      <c r="AD428" s="326"/>
      <c r="AE428" s="326"/>
      <c r="AF428" s="326"/>
      <c r="AG428" s="326"/>
      <c r="AH428" s="326"/>
      <c r="AI428" s="326"/>
      <c r="AJ428" s="326"/>
      <c r="AK428" s="326"/>
      <c r="AL428" s="326"/>
      <c r="AM428" s="326"/>
      <c r="AN428" s="326"/>
      <c r="AO428" s="326"/>
      <c r="AP428" s="326"/>
      <c r="AQ428" s="327"/>
    </row>
    <row r="429" spans="1:43" ht="30" customHeight="1" x14ac:dyDescent="0.25">
      <c r="A429" s="87">
        <f t="shared" si="1"/>
        <v>417</v>
      </c>
      <c r="B429" s="407" t="s">
        <v>334</v>
      </c>
      <c r="C429" s="326"/>
      <c r="D429" s="327"/>
      <c r="E429" s="697"/>
      <c r="F429" s="326"/>
      <c r="G429" s="327"/>
      <c r="H429" s="407"/>
      <c r="I429" s="326"/>
      <c r="J429" s="326"/>
      <c r="K429" s="327"/>
      <c r="L429" s="407"/>
      <c r="M429" s="326"/>
      <c r="N429" s="326"/>
      <c r="O429" s="326"/>
      <c r="P429" s="327"/>
      <c r="Q429" s="407"/>
      <c r="R429" s="326"/>
      <c r="S429" s="326"/>
      <c r="T429" s="326"/>
      <c r="U429" s="326"/>
      <c r="V429" s="326"/>
      <c r="W429" s="326"/>
      <c r="X429" s="326"/>
      <c r="Y429" s="326"/>
      <c r="Z429" s="327"/>
      <c r="AA429" s="407"/>
      <c r="AB429" s="326"/>
      <c r="AC429" s="326"/>
      <c r="AD429" s="326"/>
      <c r="AE429" s="326"/>
      <c r="AF429" s="326"/>
      <c r="AG429" s="326"/>
      <c r="AH429" s="326"/>
      <c r="AI429" s="326"/>
      <c r="AJ429" s="326"/>
      <c r="AK429" s="326"/>
      <c r="AL429" s="326"/>
      <c r="AM429" s="326"/>
      <c r="AN429" s="326"/>
      <c r="AO429" s="326"/>
      <c r="AP429" s="326"/>
      <c r="AQ429" s="327"/>
    </row>
    <row r="430" spans="1:43" ht="30" customHeight="1" x14ac:dyDescent="0.25">
      <c r="A430" s="87">
        <f t="shared" si="1"/>
        <v>418</v>
      </c>
      <c r="B430" s="381" t="s">
        <v>334</v>
      </c>
      <c r="C430" s="326"/>
      <c r="D430" s="327"/>
      <c r="E430" s="698"/>
      <c r="F430" s="326"/>
      <c r="G430" s="327"/>
      <c r="H430" s="381"/>
      <c r="I430" s="326"/>
      <c r="J430" s="326"/>
      <c r="K430" s="327"/>
      <c r="L430" s="381"/>
      <c r="M430" s="326"/>
      <c r="N430" s="326"/>
      <c r="O430" s="326"/>
      <c r="P430" s="327"/>
      <c r="Q430" s="381"/>
      <c r="R430" s="326"/>
      <c r="S430" s="326"/>
      <c r="T430" s="326"/>
      <c r="U430" s="326"/>
      <c r="V430" s="326"/>
      <c r="W430" s="326"/>
      <c r="X430" s="326"/>
      <c r="Y430" s="326"/>
      <c r="Z430" s="327"/>
      <c r="AA430" s="381"/>
      <c r="AB430" s="326"/>
      <c r="AC430" s="326"/>
      <c r="AD430" s="326"/>
      <c r="AE430" s="326"/>
      <c r="AF430" s="326"/>
      <c r="AG430" s="326"/>
      <c r="AH430" s="326"/>
      <c r="AI430" s="326"/>
      <c r="AJ430" s="326"/>
      <c r="AK430" s="326"/>
      <c r="AL430" s="326"/>
      <c r="AM430" s="326"/>
      <c r="AN430" s="326"/>
      <c r="AO430" s="326"/>
      <c r="AP430" s="326"/>
      <c r="AQ430" s="327"/>
    </row>
    <row r="431" spans="1:43" ht="30" customHeight="1" x14ac:dyDescent="0.25">
      <c r="A431" s="87">
        <f t="shared" si="1"/>
        <v>419</v>
      </c>
      <c r="B431" s="407" t="s">
        <v>334</v>
      </c>
      <c r="C431" s="326"/>
      <c r="D431" s="327"/>
      <c r="E431" s="697"/>
      <c r="F431" s="326"/>
      <c r="G431" s="327"/>
      <c r="H431" s="407"/>
      <c r="I431" s="326"/>
      <c r="J431" s="326"/>
      <c r="K431" s="327"/>
      <c r="L431" s="407"/>
      <c r="M431" s="326"/>
      <c r="N431" s="326"/>
      <c r="O431" s="326"/>
      <c r="P431" s="327"/>
      <c r="Q431" s="407"/>
      <c r="R431" s="326"/>
      <c r="S431" s="326"/>
      <c r="T431" s="326"/>
      <c r="U431" s="326"/>
      <c r="V431" s="326"/>
      <c r="W431" s="326"/>
      <c r="X431" s="326"/>
      <c r="Y431" s="326"/>
      <c r="Z431" s="327"/>
      <c r="AA431" s="407"/>
      <c r="AB431" s="326"/>
      <c r="AC431" s="326"/>
      <c r="AD431" s="326"/>
      <c r="AE431" s="326"/>
      <c r="AF431" s="326"/>
      <c r="AG431" s="326"/>
      <c r="AH431" s="326"/>
      <c r="AI431" s="326"/>
      <c r="AJ431" s="326"/>
      <c r="AK431" s="326"/>
      <c r="AL431" s="326"/>
      <c r="AM431" s="326"/>
      <c r="AN431" s="326"/>
      <c r="AO431" s="326"/>
      <c r="AP431" s="326"/>
      <c r="AQ431" s="327"/>
    </row>
    <row r="432" spans="1:43" ht="30" customHeight="1" x14ac:dyDescent="0.25">
      <c r="A432" s="87">
        <f t="shared" si="1"/>
        <v>420</v>
      </c>
      <c r="B432" s="381" t="s">
        <v>334</v>
      </c>
      <c r="C432" s="326"/>
      <c r="D432" s="327"/>
      <c r="E432" s="698"/>
      <c r="F432" s="326"/>
      <c r="G432" s="327"/>
      <c r="H432" s="381"/>
      <c r="I432" s="326"/>
      <c r="J432" s="326"/>
      <c r="K432" s="327"/>
      <c r="L432" s="381"/>
      <c r="M432" s="326"/>
      <c r="N432" s="326"/>
      <c r="O432" s="326"/>
      <c r="P432" s="327"/>
      <c r="Q432" s="381"/>
      <c r="R432" s="326"/>
      <c r="S432" s="326"/>
      <c r="T432" s="326"/>
      <c r="U432" s="326"/>
      <c r="V432" s="326"/>
      <c r="W432" s="326"/>
      <c r="X432" s="326"/>
      <c r="Y432" s="326"/>
      <c r="Z432" s="327"/>
      <c r="AA432" s="381"/>
      <c r="AB432" s="326"/>
      <c r="AC432" s="326"/>
      <c r="AD432" s="326"/>
      <c r="AE432" s="326"/>
      <c r="AF432" s="326"/>
      <c r="AG432" s="326"/>
      <c r="AH432" s="326"/>
      <c r="AI432" s="326"/>
      <c r="AJ432" s="326"/>
      <c r="AK432" s="326"/>
      <c r="AL432" s="326"/>
      <c r="AM432" s="326"/>
      <c r="AN432" s="326"/>
      <c r="AO432" s="326"/>
      <c r="AP432" s="326"/>
      <c r="AQ432" s="327"/>
    </row>
    <row r="433" spans="1:43" ht="30" customHeight="1" x14ac:dyDescent="0.25">
      <c r="A433" s="87">
        <f t="shared" si="1"/>
        <v>421</v>
      </c>
      <c r="B433" s="407" t="s">
        <v>334</v>
      </c>
      <c r="C433" s="326"/>
      <c r="D433" s="327"/>
      <c r="E433" s="697"/>
      <c r="F433" s="326"/>
      <c r="G433" s="327"/>
      <c r="H433" s="407"/>
      <c r="I433" s="326"/>
      <c r="J433" s="326"/>
      <c r="K433" s="327"/>
      <c r="L433" s="407"/>
      <c r="M433" s="326"/>
      <c r="N433" s="326"/>
      <c r="O433" s="326"/>
      <c r="P433" s="327"/>
      <c r="Q433" s="407"/>
      <c r="R433" s="326"/>
      <c r="S433" s="326"/>
      <c r="T433" s="326"/>
      <c r="U433" s="326"/>
      <c r="V433" s="326"/>
      <c r="W433" s="326"/>
      <c r="X433" s="326"/>
      <c r="Y433" s="326"/>
      <c r="Z433" s="327"/>
      <c r="AA433" s="407"/>
      <c r="AB433" s="326"/>
      <c r="AC433" s="326"/>
      <c r="AD433" s="326"/>
      <c r="AE433" s="326"/>
      <c r="AF433" s="326"/>
      <c r="AG433" s="326"/>
      <c r="AH433" s="326"/>
      <c r="AI433" s="326"/>
      <c r="AJ433" s="326"/>
      <c r="AK433" s="326"/>
      <c r="AL433" s="326"/>
      <c r="AM433" s="326"/>
      <c r="AN433" s="326"/>
      <c r="AO433" s="326"/>
      <c r="AP433" s="326"/>
      <c r="AQ433" s="327"/>
    </row>
    <row r="434" spans="1:43" ht="30" customHeight="1" x14ac:dyDescent="0.25">
      <c r="A434" s="87">
        <f t="shared" si="1"/>
        <v>422</v>
      </c>
      <c r="B434" s="381" t="s">
        <v>334</v>
      </c>
      <c r="C434" s="326"/>
      <c r="D434" s="327"/>
      <c r="E434" s="698"/>
      <c r="F434" s="326"/>
      <c r="G434" s="327"/>
      <c r="H434" s="381"/>
      <c r="I434" s="326"/>
      <c r="J434" s="326"/>
      <c r="K434" s="327"/>
      <c r="L434" s="381"/>
      <c r="M434" s="326"/>
      <c r="N434" s="326"/>
      <c r="O434" s="326"/>
      <c r="P434" s="327"/>
      <c r="Q434" s="381"/>
      <c r="R434" s="326"/>
      <c r="S434" s="326"/>
      <c r="T434" s="326"/>
      <c r="U434" s="326"/>
      <c r="V434" s="326"/>
      <c r="W434" s="326"/>
      <c r="X434" s="326"/>
      <c r="Y434" s="326"/>
      <c r="Z434" s="327"/>
      <c r="AA434" s="381"/>
      <c r="AB434" s="326"/>
      <c r="AC434" s="326"/>
      <c r="AD434" s="326"/>
      <c r="AE434" s="326"/>
      <c r="AF434" s="326"/>
      <c r="AG434" s="326"/>
      <c r="AH434" s="326"/>
      <c r="AI434" s="326"/>
      <c r="AJ434" s="326"/>
      <c r="AK434" s="326"/>
      <c r="AL434" s="326"/>
      <c r="AM434" s="326"/>
      <c r="AN434" s="326"/>
      <c r="AO434" s="326"/>
      <c r="AP434" s="326"/>
      <c r="AQ434" s="327"/>
    </row>
    <row r="435" spans="1:43" ht="30" customHeight="1" x14ac:dyDescent="0.25">
      <c r="A435" s="87">
        <f t="shared" si="1"/>
        <v>423</v>
      </c>
      <c r="B435" s="407" t="s">
        <v>334</v>
      </c>
      <c r="C435" s="326"/>
      <c r="D435" s="327"/>
      <c r="E435" s="697"/>
      <c r="F435" s="326"/>
      <c r="G435" s="327"/>
      <c r="H435" s="407"/>
      <c r="I435" s="326"/>
      <c r="J435" s="326"/>
      <c r="K435" s="327"/>
      <c r="L435" s="407"/>
      <c r="M435" s="326"/>
      <c r="N435" s="326"/>
      <c r="O435" s="326"/>
      <c r="P435" s="327"/>
      <c r="Q435" s="407"/>
      <c r="R435" s="326"/>
      <c r="S435" s="326"/>
      <c r="T435" s="326"/>
      <c r="U435" s="326"/>
      <c r="V435" s="326"/>
      <c r="W435" s="326"/>
      <c r="X435" s="326"/>
      <c r="Y435" s="326"/>
      <c r="Z435" s="327"/>
      <c r="AA435" s="407"/>
      <c r="AB435" s="326"/>
      <c r="AC435" s="326"/>
      <c r="AD435" s="326"/>
      <c r="AE435" s="326"/>
      <c r="AF435" s="326"/>
      <c r="AG435" s="326"/>
      <c r="AH435" s="326"/>
      <c r="AI435" s="326"/>
      <c r="AJ435" s="326"/>
      <c r="AK435" s="326"/>
      <c r="AL435" s="326"/>
      <c r="AM435" s="326"/>
      <c r="AN435" s="326"/>
      <c r="AO435" s="326"/>
      <c r="AP435" s="326"/>
      <c r="AQ435" s="327"/>
    </row>
    <row r="436" spans="1:43" ht="30" customHeight="1" x14ac:dyDescent="0.25">
      <c r="A436" s="87">
        <f t="shared" si="1"/>
        <v>424</v>
      </c>
      <c r="B436" s="381" t="s">
        <v>334</v>
      </c>
      <c r="C436" s="326"/>
      <c r="D436" s="327"/>
      <c r="E436" s="698"/>
      <c r="F436" s="326"/>
      <c r="G436" s="327"/>
      <c r="H436" s="381"/>
      <c r="I436" s="326"/>
      <c r="J436" s="326"/>
      <c r="K436" s="327"/>
      <c r="L436" s="381"/>
      <c r="M436" s="326"/>
      <c r="N436" s="326"/>
      <c r="O436" s="326"/>
      <c r="P436" s="327"/>
      <c r="Q436" s="381"/>
      <c r="R436" s="326"/>
      <c r="S436" s="326"/>
      <c r="T436" s="326"/>
      <c r="U436" s="326"/>
      <c r="V436" s="326"/>
      <c r="W436" s="326"/>
      <c r="X436" s="326"/>
      <c r="Y436" s="326"/>
      <c r="Z436" s="327"/>
      <c r="AA436" s="381"/>
      <c r="AB436" s="326"/>
      <c r="AC436" s="326"/>
      <c r="AD436" s="326"/>
      <c r="AE436" s="326"/>
      <c r="AF436" s="326"/>
      <c r="AG436" s="326"/>
      <c r="AH436" s="326"/>
      <c r="AI436" s="326"/>
      <c r="AJ436" s="326"/>
      <c r="AK436" s="326"/>
      <c r="AL436" s="326"/>
      <c r="AM436" s="326"/>
      <c r="AN436" s="326"/>
      <c r="AO436" s="326"/>
      <c r="AP436" s="326"/>
      <c r="AQ436" s="327"/>
    </row>
    <row r="437" spans="1:43" ht="30" customHeight="1" x14ac:dyDescent="0.25">
      <c r="A437" s="87">
        <f t="shared" si="1"/>
        <v>425</v>
      </c>
      <c r="B437" s="407" t="s">
        <v>334</v>
      </c>
      <c r="C437" s="326"/>
      <c r="D437" s="327"/>
      <c r="E437" s="697"/>
      <c r="F437" s="326"/>
      <c r="G437" s="327"/>
      <c r="H437" s="407"/>
      <c r="I437" s="326"/>
      <c r="J437" s="326"/>
      <c r="K437" s="327"/>
      <c r="L437" s="407"/>
      <c r="M437" s="326"/>
      <c r="N437" s="326"/>
      <c r="O437" s="326"/>
      <c r="P437" s="327"/>
      <c r="Q437" s="407"/>
      <c r="R437" s="326"/>
      <c r="S437" s="326"/>
      <c r="T437" s="326"/>
      <c r="U437" s="326"/>
      <c r="V437" s="326"/>
      <c r="W437" s="326"/>
      <c r="X437" s="326"/>
      <c r="Y437" s="326"/>
      <c r="Z437" s="327"/>
      <c r="AA437" s="407"/>
      <c r="AB437" s="326"/>
      <c r="AC437" s="326"/>
      <c r="AD437" s="326"/>
      <c r="AE437" s="326"/>
      <c r="AF437" s="326"/>
      <c r="AG437" s="326"/>
      <c r="AH437" s="326"/>
      <c r="AI437" s="326"/>
      <c r="AJ437" s="326"/>
      <c r="AK437" s="326"/>
      <c r="AL437" s="326"/>
      <c r="AM437" s="326"/>
      <c r="AN437" s="326"/>
      <c r="AO437" s="326"/>
      <c r="AP437" s="326"/>
      <c r="AQ437" s="327"/>
    </row>
    <row r="438" spans="1:43" ht="30" customHeight="1" x14ac:dyDescent="0.25">
      <c r="A438" s="87">
        <f t="shared" si="1"/>
        <v>426</v>
      </c>
      <c r="B438" s="381" t="s">
        <v>334</v>
      </c>
      <c r="C438" s="326"/>
      <c r="D438" s="327"/>
      <c r="E438" s="698"/>
      <c r="F438" s="326"/>
      <c r="G438" s="327"/>
      <c r="H438" s="381"/>
      <c r="I438" s="326"/>
      <c r="J438" s="326"/>
      <c r="K438" s="327"/>
      <c r="L438" s="381"/>
      <c r="M438" s="326"/>
      <c r="N438" s="326"/>
      <c r="O438" s="326"/>
      <c r="P438" s="327"/>
      <c r="Q438" s="381"/>
      <c r="R438" s="326"/>
      <c r="S438" s="326"/>
      <c r="T438" s="326"/>
      <c r="U438" s="326"/>
      <c r="V438" s="326"/>
      <c r="W438" s="326"/>
      <c r="X438" s="326"/>
      <c r="Y438" s="326"/>
      <c r="Z438" s="327"/>
      <c r="AA438" s="381"/>
      <c r="AB438" s="326"/>
      <c r="AC438" s="326"/>
      <c r="AD438" s="326"/>
      <c r="AE438" s="326"/>
      <c r="AF438" s="326"/>
      <c r="AG438" s="326"/>
      <c r="AH438" s="326"/>
      <c r="AI438" s="326"/>
      <c r="AJ438" s="326"/>
      <c r="AK438" s="326"/>
      <c r="AL438" s="326"/>
      <c r="AM438" s="326"/>
      <c r="AN438" s="326"/>
      <c r="AO438" s="326"/>
      <c r="AP438" s="326"/>
      <c r="AQ438" s="327"/>
    </row>
    <row r="439" spans="1:43" ht="30" customHeight="1" x14ac:dyDescent="0.25">
      <c r="A439" s="87">
        <f t="shared" si="1"/>
        <v>427</v>
      </c>
      <c r="B439" s="407" t="s">
        <v>334</v>
      </c>
      <c r="C439" s="326"/>
      <c r="D439" s="327"/>
      <c r="E439" s="697"/>
      <c r="F439" s="326"/>
      <c r="G439" s="327"/>
      <c r="H439" s="407"/>
      <c r="I439" s="326"/>
      <c r="J439" s="326"/>
      <c r="K439" s="327"/>
      <c r="L439" s="407"/>
      <c r="M439" s="326"/>
      <c r="N439" s="326"/>
      <c r="O439" s="326"/>
      <c r="P439" s="327"/>
      <c r="Q439" s="407"/>
      <c r="R439" s="326"/>
      <c r="S439" s="326"/>
      <c r="T439" s="326"/>
      <c r="U439" s="326"/>
      <c r="V439" s="326"/>
      <c r="W439" s="326"/>
      <c r="X439" s="326"/>
      <c r="Y439" s="326"/>
      <c r="Z439" s="327"/>
      <c r="AA439" s="407"/>
      <c r="AB439" s="326"/>
      <c r="AC439" s="326"/>
      <c r="AD439" s="326"/>
      <c r="AE439" s="326"/>
      <c r="AF439" s="326"/>
      <c r="AG439" s="326"/>
      <c r="AH439" s="326"/>
      <c r="AI439" s="326"/>
      <c r="AJ439" s="326"/>
      <c r="AK439" s="326"/>
      <c r="AL439" s="326"/>
      <c r="AM439" s="326"/>
      <c r="AN439" s="326"/>
      <c r="AO439" s="326"/>
      <c r="AP439" s="326"/>
      <c r="AQ439" s="327"/>
    </row>
    <row r="440" spans="1:43" ht="30" customHeight="1" x14ac:dyDescent="0.25">
      <c r="A440" s="87">
        <f t="shared" si="1"/>
        <v>428</v>
      </c>
      <c r="B440" s="381" t="s">
        <v>334</v>
      </c>
      <c r="C440" s="326"/>
      <c r="D440" s="327"/>
      <c r="E440" s="698"/>
      <c r="F440" s="326"/>
      <c r="G440" s="327"/>
      <c r="H440" s="381"/>
      <c r="I440" s="326"/>
      <c r="J440" s="326"/>
      <c r="K440" s="327"/>
      <c r="L440" s="381"/>
      <c r="M440" s="326"/>
      <c r="N440" s="326"/>
      <c r="O440" s="326"/>
      <c r="P440" s="327"/>
      <c r="Q440" s="381"/>
      <c r="R440" s="326"/>
      <c r="S440" s="326"/>
      <c r="T440" s="326"/>
      <c r="U440" s="326"/>
      <c r="V440" s="326"/>
      <c r="W440" s="326"/>
      <c r="X440" s="326"/>
      <c r="Y440" s="326"/>
      <c r="Z440" s="327"/>
      <c r="AA440" s="381"/>
      <c r="AB440" s="326"/>
      <c r="AC440" s="326"/>
      <c r="AD440" s="326"/>
      <c r="AE440" s="326"/>
      <c r="AF440" s="326"/>
      <c r="AG440" s="326"/>
      <c r="AH440" s="326"/>
      <c r="AI440" s="326"/>
      <c r="AJ440" s="326"/>
      <c r="AK440" s="326"/>
      <c r="AL440" s="326"/>
      <c r="AM440" s="326"/>
      <c r="AN440" s="326"/>
      <c r="AO440" s="326"/>
      <c r="AP440" s="326"/>
      <c r="AQ440" s="327"/>
    </row>
    <row r="441" spans="1:43" ht="30" customHeight="1" x14ac:dyDescent="0.25">
      <c r="A441" s="87">
        <f t="shared" si="1"/>
        <v>429</v>
      </c>
      <c r="B441" s="407" t="s">
        <v>334</v>
      </c>
      <c r="C441" s="326"/>
      <c r="D441" s="327"/>
      <c r="E441" s="697"/>
      <c r="F441" s="326"/>
      <c r="G441" s="327"/>
      <c r="H441" s="407"/>
      <c r="I441" s="326"/>
      <c r="J441" s="326"/>
      <c r="K441" s="327"/>
      <c r="L441" s="407"/>
      <c r="M441" s="326"/>
      <c r="N441" s="326"/>
      <c r="O441" s="326"/>
      <c r="P441" s="327"/>
      <c r="Q441" s="407"/>
      <c r="R441" s="326"/>
      <c r="S441" s="326"/>
      <c r="T441" s="326"/>
      <c r="U441" s="326"/>
      <c r="V441" s="326"/>
      <c r="W441" s="326"/>
      <c r="X441" s="326"/>
      <c r="Y441" s="326"/>
      <c r="Z441" s="327"/>
      <c r="AA441" s="407"/>
      <c r="AB441" s="326"/>
      <c r="AC441" s="326"/>
      <c r="AD441" s="326"/>
      <c r="AE441" s="326"/>
      <c r="AF441" s="326"/>
      <c r="AG441" s="326"/>
      <c r="AH441" s="326"/>
      <c r="AI441" s="326"/>
      <c r="AJ441" s="326"/>
      <c r="AK441" s="326"/>
      <c r="AL441" s="326"/>
      <c r="AM441" s="326"/>
      <c r="AN441" s="326"/>
      <c r="AO441" s="326"/>
      <c r="AP441" s="326"/>
      <c r="AQ441" s="327"/>
    </row>
    <row r="442" spans="1:43" ht="30" customHeight="1" x14ac:dyDescent="0.25">
      <c r="A442" s="87">
        <f t="shared" si="1"/>
        <v>430</v>
      </c>
      <c r="B442" s="381" t="s">
        <v>334</v>
      </c>
      <c r="C442" s="326"/>
      <c r="D442" s="327"/>
      <c r="E442" s="698"/>
      <c r="F442" s="326"/>
      <c r="G442" s="327"/>
      <c r="H442" s="381"/>
      <c r="I442" s="326"/>
      <c r="J442" s="326"/>
      <c r="K442" s="327"/>
      <c r="L442" s="381"/>
      <c r="M442" s="326"/>
      <c r="N442" s="326"/>
      <c r="O442" s="326"/>
      <c r="P442" s="327"/>
      <c r="Q442" s="381"/>
      <c r="R442" s="326"/>
      <c r="S442" s="326"/>
      <c r="T442" s="326"/>
      <c r="U442" s="326"/>
      <c r="V442" s="326"/>
      <c r="W442" s="326"/>
      <c r="X442" s="326"/>
      <c r="Y442" s="326"/>
      <c r="Z442" s="327"/>
      <c r="AA442" s="381"/>
      <c r="AB442" s="326"/>
      <c r="AC442" s="326"/>
      <c r="AD442" s="326"/>
      <c r="AE442" s="326"/>
      <c r="AF442" s="326"/>
      <c r="AG442" s="326"/>
      <c r="AH442" s="326"/>
      <c r="AI442" s="326"/>
      <c r="AJ442" s="326"/>
      <c r="AK442" s="326"/>
      <c r="AL442" s="326"/>
      <c r="AM442" s="326"/>
      <c r="AN442" s="326"/>
      <c r="AO442" s="326"/>
      <c r="AP442" s="326"/>
      <c r="AQ442" s="327"/>
    </row>
    <row r="443" spans="1:43" ht="30" customHeight="1" x14ac:dyDescent="0.25">
      <c r="A443" s="87">
        <f t="shared" si="1"/>
        <v>431</v>
      </c>
      <c r="B443" s="407" t="s">
        <v>334</v>
      </c>
      <c r="C443" s="326"/>
      <c r="D443" s="327"/>
      <c r="E443" s="697"/>
      <c r="F443" s="326"/>
      <c r="G443" s="327"/>
      <c r="H443" s="407"/>
      <c r="I443" s="326"/>
      <c r="J443" s="326"/>
      <c r="K443" s="327"/>
      <c r="L443" s="407"/>
      <c r="M443" s="326"/>
      <c r="N443" s="326"/>
      <c r="O443" s="326"/>
      <c r="P443" s="327"/>
      <c r="Q443" s="407"/>
      <c r="R443" s="326"/>
      <c r="S443" s="326"/>
      <c r="T443" s="326"/>
      <c r="U443" s="326"/>
      <c r="V443" s="326"/>
      <c r="W443" s="326"/>
      <c r="X443" s="326"/>
      <c r="Y443" s="326"/>
      <c r="Z443" s="327"/>
      <c r="AA443" s="407"/>
      <c r="AB443" s="326"/>
      <c r="AC443" s="326"/>
      <c r="AD443" s="326"/>
      <c r="AE443" s="326"/>
      <c r="AF443" s="326"/>
      <c r="AG443" s="326"/>
      <c r="AH443" s="326"/>
      <c r="AI443" s="326"/>
      <c r="AJ443" s="326"/>
      <c r="AK443" s="326"/>
      <c r="AL443" s="326"/>
      <c r="AM443" s="326"/>
      <c r="AN443" s="326"/>
      <c r="AO443" s="326"/>
      <c r="AP443" s="326"/>
      <c r="AQ443" s="327"/>
    </row>
    <row r="444" spans="1:43" ht="30" customHeight="1" x14ac:dyDescent="0.25">
      <c r="A444" s="87">
        <f t="shared" si="1"/>
        <v>432</v>
      </c>
      <c r="B444" s="381" t="s">
        <v>334</v>
      </c>
      <c r="C444" s="326"/>
      <c r="D444" s="327"/>
      <c r="E444" s="698"/>
      <c r="F444" s="326"/>
      <c r="G444" s="327"/>
      <c r="H444" s="381"/>
      <c r="I444" s="326"/>
      <c r="J444" s="326"/>
      <c r="K444" s="327"/>
      <c r="L444" s="381"/>
      <c r="M444" s="326"/>
      <c r="N444" s="326"/>
      <c r="O444" s="326"/>
      <c r="P444" s="327"/>
      <c r="Q444" s="381"/>
      <c r="R444" s="326"/>
      <c r="S444" s="326"/>
      <c r="T444" s="326"/>
      <c r="U444" s="326"/>
      <c r="V444" s="326"/>
      <c r="W444" s="326"/>
      <c r="X444" s="326"/>
      <c r="Y444" s="326"/>
      <c r="Z444" s="327"/>
      <c r="AA444" s="381"/>
      <c r="AB444" s="326"/>
      <c r="AC444" s="326"/>
      <c r="AD444" s="326"/>
      <c r="AE444" s="326"/>
      <c r="AF444" s="326"/>
      <c r="AG444" s="326"/>
      <c r="AH444" s="326"/>
      <c r="AI444" s="326"/>
      <c r="AJ444" s="326"/>
      <c r="AK444" s="326"/>
      <c r="AL444" s="326"/>
      <c r="AM444" s="326"/>
      <c r="AN444" s="326"/>
      <c r="AO444" s="326"/>
      <c r="AP444" s="326"/>
      <c r="AQ444" s="327"/>
    </row>
    <row r="445" spans="1:43" ht="30" customHeight="1" x14ac:dyDescent="0.25">
      <c r="A445" s="87">
        <f t="shared" si="1"/>
        <v>433</v>
      </c>
      <c r="B445" s="407" t="s">
        <v>334</v>
      </c>
      <c r="C445" s="326"/>
      <c r="D445" s="327"/>
      <c r="E445" s="697"/>
      <c r="F445" s="326"/>
      <c r="G445" s="327"/>
      <c r="H445" s="407"/>
      <c r="I445" s="326"/>
      <c r="J445" s="326"/>
      <c r="K445" s="327"/>
      <c r="L445" s="407"/>
      <c r="M445" s="326"/>
      <c r="N445" s="326"/>
      <c r="O445" s="326"/>
      <c r="P445" s="327"/>
      <c r="Q445" s="407"/>
      <c r="R445" s="326"/>
      <c r="S445" s="326"/>
      <c r="T445" s="326"/>
      <c r="U445" s="326"/>
      <c r="V445" s="326"/>
      <c r="W445" s="326"/>
      <c r="X445" s="326"/>
      <c r="Y445" s="326"/>
      <c r="Z445" s="327"/>
      <c r="AA445" s="407"/>
      <c r="AB445" s="326"/>
      <c r="AC445" s="326"/>
      <c r="AD445" s="326"/>
      <c r="AE445" s="326"/>
      <c r="AF445" s="326"/>
      <c r="AG445" s="326"/>
      <c r="AH445" s="326"/>
      <c r="AI445" s="326"/>
      <c r="AJ445" s="326"/>
      <c r="AK445" s="326"/>
      <c r="AL445" s="326"/>
      <c r="AM445" s="326"/>
      <c r="AN445" s="326"/>
      <c r="AO445" s="326"/>
      <c r="AP445" s="326"/>
      <c r="AQ445" s="327"/>
    </row>
    <row r="446" spans="1:43" ht="30" customHeight="1" x14ac:dyDescent="0.25">
      <c r="A446" s="87">
        <f t="shared" si="1"/>
        <v>434</v>
      </c>
      <c r="B446" s="381" t="s">
        <v>334</v>
      </c>
      <c r="C446" s="326"/>
      <c r="D446" s="327"/>
      <c r="E446" s="698"/>
      <c r="F446" s="326"/>
      <c r="G446" s="327"/>
      <c r="H446" s="381"/>
      <c r="I446" s="326"/>
      <c r="J446" s="326"/>
      <c r="K446" s="327"/>
      <c r="L446" s="381"/>
      <c r="M446" s="326"/>
      <c r="N446" s="326"/>
      <c r="O446" s="326"/>
      <c r="P446" s="327"/>
      <c r="Q446" s="381"/>
      <c r="R446" s="326"/>
      <c r="S446" s="326"/>
      <c r="T446" s="326"/>
      <c r="U446" s="326"/>
      <c r="V446" s="326"/>
      <c r="W446" s="326"/>
      <c r="X446" s="326"/>
      <c r="Y446" s="326"/>
      <c r="Z446" s="327"/>
      <c r="AA446" s="381"/>
      <c r="AB446" s="326"/>
      <c r="AC446" s="326"/>
      <c r="AD446" s="326"/>
      <c r="AE446" s="326"/>
      <c r="AF446" s="326"/>
      <c r="AG446" s="326"/>
      <c r="AH446" s="326"/>
      <c r="AI446" s="326"/>
      <c r="AJ446" s="326"/>
      <c r="AK446" s="326"/>
      <c r="AL446" s="326"/>
      <c r="AM446" s="326"/>
      <c r="AN446" s="326"/>
      <c r="AO446" s="326"/>
      <c r="AP446" s="326"/>
      <c r="AQ446" s="327"/>
    </row>
    <row r="447" spans="1:43" ht="30" customHeight="1" x14ac:dyDescent="0.25">
      <c r="A447" s="87">
        <f t="shared" si="1"/>
        <v>435</v>
      </c>
      <c r="B447" s="407" t="s">
        <v>334</v>
      </c>
      <c r="C447" s="326"/>
      <c r="D447" s="327"/>
      <c r="E447" s="697"/>
      <c r="F447" s="326"/>
      <c r="G447" s="327"/>
      <c r="H447" s="407"/>
      <c r="I447" s="326"/>
      <c r="J447" s="326"/>
      <c r="K447" s="327"/>
      <c r="L447" s="407"/>
      <c r="M447" s="326"/>
      <c r="N447" s="326"/>
      <c r="O447" s="326"/>
      <c r="P447" s="327"/>
      <c r="Q447" s="407"/>
      <c r="R447" s="326"/>
      <c r="S447" s="326"/>
      <c r="T447" s="326"/>
      <c r="U447" s="326"/>
      <c r="V447" s="326"/>
      <c r="W447" s="326"/>
      <c r="X447" s="326"/>
      <c r="Y447" s="326"/>
      <c r="Z447" s="327"/>
      <c r="AA447" s="407"/>
      <c r="AB447" s="326"/>
      <c r="AC447" s="326"/>
      <c r="AD447" s="326"/>
      <c r="AE447" s="326"/>
      <c r="AF447" s="326"/>
      <c r="AG447" s="326"/>
      <c r="AH447" s="326"/>
      <c r="AI447" s="326"/>
      <c r="AJ447" s="326"/>
      <c r="AK447" s="326"/>
      <c r="AL447" s="326"/>
      <c r="AM447" s="326"/>
      <c r="AN447" s="326"/>
      <c r="AO447" s="326"/>
      <c r="AP447" s="326"/>
      <c r="AQ447" s="327"/>
    </row>
    <row r="448" spans="1:43" ht="30" customHeight="1" x14ac:dyDescent="0.25">
      <c r="A448" s="87">
        <f t="shared" si="1"/>
        <v>436</v>
      </c>
      <c r="B448" s="381" t="s">
        <v>334</v>
      </c>
      <c r="C448" s="326"/>
      <c r="D448" s="327"/>
      <c r="E448" s="698"/>
      <c r="F448" s="326"/>
      <c r="G448" s="327"/>
      <c r="H448" s="381"/>
      <c r="I448" s="326"/>
      <c r="J448" s="326"/>
      <c r="K448" s="327"/>
      <c r="L448" s="381"/>
      <c r="M448" s="326"/>
      <c r="N448" s="326"/>
      <c r="O448" s="326"/>
      <c r="P448" s="327"/>
      <c r="Q448" s="381"/>
      <c r="R448" s="326"/>
      <c r="S448" s="326"/>
      <c r="T448" s="326"/>
      <c r="U448" s="326"/>
      <c r="V448" s="326"/>
      <c r="W448" s="326"/>
      <c r="X448" s="326"/>
      <c r="Y448" s="326"/>
      <c r="Z448" s="327"/>
      <c r="AA448" s="381"/>
      <c r="AB448" s="326"/>
      <c r="AC448" s="326"/>
      <c r="AD448" s="326"/>
      <c r="AE448" s="326"/>
      <c r="AF448" s="326"/>
      <c r="AG448" s="326"/>
      <c r="AH448" s="326"/>
      <c r="AI448" s="326"/>
      <c r="AJ448" s="326"/>
      <c r="AK448" s="326"/>
      <c r="AL448" s="326"/>
      <c r="AM448" s="326"/>
      <c r="AN448" s="326"/>
      <c r="AO448" s="326"/>
      <c r="AP448" s="326"/>
      <c r="AQ448" s="327"/>
    </row>
    <row r="449" spans="1:43" ht="30" customHeight="1" x14ac:dyDescent="0.25">
      <c r="A449" s="87">
        <f t="shared" si="1"/>
        <v>437</v>
      </c>
      <c r="B449" s="407" t="s">
        <v>334</v>
      </c>
      <c r="C449" s="326"/>
      <c r="D449" s="327"/>
      <c r="E449" s="697"/>
      <c r="F449" s="326"/>
      <c r="G449" s="327"/>
      <c r="H449" s="407"/>
      <c r="I449" s="326"/>
      <c r="J449" s="326"/>
      <c r="K449" s="327"/>
      <c r="L449" s="407"/>
      <c r="M449" s="326"/>
      <c r="N449" s="326"/>
      <c r="O449" s="326"/>
      <c r="P449" s="327"/>
      <c r="Q449" s="407"/>
      <c r="R449" s="326"/>
      <c r="S449" s="326"/>
      <c r="T449" s="326"/>
      <c r="U449" s="326"/>
      <c r="V449" s="326"/>
      <c r="W449" s="326"/>
      <c r="X449" s="326"/>
      <c r="Y449" s="326"/>
      <c r="Z449" s="327"/>
      <c r="AA449" s="407"/>
      <c r="AB449" s="326"/>
      <c r="AC449" s="326"/>
      <c r="AD449" s="326"/>
      <c r="AE449" s="326"/>
      <c r="AF449" s="326"/>
      <c r="AG449" s="326"/>
      <c r="AH449" s="326"/>
      <c r="AI449" s="326"/>
      <c r="AJ449" s="326"/>
      <c r="AK449" s="326"/>
      <c r="AL449" s="326"/>
      <c r="AM449" s="326"/>
      <c r="AN449" s="326"/>
      <c r="AO449" s="326"/>
      <c r="AP449" s="326"/>
      <c r="AQ449" s="327"/>
    </row>
    <row r="450" spans="1:43" ht="30" customHeight="1" x14ac:dyDescent="0.25">
      <c r="A450" s="87">
        <f t="shared" si="1"/>
        <v>438</v>
      </c>
      <c r="B450" s="381" t="s">
        <v>334</v>
      </c>
      <c r="C450" s="326"/>
      <c r="D450" s="327"/>
      <c r="E450" s="698"/>
      <c r="F450" s="326"/>
      <c r="G450" s="327"/>
      <c r="H450" s="381"/>
      <c r="I450" s="326"/>
      <c r="J450" s="326"/>
      <c r="K450" s="327"/>
      <c r="L450" s="381"/>
      <c r="M450" s="326"/>
      <c r="N450" s="326"/>
      <c r="O450" s="326"/>
      <c r="P450" s="327"/>
      <c r="Q450" s="381"/>
      <c r="R450" s="326"/>
      <c r="S450" s="326"/>
      <c r="T450" s="326"/>
      <c r="U450" s="326"/>
      <c r="V450" s="326"/>
      <c r="W450" s="326"/>
      <c r="X450" s="326"/>
      <c r="Y450" s="326"/>
      <c r="Z450" s="327"/>
      <c r="AA450" s="381"/>
      <c r="AB450" s="326"/>
      <c r="AC450" s="326"/>
      <c r="AD450" s="326"/>
      <c r="AE450" s="326"/>
      <c r="AF450" s="326"/>
      <c r="AG450" s="326"/>
      <c r="AH450" s="326"/>
      <c r="AI450" s="326"/>
      <c r="AJ450" s="326"/>
      <c r="AK450" s="326"/>
      <c r="AL450" s="326"/>
      <c r="AM450" s="326"/>
      <c r="AN450" s="326"/>
      <c r="AO450" s="326"/>
      <c r="AP450" s="326"/>
      <c r="AQ450" s="327"/>
    </row>
    <row r="451" spans="1:43" ht="30" customHeight="1" x14ac:dyDescent="0.25">
      <c r="A451" s="87">
        <f t="shared" si="1"/>
        <v>439</v>
      </c>
      <c r="B451" s="407" t="s">
        <v>334</v>
      </c>
      <c r="C451" s="326"/>
      <c r="D451" s="327"/>
      <c r="E451" s="697"/>
      <c r="F451" s="326"/>
      <c r="G451" s="327"/>
      <c r="H451" s="407"/>
      <c r="I451" s="326"/>
      <c r="J451" s="326"/>
      <c r="K451" s="327"/>
      <c r="L451" s="407"/>
      <c r="M451" s="326"/>
      <c r="N451" s="326"/>
      <c r="O451" s="326"/>
      <c r="P451" s="327"/>
      <c r="Q451" s="407"/>
      <c r="R451" s="326"/>
      <c r="S451" s="326"/>
      <c r="T451" s="326"/>
      <c r="U451" s="326"/>
      <c r="V451" s="326"/>
      <c r="W451" s="326"/>
      <c r="X451" s="326"/>
      <c r="Y451" s="326"/>
      <c r="Z451" s="327"/>
      <c r="AA451" s="407"/>
      <c r="AB451" s="326"/>
      <c r="AC451" s="326"/>
      <c r="AD451" s="326"/>
      <c r="AE451" s="326"/>
      <c r="AF451" s="326"/>
      <c r="AG451" s="326"/>
      <c r="AH451" s="326"/>
      <c r="AI451" s="326"/>
      <c r="AJ451" s="326"/>
      <c r="AK451" s="326"/>
      <c r="AL451" s="326"/>
      <c r="AM451" s="326"/>
      <c r="AN451" s="326"/>
      <c r="AO451" s="326"/>
      <c r="AP451" s="326"/>
      <c r="AQ451" s="327"/>
    </row>
    <row r="452" spans="1:43" ht="30" customHeight="1" x14ac:dyDescent="0.25">
      <c r="A452" s="87">
        <f t="shared" si="1"/>
        <v>440</v>
      </c>
      <c r="B452" s="381" t="s">
        <v>334</v>
      </c>
      <c r="C452" s="326"/>
      <c r="D452" s="327"/>
      <c r="E452" s="698"/>
      <c r="F452" s="326"/>
      <c r="G452" s="327"/>
      <c r="H452" s="381"/>
      <c r="I452" s="326"/>
      <c r="J452" s="326"/>
      <c r="K452" s="327"/>
      <c r="L452" s="381"/>
      <c r="M452" s="326"/>
      <c r="N452" s="326"/>
      <c r="O452" s="326"/>
      <c r="P452" s="327"/>
      <c r="Q452" s="381"/>
      <c r="R452" s="326"/>
      <c r="S452" s="326"/>
      <c r="T452" s="326"/>
      <c r="U452" s="326"/>
      <c r="V452" s="326"/>
      <c r="W452" s="326"/>
      <c r="X452" s="326"/>
      <c r="Y452" s="326"/>
      <c r="Z452" s="327"/>
      <c r="AA452" s="381"/>
      <c r="AB452" s="326"/>
      <c r="AC452" s="326"/>
      <c r="AD452" s="326"/>
      <c r="AE452" s="326"/>
      <c r="AF452" s="326"/>
      <c r="AG452" s="326"/>
      <c r="AH452" s="326"/>
      <c r="AI452" s="326"/>
      <c r="AJ452" s="326"/>
      <c r="AK452" s="326"/>
      <c r="AL452" s="326"/>
      <c r="AM452" s="326"/>
      <c r="AN452" s="326"/>
      <c r="AO452" s="326"/>
      <c r="AP452" s="326"/>
      <c r="AQ452" s="327"/>
    </row>
    <row r="453" spans="1:43" ht="30" customHeight="1" x14ac:dyDescent="0.25">
      <c r="A453" s="87">
        <f t="shared" si="1"/>
        <v>441</v>
      </c>
      <c r="B453" s="407" t="s">
        <v>334</v>
      </c>
      <c r="C453" s="326"/>
      <c r="D453" s="327"/>
      <c r="E453" s="697"/>
      <c r="F453" s="326"/>
      <c r="G453" s="327"/>
      <c r="H453" s="407"/>
      <c r="I453" s="326"/>
      <c r="J453" s="326"/>
      <c r="K453" s="327"/>
      <c r="L453" s="407"/>
      <c r="M453" s="326"/>
      <c r="N453" s="326"/>
      <c r="O453" s="326"/>
      <c r="P453" s="327"/>
      <c r="Q453" s="407"/>
      <c r="R453" s="326"/>
      <c r="S453" s="326"/>
      <c r="T453" s="326"/>
      <c r="U453" s="326"/>
      <c r="V453" s="326"/>
      <c r="W453" s="326"/>
      <c r="X453" s="326"/>
      <c r="Y453" s="326"/>
      <c r="Z453" s="327"/>
      <c r="AA453" s="407"/>
      <c r="AB453" s="326"/>
      <c r="AC453" s="326"/>
      <c r="AD453" s="326"/>
      <c r="AE453" s="326"/>
      <c r="AF453" s="326"/>
      <c r="AG453" s="326"/>
      <c r="AH453" s="326"/>
      <c r="AI453" s="326"/>
      <c r="AJ453" s="326"/>
      <c r="AK453" s="326"/>
      <c r="AL453" s="326"/>
      <c r="AM453" s="326"/>
      <c r="AN453" s="326"/>
      <c r="AO453" s="326"/>
      <c r="AP453" s="326"/>
      <c r="AQ453" s="327"/>
    </row>
    <row r="454" spans="1:43" ht="30" customHeight="1" x14ac:dyDescent="0.25">
      <c r="A454" s="87">
        <f t="shared" si="1"/>
        <v>442</v>
      </c>
      <c r="B454" s="381" t="s">
        <v>334</v>
      </c>
      <c r="C454" s="326"/>
      <c r="D454" s="327"/>
      <c r="E454" s="698"/>
      <c r="F454" s="326"/>
      <c r="G454" s="327"/>
      <c r="H454" s="381"/>
      <c r="I454" s="326"/>
      <c r="J454" s="326"/>
      <c r="K454" s="327"/>
      <c r="L454" s="381"/>
      <c r="M454" s="326"/>
      <c r="N454" s="326"/>
      <c r="O454" s="326"/>
      <c r="P454" s="327"/>
      <c r="Q454" s="381"/>
      <c r="R454" s="326"/>
      <c r="S454" s="326"/>
      <c r="T454" s="326"/>
      <c r="U454" s="326"/>
      <c r="V454" s="326"/>
      <c r="W454" s="326"/>
      <c r="X454" s="326"/>
      <c r="Y454" s="326"/>
      <c r="Z454" s="327"/>
      <c r="AA454" s="381"/>
      <c r="AB454" s="326"/>
      <c r="AC454" s="326"/>
      <c r="AD454" s="326"/>
      <c r="AE454" s="326"/>
      <c r="AF454" s="326"/>
      <c r="AG454" s="326"/>
      <c r="AH454" s="326"/>
      <c r="AI454" s="326"/>
      <c r="AJ454" s="326"/>
      <c r="AK454" s="326"/>
      <c r="AL454" s="326"/>
      <c r="AM454" s="326"/>
      <c r="AN454" s="326"/>
      <c r="AO454" s="326"/>
      <c r="AP454" s="326"/>
      <c r="AQ454" s="327"/>
    </row>
    <row r="455" spans="1:43" ht="30" customHeight="1" x14ac:dyDescent="0.25">
      <c r="A455" s="87">
        <f t="shared" si="1"/>
        <v>443</v>
      </c>
      <c r="B455" s="407" t="s">
        <v>334</v>
      </c>
      <c r="C455" s="326"/>
      <c r="D455" s="327"/>
      <c r="E455" s="697"/>
      <c r="F455" s="326"/>
      <c r="G455" s="327"/>
      <c r="H455" s="407"/>
      <c r="I455" s="326"/>
      <c r="J455" s="326"/>
      <c r="K455" s="327"/>
      <c r="L455" s="407"/>
      <c r="M455" s="326"/>
      <c r="N455" s="326"/>
      <c r="O455" s="326"/>
      <c r="P455" s="327"/>
      <c r="Q455" s="407"/>
      <c r="R455" s="326"/>
      <c r="S455" s="326"/>
      <c r="T455" s="326"/>
      <c r="U455" s="326"/>
      <c r="V455" s="326"/>
      <c r="W455" s="326"/>
      <c r="X455" s="326"/>
      <c r="Y455" s="326"/>
      <c r="Z455" s="327"/>
      <c r="AA455" s="407"/>
      <c r="AB455" s="326"/>
      <c r="AC455" s="326"/>
      <c r="AD455" s="326"/>
      <c r="AE455" s="326"/>
      <c r="AF455" s="326"/>
      <c r="AG455" s="326"/>
      <c r="AH455" s="326"/>
      <c r="AI455" s="326"/>
      <c r="AJ455" s="326"/>
      <c r="AK455" s="326"/>
      <c r="AL455" s="326"/>
      <c r="AM455" s="326"/>
      <c r="AN455" s="326"/>
      <c r="AO455" s="326"/>
      <c r="AP455" s="326"/>
      <c r="AQ455" s="327"/>
    </row>
    <row r="456" spans="1:43" ht="30" customHeight="1" x14ac:dyDescent="0.25">
      <c r="A456" s="87">
        <f t="shared" si="1"/>
        <v>444</v>
      </c>
      <c r="B456" s="381" t="s">
        <v>334</v>
      </c>
      <c r="C456" s="326"/>
      <c r="D456" s="327"/>
      <c r="E456" s="698"/>
      <c r="F456" s="326"/>
      <c r="G456" s="327"/>
      <c r="H456" s="381"/>
      <c r="I456" s="326"/>
      <c r="J456" s="326"/>
      <c r="K456" s="327"/>
      <c r="L456" s="381"/>
      <c r="M456" s="326"/>
      <c r="N456" s="326"/>
      <c r="O456" s="326"/>
      <c r="P456" s="327"/>
      <c r="Q456" s="381"/>
      <c r="R456" s="326"/>
      <c r="S456" s="326"/>
      <c r="T456" s="326"/>
      <c r="U456" s="326"/>
      <c r="V456" s="326"/>
      <c r="W456" s="326"/>
      <c r="X456" s="326"/>
      <c r="Y456" s="326"/>
      <c r="Z456" s="327"/>
      <c r="AA456" s="381"/>
      <c r="AB456" s="326"/>
      <c r="AC456" s="326"/>
      <c r="AD456" s="326"/>
      <c r="AE456" s="326"/>
      <c r="AF456" s="326"/>
      <c r="AG456" s="326"/>
      <c r="AH456" s="326"/>
      <c r="AI456" s="326"/>
      <c r="AJ456" s="326"/>
      <c r="AK456" s="326"/>
      <c r="AL456" s="326"/>
      <c r="AM456" s="326"/>
      <c r="AN456" s="326"/>
      <c r="AO456" s="326"/>
      <c r="AP456" s="326"/>
      <c r="AQ456" s="327"/>
    </row>
    <row r="457" spans="1:43" ht="30" customHeight="1" x14ac:dyDescent="0.25">
      <c r="A457" s="87">
        <f t="shared" si="1"/>
        <v>445</v>
      </c>
      <c r="B457" s="407" t="s">
        <v>334</v>
      </c>
      <c r="C457" s="326"/>
      <c r="D457" s="327"/>
      <c r="E457" s="697"/>
      <c r="F457" s="326"/>
      <c r="G457" s="327"/>
      <c r="H457" s="407"/>
      <c r="I457" s="326"/>
      <c r="J457" s="326"/>
      <c r="K457" s="327"/>
      <c r="L457" s="407"/>
      <c r="M457" s="326"/>
      <c r="N457" s="326"/>
      <c r="O457" s="326"/>
      <c r="P457" s="327"/>
      <c r="Q457" s="407"/>
      <c r="R457" s="326"/>
      <c r="S457" s="326"/>
      <c r="T457" s="326"/>
      <c r="U457" s="326"/>
      <c r="V457" s="326"/>
      <c r="W457" s="326"/>
      <c r="X457" s="326"/>
      <c r="Y457" s="326"/>
      <c r="Z457" s="327"/>
      <c r="AA457" s="407"/>
      <c r="AB457" s="326"/>
      <c r="AC457" s="326"/>
      <c r="AD457" s="326"/>
      <c r="AE457" s="326"/>
      <c r="AF457" s="326"/>
      <c r="AG457" s="326"/>
      <c r="AH457" s="326"/>
      <c r="AI457" s="326"/>
      <c r="AJ457" s="326"/>
      <c r="AK457" s="326"/>
      <c r="AL457" s="326"/>
      <c r="AM457" s="326"/>
      <c r="AN457" s="326"/>
      <c r="AO457" s="326"/>
      <c r="AP457" s="326"/>
      <c r="AQ457" s="327"/>
    </row>
    <row r="458" spans="1:43" ht="30" customHeight="1" x14ac:dyDescent="0.25">
      <c r="A458" s="87">
        <f t="shared" si="1"/>
        <v>446</v>
      </c>
      <c r="B458" s="381" t="s">
        <v>334</v>
      </c>
      <c r="C458" s="326"/>
      <c r="D458" s="327"/>
      <c r="E458" s="698"/>
      <c r="F458" s="326"/>
      <c r="G458" s="327"/>
      <c r="H458" s="381"/>
      <c r="I458" s="326"/>
      <c r="J458" s="326"/>
      <c r="K458" s="327"/>
      <c r="L458" s="381"/>
      <c r="M458" s="326"/>
      <c r="N458" s="326"/>
      <c r="O458" s="326"/>
      <c r="P458" s="327"/>
      <c r="Q458" s="381"/>
      <c r="R458" s="326"/>
      <c r="S458" s="326"/>
      <c r="T458" s="326"/>
      <c r="U458" s="326"/>
      <c r="V458" s="326"/>
      <c r="W458" s="326"/>
      <c r="X458" s="326"/>
      <c r="Y458" s="326"/>
      <c r="Z458" s="327"/>
      <c r="AA458" s="381"/>
      <c r="AB458" s="326"/>
      <c r="AC458" s="326"/>
      <c r="AD458" s="326"/>
      <c r="AE458" s="326"/>
      <c r="AF458" s="326"/>
      <c r="AG458" s="326"/>
      <c r="AH458" s="326"/>
      <c r="AI458" s="326"/>
      <c r="AJ458" s="326"/>
      <c r="AK458" s="326"/>
      <c r="AL458" s="326"/>
      <c r="AM458" s="326"/>
      <c r="AN458" s="326"/>
      <c r="AO458" s="326"/>
      <c r="AP458" s="326"/>
      <c r="AQ458" s="327"/>
    </row>
    <row r="459" spans="1:43" ht="30" customHeight="1" x14ac:dyDescent="0.25">
      <c r="A459" s="87">
        <f t="shared" si="1"/>
        <v>447</v>
      </c>
      <c r="B459" s="407" t="s">
        <v>334</v>
      </c>
      <c r="C459" s="326"/>
      <c r="D459" s="327"/>
      <c r="E459" s="697"/>
      <c r="F459" s="326"/>
      <c r="G459" s="327"/>
      <c r="H459" s="407"/>
      <c r="I459" s="326"/>
      <c r="J459" s="326"/>
      <c r="K459" s="327"/>
      <c r="L459" s="407"/>
      <c r="M459" s="326"/>
      <c r="N459" s="326"/>
      <c r="O459" s="326"/>
      <c r="P459" s="327"/>
      <c r="Q459" s="407"/>
      <c r="R459" s="326"/>
      <c r="S459" s="326"/>
      <c r="T459" s="326"/>
      <c r="U459" s="326"/>
      <c r="V459" s="326"/>
      <c r="W459" s="326"/>
      <c r="X459" s="326"/>
      <c r="Y459" s="326"/>
      <c r="Z459" s="327"/>
      <c r="AA459" s="407"/>
      <c r="AB459" s="326"/>
      <c r="AC459" s="326"/>
      <c r="AD459" s="326"/>
      <c r="AE459" s="326"/>
      <c r="AF459" s="326"/>
      <c r="AG459" s="326"/>
      <c r="AH459" s="326"/>
      <c r="AI459" s="326"/>
      <c r="AJ459" s="326"/>
      <c r="AK459" s="326"/>
      <c r="AL459" s="326"/>
      <c r="AM459" s="326"/>
      <c r="AN459" s="326"/>
      <c r="AO459" s="326"/>
      <c r="AP459" s="326"/>
      <c r="AQ459" s="327"/>
    </row>
    <row r="460" spans="1:43" ht="30" customHeight="1" x14ac:dyDescent="0.25">
      <c r="A460" s="87">
        <f t="shared" si="1"/>
        <v>448</v>
      </c>
      <c r="B460" s="381" t="s">
        <v>334</v>
      </c>
      <c r="C460" s="326"/>
      <c r="D460" s="327"/>
      <c r="E460" s="698"/>
      <c r="F460" s="326"/>
      <c r="G460" s="327"/>
      <c r="H460" s="381"/>
      <c r="I460" s="326"/>
      <c r="J460" s="326"/>
      <c r="K460" s="327"/>
      <c r="L460" s="381"/>
      <c r="M460" s="326"/>
      <c r="N460" s="326"/>
      <c r="O460" s="326"/>
      <c r="P460" s="327"/>
      <c r="Q460" s="381"/>
      <c r="R460" s="326"/>
      <c r="S460" s="326"/>
      <c r="T460" s="326"/>
      <c r="U460" s="326"/>
      <c r="V460" s="326"/>
      <c r="W460" s="326"/>
      <c r="X460" s="326"/>
      <c r="Y460" s="326"/>
      <c r="Z460" s="327"/>
      <c r="AA460" s="381"/>
      <c r="AB460" s="326"/>
      <c r="AC460" s="326"/>
      <c r="AD460" s="326"/>
      <c r="AE460" s="326"/>
      <c r="AF460" s="326"/>
      <c r="AG460" s="326"/>
      <c r="AH460" s="326"/>
      <c r="AI460" s="326"/>
      <c r="AJ460" s="326"/>
      <c r="AK460" s="326"/>
      <c r="AL460" s="326"/>
      <c r="AM460" s="326"/>
      <c r="AN460" s="326"/>
      <c r="AO460" s="326"/>
      <c r="AP460" s="326"/>
      <c r="AQ460" s="327"/>
    </row>
    <row r="461" spans="1:43" ht="30" customHeight="1" x14ac:dyDescent="0.25">
      <c r="A461" s="87">
        <f t="shared" si="1"/>
        <v>449</v>
      </c>
      <c r="B461" s="407" t="s">
        <v>334</v>
      </c>
      <c r="C461" s="326"/>
      <c r="D461" s="327"/>
      <c r="E461" s="697"/>
      <c r="F461" s="326"/>
      <c r="G461" s="327"/>
      <c r="H461" s="407"/>
      <c r="I461" s="326"/>
      <c r="J461" s="326"/>
      <c r="K461" s="327"/>
      <c r="L461" s="407"/>
      <c r="M461" s="326"/>
      <c r="N461" s="326"/>
      <c r="O461" s="326"/>
      <c r="P461" s="327"/>
      <c r="Q461" s="407"/>
      <c r="R461" s="326"/>
      <c r="S461" s="326"/>
      <c r="T461" s="326"/>
      <c r="U461" s="326"/>
      <c r="V461" s="326"/>
      <c r="W461" s="326"/>
      <c r="X461" s="326"/>
      <c r="Y461" s="326"/>
      <c r="Z461" s="327"/>
      <c r="AA461" s="407"/>
      <c r="AB461" s="326"/>
      <c r="AC461" s="326"/>
      <c r="AD461" s="326"/>
      <c r="AE461" s="326"/>
      <c r="AF461" s="326"/>
      <c r="AG461" s="326"/>
      <c r="AH461" s="326"/>
      <c r="AI461" s="326"/>
      <c r="AJ461" s="326"/>
      <c r="AK461" s="326"/>
      <c r="AL461" s="326"/>
      <c r="AM461" s="326"/>
      <c r="AN461" s="326"/>
      <c r="AO461" s="326"/>
      <c r="AP461" s="326"/>
      <c r="AQ461" s="327"/>
    </row>
    <row r="462" spans="1:43" ht="30" customHeight="1" x14ac:dyDescent="0.25">
      <c r="A462" s="87">
        <f t="shared" si="1"/>
        <v>450</v>
      </c>
      <c r="B462" s="381" t="s">
        <v>334</v>
      </c>
      <c r="C462" s="326"/>
      <c r="D462" s="327"/>
      <c r="E462" s="698"/>
      <c r="F462" s="326"/>
      <c r="G462" s="327"/>
      <c r="H462" s="381"/>
      <c r="I462" s="326"/>
      <c r="J462" s="326"/>
      <c r="K462" s="327"/>
      <c r="L462" s="381"/>
      <c r="M462" s="326"/>
      <c r="N462" s="326"/>
      <c r="O462" s="326"/>
      <c r="P462" s="327"/>
      <c r="Q462" s="381"/>
      <c r="R462" s="326"/>
      <c r="S462" s="326"/>
      <c r="T462" s="326"/>
      <c r="U462" s="326"/>
      <c r="V462" s="326"/>
      <c r="W462" s="326"/>
      <c r="X462" s="326"/>
      <c r="Y462" s="326"/>
      <c r="Z462" s="327"/>
      <c r="AA462" s="381"/>
      <c r="AB462" s="326"/>
      <c r="AC462" s="326"/>
      <c r="AD462" s="326"/>
      <c r="AE462" s="326"/>
      <c r="AF462" s="326"/>
      <c r="AG462" s="326"/>
      <c r="AH462" s="326"/>
      <c r="AI462" s="326"/>
      <c r="AJ462" s="326"/>
      <c r="AK462" s="326"/>
      <c r="AL462" s="326"/>
      <c r="AM462" s="326"/>
      <c r="AN462" s="326"/>
      <c r="AO462" s="326"/>
      <c r="AP462" s="326"/>
      <c r="AQ462" s="327"/>
    </row>
    <row r="463" spans="1:43" ht="30" customHeight="1" x14ac:dyDescent="0.25">
      <c r="A463" s="87">
        <f t="shared" si="1"/>
        <v>451</v>
      </c>
      <c r="B463" s="407" t="s">
        <v>334</v>
      </c>
      <c r="C463" s="326"/>
      <c r="D463" s="327"/>
      <c r="E463" s="697"/>
      <c r="F463" s="326"/>
      <c r="G463" s="327"/>
      <c r="H463" s="407"/>
      <c r="I463" s="326"/>
      <c r="J463" s="326"/>
      <c r="K463" s="327"/>
      <c r="L463" s="407"/>
      <c r="M463" s="326"/>
      <c r="N463" s="326"/>
      <c r="O463" s="326"/>
      <c r="P463" s="327"/>
      <c r="Q463" s="407"/>
      <c r="R463" s="326"/>
      <c r="S463" s="326"/>
      <c r="T463" s="326"/>
      <c r="U463" s="326"/>
      <c r="V463" s="326"/>
      <c r="W463" s="326"/>
      <c r="X463" s="326"/>
      <c r="Y463" s="326"/>
      <c r="Z463" s="327"/>
      <c r="AA463" s="407"/>
      <c r="AB463" s="326"/>
      <c r="AC463" s="326"/>
      <c r="AD463" s="326"/>
      <c r="AE463" s="326"/>
      <c r="AF463" s="326"/>
      <c r="AG463" s="326"/>
      <c r="AH463" s="326"/>
      <c r="AI463" s="326"/>
      <c r="AJ463" s="326"/>
      <c r="AK463" s="326"/>
      <c r="AL463" s="326"/>
      <c r="AM463" s="326"/>
      <c r="AN463" s="326"/>
      <c r="AO463" s="326"/>
      <c r="AP463" s="326"/>
      <c r="AQ463" s="327"/>
    </row>
    <row r="464" spans="1:43" ht="30" customHeight="1" x14ac:dyDescent="0.25">
      <c r="A464" s="87">
        <f t="shared" si="1"/>
        <v>452</v>
      </c>
      <c r="B464" s="381" t="s">
        <v>334</v>
      </c>
      <c r="C464" s="326"/>
      <c r="D464" s="327"/>
      <c r="E464" s="698"/>
      <c r="F464" s="326"/>
      <c r="G464" s="327"/>
      <c r="H464" s="381"/>
      <c r="I464" s="326"/>
      <c r="J464" s="326"/>
      <c r="K464" s="327"/>
      <c r="L464" s="381"/>
      <c r="M464" s="326"/>
      <c r="N464" s="326"/>
      <c r="O464" s="326"/>
      <c r="P464" s="327"/>
      <c r="Q464" s="381"/>
      <c r="R464" s="326"/>
      <c r="S464" s="326"/>
      <c r="T464" s="326"/>
      <c r="U464" s="326"/>
      <c r="V464" s="326"/>
      <c r="W464" s="326"/>
      <c r="X464" s="326"/>
      <c r="Y464" s="326"/>
      <c r="Z464" s="327"/>
      <c r="AA464" s="381"/>
      <c r="AB464" s="326"/>
      <c r="AC464" s="326"/>
      <c r="AD464" s="326"/>
      <c r="AE464" s="326"/>
      <c r="AF464" s="326"/>
      <c r="AG464" s="326"/>
      <c r="AH464" s="326"/>
      <c r="AI464" s="326"/>
      <c r="AJ464" s="326"/>
      <c r="AK464" s="326"/>
      <c r="AL464" s="326"/>
      <c r="AM464" s="326"/>
      <c r="AN464" s="326"/>
      <c r="AO464" s="326"/>
      <c r="AP464" s="326"/>
      <c r="AQ464" s="327"/>
    </row>
    <row r="465" spans="1:43" ht="30" customHeight="1" x14ac:dyDescent="0.25">
      <c r="A465" s="87">
        <f t="shared" si="1"/>
        <v>453</v>
      </c>
      <c r="B465" s="407" t="s">
        <v>334</v>
      </c>
      <c r="C465" s="326"/>
      <c r="D465" s="327"/>
      <c r="E465" s="697"/>
      <c r="F465" s="326"/>
      <c r="G465" s="327"/>
      <c r="H465" s="407"/>
      <c r="I465" s="326"/>
      <c r="J465" s="326"/>
      <c r="K465" s="327"/>
      <c r="L465" s="407"/>
      <c r="M465" s="326"/>
      <c r="N465" s="326"/>
      <c r="O465" s="326"/>
      <c r="P465" s="327"/>
      <c r="Q465" s="407"/>
      <c r="R465" s="326"/>
      <c r="S465" s="326"/>
      <c r="T465" s="326"/>
      <c r="U465" s="326"/>
      <c r="V465" s="326"/>
      <c r="W465" s="326"/>
      <c r="X465" s="326"/>
      <c r="Y465" s="326"/>
      <c r="Z465" s="327"/>
      <c r="AA465" s="407"/>
      <c r="AB465" s="326"/>
      <c r="AC465" s="326"/>
      <c r="AD465" s="326"/>
      <c r="AE465" s="326"/>
      <c r="AF465" s="326"/>
      <c r="AG465" s="326"/>
      <c r="AH465" s="326"/>
      <c r="AI465" s="326"/>
      <c r="AJ465" s="326"/>
      <c r="AK465" s="326"/>
      <c r="AL465" s="326"/>
      <c r="AM465" s="326"/>
      <c r="AN465" s="326"/>
      <c r="AO465" s="326"/>
      <c r="AP465" s="326"/>
      <c r="AQ465" s="327"/>
    </row>
    <row r="466" spans="1:43" ht="30" customHeight="1" x14ac:dyDescent="0.25">
      <c r="A466" s="87">
        <f t="shared" si="1"/>
        <v>454</v>
      </c>
      <c r="B466" s="381" t="s">
        <v>334</v>
      </c>
      <c r="C466" s="326"/>
      <c r="D466" s="327"/>
      <c r="E466" s="698"/>
      <c r="F466" s="326"/>
      <c r="G466" s="327"/>
      <c r="H466" s="381"/>
      <c r="I466" s="326"/>
      <c r="J466" s="326"/>
      <c r="K466" s="327"/>
      <c r="L466" s="381"/>
      <c r="M466" s="326"/>
      <c r="N466" s="326"/>
      <c r="O466" s="326"/>
      <c r="P466" s="327"/>
      <c r="Q466" s="381"/>
      <c r="R466" s="326"/>
      <c r="S466" s="326"/>
      <c r="T466" s="326"/>
      <c r="U466" s="326"/>
      <c r="V466" s="326"/>
      <c r="W466" s="326"/>
      <c r="X466" s="326"/>
      <c r="Y466" s="326"/>
      <c r="Z466" s="327"/>
      <c r="AA466" s="381"/>
      <c r="AB466" s="326"/>
      <c r="AC466" s="326"/>
      <c r="AD466" s="326"/>
      <c r="AE466" s="326"/>
      <c r="AF466" s="326"/>
      <c r="AG466" s="326"/>
      <c r="AH466" s="326"/>
      <c r="AI466" s="326"/>
      <c r="AJ466" s="326"/>
      <c r="AK466" s="326"/>
      <c r="AL466" s="326"/>
      <c r="AM466" s="326"/>
      <c r="AN466" s="326"/>
      <c r="AO466" s="326"/>
      <c r="AP466" s="326"/>
      <c r="AQ466" s="327"/>
    </row>
    <row r="467" spans="1:43" ht="30" customHeight="1" x14ac:dyDescent="0.25">
      <c r="A467" s="87">
        <f t="shared" si="1"/>
        <v>455</v>
      </c>
      <c r="B467" s="407" t="s">
        <v>334</v>
      </c>
      <c r="C467" s="326"/>
      <c r="D467" s="327"/>
      <c r="E467" s="697"/>
      <c r="F467" s="326"/>
      <c r="G467" s="327"/>
      <c r="H467" s="407"/>
      <c r="I467" s="326"/>
      <c r="J467" s="326"/>
      <c r="K467" s="327"/>
      <c r="L467" s="407"/>
      <c r="M467" s="326"/>
      <c r="N467" s="326"/>
      <c r="O467" s="326"/>
      <c r="P467" s="327"/>
      <c r="Q467" s="407"/>
      <c r="R467" s="326"/>
      <c r="S467" s="326"/>
      <c r="T467" s="326"/>
      <c r="U467" s="326"/>
      <c r="V467" s="326"/>
      <c r="W467" s="326"/>
      <c r="X467" s="326"/>
      <c r="Y467" s="326"/>
      <c r="Z467" s="327"/>
      <c r="AA467" s="407"/>
      <c r="AB467" s="326"/>
      <c r="AC467" s="326"/>
      <c r="AD467" s="326"/>
      <c r="AE467" s="326"/>
      <c r="AF467" s="326"/>
      <c r="AG467" s="326"/>
      <c r="AH467" s="326"/>
      <c r="AI467" s="326"/>
      <c r="AJ467" s="326"/>
      <c r="AK467" s="326"/>
      <c r="AL467" s="326"/>
      <c r="AM467" s="326"/>
      <c r="AN467" s="326"/>
      <c r="AO467" s="326"/>
      <c r="AP467" s="326"/>
      <c r="AQ467" s="327"/>
    </row>
    <row r="468" spans="1:43" ht="30" customHeight="1" x14ac:dyDescent="0.25">
      <c r="A468" s="87">
        <f t="shared" si="1"/>
        <v>456</v>
      </c>
      <c r="B468" s="381" t="s">
        <v>334</v>
      </c>
      <c r="C468" s="326"/>
      <c r="D468" s="327"/>
      <c r="E468" s="698"/>
      <c r="F468" s="326"/>
      <c r="G468" s="327"/>
      <c r="H468" s="381"/>
      <c r="I468" s="326"/>
      <c r="J468" s="326"/>
      <c r="K468" s="327"/>
      <c r="L468" s="381"/>
      <c r="M468" s="326"/>
      <c r="N468" s="326"/>
      <c r="O468" s="326"/>
      <c r="P468" s="327"/>
      <c r="Q468" s="381"/>
      <c r="R468" s="326"/>
      <c r="S468" s="326"/>
      <c r="T468" s="326"/>
      <c r="U468" s="326"/>
      <c r="V468" s="326"/>
      <c r="W468" s="326"/>
      <c r="X468" s="326"/>
      <c r="Y468" s="326"/>
      <c r="Z468" s="327"/>
      <c r="AA468" s="381"/>
      <c r="AB468" s="326"/>
      <c r="AC468" s="326"/>
      <c r="AD468" s="326"/>
      <c r="AE468" s="326"/>
      <c r="AF468" s="326"/>
      <c r="AG468" s="326"/>
      <c r="AH468" s="326"/>
      <c r="AI468" s="326"/>
      <c r="AJ468" s="326"/>
      <c r="AK468" s="326"/>
      <c r="AL468" s="326"/>
      <c r="AM468" s="326"/>
      <c r="AN468" s="326"/>
      <c r="AO468" s="326"/>
      <c r="AP468" s="326"/>
      <c r="AQ468" s="327"/>
    </row>
    <row r="469" spans="1:43" ht="30" customHeight="1" x14ac:dyDescent="0.25">
      <c r="A469" s="87">
        <f t="shared" si="1"/>
        <v>457</v>
      </c>
      <c r="B469" s="407" t="s">
        <v>334</v>
      </c>
      <c r="C469" s="326"/>
      <c r="D469" s="327"/>
      <c r="E469" s="697"/>
      <c r="F469" s="326"/>
      <c r="G469" s="327"/>
      <c r="H469" s="407"/>
      <c r="I469" s="326"/>
      <c r="J469" s="326"/>
      <c r="K469" s="327"/>
      <c r="L469" s="407"/>
      <c r="M469" s="326"/>
      <c r="N469" s="326"/>
      <c r="O469" s="326"/>
      <c r="P469" s="327"/>
      <c r="Q469" s="407"/>
      <c r="R469" s="326"/>
      <c r="S469" s="326"/>
      <c r="T469" s="326"/>
      <c r="U469" s="326"/>
      <c r="V469" s="326"/>
      <c r="W469" s="326"/>
      <c r="X469" s="326"/>
      <c r="Y469" s="326"/>
      <c r="Z469" s="327"/>
      <c r="AA469" s="407"/>
      <c r="AB469" s="326"/>
      <c r="AC469" s="326"/>
      <c r="AD469" s="326"/>
      <c r="AE469" s="326"/>
      <c r="AF469" s="326"/>
      <c r="AG469" s="326"/>
      <c r="AH469" s="326"/>
      <c r="AI469" s="326"/>
      <c r="AJ469" s="326"/>
      <c r="AK469" s="326"/>
      <c r="AL469" s="326"/>
      <c r="AM469" s="326"/>
      <c r="AN469" s="326"/>
      <c r="AO469" s="326"/>
      <c r="AP469" s="326"/>
      <c r="AQ469" s="327"/>
    </row>
    <row r="470" spans="1:43" ht="30" customHeight="1" x14ac:dyDescent="0.25">
      <c r="A470" s="87">
        <f t="shared" si="1"/>
        <v>458</v>
      </c>
      <c r="B470" s="381" t="s">
        <v>334</v>
      </c>
      <c r="C470" s="326"/>
      <c r="D470" s="327"/>
      <c r="E470" s="698"/>
      <c r="F470" s="326"/>
      <c r="G470" s="327"/>
      <c r="H470" s="381"/>
      <c r="I470" s="326"/>
      <c r="J470" s="326"/>
      <c r="K470" s="327"/>
      <c r="L470" s="381"/>
      <c r="M470" s="326"/>
      <c r="N470" s="326"/>
      <c r="O470" s="326"/>
      <c r="P470" s="327"/>
      <c r="Q470" s="381"/>
      <c r="R470" s="326"/>
      <c r="S470" s="326"/>
      <c r="T470" s="326"/>
      <c r="U470" s="326"/>
      <c r="V470" s="326"/>
      <c r="W470" s="326"/>
      <c r="X470" s="326"/>
      <c r="Y470" s="326"/>
      <c r="Z470" s="327"/>
      <c r="AA470" s="381"/>
      <c r="AB470" s="326"/>
      <c r="AC470" s="326"/>
      <c r="AD470" s="326"/>
      <c r="AE470" s="326"/>
      <c r="AF470" s="326"/>
      <c r="AG470" s="326"/>
      <c r="AH470" s="326"/>
      <c r="AI470" s="326"/>
      <c r="AJ470" s="326"/>
      <c r="AK470" s="326"/>
      <c r="AL470" s="326"/>
      <c r="AM470" s="326"/>
      <c r="AN470" s="326"/>
      <c r="AO470" s="326"/>
      <c r="AP470" s="326"/>
      <c r="AQ470" s="327"/>
    </row>
    <row r="471" spans="1:43" ht="30" customHeight="1" x14ac:dyDescent="0.25">
      <c r="A471" s="87">
        <f t="shared" si="1"/>
        <v>459</v>
      </c>
      <c r="B471" s="407" t="s">
        <v>334</v>
      </c>
      <c r="C471" s="326"/>
      <c r="D471" s="327"/>
      <c r="E471" s="697"/>
      <c r="F471" s="326"/>
      <c r="G471" s="327"/>
      <c r="H471" s="407"/>
      <c r="I471" s="326"/>
      <c r="J471" s="326"/>
      <c r="K471" s="327"/>
      <c r="L471" s="407"/>
      <c r="M471" s="326"/>
      <c r="N471" s="326"/>
      <c r="O471" s="326"/>
      <c r="P471" s="327"/>
      <c r="Q471" s="407"/>
      <c r="R471" s="326"/>
      <c r="S471" s="326"/>
      <c r="T471" s="326"/>
      <c r="U471" s="326"/>
      <c r="V471" s="326"/>
      <c r="W471" s="326"/>
      <c r="X471" s="326"/>
      <c r="Y471" s="326"/>
      <c r="Z471" s="327"/>
      <c r="AA471" s="407"/>
      <c r="AB471" s="326"/>
      <c r="AC471" s="326"/>
      <c r="AD471" s="326"/>
      <c r="AE471" s="326"/>
      <c r="AF471" s="326"/>
      <c r="AG471" s="326"/>
      <c r="AH471" s="326"/>
      <c r="AI471" s="326"/>
      <c r="AJ471" s="326"/>
      <c r="AK471" s="326"/>
      <c r="AL471" s="326"/>
      <c r="AM471" s="326"/>
      <c r="AN471" s="326"/>
      <c r="AO471" s="326"/>
      <c r="AP471" s="326"/>
      <c r="AQ471" s="327"/>
    </row>
    <row r="472" spans="1:43" ht="30" customHeight="1" x14ac:dyDescent="0.25">
      <c r="A472" s="87">
        <f t="shared" si="1"/>
        <v>460</v>
      </c>
      <c r="B472" s="381" t="s">
        <v>334</v>
      </c>
      <c r="C472" s="326"/>
      <c r="D472" s="327"/>
      <c r="E472" s="698"/>
      <c r="F472" s="326"/>
      <c r="G472" s="327"/>
      <c r="H472" s="381"/>
      <c r="I472" s="326"/>
      <c r="J472" s="326"/>
      <c r="K472" s="327"/>
      <c r="L472" s="381"/>
      <c r="M472" s="326"/>
      <c r="N472" s="326"/>
      <c r="O472" s="326"/>
      <c r="P472" s="327"/>
      <c r="Q472" s="381"/>
      <c r="R472" s="326"/>
      <c r="S472" s="326"/>
      <c r="T472" s="326"/>
      <c r="U472" s="326"/>
      <c r="V472" s="326"/>
      <c r="W472" s="326"/>
      <c r="X472" s="326"/>
      <c r="Y472" s="326"/>
      <c r="Z472" s="327"/>
      <c r="AA472" s="381"/>
      <c r="AB472" s="326"/>
      <c r="AC472" s="326"/>
      <c r="AD472" s="326"/>
      <c r="AE472" s="326"/>
      <c r="AF472" s="326"/>
      <c r="AG472" s="326"/>
      <c r="AH472" s="326"/>
      <c r="AI472" s="326"/>
      <c r="AJ472" s="326"/>
      <c r="AK472" s="326"/>
      <c r="AL472" s="326"/>
      <c r="AM472" s="326"/>
      <c r="AN472" s="326"/>
      <c r="AO472" s="326"/>
      <c r="AP472" s="326"/>
      <c r="AQ472" s="327"/>
    </row>
    <row r="473" spans="1:43" ht="30" customHeight="1" x14ac:dyDescent="0.25">
      <c r="A473" s="87">
        <f t="shared" si="1"/>
        <v>461</v>
      </c>
      <c r="B473" s="407" t="s">
        <v>334</v>
      </c>
      <c r="C473" s="326"/>
      <c r="D473" s="327"/>
      <c r="E473" s="697"/>
      <c r="F473" s="326"/>
      <c r="G473" s="327"/>
      <c r="H473" s="407"/>
      <c r="I473" s="326"/>
      <c r="J473" s="326"/>
      <c r="K473" s="327"/>
      <c r="L473" s="407"/>
      <c r="M473" s="326"/>
      <c r="N473" s="326"/>
      <c r="O473" s="326"/>
      <c r="P473" s="327"/>
      <c r="Q473" s="407"/>
      <c r="R473" s="326"/>
      <c r="S473" s="326"/>
      <c r="T473" s="326"/>
      <c r="U473" s="326"/>
      <c r="V473" s="326"/>
      <c r="W473" s="326"/>
      <c r="X473" s="326"/>
      <c r="Y473" s="326"/>
      <c r="Z473" s="327"/>
      <c r="AA473" s="407"/>
      <c r="AB473" s="326"/>
      <c r="AC473" s="326"/>
      <c r="AD473" s="326"/>
      <c r="AE473" s="326"/>
      <c r="AF473" s="326"/>
      <c r="AG473" s="326"/>
      <c r="AH473" s="326"/>
      <c r="AI473" s="326"/>
      <c r="AJ473" s="326"/>
      <c r="AK473" s="326"/>
      <c r="AL473" s="326"/>
      <c r="AM473" s="326"/>
      <c r="AN473" s="326"/>
      <c r="AO473" s="326"/>
      <c r="AP473" s="326"/>
      <c r="AQ473" s="327"/>
    </row>
    <row r="474" spans="1:43" ht="30" customHeight="1" x14ac:dyDescent="0.25">
      <c r="A474" s="87">
        <f t="shared" si="1"/>
        <v>462</v>
      </c>
      <c r="B474" s="381" t="s">
        <v>334</v>
      </c>
      <c r="C474" s="326"/>
      <c r="D474" s="327"/>
      <c r="E474" s="698"/>
      <c r="F474" s="326"/>
      <c r="G474" s="327"/>
      <c r="H474" s="381"/>
      <c r="I474" s="326"/>
      <c r="J474" s="326"/>
      <c r="K474" s="327"/>
      <c r="L474" s="381"/>
      <c r="M474" s="326"/>
      <c r="N474" s="326"/>
      <c r="O474" s="326"/>
      <c r="P474" s="327"/>
      <c r="Q474" s="381"/>
      <c r="R474" s="326"/>
      <c r="S474" s="326"/>
      <c r="T474" s="326"/>
      <c r="U474" s="326"/>
      <c r="V474" s="326"/>
      <c r="W474" s="326"/>
      <c r="X474" s="326"/>
      <c r="Y474" s="326"/>
      <c r="Z474" s="327"/>
      <c r="AA474" s="381"/>
      <c r="AB474" s="326"/>
      <c r="AC474" s="326"/>
      <c r="AD474" s="326"/>
      <c r="AE474" s="326"/>
      <c r="AF474" s="326"/>
      <c r="AG474" s="326"/>
      <c r="AH474" s="326"/>
      <c r="AI474" s="326"/>
      <c r="AJ474" s="326"/>
      <c r="AK474" s="326"/>
      <c r="AL474" s="326"/>
      <c r="AM474" s="326"/>
      <c r="AN474" s="326"/>
      <c r="AO474" s="326"/>
      <c r="AP474" s="326"/>
      <c r="AQ474" s="327"/>
    </row>
    <row r="475" spans="1:43" ht="30" customHeight="1" x14ac:dyDescent="0.25">
      <c r="A475" s="87">
        <f t="shared" si="1"/>
        <v>463</v>
      </c>
      <c r="B475" s="407" t="s">
        <v>334</v>
      </c>
      <c r="C475" s="326"/>
      <c r="D475" s="327"/>
      <c r="E475" s="697"/>
      <c r="F475" s="326"/>
      <c r="G475" s="327"/>
      <c r="H475" s="407"/>
      <c r="I475" s="326"/>
      <c r="J475" s="326"/>
      <c r="K475" s="327"/>
      <c r="L475" s="407"/>
      <c r="M475" s="326"/>
      <c r="N475" s="326"/>
      <c r="O475" s="326"/>
      <c r="P475" s="327"/>
      <c r="Q475" s="407"/>
      <c r="R475" s="326"/>
      <c r="S475" s="326"/>
      <c r="T475" s="326"/>
      <c r="U475" s="326"/>
      <c r="V475" s="326"/>
      <c r="W475" s="326"/>
      <c r="X475" s="326"/>
      <c r="Y475" s="326"/>
      <c r="Z475" s="327"/>
      <c r="AA475" s="407"/>
      <c r="AB475" s="326"/>
      <c r="AC475" s="326"/>
      <c r="AD475" s="326"/>
      <c r="AE475" s="326"/>
      <c r="AF475" s="326"/>
      <c r="AG475" s="326"/>
      <c r="AH475" s="326"/>
      <c r="AI475" s="326"/>
      <c r="AJ475" s="326"/>
      <c r="AK475" s="326"/>
      <c r="AL475" s="326"/>
      <c r="AM475" s="326"/>
      <c r="AN475" s="326"/>
      <c r="AO475" s="326"/>
      <c r="AP475" s="326"/>
      <c r="AQ475" s="327"/>
    </row>
    <row r="476" spans="1:43" ht="30" customHeight="1" x14ac:dyDescent="0.25">
      <c r="A476" s="87">
        <f t="shared" si="1"/>
        <v>464</v>
      </c>
      <c r="B476" s="381" t="s">
        <v>334</v>
      </c>
      <c r="C476" s="326"/>
      <c r="D476" s="327"/>
      <c r="E476" s="698"/>
      <c r="F476" s="326"/>
      <c r="G476" s="327"/>
      <c r="H476" s="381"/>
      <c r="I476" s="326"/>
      <c r="J476" s="326"/>
      <c r="K476" s="327"/>
      <c r="L476" s="381"/>
      <c r="M476" s="326"/>
      <c r="N476" s="326"/>
      <c r="O476" s="326"/>
      <c r="P476" s="327"/>
      <c r="Q476" s="381"/>
      <c r="R476" s="326"/>
      <c r="S476" s="326"/>
      <c r="T476" s="326"/>
      <c r="U476" s="326"/>
      <c r="V476" s="326"/>
      <c r="W476" s="326"/>
      <c r="X476" s="326"/>
      <c r="Y476" s="326"/>
      <c r="Z476" s="327"/>
      <c r="AA476" s="381"/>
      <c r="AB476" s="326"/>
      <c r="AC476" s="326"/>
      <c r="AD476" s="326"/>
      <c r="AE476" s="326"/>
      <c r="AF476" s="326"/>
      <c r="AG476" s="326"/>
      <c r="AH476" s="326"/>
      <c r="AI476" s="326"/>
      <c r="AJ476" s="326"/>
      <c r="AK476" s="326"/>
      <c r="AL476" s="326"/>
      <c r="AM476" s="326"/>
      <c r="AN476" s="326"/>
      <c r="AO476" s="326"/>
      <c r="AP476" s="326"/>
      <c r="AQ476" s="327"/>
    </row>
    <row r="477" spans="1:43" ht="30" customHeight="1" x14ac:dyDescent="0.25">
      <c r="A477" s="87">
        <f t="shared" si="1"/>
        <v>465</v>
      </c>
      <c r="B477" s="407" t="s">
        <v>334</v>
      </c>
      <c r="C477" s="326"/>
      <c r="D477" s="327"/>
      <c r="E477" s="697"/>
      <c r="F477" s="326"/>
      <c r="G477" s="327"/>
      <c r="H477" s="407"/>
      <c r="I477" s="326"/>
      <c r="J477" s="326"/>
      <c r="K477" s="327"/>
      <c r="L477" s="407"/>
      <c r="M477" s="326"/>
      <c r="N477" s="326"/>
      <c r="O477" s="326"/>
      <c r="P477" s="327"/>
      <c r="Q477" s="407"/>
      <c r="R477" s="326"/>
      <c r="S477" s="326"/>
      <c r="T477" s="326"/>
      <c r="U477" s="326"/>
      <c r="V477" s="326"/>
      <c r="W477" s="326"/>
      <c r="X477" s="326"/>
      <c r="Y477" s="326"/>
      <c r="Z477" s="327"/>
      <c r="AA477" s="407"/>
      <c r="AB477" s="326"/>
      <c r="AC477" s="326"/>
      <c r="AD477" s="326"/>
      <c r="AE477" s="326"/>
      <c r="AF477" s="326"/>
      <c r="AG477" s="326"/>
      <c r="AH477" s="326"/>
      <c r="AI477" s="326"/>
      <c r="AJ477" s="326"/>
      <c r="AK477" s="326"/>
      <c r="AL477" s="326"/>
      <c r="AM477" s="326"/>
      <c r="AN477" s="326"/>
      <c r="AO477" s="326"/>
      <c r="AP477" s="326"/>
      <c r="AQ477" s="327"/>
    </row>
    <row r="478" spans="1:43" ht="30" customHeight="1" x14ac:dyDescent="0.25">
      <c r="A478" s="87">
        <f t="shared" si="1"/>
        <v>466</v>
      </c>
      <c r="B478" s="381" t="s">
        <v>334</v>
      </c>
      <c r="C478" s="326"/>
      <c r="D478" s="327"/>
      <c r="E478" s="698"/>
      <c r="F478" s="326"/>
      <c r="G478" s="327"/>
      <c r="H478" s="381"/>
      <c r="I478" s="326"/>
      <c r="J478" s="326"/>
      <c r="K478" s="327"/>
      <c r="L478" s="381"/>
      <c r="M478" s="326"/>
      <c r="N478" s="326"/>
      <c r="O478" s="326"/>
      <c r="P478" s="327"/>
      <c r="Q478" s="381"/>
      <c r="R478" s="326"/>
      <c r="S478" s="326"/>
      <c r="T478" s="326"/>
      <c r="U478" s="326"/>
      <c r="V478" s="326"/>
      <c r="W478" s="326"/>
      <c r="X478" s="326"/>
      <c r="Y478" s="326"/>
      <c r="Z478" s="327"/>
      <c r="AA478" s="381"/>
      <c r="AB478" s="326"/>
      <c r="AC478" s="326"/>
      <c r="AD478" s="326"/>
      <c r="AE478" s="326"/>
      <c r="AF478" s="326"/>
      <c r="AG478" s="326"/>
      <c r="AH478" s="326"/>
      <c r="AI478" s="326"/>
      <c r="AJ478" s="326"/>
      <c r="AK478" s="326"/>
      <c r="AL478" s="326"/>
      <c r="AM478" s="326"/>
      <c r="AN478" s="326"/>
      <c r="AO478" s="326"/>
      <c r="AP478" s="326"/>
      <c r="AQ478" s="327"/>
    </row>
    <row r="479" spans="1:43" ht="30" customHeight="1" x14ac:dyDescent="0.25">
      <c r="A479" s="87">
        <f t="shared" si="1"/>
        <v>467</v>
      </c>
      <c r="B479" s="407" t="s">
        <v>334</v>
      </c>
      <c r="C479" s="326"/>
      <c r="D479" s="327"/>
      <c r="E479" s="697"/>
      <c r="F479" s="326"/>
      <c r="G479" s="327"/>
      <c r="H479" s="407"/>
      <c r="I479" s="326"/>
      <c r="J479" s="326"/>
      <c r="K479" s="327"/>
      <c r="L479" s="407"/>
      <c r="M479" s="326"/>
      <c r="N479" s="326"/>
      <c r="O479" s="326"/>
      <c r="P479" s="327"/>
      <c r="Q479" s="407"/>
      <c r="R479" s="326"/>
      <c r="S479" s="326"/>
      <c r="T479" s="326"/>
      <c r="U479" s="326"/>
      <c r="V479" s="326"/>
      <c r="W479" s="326"/>
      <c r="X479" s="326"/>
      <c r="Y479" s="326"/>
      <c r="Z479" s="327"/>
      <c r="AA479" s="407"/>
      <c r="AB479" s="326"/>
      <c r="AC479" s="326"/>
      <c r="AD479" s="326"/>
      <c r="AE479" s="326"/>
      <c r="AF479" s="326"/>
      <c r="AG479" s="326"/>
      <c r="AH479" s="326"/>
      <c r="AI479" s="326"/>
      <c r="AJ479" s="326"/>
      <c r="AK479" s="326"/>
      <c r="AL479" s="326"/>
      <c r="AM479" s="326"/>
      <c r="AN479" s="326"/>
      <c r="AO479" s="326"/>
      <c r="AP479" s="326"/>
      <c r="AQ479" s="327"/>
    </row>
    <row r="480" spans="1:43" ht="30" customHeight="1" x14ac:dyDescent="0.25">
      <c r="A480" s="87">
        <f t="shared" si="1"/>
        <v>468</v>
      </c>
      <c r="B480" s="381" t="s">
        <v>334</v>
      </c>
      <c r="C480" s="326"/>
      <c r="D480" s="327"/>
      <c r="E480" s="698"/>
      <c r="F480" s="326"/>
      <c r="G480" s="327"/>
      <c r="H480" s="381"/>
      <c r="I480" s="326"/>
      <c r="J480" s="326"/>
      <c r="K480" s="327"/>
      <c r="L480" s="381"/>
      <c r="M480" s="326"/>
      <c r="N480" s="326"/>
      <c r="O480" s="326"/>
      <c r="P480" s="327"/>
      <c r="Q480" s="381"/>
      <c r="R480" s="326"/>
      <c r="S480" s="326"/>
      <c r="T480" s="326"/>
      <c r="U480" s="326"/>
      <c r="V480" s="326"/>
      <c r="W480" s="326"/>
      <c r="X480" s="326"/>
      <c r="Y480" s="326"/>
      <c r="Z480" s="327"/>
      <c r="AA480" s="381"/>
      <c r="AB480" s="326"/>
      <c r="AC480" s="326"/>
      <c r="AD480" s="326"/>
      <c r="AE480" s="326"/>
      <c r="AF480" s="326"/>
      <c r="AG480" s="326"/>
      <c r="AH480" s="326"/>
      <c r="AI480" s="326"/>
      <c r="AJ480" s="326"/>
      <c r="AK480" s="326"/>
      <c r="AL480" s="326"/>
      <c r="AM480" s="326"/>
      <c r="AN480" s="326"/>
      <c r="AO480" s="326"/>
      <c r="AP480" s="326"/>
      <c r="AQ480" s="327"/>
    </row>
    <row r="481" spans="1:43" ht="30" customHeight="1" x14ac:dyDescent="0.25">
      <c r="A481" s="87">
        <f t="shared" si="1"/>
        <v>469</v>
      </c>
      <c r="B481" s="407" t="s">
        <v>334</v>
      </c>
      <c r="C481" s="326"/>
      <c r="D481" s="327"/>
      <c r="E481" s="697"/>
      <c r="F481" s="326"/>
      <c r="G481" s="327"/>
      <c r="H481" s="407"/>
      <c r="I481" s="326"/>
      <c r="J481" s="326"/>
      <c r="K481" s="327"/>
      <c r="L481" s="407"/>
      <c r="M481" s="326"/>
      <c r="N481" s="326"/>
      <c r="O481" s="326"/>
      <c r="P481" s="327"/>
      <c r="Q481" s="407"/>
      <c r="R481" s="326"/>
      <c r="S481" s="326"/>
      <c r="T481" s="326"/>
      <c r="U481" s="326"/>
      <c r="V481" s="326"/>
      <c r="W481" s="326"/>
      <c r="X481" s="326"/>
      <c r="Y481" s="326"/>
      <c r="Z481" s="327"/>
      <c r="AA481" s="407"/>
      <c r="AB481" s="326"/>
      <c r="AC481" s="326"/>
      <c r="AD481" s="326"/>
      <c r="AE481" s="326"/>
      <c r="AF481" s="326"/>
      <c r="AG481" s="326"/>
      <c r="AH481" s="326"/>
      <c r="AI481" s="326"/>
      <c r="AJ481" s="326"/>
      <c r="AK481" s="326"/>
      <c r="AL481" s="326"/>
      <c r="AM481" s="326"/>
      <c r="AN481" s="326"/>
      <c r="AO481" s="326"/>
      <c r="AP481" s="326"/>
      <c r="AQ481" s="327"/>
    </row>
    <row r="482" spans="1:43" ht="30" customHeight="1" x14ac:dyDescent="0.25">
      <c r="A482" s="87">
        <f t="shared" si="1"/>
        <v>470</v>
      </c>
      <c r="B482" s="381" t="s">
        <v>334</v>
      </c>
      <c r="C482" s="326"/>
      <c r="D482" s="327"/>
      <c r="E482" s="698"/>
      <c r="F482" s="326"/>
      <c r="G482" s="327"/>
      <c r="H482" s="381"/>
      <c r="I482" s="326"/>
      <c r="J482" s="326"/>
      <c r="K482" s="327"/>
      <c r="L482" s="381"/>
      <c r="M482" s="326"/>
      <c r="N482" s="326"/>
      <c r="O482" s="326"/>
      <c r="P482" s="327"/>
      <c r="Q482" s="381"/>
      <c r="R482" s="326"/>
      <c r="S482" s="326"/>
      <c r="T482" s="326"/>
      <c r="U482" s="326"/>
      <c r="V482" s="326"/>
      <c r="W482" s="326"/>
      <c r="X482" s="326"/>
      <c r="Y482" s="326"/>
      <c r="Z482" s="327"/>
      <c r="AA482" s="381"/>
      <c r="AB482" s="326"/>
      <c r="AC482" s="326"/>
      <c r="AD482" s="326"/>
      <c r="AE482" s="326"/>
      <c r="AF482" s="326"/>
      <c r="AG482" s="326"/>
      <c r="AH482" s="326"/>
      <c r="AI482" s="326"/>
      <c r="AJ482" s="326"/>
      <c r="AK482" s="326"/>
      <c r="AL482" s="326"/>
      <c r="AM482" s="326"/>
      <c r="AN482" s="326"/>
      <c r="AO482" s="326"/>
      <c r="AP482" s="326"/>
      <c r="AQ482" s="327"/>
    </row>
    <row r="483" spans="1:43" ht="30" customHeight="1" x14ac:dyDescent="0.25">
      <c r="A483" s="87">
        <f t="shared" si="1"/>
        <v>471</v>
      </c>
      <c r="B483" s="407" t="s">
        <v>334</v>
      </c>
      <c r="C483" s="326"/>
      <c r="D483" s="327"/>
      <c r="E483" s="697"/>
      <c r="F483" s="326"/>
      <c r="G483" s="327"/>
      <c r="H483" s="407"/>
      <c r="I483" s="326"/>
      <c r="J483" s="326"/>
      <c r="K483" s="327"/>
      <c r="L483" s="407"/>
      <c r="M483" s="326"/>
      <c r="N483" s="326"/>
      <c r="O483" s="326"/>
      <c r="P483" s="327"/>
      <c r="Q483" s="407"/>
      <c r="R483" s="326"/>
      <c r="S483" s="326"/>
      <c r="T483" s="326"/>
      <c r="U483" s="326"/>
      <c r="V483" s="326"/>
      <c r="W483" s="326"/>
      <c r="X483" s="326"/>
      <c r="Y483" s="326"/>
      <c r="Z483" s="327"/>
      <c r="AA483" s="407"/>
      <c r="AB483" s="326"/>
      <c r="AC483" s="326"/>
      <c r="AD483" s="326"/>
      <c r="AE483" s="326"/>
      <c r="AF483" s="326"/>
      <c r="AG483" s="326"/>
      <c r="AH483" s="326"/>
      <c r="AI483" s="326"/>
      <c r="AJ483" s="326"/>
      <c r="AK483" s="326"/>
      <c r="AL483" s="326"/>
      <c r="AM483" s="326"/>
      <c r="AN483" s="326"/>
      <c r="AO483" s="326"/>
      <c r="AP483" s="326"/>
      <c r="AQ483" s="327"/>
    </row>
    <row r="484" spans="1:43" ht="30" customHeight="1" x14ac:dyDescent="0.25">
      <c r="A484" s="87">
        <f t="shared" si="1"/>
        <v>472</v>
      </c>
      <c r="B484" s="381" t="s">
        <v>334</v>
      </c>
      <c r="C484" s="326"/>
      <c r="D484" s="327"/>
      <c r="E484" s="698"/>
      <c r="F484" s="326"/>
      <c r="G484" s="327"/>
      <c r="H484" s="381"/>
      <c r="I484" s="326"/>
      <c r="J484" s="326"/>
      <c r="K484" s="327"/>
      <c r="L484" s="381"/>
      <c r="M484" s="326"/>
      <c r="N484" s="326"/>
      <c r="O484" s="326"/>
      <c r="P484" s="327"/>
      <c r="Q484" s="381"/>
      <c r="R484" s="326"/>
      <c r="S484" s="326"/>
      <c r="T484" s="326"/>
      <c r="U484" s="326"/>
      <c r="V484" s="326"/>
      <c r="W484" s="326"/>
      <c r="X484" s="326"/>
      <c r="Y484" s="326"/>
      <c r="Z484" s="327"/>
      <c r="AA484" s="381"/>
      <c r="AB484" s="326"/>
      <c r="AC484" s="326"/>
      <c r="AD484" s="326"/>
      <c r="AE484" s="326"/>
      <c r="AF484" s="326"/>
      <c r="AG484" s="326"/>
      <c r="AH484" s="326"/>
      <c r="AI484" s="326"/>
      <c r="AJ484" s="326"/>
      <c r="AK484" s="326"/>
      <c r="AL484" s="326"/>
      <c r="AM484" s="326"/>
      <c r="AN484" s="326"/>
      <c r="AO484" s="326"/>
      <c r="AP484" s="326"/>
      <c r="AQ484" s="327"/>
    </row>
    <row r="485" spans="1:43" ht="30" customHeight="1" x14ac:dyDescent="0.25">
      <c r="A485" s="87">
        <f t="shared" si="1"/>
        <v>473</v>
      </c>
      <c r="B485" s="407" t="s">
        <v>334</v>
      </c>
      <c r="C485" s="326"/>
      <c r="D485" s="327"/>
      <c r="E485" s="697"/>
      <c r="F485" s="326"/>
      <c r="G485" s="327"/>
      <c r="H485" s="407"/>
      <c r="I485" s="326"/>
      <c r="J485" s="326"/>
      <c r="K485" s="327"/>
      <c r="L485" s="407"/>
      <c r="M485" s="326"/>
      <c r="N485" s="326"/>
      <c r="O485" s="326"/>
      <c r="P485" s="327"/>
      <c r="Q485" s="407"/>
      <c r="R485" s="326"/>
      <c r="S485" s="326"/>
      <c r="T485" s="326"/>
      <c r="U485" s="326"/>
      <c r="V485" s="326"/>
      <c r="W485" s="326"/>
      <c r="X485" s="326"/>
      <c r="Y485" s="326"/>
      <c r="Z485" s="327"/>
      <c r="AA485" s="407"/>
      <c r="AB485" s="326"/>
      <c r="AC485" s="326"/>
      <c r="AD485" s="326"/>
      <c r="AE485" s="326"/>
      <c r="AF485" s="326"/>
      <c r="AG485" s="326"/>
      <c r="AH485" s="326"/>
      <c r="AI485" s="326"/>
      <c r="AJ485" s="326"/>
      <c r="AK485" s="326"/>
      <c r="AL485" s="326"/>
      <c r="AM485" s="326"/>
      <c r="AN485" s="326"/>
      <c r="AO485" s="326"/>
      <c r="AP485" s="326"/>
      <c r="AQ485" s="327"/>
    </row>
    <row r="486" spans="1:43" ht="30" customHeight="1" x14ac:dyDescent="0.25">
      <c r="A486" s="87">
        <f t="shared" si="1"/>
        <v>474</v>
      </c>
      <c r="B486" s="381" t="s">
        <v>334</v>
      </c>
      <c r="C486" s="326"/>
      <c r="D486" s="327"/>
      <c r="E486" s="698"/>
      <c r="F486" s="326"/>
      <c r="G486" s="327"/>
      <c r="H486" s="381"/>
      <c r="I486" s="326"/>
      <c r="J486" s="326"/>
      <c r="K486" s="327"/>
      <c r="L486" s="381"/>
      <c r="M486" s="326"/>
      <c r="N486" s="326"/>
      <c r="O486" s="326"/>
      <c r="P486" s="327"/>
      <c r="Q486" s="381"/>
      <c r="R486" s="326"/>
      <c r="S486" s="326"/>
      <c r="T486" s="326"/>
      <c r="U486" s="326"/>
      <c r="V486" s="326"/>
      <c r="W486" s="326"/>
      <c r="X486" s="326"/>
      <c r="Y486" s="326"/>
      <c r="Z486" s="327"/>
      <c r="AA486" s="381"/>
      <c r="AB486" s="326"/>
      <c r="AC486" s="326"/>
      <c r="AD486" s="326"/>
      <c r="AE486" s="326"/>
      <c r="AF486" s="326"/>
      <c r="AG486" s="326"/>
      <c r="AH486" s="326"/>
      <c r="AI486" s="326"/>
      <c r="AJ486" s="326"/>
      <c r="AK486" s="326"/>
      <c r="AL486" s="326"/>
      <c r="AM486" s="326"/>
      <c r="AN486" s="326"/>
      <c r="AO486" s="326"/>
      <c r="AP486" s="326"/>
      <c r="AQ486" s="327"/>
    </row>
    <row r="487" spans="1:43" ht="30" customHeight="1" x14ac:dyDescent="0.25">
      <c r="A487" s="87">
        <f t="shared" si="1"/>
        <v>475</v>
      </c>
      <c r="B487" s="407" t="s">
        <v>334</v>
      </c>
      <c r="C487" s="326"/>
      <c r="D487" s="327"/>
      <c r="E487" s="697"/>
      <c r="F487" s="326"/>
      <c r="G487" s="327"/>
      <c r="H487" s="407"/>
      <c r="I487" s="326"/>
      <c r="J487" s="326"/>
      <c r="K487" s="327"/>
      <c r="L487" s="407"/>
      <c r="M487" s="326"/>
      <c r="N487" s="326"/>
      <c r="O487" s="326"/>
      <c r="P487" s="327"/>
      <c r="Q487" s="407"/>
      <c r="R487" s="326"/>
      <c r="S487" s="326"/>
      <c r="T487" s="326"/>
      <c r="U487" s="326"/>
      <c r="V487" s="326"/>
      <c r="W487" s="326"/>
      <c r="X487" s="326"/>
      <c r="Y487" s="326"/>
      <c r="Z487" s="327"/>
      <c r="AA487" s="407"/>
      <c r="AB487" s="326"/>
      <c r="AC487" s="326"/>
      <c r="AD487" s="326"/>
      <c r="AE487" s="326"/>
      <c r="AF487" s="326"/>
      <c r="AG487" s="326"/>
      <c r="AH487" s="326"/>
      <c r="AI487" s="326"/>
      <c r="AJ487" s="326"/>
      <c r="AK487" s="326"/>
      <c r="AL487" s="326"/>
      <c r="AM487" s="326"/>
      <c r="AN487" s="326"/>
      <c r="AO487" s="326"/>
      <c r="AP487" s="326"/>
      <c r="AQ487" s="327"/>
    </row>
    <row r="488" spans="1:43" ht="30" customHeight="1" x14ac:dyDescent="0.25">
      <c r="A488" s="87">
        <f t="shared" si="1"/>
        <v>476</v>
      </c>
      <c r="B488" s="381" t="s">
        <v>334</v>
      </c>
      <c r="C488" s="326"/>
      <c r="D488" s="327"/>
      <c r="E488" s="698"/>
      <c r="F488" s="326"/>
      <c r="G488" s="327"/>
      <c r="H488" s="381"/>
      <c r="I488" s="326"/>
      <c r="J488" s="326"/>
      <c r="K488" s="327"/>
      <c r="L488" s="381"/>
      <c r="M488" s="326"/>
      <c r="N488" s="326"/>
      <c r="O488" s="326"/>
      <c r="P488" s="327"/>
      <c r="Q488" s="381"/>
      <c r="R488" s="326"/>
      <c r="S488" s="326"/>
      <c r="T488" s="326"/>
      <c r="U488" s="326"/>
      <c r="V488" s="326"/>
      <c r="W488" s="326"/>
      <c r="X488" s="326"/>
      <c r="Y488" s="326"/>
      <c r="Z488" s="327"/>
      <c r="AA488" s="381"/>
      <c r="AB488" s="326"/>
      <c r="AC488" s="326"/>
      <c r="AD488" s="326"/>
      <c r="AE488" s="326"/>
      <c r="AF488" s="326"/>
      <c r="AG488" s="326"/>
      <c r="AH488" s="326"/>
      <c r="AI488" s="326"/>
      <c r="AJ488" s="326"/>
      <c r="AK488" s="326"/>
      <c r="AL488" s="326"/>
      <c r="AM488" s="326"/>
      <c r="AN488" s="326"/>
      <c r="AO488" s="326"/>
      <c r="AP488" s="326"/>
      <c r="AQ488" s="327"/>
    </row>
    <row r="489" spans="1:43" ht="30" customHeight="1" x14ac:dyDescent="0.25">
      <c r="A489" s="87">
        <f t="shared" si="1"/>
        <v>477</v>
      </c>
      <c r="B489" s="407" t="s">
        <v>334</v>
      </c>
      <c r="C489" s="326"/>
      <c r="D489" s="327"/>
      <c r="E489" s="697"/>
      <c r="F489" s="326"/>
      <c r="G489" s="327"/>
      <c r="H489" s="407"/>
      <c r="I489" s="326"/>
      <c r="J489" s="326"/>
      <c r="K489" s="327"/>
      <c r="L489" s="407"/>
      <c r="M489" s="326"/>
      <c r="N489" s="326"/>
      <c r="O489" s="326"/>
      <c r="P489" s="327"/>
      <c r="Q489" s="407"/>
      <c r="R489" s="326"/>
      <c r="S489" s="326"/>
      <c r="T489" s="326"/>
      <c r="U489" s="326"/>
      <c r="V489" s="326"/>
      <c r="W489" s="326"/>
      <c r="X489" s="326"/>
      <c r="Y489" s="326"/>
      <c r="Z489" s="327"/>
      <c r="AA489" s="407"/>
      <c r="AB489" s="326"/>
      <c r="AC489" s="326"/>
      <c r="AD489" s="326"/>
      <c r="AE489" s="326"/>
      <c r="AF489" s="326"/>
      <c r="AG489" s="326"/>
      <c r="AH489" s="326"/>
      <c r="AI489" s="326"/>
      <c r="AJ489" s="326"/>
      <c r="AK489" s="326"/>
      <c r="AL489" s="326"/>
      <c r="AM489" s="326"/>
      <c r="AN489" s="326"/>
      <c r="AO489" s="326"/>
      <c r="AP489" s="326"/>
      <c r="AQ489" s="327"/>
    </row>
    <row r="490" spans="1:43" ht="30" customHeight="1" x14ac:dyDescent="0.25">
      <c r="A490" s="87">
        <f t="shared" si="1"/>
        <v>478</v>
      </c>
      <c r="B490" s="381" t="s">
        <v>334</v>
      </c>
      <c r="C490" s="326"/>
      <c r="D490" s="327"/>
      <c r="E490" s="698"/>
      <c r="F490" s="326"/>
      <c r="G490" s="327"/>
      <c r="H490" s="381"/>
      <c r="I490" s="326"/>
      <c r="J490" s="326"/>
      <c r="K490" s="327"/>
      <c r="L490" s="381"/>
      <c r="M490" s="326"/>
      <c r="N490" s="326"/>
      <c r="O490" s="326"/>
      <c r="P490" s="327"/>
      <c r="Q490" s="381"/>
      <c r="R490" s="326"/>
      <c r="S490" s="326"/>
      <c r="T490" s="326"/>
      <c r="U490" s="326"/>
      <c r="V490" s="326"/>
      <c r="W490" s="326"/>
      <c r="X490" s="326"/>
      <c r="Y490" s="326"/>
      <c r="Z490" s="327"/>
      <c r="AA490" s="381"/>
      <c r="AB490" s="326"/>
      <c r="AC490" s="326"/>
      <c r="AD490" s="326"/>
      <c r="AE490" s="326"/>
      <c r="AF490" s="326"/>
      <c r="AG490" s="326"/>
      <c r="AH490" s="326"/>
      <c r="AI490" s="326"/>
      <c r="AJ490" s="326"/>
      <c r="AK490" s="326"/>
      <c r="AL490" s="326"/>
      <c r="AM490" s="326"/>
      <c r="AN490" s="326"/>
      <c r="AO490" s="326"/>
      <c r="AP490" s="326"/>
      <c r="AQ490" s="327"/>
    </row>
    <row r="491" spans="1:43" ht="30" customHeight="1" x14ac:dyDescent="0.25">
      <c r="A491" s="87">
        <f t="shared" si="1"/>
        <v>479</v>
      </c>
      <c r="B491" s="407" t="s">
        <v>334</v>
      </c>
      <c r="C491" s="326"/>
      <c r="D491" s="327"/>
      <c r="E491" s="697"/>
      <c r="F491" s="326"/>
      <c r="G491" s="327"/>
      <c r="H491" s="407"/>
      <c r="I491" s="326"/>
      <c r="J491" s="326"/>
      <c r="K491" s="327"/>
      <c r="L491" s="407"/>
      <c r="M491" s="326"/>
      <c r="N491" s="326"/>
      <c r="O491" s="326"/>
      <c r="P491" s="327"/>
      <c r="Q491" s="407"/>
      <c r="R491" s="326"/>
      <c r="S491" s="326"/>
      <c r="T491" s="326"/>
      <c r="U491" s="326"/>
      <c r="V491" s="326"/>
      <c r="W491" s="326"/>
      <c r="X491" s="326"/>
      <c r="Y491" s="326"/>
      <c r="Z491" s="327"/>
      <c r="AA491" s="407"/>
      <c r="AB491" s="326"/>
      <c r="AC491" s="326"/>
      <c r="AD491" s="326"/>
      <c r="AE491" s="326"/>
      <c r="AF491" s="326"/>
      <c r="AG491" s="326"/>
      <c r="AH491" s="326"/>
      <c r="AI491" s="326"/>
      <c r="AJ491" s="326"/>
      <c r="AK491" s="326"/>
      <c r="AL491" s="326"/>
      <c r="AM491" s="326"/>
      <c r="AN491" s="326"/>
      <c r="AO491" s="326"/>
      <c r="AP491" s="326"/>
      <c r="AQ491" s="327"/>
    </row>
    <row r="492" spans="1:43" ht="30" customHeight="1" x14ac:dyDescent="0.25">
      <c r="A492" s="87">
        <f t="shared" si="1"/>
        <v>480</v>
      </c>
      <c r="B492" s="381" t="s">
        <v>334</v>
      </c>
      <c r="C492" s="326"/>
      <c r="D492" s="327"/>
      <c r="E492" s="698"/>
      <c r="F492" s="326"/>
      <c r="G492" s="327"/>
      <c r="H492" s="381"/>
      <c r="I492" s="326"/>
      <c r="J492" s="326"/>
      <c r="K492" s="327"/>
      <c r="L492" s="381"/>
      <c r="M492" s="326"/>
      <c r="N492" s="326"/>
      <c r="O492" s="326"/>
      <c r="P492" s="327"/>
      <c r="Q492" s="381"/>
      <c r="R492" s="326"/>
      <c r="S492" s="326"/>
      <c r="T492" s="326"/>
      <c r="U492" s="326"/>
      <c r="V492" s="326"/>
      <c r="W492" s="326"/>
      <c r="X492" s="326"/>
      <c r="Y492" s="326"/>
      <c r="Z492" s="327"/>
      <c r="AA492" s="381"/>
      <c r="AB492" s="326"/>
      <c r="AC492" s="326"/>
      <c r="AD492" s="326"/>
      <c r="AE492" s="326"/>
      <c r="AF492" s="326"/>
      <c r="AG492" s="326"/>
      <c r="AH492" s="326"/>
      <c r="AI492" s="326"/>
      <c r="AJ492" s="326"/>
      <c r="AK492" s="326"/>
      <c r="AL492" s="326"/>
      <c r="AM492" s="326"/>
      <c r="AN492" s="326"/>
      <c r="AO492" s="326"/>
      <c r="AP492" s="326"/>
      <c r="AQ492" s="327"/>
    </row>
    <row r="493" spans="1:43" ht="30" customHeight="1" x14ac:dyDescent="0.25">
      <c r="A493" s="87">
        <f t="shared" si="1"/>
        <v>481</v>
      </c>
      <c r="B493" s="407" t="s">
        <v>334</v>
      </c>
      <c r="C493" s="326"/>
      <c r="D493" s="327"/>
      <c r="E493" s="697"/>
      <c r="F493" s="326"/>
      <c r="G493" s="327"/>
      <c r="H493" s="407"/>
      <c r="I493" s="326"/>
      <c r="J493" s="326"/>
      <c r="K493" s="327"/>
      <c r="L493" s="407"/>
      <c r="M493" s="326"/>
      <c r="N493" s="326"/>
      <c r="O493" s="326"/>
      <c r="P493" s="327"/>
      <c r="Q493" s="407"/>
      <c r="R493" s="326"/>
      <c r="S493" s="326"/>
      <c r="T493" s="326"/>
      <c r="U493" s="326"/>
      <c r="V493" s="326"/>
      <c r="W493" s="326"/>
      <c r="X493" s="326"/>
      <c r="Y493" s="326"/>
      <c r="Z493" s="327"/>
      <c r="AA493" s="407"/>
      <c r="AB493" s="326"/>
      <c r="AC493" s="326"/>
      <c r="AD493" s="326"/>
      <c r="AE493" s="326"/>
      <c r="AF493" s="326"/>
      <c r="AG493" s="326"/>
      <c r="AH493" s="326"/>
      <c r="AI493" s="326"/>
      <c r="AJ493" s="326"/>
      <c r="AK493" s="326"/>
      <c r="AL493" s="326"/>
      <c r="AM493" s="326"/>
      <c r="AN493" s="326"/>
      <c r="AO493" s="326"/>
      <c r="AP493" s="326"/>
      <c r="AQ493" s="327"/>
    </row>
    <row r="494" spans="1:43" ht="30" customHeight="1" x14ac:dyDescent="0.25">
      <c r="A494" s="87">
        <f t="shared" si="1"/>
        <v>482</v>
      </c>
      <c r="B494" s="381" t="s">
        <v>334</v>
      </c>
      <c r="C494" s="326"/>
      <c r="D494" s="327"/>
      <c r="E494" s="698"/>
      <c r="F494" s="326"/>
      <c r="G494" s="327"/>
      <c r="H494" s="381"/>
      <c r="I494" s="326"/>
      <c r="J494" s="326"/>
      <c r="K494" s="327"/>
      <c r="L494" s="381"/>
      <c r="M494" s="326"/>
      <c r="N494" s="326"/>
      <c r="O494" s="326"/>
      <c r="P494" s="327"/>
      <c r="Q494" s="381"/>
      <c r="R494" s="326"/>
      <c r="S494" s="326"/>
      <c r="T494" s="326"/>
      <c r="U494" s="326"/>
      <c r="V494" s="326"/>
      <c r="W494" s="326"/>
      <c r="X494" s="326"/>
      <c r="Y494" s="326"/>
      <c r="Z494" s="327"/>
      <c r="AA494" s="381"/>
      <c r="AB494" s="326"/>
      <c r="AC494" s="326"/>
      <c r="AD494" s="326"/>
      <c r="AE494" s="326"/>
      <c r="AF494" s="326"/>
      <c r="AG494" s="326"/>
      <c r="AH494" s="326"/>
      <c r="AI494" s="326"/>
      <c r="AJ494" s="326"/>
      <c r="AK494" s="326"/>
      <c r="AL494" s="326"/>
      <c r="AM494" s="326"/>
      <c r="AN494" s="326"/>
      <c r="AO494" s="326"/>
      <c r="AP494" s="326"/>
      <c r="AQ494" s="327"/>
    </row>
    <row r="495" spans="1:43" ht="30" customHeight="1" x14ac:dyDescent="0.25">
      <c r="A495" s="87">
        <f t="shared" si="1"/>
        <v>483</v>
      </c>
      <c r="B495" s="407" t="s">
        <v>334</v>
      </c>
      <c r="C495" s="326"/>
      <c r="D495" s="327"/>
      <c r="E495" s="697"/>
      <c r="F495" s="326"/>
      <c r="G495" s="327"/>
      <c r="H495" s="407"/>
      <c r="I495" s="326"/>
      <c r="J495" s="326"/>
      <c r="K495" s="327"/>
      <c r="L495" s="407"/>
      <c r="M495" s="326"/>
      <c r="N495" s="326"/>
      <c r="O495" s="326"/>
      <c r="P495" s="327"/>
      <c r="Q495" s="407"/>
      <c r="R495" s="326"/>
      <c r="S495" s="326"/>
      <c r="T495" s="326"/>
      <c r="U495" s="326"/>
      <c r="V495" s="326"/>
      <c r="W495" s="326"/>
      <c r="X495" s="326"/>
      <c r="Y495" s="326"/>
      <c r="Z495" s="327"/>
      <c r="AA495" s="407"/>
      <c r="AB495" s="326"/>
      <c r="AC495" s="326"/>
      <c r="AD495" s="326"/>
      <c r="AE495" s="326"/>
      <c r="AF495" s="326"/>
      <c r="AG495" s="326"/>
      <c r="AH495" s="326"/>
      <c r="AI495" s="326"/>
      <c r="AJ495" s="326"/>
      <c r="AK495" s="326"/>
      <c r="AL495" s="326"/>
      <c r="AM495" s="326"/>
      <c r="AN495" s="326"/>
      <c r="AO495" s="326"/>
      <c r="AP495" s="326"/>
      <c r="AQ495" s="327"/>
    </row>
    <row r="496" spans="1:43" ht="30" customHeight="1" x14ac:dyDescent="0.25">
      <c r="A496" s="87">
        <f t="shared" si="1"/>
        <v>484</v>
      </c>
      <c r="B496" s="381" t="s">
        <v>334</v>
      </c>
      <c r="C496" s="326"/>
      <c r="D496" s="327"/>
      <c r="E496" s="698"/>
      <c r="F496" s="326"/>
      <c r="G496" s="327"/>
      <c r="H496" s="381"/>
      <c r="I496" s="326"/>
      <c r="J496" s="326"/>
      <c r="K496" s="327"/>
      <c r="L496" s="381"/>
      <c r="M496" s="326"/>
      <c r="N496" s="326"/>
      <c r="O496" s="326"/>
      <c r="P496" s="327"/>
      <c r="Q496" s="381"/>
      <c r="R496" s="326"/>
      <c r="S496" s="326"/>
      <c r="T496" s="326"/>
      <c r="U496" s="326"/>
      <c r="V496" s="326"/>
      <c r="W496" s="326"/>
      <c r="X496" s="326"/>
      <c r="Y496" s="326"/>
      <c r="Z496" s="327"/>
      <c r="AA496" s="381"/>
      <c r="AB496" s="326"/>
      <c r="AC496" s="326"/>
      <c r="AD496" s="326"/>
      <c r="AE496" s="326"/>
      <c r="AF496" s="326"/>
      <c r="AG496" s="326"/>
      <c r="AH496" s="326"/>
      <c r="AI496" s="326"/>
      <c r="AJ496" s="326"/>
      <c r="AK496" s="326"/>
      <c r="AL496" s="326"/>
      <c r="AM496" s="326"/>
      <c r="AN496" s="326"/>
      <c r="AO496" s="326"/>
      <c r="AP496" s="326"/>
      <c r="AQ496" s="327"/>
    </row>
    <row r="497" spans="1:43" ht="30" customHeight="1" x14ac:dyDescent="0.25">
      <c r="A497" s="87">
        <f t="shared" si="1"/>
        <v>485</v>
      </c>
      <c r="B497" s="407" t="s">
        <v>334</v>
      </c>
      <c r="C497" s="326"/>
      <c r="D497" s="327"/>
      <c r="E497" s="697"/>
      <c r="F497" s="326"/>
      <c r="G497" s="327"/>
      <c r="H497" s="407"/>
      <c r="I497" s="326"/>
      <c r="J497" s="326"/>
      <c r="K497" s="327"/>
      <c r="L497" s="407"/>
      <c r="M497" s="326"/>
      <c r="N497" s="326"/>
      <c r="O497" s="326"/>
      <c r="P497" s="327"/>
      <c r="Q497" s="407"/>
      <c r="R497" s="326"/>
      <c r="S497" s="326"/>
      <c r="T497" s="326"/>
      <c r="U497" s="326"/>
      <c r="V497" s="326"/>
      <c r="W497" s="326"/>
      <c r="X497" s="326"/>
      <c r="Y497" s="326"/>
      <c r="Z497" s="327"/>
      <c r="AA497" s="407"/>
      <c r="AB497" s="326"/>
      <c r="AC497" s="326"/>
      <c r="AD497" s="326"/>
      <c r="AE497" s="326"/>
      <c r="AF497" s="326"/>
      <c r="AG497" s="326"/>
      <c r="AH497" s="326"/>
      <c r="AI497" s="326"/>
      <c r="AJ497" s="326"/>
      <c r="AK497" s="326"/>
      <c r="AL497" s="326"/>
      <c r="AM497" s="326"/>
      <c r="AN497" s="326"/>
      <c r="AO497" s="326"/>
      <c r="AP497" s="326"/>
      <c r="AQ497" s="327"/>
    </row>
    <row r="498" spans="1:43" ht="30" customHeight="1" x14ac:dyDescent="0.25">
      <c r="A498" s="87">
        <f t="shared" si="1"/>
        <v>486</v>
      </c>
      <c r="B498" s="381" t="s">
        <v>334</v>
      </c>
      <c r="C498" s="326"/>
      <c r="D498" s="327"/>
      <c r="E498" s="698"/>
      <c r="F498" s="326"/>
      <c r="G498" s="327"/>
      <c r="H498" s="381"/>
      <c r="I498" s="326"/>
      <c r="J498" s="326"/>
      <c r="K498" s="327"/>
      <c r="L498" s="381"/>
      <c r="M498" s="326"/>
      <c r="N498" s="326"/>
      <c r="O498" s="326"/>
      <c r="P498" s="327"/>
      <c r="Q498" s="381"/>
      <c r="R498" s="326"/>
      <c r="S498" s="326"/>
      <c r="T498" s="326"/>
      <c r="U498" s="326"/>
      <c r="V498" s="326"/>
      <c r="W498" s="326"/>
      <c r="X498" s="326"/>
      <c r="Y498" s="326"/>
      <c r="Z498" s="327"/>
      <c r="AA498" s="381"/>
      <c r="AB498" s="326"/>
      <c r="AC498" s="326"/>
      <c r="AD498" s="326"/>
      <c r="AE498" s="326"/>
      <c r="AF498" s="326"/>
      <c r="AG498" s="326"/>
      <c r="AH498" s="326"/>
      <c r="AI498" s="326"/>
      <c r="AJ498" s="326"/>
      <c r="AK498" s="326"/>
      <c r="AL498" s="326"/>
      <c r="AM498" s="326"/>
      <c r="AN498" s="326"/>
      <c r="AO498" s="326"/>
      <c r="AP498" s="326"/>
      <c r="AQ498" s="327"/>
    </row>
    <row r="499" spans="1:43" ht="30" customHeight="1" x14ac:dyDescent="0.25">
      <c r="A499" s="87">
        <f t="shared" si="1"/>
        <v>487</v>
      </c>
      <c r="B499" s="407" t="s">
        <v>334</v>
      </c>
      <c r="C499" s="326"/>
      <c r="D499" s="327"/>
      <c r="E499" s="697"/>
      <c r="F499" s="326"/>
      <c r="G499" s="327"/>
      <c r="H499" s="407"/>
      <c r="I499" s="326"/>
      <c r="J499" s="326"/>
      <c r="K499" s="327"/>
      <c r="L499" s="407"/>
      <c r="M499" s="326"/>
      <c r="N499" s="326"/>
      <c r="O499" s="326"/>
      <c r="P499" s="327"/>
      <c r="Q499" s="407"/>
      <c r="R499" s="326"/>
      <c r="S499" s="326"/>
      <c r="T499" s="326"/>
      <c r="U499" s="326"/>
      <c r="V499" s="326"/>
      <c r="W499" s="326"/>
      <c r="X499" s="326"/>
      <c r="Y499" s="326"/>
      <c r="Z499" s="327"/>
      <c r="AA499" s="407"/>
      <c r="AB499" s="326"/>
      <c r="AC499" s="326"/>
      <c r="AD499" s="326"/>
      <c r="AE499" s="326"/>
      <c r="AF499" s="326"/>
      <c r="AG499" s="326"/>
      <c r="AH499" s="326"/>
      <c r="AI499" s="326"/>
      <c r="AJ499" s="326"/>
      <c r="AK499" s="326"/>
      <c r="AL499" s="326"/>
      <c r="AM499" s="326"/>
      <c r="AN499" s="326"/>
      <c r="AO499" s="326"/>
      <c r="AP499" s="326"/>
      <c r="AQ499" s="327"/>
    </row>
    <row r="500" spans="1:43" ht="30" customHeight="1" x14ac:dyDescent="0.25">
      <c r="A500" s="87">
        <f t="shared" si="1"/>
        <v>488</v>
      </c>
      <c r="B500" s="381" t="s">
        <v>334</v>
      </c>
      <c r="C500" s="326"/>
      <c r="D500" s="327"/>
      <c r="E500" s="698"/>
      <c r="F500" s="326"/>
      <c r="G500" s="327"/>
      <c r="H500" s="381"/>
      <c r="I500" s="326"/>
      <c r="J500" s="326"/>
      <c r="K500" s="327"/>
      <c r="L500" s="381"/>
      <c r="M500" s="326"/>
      <c r="N500" s="326"/>
      <c r="O500" s="326"/>
      <c r="P500" s="327"/>
      <c r="Q500" s="381"/>
      <c r="R500" s="326"/>
      <c r="S500" s="326"/>
      <c r="T500" s="326"/>
      <c r="U500" s="326"/>
      <c r="V500" s="326"/>
      <c r="W500" s="326"/>
      <c r="X500" s="326"/>
      <c r="Y500" s="326"/>
      <c r="Z500" s="327"/>
      <c r="AA500" s="381"/>
      <c r="AB500" s="326"/>
      <c r="AC500" s="326"/>
      <c r="AD500" s="326"/>
      <c r="AE500" s="326"/>
      <c r="AF500" s="326"/>
      <c r="AG500" s="326"/>
      <c r="AH500" s="326"/>
      <c r="AI500" s="326"/>
      <c r="AJ500" s="326"/>
      <c r="AK500" s="326"/>
      <c r="AL500" s="326"/>
      <c r="AM500" s="326"/>
      <c r="AN500" s="326"/>
      <c r="AO500" s="326"/>
      <c r="AP500" s="326"/>
      <c r="AQ500" s="327"/>
    </row>
    <row r="501" spans="1:43" ht="30" customHeight="1" x14ac:dyDescent="0.25">
      <c r="A501" s="87">
        <f t="shared" si="1"/>
        <v>489</v>
      </c>
      <c r="B501" s="407" t="s">
        <v>334</v>
      </c>
      <c r="C501" s="326"/>
      <c r="D501" s="327"/>
      <c r="E501" s="697"/>
      <c r="F501" s="326"/>
      <c r="G501" s="327"/>
      <c r="H501" s="407"/>
      <c r="I501" s="326"/>
      <c r="J501" s="326"/>
      <c r="K501" s="327"/>
      <c r="L501" s="407"/>
      <c r="M501" s="326"/>
      <c r="N501" s="326"/>
      <c r="O501" s="326"/>
      <c r="P501" s="327"/>
      <c r="Q501" s="407"/>
      <c r="R501" s="326"/>
      <c r="S501" s="326"/>
      <c r="T501" s="326"/>
      <c r="U501" s="326"/>
      <c r="V501" s="326"/>
      <c r="W501" s="326"/>
      <c r="X501" s="326"/>
      <c r="Y501" s="326"/>
      <c r="Z501" s="327"/>
      <c r="AA501" s="407"/>
      <c r="AB501" s="326"/>
      <c r="AC501" s="326"/>
      <c r="AD501" s="326"/>
      <c r="AE501" s="326"/>
      <c r="AF501" s="326"/>
      <c r="AG501" s="326"/>
      <c r="AH501" s="326"/>
      <c r="AI501" s="326"/>
      <c r="AJ501" s="326"/>
      <c r="AK501" s="326"/>
      <c r="AL501" s="326"/>
      <c r="AM501" s="326"/>
      <c r="AN501" s="326"/>
      <c r="AO501" s="326"/>
      <c r="AP501" s="326"/>
      <c r="AQ501" s="327"/>
    </row>
    <row r="502" spans="1:43" ht="30" customHeight="1" x14ac:dyDescent="0.25">
      <c r="A502" s="87">
        <f t="shared" si="1"/>
        <v>490</v>
      </c>
      <c r="B502" s="381" t="s">
        <v>334</v>
      </c>
      <c r="C502" s="326"/>
      <c r="D502" s="327"/>
      <c r="E502" s="698"/>
      <c r="F502" s="326"/>
      <c r="G502" s="327"/>
      <c r="H502" s="381"/>
      <c r="I502" s="326"/>
      <c r="J502" s="326"/>
      <c r="K502" s="327"/>
      <c r="L502" s="381"/>
      <c r="M502" s="326"/>
      <c r="N502" s="326"/>
      <c r="O502" s="326"/>
      <c r="P502" s="327"/>
      <c r="Q502" s="381"/>
      <c r="R502" s="326"/>
      <c r="S502" s="326"/>
      <c r="T502" s="326"/>
      <c r="U502" s="326"/>
      <c r="V502" s="326"/>
      <c r="W502" s="326"/>
      <c r="X502" s="326"/>
      <c r="Y502" s="326"/>
      <c r="Z502" s="327"/>
      <c r="AA502" s="381"/>
      <c r="AB502" s="326"/>
      <c r="AC502" s="326"/>
      <c r="AD502" s="326"/>
      <c r="AE502" s="326"/>
      <c r="AF502" s="326"/>
      <c r="AG502" s="326"/>
      <c r="AH502" s="326"/>
      <c r="AI502" s="326"/>
      <c r="AJ502" s="326"/>
      <c r="AK502" s="326"/>
      <c r="AL502" s="326"/>
      <c r="AM502" s="326"/>
      <c r="AN502" s="326"/>
      <c r="AO502" s="326"/>
      <c r="AP502" s="326"/>
      <c r="AQ502" s="327"/>
    </row>
    <row r="503" spans="1:43" ht="30" customHeight="1" x14ac:dyDescent="0.25">
      <c r="A503" s="87">
        <f t="shared" si="1"/>
        <v>491</v>
      </c>
      <c r="B503" s="407" t="s">
        <v>334</v>
      </c>
      <c r="C503" s="326"/>
      <c r="D503" s="327"/>
      <c r="E503" s="697"/>
      <c r="F503" s="326"/>
      <c r="G503" s="327"/>
      <c r="H503" s="407"/>
      <c r="I503" s="326"/>
      <c r="J503" s="326"/>
      <c r="K503" s="327"/>
      <c r="L503" s="407"/>
      <c r="M503" s="326"/>
      <c r="N503" s="326"/>
      <c r="O503" s="326"/>
      <c r="P503" s="327"/>
      <c r="Q503" s="407"/>
      <c r="R503" s="326"/>
      <c r="S503" s="326"/>
      <c r="T503" s="326"/>
      <c r="U503" s="326"/>
      <c r="V503" s="326"/>
      <c r="W503" s="326"/>
      <c r="X503" s="326"/>
      <c r="Y503" s="326"/>
      <c r="Z503" s="327"/>
      <c r="AA503" s="407"/>
      <c r="AB503" s="326"/>
      <c r="AC503" s="326"/>
      <c r="AD503" s="326"/>
      <c r="AE503" s="326"/>
      <c r="AF503" s="326"/>
      <c r="AG503" s="326"/>
      <c r="AH503" s="326"/>
      <c r="AI503" s="326"/>
      <c r="AJ503" s="326"/>
      <c r="AK503" s="326"/>
      <c r="AL503" s="326"/>
      <c r="AM503" s="326"/>
      <c r="AN503" s="326"/>
      <c r="AO503" s="326"/>
      <c r="AP503" s="326"/>
      <c r="AQ503" s="327"/>
    </row>
    <row r="504" spans="1:43" ht="30" customHeight="1" x14ac:dyDescent="0.25">
      <c r="A504" s="87">
        <f t="shared" si="1"/>
        <v>492</v>
      </c>
      <c r="B504" s="381" t="s">
        <v>334</v>
      </c>
      <c r="C504" s="326"/>
      <c r="D504" s="327"/>
      <c r="E504" s="698"/>
      <c r="F504" s="326"/>
      <c r="G504" s="327"/>
      <c r="H504" s="381"/>
      <c r="I504" s="326"/>
      <c r="J504" s="326"/>
      <c r="K504" s="327"/>
      <c r="L504" s="381"/>
      <c r="M504" s="326"/>
      <c r="N504" s="326"/>
      <c r="O504" s="326"/>
      <c r="P504" s="327"/>
      <c r="Q504" s="381"/>
      <c r="R504" s="326"/>
      <c r="S504" s="326"/>
      <c r="T504" s="326"/>
      <c r="U504" s="326"/>
      <c r="V504" s="326"/>
      <c r="W504" s="326"/>
      <c r="X504" s="326"/>
      <c r="Y504" s="326"/>
      <c r="Z504" s="327"/>
      <c r="AA504" s="381"/>
      <c r="AB504" s="326"/>
      <c r="AC504" s="326"/>
      <c r="AD504" s="326"/>
      <c r="AE504" s="326"/>
      <c r="AF504" s="326"/>
      <c r="AG504" s="326"/>
      <c r="AH504" s="326"/>
      <c r="AI504" s="326"/>
      <c r="AJ504" s="326"/>
      <c r="AK504" s="326"/>
      <c r="AL504" s="326"/>
      <c r="AM504" s="326"/>
      <c r="AN504" s="326"/>
      <c r="AO504" s="326"/>
      <c r="AP504" s="326"/>
      <c r="AQ504" s="327"/>
    </row>
    <row r="505" spans="1:43" ht="30" customHeight="1" x14ac:dyDescent="0.25">
      <c r="A505" s="87">
        <f t="shared" si="1"/>
        <v>493</v>
      </c>
      <c r="B505" s="407" t="s">
        <v>334</v>
      </c>
      <c r="C505" s="326"/>
      <c r="D505" s="327"/>
      <c r="E505" s="697"/>
      <c r="F505" s="326"/>
      <c r="G505" s="327"/>
      <c r="H505" s="407"/>
      <c r="I505" s="326"/>
      <c r="J505" s="326"/>
      <c r="K505" s="327"/>
      <c r="L505" s="407"/>
      <c r="M505" s="326"/>
      <c r="N505" s="326"/>
      <c r="O505" s="326"/>
      <c r="P505" s="327"/>
      <c r="Q505" s="407"/>
      <c r="R505" s="326"/>
      <c r="S505" s="326"/>
      <c r="T505" s="326"/>
      <c r="U505" s="326"/>
      <c r="V505" s="326"/>
      <c r="W505" s="326"/>
      <c r="X505" s="326"/>
      <c r="Y505" s="326"/>
      <c r="Z505" s="327"/>
      <c r="AA505" s="407"/>
      <c r="AB505" s="326"/>
      <c r="AC505" s="326"/>
      <c r="AD505" s="326"/>
      <c r="AE505" s="326"/>
      <c r="AF505" s="326"/>
      <c r="AG505" s="326"/>
      <c r="AH505" s="326"/>
      <c r="AI505" s="326"/>
      <c r="AJ505" s="326"/>
      <c r="AK505" s="326"/>
      <c r="AL505" s="326"/>
      <c r="AM505" s="326"/>
      <c r="AN505" s="326"/>
      <c r="AO505" s="326"/>
      <c r="AP505" s="326"/>
      <c r="AQ505" s="327"/>
    </row>
    <row r="506" spans="1:43" ht="30" customHeight="1" x14ac:dyDescent="0.25">
      <c r="A506" s="87">
        <f t="shared" si="1"/>
        <v>494</v>
      </c>
      <c r="B506" s="381" t="s">
        <v>334</v>
      </c>
      <c r="C506" s="326"/>
      <c r="D506" s="327"/>
      <c r="E506" s="698"/>
      <c r="F506" s="326"/>
      <c r="G506" s="327"/>
      <c r="H506" s="381"/>
      <c r="I506" s="326"/>
      <c r="J506" s="326"/>
      <c r="K506" s="327"/>
      <c r="L506" s="381"/>
      <c r="M506" s="326"/>
      <c r="N506" s="326"/>
      <c r="O506" s="326"/>
      <c r="P506" s="327"/>
      <c r="Q506" s="381"/>
      <c r="R506" s="326"/>
      <c r="S506" s="326"/>
      <c r="T506" s="326"/>
      <c r="U506" s="326"/>
      <c r="V506" s="326"/>
      <c r="W506" s="326"/>
      <c r="X506" s="326"/>
      <c r="Y506" s="326"/>
      <c r="Z506" s="327"/>
      <c r="AA506" s="381"/>
      <c r="AB506" s="326"/>
      <c r="AC506" s="326"/>
      <c r="AD506" s="326"/>
      <c r="AE506" s="326"/>
      <c r="AF506" s="326"/>
      <c r="AG506" s="326"/>
      <c r="AH506" s="326"/>
      <c r="AI506" s="326"/>
      <c r="AJ506" s="326"/>
      <c r="AK506" s="326"/>
      <c r="AL506" s="326"/>
      <c r="AM506" s="326"/>
      <c r="AN506" s="326"/>
      <c r="AO506" s="326"/>
      <c r="AP506" s="326"/>
      <c r="AQ506" s="327"/>
    </row>
    <row r="507" spans="1:43" ht="30" customHeight="1" x14ac:dyDescent="0.25">
      <c r="A507" s="87">
        <f t="shared" si="1"/>
        <v>495</v>
      </c>
      <c r="B507" s="407" t="s">
        <v>334</v>
      </c>
      <c r="C507" s="326"/>
      <c r="D507" s="327"/>
      <c r="E507" s="697"/>
      <c r="F507" s="326"/>
      <c r="G507" s="327"/>
      <c r="H507" s="407"/>
      <c r="I507" s="326"/>
      <c r="J507" s="326"/>
      <c r="K507" s="327"/>
      <c r="L507" s="407"/>
      <c r="M507" s="326"/>
      <c r="N507" s="326"/>
      <c r="O507" s="326"/>
      <c r="P507" s="327"/>
      <c r="Q507" s="407"/>
      <c r="R507" s="326"/>
      <c r="S507" s="326"/>
      <c r="T507" s="326"/>
      <c r="U507" s="326"/>
      <c r="V507" s="326"/>
      <c r="W507" s="326"/>
      <c r="X507" s="326"/>
      <c r="Y507" s="326"/>
      <c r="Z507" s="327"/>
      <c r="AA507" s="407"/>
      <c r="AB507" s="326"/>
      <c r="AC507" s="326"/>
      <c r="AD507" s="326"/>
      <c r="AE507" s="326"/>
      <c r="AF507" s="326"/>
      <c r="AG507" s="326"/>
      <c r="AH507" s="326"/>
      <c r="AI507" s="326"/>
      <c r="AJ507" s="326"/>
      <c r="AK507" s="326"/>
      <c r="AL507" s="326"/>
      <c r="AM507" s="326"/>
      <c r="AN507" s="326"/>
      <c r="AO507" s="326"/>
      <c r="AP507" s="326"/>
      <c r="AQ507" s="327"/>
    </row>
    <row r="508" spans="1:43" ht="30" customHeight="1" x14ac:dyDescent="0.25">
      <c r="A508" s="87">
        <f t="shared" si="1"/>
        <v>496</v>
      </c>
      <c r="B508" s="381" t="s">
        <v>334</v>
      </c>
      <c r="C508" s="326"/>
      <c r="D508" s="327"/>
      <c r="E508" s="698"/>
      <c r="F508" s="326"/>
      <c r="G508" s="327"/>
      <c r="H508" s="381"/>
      <c r="I508" s="326"/>
      <c r="J508" s="326"/>
      <c r="K508" s="327"/>
      <c r="L508" s="381"/>
      <c r="M508" s="326"/>
      <c r="N508" s="326"/>
      <c r="O508" s="326"/>
      <c r="P508" s="327"/>
      <c r="Q508" s="381"/>
      <c r="R508" s="326"/>
      <c r="S508" s="326"/>
      <c r="T508" s="326"/>
      <c r="U508" s="326"/>
      <c r="V508" s="326"/>
      <c r="W508" s="326"/>
      <c r="X508" s="326"/>
      <c r="Y508" s="326"/>
      <c r="Z508" s="327"/>
      <c r="AA508" s="381"/>
      <c r="AB508" s="326"/>
      <c r="AC508" s="326"/>
      <c r="AD508" s="326"/>
      <c r="AE508" s="326"/>
      <c r="AF508" s="326"/>
      <c r="AG508" s="326"/>
      <c r="AH508" s="326"/>
      <c r="AI508" s="326"/>
      <c r="AJ508" s="326"/>
      <c r="AK508" s="326"/>
      <c r="AL508" s="326"/>
      <c r="AM508" s="326"/>
      <c r="AN508" s="326"/>
      <c r="AO508" s="326"/>
      <c r="AP508" s="326"/>
      <c r="AQ508" s="327"/>
    </row>
    <row r="509" spans="1:43" ht="30" customHeight="1" x14ac:dyDescent="0.25">
      <c r="A509" s="87">
        <f t="shared" si="1"/>
        <v>497</v>
      </c>
      <c r="B509" s="407" t="s">
        <v>334</v>
      </c>
      <c r="C509" s="326"/>
      <c r="D509" s="327"/>
      <c r="E509" s="697"/>
      <c r="F509" s="326"/>
      <c r="G509" s="327"/>
      <c r="H509" s="407"/>
      <c r="I509" s="326"/>
      <c r="J509" s="326"/>
      <c r="K509" s="327"/>
      <c r="L509" s="407"/>
      <c r="M509" s="326"/>
      <c r="N509" s="326"/>
      <c r="O509" s="326"/>
      <c r="P509" s="327"/>
      <c r="Q509" s="407"/>
      <c r="R509" s="326"/>
      <c r="S509" s="326"/>
      <c r="T509" s="326"/>
      <c r="U509" s="326"/>
      <c r="V509" s="326"/>
      <c r="W509" s="326"/>
      <c r="X509" s="326"/>
      <c r="Y509" s="326"/>
      <c r="Z509" s="327"/>
      <c r="AA509" s="407"/>
      <c r="AB509" s="326"/>
      <c r="AC509" s="326"/>
      <c r="AD509" s="326"/>
      <c r="AE509" s="326"/>
      <c r="AF509" s="326"/>
      <c r="AG509" s="326"/>
      <c r="AH509" s="326"/>
      <c r="AI509" s="326"/>
      <c r="AJ509" s="326"/>
      <c r="AK509" s="326"/>
      <c r="AL509" s="326"/>
      <c r="AM509" s="326"/>
      <c r="AN509" s="326"/>
      <c r="AO509" s="326"/>
      <c r="AP509" s="326"/>
      <c r="AQ509" s="327"/>
    </row>
    <row r="510" spans="1:43" ht="30" customHeight="1" x14ac:dyDescent="0.25">
      <c r="A510" s="87">
        <f t="shared" si="1"/>
        <v>498</v>
      </c>
      <c r="B510" s="381" t="s">
        <v>334</v>
      </c>
      <c r="C510" s="326"/>
      <c r="D510" s="327"/>
      <c r="E510" s="698"/>
      <c r="F510" s="326"/>
      <c r="G510" s="327"/>
      <c r="H510" s="381"/>
      <c r="I510" s="326"/>
      <c r="J510" s="326"/>
      <c r="K510" s="327"/>
      <c r="L510" s="381"/>
      <c r="M510" s="326"/>
      <c r="N510" s="326"/>
      <c r="O510" s="326"/>
      <c r="P510" s="327"/>
      <c r="Q510" s="381"/>
      <c r="R510" s="326"/>
      <c r="S510" s="326"/>
      <c r="T510" s="326"/>
      <c r="U510" s="326"/>
      <c r="V510" s="326"/>
      <c r="W510" s="326"/>
      <c r="X510" s="326"/>
      <c r="Y510" s="326"/>
      <c r="Z510" s="327"/>
      <c r="AA510" s="381"/>
      <c r="AB510" s="326"/>
      <c r="AC510" s="326"/>
      <c r="AD510" s="326"/>
      <c r="AE510" s="326"/>
      <c r="AF510" s="326"/>
      <c r="AG510" s="326"/>
      <c r="AH510" s="326"/>
      <c r="AI510" s="326"/>
      <c r="AJ510" s="326"/>
      <c r="AK510" s="326"/>
      <c r="AL510" s="326"/>
      <c r="AM510" s="326"/>
      <c r="AN510" s="326"/>
      <c r="AO510" s="326"/>
      <c r="AP510" s="326"/>
      <c r="AQ510" s="327"/>
    </row>
    <row r="511" spans="1:43" ht="30" customHeight="1" x14ac:dyDescent="0.25">
      <c r="A511" s="87">
        <f t="shared" si="1"/>
        <v>499</v>
      </c>
      <c r="B511" s="407" t="s">
        <v>334</v>
      </c>
      <c r="C511" s="326"/>
      <c r="D511" s="327"/>
      <c r="E511" s="697"/>
      <c r="F511" s="326"/>
      <c r="G511" s="327"/>
      <c r="H511" s="407"/>
      <c r="I511" s="326"/>
      <c r="J511" s="326"/>
      <c r="K511" s="327"/>
      <c r="L511" s="407"/>
      <c r="M511" s="326"/>
      <c r="N511" s="326"/>
      <c r="O511" s="326"/>
      <c r="P511" s="327"/>
      <c r="Q511" s="407"/>
      <c r="R511" s="326"/>
      <c r="S511" s="326"/>
      <c r="T511" s="326"/>
      <c r="U511" s="326"/>
      <c r="V511" s="326"/>
      <c r="W511" s="326"/>
      <c r="X511" s="326"/>
      <c r="Y511" s="326"/>
      <c r="Z511" s="327"/>
      <c r="AA511" s="407"/>
      <c r="AB511" s="326"/>
      <c r="AC511" s="326"/>
      <c r="AD511" s="326"/>
      <c r="AE511" s="326"/>
      <c r="AF511" s="326"/>
      <c r="AG511" s="326"/>
      <c r="AH511" s="326"/>
      <c r="AI511" s="326"/>
      <c r="AJ511" s="326"/>
      <c r="AK511" s="326"/>
      <c r="AL511" s="326"/>
      <c r="AM511" s="326"/>
      <c r="AN511" s="326"/>
      <c r="AO511" s="326"/>
      <c r="AP511" s="326"/>
      <c r="AQ511" s="327"/>
    </row>
    <row r="512" spans="1:43" ht="30" customHeight="1" x14ac:dyDescent="0.25">
      <c r="A512" s="87">
        <f t="shared" si="1"/>
        <v>500</v>
      </c>
      <c r="B512" s="381" t="s">
        <v>334</v>
      </c>
      <c r="C512" s="326"/>
      <c r="D512" s="327"/>
      <c r="E512" s="698"/>
      <c r="F512" s="326"/>
      <c r="G512" s="327"/>
      <c r="H512" s="381"/>
      <c r="I512" s="326"/>
      <c r="J512" s="326"/>
      <c r="K512" s="327"/>
      <c r="L512" s="381"/>
      <c r="M512" s="326"/>
      <c r="N512" s="326"/>
      <c r="O512" s="326"/>
      <c r="P512" s="327"/>
      <c r="Q512" s="381"/>
      <c r="R512" s="326"/>
      <c r="S512" s="326"/>
      <c r="T512" s="326"/>
      <c r="U512" s="326"/>
      <c r="V512" s="326"/>
      <c r="W512" s="326"/>
      <c r="X512" s="326"/>
      <c r="Y512" s="326"/>
      <c r="Z512" s="327"/>
      <c r="AA512" s="381"/>
      <c r="AB512" s="326"/>
      <c r="AC512" s="326"/>
      <c r="AD512" s="326"/>
      <c r="AE512" s="326"/>
      <c r="AF512" s="326"/>
      <c r="AG512" s="326"/>
      <c r="AH512" s="326"/>
      <c r="AI512" s="326"/>
      <c r="AJ512" s="326"/>
      <c r="AK512" s="326"/>
      <c r="AL512" s="326"/>
      <c r="AM512" s="326"/>
      <c r="AN512" s="326"/>
      <c r="AO512" s="326"/>
      <c r="AP512" s="326"/>
      <c r="AQ512" s="327"/>
    </row>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035">
    <mergeCell ref="E356:G356"/>
    <mergeCell ref="H356:K356"/>
    <mergeCell ref="L356:P356"/>
    <mergeCell ref="Q356:Z356"/>
    <mergeCell ref="AA356:AQ356"/>
    <mergeCell ref="B356:D356"/>
    <mergeCell ref="B357:D357"/>
    <mergeCell ref="E357:G357"/>
    <mergeCell ref="H357:K357"/>
    <mergeCell ref="L357:P357"/>
    <mergeCell ref="Q357:Z357"/>
    <mergeCell ref="AA357:AQ357"/>
    <mergeCell ref="L359:P359"/>
    <mergeCell ref="Q359:Z359"/>
    <mergeCell ref="B358:D358"/>
    <mergeCell ref="E358:G358"/>
    <mergeCell ref="H358:K358"/>
    <mergeCell ref="L358:P358"/>
    <mergeCell ref="Q358:Z358"/>
    <mergeCell ref="AA358:AQ358"/>
    <mergeCell ref="B359:D359"/>
    <mergeCell ref="AA359:AQ359"/>
    <mergeCell ref="E359:G359"/>
    <mergeCell ref="H359:K359"/>
    <mergeCell ref="E352:G352"/>
    <mergeCell ref="H352:K352"/>
    <mergeCell ref="L352:P352"/>
    <mergeCell ref="Q352:Z352"/>
    <mergeCell ref="AA352:AQ352"/>
    <mergeCell ref="B352:D352"/>
    <mergeCell ref="B353:D353"/>
    <mergeCell ref="E353:G353"/>
    <mergeCell ref="H353:K353"/>
    <mergeCell ref="L353:P353"/>
    <mergeCell ref="Q353:Z353"/>
    <mergeCell ref="AA353:AQ353"/>
    <mergeCell ref="L355:P355"/>
    <mergeCell ref="Q355:Z355"/>
    <mergeCell ref="B354:D354"/>
    <mergeCell ref="E354:G354"/>
    <mergeCell ref="H354:K354"/>
    <mergeCell ref="L354:P354"/>
    <mergeCell ref="Q354:Z354"/>
    <mergeCell ref="AA354:AQ354"/>
    <mergeCell ref="B355:D355"/>
    <mergeCell ref="AA355:AQ355"/>
    <mergeCell ref="E355:G355"/>
    <mergeCell ref="H355:K355"/>
    <mergeCell ref="E347:G347"/>
    <mergeCell ref="H347:K347"/>
    <mergeCell ref="E348:G348"/>
    <mergeCell ref="H348:K348"/>
    <mergeCell ref="L348:P348"/>
    <mergeCell ref="Q348:Z348"/>
    <mergeCell ref="AA348:AQ348"/>
    <mergeCell ref="B348:D348"/>
    <mergeCell ref="B349:D349"/>
    <mergeCell ref="E349:G349"/>
    <mergeCell ref="H349:K349"/>
    <mergeCell ref="L349:P349"/>
    <mergeCell ref="Q349:Z349"/>
    <mergeCell ref="AA349:AQ349"/>
    <mergeCell ref="L351:P351"/>
    <mergeCell ref="Q351:Z351"/>
    <mergeCell ref="B350:D350"/>
    <mergeCell ref="E350:G350"/>
    <mergeCell ref="H350:K350"/>
    <mergeCell ref="L350:P350"/>
    <mergeCell ref="Q350:Z350"/>
    <mergeCell ref="AA350:AQ350"/>
    <mergeCell ref="B351:D351"/>
    <mergeCell ref="AA351:AQ351"/>
    <mergeCell ref="E351:G351"/>
    <mergeCell ref="H351:K351"/>
    <mergeCell ref="L347:P347"/>
    <mergeCell ref="Q347:Z347"/>
    <mergeCell ref="Q335:Z335"/>
    <mergeCell ref="AA335:AQ335"/>
    <mergeCell ref="B335:D335"/>
    <mergeCell ref="B336:D336"/>
    <mergeCell ref="E336:G336"/>
    <mergeCell ref="H336:K336"/>
    <mergeCell ref="L336:P336"/>
    <mergeCell ref="Q336:Z336"/>
    <mergeCell ref="AA336:AQ336"/>
    <mergeCell ref="E338:G338"/>
    <mergeCell ref="H338:K338"/>
    <mergeCell ref="AA338:AQ338"/>
    <mergeCell ref="L342:P342"/>
    <mergeCell ref="Q342:Z342"/>
    <mergeCell ref="Q343:Z343"/>
    <mergeCell ref="AA343:AQ343"/>
    <mergeCell ref="E342:G342"/>
    <mergeCell ref="H342:K342"/>
    <mergeCell ref="B343:D343"/>
    <mergeCell ref="E343:G343"/>
    <mergeCell ref="H343:K343"/>
    <mergeCell ref="L343:P343"/>
    <mergeCell ref="L335:P335"/>
    <mergeCell ref="L340:P340"/>
    <mergeCell ref="Q340:Z340"/>
    <mergeCell ref="AA340:AQ340"/>
    <mergeCell ref="B341:D341"/>
    <mergeCell ref="E341:G341"/>
    <mergeCell ref="H341:K341"/>
    <mergeCell ref="L341:P341"/>
    <mergeCell ref="Q341:Z341"/>
    <mergeCell ref="AA341:AQ341"/>
    <mergeCell ref="B328:D328"/>
    <mergeCell ref="E328:G328"/>
    <mergeCell ref="H328:K328"/>
    <mergeCell ref="L328:P328"/>
    <mergeCell ref="Q328:Z328"/>
    <mergeCell ref="AA328:AQ328"/>
    <mergeCell ref="B329:D329"/>
    <mergeCell ref="L329:P329"/>
    <mergeCell ref="Q329:Z329"/>
    <mergeCell ref="E330:G330"/>
    <mergeCell ref="H330:K330"/>
    <mergeCell ref="L330:P330"/>
    <mergeCell ref="Q330:Z330"/>
    <mergeCell ref="AA330:AQ330"/>
    <mergeCell ref="B330:D330"/>
    <mergeCell ref="B331:D331"/>
    <mergeCell ref="E331:G331"/>
    <mergeCell ref="H331:K331"/>
    <mergeCell ref="L331:P331"/>
    <mergeCell ref="Q331:Z331"/>
    <mergeCell ref="AA331:AQ331"/>
    <mergeCell ref="B332:D332"/>
    <mergeCell ref="E332:G332"/>
    <mergeCell ref="H332:K332"/>
    <mergeCell ref="L332:P332"/>
    <mergeCell ref="Q332:Z332"/>
    <mergeCell ref="AA332:AQ332"/>
    <mergeCell ref="B333:D333"/>
    <mergeCell ref="AA333:AQ333"/>
    <mergeCell ref="E335:G335"/>
    <mergeCell ref="H335:K335"/>
    <mergeCell ref="Q326:Z326"/>
    <mergeCell ref="AA326:AQ326"/>
    <mergeCell ref="B326:D326"/>
    <mergeCell ref="B327:D327"/>
    <mergeCell ref="E327:G327"/>
    <mergeCell ref="H327:K327"/>
    <mergeCell ref="L327:P327"/>
    <mergeCell ref="Q327:Z327"/>
    <mergeCell ref="AA327:AQ327"/>
    <mergeCell ref="E329:G329"/>
    <mergeCell ref="H329:K329"/>
    <mergeCell ref="AA329:AQ329"/>
    <mergeCell ref="L333:P333"/>
    <mergeCell ref="Q333:Z333"/>
    <mergeCell ref="Q334:Z334"/>
    <mergeCell ref="AA334:AQ334"/>
    <mergeCell ref="E333:G333"/>
    <mergeCell ref="H333:K333"/>
    <mergeCell ref="B334:D334"/>
    <mergeCell ref="E334:G334"/>
    <mergeCell ref="H334:K334"/>
    <mergeCell ref="L334:P334"/>
    <mergeCell ref="L326:P326"/>
    <mergeCell ref="B319:D319"/>
    <mergeCell ref="E319:G319"/>
    <mergeCell ref="H319:K319"/>
    <mergeCell ref="L319:P319"/>
    <mergeCell ref="Q319:Z319"/>
    <mergeCell ref="AA319:AQ319"/>
    <mergeCell ref="B320:D320"/>
    <mergeCell ref="L320:P320"/>
    <mergeCell ref="Q320:Z320"/>
    <mergeCell ref="E321:G321"/>
    <mergeCell ref="H321:K321"/>
    <mergeCell ref="L321:P321"/>
    <mergeCell ref="Q321:Z321"/>
    <mergeCell ref="AA321:AQ321"/>
    <mergeCell ref="B321:D321"/>
    <mergeCell ref="B322:D322"/>
    <mergeCell ref="E322:G322"/>
    <mergeCell ref="H322:K322"/>
    <mergeCell ref="L322:P322"/>
    <mergeCell ref="Q322:Z322"/>
    <mergeCell ref="AA322:AQ322"/>
    <mergeCell ref="B323:D323"/>
    <mergeCell ref="E323:G323"/>
    <mergeCell ref="H323:K323"/>
    <mergeCell ref="L323:P323"/>
    <mergeCell ref="Q323:Z323"/>
    <mergeCell ref="AA323:AQ323"/>
    <mergeCell ref="B324:D324"/>
    <mergeCell ref="AA324:AQ324"/>
    <mergeCell ref="E326:G326"/>
    <mergeCell ref="H326:K326"/>
    <mergeCell ref="Q317:Z317"/>
    <mergeCell ref="AA317:AQ317"/>
    <mergeCell ref="B317:D317"/>
    <mergeCell ref="B318:D318"/>
    <mergeCell ref="E318:G318"/>
    <mergeCell ref="H318:K318"/>
    <mergeCell ref="L318:P318"/>
    <mergeCell ref="Q318:Z318"/>
    <mergeCell ref="AA318:AQ318"/>
    <mergeCell ref="E320:G320"/>
    <mergeCell ref="H320:K320"/>
    <mergeCell ref="AA320:AQ320"/>
    <mergeCell ref="L324:P324"/>
    <mergeCell ref="Q324:Z324"/>
    <mergeCell ref="Q325:Z325"/>
    <mergeCell ref="AA325:AQ325"/>
    <mergeCell ref="E324:G324"/>
    <mergeCell ref="H324:K324"/>
    <mergeCell ref="B325:D325"/>
    <mergeCell ref="E325:G325"/>
    <mergeCell ref="H325:K325"/>
    <mergeCell ref="L325:P325"/>
    <mergeCell ref="L317:P317"/>
    <mergeCell ref="B310:D310"/>
    <mergeCell ref="E310:G310"/>
    <mergeCell ref="H310:K310"/>
    <mergeCell ref="L310:P310"/>
    <mergeCell ref="Q310:Z310"/>
    <mergeCell ref="AA310:AQ310"/>
    <mergeCell ref="B311:D311"/>
    <mergeCell ref="L311:P311"/>
    <mergeCell ref="Q311:Z311"/>
    <mergeCell ref="E312:G312"/>
    <mergeCell ref="H312:K312"/>
    <mergeCell ref="L312:P312"/>
    <mergeCell ref="Q312:Z312"/>
    <mergeCell ref="AA312:AQ312"/>
    <mergeCell ref="B312:D312"/>
    <mergeCell ref="B313:D313"/>
    <mergeCell ref="E313:G313"/>
    <mergeCell ref="H313:K313"/>
    <mergeCell ref="L313:P313"/>
    <mergeCell ref="Q313:Z313"/>
    <mergeCell ref="AA313:AQ313"/>
    <mergeCell ref="B314:D314"/>
    <mergeCell ref="E314:G314"/>
    <mergeCell ref="H314:K314"/>
    <mergeCell ref="L314:P314"/>
    <mergeCell ref="Q314:Z314"/>
    <mergeCell ref="AA314:AQ314"/>
    <mergeCell ref="B315:D315"/>
    <mergeCell ref="AA315:AQ315"/>
    <mergeCell ref="E317:G317"/>
    <mergeCell ref="H317:K317"/>
    <mergeCell ref="Q308:Z308"/>
    <mergeCell ref="AA308:AQ308"/>
    <mergeCell ref="B308:D308"/>
    <mergeCell ref="B309:D309"/>
    <mergeCell ref="E309:G309"/>
    <mergeCell ref="H309:K309"/>
    <mergeCell ref="L309:P309"/>
    <mergeCell ref="Q309:Z309"/>
    <mergeCell ref="AA309:AQ309"/>
    <mergeCell ref="E311:G311"/>
    <mergeCell ref="H311:K311"/>
    <mergeCell ref="AA311:AQ311"/>
    <mergeCell ref="L315:P315"/>
    <mergeCell ref="Q315:Z315"/>
    <mergeCell ref="Q316:Z316"/>
    <mergeCell ref="AA316:AQ316"/>
    <mergeCell ref="E315:G315"/>
    <mergeCell ref="H315:K315"/>
    <mergeCell ref="B316:D316"/>
    <mergeCell ref="E316:G316"/>
    <mergeCell ref="H316:K316"/>
    <mergeCell ref="L316:P316"/>
    <mergeCell ref="L308:P308"/>
    <mergeCell ref="B301:D301"/>
    <mergeCell ref="E301:G301"/>
    <mergeCell ref="H301:K301"/>
    <mergeCell ref="L301:P301"/>
    <mergeCell ref="Q301:Z301"/>
    <mergeCell ref="AA301:AQ301"/>
    <mergeCell ref="B302:D302"/>
    <mergeCell ref="L302:P302"/>
    <mergeCell ref="Q302:Z302"/>
    <mergeCell ref="E303:G303"/>
    <mergeCell ref="H303:K303"/>
    <mergeCell ref="L303:P303"/>
    <mergeCell ref="Q303:Z303"/>
    <mergeCell ref="AA303:AQ303"/>
    <mergeCell ref="B303:D303"/>
    <mergeCell ref="B304:D304"/>
    <mergeCell ref="E304:G304"/>
    <mergeCell ref="H304:K304"/>
    <mergeCell ref="L304:P304"/>
    <mergeCell ref="Q304:Z304"/>
    <mergeCell ref="AA304:AQ304"/>
    <mergeCell ref="B305:D305"/>
    <mergeCell ref="E305:G305"/>
    <mergeCell ref="H305:K305"/>
    <mergeCell ref="L305:P305"/>
    <mergeCell ref="Q305:Z305"/>
    <mergeCell ref="AA305:AQ305"/>
    <mergeCell ref="B306:D306"/>
    <mergeCell ref="AA306:AQ306"/>
    <mergeCell ref="E308:G308"/>
    <mergeCell ref="H308:K308"/>
    <mergeCell ref="E299:G299"/>
    <mergeCell ref="H299:K299"/>
    <mergeCell ref="Q299:Z299"/>
    <mergeCell ref="AA299:AQ299"/>
    <mergeCell ref="B299:D299"/>
    <mergeCell ref="B300:D300"/>
    <mergeCell ref="E300:G300"/>
    <mergeCell ref="H300:K300"/>
    <mergeCell ref="L300:P300"/>
    <mergeCell ref="Q300:Z300"/>
    <mergeCell ref="AA300:AQ300"/>
    <mergeCell ref="E302:G302"/>
    <mergeCell ref="H302:K302"/>
    <mergeCell ref="AA302:AQ302"/>
    <mergeCell ref="L306:P306"/>
    <mergeCell ref="Q306:Z306"/>
    <mergeCell ref="Q307:Z307"/>
    <mergeCell ref="AA307:AQ307"/>
    <mergeCell ref="E306:G306"/>
    <mergeCell ref="H306:K306"/>
    <mergeCell ref="B307:D307"/>
    <mergeCell ref="E307:G307"/>
    <mergeCell ref="H307:K307"/>
    <mergeCell ref="L307:P307"/>
    <mergeCell ref="Q298:Z298"/>
    <mergeCell ref="AA298:AQ298"/>
    <mergeCell ref="E297:G297"/>
    <mergeCell ref="H297:K297"/>
    <mergeCell ref="B298:D298"/>
    <mergeCell ref="E298:G298"/>
    <mergeCell ref="H298:K298"/>
    <mergeCell ref="L298:P298"/>
    <mergeCell ref="L299:P299"/>
    <mergeCell ref="B292:D292"/>
    <mergeCell ref="E292:G292"/>
    <mergeCell ref="H292:K292"/>
    <mergeCell ref="L292:P292"/>
    <mergeCell ref="Q292:Z292"/>
    <mergeCell ref="AA292:AQ292"/>
    <mergeCell ref="B293:D293"/>
    <mergeCell ref="L293:P293"/>
    <mergeCell ref="Q293:Z293"/>
    <mergeCell ref="E294:G294"/>
    <mergeCell ref="H294:K294"/>
    <mergeCell ref="L294:P294"/>
    <mergeCell ref="Q294:Z294"/>
    <mergeCell ref="AA294:AQ294"/>
    <mergeCell ref="B294:D294"/>
    <mergeCell ref="B295:D295"/>
    <mergeCell ref="E295:G295"/>
    <mergeCell ref="H295:K295"/>
    <mergeCell ref="L295:P295"/>
    <mergeCell ref="Q295:Z295"/>
    <mergeCell ref="AA295:AQ295"/>
    <mergeCell ref="B296:D296"/>
    <mergeCell ref="E296:G296"/>
    <mergeCell ref="B288:D288"/>
    <mergeCell ref="AA288:AQ288"/>
    <mergeCell ref="E290:G290"/>
    <mergeCell ref="H290:K290"/>
    <mergeCell ref="Q290:Z290"/>
    <mergeCell ref="AA290:AQ290"/>
    <mergeCell ref="B290:D290"/>
    <mergeCell ref="B291:D291"/>
    <mergeCell ref="E291:G291"/>
    <mergeCell ref="H291:K291"/>
    <mergeCell ref="L291:P291"/>
    <mergeCell ref="Q291:Z291"/>
    <mergeCell ref="AA291:AQ291"/>
    <mergeCell ref="E293:G293"/>
    <mergeCell ref="H293:K293"/>
    <mergeCell ref="AA293:AQ293"/>
    <mergeCell ref="L297:P297"/>
    <mergeCell ref="Q297:Z297"/>
    <mergeCell ref="H296:K296"/>
    <mergeCell ref="L296:P296"/>
    <mergeCell ref="Q296:Z296"/>
    <mergeCell ref="AA296:AQ296"/>
    <mergeCell ref="B297:D297"/>
    <mergeCell ref="AA297:AQ297"/>
    <mergeCell ref="B289:D289"/>
    <mergeCell ref="E289:G289"/>
    <mergeCell ref="H289:K289"/>
    <mergeCell ref="L289:P289"/>
    <mergeCell ref="L290:P290"/>
    <mergeCell ref="B283:D283"/>
    <mergeCell ref="E283:G283"/>
    <mergeCell ref="H283:K283"/>
    <mergeCell ref="L283:P283"/>
    <mergeCell ref="Q283:Z283"/>
    <mergeCell ref="AA283:AQ283"/>
    <mergeCell ref="B284:D284"/>
    <mergeCell ref="L284:P284"/>
    <mergeCell ref="Q284:Z284"/>
    <mergeCell ref="E285:G285"/>
    <mergeCell ref="H285:K285"/>
    <mergeCell ref="L285:P285"/>
    <mergeCell ref="Q285:Z285"/>
    <mergeCell ref="AA285:AQ285"/>
    <mergeCell ref="B285:D285"/>
    <mergeCell ref="B286:D286"/>
    <mergeCell ref="E286:G286"/>
    <mergeCell ref="H286:K286"/>
    <mergeCell ref="L286:P286"/>
    <mergeCell ref="Q286:Z286"/>
    <mergeCell ref="AA286:AQ286"/>
    <mergeCell ref="B287:D287"/>
    <mergeCell ref="E287:G287"/>
    <mergeCell ref="H287:K287"/>
    <mergeCell ref="L287:P287"/>
    <mergeCell ref="Q287:Z287"/>
    <mergeCell ref="AA287:AQ287"/>
    <mergeCell ref="B278:D278"/>
    <mergeCell ref="E278:G278"/>
    <mergeCell ref="H278:K278"/>
    <mergeCell ref="L278:P278"/>
    <mergeCell ref="Q278:Z278"/>
    <mergeCell ref="AA278:AQ278"/>
    <mergeCell ref="L280:P280"/>
    <mergeCell ref="Q280:Z280"/>
    <mergeCell ref="B279:D279"/>
    <mergeCell ref="E279:G279"/>
    <mergeCell ref="H279:K279"/>
    <mergeCell ref="L279:P279"/>
    <mergeCell ref="Q279:Z279"/>
    <mergeCell ref="AA279:AQ279"/>
    <mergeCell ref="B280:D280"/>
    <mergeCell ref="AA280:AQ280"/>
    <mergeCell ref="E280:G280"/>
    <mergeCell ref="H280:K280"/>
    <mergeCell ref="E281:G281"/>
    <mergeCell ref="H281:K281"/>
    <mergeCell ref="L281:P281"/>
    <mergeCell ref="Q281:Z281"/>
    <mergeCell ref="AA281:AQ281"/>
    <mergeCell ref="B281:D281"/>
    <mergeCell ref="B282:D282"/>
    <mergeCell ref="E282:G282"/>
    <mergeCell ref="B346:D346"/>
    <mergeCell ref="E346:G346"/>
    <mergeCell ref="H346:K346"/>
    <mergeCell ref="L346:P346"/>
    <mergeCell ref="Q346:Z346"/>
    <mergeCell ref="AA346:AQ346"/>
    <mergeCell ref="B347:D347"/>
    <mergeCell ref="AA347:AQ347"/>
    <mergeCell ref="L288:P288"/>
    <mergeCell ref="Q288:Z288"/>
    <mergeCell ref="Q289:Z289"/>
    <mergeCell ref="AA289:AQ289"/>
    <mergeCell ref="E288:G288"/>
    <mergeCell ref="H288:K288"/>
    <mergeCell ref="L276:P276"/>
    <mergeCell ref="Q276:Z276"/>
    <mergeCell ref="B275:D275"/>
    <mergeCell ref="E275:G275"/>
    <mergeCell ref="H275:K275"/>
    <mergeCell ref="L275:P275"/>
    <mergeCell ref="Q275:Z275"/>
    <mergeCell ref="AA275:AQ275"/>
    <mergeCell ref="B276:D276"/>
    <mergeCell ref="AA276:AQ276"/>
    <mergeCell ref="E276:G276"/>
    <mergeCell ref="H276:K276"/>
    <mergeCell ref="E277:G277"/>
    <mergeCell ref="H277:K277"/>
    <mergeCell ref="L277:P277"/>
    <mergeCell ref="Q277:Z277"/>
    <mergeCell ref="AA277:AQ277"/>
    <mergeCell ref="B277:D277"/>
    <mergeCell ref="E271:G271"/>
    <mergeCell ref="H271:K271"/>
    <mergeCell ref="L271:P271"/>
    <mergeCell ref="Q271:Z271"/>
    <mergeCell ref="AA271:AQ271"/>
    <mergeCell ref="B272:D272"/>
    <mergeCell ref="AA272:AQ272"/>
    <mergeCell ref="E272:G272"/>
    <mergeCell ref="H272:K272"/>
    <mergeCell ref="E273:G273"/>
    <mergeCell ref="H273:K273"/>
    <mergeCell ref="L273:P273"/>
    <mergeCell ref="Q273:Z273"/>
    <mergeCell ref="AA273:AQ273"/>
    <mergeCell ref="B273:D273"/>
    <mergeCell ref="B274:D274"/>
    <mergeCell ref="E274:G274"/>
    <mergeCell ref="H274:K274"/>
    <mergeCell ref="L274:P274"/>
    <mergeCell ref="Q274:Z274"/>
    <mergeCell ref="AA274:AQ274"/>
    <mergeCell ref="AA251:AQ251"/>
    <mergeCell ref="E253:G253"/>
    <mergeCell ref="H253:K253"/>
    <mergeCell ref="Q253:Z253"/>
    <mergeCell ref="AA253:AQ253"/>
    <mergeCell ref="B253:D253"/>
    <mergeCell ref="B254:D254"/>
    <mergeCell ref="E254:G254"/>
    <mergeCell ref="H254:K254"/>
    <mergeCell ref="L254:P254"/>
    <mergeCell ref="Q254:Z254"/>
    <mergeCell ref="AA254:AQ254"/>
    <mergeCell ref="E284:G284"/>
    <mergeCell ref="H284:K284"/>
    <mergeCell ref="AA284:AQ284"/>
    <mergeCell ref="E268:G268"/>
    <mergeCell ref="H268:K268"/>
    <mergeCell ref="E269:G269"/>
    <mergeCell ref="H269:K269"/>
    <mergeCell ref="L269:P269"/>
    <mergeCell ref="Q269:Z269"/>
    <mergeCell ref="AA269:AQ269"/>
    <mergeCell ref="B269:D269"/>
    <mergeCell ref="B270:D270"/>
    <mergeCell ref="E270:G270"/>
    <mergeCell ref="H270:K270"/>
    <mergeCell ref="L270:P270"/>
    <mergeCell ref="Q270:Z270"/>
    <mergeCell ref="AA270:AQ270"/>
    <mergeCell ref="L272:P272"/>
    <mergeCell ref="Q272:Z272"/>
    <mergeCell ref="B271:D271"/>
    <mergeCell ref="H282:K282"/>
    <mergeCell ref="L282:P282"/>
    <mergeCell ref="Q282:Z282"/>
    <mergeCell ref="AA282:AQ282"/>
    <mergeCell ref="B246:D246"/>
    <mergeCell ref="E246:G246"/>
    <mergeCell ref="H246:K246"/>
    <mergeCell ref="L246:P246"/>
    <mergeCell ref="Q246:Z246"/>
    <mergeCell ref="AA246:AQ246"/>
    <mergeCell ref="B247:D247"/>
    <mergeCell ref="L247:P247"/>
    <mergeCell ref="Q247:Z247"/>
    <mergeCell ref="E248:G248"/>
    <mergeCell ref="H248:K248"/>
    <mergeCell ref="L248:P248"/>
    <mergeCell ref="Q248:Z248"/>
    <mergeCell ref="AA248:AQ248"/>
    <mergeCell ref="B248:D248"/>
    <mergeCell ref="B249:D249"/>
    <mergeCell ref="E249:G249"/>
    <mergeCell ref="H249:K249"/>
    <mergeCell ref="E265:G265"/>
    <mergeCell ref="H265:K265"/>
    <mergeCell ref="L265:P265"/>
    <mergeCell ref="Q265:Z265"/>
    <mergeCell ref="AA265:AQ265"/>
    <mergeCell ref="B265:D265"/>
    <mergeCell ref="B266:D266"/>
    <mergeCell ref="E266:G266"/>
    <mergeCell ref="H266:K266"/>
    <mergeCell ref="L266:P266"/>
    <mergeCell ref="Q266:Z266"/>
    <mergeCell ref="AA266:AQ266"/>
    <mergeCell ref="L268:P268"/>
    <mergeCell ref="Q268:Z268"/>
    <mergeCell ref="B267:D267"/>
    <mergeCell ref="E267:G267"/>
    <mergeCell ref="H267:K267"/>
    <mergeCell ref="L267:P267"/>
    <mergeCell ref="Q267:Z267"/>
    <mergeCell ref="AA267:AQ267"/>
    <mergeCell ref="B268:D268"/>
    <mergeCell ref="AA268:AQ268"/>
    <mergeCell ref="E261:G261"/>
    <mergeCell ref="H261:K261"/>
    <mergeCell ref="L261:P261"/>
    <mergeCell ref="Q261:Z261"/>
    <mergeCell ref="AA261:AQ261"/>
    <mergeCell ref="B261:D261"/>
    <mergeCell ref="B262:D262"/>
    <mergeCell ref="E262:G262"/>
    <mergeCell ref="H262:K262"/>
    <mergeCell ref="L262:P262"/>
    <mergeCell ref="Q262:Z262"/>
    <mergeCell ref="AA262:AQ262"/>
    <mergeCell ref="L264:P264"/>
    <mergeCell ref="Q264:Z264"/>
    <mergeCell ref="B263:D263"/>
    <mergeCell ref="E263:G263"/>
    <mergeCell ref="H263:K263"/>
    <mergeCell ref="L263:P263"/>
    <mergeCell ref="Q263:Z263"/>
    <mergeCell ref="AA263:AQ263"/>
    <mergeCell ref="B264:D264"/>
    <mergeCell ref="AA264:AQ264"/>
    <mergeCell ref="E264:G264"/>
    <mergeCell ref="H264:K264"/>
    <mergeCell ref="L253:P253"/>
    <mergeCell ref="E256:G256"/>
    <mergeCell ref="H256:K256"/>
    <mergeCell ref="E257:G257"/>
    <mergeCell ref="H257:K257"/>
    <mergeCell ref="L257:P257"/>
    <mergeCell ref="Q257:Z257"/>
    <mergeCell ref="AA257:AQ257"/>
    <mergeCell ref="B257:D257"/>
    <mergeCell ref="B258:D258"/>
    <mergeCell ref="E258:G258"/>
    <mergeCell ref="H258:K258"/>
    <mergeCell ref="L258:P258"/>
    <mergeCell ref="Q258:Z258"/>
    <mergeCell ref="AA258:AQ258"/>
    <mergeCell ref="L260:P260"/>
    <mergeCell ref="Q260:Z260"/>
    <mergeCell ref="B259:D259"/>
    <mergeCell ref="E259:G259"/>
    <mergeCell ref="H259:K259"/>
    <mergeCell ref="L259:P259"/>
    <mergeCell ref="Q259:Z259"/>
    <mergeCell ref="AA259:AQ259"/>
    <mergeCell ref="B260:D260"/>
    <mergeCell ref="AA260:AQ260"/>
    <mergeCell ref="E260:G260"/>
    <mergeCell ref="H260:K260"/>
    <mergeCell ref="L256:P256"/>
    <mergeCell ref="Q244:Z244"/>
    <mergeCell ref="AA244:AQ244"/>
    <mergeCell ref="B244:D244"/>
    <mergeCell ref="B245:D245"/>
    <mergeCell ref="E245:G245"/>
    <mergeCell ref="H245:K245"/>
    <mergeCell ref="L245:P245"/>
    <mergeCell ref="Q245:Z245"/>
    <mergeCell ref="AA245:AQ245"/>
    <mergeCell ref="E247:G247"/>
    <mergeCell ref="H247:K247"/>
    <mergeCell ref="AA247:AQ247"/>
    <mergeCell ref="L251:P251"/>
    <mergeCell ref="Q251:Z251"/>
    <mergeCell ref="Q252:Z252"/>
    <mergeCell ref="AA252:AQ252"/>
    <mergeCell ref="E251:G251"/>
    <mergeCell ref="H251:K251"/>
    <mergeCell ref="B252:D252"/>
    <mergeCell ref="E252:G252"/>
    <mergeCell ref="H252:K252"/>
    <mergeCell ref="L252:P252"/>
    <mergeCell ref="L249:P249"/>
    <mergeCell ref="Q249:Z249"/>
    <mergeCell ref="AA249:AQ249"/>
    <mergeCell ref="B250:D250"/>
    <mergeCell ref="E250:G250"/>
    <mergeCell ref="H250:K250"/>
    <mergeCell ref="L250:P250"/>
    <mergeCell ref="Q250:Z250"/>
    <mergeCell ref="AA250:AQ250"/>
    <mergeCell ref="B251:D251"/>
    <mergeCell ref="L244:P244"/>
    <mergeCell ref="B237:D237"/>
    <mergeCell ref="E237:G237"/>
    <mergeCell ref="H237:K237"/>
    <mergeCell ref="L237:P237"/>
    <mergeCell ref="Q237:Z237"/>
    <mergeCell ref="AA237:AQ237"/>
    <mergeCell ref="B238:D238"/>
    <mergeCell ref="L238:P238"/>
    <mergeCell ref="Q238:Z238"/>
    <mergeCell ref="E239:G239"/>
    <mergeCell ref="H239:K239"/>
    <mergeCell ref="L239:P239"/>
    <mergeCell ref="Q239:Z239"/>
    <mergeCell ref="AA239:AQ239"/>
    <mergeCell ref="B239:D239"/>
    <mergeCell ref="B240:D240"/>
    <mergeCell ref="E240:G240"/>
    <mergeCell ref="H240:K240"/>
    <mergeCell ref="L240:P240"/>
    <mergeCell ref="Q240:Z240"/>
    <mergeCell ref="AA240:AQ240"/>
    <mergeCell ref="B241:D241"/>
    <mergeCell ref="E241:G241"/>
    <mergeCell ref="H241:K241"/>
    <mergeCell ref="L241:P241"/>
    <mergeCell ref="Q241:Z241"/>
    <mergeCell ref="AA241:AQ241"/>
    <mergeCell ref="B242:D242"/>
    <mergeCell ref="AA242:AQ242"/>
    <mergeCell ref="E244:G244"/>
    <mergeCell ref="H244:K244"/>
    <mergeCell ref="Q235:Z235"/>
    <mergeCell ref="AA235:AQ235"/>
    <mergeCell ref="B235:D235"/>
    <mergeCell ref="B236:D236"/>
    <mergeCell ref="E236:G236"/>
    <mergeCell ref="H236:K236"/>
    <mergeCell ref="L236:P236"/>
    <mergeCell ref="Q236:Z236"/>
    <mergeCell ref="AA236:AQ236"/>
    <mergeCell ref="E238:G238"/>
    <mergeCell ref="H238:K238"/>
    <mergeCell ref="AA238:AQ238"/>
    <mergeCell ref="L242:P242"/>
    <mergeCell ref="Q242:Z242"/>
    <mergeCell ref="Q243:Z243"/>
    <mergeCell ref="AA243:AQ243"/>
    <mergeCell ref="E242:G242"/>
    <mergeCell ref="H242:K242"/>
    <mergeCell ref="B243:D243"/>
    <mergeCell ref="E243:G243"/>
    <mergeCell ref="H243:K243"/>
    <mergeCell ref="L243:P243"/>
    <mergeCell ref="L235:P235"/>
    <mergeCell ref="B228:D228"/>
    <mergeCell ref="E228:G228"/>
    <mergeCell ref="H228:K228"/>
    <mergeCell ref="L228:P228"/>
    <mergeCell ref="Q228:Z228"/>
    <mergeCell ref="AA228:AQ228"/>
    <mergeCell ref="B229:D229"/>
    <mergeCell ref="L229:P229"/>
    <mergeCell ref="Q229:Z229"/>
    <mergeCell ref="E230:G230"/>
    <mergeCell ref="H230:K230"/>
    <mergeCell ref="L230:P230"/>
    <mergeCell ref="Q230:Z230"/>
    <mergeCell ref="AA230:AQ230"/>
    <mergeCell ref="B230:D230"/>
    <mergeCell ref="B231:D231"/>
    <mergeCell ref="E231:G231"/>
    <mergeCell ref="H231:K231"/>
    <mergeCell ref="L231:P231"/>
    <mergeCell ref="Q231:Z231"/>
    <mergeCell ref="AA231:AQ231"/>
    <mergeCell ref="B232:D232"/>
    <mergeCell ref="E232:G232"/>
    <mergeCell ref="H232:K232"/>
    <mergeCell ref="L232:P232"/>
    <mergeCell ref="Q232:Z232"/>
    <mergeCell ref="AA232:AQ232"/>
    <mergeCell ref="B233:D233"/>
    <mergeCell ref="AA233:AQ233"/>
    <mergeCell ref="E235:G235"/>
    <mergeCell ref="H235:K235"/>
    <mergeCell ref="Q226:Z226"/>
    <mergeCell ref="AA226:AQ226"/>
    <mergeCell ref="B226:D226"/>
    <mergeCell ref="B227:D227"/>
    <mergeCell ref="E227:G227"/>
    <mergeCell ref="H227:K227"/>
    <mergeCell ref="L227:P227"/>
    <mergeCell ref="Q227:Z227"/>
    <mergeCell ref="AA227:AQ227"/>
    <mergeCell ref="E229:G229"/>
    <mergeCell ref="H229:K229"/>
    <mergeCell ref="AA229:AQ229"/>
    <mergeCell ref="L233:P233"/>
    <mergeCell ref="Q233:Z233"/>
    <mergeCell ref="Q234:Z234"/>
    <mergeCell ref="AA234:AQ234"/>
    <mergeCell ref="E233:G233"/>
    <mergeCell ref="H233:K233"/>
    <mergeCell ref="B234:D234"/>
    <mergeCell ref="E234:G234"/>
    <mergeCell ref="H234:K234"/>
    <mergeCell ref="L234:P234"/>
    <mergeCell ref="L226:P226"/>
    <mergeCell ref="B219:D219"/>
    <mergeCell ref="E219:G219"/>
    <mergeCell ref="H219:K219"/>
    <mergeCell ref="L219:P219"/>
    <mergeCell ref="Q219:Z219"/>
    <mergeCell ref="AA219:AQ219"/>
    <mergeCell ref="B220:D220"/>
    <mergeCell ref="L220:P220"/>
    <mergeCell ref="Q220:Z220"/>
    <mergeCell ref="E221:G221"/>
    <mergeCell ref="H221:K221"/>
    <mergeCell ref="L221:P221"/>
    <mergeCell ref="Q221:Z221"/>
    <mergeCell ref="AA221:AQ221"/>
    <mergeCell ref="B221:D221"/>
    <mergeCell ref="B222:D222"/>
    <mergeCell ref="E222:G222"/>
    <mergeCell ref="H222:K222"/>
    <mergeCell ref="L222:P222"/>
    <mergeCell ref="Q222:Z222"/>
    <mergeCell ref="AA222:AQ222"/>
    <mergeCell ref="B223:D223"/>
    <mergeCell ref="E223:G223"/>
    <mergeCell ref="H223:K223"/>
    <mergeCell ref="L223:P223"/>
    <mergeCell ref="Q223:Z223"/>
    <mergeCell ref="AA223:AQ223"/>
    <mergeCell ref="B224:D224"/>
    <mergeCell ref="AA224:AQ224"/>
    <mergeCell ref="E226:G226"/>
    <mergeCell ref="H226:K226"/>
    <mergeCell ref="Q217:Z217"/>
    <mergeCell ref="AA217:AQ217"/>
    <mergeCell ref="B217:D217"/>
    <mergeCell ref="B218:D218"/>
    <mergeCell ref="E218:G218"/>
    <mergeCell ref="H218:K218"/>
    <mergeCell ref="L218:P218"/>
    <mergeCell ref="Q218:Z218"/>
    <mergeCell ref="AA218:AQ218"/>
    <mergeCell ref="E220:G220"/>
    <mergeCell ref="H220:K220"/>
    <mergeCell ref="AA220:AQ220"/>
    <mergeCell ref="L224:P224"/>
    <mergeCell ref="Q224:Z224"/>
    <mergeCell ref="Q225:Z225"/>
    <mergeCell ref="AA225:AQ225"/>
    <mergeCell ref="E224:G224"/>
    <mergeCell ref="H224:K224"/>
    <mergeCell ref="B225:D225"/>
    <mergeCell ref="E225:G225"/>
    <mergeCell ref="H225:K225"/>
    <mergeCell ref="L225:P225"/>
    <mergeCell ref="L217:P217"/>
    <mergeCell ref="B210:D210"/>
    <mergeCell ref="E210:G210"/>
    <mergeCell ref="H210:K210"/>
    <mergeCell ref="L210:P210"/>
    <mergeCell ref="Q210:Z210"/>
    <mergeCell ref="AA210:AQ210"/>
    <mergeCell ref="B211:D211"/>
    <mergeCell ref="L211:P211"/>
    <mergeCell ref="Q211:Z211"/>
    <mergeCell ref="E212:G212"/>
    <mergeCell ref="H212:K212"/>
    <mergeCell ref="L212:P212"/>
    <mergeCell ref="Q212:Z212"/>
    <mergeCell ref="AA212:AQ212"/>
    <mergeCell ref="B212:D212"/>
    <mergeCell ref="B213:D213"/>
    <mergeCell ref="E213:G213"/>
    <mergeCell ref="H213:K213"/>
    <mergeCell ref="L213:P213"/>
    <mergeCell ref="Q213:Z213"/>
    <mergeCell ref="AA213:AQ213"/>
    <mergeCell ref="B214:D214"/>
    <mergeCell ref="E214:G214"/>
    <mergeCell ref="H214:K214"/>
    <mergeCell ref="L214:P214"/>
    <mergeCell ref="Q214:Z214"/>
    <mergeCell ref="AA214:AQ214"/>
    <mergeCell ref="B215:D215"/>
    <mergeCell ref="AA215:AQ215"/>
    <mergeCell ref="E217:G217"/>
    <mergeCell ref="H217:K217"/>
    <mergeCell ref="E208:G208"/>
    <mergeCell ref="H208:K208"/>
    <mergeCell ref="Q208:Z208"/>
    <mergeCell ref="AA208:AQ208"/>
    <mergeCell ref="B208:D208"/>
    <mergeCell ref="B209:D209"/>
    <mergeCell ref="E209:G209"/>
    <mergeCell ref="H209:K209"/>
    <mergeCell ref="L209:P209"/>
    <mergeCell ref="Q209:Z209"/>
    <mergeCell ref="AA209:AQ209"/>
    <mergeCell ref="E211:G211"/>
    <mergeCell ref="H211:K211"/>
    <mergeCell ref="AA211:AQ211"/>
    <mergeCell ref="L215:P215"/>
    <mergeCell ref="Q215:Z215"/>
    <mergeCell ref="Q216:Z216"/>
    <mergeCell ref="AA216:AQ216"/>
    <mergeCell ref="E215:G215"/>
    <mergeCell ref="H215:K215"/>
    <mergeCell ref="B216:D216"/>
    <mergeCell ref="E216:G216"/>
    <mergeCell ref="H216:K216"/>
    <mergeCell ref="L216:P216"/>
    <mergeCell ref="Q207:Z207"/>
    <mergeCell ref="AA207:AQ207"/>
    <mergeCell ref="E206:G206"/>
    <mergeCell ref="H206:K206"/>
    <mergeCell ref="B207:D207"/>
    <mergeCell ref="E207:G207"/>
    <mergeCell ref="H207:K207"/>
    <mergeCell ref="L207:P207"/>
    <mergeCell ref="L208:P208"/>
    <mergeCell ref="B201:D201"/>
    <mergeCell ref="E201:G201"/>
    <mergeCell ref="H201:K201"/>
    <mergeCell ref="L201:P201"/>
    <mergeCell ref="Q201:Z201"/>
    <mergeCell ref="AA201:AQ201"/>
    <mergeCell ref="B202:D202"/>
    <mergeCell ref="L202:P202"/>
    <mergeCell ref="Q202:Z202"/>
    <mergeCell ref="E203:G203"/>
    <mergeCell ref="H203:K203"/>
    <mergeCell ref="L203:P203"/>
    <mergeCell ref="Q203:Z203"/>
    <mergeCell ref="AA203:AQ203"/>
    <mergeCell ref="B203:D203"/>
    <mergeCell ref="B204:D204"/>
    <mergeCell ref="E204:G204"/>
    <mergeCell ref="H204:K204"/>
    <mergeCell ref="L204:P204"/>
    <mergeCell ref="Q204:Z204"/>
    <mergeCell ref="AA204:AQ204"/>
    <mergeCell ref="L193:P193"/>
    <mergeCell ref="Q193:Z193"/>
    <mergeCell ref="E194:G194"/>
    <mergeCell ref="H194:K194"/>
    <mergeCell ref="L194:P194"/>
    <mergeCell ref="Q194:Z194"/>
    <mergeCell ref="AA194:AQ194"/>
    <mergeCell ref="B194:D194"/>
    <mergeCell ref="B195:D195"/>
    <mergeCell ref="E195:G195"/>
    <mergeCell ref="H195:K195"/>
    <mergeCell ref="L195:P195"/>
    <mergeCell ref="B205:D205"/>
    <mergeCell ref="E205:G205"/>
    <mergeCell ref="B197:D197"/>
    <mergeCell ref="AA197:AQ197"/>
    <mergeCell ref="E199:G199"/>
    <mergeCell ref="H199:K199"/>
    <mergeCell ref="Q199:Z199"/>
    <mergeCell ref="AA199:AQ199"/>
    <mergeCell ref="B199:D199"/>
    <mergeCell ref="B200:D200"/>
    <mergeCell ref="E200:G200"/>
    <mergeCell ref="H200:K200"/>
    <mergeCell ref="L200:P200"/>
    <mergeCell ref="Q200:Z200"/>
    <mergeCell ref="AA200:AQ200"/>
    <mergeCell ref="E202:G202"/>
    <mergeCell ref="H202:K202"/>
    <mergeCell ref="AA202:AQ202"/>
    <mergeCell ref="Q187:Z187"/>
    <mergeCell ref="AA187:AQ187"/>
    <mergeCell ref="L189:P189"/>
    <mergeCell ref="Q189:Z189"/>
    <mergeCell ref="B188:D188"/>
    <mergeCell ref="E188:G188"/>
    <mergeCell ref="H188:K188"/>
    <mergeCell ref="L188:P188"/>
    <mergeCell ref="Q188:Z188"/>
    <mergeCell ref="AA188:AQ188"/>
    <mergeCell ref="B189:D189"/>
    <mergeCell ref="AA189:AQ189"/>
    <mergeCell ref="L206:P206"/>
    <mergeCell ref="Q206:Z206"/>
    <mergeCell ref="H205:K205"/>
    <mergeCell ref="L205:P205"/>
    <mergeCell ref="Q205:Z205"/>
    <mergeCell ref="AA205:AQ205"/>
    <mergeCell ref="B206:D206"/>
    <mergeCell ref="AA206:AQ206"/>
    <mergeCell ref="B198:D198"/>
    <mergeCell ref="E198:G198"/>
    <mergeCell ref="H198:K198"/>
    <mergeCell ref="L198:P198"/>
    <mergeCell ref="L199:P199"/>
    <mergeCell ref="B192:D192"/>
    <mergeCell ref="E192:G192"/>
    <mergeCell ref="H192:K192"/>
    <mergeCell ref="L192:P192"/>
    <mergeCell ref="Q192:Z192"/>
    <mergeCell ref="AA192:AQ192"/>
    <mergeCell ref="B193:D193"/>
    <mergeCell ref="Q256:Z256"/>
    <mergeCell ref="B255:D255"/>
    <mergeCell ref="E255:G255"/>
    <mergeCell ref="H255:K255"/>
    <mergeCell ref="L255:P255"/>
    <mergeCell ref="Q255:Z255"/>
    <mergeCell ref="AA255:AQ255"/>
    <mergeCell ref="B256:D256"/>
    <mergeCell ref="AA256:AQ256"/>
    <mergeCell ref="L197:P197"/>
    <mergeCell ref="Q197:Z197"/>
    <mergeCell ref="Q198:Z198"/>
    <mergeCell ref="AA198:AQ198"/>
    <mergeCell ref="E197:G197"/>
    <mergeCell ref="H197:K197"/>
    <mergeCell ref="L185:P185"/>
    <mergeCell ref="Q185:Z185"/>
    <mergeCell ref="E193:G193"/>
    <mergeCell ref="H193:K193"/>
    <mergeCell ref="AA193:AQ193"/>
    <mergeCell ref="Q195:Z195"/>
    <mergeCell ref="AA195:AQ195"/>
    <mergeCell ref="B196:D196"/>
    <mergeCell ref="E196:G196"/>
    <mergeCell ref="H196:K196"/>
    <mergeCell ref="L196:P196"/>
    <mergeCell ref="Q196:Z196"/>
    <mergeCell ref="AA196:AQ196"/>
    <mergeCell ref="B187:D187"/>
    <mergeCell ref="E187:G187"/>
    <mergeCell ref="H187:K187"/>
    <mergeCell ref="L187:P187"/>
    <mergeCell ref="B184:D184"/>
    <mergeCell ref="E184:G184"/>
    <mergeCell ref="H184:K184"/>
    <mergeCell ref="L184:P184"/>
    <mergeCell ref="Q184:Z184"/>
    <mergeCell ref="AA184:AQ184"/>
    <mergeCell ref="B185:D185"/>
    <mergeCell ref="AA185:AQ185"/>
    <mergeCell ref="E185:G185"/>
    <mergeCell ref="H185:K185"/>
    <mergeCell ref="E186:G186"/>
    <mergeCell ref="H186:K186"/>
    <mergeCell ref="L186:P186"/>
    <mergeCell ref="Q186:Z186"/>
    <mergeCell ref="AA186:AQ186"/>
    <mergeCell ref="B186:D186"/>
    <mergeCell ref="E180:G180"/>
    <mergeCell ref="H180:K180"/>
    <mergeCell ref="L180:P180"/>
    <mergeCell ref="Q180:Z180"/>
    <mergeCell ref="AA180:AQ180"/>
    <mergeCell ref="B181:D181"/>
    <mergeCell ref="AA181:AQ181"/>
    <mergeCell ref="E181:G181"/>
    <mergeCell ref="H181:K181"/>
    <mergeCell ref="E182:G182"/>
    <mergeCell ref="H182:K182"/>
    <mergeCell ref="L182:P182"/>
    <mergeCell ref="Q182:Z182"/>
    <mergeCell ref="AA182:AQ182"/>
    <mergeCell ref="B182:D182"/>
    <mergeCell ref="B183:D183"/>
    <mergeCell ref="E183:G183"/>
    <mergeCell ref="H183:K183"/>
    <mergeCell ref="L183:P183"/>
    <mergeCell ref="Q183:Z183"/>
    <mergeCell ref="AA183:AQ183"/>
    <mergeCell ref="AA160:AQ160"/>
    <mergeCell ref="E162:G162"/>
    <mergeCell ref="H162:K162"/>
    <mergeCell ref="Q162:Z162"/>
    <mergeCell ref="AA162:AQ162"/>
    <mergeCell ref="B162:D162"/>
    <mergeCell ref="B163:D163"/>
    <mergeCell ref="E163:G163"/>
    <mergeCell ref="H163:K163"/>
    <mergeCell ref="L163:P163"/>
    <mergeCell ref="Q163:Z163"/>
    <mergeCell ref="AA163:AQ163"/>
    <mergeCell ref="E177:G177"/>
    <mergeCell ref="H177:K177"/>
    <mergeCell ref="E178:G178"/>
    <mergeCell ref="H178:K178"/>
    <mergeCell ref="L178:P178"/>
    <mergeCell ref="Q178:Z178"/>
    <mergeCell ref="AA178:AQ178"/>
    <mergeCell ref="B178:D178"/>
    <mergeCell ref="B179:D179"/>
    <mergeCell ref="E179:G179"/>
    <mergeCell ref="H179:K179"/>
    <mergeCell ref="L179:P179"/>
    <mergeCell ref="Q179:Z179"/>
    <mergeCell ref="AA179:AQ179"/>
    <mergeCell ref="L181:P181"/>
    <mergeCell ref="Q181:Z181"/>
    <mergeCell ref="B180:D180"/>
    <mergeCell ref="E189:G189"/>
    <mergeCell ref="H189:K189"/>
    <mergeCell ref="E190:G190"/>
    <mergeCell ref="H190:K190"/>
    <mergeCell ref="L190:P190"/>
    <mergeCell ref="Q190:Z190"/>
    <mergeCell ref="AA190:AQ190"/>
    <mergeCell ref="B190:D190"/>
    <mergeCell ref="B191:D191"/>
    <mergeCell ref="E191:G191"/>
    <mergeCell ref="H191:K191"/>
    <mergeCell ref="L191:P191"/>
    <mergeCell ref="Q191:Z191"/>
    <mergeCell ref="AA191:AQ191"/>
    <mergeCell ref="B155:D155"/>
    <mergeCell ref="E155:G155"/>
    <mergeCell ref="H155:K155"/>
    <mergeCell ref="L155:P155"/>
    <mergeCell ref="Q155:Z155"/>
    <mergeCell ref="AA155:AQ155"/>
    <mergeCell ref="B156:D156"/>
    <mergeCell ref="L156:P156"/>
    <mergeCell ref="Q156:Z156"/>
    <mergeCell ref="E157:G157"/>
    <mergeCell ref="H157:K157"/>
    <mergeCell ref="L157:P157"/>
    <mergeCell ref="Q157:Z157"/>
    <mergeCell ref="AA157:AQ157"/>
    <mergeCell ref="B157:D157"/>
    <mergeCell ref="B158:D158"/>
    <mergeCell ref="E158:G158"/>
    <mergeCell ref="H158:K158"/>
    <mergeCell ref="E174:G174"/>
    <mergeCell ref="H174:K174"/>
    <mergeCell ref="L174:P174"/>
    <mergeCell ref="Q174:Z174"/>
    <mergeCell ref="AA174:AQ174"/>
    <mergeCell ref="B174:D174"/>
    <mergeCell ref="B175:D175"/>
    <mergeCell ref="E175:G175"/>
    <mergeCell ref="H175:K175"/>
    <mergeCell ref="L175:P175"/>
    <mergeCell ref="Q175:Z175"/>
    <mergeCell ref="AA175:AQ175"/>
    <mergeCell ref="L177:P177"/>
    <mergeCell ref="Q177:Z177"/>
    <mergeCell ref="B176:D176"/>
    <mergeCell ref="E176:G176"/>
    <mergeCell ref="H176:K176"/>
    <mergeCell ref="L176:P176"/>
    <mergeCell ref="Q176:Z176"/>
    <mergeCell ref="AA176:AQ176"/>
    <mergeCell ref="B177:D177"/>
    <mergeCell ref="AA177:AQ177"/>
    <mergeCell ref="E170:G170"/>
    <mergeCell ref="H170:K170"/>
    <mergeCell ref="L170:P170"/>
    <mergeCell ref="Q170:Z170"/>
    <mergeCell ref="AA170:AQ170"/>
    <mergeCell ref="B170:D170"/>
    <mergeCell ref="B171:D171"/>
    <mergeCell ref="E171:G171"/>
    <mergeCell ref="H171:K171"/>
    <mergeCell ref="L171:P171"/>
    <mergeCell ref="Q171:Z171"/>
    <mergeCell ref="AA171:AQ171"/>
    <mergeCell ref="L173:P173"/>
    <mergeCell ref="Q173:Z173"/>
    <mergeCell ref="B172:D172"/>
    <mergeCell ref="E172:G172"/>
    <mergeCell ref="H172:K172"/>
    <mergeCell ref="L172:P172"/>
    <mergeCell ref="Q172:Z172"/>
    <mergeCell ref="AA172:AQ172"/>
    <mergeCell ref="B173:D173"/>
    <mergeCell ref="AA173:AQ173"/>
    <mergeCell ref="E173:G173"/>
    <mergeCell ref="H173:K173"/>
    <mergeCell ref="L162:P162"/>
    <mergeCell ref="E165:G165"/>
    <mergeCell ref="H165:K165"/>
    <mergeCell ref="E166:G166"/>
    <mergeCell ref="H166:K166"/>
    <mergeCell ref="L166:P166"/>
    <mergeCell ref="Q166:Z166"/>
    <mergeCell ref="AA166:AQ166"/>
    <mergeCell ref="B166:D166"/>
    <mergeCell ref="B167:D167"/>
    <mergeCell ref="E167:G167"/>
    <mergeCell ref="H167:K167"/>
    <mergeCell ref="L167:P167"/>
    <mergeCell ref="Q167:Z167"/>
    <mergeCell ref="AA167:AQ167"/>
    <mergeCell ref="L169:P169"/>
    <mergeCell ref="Q169:Z169"/>
    <mergeCell ref="B168:D168"/>
    <mergeCell ref="E168:G168"/>
    <mergeCell ref="H168:K168"/>
    <mergeCell ref="L168:P168"/>
    <mergeCell ref="Q168:Z168"/>
    <mergeCell ref="AA168:AQ168"/>
    <mergeCell ref="B169:D169"/>
    <mergeCell ref="AA169:AQ169"/>
    <mergeCell ref="E169:G169"/>
    <mergeCell ref="H169:K169"/>
    <mergeCell ref="Q153:Z153"/>
    <mergeCell ref="AA153:AQ153"/>
    <mergeCell ref="B153:D153"/>
    <mergeCell ref="B154:D154"/>
    <mergeCell ref="E154:G154"/>
    <mergeCell ref="H154:K154"/>
    <mergeCell ref="L154:P154"/>
    <mergeCell ref="Q154:Z154"/>
    <mergeCell ref="AA154:AQ154"/>
    <mergeCell ref="E156:G156"/>
    <mergeCell ref="H156:K156"/>
    <mergeCell ref="AA156:AQ156"/>
    <mergeCell ref="L160:P160"/>
    <mergeCell ref="Q160:Z160"/>
    <mergeCell ref="Q161:Z161"/>
    <mergeCell ref="AA161:AQ161"/>
    <mergeCell ref="E160:G160"/>
    <mergeCell ref="H160:K160"/>
    <mergeCell ref="B161:D161"/>
    <mergeCell ref="E161:G161"/>
    <mergeCell ref="H161:K161"/>
    <mergeCell ref="L161:P161"/>
    <mergeCell ref="L158:P158"/>
    <mergeCell ref="Q158:Z158"/>
    <mergeCell ref="AA158:AQ158"/>
    <mergeCell ref="B159:D159"/>
    <mergeCell ref="E159:G159"/>
    <mergeCell ref="H159:K159"/>
    <mergeCell ref="L159:P159"/>
    <mergeCell ref="Q159:Z159"/>
    <mergeCell ref="AA159:AQ159"/>
    <mergeCell ref="B160:D160"/>
    <mergeCell ref="L153:P153"/>
    <mergeCell ref="B146:D146"/>
    <mergeCell ref="E146:G146"/>
    <mergeCell ref="H146:K146"/>
    <mergeCell ref="L146:P146"/>
    <mergeCell ref="Q146:Z146"/>
    <mergeCell ref="AA146:AQ146"/>
    <mergeCell ref="B147:D147"/>
    <mergeCell ref="L147:P147"/>
    <mergeCell ref="Q147:Z147"/>
    <mergeCell ref="E148:G148"/>
    <mergeCell ref="H148:K148"/>
    <mergeCell ref="L148:P148"/>
    <mergeCell ref="Q148:Z148"/>
    <mergeCell ref="AA148:AQ148"/>
    <mergeCell ref="B148:D148"/>
    <mergeCell ref="B149:D149"/>
    <mergeCell ref="E149:G149"/>
    <mergeCell ref="H149:K149"/>
    <mergeCell ref="L149:P149"/>
    <mergeCell ref="Q149:Z149"/>
    <mergeCell ref="AA149:AQ149"/>
    <mergeCell ref="B150:D150"/>
    <mergeCell ref="E150:G150"/>
    <mergeCell ref="H150:K150"/>
    <mergeCell ref="L150:P150"/>
    <mergeCell ref="Q150:Z150"/>
    <mergeCell ref="AA150:AQ150"/>
    <mergeCell ref="B151:D151"/>
    <mergeCell ref="AA151:AQ151"/>
    <mergeCell ref="E153:G153"/>
    <mergeCell ref="H153:K153"/>
    <mergeCell ref="Q144:Z144"/>
    <mergeCell ref="AA144:AQ144"/>
    <mergeCell ref="B144:D144"/>
    <mergeCell ref="B145:D145"/>
    <mergeCell ref="E145:G145"/>
    <mergeCell ref="H145:K145"/>
    <mergeCell ref="L145:P145"/>
    <mergeCell ref="Q145:Z145"/>
    <mergeCell ref="AA145:AQ145"/>
    <mergeCell ref="E147:G147"/>
    <mergeCell ref="H147:K147"/>
    <mergeCell ref="AA147:AQ147"/>
    <mergeCell ref="L151:P151"/>
    <mergeCell ref="Q151:Z151"/>
    <mergeCell ref="Q152:Z152"/>
    <mergeCell ref="AA152:AQ152"/>
    <mergeCell ref="E151:G151"/>
    <mergeCell ref="H151:K151"/>
    <mergeCell ref="B152:D152"/>
    <mergeCell ref="E152:G152"/>
    <mergeCell ref="H152:K152"/>
    <mergeCell ref="L152:P152"/>
    <mergeCell ref="L144:P144"/>
    <mergeCell ref="B137:D137"/>
    <mergeCell ref="E137:G137"/>
    <mergeCell ref="H137:K137"/>
    <mergeCell ref="L137:P137"/>
    <mergeCell ref="Q137:Z137"/>
    <mergeCell ref="AA137:AQ137"/>
    <mergeCell ref="B138:D138"/>
    <mergeCell ref="L138:P138"/>
    <mergeCell ref="Q138:Z138"/>
    <mergeCell ref="E139:G139"/>
    <mergeCell ref="H139:K139"/>
    <mergeCell ref="L139:P139"/>
    <mergeCell ref="Q139:Z139"/>
    <mergeCell ref="AA139:AQ139"/>
    <mergeCell ref="B139:D139"/>
    <mergeCell ref="B140:D140"/>
    <mergeCell ref="E140:G140"/>
    <mergeCell ref="H140:K140"/>
    <mergeCell ref="L140:P140"/>
    <mergeCell ref="Q140:Z140"/>
    <mergeCell ref="AA140:AQ140"/>
    <mergeCell ref="B141:D141"/>
    <mergeCell ref="E141:G141"/>
    <mergeCell ref="H141:K141"/>
    <mergeCell ref="L141:P141"/>
    <mergeCell ref="Q141:Z141"/>
    <mergeCell ref="AA141:AQ141"/>
    <mergeCell ref="B142:D142"/>
    <mergeCell ref="AA142:AQ142"/>
    <mergeCell ref="E144:G144"/>
    <mergeCell ref="H144:K144"/>
    <mergeCell ref="Q135:Z135"/>
    <mergeCell ref="AA135:AQ135"/>
    <mergeCell ref="B135:D135"/>
    <mergeCell ref="B136:D136"/>
    <mergeCell ref="E136:G136"/>
    <mergeCell ref="H136:K136"/>
    <mergeCell ref="L136:P136"/>
    <mergeCell ref="Q136:Z136"/>
    <mergeCell ref="AA136:AQ136"/>
    <mergeCell ref="E138:G138"/>
    <mergeCell ref="H138:K138"/>
    <mergeCell ref="AA138:AQ138"/>
    <mergeCell ref="L142:P142"/>
    <mergeCell ref="Q142:Z142"/>
    <mergeCell ref="Q143:Z143"/>
    <mergeCell ref="AA143:AQ143"/>
    <mergeCell ref="E142:G142"/>
    <mergeCell ref="H142:K142"/>
    <mergeCell ref="B143:D143"/>
    <mergeCell ref="E143:G143"/>
    <mergeCell ref="H143:K143"/>
    <mergeCell ref="L143:P143"/>
    <mergeCell ref="L135:P135"/>
    <mergeCell ref="B128:D128"/>
    <mergeCell ref="E128:G128"/>
    <mergeCell ref="H128:K128"/>
    <mergeCell ref="L128:P128"/>
    <mergeCell ref="Q128:Z128"/>
    <mergeCell ref="AA128:AQ128"/>
    <mergeCell ref="B129:D129"/>
    <mergeCell ref="L129:P129"/>
    <mergeCell ref="Q129:Z129"/>
    <mergeCell ref="E130:G130"/>
    <mergeCell ref="H130:K130"/>
    <mergeCell ref="L130:P130"/>
    <mergeCell ref="Q130:Z130"/>
    <mergeCell ref="AA130:AQ130"/>
    <mergeCell ref="B130:D130"/>
    <mergeCell ref="B131:D131"/>
    <mergeCell ref="E131:G131"/>
    <mergeCell ref="H131:K131"/>
    <mergeCell ref="L131:P131"/>
    <mergeCell ref="Q131:Z131"/>
    <mergeCell ref="AA131:AQ131"/>
    <mergeCell ref="B132:D132"/>
    <mergeCell ref="E132:G132"/>
    <mergeCell ref="H132:K132"/>
    <mergeCell ref="L132:P132"/>
    <mergeCell ref="Q132:Z132"/>
    <mergeCell ref="AA132:AQ132"/>
    <mergeCell ref="B133:D133"/>
    <mergeCell ref="AA133:AQ133"/>
    <mergeCell ref="E135:G135"/>
    <mergeCell ref="H135:K135"/>
    <mergeCell ref="Q126:Z126"/>
    <mergeCell ref="AA126:AQ126"/>
    <mergeCell ref="B126:D126"/>
    <mergeCell ref="B127:D127"/>
    <mergeCell ref="E127:G127"/>
    <mergeCell ref="H127:K127"/>
    <mergeCell ref="L127:P127"/>
    <mergeCell ref="Q127:Z127"/>
    <mergeCell ref="AA127:AQ127"/>
    <mergeCell ref="E129:G129"/>
    <mergeCell ref="H129:K129"/>
    <mergeCell ref="AA129:AQ129"/>
    <mergeCell ref="L133:P133"/>
    <mergeCell ref="Q133:Z133"/>
    <mergeCell ref="Q134:Z134"/>
    <mergeCell ref="AA134:AQ134"/>
    <mergeCell ref="E133:G133"/>
    <mergeCell ref="H133:K133"/>
    <mergeCell ref="B134:D134"/>
    <mergeCell ref="E134:G134"/>
    <mergeCell ref="H134:K134"/>
    <mergeCell ref="L134:P134"/>
    <mergeCell ref="L126:P126"/>
    <mergeCell ref="B119:D119"/>
    <mergeCell ref="E119:G119"/>
    <mergeCell ref="H119:K119"/>
    <mergeCell ref="L119:P119"/>
    <mergeCell ref="Q119:Z119"/>
    <mergeCell ref="AA119:AQ119"/>
    <mergeCell ref="B120:D120"/>
    <mergeCell ref="L120:P120"/>
    <mergeCell ref="Q120:Z120"/>
    <mergeCell ref="E121:G121"/>
    <mergeCell ref="H121:K121"/>
    <mergeCell ref="L121:P121"/>
    <mergeCell ref="Q121:Z121"/>
    <mergeCell ref="AA121:AQ121"/>
    <mergeCell ref="B121:D121"/>
    <mergeCell ref="B122:D122"/>
    <mergeCell ref="E122:G122"/>
    <mergeCell ref="H122:K122"/>
    <mergeCell ref="L122:P122"/>
    <mergeCell ref="Q122:Z122"/>
    <mergeCell ref="AA122:AQ122"/>
    <mergeCell ref="B123:D123"/>
    <mergeCell ref="E123:G123"/>
    <mergeCell ref="H123:K123"/>
    <mergeCell ref="L123:P123"/>
    <mergeCell ref="Q123:Z123"/>
    <mergeCell ref="AA123:AQ123"/>
    <mergeCell ref="B124:D124"/>
    <mergeCell ref="AA124:AQ124"/>
    <mergeCell ref="E126:G126"/>
    <mergeCell ref="H126:K126"/>
    <mergeCell ref="E117:G117"/>
    <mergeCell ref="H117:K117"/>
    <mergeCell ref="Q117:Z117"/>
    <mergeCell ref="AA117:AQ117"/>
    <mergeCell ref="B117:D117"/>
    <mergeCell ref="B118:D118"/>
    <mergeCell ref="E118:G118"/>
    <mergeCell ref="H118:K118"/>
    <mergeCell ref="L118:P118"/>
    <mergeCell ref="Q118:Z118"/>
    <mergeCell ref="AA118:AQ118"/>
    <mergeCell ref="E120:G120"/>
    <mergeCell ref="H120:K120"/>
    <mergeCell ref="AA120:AQ120"/>
    <mergeCell ref="L124:P124"/>
    <mergeCell ref="Q124:Z124"/>
    <mergeCell ref="Q125:Z125"/>
    <mergeCell ref="AA125:AQ125"/>
    <mergeCell ref="E124:G124"/>
    <mergeCell ref="H124:K124"/>
    <mergeCell ref="B125:D125"/>
    <mergeCell ref="E125:G125"/>
    <mergeCell ref="H125:K125"/>
    <mergeCell ref="L125:P125"/>
    <mergeCell ref="H116:K116"/>
    <mergeCell ref="L116:P116"/>
    <mergeCell ref="L117:P117"/>
    <mergeCell ref="B110:D110"/>
    <mergeCell ref="E110:G110"/>
    <mergeCell ref="H110:K110"/>
    <mergeCell ref="L110:P110"/>
    <mergeCell ref="Q110:Z110"/>
    <mergeCell ref="AA110:AQ110"/>
    <mergeCell ref="B111:D111"/>
    <mergeCell ref="L111:P111"/>
    <mergeCell ref="Q111:Z111"/>
    <mergeCell ref="E112:G112"/>
    <mergeCell ref="H112:K112"/>
    <mergeCell ref="L112:P112"/>
    <mergeCell ref="Q112:Z112"/>
    <mergeCell ref="AA112:AQ112"/>
    <mergeCell ref="B112:D112"/>
    <mergeCell ref="B113:D113"/>
    <mergeCell ref="E113:G113"/>
    <mergeCell ref="H113:K113"/>
    <mergeCell ref="L113:P113"/>
    <mergeCell ref="Q113:Z113"/>
    <mergeCell ref="AA113:AQ113"/>
    <mergeCell ref="B114:D114"/>
    <mergeCell ref="E114:G114"/>
    <mergeCell ref="H114:K114"/>
    <mergeCell ref="L114:P114"/>
    <mergeCell ref="Q114:Z114"/>
    <mergeCell ref="AA114:AQ114"/>
    <mergeCell ref="B115:D115"/>
    <mergeCell ref="AA115:AQ115"/>
    <mergeCell ref="B105:D105"/>
    <mergeCell ref="E105:G105"/>
    <mergeCell ref="H105:K105"/>
    <mergeCell ref="L105:P105"/>
    <mergeCell ref="Q105:Z105"/>
    <mergeCell ref="AA105:AQ105"/>
    <mergeCell ref="B106:D106"/>
    <mergeCell ref="AA106:AQ106"/>
    <mergeCell ref="E108:G108"/>
    <mergeCell ref="H108:K108"/>
    <mergeCell ref="Q108:Z108"/>
    <mergeCell ref="AA108:AQ108"/>
    <mergeCell ref="B108:D108"/>
    <mergeCell ref="B109:D109"/>
    <mergeCell ref="E109:G109"/>
    <mergeCell ref="H109:K109"/>
    <mergeCell ref="L109:P109"/>
    <mergeCell ref="Q109:Z109"/>
    <mergeCell ref="AA109:AQ109"/>
    <mergeCell ref="B101:D101"/>
    <mergeCell ref="E101:G101"/>
    <mergeCell ref="H101:K101"/>
    <mergeCell ref="L101:P101"/>
    <mergeCell ref="Q101:Z101"/>
    <mergeCell ref="AA101:AQ101"/>
    <mergeCell ref="B102:D102"/>
    <mergeCell ref="AA102:AQ102"/>
    <mergeCell ref="L102:P102"/>
    <mergeCell ref="Q102:Z102"/>
    <mergeCell ref="E103:G103"/>
    <mergeCell ref="H103:K103"/>
    <mergeCell ref="L103:P103"/>
    <mergeCell ref="Q103:Z103"/>
    <mergeCell ref="AA103:AQ103"/>
    <mergeCell ref="B103:D103"/>
    <mergeCell ref="B104:D104"/>
    <mergeCell ref="E104:G104"/>
    <mergeCell ref="H104:K104"/>
    <mergeCell ref="L104:P104"/>
    <mergeCell ref="Q104:Z104"/>
    <mergeCell ref="AA104:AQ104"/>
    <mergeCell ref="E102:G102"/>
    <mergeCell ref="H102:K102"/>
    <mergeCell ref="L165:P165"/>
    <mergeCell ref="Q165:Z165"/>
    <mergeCell ref="B164:D164"/>
    <mergeCell ref="E164:G164"/>
    <mergeCell ref="H164:K164"/>
    <mergeCell ref="L164:P164"/>
    <mergeCell ref="Q164:Z164"/>
    <mergeCell ref="AA164:AQ164"/>
    <mergeCell ref="B165:D165"/>
    <mergeCell ref="AA165:AQ165"/>
    <mergeCell ref="L106:P106"/>
    <mergeCell ref="Q106:Z106"/>
    <mergeCell ref="Q107:Z107"/>
    <mergeCell ref="AA107:AQ107"/>
    <mergeCell ref="E106:G106"/>
    <mergeCell ref="H106:K106"/>
    <mergeCell ref="B107:D107"/>
    <mergeCell ref="E107:G107"/>
    <mergeCell ref="H107:K107"/>
    <mergeCell ref="L107:P107"/>
    <mergeCell ref="L108:P108"/>
    <mergeCell ref="E111:G111"/>
    <mergeCell ref="H111:K111"/>
    <mergeCell ref="AA111:AQ111"/>
    <mergeCell ref="L115:P115"/>
    <mergeCell ref="Q115:Z115"/>
    <mergeCell ref="Q116:Z116"/>
    <mergeCell ref="AA116:AQ116"/>
    <mergeCell ref="E115:G115"/>
    <mergeCell ref="H115:K115"/>
    <mergeCell ref="B116:D116"/>
    <mergeCell ref="E116:G116"/>
    <mergeCell ref="E41:G41"/>
    <mergeCell ref="H41:K41"/>
    <mergeCell ref="L41:P41"/>
    <mergeCell ref="Q41:Z41"/>
    <mergeCell ref="AA41:AQ41"/>
    <mergeCell ref="B41:D41"/>
    <mergeCell ref="B42:D42"/>
    <mergeCell ref="E42:G42"/>
    <mergeCell ref="H42:K42"/>
    <mergeCell ref="L42:P42"/>
    <mergeCell ref="Q42:Z42"/>
    <mergeCell ref="AA42:AQ42"/>
    <mergeCell ref="L44:P44"/>
    <mergeCell ref="Q44:Z44"/>
    <mergeCell ref="B43:D43"/>
    <mergeCell ref="E43:G43"/>
    <mergeCell ref="H43:K43"/>
    <mergeCell ref="L43:P43"/>
    <mergeCell ref="Q43:Z43"/>
    <mergeCell ref="AA43:AQ43"/>
    <mergeCell ref="B44:D44"/>
    <mergeCell ref="AA44:AQ44"/>
    <mergeCell ref="E44:G44"/>
    <mergeCell ref="H44:K44"/>
    <mergeCell ref="E37:G37"/>
    <mergeCell ref="H37:K37"/>
    <mergeCell ref="L37:P37"/>
    <mergeCell ref="Q37:Z37"/>
    <mergeCell ref="AA37:AQ37"/>
    <mergeCell ref="B37:D37"/>
    <mergeCell ref="B38:D38"/>
    <mergeCell ref="E38:G38"/>
    <mergeCell ref="H38:K38"/>
    <mergeCell ref="L38:P38"/>
    <mergeCell ref="Q38:Z38"/>
    <mergeCell ref="AA38:AQ38"/>
    <mergeCell ref="L40:P40"/>
    <mergeCell ref="Q40:Z40"/>
    <mergeCell ref="B39:D39"/>
    <mergeCell ref="E39:G39"/>
    <mergeCell ref="H39:K39"/>
    <mergeCell ref="L39:P39"/>
    <mergeCell ref="Q39:Z39"/>
    <mergeCell ref="AA39:AQ39"/>
    <mergeCell ref="B40:D40"/>
    <mergeCell ref="AA40:AQ40"/>
    <mergeCell ref="E40:G40"/>
    <mergeCell ref="H40:K40"/>
    <mergeCell ref="E33:G33"/>
    <mergeCell ref="H33:K33"/>
    <mergeCell ref="L33:P33"/>
    <mergeCell ref="Q33:Z33"/>
    <mergeCell ref="AA33:AQ33"/>
    <mergeCell ref="B33:D33"/>
    <mergeCell ref="B34:D34"/>
    <mergeCell ref="E34:G34"/>
    <mergeCell ref="H34:K34"/>
    <mergeCell ref="L34:P34"/>
    <mergeCell ref="Q34:Z34"/>
    <mergeCell ref="AA34:AQ34"/>
    <mergeCell ref="L36:P36"/>
    <mergeCell ref="Q36:Z36"/>
    <mergeCell ref="B35:D35"/>
    <mergeCell ref="E35:G35"/>
    <mergeCell ref="H35:K35"/>
    <mergeCell ref="L35:P35"/>
    <mergeCell ref="Q35:Z35"/>
    <mergeCell ref="AA35:AQ35"/>
    <mergeCell ref="B36:D36"/>
    <mergeCell ref="AA36:AQ36"/>
    <mergeCell ref="E36:G36"/>
    <mergeCell ref="H36:K36"/>
    <mergeCell ref="E18:G18"/>
    <mergeCell ref="H18:K18"/>
    <mergeCell ref="L18:P18"/>
    <mergeCell ref="Q18:Z18"/>
    <mergeCell ref="AA18:AQ18"/>
    <mergeCell ref="B19:D19"/>
    <mergeCell ref="AA19:AQ19"/>
    <mergeCell ref="E21:G21"/>
    <mergeCell ref="H21:K21"/>
    <mergeCell ref="Q21:Z21"/>
    <mergeCell ref="AA21:AQ21"/>
    <mergeCell ref="B21:D21"/>
    <mergeCell ref="B22:D22"/>
    <mergeCell ref="E22:G22"/>
    <mergeCell ref="H22:K22"/>
    <mergeCell ref="L22:P22"/>
    <mergeCell ref="Q22:Z22"/>
    <mergeCell ref="AA22:AQ22"/>
    <mergeCell ref="E45:G45"/>
    <mergeCell ref="H45:K45"/>
    <mergeCell ref="L45:P45"/>
    <mergeCell ref="Q45:Z45"/>
    <mergeCell ref="AA45:AQ45"/>
    <mergeCell ref="B45:D45"/>
    <mergeCell ref="B46:D46"/>
    <mergeCell ref="E46:G46"/>
    <mergeCell ref="H46:K46"/>
    <mergeCell ref="L46:P46"/>
    <mergeCell ref="Q46:Z46"/>
    <mergeCell ref="AA46:AQ46"/>
    <mergeCell ref="B14:D14"/>
    <mergeCell ref="E14:G14"/>
    <mergeCell ref="H14:K14"/>
    <mergeCell ref="L14:P14"/>
    <mergeCell ref="Q14:Z14"/>
    <mergeCell ref="AA14:AQ14"/>
    <mergeCell ref="B15:D15"/>
    <mergeCell ref="AA15:AQ15"/>
    <mergeCell ref="L15:P15"/>
    <mergeCell ref="Q15:Z15"/>
    <mergeCell ref="E16:G16"/>
    <mergeCell ref="H16:K16"/>
    <mergeCell ref="L16:P16"/>
    <mergeCell ref="Q16:Z16"/>
    <mergeCell ref="AA16:AQ16"/>
    <mergeCell ref="B16:D16"/>
    <mergeCell ref="E29:G29"/>
    <mergeCell ref="H29:K29"/>
    <mergeCell ref="L29:P29"/>
    <mergeCell ref="Q29:Z29"/>
    <mergeCell ref="L95:P95"/>
    <mergeCell ref="Q95:Z95"/>
    <mergeCell ref="AA95:AQ95"/>
    <mergeCell ref="B96:D96"/>
    <mergeCell ref="E96:G96"/>
    <mergeCell ref="H96:K96"/>
    <mergeCell ref="L96:P96"/>
    <mergeCell ref="Q96:Z96"/>
    <mergeCell ref="AA96:AQ96"/>
    <mergeCell ref="B97:D97"/>
    <mergeCell ref="AA97:AQ97"/>
    <mergeCell ref="E99:G99"/>
    <mergeCell ref="H99:K99"/>
    <mergeCell ref="Q99:Z99"/>
    <mergeCell ref="AA99:AQ99"/>
    <mergeCell ref="B99:D99"/>
    <mergeCell ref="B100:D100"/>
    <mergeCell ref="E100:G100"/>
    <mergeCell ref="H100:K100"/>
    <mergeCell ref="L100:P100"/>
    <mergeCell ref="Q100:Z100"/>
    <mergeCell ref="AA100:AQ100"/>
    <mergeCell ref="E93:G93"/>
    <mergeCell ref="H93:K93"/>
    <mergeCell ref="AA93:AQ93"/>
    <mergeCell ref="L97:P97"/>
    <mergeCell ref="Q97:Z97"/>
    <mergeCell ref="Q98:Z98"/>
    <mergeCell ref="AA98:AQ98"/>
    <mergeCell ref="E97:G97"/>
    <mergeCell ref="H97:K97"/>
    <mergeCell ref="B98:D98"/>
    <mergeCell ref="E98:G98"/>
    <mergeCell ref="H98:K98"/>
    <mergeCell ref="L98:P98"/>
    <mergeCell ref="L99:P99"/>
    <mergeCell ref="B92:D92"/>
    <mergeCell ref="E92:G92"/>
    <mergeCell ref="H92:K92"/>
    <mergeCell ref="L92:P92"/>
    <mergeCell ref="Q92:Z92"/>
    <mergeCell ref="AA92:AQ92"/>
    <mergeCell ref="B93:D93"/>
    <mergeCell ref="L93:P93"/>
    <mergeCell ref="Q93:Z93"/>
    <mergeCell ref="E94:G94"/>
    <mergeCell ref="H94:K94"/>
    <mergeCell ref="L94:P94"/>
    <mergeCell ref="Q94:Z94"/>
    <mergeCell ref="AA94:AQ94"/>
    <mergeCell ref="B94:D94"/>
    <mergeCell ref="B95:D95"/>
    <mergeCell ref="E95:G95"/>
    <mergeCell ref="H95:K95"/>
    <mergeCell ref="L86:P86"/>
    <mergeCell ref="Q86:Z86"/>
    <mergeCell ref="AA86:AQ86"/>
    <mergeCell ref="B87:D87"/>
    <mergeCell ref="E87:G87"/>
    <mergeCell ref="H87:K87"/>
    <mergeCell ref="L87:P87"/>
    <mergeCell ref="Q87:Z87"/>
    <mergeCell ref="AA87:AQ87"/>
    <mergeCell ref="B88:D88"/>
    <mergeCell ref="AA88:AQ88"/>
    <mergeCell ref="E90:G90"/>
    <mergeCell ref="H90:K90"/>
    <mergeCell ref="Q90:Z90"/>
    <mergeCell ref="AA90:AQ90"/>
    <mergeCell ref="B90:D90"/>
    <mergeCell ref="B91:D91"/>
    <mergeCell ref="E91:G91"/>
    <mergeCell ref="H91:K91"/>
    <mergeCell ref="L91:P91"/>
    <mergeCell ref="Q91:Z91"/>
    <mergeCell ref="AA91:AQ91"/>
    <mergeCell ref="E84:G84"/>
    <mergeCell ref="H84:K84"/>
    <mergeCell ref="AA84:AQ84"/>
    <mergeCell ref="L88:P88"/>
    <mergeCell ref="Q88:Z88"/>
    <mergeCell ref="Q89:Z89"/>
    <mergeCell ref="AA89:AQ89"/>
    <mergeCell ref="E88:G88"/>
    <mergeCell ref="H88:K88"/>
    <mergeCell ref="B89:D89"/>
    <mergeCell ref="E89:G89"/>
    <mergeCell ref="H89:K89"/>
    <mergeCell ref="L89:P89"/>
    <mergeCell ref="L90:P90"/>
    <mergeCell ref="B83:D83"/>
    <mergeCell ref="E83:G83"/>
    <mergeCell ref="H83:K83"/>
    <mergeCell ref="L83:P83"/>
    <mergeCell ref="Q83:Z83"/>
    <mergeCell ref="AA83:AQ83"/>
    <mergeCell ref="B84:D84"/>
    <mergeCell ref="L84:P84"/>
    <mergeCell ref="Q84:Z84"/>
    <mergeCell ref="E85:G85"/>
    <mergeCell ref="H85:K85"/>
    <mergeCell ref="L85:P85"/>
    <mergeCell ref="Q85:Z85"/>
    <mergeCell ref="AA85:AQ85"/>
    <mergeCell ref="B85:D85"/>
    <mergeCell ref="B86:D86"/>
    <mergeCell ref="E86:G86"/>
    <mergeCell ref="H86:K86"/>
    <mergeCell ref="L77:P77"/>
    <mergeCell ref="Q77:Z77"/>
    <mergeCell ref="AA77:AQ77"/>
    <mergeCell ref="B78:D78"/>
    <mergeCell ref="E78:G78"/>
    <mergeCell ref="H78:K78"/>
    <mergeCell ref="L78:P78"/>
    <mergeCell ref="Q78:Z78"/>
    <mergeCell ref="AA78:AQ78"/>
    <mergeCell ref="B79:D79"/>
    <mergeCell ref="AA79:AQ79"/>
    <mergeCell ref="E81:G81"/>
    <mergeCell ref="H81:K81"/>
    <mergeCell ref="Q81:Z81"/>
    <mergeCell ref="AA81:AQ81"/>
    <mergeCell ref="B81:D81"/>
    <mergeCell ref="B82:D82"/>
    <mergeCell ref="E82:G82"/>
    <mergeCell ref="H82:K82"/>
    <mergeCell ref="L82:P82"/>
    <mergeCell ref="Q82:Z82"/>
    <mergeCell ref="AA82:AQ82"/>
    <mergeCell ref="E75:G75"/>
    <mergeCell ref="H75:K75"/>
    <mergeCell ref="AA75:AQ75"/>
    <mergeCell ref="L79:P79"/>
    <mergeCell ref="Q79:Z79"/>
    <mergeCell ref="Q80:Z80"/>
    <mergeCell ref="AA80:AQ80"/>
    <mergeCell ref="E79:G79"/>
    <mergeCell ref="H79:K79"/>
    <mergeCell ref="B80:D80"/>
    <mergeCell ref="E80:G80"/>
    <mergeCell ref="H80:K80"/>
    <mergeCell ref="L80:P80"/>
    <mergeCell ref="L81:P81"/>
    <mergeCell ref="B74:D74"/>
    <mergeCell ref="E74:G74"/>
    <mergeCell ref="H74:K74"/>
    <mergeCell ref="L74:P74"/>
    <mergeCell ref="Q74:Z74"/>
    <mergeCell ref="AA74:AQ74"/>
    <mergeCell ref="B75:D75"/>
    <mergeCell ref="L75:P75"/>
    <mergeCell ref="Q75:Z75"/>
    <mergeCell ref="E76:G76"/>
    <mergeCell ref="H76:K76"/>
    <mergeCell ref="L76:P76"/>
    <mergeCell ref="Q76:Z76"/>
    <mergeCell ref="AA76:AQ76"/>
    <mergeCell ref="B76:D76"/>
    <mergeCell ref="B77:D77"/>
    <mergeCell ref="E77:G77"/>
    <mergeCell ref="H77:K77"/>
    <mergeCell ref="L68:P68"/>
    <mergeCell ref="Q68:Z68"/>
    <mergeCell ref="AA68:AQ68"/>
    <mergeCell ref="B69:D69"/>
    <mergeCell ref="E69:G69"/>
    <mergeCell ref="H69:K69"/>
    <mergeCell ref="L69:P69"/>
    <mergeCell ref="Q69:Z69"/>
    <mergeCell ref="AA69:AQ69"/>
    <mergeCell ref="B70:D70"/>
    <mergeCell ref="AA70:AQ70"/>
    <mergeCell ref="E72:G72"/>
    <mergeCell ref="H72:K72"/>
    <mergeCell ref="Q72:Z72"/>
    <mergeCell ref="AA72:AQ72"/>
    <mergeCell ref="B72:D72"/>
    <mergeCell ref="B73:D73"/>
    <mergeCell ref="E73:G73"/>
    <mergeCell ref="H73:K73"/>
    <mergeCell ref="L73:P73"/>
    <mergeCell ref="Q73:Z73"/>
    <mergeCell ref="AA73:AQ73"/>
    <mergeCell ref="E66:G66"/>
    <mergeCell ref="H66:K66"/>
    <mergeCell ref="AA66:AQ66"/>
    <mergeCell ref="L70:P70"/>
    <mergeCell ref="Q70:Z70"/>
    <mergeCell ref="Q71:Z71"/>
    <mergeCell ref="AA71:AQ71"/>
    <mergeCell ref="E70:G70"/>
    <mergeCell ref="H70:K70"/>
    <mergeCell ref="B71:D71"/>
    <mergeCell ref="E71:G71"/>
    <mergeCell ref="H71:K71"/>
    <mergeCell ref="L71:P71"/>
    <mergeCell ref="L72:P72"/>
    <mergeCell ref="B65:D65"/>
    <mergeCell ref="E65:G65"/>
    <mergeCell ref="H65:K65"/>
    <mergeCell ref="L65:P65"/>
    <mergeCell ref="Q65:Z65"/>
    <mergeCell ref="AA65:AQ65"/>
    <mergeCell ref="B66:D66"/>
    <mergeCell ref="L66:P66"/>
    <mergeCell ref="Q66:Z66"/>
    <mergeCell ref="E67:G67"/>
    <mergeCell ref="H67:K67"/>
    <mergeCell ref="L67:P67"/>
    <mergeCell ref="Q67:Z67"/>
    <mergeCell ref="AA67:AQ67"/>
    <mergeCell ref="B67:D67"/>
    <mergeCell ref="B68:D68"/>
    <mergeCell ref="E68:G68"/>
    <mergeCell ref="H68:K68"/>
    <mergeCell ref="L59:P59"/>
    <mergeCell ref="Q59:Z59"/>
    <mergeCell ref="AA59:AQ59"/>
    <mergeCell ref="B60:D60"/>
    <mergeCell ref="E60:G60"/>
    <mergeCell ref="H60:K60"/>
    <mergeCell ref="L60:P60"/>
    <mergeCell ref="Q60:Z60"/>
    <mergeCell ref="AA60:AQ60"/>
    <mergeCell ref="B61:D61"/>
    <mergeCell ref="AA61:AQ61"/>
    <mergeCell ref="E63:G63"/>
    <mergeCell ref="H63:K63"/>
    <mergeCell ref="Q63:Z63"/>
    <mergeCell ref="AA63:AQ63"/>
    <mergeCell ref="B63:D63"/>
    <mergeCell ref="B64:D64"/>
    <mergeCell ref="E64:G64"/>
    <mergeCell ref="H64:K64"/>
    <mergeCell ref="L64:P64"/>
    <mergeCell ref="Q64:Z64"/>
    <mergeCell ref="AA64:AQ64"/>
    <mergeCell ref="E57:G57"/>
    <mergeCell ref="H57:K57"/>
    <mergeCell ref="AA57:AQ57"/>
    <mergeCell ref="L61:P61"/>
    <mergeCell ref="Q61:Z61"/>
    <mergeCell ref="Q62:Z62"/>
    <mergeCell ref="AA62:AQ62"/>
    <mergeCell ref="E61:G61"/>
    <mergeCell ref="H61:K61"/>
    <mergeCell ref="B62:D62"/>
    <mergeCell ref="E62:G62"/>
    <mergeCell ref="H62:K62"/>
    <mergeCell ref="L62:P62"/>
    <mergeCell ref="L63:P63"/>
    <mergeCell ref="B56:D56"/>
    <mergeCell ref="E56:G56"/>
    <mergeCell ref="H56:K56"/>
    <mergeCell ref="L56:P56"/>
    <mergeCell ref="Q56:Z56"/>
    <mergeCell ref="AA56:AQ56"/>
    <mergeCell ref="B57:D57"/>
    <mergeCell ref="L57:P57"/>
    <mergeCell ref="Q57:Z57"/>
    <mergeCell ref="E58:G58"/>
    <mergeCell ref="H58:K58"/>
    <mergeCell ref="L58:P58"/>
    <mergeCell ref="Q58:Z58"/>
    <mergeCell ref="AA58:AQ58"/>
    <mergeCell ref="B58:D58"/>
    <mergeCell ref="B59:D59"/>
    <mergeCell ref="E59:G59"/>
    <mergeCell ref="H59:K59"/>
    <mergeCell ref="B51:D51"/>
    <mergeCell ref="E51:G51"/>
    <mergeCell ref="H51:K51"/>
    <mergeCell ref="L51:P51"/>
    <mergeCell ref="Q51:Z51"/>
    <mergeCell ref="AA51:AQ51"/>
    <mergeCell ref="B52:D52"/>
    <mergeCell ref="AA52:AQ52"/>
    <mergeCell ref="E54:G54"/>
    <mergeCell ref="H54:K54"/>
    <mergeCell ref="Q54:Z54"/>
    <mergeCell ref="AA54:AQ54"/>
    <mergeCell ref="B54:D54"/>
    <mergeCell ref="B55:D55"/>
    <mergeCell ref="E55:G55"/>
    <mergeCell ref="H55:K55"/>
    <mergeCell ref="L55:P55"/>
    <mergeCell ref="Q55:Z55"/>
    <mergeCell ref="AA55:AQ55"/>
    <mergeCell ref="L52:P52"/>
    <mergeCell ref="Q52:Z52"/>
    <mergeCell ref="Q53:Z53"/>
    <mergeCell ref="AA53:AQ53"/>
    <mergeCell ref="E52:G52"/>
    <mergeCell ref="H52:K52"/>
    <mergeCell ref="B53:D53"/>
    <mergeCell ref="E53:G53"/>
    <mergeCell ref="H53:K53"/>
    <mergeCell ref="L53:P53"/>
    <mergeCell ref="L54:P54"/>
    <mergeCell ref="B47:D47"/>
    <mergeCell ref="E47:G47"/>
    <mergeCell ref="H47:K47"/>
    <mergeCell ref="L47:P47"/>
    <mergeCell ref="Q47:Z47"/>
    <mergeCell ref="AA47:AQ47"/>
    <mergeCell ref="B48:D48"/>
    <mergeCell ref="L48:P48"/>
    <mergeCell ref="Q48:Z48"/>
    <mergeCell ref="E49:G49"/>
    <mergeCell ref="H49:K49"/>
    <mergeCell ref="L49:P49"/>
    <mergeCell ref="Q49:Z49"/>
    <mergeCell ref="AA49:AQ49"/>
    <mergeCell ref="B49:D49"/>
    <mergeCell ref="B50:D50"/>
    <mergeCell ref="E50:G50"/>
    <mergeCell ref="H50:K50"/>
    <mergeCell ref="L50:P50"/>
    <mergeCell ref="Q50:Z50"/>
    <mergeCell ref="AA50:AQ50"/>
    <mergeCell ref="E48:G48"/>
    <mergeCell ref="H48:K48"/>
    <mergeCell ref="AA48:AQ48"/>
    <mergeCell ref="AA29:AQ29"/>
    <mergeCell ref="B29:D29"/>
    <mergeCell ref="B30:D30"/>
    <mergeCell ref="E30:G30"/>
    <mergeCell ref="H30:K30"/>
    <mergeCell ref="L30:P30"/>
    <mergeCell ref="Q30:Z30"/>
    <mergeCell ref="AA30:AQ30"/>
    <mergeCell ref="L32:P32"/>
    <mergeCell ref="Q32:Z32"/>
    <mergeCell ref="B31:D31"/>
    <mergeCell ref="E31:G31"/>
    <mergeCell ref="H31:K31"/>
    <mergeCell ref="L31:P31"/>
    <mergeCell ref="Q31:Z31"/>
    <mergeCell ref="AA31:AQ31"/>
    <mergeCell ref="B32:D32"/>
    <mergeCell ref="AA32:AQ32"/>
    <mergeCell ref="E32:G32"/>
    <mergeCell ref="H32:K32"/>
    <mergeCell ref="E25:G25"/>
    <mergeCell ref="H25:K25"/>
    <mergeCell ref="L25:P25"/>
    <mergeCell ref="Q25:Z25"/>
    <mergeCell ref="AA25:AQ25"/>
    <mergeCell ref="B25:D25"/>
    <mergeCell ref="B26:D26"/>
    <mergeCell ref="E26:G26"/>
    <mergeCell ref="H26:K26"/>
    <mergeCell ref="L26:P26"/>
    <mergeCell ref="Q26:Z26"/>
    <mergeCell ref="AA26:AQ26"/>
    <mergeCell ref="L28:P28"/>
    <mergeCell ref="Q28:Z28"/>
    <mergeCell ref="B27:D27"/>
    <mergeCell ref="E27:G27"/>
    <mergeCell ref="H27:K27"/>
    <mergeCell ref="L27:P27"/>
    <mergeCell ref="Q27:Z27"/>
    <mergeCell ref="AA27:AQ27"/>
    <mergeCell ref="B28:D28"/>
    <mergeCell ref="AA28:AQ28"/>
    <mergeCell ref="E28:G28"/>
    <mergeCell ref="H28:K28"/>
    <mergeCell ref="E15:G15"/>
    <mergeCell ref="H15:K15"/>
    <mergeCell ref="L19:P19"/>
    <mergeCell ref="Q19:Z19"/>
    <mergeCell ref="Q20:Z20"/>
    <mergeCell ref="AA20:AQ20"/>
    <mergeCell ref="E19:G19"/>
    <mergeCell ref="H19:K19"/>
    <mergeCell ref="B20:D20"/>
    <mergeCell ref="E20:G20"/>
    <mergeCell ref="H20:K20"/>
    <mergeCell ref="L20:P20"/>
    <mergeCell ref="L21:P21"/>
    <mergeCell ref="L24:P24"/>
    <mergeCell ref="Q24:Z24"/>
    <mergeCell ref="B23:D23"/>
    <mergeCell ref="E23:G23"/>
    <mergeCell ref="H23:K23"/>
    <mergeCell ref="L23:P23"/>
    <mergeCell ref="Q23:Z23"/>
    <mergeCell ref="AA23:AQ23"/>
    <mergeCell ref="B24:D24"/>
    <mergeCell ref="AA24:AQ24"/>
    <mergeCell ref="E24:G24"/>
    <mergeCell ref="H24:K24"/>
    <mergeCell ref="B17:D17"/>
    <mergeCell ref="E17:G17"/>
    <mergeCell ref="H17:K17"/>
    <mergeCell ref="L17:P17"/>
    <mergeCell ref="Q17:Z17"/>
    <mergeCell ref="AA17:AQ17"/>
    <mergeCell ref="B18:D18"/>
    <mergeCell ref="F7:P8"/>
    <mergeCell ref="R7:W7"/>
    <mergeCell ref="X7:AF7"/>
    <mergeCell ref="R8:W8"/>
    <mergeCell ref="X8:AF8"/>
    <mergeCell ref="X9:AF9"/>
    <mergeCell ref="L12:P12"/>
    <mergeCell ref="Q12:Z12"/>
    <mergeCell ref="AA12:AQ12"/>
    <mergeCell ref="AA13:AQ13"/>
    <mergeCell ref="A7:E8"/>
    <mergeCell ref="A9:E9"/>
    <mergeCell ref="F9:M9"/>
    <mergeCell ref="N9:P9"/>
    <mergeCell ref="R9:W9"/>
    <mergeCell ref="A10:AC10"/>
    <mergeCell ref="B12:D12"/>
    <mergeCell ref="E12:G12"/>
    <mergeCell ref="H12:K12"/>
    <mergeCell ref="B13:D13"/>
    <mergeCell ref="E13:G13"/>
    <mergeCell ref="H13:K13"/>
    <mergeCell ref="L13:P13"/>
    <mergeCell ref="Q13:Z13"/>
    <mergeCell ref="B1:D1"/>
    <mergeCell ref="E1:G1"/>
    <mergeCell ref="H1:K1"/>
    <mergeCell ref="L1:P1"/>
    <mergeCell ref="Q1:Z1"/>
    <mergeCell ref="AA1:AQ1"/>
    <mergeCell ref="A2:AD2"/>
    <mergeCell ref="A3:AD3"/>
    <mergeCell ref="A4:AQ4"/>
    <mergeCell ref="A5:E5"/>
    <mergeCell ref="F5:P5"/>
    <mergeCell ref="X5:AF5"/>
    <mergeCell ref="A6:E6"/>
    <mergeCell ref="F6:P6"/>
    <mergeCell ref="X6:AF6"/>
    <mergeCell ref="R5:W5"/>
    <mergeCell ref="R6:W6"/>
    <mergeCell ref="E447:G447"/>
    <mergeCell ref="H447:K447"/>
    <mergeCell ref="L447:P447"/>
    <mergeCell ref="Q447:Z447"/>
    <mergeCell ref="AA447:AQ447"/>
    <mergeCell ref="B447:D447"/>
    <mergeCell ref="B448:D448"/>
    <mergeCell ref="E448:G448"/>
    <mergeCell ref="H448:K448"/>
    <mergeCell ref="L448:P448"/>
    <mergeCell ref="Q448:Z448"/>
    <mergeCell ref="AA448:AQ448"/>
    <mergeCell ref="L450:P450"/>
    <mergeCell ref="Q450:Z450"/>
    <mergeCell ref="B449:D449"/>
    <mergeCell ref="E449:G449"/>
    <mergeCell ref="H449:K449"/>
    <mergeCell ref="L449:P449"/>
    <mergeCell ref="Q449:Z449"/>
    <mergeCell ref="AA449:AQ449"/>
    <mergeCell ref="B450:D450"/>
    <mergeCell ref="AA450:AQ450"/>
    <mergeCell ref="E450:G450"/>
    <mergeCell ref="H450:K450"/>
    <mergeCell ref="E443:G443"/>
    <mergeCell ref="H443:K443"/>
    <mergeCell ref="L443:P443"/>
    <mergeCell ref="Q443:Z443"/>
    <mergeCell ref="AA443:AQ443"/>
    <mergeCell ref="B443:D443"/>
    <mergeCell ref="B444:D444"/>
    <mergeCell ref="E444:G444"/>
    <mergeCell ref="H444:K444"/>
    <mergeCell ref="L444:P444"/>
    <mergeCell ref="Q444:Z444"/>
    <mergeCell ref="AA444:AQ444"/>
    <mergeCell ref="L446:P446"/>
    <mergeCell ref="Q446:Z446"/>
    <mergeCell ref="B445:D445"/>
    <mergeCell ref="E445:G445"/>
    <mergeCell ref="H445:K445"/>
    <mergeCell ref="L445:P445"/>
    <mergeCell ref="Q445:Z445"/>
    <mergeCell ref="AA445:AQ445"/>
    <mergeCell ref="B446:D446"/>
    <mergeCell ref="AA446:AQ446"/>
    <mergeCell ref="E446:G446"/>
    <mergeCell ref="H446:K446"/>
    <mergeCell ref="B440:D440"/>
    <mergeCell ref="E440:G440"/>
    <mergeCell ref="H440:K440"/>
    <mergeCell ref="L440:P440"/>
    <mergeCell ref="Q440:Z440"/>
    <mergeCell ref="AA440:AQ440"/>
    <mergeCell ref="L442:P442"/>
    <mergeCell ref="Q442:Z442"/>
    <mergeCell ref="B441:D441"/>
    <mergeCell ref="E441:G441"/>
    <mergeCell ref="H441:K441"/>
    <mergeCell ref="L441:P441"/>
    <mergeCell ref="Q441:Z441"/>
    <mergeCell ref="AA441:AQ441"/>
    <mergeCell ref="B442:D442"/>
    <mergeCell ref="AA442:AQ442"/>
    <mergeCell ref="E442:G442"/>
    <mergeCell ref="H442:K442"/>
    <mergeCell ref="E429:G429"/>
    <mergeCell ref="H429:K429"/>
    <mergeCell ref="AA429:AQ429"/>
    <mergeCell ref="L433:P433"/>
    <mergeCell ref="Q433:Z433"/>
    <mergeCell ref="Q434:Z434"/>
    <mergeCell ref="AA434:AQ434"/>
    <mergeCell ref="E433:G433"/>
    <mergeCell ref="H433:K433"/>
    <mergeCell ref="B434:D434"/>
    <mergeCell ref="E434:G434"/>
    <mergeCell ref="H434:K434"/>
    <mergeCell ref="L434:P434"/>
    <mergeCell ref="L435:P435"/>
    <mergeCell ref="E438:G438"/>
    <mergeCell ref="H438:K438"/>
    <mergeCell ref="E439:G439"/>
    <mergeCell ref="H439:K439"/>
    <mergeCell ref="L439:P439"/>
    <mergeCell ref="Q439:Z439"/>
    <mergeCell ref="AA439:AQ439"/>
    <mergeCell ref="B439:D439"/>
    <mergeCell ref="AA432:AQ432"/>
    <mergeCell ref="B433:D433"/>
    <mergeCell ref="AA433:AQ433"/>
    <mergeCell ref="E435:G435"/>
    <mergeCell ref="H435:K435"/>
    <mergeCell ref="Q435:Z435"/>
    <mergeCell ref="AA435:AQ435"/>
    <mergeCell ref="B435:D435"/>
    <mergeCell ref="B436:D436"/>
    <mergeCell ref="E436:G436"/>
    <mergeCell ref="L422:P422"/>
    <mergeCell ref="Q422:Z422"/>
    <mergeCell ref="AA422:AQ422"/>
    <mergeCell ref="B423:D423"/>
    <mergeCell ref="E423:G423"/>
    <mergeCell ref="H423:K423"/>
    <mergeCell ref="L423:P423"/>
    <mergeCell ref="Q423:Z423"/>
    <mergeCell ref="AA423:AQ423"/>
    <mergeCell ref="B424:D424"/>
    <mergeCell ref="AA424:AQ424"/>
    <mergeCell ref="E426:G426"/>
    <mergeCell ref="H426:K426"/>
    <mergeCell ref="Q426:Z426"/>
    <mergeCell ref="AA426:AQ426"/>
    <mergeCell ref="B426:D426"/>
    <mergeCell ref="B427:D427"/>
    <mergeCell ref="E427:G427"/>
    <mergeCell ref="H427:K427"/>
    <mergeCell ref="L427:P427"/>
    <mergeCell ref="Q427:Z427"/>
    <mergeCell ref="AA427:AQ427"/>
    <mergeCell ref="E420:G420"/>
    <mergeCell ref="H420:K420"/>
    <mergeCell ref="AA420:AQ420"/>
    <mergeCell ref="L424:P424"/>
    <mergeCell ref="Q424:Z424"/>
    <mergeCell ref="Q425:Z425"/>
    <mergeCell ref="AA425:AQ425"/>
    <mergeCell ref="E424:G424"/>
    <mergeCell ref="H424:K424"/>
    <mergeCell ref="B425:D425"/>
    <mergeCell ref="E425:G425"/>
    <mergeCell ref="H425:K425"/>
    <mergeCell ref="L425:P425"/>
    <mergeCell ref="L426:P426"/>
    <mergeCell ref="B419:D419"/>
    <mergeCell ref="E419:G419"/>
    <mergeCell ref="H419:K419"/>
    <mergeCell ref="L419:P419"/>
    <mergeCell ref="Q419:Z419"/>
    <mergeCell ref="AA419:AQ419"/>
    <mergeCell ref="B420:D420"/>
    <mergeCell ref="L420:P420"/>
    <mergeCell ref="Q420:Z420"/>
    <mergeCell ref="E421:G421"/>
    <mergeCell ref="H421:K421"/>
    <mergeCell ref="L421:P421"/>
    <mergeCell ref="Q421:Z421"/>
    <mergeCell ref="AA421:AQ421"/>
    <mergeCell ref="B421:D421"/>
    <mergeCell ref="B422:D422"/>
    <mergeCell ref="E422:G422"/>
    <mergeCell ref="H422:K422"/>
    <mergeCell ref="L413:P413"/>
    <mergeCell ref="Q413:Z413"/>
    <mergeCell ref="AA413:AQ413"/>
    <mergeCell ref="B414:D414"/>
    <mergeCell ref="E414:G414"/>
    <mergeCell ref="H414:K414"/>
    <mergeCell ref="L414:P414"/>
    <mergeCell ref="Q414:Z414"/>
    <mergeCell ref="AA414:AQ414"/>
    <mergeCell ref="B415:D415"/>
    <mergeCell ref="AA415:AQ415"/>
    <mergeCell ref="E417:G417"/>
    <mergeCell ref="H417:K417"/>
    <mergeCell ref="Q417:Z417"/>
    <mergeCell ref="AA417:AQ417"/>
    <mergeCell ref="B417:D417"/>
    <mergeCell ref="B418:D418"/>
    <mergeCell ref="E418:G418"/>
    <mergeCell ref="H418:K418"/>
    <mergeCell ref="L418:P418"/>
    <mergeCell ref="Q418:Z418"/>
    <mergeCell ref="AA418:AQ418"/>
    <mergeCell ref="E411:G411"/>
    <mergeCell ref="H411:K411"/>
    <mergeCell ref="AA411:AQ411"/>
    <mergeCell ref="L415:P415"/>
    <mergeCell ref="Q415:Z415"/>
    <mergeCell ref="Q416:Z416"/>
    <mergeCell ref="AA416:AQ416"/>
    <mergeCell ref="E415:G415"/>
    <mergeCell ref="H415:K415"/>
    <mergeCell ref="B416:D416"/>
    <mergeCell ref="E416:G416"/>
    <mergeCell ref="H416:K416"/>
    <mergeCell ref="L416:P416"/>
    <mergeCell ref="L417:P417"/>
    <mergeCell ref="B410:D410"/>
    <mergeCell ref="E410:G410"/>
    <mergeCell ref="H410:K410"/>
    <mergeCell ref="L410:P410"/>
    <mergeCell ref="Q410:Z410"/>
    <mergeCell ref="AA410:AQ410"/>
    <mergeCell ref="B411:D411"/>
    <mergeCell ref="L411:P411"/>
    <mergeCell ref="Q411:Z411"/>
    <mergeCell ref="E412:G412"/>
    <mergeCell ref="H412:K412"/>
    <mergeCell ref="L412:P412"/>
    <mergeCell ref="Q412:Z412"/>
    <mergeCell ref="AA412:AQ412"/>
    <mergeCell ref="B412:D412"/>
    <mergeCell ref="B413:D413"/>
    <mergeCell ref="E413:G413"/>
    <mergeCell ref="H413:K413"/>
    <mergeCell ref="L404:P404"/>
    <mergeCell ref="Q404:Z404"/>
    <mergeCell ref="AA404:AQ404"/>
    <mergeCell ref="B405:D405"/>
    <mergeCell ref="E405:G405"/>
    <mergeCell ref="H405:K405"/>
    <mergeCell ref="L405:P405"/>
    <mergeCell ref="Q405:Z405"/>
    <mergeCell ref="AA405:AQ405"/>
    <mergeCell ref="B406:D406"/>
    <mergeCell ref="AA406:AQ406"/>
    <mergeCell ref="E408:G408"/>
    <mergeCell ref="H408:K408"/>
    <mergeCell ref="Q408:Z408"/>
    <mergeCell ref="AA408:AQ408"/>
    <mergeCell ref="B408:D408"/>
    <mergeCell ref="B409:D409"/>
    <mergeCell ref="E409:G409"/>
    <mergeCell ref="H409:K409"/>
    <mergeCell ref="L409:P409"/>
    <mergeCell ref="Q409:Z409"/>
    <mergeCell ref="AA409:AQ409"/>
    <mergeCell ref="E402:G402"/>
    <mergeCell ref="H402:K402"/>
    <mergeCell ref="AA402:AQ402"/>
    <mergeCell ref="L406:P406"/>
    <mergeCell ref="Q406:Z406"/>
    <mergeCell ref="Q407:Z407"/>
    <mergeCell ref="AA407:AQ407"/>
    <mergeCell ref="E406:G406"/>
    <mergeCell ref="H406:K406"/>
    <mergeCell ref="B407:D407"/>
    <mergeCell ref="E407:G407"/>
    <mergeCell ref="H407:K407"/>
    <mergeCell ref="L407:P407"/>
    <mergeCell ref="L408:P408"/>
    <mergeCell ref="B401:D401"/>
    <mergeCell ref="E401:G401"/>
    <mergeCell ref="H401:K401"/>
    <mergeCell ref="L401:P401"/>
    <mergeCell ref="Q401:Z401"/>
    <mergeCell ref="AA401:AQ401"/>
    <mergeCell ref="B402:D402"/>
    <mergeCell ref="L402:P402"/>
    <mergeCell ref="Q402:Z402"/>
    <mergeCell ref="E403:G403"/>
    <mergeCell ref="H403:K403"/>
    <mergeCell ref="L403:P403"/>
    <mergeCell ref="Q403:Z403"/>
    <mergeCell ref="AA403:AQ403"/>
    <mergeCell ref="B403:D403"/>
    <mergeCell ref="B404:D404"/>
    <mergeCell ref="E404:G404"/>
    <mergeCell ref="H404:K404"/>
    <mergeCell ref="L395:P395"/>
    <mergeCell ref="Q395:Z395"/>
    <mergeCell ref="AA395:AQ395"/>
    <mergeCell ref="B396:D396"/>
    <mergeCell ref="E396:G396"/>
    <mergeCell ref="H396:K396"/>
    <mergeCell ref="L396:P396"/>
    <mergeCell ref="Q396:Z396"/>
    <mergeCell ref="AA396:AQ396"/>
    <mergeCell ref="B397:D397"/>
    <mergeCell ref="AA397:AQ397"/>
    <mergeCell ref="E399:G399"/>
    <mergeCell ref="H399:K399"/>
    <mergeCell ref="Q399:Z399"/>
    <mergeCell ref="AA399:AQ399"/>
    <mergeCell ref="B399:D399"/>
    <mergeCell ref="B400:D400"/>
    <mergeCell ref="E400:G400"/>
    <mergeCell ref="H400:K400"/>
    <mergeCell ref="L400:P400"/>
    <mergeCell ref="Q400:Z400"/>
    <mergeCell ref="AA400:AQ400"/>
    <mergeCell ref="E393:G393"/>
    <mergeCell ref="H393:K393"/>
    <mergeCell ref="AA393:AQ393"/>
    <mergeCell ref="L397:P397"/>
    <mergeCell ref="Q397:Z397"/>
    <mergeCell ref="Q398:Z398"/>
    <mergeCell ref="AA398:AQ398"/>
    <mergeCell ref="E397:G397"/>
    <mergeCell ref="H397:K397"/>
    <mergeCell ref="B398:D398"/>
    <mergeCell ref="E398:G398"/>
    <mergeCell ref="H398:K398"/>
    <mergeCell ref="L398:P398"/>
    <mergeCell ref="L399:P399"/>
    <mergeCell ref="B392:D392"/>
    <mergeCell ref="E392:G392"/>
    <mergeCell ref="H392:K392"/>
    <mergeCell ref="L392:P392"/>
    <mergeCell ref="Q392:Z392"/>
    <mergeCell ref="AA392:AQ392"/>
    <mergeCell ref="B393:D393"/>
    <mergeCell ref="L393:P393"/>
    <mergeCell ref="Q393:Z393"/>
    <mergeCell ref="E394:G394"/>
    <mergeCell ref="H394:K394"/>
    <mergeCell ref="L394:P394"/>
    <mergeCell ref="Q394:Z394"/>
    <mergeCell ref="AA394:AQ394"/>
    <mergeCell ref="B394:D394"/>
    <mergeCell ref="B395:D395"/>
    <mergeCell ref="E395:G395"/>
    <mergeCell ref="H395:K395"/>
    <mergeCell ref="L386:P386"/>
    <mergeCell ref="Q386:Z386"/>
    <mergeCell ref="AA386:AQ386"/>
    <mergeCell ref="B387:D387"/>
    <mergeCell ref="E387:G387"/>
    <mergeCell ref="H387:K387"/>
    <mergeCell ref="L387:P387"/>
    <mergeCell ref="Q387:Z387"/>
    <mergeCell ref="AA387:AQ387"/>
    <mergeCell ref="B388:D388"/>
    <mergeCell ref="AA388:AQ388"/>
    <mergeCell ref="E390:G390"/>
    <mergeCell ref="H390:K390"/>
    <mergeCell ref="Q390:Z390"/>
    <mergeCell ref="AA390:AQ390"/>
    <mergeCell ref="B390:D390"/>
    <mergeCell ref="B391:D391"/>
    <mergeCell ref="E391:G391"/>
    <mergeCell ref="H391:K391"/>
    <mergeCell ref="L391:P391"/>
    <mergeCell ref="Q391:Z391"/>
    <mergeCell ref="AA391:AQ391"/>
    <mergeCell ref="E384:G384"/>
    <mergeCell ref="H384:K384"/>
    <mergeCell ref="AA384:AQ384"/>
    <mergeCell ref="L388:P388"/>
    <mergeCell ref="Q388:Z388"/>
    <mergeCell ref="Q389:Z389"/>
    <mergeCell ref="AA389:AQ389"/>
    <mergeCell ref="E388:G388"/>
    <mergeCell ref="H388:K388"/>
    <mergeCell ref="B389:D389"/>
    <mergeCell ref="E389:G389"/>
    <mergeCell ref="H389:K389"/>
    <mergeCell ref="L389:P389"/>
    <mergeCell ref="L390:P390"/>
    <mergeCell ref="B383:D383"/>
    <mergeCell ref="E383:G383"/>
    <mergeCell ref="H383:K383"/>
    <mergeCell ref="L383:P383"/>
    <mergeCell ref="Q383:Z383"/>
    <mergeCell ref="AA383:AQ383"/>
    <mergeCell ref="B384:D384"/>
    <mergeCell ref="L384:P384"/>
    <mergeCell ref="Q384:Z384"/>
    <mergeCell ref="E385:G385"/>
    <mergeCell ref="H385:K385"/>
    <mergeCell ref="L385:P385"/>
    <mergeCell ref="Q385:Z385"/>
    <mergeCell ref="AA385:AQ385"/>
    <mergeCell ref="B385:D385"/>
    <mergeCell ref="B386:D386"/>
    <mergeCell ref="E386:G386"/>
    <mergeCell ref="H386:K386"/>
    <mergeCell ref="B379:D379"/>
    <mergeCell ref="AA379:AQ379"/>
    <mergeCell ref="E381:G381"/>
    <mergeCell ref="H381:K381"/>
    <mergeCell ref="Q381:Z381"/>
    <mergeCell ref="AA381:AQ381"/>
    <mergeCell ref="B381:D381"/>
    <mergeCell ref="B382:D382"/>
    <mergeCell ref="E382:G382"/>
    <mergeCell ref="H382:K382"/>
    <mergeCell ref="L382:P382"/>
    <mergeCell ref="Q382:Z382"/>
    <mergeCell ref="AA382:AQ382"/>
    <mergeCell ref="L379:P379"/>
    <mergeCell ref="Q379:Z379"/>
    <mergeCell ref="Q380:Z380"/>
    <mergeCell ref="AA380:AQ380"/>
    <mergeCell ref="E379:G379"/>
    <mergeCell ref="H379:K379"/>
    <mergeCell ref="B380:D380"/>
    <mergeCell ref="E380:G380"/>
    <mergeCell ref="H380:K380"/>
    <mergeCell ref="L380:P380"/>
    <mergeCell ref="L381:P381"/>
    <mergeCell ref="AA376:AQ376"/>
    <mergeCell ref="B376:D376"/>
    <mergeCell ref="B377:D377"/>
    <mergeCell ref="E377:G377"/>
    <mergeCell ref="H377:K377"/>
    <mergeCell ref="L377:P377"/>
    <mergeCell ref="Q377:Z377"/>
    <mergeCell ref="AA377:AQ377"/>
    <mergeCell ref="E375:G375"/>
    <mergeCell ref="H375:K375"/>
    <mergeCell ref="AA375:AQ375"/>
    <mergeCell ref="B378:D378"/>
    <mergeCell ref="E378:G378"/>
    <mergeCell ref="H378:K378"/>
    <mergeCell ref="L378:P378"/>
    <mergeCell ref="Q378:Z378"/>
    <mergeCell ref="AA378:AQ378"/>
    <mergeCell ref="B461:D461"/>
    <mergeCell ref="E461:G461"/>
    <mergeCell ref="H461:K461"/>
    <mergeCell ref="L461:P461"/>
    <mergeCell ref="Q461:Z461"/>
    <mergeCell ref="AA461:AQ461"/>
    <mergeCell ref="B462:D462"/>
    <mergeCell ref="AA462:AQ462"/>
    <mergeCell ref="L511:P511"/>
    <mergeCell ref="Q511:Z511"/>
    <mergeCell ref="B512:D512"/>
    <mergeCell ref="E512:G512"/>
    <mergeCell ref="H512:K512"/>
    <mergeCell ref="L512:P512"/>
    <mergeCell ref="Q512:Z512"/>
    <mergeCell ref="AA512:AQ512"/>
    <mergeCell ref="B510:D510"/>
    <mergeCell ref="E510:G510"/>
    <mergeCell ref="H510:K510"/>
    <mergeCell ref="L510:P510"/>
    <mergeCell ref="Q510:Z510"/>
    <mergeCell ref="AA510:AQ510"/>
    <mergeCell ref="B511:D511"/>
    <mergeCell ref="E511:G511"/>
    <mergeCell ref="H511:K511"/>
    <mergeCell ref="AA511:AQ511"/>
    <mergeCell ref="B496:D496"/>
    <mergeCell ref="E496:G496"/>
    <mergeCell ref="H496:K496"/>
    <mergeCell ref="L496:P496"/>
    <mergeCell ref="E451:G451"/>
    <mergeCell ref="H451:K451"/>
    <mergeCell ref="L451:P451"/>
    <mergeCell ref="Q451:Z451"/>
    <mergeCell ref="AA451:AQ451"/>
    <mergeCell ref="B451:D451"/>
    <mergeCell ref="B452:D452"/>
    <mergeCell ref="E452:G452"/>
    <mergeCell ref="H452:K452"/>
    <mergeCell ref="L452:P452"/>
    <mergeCell ref="Q452:Z452"/>
    <mergeCell ref="AA452:AQ452"/>
    <mergeCell ref="L454:P454"/>
    <mergeCell ref="Q454:Z454"/>
    <mergeCell ref="B453:D453"/>
    <mergeCell ref="E453:G453"/>
    <mergeCell ref="H453:K453"/>
    <mergeCell ref="L453:P453"/>
    <mergeCell ref="Q453:Z453"/>
    <mergeCell ref="AA453:AQ453"/>
    <mergeCell ref="B454:D454"/>
    <mergeCell ref="AA454:AQ454"/>
    <mergeCell ref="E454:G454"/>
    <mergeCell ref="H454:K454"/>
    <mergeCell ref="H460:K460"/>
    <mergeCell ref="L460:P460"/>
    <mergeCell ref="Q460:Z460"/>
    <mergeCell ref="AA460:AQ460"/>
    <mergeCell ref="L504:P504"/>
    <mergeCell ref="Q504:Z504"/>
    <mergeCell ref="AA504:AQ504"/>
    <mergeCell ref="B505:D505"/>
    <mergeCell ref="E505:G505"/>
    <mergeCell ref="H505:K505"/>
    <mergeCell ref="L505:P505"/>
    <mergeCell ref="Q505:Z505"/>
    <mergeCell ref="AA505:AQ505"/>
    <mergeCell ref="B506:D506"/>
    <mergeCell ref="AA506:AQ506"/>
    <mergeCell ref="E508:G508"/>
    <mergeCell ref="H508:K508"/>
    <mergeCell ref="Q508:Z508"/>
    <mergeCell ref="AA508:AQ508"/>
    <mergeCell ref="B508:D508"/>
    <mergeCell ref="B501:D501"/>
    <mergeCell ref="E501:G501"/>
    <mergeCell ref="H501:K501"/>
    <mergeCell ref="L501:P501"/>
    <mergeCell ref="Q501:Z501"/>
    <mergeCell ref="AA501:AQ501"/>
    <mergeCell ref="B509:D509"/>
    <mergeCell ref="E509:G509"/>
    <mergeCell ref="H509:K509"/>
    <mergeCell ref="L509:P509"/>
    <mergeCell ref="Q509:Z509"/>
    <mergeCell ref="AA509:AQ509"/>
    <mergeCell ref="E502:G502"/>
    <mergeCell ref="H502:K502"/>
    <mergeCell ref="AA502:AQ502"/>
    <mergeCell ref="L506:P506"/>
    <mergeCell ref="Q506:Z506"/>
    <mergeCell ref="Q507:Z507"/>
    <mergeCell ref="AA507:AQ507"/>
    <mergeCell ref="E506:G506"/>
    <mergeCell ref="H506:K506"/>
    <mergeCell ref="B507:D507"/>
    <mergeCell ref="E507:G507"/>
    <mergeCell ref="H507:K507"/>
    <mergeCell ref="L507:P507"/>
    <mergeCell ref="L508:P508"/>
    <mergeCell ref="B502:D502"/>
    <mergeCell ref="L502:P502"/>
    <mergeCell ref="Q502:Z502"/>
    <mergeCell ref="E503:G503"/>
    <mergeCell ref="H503:K503"/>
    <mergeCell ref="L503:P503"/>
    <mergeCell ref="Q503:Z503"/>
    <mergeCell ref="AA503:AQ503"/>
    <mergeCell ref="B503:D503"/>
    <mergeCell ref="B504:D504"/>
    <mergeCell ref="E504:G504"/>
    <mergeCell ref="H504:K504"/>
    <mergeCell ref="Q496:Z496"/>
    <mergeCell ref="AA496:AQ496"/>
    <mergeCell ref="B497:D497"/>
    <mergeCell ref="AA497:AQ497"/>
    <mergeCell ref="E499:G499"/>
    <mergeCell ref="H499:K499"/>
    <mergeCell ref="Q499:Z499"/>
    <mergeCell ref="AA499:AQ499"/>
    <mergeCell ref="B499:D499"/>
    <mergeCell ref="B500:D500"/>
    <mergeCell ref="E500:G500"/>
    <mergeCell ref="H500:K500"/>
    <mergeCell ref="L500:P500"/>
    <mergeCell ref="Q500:Z500"/>
    <mergeCell ref="AA500:AQ500"/>
    <mergeCell ref="E493:G493"/>
    <mergeCell ref="H493:K493"/>
    <mergeCell ref="AA493:AQ493"/>
    <mergeCell ref="L497:P497"/>
    <mergeCell ref="Q497:Z497"/>
    <mergeCell ref="Q498:Z498"/>
    <mergeCell ref="AA498:AQ498"/>
    <mergeCell ref="E497:G497"/>
    <mergeCell ref="H497:K497"/>
    <mergeCell ref="B498:D498"/>
    <mergeCell ref="E498:G498"/>
    <mergeCell ref="H498:K498"/>
    <mergeCell ref="L498:P498"/>
    <mergeCell ref="L499:P499"/>
    <mergeCell ref="L495:P495"/>
    <mergeCell ref="Q495:Z495"/>
    <mergeCell ref="AA495:AQ495"/>
    <mergeCell ref="B492:D492"/>
    <mergeCell ref="E492:G492"/>
    <mergeCell ref="H492:K492"/>
    <mergeCell ref="L492:P492"/>
    <mergeCell ref="Q492:Z492"/>
    <mergeCell ref="AA492:AQ492"/>
    <mergeCell ref="B493:D493"/>
    <mergeCell ref="L493:P493"/>
    <mergeCell ref="Q493:Z493"/>
    <mergeCell ref="E494:G494"/>
    <mergeCell ref="H494:K494"/>
    <mergeCell ref="L494:P494"/>
    <mergeCell ref="Q494:Z494"/>
    <mergeCell ref="AA494:AQ494"/>
    <mergeCell ref="B494:D494"/>
    <mergeCell ref="B495:D495"/>
    <mergeCell ref="E495:G495"/>
    <mergeCell ref="H495:K495"/>
    <mergeCell ref="L486:P486"/>
    <mergeCell ref="Q486:Z486"/>
    <mergeCell ref="AA486:AQ486"/>
    <mergeCell ref="B487:D487"/>
    <mergeCell ref="E487:G487"/>
    <mergeCell ref="H487:K487"/>
    <mergeCell ref="L487:P487"/>
    <mergeCell ref="Q487:Z487"/>
    <mergeCell ref="AA487:AQ487"/>
    <mergeCell ref="B488:D488"/>
    <mergeCell ref="AA488:AQ488"/>
    <mergeCell ref="E490:G490"/>
    <mergeCell ref="H490:K490"/>
    <mergeCell ref="Q490:Z490"/>
    <mergeCell ref="AA490:AQ490"/>
    <mergeCell ref="B490:D490"/>
    <mergeCell ref="B491:D491"/>
    <mergeCell ref="E491:G491"/>
    <mergeCell ref="H491:K491"/>
    <mergeCell ref="L491:P491"/>
    <mergeCell ref="Q491:Z491"/>
    <mergeCell ref="AA491:AQ491"/>
    <mergeCell ref="E484:G484"/>
    <mergeCell ref="H484:K484"/>
    <mergeCell ref="AA484:AQ484"/>
    <mergeCell ref="L488:P488"/>
    <mergeCell ref="Q488:Z488"/>
    <mergeCell ref="Q489:Z489"/>
    <mergeCell ref="AA489:AQ489"/>
    <mergeCell ref="E488:G488"/>
    <mergeCell ref="H488:K488"/>
    <mergeCell ref="B489:D489"/>
    <mergeCell ref="E489:G489"/>
    <mergeCell ref="H489:K489"/>
    <mergeCell ref="L489:P489"/>
    <mergeCell ref="L490:P490"/>
    <mergeCell ref="B483:D483"/>
    <mergeCell ref="E483:G483"/>
    <mergeCell ref="H483:K483"/>
    <mergeCell ref="L483:P483"/>
    <mergeCell ref="Q483:Z483"/>
    <mergeCell ref="AA483:AQ483"/>
    <mergeCell ref="B484:D484"/>
    <mergeCell ref="L484:P484"/>
    <mergeCell ref="Q484:Z484"/>
    <mergeCell ref="E485:G485"/>
    <mergeCell ref="H485:K485"/>
    <mergeCell ref="L485:P485"/>
    <mergeCell ref="Q485:Z485"/>
    <mergeCell ref="AA485:AQ485"/>
    <mergeCell ref="B485:D485"/>
    <mergeCell ref="B486:D486"/>
    <mergeCell ref="E486:G486"/>
    <mergeCell ref="H486:K486"/>
    <mergeCell ref="L477:P477"/>
    <mergeCell ref="Q477:Z477"/>
    <mergeCell ref="AA477:AQ477"/>
    <mergeCell ref="B478:D478"/>
    <mergeCell ref="E478:G478"/>
    <mergeCell ref="H478:K478"/>
    <mergeCell ref="L478:P478"/>
    <mergeCell ref="Q478:Z478"/>
    <mergeCell ref="AA478:AQ478"/>
    <mergeCell ref="B479:D479"/>
    <mergeCell ref="AA479:AQ479"/>
    <mergeCell ref="E481:G481"/>
    <mergeCell ref="H481:K481"/>
    <mergeCell ref="Q481:Z481"/>
    <mergeCell ref="AA481:AQ481"/>
    <mergeCell ref="B481:D481"/>
    <mergeCell ref="B482:D482"/>
    <mergeCell ref="E482:G482"/>
    <mergeCell ref="H482:K482"/>
    <mergeCell ref="L482:P482"/>
    <mergeCell ref="Q482:Z482"/>
    <mergeCell ref="AA482:AQ482"/>
    <mergeCell ref="E475:G475"/>
    <mergeCell ref="H475:K475"/>
    <mergeCell ref="AA475:AQ475"/>
    <mergeCell ref="L479:P479"/>
    <mergeCell ref="Q479:Z479"/>
    <mergeCell ref="Q480:Z480"/>
    <mergeCell ref="AA480:AQ480"/>
    <mergeCell ref="E479:G479"/>
    <mergeCell ref="H479:K479"/>
    <mergeCell ref="B480:D480"/>
    <mergeCell ref="E480:G480"/>
    <mergeCell ref="H480:K480"/>
    <mergeCell ref="L480:P480"/>
    <mergeCell ref="L481:P481"/>
    <mergeCell ref="B474:D474"/>
    <mergeCell ref="E474:G474"/>
    <mergeCell ref="H474:K474"/>
    <mergeCell ref="L474:P474"/>
    <mergeCell ref="Q474:Z474"/>
    <mergeCell ref="AA474:AQ474"/>
    <mergeCell ref="B475:D475"/>
    <mergeCell ref="L475:P475"/>
    <mergeCell ref="Q475:Z475"/>
    <mergeCell ref="E476:G476"/>
    <mergeCell ref="H476:K476"/>
    <mergeCell ref="L476:P476"/>
    <mergeCell ref="Q476:Z476"/>
    <mergeCell ref="AA476:AQ476"/>
    <mergeCell ref="B476:D476"/>
    <mergeCell ref="B477:D477"/>
    <mergeCell ref="E477:G477"/>
    <mergeCell ref="H477:K477"/>
    <mergeCell ref="B469:D469"/>
    <mergeCell ref="E469:G469"/>
    <mergeCell ref="H469:K469"/>
    <mergeCell ref="L469:P469"/>
    <mergeCell ref="Q469:Z469"/>
    <mergeCell ref="AA469:AQ469"/>
    <mergeCell ref="B470:D470"/>
    <mergeCell ref="AA470:AQ470"/>
    <mergeCell ref="E472:G472"/>
    <mergeCell ref="H472:K472"/>
    <mergeCell ref="Q472:Z472"/>
    <mergeCell ref="AA472:AQ472"/>
    <mergeCell ref="B472:D472"/>
    <mergeCell ref="B473:D473"/>
    <mergeCell ref="E473:G473"/>
    <mergeCell ref="H473:K473"/>
    <mergeCell ref="L473:P473"/>
    <mergeCell ref="Q473:Z473"/>
    <mergeCell ref="AA473:AQ473"/>
    <mergeCell ref="L470:P470"/>
    <mergeCell ref="Q470:Z470"/>
    <mergeCell ref="Q471:Z471"/>
    <mergeCell ref="AA471:AQ471"/>
    <mergeCell ref="E470:G470"/>
    <mergeCell ref="H470:K470"/>
    <mergeCell ref="B471:D471"/>
    <mergeCell ref="E471:G471"/>
    <mergeCell ref="H471:K471"/>
    <mergeCell ref="L471:P471"/>
    <mergeCell ref="L472:P472"/>
    <mergeCell ref="Q465:Z465"/>
    <mergeCell ref="AA465:AQ465"/>
    <mergeCell ref="B466:D466"/>
    <mergeCell ref="L466:P466"/>
    <mergeCell ref="Q466:Z466"/>
    <mergeCell ref="E467:G467"/>
    <mergeCell ref="H467:K467"/>
    <mergeCell ref="L467:P467"/>
    <mergeCell ref="Q467:Z467"/>
    <mergeCell ref="AA467:AQ467"/>
    <mergeCell ref="B467:D467"/>
    <mergeCell ref="B468:D468"/>
    <mergeCell ref="E468:G468"/>
    <mergeCell ref="H468:K468"/>
    <mergeCell ref="L468:P468"/>
    <mergeCell ref="Q468:Z468"/>
    <mergeCell ref="AA468:AQ468"/>
    <mergeCell ref="E466:G466"/>
    <mergeCell ref="H466:K466"/>
    <mergeCell ref="AA466:AQ466"/>
    <mergeCell ref="Q455:Z455"/>
    <mergeCell ref="AA455:AQ455"/>
    <mergeCell ref="B455:D455"/>
    <mergeCell ref="B456:D456"/>
    <mergeCell ref="E456:G456"/>
    <mergeCell ref="H456:K456"/>
    <mergeCell ref="L456:P456"/>
    <mergeCell ref="Q456:Z456"/>
    <mergeCell ref="AA456:AQ456"/>
    <mergeCell ref="L458:P458"/>
    <mergeCell ref="Q458:Z458"/>
    <mergeCell ref="B457:D457"/>
    <mergeCell ref="E457:G457"/>
    <mergeCell ref="H457:K457"/>
    <mergeCell ref="L457:P457"/>
    <mergeCell ref="B464:D464"/>
    <mergeCell ref="E464:G464"/>
    <mergeCell ref="H464:K464"/>
    <mergeCell ref="L464:P464"/>
    <mergeCell ref="Q464:Z464"/>
    <mergeCell ref="AA464:AQ464"/>
    <mergeCell ref="E463:G463"/>
    <mergeCell ref="H463:K463"/>
    <mergeCell ref="L463:P463"/>
    <mergeCell ref="Q463:Z463"/>
    <mergeCell ref="B465:D465"/>
    <mergeCell ref="E465:G465"/>
    <mergeCell ref="H465:K465"/>
    <mergeCell ref="L465:P465"/>
    <mergeCell ref="E462:G462"/>
    <mergeCell ref="H462:K462"/>
    <mergeCell ref="B428:D428"/>
    <mergeCell ref="E428:G428"/>
    <mergeCell ref="H428:K428"/>
    <mergeCell ref="L428:P428"/>
    <mergeCell ref="Q428:Z428"/>
    <mergeCell ref="AA428:AQ428"/>
    <mergeCell ref="B429:D429"/>
    <mergeCell ref="L429:P429"/>
    <mergeCell ref="Q429:Z429"/>
    <mergeCell ref="E430:G430"/>
    <mergeCell ref="H430:K430"/>
    <mergeCell ref="L430:P430"/>
    <mergeCell ref="Q430:Z430"/>
    <mergeCell ref="AA430:AQ430"/>
    <mergeCell ref="B430:D430"/>
    <mergeCell ref="B431:D431"/>
    <mergeCell ref="E431:G431"/>
    <mergeCell ref="H431:K431"/>
    <mergeCell ref="L431:P431"/>
    <mergeCell ref="Q431:Z431"/>
    <mergeCell ref="AA431:AQ431"/>
    <mergeCell ref="H436:K436"/>
    <mergeCell ref="L436:P436"/>
    <mergeCell ref="Q436:Z436"/>
    <mergeCell ref="AA436:AQ436"/>
    <mergeCell ref="E455:G455"/>
    <mergeCell ref="H455:K455"/>
    <mergeCell ref="L455:P455"/>
    <mergeCell ref="L462:P462"/>
    <mergeCell ref="Q462:Z462"/>
    <mergeCell ref="L371:P371"/>
    <mergeCell ref="Q371:Z371"/>
    <mergeCell ref="B370:D370"/>
    <mergeCell ref="E370:G370"/>
    <mergeCell ref="B432:D432"/>
    <mergeCell ref="E432:G432"/>
    <mergeCell ref="H432:K432"/>
    <mergeCell ref="L432:P432"/>
    <mergeCell ref="Q432:Z432"/>
    <mergeCell ref="L438:P438"/>
    <mergeCell ref="Q438:Z438"/>
    <mergeCell ref="B437:D437"/>
    <mergeCell ref="E437:G437"/>
    <mergeCell ref="H437:K437"/>
    <mergeCell ref="L437:P437"/>
    <mergeCell ref="Q437:Z437"/>
    <mergeCell ref="AA437:AQ437"/>
    <mergeCell ref="B438:D438"/>
    <mergeCell ref="AA438:AQ438"/>
    <mergeCell ref="B374:D374"/>
    <mergeCell ref="E374:G374"/>
    <mergeCell ref="H374:K374"/>
    <mergeCell ref="L374:P374"/>
    <mergeCell ref="Q374:Z374"/>
    <mergeCell ref="AA374:AQ374"/>
    <mergeCell ref="B375:D375"/>
    <mergeCell ref="L375:P375"/>
    <mergeCell ref="Q375:Z375"/>
    <mergeCell ref="E376:G376"/>
    <mergeCell ref="H376:K376"/>
    <mergeCell ref="L376:P376"/>
    <mergeCell ref="Q376:Z376"/>
    <mergeCell ref="H367:K367"/>
    <mergeCell ref="E364:G364"/>
    <mergeCell ref="H364:K364"/>
    <mergeCell ref="L364:P364"/>
    <mergeCell ref="AA463:AQ463"/>
    <mergeCell ref="B463:D463"/>
    <mergeCell ref="Q457:Z457"/>
    <mergeCell ref="AA457:AQ457"/>
    <mergeCell ref="B458:D458"/>
    <mergeCell ref="AA458:AQ458"/>
    <mergeCell ref="E458:G458"/>
    <mergeCell ref="H458:K458"/>
    <mergeCell ref="E459:G459"/>
    <mergeCell ref="H459:K459"/>
    <mergeCell ref="L459:P459"/>
    <mergeCell ref="Q459:Z459"/>
    <mergeCell ref="AA459:AQ459"/>
    <mergeCell ref="B459:D459"/>
    <mergeCell ref="B460:D460"/>
    <mergeCell ref="E460:G460"/>
    <mergeCell ref="E368:G368"/>
    <mergeCell ref="H368:K368"/>
    <mergeCell ref="L368:P368"/>
    <mergeCell ref="Q368:Z368"/>
    <mergeCell ref="AA368:AQ368"/>
    <mergeCell ref="B368:D368"/>
    <mergeCell ref="B369:D369"/>
    <mergeCell ref="E369:G369"/>
    <mergeCell ref="H369:K369"/>
    <mergeCell ref="L369:P369"/>
    <mergeCell ref="Q369:Z369"/>
    <mergeCell ref="AA369:AQ369"/>
    <mergeCell ref="Q362:Z362"/>
    <mergeCell ref="AA362:AQ362"/>
    <mergeCell ref="B363:D363"/>
    <mergeCell ref="AA363:AQ363"/>
    <mergeCell ref="E363:G363"/>
    <mergeCell ref="H363:K363"/>
    <mergeCell ref="H370:K370"/>
    <mergeCell ref="L370:P370"/>
    <mergeCell ref="Q370:Z370"/>
    <mergeCell ref="AA370:AQ370"/>
    <mergeCell ref="B371:D371"/>
    <mergeCell ref="AA371:AQ371"/>
    <mergeCell ref="Q364:Z364"/>
    <mergeCell ref="AA364:AQ364"/>
    <mergeCell ref="B364:D364"/>
    <mergeCell ref="B365:D365"/>
    <mergeCell ref="E365:G365"/>
    <mergeCell ref="H365:K365"/>
    <mergeCell ref="L365:P365"/>
    <mergeCell ref="Q365:Z365"/>
    <mergeCell ref="AA365:AQ365"/>
    <mergeCell ref="L367:P367"/>
    <mergeCell ref="Q367:Z367"/>
    <mergeCell ref="B366:D366"/>
    <mergeCell ref="E366:G366"/>
    <mergeCell ref="H366:K366"/>
    <mergeCell ref="L366:P366"/>
    <mergeCell ref="Q366:Z366"/>
    <mergeCell ref="AA366:AQ366"/>
    <mergeCell ref="B367:D367"/>
    <mergeCell ref="AA367:AQ367"/>
    <mergeCell ref="E367:G367"/>
    <mergeCell ref="E345:G345"/>
    <mergeCell ref="H345:K345"/>
    <mergeCell ref="L345:P345"/>
    <mergeCell ref="Q345:Z345"/>
    <mergeCell ref="AA345:AQ345"/>
    <mergeCell ref="L344:P344"/>
    <mergeCell ref="E371:G371"/>
    <mergeCell ref="H371:K371"/>
    <mergeCell ref="E372:G372"/>
    <mergeCell ref="H372:K372"/>
    <mergeCell ref="L372:P372"/>
    <mergeCell ref="Q372:Z372"/>
    <mergeCell ref="AA372:AQ372"/>
    <mergeCell ref="B372:D372"/>
    <mergeCell ref="E360:G360"/>
    <mergeCell ref="H360:K360"/>
    <mergeCell ref="L360:P360"/>
    <mergeCell ref="Q360:Z360"/>
    <mergeCell ref="AA360:AQ360"/>
    <mergeCell ref="B360:D360"/>
    <mergeCell ref="B361:D361"/>
    <mergeCell ref="E361:G361"/>
    <mergeCell ref="H361:K361"/>
    <mergeCell ref="L361:P361"/>
    <mergeCell ref="Q361:Z361"/>
    <mergeCell ref="AA361:AQ361"/>
    <mergeCell ref="L363:P363"/>
    <mergeCell ref="Q363:Z363"/>
    <mergeCell ref="B362:D362"/>
    <mergeCell ref="E362:G362"/>
    <mergeCell ref="H362:K362"/>
    <mergeCell ref="L362:P362"/>
    <mergeCell ref="B373:D373"/>
    <mergeCell ref="E373:G373"/>
    <mergeCell ref="H373:K373"/>
    <mergeCell ref="L373:P373"/>
    <mergeCell ref="Q373:Z373"/>
    <mergeCell ref="AA373:AQ373"/>
    <mergeCell ref="B337:D337"/>
    <mergeCell ref="E337:G337"/>
    <mergeCell ref="H337:K337"/>
    <mergeCell ref="L337:P337"/>
    <mergeCell ref="Q337:Z337"/>
    <mergeCell ref="AA337:AQ337"/>
    <mergeCell ref="B338:D338"/>
    <mergeCell ref="L338:P338"/>
    <mergeCell ref="Q338:Z338"/>
    <mergeCell ref="E339:G339"/>
    <mergeCell ref="H339:K339"/>
    <mergeCell ref="L339:P339"/>
    <mergeCell ref="Q339:Z339"/>
    <mergeCell ref="AA339:AQ339"/>
    <mergeCell ref="B339:D339"/>
    <mergeCell ref="B340:D340"/>
    <mergeCell ref="E340:G340"/>
    <mergeCell ref="H340:K340"/>
    <mergeCell ref="B342:D342"/>
    <mergeCell ref="AA342:AQ342"/>
    <mergeCell ref="E344:G344"/>
    <mergeCell ref="H344:K344"/>
    <mergeCell ref="Q344:Z344"/>
    <mergeCell ref="AA344:AQ344"/>
    <mergeCell ref="B344:D344"/>
    <mergeCell ref="B345:D345"/>
  </mergeCells>
  <pageMargins left="0.25" right="0.25" top="0.75" bottom="0.75" header="0" footer="0"/>
  <pageSetup paperSize="5"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800-000000000000}">
          <x14:formula1>
            <xm:f>'Drop-Down Boxes '!$D$3:$D$14</xm:f>
          </x14:formula1>
          <xm:sqref>F9</xm:sqref>
        </x14:dataValidation>
        <x14:dataValidation type="list" allowBlank="1" showErrorMessage="1" xr:uid="{00000000-0002-0000-0800-000001000000}">
          <x14:formula1>
            <xm:f>'Drop-Down Boxes '!$H$3:$H$5</xm:f>
          </x14:formula1>
          <xm:sqref>N9</xm:sqref>
        </x14:dataValidation>
        <x14:dataValidation type="list" allowBlank="1" showErrorMessage="1" xr:uid="{00000000-0002-0000-0800-000002000000}">
          <x14:formula1>
            <xm:f>'Drop-Down Boxes '!$D$105:$D$108</xm:f>
          </x14:formula1>
          <xm:sqref>E13:E512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 </vt:lpstr>
      <vt:lpstr>GRANTEE SET UP INFO &amp; DATE </vt:lpstr>
      <vt:lpstr>REFERRAL ONLY</vt:lpstr>
      <vt:lpstr>refer admin discharge</vt:lpstr>
      <vt:lpstr>NOMS PRE ADM POST DISC</vt:lpstr>
      <vt:lpstr>TRAINING</vt:lpstr>
      <vt:lpstr>Naloxone Training Distribution</vt:lpstr>
      <vt:lpstr>ACTIVITIES MEETINGS EVENTS </vt:lpstr>
      <vt:lpstr>CONSUMER FEEDBACK</vt:lpstr>
      <vt:lpstr>SUMMARY</vt:lpstr>
      <vt:lpstr>Sheet1</vt:lpstr>
      <vt:lpstr>Drop-Down Boxes </vt:lpstr>
      <vt:lpstr> Scratch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Winston, Pat A</dc:creator>
  <cp:lastModifiedBy>Perry, Saundra K</cp:lastModifiedBy>
  <dcterms:created xsi:type="dcterms:W3CDTF">2015-12-01T21:42:32Z</dcterms:created>
  <dcterms:modified xsi:type="dcterms:W3CDTF">2025-09-30T17:28:56Z</dcterms:modified>
</cp:coreProperties>
</file>